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3.xml" ContentType="application/vnd.openxmlformats-officedocument.spreadsheetml.pivotTable+xml"/>
  <Override PartName="/xl/pivotTables/pivotTable2.xml" ContentType="application/vnd.openxmlformats-officedocument.spreadsheetml.pivotTabl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24226"/>
  <bookViews>
    <workbookView xWindow="60" yWindow="75" windowWidth="19725" windowHeight="7575" tabRatio="898"/>
  </bookViews>
  <sheets>
    <sheet name="INPUT-GADS DATA" sheetId="3" r:id="rId1"/>
    <sheet name="Lookup" sheetId="17" r:id="rId2"/>
    <sheet name="INP-Calc Hist Outage Rates" sheetId="9" r:id="rId3"/>
    <sheet name="INP-Calc EFOR&amp;EUOR - 2019Plan" sheetId="12" r:id="rId4"/>
    <sheet name="Calc-Pivot HistoricalDerates" sheetId="4" r:id="rId5"/>
    <sheet name="Calc-Pivot Table-Derates" sheetId="6" r:id="rId6"/>
    <sheet name="Calc-Pivot abvals" sheetId="10" r:id="rId7"/>
    <sheet name="Calc- Prosym Setup" sheetId="8" r:id="rId8"/>
    <sheet name="AvailableStates" sheetId="11" r:id="rId9"/>
    <sheet name="Output-Prosym Outage Rate File" sheetId="13" r:id="rId10"/>
    <sheet name="Outage Formulas" sheetId="15" r:id="rId11"/>
  </sheets>
  <definedNames>
    <definedName name="_xlnm._FilterDatabase" localSheetId="0" hidden="1">'INPUT-GADS DATA'!$A$1:$W$6421</definedName>
    <definedName name="Print_gross">#REF!</definedName>
    <definedName name="Print_net">#REF!</definedName>
  </definedNames>
  <calcPr calcId="162913"/>
  <pivotCaches>
    <pivotCache cacheId="6" r:id="rId12"/>
    <pivotCache cacheId="7" r:id="rId13"/>
  </pivotCaches>
</workbook>
</file>

<file path=xl/calcChain.xml><?xml version="1.0" encoding="utf-8"?>
<calcChain xmlns="http://schemas.openxmlformats.org/spreadsheetml/2006/main">
  <c r="AG10" i="17" l="1"/>
  <c r="I54" i="8"/>
  <c r="K54" i="8"/>
  <c r="S54" i="8"/>
  <c r="S57" i="8" s="1"/>
  <c r="C57" i="8"/>
  <c r="K57" i="8"/>
  <c r="I61" i="8"/>
  <c r="K61" i="8"/>
  <c r="S61" i="8"/>
  <c r="AA61" i="8"/>
  <c r="C64" i="8"/>
  <c r="K64" i="8"/>
  <c r="S64" i="8"/>
  <c r="AA54" i="8" l="1"/>
  <c r="AA64" i="8"/>
  <c r="AI61" i="8"/>
  <c r="BC4" i="9"/>
  <c r="BC5" i="9"/>
  <c r="BC6" i="9"/>
  <c r="BC7" i="9"/>
  <c r="AI64" i="8" l="1"/>
  <c r="AA57" i="8"/>
  <c r="AI54" i="8"/>
  <c r="AU27" i="9"/>
  <c r="AT27" i="9"/>
  <c r="AS27" i="9"/>
  <c r="AR27" i="9"/>
  <c r="AQ27" i="9"/>
  <c r="AP27" i="9"/>
  <c r="AO27" i="9"/>
  <c r="AN27" i="9"/>
  <c r="AM27" i="9"/>
  <c r="AL27" i="9"/>
  <c r="AI27" i="9"/>
  <c r="AH27" i="9"/>
  <c r="AG27" i="9"/>
  <c r="AF27" i="9"/>
  <c r="AE27" i="9"/>
  <c r="AD27" i="9"/>
  <c r="AC27" i="9"/>
  <c r="AB27" i="9"/>
  <c r="AA27" i="9"/>
  <c r="Z27" i="9"/>
  <c r="W27" i="9"/>
  <c r="V27" i="9"/>
  <c r="U27" i="9"/>
  <c r="T27" i="9"/>
  <c r="S27" i="9"/>
  <c r="R27" i="9"/>
  <c r="Q27" i="9"/>
  <c r="P27" i="9"/>
  <c r="O27" i="9"/>
  <c r="N27" i="9"/>
  <c r="K27" i="9"/>
  <c r="J27" i="9"/>
  <c r="I27" i="9"/>
  <c r="H27" i="9"/>
  <c r="G27" i="9"/>
  <c r="F27" i="9"/>
  <c r="E27" i="9"/>
  <c r="D27" i="9"/>
  <c r="C27" i="9"/>
  <c r="B27" i="9"/>
  <c r="AU26" i="9"/>
  <c r="AT26" i="9"/>
  <c r="AS26" i="9"/>
  <c r="AR26" i="9"/>
  <c r="AQ26" i="9"/>
  <c r="AI26" i="9"/>
  <c r="AH26" i="9"/>
  <c r="AG26" i="9"/>
  <c r="AF26" i="9"/>
  <c r="AE26" i="9"/>
  <c r="W26" i="9"/>
  <c r="V26" i="9"/>
  <c r="U26" i="9"/>
  <c r="T26" i="9"/>
  <c r="S26" i="9"/>
  <c r="K26" i="9"/>
  <c r="J26" i="9"/>
  <c r="I26" i="9"/>
  <c r="H26" i="9"/>
  <c r="G26" i="9"/>
  <c r="AU25" i="9"/>
  <c r="AT25" i="9"/>
  <c r="AS25" i="9"/>
  <c r="AR25" i="9"/>
  <c r="AQ25" i="9"/>
  <c r="AI25" i="9"/>
  <c r="AH25" i="9"/>
  <c r="AG25" i="9"/>
  <c r="AF25" i="9"/>
  <c r="AE25" i="9"/>
  <c r="W25" i="9"/>
  <c r="V25" i="9"/>
  <c r="U25" i="9"/>
  <c r="T25" i="9"/>
  <c r="S25" i="9"/>
  <c r="K25" i="9"/>
  <c r="J25" i="9"/>
  <c r="I25" i="9"/>
  <c r="H25" i="9"/>
  <c r="G25" i="9"/>
  <c r="AU23" i="9"/>
  <c r="AT23" i="9"/>
  <c r="AS23" i="9"/>
  <c r="AR23" i="9"/>
  <c r="AQ23" i="9"/>
  <c r="AP23" i="9"/>
  <c r="AO23" i="9"/>
  <c r="AN23" i="9"/>
  <c r="AM23" i="9"/>
  <c r="AL23" i="9"/>
  <c r="AI23" i="9"/>
  <c r="AH23" i="9"/>
  <c r="AG23" i="9"/>
  <c r="AF23" i="9"/>
  <c r="AE23" i="9"/>
  <c r="AD23" i="9"/>
  <c r="AC23" i="9"/>
  <c r="AB23" i="9"/>
  <c r="AA23" i="9"/>
  <c r="Z23" i="9"/>
  <c r="W23" i="9"/>
  <c r="V23" i="9"/>
  <c r="U23" i="9"/>
  <c r="T23" i="9"/>
  <c r="S23" i="9"/>
  <c r="K23" i="9"/>
  <c r="J23" i="9"/>
  <c r="I23" i="9"/>
  <c r="H23" i="9"/>
  <c r="G23" i="9"/>
  <c r="AU22" i="9"/>
  <c r="AT22" i="9"/>
  <c r="AS22" i="9"/>
  <c r="AR22" i="9"/>
  <c r="AQ22" i="9"/>
  <c r="AI22" i="9"/>
  <c r="AH22" i="9"/>
  <c r="AG22" i="9"/>
  <c r="AF22" i="9"/>
  <c r="AE22" i="9"/>
  <c r="W22" i="9"/>
  <c r="V22" i="9"/>
  <c r="U22" i="9"/>
  <c r="T22" i="9"/>
  <c r="S22" i="9"/>
  <c r="K22" i="9"/>
  <c r="J22" i="9"/>
  <c r="I22" i="9"/>
  <c r="H22" i="9"/>
  <c r="G22" i="9"/>
  <c r="AU21" i="9"/>
  <c r="AT21" i="9"/>
  <c r="AS21" i="9"/>
  <c r="AR21" i="9"/>
  <c r="AQ21" i="9"/>
  <c r="AI21" i="9"/>
  <c r="AH21" i="9"/>
  <c r="AG21" i="9"/>
  <c r="AF21" i="9"/>
  <c r="AE21" i="9"/>
  <c r="W21" i="9"/>
  <c r="V21" i="9"/>
  <c r="U21" i="9"/>
  <c r="T21" i="9"/>
  <c r="S21" i="9"/>
  <c r="K21" i="9"/>
  <c r="J21" i="9"/>
  <c r="I21" i="9"/>
  <c r="H21" i="9"/>
  <c r="G21" i="9"/>
  <c r="AU20" i="9"/>
  <c r="AT20" i="9"/>
  <c r="AS20" i="9"/>
  <c r="AR20" i="9"/>
  <c r="AQ20" i="9"/>
  <c r="AI20" i="9"/>
  <c r="AH20" i="9"/>
  <c r="AG20" i="9"/>
  <c r="AF20" i="9"/>
  <c r="AE20" i="9"/>
  <c r="W20" i="9"/>
  <c r="V20" i="9"/>
  <c r="U20" i="9"/>
  <c r="T20" i="9"/>
  <c r="S20" i="9"/>
  <c r="K20" i="9"/>
  <c r="J20" i="9"/>
  <c r="I20" i="9"/>
  <c r="H20" i="9"/>
  <c r="G20" i="9"/>
  <c r="AU19" i="9"/>
  <c r="AT19" i="9"/>
  <c r="AS19" i="9"/>
  <c r="AR19" i="9"/>
  <c r="AQ19" i="9"/>
  <c r="AI19" i="9"/>
  <c r="AH19" i="9"/>
  <c r="AG19" i="9"/>
  <c r="AF19" i="9"/>
  <c r="AE19" i="9"/>
  <c r="W19" i="9"/>
  <c r="V19" i="9"/>
  <c r="U19" i="9"/>
  <c r="T19" i="9"/>
  <c r="S19" i="9"/>
  <c r="K19" i="9"/>
  <c r="J19" i="9"/>
  <c r="I19" i="9"/>
  <c r="H19" i="9"/>
  <c r="G19" i="9"/>
  <c r="AU17" i="9"/>
  <c r="AT17" i="9"/>
  <c r="AS17" i="9"/>
  <c r="AR17" i="9"/>
  <c r="AQ17" i="9"/>
  <c r="AP17" i="9"/>
  <c r="AO17" i="9"/>
  <c r="AN17" i="9"/>
  <c r="AM17" i="9"/>
  <c r="AL17" i="9"/>
  <c r="AI17" i="9"/>
  <c r="AH17" i="9"/>
  <c r="AG17" i="9"/>
  <c r="AF17" i="9"/>
  <c r="AE17" i="9"/>
  <c r="AD17" i="9"/>
  <c r="AC17" i="9"/>
  <c r="AB17" i="9"/>
  <c r="AA17" i="9"/>
  <c r="Z17" i="9"/>
  <c r="W17" i="9"/>
  <c r="V17" i="9"/>
  <c r="U17" i="9"/>
  <c r="T17" i="9"/>
  <c r="S17" i="9"/>
  <c r="K17" i="9"/>
  <c r="J17" i="9"/>
  <c r="I17" i="9"/>
  <c r="H17" i="9"/>
  <c r="G17" i="9"/>
  <c r="AU16" i="9"/>
  <c r="AT16" i="9"/>
  <c r="AS16" i="9"/>
  <c r="AR16" i="9"/>
  <c r="AQ16" i="9"/>
  <c r="AI16" i="9"/>
  <c r="AH16" i="9"/>
  <c r="AG16" i="9"/>
  <c r="AF16" i="9"/>
  <c r="AE16" i="9"/>
  <c r="W16" i="9"/>
  <c r="V16" i="9"/>
  <c r="U16" i="9"/>
  <c r="T16" i="9"/>
  <c r="S16" i="9"/>
  <c r="K16" i="9"/>
  <c r="J16" i="9"/>
  <c r="I16" i="9"/>
  <c r="H16" i="9"/>
  <c r="G16" i="9"/>
  <c r="AU15" i="9"/>
  <c r="AT15" i="9"/>
  <c r="AS15" i="9"/>
  <c r="AR15" i="9"/>
  <c r="AQ15" i="9"/>
  <c r="AI15" i="9"/>
  <c r="AH15" i="9"/>
  <c r="AG15" i="9"/>
  <c r="AF15" i="9"/>
  <c r="AE15" i="9"/>
  <c r="W15" i="9"/>
  <c r="V15" i="9"/>
  <c r="U15" i="9"/>
  <c r="T15" i="9"/>
  <c r="S15" i="9"/>
  <c r="K15" i="9"/>
  <c r="J15" i="9"/>
  <c r="I15" i="9"/>
  <c r="H15" i="9"/>
  <c r="G15" i="9"/>
  <c r="AU13" i="9"/>
  <c r="AT13" i="9"/>
  <c r="AS13" i="9"/>
  <c r="AR13" i="9"/>
  <c r="AQ13" i="9"/>
  <c r="AP13" i="9"/>
  <c r="AO13" i="9"/>
  <c r="AN13" i="9"/>
  <c r="AM13" i="9"/>
  <c r="AL13" i="9"/>
  <c r="AI13" i="9"/>
  <c r="AH13" i="9"/>
  <c r="AG13" i="9"/>
  <c r="AF13" i="9"/>
  <c r="AE13" i="9"/>
  <c r="AD13" i="9"/>
  <c r="AC13" i="9"/>
  <c r="AB13" i="9"/>
  <c r="AA13" i="9"/>
  <c r="Z13" i="9"/>
  <c r="W13" i="9"/>
  <c r="V13" i="9"/>
  <c r="U13" i="9"/>
  <c r="T13" i="9"/>
  <c r="S13" i="9"/>
  <c r="K13" i="9"/>
  <c r="J13" i="9"/>
  <c r="I13" i="9"/>
  <c r="H13" i="9"/>
  <c r="G13" i="9"/>
  <c r="AU12" i="9"/>
  <c r="AT12" i="9"/>
  <c r="AS12" i="9"/>
  <c r="AR12" i="9"/>
  <c r="AQ12" i="9"/>
  <c r="AI12" i="9"/>
  <c r="AH12" i="9"/>
  <c r="AG12" i="9"/>
  <c r="AF12" i="9"/>
  <c r="AE12" i="9"/>
  <c r="W12" i="9"/>
  <c r="V12" i="9"/>
  <c r="U12" i="9"/>
  <c r="T12" i="9"/>
  <c r="S12" i="9"/>
  <c r="K12" i="9"/>
  <c r="J12" i="9"/>
  <c r="I12" i="9"/>
  <c r="H12" i="9"/>
  <c r="G12" i="9"/>
  <c r="AU11" i="9"/>
  <c r="AT11" i="9"/>
  <c r="AS11" i="9"/>
  <c r="AR11" i="9"/>
  <c r="AQ11" i="9"/>
  <c r="AI11" i="9"/>
  <c r="AH11" i="9"/>
  <c r="AG11" i="9"/>
  <c r="AF11" i="9"/>
  <c r="AE11" i="9"/>
  <c r="W11" i="9"/>
  <c r="V11" i="9"/>
  <c r="U11" i="9"/>
  <c r="T11" i="9"/>
  <c r="S11" i="9"/>
  <c r="K11" i="9"/>
  <c r="J11" i="9"/>
  <c r="I11" i="9"/>
  <c r="H11" i="9"/>
  <c r="G11" i="9"/>
  <c r="AU10" i="9"/>
  <c r="AT10" i="9"/>
  <c r="AS10" i="9"/>
  <c r="AR10" i="9"/>
  <c r="AQ10" i="9"/>
  <c r="AI10" i="9"/>
  <c r="AH10" i="9"/>
  <c r="AG10" i="9"/>
  <c r="AF10" i="9"/>
  <c r="AE10" i="9"/>
  <c r="W10" i="9"/>
  <c r="V10" i="9"/>
  <c r="U10" i="9"/>
  <c r="T10" i="9"/>
  <c r="S10" i="9"/>
  <c r="K10" i="9"/>
  <c r="J10" i="9"/>
  <c r="I10" i="9"/>
  <c r="H10" i="9"/>
  <c r="G10" i="9"/>
  <c r="A9" i="9"/>
  <c r="A14" i="9" s="1"/>
  <c r="A18" i="9" s="1"/>
  <c r="A24" i="9" s="1"/>
  <c r="A28" i="9" s="1"/>
  <c r="AU8" i="9"/>
  <c r="AT8" i="9"/>
  <c r="AS8" i="9"/>
  <c r="AR8" i="9"/>
  <c r="AQ8" i="9"/>
  <c r="AP8" i="9"/>
  <c r="AO8" i="9"/>
  <c r="AN8" i="9"/>
  <c r="AM8" i="9"/>
  <c r="AL8" i="9"/>
  <c r="AI8" i="9"/>
  <c r="AH8" i="9"/>
  <c r="AG8" i="9"/>
  <c r="AF8" i="9"/>
  <c r="AE8" i="9"/>
  <c r="AD8" i="9"/>
  <c r="AC8" i="9"/>
  <c r="AB8" i="9"/>
  <c r="AA8" i="9"/>
  <c r="Z8" i="9"/>
  <c r="W8" i="9"/>
  <c r="V8" i="9"/>
  <c r="U8" i="9"/>
  <c r="T8" i="9"/>
  <c r="S8" i="9"/>
  <c r="K8" i="9"/>
  <c r="J8" i="9"/>
  <c r="I8" i="9"/>
  <c r="H8" i="9"/>
  <c r="G8" i="9"/>
  <c r="AU7" i="9"/>
  <c r="AT7" i="9"/>
  <c r="AS7" i="9"/>
  <c r="AR7" i="9"/>
  <c r="AQ7" i="9"/>
  <c r="AI7" i="9"/>
  <c r="AH7" i="9"/>
  <c r="AG7" i="9"/>
  <c r="AF7" i="9"/>
  <c r="AE7" i="9"/>
  <c r="W7" i="9"/>
  <c r="V7" i="9"/>
  <c r="U7" i="9"/>
  <c r="T7" i="9"/>
  <c r="S7" i="9"/>
  <c r="K7" i="9"/>
  <c r="J7" i="9"/>
  <c r="I7" i="9"/>
  <c r="H7" i="9"/>
  <c r="G7" i="9"/>
  <c r="AU6" i="9"/>
  <c r="AT6" i="9"/>
  <c r="AS6" i="9"/>
  <c r="AR6" i="9"/>
  <c r="AQ6" i="9"/>
  <c r="AI6" i="9"/>
  <c r="AH6" i="9"/>
  <c r="AG6" i="9"/>
  <c r="AF6" i="9"/>
  <c r="AE6" i="9"/>
  <c r="W6" i="9"/>
  <c r="V6" i="9"/>
  <c r="U6" i="9"/>
  <c r="T6" i="9"/>
  <c r="S6" i="9"/>
  <c r="K6" i="9"/>
  <c r="J6" i="9"/>
  <c r="I6" i="9"/>
  <c r="H6" i="9"/>
  <c r="G6" i="9"/>
  <c r="AU5" i="9"/>
  <c r="AT5" i="9"/>
  <c r="AS5" i="9"/>
  <c r="AR5" i="9"/>
  <c r="AQ5" i="9"/>
  <c r="AI5" i="9"/>
  <c r="AH5" i="9"/>
  <c r="AG5" i="9"/>
  <c r="AF5" i="9"/>
  <c r="AE5" i="9"/>
  <c r="W5" i="9"/>
  <c r="V5" i="9"/>
  <c r="U5" i="9"/>
  <c r="T5" i="9"/>
  <c r="S5" i="9"/>
  <c r="K5" i="9"/>
  <c r="J5" i="9"/>
  <c r="I5" i="9"/>
  <c r="H5" i="9"/>
  <c r="G5" i="9"/>
  <c r="AU4" i="9"/>
  <c r="AT4" i="9"/>
  <c r="AS4" i="9"/>
  <c r="AR4" i="9"/>
  <c r="AQ4" i="9"/>
  <c r="AI4" i="9"/>
  <c r="AH4" i="9"/>
  <c r="AG4" i="9"/>
  <c r="AF4" i="9"/>
  <c r="AE4" i="9"/>
  <c r="W4" i="9"/>
  <c r="V4" i="9"/>
  <c r="U4" i="9"/>
  <c r="T4" i="9"/>
  <c r="S4" i="9"/>
  <c r="K4" i="9"/>
  <c r="J4" i="9"/>
  <c r="I4" i="9"/>
  <c r="H4" i="9"/>
  <c r="G4" i="9"/>
  <c r="AI57" i="8" l="1"/>
  <c r="L999" i="3"/>
  <c r="M999" i="3"/>
  <c r="N999" i="3"/>
  <c r="P999" i="3"/>
  <c r="Q999" i="3"/>
  <c r="R999" i="3"/>
  <c r="S999" i="3" s="1"/>
  <c r="T999" i="3" s="1"/>
  <c r="U999" i="3"/>
  <c r="V999" i="3" s="1"/>
  <c r="L1000" i="3"/>
  <c r="M1000" i="3"/>
  <c r="N1000" i="3"/>
  <c r="P1000" i="3"/>
  <c r="Q1000" i="3"/>
  <c r="R1000" i="3"/>
  <c r="S1000" i="3"/>
  <c r="T1000" i="3" s="1"/>
  <c r="U1000" i="3"/>
  <c r="V1000" i="3" s="1"/>
  <c r="L1001" i="3"/>
  <c r="M1001" i="3"/>
  <c r="N1001" i="3"/>
  <c r="P1001" i="3"/>
  <c r="Q1001" i="3"/>
  <c r="R1001" i="3"/>
  <c r="S1001" i="3" s="1"/>
  <c r="T1001" i="3" s="1"/>
  <c r="U1001" i="3"/>
  <c r="V1001" i="3" s="1"/>
  <c r="L1002" i="3"/>
  <c r="M1002" i="3"/>
  <c r="N1002" i="3"/>
  <c r="P1002" i="3"/>
  <c r="Q1002" i="3"/>
  <c r="R1002" i="3"/>
  <c r="S1002" i="3" s="1"/>
  <c r="T1002" i="3" s="1"/>
  <c r="U1002" i="3"/>
  <c r="V1002" i="3" s="1"/>
  <c r="L1003" i="3"/>
  <c r="M1003" i="3"/>
  <c r="N1003" i="3"/>
  <c r="P1003" i="3"/>
  <c r="Q1003" i="3"/>
  <c r="R1003" i="3"/>
  <c r="S1003" i="3" s="1"/>
  <c r="T1003" i="3" s="1"/>
  <c r="U1003" i="3"/>
  <c r="V1003" i="3" s="1"/>
  <c r="L1004" i="3"/>
  <c r="M1004" i="3"/>
  <c r="N1004" i="3"/>
  <c r="P1004" i="3"/>
  <c r="Q1004" i="3"/>
  <c r="R1004" i="3"/>
  <c r="S1004" i="3" s="1"/>
  <c r="T1004" i="3" s="1"/>
  <c r="U1004" i="3"/>
  <c r="V1004" i="3" s="1"/>
  <c r="L1005" i="3"/>
  <c r="M1005" i="3"/>
  <c r="N1005" i="3"/>
  <c r="P1005" i="3"/>
  <c r="Q1005" i="3"/>
  <c r="R1005" i="3"/>
  <c r="S1005" i="3" s="1"/>
  <c r="T1005" i="3" s="1"/>
  <c r="U1005" i="3"/>
  <c r="V1005" i="3" s="1"/>
  <c r="L1006" i="3"/>
  <c r="M1006" i="3"/>
  <c r="N1006" i="3"/>
  <c r="P1006" i="3"/>
  <c r="Q1006" i="3"/>
  <c r="R1006" i="3"/>
  <c r="S1006" i="3" s="1"/>
  <c r="T1006" i="3" s="1"/>
  <c r="U1006" i="3"/>
  <c r="V1006" i="3" s="1"/>
  <c r="L1007" i="3"/>
  <c r="M1007" i="3"/>
  <c r="N1007" i="3"/>
  <c r="P1007" i="3"/>
  <c r="Q1007" i="3"/>
  <c r="R1007" i="3"/>
  <c r="S1007" i="3" s="1"/>
  <c r="T1007" i="3" s="1"/>
  <c r="U1007" i="3"/>
  <c r="V1007" i="3" s="1"/>
  <c r="L1008" i="3"/>
  <c r="M1008" i="3"/>
  <c r="N1008" i="3"/>
  <c r="P1008" i="3"/>
  <c r="Q1008" i="3"/>
  <c r="R1008" i="3"/>
  <c r="S1008" i="3" s="1"/>
  <c r="T1008" i="3" s="1"/>
  <c r="U1008" i="3"/>
  <c r="V1008" i="3" s="1"/>
  <c r="L1009" i="3"/>
  <c r="M1009" i="3"/>
  <c r="N1009" i="3"/>
  <c r="P1009" i="3"/>
  <c r="Q1009" i="3"/>
  <c r="R1009" i="3"/>
  <c r="S1009" i="3" s="1"/>
  <c r="T1009" i="3" s="1"/>
  <c r="U1009" i="3"/>
  <c r="V1009" i="3" s="1"/>
  <c r="L1010" i="3"/>
  <c r="M1010" i="3"/>
  <c r="N1010" i="3"/>
  <c r="P1010" i="3"/>
  <c r="Q1010" i="3"/>
  <c r="R1010" i="3"/>
  <c r="S1010" i="3" s="1"/>
  <c r="T1010" i="3" s="1"/>
  <c r="U1010" i="3"/>
  <c r="V1010" i="3" s="1"/>
  <c r="L1011" i="3"/>
  <c r="M1011" i="3"/>
  <c r="N1011" i="3"/>
  <c r="P1011" i="3"/>
  <c r="Q1011" i="3"/>
  <c r="R1011" i="3"/>
  <c r="S1011" i="3" s="1"/>
  <c r="T1011" i="3" s="1"/>
  <c r="U1011" i="3"/>
  <c r="V1011" i="3" s="1"/>
  <c r="L1012" i="3"/>
  <c r="M1012" i="3"/>
  <c r="N1012" i="3"/>
  <c r="P1012" i="3"/>
  <c r="Q1012" i="3"/>
  <c r="R1012" i="3"/>
  <c r="S1012" i="3" s="1"/>
  <c r="T1012" i="3" s="1"/>
  <c r="U1012" i="3"/>
  <c r="V1012" i="3" s="1"/>
  <c r="L1013" i="3"/>
  <c r="M1013" i="3"/>
  <c r="N1013" i="3"/>
  <c r="P1013" i="3"/>
  <c r="Q1013" i="3"/>
  <c r="R1013" i="3"/>
  <c r="S1013" i="3" s="1"/>
  <c r="T1013" i="3" s="1"/>
  <c r="U1013" i="3"/>
  <c r="V1013" i="3" s="1"/>
  <c r="L1014" i="3"/>
  <c r="M1014" i="3"/>
  <c r="N1014" i="3"/>
  <c r="P1014" i="3"/>
  <c r="Q1014" i="3"/>
  <c r="R1014" i="3"/>
  <c r="S1014" i="3" s="1"/>
  <c r="T1014" i="3" s="1"/>
  <c r="U1014" i="3"/>
  <c r="V1014" i="3" s="1"/>
  <c r="L1015" i="3"/>
  <c r="M1015" i="3"/>
  <c r="N1015" i="3"/>
  <c r="P1015" i="3"/>
  <c r="Q1015" i="3"/>
  <c r="R1015" i="3"/>
  <c r="S1015" i="3" s="1"/>
  <c r="T1015" i="3" s="1"/>
  <c r="U1015" i="3"/>
  <c r="V1015" i="3" s="1"/>
  <c r="L1016" i="3"/>
  <c r="M1016" i="3"/>
  <c r="N1016" i="3"/>
  <c r="P1016" i="3"/>
  <c r="Q1016" i="3"/>
  <c r="R1016" i="3"/>
  <c r="S1016" i="3" s="1"/>
  <c r="T1016" i="3" s="1"/>
  <c r="U1016" i="3"/>
  <c r="V1016" i="3" s="1"/>
  <c r="L1017" i="3"/>
  <c r="M1017" i="3"/>
  <c r="N1017" i="3"/>
  <c r="P1017" i="3"/>
  <c r="Q1017" i="3"/>
  <c r="R1017" i="3"/>
  <c r="S1017" i="3" s="1"/>
  <c r="T1017" i="3" s="1"/>
  <c r="U1017" i="3"/>
  <c r="V1017" i="3" s="1"/>
  <c r="L1018" i="3"/>
  <c r="M1018" i="3"/>
  <c r="N1018" i="3"/>
  <c r="P1018" i="3"/>
  <c r="Q1018" i="3"/>
  <c r="R1018" i="3"/>
  <c r="S1018" i="3" s="1"/>
  <c r="T1018" i="3" s="1"/>
  <c r="U1018" i="3"/>
  <c r="V1018" i="3" s="1"/>
  <c r="L1019" i="3"/>
  <c r="M1019" i="3"/>
  <c r="N1019" i="3"/>
  <c r="P1019" i="3"/>
  <c r="Q1019" i="3"/>
  <c r="R1019" i="3"/>
  <c r="S1019" i="3" s="1"/>
  <c r="T1019" i="3" s="1"/>
  <c r="U1019" i="3"/>
  <c r="V1019" i="3" s="1"/>
  <c r="L1020" i="3"/>
  <c r="M1020" i="3"/>
  <c r="N1020" i="3"/>
  <c r="P1020" i="3"/>
  <c r="Q1020" i="3"/>
  <c r="R1020" i="3"/>
  <c r="S1020" i="3" s="1"/>
  <c r="T1020" i="3" s="1"/>
  <c r="U1020" i="3"/>
  <c r="V1020" i="3" s="1"/>
  <c r="L1021" i="3"/>
  <c r="M1021" i="3"/>
  <c r="N1021" i="3"/>
  <c r="P1021" i="3"/>
  <c r="Q1021" i="3"/>
  <c r="R1021" i="3"/>
  <c r="S1021" i="3" s="1"/>
  <c r="T1021" i="3" s="1"/>
  <c r="U1021" i="3"/>
  <c r="V1021" i="3" s="1"/>
  <c r="L1022" i="3"/>
  <c r="M1022" i="3"/>
  <c r="N1022" i="3"/>
  <c r="P1022" i="3"/>
  <c r="Q1022" i="3"/>
  <c r="R1022" i="3"/>
  <c r="S1022" i="3" s="1"/>
  <c r="T1022" i="3" s="1"/>
  <c r="U1022" i="3"/>
  <c r="V1022" i="3" s="1"/>
  <c r="L1023" i="3"/>
  <c r="M1023" i="3"/>
  <c r="N1023" i="3"/>
  <c r="P1023" i="3"/>
  <c r="Q1023" i="3"/>
  <c r="R1023" i="3"/>
  <c r="S1023" i="3" s="1"/>
  <c r="T1023" i="3" s="1"/>
  <c r="U1023" i="3"/>
  <c r="V1023" i="3"/>
  <c r="L1024" i="3"/>
  <c r="M1024" i="3"/>
  <c r="N1024" i="3"/>
  <c r="P1024" i="3"/>
  <c r="Q1024" i="3"/>
  <c r="R1024" i="3"/>
  <c r="S1024" i="3" s="1"/>
  <c r="T1024" i="3" s="1"/>
  <c r="U1024" i="3"/>
  <c r="V1024" i="3" s="1"/>
  <c r="L1025" i="3"/>
  <c r="M1025" i="3"/>
  <c r="N1025" i="3"/>
  <c r="P1025" i="3"/>
  <c r="Q1025" i="3"/>
  <c r="R1025" i="3"/>
  <c r="S1025" i="3" s="1"/>
  <c r="T1025" i="3" s="1"/>
  <c r="U1025" i="3"/>
  <c r="V1025" i="3" s="1"/>
  <c r="L1026" i="3"/>
  <c r="M1026" i="3"/>
  <c r="N1026" i="3"/>
  <c r="P1026" i="3"/>
  <c r="Q1026" i="3"/>
  <c r="R1026" i="3"/>
  <c r="S1026" i="3" s="1"/>
  <c r="T1026" i="3" s="1"/>
  <c r="U1026" i="3"/>
  <c r="V1026" i="3" s="1"/>
  <c r="L1027" i="3"/>
  <c r="M1027" i="3"/>
  <c r="N1027" i="3"/>
  <c r="P1027" i="3"/>
  <c r="Q1027" i="3"/>
  <c r="R1027" i="3"/>
  <c r="S1027" i="3" s="1"/>
  <c r="T1027" i="3" s="1"/>
  <c r="U1027" i="3"/>
  <c r="V1027" i="3" s="1"/>
  <c r="L1028" i="3"/>
  <c r="M1028" i="3"/>
  <c r="N1028" i="3"/>
  <c r="P1028" i="3"/>
  <c r="Q1028" i="3"/>
  <c r="R1028" i="3"/>
  <c r="S1028" i="3"/>
  <c r="T1028" i="3" s="1"/>
  <c r="U1028" i="3"/>
  <c r="V1028" i="3" s="1"/>
  <c r="L1029" i="3"/>
  <c r="M1029" i="3"/>
  <c r="N1029" i="3"/>
  <c r="P1029" i="3"/>
  <c r="Q1029" i="3"/>
  <c r="R1029" i="3"/>
  <c r="S1029" i="3" s="1"/>
  <c r="T1029" i="3" s="1"/>
  <c r="U1029" i="3"/>
  <c r="V1029" i="3" s="1"/>
  <c r="L1030" i="3"/>
  <c r="M1030" i="3"/>
  <c r="N1030" i="3"/>
  <c r="P1030" i="3"/>
  <c r="Q1030" i="3"/>
  <c r="R1030" i="3"/>
  <c r="S1030" i="3" s="1"/>
  <c r="T1030" i="3" s="1"/>
  <c r="U1030" i="3"/>
  <c r="V1030" i="3" s="1"/>
  <c r="L1031" i="3"/>
  <c r="M1031" i="3"/>
  <c r="N1031" i="3"/>
  <c r="P1031" i="3"/>
  <c r="Q1031" i="3"/>
  <c r="R1031" i="3"/>
  <c r="S1031" i="3" s="1"/>
  <c r="T1031" i="3" s="1"/>
  <c r="U1031" i="3"/>
  <c r="V1031" i="3" s="1"/>
  <c r="L1032" i="3"/>
  <c r="M1032" i="3"/>
  <c r="N1032" i="3"/>
  <c r="P1032" i="3"/>
  <c r="Q1032" i="3"/>
  <c r="R1032" i="3"/>
  <c r="S1032" i="3" s="1"/>
  <c r="T1032" i="3" s="1"/>
  <c r="U1032" i="3"/>
  <c r="V1032" i="3" s="1"/>
  <c r="L1033" i="3"/>
  <c r="M1033" i="3"/>
  <c r="N1033" i="3"/>
  <c r="P1033" i="3"/>
  <c r="Q1033" i="3"/>
  <c r="R1033" i="3"/>
  <c r="S1033" i="3" s="1"/>
  <c r="T1033" i="3" s="1"/>
  <c r="U1033" i="3"/>
  <c r="V1033" i="3" s="1"/>
  <c r="L1034" i="3"/>
  <c r="M1034" i="3"/>
  <c r="N1034" i="3"/>
  <c r="P1034" i="3"/>
  <c r="Q1034" i="3"/>
  <c r="R1034" i="3"/>
  <c r="S1034" i="3" s="1"/>
  <c r="T1034" i="3" s="1"/>
  <c r="U1034" i="3"/>
  <c r="V1034" i="3" s="1"/>
  <c r="L1035" i="3"/>
  <c r="M1035" i="3"/>
  <c r="N1035" i="3"/>
  <c r="P1035" i="3"/>
  <c r="Q1035" i="3"/>
  <c r="R1035" i="3"/>
  <c r="S1035" i="3" s="1"/>
  <c r="T1035" i="3" s="1"/>
  <c r="U1035" i="3"/>
  <c r="V1035" i="3"/>
  <c r="L1036" i="3"/>
  <c r="M1036" i="3"/>
  <c r="N1036" i="3"/>
  <c r="P1036" i="3"/>
  <c r="Q1036" i="3"/>
  <c r="R1036" i="3"/>
  <c r="S1036" i="3" s="1"/>
  <c r="T1036" i="3" s="1"/>
  <c r="U1036" i="3"/>
  <c r="V1036" i="3" s="1"/>
  <c r="L1037" i="3"/>
  <c r="M1037" i="3"/>
  <c r="N1037" i="3"/>
  <c r="P1037" i="3"/>
  <c r="Q1037" i="3"/>
  <c r="R1037" i="3"/>
  <c r="S1037" i="3" s="1"/>
  <c r="T1037" i="3" s="1"/>
  <c r="U1037" i="3"/>
  <c r="V1037" i="3" s="1"/>
  <c r="L1038" i="3"/>
  <c r="M1038" i="3"/>
  <c r="N1038" i="3"/>
  <c r="P1038" i="3"/>
  <c r="Q1038" i="3"/>
  <c r="R1038" i="3"/>
  <c r="S1038" i="3" s="1"/>
  <c r="T1038" i="3" s="1"/>
  <c r="U1038" i="3"/>
  <c r="V1038" i="3" s="1"/>
  <c r="L1039" i="3"/>
  <c r="M1039" i="3"/>
  <c r="N1039" i="3"/>
  <c r="P1039" i="3"/>
  <c r="Q1039" i="3"/>
  <c r="R1039" i="3"/>
  <c r="S1039" i="3" s="1"/>
  <c r="T1039" i="3" s="1"/>
  <c r="U1039" i="3"/>
  <c r="V1039" i="3" s="1"/>
  <c r="L1040" i="3"/>
  <c r="M1040" i="3"/>
  <c r="N1040" i="3"/>
  <c r="P1040" i="3"/>
  <c r="Q1040" i="3"/>
  <c r="R1040" i="3"/>
  <c r="S1040" i="3" s="1"/>
  <c r="T1040" i="3" s="1"/>
  <c r="U1040" i="3"/>
  <c r="V1040" i="3" s="1"/>
  <c r="L1041" i="3"/>
  <c r="M1041" i="3"/>
  <c r="N1041" i="3"/>
  <c r="P1041" i="3"/>
  <c r="Q1041" i="3"/>
  <c r="R1041" i="3"/>
  <c r="S1041" i="3" s="1"/>
  <c r="T1041" i="3" s="1"/>
  <c r="U1041" i="3"/>
  <c r="V1041" i="3" s="1"/>
  <c r="L1042" i="3"/>
  <c r="M1042" i="3"/>
  <c r="N1042" i="3"/>
  <c r="P1042" i="3"/>
  <c r="Q1042" i="3"/>
  <c r="R1042" i="3"/>
  <c r="S1042" i="3" s="1"/>
  <c r="T1042" i="3" s="1"/>
  <c r="U1042" i="3"/>
  <c r="V1042" i="3" s="1"/>
  <c r="L1043" i="3"/>
  <c r="M1043" i="3"/>
  <c r="N1043" i="3"/>
  <c r="P1043" i="3"/>
  <c r="Q1043" i="3"/>
  <c r="R1043" i="3"/>
  <c r="S1043" i="3" s="1"/>
  <c r="T1043" i="3" s="1"/>
  <c r="U1043" i="3"/>
  <c r="V1043" i="3" s="1"/>
  <c r="L1044" i="3"/>
  <c r="M1044" i="3"/>
  <c r="N1044" i="3"/>
  <c r="P1044" i="3"/>
  <c r="Q1044" i="3"/>
  <c r="R1044" i="3"/>
  <c r="S1044" i="3" s="1"/>
  <c r="T1044" i="3" s="1"/>
  <c r="U1044" i="3"/>
  <c r="V1044" i="3" s="1"/>
  <c r="L1045" i="3"/>
  <c r="M1045" i="3"/>
  <c r="N1045" i="3"/>
  <c r="P1045" i="3"/>
  <c r="Q1045" i="3"/>
  <c r="R1045" i="3"/>
  <c r="S1045" i="3" s="1"/>
  <c r="T1045" i="3" s="1"/>
  <c r="U1045" i="3"/>
  <c r="V1045" i="3" s="1"/>
  <c r="L1046" i="3"/>
  <c r="M1046" i="3"/>
  <c r="N1046" i="3"/>
  <c r="P1046" i="3"/>
  <c r="Q1046" i="3"/>
  <c r="R1046" i="3"/>
  <c r="S1046" i="3" s="1"/>
  <c r="T1046" i="3" s="1"/>
  <c r="U1046" i="3"/>
  <c r="V1046" i="3" s="1"/>
  <c r="L1047" i="3"/>
  <c r="M1047" i="3"/>
  <c r="N1047" i="3"/>
  <c r="P1047" i="3"/>
  <c r="Q1047" i="3"/>
  <c r="R1047" i="3"/>
  <c r="S1047" i="3" s="1"/>
  <c r="T1047" i="3" s="1"/>
  <c r="U1047" i="3"/>
  <c r="V1047" i="3" s="1"/>
  <c r="L1048" i="3"/>
  <c r="M1048" i="3"/>
  <c r="N1048" i="3"/>
  <c r="P1048" i="3"/>
  <c r="Q1048" i="3"/>
  <c r="R1048" i="3"/>
  <c r="S1048" i="3" s="1"/>
  <c r="T1048" i="3" s="1"/>
  <c r="U1048" i="3"/>
  <c r="V1048" i="3" s="1"/>
  <c r="L1049" i="3"/>
  <c r="M1049" i="3"/>
  <c r="N1049" i="3"/>
  <c r="P1049" i="3"/>
  <c r="Q1049" i="3"/>
  <c r="R1049" i="3"/>
  <c r="S1049" i="3" s="1"/>
  <c r="T1049" i="3" s="1"/>
  <c r="U1049" i="3"/>
  <c r="V1049" i="3" s="1"/>
  <c r="L1050" i="3"/>
  <c r="M1050" i="3"/>
  <c r="N1050" i="3"/>
  <c r="P1050" i="3"/>
  <c r="Q1050" i="3"/>
  <c r="R1050" i="3"/>
  <c r="S1050" i="3" s="1"/>
  <c r="T1050" i="3" s="1"/>
  <c r="U1050" i="3"/>
  <c r="V1050" i="3" s="1"/>
  <c r="L1051" i="3"/>
  <c r="M1051" i="3"/>
  <c r="N1051" i="3"/>
  <c r="P1051" i="3"/>
  <c r="Q1051" i="3"/>
  <c r="R1051" i="3"/>
  <c r="S1051" i="3" s="1"/>
  <c r="T1051" i="3" s="1"/>
  <c r="U1051" i="3"/>
  <c r="V1051" i="3" s="1"/>
  <c r="L1052" i="3"/>
  <c r="M1052" i="3"/>
  <c r="N1052" i="3"/>
  <c r="P1052" i="3"/>
  <c r="Q1052" i="3"/>
  <c r="R1052" i="3"/>
  <c r="S1052" i="3" s="1"/>
  <c r="T1052" i="3" s="1"/>
  <c r="U1052" i="3"/>
  <c r="V1052" i="3" s="1"/>
  <c r="L1053" i="3"/>
  <c r="M1053" i="3"/>
  <c r="N1053" i="3"/>
  <c r="P1053" i="3"/>
  <c r="Q1053" i="3"/>
  <c r="R1053" i="3"/>
  <c r="S1053" i="3" s="1"/>
  <c r="T1053" i="3" s="1"/>
  <c r="U1053" i="3"/>
  <c r="V1053" i="3" s="1"/>
  <c r="L1054" i="3"/>
  <c r="M1054" i="3"/>
  <c r="N1054" i="3"/>
  <c r="P1054" i="3"/>
  <c r="Q1054" i="3"/>
  <c r="R1054" i="3"/>
  <c r="S1054" i="3" s="1"/>
  <c r="T1054" i="3" s="1"/>
  <c r="U1054" i="3"/>
  <c r="V1054" i="3" s="1"/>
  <c r="L1055" i="3"/>
  <c r="M1055" i="3"/>
  <c r="N1055" i="3"/>
  <c r="P1055" i="3"/>
  <c r="Q1055" i="3"/>
  <c r="R1055" i="3"/>
  <c r="S1055" i="3" s="1"/>
  <c r="T1055" i="3" s="1"/>
  <c r="U1055" i="3"/>
  <c r="V1055" i="3" s="1"/>
  <c r="L1056" i="3"/>
  <c r="M1056" i="3"/>
  <c r="N1056" i="3"/>
  <c r="P1056" i="3"/>
  <c r="Q1056" i="3"/>
  <c r="R1056" i="3"/>
  <c r="S1056" i="3" s="1"/>
  <c r="T1056" i="3" s="1"/>
  <c r="U1056" i="3"/>
  <c r="V1056" i="3" s="1"/>
  <c r="L1057" i="3"/>
  <c r="M1057" i="3"/>
  <c r="N1057" i="3"/>
  <c r="P1057" i="3"/>
  <c r="Q1057" i="3"/>
  <c r="R1057" i="3"/>
  <c r="S1057" i="3" s="1"/>
  <c r="T1057" i="3" s="1"/>
  <c r="U1057" i="3"/>
  <c r="V1057" i="3" s="1"/>
  <c r="L1058" i="3"/>
  <c r="M1058" i="3"/>
  <c r="N1058" i="3"/>
  <c r="P1058" i="3"/>
  <c r="Q1058" i="3"/>
  <c r="R1058" i="3"/>
  <c r="S1058" i="3" s="1"/>
  <c r="T1058" i="3" s="1"/>
  <c r="U1058" i="3"/>
  <c r="V1058" i="3" s="1"/>
  <c r="L1059" i="3"/>
  <c r="M1059" i="3"/>
  <c r="N1059" i="3"/>
  <c r="P1059" i="3"/>
  <c r="Q1059" i="3"/>
  <c r="R1059" i="3"/>
  <c r="S1059" i="3" s="1"/>
  <c r="T1059" i="3" s="1"/>
  <c r="U1059" i="3"/>
  <c r="V1059" i="3" s="1"/>
  <c r="L1060" i="3"/>
  <c r="M1060" i="3"/>
  <c r="N1060" i="3"/>
  <c r="P1060" i="3"/>
  <c r="Q1060" i="3"/>
  <c r="R1060" i="3"/>
  <c r="S1060" i="3" s="1"/>
  <c r="T1060" i="3" s="1"/>
  <c r="U1060" i="3"/>
  <c r="V1060" i="3" s="1"/>
  <c r="L1061" i="3"/>
  <c r="M1061" i="3"/>
  <c r="N1061" i="3"/>
  <c r="P1061" i="3"/>
  <c r="Q1061" i="3"/>
  <c r="R1061" i="3"/>
  <c r="S1061" i="3" s="1"/>
  <c r="T1061" i="3" s="1"/>
  <c r="U1061" i="3"/>
  <c r="V1061" i="3" s="1"/>
  <c r="L1062" i="3"/>
  <c r="M1062" i="3"/>
  <c r="N1062" i="3"/>
  <c r="P1062" i="3"/>
  <c r="Q1062" i="3"/>
  <c r="R1062" i="3"/>
  <c r="S1062" i="3" s="1"/>
  <c r="T1062" i="3" s="1"/>
  <c r="U1062" i="3"/>
  <c r="V1062" i="3" s="1"/>
  <c r="L1063" i="3"/>
  <c r="M1063" i="3"/>
  <c r="N1063" i="3"/>
  <c r="P1063" i="3"/>
  <c r="Q1063" i="3"/>
  <c r="R1063" i="3"/>
  <c r="S1063" i="3" s="1"/>
  <c r="T1063" i="3" s="1"/>
  <c r="U1063" i="3"/>
  <c r="V1063" i="3" s="1"/>
  <c r="L1064" i="3"/>
  <c r="M1064" i="3"/>
  <c r="N1064" i="3"/>
  <c r="P1064" i="3"/>
  <c r="Q1064" i="3"/>
  <c r="R1064" i="3"/>
  <c r="S1064" i="3" s="1"/>
  <c r="T1064" i="3" s="1"/>
  <c r="U1064" i="3"/>
  <c r="V1064" i="3" s="1"/>
  <c r="L1065" i="3"/>
  <c r="M1065" i="3"/>
  <c r="N1065" i="3"/>
  <c r="P1065" i="3"/>
  <c r="Q1065" i="3"/>
  <c r="R1065" i="3"/>
  <c r="S1065" i="3" s="1"/>
  <c r="T1065" i="3" s="1"/>
  <c r="U1065" i="3"/>
  <c r="V1065" i="3" s="1"/>
  <c r="L1066" i="3"/>
  <c r="M1066" i="3"/>
  <c r="N1066" i="3"/>
  <c r="P1066" i="3"/>
  <c r="Q1066" i="3"/>
  <c r="R1066" i="3"/>
  <c r="S1066" i="3" s="1"/>
  <c r="T1066" i="3" s="1"/>
  <c r="U1066" i="3"/>
  <c r="V1066" i="3" s="1"/>
  <c r="L1067" i="3"/>
  <c r="M1067" i="3"/>
  <c r="N1067" i="3"/>
  <c r="P1067" i="3"/>
  <c r="Q1067" i="3"/>
  <c r="R1067" i="3"/>
  <c r="S1067" i="3" s="1"/>
  <c r="T1067" i="3" s="1"/>
  <c r="U1067" i="3"/>
  <c r="V1067" i="3" s="1"/>
  <c r="L1068" i="3"/>
  <c r="M1068" i="3"/>
  <c r="N1068" i="3"/>
  <c r="P1068" i="3"/>
  <c r="Q1068" i="3"/>
  <c r="R1068" i="3"/>
  <c r="S1068" i="3" s="1"/>
  <c r="T1068" i="3" s="1"/>
  <c r="U1068" i="3"/>
  <c r="V1068" i="3" s="1"/>
  <c r="L1069" i="3"/>
  <c r="M1069" i="3"/>
  <c r="N1069" i="3"/>
  <c r="P1069" i="3"/>
  <c r="Q1069" i="3"/>
  <c r="R1069" i="3"/>
  <c r="S1069" i="3" s="1"/>
  <c r="T1069" i="3" s="1"/>
  <c r="U1069" i="3"/>
  <c r="V1069" i="3" s="1"/>
  <c r="L1070" i="3"/>
  <c r="M1070" i="3"/>
  <c r="N1070" i="3"/>
  <c r="P1070" i="3"/>
  <c r="Q1070" i="3"/>
  <c r="R1070" i="3"/>
  <c r="S1070" i="3" s="1"/>
  <c r="T1070" i="3" s="1"/>
  <c r="U1070" i="3"/>
  <c r="V1070" i="3" s="1"/>
  <c r="L1071" i="3"/>
  <c r="M1071" i="3"/>
  <c r="N1071" i="3"/>
  <c r="P1071" i="3"/>
  <c r="Q1071" i="3"/>
  <c r="R1071" i="3"/>
  <c r="S1071" i="3" s="1"/>
  <c r="T1071" i="3" s="1"/>
  <c r="U1071" i="3"/>
  <c r="V1071" i="3" s="1"/>
  <c r="L1072" i="3"/>
  <c r="M1072" i="3"/>
  <c r="N1072" i="3"/>
  <c r="P1072" i="3"/>
  <c r="Q1072" i="3"/>
  <c r="R1072" i="3"/>
  <c r="S1072" i="3" s="1"/>
  <c r="T1072" i="3" s="1"/>
  <c r="U1072" i="3"/>
  <c r="V1072" i="3" s="1"/>
  <c r="L1073" i="3"/>
  <c r="M1073" i="3"/>
  <c r="N1073" i="3"/>
  <c r="P1073" i="3"/>
  <c r="Q1073" i="3"/>
  <c r="R1073" i="3"/>
  <c r="S1073" i="3" s="1"/>
  <c r="T1073" i="3" s="1"/>
  <c r="U1073" i="3"/>
  <c r="V1073" i="3" s="1"/>
  <c r="L1074" i="3"/>
  <c r="M1074" i="3"/>
  <c r="N1074" i="3"/>
  <c r="P1074" i="3"/>
  <c r="Q1074" i="3"/>
  <c r="R1074" i="3"/>
  <c r="S1074" i="3" s="1"/>
  <c r="T1074" i="3" s="1"/>
  <c r="U1074" i="3"/>
  <c r="V1074" i="3" s="1"/>
  <c r="L1075" i="3"/>
  <c r="M1075" i="3"/>
  <c r="N1075" i="3"/>
  <c r="P1075" i="3"/>
  <c r="Q1075" i="3"/>
  <c r="R1075" i="3"/>
  <c r="S1075" i="3" s="1"/>
  <c r="T1075" i="3" s="1"/>
  <c r="U1075" i="3"/>
  <c r="V1075" i="3" s="1"/>
  <c r="L1076" i="3"/>
  <c r="M1076" i="3"/>
  <c r="N1076" i="3"/>
  <c r="P1076" i="3"/>
  <c r="Q1076" i="3"/>
  <c r="R1076" i="3"/>
  <c r="S1076" i="3" s="1"/>
  <c r="T1076" i="3" s="1"/>
  <c r="U1076" i="3"/>
  <c r="V1076" i="3" s="1"/>
  <c r="L1077" i="3"/>
  <c r="M1077" i="3"/>
  <c r="N1077" i="3"/>
  <c r="P1077" i="3"/>
  <c r="Q1077" i="3"/>
  <c r="R1077" i="3"/>
  <c r="S1077" i="3" s="1"/>
  <c r="T1077" i="3" s="1"/>
  <c r="U1077" i="3"/>
  <c r="V1077" i="3" s="1"/>
  <c r="L1078" i="3"/>
  <c r="M1078" i="3"/>
  <c r="N1078" i="3"/>
  <c r="P1078" i="3"/>
  <c r="Q1078" i="3"/>
  <c r="R1078" i="3"/>
  <c r="S1078" i="3" s="1"/>
  <c r="T1078" i="3" s="1"/>
  <c r="U1078" i="3"/>
  <c r="V1078" i="3" s="1"/>
  <c r="L1079" i="3"/>
  <c r="M1079" i="3"/>
  <c r="N1079" i="3"/>
  <c r="P1079" i="3"/>
  <c r="Q1079" i="3"/>
  <c r="R1079" i="3"/>
  <c r="S1079" i="3" s="1"/>
  <c r="T1079" i="3" s="1"/>
  <c r="U1079" i="3"/>
  <c r="V1079" i="3" s="1"/>
  <c r="L1080" i="3"/>
  <c r="M1080" i="3"/>
  <c r="N1080" i="3"/>
  <c r="P1080" i="3"/>
  <c r="Q1080" i="3"/>
  <c r="R1080" i="3"/>
  <c r="S1080" i="3" s="1"/>
  <c r="T1080" i="3" s="1"/>
  <c r="U1080" i="3"/>
  <c r="V1080" i="3" s="1"/>
  <c r="L1081" i="3"/>
  <c r="M1081" i="3"/>
  <c r="N1081" i="3"/>
  <c r="P1081" i="3"/>
  <c r="Q1081" i="3"/>
  <c r="R1081" i="3"/>
  <c r="S1081" i="3" s="1"/>
  <c r="T1081" i="3" s="1"/>
  <c r="U1081" i="3"/>
  <c r="V1081" i="3" s="1"/>
  <c r="L1082" i="3"/>
  <c r="M1082" i="3"/>
  <c r="N1082" i="3"/>
  <c r="P1082" i="3"/>
  <c r="Q1082" i="3"/>
  <c r="R1082" i="3"/>
  <c r="S1082" i="3" s="1"/>
  <c r="T1082" i="3" s="1"/>
  <c r="U1082" i="3"/>
  <c r="V1082" i="3" s="1"/>
  <c r="L1083" i="3"/>
  <c r="M1083" i="3"/>
  <c r="N1083" i="3"/>
  <c r="P1083" i="3"/>
  <c r="Q1083" i="3"/>
  <c r="R1083" i="3"/>
  <c r="S1083" i="3" s="1"/>
  <c r="T1083" i="3" s="1"/>
  <c r="U1083" i="3"/>
  <c r="V1083" i="3" s="1"/>
  <c r="L1084" i="3"/>
  <c r="M1084" i="3"/>
  <c r="N1084" i="3"/>
  <c r="P1084" i="3"/>
  <c r="Q1084" i="3"/>
  <c r="R1084" i="3"/>
  <c r="S1084" i="3" s="1"/>
  <c r="T1084" i="3" s="1"/>
  <c r="U1084" i="3"/>
  <c r="V1084" i="3" s="1"/>
  <c r="L1085" i="3"/>
  <c r="M1085" i="3"/>
  <c r="N1085" i="3"/>
  <c r="P1085" i="3"/>
  <c r="Q1085" i="3"/>
  <c r="R1085" i="3"/>
  <c r="S1085" i="3" s="1"/>
  <c r="T1085" i="3" s="1"/>
  <c r="U1085" i="3"/>
  <c r="V1085" i="3" s="1"/>
  <c r="L1086" i="3"/>
  <c r="M1086" i="3"/>
  <c r="N1086" i="3"/>
  <c r="P1086" i="3"/>
  <c r="Q1086" i="3"/>
  <c r="R1086" i="3"/>
  <c r="S1086" i="3" s="1"/>
  <c r="T1086" i="3" s="1"/>
  <c r="U1086" i="3"/>
  <c r="V1086" i="3" s="1"/>
  <c r="L1087" i="3"/>
  <c r="M1087" i="3"/>
  <c r="N1087" i="3"/>
  <c r="P1087" i="3"/>
  <c r="Q1087" i="3"/>
  <c r="R1087" i="3"/>
  <c r="S1087" i="3" s="1"/>
  <c r="T1087" i="3" s="1"/>
  <c r="U1087" i="3"/>
  <c r="V1087" i="3" s="1"/>
  <c r="L1088" i="3"/>
  <c r="M1088" i="3"/>
  <c r="N1088" i="3"/>
  <c r="P1088" i="3"/>
  <c r="Q1088" i="3"/>
  <c r="R1088" i="3"/>
  <c r="S1088" i="3" s="1"/>
  <c r="T1088" i="3" s="1"/>
  <c r="U1088" i="3"/>
  <c r="V1088" i="3" s="1"/>
  <c r="L1089" i="3"/>
  <c r="M1089" i="3"/>
  <c r="N1089" i="3"/>
  <c r="P1089" i="3"/>
  <c r="Q1089" i="3"/>
  <c r="R1089" i="3"/>
  <c r="S1089" i="3" s="1"/>
  <c r="T1089" i="3" s="1"/>
  <c r="U1089" i="3"/>
  <c r="V1089" i="3" s="1"/>
  <c r="L1090" i="3"/>
  <c r="M1090" i="3"/>
  <c r="N1090" i="3"/>
  <c r="P1090" i="3"/>
  <c r="Q1090" i="3"/>
  <c r="R1090" i="3"/>
  <c r="S1090" i="3" s="1"/>
  <c r="T1090" i="3" s="1"/>
  <c r="U1090" i="3"/>
  <c r="V1090" i="3" s="1"/>
  <c r="L1091" i="3"/>
  <c r="M1091" i="3"/>
  <c r="N1091" i="3"/>
  <c r="P1091" i="3"/>
  <c r="Q1091" i="3"/>
  <c r="R1091" i="3"/>
  <c r="S1091" i="3" s="1"/>
  <c r="T1091" i="3" s="1"/>
  <c r="U1091" i="3"/>
  <c r="V1091" i="3" s="1"/>
  <c r="L1092" i="3"/>
  <c r="M1092" i="3"/>
  <c r="N1092" i="3"/>
  <c r="P1092" i="3"/>
  <c r="Q1092" i="3"/>
  <c r="R1092" i="3"/>
  <c r="S1092" i="3" s="1"/>
  <c r="T1092" i="3" s="1"/>
  <c r="U1092" i="3"/>
  <c r="V1092" i="3" s="1"/>
  <c r="L1093" i="3"/>
  <c r="M1093" i="3"/>
  <c r="N1093" i="3"/>
  <c r="P1093" i="3"/>
  <c r="Q1093" i="3"/>
  <c r="R1093" i="3"/>
  <c r="S1093" i="3" s="1"/>
  <c r="T1093" i="3" s="1"/>
  <c r="U1093" i="3"/>
  <c r="V1093" i="3" s="1"/>
  <c r="L1094" i="3"/>
  <c r="M1094" i="3"/>
  <c r="N1094" i="3"/>
  <c r="P1094" i="3"/>
  <c r="Q1094" i="3"/>
  <c r="R1094" i="3"/>
  <c r="S1094" i="3" s="1"/>
  <c r="T1094" i="3" s="1"/>
  <c r="U1094" i="3"/>
  <c r="V1094" i="3" s="1"/>
  <c r="L1095" i="3"/>
  <c r="M1095" i="3"/>
  <c r="N1095" i="3"/>
  <c r="P1095" i="3"/>
  <c r="Q1095" i="3"/>
  <c r="R1095" i="3"/>
  <c r="S1095" i="3" s="1"/>
  <c r="T1095" i="3" s="1"/>
  <c r="U1095" i="3"/>
  <c r="V1095" i="3" s="1"/>
  <c r="L1096" i="3"/>
  <c r="M1096" i="3"/>
  <c r="N1096" i="3"/>
  <c r="P1096" i="3"/>
  <c r="Q1096" i="3"/>
  <c r="R1096" i="3"/>
  <c r="S1096" i="3" s="1"/>
  <c r="T1096" i="3" s="1"/>
  <c r="U1096" i="3"/>
  <c r="V1096" i="3" s="1"/>
  <c r="L1097" i="3"/>
  <c r="M1097" i="3"/>
  <c r="N1097" i="3"/>
  <c r="P1097" i="3"/>
  <c r="Q1097" i="3"/>
  <c r="R1097" i="3"/>
  <c r="S1097" i="3" s="1"/>
  <c r="T1097" i="3" s="1"/>
  <c r="U1097" i="3"/>
  <c r="V1097" i="3" s="1"/>
  <c r="L1098" i="3"/>
  <c r="M1098" i="3"/>
  <c r="N1098" i="3"/>
  <c r="P1098" i="3"/>
  <c r="Q1098" i="3"/>
  <c r="R1098" i="3"/>
  <c r="S1098" i="3" s="1"/>
  <c r="T1098" i="3" s="1"/>
  <c r="U1098" i="3"/>
  <c r="V1098" i="3" s="1"/>
  <c r="L1099" i="3"/>
  <c r="M1099" i="3"/>
  <c r="N1099" i="3"/>
  <c r="P1099" i="3"/>
  <c r="Q1099" i="3"/>
  <c r="R1099" i="3"/>
  <c r="S1099" i="3" s="1"/>
  <c r="T1099" i="3" s="1"/>
  <c r="U1099" i="3"/>
  <c r="V1099" i="3" s="1"/>
  <c r="L1100" i="3"/>
  <c r="M1100" i="3"/>
  <c r="N1100" i="3"/>
  <c r="P1100" i="3"/>
  <c r="Q1100" i="3"/>
  <c r="R1100" i="3"/>
  <c r="S1100" i="3" s="1"/>
  <c r="T1100" i="3" s="1"/>
  <c r="U1100" i="3"/>
  <c r="V1100" i="3" s="1"/>
  <c r="L1101" i="3"/>
  <c r="M1101" i="3"/>
  <c r="N1101" i="3"/>
  <c r="P1101" i="3"/>
  <c r="Q1101" i="3"/>
  <c r="R1101" i="3"/>
  <c r="S1101" i="3" s="1"/>
  <c r="T1101" i="3" s="1"/>
  <c r="U1101" i="3"/>
  <c r="V1101" i="3" s="1"/>
  <c r="L1102" i="3"/>
  <c r="M1102" i="3"/>
  <c r="N1102" i="3"/>
  <c r="P1102" i="3"/>
  <c r="Q1102" i="3"/>
  <c r="R1102" i="3"/>
  <c r="S1102" i="3" s="1"/>
  <c r="T1102" i="3" s="1"/>
  <c r="U1102" i="3"/>
  <c r="V1102" i="3" s="1"/>
  <c r="L1103" i="3"/>
  <c r="M1103" i="3"/>
  <c r="N1103" i="3"/>
  <c r="P1103" i="3"/>
  <c r="Q1103" i="3"/>
  <c r="R1103" i="3"/>
  <c r="S1103" i="3" s="1"/>
  <c r="T1103" i="3" s="1"/>
  <c r="U1103" i="3"/>
  <c r="V1103" i="3" s="1"/>
  <c r="L1104" i="3"/>
  <c r="M1104" i="3"/>
  <c r="N1104" i="3"/>
  <c r="P1104" i="3"/>
  <c r="Q1104" i="3"/>
  <c r="R1104" i="3"/>
  <c r="S1104" i="3" s="1"/>
  <c r="T1104" i="3" s="1"/>
  <c r="U1104" i="3"/>
  <c r="V1104" i="3" s="1"/>
  <c r="L1105" i="3"/>
  <c r="M1105" i="3"/>
  <c r="N1105" i="3"/>
  <c r="P1105" i="3"/>
  <c r="Q1105" i="3"/>
  <c r="R1105" i="3"/>
  <c r="S1105" i="3" s="1"/>
  <c r="T1105" i="3" s="1"/>
  <c r="U1105" i="3"/>
  <c r="V1105" i="3" s="1"/>
  <c r="L1106" i="3"/>
  <c r="M1106" i="3"/>
  <c r="N1106" i="3"/>
  <c r="P1106" i="3"/>
  <c r="Q1106" i="3"/>
  <c r="R1106" i="3"/>
  <c r="S1106" i="3" s="1"/>
  <c r="T1106" i="3" s="1"/>
  <c r="U1106" i="3"/>
  <c r="V1106" i="3"/>
  <c r="L1107" i="3"/>
  <c r="M1107" i="3"/>
  <c r="N1107" i="3"/>
  <c r="P1107" i="3"/>
  <c r="Q1107" i="3"/>
  <c r="R1107" i="3"/>
  <c r="S1107" i="3" s="1"/>
  <c r="T1107" i="3" s="1"/>
  <c r="U1107" i="3"/>
  <c r="V1107" i="3" s="1"/>
  <c r="L1108" i="3"/>
  <c r="M1108" i="3"/>
  <c r="N1108" i="3"/>
  <c r="P1108" i="3"/>
  <c r="Q1108" i="3"/>
  <c r="R1108" i="3"/>
  <c r="S1108" i="3" s="1"/>
  <c r="T1108" i="3" s="1"/>
  <c r="U1108" i="3"/>
  <c r="V1108" i="3" s="1"/>
  <c r="L1109" i="3"/>
  <c r="M1109" i="3"/>
  <c r="N1109" i="3"/>
  <c r="P1109" i="3"/>
  <c r="Q1109" i="3"/>
  <c r="R1109" i="3"/>
  <c r="S1109" i="3" s="1"/>
  <c r="T1109" i="3" s="1"/>
  <c r="U1109" i="3"/>
  <c r="V1109" i="3" s="1"/>
  <c r="L1110" i="3"/>
  <c r="M1110" i="3"/>
  <c r="N1110" i="3"/>
  <c r="P1110" i="3"/>
  <c r="Q1110" i="3"/>
  <c r="R1110" i="3"/>
  <c r="S1110" i="3" s="1"/>
  <c r="T1110" i="3" s="1"/>
  <c r="U1110" i="3"/>
  <c r="V1110" i="3" s="1"/>
  <c r="L1111" i="3"/>
  <c r="M1111" i="3"/>
  <c r="N1111" i="3"/>
  <c r="P1111" i="3"/>
  <c r="Q1111" i="3"/>
  <c r="R1111" i="3"/>
  <c r="S1111" i="3" s="1"/>
  <c r="T1111" i="3" s="1"/>
  <c r="U1111" i="3"/>
  <c r="V1111" i="3" s="1"/>
  <c r="L1112" i="3"/>
  <c r="M1112" i="3"/>
  <c r="N1112" i="3"/>
  <c r="P1112" i="3"/>
  <c r="Q1112" i="3"/>
  <c r="R1112" i="3"/>
  <c r="S1112" i="3" s="1"/>
  <c r="T1112" i="3" s="1"/>
  <c r="U1112" i="3"/>
  <c r="V1112" i="3" s="1"/>
  <c r="L1113" i="3"/>
  <c r="M1113" i="3"/>
  <c r="N1113" i="3"/>
  <c r="P1113" i="3"/>
  <c r="Q1113" i="3"/>
  <c r="R1113" i="3"/>
  <c r="S1113" i="3" s="1"/>
  <c r="T1113" i="3" s="1"/>
  <c r="U1113" i="3"/>
  <c r="V1113" i="3" s="1"/>
  <c r="L1114" i="3"/>
  <c r="M1114" i="3"/>
  <c r="N1114" i="3"/>
  <c r="P1114" i="3"/>
  <c r="Q1114" i="3"/>
  <c r="R1114" i="3"/>
  <c r="S1114" i="3" s="1"/>
  <c r="T1114" i="3" s="1"/>
  <c r="U1114" i="3"/>
  <c r="V1114" i="3" s="1"/>
  <c r="L1115" i="3"/>
  <c r="M1115" i="3"/>
  <c r="N1115" i="3"/>
  <c r="P1115" i="3"/>
  <c r="Q1115" i="3"/>
  <c r="R1115" i="3"/>
  <c r="S1115" i="3" s="1"/>
  <c r="T1115" i="3" s="1"/>
  <c r="U1115" i="3"/>
  <c r="V1115" i="3" s="1"/>
  <c r="L1116" i="3"/>
  <c r="M1116" i="3"/>
  <c r="N1116" i="3"/>
  <c r="P1116" i="3"/>
  <c r="Q1116" i="3"/>
  <c r="R1116" i="3"/>
  <c r="S1116" i="3" s="1"/>
  <c r="T1116" i="3" s="1"/>
  <c r="U1116" i="3"/>
  <c r="V1116" i="3" s="1"/>
  <c r="L1117" i="3"/>
  <c r="M1117" i="3"/>
  <c r="N1117" i="3"/>
  <c r="P1117" i="3"/>
  <c r="Q1117" i="3"/>
  <c r="R1117" i="3"/>
  <c r="S1117" i="3" s="1"/>
  <c r="T1117" i="3" s="1"/>
  <c r="U1117" i="3"/>
  <c r="V1117" i="3" s="1"/>
  <c r="L1118" i="3"/>
  <c r="M1118" i="3"/>
  <c r="N1118" i="3"/>
  <c r="P1118" i="3"/>
  <c r="Q1118" i="3"/>
  <c r="R1118" i="3"/>
  <c r="S1118" i="3" s="1"/>
  <c r="T1118" i="3" s="1"/>
  <c r="U1118" i="3"/>
  <c r="V1118" i="3" s="1"/>
  <c r="L1119" i="3"/>
  <c r="M1119" i="3"/>
  <c r="N1119" i="3"/>
  <c r="P1119" i="3"/>
  <c r="Q1119" i="3"/>
  <c r="R1119" i="3"/>
  <c r="S1119" i="3" s="1"/>
  <c r="T1119" i="3" s="1"/>
  <c r="U1119" i="3"/>
  <c r="V1119" i="3" s="1"/>
  <c r="L1120" i="3"/>
  <c r="M1120" i="3"/>
  <c r="N1120" i="3"/>
  <c r="P1120" i="3"/>
  <c r="Q1120" i="3"/>
  <c r="R1120" i="3"/>
  <c r="S1120" i="3" s="1"/>
  <c r="T1120" i="3" s="1"/>
  <c r="U1120" i="3"/>
  <c r="V1120" i="3" s="1"/>
  <c r="L1121" i="3"/>
  <c r="M1121" i="3"/>
  <c r="N1121" i="3"/>
  <c r="P1121" i="3"/>
  <c r="Q1121" i="3"/>
  <c r="R1121" i="3"/>
  <c r="S1121" i="3" s="1"/>
  <c r="T1121" i="3" s="1"/>
  <c r="U1121" i="3"/>
  <c r="V1121" i="3" s="1"/>
  <c r="L1122" i="3"/>
  <c r="M1122" i="3"/>
  <c r="N1122" i="3"/>
  <c r="P1122" i="3"/>
  <c r="Q1122" i="3"/>
  <c r="R1122" i="3"/>
  <c r="S1122" i="3" s="1"/>
  <c r="T1122" i="3" s="1"/>
  <c r="U1122" i="3"/>
  <c r="V1122" i="3" s="1"/>
  <c r="L1123" i="3"/>
  <c r="M1123" i="3"/>
  <c r="N1123" i="3"/>
  <c r="P1123" i="3"/>
  <c r="Q1123" i="3"/>
  <c r="R1123" i="3"/>
  <c r="S1123" i="3" s="1"/>
  <c r="T1123" i="3" s="1"/>
  <c r="U1123" i="3"/>
  <c r="V1123" i="3" s="1"/>
  <c r="L1124" i="3"/>
  <c r="M1124" i="3"/>
  <c r="N1124" i="3"/>
  <c r="P1124" i="3"/>
  <c r="Q1124" i="3"/>
  <c r="R1124" i="3"/>
  <c r="S1124" i="3" s="1"/>
  <c r="T1124" i="3" s="1"/>
  <c r="U1124" i="3"/>
  <c r="V1124" i="3" s="1"/>
  <c r="L1125" i="3"/>
  <c r="M1125" i="3"/>
  <c r="N1125" i="3"/>
  <c r="P1125" i="3"/>
  <c r="Q1125" i="3"/>
  <c r="R1125" i="3"/>
  <c r="S1125" i="3" s="1"/>
  <c r="T1125" i="3" s="1"/>
  <c r="U1125" i="3"/>
  <c r="V1125" i="3" s="1"/>
  <c r="L1126" i="3"/>
  <c r="M1126" i="3"/>
  <c r="N1126" i="3"/>
  <c r="P1126" i="3"/>
  <c r="Q1126" i="3"/>
  <c r="R1126" i="3"/>
  <c r="S1126" i="3" s="1"/>
  <c r="T1126" i="3" s="1"/>
  <c r="U1126" i="3"/>
  <c r="V1126" i="3" s="1"/>
  <c r="L1127" i="3"/>
  <c r="M1127" i="3"/>
  <c r="N1127" i="3"/>
  <c r="P1127" i="3"/>
  <c r="Q1127" i="3"/>
  <c r="R1127" i="3"/>
  <c r="S1127" i="3" s="1"/>
  <c r="T1127" i="3" s="1"/>
  <c r="U1127" i="3"/>
  <c r="V1127" i="3" s="1"/>
  <c r="L1128" i="3"/>
  <c r="M1128" i="3"/>
  <c r="N1128" i="3"/>
  <c r="P1128" i="3"/>
  <c r="Q1128" i="3"/>
  <c r="R1128" i="3"/>
  <c r="S1128" i="3" s="1"/>
  <c r="T1128" i="3" s="1"/>
  <c r="U1128" i="3"/>
  <c r="V1128" i="3" s="1"/>
  <c r="L1129" i="3"/>
  <c r="M1129" i="3"/>
  <c r="N1129" i="3"/>
  <c r="P1129" i="3"/>
  <c r="Q1129" i="3"/>
  <c r="R1129" i="3"/>
  <c r="S1129" i="3" s="1"/>
  <c r="T1129" i="3" s="1"/>
  <c r="U1129" i="3"/>
  <c r="V1129" i="3" s="1"/>
  <c r="L1130" i="3"/>
  <c r="M1130" i="3"/>
  <c r="N1130" i="3"/>
  <c r="P1130" i="3"/>
  <c r="Q1130" i="3"/>
  <c r="R1130" i="3"/>
  <c r="S1130" i="3" s="1"/>
  <c r="T1130" i="3" s="1"/>
  <c r="U1130" i="3"/>
  <c r="V1130" i="3" s="1"/>
  <c r="L1131" i="3"/>
  <c r="M1131" i="3"/>
  <c r="N1131" i="3"/>
  <c r="P1131" i="3"/>
  <c r="Q1131" i="3"/>
  <c r="R1131" i="3"/>
  <c r="S1131" i="3" s="1"/>
  <c r="T1131" i="3" s="1"/>
  <c r="U1131" i="3"/>
  <c r="V1131" i="3" s="1"/>
  <c r="L1132" i="3"/>
  <c r="M1132" i="3"/>
  <c r="N1132" i="3"/>
  <c r="P1132" i="3"/>
  <c r="Q1132" i="3"/>
  <c r="R1132" i="3"/>
  <c r="S1132" i="3" s="1"/>
  <c r="T1132" i="3" s="1"/>
  <c r="U1132" i="3"/>
  <c r="V1132" i="3" s="1"/>
  <c r="L1133" i="3"/>
  <c r="M1133" i="3"/>
  <c r="N1133" i="3"/>
  <c r="P1133" i="3"/>
  <c r="Q1133" i="3"/>
  <c r="R1133" i="3"/>
  <c r="S1133" i="3" s="1"/>
  <c r="T1133" i="3" s="1"/>
  <c r="U1133" i="3"/>
  <c r="V1133" i="3" s="1"/>
  <c r="L1134" i="3"/>
  <c r="M1134" i="3"/>
  <c r="N1134" i="3"/>
  <c r="P1134" i="3"/>
  <c r="Q1134" i="3"/>
  <c r="R1134" i="3"/>
  <c r="S1134" i="3" s="1"/>
  <c r="T1134" i="3" s="1"/>
  <c r="U1134" i="3"/>
  <c r="V1134" i="3" s="1"/>
  <c r="L1135" i="3"/>
  <c r="M1135" i="3"/>
  <c r="N1135" i="3"/>
  <c r="P1135" i="3"/>
  <c r="Q1135" i="3"/>
  <c r="R1135" i="3"/>
  <c r="S1135" i="3" s="1"/>
  <c r="T1135" i="3" s="1"/>
  <c r="U1135" i="3"/>
  <c r="V1135" i="3" s="1"/>
  <c r="L1136" i="3"/>
  <c r="M1136" i="3"/>
  <c r="N1136" i="3"/>
  <c r="P1136" i="3"/>
  <c r="Q1136" i="3"/>
  <c r="R1136" i="3"/>
  <c r="S1136" i="3" s="1"/>
  <c r="T1136" i="3" s="1"/>
  <c r="U1136" i="3"/>
  <c r="V1136" i="3" s="1"/>
  <c r="L1137" i="3"/>
  <c r="M1137" i="3"/>
  <c r="N1137" i="3"/>
  <c r="P1137" i="3"/>
  <c r="Q1137" i="3"/>
  <c r="R1137" i="3"/>
  <c r="S1137" i="3" s="1"/>
  <c r="T1137" i="3" s="1"/>
  <c r="U1137" i="3"/>
  <c r="V1137" i="3" s="1"/>
  <c r="L1138" i="3"/>
  <c r="M1138" i="3"/>
  <c r="N1138" i="3"/>
  <c r="P1138" i="3"/>
  <c r="Q1138" i="3"/>
  <c r="R1138" i="3"/>
  <c r="S1138" i="3" s="1"/>
  <c r="T1138" i="3" s="1"/>
  <c r="U1138" i="3"/>
  <c r="V1138" i="3" s="1"/>
  <c r="L1139" i="3"/>
  <c r="M1139" i="3"/>
  <c r="N1139" i="3"/>
  <c r="P1139" i="3"/>
  <c r="Q1139" i="3"/>
  <c r="R1139" i="3"/>
  <c r="S1139" i="3" s="1"/>
  <c r="T1139" i="3" s="1"/>
  <c r="U1139" i="3"/>
  <c r="V1139" i="3" s="1"/>
  <c r="L1140" i="3"/>
  <c r="M1140" i="3"/>
  <c r="N1140" i="3"/>
  <c r="P1140" i="3"/>
  <c r="Q1140" i="3"/>
  <c r="R1140" i="3"/>
  <c r="S1140" i="3" s="1"/>
  <c r="T1140" i="3" s="1"/>
  <c r="U1140" i="3"/>
  <c r="V1140" i="3" s="1"/>
  <c r="L1141" i="3"/>
  <c r="M1141" i="3"/>
  <c r="N1141" i="3"/>
  <c r="P1141" i="3"/>
  <c r="Q1141" i="3"/>
  <c r="R1141" i="3"/>
  <c r="S1141" i="3" s="1"/>
  <c r="T1141" i="3" s="1"/>
  <c r="U1141" i="3"/>
  <c r="V1141" i="3" s="1"/>
  <c r="L1142" i="3"/>
  <c r="M1142" i="3"/>
  <c r="N1142" i="3"/>
  <c r="P1142" i="3"/>
  <c r="Q1142" i="3"/>
  <c r="R1142" i="3"/>
  <c r="S1142" i="3" s="1"/>
  <c r="T1142" i="3" s="1"/>
  <c r="U1142" i="3"/>
  <c r="V1142" i="3" s="1"/>
  <c r="L1143" i="3"/>
  <c r="M1143" i="3"/>
  <c r="N1143" i="3"/>
  <c r="P1143" i="3"/>
  <c r="Q1143" i="3"/>
  <c r="R1143" i="3"/>
  <c r="S1143" i="3" s="1"/>
  <c r="T1143" i="3" s="1"/>
  <c r="U1143" i="3"/>
  <c r="V1143" i="3" s="1"/>
  <c r="L1144" i="3"/>
  <c r="M1144" i="3"/>
  <c r="N1144" i="3"/>
  <c r="P1144" i="3"/>
  <c r="Q1144" i="3"/>
  <c r="R1144" i="3"/>
  <c r="S1144" i="3" s="1"/>
  <c r="T1144" i="3" s="1"/>
  <c r="U1144" i="3"/>
  <c r="V1144" i="3" s="1"/>
  <c r="L1145" i="3"/>
  <c r="M1145" i="3"/>
  <c r="N1145" i="3"/>
  <c r="P1145" i="3"/>
  <c r="Q1145" i="3"/>
  <c r="R1145" i="3"/>
  <c r="S1145" i="3" s="1"/>
  <c r="T1145" i="3" s="1"/>
  <c r="U1145" i="3"/>
  <c r="V1145" i="3" s="1"/>
  <c r="L1146" i="3"/>
  <c r="M1146" i="3"/>
  <c r="N1146" i="3"/>
  <c r="P1146" i="3"/>
  <c r="Q1146" i="3"/>
  <c r="R1146" i="3"/>
  <c r="S1146" i="3" s="1"/>
  <c r="T1146" i="3" s="1"/>
  <c r="U1146" i="3"/>
  <c r="V1146" i="3" s="1"/>
  <c r="L1147" i="3"/>
  <c r="M1147" i="3"/>
  <c r="N1147" i="3"/>
  <c r="P1147" i="3"/>
  <c r="Q1147" i="3"/>
  <c r="R1147" i="3"/>
  <c r="S1147" i="3" s="1"/>
  <c r="T1147" i="3" s="1"/>
  <c r="U1147" i="3"/>
  <c r="V1147" i="3" s="1"/>
  <c r="L1148" i="3"/>
  <c r="M1148" i="3"/>
  <c r="N1148" i="3"/>
  <c r="P1148" i="3"/>
  <c r="Q1148" i="3"/>
  <c r="R1148" i="3"/>
  <c r="S1148" i="3" s="1"/>
  <c r="T1148" i="3" s="1"/>
  <c r="U1148" i="3"/>
  <c r="V1148" i="3" s="1"/>
  <c r="L1149" i="3"/>
  <c r="M1149" i="3"/>
  <c r="N1149" i="3"/>
  <c r="P1149" i="3"/>
  <c r="Q1149" i="3"/>
  <c r="R1149" i="3"/>
  <c r="S1149" i="3" s="1"/>
  <c r="T1149" i="3" s="1"/>
  <c r="U1149" i="3"/>
  <c r="V1149" i="3" s="1"/>
  <c r="L1150" i="3"/>
  <c r="M1150" i="3"/>
  <c r="N1150" i="3"/>
  <c r="P1150" i="3"/>
  <c r="Q1150" i="3"/>
  <c r="R1150" i="3"/>
  <c r="S1150" i="3" s="1"/>
  <c r="T1150" i="3" s="1"/>
  <c r="U1150" i="3"/>
  <c r="V1150" i="3" s="1"/>
  <c r="L1151" i="3"/>
  <c r="M1151" i="3"/>
  <c r="N1151" i="3"/>
  <c r="P1151" i="3"/>
  <c r="Q1151" i="3"/>
  <c r="R1151" i="3"/>
  <c r="S1151" i="3" s="1"/>
  <c r="T1151" i="3" s="1"/>
  <c r="U1151" i="3"/>
  <c r="V1151" i="3" s="1"/>
  <c r="L1152" i="3"/>
  <c r="M1152" i="3"/>
  <c r="N1152" i="3"/>
  <c r="P1152" i="3"/>
  <c r="Q1152" i="3"/>
  <c r="R1152" i="3"/>
  <c r="S1152" i="3" s="1"/>
  <c r="T1152" i="3" s="1"/>
  <c r="U1152" i="3"/>
  <c r="V1152" i="3" s="1"/>
  <c r="L1153" i="3"/>
  <c r="M1153" i="3"/>
  <c r="N1153" i="3"/>
  <c r="P1153" i="3"/>
  <c r="Q1153" i="3"/>
  <c r="R1153" i="3"/>
  <c r="S1153" i="3" s="1"/>
  <c r="T1153" i="3" s="1"/>
  <c r="U1153" i="3"/>
  <c r="V1153" i="3" s="1"/>
  <c r="L1154" i="3"/>
  <c r="M1154" i="3"/>
  <c r="N1154" i="3"/>
  <c r="P1154" i="3"/>
  <c r="Q1154" i="3"/>
  <c r="R1154" i="3"/>
  <c r="S1154" i="3" s="1"/>
  <c r="T1154" i="3" s="1"/>
  <c r="U1154" i="3"/>
  <c r="V1154" i="3" s="1"/>
  <c r="L1155" i="3"/>
  <c r="M1155" i="3"/>
  <c r="N1155" i="3"/>
  <c r="P1155" i="3"/>
  <c r="Q1155" i="3"/>
  <c r="R1155" i="3"/>
  <c r="S1155" i="3" s="1"/>
  <c r="T1155" i="3" s="1"/>
  <c r="U1155" i="3"/>
  <c r="V1155" i="3" s="1"/>
  <c r="L1156" i="3"/>
  <c r="M1156" i="3"/>
  <c r="N1156" i="3"/>
  <c r="P1156" i="3"/>
  <c r="Q1156" i="3"/>
  <c r="R1156" i="3"/>
  <c r="S1156" i="3" s="1"/>
  <c r="T1156" i="3" s="1"/>
  <c r="U1156" i="3"/>
  <c r="V1156" i="3" s="1"/>
  <c r="L1157" i="3"/>
  <c r="M1157" i="3"/>
  <c r="N1157" i="3"/>
  <c r="P1157" i="3"/>
  <c r="Q1157" i="3"/>
  <c r="R1157" i="3"/>
  <c r="S1157" i="3" s="1"/>
  <c r="T1157" i="3" s="1"/>
  <c r="U1157" i="3"/>
  <c r="V1157" i="3" s="1"/>
  <c r="L1158" i="3"/>
  <c r="M1158" i="3"/>
  <c r="N1158" i="3"/>
  <c r="P1158" i="3"/>
  <c r="Q1158" i="3"/>
  <c r="R1158" i="3"/>
  <c r="S1158" i="3" s="1"/>
  <c r="T1158" i="3" s="1"/>
  <c r="U1158" i="3"/>
  <c r="V1158" i="3" s="1"/>
  <c r="L1159" i="3"/>
  <c r="M1159" i="3"/>
  <c r="N1159" i="3"/>
  <c r="P1159" i="3"/>
  <c r="Q1159" i="3"/>
  <c r="R1159" i="3"/>
  <c r="S1159" i="3" s="1"/>
  <c r="T1159" i="3" s="1"/>
  <c r="U1159" i="3"/>
  <c r="V1159" i="3" s="1"/>
  <c r="L1160" i="3"/>
  <c r="M1160" i="3"/>
  <c r="N1160" i="3"/>
  <c r="P1160" i="3"/>
  <c r="Q1160" i="3"/>
  <c r="R1160" i="3"/>
  <c r="S1160" i="3" s="1"/>
  <c r="T1160" i="3" s="1"/>
  <c r="U1160" i="3"/>
  <c r="V1160" i="3" s="1"/>
  <c r="L1161" i="3"/>
  <c r="M1161" i="3"/>
  <c r="N1161" i="3"/>
  <c r="P1161" i="3"/>
  <c r="Q1161" i="3"/>
  <c r="R1161" i="3"/>
  <c r="S1161" i="3" s="1"/>
  <c r="T1161" i="3" s="1"/>
  <c r="U1161" i="3"/>
  <c r="V1161" i="3" s="1"/>
  <c r="L1162" i="3"/>
  <c r="M1162" i="3"/>
  <c r="N1162" i="3"/>
  <c r="P1162" i="3"/>
  <c r="Q1162" i="3"/>
  <c r="R1162" i="3"/>
  <c r="S1162" i="3" s="1"/>
  <c r="T1162" i="3" s="1"/>
  <c r="U1162" i="3"/>
  <c r="V1162" i="3" s="1"/>
  <c r="L1163" i="3"/>
  <c r="M1163" i="3"/>
  <c r="N1163" i="3"/>
  <c r="P1163" i="3"/>
  <c r="Q1163" i="3"/>
  <c r="R1163" i="3"/>
  <c r="S1163" i="3" s="1"/>
  <c r="T1163" i="3" s="1"/>
  <c r="U1163" i="3"/>
  <c r="V1163" i="3" s="1"/>
  <c r="L1164" i="3"/>
  <c r="M1164" i="3"/>
  <c r="N1164" i="3"/>
  <c r="P1164" i="3"/>
  <c r="Q1164" i="3"/>
  <c r="R1164" i="3"/>
  <c r="S1164" i="3" s="1"/>
  <c r="T1164" i="3" s="1"/>
  <c r="U1164" i="3"/>
  <c r="V1164" i="3" s="1"/>
  <c r="L1165" i="3"/>
  <c r="M1165" i="3"/>
  <c r="N1165" i="3"/>
  <c r="P1165" i="3"/>
  <c r="Q1165" i="3"/>
  <c r="R1165" i="3"/>
  <c r="S1165" i="3" s="1"/>
  <c r="T1165" i="3" s="1"/>
  <c r="U1165" i="3"/>
  <c r="V1165" i="3" s="1"/>
  <c r="L1166" i="3"/>
  <c r="M1166" i="3"/>
  <c r="N1166" i="3"/>
  <c r="P1166" i="3"/>
  <c r="Q1166" i="3"/>
  <c r="R1166" i="3"/>
  <c r="S1166" i="3" s="1"/>
  <c r="T1166" i="3" s="1"/>
  <c r="U1166" i="3"/>
  <c r="V1166" i="3" s="1"/>
  <c r="L1167" i="3"/>
  <c r="M1167" i="3"/>
  <c r="N1167" i="3"/>
  <c r="P1167" i="3"/>
  <c r="Q1167" i="3"/>
  <c r="R1167" i="3"/>
  <c r="S1167" i="3" s="1"/>
  <c r="T1167" i="3" s="1"/>
  <c r="U1167" i="3"/>
  <c r="V1167" i="3" s="1"/>
  <c r="L1168" i="3"/>
  <c r="M1168" i="3"/>
  <c r="N1168" i="3"/>
  <c r="P1168" i="3"/>
  <c r="Q1168" i="3"/>
  <c r="R1168" i="3"/>
  <c r="S1168" i="3" s="1"/>
  <c r="T1168" i="3" s="1"/>
  <c r="U1168" i="3"/>
  <c r="V1168" i="3" s="1"/>
  <c r="L1169" i="3"/>
  <c r="M1169" i="3"/>
  <c r="N1169" i="3"/>
  <c r="P1169" i="3"/>
  <c r="Q1169" i="3"/>
  <c r="R1169" i="3"/>
  <c r="S1169" i="3" s="1"/>
  <c r="T1169" i="3" s="1"/>
  <c r="U1169" i="3"/>
  <c r="V1169" i="3" s="1"/>
  <c r="L1170" i="3"/>
  <c r="M1170" i="3"/>
  <c r="N1170" i="3"/>
  <c r="P1170" i="3"/>
  <c r="Q1170" i="3"/>
  <c r="R1170" i="3"/>
  <c r="S1170" i="3" s="1"/>
  <c r="T1170" i="3" s="1"/>
  <c r="U1170" i="3"/>
  <c r="V1170" i="3" s="1"/>
  <c r="L1171" i="3"/>
  <c r="M1171" i="3"/>
  <c r="N1171" i="3"/>
  <c r="P1171" i="3"/>
  <c r="Q1171" i="3"/>
  <c r="R1171" i="3"/>
  <c r="S1171" i="3" s="1"/>
  <c r="T1171" i="3" s="1"/>
  <c r="U1171" i="3"/>
  <c r="V1171" i="3" s="1"/>
  <c r="L1172" i="3"/>
  <c r="M1172" i="3"/>
  <c r="N1172" i="3"/>
  <c r="P1172" i="3"/>
  <c r="Q1172" i="3"/>
  <c r="R1172" i="3"/>
  <c r="S1172" i="3" s="1"/>
  <c r="T1172" i="3" s="1"/>
  <c r="U1172" i="3"/>
  <c r="V1172" i="3" s="1"/>
  <c r="L1173" i="3"/>
  <c r="M1173" i="3"/>
  <c r="N1173" i="3"/>
  <c r="P1173" i="3"/>
  <c r="Q1173" i="3"/>
  <c r="R1173" i="3"/>
  <c r="S1173" i="3" s="1"/>
  <c r="T1173" i="3" s="1"/>
  <c r="U1173" i="3"/>
  <c r="V1173" i="3" s="1"/>
  <c r="L1174" i="3"/>
  <c r="M1174" i="3"/>
  <c r="N1174" i="3"/>
  <c r="P1174" i="3"/>
  <c r="Q1174" i="3"/>
  <c r="R1174" i="3"/>
  <c r="S1174" i="3" s="1"/>
  <c r="T1174" i="3" s="1"/>
  <c r="U1174" i="3"/>
  <c r="V1174" i="3" s="1"/>
  <c r="L1175" i="3"/>
  <c r="M1175" i="3"/>
  <c r="N1175" i="3"/>
  <c r="P1175" i="3"/>
  <c r="Q1175" i="3"/>
  <c r="R1175" i="3"/>
  <c r="S1175" i="3" s="1"/>
  <c r="T1175" i="3" s="1"/>
  <c r="U1175" i="3"/>
  <c r="V1175" i="3" s="1"/>
  <c r="L1176" i="3"/>
  <c r="M1176" i="3"/>
  <c r="N1176" i="3"/>
  <c r="P1176" i="3"/>
  <c r="Q1176" i="3"/>
  <c r="R1176" i="3"/>
  <c r="S1176" i="3" s="1"/>
  <c r="T1176" i="3" s="1"/>
  <c r="U1176" i="3"/>
  <c r="V1176" i="3" s="1"/>
  <c r="L1177" i="3"/>
  <c r="M1177" i="3"/>
  <c r="N1177" i="3"/>
  <c r="P1177" i="3"/>
  <c r="Q1177" i="3"/>
  <c r="R1177" i="3"/>
  <c r="S1177" i="3" s="1"/>
  <c r="T1177" i="3" s="1"/>
  <c r="U1177" i="3"/>
  <c r="V1177" i="3" s="1"/>
  <c r="L1178" i="3"/>
  <c r="M1178" i="3"/>
  <c r="N1178" i="3"/>
  <c r="P1178" i="3"/>
  <c r="Q1178" i="3"/>
  <c r="R1178" i="3"/>
  <c r="S1178" i="3" s="1"/>
  <c r="T1178" i="3" s="1"/>
  <c r="U1178" i="3"/>
  <c r="V1178" i="3" s="1"/>
  <c r="L1179" i="3"/>
  <c r="M1179" i="3"/>
  <c r="N1179" i="3"/>
  <c r="P1179" i="3"/>
  <c r="Q1179" i="3"/>
  <c r="R1179" i="3"/>
  <c r="S1179" i="3" s="1"/>
  <c r="T1179" i="3" s="1"/>
  <c r="U1179" i="3"/>
  <c r="V1179" i="3" s="1"/>
  <c r="L1180" i="3"/>
  <c r="M1180" i="3"/>
  <c r="N1180" i="3"/>
  <c r="P1180" i="3"/>
  <c r="Q1180" i="3"/>
  <c r="R1180" i="3"/>
  <c r="S1180" i="3" s="1"/>
  <c r="T1180" i="3" s="1"/>
  <c r="U1180" i="3"/>
  <c r="V1180" i="3" s="1"/>
  <c r="L1181" i="3"/>
  <c r="M1181" i="3"/>
  <c r="N1181" i="3"/>
  <c r="P1181" i="3"/>
  <c r="Q1181" i="3"/>
  <c r="R1181" i="3"/>
  <c r="S1181" i="3" s="1"/>
  <c r="T1181" i="3" s="1"/>
  <c r="U1181" i="3"/>
  <c r="V1181" i="3" s="1"/>
  <c r="L1182" i="3"/>
  <c r="M1182" i="3"/>
  <c r="N1182" i="3"/>
  <c r="P1182" i="3"/>
  <c r="Q1182" i="3"/>
  <c r="R1182" i="3"/>
  <c r="S1182" i="3" s="1"/>
  <c r="T1182" i="3" s="1"/>
  <c r="U1182" i="3"/>
  <c r="V1182" i="3" s="1"/>
  <c r="L1183" i="3"/>
  <c r="M1183" i="3"/>
  <c r="N1183" i="3"/>
  <c r="P1183" i="3"/>
  <c r="Q1183" i="3"/>
  <c r="R1183" i="3"/>
  <c r="S1183" i="3" s="1"/>
  <c r="T1183" i="3" s="1"/>
  <c r="U1183" i="3"/>
  <c r="V1183" i="3" s="1"/>
  <c r="L1184" i="3"/>
  <c r="M1184" i="3"/>
  <c r="N1184" i="3"/>
  <c r="P1184" i="3"/>
  <c r="Q1184" i="3"/>
  <c r="R1184" i="3"/>
  <c r="S1184" i="3" s="1"/>
  <c r="T1184" i="3" s="1"/>
  <c r="U1184" i="3"/>
  <c r="V1184" i="3" s="1"/>
  <c r="L1185" i="3"/>
  <c r="M1185" i="3"/>
  <c r="N1185" i="3"/>
  <c r="P1185" i="3"/>
  <c r="Q1185" i="3"/>
  <c r="R1185" i="3"/>
  <c r="S1185" i="3" s="1"/>
  <c r="T1185" i="3" s="1"/>
  <c r="U1185" i="3"/>
  <c r="V1185" i="3" s="1"/>
  <c r="L1186" i="3"/>
  <c r="M1186" i="3"/>
  <c r="N1186" i="3"/>
  <c r="P1186" i="3"/>
  <c r="Q1186" i="3"/>
  <c r="R1186" i="3"/>
  <c r="S1186" i="3" s="1"/>
  <c r="T1186" i="3" s="1"/>
  <c r="U1186" i="3"/>
  <c r="V1186" i="3" s="1"/>
  <c r="L1187" i="3"/>
  <c r="M1187" i="3"/>
  <c r="N1187" i="3"/>
  <c r="P1187" i="3"/>
  <c r="Q1187" i="3"/>
  <c r="R1187" i="3"/>
  <c r="S1187" i="3" s="1"/>
  <c r="T1187" i="3" s="1"/>
  <c r="U1187" i="3"/>
  <c r="V1187" i="3" s="1"/>
  <c r="L1188" i="3"/>
  <c r="M1188" i="3"/>
  <c r="N1188" i="3"/>
  <c r="P1188" i="3"/>
  <c r="Q1188" i="3"/>
  <c r="R1188" i="3"/>
  <c r="S1188" i="3" s="1"/>
  <c r="T1188" i="3" s="1"/>
  <c r="U1188" i="3"/>
  <c r="V1188" i="3" s="1"/>
  <c r="L1189" i="3"/>
  <c r="M1189" i="3"/>
  <c r="N1189" i="3"/>
  <c r="P1189" i="3"/>
  <c r="Q1189" i="3"/>
  <c r="R1189" i="3"/>
  <c r="S1189" i="3" s="1"/>
  <c r="T1189" i="3" s="1"/>
  <c r="U1189" i="3"/>
  <c r="V1189" i="3" s="1"/>
  <c r="L1190" i="3"/>
  <c r="M1190" i="3"/>
  <c r="N1190" i="3"/>
  <c r="P1190" i="3"/>
  <c r="Q1190" i="3"/>
  <c r="R1190" i="3"/>
  <c r="S1190" i="3" s="1"/>
  <c r="T1190" i="3" s="1"/>
  <c r="U1190" i="3"/>
  <c r="V1190" i="3" s="1"/>
  <c r="L1191" i="3"/>
  <c r="M1191" i="3"/>
  <c r="N1191" i="3"/>
  <c r="P1191" i="3"/>
  <c r="Q1191" i="3"/>
  <c r="R1191" i="3"/>
  <c r="S1191" i="3" s="1"/>
  <c r="T1191" i="3" s="1"/>
  <c r="U1191" i="3"/>
  <c r="V1191" i="3" s="1"/>
  <c r="L1192" i="3"/>
  <c r="M1192" i="3"/>
  <c r="N1192" i="3"/>
  <c r="P1192" i="3"/>
  <c r="Q1192" i="3"/>
  <c r="R1192" i="3"/>
  <c r="S1192" i="3" s="1"/>
  <c r="T1192" i="3" s="1"/>
  <c r="U1192" i="3"/>
  <c r="V1192" i="3" s="1"/>
  <c r="L1193" i="3"/>
  <c r="M1193" i="3"/>
  <c r="N1193" i="3"/>
  <c r="P1193" i="3"/>
  <c r="Q1193" i="3"/>
  <c r="R1193" i="3"/>
  <c r="S1193" i="3" s="1"/>
  <c r="T1193" i="3" s="1"/>
  <c r="U1193" i="3"/>
  <c r="V1193" i="3" s="1"/>
  <c r="L1194" i="3"/>
  <c r="M1194" i="3"/>
  <c r="N1194" i="3"/>
  <c r="P1194" i="3"/>
  <c r="Q1194" i="3"/>
  <c r="R1194" i="3"/>
  <c r="S1194" i="3" s="1"/>
  <c r="T1194" i="3" s="1"/>
  <c r="U1194" i="3"/>
  <c r="V1194" i="3" s="1"/>
  <c r="L1195" i="3"/>
  <c r="M1195" i="3"/>
  <c r="N1195" i="3"/>
  <c r="P1195" i="3"/>
  <c r="Q1195" i="3"/>
  <c r="R1195" i="3"/>
  <c r="S1195" i="3" s="1"/>
  <c r="T1195" i="3" s="1"/>
  <c r="U1195" i="3"/>
  <c r="V1195" i="3" s="1"/>
  <c r="L1196" i="3"/>
  <c r="M1196" i="3"/>
  <c r="N1196" i="3"/>
  <c r="P1196" i="3"/>
  <c r="Q1196" i="3"/>
  <c r="R1196" i="3"/>
  <c r="S1196" i="3" s="1"/>
  <c r="T1196" i="3" s="1"/>
  <c r="U1196" i="3"/>
  <c r="V1196" i="3" s="1"/>
  <c r="L1197" i="3"/>
  <c r="M1197" i="3"/>
  <c r="N1197" i="3"/>
  <c r="P1197" i="3"/>
  <c r="Q1197" i="3"/>
  <c r="R1197" i="3"/>
  <c r="S1197" i="3" s="1"/>
  <c r="T1197" i="3" s="1"/>
  <c r="U1197" i="3"/>
  <c r="V1197" i="3" s="1"/>
  <c r="L1198" i="3"/>
  <c r="M1198" i="3"/>
  <c r="N1198" i="3"/>
  <c r="P1198" i="3"/>
  <c r="Q1198" i="3"/>
  <c r="R1198" i="3"/>
  <c r="S1198" i="3" s="1"/>
  <c r="T1198" i="3" s="1"/>
  <c r="U1198" i="3"/>
  <c r="V1198" i="3" s="1"/>
  <c r="L1199" i="3"/>
  <c r="M1199" i="3"/>
  <c r="N1199" i="3"/>
  <c r="P1199" i="3"/>
  <c r="Q1199" i="3"/>
  <c r="R1199" i="3"/>
  <c r="S1199" i="3" s="1"/>
  <c r="T1199" i="3" s="1"/>
  <c r="U1199" i="3"/>
  <c r="V1199" i="3" s="1"/>
  <c r="L1200" i="3"/>
  <c r="M1200" i="3"/>
  <c r="N1200" i="3"/>
  <c r="P1200" i="3"/>
  <c r="Q1200" i="3"/>
  <c r="R1200" i="3"/>
  <c r="S1200" i="3" s="1"/>
  <c r="T1200" i="3" s="1"/>
  <c r="U1200" i="3"/>
  <c r="V1200" i="3" s="1"/>
  <c r="L1201" i="3"/>
  <c r="M1201" i="3"/>
  <c r="N1201" i="3"/>
  <c r="P1201" i="3"/>
  <c r="Q1201" i="3"/>
  <c r="R1201" i="3"/>
  <c r="S1201" i="3" s="1"/>
  <c r="T1201" i="3" s="1"/>
  <c r="U1201" i="3"/>
  <c r="V1201" i="3" s="1"/>
  <c r="L1202" i="3"/>
  <c r="M1202" i="3"/>
  <c r="N1202" i="3"/>
  <c r="P1202" i="3"/>
  <c r="Q1202" i="3"/>
  <c r="R1202" i="3"/>
  <c r="S1202" i="3" s="1"/>
  <c r="T1202" i="3" s="1"/>
  <c r="U1202" i="3"/>
  <c r="V1202" i="3" s="1"/>
  <c r="L1203" i="3"/>
  <c r="M1203" i="3"/>
  <c r="N1203" i="3"/>
  <c r="P1203" i="3"/>
  <c r="Q1203" i="3"/>
  <c r="R1203" i="3"/>
  <c r="S1203" i="3" s="1"/>
  <c r="T1203" i="3" s="1"/>
  <c r="U1203" i="3"/>
  <c r="V1203" i="3" s="1"/>
  <c r="L1204" i="3"/>
  <c r="M1204" i="3"/>
  <c r="N1204" i="3"/>
  <c r="P1204" i="3"/>
  <c r="Q1204" i="3"/>
  <c r="R1204" i="3"/>
  <c r="S1204" i="3" s="1"/>
  <c r="T1204" i="3" s="1"/>
  <c r="U1204" i="3"/>
  <c r="V1204" i="3" s="1"/>
  <c r="L1205" i="3"/>
  <c r="M1205" i="3"/>
  <c r="N1205" i="3"/>
  <c r="P1205" i="3"/>
  <c r="Q1205" i="3"/>
  <c r="R1205" i="3"/>
  <c r="S1205" i="3" s="1"/>
  <c r="T1205" i="3" s="1"/>
  <c r="U1205" i="3"/>
  <c r="V1205" i="3" s="1"/>
  <c r="L1206" i="3"/>
  <c r="M1206" i="3"/>
  <c r="N1206" i="3"/>
  <c r="P1206" i="3"/>
  <c r="Q1206" i="3"/>
  <c r="R1206" i="3"/>
  <c r="S1206" i="3" s="1"/>
  <c r="T1206" i="3" s="1"/>
  <c r="U1206" i="3"/>
  <c r="V1206" i="3" s="1"/>
  <c r="L1207" i="3"/>
  <c r="M1207" i="3"/>
  <c r="N1207" i="3"/>
  <c r="P1207" i="3"/>
  <c r="Q1207" i="3"/>
  <c r="R1207" i="3"/>
  <c r="S1207" i="3" s="1"/>
  <c r="T1207" i="3" s="1"/>
  <c r="U1207" i="3"/>
  <c r="V1207" i="3" s="1"/>
  <c r="L1208" i="3"/>
  <c r="M1208" i="3"/>
  <c r="N1208" i="3"/>
  <c r="P1208" i="3"/>
  <c r="Q1208" i="3"/>
  <c r="R1208" i="3"/>
  <c r="S1208" i="3" s="1"/>
  <c r="T1208" i="3" s="1"/>
  <c r="U1208" i="3"/>
  <c r="V1208" i="3" s="1"/>
  <c r="L1209" i="3"/>
  <c r="M1209" i="3"/>
  <c r="N1209" i="3"/>
  <c r="P1209" i="3"/>
  <c r="Q1209" i="3"/>
  <c r="R1209" i="3"/>
  <c r="S1209" i="3" s="1"/>
  <c r="T1209" i="3" s="1"/>
  <c r="U1209" i="3"/>
  <c r="V1209" i="3" s="1"/>
  <c r="L1210" i="3"/>
  <c r="M1210" i="3"/>
  <c r="N1210" i="3"/>
  <c r="P1210" i="3"/>
  <c r="Q1210" i="3"/>
  <c r="R1210" i="3"/>
  <c r="S1210" i="3" s="1"/>
  <c r="T1210" i="3" s="1"/>
  <c r="U1210" i="3"/>
  <c r="V1210" i="3" s="1"/>
  <c r="L1211" i="3"/>
  <c r="M1211" i="3"/>
  <c r="N1211" i="3"/>
  <c r="P1211" i="3"/>
  <c r="Q1211" i="3"/>
  <c r="R1211" i="3"/>
  <c r="S1211" i="3" s="1"/>
  <c r="T1211" i="3" s="1"/>
  <c r="U1211" i="3"/>
  <c r="V1211" i="3" s="1"/>
  <c r="L1212" i="3"/>
  <c r="M1212" i="3"/>
  <c r="N1212" i="3"/>
  <c r="P1212" i="3"/>
  <c r="Q1212" i="3"/>
  <c r="R1212" i="3"/>
  <c r="S1212" i="3" s="1"/>
  <c r="T1212" i="3" s="1"/>
  <c r="U1212" i="3"/>
  <c r="V1212" i="3" s="1"/>
  <c r="L1213" i="3"/>
  <c r="M1213" i="3"/>
  <c r="N1213" i="3"/>
  <c r="P1213" i="3"/>
  <c r="Q1213" i="3"/>
  <c r="R1213" i="3"/>
  <c r="S1213" i="3" s="1"/>
  <c r="T1213" i="3" s="1"/>
  <c r="U1213" i="3"/>
  <c r="V1213" i="3" s="1"/>
  <c r="L1214" i="3"/>
  <c r="M1214" i="3"/>
  <c r="N1214" i="3"/>
  <c r="P1214" i="3"/>
  <c r="Q1214" i="3"/>
  <c r="R1214" i="3"/>
  <c r="S1214" i="3" s="1"/>
  <c r="T1214" i="3" s="1"/>
  <c r="U1214" i="3"/>
  <c r="V1214" i="3" s="1"/>
  <c r="L1215" i="3"/>
  <c r="M1215" i="3"/>
  <c r="N1215" i="3"/>
  <c r="P1215" i="3"/>
  <c r="Q1215" i="3"/>
  <c r="R1215" i="3"/>
  <c r="S1215" i="3" s="1"/>
  <c r="T1215" i="3" s="1"/>
  <c r="U1215" i="3"/>
  <c r="V1215" i="3" s="1"/>
  <c r="L1216" i="3"/>
  <c r="M1216" i="3"/>
  <c r="N1216" i="3"/>
  <c r="P1216" i="3"/>
  <c r="Q1216" i="3"/>
  <c r="R1216" i="3"/>
  <c r="S1216" i="3" s="1"/>
  <c r="T1216" i="3" s="1"/>
  <c r="U1216" i="3"/>
  <c r="V1216" i="3" s="1"/>
  <c r="L1217" i="3"/>
  <c r="M1217" i="3"/>
  <c r="N1217" i="3"/>
  <c r="P1217" i="3"/>
  <c r="Q1217" i="3"/>
  <c r="R1217" i="3"/>
  <c r="S1217" i="3" s="1"/>
  <c r="T1217" i="3" s="1"/>
  <c r="U1217" i="3"/>
  <c r="V1217" i="3" s="1"/>
  <c r="L1218" i="3"/>
  <c r="M1218" i="3"/>
  <c r="N1218" i="3"/>
  <c r="P1218" i="3"/>
  <c r="Q1218" i="3"/>
  <c r="R1218" i="3"/>
  <c r="S1218" i="3" s="1"/>
  <c r="T1218" i="3" s="1"/>
  <c r="U1218" i="3"/>
  <c r="V1218" i="3" s="1"/>
  <c r="L1219" i="3"/>
  <c r="M1219" i="3"/>
  <c r="N1219" i="3"/>
  <c r="P1219" i="3"/>
  <c r="Q1219" i="3"/>
  <c r="R1219" i="3"/>
  <c r="S1219" i="3" s="1"/>
  <c r="T1219" i="3" s="1"/>
  <c r="U1219" i="3"/>
  <c r="V1219" i="3" s="1"/>
  <c r="L1220" i="3"/>
  <c r="M1220" i="3"/>
  <c r="N1220" i="3"/>
  <c r="P1220" i="3"/>
  <c r="Q1220" i="3"/>
  <c r="R1220" i="3"/>
  <c r="S1220" i="3" s="1"/>
  <c r="T1220" i="3" s="1"/>
  <c r="U1220" i="3"/>
  <c r="V1220" i="3" s="1"/>
  <c r="L1221" i="3"/>
  <c r="M1221" i="3"/>
  <c r="N1221" i="3"/>
  <c r="P1221" i="3"/>
  <c r="Q1221" i="3"/>
  <c r="R1221" i="3"/>
  <c r="S1221" i="3" s="1"/>
  <c r="T1221" i="3" s="1"/>
  <c r="U1221" i="3"/>
  <c r="V1221" i="3" s="1"/>
  <c r="L1222" i="3"/>
  <c r="M1222" i="3"/>
  <c r="N1222" i="3"/>
  <c r="P1222" i="3"/>
  <c r="Q1222" i="3"/>
  <c r="R1222" i="3"/>
  <c r="S1222" i="3" s="1"/>
  <c r="T1222" i="3" s="1"/>
  <c r="U1222" i="3"/>
  <c r="V1222" i="3" s="1"/>
  <c r="L1223" i="3"/>
  <c r="M1223" i="3"/>
  <c r="N1223" i="3"/>
  <c r="P1223" i="3"/>
  <c r="Q1223" i="3"/>
  <c r="R1223" i="3"/>
  <c r="S1223" i="3" s="1"/>
  <c r="T1223" i="3" s="1"/>
  <c r="U1223" i="3"/>
  <c r="V1223" i="3" s="1"/>
  <c r="L1224" i="3"/>
  <c r="M1224" i="3"/>
  <c r="N1224" i="3"/>
  <c r="P1224" i="3"/>
  <c r="Q1224" i="3"/>
  <c r="R1224" i="3"/>
  <c r="S1224" i="3" s="1"/>
  <c r="T1224" i="3" s="1"/>
  <c r="U1224" i="3"/>
  <c r="V1224" i="3" s="1"/>
  <c r="L1225" i="3"/>
  <c r="M1225" i="3"/>
  <c r="N1225" i="3"/>
  <c r="P1225" i="3"/>
  <c r="Q1225" i="3"/>
  <c r="R1225" i="3"/>
  <c r="S1225" i="3" s="1"/>
  <c r="T1225" i="3" s="1"/>
  <c r="U1225" i="3"/>
  <c r="V1225" i="3" s="1"/>
  <c r="L1226" i="3"/>
  <c r="M1226" i="3"/>
  <c r="N1226" i="3"/>
  <c r="P1226" i="3"/>
  <c r="Q1226" i="3"/>
  <c r="R1226" i="3"/>
  <c r="S1226" i="3" s="1"/>
  <c r="T1226" i="3" s="1"/>
  <c r="U1226" i="3"/>
  <c r="V1226" i="3" s="1"/>
  <c r="L1227" i="3"/>
  <c r="M1227" i="3"/>
  <c r="N1227" i="3"/>
  <c r="P1227" i="3"/>
  <c r="Q1227" i="3"/>
  <c r="R1227" i="3"/>
  <c r="S1227" i="3" s="1"/>
  <c r="T1227" i="3" s="1"/>
  <c r="U1227" i="3"/>
  <c r="V1227" i="3" s="1"/>
  <c r="L1228" i="3"/>
  <c r="M1228" i="3"/>
  <c r="N1228" i="3"/>
  <c r="P1228" i="3"/>
  <c r="Q1228" i="3"/>
  <c r="R1228" i="3"/>
  <c r="S1228" i="3" s="1"/>
  <c r="T1228" i="3" s="1"/>
  <c r="U1228" i="3"/>
  <c r="V1228" i="3" s="1"/>
  <c r="L1229" i="3"/>
  <c r="M1229" i="3"/>
  <c r="N1229" i="3"/>
  <c r="P1229" i="3"/>
  <c r="Q1229" i="3"/>
  <c r="R1229" i="3"/>
  <c r="S1229" i="3" s="1"/>
  <c r="T1229" i="3" s="1"/>
  <c r="U1229" i="3"/>
  <c r="V1229" i="3" s="1"/>
  <c r="L1230" i="3"/>
  <c r="M1230" i="3"/>
  <c r="N1230" i="3"/>
  <c r="P1230" i="3"/>
  <c r="Q1230" i="3"/>
  <c r="R1230" i="3"/>
  <c r="S1230" i="3" s="1"/>
  <c r="T1230" i="3" s="1"/>
  <c r="U1230" i="3"/>
  <c r="V1230" i="3" s="1"/>
  <c r="L1231" i="3"/>
  <c r="M1231" i="3"/>
  <c r="N1231" i="3"/>
  <c r="P1231" i="3"/>
  <c r="Q1231" i="3"/>
  <c r="R1231" i="3"/>
  <c r="S1231" i="3" s="1"/>
  <c r="T1231" i="3" s="1"/>
  <c r="U1231" i="3"/>
  <c r="V1231" i="3" s="1"/>
  <c r="L1232" i="3"/>
  <c r="M1232" i="3"/>
  <c r="N1232" i="3"/>
  <c r="P1232" i="3"/>
  <c r="Q1232" i="3"/>
  <c r="R1232" i="3"/>
  <c r="S1232" i="3" s="1"/>
  <c r="T1232" i="3" s="1"/>
  <c r="U1232" i="3"/>
  <c r="V1232" i="3" s="1"/>
  <c r="L1233" i="3"/>
  <c r="M1233" i="3"/>
  <c r="N1233" i="3"/>
  <c r="P1233" i="3"/>
  <c r="Q1233" i="3"/>
  <c r="R1233" i="3"/>
  <c r="S1233" i="3" s="1"/>
  <c r="T1233" i="3" s="1"/>
  <c r="U1233" i="3"/>
  <c r="V1233" i="3" s="1"/>
  <c r="L1234" i="3"/>
  <c r="M1234" i="3"/>
  <c r="N1234" i="3"/>
  <c r="P1234" i="3"/>
  <c r="Q1234" i="3"/>
  <c r="R1234" i="3"/>
  <c r="S1234" i="3" s="1"/>
  <c r="T1234" i="3" s="1"/>
  <c r="U1234" i="3"/>
  <c r="V1234" i="3" s="1"/>
  <c r="L1235" i="3"/>
  <c r="M1235" i="3"/>
  <c r="N1235" i="3"/>
  <c r="P1235" i="3"/>
  <c r="Q1235" i="3"/>
  <c r="R1235" i="3"/>
  <c r="S1235" i="3" s="1"/>
  <c r="T1235" i="3" s="1"/>
  <c r="U1235" i="3"/>
  <c r="V1235" i="3" s="1"/>
  <c r="L1236" i="3"/>
  <c r="M1236" i="3"/>
  <c r="N1236" i="3"/>
  <c r="P1236" i="3"/>
  <c r="Q1236" i="3"/>
  <c r="R1236" i="3"/>
  <c r="S1236" i="3" s="1"/>
  <c r="T1236" i="3" s="1"/>
  <c r="U1236" i="3"/>
  <c r="V1236" i="3" s="1"/>
  <c r="L1237" i="3"/>
  <c r="M1237" i="3"/>
  <c r="N1237" i="3"/>
  <c r="P1237" i="3"/>
  <c r="Q1237" i="3"/>
  <c r="R1237" i="3"/>
  <c r="S1237" i="3" s="1"/>
  <c r="T1237" i="3" s="1"/>
  <c r="U1237" i="3"/>
  <c r="V1237" i="3" s="1"/>
  <c r="L1238" i="3"/>
  <c r="M1238" i="3"/>
  <c r="N1238" i="3"/>
  <c r="P1238" i="3"/>
  <c r="Q1238" i="3"/>
  <c r="R1238" i="3"/>
  <c r="S1238" i="3" s="1"/>
  <c r="T1238" i="3" s="1"/>
  <c r="U1238" i="3"/>
  <c r="V1238" i="3" s="1"/>
  <c r="L1239" i="3"/>
  <c r="M1239" i="3"/>
  <c r="N1239" i="3"/>
  <c r="P1239" i="3"/>
  <c r="Q1239" i="3"/>
  <c r="R1239" i="3"/>
  <c r="S1239" i="3" s="1"/>
  <c r="T1239" i="3" s="1"/>
  <c r="U1239" i="3"/>
  <c r="V1239" i="3" s="1"/>
  <c r="L1240" i="3"/>
  <c r="M1240" i="3"/>
  <c r="N1240" i="3"/>
  <c r="P1240" i="3"/>
  <c r="Q1240" i="3"/>
  <c r="R1240" i="3"/>
  <c r="S1240" i="3" s="1"/>
  <c r="T1240" i="3" s="1"/>
  <c r="U1240" i="3"/>
  <c r="V1240" i="3" s="1"/>
  <c r="L1241" i="3"/>
  <c r="M1241" i="3"/>
  <c r="N1241" i="3"/>
  <c r="P1241" i="3"/>
  <c r="Q1241" i="3"/>
  <c r="R1241" i="3"/>
  <c r="S1241" i="3" s="1"/>
  <c r="T1241" i="3" s="1"/>
  <c r="U1241" i="3"/>
  <c r="V1241" i="3"/>
  <c r="L1242" i="3"/>
  <c r="M1242" i="3"/>
  <c r="N1242" i="3"/>
  <c r="P1242" i="3"/>
  <c r="Q1242" i="3"/>
  <c r="R1242" i="3"/>
  <c r="S1242" i="3" s="1"/>
  <c r="T1242" i="3" s="1"/>
  <c r="U1242" i="3"/>
  <c r="V1242" i="3" s="1"/>
  <c r="L1243" i="3"/>
  <c r="M1243" i="3"/>
  <c r="N1243" i="3"/>
  <c r="P1243" i="3"/>
  <c r="Q1243" i="3"/>
  <c r="R1243" i="3"/>
  <c r="S1243" i="3" s="1"/>
  <c r="T1243" i="3" s="1"/>
  <c r="U1243" i="3"/>
  <c r="V1243" i="3" s="1"/>
  <c r="L1244" i="3"/>
  <c r="M1244" i="3"/>
  <c r="N1244" i="3"/>
  <c r="P1244" i="3"/>
  <c r="Q1244" i="3"/>
  <c r="R1244" i="3"/>
  <c r="S1244" i="3" s="1"/>
  <c r="T1244" i="3" s="1"/>
  <c r="U1244" i="3"/>
  <c r="V1244" i="3" s="1"/>
  <c r="L1245" i="3"/>
  <c r="M1245" i="3"/>
  <c r="N1245" i="3"/>
  <c r="P1245" i="3"/>
  <c r="Q1245" i="3"/>
  <c r="R1245" i="3"/>
  <c r="S1245" i="3" s="1"/>
  <c r="T1245" i="3" s="1"/>
  <c r="U1245" i="3"/>
  <c r="V1245" i="3" s="1"/>
  <c r="L1246" i="3"/>
  <c r="M1246" i="3"/>
  <c r="N1246" i="3"/>
  <c r="P1246" i="3"/>
  <c r="Q1246" i="3"/>
  <c r="R1246" i="3"/>
  <c r="S1246" i="3" s="1"/>
  <c r="T1246" i="3" s="1"/>
  <c r="U1246" i="3"/>
  <c r="V1246" i="3" s="1"/>
  <c r="L1247" i="3"/>
  <c r="M1247" i="3"/>
  <c r="N1247" i="3"/>
  <c r="P1247" i="3"/>
  <c r="Q1247" i="3"/>
  <c r="R1247" i="3"/>
  <c r="S1247" i="3" s="1"/>
  <c r="T1247" i="3" s="1"/>
  <c r="U1247" i="3"/>
  <c r="V1247" i="3" s="1"/>
  <c r="L1248" i="3"/>
  <c r="M1248" i="3"/>
  <c r="N1248" i="3"/>
  <c r="P1248" i="3"/>
  <c r="Q1248" i="3"/>
  <c r="R1248" i="3"/>
  <c r="S1248" i="3" s="1"/>
  <c r="T1248" i="3" s="1"/>
  <c r="U1248" i="3"/>
  <c r="V1248" i="3" s="1"/>
  <c r="L1249" i="3"/>
  <c r="M1249" i="3"/>
  <c r="N1249" i="3"/>
  <c r="P1249" i="3"/>
  <c r="Q1249" i="3"/>
  <c r="R1249" i="3"/>
  <c r="S1249" i="3" s="1"/>
  <c r="T1249" i="3" s="1"/>
  <c r="U1249" i="3"/>
  <c r="V1249" i="3" s="1"/>
  <c r="L1250" i="3"/>
  <c r="M1250" i="3"/>
  <c r="N1250" i="3"/>
  <c r="P1250" i="3"/>
  <c r="Q1250" i="3"/>
  <c r="R1250" i="3"/>
  <c r="S1250" i="3" s="1"/>
  <c r="T1250" i="3" s="1"/>
  <c r="U1250" i="3"/>
  <c r="V1250" i="3" s="1"/>
  <c r="L1251" i="3"/>
  <c r="M1251" i="3"/>
  <c r="N1251" i="3"/>
  <c r="P1251" i="3"/>
  <c r="Q1251" i="3"/>
  <c r="R1251" i="3"/>
  <c r="S1251" i="3" s="1"/>
  <c r="T1251" i="3" s="1"/>
  <c r="U1251" i="3"/>
  <c r="V1251" i="3" s="1"/>
  <c r="L1252" i="3"/>
  <c r="M1252" i="3"/>
  <c r="N1252" i="3"/>
  <c r="P1252" i="3"/>
  <c r="Q1252" i="3"/>
  <c r="R1252" i="3"/>
  <c r="S1252" i="3" s="1"/>
  <c r="T1252" i="3" s="1"/>
  <c r="U1252" i="3"/>
  <c r="V1252" i="3" s="1"/>
  <c r="L1253" i="3"/>
  <c r="M1253" i="3"/>
  <c r="N1253" i="3"/>
  <c r="P1253" i="3"/>
  <c r="Q1253" i="3"/>
  <c r="R1253" i="3"/>
  <c r="S1253" i="3" s="1"/>
  <c r="T1253" i="3" s="1"/>
  <c r="U1253" i="3"/>
  <c r="V1253" i="3" s="1"/>
  <c r="L1254" i="3"/>
  <c r="M1254" i="3"/>
  <c r="N1254" i="3"/>
  <c r="P1254" i="3"/>
  <c r="Q1254" i="3"/>
  <c r="R1254" i="3"/>
  <c r="S1254" i="3" s="1"/>
  <c r="T1254" i="3" s="1"/>
  <c r="U1254" i="3"/>
  <c r="V1254" i="3" s="1"/>
  <c r="L1255" i="3"/>
  <c r="M1255" i="3"/>
  <c r="N1255" i="3"/>
  <c r="P1255" i="3"/>
  <c r="Q1255" i="3"/>
  <c r="R1255" i="3"/>
  <c r="S1255" i="3" s="1"/>
  <c r="T1255" i="3" s="1"/>
  <c r="U1255" i="3"/>
  <c r="V1255" i="3" s="1"/>
  <c r="L1256" i="3"/>
  <c r="M1256" i="3"/>
  <c r="N1256" i="3"/>
  <c r="P1256" i="3"/>
  <c r="Q1256" i="3"/>
  <c r="R1256" i="3"/>
  <c r="S1256" i="3" s="1"/>
  <c r="T1256" i="3" s="1"/>
  <c r="U1256" i="3"/>
  <c r="V1256" i="3" s="1"/>
  <c r="L1257" i="3"/>
  <c r="M1257" i="3"/>
  <c r="N1257" i="3"/>
  <c r="P1257" i="3"/>
  <c r="Q1257" i="3"/>
  <c r="R1257" i="3"/>
  <c r="S1257" i="3"/>
  <c r="T1257" i="3" s="1"/>
  <c r="U1257" i="3"/>
  <c r="V1257" i="3" s="1"/>
  <c r="L1258" i="3"/>
  <c r="M1258" i="3"/>
  <c r="N1258" i="3"/>
  <c r="P1258" i="3"/>
  <c r="Q1258" i="3"/>
  <c r="R1258" i="3"/>
  <c r="S1258" i="3" s="1"/>
  <c r="T1258" i="3" s="1"/>
  <c r="U1258" i="3"/>
  <c r="V1258" i="3" s="1"/>
  <c r="L1259" i="3"/>
  <c r="M1259" i="3"/>
  <c r="N1259" i="3"/>
  <c r="P1259" i="3"/>
  <c r="Q1259" i="3"/>
  <c r="R1259" i="3"/>
  <c r="S1259" i="3" s="1"/>
  <c r="T1259" i="3" s="1"/>
  <c r="U1259" i="3"/>
  <c r="V1259" i="3" s="1"/>
  <c r="L1260" i="3"/>
  <c r="M1260" i="3"/>
  <c r="N1260" i="3"/>
  <c r="P1260" i="3"/>
  <c r="Q1260" i="3"/>
  <c r="R1260" i="3"/>
  <c r="S1260" i="3" s="1"/>
  <c r="T1260" i="3" s="1"/>
  <c r="U1260" i="3"/>
  <c r="V1260" i="3" s="1"/>
  <c r="L1261" i="3"/>
  <c r="M1261" i="3"/>
  <c r="N1261" i="3"/>
  <c r="P1261" i="3"/>
  <c r="Q1261" i="3"/>
  <c r="R1261" i="3"/>
  <c r="S1261" i="3" s="1"/>
  <c r="T1261" i="3" s="1"/>
  <c r="U1261" i="3"/>
  <c r="V1261" i="3" s="1"/>
  <c r="L1262" i="3"/>
  <c r="M1262" i="3"/>
  <c r="N1262" i="3"/>
  <c r="P1262" i="3"/>
  <c r="Q1262" i="3"/>
  <c r="R1262" i="3"/>
  <c r="S1262" i="3" s="1"/>
  <c r="T1262" i="3" s="1"/>
  <c r="U1262" i="3"/>
  <c r="V1262" i="3" s="1"/>
  <c r="L1263" i="3"/>
  <c r="M1263" i="3"/>
  <c r="N1263" i="3"/>
  <c r="P1263" i="3"/>
  <c r="Q1263" i="3"/>
  <c r="R1263" i="3"/>
  <c r="S1263" i="3" s="1"/>
  <c r="T1263" i="3" s="1"/>
  <c r="U1263" i="3"/>
  <c r="V1263" i="3" s="1"/>
  <c r="L1264" i="3"/>
  <c r="M1264" i="3"/>
  <c r="N1264" i="3"/>
  <c r="P1264" i="3"/>
  <c r="Q1264" i="3"/>
  <c r="R1264" i="3"/>
  <c r="S1264" i="3" s="1"/>
  <c r="T1264" i="3" s="1"/>
  <c r="U1264" i="3"/>
  <c r="V1264" i="3" s="1"/>
  <c r="L1265" i="3"/>
  <c r="M1265" i="3"/>
  <c r="N1265" i="3"/>
  <c r="P1265" i="3"/>
  <c r="Q1265" i="3"/>
  <c r="R1265" i="3"/>
  <c r="S1265" i="3" s="1"/>
  <c r="T1265" i="3" s="1"/>
  <c r="U1265" i="3"/>
  <c r="V1265" i="3" s="1"/>
  <c r="L1266" i="3"/>
  <c r="M1266" i="3"/>
  <c r="N1266" i="3"/>
  <c r="P1266" i="3"/>
  <c r="Q1266" i="3"/>
  <c r="R1266" i="3"/>
  <c r="S1266" i="3" s="1"/>
  <c r="T1266" i="3" s="1"/>
  <c r="U1266" i="3"/>
  <c r="V1266" i="3" s="1"/>
  <c r="L1267" i="3"/>
  <c r="M1267" i="3"/>
  <c r="N1267" i="3"/>
  <c r="P1267" i="3"/>
  <c r="Q1267" i="3"/>
  <c r="R1267" i="3"/>
  <c r="S1267" i="3" s="1"/>
  <c r="T1267" i="3" s="1"/>
  <c r="U1267" i="3"/>
  <c r="V1267" i="3" s="1"/>
  <c r="L1268" i="3"/>
  <c r="M1268" i="3"/>
  <c r="N1268" i="3"/>
  <c r="P1268" i="3"/>
  <c r="Q1268" i="3"/>
  <c r="R1268" i="3"/>
  <c r="S1268" i="3" s="1"/>
  <c r="T1268" i="3" s="1"/>
  <c r="U1268" i="3"/>
  <c r="V1268" i="3" s="1"/>
  <c r="L1269" i="3"/>
  <c r="M1269" i="3"/>
  <c r="N1269" i="3"/>
  <c r="P1269" i="3"/>
  <c r="Q1269" i="3"/>
  <c r="R1269" i="3"/>
  <c r="S1269" i="3" s="1"/>
  <c r="T1269" i="3" s="1"/>
  <c r="U1269" i="3"/>
  <c r="V1269" i="3" s="1"/>
  <c r="L1270" i="3"/>
  <c r="M1270" i="3"/>
  <c r="N1270" i="3"/>
  <c r="P1270" i="3"/>
  <c r="Q1270" i="3"/>
  <c r="R1270" i="3"/>
  <c r="S1270" i="3" s="1"/>
  <c r="T1270" i="3" s="1"/>
  <c r="U1270" i="3"/>
  <c r="V1270" i="3" s="1"/>
  <c r="L1271" i="3"/>
  <c r="M1271" i="3"/>
  <c r="N1271" i="3"/>
  <c r="P1271" i="3"/>
  <c r="Q1271" i="3"/>
  <c r="R1271" i="3"/>
  <c r="S1271" i="3" s="1"/>
  <c r="T1271" i="3" s="1"/>
  <c r="U1271" i="3"/>
  <c r="V1271" i="3" s="1"/>
  <c r="L1272" i="3"/>
  <c r="M1272" i="3"/>
  <c r="N1272" i="3"/>
  <c r="P1272" i="3"/>
  <c r="Q1272" i="3"/>
  <c r="R1272" i="3"/>
  <c r="S1272" i="3" s="1"/>
  <c r="T1272" i="3" s="1"/>
  <c r="U1272" i="3"/>
  <c r="V1272" i="3" s="1"/>
  <c r="L1273" i="3"/>
  <c r="M1273" i="3"/>
  <c r="N1273" i="3"/>
  <c r="P1273" i="3"/>
  <c r="Q1273" i="3"/>
  <c r="R1273" i="3"/>
  <c r="S1273" i="3" s="1"/>
  <c r="T1273" i="3" s="1"/>
  <c r="U1273" i="3"/>
  <c r="V1273" i="3" s="1"/>
  <c r="L1274" i="3"/>
  <c r="M1274" i="3"/>
  <c r="N1274" i="3"/>
  <c r="P1274" i="3"/>
  <c r="Q1274" i="3"/>
  <c r="R1274" i="3"/>
  <c r="S1274" i="3" s="1"/>
  <c r="T1274" i="3" s="1"/>
  <c r="U1274" i="3"/>
  <c r="V1274" i="3" s="1"/>
  <c r="L1275" i="3"/>
  <c r="M1275" i="3"/>
  <c r="N1275" i="3"/>
  <c r="P1275" i="3"/>
  <c r="Q1275" i="3"/>
  <c r="R1275" i="3"/>
  <c r="S1275" i="3" s="1"/>
  <c r="T1275" i="3" s="1"/>
  <c r="U1275" i="3"/>
  <c r="V1275" i="3" s="1"/>
  <c r="L1276" i="3"/>
  <c r="M1276" i="3"/>
  <c r="N1276" i="3"/>
  <c r="P1276" i="3"/>
  <c r="Q1276" i="3"/>
  <c r="R1276" i="3"/>
  <c r="S1276" i="3" s="1"/>
  <c r="T1276" i="3" s="1"/>
  <c r="U1276" i="3"/>
  <c r="V1276" i="3" s="1"/>
  <c r="L1277" i="3"/>
  <c r="M1277" i="3"/>
  <c r="N1277" i="3"/>
  <c r="P1277" i="3"/>
  <c r="Q1277" i="3"/>
  <c r="R1277" i="3"/>
  <c r="S1277" i="3" s="1"/>
  <c r="T1277" i="3" s="1"/>
  <c r="U1277" i="3"/>
  <c r="V1277" i="3" s="1"/>
  <c r="L1278" i="3"/>
  <c r="M1278" i="3"/>
  <c r="N1278" i="3"/>
  <c r="P1278" i="3"/>
  <c r="Q1278" i="3"/>
  <c r="R1278" i="3"/>
  <c r="S1278" i="3" s="1"/>
  <c r="T1278" i="3" s="1"/>
  <c r="U1278" i="3"/>
  <c r="V1278" i="3" s="1"/>
  <c r="L1279" i="3"/>
  <c r="M1279" i="3"/>
  <c r="N1279" i="3"/>
  <c r="P1279" i="3"/>
  <c r="Q1279" i="3"/>
  <c r="R1279" i="3"/>
  <c r="S1279" i="3" s="1"/>
  <c r="T1279" i="3" s="1"/>
  <c r="U1279" i="3"/>
  <c r="V1279" i="3" s="1"/>
  <c r="L1280" i="3"/>
  <c r="M1280" i="3"/>
  <c r="N1280" i="3"/>
  <c r="P1280" i="3"/>
  <c r="Q1280" i="3"/>
  <c r="R1280" i="3"/>
  <c r="S1280" i="3" s="1"/>
  <c r="T1280" i="3" s="1"/>
  <c r="U1280" i="3"/>
  <c r="V1280" i="3" s="1"/>
  <c r="L1281" i="3"/>
  <c r="M1281" i="3"/>
  <c r="N1281" i="3"/>
  <c r="P1281" i="3"/>
  <c r="Q1281" i="3"/>
  <c r="R1281" i="3"/>
  <c r="S1281" i="3" s="1"/>
  <c r="T1281" i="3" s="1"/>
  <c r="U1281" i="3"/>
  <c r="V1281" i="3" s="1"/>
  <c r="L1282" i="3"/>
  <c r="M1282" i="3"/>
  <c r="N1282" i="3"/>
  <c r="P1282" i="3"/>
  <c r="Q1282" i="3"/>
  <c r="R1282" i="3"/>
  <c r="S1282" i="3" s="1"/>
  <c r="T1282" i="3" s="1"/>
  <c r="U1282" i="3"/>
  <c r="V1282" i="3" s="1"/>
  <c r="L1283" i="3"/>
  <c r="M1283" i="3"/>
  <c r="N1283" i="3"/>
  <c r="P1283" i="3"/>
  <c r="Q1283" i="3"/>
  <c r="R1283" i="3"/>
  <c r="S1283" i="3" s="1"/>
  <c r="T1283" i="3" s="1"/>
  <c r="U1283" i="3"/>
  <c r="V1283" i="3" s="1"/>
  <c r="L1284" i="3"/>
  <c r="M1284" i="3"/>
  <c r="N1284" i="3"/>
  <c r="P1284" i="3"/>
  <c r="Q1284" i="3"/>
  <c r="R1284" i="3"/>
  <c r="S1284" i="3" s="1"/>
  <c r="T1284" i="3" s="1"/>
  <c r="U1284" i="3"/>
  <c r="V1284" i="3" s="1"/>
  <c r="L1285" i="3"/>
  <c r="M1285" i="3"/>
  <c r="N1285" i="3"/>
  <c r="P1285" i="3"/>
  <c r="Q1285" i="3"/>
  <c r="R1285" i="3"/>
  <c r="S1285" i="3" s="1"/>
  <c r="T1285" i="3" s="1"/>
  <c r="U1285" i="3"/>
  <c r="V1285" i="3" s="1"/>
  <c r="L1286" i="3"/>
  <c r="M1286" i="3"/>
  <c r="N1286" i="3"/>
  <c r="P1286" i="3"/>
  <c r="Q1286" i="3"/>
  <c r="R1286" i="3"/>
  <c r="S1286" i="3" s="1"/>
  <c r="T1286" i="3" s="1"/>
  <c r="U1286" i="3"/>
  <c r="V1286" i="3" s="1"/>
  <c r="L1287" i="3"/>
  <c r="M1287" i="3"/>
  <c r="N1287" i="3"/>
  <c r="P1287" i="3"/>
  <c r="Q1287" i="3"/>
  <c r="R1287" i="3"/>
  <c r="S1287" i="3" s="1"/>
  <c r="T1287" i="3" s="1"/>
  <c r="U1287" i="3"/>
  <c r="V1287" i="3" s="1"/>
  <c r="L1288" i="3"/>
  <c r="M1288" i="3"/>
  <c r="N1288" i="3"/>
  <c r="P1288" i="3"/>
  <c r="Q1288" i="3"/>
  <c r="R1288" i="3"/>
  <c r="S1288" i="3" s="1"/>
  <c r="T1288" i="3" s="1"/>
  <c r="U1288" i="3"/>
  <c r="V1288" i="3" s="1"/>
  <c r="L1289" i="3"/>
  <c r="M1289" i="3"/>
  <c r="N1289" i="3"/>
  <c r="P1289" i="3"/>
  <c r="Q1289" i="3"/>
  <c r="R1289" i="3"/>
  <c r="S1289" i="3" s="1"/>
  <c r="T1289" i="3" s="1"/>
  <c r="U1289" i="3"/>
  <c r="V1289" i="3" s="1"/>
  <c r="L1290" i="3"/>
  <c r="M1290" i="3"/>
  <c r="N1290" i="3"/>
  <c r="P1290" i="3"/>
  <c r="Q1290" i="3"/>
  <c r="R1290" i="3"/>
  <c r="S1290" i="3" s="1"/>
  <c r="T1290" i="3" s="1"/>
  <c r="U1290" i="3"/>
  <c r="V1290" i="3" s="1"/>
  <c r="L1291" i="3"/>
  <c r="M1291" i="3"/>
  <c r="N1291" i="3"/>
  <c r="P1291" i="3"/>
  <c r="Q1291" i="3"/>
  <c r="R1291" i="3"/>
  <c r="S1291" i="3" s="1"/>
  <c r="T1291" i="3" s="1"/>
  <c r="U1291" i="3"/>
  <c r="V1291" i="3" s="1"/>
  <c r="L1292" i="3"/>
  <c r="M1292" i="3"/>
  <c r="N1292" i="3"/>
  <c r="P1292" i="3"/>
  <c r="Q1292" i="3"/>
  <c r="R1292" i="3"/>
  <c r="S1292" i="3" s="1"/>
  <c r="T1292" i="3" s="1"/>
  <c r="U1292" i="3"/>
  <c r="V1292" i="3" s="1"/>
  <c r="L1293" i="3"/>
  <c r="M1293" i="3"/>
  <c r="N1293" i="3"/>
  <c r="P1293" i="3"/>
  <c r="Q1293" i="3"/>
  <c r="R1293" i="3"/>
  <c r="S1293" i="3" s="1"/>
  <c r="T1293" i="3" s="1"/>
  <c r="U1293" i="3"/>
  <c r="V1293" i="3" s="1"/>
  <c r="L1294" i="3"/>
  <c r="M1294" i="3"/>
  <c r="N1294" i="3"/>
  <c r="P1294" i="3"/>
  <c r="Q1294" i="3"/>
  <c r="R1294" i="3"/>
  <c r="S1294" i="3" s="1"/>
  <c r="T1294" i="3" s="1"/>
  <c r="U1294" i="3"/>
  <c r="V1294" i="3" s="1"/>
  <c r="L1295" i="3"/>
  <c r="M1295" i="3"/>
  <c r="N1295" i="3"/>
  <c r="P1295" i="3"/>
  <c r="Q1295" i="3"/>
  <c r="R1295" i="3"/>
  <c r="S1295" i="3" s="1"/>
  <c r="T1295" i="3" s="1"/>
  <c r="U1295" i="3"/>
  <c r="V1295" i="3" s="1"/>
  <c r="L1296" i="3"/>
  <c r="M1296" i="3"/>
  <c r="N1296" i="3"/>
  <c r="P1296" i="3"/>
  <c r="Q1296" i="3"/>
  <c r="R1296" i="3"/>
  <c r="S1296" i="3" s="1"/>
  <c r="T1296" i="3" s="1"/>
  <c r="U1296" i="3"/>
  <c r="V1296" i="3" s="1"/>
  <c r="L1297" i="3"/>
  <c r="M1297" i="3"/>
  <c r="N1297" i="3"/>
  <c r="P1297" i="3"/>
  <c r="Q1297" i="3"/>
  <c r="R1297" i="3"/>
  <c r="S1297" i="3" s="1"/>
  <c r="T1297" i="3" s="1"/>
  <c r="U1297" i="3"/>
  <c r="V1297" i="3" s="1"/>
  <c r="L1298" i="3"/>
  <c r="M1298" i="3"/>
  <c r="N1298" i="3"/>
  <c r="P1298" i="3"/>
  <c r="Q1298" i="3"/>
  <c r="R1298" i="3"/>
  <c r="S1298" i="3" s="1"/>
  <c r="T1298" i="3" s="1"/>
  <c r="U1298" i="3"/>
  <c r="V1298" i="3" s="1"/>
  <c r="L1299" i="3"/>
  <c r="M1299" i="3"/>
  <c r="N1299" i="3"/>
  <c r="P1299" i="3"/>
  <c r="Q1299" i="3"/>
  <c r="R1299" i="3"/>
  <c r="S1299" i="3" s="1"/>
  <c r="T1299" i="3" s="1"/>
  <c r="U1299" i="3"/>
  <c r="V1299" i="3" s="1"/>
  <c r="L1300" i="3"/>
  <c r="M1300" i="3"/>
  <c r="N1300" i="3"/>
  <c r="P1300" i="3"/>
  <c r="Q1300" i="3"/>
  <c r="R1300" i="3"/>
  <c r="S1300" i="3" s="1"/>
  <c r="T1300" i="3" s="1"/>
  <c r="U1300" i="3"/>
  <c r="V1300" i="3" s="1"/>
  <c r="L1301" i="3"/>
  <c r="M1301" i="3"/>
  <c r="N1301" i="3"/>
  <c r="P1301" i="3"/>
  <c r="Q1301" i="3"/>
  <c r="R1301" i="3"/>
  <c r="S1301" i="3" s="1"/>
  <c r="T1301" i="3" s="1"/>
  <c r="U1301" i="3"/>
  <c r="V1301" i="3" s="1"/>
  <c r="L1302" i="3"/>
  <c r="M1302" i="3"/>
  <c r="N1302" i="3"/>
  <c r="P1302" i="3"/>
  <c r="Q1302" i="3"/>
  <c r="R1302" i="3"/>
  <c r="S1302" i="3" s="1"/>
  <c r="T1302" i="3" s="1"/>
  <c r="U1302" i="3"/>
  <c r="V1302" i="3" s="1"/>
  <c r="L1303" i="3"/>
  <c r="M1303" i="3"/>
  <c r="N1303" i="3"/>
  <c r="P1303" i="3"/>
  <c r="Q1303" i="3"/>
  <c r="R1303" i="3"/>
  <c r="S1303" i="3" s="1"/>
  <c r="T1303" i="3" s="1"/>
  <c r="U1303" i="3"/>
  <c r="V1303" i="3" s="1"/>
  <c r="L1304" i="3"/>
  <c r="M1304" i="3"/>
  <c r="N1304" i="3"/>
  <c r="P1304" i="3"/>
  <c r="Q1304" i="3"/>
  <c r="R1304" i="3"/>
  <c r="S1304" i="3" s="1"/>
  <c r="T1304" i="3" s="1"/>
  <c r="U1304" i="3"/>
  <c r="V1304" i="3" s="1"/>
  <c r="L1305" i="3"/>
  <c r="M1305" i="3"/>
  <c r="N1305" i="3"/>
  <c r="P1305" i="3"/>
  <c r="Q1305" i="3"/>
  <c r="R1305" i="3"/>
  <c r="S1305" i="3" s="1"/>
  <c r="T1305" i="3" s="1"/>
  <c r="U1305" i="3"/>
  <c r="V1305" i="3" s="1"/>
  <c r="L1306" i="3"/>
  <c r="M1306" i="3"/>
  <c r="N1306" i="3"/>
  <c r="P1306" i="3"/>
  <c r="Q1306" i="3"/>
  <c r="R1306" i="3"/>
  <c r="S1306" i="3" s="1"/>
  <c r="T1306" i="3" s="1"/>
  <c r="U1306" i="3"/>
  <c r="V1306" i="3" s="1"/>
  <c r="L1307" i="3"/>
  <c r="M1307" i="3"/>
  <c r="N1307" i="3"/>
  <c r="P1307" i="3"/>
  <c r="Q1307" i="3"/>
  <c r="R1307" i="3"/>
  <c r="S1307" i="3" s="1"/>
  <c r="T1307" i="3" s="1"/>
  <c r="U1307" i="3"/>
  <c r="V1307" i="3" s="1"/>
  <c r="L1308" i="3"/>
  <c r="M1308" i="3"/>
  <c r="N1308" i="3"/>
  <c r="P1308" i="3"/>
  <c r="Q1308" i="3"/>
  <c r="R1308" i="3"/>
  <c r="S1308" i="3" s="1"/>
  <c r="T1308" i="3" s="1"/>
  <c r="U1308" i="3"/>
  <c r="V1308" i="3" s="1"/>
  <c r="L1309" i="3"/>
  <c r="M1309" i="3"/>
  <c r="N1309" i="3"/>
  <c r="P1309" i="3"/>
  <c r="Q1309" i="3"/>
  <c r="R1309" i="3"/>
  <c r="S1309" i="3" s="1"/>
  <c r="T1309" i="3" s="1"/>
  <c r="U1309" i="3"/>
  <c r="V1309" i="3" s="1"/>
  <c r="L1310" i="3"/>
  <c r="M1310" i="3"/>
  <c r="N1310" i="3"/>
  <c r="P1310" i="3"/>
  <c r="Q1310" i="3"/>
  <c r="R1310" i="3"/>
  <c r="S1310" i="3" s="1"/>
  <c r="T1310" i="3" s="1"/>
  <c r="U1310" i="3"/>
  <c r="V1310" i="3" s="1"/>
  <c r="L1311" i="3"/>
  <c r="M1311" i="3"/>
  <c r="N1311" i="3"/>
  <c r="P1311" i="3"/>
  <c r="Q1311" i="3"/>
  <c r="R1311" i="3"/>
  <c r="S1311" i="3" s="1"/>
  <c r="T1311" i="3" s="1"/>
  <c r="U1311" i="3"/>
  <c r="V1311" i="3" s="1"/>
  <c r="L1312" i="3"/>
  <c r="M1312" i="3"/>
  <c r="N1312" i="3"/>
  <c r="P1312" i="3"/>
  <c r="Q1312" i="3"/>
  <c r="R1312" i="3"/>
  <c r="S1312" i="3" s="1"/>
  <c r="T1312" i="3" s="1"/>
  <c r="U1312" i="3"/>
  <c r="V1312" i="3" s="1"/>
  <c r="L1313" i="3"/>
  <c r="M1313" i="3"/>
  <c r="N1313" i="3"/>
  <c r="P1313" i="3"/>
  <c r="Q1313" i="3"/>
  <c r="R1313" i="3"/>
  <c r="S1313" i="3" s="1"/>
  <c r="T1313" i="3" s="1"/>
  <c r="U1313" i="3"/>
  <c r="V1313" i="3" s="1"/>
  <c r="L1314" i="3"/>
  <c r="M1314" i="3"/>
  <c r="N1314" i="3"/>
  <c r="P1314" i="3"/>
  <c r="Q1314" i="3"/>
  <c r="R1314" i="3"/>
  <c r="S1314" i="3" s="1"/>
  <c r="T1314" i="3" s="1"/>
  <c r="U1314" i="3"/>
  <c r="V1314" i="3" s="1"/>
  <c r="L1315" i="3"/>
  <c r="M1315" i="3"/>
  <c r="N1315" i="3"/>
  <c r="P1315" i="3"/>
  <c r="Q1315" i="3"/>
  <c r="R1315" i="3"/>
  <c r="S1315" i="3" s="1"/>
  <c r="T1315" i="3" s="1"/>
  <c r="U1315" i="3"/>
  <c r="V1315" i="3" s="1"/>
  <c r="L1316" i="3"/>
  <c r="M1316" i="3"/>
  <c r="N1316" i="3"/>
  <c r="P1316" i="3"/>
  <c r="Q1316" i="3"/>
  <c r="R1316" i="3"/>
  <c r="S1316" i="3" s="1"/>
  <c r="T1316" i="3" s="1"/>
  <c r="U1316" i="3"/>
  <c r="V1316" i="3" s="1"/>
  <c r="L1317" i="3"/>
  <c r="M1317" i="3"/>
  <c r="N1317" i="3"/>
  <c r="P1317" i="3"/>
  <c r="Q1317" i="3"/>
  <c r="R1317" i="3"/>
  <c r="S1317" i="3" s="1"/>
  <c r="T1317" i="3" s="1"/>
  <c r="U1317" i="3"/>
  <c r="V1317" i="3" s="1"/>
  <c r="L1318" i="3"/>
  <c r="M1318" i="3"/>
  <c r="N1318" i="3"/>
  <c r="P1318" i="3"/>
  <c r="Q1318" i="3"/>
  <c r="R1318" i="3"/>
  <c r="S1318" i="3" s="1"/>
  <c r="T1318" i="3" s="1"/>
  <c r="U1318" i="3"/>
  <c r="V1318" i="3" s="1"/>
  <c r="L1319" i="3"/>
  <c r="M1319" i="3"/>
  <c r="N1319" i="3"/>
  <c r="P1319" i="3"/>
  <c r="Q1319" i="3"/>
  <c r="R1319" i="3"/>
  <c r="S1319" i="3" s="1"/>
  <c r="T1319" i="3" s="1"/>
  <c r="U1319" i="3"/>
  <c r="V1319" i="3" s="1"/>
  <c r="L1320" i="3"/>
  <c r="M1320" i="3"/>
  <c r="N1320" i="3"/>
  <c r="P1320" i="3"/>
  <c r="Q1320" i="3"/>
  <c r="R1320" i="3"/>
  <c r="S1320" i="3" s="1"/>
  <c r="T1320" i="3" s="1"/>
  <c r="U1320" i="3"/>
  <c r="V1320" i="3" s="1"/>
  <c r="L1321" i="3"/>
  <c r="M1321" i="3"/>
  <c r="N1321" i="3"/>
  <c r="P1321" i="3"/>
  <c r="Q1321" i="3"/>
  <c r="R1321" i="3"/>
  <c r="S1321" i="3" s="1"/>
  <c r="T1321" i="3" s="1"/>
  <c r="U1321" i="3"/>
  <c r="V1321" i="3" s="1"/>
  <c r="L1322" i="3"/>
  <c r="M1322" i="3"/>
  <c r="N1322" i="3"/>
  <c r="P1322" i="3"/>
  <c r="Q1322" i="3"/>
  <c r="R1322" i="3"/>
  <c r="S1322" i="3" s="1"/>
  <c r="T1322" i="3" s="1"/>
  <c r="U1322" i="3"/>
  <c r="V1322" i="3" s="1"/>
  <c r="L1323" i="3"/>
  <c r="M1323" i="3"/>
  <c r="N1323" i="3"/>
  <c r="P1323" i="3"/>
  <c r="Q1323" i="3"/>
  <c r="R1323" i="3"/>
  <c r="S1323" i="3" s="1"/>
  <c r="T1323" i="3" s="1"/>
  <c r="U1323" i="3"/>
  <c r="V1323" i="3" s="1"/>
  <c r="L1324" i="3"/>
  <c r="M1324" i="3"/>
  <c r="N1324" i="3"/>
  <c r="P1324" i="3"/>
  <c r="Q1324" i="3"/>
  <c r="R1324" i="3"/>
  <c r="S1324" i="3" s="1"/>
  <c r="T1324" i="3" s="1"/>
  <c r="U1324" i="3"/>
  <c r="V1324" i="3" s="1"/>
  <c r="L1325" i="3"/>
  <c r="M1325" i="3"/>
  <c r="N1325" i="3"/>
  <c r="P1325" i="3"/>
  <c r="Q1325" i="3"/>
  <c r="R1325" i="3"/>
  <c r="S1325" i="3" s="1"/>
  <c r="T1325" i="3" s="1"/>
  <c r="U1325" i="3"/>
  <c r="V1325" i="3"/>
  <c r="L1326" i="3"/>
  <c r="M1326" i="3"/>
  <c r="N1326" i="3"/>
  <c r="P1326" i="3"/>
  <c r="Q1326" i="3"/>
  <c r="R1326" i="3"/>
  <c r="S1326" i="3" s="1"/>
  <c r="T1326" i="3" s="1"/>
  <c r="U1326" i="3"/>
  <c r="V1326" i="3" s="1"/>
  <c r="L1327" i="3"/>
  <c r="M1327" i="3"/>
  <c r="N1327" i="3"/>
  <c r="P1327" i="3"/>
  <c r="Q1327" i="3"/>
  <c r="R1327" i="3"/>
  <c r="S1327" i="3" s="1"/>
  <c r="T1327" i="3" s="1"/>
  <c r="U1327" i="3"/>
  <c r="V1327" i="3" s="1"/>
  <c r="L1328" i="3"/>
  <c r="M1328" i="3"/>
  <c r="N1328" i="3"/>
  <c r="P1328" i="3"/>
  <c r="Q1328" i="3"/>
  <c r="R1328" i="3"/>
  <c r="S1328" i="3" s="1"/>
  <c r="T1328" i="3" s="1"/>
  <c r="U1328" i="3"/>
  <c r="V1328" i="3" s="1"/>
  <c r="L1329" i="3"/>
  <c r="M1329" i="3"/>
  <c r="N1329" i="3"/>
  <c r="P1329" i="3"/>
  <c r="Q1329" i="3"/>
  <c r="R1329" i="3"/>
  <c r="S1329" i="3" s="1"/>
  <c r="T1329" i="3" s="1"/>
  <c r="U1329" i="3"/>
  <c r="V1329" i="3" s="1"/>
  <c r="L1330" i="3"/>
  <c r="M1330" i="3"/>
  <c r="N1330" i="3"/>
  <c r="P1330" i="3"/>
  <c r="Q1330" i="3"/>
  <c r="R1330" i="3"/>
  <c r="S1330" i="3" s="1"/>
  <c r="T1330" i="3" s="1"/>
  <c r="U1330" i="3"/>
  <c r="V1330" i="3" s="1"/>
  <c r="L1331" i="3"/>
  <c r="M1331" i="3"/>
  <c r="N1331" i="3"/>
  <c r="P1331" i="3"/>
  <c r="Q1331" i="3"/>
  <c r="R1331" i="3"/>
  <c r="S1331" i="3" s="1"/>
  <c r="T1331" i="3" s="1"/>
  <c r="U1331" i="3"/>
  <c r="V1331" i="3" s="1"/>
  <c r="L1332" i="3"/>
  <c r="M1332" i="3"/>
  <c r="N1332" i="3"/>
  <c r="P1332" i="3"/>
  <c r="Q1332" i="3"/>
  <c r="R1332" i="3"/>
  <c r="S1332" i="3" s="1"/>
  <c r="T1332" i="3" s="1"/>
  <c r="U1332" i="3"/>
  <c r="V1332" i="3" s="1"/>
  <c r="L1333" i="3"/>
  <c r="M1333" i="3"/>
  <c r="N1333" i="3"/>
  <c r="P1333" i="3"/>
  <c r="Q1333" i="3"/>
  <c r="R1333" i="3"/>
  <c r="S1333" i="3" s="1"/>
  <c r="T1333" i="3" s="1"/>
  <c r="U1333" i="3"/>
  <c r="V1333" i="3" s="1"/>
  <c r="L1334" i="3"/>
  <c r="M1334" i="3"/>
  <c r="N1334" i="3"/>
  <c r="P1334" i="3"/>
  <c r="Q1334" i="3"/>
  <c r="R1334" i="3"/>
  <c r="S1334" i="3" s="1"/>
  <c r="T1334" i="3" s="1"/>
  <c r="U1334" i="3"/>
  <c r="V1334" i="3" s="1"/>
  <c r="L1335" i="3"/>
  <c r="M1335" i="3"/>
  <c r="N1335" i="3"/>
  <c r="P1335" i="3"/>
  <c r="Q1335" i="3"/>
  <c r="R1335" i="3"/>
  <c r="S1335" i="3" s="1"/>
  <c r="T1335" i="3" s="1"/>
  <c r="U1335" i="3"/>
  <c r="V1335" i="3" s="1"/>
  <c r="L1336" i="3"/>
  <c r="M1336" i="3"/>
  <c r="N1336" i="3"/>
  <c r="P1336" i="3"/>
  <c r="Q1336" i="3"/>
  <c r="R1336" i="3"/>
  <c r="S1336" i="3" s="1"/>
  <c r="T1336" i="3" s="1"/>
  <c r="U1336" i="3"/>
  <c r="V1336" i="3" s="1"/>
  <c r="L1337" i="3"/>
  <c r="M1337" i="3"/>
  <c r="N1337" i="3"/>
  <c r="P1337" i="3"/>
  <c r="Q1337" i="3"/>
  <c r="R1337" i="3"/>
  <c r="S1337" i="3" s="1"/>
  <c r="T1337" i="3" s="1"/>
  <c r="U1337" i="3"/>
  <c r="V1337" i="3" s="1"/>
  <c r="L1338" i="3"/>
  <c r="M1338" i="3"/>
  <c r="N1338" i="3"/>
  <c r="P1338" i="3"/>
  <c r="Q1338" i="3"/>
  <c r="R1338" i="3"/>
  <c r="S1338" i="3" s="1"/>
  <c r="T1338" i="3" s="1"/>
  <c r="U1338" i="3"/>
  <c r="V1338" i="3" s="1"/>
  <c r="L1339" i="3"/>
  <c r="M1339" i="3"/>
  <c r="N1339" i="3"/>
  <c r="P1339" i="3"/>
  <c r="Q1339" i="3"/>
  <c r="R1339" i="3"/>
  <c r="S1339" i="3" s="1"/>
  <c r="T1339" i="3" s="1"/>
  <c r="U1339" i="3"/>
  <c r="V1339" i="3" s="1"/>
  <c r="L1340" i="3"/>
  <c r="M1340" i="3"/>
  <c r="N1340" i="3"/>
  <c r="P1340" i="3"/>
  <c r="Q1340" i="3"/>
  <c r="R1340" i="3"/>
  <c r="S1340" i="3" s="1"/>
  <c r="T1340" i="3" s="1"/>
  <c r="U1340" i="3"/>
  <c r="V1340" i="3" s="1"/>
  <c r="L1341" i="3"/>
  <c r="M1341" i="3"/>
  <c r="N1341" i="3"/>
  <c r="P1341" i="3"/>
  <c r="Q1341" i="3"/>
  <c r="R1341" i="3"/>
  <c r="S1341" i="3" s="1"/>
  <c r="T1341" i="3" s="1"/>
  <c r="U1341" i="3"/>
  <c r="V1341" i="3" s="1"/>
  <c r="L1342" i="3"/>
  <c r="M1342" i="3"/>
  <c r="N1342" i="3"/>
  <c r="P1342" i="3"/>
  <c r="Q1342" i="3"/>
  <c r="R1342" i="3"/>
  <c r="S1342" i="3" s="1"/>
  <c r="T1342" i="3" s="1"/>
  <c r="U1342" i="3"/>
  <c r="V1342" i="3" s="1"/>
  <c r="L1343" i="3"/>
  <c r="M1343" i="3"/>
  <c r="N1343" i="3"/>
  <c r="P1343" i="3"/>
  <c r="Q1343" i="3"/>
  <c r="R1343" i="3"/>
  <c r="S1343" i="3" s="1"/>
  <c r="T1343" i="3" s="1"/>
  <c r="U1343" i="3"/>
  <c r="V1343" i="3" s="1"/>
  <c r="L1344" i="3"/>
  <c r="M1344" i="3"/>
  <c r="N1344" i="3"/>
  <c r="P1344" i="3"/>
  <c r="Q1344" i="3"/>
  <c r="R1344" i="3"/>
  <c r="S1344" i="3" s="1"/>
  <c r="T1344" i="3" s="1"/>
  <c r="U1344" i="3"/>
  <c r="V1344" i="3" s="1"/>
  <c r="L1345" i="3"/>
  <c r="M1345" i="3"/>
  <c r="N1345" i="3"/>
  <c r="P1345" i="3"/>
  <c r="Q1345" i="3"/>
  <c r="R1345" i="3"/>
  <c r="S1345" i="3" s="1"/>
  <c r="T1345" i="3" s="1"/>
  <c r="U1345" i="3"/>
  <c r="V1345" i="3" s="1"/>
  <c r="L1346" i="3"/>
  <c r="M1346" i="3"/>
  <c r="N1346" i="3"/>
  <c r="P1346" i="3"/>
  <c r="Q1346" i="3"/>
  <c r="R1346" i="3"/>
  <c r="S1346" i="3" s="1"/>
  <c r="T1346" i="3" s="1"/>
  <c r="U1346" i="3"/>
  <c r="V1346" i="3" s="1"/>
  <c r="L1347" i="3"/>
  <c r="M1347" i="3"/>
  <c r="N1347" i="3"/>
  <c r="P1347" i="3"/>
  <c r="Q1347" i="3"/>
  <c r="R1347" i="3"/>
  <c r="S1347" i="3" s="1"/>
  <c r="T1347" i="3" s="1"/>
  <c r="U1347" i="3"/>
  <c r="V1347" i="3" s="1"/>
  <c r="L1348" i="3"/>
  <c r="M1348" i="3"/>
  <c r="N1348" i="3"/>
  <c r="P1348" i="3"/>
  <c r="Q1348" i="3"/>
  <c r="R1348" i="3"/>
  <c r="S1348" i="3" s="1"/>
  <c r="T1348" i="3" s="1"/>
  <c r="U1348" i="3"/>
  <c r="V1348" i="3" s="1"/>
  <c r="L1349" i="3"/>
  <c r="M1349" i="3"/>
  <c r="N1349" i="3"/>
  <c r="P1349" i="3"/>
  <c r="Q1349" i="3"/>
  <c r="R1349" i="3"/>
  <c r="S1349" i="3" s="1"/>
  <c r="T1349" i="3" s="1"/>
  <c r="U1349" i="3"/>
  <c r="V1349" i="3" s="1"/>
  <c r="L1350" i="3"/>
  <c r="M1350" i="3"/>
  <c r="N1350" i="3"/>
  <c r="P1350" i="3"/>
  <c r="Q1350" i="3"/>
  <c r="R1350" i="3"/>
  <c r="S1350" i="3" s="1"/>
  <c r="T1350" i="3" s="1"/>
  <c r="U1350" i="3"/>
  <c r="V1350" i="3" s="1"/>
  <c r="L1351" i="3"/>
  <c r="M1351" i="3"/>
  <c r="N1351" i="3"/>
  <c r="P1351" i="3"/>
  <c r="Q1351" i="3"/>
  <c r="R1351" i="3"/>
  <c r="S1351" i="3" s="1"/>
  <c r="T1351" i="3" s="1"/>
  <c r="U1351" i="3"/>
  <c r="V1351" i="3" s="1"/>
  <c r="L1352" i="3"/>
  <c r="M1352" i="3"/>
  <c r="N1352" i="3"/>
  <c r="P1352" i="3"/>
  <c r="Q1352" i="3"/>
  <c r="R1352" i="3"/>
  <c r="S1352" i="3" s="1"/>
  <c r="T1352" i="3" s="1"/>
  <c r="U1352" i="3"/>
  <c r="V1352" i="3" s="1"/>
  <c r="L1353" i="3"/>
  <c r="M1353" i="3"/>
  <c r="N1353" i="3"/>
  <c r="P1353" i="3"/>
  <c r="Q1353" i="3"/>
  <c r="R1353" i="3"/>
  <c r="S1353" i="3" s="1"/>
  <c r="T1353" i="3" s="1"/>
  <c r="U1353" i="3"/>
  <c r="V1353" i="3" s="1"/>
  <c r="L1354" i="3"/>
  <c r="M1354" i="3"/>
  <c r="N1354" i="3"/>
  <c r="P1354" i="3"/>
  <c r="Q1354" i="3"/>
  <c r="R1354" i="3"/>
  <c r="S1354" i="3" s="1"/>
  <c r="T1354" i="3" s="1"/>
  <c r="U1354" i="3"/>
  <c r="V1354" i="3" s="1"/>
  <c r="L1355" i="3"/>
  <c r="M1355" i="3"/>
  <c r="N1355" i="3"/>
  <c r="P1355" i="3"/>
  <c r="Q1355" i="3"/>
  <c r="R1355" i="3"/>
  <c r="S1355" i="3" s="1"/>
  <c r="T1355" i="3" s="1"/>
  <c r="U1355" i="3"/>
  <c r="V1355" i="3" s="1"/>
  <c r="L1356" i="3"/>
  <c r="M1356" i="3"/>
  <c r="N1356" i="3"/>
  <c r="P1356" i="3"/>
  <c r="Q1356" i="3"/>
  <c r="R1356" i="3"/>
  <c r="S1356" i="3" s="1"/>
  <c r="T1356" i="3" s="1"/>
  <c r="U1356" i="3"/>
  <c r="V1356" i="3" s="1"/>
  <c r="L1357" i="3"/>
  <c r="M1357" i="3"/>
  <c r="N1357" i="3"/>
  <c r="P1357" i="3"/>
  <c r="Q1357" i="3"/>
  <c r="R1357" i="3"/>
  <c r="S1357" i="3" s="1"/>
  <c r="T1357" i="3" s="1"/>
  <c r="U1357" i="3"/>
  <c r="V1357" i="3" s="1"/>
  <c r="L1358" i="3"/>
  <c r="M1358" i="3"/>
  <c r="N1358" i="3"/>
  <c r="P1358" i="3"/>
  <c r="Q1358" i="3"/>
  <c r="R1358" i="3"/>
  <c r="S1358" i="3" s="1"/>
  <c r="T1358" i="3" s="1"/>
  <c r="U1358" i="3"/>
  <c r="V1358" i="3" s="1"/>
  <c r="L1359" i="3"/>
  <c r="M1359" i="3"/>
  <c r="N1359" i="3"/>
  <c r="P1359" i="3"/>
  <c r="Q1359" i="3"/>
  <c r="R1359" i="3"/>
  <c r="S1359" i="3" s="1"/>
  <c r="T1359" i="3" s="1"/>
  <c r="U1359" i="3"/>
  <c r="V1359" i="3" s="1"/>
  <c r="L1360" i="3"/>
  <c r="M1360" i="3"/>
  <c r="N1360" i="3"/>
  <c r="P1360" i="3"/>
  <c r="Q1360" i="3"/>
  <c r="R1360" i="3"/>
  <c r="S1360" i="3" s="1"/>
  <c r="T1360" i="3" s="1"/>
  <c r="U1360" i="3"/>
  <c r="V1360" i="3" s="1"/>
  <c r="L1361" i="3"/>
  <c r="M1361" i="3"/>
  <c r="N1361" i="3"/>
  <c r="P1361" i="3"/>
  <c r="Q1361" i="3"/>
  <c r="R1361" i="3"/>
  <c r="S1361" i="3" s="1"/>
  <c r="T1361" i="3" s="1"/>
  <c r="U1361" i="3"/>
  <c r="V1361" i="3" s="1"/>
  <c r="L1362" i="3"/>
  <c r="M1362" i="3"/>
  <c r="N1362" i="3"/>
  <c r="P1362" i="3"/>
  <c r="Q1362" i="3"/>
  <c r="R1362" i="3"/>
  <c r="S1362" i="3" s="1"/>
  <c r="T1362" i="3" s="1"/>
  <c r="U1362" i="3"/>
  <c r="V1362" i="3" s="1"/>
  <c r="L1363" i="3"/>
  <c r="M1363" i="3"/>
  <c r="N1363" i="3"/>
  <c r="P1363" i="3"/>
  <c r="Q1363" i="3"/>
  <c r="R1363" i="3"/>
  <c r="S1363" i="3" s="1"/>
  <c r="T1363" i="3" s="1"/>
  <c r="U1363" i="3"/>
  <c r="V1363" i="3" s="1"/>
  <c r="L1364" i="3"/>
  <c r="M1364" i="3"/>
  <c r="N1364" i="3"/>
  <c r="P1364" i="3"/>
  <c r="Q1364" i="3"/>
  <c r="R1364" i="3"/>
  <c r="S1364" i="3" s="1"/>
  <c r="T1364" i="3" s="1"/>
  <c r="U1364" i="3"/>
  <c r="V1364" i="3" s="1"/>
  <c r="L1365" i="3"/>
  <c r="M1365" i="3"/>
  <c r="N1365" i="3"/>
  <c r="P1365" i="3"/>
  <c r="Q1365" i="3"/>
  <c r="R1365" i="3"/>
  <c r="S1365" i="3" s="1"/>
  <c r="T1365" i="3" s="1"/>
  <c r="U1365" i="3"/>
  <c r="V1365" i="3" s="1"/>
  <c r="L1366" i="3"/>
  <c r="M1366" i="3"/>
  <c r="N1366" i="3"/>
  <c r="P1366" i="3"/>
  <c r="Q1366" i="3"/>
  <c r="R1366" i="3"/>
  <c r="S1366" i="3" s="1"/>
  <c r="T1366" i="3" s="1"/>
  <c r="U1366" i="3"/>
  <c r="V1366" i="3" s="1"/>
  <c r="L1367" i="3"/>
  <c r="M1367" i="3"/>
  <c r="N1367" i="3"/>
  <c r="P1367" i="3"/>
  <c r="Q1367" i="3"/>
  <c r="R1367" i="3"/>
  <c r="S1367" i="3" s="1"/>
  <c r="T1367" i="3" s="1"/>
  <c r="U1367" i="3"/>
  <c r="V1367" i="3" s="1"/>
  <c r="L1368" i="3"/>
  <c r="M1368" i="3"/>
  <c r="N1368" i="3"/>
  <c r="P1368" i="3"/>
  <c r="Q1368" i="3"/>
  <c r="R1368" i="3"/>
  <c r="S1368" i="3" s="1"/>
  <c r="T1368" i="3" s="1"/>
  <c r="U1368" i="3"/>
  <c r="V1368" i="3" s="1"/>
  <c r="L1369" i="3"/>
  <c r="M1369" i="3"/>
  <c r="N1369" i="3"/>
  <c r="P1369" i="3"/>
  <c r="Q1369" i="3"/>
  <c r="R1369" i="3"/>
  <c r="S1369" i="3" s="1"/>
  <c r="T1369" i="3" s="1"/>
  <c r="U1369" i="3"/>
  <c r="V1369" i="3" s="1"/>
  <c r="L1370" i="3"/>
  <c r="M1370" i="3"/>
  <c r="N1370" i="3"/>
  <c r="P1370" i="3"/>
  <c r="Q1370" i="3"/>
  <c r="R1370" i="3"/>
  <c r="S1370" i="3" s="1"/>
  <c r="T1370" i="3" s="1"/>
  <c r="U1370" i="3"/>
  <c r="V1370" i="3" s="1"/>
  <c r="L1371" i="3"/>
  <c r="M1371" i="3"/>
  <c r="N1371" i="3"/>
  <c r="P1371" i="3"/>
  <c r="Q1371" i="3"/>
  <c r="R1371" i="3"/>
  <c r="S1371" i="3" s="1"/>
  <c r="T1371" i="3" s="1"/>
  <c r="U1371" i="3"/>
  <c r="V1371" i="3" s="1"/>
  <c r="L1372" i="3"/>
  <c r="M1372" i="3"/>
  <c r="N1372" i="3"/>
  <c r="P1372" i="3"/>
  <c r="Q1372" i="3"/>
  <c r="R1372" i="3"/>
  <c r="S1372" i="3" s="1"/>
  <c r="T1372" i="3" s="1"/>
  <c r="U1372" i="3"/>
  <c r="V1372" i="3" s="1"/>
  <c r="L1373" i="3"/>
  <c r="M1373" i="3"/>
  <c r="N1373" i="3"/>
  <c r="P1373" i="3"/>
  <c r="Q1373" i="3"/>
  <c r="R1373" i="3"/>
  <c r="S1373" i="3" s="1"/>
  <c r="T1373" i="3" s="1"/>
  <c r="U1373" i="3"/>
  <c r="V1373" i="3" s="1"/>
  <c r="L1374" i="3"/>
  <c r="M1374" i="3"/>
  <c r="N1374" i="3"/>
  <c r="P1374" i="3"/>
  <c r="Q1374" i="3"/>
  <c r="R1374" i="3"/>
  <c r="S1374" i="3" s="1"/>
  <c r="T1374" i="3" s="1"/>
  <c r="U1374" i="3"/>
  <c r="V1374" i="3" s="1"/>
  <c r="L1375" i="3"/>
  <c r="M1375" i="3"/>
  <c r="N1375" i="3"/>
  <c r="P1375" i="3"/>
  <c r="Q1375" i="3"/>
  <c r="R1375" i="3"/>
  <c r="S1375" i="3" s="1"/>
  <c r="T1375" i="3" s="1"/>
  <c r="U1375" i="3"/>
  <c r="V1375" i="3" s="1"/>
  <c r="L1376" i="3"/>
  <c r="M1376" i="3"/>
  <c r="N1376" i="3"/>
  <c r="P1376" i="3"/>
  <c r="Q1376" i="3"/>
  <c r="R1376" i="3"/>
  <c r="S1376" i="3" s="1"/>
  <c r="T1376" i="3" s="1"/>
  <c r="U1376" i="3"/>
  <c r="V1376" i="3" s="1"/>
  <c r="L1377" i="3"/>
  <c r="M1377" i="3"/>
  <c r="N1377" i="3"/>
  <c r="P1377" i="3"/>
  <c r="Q1377" i="3"/>
  <c r="R1377" i="3"/>
  <c r="S1377" i="3"/>
  <c r="T1377" i="3" s="1"/>
  <c r="U1377" i="3"/>
  <c r="V1377" i="3" s="1"/>
  <c r="L1378" i="3"/>
  <c r="M1378" i="3"/>
  <c r="N1378" i="3"/>
  <c r="P1378" i="3"/>
  <c r="Q1378" i="3"/>
  <c r="R1378" i="3"/>
  <c r="S1378" i="3" s="1"/>
  <c r="T1378" i="3" s="1"/>
  <c r="U1378" i="3"/>
  <c r="V1378" i="3" s="1"/>
  <c r="L1379" i="3"/>
  <c r="M1379" i="3"/>
  <c r="N1379" i="3"/>
  <c r="P1379" i="3"/>
  <c r="Q1379" i="3"/>
  <c r="R1379" i="3"/>
  <c r="S1379" i="3" s="1"/>
  <c r="T1379" i="3" s="1"/>
  <c r="U1379" i="3"/>
  <c r="V1379" i="3" s="1"/>
  <c r="L1380" i="3"/>
  <c r="M1380" i="3"/>
  <c r="N1380" i="3"/>
  <c r="P1380" i="3"/>
  <c r="Q1380" i="3"/>
  <c r="R1380" i="3"/>
  <c r="S1380" i="3" s="1"/>
  <c r="T1380" i="3" s="1"/>
  <c r="U1380" i="3"/>
  <c r="V1380" i="3" s="1"/>
  <c r="L1381" i="3"/>
  <c r="M1381" i="3"/>
  <c r="N1381" i="3"/>
  <c r="P1381" i="3"/>
  <c r="Q1381" i="3"/>
  <c r="R1381" i="3"/>
  <c r="S1381" i="3" s="1"/>
  <c r="T1381" i="3" s="1"/>
  <c r="U1381" i="3"/>
  <c r="V1381" i="3" s="1"/>
  <c r="L1382" i="3"/>
  <c r="M1382" i="3"/>
  <c r="N1382" i="3"/>
  <c r="P1382" i="3"/>
  <c r="Q1382" i="3"/>
  <c r="R1382" i="3"/>
  <c r="S1382" i="3" s="1"/>
  <c r="T1382" i="3" s="1"/>
  <c r="U1382" i="3"/>
  <c r="V1382" i="3" s="1"/>
  <c r="L1383" i="3"/>
  <c r="M1383" i="3"/>
  <c r="N1383" i="3"/>
  <c r="P1383" i="3"/>
  <c r="Q1383" i="3"/>
  <c r="R1383" i="3"/>
  <c r="S1383" i="3" s="1"/>
  <c r="T1383" i="3" s="1"/>
  <c r="U1383" i="3"/>
  <c r="V1383" i="3" s="1"/>
  <c r="L1384" i="3"/>
  <c r="M1384" i="3"/>
  <c r="N1384" i="3"/>
  <c r="P1384" i="3"/>
  <c r="Q1384" i="3"/>
  <c r="R1384" i="3"/>
  <c r="S1384" i="3" s="1"/>
  <c r="T1384" i="3" s="1"/>
  <c r="U1384" i="3"/>
  <c r="V1384" i="3" s="1"/>
  <c r="L1385" i="3"/>
  <c r="M1385" i="3"/>
  <c r="N1385" i="3"/>
  <c r="P1385" i="3"/>
  <c r="Q1385" i="3"/>
  <c r="R1385" i="3"/>
  <c r="S1385" i="3" s="1"/>
  <c r="T1385" i="3" s="1"/>
  <c r="U1385" i="3"/>
  <c r="V1385" i="3" s="1"/>
  <c r="L1386" i="3"/>
  <c r="M1386" i="3"/>
  <c r="N1386" i="3"/>
  <c r="P1386" i="3"/>
  <c r="Q1386" i="3"/>
  <c r="R1386" i="3"/>
  <c r="S1386" i="3" s="1"/>
  <c r="T1386" i="3" s="1"/>
  <c r="U1386" i="3"/>
  <c r="V1386" i="3" s="1"/>
  <c r="L1387" i="3"/>
  <c r="M1387" i="3"/>
  <c r="N1387" i="3"/>
  <c r="P1387" i="3"/>
  <c r="Q1387" i="3"/>
  <c r="R1387" i="3"/>
  <c r="S1387" i="3" s="1"/>
  <c r="T1387" i="3" s="1"/>
  <c r="U1387" i="3"/>
  <c r="V1387" i="3" s="1"/>
  <c r="L1388" i="3"/>
  <c r="M1388" i="3"/>
  <c r="N1388" i="3"/>
  <c r="P1388" i="3"/>
  <c r="Q1388" i="3"/>
  <c r="R1388" i="3"/>
  <c r="S1388" i="3" s="1"/>
  <c r="T1388" i="3" s="1"/>
  <c r="U1388" i="3"/>
  <c r="V1388" i="3" s="1"/>
  <c r="L1389" i="3"/>
  <c r="M1389" i="3"/>
  <c r="N1389" i="3"/>
  <c r="P1389" i="3"/>
  <c r="Q1389" i="3"/>
  <c r="R1389" i="3"/>
  <c r="S1389" i="3" s="1"/>
  <c r="T1389" i="3" s="1"/>
  <c r="U1389" i="3"/>
  <c r="V1389" i="3" s="1"/>
  <c r="L1390" i="3"/>
  <c r="M1390" i="3"/>
  <c r="N1390" i="3"/>
  <c r="P1390" i="3"/>
  <c r="Q1390" i="3"/>
  <c r="R1390" i="3"/>
  <c r="S1390" i="3" s="1"/>
  <c r="T1390" i="3" s="1"/>
  <c r="U1390" i="3"/>
  <c r="V1390" i="3" s="1"/>
  <c r="L1391" i="3"/>
  <c r="M1391" i="3"/>
  <c r="N1391" i="3"/>
  <c r="P1391" i="3"/>
  <c r="Q1391" i="3"/>
  <c r="R1391" i="3"/>
  <c r="S1391" i="3" s="1"/>
  <c r="T1391" i="3" s="1"/>
  <c r="U1391" i="3"/>
  <c r="V1391" i="3" s="1"/>
  <c r="L1392" i="3"/>
  <c r="M1392" i="3"/>
  <c r="N1392" i="3"/>
  <c r="P1392" i="3"/>
  <c r="Q1392" i="3"/>
  <c r="R1392" i="3"/>
  <c r="S1392" i="3" s="1"/>
  <c r="T1392" i="3" s="1"/>
  <c r="U1392" i="3"/>
  <c r="V1392" i="3" s="1"/>
  <c r="L1393" i="3"/>
  <c r="M1393" i="3"/>
  <c r="N1393" i="3"/>
  <c r="P1393" i="3"/>
  <c r="Q1393" i="3"/>
  <c r="R1393" i="3"/>
  <c r="S1393" i="3" s="1"/>
  <c r="T1393" i="3" s="1"/>
  <c r="U1393" i="3"/>
  <c r="V1393" i="3" s="1"/>
  <c r="L1394" i="3"/>
  <c r="M1394" i="3"/>
  <c r="N1394" i="3"/>
  <c r="P1394" i="3"/>
  <c r="Q1394" i="3"/>
  <c r="R1394" i="3"/>
  <c r="S1394" i="3" s="1"/>
  <c r="T1394" i="3" s="1"/>
  <c r="U1394" i="3"/>
  <c r="V1394" i="3" s="1"/>
  <c r="L1395" i="3"/>
  <c r="M1395" i="3"/>
  <c r="N1395" i="3"/>
  <c r="P1395" i="3"/>
  <c r="Q1395" i="3"/>
  <c r="R1395" i="3"/>
  <c r="S1395" i="3" s="1"/>
  <c r="T1395" i="3" s="1"/>
  <c r="U1395" i="3"/>
  <c r="V1395" i="3" s="1"/>
  <c r="L1396" i="3"/>
  <c r="M1396" i="3"/>
  <c r="N1396" i="3"/>
  <c r="P1396" i="3"/>
  <c r="Q1396" i="3"/>
  <c r="R1396" i="3"/>
  <c r="S1396" i="3" s="1"/>
  <c r="T1396" i="3" s="1"/>
  <c r="U1396" i="3"/>
  <c r="V1396" i="3" s="1"/>
  <c r="L1397" i="3"/>
  <c r="M1397" i="3"/>
  <c r="N1397" i="3"/>
  <c r="P1397" i="3"/>
  <c r="Q1397" i="3"/>
  <c r="R1397" i="3"/>
  <c r="S1397" i="3" s="1"/>
  <c r="T1397" i="3" s="1"/>
  <c r="U1397" i="3"/>
  <c r="V1397" i="3" s="1"/>
  <c r="L1398" i="3"/>
  <c r="M1398" i="3"/>
  <c r="N1398" i="3"/>
  <c r="P1398" i="3"/>
  <c r="Q1398" i="3"/>
  <c r="R1398" i="3"/>
  <c r="S1398" i="3" s="1"/>
  <c r="T1398" i="3" s="1"/>
  <c r="U1398" i="3"/>
  <c r="V1398" i="3" s="1"/>
  <c r="L1399" i="3"/>
  <c r="M1399" i="3"/>
  <c r="N1399" i="3"/>
  <c r="P1399" i="3"/>
  <c r="Q1399" i="3"/>
  <c r="R1399" i="3"/>
  <c r="S1399" i="3" s="1"/>
  <c r="T1399" i="3" s="1"/>
  <c r="U1399" i="3"/>
  <c r="V1399" i="3" s="1"/>
  <c r="L1400" i="3"/>
  <c r="M1400" i="3"/>
  <c r="N1400" i="3"/>
  <c r="P1400" i="3"/>
  <c r="Q1400" i="3"/>
  <c r="R1400" i="3"/>
  <c r="S1400" i="3" s="1"/>
  <c r="T1400" i="3" s="1"/>
  <c r="U1400" i="3"/>
  <c r="V1400" i="3" s="1"/>
  <c r="L1401" i="3"/>
  <c r="M1401" i="3"/>
  <c r="N1401" i="3"/>
  <c r="P1401" i="3"/>
  <c r="Q1401" i="3"/>
  <c r="R1401" i="3"/>
  <c r="S1401" i="3" s="1"/>
  <c r="T1401" i="3" s="1"/>
  <c r="U1401" i="3"/>
  <c r="V1401" i="3" s="1"/>
  <c r="L1402" i="3"/>
  <c r="M1402" i="3"/>
  <c r="N1402" i="3"/>
  <c r="P1402" i="3"/>
  <c r="Q1402" i="3"/>
  <c r="R1402" i="3"/>
  <c r="S1402" i="3" s="1"/>
  <c r="T1402" i="3" s="1"/>
  <c r="U1402" i="3"/>
  <c r="V1402" i="3" s="1"/>
  <c r="L1403" i="3"/>
  <c r="M1403" i="3"/>
  <c r="N1403" i="3"/>
  <c r="P1403" i="3"/>
  <c r="Q1403" i="3"/>
  <c r="R1403" i="3"/>
  <c r="S1403" i="3" s="1"/>
  <c r="T1403" i="3"/>
  <c r="U1403" i="3"/>
  <c r="V1403" i="3" s="1"/>
  <c r="L1404" i="3"/>
  <c r="M1404" i="3"/>
  <c r="N1404" i="3"/>
  <c r="P1404" i="3"/>
  <c r="Q1404" i="3"/>
  <c r="R1404" i="3"/>
  <c r="S1404" i="3" s="1"/>
  <c r="T1404" i="3" s="1"/>
  <c r="U1404" i="3"/>
  <c r="V1404" i="3" s="1"/>
  <c r="L1405" i="3"/>
  <c r="M1405" i="3"/>
  <c r="N1405" i="3"/>
  <c r="P1405" i="3"/>
  <c r="Q1405" i="3"/>
  <c r="R1405" i="3"/>
  <c r="S1405" i="3"/>
  <c r="T1405" i="3" s="1"/>
  <c r="U1405" i="3"/>
  <c r="V1405" i="3" s="1"/>
  <c r="L1406" i="3"/>
  <c r="M1406" i="3"/>
  <c r="N1406" i="3"/>
  <c r="P1406" i="3"/>
  <c r="Q1406" i="3"/>
  <c r="R1406" i="3"/>
  <c r="S1406" i="3" s="1"/>
  <c r="T1406" i="3" s="1"/>
  <c r="U1406" i="3"/>
  <c r="V1406" i="3" s="1"/>
  <c r="L1407" i="3"/>
  <c r="M1407" i="3"/>
  <c r="N1407" i="3"/>
  <c r="P1407" i="3"/>
  <c r="Q1407" i="3"/>
  <c r="R1407" i="3"/>
  <c r="S1407" i="3" s="1"/>
  <c r="T1407" i="3" s="1"/>
  <c r="U1407" i="3"/>
  <c r="V1407" i="3" s="1"/>
  <c r="L1408" i="3"/>
  <c r="M1408" i="3"/>
  <c r="N1408" i="3"/>
  <c r="P1408" i="3"/>
  <c r="Q1408" i="3"/>
  <c r="R1408" i="3"/>
  <c r="S1408" i="3" s="1"/>
  <c r="T1408" i="3" s="1"/>
  <c r="U1408" i="3"/>
  <c r="V1408" i="3" s="1"/>
  <c r="L1409" i="3"/>
  <c r="M1409" i="3"/>
  <c r="N1409" i="3"/>
  <c r="P1409" i="3"/>
  <c r="Q1409" i="3"/>
  <c r="R1409" i="3"/>
  <c r="S1409" i="3" s="1"/>
  <c r="T1409" i="3" s="1"/>
  <c r="U1409" i="3"/>
  <c r="V1409" i="3" s="1"/>
  <c r="L1410" i="3"/>
  <c r="M1410" i="3"/>
  <c r="N1410" i="3"/>
  <c r="P1410" i="3"/>
  <c r="Q1410" i="3"/>
  <c r="R1410" i="3"/>
  <c r="S1410" i="3" s="1"/>
  <c r="T1410" i="3" s="1"/>
  <c r="U1410" i="3"/>
  <c r="V1410" i="3" s="1"/>
  <c r="L1411" i="3"/>
  <c r="M1411" i="3"/>
  <c r="N1411" i="3"/>
  <c r="P1411" i="3"/>
  <c r="Q1411" i="3"/>
  <c r="R1411" i="3"/>
  <c r="S1411" i="3" s="1"/>
  <c r="T1411" i="3" s="1"/>
  <c r="U1411" i="3"/>
  <c r="V1411" i="3" s="1"/>
  <c r="L1412" i="3"/>
  <c r="M1412" i="3"/>
  <c r="N1412" i="3"/>
  <c r="P1412" i="3"/>
  <c r="Q1412" i="3"/>
  <c r="R1412" i="3"/>
  <c r="S1412" i="3" s="1"/>
  <c r="T1412" i="3" s="1"/>
  <c r="U1412" i="3"/>
  <c r="V1412" i="3" s="1"/>
  <c r="L1413" i="3"/>
  <c r="M1413" i="3"/>
  <c r="N1413" i="3"/>
  <c r="P1413" i="3"/>
  <c r="Q1413" i="3"/>
  <c r="R1413" i="3"/>
  <c r="S1413" i="3" s="1"/>
  <c r="T1413" i="3" s="1"/>
  <c r="U1413" i="3"/>
  <c r="V1413" i="3" s="1"/>
  <c r="L1414" i="3"/>
  <c r="M1414" i="3"/>
  <c r="N1414" i="3"/>
  <c r="P1414" i="3"/>
  <c r="Q1414" i="3"/>
  <c r="R1414" i="3"/>
  <c r="S1414" i="3" s="1"/>
  <c r="T1414" i="3" s="1"/>
  <c r="U1414" i="3"/>
  <c r="V1414" i="3" s="1"/>
  <c r="L1415" i="3"/>
  <c r="M1415" i="3"/>
  <c r="N1415" i="3"/>
  <c r="P1415" i="3"/>
  <c r="Q1415" i="3"/>
  <c r="R1415" i="3"/>
  <c r="S1415" i="3" s="1"/>
  <c r="T1415" i="3" s="1"/>
  <c r="U1415" i="3"/>
  <c r="V1415" i="3" s="1"/>
  <c r="L1416" i="3"/>
  <c r="M1416" i="3"/>
  <c r="N1416" i="3"/>
  <c r="P1416" i="3"/>
  <c r="Q1416" i="3"/>
  <c r="R1416" i="3"/>
  <c r="S1416" i="3" s="1"/>
  <c r="T1416" i="3" s="1"/>
  <c r="U1416" i="3"/>
  <c r="V1416" i="3" s="1"/>
  <c r="L1417" i="3"/>
  <c r="M1417" i="3"/>
  <c r="N1417" i="3"/>
  <c r="P1417" i="3"/>
  <c r="Q1417" i="3"/>
  <c r="R1417" i="3"/>
  <c r="S1417" i="3"/>
  <c r="T1417" i="3" s="1"/>
  <c r="U1417" i="3"/>
  <c r="V1417" i="3" s="1"/>
  <c r="L1418" i="3"/>
  <c r="M1418" i="3"/>
  <c r="N1418" i="3"/>
  <c r="P1418" i="3"/>
  <c r="Q1418" i="3"/>
  <c r="R1418" i="3"/>
  <c r="S1418" i="3" s="1"/>
  <c r="T1418" i="3" s="1"/>
  <c r="U1418" i="3"/>
  <c r="V1418" i="3" s="1"/>
  <c r="L1419" i="3"/>
  <c r="M1419" i="3"/>
  <c r="N1419" i="3"/>
  <c r="P1419" i="3"/>
  <c r="Q1419" i="3"/>
  <c r="R1419" i="3"/>
  <c r="S1419" i="3" s="1"/>
  <c r="T1419" i="3" s="1"/>
  <c r="U1419" i="3"/>
  <c r="V1419" i="3" s="1"/>
  <c r="L1420" i="3"/>
  <c r="M1420" i="3"/>
  <c r="N1420" i="3"/>
  <c r="P1420" i="3"/>
  <c r="Q1420" i="3"/>
  <c r="R1420" i="3"/>
  <c r="S1420" i="3" s="1"/>
  <c r="T1420" i="3" s="1"/>
  <c r="U1420" i="3"/>
  <c r="V1420" i="3" s="1"/>
  <c r="L1421" i="3"/>
  <c r="M1421" i="3"/>
  <c r="N1421" i="3"/>
  <c r="P1421" i="3"/>
  <c r="Q1421" i="3"/>
  <c r="R1421" i="3"/>
  <c r="S1421" i="3" s="1"/>
  <c r="T1421" i="3" s="1"/>
  <c r="U1421" i="3"/>
  <c r="V1421" i="3" s="1"/>
  <c r="L1422" i="3"/>
  <c r="M1422" i="3"/>
  <c r="N1422" i="3"/>
  <c r="P1422" i="3"/>
  <c r="Q1422" i="3"/>
  <c r="R1422" i="3"/>
  <c r="S1422" i="3" s="1"/>
  <c r="T1422" i="3" s="1"/>
  <c r="U1422" i="3"/>
  <c r="V1422" i="3" s="1"/>
  <c r="L1423" i="3"/>
  <c r="M1423" i="3"/>
  <c r="N1423" i="3"/>
  <c r="P1423" i="3"/>
  <c r="Q1423" i="3"/>
  <c r="R1423" i="3"/>
  <c r="S1423" i="3" s="1"/>
  <c r="T1423" i="3" s="1"/>
  <c r="U1423" i="3"/>
  <c r="V1423" i="3" s="1"/>
  <c r="L1424" i="3"/>
  <c r="M1424" i="3"/>
  <c r="N1424" i="3"/>
  <c r="P1424" i="3"/>
  <c r="Q1424" i="3"/>
  <c r="R1424" i="3"/>
  <c r="S1424" i="3" s="1"/>
  <c r="T1424" i="3" s="1"/>
  <c r="U1424" i="3"/>
  <c r="V1424" i="3" s="1"/>
  <c r="L1425" i="3"/>
  <c r="M1425" i="3"/>
  <c r="N1425" i="3"/>
  <c r="P1425" i="3"/>
  <c r="Q1425" i="3"/>
  <c r="R1425" i="3"/>
  <c r="S1425" i="3" s="1"/>
  <c r="T1425" i="3" s="1"/>
  <c r="U1425" i="3"/>
  <c r="V1425" i="3" s="1"/>
  <c r="L1426" i="3"/>
  <c r="M1426" i="3"/>
  <c r="N1426" i="3"/>
  <c r="P1426" i="3"/>
  <c r="Q1426" i="3"/>
  <c r="R1426" i="3"/>
  <c r="S1426" i="3" s="1"/>
  <c r="T1426" i="3" s="1"/>
  <c r="U1426" i="3"/>
  <c r="V1426" i="3" s="1"/>
  <c r="L1427" i="3"/>
  <c r="M1427" i="3"/>
  <c r="N1427" i="3"/>
  <c r="P1427" i="3"/>
  <c r="Q1427" i="3"/>
  <c r="R1427" i="3"/>
  <c r="S1427" i="3" s="1"/>
  <c r="T1427" i="3" s="1"/>
  <c r="U1427" i="3"/>
  <c r="V1427" i="3" s="1"/>
  <c r="L1428" i="3"/>
  <c r="M1428" i="3"/>
  <c r="N1428" i="3"/>
  <c r="P1428" i="3"/>
  <c r="Q1428" i="3"/>
  <c r="R1428" i="3"/>
  <c r="S1428" i="3" s="1"/>
  <c r="T1428" i="3" s="1"/>
  <c r="U1428" i="3"/>
  <c r="V1428" i="3" s="1"/>
  <c r="L1429" i="3"/>
  <c r="M1429" i="3"/>
  <c r="N1429" i="3"/>
  <c r="P1429" i="3"/>
  <c r="Q1429" i="3"/>
  <c r="R1429" i="3"/>
  <c r="S1429" i="3" s="1"/>
  <c r="T1429" i="3" s="1"/>
  <c r="U1429" i="3"/>
  <c r="V1429" i="3" s="1"/>
  <c r="L1430" i="3"/>
  <c r="M1430" i="3"/>
  <c r="N1430" i="3"/>
  <c r="P1430" i="3"/>
  <c r="Q1430" i="3"/>
  <c r="R1430" i="3"/>
  <c r="S1430" i="3" s="1"/>
  <c r="T1430" i="3" s="1"/>
  <c r="U1430" i="3"/>
  <c r="V1430" i="3" s="1"/>
  <c r="L1431" i="3"/>
  <c r="M1431" i="3"/>
  <c r="N1431" i="3"/>
  <c r="P1431" i="3"/>
  <c r="Q1431" i="3"/>
  <c r="R1431" i="3"/>
  <c r="S1431" i="3" s="1"/>
  <c r="T1431" i="3" s="1"/>
  <c r="U1431" i="3"/>
  <c r="V1431" i="3" s="1"/>
  <c r="L1432" i="3"/>
  <c r="M1432" i="3"/>
  <c r="N1432" i="3"/>
  <c r="P1432" i="3"/>
  <c r="Q1432" i="3"/>
  <c r="R1432" i="3"/>
  <c r="S1432" i="3" s="1"/>
  <c r="T1432" i="3" s="1"/>
  <c r="U1432" i="3"/>
  <c r="V1432" i="3" s="1"/>
  <c r="L1433" i="3"/>
  <c r="M1433" i="3"/>
  <c r="N1433" i="3"/>
  <c r="P1433" i="3"/>
  <c r="Q1433" i="3"/>
  <c r="R1433" i="3"/>
  <c r="S1433" i="3" s="1"/>
  <c r="T1433" i="3" s="1"/>
  <c r="U1433" i="3"/>
  <c r="V1433" i="3" s="1"/>
  <c r="L1434" i="3"/>
  <c r="M1434" i="3"/>
  <c r="N1434" i="3"/>
  <c r="P1434" i="3"/>
  <c r="Q1434" i="3"/>
  <c r="R1434" i="3"/>
  <c r="S1434" i="3" s="1"/>
  <c r="T1434" i="3" s="1"/>
  <c r="U1434" i="3"/>
  <c r="V1434" i="3" s="1"/>
  <c r="L1435" i="3"/>
  <c r="M1435" i="3"/>
  <c r="N1435" i="3"/>
  <c r="P1435" i="3"/>
  <c r="Q1435" i="3"/>
  <c r="R1435" i="3"/>
  <c r="S1435" i="3" s="1"/>
  <c r="T1435" i="3" s="1"/>
  <c r="U1435" i="3"/>
  <c r="V1435" i="3" s="1"/>
  <c r="L1436" i="3"/>
  <c r="M1436" i="3"/>
  <c r="N1436" i="3"/>
  <c r="P1436" i="3"/>
  <c r="Q1436" i="3"/>
  <c r="R1436" i="3"/>
  <c r="S1436" i="3" s="1"/>
  <c r="T1436" i="3" s="1"/>
  <c r="U1436" i="3"/>
  <c r="V1436" i="3" s="1"/>
  <c r="L1437" i="3"/>
  <c r="M1437" i="3"/>
  <c r="N1437" i="3"/>
  <c r="P1437" i="3"/>
  <c r="Q1437" i="3"/>
  <c r="R1437" i="3"/>
  <c r="S1437" i="3" s="1"/>
  <c r="T1437" i="3" s="1"/>
  <c r="U1437" i="3"/>
  <c r="V1437" i="3" s="1"/>
  <c r="L1438" i="3"/>
  <c r="M1438" i="3"/>
  <c r="N1438" i="3"/>
  <c r="P1438" i="3"/>
  <c r="Q1438" i="3"/>
  <c r="R1438" i="3"/>
  <c r="S1438" i="3" s="1"/>
  <c r="T1438" i="3" s="1"/>
  <c r="U1438" i="3"/>
  <c r="V1438" i="3" s="1"/>
  <c r="L1439" i="3"/>
  <c r="M1439" i="3"/>
  <c r="N1439" i="3"/>
  <c r="P1439" i="3"/>
  <c r="Q1439" i="3"/>
  <c r="R1439" i="3"/>
  <c r="S1439" i="3" s="1"/>
  <c r="T1439" i="3" s="1"/>
  <c r="U1439" i="3"/>
  <c r="V1439" i="3" s="1"/>
  <c r="L1440" i="3"/>
  <c r="M1440" i="3"/>
  <c r="N1440" i="3"/>
  <c r="P1440" i="3"/>
  <c r="Q1440" i="3"/>
  <c r="R1440" i="3"/>
  <c r="S1440" i="3" s="1"/>
  <c r="T1440" i="3" s="1"/>
  <c r="U1440" i="3"/>
  <c r="V1440" i="3" s="1"/>
  <c r="L1441" i="3"/>
  <c r="M1441" i="3"/>
  <c r="N1441" i="3"/>
  <c r="P1441" i="3"/>
  <c r="Q1441" i="3"/>
  <c r="R1441" i="3"/>
  <c r="S1441" i="3" s="1"/>
  <c r="T1441" i="3" s="1"/>
  <c r="U1441" i="3"/>
  <c r="V1441" i="3" s="1"/>
  <c r="L1442" i="3"/>
  <c r="M1442" i="3"/>
  <c r="N1442" i="3"/>
  <c r="P1442" i="3"/>
  <c r="Q1442" i="3"/>
  <c r="R1442" i="3"/>
  <c r="S1442" i="3" s="1"/>
  <c r="T1442" i="3" s="1"/>
  <c r="U1442" i="3"/>
  <c r="V1442" i="3" s="1"/>
  <c r="L1443" i="3"/>
  <c r="M1443" i="3"/>
  <c r="N1443" i="3"/>
  <c r="P1443" i="3"/>
  <c r="Q1443" i="3"/>
  <c r="R1443" i="3"/>
  <c r="S1443" i="3" s="1"/>
  <c r="T1443" i="3" s="1"/>
  <c r="U1443" i="3"/>
  <c r="V1443" i="3" s="1"/>
  <c r="L1444" i="3"/>
  <c r="M1444" i="3"/>
  <c r="N1444" i="3"/>
  <c r="P1444" i="3"/>
  <c r="Q1444" i="3"/>
  <c r="R1444" i="3"/>
  <c r="S1444" i="3" s="1"/>
  <c r="T1444" i="3" s="1"/>
  <c r="U1444" i="3"/>
  <c r="V1444" i="3" s="1"/>
  <c r="L1445" i="3"/>
  <c r="M1445" i="3"/>
  <c r="N1445" i="3"/>
  <c r="P1445" i="3"/>
  <c r="Q1445" i="3"/>
  <c r="R1445" i="3"/>
  <c r="S1445" i="3" s="1"/>
  <c r="T1445" i="3" s="1"/>
  <c r="U1445" i="3"/>
  <c r="V1445" i="3" s="1"/>
  <c r="L1446" i="3"/>
  <c r="M1446" i="3"/>
  <c r="N1446" i="3"/>
  <c r="P1446" i="3"/>
  <c r="Q1446" i="3"/>
  <c r="R1446" i="3"/>
  <c r="S1446" i="3" s="1"/>
  <c r="T1446" i="3" s="1"/>
  <c r="U1446" i="3"/>
  <c r="V1446" i="3" s="1"/>
  <c r="L1447" i="3"/>
  <c r="M1447" i="3"/>
  <c r="N1447" i="3"/>
  <c r="P1447" i="3"/>
  <c r="Q1447" i="3"/>
  <c r="R1447" i="3"/>
  <c r="S1447" i="3" s="1"/>
  <c r="T1447" i="3" s="1"/>
  <c r="U1447" i="3"/>
  <c r="V1447" i="3" s="1"/>
  <c r="L1448" i="3"/>
  <c r="M1448" i="3"/>
  <c r="N1448" i="3"/>
  <c r="P1448" i="3"/>
  <c r="Q1448" i="3"/>
  <c r="R1448" i="3"/>
  <c r="S1448" i="3" s="1"/>
  <c r="T1448" i="3" s="1"/>
  <c r="U1448" i="3"/>
  <c r="V1448" i="3" s="1"/>
  <c r="L1449" i="3"/>
  <c r="M1449" i="3"/>
  <c r="N1449" i="3"/>
  <c r="P1449" i="3"/>
  <c r="Q1449" i="3"/>
  <c r="R1449" i="3"/>
  <c r="S1449" i="3" s="1"/>
  <c r="T1449" i="3" s="1"/>
  <c r="U1449" i="3"/>
  <c r="V1449" i="3" s="1"/>
  <c r="L1450" i="3"/>
  <c r="M1450" i="3"/>
  <c r="N1450" i="3"/>
  <c r="P1450" i="3"/>
  <c r="Q1450" i="3"/>
  <c r="R1450" i="3"/>
  <c r="S1450" i="3" s="1"/>
  <c r="T1450" i="3" s="1"/>
  <c r="U1450" i="3"/>
  <c r="V1450" i="3" s="1"/>
  <c r="L1451" i="3"/>
  <c r="M1451" i="3"/>
  <c r="N1451" i="3"/>
  <c r="P1451" i="3"/>
  <c r="Q1451" i="3"/>
  <c r="R1451" i="3"/>
  <c r="S1451" i="3" s="1"/>
  <c r="T1451" i="3" s="1"/>
  <c r="U1451" i="3"/>
  <c r="V1451" i="3" s="1"/>
  <c r="L1452" i="3"/>
  <c r="M1452" i="3"/>
  <c r="N1452" i="3"/>
  <c r="P1452" i="3"/>
  <c r="Q1452" i="3"/>
  <c r="R1452" i="3"/>
  <c r="S1452" i="3" s="1"/>
  <c r="T1452" i="3" s="1"/>
  <c r="U1452" i="3"/>
  <c r="V1452" i="3" s="1"/>
  <c r="L1453" i="3"/>
  <c r="M1453" i="3"/>
  <c r="N1453" i="3"/>
  <c r="P1453" i="3"/>
  <c r="Q1453" i="3"/>
  <c r="R1453" i="3"/>
  <c r="S1453" i="3" s="1"/>
  <c r="T1453" i="3" s="1"/>
  <c r="U1453" i="3"/>
  <c r="V1453" i="3" s="1"/>
  <c r="L1454" i="3"/>
  <c r="M1454" i="3"/>
  <c r="N1454" i="3"/>
  <c r="P1454" i="3"/>
  <c r="Q1454" i="3"/>
  <c r="R1454" i="3"/>
  <c r="S1454" i="3" s="1"/>
  <c r="T1454" i="3" s="1"/>
  <c r="U1454" i="3"/>
  <c r="V1454" i="3" s="1"/>
  <c r="L1455" i="3"/>
  <c r="M1455" i="3"/>
  <c r="N1455" i="3"/>
  <c r="P1455" i="3"/>
  <c r="Q1455" i="3"/>
  <c r="R1455" i="3"/>
  <c r="S1455" i="3" s="1"/>
  <c r="T1455" i="3" s="1"/>
  <c r="U1455" i="3"/>
  <c r="V1455" i="3" s="1"/>
  <c r="L1456" i="3"/>
  <c r="M1456" i="3"/>
  <c r="N1456" i="3"/>
  <c r="P1456" i="3"/>
  <c r="Q1456" i="3"/>
  <c r="R1456" i="3"/>
  <c r="S1456" i="3" s="1"/>
  <c r="T1456" i="3" s="1"/>
  <c r="U1456" i="3"/>
  <c r="V1456" i="3" s="1"/>
  <c r="L1457" i="3"/>
  <c r="M1457" i="3"/>
  <c r="N1457" i="3"/>
  <c r="P1457" i="3"/>
  <c r="Q1457" i="3"/>
  <c r="R1457" i="3"/>
  <c r="S1457" i="3" s="1"/>
  <c r="T1457" i="3" s="1"/>
  <c r="U1457" i="3"/>
  <c r="V1457" i="3" s="1"/>
  <c r="L1458" i="3"/>
  <c r="M1458" i="3"/>
  <c r="N1458" i="3"/>
  <c r="P1458" i="3"/>
  <c r="Q1458" i="3"/>
  <c r="R1458" i="3"/>
  <c r="S1458" i="3" s="1"/>
  <c r="T1458" i="3" s="1"/>
  <c r="U1458" i="3"/>
  <c r="V1458" i="3" s="1"/>
  <c r="L1459" i="3"/>
  <c r="M1459" i="3"/>
  <c r="N1459" i="3"/>
  <c r="P1459" i="3"/>
  <c r="Q1459" i="3"/>
  <c r="R1459" i="3"/>
  <c r="S1459" i="3" s="1"/>
  <c r="T1459" i="3" s="1"/>
  <c r="U1459" i="3"/>
  <c r="V1459" i="3" s="1"/>
  <c r="L1460" i="3"/>
  <c r="M1460" i="3"/>
  <c r="N1460" i="3"/>
  <c r="P1460" i="3"/>
  <c r="Q1460" i="3"/>
  <c r="R1460" i="3"/>
  <c r="S1460" i="3" s="1"/>
  <c r="T1460" i="3" s="1"/>
  <c r="U1460" i="3"/>
  <c r="V1460" i="3" s="1"/>
  <c r="L1461" i="3"/>
  <c r="M1461" i="3"/>
  <c r="N1461" i="3"/>
  <c r="P1461" i="3"/>
  <c r="Q1461" i="3"/>
  <c r="R1461" i="3"/>
  <c r="S1461" i="3" s="1"/>
  <c r="T1461" i="3" s="1"/>
  <c r="U1461" i="3"/>
  <c r="V1461" i="3" s="1"/>
  <c r="L1462" i="3"/>
  <c r="M1462" i="3"/>
  <c r="N1462" i="3"/>
  <c r="P1462" i="3"/>
  <c r="Q1462" i="3"/>
  <c r="R1462" i="3"/>
  <c r="S1462" i="3" s="1"/>
  <c r="T1462" i="3" s="1"/>
  <c r="U1462" i="3"/>
  <c r="V1462" i="3" s="1"/>
  <c r="L1463" i="3"/>
  <c r="M1463" i="3"/>
  <c r="N1463" i="3"/>
  <c r="P1463" i="3"/>
  <c r="Q1463" i="3"/>
  <c r="R1463" i="3"/>
  <c r="S1463" i="3" s="1"/>
  <c r="T1463" i="3" s="1"/>
  <c r="U1463" i="3"/>
  <c r="V1463" i="3" s="1"/>
  <c r="L1464" i="3"/>
  <c r="M1464" i="3"/>
  <c r="N1464" i="3"/>
  <c r="P1464" i="3"/>
  <c r="Q1464" i="3"/>
  <c r="R1464" i="3"/>
  <c r="S1464" i="3" s="1"/>
  <c r="T1464" i="3" s="1"/>
  <c r="U1464" i="3"/>
  <c r="V1464" i="3"/>
  <c r="L1465" i="3"/>
  <c r="M1465" i="3"/>
  <c r="N1465" i="3"/>
  <c r="P1465" i="3"/>
  <c r="Q1465" i="3"/>
  <c r="R1465" i="3"/>
  <c r="S1465" i="3" s="1"/>
  <c r="T1465" i="3" s="1"/>
  <c r="U1465" i="3"/>
  <c r="V1465" i="3" s="1"/>
  <c r="L1466" i="3"/>
  <c r="M1466" i="3"/>
  <c r="N1466" i="3"/>
  <c r="P1466" i="3"/>
  <c r="Q1466" i="3"/>
  <c r="R1466" i="3"/>
  <c r="S1466" i="3" s="1"/>
  <c r="T1466" i="3" s="1"/>
  <c r="U1466" i="3"/>
  <c r="V1466" i="3" s="1"/>
  <c r="L1467" i="3"/>
  <c r="M1467" i="3"/>
  <c r="N1467" i="3"/>
  <c r="P1467" i="3"/>
  <c r="Q1467" i="3"/>
  <c r="R1467" i="3"/>
  <c r="S1467" i="3" s="1"/>
  <c r="T1467" i="3" s="1"/>
  <c r="U1467" i="3"/>
  <c r="V1467" i="3" s="1"/>
  <c r="L1468" i="3"/>
  <c r="M1468" i="3"/>
  <c r="N1468" i="3"/>
  <c r="P1468" i="3"/>
  <c r="Q1468" i="3"/>
  <c r="R1468" i="3"/>
  <c r="S1468" i="3" s="1"/>
  <c r="T1468" i="3" s="1"/>
  <c r="U1468" i="3"/>
  <c r="V1468" i="3" s="1"/>
  <c r="L1469" i="3"/>
  <c r="M1469" i="3"/>
  <c r="N1469" i="3"/>
  <c r="P1469" i="3"/>
  <c r="Q1469" i="3"/>
  <c r="R1469" i="3"/>
  <c r="S1469" i="3" s="1"/>
  <c r="T1469" i="3" s="1"/>
  <c r="U1469" i="3"/>
  <c r="V1469" i="3" s="1"/>
  <c r="L1470" i="3"/>
  <c r="M1470" i="3"/>
  <c r="N1470" i="3"/>
  <c r="P1470" i="3"/>
  <c r="Q1470" i="3"/>
  <c r="R1470" i="3"/>
  <c r="S1470" i="3" s="1"/>
  <c r="T1470" i="3" s="1"/>
  <c r="U1470" i="3"/>
  <c r="V1470" i="3" s="1"/>
  <c r="L1471" i="3"/>
  <c r="M1471" i="3"/>
  <c r="N1471" i="3"/>
  <c r="P1471" i="3"/>
  <c r="Q1471" i="3"/>
  <c r="R1471" i="3"/>
  <c r="S1471" i="3" s="1"/>
  <c r="T1471" i="3" s="1"/>
  <c r="U1471" i="3"/>
  <c r="V1471" i="3" s="1"/>
  <c r="L1472" i="3"/>
  <c r="M1472" i="3"/>
  <c r="N1472" i="3"/>
  <c r="P1472" i="3"/>
  <c r="Q1472" i="3"/>
  <c r="R1472" i="3"/>
  <c r="S1472" i="3" s="1"/>
  <c r="T1472" i="3" s="1"/>
  <c r="U1472" i="3"/>
  <c r="V1472" i="3" s="1"/>
  <c r="L1473" i="3"/>
  <c r="M1473" i="3"/>
  <c r="N1473" i="3"/>
  <c r="P1473" i="3"/>
  <c r="Q1473" i="3"/>
  <c r="R1473" i="3"/>
  <c r="S1473" i="3"/>
  <c r="T1473" i="3" s="1"/>
  <c r="U1473" i="3"/>
  <c r="V1473" i="3" s="1"/>
  <c r="L1474" i="3"/>
  <c r="M1474" i="3"/>
  <c r="N1474" i="3"/>
  <c r="P1474" i="3"/>
  <c r="Q1474" i="3"/>
  <c r="R1474" i="3"/>
  <c r="S1474" i="3" s="1"/>
  <c r="T1474" i="3" s="1"/>
  <c r="U1474" i="3"/>
  <c r="V1474" i="3" s="1"/>
  <c r="L1475" i="3"/>
  <c r="M1475" i="3"/>
  <c r="N1475" i="3"/>
  <c r="P1475" i="3"/>
  <c r="Q1475" i="3"/>
  <c r="R1475" i="3"/>
  <c r="S1475" i="3" s="1"/>
  <c r="T1475" i="3" s="1"/>
  <c r="U1475" i="3"/>
  <c r="V1475" i="3" s="1"/>
  <c r="L1476" i="3"/>
  <c r="M1476" i="3"/>
  <c r="N1476" i="3"/>
  <c r="P1476" i="3"/>
  <c r="Q1476" i="3"/>
  <c r="R1476" i="3"/>
  <c r="S1476" i="3" s="1"/>
  <c r="T1476" i="3" s="1"/>
  <c r="U1476" i="3"/>
  <c r="V1476" i="3" s="1"/>
  <c r="L1477" i="3"/>
  <c r="M1477" i="3"/>
  <c r="N1477" i="3"/>
  <c r="P1477" i="3"/>
  <c r="Q1477" i="3"/>
  <c r="R1477" i="3"/>
  <c r="S1477" i="3" s="1"/>
  <c r="T1477" i="3" s="1"/>
  <c r="U1477" i="3"/>
  <c r="V1477" i="3" s="1"/>
  <c r="L1478" i="3"/>
  <c r="M1478" i="3"/>
  <c r="N1478" i="3"/>
  <c r="P1478" i="3"/>
  <c r="Q1478" i="3"/>
  <c r="R1478" i="3"/>
  <c r="S1478" i="3"/>
  <c r="T1478" i="3" s="1"/>
  <c r="U1478" i="3"/>
  <c r="V1478" i="3" s="1"/>
  <c r="L1479" i="3"/>
  <c r="M1479" i="3"/>
  <c r="N1479" i="3"/>
  <c r="P1479" i="3"/>
  <c r="Q1479" i="3"/>
  <c r="R1479" i="3"/>
  <c r="S1479" i="3" s="1"/>
  <c r="T1479" i="3" s="1"/>
  <c r="U1479" i="3"/>
  <c r="V1479" i="3" s="1"/>
  <c r="L1480" i="3"/>
  <c r="M1480" i="3"/>
  <c r="N1480" i="3"/>
  <c r="P1480" i="3"/>
  <c r="Q1480" i="3"/>
  <c r="R1480" i="3"/>
  <c r="S1480" i="3" s="1"/>
  <c r="T1480" i="3" s="1"/>
  <c r="U1480" i="3"/>
  <c r="V1480" i="3" s="1"/>
  <c r="L1481" i="3"/>
  <c r="M1481" i="3"/>
  <c r="N1481" i="3"/>
  <c r="P1481" i="3"/>
  <c r="Q1481" i="3"/>
  <c r="R1481" i="3"/>
  <c r="S1481" i="3" s="1"/>
  <c r="T1481" i="3" s="1"/>
  <c r="U1481" i="3"/>
  <c r="V1481" i="3" s="1"/>
  <c r="L1482" i="3"/>
  <c r="M1482" i="3"/>
  <c r="N1482" i="3"/>
  <c r="P1482" i="3"/>
  <c r="Q1482" i="3"/>
  <c r="R1482" i="3"/>
  <c r="S1482" i="3" s="1"/>
  <c r="T1482" i="3" s="1"/>
  <c r="U1482" i="3"/>
  <c r="V1482" i="3" s="1"/>
  <c r="L1483" i="3"/>
  <c r="M1483" i="3"/>
  <c r="N1483" i="3"/>
  <c r="P1483" i="3"/>
  <c r="Q1483" i="3"/>
  <c r="R1483" i="3"/>
  <c r="S1483" i="3" s="1"/>
  <c r="T1483" i="3" s="1"/>
  <c r="U1483" i="3"/>
  <c r="V1483" i="3" s="1"/>
  <c r="L1484" i="3"/>
  <c r="M1484" i="3"/>
  <c r="N1484" i="3"/>
  <c r="P1484" i="3"/>
  <c r="Q1484" i="3"/>
  <c r="R1484" i="3"/>
  <c r="S1484" i="3" s="1"/>
  <c r="T1484" i="3" s="1"/>
  <c r="U1484" i="3"/>
  <c r="V1484" i="3" s="1"/>
  <c r="L1485" i="3"/>
  <c r="M1485" i="3"/>
  <c r="N1485" i="3"/>
  <c r="P1485" i="3"/>
  <c r="Q1485" i="3"/>
  <c r="R1485" i="3"/>
  <c r="S1485" i="3" s="1"/>
  <c r="T1485" i="3" s="1"/>
  <c r="U1485" i="3"/>
  <c r="V1485" i="3" s="1"/>
  <c r="L1486" i="3"/>
  <c r="M1486" i="3"/>
  <c r="N1486" i="3"/>
  <c r="P1486" i="3"/>
  <c r="Q1486" i="3"/>
  <c r="R1486" i="3"/>
  <c r="S1486" i="3" s="1"/>
  <c r="T1486" i="3" s="1"/>
  <c r="U1486" i="3"/>
  <c r="V1486" i="3" s="1"/>
  <c r="L1487" i="3"/>
  <c r="M1487" i="3"/>
  <c r="N1487" i="3"/>
  <c r="P1487" i="3"/>
  <c r="Q1487" i="3"/>
  <c r="R1487" i="3"/>
  <c r="S1487" i="3" s="1"/>
  <c r="T1487" i="3" s="1"/>
  <c r="U1487" i="3"/>
  <c r="V1487" i="3" s="1"/>
  <c r="L1488" i="3"/>
  <c r="M1488" i="3"/>
  <c r="N1488" i="3"/>
  <c r="P1488" i="3"/>
  <c r="Q1488" i="3"/>
  <c r="R1488" i="3"/>
  <c r="S1488" i="3" s="1"/>
  <c r="T1488" i="3" s="1"/>
  <c r="U1488" i="3"/>
  <c r="V1488" i="3" s="1"/>
  <c r="L1489" i="3"/>
  <c r="M1489" i="3"/>
  <c r="N1489" i="3"/>
  <c r="P1489" i="3"/>
  <c r="Q1489" i="3"/>
  <c r="R1489" i="3"/>
  <c r="S1489" i="3" s="1"/>
  <c r="T1489" i="3" s="1"/>
  <c r="U1489" i="3"/>
  <c r="V1489" i="3"/>
  <c r="L1490" i="3"/>
  <c r="M1490" i="3"/>
  <c r="N1490" i="3"/>
  <c r="P1490" i="3"/>
  <c r="Q1490" i="3"/>
  <c r="R1490" i="3"/>
  <c r="S1490" i="3" s="1"/>
  <c r="T1490" i="3" s="1"/>
  <c r="U1490" i="3"/>
  <c r="V1490" i="3" s="1"/>
  <c r="L1491" i="3"/>
  <c r="M1491" i="3"/>
  <c r="N1491" i="3"/>
  <c r="P1491" i="3"/>
  <c r="Q1491" i="3"/>
  <c r="R1491" i="3"/>
  <c r="S1491" i="3" s="1"/>
  <c r="T1491" i="3" s="1"/>
  <c r="U1491" i="3"/>
  <c r="V1491" i="3" s="1"/>
  <c r="L1492" i="3"/>
  <c r="M1492" i="3"/>
  <c r="N1492" i="3"/>
  <c r="P1492" i="3"/>
  <c r="Q1492" i="3"/>
  <c r="R1492" i="3"/>
  <c r="S1492" i="3" s="1"/>
  <c r="T1492" i="3" s="1"/>
  <c r="U1492" i="3"/>
  <c r="V1492" i="3" s="1"/>
  <c r="L1493" i="3"/>
  <c r="M1493" i="3"/>
  <c r="N1493" i="3"/>
  <c r="P1493" i="3"/>
  <c r="Q1493" i="3"/>
  <c r="R1493" i="3"/>
  <c r="S1493" i="3" s="1"/>
  <c r="T1493" i="3" s="1"/>
  <c r="U1493" i="3"/>
  <c r="V1493" i="3" s="1"/>
  <c r="L1494" i="3"/>
  <c r="M1494" i="3"/>
  <c r="N1494" i="3"/>
  <c r="P1494" i="3"/>
  <c r="Q1494" i="3"/>
  <c r="R1494" i="3"/>
  <c r="S1494" i="3" s="1"/>
  <c r="T1494" i="3" s="1"/>
  <c r="U1494" i="3"/>
  <c r="V1494" i="3" s="1"/>
  <c r="L1495" i="3"/>
  <c r="M1495" i="3"/>
  <c r="N1495" i="3"/>
  <c r="P1495" i="3"/>
  <c r="Q1495" i="3"/>
  <c r="R1495" i="3"/>
  <c r="S1495" i="3" s="1"/>
  <c r="T1495" i="3" s="1"/>
  <c r="U1495" i="3"/>
  <c r="V1495" i="3" s="1"/>
  <c r="L1496" i="3"/>
  <c r="M1496" i="3"/>
  <c r="N1496" i="3"/>
  <c r="P1496" i="3"/>
  <c r="Q1496" i="3"/>
  <c r="R1496" i="3"/>
  <c r="S1496" i="3" s="1"/>
  <c r="T1496" i="3" s="1"/>
  <c r="U1496" i="3"/>
  <c r="V1496" i="3" s="1"/>
  <c r="L1497" i="3"/>
  <c r="M1497" i="3"/>
  <c r="N1497" i="3"/>
  <c r="P1497" i="3"/>
  <c r="Q1497" i="3"/>
  <c r="R1497" i="3"/>
  <c r="S1497" i="3" s="1"/>
  <c r="T1497" i="3" s="1"/>
  <c r="U1497" i="3"/>
  <c r="V1497" i="3" s="1"/>
  <c r="L1498" i="3"/>
  <c r="M1498" i="3"/>
  <c r="N1498" i="3"/>
  <c r="P1498" i="3"/>
  <c r="Q1498" i="3"/>
  <c r="R1498" i="3"/>
  <c r="S1498" i="3" s="1"/>
  <c r="T1498" i="3" s="1"/>
  <c r="U1498" i="3"/>
  <c r="V1498" i="3" s="1"/>
  <c r="L1499" i="3"/>
  <c r="M1499" i="3"/>
  <c r="N1499" i="3"/>
  <c r="P1499" i="3"/>
  <c r="Q1499" i="3"/>
  <c r="R1499" i="3"/>
  <c r="S1499" i="3" s="1"/>
  <c r="T1499" i="3" s="1"/>
  <c r="U1499" i="3"/>
  <c r="V1499" i="3" s="1"/>
  <c r="L1500" i="3"/>
  <c r="M1500" i="3"/>
  <c r="N1500" i="3"/>
  <c r="P1500" i="3"/>
  <c r="Q1500" i="3"/>
  <c r="R1500" i="3"/>
  <c r="S1500" i="3" s="1"/>
  <c r="T1500" i="3" s="1"/>
  <c r="U1500" i="3"/>
  <c r="V1500" i="3" s="1"/>
  <c r="L1501" i="3"/>
  <c r="M1501" i="3"/>
  <c r="N1501" i="3"/>
  <c r="P1501" i="3"/>
  <c r="Q1501" i="3"/>
  <c r="R1501" i="3"/>
  <c r="S1501" i="3" s="1"/>
  <c r="T1501" i="3" s="1"/>
  <c r="U1501" i="3"/>
  <c r="V1501" i="3" s="1"/>
  <c r="L1502" i="3"/>
  <c r="M1502" i="3"/>
  <c r="N1502" i="3"/>
  <c r="P1502" i="3"/>
  <c r="Q1502" i="3"/>
  <c r="R1502" i="3"/>
  <c r="S1502" i="3"/>
  <c r="T1502" i="3" s="1"/>
  <c r="U1502" i="3"/>
  <c r="V1502" i="3" s="1"/>
  <c r="L1503" i="3"/>
  <c r="M1503" i="3"/>
  <c r="N1503" i="3"/>
  <c r="P1503" i="3"/>
  <c r="Q1503" i="3"/>
  <c r="R1503" i="3"/>
  <c r="S1503" i="3" s="1"/>
  <c r="T1503" i="3" s="1"/>
  <c r="U1503" i="3"/>
  <c r="V1503" i="3" s="1"/>
  <c r="L1504" i="3"/>
  <c r="M1504" i="3"/>
  <c r="N1504" i="3"/>
  <c r="P1504" i="3"/>
  <c r="Q1504" i="3"/>
  <c r="R1504" i="3"/>
  <c r="S1504" i="3" s="1"/>
  <c r="T1504" i="3" s="1"/>
  <c r="U1504" i="3"/>
  <c r="V1504" i="3" s="1"/>
  <c r="L1505" i="3"/>
  <c r="M1505" i="3"/>
  <c r="N1505" i="3"/>
  <c r="P1505" i="3"/>
  <c r="Q1505" i="3"/>
  <c r="R1505" i="3"/>
  <c r="S1505" i="3" s="1"/>
  <c r="T1505" i="3" s="1"/>
  <c r="U1505" i="3"/>
  <c r="V1505" i="3" s="1"/>
  <c r="L1506" i="3"/>
  <c r="M1506" i="3"/>
  <c r="N1506" i="3"/>
  <c r="P1506" i="3"/>
  <c r="Q1506" i="3"/>
  <c r="R1506" i="3"/>
  <c r="S1506" i="3" s="1"/>
  <c r="T1506" i="3" s="1"/>
  <c r="U1506" i="3"/>
  <c r="V1506" i="3" s="1"/>
  <c r="L1507" i="3"/>
  <c r="M1507" i="3"/>
  <c r="N1507" i="3"/>
  <c r="P1507" i="3"/>
  <c r="Q1507" i="3"/>
  <c r="R1507" i="3"/>
  <c r="S1507" i="3" s="1"/>
  <c r="T1507" i="3" s="1"/>
  <c r="U1507" i="3"/>
  <c r="V1507" i="3" s="1"/>
  <c r="L1508" i="3"/>
  <c r="M1508" i="3"/>
  <c r="N1508" i="3"/>
  <c r="P1508" i="3"/>
  <c r="Q1508" i="3"/>
  <c r="R1508" i="3"/>
  <c r="S1508" i="3" s="1"/>
  <c r="T1508" i="3" s="1"/>
  <c r="U1508" i="3"/>
  <c r="V1508" i="3" s="1"/>
  <c r="L1509" i="3"/>
  <c r="M1509" i="3"/>
  <c r="N1509" i="3"/>
  <c r="P1509" i="3"/>
  <c r="Q1509" i="3"/>
  <c r="R1509" i="3"/>
  <c r="S1509" i="3" s="1"/>
  <c r="T1509" i="3" s="1"/>
  <c r="U1509" i="3"/>
  <c r="V1509" i="3" s="1"/>
  <c r="L1510" i="3"/>
  <c r="M1510" i="3"/>
  <c r="N1510" i="3"/>
  <c r="P1510" i="3"/>
  <c r="Q1510" i="3"/>
  <c r="R1510" i="3"/>
  <c r="S1510" i="3" s="1"/>
  <c r="T1510" i="3" s="1"/>
  <c r="U1510" i="3"/>
  <c r="V1510" i="3" s="1"/>
  <c r="L1511" i="3"/>
  <c r="M1511" i="3"/>
  <c r="N1511" i="3"/>
  <c r="P1511" i="3"/>
  <c r="Q1511" i="3"/>
  <c r="R1511" i="3"/>
  <c r="S1511" i="3" s="1"/>
  <c r="T1511" i="3" s="1"/>
  <c r="U1511" i="3"/>
  <c r="V1511" i="3" s="1"/>
  <c r="L1512" i="3"/>
  <c r="M1512" i="3"/>
  <c r="N1512" i="3"/>
  <c r="P1512" i="3"/>
  <c r="Q1512" i="3"/>
  <c r="R1512" i="3"/>
  <c r="S1512" i="3" s="1"/>
  <c r="T1512" i="3" s="1"/>
  <c r="U1512" i="3"/>
  <c r="V1512" i="3" s="1"/>
  <c r="L1513" i="3"/>
  <c r="M1513" i="3"/>
  <c r="N1513" i="3"/>
  <c r="P1513" i="3"/>
  <c r="Q1513" i="3"/>
  <c r="R1513" i="3"/>
  <c r="S1513" i="3" s="1"/>
  <c r="T1513" i="3" s="1"/>
  <c r="U1513" i="3"/>
  <c r="V1513" i="3" s="1"/>
  <c r="L1514" i="3"/>
  <c r="M1514" i="3"/>
  <c r="N1514" i="3"/>
  <c r="P1514" i="3"/>
  <c r="Q1514" i="3"/>
  <c r="R1514" i="3"/>
  <c r="S1514" i="3" s="1"/>
  <c r="T1514" i="3" s="1"/>
  <c r="U1514" i="3"/>
  <c r="V1514" i="3" s="1"/>
  <c r="L1515" i="3"/>
  <c r="M1515" i="3"/>
  <c r="N1515" i="3"/>
  <c r="P1515" i="3"/>
  <c r="Q1515" i="3"/>
  <c r="R1515" i="3"/>
  <c r="S1515" i="3" s="1"/>
  <c r="T1515" i="3" s="1"/>
  <c r="U1515" i="3"/>
  <c r="V1515" i="3" s="1"/>
  <c r="L1516" i="3"/>
  <c r="M1516" i="3"/>
  <c r="N1516" i="3"/>
  <c r="P1516" i="3"/>
  <c r="Q1516" i="3"/>
  <c r="R1516" i="3"/>
  <c r="S1516" i="3" s="1"/>
  <c r="T1516" i="3" s="1"/>
  <c r="U1516" i="3"/>
  <c r="V1516" i="3" s="1"/>
  <c r="L1517" i="3"/>
  <c r="M1517" i="3"/>
  <c r="N1517" i="3"/>
  <c r="P1517" i="3"/>
  <c r="Q1517" i="3"/>
  <c r="R1517" i="3"/>
  <c r="S1517" i="3" s="1"/>
  <c r="T1517" i="3" s="1"/>
  <c r="U1517" i="3"/>
  <c r="V1517" i="3" s="1"/>
  <c r="L1518" i="3"/>
  <c r="M1518" i="3"/>
  <c r="N1518" i="3"/>
  <c r="P1518" i="3"/>
  <c r="Q1518" i="3"/>
  <c r="R1518" i="3"/>
  <c r="S1518" i="3" s="1"/>
  <c r="T1518" i="3" s="1"/>
  <c r="U1518" i="3"/>
  <c r="V1518" i="3" s="1"/>
  <c r="L1519" i="3"/>
  <c r="M1519" i="3"/>
  <c r="N1519" i="3"/>
  <c r="P1519" i="3"/>
  <c r="Q1519" i="3"/>
  <c r="R1519" i="3"/>
  <c r="S1519" i="3" s="1"/>
  <c r="T1519" i="3" s="1"/>
  <c r="U1519" i="3"/>
  <c r="V1519" i="3" s="1"/>
  <c r="L1520" i="3"/>
  <c r="M1520" i="3"/>
  <c r="N1520" i="3"/>
  <c r="P1520" i="3"/>
  <c r="Q1520" i="3"/>
  <c r="R1520" i="3"/>
  <c r="S1520" i="3" s="1"/>
  <c r="T1520" i="3" s="1"/>
  <c r="U1520" i="3"/>
  <c r="V1520" i="3" s="1"/>
  <c r="L1521" i="3"/>
  <c r="M1521" i="3"/>
  <c r="N1521" i="3"/>
  <c r="P1521" i="3"/>
  <c r="Q1521" i="3"/>
  <c r="R1521" i="3"/>
  <c r="S1521" i="3" s="1"/>
  <c r="T1521" i="3" s="1"/>
  <c r="U1521" i="3"/>
  <c r="V1521" i="3" s="1"/>
  <c r="L1522" i="3"/>
  <c r="M1522" i="3"/>
  <c r="N1522" i="3"/>
  <c r="P1522" i="3"/>
  <c r="Q1522" i="3"/>
  <c r="R1522" i="3"/>
  <c r="S1522" i="3" s="1"/>
  <c r="T1522" i="3" s="1"/>
  <c r="U1522" i="3"/>
  <c r="V1522" i="3" s="1"/>
  <c r="L1523" i="3"/>
  <c r="M1523" i="3"/>
  <c r="N1523" i="3"/>
  <c r="P1523" i="3"/>
  <c r="Q1523" i="3"/>
  <c r="R1523" i="3"/>
  <c r="S1523" i="3" s="1"/>
  <c r="T1523" i="3" s="1"/>
  <c r="U1523" i="3"/>
  <c r="V1523" i="3" s="1"/>
  <c r="L1524" i="3"/>
  <c r="M1524" i="3"/>
  <c r="N1524" i="3"/>
  <c r="P1524" i="3"/>
  <c r="Q1524" i="3"/>
  <c r="R1524" i="3"/>
  <c r="S1524" i="3" s="1"/>
  <c r="T1524" i="3" s="1"/>
  <c r="U1524" i="3"/>
  <c r="V1524" i="3" s="1"/>
  <c r="L1525" i="3"/>
  <c r="M1525" i="3"/>
  <c r="N1525" i="3"/>
  <c r="P1525" i="3"/>
  <c r="Q1525" i="3"/>
  <c r="R1525" i="3"/>
  <c r="S1525" i="3" s="1"/>
  <c r="T1525" i="3" s="1"/>
  <c r="U1525" i="3"/>
  <c r="V1525" i="3" s="1"/>
  <c r="L1526" i="3"/>
  <c r="M1526" i="3"/>
  <c r="N1526" i="3"/>
  <c r="P1526" i="3"/>
  <c r="Q1526" i="3"/>
  <c r="R1526" i="3"/>
  <c r="S1526" i="3" s="1"/>
  <c r="T1526" i="3" s="1"/>
  <c r="U1526" i="3"/>
  <c r="V1526" i="3" s="1"/>
  <c r="L1527" i="3"/>
  <c r="M1527" i="3"/>
  <c r="N1527" i="3"/>
  <c r="P1527" i="3"/>
  <c r="Q1527" i="3"/>
  <c r="R1527" i="3"/>
  <c r="S1527" i="3" s="1"/>
  <c r="T1527" i="3" s="1"/>
  <c r="U1527" i="3"/>
  <c r="V1527" i="3" s="1"/>
  <c r="L1528" i="3"/>
  <c r="M1528" i="3"/>
  <c r="N1528" i="3"/>
  <c r="P1528" i="3"/>
  <c r="Q1528" i="3"/>
  <c r="R1528" i="3"/>
  <c r="S1528" i="3" s="1"/>
  <c r="T1528" i="3" s="1"/>
  <c r="U1528" i="3"/>
  <c r="V1528" i="3" s="1"/>
  <c r="L1529" i="3"/>
  <c r="M1529" i="3"/>
  <c r="N1529" i="3"/>
  <c r="P1529" i="3"/>
  <c r="Q1529" i="3"/>
  <c r="R1529" i="3"/>
  <c r="S1529" i="3" s="1"/>
  <c r="T1529" i="3" s="1"/>
  <c r="U1529" i="3"/>
  <c r="V1529" i="3"/>
  <c r="L1530" i="3"/>
  <c r="M1530" i="3"/>
  <c r="N1530" i="3"/>
  <c r="P1530" i="3"/>
  <c r="Q1530" i="3"/>
  <c r="R1530" i="3"/>
  <c r="S1530" i="3" s="1"/>
  <c r="T1530" i="3" s="1"/>
  <c r="U1530" i="3"/>
  <c r="V1530" i="3" s="1"/>
  <c r="L1531" i="3"/>
  <c r="M1531" i="3"/>
  <c r="N1531" i="3"/>
  <c r="P1531" i="3"/>
  <c r="Q1531" i="3"/>
  <c r="R1531" i="3"/>
  <c r="S1531" i="3" s="1"/>
  <c r="T1531" i="3" s="1"/>
  <c r="U1531" i="3"/>
  <c r="V1531" i="3" s="1"/>
  <c r="L1532" i="3"/>
  <c r="M1532" i="3"/>
  <c r="N1532" i="3"/>
  <c r="P1532" i="3"/>
  <c r="Q1532" i="3"/>
  <c r="R1532" i="3"/>
  <c r="S1532" i="3" s="1"/>
  <c r="T1532" i="3" s="1"/>
  <c r="U1532" i="3"/>
  <c r="V1532" i="3"/>
  <c r="L1533" i="3"/>
  <c r="M1533" i="3"/>
  <c r="N1533" i="3"/>
  <c r="P1533" i="3"/>
  <c r="Q1533" i="3"/>
  <c r="R1533" i="3"/>
  <c r="S1533" i="3" s="1"/>
  <c r="T1533" i="3" s="1"/>
  <c r="U1533" i="3"/>
  <c r="V1533" i="3" s="1"/>
  <c r="L1534" i="3"/>
  <c r="M1534" i="3"/>
  <c r="N1534" i="3"/>
  <c r="P1534" i="3"/>
  <c r="Q1534" i="3"/>
  <c r="R1534" i="3"/>
  <c r="S1534" i="3" s="1"/>
  <c r="T1534" i="3" s="1"/>
  <c r="U1534" i="3"/>
  <c r="V1534" i="3" s="1"/>
  <c r="L1535" i="3"/>
  <c r="M1535" i="3"/>
  <c r="N1535" i="3"/>
  <c r="P1535" i="3"/>
  <c r="Q1535" i="3"/>
  <c r="R1535" i="3"/>
  <c r="S1535" i="3" s="1"/>
  <c r="T1535" i="3" s="1"/>
  <c r="U1535" i="3"/>
  <c r="V1535" i="3"/>
  <c r="L1536" i="3"/>
  <c r="M1536" i="3"/>
  <c r="N1536" i="3"/>
  <c r="P1536" i="3"/>
  <c r="Q1536" i="3"/>
  <c r="R1536" i="3"/>
  <c r="S1536" i="3" s="1"/>
  <c r="T1536" i="3" s="1"/>
  <c r="U1536" i="3"/>
  <c r="V1536" i="3" s="1"/>
  <c r="L1537" i="3"/>
  <c r="M1537" i="3"/>
  <c r="N1537" i="3"/>
  <c r="P1537" i="3"/>
  <c r="Q1537" i="3"/>
  <c r="R1537" i="3"/>
  <c r="S1537" i="3" s="1"/>
  <c r="T1537" i="3" s="1"/>
  <c r="U1537" i="3"/>
  <c r="V1537" i="3" s="1"/>
  <c r="L1538" i="3"/>
  <c r="M1538" i="3"/>
  <c r="N1538" i="3"/>
  <c r="P1538" i="3"/>
  <c r="Q1538" i="3"/>
  <c r="R1538" i="3"/>
  <c r="S1538" i="3" s="1"/>
  <c r="T1538" i="3" s="1"/>
  <c r="U1538" i="3"/>
  <c r="V1538" i="3" s="1"/>
  <c r="L1539" i="3"/>
  <c r="M1539" i="3"/>
  <c r="N1539" i="3"/>
  <c r="P1539" i="3"/>
  <c r="Q1539" i="3"/>
  <c r="R1539" i="3"/>
  <c r="S1539" i="3" s="1"/>
  <c r="T1539" i="3" s="1"/>
  <c r="U1539" i="3"/>
  <c r="V1539" i="3" s="1"/>
  <c r="L1540" i="3"/>
  <c r="M1540" i="3"/>
  <c r="N1540" i="3"/>
  <c r="P1540" i="3"/>
  <c r="Q1540" i="3"/>
  <c r="R1540" i="3"/>
  <c r="S1540" i="3" s="1"/>
  <c r="T1540" i="3" s="1"/>
  <c r="U1540" i="3"/>
  <c r="V1540" i="3" s="1"/>
  <c r="L1541" i="3"/>
  <c r="M1541" i="3"/>
  <c r="N1541" i="3"/>
  <c r="P1541" i="3"/>
  <c r="Q1541" i="3"/>
  <c r="R1541" i="3"/>
  <c r="S1541" i="3" s="1"/>
  <c r="T1541" i="3" s="1"/>
  <c r="U1541" i="3"/>
  <c r="V1541" i="3" s="1"/>
  <c r="L1542" i="3"/>
  <c r="M1542" i="3"/>
  <c r="N1542" i="3"/>
  <c r="P1542" i="3"/>
  <c r="Q1542" i="3"/>
  <c r="R1542" i="3"/>
  <c r="S1542" i="3" s="1"/>
  <c r="T1542" i="3" s="1"/>
  <c r="U1542" i="3"/>
  <c r="V1542" i="3" s="1"/>
  <c r="L1543" i="3"/>
  <c r="M1543" i="3"/>
  <c r="N1543" i="3"/>
  <c r="P1543" i="3"/>
  <c r="Q1543" i="3"/>
  <c r="R1543" i="3"/>
  <c r="S1543" i="3" s="1"/>
  <c r="T1543" i="3" s="1"/>
  <c r="U1543" i="3"/>
  <c r="V1543" i="3" s="1"/>
  <c r="L1544" i="3"/>
  <c r="M1544" i="3"/>
  <c r="N1544" i="3"/>
  <c r="P1544" i="3"/>
  <c r="Q1544" i="3"/>
  <c r="R1544" i="3"/>
  <c r="S1544" i="3" s="1"/>
  <c r="T1544" i="3" s="1"/>
  <c r="U1544" i="3"/>
  <c r="V1544" i="3" s="1"/>
  <c r="L1545" i="3"/>
  <c r="M1545" i="3"/>
  <c r="N1545" i="3"/>
  <c r="P1545" i="3"/>
  <c r="Q1545" i="3"/>
  <c r="R1545" i="3"/>
  <c r="S1545" i="3" s="1"/>
  <c r="T1545" i="3" s="1"/>
  <c r="U1545" i="3"/>
  <c r="V1545" i="3"/>
  <c r="L1546" i="3"/>
  <c r="M1546" i="3"/>
  <c r="N1546" i="3"/>
  <c r="P1546" i="3"/>
  <c r="Q1546" i="3"/>
  <c r="R1546" i="3"/>
  <c r="S1546" i="3" s="1"/>
  <c r="T1546" i="3" s="1"/>
  <c r="U1546" i="3"/>
  <c r="V1546" i="3" s="1"/>
  <c r="L1547" i="3"/>
  <c r="M1547" i="3"/>
  <c r="N1547" i="3"/>
  <c r="P1547" i="3"/>
  <c r="Q1547" i="3"/>
  <c r="R1547" i="3"/>
  <c r="S1547" i="3" s="1"/>
  <c r="T1547" i="3" s="1"/>
  <c r="U1547" i="3"/>
  <c r="V1547" i="3" s="1"/>
  <c r="L1548" i="3"/>
  <c r="M1548" i="3"/>
  <c r="N1548" i="3"/>
  <c r="P1548" i="3"/>
  <c r="Q1548" i="3"/>
  <c r="R1548" i="3"/>
  <c r="S1548" i="3" s="1"/>
  <c r="T1548" i="3" s="1"/>
  <c r="U1548" i="3"/>
  <c r="V1548" i="3" s="1"/>
  <c r="L1549" i="3"/>
  <c r="M1549" i="3"/>
  <c r="N1549" i="3"/>
  <c r="P1549" i="3"/>
  <c r="Q1549" i="3"/>
  <c r="R1549" i="3"/>
  <c r="S1549" i="3" s="1"/>
  <c r="T1549" i="3" s="1"/>
  <c r="U1549" i="3"/>
  <c r="V1549" i="3" s="1"/>
  <c r="L1550" i="3"/>
  <c r="M1550" i="3"/>
  <c r="N1550" i="3"/>
  <c r="P1550" i="3"/>
  <c r="Q1550" i="3"/>
  <c r="R1550" i="3"/>
  <c r="S1550" i="3" s="1"/>
  <c r="T1550" i="3" s="1"/>
  <c r="U1550" i="3"/>
  <c r="V1550" i="3" s="1"/>
  <c r="L1551" i="3"/>
  <c r="M1551" i="3"/>
  <c r="N1551" i="3"/>
  <c r="P1551" i="3"/>
  <c r="Q1551" i="3"/>
  <c r="R1551" i="3"/>
  <c r="S1551" i="3" s="1"/>
  <c r="T1551" i="3" s="1"/>
  <c r="U1551" i="3"/>
  <c r="V1551" i="3" s="1"/>
  <c r="L1552" i="3"/>
  <c r="M1552" i="3"/>
  <c r="N1552" i="3"/>
  <c r="P1552" i="3"/>
  <c r="Q1552" i="3"/>
  <c r="R1552" i="3"/>
  <c r="S1552" i="3" s="1"/>
  <c r="T1552" i="3" s="1"/>
  <c r="U1552" i="3"/>
  <c r="V1552" i="3" s="1"/>
  <c r="L1553" i="3"/>
  <c r="M1553" i="3"/>
  <c r="N1553" i="3"/>
  <c r="P1553" i="3"/>
  <c r="Q1553" i="3"/>
  <c r="R1553" i="3"/>
  <c r="S1553" i="3" s="1"/>
  <c r="T1553" i="3" s="1"/>
  <c r="U1553" i="3"/>
  <c r="V1553" i="3" s="1"/>
  <c r="L1554" i="3"/>
  <c r="M1554" i="3"/>
  <c r="N1554" i="3"/>
  <c r="P1554" i="3"/>
  <c r="Q1554" i="3"/>
  <c r="R1554" i="3"/>
  <c r="S1554" i="3" s="1"/>
  <c r="T1554" i="3" s="1"/>
  <c r="U1554" i="3"/>
  <c r="V1554" i="3" s="1"/>
  <c r="L1555" i="3"/>
  <c r="M1555" i="3"/>
  <c r="N1555" i="3"/>
  <c r="P1555" i="3"/>
  <c r="Q1555" i="3"/>
  <c r="R1555" i="3"/>
  <c r="S1555" i="3" s="1"/>
  <c r="T1555" i="3" s="1"/>
  <c r="U1555" i="3"/>
  <c r="V1555" i="3" s="1"/>
  <c r="L1556" i="3"/>
  <c r="M1556" i="3"/>
  <c r="N1556" i="3"/>
  <c r="P1556" i="3"/>
  <c r="Q1556" i="3"/>
  <c r="R1556" i="3"/>
  <c r="S1556" i="3" s="1"/>
  <c r="T1556" i="3" s="1"/>
  <c r="U1556" i="3"/>
  <c r="V1556" i="3" s="1"/>
  <c r="L1557" i="3"/>
  <c r="M1557" i="3"/>
  <c r="N1557" i="3"/>
  <c r="P1557" i="3"/>
  <c r="Q1557" i="3"/>
  <c r="R1557" i="3"/>
  <c r="S1557" i="3" s="1"/>
  <c r="T1557" i="3" s="1"/>
  <c r="U1557" i="3"/>
  <c r="V1557" i="3" s="1"/>
  <c r="L1558" i="3"/>
  <c r="M1558" i="3"/>
  <c r="N1558" i="3"/>
  <c r="P1558" i="3"/>
  <c r="Q1558" i="3"/>
  <c r="R1558" i="3"/>
  <c r="S1558" i="3" s="1"/>
  <c r="T1558" i="3" s="1"/>
  <c r="U1558" i="3"/>
  <c r="V1558" i="3" s="1"/>
  <c r="L1559" i="3"/>
  <c r="M1559" i="3"/>
  <c r="N1559" i="3"/>
  <c r="P1559" i="3"/>
  <c r="Q1559" i="3"/>
  <c r="R1559" i="3"/>
  <c r="S1559" i="3" s="1"/>
  <c r="T1559" i="3" s="1"/>
  <c r="U1559" i="3"/>
  <c r="V1559" i="3" s="1"/>
  <c r="L1560" i="3"/>
  <c r="M1560" i="3"/>
  <c r="N1560" i="3"/>
  <c r="P1560" i="3"/>
  <c r="Q1560" i="3"/>
  <c r="R1560" i="3"/>
  <c r="S1560" i="3" s="1"/>
  <c r="T1560" i="3" s="1"/>
  <c r="U1560" i="3"/>
  <c r="V1560" i="3" s="1"/>
  <c r="L1561" i="3"/>
  <c r="M1561" i="3"/>
  <c r="N1561" i="3"/>
  <c r="P1561" i="3"/>
  <c r="Q1561" i="3"/>
  <c r="R1561" i="3"/>
  <c r="S1561" i="3" s="1"/>
  <c r="T1561" i="3" s="1"/>
  <c r="U1561" i="3"/>
  <c r="V1561" i="3" s="1"/>
  <c r="L1562" i="3"/>
  <c r="M1562" i="3"/>
  <c r="N1562" i="3"/>
  <c r="P1562" i="3"/>
  <c r="Q1562" i="3"/>
  <c r="R1562" i="3"/>
  <c r="S1562" i="3" s="1"/>
  <c r="T1562" i="3" s="1"/>
  <c r="U1562" i="3"/>
  <c r="V1562" i="3" s="1"/>
  <c r="L1563" i="3"/>
  <c r="M1563" i="3"/>
  <c r="N1563" i="3"/>
  <c r="P1563" i="3"/>
  <c r="Q1563" i="3"/>
  <c r="R1563" i="3"/>
  <c r="S1563" i="3" s="1"/>
  <c r="T1563" i="3" s="1"/>
  <c r="U1563" i="3"/>
  <c r="V1563" i="3" s="1"/>
  <c r="L1564" i="3"/>
  <c r="M1564" i="3"/>
  <c r="N1564" i="3"/>
  <c r="P1564" i="3"/>
  <c r="Q1564" i="3"/>
  <c r="R1564" i="3"/>
  <c r="S1564" i="3" s="1"/>
  <c r="T1564" i="3" s="1"/>
  <c r="U1564" i="3"/>
  <c r="V1564" i="3" s="1"/>
  <c r="L1565" i="3"/>
  <c r="M1565" i="3"/>
  <c r="N1565" i="3"/>
  <c r="P1565" i="3"/>
  <c r="Q1565" i="3"/>
  <c r="R1565" i="3"/>
  <c r="S1565" i="3" s="1"/>
  <c r="T1565" i="3" s="1"/>
  <c r="U1565" i="3"/>
  <c r="V1565" i="3" s="1"/>
  <c r="L1566" i="3"/>
  <c r="M1566" i="3"/>
  <c r="N1566" i="3"/>
  <c r="P1566" i="3"/>
  <c r="Q1566" i="3"/>
  <c r="R1566" i="3"/>
  <c r="S1566" i="3" s="1"/>
  <c r="T1566" i="3" s="1"/>
  <c r="U1566" i="3"/>
  <c r="V1566" i="3" s="1"/>
  <c r="L1567" i="3"/>
  <c r="M1567" i="3"/>
  <c r="N1567" i="3"/>
  <c r="P1567" i="3"/>
  <c r="Q1567" i="3"/>
  <c r="R1567" i="3"/>
  <c r="S1567" i="3" s="1"/>
  <c r="T1567" i="3" s="1"/>
  <c r="U1567" i="3"/>
  <c r="V1567" i="3" s="1"/>
  <c r="L1568" i="3"/>
  <c r="M1568" i="3"/>
  <c r="N1568" i="3"/>
  <c r="P1568" i="3"/>
  <c r="Q1568" i="3"/>
  <c r="R1568" i="3"/>
  <c r="S1568" i="3" s="1"/>
  <c r="T1568" i="3" s="1"/>
  <c r="U1568" i="3"/>
  <c r="V1568" i="3" s="1"/>
  <c r="L1569" i="3"/>
  <c r="M1569" i="3"/>
  <c r="N1569" i="3"/>
  <c r="P1569" i="3"/>
  <c r="Q1569" i="3"/>
  <c r="R1569" i="3"/>
  <c r="S1569" i="3" s="1"/>
  <c r="T1569" i="3" s="1"/>
  <c r="U1569" i="3"/>
  <c r="V1569" i="3" s="1"/>
  <c r="L1570" i="3"/>
  <c r="M1570" i="3"/>
  <c r="N1570" i="3"/>
  <c r="P1570" i="3"/>
  <c r="Q1570" i="3"/>
  <c r="R1570" i="3"/>
  <c r="S1570" i="3" s="1"/>
  <c r="T1570" i="3" s="1"/>
  <c r="U1570" i="3"/>
  <c r="V1570" i="3" s="1"/>
  <c r="L1571" i="3"/>
  <c r="M1571" i="3"/>
  <c r="N1571" i="3"/>
  <c r="P1571" i="3"/>
  <c r="Q1571" i="3"/>
  <c r="R1571" i="3"/>
  <c r="S1571" i="3" s="1"/>
  <c r="T1571" i="3" s="1"/>
  <c r="U1571" i="3"/>
  <c r="V1571" i="3" s="1"/>
  <c r="L1572" i="3"/>
  <c r="M1572" i="3"/>
  <c r="N1572" i="3"/>
  <c r="P1572" i="3"/>
  <c r="Q1572" i="3"/>
  <c r="R1572" i="3"/>
  <c r="S1572" i="3" s="1"/>
  <c r="T1572" i="3" s="1"/>
  <c r="U1572" i="3"/>
  <c r="V1572" i="3" s="1"/>
  <c r="L1573" i="3"/>
  <c r="M1573" i="3"/>
  <c r="N1573" i="3"/>
  <c r="P1573" i="3"/>
  <c r="Q1573" i="3"/>
  <c r="R1573" i="3"/>
  <c r="S1573" i="3" s="1"/>
  <c r="T1573" i="3" s="1"/>
  <c r="U1573" i="3"/>
  <c r="V1573" i="3" s="1"/>
  <c r="L1574" i="3"/>
  <c r="M1574" i="3"/>
  <c r="N1574" i="3"/>
  <c r="P1574" i="3"/>
  <c r="Q1574" i="3"/>
  <c r="R1574" i="3"/>
  <c r="S1574" i="3" s="1"/>
  <c r="T1574" i="3" s="1"/>
  <c r="U1574" i="3"/>
  <c r="V1574" i="3" s="1"/>
  <c r="L1575" i="3"/>
  <c r="M1575" i="3"/>
  <c r="N1575" i="3"/>
  <c r="P1575" i="3"/>
  <c r="Q1575" i="3"/>
  <c r="R1575" i="3"/>
  <c r="S1575" i="3" s="1"/>
  <c r="T1575" i="3" s="1"/>
  <c r="U1575" i="3"/>
  <c r="V1575" i="3" s="1"/>
  <c r="L1576" i="3"/>
  <c r="M1576" i="3"/>
  <c r="N1576" i="3"/>
  <c r="P1576" i="3"/>
  <c r="Q1576" i="3"/>
  <c r="R1576" i="3"/>
  <c r="S1576" i="3" s="1"/>
  <c r="T1576" i="3" s="1"/>
  <c r="U1576" i="3"/>
  <c r="V1576" i="3"/>
  <c r="L1577" i="3"/>
  <c r="M1577" i="3"/>
  <c r="N1577" i="3"/>
  <c r="P1577" i="3"/>
  <c r="Q1577" i="3"/>
  <c r="R1577" i="3"/>
  <c r="S1577" i="3" s="1"/>
  <c r="T1577" i="3" s="1"/>
  <c r="U1577" i="3"/>
  <c r="V1577" i="3" s="1"/>
  <c r="L1578" i="3"/>
  <c r="M1578" i="3"/>
  <c r="N1578" i="3"/>
  <c r="P1578" i="3"/>
  <c r="Q1578" i="3"/>
  <c r="R1578" i="3"/>
  <c r="S1578" i="3" s="1"/>
  <c r="T1578" i="3" s="1"/>
  <c r="U1578" i="3"/>
  <c r="V1578" i="3" s="1"/>
  <c r="L1579" i="3"/>
  <c r="M1579" i="3"/>
  <c r="N1579" i="3"/>
  <c r="P1579" i="3"/>
  <c r="Q1579" i="3"/>
  <c r="R1579" i="3"/>
  <c r="S1579" i="3" s="1"/>
  <c r="T1579" i="3" s="1"/>
  <c r="U1579" i="3"/>
  <c r="V1579" i="3" s="1"/>
  <c r="L1580" i="3"/>
  <c r="M1580" i="3"/>
  <c r="N1580" i="3"/>
  <c r="P1580" i="3"/>
  <c r="Q1580" i="3"/>
  <c r="R1580" i="3"/>
  <c r="S1580" i="3" s="1"/>
  <c r="T1580" i="3" s="1"/>
  <c r="U1580" i="3"/>
  <c r="V1580" i="3" s="1"/>
  <c r="L1581" i="3"/>
  <c r="M1581" i="3"/>
  <c r="N1581" i="3"/>
  <c r="P1581" i="3"/>
  <c r="Q1581" i="3"/>
  <c r="R1581" i="3"/>
  <c r="S1581" i="3" s="1"/>
  <c r="T1581" i="3" s="1"/>
  <c r="U1581" i="3"/>
  <c r="V1581" i="3" s="1"/>
  <c r="L1582" i="3"/>
  <c r="M1582" i="3"/>
  <c r="N1582" i="3"/>
  <c r="P1582" i="3"/>
  <c r="Q1582" i="3"/>
  <c r="R1582" i="3"/>
  <c r="S1582" i="3" s="1"/>
  <c r="T1582" i="3" s="1"/>
  <c r="U1582" i="3"/>
  <c r="V1582" i="3" s="1"/>
  <c r="L1583" i="3"/>
  <c r="M1583" i="3"/>
  <c r="N1583" i="3"/>
  <c r="P1583" i="3"/>
  <c r="Q1583" i="3"/>
  <c r="R1583" i="3"/>
  <c r="S1583" i="3" s="1"/>
  <c r="T1583" i="3" s="1"/>
  <c r="U1583" i="3"/>
  <c r="V1583" i="3" s="1"/>
  <c r="L1584" i="3"/>
  <c r="M1584" i="3"/>
  <c r="N1584" i="3"/>
  <c r="P1584" i="3"/>
  <c r="Q1584" i="3"/>
  <c r="R1584" i="3"/>
  <c r="S1584" i="3" s="1"/>
  <c r="T1584" i="3" s="1"/>
  <c r="U1584" i="3"/>
  <c r="V1584" i="3" s="1"/>
  <c r="L1585" i="3"/>
  <c r="M1585" i="3"/>
  <c r="N1585" i="3"/>
  <c r="P1585" i="3"/>
  <c r="Q1585" i="3"/>
  <c r="R1585" i="3"/>
  <c r="S1585" i="3" s="1"/>
  <c r="T1585" i="3" s="1"/>
  <c r="U1585" i="3"/>
  <c r="V1585" i="3" s="1"/>
  <c r="L1586" i="3"/>
  <c r="M1586" i="3"/>
  <c r="N1586" i="3"/>
  <c r="P1586" i="3"/>
  <c r="Q1586" i="3"/>
  <c r="R1586" i="3"/>
  <c r="S1586" i="3" s="1"/>
  <c r="T1586" i="3" s="1"/>
  <c r="U1586" i="3"/>
  <c r="V1586" i="3" s="1"/>
  <c r="L1587" i="3"/>
  <c r="M1587" i="3"/>
  <c r="N1587" i="3"/>
  <c r="P1587" i="3"/>
  <c r="Q1587" i="3"/>
  <c r="R1587" i="3"/>
  <c r="S1587" i="3" s="1"/>
  <c r="T1587" i="3" s="1"/>
  <c r="U1587" i="3"/>
  <c r="V1587" i="3" s="1"/>
  <c r="L1588" i="3"/>
  <c r="M1588" i="3"/>
  <c r="N1588" i="3"/>
  <c r="P1588" i="3"/>
  <c r="Q1588" i="3"/>
  <c r="R1588" i="3"/>
  <c r="S1588" i="3" s="1"/>
  <c r="T1588" i="3" s="1"/>
  <c r="U1588" i="3"/>
  <c r="V1588" i="3" s="1"/>
  <c r="L1589" i="3"/>
  <c r="M1589" i="3"/>
  <c r="N1589" i="3"/>
  <c r="P1589" i="3"/>
  <c r="Q1589" i="3"/>
  <c r="R1589" i="3"/>
  <c r="S1589" i="3" s="1"/>
  <c r="T1589" i="3"/>
  <c r="U1589" i="3"/>
  <c r="V1589" i="3" s="1"/>
  <c r="L1590" i="3"/>
  <c r="M1590" i="3"/>
  <c r="N1590" i="3"/>
  <c r="P1590" i="3"/>
  <c r="Q1590" i="3"/>
  <c r="R1590" i="3"/>
  <c r="S1590" i="3" s="1"/>
  <c r="T1590" i="3" s="1"/>
  <c r="U1590" i="3"/>
  <c r="V1590" i="3" s="1"/>
  <c r="L1591" i="3"/>
  <c r="M1591" i="3"/>
  <c r="N1591" i="3"/>
  <c r="P1591" i="3"/>
  <c r="Q1591" i="3"/>
  <c r="R1591" i="3"/>
  <c r="S1591" i="3" s="1"/>
  <c r="T1591" i="3"/>
  <c r="U1591" i="3"/>
  <c r="V1591" i="3" s="1"/>
  <c r="L1592" i="3"/>
  <c r="M1592" i="3"/>
  <c r="N1592" i="3"/>
  <c r="P1592" i="3"/>
  <c r="Q1592" i="3"/>
  <c r="R1592" i="3"/>
  <c r="S1592" i="3" s="1"/>
  <c r="T1592" i="3" s="1"/>
  <c r="U1592" i="3"/>
  <c r="V1592" i="3" s="1"/>
  <c r="L1593" i="3"/>
  <c r="M1593" i="3"/>
  <c r="N1593" i="3"/>
  <c r="P1593" i="3"/>
  <c r="Q1593" i="3"/>
  <c r="R1593" i="3"/>
  <c r="S1593" i="3" s="1"/>
  <c r="T1593" i="3" s="1"/>
  <c r="U1593" i="3"/>
  <c r="V1593" i="3" s="1"/>
  <c r="L1594" i="3"/>
  <c r="M1594" i="3"/>
  <c r="N1594" i="3"/>
  <c r="P1594" i="3"/>
  <c r="Q1594" i="3"/>
  <c r="R1594" i="3"/>
  <c r="S1594" i="3" s="1"/>
  <c r="T1594" i="3" s="1"/>
  <c r="U1594" i="3"/>
  <c r="V1594" i="3" s="1"/>
  <c r="L1595" i="3"/>
  <c r="M1595" i="3"/>
  <c r="N1595" i="3"/>
  <c r="P1595" i="3"/>
  <c r="Q1595" i="3"/>
  <c r="R1595" i="3"/>
  <c r="S1595" i="3" s="1"/>
  <c r="T1595" i="3" s="1"/>
  <c r="U1595" i="3"/>
  <c r="V1595" i="3" s="1"/>
  <c r="L1596" i="3"/>
  <c r="M1596" i="3"/>
  <c r="N1596" i="3"/>
  <c r="P1596" i="3"/>
  <c r="Q1596" i="3"/>
  <c r="R1596" i="3"/>
  <c r="S1596" i="3" s="1"/>
  <c r="T1596" i="3" s="1"/>
  <c r="U1596" i="3"/>
  <c r="V1596" i="3" s="1"/>
  <c r="L1597" i="3"/>
  <c r="M1597" i="3"/>
  <c r="N1597" i="3"/>
  <c r="P1597" i="3"/>
  <c r="Q1597" i="3"/>
  <c r="R1597" i="3"/>
  <c r="S1597" i="3" s="1"/>
  <c r="T1597" i="3" s="1"/>
  <c r="U1597" i="3"/>
  <c r="V1597" i="3" s="1"/>
  <c r="L1598" i="3"/>
  <c r="M1598" i="3"/>
  <c r="N1598" i="3"/>
  <c r="P1598" i="3"/>
  <c r="Q1598" i="3"/>
  <c r="R1598" i="3"/>
  <c r="S1598" i="3" s="1"/>
  <c r="T1598" i="3" s="1"/>
  <c r="U1598" i="3"/>
  <c r="V1598" i="3" s="1"/>
  <c r="L1599" i="3"/>
  <c r="M1599" i="3"/>
  <c r="N1599" i="3"/>
  <c r="P1599" i="3"/>
  <c r="Q1599" i="3"/>
  <c r="R1599" i="3"/>
  <c r="S1599" i="3" s="1"/>
  <c r="T1599" i="3" s="1"/>
  <c r="U1599" i="3"/>
  <c r="V1599" i="3" s="1"/>
  <c r="L1600" i="3"/>
  <c r="M1600" i="3"/>
  <c r="N1600" i="3"/>
  <c r="P1600" i="3"/>
  <c r="Q1600" i="3"/>
  <c r="R1600" i="3"/>
  <c r="S1600" i="3" s="1"/>
  <c r="T1600" i="3" s="1"/>
  <c r="U1600" i="3"/>
  <c r="V1600" i="3" s="1"/>
  <c r="L1601" i="3"/>
  <c r="M1601" i="3"/>
  <c r="N1601" i="3"/>
  <c r="P1601" i="3"/>
  <c r="Q1601" i="3"/>
  <c r="R1601" i="3"/>
  <c r="S1601" i="3" s="1"/>
  <c r="T1601" i="3" s="1"/>
  <c r="U1601" i="3"/>
  <c r="V1601" i="3" s="1"/>
  <c r="L1602" i="3"/>
  <c r="M1602" i="3"/>
  <c r="N1602" i="3"/>
  <c r="P1602" i="3"/>
  <c r="Q1602" i="3"/>
  <c r="R1602" i="3"/>
  <c r="S1602" i="3" s="1"/>
  <c r="T1602" i="3" s="1"/>
  <c r="U1602" i="3"/>
  <c r="V1602" i="3" s="1"/>
  <c r="L1603" i="3"/>
  <c r="M1603" i="3"/>
  <c r="N1603" i="3"/>
  <c r="P1603" i="3"/>
  <c r="Q1603" i="3"/>
  <c r="R1603" i="3"/>
  <c r="S1603" i="3" s="1"/>
  <c r="T1603" i="3" s="1"/>
  <c r="U1603" i="3"/>
  <c r="V1603" i="3" s="1"/>
  <c r="L1604" i="3"/>
  <c r="M1604" i="3"/>
  <c r="N1604" i="3"/>
  <c r="P1604" i="3"/>
  <c r="Q1604" i="3"/>
  <c r="R1604" i="3"/>
  <c r="S1604" i="3" s="1"/>
  <c r="T1604" i="3" s="1"/>
  <c r="U1604" i="3"/>
  <c r="V1604" i="3" s="1"/>
  <c r="L1605" i="3"/>
  <c r="M1605" i="3"/>
  <c r="N1605" i="3"/>
  <c r="P1605" i="3"/>
  <c r="Q1605" i="3"/>
  <c r="R1605" i="3"/>
  <c r="S1605" i="3" s="1"/>
  <c r="T1605" i="3" s="1"/>
  <c r="U1605" i="3"/>
  <c r="V1605" i="3" s="1"/>
  <c r="L1606" i="3"/>
  <c r="M1606" i="3"/>
  <c r="N1606" i="3"/>
  <c r="P1606" i="3"/>
  <c r="Q1606" i="3"/>
  <c r="R1606" i="3"/>
  <c r="S1606" i="3" s="1"/>
  <c r="T1606" i="3" s="1"/>
  <c r="U1606" i="3"/>
  <c r="V1606" i="3" s="1"/>
  <c r="L1607" i="3"/>
  <c r="M1607" i="3"/>
  <c r="N1607" i="3"/>
  <c r="P1607" i="3"/>
  <c r="Q1607" i="3"/>
  <c r="R1607" i="3"/>
  <c r="S1607" i="3" s="1"/>
  <c r="T1607" i="3" s="1"/>
  <c r="U1607" i="3"/>
  <c r="V1607" i="3" s="1"/>
  <c r="L1608" i="3"/>
  <c r="M1608" i="3"/>
  <c r="N1608" i="3"/>
  <c r="P1608" i="3"/>
  <c r="Q1608" i="3"/>
  <c r="R1608" i="3"/>
  <c r="S1608" i="3" s="1"/>
  <c r="T1608" i="3" s="1"/>
  <c r="U1608" i="3"/>
  <c r="V1608" i="3" s="1"/>
  <c r="L1609" i="3"/>
  <c r="M1609" i="3"/>
  <c r="N1609" i="3"/>
  <c r="P1609" i="3"/>
  <c r="Q1609" i="3"/>
  <c r="R1609" i="3"/>
  <c r="S1609" i="3" s="1"/>
  <c r="T1609" i="3" s="1"/>
  <c r="U1609" i="3"/>
  <c r="V1609" i="3" s="1"/>
  <c r="L1610" i="3"/>
  <c r="M1610" i="3"/>
  <c r="N1610" i="3"/>
  <c r="P1610" i="3"/>
  <c r="Q1610" i="3"/>
  <c r="R1610" i="3"/>
  <c r="S1610" i="3" s="1"/>
  <c r="T1610" i="3" s="1"/>
  <c r="U1610" i="3"/>
  <c r="V1610" i="3" s="1"/>
  <c r="L1611" i="3"/>
  <c r="M1611" i="3"/>
  <c r="N1611" i="3"/>
  <c r="P1611" i="3"/>
  <c r="Q1611" i="3"/>
  <c r="R1611" i="3"/>
  <c r="S1611" i="3" s="1"/>
  <c r="T1611" i="3" s="1"/>
  <c r="U1611" i="3"/>
  <c r="V1611" i="3" s="1"/>
  <c r="L1612" i="3"/>
  <c r="M1612" i="3"/>
  <c r="N1612" i="3"/>
  <c r="P1612" i="3"/>
  <c r="Q1612" i="3"/>
  <c r="R1612" i="3"/>
  <c r="S1612" i="3" s="1"/>
  <c r="T1612" i="3" s="1"/>
  <c r="U1612" i="3"/>
  <c r="V1612" i="3" s="1"/>
  <c r="L1613" i="3"/>
  <c r="M1613" i="3"/>
  <c r="N1613" i="3"/>
  <c r="P1613" i="3"/>
  <c r="Q1613" i="3"/>
  <c r="R1613" i="3"/>
  <c r="S1613" i="3" s="1"/>
  <c r="T1613" i="3" s="1"/>
  <c r="U1613" i="3"/>
  <c r="V1613" i="3" s="1"/>
  <c r="L1614" i="3"/>
  <c r="M1614" i="3"/>
  <c r="N1614" i="3"/>
  <c r="P1614" i="3"/>
  <c r="Q1614" i="3"/>
  <c r="R1614" i="3"/>
  <c r="S1614" i="3" s="1"/>
  <c r="T1614" i="3" s="1"/>
  <c r="U1614" i="3"/>
  <c r="V1614" i="3" s="1"/>
  <c r="L1615" i="3"/>
  <c r="M1615" i="3"/>
  <c r="N1615" i="3"/>
  <c r="P1615" i="3"/>
  <c r="Q1615" i="3"/>
  <c r="R1615" i="3"/>
  <c r="S1615" i="3" s="1"/>
  <c r="T1615" i="3" s="1"/>
  <c r="U1615" i="3"/>
  <c r="V1615" i="3" s="1"/>
  <c r="L1616" i="3"/>
  <c r="M1616" i="3"/>
  <c r="N1616" i="3"/>
  <c r="P1616" i="3"/>
  <c r="Q1616" i="3"/>
  <c r="R1616" i="3"/>
  <c r="S1616" i="3" s="1"/>
  <c r="T1616" i="3" s="1"/>
  <c r="U1616" i="3"/>
  <c r="V1616" i="3" s="1"/>
  <c r="L1617" i="3"/>
  <c r="M1617" i="3"/>
  <c r="N1617" i="3"/>
  <c r="P1617" i="3"/>
  <c r="Q1617" i="3"/>
  <c r="R1617" i="3"/>
  <c r="S1617" i="3" s="1"/>
  <c r="T1617" i="3" s="1"/>
  <c r="U1617" i="3"/>
  <c r="V1617" i="3" s="1"/>
  <c r="L1618" i="3"/>
  <c r="M1618" i="3"/>
  <c r="N1618" i="3"/>
  <c r="P1618" i="3"/>
  <c r="Q1618" i="3"/>
  <c r="R1618" i="3"/>
  <c r="S1618" i="3" s="1"/>
  <c r="T1618" i="3" s="1"/>
  <c r="U1618" i="3"/>
  <c r="V1618" i="3" s="1"/>
  <c r="L1619" i="3"/>
  <c r="M1619" i="3"/>
  <c r="N1619" i="3"/>
  <c r="P1619" i="3"/>
  <c r="Q1619" i="3"/>
  <c r="R1619" i="3"/>
  <c r="S1619" i="3" s="1"/>
  <c r="T1619" i="3" s="1"/>
  <c r="U1619" i="3"/>
  <c r="V1619" i="3" s="1"/>
  <c r="L1620" i="3"/>
  <c r="M1620" i="3"/>
  <c r="N1620" i="3"/>
  <c r="P1620" i="3"/>
  <c r="Q1620" i="3"/>
  <c r="R1620" i="3"/>
  <c r="S1620" i="3" s="1"/>
  <c r="T1620" i="3" s="1"/>
  <c r="U1620" i="3"/>
  <c r="V1620" i="3" s="1"/>
  <c r="L1621" i="3"/>
  <c r="M1621" i="3"/>
  <c r="N1621" i="3"/>
  <c r="P1621" i="3"/>
  <c r="Q1621" i="3"/>
  <c r="R1621" i="3"/>
  <c r="S1621" i="3" s="1"/>
  <c r="T1621" i="3"/>
  <c r="U1621" i="3"/>
  <c r="V1621" i="3" s="1"/>
  <c r="L1622" i="3"/>
  <c r="M1622" i="3"/>
  <c r="N1622" i="3"/>
  <c r="P1622" i="3"/>
  <c r="Q1622" i="3"/>
  <c r="R1622" i="3"/>
  <c r="S1622" i="3" s="1"/>
  <c r="T1622" i="3" s="1"/>
  <c r="U1622" i="3"/>
  <c r="V1622" i="3" s="1"/>
  <c r="L1623" i="3"/>
  <c r="M1623" i="3"/>
  <c r="N1623" i="3"/>
  <c r="P1623" i="3"/>
  <c r="Q1623" i="3"/>
  <c r="R1623" i="3"/>
  <c r="S1623" i="3" s="1"/>
  <c r="T1623" i="3" s="1"/>
  <c r="U1623" i="3"/>
  <c r="V1623" i="3" s="1"/>
  <c r="L1624" i="3"/>
  <c r="M1624" i="3"/>
  <c r="N1624" i="3"/>
  <c r="P1624" i="3"/>
  <c r="Q1624" i="3"/>
  <c r="R1624" i="3"/>
  <c r="S1624" i="3" s="1"/>
  <c r="T1624" i="3" s="1"/>
  <c r="U1624" i="3"/>
  <c r="V1624" i="3" s="1"/>
  <c r="L1625" i="3"/>
  <c r="M1625" i="3"/>
  <c r="N1625" i="3"/>
  <c r="P1625" i="3"/>
  <c r="Q1625" i="3"/>
  <c r="R1625" i="3"/>
  <c r="S1625" i="3" s="1"/>
  <c r="T1625" i="3" s="1"/>
  <c r="U1625" i="3"/>
  <c r="V1625" i="3" s="1"/>
  <c r="L1626" i="3"/>
  <c r="M1626" i="3"/>
  <c r="N1626" i="3"/>
  <c r="P1626" i="3"/>
  <c r="Q1626" i="3"/>
  <c r="R1626" i="3"/>
  <c r="S1626" i="3" s="1"/>
  <c r="T1626" i="3" s="1"/>
  <c r="U1626" i="3"/>
  <c r="V1626" i="3" s="1"/>
  <c r="L1627" i="3"/>
  <c r="M1627" i="3"/>
  <c r="N1627" i="3"/>
  <c r="P1627" i="3"/>
  <c r="Q1627" i="3"/>
  <c r="R1627" i="3"/>
  <c r="S1627" i="3" s="1"/>
  <c r="T1627" i="3" s="1"/>
  <c r="U1627" i="3"/>
  <c r="V1627" i="3" s="1"/>
  <c r="L1628" i="3"/>
  <c r="M1628" i="3"/>
  <c r="N1628" i="3"/>
  <c r="P1628" i="3"/>
  <c r="Q1628" i="3"/>
  <c r="R1628" i="3"/>
  <c r="S1628" i="3" s="1"/>
  <c r="T1628" i="3" s="1"/>
  <c r="U1628" i="3"/>
  <c r="V1628" i="3" s="1"/>
  <c r="L1629" i="3"/>
  <c r="M1629" i="3"/>
  <c r="N1629" i="3"/>
  <c r="P1629" i="3"/>
  <c r="Q1629" i="3"/>
  <c r="R1629" i="3"/>
  <c r="S1629" i="3" s="1"/>
  <c r="T1629" i="3" s="1"/>
  <c r="U1629" i="3"/>
  <c r="V1629" i="3" s="1"/>
  <c r="L1630" i="3"/>
  <c r="M1630" i="3"/>
  <c r="N1630" i="3"/>
  <c r="P1630" i="3"/>
  <c r="Q1630" i="3"/>
  <c r="R1630" i="3"/>
  <c r="S1630" i="3" s="1"/>
  <c r="T1630" i="3" s="1"/>
  <c r="U1630" i="3"/>
  <c r="V1630" i="3" s="1"/>
  <c r="L1631" i="3"/>
  <c r="M1631" i="3"/>
  <c r="N1631" i="3"/>
  <c r="P1631" i="3"/>
  <c r="Q1631" i="3"/>
  <c r="R1631" i="3"/>
  <c r="S1631" i="3" s="1"/>
  <c r="T1631" i="3" s="1"/>
  <c r="U1631" i="3"/>
  <c r="V1631" i="3" s="1"/>
  <c r="L1632" i="3"/>
  <c r="M1632" i="3"/>
  <c r="N1632" i="3"/>
  <c r="P1632" i="3"/>
  <c r="Q1632" i="3"/>
  <c r="R1632" i="3"/>
  <c r="S1632" i="3" s="1"/>
  <c r="T1632" i="3" s="1"/>
  <c r="U1632" i="3"/>
  <c r="V1632" i="3" s="1"/>
  <c r="L1633" i="3"/>
  <c r="M1633" i="3"/>
  <c r="N1633" i="3"/>
  <c r="P1633" i="3"/>
  <c r="Q1633" i="3"/>
  <c r="R1633" i="3"/>
  <c r="S1633" i="3" s="1"/>
  <c r="T1633" i="3" s="1"/>
  <c r="U1633" i="3"/>
  <c r="V1633" i="3" s="1"/>
  <c r="L1634" i="3"/>
  <c r="M1634" i="3"/>
  <c r="N1634" i="3"/>
  <c r="P1634" i="3"/>
  <c r="Q1634" i="3"/>
  <c r="R1634" i="3"/>
  <c r="S1634" i="3" s="1"/>
  <c r="T1634" i="3" s="1"/>
  <c r="U1634" i="3"/>
  <c r="V1634" i="3" s="1"/>
  <c r="L1635" i="3"/>
  <c r="M1635" i="3"/>
  <c r="N1635" i="3"/>
  <c r="P1635" i="3"/>
  <c r="Q1635" i="3"/>
  <c r="R1635" i="3"/>
  <c r="S1635" i="3" s="1"/>
  <c r="T1635" i="3" s="1"/>
  <c r="U1635" i="3"/>
  <c r="V1635" i="3" s="1"/>
  <c r="L1636" i="3"/>
  <c r="M1636" i="3"/>
  <c r="N1636" i="3"/>
  <c r="P1636" i="3"/>
  <c r="Q1636" i="3"/>
  <c r="R1636" i="3"/>
  <c r="S1636" i="3" s="1"/>
  <c r="T1636" i="3" s="1"/>
  <c r="U1636" i="3"/>
  <c r="V1636" i="3" s="1"/>
  <c r="L1637" i="3"/>
  <c r="M1637" i="3"/>
  <c r="N1637" i="3"/>
  <c r="P1637" i="3"/>
  <c r="Q1637" i="3"/>
  <c r="R1637" i="3"/>
  <c r="S1637" i="3" s="1"/>
  <c r="T1637" i="3" s="1"/>
  <c r="U1637" i="3"/>
  <c r="V1637" i="3" s="1"/>
  <c r="L1638" i="3"/>
  <c r="M1638" i="3"/>
  <c r="N1638" i="3"/>
  <c r="P1638" i="3"/>
  <c r="Q1638" i="3"/>
  <c r="R1638" i="3"/>
  <c r="S1638" i="3" s="1"/>
  <c r="T1638" i="3" s="1"/>
  <c r="U1638" i="3"/>
  <c r="V1638" i="3" s="1"/>
  <c r="L1639" i="3"/>
  <c r="M1639" i="3"/>
  <c r="N1639" i="3"/>
  <c r="P1639" i="3"/>
  <c r="Q1639" i="3"/>
  <c r="R1639" i="3"/>
  <c r="S1639" i="3" s="1"/>
  <c r="T1639" i="3" s="1"/>
  <c r="U1639" i="3"/>
  <c r="V1639" i="3" s="1"/>
  <c r="L1640" i="3"/>
  <c r="M1640" i="3"/>
  <c r="N1640" i="3"/>
  <c r="P1640" i="3"/>
  <c r="Q1640" i="3"/>
  <c r="R1640" i="3"/>
  <c r="S1640" i="3" s="1"/>
  <c r="T1640" i="3" s="1"/>
  <c r="U1640" i="3"/>
  <c r="V1640" i="3" s="1"/>
  <c r="L1641" i="3"/>
  <c r="M1641" i="3"/>
  <c r="N1641" i="3"/>
  <c r="P1641" i="3"/>
  <c r="Q1641" i="3"/>
  <c r="R1641" i="3"/>
  <c r="S1641" i="3" s="1"/>
  <c r="T1641" i="3" s="1"/>
  <c r="U1641" i="3"/>
  <c r="V1641" i="3" s="1"/>
  <c r="L1642" i="3"/>
  <c r="M1642" i="3"/>
  <c r="N1642" i="3"/>
  <c r="P1642" i="3"/>
  <c r="Q1642" i="3"/>
  <c r="R1642" i="3"/>
  <c r="S1642" i="3" s="1"/>
  <c r="T1642" i="3" s="1"/>
  <c r="U1642" i="3"/>
  <c r="V1642" i="3" s="1"/>
  <c r="L1643" i="3"/>
  <c r="M1643" i="3"/>
  <c r="N1643" i="3"/>
  <c r="P1643" i="3"/>
  <c r="Q1643" i="3"/>
  <c r="R1643" i="3"/>
  <c r="S1643" i="3" s="1"/>
  <c r="T1643" i="3" s="1"/>
  <c r="U1643" i="3"/>
  <c r="V1643" i="3" s="1"/>
  <c r="L1644" i="3"/>
  <c r="M1644" i="3"/>
  <c r="N1644" i="3"/>
  <c r="P1644" i="3"/>
  <c r="Q1644" i="3"/>
  <c r="R1644" i="3"/>
  <c r="S1644" i="3" s="1"/>
  <c r="T1644" i="3" s="1"/>
  <c r="U1644" i="3"/>
  <c r="V1644" i="3" s="1"/>
  <c r="L1645" i="3"/>
  <c r="M1645" i="3"/>
  <c r="N1645" i="3"/>
  <c r="P1645" i="3"/>
  <c r="Q1645" i="3"/>
  <c r="R1645" i="3"/>
  <c r="S1645" i="3" s="1"/>
  <c r="T1645" i="3" s="1"/>
  <c r="U1645" i="3"/>
  <c r="V1645" i="3" s="1"/>
  <c r="L1646" i="3"/>
  <c r="M1646" i="3"/>
  <c r="N1646" i="3"/>
  <c r="P1646" i="3"/>
  <c r="Q1646" i="3"/>
  <c r="R1646" i="3"/>
  <c r="S1646" i="3" s="1"/>
  <c r="T1646" i="3" s="1"/>
  <c r="U1646" i="3"/>
  <c r="V1646" i="3" s="1"/>
  <c r="L1647" i="3"/>
  <c r="M1647" i="3"/>
  <c r="N1647" i="3"/>
  <c r="P1647" i="3"/>
  <c r="Q1647" i="3"/>
  <c r="R1647" i="3"/>
  <c r="S1647" i="3" s="1"/>
  <c r="T1647" i="3" s="1"/>
  <c r="U1647" i="3"/>
  <c r="V1647" i="3" s="1"/>
  <c r="L1648" i="3"/>
  <c r="M1648" i="3"/>
  <c r="N1648" i="3"/>
  <c r="P1648" i="3"/>
  <c r="Q1648" i="3"/>
  <c r="R1648" i="3"/>
  <c r="S1648" i="3" s="1"/>
  <c r="T1648" i="3" s="1"/>
  <c r="U1648" i="3"/>
  <c r="V1648" i="3" s="1"/>
  <c r="L1649" i="3"/>
  <c r="M1649" i="3"/>
  <c r="N1649" i="3"/>
  <c r="P1649" i="3"/>
  <c r="Q1649" i="3"/>
  <c r="R1649" i="3"/>
  <c r="S1649" i="3" s="1"/>
  <c r="T1649" i="3" s="1"/>
  <c r="U1649" i="3"/>
  <c r="V1649" i="3" s="1"/>
  <c r="L1650" i="3"/>
  <c r="M1650" i="3"/>
  <c r="N1650" i="3"/>
  <c r="P1650" i="3"/>
  <c r="Q1650" i="3"/>
  <c r="R1650" i="3"/>
  <c r="S1650" i="3" s="1"/>
  <c r="T1650" i="3" s="1"/>
  <c r="U1650" i="3"/>
  <c r="V1650" i="3" s="1"/>
  <c r="L1651" i="3"/>
  <c r="M1651" i="3"/>
  <c r="N1651" i="3"/>
  <c r="P1651" i="3"/>
  <c r="Q1651" i="3"/>
  <c r="R1651" i="3"/>
  <c r="S1651" i="3" s="1"/>
  <c r="T1651" i="3" s="1"/>
  <c r="U1651" i="3"/>
  <c r="V1651" i="3" s="1"/>
  <c r="L1652" i="3"/>
  <c r="M1652" i="3"/>
  <c r="N1652" i="3"/>
  <c r="P1652" i="3"/>
  <c r="Q1652" i="3"/>
  <c r="R1652" i="3"/>
  <c r="S1652" i="3" s="1"/>
  <c r="T1652" i="3" s="1"/>
  <c r="U1652" i="3"/>
  <c r="V1652" i="3" s="1"/>
  <c r="L1653" i="3"/>
  <c r="M1653" i="3"/>
  <c r="N1653" i="3"/>
  <c r="P1653" i="3"/>
  <c r="Q1653" i="3"/>
  <c r="R1653" i="3"/>
  <c r="S1653" i="3" s="1"/>
  <c r="T1653" i="3" s="1"/>
  <c r="U1653" i="3"/>
  <c r="V1653" i="3" s="1"/>
  <c r="L1654" i="3"/>
  <c r="M1654" i="3"/>
  <c r="N1654" i="3"/>
  <c r="P1654" i="3"/>
  <c r="Q1654" i="3"/>
  <c r="R1654" i="3"/>
  <c r="S1654" i="3" s="1"/>
  <c r="T1654" i="3" s="1"/>
  <c r="U1654" i="3"/>
  <c r="V1654" i="3" s="1"/>
  <c r="L1655" i="3"/>
  <c r="M1655" i="3"/>
  <c r="N1655" i="3"/>
  <c r="P1655" i="3"/>
  <c r="Q1655" i="3"/>
  <c r="R1655" i="3"/>
  <c r="S1655" i="3" s="1"/>
  <c r="T1655" i="3" s="1"/>
  <c r="U1655" i="3"/>
  <c r="V1655" i="3" s="1"/>
  <c r="L1656" i="3"/>
  <c r="M1656" i="3"/>
  <c r="N1656" i="3"/>
  <c r="P1656" i="3"/>
  <c r="Q1656" i="3"/>
  <c r="R1656" i="3"/>
  <c r="S1656" i="3" s="1"/>
  <c r="T1656" i="3" s="1"/>
  <c r="U1656" i="3"/>
  <c r="V1656" i="3" s="1"/>
  <c r="L1657" i="3"/>
  <c r="M1657" i="3"/>
  <c r="N1657" i="3"/>
  <c r="P1657" i="3"/>
  <c r="Q1657" i="3"/>
  <c r="R1657" i="3"/>
  <c r="S1657" i="3" s="1"/>
  <c r="T1657" i="3" s="1"/>
  <c r="U1657" i="3"/>
  <c r="V1657" i="3" s="1"/>
  <c r="L1658" i="3"/>
  <c r="M1658" i="3"/>
  <c r="N1658" i="3"/>
  <c r="P1658" i="3"/>
  <c r="Q1658" i="3"/>
  <c r="R1658" i="3"/>
  <c r="S1658" i="3" s="1"/>
  <c r="T1658" i="3" s="1"/>
  <c r="U1658" i="3"/>
  <c r="V1658" i="3" s="1"/>
  <c r="L1659" i="3"/>
  <c r="M1659" i="3"/>
  <c r="N1659" i="3"/>
  <c r="P1659" i="3"/>
  <c r="Q1659" i="3"/>
  <c r="R1659" i="3"/>
  <c r="S1659" i="3" s="1"/>
  <c r="T1659" i="3" s="1"/>
  <c r="U1659" i="3"/>
  <c r="V1659" i="3" s="1"/>
  <c r="L1660" i="3"/>
  <c r="M1660" i="3"/>
  <c r="N1660" i="3"/>
  <c r="P1660" i="3"/>
  <c r="Q1660" i="3"/>
  <c r="R1660" i="3"/>
  <c r="S1660" i="3" s="1"/>
  <c r="T1660" i="3" s="1"/>
  <c r="U1660" i="3"/>
  <c r="V1660" i="3" s="1"/>
  <c r="L1661" i="3"/>
  <c r="M1661" i="3"/>
  <c r="N1661" i="3"/>
  <c r="P1661" i="3"/>
  <c r="Q1661" i="3"/>
  <c r="R1661" i="3"/>
  <c r="S1661" i="3" s="1"/>
  <c r="T1661" i="3" s="1"/>
  <c r="U1661" i="3"/>
  <c r="V1661" i="3" s="1"/>
  <c r="L1662" i="3"/>
  <c r="M1662" i="3"/>
  <c r="N1662" i="3"/>
  <c r="P1662" i="3"/>
  <c r="Q1662" i="3"/>
  <c r="R1662" i="3"/>
  <c r="S1662" i="3" s="1"/>
  <c r="T1662" i="3" s="1"/>
  <c r="U1662" i="3"/>
  <c r="V1662" i="3" s="1"/>
  <c r="L1663" i="3"/>
  <c r="M1663" i="3"/>
  <c r="N1663" i="3"/>
  <c r="P1663" i="3"/>
  <c r="Q1663" i="3"/>
  <c r="R1663" i="3"/>
  <c r="S1663" i="3" s="1"/>
  <c r="T1663" i="3" s="1"/>
  <c r="U1663" i="3"/>
  <c r="V1663" i="3" s="1"/>
  <c r="L1664" i="3"/>
  <c r="M1664" i="3"/>
  <c r="N1664" i="3"/>
  <c r="P1664" i="3"/>
  <c r="Q1664" i="3"/>
  <c r="R1664" i="3"/>
  <c r="S1664" i="3" s="1"/>
  <c r="T1664" i="3" s="1"/>
  <c r="U1664" i="3"/>
  <c r="V1664" i="3" s="1"/>
  <c r="L1665" i="3"/>
  <c r="M1665" i="3"/>
  <c r="N1665" i="3"/>
  <c r="P1665" i="3"/>
  <c r="Q1665" i="3"/>
  <c r="R1665" i="3"/>
  <c r="S1665" i="3" s="1"/>
  <c r="T1665" i="3" s="1"/>
  <c r="U1665" i="3"/>
  <c r="V1665" i="3" s="1"/>
  <c r="L1666" i="3"/>
  <c r="M1666" i="3"/>
  <c r="N1666" i="3"/>
  <c r="P1666" i="3"/>
  <c r="Q1666" i="3"/>
  <c r="R1666" i="3"/>
  <c r="S1666" i="3" s="1"/>
  <c r="T1666" i="3" s="1"/>
  <c r="U1666" i="3"/>
  <c r="V1666" i="3" s="1"/>
  <c r="L1667" i="3"/>
  <c r="M1667" i="3"/>
  <c r="N1667" i="3"/>
  <c r="P1667" i="3"/>
  <c r="Q1667" i="3"/>
  <c r="R1667" i="3"/>
  <c r="S1667" i="3" s="1"/>
  <c r="T1667" i="3" s="1"/>
  <c r="U1667" i="3"/>
  <c r="V1667" i="3" s="1"/>
  <c r="L1668" i="3"/>
  <c r="M1668" i="3"/>
  <c r="N1668" i="3"/>
  <c r="P1668" i="3"/>
  <c r="Q1668" i="3"/>
  <c r="R1668" i="3"/>
  <c r="S1668" i="3" s="1"/>
  <c r="T1668" i="3" s="1"/>
  <c r="U1668" i="3"/>
  <c r="V1668" i="3" s="1"/>
  <c r="L1669" i="3"/>
  <c r="M1669" i="3"/>
  <c r="N1669" i="3"/>
  <c r="P1669" i="3"/>
  <c r="Q1669" i="3"/>
  <c r="R1669" i="3"/>
  <c r="S1669" i="3" s="1"/>
  <c r="T1669" i="3" s="1"/>
  <c r="U1669" i="3"/>
  <c r="V1669" i="3" s="1"/>
  <c r="L1670" i="3"/>
  <c r="M1670" i="3"/>
  <c r="N1670" i="3"/>
  <c r="P1670" i="3"/>
  <c r="Q1670" i="3"/>
  <c r="R1670" i="3"/>
  <c r="S1670" i="3" s="1"/>
  <c r="T1670" i="3" s="1"/>
  <c r="U1670" i="3"/>
  <c r="V1670" i="3" s="1"/>
  <c r="L1671" i="3"/>
  <c r="M1671" i="3"/>
  <c r="N1671" i="3"/>
  <c r="P1671" i="3"/>
  <c r="Q1671" i="3"/>
  <c r="R1671" i="3"/>
  <c r="S1671" i="3" s="1"/>
  <c r="T1671" i="3" s="1"/>
  <c r="U1671" i="3"/>
  <c r="V1671" i="3" s="1"/>
  <c r="L1672" i="3"/>
  <c r="M1672" i="3"/>
  <c r="N1672" i="3"/>
  <c r="P1672" i="3"/>
  <c r="Q1672" i="3"/>
  <c r="R1672" i="3"/>
  <c r="S1672" i="3" s="1"/>
  <c r="T1672" i="3" s="1"/>
  <c r="U1672" i="3"/>
  <c r="V1672" i="3" s="1"/>
  <c r="L1673" i="3"/>
  <c r="M1673" i="3"/>
  <c r="N1673" i="3"/>
  <c r="P1673" i="3"/>
  <c r="Q1673" i="3"/>
  <c r="R1673" i="3"/>
  <c r="S1673" i="3" s="1"/>
  <c r="T1673" i="3" s="1"/>
  <c r="U1673" i="3"/>
  <c r="V1673" i="3" s="1"/>
  <c r="L1674" i="3"/>
  <c r="M1674" i="3"/>
  <c r="N1674" i="3"/>
  <c r="P1674" i="3"/>
  <c r="Q1674" i="3"/>
  <c r="R1674" i="3"/>
  <c r="S1674" i="3" s="1"/>
  <c r="T1674" i="3" s="1"/>
  <c r="U1674" i="3"/>
  <c r="V1674" i="3" s="1"/>
  <c r="L1675" i="3"/>
  <c r="M1675" i="3"/>
  <c r="N1675" i="3"/>
  <c r="P1675" i="3"/>
  <c r="Q1675" i="3"/>
  <c r="R1675" i="3"/>
  <c r="S1675" i="3" s="1"/>
  <c r="T1675" i="3" s="1"/>
  <c r="U1675" i="3"/>
  <c r="V1675" i="3" s="1"/>
  <c r="L1676" i="3"/>
  <c r="M1676" i="3"/>
  <c r="N1676" i="3"/>
  <c r="P1676" i="3"/>
  <c r="Q1676" i="3"/>
  <c r="R1676" i="3"/>
  <c r="S1676" i="3" s="1"/>
  <c r="T1676" i="3" s="1"/>
  <c r="U1676" i="3"/>
  <c r="V1676" i="3" s="1"/>
  <c r="L1677" i="3"/>
  <c r="M1677" i="3"/>
  <c r="N1677" i="3"/>
  <c r="P1677" i="3"/>
  <c r="Q1677" i="3"/>
  <c r="R1677" i="3"/>
  <c r="S1677" i="3" s="1"/>
  <c r="T1677" i="3" s="1"/>
  <c r="U1677" i="3"/>
  <c r="V1677" i="3" s="1"/>
  <c r="L1678" i="3"/>
  <c r="M1678" i="3"/>
  <c r="N1678" i="3"/>
  <c r="P1678" i="3"/>
  <c r="Q1678" i="3"/>
  <c r="R1678" i="3"/>
  <c r="S1678" i="3"/>
  <c r="T1678" i="3" s="1"/>
  <c r="U1678" i="3"/>
  <c r="V1678" i="3" s="1"/>
  <c r="L1679" i="3"/>
  <c r="M1679" i="3"/>
  <c r="N1679" i="3"/>
  <c r="P1679" i="3"/>
  <c r="Q1679" i="3"/>
  <c r="R1679" i="3"/>
  <c r="S1679" i="3" s="1"/>
  <c r="T1679" i="3" s="1"/>
  <c r="U1679" i="3"/>
  <c r="V1679" i="3" s="1"/>
  <c r="L1680" i="3"/>
  <c r="M1680" i="3"/>
  <c r="N1680" i="3"/>
  <c r="P1680" i="3"/>
  <c r="Q1680" i="3"/>
  <c r="R1680" i="3"/>
  <c r="S1680" i="3" s="1"/>
  <c r="T1680" i="3" s="1"/>
  <c r="U1680" i="3"/>
  <c r="V1680" i="3" s="1"/>
  <c r="L1681" i="3"/>
  <c r="M1681" i="3"/>
  <c r="N1681" i="3"/>
  <c r="P1681" i="3"/>
  <c r="Q1681" i="3"/>
  <c r="R1681" i="3"/>
  <c r="S1681" i="3" s="1"/>
  <c r="T1681" i="3" s="1"/>
  <c r="U1681" i="3"/>
  <c r="V1681" i="3" s="1"/>
  <c r="L1682" i="3"/>
  <c r="M1682" i="3"/>
  <c r="N1682" i="3"/>
  <c r="P1682" i="3"/>
  <c r="Q1682" i="3"/>
  <c r="R1682" i="3"/>
  <c r="S1682" i="3" s="1"/>
  <c r="T1682" i="3" s="1"/>
  <c r="U1682" i="3"/>
  <c r="V1682" i="3" s="1"/>
  <c r="L1683" i="3"/>
  <c r="M1683" i="3"/>
  <c r="N1683" i="3"/>
  <c r="P1683" i="3"/>
  <c r="Q1683" i="3"/>
  <c r="R1683" i="3"/>
  <c r="S1683" i="3" s="1"/>
  <c r="T1683" i="3" s="1"/>
  <c r="U1683" i="3"/>
  <c r="V1683" i="3" s="1"/>
  <c r="L1684" i="3"/>
  <c r="M1684" i="3"/>
  <c r="N1684" i="3"/>
  <c r="P1684" i="3"/>
  <c r="Q1684" i="3"/>
  <c r="R1684" i="3"/>
  <c r="S1684" i="3" s="1"/>
  <c r="T1684" i="3" s="1"/>
  <c r="U1684" i="3"/>
  <c r="V1684" i="3" s="1"/>
  <c r="L1685" i="3"/>
  <c r="M1685" i="3"/>
  <c r="N1685" i="3"/>
  <c r="P1685" i="3"/>
  <c r="Q1685" i="3"/>
  <c r="R1685" i="3"/>
  <c r="S1685" i="3" s="1"/>
  <c r="T1685" i="3" s="1"/>
  <c r="U1685" i="3"/>
  <c r="V1685" i="3" s="1"/>
  <c r="L1686" i="3"/>
  <c r="M1686" i="3"/>
  <c r="N1686" i="3"/>
  <c r="P1686" i="3"/>
  <c r="Q1686" i="3"/>
  <c r="R1686" i="3"/>
  <c r="S1686" i="3" s="1"/>
  <c r="T1686" i="3" s="1"/>
  <c r="U1686" i="3"/>
  <c r="V1686" i="3" s="1"/>
  <c r="L1687" i="3"/>
  <c r="M1687" i="3"/>
  <c r="N1687" i="3"/>
  <c r="P1687" i="3"/>
  <c r="Q1687" i="3"/>
  <c r="R1687" i="3"/>
  <c r="S1687" i="3" s="1"/>
  <c r="T1687" i="3" s="1"/>
  <c r="U1687" i="3"/>
  <c r="V1687" i="3" s="1"/>
  <c r="L1688" i="3"/>
  <c r="M1688" i="3"/>
  <c r="N1688" i="3"/>
  <c r="P1688" i="3"/>
  <c r="Q1688" i="3"/>
  <c r="R1688" i="3"/>
  <c r="S1688" i="3" s="1"/>
  <c r="T1688" i="3" s="1"/>
  <c r="U1688" i="3"/>
  <c r="V1688" i="3" s="1"/>
  <c r="L1689" i="3"/>
  <c r="M1689" i="3"/>
  <c r="N1689" i="3"/>
  <c r="P1689" i="3"/>
  <c r="Q1689" i="3"/>
  <c r="R1689" i="3"/>
  <c r="S1689" i="3"/>
  <c r="T1689" i="3" s="1"/>
  <c r="U1689" i="3"/>
  <c r="V1689" i="3" s="1"/>
  <c r="L1690" i="3"/>
  <c r="M1690" i="3"/>
  <c r="N1690" i="3"/>
  <c r="P1690" i="3"/>
  <c r="Q1690" i="3"/>
  <c r="R1690" i="3"/>
  <c r="S1690" i="3" s="1"/>
  <c r="T1690" i="3" s="1"/>
  <c r="U1690" i="3"/>
  <c r="V1690" i="3" s="1"/>
  <c r="L1691" i="3"/>
  <c r="M1691" i="3"/>
  <c r="N1691" i="3"/>
  <c r="P1691" i="3"/>
  <c r="Q1691" i="3"/>
  <c r="R1691" i="3"/>
  <c r="S1691" i="3" s="1"/>
  <c r="T1691" i="3" s="1"/>
  <c r="U1691" i="3"/>
  <c r="V1691" i="3" s="1"/>
  <c r="L1692" i="3"/>
  <c r="M1692" i="3"/>
  <c r="N1692" i="3"/>
  <c r="P1692" i="3"/>
  <c r="Q1692" i="3"/>
  <c r="R1692" i="3"/>
  <c r="S1692" i="3" s="1"/>
  <c r="T1692" i="3" s="1"/>
  <c r="U1692" i="3"/>
  <c r="V1692" i="3" s="1"/>
  <c r="L1693" i="3"/>
  <c r="M1693" i="3"/>
  <c r="N1693" i="3"/>
  <c r="P1693" i="3"/>
  <c r="Q1693" i="3"/>
  <c r="R1693" i="3"/>
  <c r="S1693" i="3" s="1"/>
  <c r="T1693" i="3" s="1"/>
  <c r="U1693" i="3"/>
  <c r="V1693" i="3" s="1"/>
  <c r="L1694" i="3"/>
  <c r="M1694" i="3"/>
  <c r="N1694" i="3"/>
  <c r="P1694" i="3"/>
  <c r="Q1694" i="3"/>
  <c r="R1694" i="3"/>
  <c r="S1694" i="3" s="1"/>
  <c r="T1694" i="3" s="1"/>
  <c r="U1694" i="3"/>
  <c r="V1694" i="3" s="1"/>
  <c r="L1695" i="3"/>
  <c r="M1695" i="3"/>
  <c r="N1695" i="3"/>
  <c r="P1695" i="3"/>
  <c r="Q1695" i="3"/>
  <c r="R1695" i="3"/>
  <c r="S1695" i="3" s="1"/>
  <c r="T1695" i="3" s="1"/>
  <c r="U1695" i="3"/>
  <c r="V1695" i="3" s="1"/>
  <c r="L1696" i="3"/>
  <c r="M1696" i="3"/>
  <c r="N1696" i="3"/>
  <c r="P1696" i="3"/>
  <c r="Q1696" i="3"/>
  <c r="R1696" i="3"/>
  <c r="S1696" i="3" s="1"/>
  <c r="T1696" i="3" s="1"/>
  <c r="U1696" i="3"/>
  <c r="V1696" i="3" s="1"/>
  <c r="L1697" i="3"/>
  <c r="M1697" i="3"/>
  <c r="N1697" i="3"/>
  <c r="P1697" i="3"/>
  <c r="Q1697" i="3"/>
  <c r="R1697" i="3"/>
  <c r="S1697" i="3" s="1"/>
  <c r="T1697" i="3" s="1"/>
  <c r="U1697" i="3"/>
  <c r="V1697" i="3" s="1"/>
  <c r="L1698" i="3"/>
  <c r="M1698" i="3"/>
  <c r="N1698" i="3"/>
  <c r="P1698" i="3"/>
  <c r="Q1698" i="3"/>
  <c r="R1698" i="3"/>
  <c r="S1698" i="3" s="1"/>
  <c r="T1698" i="3" s="1"/>
  <c r="U1698" i="3"/>
  <c r="V1698" i="3" s="1"/>
  <c r="L1699" i="3"/>
  <c r="M1699" i="3"/>
  <c r="N1699" i="3"/>
  <c r="P1699" i="3"/>
  <c r="Q1699" i="3"/>
  <c r="R1699" i="3"/>
  <c r="S1699" i="3" s="1"/>
  <c r="T1699" i="3" s="1"/>
  <c r="U1699" i="3"/>
  <c r="V1699" i="3" s="1"/>
  <c r="L1700" i="3"/>
  <c r="M1700" i="3"/>
  <c r="N1700" i="3"/>
  <c r="P1700" i="3"/>
  <c r="Q1700" i="3"/>
  <c r="R1700" i="3"/>
  <c r="S1700" i="3" s="1"/>
  <c r="T1700" i="3" s="1"/>
  <c r="U1700" i="3"/>
  <c r="V1700" i="3" s="1"/>
  <c r="L1701" i="3"/>
  <c r="M1701" i="3"/>
  <c r="N1701" i="3"/>
  <c r="P1701" i="3"/>
  <c r="Q1701" i="3"/>
  <c r="R1701" i="3"/>
  <c r="S1701" i="3" s="1"/>
  <c r="T1701" i="3" s="1"/>
  <c r="U1701" i="3"/>
  <c r="V1701" i="3" s="1"/>
  <c r="L1702" i="3"/>
  <c r="M1702" i="3"/>
  <c r="N1702" i="3"/>
  <c r="P1702" i="3"/>
  <c r="Q1702" i="3"/>
  <c r="R1702" i="3"/>
  <c r="S1702" i="3" s="1"/>
  <c r="T1702" i="3" s="1"/>
  <c r="U1702" i="3"/>
  <c r="V1702" i="3" s="1"/>
  <c r="L1703" i="3"/>
  <c r="M1703" i="3"/>
  <c r="N1703" i="3"/>
  <c r="P1703" i="3"/>
  <c r="Q1703" i="3"/>
  <c r="R1703" i="3"/>
  <c r="S1703" i="3" s="1"/>
  <c r="T1703" i="3" s="1"/>
  <c r="U1703" i="3"/>
  <c r="V1703" i="3" s="1"/>
  <c r="L1704" i="3"/>
  <c r="M1704" i="3"/>
  <c r="N1704" i="3"/>
  <c r="P1704" i="3"/>
  <c r="Q1704" i="3"/>
  <c r="R1704" i="3"/>
  <c r="S1704" i="3" s="1"/>
  <c r="T1704" i="3" s="1"/>
  <c r="U1704" i="3"/>
  <c r="V1704" i="3" s="1"/>
  <c r="L1705" i="3"/>
  <c r="M1705" i="3"/>
  <c r="N1705" i="3"/>
  <c r="P1705" i="3"/>
  <c r="Q1705" i="3"/>
  <c r="R1705" i="3"/>
  <c r="S1705" i="3" s="1"/>
  <c r="T1705" i="3" s="1"/>
  <c r="U1705" i="3"/>
  <c r="V1705" i="3" s="1"/>
  <c r="L1706" i="3"/>
  <c r="M1706" i="3"/>
  <c r="N1706" i="3"/>
  <c r="P1706" i="3"/>
  <c r="Q1706" i="3"/>
  <c r="R1706" i="3"/>
  <c r="S1706" i="3"/>
  <c r="T1706" i="3" s="1"/>
  <c r="U1706" i="3"/>
  <c r="V1706" i="3" s="1"/>
  <c r="L1707" i="3"/>
  <c r="M1707" i="3"/>
  <c r="N1707" i="3"/>
  <c r="P1707" i="3"/>
  <c r="Q1707" i="3"/>
  <c r="R1707" i="3"/>
  <c r="S1707" i="3" s="1"/>
  <c r="T1707" i="3" s="1"/>
  <c r="U1707" i="3"/>
  <c r="V1707" i="3" s="1"/>
  <c r="L1708" i="3"/>
  <c r="M1708" i="3"/>
  <c r="N1708" i="3"/>
  <c r="P1708" i="3"/>
  <c r="Q1708" i="3"/>
  <c r="R1708" i="3"/>
  <c r="S1708" i="3" s="1"/>
  <c r="T1708" i="3" s="1"/>
  <c r="U1708" i="3"/>
  <c r="V1708" i="3" s="1"/>
  <c r="L1709" i="3"/>
  <c r="M1709" i="3"/>
  <c r="N1709" i="3"/>
  <c r="P1709" i="3"/>
  <c r="Q1709" i="3"/>
  <c r="R1709" i="3"/>
  <c r="S1709" i="3" s="1"/>
  <c r="T1709" i="3" s="1"/>
  <c r="U1709" i="3"/>
  <c r="V1709" i="3" s="1"/>
  <c r="L1710" i="3"/>
  <c r="M1710" i="3"/>
  <c r="N1710" i="3"/>
  <c r="P1710" i="3"/>
  <c r="Q1710" i="3"/>
  <c r="R1710" i="3"/>
  <c r="S1710" i="3" s="1"/>
  <c r="T1710" i="3" s="1"/>
  <c r="U1710" i="3"/>
  <c r="V1710" i="3" s="1"/>
  <c r="L1711" i="3"/>
  <c r="M1711" i="3"/>
  <c r="N1711" i="3"/>
  <c r="P1711" i="3"/>
  <c r="Q1711" i="3"/>
  <c r="R1711" i="3"/>
  <c r="S1711" i="3" s="1"/>
  <c r="T1711" i="3" s="1"/>
  <c r="U1711" i="3"/>
  <c r="V1711" i="3" s="1"/>
  <c r="L1712" i="3"/>
  <c r="M1712" i="3"/>
  <c r="N1712" i="3"/>
  <c r="P1712" i="3"/>
  <c r="Q1712" i="3"/>
  <c r="R1712" i="3"/>
  <c r="S1712" i="3" s="1"/>
  <c r="T1712" i="3" s="1"/>
  <c r="U1712" i="3"/>
  <c r="V1712" i="3" s="1"/>
  <c r="L1713" i="3"/>
  <c r="M1713" i="3"/>
  <c r="N1713" i="3"/>
  <c r="P1713" i="3"/>
  <c r="Q1713" i="3"/>
  <c r="R1713" i="3"/>
  <c r="S1713" i="3" s="1"/>
  <c r="T1713" i="3" s="1"/>
  <c r="U1713" i="3"/>
  <c r="V1713" i="3" s="1"/>
  <c r="L1714" i="3"/>
  <c r="M1714" i="3"/>
  <c r="N1714" i="3"/>
  <c r="P1714" i="3"/>
  <c r="Q1714" i="3"/>
  <c r="R1714" i="3"/>
  <c r="S1714" i="3" s="1"/>
  <c r="T1714" i="3" s="1"/>
  <c r="U1714" i="3"/>
  <c r="V1714" i="3" s="1"/>
  <c r="L1715" i="3"/>
  <c r="M1715" i="3"/>
  <c r="N1715" i="3"/>
  <c r="P1715" i="3"/>
  <c r="Q1715" i="3"/>
  <c r="R1715" i="3"/>
  <c r="S1715" i="3" s="1"/>
  <c r="T1715" i="3" s="1"/>
  <c r="U1715" i="3"/>
  <c r="V1715" i="3" s="1"/>
  <c r="L1716" i="3"/>
  <c r="M1716" i="3"/>
  <c r="N1716" i="3"/>
  <c r="P1716" i="3"/>
  <c r="Q1716" i="3"/>
  <c r="R1716" i="3"/>
  <c r="S1716" i="3"/>
  <c r="T1716" i="3" s="1"/>
  <c r="U1716" i="3"/>
  <c r="V1716" i="3" s="1"/>
  <c r="L1717" i="3"/>
  <c r="M1717" i="3"/>
  <c r="N1717" i="3"/>
  <c r="P1717" i="3"/>
  <c r="Q1717" i="3"/>
  <c r="R1717" i="3"/>
  <c r="S1717" i="3" s="1"/>
  <c r="T1717" i="3" s="1"/>
  <c r="U1717" i="3"/>
  <c r="V1717" i="3" s="1"/>
  <c r="L1718" i="3"/>
  <c r="M1718" i="3"/>
  <c r="N1718" i="3"/>
  <c r="P1718" i="3"/>
  <c r="Q1718" i="3"/>
  <c r="R1718" i="3"/>
  <c r="S1718" i="3" s="1"/>
  <c r="T1718" i="3" s="1"/>
  <c r="U1718" i="3"/>
  <c r="V1718" i="3" s="1"/>
  <c r="L1719" i="3"/>
  <c r="M1719" i="3"/>
  <c r="N1719" i="3"/>
  <c r="P1719" i="3"/>
  <c r="Q1719" i="3"/>
  <c r="R1719" i="3"/>
  <c r="S1719" i="3" s="1"/>
  <c r="T1719" i="3" s="1"/>
  <c r="U1719" i="3"/>
  <c r="V1719" i="3" s="1"/>
  <c r="L1720" i="3"/>
  <c r="M1720" i="3"/>
  <c r="N1720" i="3"/>
  <c r="P1720" i="3"/>
  <c r="Q1720" i="3"/>
  <c r="R1720" i="3"/>
  <c r="S1720" i="3" s="1"/>
  <c r="T1720" i="3" s="1"/>
  <c r="U1720" i="3"/>
  <c r="V1720" i="3" s="1"/>
  <c r="L1721" i="3"/>
  <c r="M1721" i="3"/>
  <c r="N1721" i="3"/>
  <c r="P1721" i="3"/>
  <c r="Q1721" i="3"/>
  <c r="R1721" i="3"/>
  <c r="S1721" i="3" s="1"/>
  <c r="T1721" i="3" s="1"/>
  <c r="U1721" i="3"/>
  <c r="V1721" i="3" s="1"/>
  <c r="L1722" i="3"/>
  <c r="M1722" i="3"/>
  <c r="N1722" i="3"/>
  <c r="P1722" i="3"/>
  <c r="Q1722" i="3"/>
  <c r="R1722" i="3"/>
  <c r="S1722" i="3" s="1"/>
  <c r="T1722" i="3" s="1"/>
  <c r="U1722" i="3"/>
  <c r="V1722" i="3" s="1"/>
  <c r="L1723" i="3"/>
  <c r="M1723" i="3"/>
  <c r="N1723" i="3"/>
  <c r="P1723" i="3"/>
  <c r="Q1723" i="3"/>
  <c r="R1723" i="3"/>
  <c r="S1723" i="3" s="1"/>
  <c r="T1723" i="3" s="1"/>
  <c r="U1723" i="3"/>
  <c r="V1723" i="3" s="1"/>
  <c r="L1724" i="3"/>
  <c r="M1724" i="3"/>
  <c r="N1724" i="3"/>
  <c r="P1724" i="3"/>
  <c r="Q1724" i="3"/>
  <c r="R1724" i="3"/>
  <c r="S1724" i="3" s="1"/>
  <c r="T1724" i="3" s="1"/>
  <c r="U1724" i="3"/>
  <c r="V1724" i="3" s="1"/>
  <c r="L1725" i="3"/>
  <c r="M1725" i="3"/>
  <c r="N1725" i="3"/>
  <c r="P1725" i="3"/>
  <c r="Q1725" i="3"/>
  <c r="R1725" i="3"/>
  <c r="S1725" i="3" s="1"/>
  <c r="T1725" i="3" s="1"/>
  <c r="U1725" i="3"/>
  <c r="V1725" i="3" s="1"/>
  <c r="L1726" i="3"/>
  <c r="M1726" i="3"/>
  <c r="N1726" i="3"/>
  <c r="P1726" i="3"/>
  <c r="Q1726" i="3"/>
  <c r="R1726" i="3"/>
  <c r="S1726" i="3" s="1"/>
  <c r="T1726" i="3" s="1"/>
  <c r="U1726" i="3"/>
  <c r="V1726" i="3" s="1"/>
  <c r="L1727" i="3"/>
  <c r="M1727" i="3"/>
  <c r="N1727" i="3"/>
  <c r="P1727" i="3"/>
  <c r="Q1727" i="3"/>
  <c r="R1727" i="3"/>
  <c r="S1727" i="3" s="1"/>
  <c r="T1727" i="3" s="1"/>
  <c r="U1727" i="3"/>
  <c r="V1727" i="3" s="1"/>
  <c r="L1728" i="3"/>
  <c r="M1728" i="3"/>
  <c r="N1728" i="3"/>
  <c r="P1728" i="3"/>
  <c r="Q1728" i="3"/>
  <c r="R1728" i="3"/>
  <c r="S1728" i="3" s="1"/>
  <c r="T1728" i="3" s="1"/>
  <c r="U1728" i="3"/>
  <c r="V1728" i="3" s="1"/>
  <c r="L1729" i="3"/>
  <c r="M1729" i="3"/>
  <c r="N1729" i="3"/>
  <c r="P1729" i="3"/>
  <c r="Q1729" i="3"/>
  <c r="R1729" i="3"/>
  <c r="S1729" i="3" s="1"/>
  <c r="T1729" i="3" s="1"/>
  <c r="U1729" i="3"/>
  <c r="V1729" i="3" s="1"/>
  <c r="L1730" i="3"/>
  <c r="M1730" i="3"/>
  <c r="N1730" i="3"/>
  <c r="P1730" i="3"/>
  <c r="Q1730" i="3"/>
  <c r="R1730" i="3"/>
  <c r="S1730" i="3"/>
  <c r="T1730" i="3" s="1"/>
  <c r="U1730" i="3"/>
  <c r="V1730" i="3" s="1"/>
  <c r="L1731" i="3"/>
  <c r="M1731" i="3"/>
  <c r="N1731" i="3"/>
  <c r="P1731" i="3"/>
  <c r="Q1731" i="3"/>
  <c r="R1731" i="3"/>
  <c r="S1731" i="3" s="1"/>
  <c r="T1731" i="3" s="1"/>
  <c r="U1731" i="3"/>
  <c r="V1731" i="3" s="1"/>
  <c r="L1732" i="3"/>
  <c r="M1732" i="3"/>
  <c r="N1732" i="3"/>
  <c r="P1732" i="3"/>
  <c r="Q1732" i="3"/>
  <c r="R1732" i="3"/>
  <c r="S1732" i="3" s="1"/>
  <c r="T1732" i="3" s="1"/>
  <c r="U1732" i="3"/>
  <c r="V1732" i="3" s="1"/>
  <c r="L1733" i="3"/>
  <c r="M1733" i="3"/>
  <c r="N1733" i="3"/>
  <c r="P1733" i="3"/>
  <c r="Q1733" i="3"/>
  <c r="R1733" i="3"/>
  <c r="S1733" i="3" s="1"/>
  <c r="T1733" i="3" s="1"/>
  <c r="U1733" i="3"/>
  <c r="V1733" i="3" s="1"/>
  <c r="L1734" i="3"/>
  <c r="M1734" i="3"/>
  <c r="N1734" i="3"/>
  <c r="P1734" i="3"/>
  <c r="Q1734" i="3"/>
  <c r="R1734" i="3"/>
  <c r="S1734" i="3" s="1"/>
  <c r="T1734" i="3" s="1"/>
  <c r="U1734" i="3"/>
  <c r="V1734" i="3" s="1"/>
  <c r="L1735" i="3"/>
  <c r="M1735" i="3"/>
  <c r="N1735" i="3"/>
  <c r="P1735" i="3"/>
  <c r="Q1735" i="3"/>
  <c r="R1735" i="3"/>
  <c r="S1735" i="3" s="1"/>
  <c r="T1735" i="3" s="1"/>
  <c r="U1735" i="3"/>
  <c r="V1735" i="3" s="1"/>
  <c r="L1736" i="3"/>
  <c r="M1736" i="3"/>
  <c r="N1736" i="3"/>
  <c r="P1736" i="3"/>
  <c r="Q1736" i="3"/>
  <c r="R1736" i="3"/>
  <c r="S1736" i="3" s="1"/>
  <c r="T1736" i="3" s="1"/>
  <c r="U1736" i="3"/>
  <c r="V1736" i="3" s="1"/>
  <c r="L1737" i="3"/>
  <c r="M1737" i="3"/>
  <c r="N1737" i="3"/>
  <c r="P1737" i="3"/>
  <c r="Q1737" i="3"/>
  <c r="R1737" i="3"/>
  <c r="S1737" i="3" s="1"/>
  <c r="T1737" i="3" s="1"/>
  <c r="U1737" i="3"/>
  <c r="V1737" i="3" s="1"/>
  <c r="L1738" i="3"/>
  <c r="M1738" i="3"/>
  <c r="N1738" i="3"/>
  <c r="P1738" i="3"/>
  <c r="Q1738" i="3"/>
  <c r="R1738" i="3"/>
  <c r="S1738" i="3" s="1"/>
  <c r="T1738" i="3" s="1"/>
  <c r="U1738" i="3"/>
  <c r="V1738" i="3" s="1"/>
  <c r="L1739" i="3"/>
  <c r="M1739" i="3"/>
  <c r="N1739" i="3"/>
  <c r="P1739" i="3"/>
  <c r="Q1739" i="3"/>
  <c r="R1739" i="3"/>
  <c r="S1739" i="3"/>
  <c r="T1739" i="3" s="1"/>
  <c r="U1739" i="3"/>
  <c r="V1739" i="3" s="1"/>
  <c r="L1740" i="3"/>
  <c r="M1740" i="3"/>
  <c r="N1740" i="3"/>
  <c r="P1740" i="3"/>
  <c r="Q1740" i="3"/>
  <c r="R1740" i="3"/>
  <c r="S1740" i="3" s="1"/>
  <c r="T1740" i="3" s="1"/>
  <c r="U1740" i="3"/>
  <c r="V1740" i="3" s="1"/>
  <c r="L1741" i="3"/>
  <c r="M1741" i="3"/>
  <c r="N1741" i="3"/>
  <c r="P1741" i="3"/>
  <c r="Q1741" i="3"/>
  <c r="R1741" i="3"/>
  <c r="S1741" i="3" s="1"/>
  <c r="T1741" i="3" s="1"/>
  <c r="U1741" i="3"/>
  <c r="V1741" i="3" s="1"/>
  <c r="L1742" i="3"/>
  <c r="M1742" i="3"/>
  <c r="N1742" i="3"/>
  <c r="P1742" i="3"/>
  <c r="Q1742" i="3"/>
  <c r="R1742" i="3"/>
  <c r="S1742" i="3" s="1"/>
  <c r="T1742" i="3" s="1"/>
  <c r="U1742" i="3"/>
  <c r="V1742" i="3" s="1"/>
  <c r="L1743" i="3"/>
  <c r="M1743" i="3"/>
  <c r="N1743" i="3"/>
  <c r="P1743" i="3"/>
  <c r="Q1743" i="3"/>
  <c r="R1743" i="3"/>
  <c r="S1743" i="3" s="1"/>
  <c r="T1743" i="3" s="1"/>
  <c r="U1743" i="3"/>
  <c r="V1743" i="3" s="1"/>
  <c r="L1744" i="3"/>
  <c r="M1744" i="3"/>
  <c r="N1744" i="3"/>
  <c r="P1744" i="3"/>
  <c r="Q1744" i="3"/>
  <c r="R1744" i="3"/>
  <c r="S1744" i="3" s="1"/>
  <c r="T1744" i="3" s="1"/>
  <c r="U1744" i="3"/>
  <c r="V1744" i="3" s="1"/>
  <c r="L1745" i="3"/>
  <c r="M1745" i="3"/>
  <c r="N1745" i="3"/>
  <c r="P1745" i="3"/>
  <c r="Q1745" i="3"/>
  <c r="R1745" i="3"/>
  <c r="S1745" i="3" s="1"/>
  <c r="T1745" i="3" s="1"/>
  <c r="U1745" i="3"/>
  <c r="V1745" i="3" s="1"/>
  <c r="L1746" i="3"/>
  <c r="M1746" i="3"/>
  <c r="N1746" i="3"/>
  <c r="P1746" i="3"/>
  <c r="Q1746" i="3"/>
  <c r="R1746" i="3"/>
  <c r="S1746" i="3" s="1"/>
  <c r="T1746" i="3" s="1"/>
  <c r="U1746" i="3"/>
  <c r="V1746" i="3" s="1"/>
  <c r="L1747" i="3"/>
  <c r="M1747" i="3"/>
  <c r="N1747" i="3"/>
  <c r="P1747" i="3"/>
  <c r="Q1747" i="3"/>
  <c r="R1747" i="3"/>
  <c r="S1747" i="3" s="1"/>
  <c r="T1747" i="3" s="1"/>
  <c r="U1747" i="3"/>
  <c r="V1747" i="3" s="1"/>
  <c r="L1748" i="3"/>
  <c r="M1748" i="3"/>
  <c r="N1748" i="3"/>
  <c r="P1748" i="3"/>
  <c r="Q1748" i="3"/>
  <c r="R1748" i="3"/>
  <c r="S1748" i="3" s="1"/>
  <c r="T1748" i="3" s="1"/>
  <c r="U1748" i="3"/>
  <c r="V1748" i="3" s="1"/>
  <c r="L1749" i="3"/>
  <c r="M1749" i="3"/>
  <c r="N1749" i="3"/>
  <c r="P1749" i="3"/>
  <c r="Q1749" i="3"/>
  <c r="R1749" i="3"/>
  <c r="S1749" i="3" s="1"/>
  <c r="T1749" i="3" s="1"/>
  <c r="U1749" i="3"/>
  <c r="V1749" i="3" s="1"/>
  <c r="L1750" i="3"/>
  <c r="M1750" i="3"/>
  <c r="N1750" i="3"/>
  <c r="P1750" i="3"/>
  <c r="Q1750" i="3"/>
  <c r="R1750" i="3"/>
  <c r="S1750" i="3" s="1"/>
  <c r="T1750" i="3" s="1"/>
  <c r="U1750" i="3"/>
  <c r="V1750" i="3" s="1"/>
  <c r="L1751" i="3"/>
  <c r="M1751" i="3"/>
  <c r="N1751" i="3"/>
  <c r="P1751" i="3"/>
  <c r="Q1751" i="3"/>
  <c r="R1751" i="3"/>
  <c r="S1751" i="3" s="1"/>
  <c r="T1751" i="3" s="1"/>
  <c r="U1751" i="3"/>
  <c r="V1751" i="3" s="1"/>
  <c r="L1752" i="3"/>
  <c r="M1752" i="3"/>
  <c r="N1752" i="3"/>
  <c r="P1752" i="3"/>
  <c r="Q1752" i="3"/>
  <c r="R1752" i="3"/>
  <c r="S1752" i="3" s="1"/>
  <c r="T1752" i="3" s="1"/>
  <c r="U1752" i="3"/>
  <c r="V1752" i="3" s="1"/>
  <c r="L1753" i="3"/>
  <c r="M1753" i="3"/>
  <c r="N1753" i="3"/>
  <c r="P1753" i="3"/>
  <c r="Q1753" i="3"/>
  <c r="R1753" i="3"/>
  <c r="S1753" i="3" s="1"/>
  <c r="T1753" i="3" s="1"/>
  <c r="U1753" i="3"/>
  <c r="V1753" i="3" s="1"/>
  <c r="L1754" i="3"/>
  <c r="M1754" i="3"/>
  <c r="N1754" i="3"/>
  <c r="P1754" i="3"/>
  <c r="Q1754" i="3"/>
  <c r="R1754" i="3"/>
  <c r="S1754" i="3" s="1"/>
  <c r="T1754" i="3" s="1"/>
  <c r="U1754" i="3"/>
  <c r="V1754" i="3" s="1"/>
  <c r="L1755" i="3"/>
  <c r="M1755" i="3"/>
  <c r="N1755" i="3"/>
  <c r="P1755" i="3"/>
  <c r="Q1755" i="3"/>
  <c r="R1755" i="3"/>
  <c r="S1755" i="3" s="1"/>
  <c r="T1755" i="3" s="1"/>
  <c r="U1755" i="3"/>
  <c r="V1755" i="3" s="1"/>
  <c r="L1756" i="3"/>
  <c r="M1756" i="3"/>
  <c r="N1756" i="3"/>
  <c r="P1756" i="3"/>
  <c r="Q1756" i="3"/>
  <c r="R1756" i="3"/>
  <c r="S1756" i="3" s="1"/>
  <c r="T1756" i="3" s="1"/>
  <c r="U1756" i="3"/>
  <c r="V1756" i="3" s="1"/>
  <c r="L1757" i="3"/>
  <c r="M1757" i="3"/>
  <c r="N1757" i="3"/>
  <c r="P1757" i="3"/>
  <c r="Q1757" i="3"/>
  <c r="R1757" i="3"/>
  <c r="S1757" i="3" s="1"/>
  <c r="T1757" i="3" s="1"/>
  <c r="U1757" i="3"/>
  <c r="V1757" i="3" s="1"/>
  <c r="L1758" i="3"/>
  <c r="M1758" i="3"/>
  <c r="N1758" i="3"/>
  <c r="P1758" i="3"/>
  <c r="Q1758" i="3"/>
  <c r="R1758" i="3"/>
  <c r="S1758" i="3" s="1"/>
  <c r="T1758" i="3" s="1"/>
  <c r="U1758" i="3"/>
  <c r="V1758" i="3" s="1"/>
  <c r="L1759" i="3"/>
  <c r="M1759" i="3"/>
  <c r="N1759" i="3"/>
  <c r="P1759" i="3"/>
  <c r="Q1759" i="3"/>
  <c r="R1759" i="3"/>
  <c r="S1759" i="3" s="1"/>
  <c r="T1759" i="3" s="1"/>
  <c r="U1759" i="3"/>
  <c r="V1759" i="3" s="1"/>
  <c r="L1760" i="3"/>
  <c r="M1760" i="3"/>
  <c r="N1760" i="3"/>
  <c r="P1760" i="3"/>
  <c r="Q1760" i="3"/>
  <c r="R1760" i="3"/>
  <c r="S1760" i="3" s="1"/>
  <c r="T1760" i="3" s="1"/>
  <c r="U1760" i="3"/>
  <c r="V1760" i="3" s="1"/>
  <c r="L1761" i="3"/>
  <c r="M1761" i="3"/>
  <c r="N1761" i="3"/>
  <c r="P1761" i="3"/>
  <c r="Q1761" i="3"/>
  <c r="R1761" i="3"/>
  <c r="S1761" i="3" s="1"/>
  <c r="T1761" i="3" s="1"/>
  <c r="U1761" i="3"/>
  <c r="V1761" i="3" s="1"/>
  <c r="L1762" i="3"/>
  <c r="M1762" i="3"/>
  <c r="N1762" i="3"/>
  <c r="P1762" i="3"/>
  <c r="Q1762" i="3"/>
  <c r="R1762" i="3"/>
  <c r="S1762" i="3" s="1"/>
  <c r="T1762" i="3" s="1"/>
  <c r="U1762" i="3"/>
  <c r="V1762" i="3" s="1"/>
  <c r="L1763" i="3"/>
  <c r="M1763" i="3"/>
  <c r="N1763" i="3"/>
  <c r="P1763" i="3"/>
  <c r="Q1763" i="3"/>
  <c r="R1763" i="3"/>
  <c r="S1763" i="3" s="1"/>
  <c r="T1763" i="3" s="1"/>
  <c r="U1763" i="3"/>
  <c r="V1763" i="3" s="1"/>
  <c r="L1764" i="3"/>
  <c r="M1764" i="3"/>
  <c r="N1764" i="3"/>
  <c r="P1764" i="3"/>
  <c r="Q1764" i="3"/>
  <c r="R1764" i="3"/>
  <c r="S1764" i="3" s="1"/>
  <c r="T1764" i="3" s="1"/>
  <c r="U1764" i="3"/>
  <c r="V1764" i="3" s="1"/>
  <c r="L1765" i="3"/>
  <c r="M1765" i="3"/>
  <c r="N1765" i="3"/>
  <c r="P1765" i="3"/>
  <c r="Q1765" i="3"/>
  <c r="R1765" i="3"/>
  <c r="S1765" i="3" s="1"/>
  <c r="T1765" i="3" s="1"/>
  <c r="U1765" i="3"/>
  <c r="V1765" i="3" s="1"/>
  <c r="L1766" i="3"/>
  <c r="M1766" i="3"/>
  <c r="N1766" i="3"/>
  <c r="P1766" i="3"/>
  <c r="Q1766" i="3"/>
  <c r="R1766" i="3"/>
  <c r="S1766" i="3" s="1"/>
  <c r="T1766" i="3" s="1"/>
  <c r="U1766" i="3"/>
  <c r="V1766" i="3" s="1"/>
  <c r="L1767" i="3"/>
  <c r="M1767" i="3"/>
  <c r="N1767" i="3"/>
  <c r="P1767" i="3"/>
  <c r="Q1767" i="3"/>
  <c r="R1767" i="3"/>
  <c r="S1767" i="3" s="1"/>
  <c r="T1767" i="3" s="1"/>
  <c r="U1767" i="3"/>
  <c r="V1767" i="3" s="1"/>
  <c r="L1768" i="3"/>
  <c r="M1768" i="3"/>
  <c r="N1768" i="3"/>
  <c r="P1768" i="3"/>
  <c r="Q1768" i="3"/>
  <c r="R1768" i="3"/>
  <c r="S1768" i="3" s="1"/>
  <c r="T1768" i="3" s="1"/>
  <c r="U1768" i="3"/>
  <c r="V1768" i="3" s="1"/>
  <c r="L1769" i="3"/>
  <c r="M1769" i="3"/>
  <c r="N1769" i="3"/>
  <c r="P1769" i="3"/>
  <c r="Q1769" i="3"/>
  <c r="R1769" i="3"/>
  <c r="S1769" i="3" s="1"/>
  <c r="T1769" i="3" s="1"/>
  <c r="U1769" i="3"/>
  <c r="V1769" i="3" s="1"/>
  <c r="L1770" i="3"/>
  <c r="M1770" i="3"/>
  <c r="N1770" i="3"/>
  <c r="P1770" i="3"/>
  <c r="Q1770" i="3"/>
  <c r="R1770" i="3"/>
  <c r="S1770" i="3" s="1"/>
  <c r="T1770" i="3" s="1"/>
  <c r="U1770" i="3"/>
  <c r="V1770" i="3" s="1"/>
  <c r="L1771" i="3"/>
  <c r="M1771" i="3"/>
  <c r="N1771" i="3"/>
  <c r="P1771" i="3"/>
  <c r="Q1771" i="3"/>
  <c r="R1771" i="3"/>
  <c r="S1771" i="3" s="1"/>
  <c r="T1771" i="3" s="1"/>
  <c r="U1771" i="3"/>
  <c r="V1771" i="3" s="1"/>
  <c r="L1772" i="3"/>
  <c r="M1772" i="3"/>
  <c r="N1772" i="3"/>
  <c r="P1772" i="3"/>
  <c r="Q1772" i="3"/>
  <c r="R1772" i="3"/>
  <c r="S1772" i="3" s="1"/>
  <c r="T1772" i="3" s="1"/>
  <c r="U1772" i="3"/>
  <c r="V1772" i="3" s="1"/>
  <c r="L1773" i="3"/>
  <c r="M1773" i="3"/>
  <c r="N1773" i="3"/>
  <c r="P1773" i="3"/>
  <c r="Q1773" i="3"/>
  <c r="R1773" i="3"/>
  <c r="S1773" i="3" s="1"/>
  <c r="T1773" i="3" s="1"/>
  <c r="U1773" i="3"/>
  <c r="V1773" i="3" s="1"/>
  <c r="L1774" i="3"/>
  <c r="M1774" i="3"/>
  <c r="N1774" i="3"/>
  <c r="P1774" i="3"/>
  <c r="Q1774" i="3"/>
  <c r="R1774" i="3"/>
  <c r="S1774" i="3" s="1"/>
  <c r="T1774" i="3" s="1"/>
  <c r="U1774" i="3"/>
  <c r="V1774" i="3" s="1"/>
  <c r="L1775" i="3"/>
  <c r="M1775" i="3"/>
  <c r="N1775" i="3"/>
  <c r="P1775" i="3"/>
  <c r="Q1775" i="3"/>
  <c r="R1775" i="3"/>
  <c r="S1775" i="3" s="1"/>
  <c r="T1775" i="3" s="1"/>
  <c r="U1775" i="3"/>
  <c r="V1775" i="3" s="1"/>
  <c r="L1776" i="3"/>
  <c r="M1776" i="3"/>
  <c r="N1776" i="3"/>
  <c r="P1776" i="3"/>
  <c r="Q1776" i="3"/>
  <c r="R1776" i="3"/>
  <c r="S1776" i="3" s="1"/>
  <c r="T1776" i="3" s="1"/>
  <c r="U1776" i="3"/>
  <c r="V1776" i="3" s="1"/>
  <c r="L1777" i="3"/>
  <c r="M1777" i="3"/>
  <c r="N1777" i="3"/>
  <c r="P1777" i="3"/>
  <c r="Q1777" i="3"/>
  <c r="R1777" i="3"/>
  <c r="S1777" i="3" s="1"/>
  <c r="T1777" i="3" s="1"/>
  <c r="U1777" i="3"/>
  <c r="V1777" i="3" s="1"/>
  <c r="L1778" i="3"/>
  <c r="M1778" i="3"/>
  <c r="N1778" i="3"/>
  <c r="P1778" i="3"/>
  <c r="Q1778" i="3"/>
  <c r="R1778" i="3"/>
  <c r="S1778" i="3" s="1"/>
  <c r="T1778" i="3" s="1"/>
  <c r="U1778" i="3"/>
  <c r="V1778" i="3" s="1"/>
  <c r="L1779" i="3"/>
  <c r="M1779" i="3"/>
  <c r="N1779" i="3"/>
  <c r="P1779" i="3"/>
  <c r="Q1779" i="3"/>
  <c r="R1779" i="3"/>
  <c r="S1779" i="3" s="1"/>
  <c r="T1779" i="3" s="1"/>
  <c r="U1779" i="3"/>
  <c r="V1779" i="3" s="1"/>
  <c r="L1780" i="3"/>
  <c r="M1780" i="3"/>
  <c r="N1780" i="3"/>
  <c r="P1780" i="3"/>
  <c r="Q1780" i="3"/>
  <c r="R1780" i="3"/>
  <c r="S1780" i="3" s="1"/>
  <c r="T1780" i="3" s="1"/>
  <c r="U1780" i="3"/>
  <c r="V1780" i="3" s="1"/>
  <c r="L1781" i="3"/>
  <c r="M1781" i="3"/>
  <c r="N1781" i="3"/>
  <c r="P1781" i="3"/>
  <c r="Q1781" i="3"/>
  <c r="R1781" i="3"/>
  <c r="S1781" i="3" s="1"/>
  <c r="T1781" i="3" s="1"/>
  <c r="U1781" i="3"/>
  <c r="V1781" i="3" s="1"/>
  <c r="L1782" i="3"/>
  <c r="M1782" i="3"/>
  <c r="N1782" i="3"/>
  <c r="P1782" i="3"/>
  <c r="Q1782" i="3"/>
  <c r="R1782" i="3"/>
  <c r="S1782" i="3" s="1"/>
  <c r="T1782" i="3" s="1"/>
  <c r="U1782" i="3"/>
  <c r="V1782" i="3" s="1"/>
  <c r="L1783" i="3"/>
  <c r="M1783" i="3"/>
  <c r="N1783" i="3"/>
  <c r="P1783" i="3"/>
  <c r="Q1783" i="3"/>
  <c r="R1783" i="3"/>
  <c r="S1783" i="3" s="1"/>
  <c r="T1783" i="3" s="1"/>
  <c r="U1783" i="3"/>
  <c r="V1783" i="3" s="1"/>
  <c r="L1784" i="3"/>
  <c r="M1784" i="3"/>
  <c r="N1784" i="3"/>
  <c r="P1784" i="3"/>
  <c r="Q1784" i="3"/>
  <c r="R1784" i="3"/>
  <c r="S1784" i="3" s="1"/>
  <c r="T1784" i="3" s="1"/>
  <c r="U1784" i="3"/>
  <c r="V1784" i="3" s="1"/>
  <c r="L1785" i="3"/>
  <c r="M1785" i="3"/>
  <c r="N1785" i="3"/>
  <c r="P1785" i="3"/>
  <c r="Q1785" i="3"/>
  <c r="R1785" i="3"/>
  <c r="S1785" i="3" s="1"/>
  <c r="T1785" i="3" s="1"/>
  <c r="U1785" i="3"/>
  <c r="V1785" i="3" s="1"/>
  <c r="L1786" i="3"/>
  <c r="M1786" i="3"/>
  <c r="N1786" i="3"/>
  <c r="P1786" i="3"/>
  <c r="Q1786" i="3"/>
  <c r="R1786" i="3"/>
  <c r="S1786" i="3" s="1"/>
  <c r="T1786" i="3" s="1"/>
  <c r="U1786" i="3"/>
  <c r="V1786" i="3" s="1"/>
  <c r="L1787" i="3"/>
  <c r="M1787" i="3"/>
  <c r="N1787" i="3"/>
  <c r="P1787" i="3"/>
  <c r="Q1787" i="3"/>
  <c r="R1787" i="3"/>
  <c r="S1787" i="3" s="1"/>
  <c r="T1787" i="3" s="1"/>
  <c r="U1787" i="3"/>
  <c r="V1787" i="3" s="1"/>
  <c r="L1788" i="3"/>
  <c r="M1788" i="3"/>
  <c r="N1788" i="3"/>
  <c r="P1788" i="3"/>
  <c r="Q1788" i="3"/>
  <c r="R1788" i="3"/>
  <c r="S1788" i="3" s="1"/>
  <c r="T1788" i="3" s="1"/>
  <c r="U1788" i="3"/>
  <c r="V1788" i="3" s="1"/>
  <c r="L1789" i="3"/>
  <c r="M1789" i="3"/>
  <c r="N1789" i="3"/>
  <c r="P1789" i="3"/>
  <c r="Q1789" i="3"/>
  <c r="R1789" i="3"/>
  <c r="S1789" i="3" s="1"/>
  <c r="T1789" i="3" s="1"/>
  <c r="U1789" i="3"/>
  <c r="V1789" i="3" s="1"/>
  <c r="L1790" i="3"/>
  <c r="M1790" i="3"/>
  <c r="N1790" i="3"/>
  <c r="P1790" i="3"/>
  <c r="Q1790" i="3"/>
  <c r="R1790" i="3"/>
  <c r="S1790" i="3" s="1"/>
  <c r="T1790" i="3" s="1"/>
  <c r="U1790" i="3"/>
  <c r="V1790" i="3" s="1"/>
  <c r="L1791" i="3"/>
  <c r="M1791" i="3"/>
  <c r="N1791" i="3"/>
  <c r="P1791" i="3"/>
  <c r="Q1791" i="3"/>
  <c r="R1791" i="3"/>
  <c r="S1791" i="3" s="1"/>
  <c r="T1791" i="3" s="1"/>
  <c r="U1791" i="3"/>
  <c r="V1791" i="3" s="1"/>
  <c r="L1792" i="3"/>
  <c r="M1792" i="3"/>
  <c r="N1792" i="3"/>
  <c r="P1792" i="3"/>
  <c r="Q1792" i="3"/>
  <c r="R1792" i="3"/>
  <c r="S1792" i="3" s="1"/>
  <c r="T1792" i="3" s="1"/>
  <c r="U1792" i="3"/>
  <c r="V1792" i="3" s="1"/>
  <c r="L1793" i="3"/>
  <c r="M1793" i="3"/>
  <c r="N1793" i="3"/>
  <c r="P1793" i="3"/>
  <c r="Q1793" i="3"/>
  <c r="R1793" i="3"/>
  <c r="S1793" i="3" s="1"/>
  <c r="T1793" i="3" s="1"/>
  <c r="U1793" i="3"/>
  <c r="V1793" i="3" s="1"/>
  <c r="L1794" i="3"/>
  <c r="M1794" i="3"/>
  <c r="N1794" i="3"/>
  <c r="P1794" i="3"/>
  <c r="Q1794" i="3"/>
  <c r="R1794" i="3"/>
  <c r="S1794" i="3" s="1"/>
  <c r="T1794" i="3" s="1"/>
  <c r="U1794" i="3"/>
  <c r="V1794" i="3" s="1"/>
  <c r="L1795" i="3"/>
  <c r="M1795" i="3"/>
  <c r="N1795" i="3"/>
  <c r="P1795" i="3"/>
  <c r="Q1795" i="3"/>
  <c r="R1795" i="3"/>
  <c r="S1795" i="3" s="1"/>
  <c r="T1795" i="3" s="1"/>
  <c r="U1795" i="3"/>
  <c r="V1795" i="3" s="1"/>
  <c r="L1796" i="3"/>
  <c r="M1796" i="3"/>
  <c r="N1796" i="3"/>
  <c r="P1796" i="3"/>
  <c r="Q1796" i="3"/>
  <c r="R1796" i="3"/>
  <c r="S1796" i="3" s="1"/>
  <c r="T1796" i="3" s="1"/>
  <c r="U1796" i="3"/>
  <c r="V1796" i="3" s="1"/>
  <c r="L1797" i="3"/>
  <c r="M1797" i="3"/>
  <c r="N1797" i="3"/>
  <c r="P1797" i="3"/>
  <c r="Q1797" i="3"/>
  <c r="R1797" i="3"/>
  <c r="S1797" i="3" s="1"/>
  <c r="T1797" i="3" s="1"/>
  <c r="U1797" i="3"/>
  <c r="V1797" i="3" s="1"/>
  <c r="L1798" i="3"/>
  <c r="M1798" i="3"/>
  <c r="N1798" i="3"/>
  <c r="P1798" i="3"/>
  <c r="Q1798" i="3"/>
  <c r="R1798" i="3"/>
  <c r="S1798" i="3" s="1"/>
  <c r="T1798" i="3" s="1"/>
  <c r="U1798" i="3"/>
  <c r="V1798" i="3" s="1"/>
  <c r="L1799" i="3"/>
  <c r="M1799" i="3"/>
  <c r="N1799" i="3"/>
  <c r="P1799" i="3"/>
  <c r="Q1799" i="3"/>
  <c r="R1799" i="3"/>
  <c r="S1799" i="3" s="1"/>
  <c r="T1799" i="3" s="1"/>
  <c r="U1799" i="3"/>
  <c r="V1799" i="3" s="1"/>
  <c r="L1800" i="3"/>
  <c r="M1800" i="3"/>
  <c r="N1800" i="3"/>
  <c r="P1800" i="3"/>
  <c r="Q1800" i="3"/>
  <c r="R1800" i="3"/>
  <c r="S1800" i="3" s="1"/>
  <c r="T1800" i="3" s="1"/>
  <c r="U1800" i="3"/>
  <c r="V1800" i="3" s="1"/>
  <c r="L1801" i="3"/>
  <c r="M1801" i="3"/>
  <c r="N1801" i="3"/>
  <c r="P1801" i="3"/>
  <c r="Q1801" i="3"/>
  <c r="R1801" i="3"/>
  <c r="S1801" i="3" s="1"/>
  <c r="T1801" i="3" s="1"/>
  <c r="U1801" i="3"/>
  <c r="V1801" i="3" s="1"/>
  <c r="L1802" i="3"/>
  <c r="M1802" i="3"/>
  <c r="N1802" i="3"/>
  <c r="P1802" i="3"/>
  <c r="Q1802" i="3"/>
  <c r="R1802" i="3"/>
  <c r="S1802" i="3" s="1"/>
  <c r="T1802" i="3" s="1"/>
  <c r="U1802" i="3"/>
  <c r="V1802" i="3" s="1"/>
  <c r="L1803" i="3"/>
  <c r="M1803" i="3"/>
  <c r="N1803" i="3"/>
  <c r="P1803" i="3"/>
  <c r="Q1803" i="3"/>
  <c r="R1803" i="3"/>
  <c r="S1803" i="3" s="1"/>
  <c r="T1803" i="3" s="1"/>
  <c r="U1803" i="3"/>
  <c r="V1803" i="3" s="1"/>
  <c r="L1804" i="3"/>
  <c r="M1804" i="3"/>
  <c r="N1804" i="3"/>
  <c r="P1804" i="3"/>
  <c r="Q1804" i="3"/>
  <c r="R1804" i="3"/>
  <c r="S1804" i="3" s="1"/>
  <c r="T1804" i="3" s="1"/>
  <c r="U1804" i="3"/>
  <c r="V1804" i="3" s="1"/>
  <c r="L1805" i="3"/>
  <c r="M1805" i="3"/>
  <c r="N1805" i="3"/>
  <c r="P1805" i="3"/>
  <c r="Q1805" i="3"/>
  <c r="R1805" i="3"/>
  <c r="S1805" i="3" s="1"/>
  <c r="T1805" i="3" s="1"/>
  <c r="U1805" i="3"/>
  <c r="V1805" i="3" s="1"/>
  <c r="L1806" i="3"/>
  <c r="M1806" i="3"/>
  <c r="N1806" i="3"/>
  <c r="P1806" i="3"/>
  <c r="Q1806" i="3"/>
  <c r="R1806" i="3"/>
  <c r="S1806" i="3" s="1"/>
  <c r="T1806" i="3" s="1"/>
  <c r="U1806" i="3"/>
  <c r="V1806" i="3" s="1"/>
  <c r="L1807" i="3"/>
  <c r="M1807" i="3"/>
  <c r="N1807" i="3"/>
  <c r="P1807" i="3"/>
  <c r="Q1807" i="3"/>
  <c r="R1807" i="3"/>
  <c r="S1807" i="3" s="1"/>
  <c r="T1807" i="3" s="1"/>
  <c r="U1807" i="3"/>
  <c r="V1807" i="3" s="1"/>
  <c r="L1808" i="3"/>
  <c r="M1808" i="3"/>
  <c r="N1808" i="3"/>
  <c r="P1808" i="3"/>
  <c r="Q1808" i="3"/>
  <c r="R1808" i="3"/>
  <c r="S1808" i="3" s="1"/>
  <c r="T1808" i="3" s="1"/>
  <c r="U1808" i="3"/>
  <c r="V1808" i="3" s="1"/>
  <c r="L1809" i="3"/>
  <c r="M1809" i="3"/>
  <c r="N1809" i="3"/>
  <c r="P1809" i="3"/>
  <c r="Q1809" i="3"/>
  <c r="R1809" i="3"/>
  <c r="S1809" i="3" s="1"/>
  <c r="T1809" i="3" s="1"/>
  <c r="U1809" i="3"/>
  <c r="V1809" i="3" s="1"/>
  <c r="L1810" i="3"/>
  <c r="M1810" i="3"/>
  <c r="N1810" i="3"/>
  <c r="P1810" i="3"/>
  <c r="Q1810" i="3"/>
  <c r="R1810" i="3"/>
  <c r="S1810" i="3" s="1"/>
  <c r="T1810" i="3" s="1"/>
  <c r="U1810" i="3"/>
  <c r="V1810" i="3" s="1"/>
  <c r="L1811" i="3"/>
  <c r="M1811" i="3"/>
  <c r="N1811" i="3"/>
  <c r="P1811" i="3"/>
  <c r="Q1811" i="3"/>
  <c r="R1811" i="3"/>
  <c r="S1811" i="3" s="1"/>
  <c r="T1811" i="3" s="1"/>
  <c r="U1811" i="3"/>
  <c r="V1811" i="3" s="1"/>
  <c r="L1812" i="3"/>
  <c r="M1812" i="3"/>
  <c r="N1812" i="3"/>
  <c r="P1812" i="3"/>
  <c r="Q1812" i="3"/>
  <c r="R1812" i="3"/>
  <c r="S1812" i="3" s="1"/>
  <c r="T1812" i="3" s="1"/>
  <c r="U1812" i="3"/>
  <c r="V1812" i="3" s="1"/>
  <c r="L1813" i="3"/>
  <c r="M1813" i="3"/>
  <c r="N1813" i="3"/>
  <c r="P1813" i="3"/>
  <c r="Q1813" i="3"/>
  <c r="R1813" i="3"/>
  <c r="S1813" i="3" s="1"/>
  <c r="T1813" i="3" s="1"/>
  <c r="U1813" i="3"/>
  <c r="V1813" i="3" s="1"/>
  <c r="L1814" i="3"/>
  <c r="M1814" i="3"/>
  <c r="N1814" i="3"/>
  <c r="P1814" i="3"/>
  <c r="Q1814" i="3"/>
  <c r="R1814" i="3"/>
  <c r="S1814" i="3" s="1"/>
  <c r="T1814" i="3" s="1"/>
  <c r="U1814" i="3"/>
  <c r="V1814" i="3" s="1"/>
  <c r="L1815" i="3"/>
  <c r="M1815" i="3"/>
  <c r="N1815" i="3"/>
  <c r="P1815" i="3"/>
  <c r="Q1815" i="3"/>
  <c r="R1815" i="3"/>
  <c r="S1815" i="3" s="1"/>
  <c r="T1815" i="3" s="1"/>
  <c r="U1815" i="3"/>
  <c r="V1815" i="3" s="1"/>
  <c r="L1816" i="3"/>
  <c r="M1816" i="3"/>
  <c r="N1816" i="3"/>
  <c r="P1816" i="3"/>
  <c r="Q1816" i="3"/>
  <c r="R1816" i="3"/>
  <c r="S1816" i="3" s="1"/>
  <c r="T1816" i="3" s="1"/>
  <c r="U1816" i="3"/>
  <c r="V1816" i="3" s="1"/>
  <c r="L1817" i="3"/>
  <c r="M1817" i="3"/>
  <c r="N1817" i="3"/>
  <c r="P1817" i="3"/>
  <c r="Q1817" i="3"/>
  <c r="R1817" i="3"/>
  <c r="S1817" i="3" s="1"/>
  <c r="T1817" i="3" s="1"/>
  <c r="U1817" i="3"/>
  <c r="V1817" i="3" s="1"/>
  <c r="L1818" i="3"/>
  <c r="M1818" i="3"/>
  <c r="N1818" i="3"/>
  <c r="P1818" i="3"/>
  <c r="Q1818" i="3"/>
  <c r="R1818" i="3"/>
  <c r="S1818" i="3" s="1"/>
  <c r="T1818" i="3" s="1"/>
  <c r="U1818" i="3"/>
  <c r="V1818" i="3" s="1"/>
  <c r="L1819" i="3"/>
  <c r="M1819" i="3"/>
  <c r="N1819" i="3"/>
  <c r="P1819" i="3"/>
  <c r="Q1819" i="3"/>
  <c r="R1819" i="3"/>
  <c r="S1819" i="3" s="1"/>
  <c r="T1819" i="3" s="1"/>
  <c r="U1819" i="3"/>
  <c r="V1819" i="3" s="1"/>
  <c r="L1820" i="3"/>
  <c r="M1820" i="3"/>
  <c r="N1820" i="3"/>
  <c r="P1820" i="3"/>
  <c r="Q1820" i="3"/>
  <c r="R1820" i="3"/>
  <c r="S1820" i="3" s="1"/>
  <c r="T1820" i="3" s="1"/>
  <c r="U1820" i="3"/>
  <c r="V1820" i="3" s="1"/>
  <c r="L1821" i="3"/>
  <c r="M1821" i="3"/>
  <c r="N1821" i="3"/>
  <c r="P1821" i="3"/>
  <c r="Q1821" i="3"/>
  <c r="R1821" i="3"/>
  <c r="S1821" i="3" s="1"/>
  <c r="T1821" i="3" s="1"/>
  <c r="U1821" i="3"/>
  <c r="V1821" i="3" s="1"/>
  <c r="L1822" i="3"/>
  <c r="M1822" i="3"/>
  <c r="N1822" i="3"/>
  <c r="P1822" i="3"/>
  <c r="Q1822" i="3"/>
  <c r="R1822" i="3"/>
  <c r="S1822" i="3" s="1"/>
  <c r="T1822" i="3" s="1"/>
  <c r="U1822" i="3"/>
  <c r="V1822" i="3" s="1"/>
  <c r="L1823" i="3"/>
  <c r="M1823" i="3"/>
  <c r="N1823" i="3"/>
  <c r="P1823" i="3"/>
  <c r="Q1823" i="3"/>
  <c r="R1823" i="3"/>
  <c r="S1823" i="3" s="1"/>
  <c r="T1823" i="3" s="1"/>
  <c r="U1823" i="3"/>
  <c r="V1823" i="3" s="1"/>
  <c r="L1824" i="3"/>
  <c r="M1824" i="3"/>
  <c r="N1824" i="3"/>
  <c r="P1824" i="3"/>
  <c r="Q1824" i="3"/>
  <c r="R1824" i="3"/>
  <c r="S1824" i="3" s="1"/>
  <c r="T1824" i="3" s="1"/>
  <c r="U1824" i="3"/>
  <c r="V1824" i="3" s="1"/>
  <c r="L1825" i="3"/>
  <c r="M1825" i="3"/>
  <c r="N1825" i="3"/>
  <c r="P1825" i="3"/>
  <c r="Q1825" i="3"/>
  <c r="R1825" i="3"/>
  <c r="S1825" i="3" s="1"/>
  <c r="T1825" i="3" s="1"/>
  <c r="U1825" i="3"/>
  <c r="V1825" i="3" s="1"/>
  <c r="L1826" i="3"/>
  <c r="M1826" i="3"/>
  <c r="N1826" i="3"/>
  <c r="P1826" i="3"/>
  <c r="Q1826" i="3"/>
  <c r="R1826" i="3"/>
  <c r="S1826" i="3" s="1"/>
  <c r="T1826" i="3" s="1"/>
  <c r="U1826" i="3"/>
  <c r="V1826" i="3" s="1"/>
  <c r="L1827" i="3"/>
  <c r="M1827" i="3"/>
  <c r="N1827" i="3"/>
  <c r="P1827" i="3"/>
  <c r="Q1827" i="3"/>
  <c r="R1827" i="3"/>
  <c r="S1827" i="3" s="1"/>
  <c r="T1827" i="3" s="1"/>
  <c r="U1827" i="3"/>
  <c r="V1827" i="3" s="1"/>
  <c r="L1828" i="3"/>
  <c r="M1828" i="3"/>
  <c r="N1828" i="3"/>
  <c r="P1828" i="3"/>
  <c r="Q1828" i="3"/>
  <c r="R1828" i="3"/>
  <c r="S1828" i="3" s="1"/>
  <c r="T1828" i="3" s="1"/>
  <c r="U1828" i="3"/>
  <c r="V1828" i="3" s="1"/>
  <c r="L1829" i="3"/>
  <c r="M1829" i="3"/>
  <c r="N1829" i="3"/>
  <c r="P1829" i="3"/>
  <c r="Q1829" i="3"/>
  <c r="R1829" i="3"/>
  <c r="S1829" i="3" s="1"/>
  <c r="T1829" i="3" s="1"/>
  <c r="U1829" i="3"/>
  <c r="V1829" i="3" s="1"/>
  <c r="L1830" i="3"/>
  <c r="M1830" i="3"/>
  <c r="N1830" i="3"/>
  <c r="P1830" i="3"/>
  <c r="Q1830" i="3"/>
  <c r="R1830" i="3"/>
  <c r="S1830" i="3" s="1"/>
  <c r="T1830" i="3" s="1"/>
  <c r="U1830" i="3"/>
  <c r="V1830" i="3" s="1"/>
  <c r="L1831" i="3"/>
  <c r="M1831" i="3"/>
  <c r="N1831" i="3"/>
  <c r="P1831" i="3"/>
  <c r="Q1831" i="3"/>
  <c r="R1831" i="3"/>
  <c r="S1831" i="3" s="1"/>
  <c r="T1831" i="3" s="1"/>
  <c r="U1831" i="3"/>
  <c r="V1831" i="3" s="1"/>
  <c r="L1832" i="3"/>
  <c r="M1832" i="3"/>
  <c r="N1832" i="3"/>
  <c r="P1832" i="3"/>
  <c r="Q1832" i="3"/>
  <c r="R1832" i="3"/>
  <c r="S1832" i="3" s="1"/>
  <c r="T1832" i="3" s="1"/>
  <c r="U1832" i="3"/>
  <c r="V1832" i="3" s="1"/>
  <c r="L1833" i="3"/>
  <c r="M1833" i="3"/>
  <c r="N1833" i="3"/>
  <c r="P1833" i="3"/>
  <c r="Q1833" i="3"/>
  <c r="R1833" i="3"/>
  <c r="S1833" i="3" s="1"/>
  <c r="T1833" i="3" s="1"/>
  <c r="U1833" i="3"/>
  <c r="V1833" i="3" s="1"/>
  <c r="L1834" i="3"/>
  <c r="M1834" i="3"/>
  <c r="N1834" i="3"/>
  <c r="P1834" i="3"/>
  <c r="Q1834" i="3"/>
  <c r="R1834" i="3"/>
  <c r="S1834" i="3" s="1"/>
  <c r="T1834" i="3" s="1"/>
  <c r="U1834" i="3"/>
  <c r="V1834" i="3" s="1"/>
  <c r="L1835" i="3"/>
  <c r="M1835" i="3"/>
  <c r="N1835" i="3"/>
  <c r="P1835" i="3"/>
  <c r="Q1835" i="3"/>
  <c r="R1835" i="3"/>
  <c r="S1835" i="3" s="1"/>
  <c r="T1835" i="3" s="1"/>
  <c r="U1835" i="3"/>
  <c r="V1835" i="3" s="1"/>
  <c r="L1836" i="3"/>
  <c r="M1836" i="3"/>
  <c r="N1836" i="3"/>
  <c r="P1836" i="3"/>
  <c r="Q1836" i="3"/>
  <c r="R1836" i="3"/>
  <c r="S1836" i="3" s="1"/>
  <c r="T1836" i="3" s="1"/>
  <c r="U1836" i="3"/>
  <c r="V1836" i="3" s="1"/>
  <c r="L1837" i="3"/>
  <c r="M1837" i="3"/>
  <c r="N1837" i="3"/>
  <c r="P1837" i="3"/>
  <c r="Q1837" i="3"/>
  <c r="R1837" i="3"/>
  <c r="S1837" i="3" s="1"/>
  <c r="T1837" i="3" s="1"/>
  <c r="U1837" i="3"/>
  <c r="V1837" i="3" s="1"/>
  <c r="L1838" i="3"/>
  <c r="M1838" i="3"/>
  <c r="N1838" i="3"/>
  <c r="P1838" i="3"/>
  <c r="Q1838" i="3"/>
  <c r="R1838" i="3"/>
  <c r="S1838" i="3"/>
  <c r="T1838" i="3" s="1"/>
  <c r="U1838" i="3"/>
  <c r="V1838" i="3" s="1"/>
  <c r="L1839" i="3"/>
  <c r="M1839" i="3"/>
  <c r="N1839" i="3"/>
  <c r="P1839" i="3"/>
  <c r="Q1839" i="3"/>
  <c r="R1839" i="3"/>
  <c r="S1839" i="3" s="1"/>
  <c r="T1839" i="3" s="1"/>
  <c r="U1839" i="3"/>
  <c r="V1839" i="3" s="1"/>
  <c r="L1840" i="3"/>
  <c r="M1840" i="3"/>
  <c r="N1840" i="3"/>
  <c r="P1840" i="3"/>
  <c r="Q1840" i="3"/>
  <c r="R1840" i="3"/>
  <c r="S1840" i="3" s="1"/>
  <c r="T1840" i="3" s="1"/>
  <c r="U1840" i="3"/>
  <c r="V1840" i="3" s="1"/>
  <c r="L1841" i="3"/>
  <c r="M1841" i="3"/>
  <c r="N1841" i="3"/>
  <c r="P1841" i="3"/>
  <c r="Q1841" i="3"/>
  <c r="R1841" i="3"/>
  <c r="S1841" i="3" s="1"/>
  <c r="T1841" i="3" s="1"/>
  <c r="U1841" i="3"/>
  <c r="V1841" i="3" s="1"/>
  <c r="L1842" i="3"/>
  <c r="M1842" i="3"/>
  <c r="N1842" i="3"/>
  <c r="P1842" i="3"/>
  <c r="Q1842" i="3"/>
  <c r="R1842" i="3"/>
  <c r="S1842" i="3" s="1"/>
  <c r="T1842" i="3" s="1"/>
  <c r="U1842" i="3"/>
  <c r="V1842" i="3" s="1"/>
  <c r="L1843" i="3"/>
  <c r="M1843" i="3"/>
  <c r="N1843" i="3"/>
  <c r="P1843" i="3"/>
  <c r="Q1843" i="3"/>
  <c r="R1843" i="3"/>
  <c r="S1843" i="3"/>
  <c r="T1843" i="3" s="1"/>
  <c r="U1843" i="3"/>
  <c r="V1843" i="3" s="1"/>
  <c r="L1844" i="3"/>
  <c r="M1844" i="3"/>
  <c r="N1844" i="3"/>
  <c r="P1844" i="3"/>
  <c r="Q1844" i="3"/>
  <c r="R1844" i="3"/>
  <c r="S1844" i="3" s="1"/>
  <c r="T1844" i="3" s="1"/>
  <c r="U1844" i="3"/>
  <c r="V1844" i="3" s="1"/>
  <c r="L1845" i="3"/>
  <c r="M1845" i="3"/>
  <c r="N1845" i="3"/>
  <c r="P1845" i="3"/>
  <c r="Q1845" i="3"/>
  <c r="R1845" i="3"/>
  <c r="S1845" i="3" s="1"/>
  <c r="T1845" i="3" s="1"/>
  <c r="U1845" i="3"/>
  <c r="V1845" i="3" s="1"/>
  <c r="L1846" i="3"/>
  <c r="M1846" i="3"/>
  <c r="N1846" i="3"/>
  <c r="P1846" i="3"/>
  <c r="Q1846" i="3"/>
  <c r="R1846" i="3"/>
  <c r="S1846" i="3" s="1"/>
  <c r="T1846" i="3" s="1"/>
  <c r="U1846" i="3"/>
  <c r="V1846" i="3" s="1"/>
  <c r="L1847" i="3"/>
  <c r="M1847" i="3"/>
  <c r="N1847" i="3"/>
  <c r="P1847" i="3"/>
  <c r="Q1847" i="3"/>
  <c r="R1847" i="3"/>
  <c r="S1847" i="3"/>
  <c r="T1847" i="3" s="1"/>
  <c r="U1847" i="3"/>
  <c r="V1847" i="3" s="1"/>
  <c r="L1848" i="3"/>
  <c r="M1848" i="3"/>
  <c r="N1848" i="3"/>
  <c r="P1848" i="3"/>
  <c r="Q1848" i="3"/>
  <c r="R1848" i="3"/>
  <c r="S1848" i="3" s="1"/>
  <c r="T1848" i="3" s="1"/>
  <c r="U1848" i="3"/>
  <c r="V1848" i="3" s="1"/>
  <c r="L1849" i="3"/>
  <c r="M1849" i="3"/>
  <c r="N1849" i="3"/>
  <c r="P1849" i="3"/>
  <c r="Q1849" i="3"/>
  <c r="R1849" i="3"/>
  <c r="S1849" i="3" s="1"/>
  <c r="T1849" i="3" s="1"/>
  <c r="U1849" i="3"/>
  <c r="V1849" i="3" s="1"/>
  <c r="L1850" i="3"/>
  <c r="M1850" i="3"/>
  <c r="N1850" i="3"/>
  <c r="P1850" i="3"/>
  <c r="Q1850" i="3"/>
  <c r="R1850" i="3"/>
  <c r="S1850" i="3" s="1"/>
  <c r="T1850" i="3" s="1"/>
  <c r="U1850" i="3"/>
  <c r="V1850" i="3" s="1"/>
  <c r="L1851" i="3"/>
  <c r="M1851" i="3"/>
  <c r="N1851" i="3"/>
  <c r="P1851" i="3"/>
  <c r="Q1851" i="3"/>
  <c r="R1851" i="3"/>
  <c r="S1851" i="3" s="1"/>
  <c r="T1851" i="3" s="1"/>
  <c r="U1851" i="3"/>
  <c r="V1851" i="3" s="1"/>
  <c r="L1852" i="3"/>
  <c r="M1852" i="3"/>
  <c r="N1852" i="3"/>
  <c r="P1852" i="3"/>
  <c r="Q1852" i="3"/>
  <c r="R1852" i="3"/>
  <c r="S1852" i="3" s="1"/>
  <c r="T1852" i="3" s="1"/>
  <c r="U1852" i="3"/>
  <c r="V1852" i="3" s="1"/>
  <c r="L1853" i="3"/>
  <c r="M1853" i="3"/>
  <c r="N1853" i="3"/>
  <c r="P1853" i="3"/>
  <c r="Q1853" i="3"/>
  <c r="R1853" i="3"/>
  <c r="S1853" i="3" s="1"/>
  <c r="T1853" i="3" s="1"/>
  <c r="U1853" i="3"/>
  <c r="V1853" i="3" s="1"/>
  <c r="L1854" i="3"/>
  <c r="M1854" i="3"/>
  <c r="N1854" i="3"/>
  <c r="P1854" i="3"/>
  <c r="Q1854" i="3"/>
  <c r="R1854" i="3"/>
  <c r="S1854" i="3"/>
  <c r="T1854" i="3" s="1"/>
  <c r="U1854" i="3"/>
  <c r="V1854" i="3" s="1"/>
  <c r="L1855" i="3"/>
  <c r="M1855" i="3"/>
  <c r="N1855" i="3"/>
  <c r="P1855" i="3"/>
  <c r="Q1855" i="3"/>
  <c r="R1855" i="3"/>
  <c r="S1855" i="3" s="1"/>
  <c r="T1855" i="3" s="1"/>
  <c r="U1855" i="3"/>
  <c r="V1855" i="3" s="1"/>
  <c r="L1856" i="3"/>
  <c r="M1856" i="3"/>
  <c r="N1856" i="3"/>
  <c r="P1856" i="3"/>
  <c r="Q1856" i="3"/>
  <c r="R1856" i="3"/>
  <c r="S1856" i="3" s="1"/>
  <c r="T1856" i="3" s="1"/>
  <c r="U1856" i="3"/>
  <c r="V1856" i="3" s="1"/>
  <c r="L1857" i="3"/>
  <c r="M1857" i="3"/>
  <c r="N1857" i="3"/>
  <c r="P1857" i="3"/>
  <c r="Q1857" i="3"/>
  <c r="R1857" i="3"/>
  <c r="S1857" i="3" s="1"/>
  <c r="T1857" i="3" s="1"/>
  <c r="U1857" i="3"/>
  <c r="V1857" i="3" s="1"/>
  <c r="L1858" i="3"/>
  <c r="M1858" i="3"/>
  <c r="N1858" i="3"/>
  <c r="P1858" i="3"/>
  <c r="Q1858" i="3"/>
  <c r="R1858" i="3"/>
  <c r="S1858" i="3" s="1"/>
  <c r="T1858" i="3" s="1"/>
  <c r="U1858" i="3"/>
  <c r="V1858" i="3" s="1"/>
  <c r="L1859" i="3"/>
  <c r="M1859" i="3"/>
  <c r="N1859" i="3"/>
  <c r="P1859" i="3"/>
  <c r="Q1859" i="3"/>
  <c r="R1859" i="3"/>
  <c r="S1859" i="3" s="1"/>
  <c r="T1859" i="3" s="1"/>
  <c r="U1859" i="3"/>
  <c r="V1859" i="3" s="1"/>
  <c r="L1860" i="3"/>
  <c r="M1860" i="3"/>
  <c r="N1860" i="3"/>
  <c r="P1860" i="3"/>
  <c r="Q1860" i="3"/>
  <c r="R1860" i="3"/>
  <c r="S1860" i="3" s="1"/>
  <c r="T1860" i="3" s="1"/>
  <c r="U1860" i="3"/>
  <c r="V1860" i="3" s="1"/>
  <c r="L1861" i="3"/>
  <c r="M1861" i="3"/>
  <c r="N1861" i="3"/>
  <c r="P1861" i="3"/>
  <c r="Q1861" i="3"/>
  <c r="R1861" i="3"/>
  <c r="S1861" i="3" s="1"/>
  <c r="T1861" i="3" s="1"/>
  <c r="U1861" i="3"/>
  <c r="V1861" i="3" s="1"/>
  <c r="L1862" i="3"/>
  <c r="M1862" i="3"/>
  <c r="N1862" i="3"/>
  <c r="P1862" i="3"/>
  <c r="Q1862" i="3"/>
  <c r="R1862" i="3"/>
  <c r="S1862" i="3" s="1"/>
  <c r="T1862" i="3" s="1"/>
  <c r="U1862" i="3"/>
  <c r="V1862" i="3" s="1"/>
  <c r="L1863" i="3"/>
  <c r="M1863" i="3"/>
  <c r="N1863" i="3"/>
  <c r="P1863" i="3"/>
  <c r="Q1863" i="3"/>
  <c r="R1863" i="3"/>
  <c r="S1863" i="3" s="1"/>
  <c r="T1863" i="3" s="1"/>
  <c r="U1863" i="3"/>
  <c r="V1863" i="3" s="1"/>
  <c r="L1864" i="3"/>
  <c r="M1864" i="3"/>
  <c r="N1864" i="3"/>
  <c r="P1864" i="3"/>
  <c r="Q1864" i="3"/>
  <c r="R1864" i="3"/>
  <c r="S1864" i="3" s="1"/>
  <c r="T1864" i="3" s="1"/>
  <c r="U1864" i="3"/>
  <c r="V1864" i="3" s="1"/>
  <c r="L1865" i="3"/>
  <c r="M1865" i="3"/>
  <c r="N1865" i="3"/>
  <c r="P1865" i="3"/>
  <c r="Q1865" i="3"/>
  <c r="R1865" i="3"/>
  <c r="S1865" i="3" s="1"/>
  <c r="T1865" i="3" s="1"/>
  <c r="U1865" i="3"/>
  <c r="V1865" i="3" s="1"/>
  <c r="L1866" i="3"/>
  <c r="M1866" i="3"/>
  <c r="N1866" i="3"/>
  <c r="P1866" i="3"/>
  <c r="Q1866" i="3"/>
  <c r="R1866" i="3"/>
  <c r="S1866" i="3" s="1"/>
  <c r="T1866" i="3" s="1"/>
  <c r="U1866" i="3"/>
  <c r="V1866" i="3" s="1"/>
  <c r="L1867" i="3"/>
  <c r="M1867" i="3"/>
  <c r="N1867" i="3"/>
  <c r="P1867" i="3"/>
  <c r="Q1867" i="3"/>
  <c r="R1867" i="3"/>
  <c r="S1867" i="3" s="1"/>
  <c r="T1867" i="3" s="1"/>
  <c r="U1867" i="3"/>
  <c r="V1867" i="3" s="1"/>
  <c r="L1868" i="3"/>
  <c r="M1868" i="3"/>
  <c r="N1868" i="3"/>
  <c r="P1868" i="3"/>
  <c r="Q1868" i="3"/>
  <c r="R1868" i="3"/>
  <c r="S1868" i="3" s="1"/>
  <c r="T1868" i="3" s="1"/>
  <c r="U1868" i="3"/>
  <c r="V1868" i="3" s="1"/>
  <c r="L1869" i="3"/>
  <c r="M1869" i="3"/>
  <c r="N1869" i="3"/>
  <c r="P1869" i="3"/>
  <c r="Q1869" i="3"/>
  <c r="R1869" i="3"/>
  <c r="S1869" i="3" s="1"/>
  <c r="T1869" i="3" s="1"/>
  <c r="U1869" i="3"/>
  <c r="V1869" i="3" s="1"/>
  <c r="L1870" i="3"/>
  <c r="M1870" i="3"/>
  <c r="N1870" i="3"/>
  <c r="P1870" i="3"/>
  <c r="Q1870" i="3"/>
  <c r="R1870" i="3"/>
  <c r="S1870" i="3" s="1"/>
  <c r="T1870" i="3" s="1"/>
  <c r="U1870" i="3"/>
  <c r="V1870" i="3" s="1"/>
  <c r="L1871" i="3"/>
  <c r="M1871" i="3"/>
  <c r="N1871" i="3"/>
  <c r="P1871" i="3"/>
  <c r="Q1871" i="3"/>
  <c r="R1871" i="3"/>
  <c r="S1871" i="3" s="1"/>
  <c r="T1871" i="3" s="1"/>
  <c r="U1871" i="3"/>
  <c r="V1871" i="3" s="1"/>
  <c r="L1872" i="3"/>
  <c r="M1872" i="3"/>
  <c r="N1872" i="3"/>
  <c r="P1872" i="3"/>
  <c r="Q1872" i="3"/>
  <c r="R1872" i="3"/>
  <c r="S1872" i="3" s="1"/>
  <c r="T1872" i="3" s="1"/>
  <c r="U1872" i="3"/>
  <c r="V1872" i="3" s="1"/>
  <c r="L1873" i="3"/>
  <c r="M1873" i="3"/>
  <c r="N1873" i="3"/>
  <c r="P1873" i="3"/>
  <c r="Q1873" i="3"/>
  <c r="R1873" i="3"/>
  <c r="S1873" i="3" s="1"/>
  <c r="T1873" i="3" s="1"/>
  <c r="U1873" i="3"/>
  <c r="V1873" i="3" s="1"/>
  <c r="L1874" i="3"/>
  <c r="M1874" i="3"/>
  <c r="N1874" i="3"/>
  <c r="P1874" i="3"/>
  <c r="Q1874" i="3"/>
  <c r="R1874" i="3"/>
  <c r="S1874" i="3" s="1"/>
  <c r="T1874" i="3" s="1"/>
  <c r="U1874" i="3"/>
  <c r="V1874" i="3" s="1"/>
  <c r="L1875" i="3"/>
  <c r="M1875" i="3"/>
  <c r="N1875" i="3"/>
  <c r="P1875" i="3"/>
  <c r="Q1875" i="3"/>
  <c r="R1875" i="3"/>
  <c r="S1875" i="3" s="1"/>
  <c r="T1875" i="3" s="1"/>
  <c r="U1875" i="3"/>
  <c r="V1875" i="3" s="1"/>
  <c r="L1876" i="3"/>
  <c r="M1876" i="3"/>
  <c r="N1876" i="3"/>
  <c r="P1876" i="3"/>
  <c r="Q1876" i="3"/>
  <c r="R1876" i="3"/>
  <c r="S1876" i="3" s="1"/>
  <c r="T1876" i="3" s="1"/>
  <c r="U1876" i="3"/>
  <c r="V1876" i="3" s="1"/>
  <c r="L1877" i="3"/>
  <c r="M1877" i="3"/>
  <c r="N1877" i="3"/>
  <c r="P1877" i="3"/>
  <c r="Q1877" i="3"/>
  <c r="R1877" i="3"/>
  <c r="S1877" i="3" s="1"/>
  <c r="T1877" i="3" s="1"/>
  <c r="U1877" i="3"/>
  <c r="V1877" i="3" s="1"/>
  <c r="L1878" i="3"/>
  <c r="M1878" i="3"/>
  <c r="N1878" i="3"/>
  <c r="P1878" i="3"/>
  <c r="Q1878" i="3"/>
  <c r="R1878" i="3"/>
  <c r="S1878" i="3" s="1"/>
  <c r="T1878" i="3" s="1"/>
  <c r="U1878" i="3"/>
  <c r="V1878" i="3" s="1"/>
  <c r="L1879" i="3"/>
  <c r="M1879" i="3"/>
  <c r="N1879" i="3"/>
  <c r="P1879" i="3"/>
  <c r="Q1879" i="3"/>
  <c r="R1879" i="3"/>
  <c r="S1879" i="3" s="1"/>
  <c r="T1879" i="3" s="1"/>
  <c r="U1879" i="3"/>
  <c r="V1879" i="3" s="1"/>
  <c r="L1880" i="3"/>
  <c r="M1880" i="3"/>
  <c r="N1880" i="3"/>
  <c r="P1880" i="3"/>
  <c r="Q1880" i="3"/>
  <c r="R1880" i="3"/>
  <c r="S1880" i="3" s="1"/>
  <c r="T1880" i="3" s="1"/>
  <c r="U1880" i="3"/>
  <c r="V1880" i="3" s="1"/>
  <c r="L1881" i="3"/>
  <c r="M1881" i="3"/>
  <c r="N1881" i="3"/>
  <c r="P1881" i="3"/>
  <c r="Q1881" i="3"/>
  <c r="R1881" i="3"/>
  <c r="S1881" i="3" s="1"/>
  <c r="T1881" i="3" s="1"/>
  <c r="U1881" i="3"/>
  <c r="V1881" i="3" s="1"/>
  <c r="L1882" i="3"/>
  <c r="M1882" i="3"/>
  <c r="N1882" i="3"/>
  <c r="P1882" i="3"/>
  <c r="Q1882" i="3"/>
  <c r="R1882" i="3"/>
  <c r="S1882" i="3" s="1"/>
  <c r="T1882" i="3" s="1"/>
  <c r="U1882" i="3"/>
  <c r="V1882" i="3" s="1"/>
  <c r="L1883" i="3"/>
  <c r="M1883" i="3"/>
  <c r="N1883" i="3"/>
  <c r="P1883" i="3"/>
  <c r="Q1883" i="3"/>
  <c r="R1883" i="3"/>
  <c r="S1883" i="3" s="1"/>
  <c r="T1883" i="3" s="1"/>
  <c r="U1883" i="3"/>
  <c r="V1883" i="3" s="1"/>
  <c r="L1884" i="3"/>
  <c r="M1884" i="3"/>
  <c r="N1884" i="3"/>
  <c r="P1884" i="3"/>
  <c r="Q1884" i="3"/>
  <c r="R1884" i="3"/>
  <c r="S1884" i="3" s="1"/>
  <c r="T1884" i="3" s="1"/>
  <c r="U1884" i="3"/>
  <c r="V1884" i="3" s="1"/>
  <c r="L1885" i="3"/>
  <c r="M1885" i="3"/>
  <c r="N1885" i="3"/>
  <c r="P1885" i="3"/>
  <c r="Q1885" i="3"/>
  <c r="R1885" i="3"/>
  <c r="S1885" i="3" s="1"/>
  <c r="T1885" i="3" s="1"/>
  <c r="U1885" i="3"/>
  <c r="V1885" i="3" s="1"/>
  <c r="L1886" i="3"/>
  <c r="M1886" i="3"/>
  <c r="N1886" i="3"/>
  <c r="P1886" i="3"/>
  <c r="Q1886" i="3"/>
  <c r="R1886" i="3"/>
  <c r="S1886" i="3" s="1"/>
  <c r="T1886" i="3" s="1"/>
  <c r="U1886" i="3"/>
  <c r="V1886" i="3" s="1"/>
  <c r="L1887" i="3"/>
  <c r="M1887" i="3"/>
  <c r="N1887" i="3"/>
  <c r="P1887" i="3"/>
  <c r="Q1887" i="3"/>
  <c r="R1887" i="3"/>
  <c r="S1887" i="3" s="1"/>
  <c r="T1887" i="3" s="1"/>
  <c r="U1887" i="3"/>
  <c r="V1887" i="3" s="1"/>
  <c r="L1888" i="3"/>
  <c r="M1888" i="3"/>
  <c r="N1888" i="3"/>
  <c r="P1888" i="3"/>
  <c r="Q1888" i="3"/>
  <c r="R1888" i="3"/>
  <c r="S1888" i="3" s="1"/>
  <c r="T1888" i="3" s="1"/>
  <c r="U1888" i="3"/>
  <c r="V1888" i="3" s="1"/>
  <c r="L1889" i="3"/>
  <c r="M1889" i="3"/>
  <c r="N1889" i="3"/>
  <c r="P1889" i="3"/>
  <c r="Q1889" i="3"/>
  <c r="R1889" i="3"/>
  <c r="S1889" i="3" s="1"/>
  <c r="T1889" i="3" s="1"/>
  <c r="U1889" i="3"/>
  <c r="V1889" i="3" s="1"/>
  <c r="L1890" i="3"/>
  <c r="M1890" i="3"/>
  <c r="N1890" i="3"/>
  <c r="P1890" i="3"/>
  <c r="Q1890" i="3"/>
  <c r="R1890" i="3"/>
  <c r="S1890" i="3" s="1"/>
  <c r="T1890" i="3" s="1"/>
  <c r="U1890" i="3"/>
  <c r="V1890" i="3" s="1"/>
  <c r="L1891" i="3"/>
  <c r="M1891" i="3"/>
  <c r="N1891" i="3"/>
  <c r="P1891" i="3"/>
  <c r="Q1891" i="3"/>
  <c r="R1891" i="3"/>
  <c r="S1891" i="3" s="1"/>
  <c r="T1891" i="3" s="1"/>
  <c r="U1891" i="3"/>
  <c r="V1891" i="3" s="1"/>
  <c r="L1892" i="3"/>
  <c r="M1892" i="3"/>
  <c r="N1892" i="3"/>
  <c r="P1892" i="3"/>
  <c r="Q1892" i="3"/>
  <c r="R1892" i="3"/>
  <c r="S1892" i="3" s="1"/>
  <c r="T1892" i="3" s="1"/>
  <c r="U1892" i="3"/>
  <c r="V1892" i="3" s="1"/>
  <c r="L1893" i="3"/>
  <c r="M1893" i="3"/>
  <c r="N1893" i="3"/>
  <c r="P1893" i="3"/>
  <c r="Q1893" i="3"/>
  <c r="R1893" i="3"/>
  <c r="S1893" i="3"/>
  <c r="T1893" i="3" s="1"/>
  <c r="U1893" i="3"/>
  <c r="V1893" i="3" s="1"/>
  <c r="L1894" i="3"/>
  <c r="M1894" i="3"/>
  <c r="N1894" i="3"/>
  <c r="P1894" i="3"/>
  <c r="Q1894" i="3"/>
  <c r="R1894" i="3"/>
  <c r="S1894" i="3" s="1"/>
  <c r="T1894" i="3" s="1"/>
  <c r="U1894" i="3"/>
  <c r="V1894" i="3" s="1"/>
  <c r="L1895" i="3"/>
  <c r="M1895" i="3"/>
  <c r="N1895" i="3"/>
  <c r="P1895" i="3"/>
  <c r="Q1895" i="3"/>
  <c r="R1895" i="3"/>
  <c r="S1895" i="3" s="1"/>
  <c r="T1895" i="3" s="1"/>
  <c r="U1895" i="3"/>
  <c r="V1895" i="3" s="1"/>
  <c r="L1896" i="3"/>
  <c r="M1896" i="3"/>
  <c r="N1896" i="3"/>
  <c r="P1896" i="3"/>
  <c r="Q1896" i="3"/>
  <c r="R1896" i="3"/>
  <c r="S1896" i="3" s="1"/>
  <c r="T1896" i="3" s="1"/>
  <c r="U1896" i="3"/>
  <c r="V1896" i="3" s="1"/>
  <c r="L1897" i="3"/>
  <c r="M1897" i="3"/>
  <c r="N1897" i="3"/>
  <c r="P1897" i="3"/>
  <c r="Q1897" i="3"/>
  <c r="R1897" i="3"/>
  <c r="S1897" i="3" s="1"/>
  <c r="T1897" i="3" s="1"/>
  <c r="U1897" i="3"/>
  <c r="V1897" i="3" s="1"/>
  <c r="L1898" i="3"/>
  <c r="M1898" i="3"/>
  <c r="N1898" i="3"/>
  <c r="P1898" i="3"/>
  <c r="Q1898" i="3"/>
  <c r="R1898" i="3"/>
  <c r="S1898" i="3" s="1"/>
  <c r="T1898" i="3" s="1"/>
  <c r="U1898" i="3"/>
  <c r="V1898" i="3" s="1"/>
  <c r="L1899" i="3"/>
  <c r="M1899" i="3"/>
  <c r="N1899" i="3"/>
  <c r="P1899" i="3"/>
  <c r="Q1899" i="3"/>
  <c r="R1899" i="3"/>
  <c r="S1899" i="3"/>
  <c r="T1899" i="3" s="1"/>
  <c r="U1899" i="3"/>
  <c r="V1899" i="3" s="1"/>
  <c r="L1900" i="3"/>
  <c r="M1900" i="3"/>
  <c r="N1900" i="3"/>
  <c r="P1900" i="3"/>
  <c r="Q1900" i="3"/>
  <c r="R1900" i="3"/>
  <c r="S1900" i="3" s="1"/>
  <c r="T1900" i="3"/>
  <c r="U1900" i="3"/>
  <c r="V1900" i="3" s="1"/>
  <c r="L1901" i="3"/>
  <c r="M1901" i="3"/>
  <c r="N1901" i="3"/>
  <c r="P1901" i="3"/>
  <c r="Q1901" i="3"/>
  <c r="R1901" i="3"/>
  <c r="S1901" i="3" s="1"/>
  <c r="T1901" i="3" s="1"/>
  <c r="U1901" i="3"/>
  <c r="V1901" i="3" s="1"/>
  <c r="L1902" i="3"/>
  <c r="M1902" i="3"/>
  <c r="N1902" i="3"/>
  <c r="P1902" i="3"/>
  <c r="Q1902" i="3"/>
  <c r="R1902" i="3"/>
  <c r="S1902" i="3" s="1"/>
  <c r="T1902" i="3" s="1"/>
  <c r="U1902" i="3"/>
  <c r="V1902" i="3" s="1"/>
  <c r="L1903" i="3"/>
  <c r="M1903" i="3"/>
  <c r="N1903" i="3"/>
  <c r="P1903" i="3"/>
  <c r="Q1903" i="3"/>
  <c r="R1903" i="3"/>
  <c r="S1903" i="3" s="1"/>
  <c r="T1903" i="3" s="1"/>
  <c r="U1903" i="3"/>
  <c r="V1903" i="3" s="1"/>
  <c r="L1904" i="3"/>
  <c r="M1904" i="3"/>
  <c r="N1904" i="3"/>
  <c r="P1904" i="3"/>
  <c r="Q1904" i="3"/>
  <c r="R1904" i="3"/>
  <c r="S1904" i="3" s="1"/>
  <c r="T1904" i="3" s="1"/>
  <c r="U1904" i="3"/>
  <c r="V1904" i="3" s="1"/>
  <c r="L1905" i="3"/>
  <c r="M1905" i="3"/>
  <c r="N1905" i="3"/>
  <c r="P1905" i="3"/>
  <c r="Q1905" i="3"/>
  <c r="R1905" i="3"/>
  <c r="S1905" i="3" s="1"/>
  <c r="T1905" i="3" s="1"/>
  <c r="U1905" i="3"/>
  <c r="V1905" i="3" s="1"/>
  <c r="L1906" i="3"/>
  <c r="M1906" i="3"/>
  <c r="N1906" i="3"/>
  <c r="P1906" i="3"/>
  <c r="Q1906" i="3"/>
  <c r="R1906" i="3"/>
  <c r="S1906" i="3" s="1"/>
  <c r="T1906" i="3" s="1"/>
  <c r="U1906" i="3"/>
  <c r="V1906" i="3" s="1"/>
  <c r="L1907" i="3"/>
  <c r="M1907" i="3"/>
  <c r="N1907" i="3"/>
  <c r="P1907" i="3"/>
  <c r="Q1907" i="3"/>
  <c r="R1907" i="3"/>
  <c r="S1907" i="3" s="1"/>
  <c r="T1907" i="3" s="1"/>
  <c r="U1907" i="3"/>
  <c r="V1907" i="3" s="1"/>
  <c r="L1908" i="3"/>
  <c r="M1908" i="3"/>
  <c r="N1908" i="3"/>
  <c r="P1908" i="3"/>
  <c r="Q1908" i="3"/>
  <c r="R1908" i="3"/>
  <c r="S1908" i="3" s="1"/>
  <c r="T1908" i="3" s="1"/>
  <c r="U1908" i="3"/>
  <c r="V1908" i="3" s="1"/>
  <c r="L1909" i="3"/>
  <c r="M1909" i="3"/>
  <c r="N1909" i="3"/>
  <c r="P1909" i="3"/>
  <c r="Q1909" i="3"/>
  <c r="R1909" i="3"/>
  <c r="S1909" i="3" s="1"/>
  <c r="T1909" i="3" s="1"/>
  <c r="U1909" i="3"/>
  <c r="V1909" i="3" s="1"/>
  <c r="L1910" i="3"/>
  <c r="M1910" i="3"/>
  <c r="N1910" i="3"/>
  <c r="P1910" i="3"/>
  <c r="Q1910" i="3"/>
  <c r="R1910" i="3"/>
  <c r="S1910" i="3" s="1"/>
  <c r="T1910" i="3" s="1"/>
  <c r="U1910" i="3"/>
  <c r="V1910" i="3" s="1"/>
  <c r="L1911" i="3"/>
  <c r="M1911" i="3"/>
  <c r="N1911" i="3"/>
  <c r="P1911" i="3"/>
  <c r="Q1911" i="3"/>
  <c r="R1911" i="3"/>
  <c r="S1911" i="3" s="1"/>
  <c r="T1911" i="3" s="1"/>
  <c r="U1911" i="3"/>
  <c r="V1911" i="3" s="1"/>
  <c r="L1912" i="3"/>
  <c r="M1912" i="3"/>
  <c r="N1912" i="3"/>
  <c r="P1912" i="3"/>
  <c r="Q1912" i="3"/>
  <c r="R1912" i="3"/>
  <c r="S1912" i="3" s="1"/>
  <c r="T1912" i="3" s="1"/>
  <c r="U1912" i="3"/>
  <c r="V1912" i="3" s="1"/>
  <c r="L1913" i="3"/>
  <c r="M1913" i="3"/>
  <c r="N1913" i="3"/>
  <c r="P1913" i="3"/>
  <c r="Q1913" i="3"/>
  <c r="R1913" i="3"/>
  <c r="S1913" i="3" s="1"/>
  <c r="T1913" i="3" s="1"/>
  <c r="U1913" i="3"/>
  <c r="V1913" i="3" s="1"/>
  <c r="L1914" i="3"/>
  <c r="M1914" i="3"/>
  <c r="N1914" i="3"/>
  <c r="P1914" i="3"/>
  <c r="Q1914" i="3"/>
  <c r="R1914" i="3"/>
  <c r="S1914" i="3" s="1"/>
  <c r="T1914" i="3" s="1"/>
  <c r="U1914" i="3"/>
  <c r="V1914" i="3" s="1"/>
  <c r="L1915" i="3"/>
  <c r="M1915" i="3"/>
  <c r="N1915" i="3"/>
  <c r="P1915" i="3"/>
  <c r="Q1915" i="3"/>
  <c r="R1915" i="3"/>
  <c r="S1915" i="3" s="1"/>
  <c r="T1915" i="3" s="1"/>
  <c r="U1915" i="3"/>
  <c r="V1915" i="3" s="1"/>
  <c r="L1916" i="3"/>
  <c r="M1916" i="3"/>
  <c r="N1916" i="3"/>
  <c r="P1916" i="3"/>
  <c r="Q1916" i="3"/>
  <c r="R1916" i="3"/>
  <c r="S1916" i="3" s="1"/>
  <c r="T1916" i="3" s="1"/>
  <c r="U1916" i="3"/>
  <c r="V1916" i="3" s="1"/>
  <c r="L1917" i="3"/>
  <c r="M1917" i="3"/>
  <c r="N1917" i="3"/>
  <c r="P1917" i="3"/>
  <c r="Q1917" i="3"/>
  <c r="R1917" i="3"/>
  <c r="S1917" i="3" s="1"/>
  <c r="T1917" i="3" s="1"/>
  <c r="U1917" i="3"/>
  <c r="V1917" i="3" s="1"/>
  <c r="L1918" i="3"/>
  <c r="M1918" i="3"/>
  <c r="N1918" i="3"/>
  <c r="P1918" i="3"/>
  <c r="Q1918" i="3"/>
  <c r="R1918" i="3"/>
  <c r="S1918" i="3" s="1"/>
  <c r="T1918" i="3" s="1"/>
  <c r="U1918" i="3"/>
  <c r="V1918" i="3" s="1"/>
  <c r="L1919" i="3"/>
  <c r="M1919" i="3"/>
  <c r="N1919" i="3"/>
  <c r="P1919" i="3"/>
  <c r="Q1919" i="3"/>
  <c r="R1919" i="3"/>
  <c r="S1919" i="3" s="1"/>
  <c r="T1919" i="3" s="1"/>
  <c r="U1919" i="3"/>
  <c r="V1919" i="3" s="1"/>
  <c r="L1920" i="3"/>
  <c r="M1920" i="3"/>
  <c r="N1920" i="3"/>
  <c r="P1920" i="3"/>
  <c r="Q1920" i="3"/>
  <c r="R1920" i="3"/>
  <c r="S1920" i="3" s="1"/>
  <c r="T1920" i="3" s="1"/>
  <c r="U1920" i="3"/>
  <c r="V1920" i="3" s="1"/>
  <c r="L1921" i="3"/>
  <c r="M1921" i="3"/>
  <c r="N1921" i="3"/>
  <c r="P1921" i="3"/>
  <c r="Q1921" i="3"/>
  <c r="R1921" i="3"/>
  <c r="S1921" i="3" s="1"/>
  <c r="T1921" i="3" s="1"/>
  <c r="U1921" i="3"/>
  <c r="V1921" i="3" s="1"/>
  <c r="L1922" i="3"/>
  <c r="M1922" i="3"/>
  <c r="N1922" i="3"/>
  <c r="P1922" i="3"/>
  <c r="Q1922" i="3"/>
  <c r="R1922" i="3"/>
  <c r="S1922" i="3"/>
  <c r="T1922" i="3" s="1"/>
  <c r="U1922" i="3"/>
  <c r="V1922" i="3" s="1"/>
  <c r="L1923" i="3"/>
  <c r="M1923" i="3"/>
  <c r="N1923" i="3"/>
  <c r="P1923" i="3"/>
  <c r="Q1923" i="3"/>
  <c r="R1923" i="3"/>
  <c r="S1923" i="3" s="1"/>
  <c r="T1923" i="3" s="1"/>
  <c r="U1923" i="3"/>
  <c r="V1923" i="3" s="1"/>
  <c r="L1924" i="3"/>
  <c r="M1924" i="3"/>
  <c r="N1924" i="3"/>
  <c r="P1924" i="3"/>
  <c r="Q1924" i="3"/>
  <c r="R1924" i="3"/>
  <c r="S1924" i="3" s="1"/>
  <c r="T1924" i="3" s="1"/>
  <c r="U1924" i="3"/>
  <c r="V1924" i="3" s="1"/>
  <c r="L1925" i="3"/>
  <c r="M1925" i="3"/>
  <c r="N1925" i="3"/>
  <c r="P1925" i="3"/>
  <c r="Q1925" i="3"/>
  <c r="R1925" i="3"/>
  <c r="S1925" i="3"/>
  <c r="T1925" i="3" s="1"/>
  <c r="U1925" i="3"/>
  <c r="V1925" i="3" s="1"/>
  <c r="L1926" i="3"/>
  <c r="M1926" i="3"/>
  <c r="N1926" i="3"/>
  <c r="P1926" i="3"/>
  <c r="Q1926" i="3"/>
  <c r="R1926" i="3"/>
  <c r="S1926" i="3" s="1"/>
  <c r="T1926" i="3" s="1"/>
  <c r="U1926" i="3"/>
  <c r="V1926" i="3" s="1"/>
  <c r="L1927" i="3"/>
  <c r="M1927" i="3"/>
  <c r="N1927" i="3"/>
  <c r="P1927" i="3"/>
  <c r="Q1927" i="3"/>
  <c r="R1927" i="3"/>
  <c r="S1927" i="3"/>
  <c r="T1927" i="3" s="1"/>
  <c r="U1927" i="3"/>
  <c r="V1927" i="3" s="1"/>
  <c r="L1928" i="3"/>
  <c r="M1928" i="3"/>
  <c r="N1928" i="3"/>
  <c r="P1928" i="3"/>
  <c r="Q1928" i="3"/>
  <c r="R1928" i="3"/>
  <c r="S1928" i="3" s="1"/>
  <c r="T1928" i="3" s="1"/>
  <c r="U1928" i="3"/>
  <c r="V1928" i="3" s="1"/>
  <c r="L1929" i="3"/>
  <c r="M1929" i="3"/>
  <c r="N1929" i="3"/>
  <c r="P1929" i="3"/>
  <c r="Q1929" i="3"/>
  <c r="R1929" i="3"/>
  <c r="S1929" i="3" s="1"/>
  <c r="T1929" i="3" s="1"/>
  <c r="U1929" i="3"/>
  <c r="V1929" i="3" s="1"/>
  <c r="L1930" i="3"/>
  <c r="M1930" i="3"/>
  <c r="N1930" i="3"/>
  <c r="P1930" i="3"/>
  <c r="Q1930" i="3"/>
  <c r="R1930" i="3"/>
  <c r="S1930" i="3" s="1"/>
  <c r="T1930" i="3" s="1"/>
  <c r="U1930" i="3"/>
  <c r="V1930" i="3" s="1"/>
  <c r="L1931" i="3"/>
  <c r="M1931" i="3"/>
  <c r="N1931" i="3"/>
  <c r="P1931" i="3"/>
  <c r="Q1931" i="3"/>
  <c r="R1931" i="3"/>
  <c r="S1931" i="3" s="1"/>
  <c r="T1931" i="3" s="1"/>
  <c r="U1931" i="3"/>
  <c r="V1931" i="3" s="1"/>
  <c r="L1932" i="3"/>
  <c r="M1932" i="3"/>
  <c r="N1932" i="3"/>
  <c r="P1932" i="3"/>
  <c r="Q1932" i="3"/>
  <c r="R1932" i="3"/>
  <c r="S1932" i="3" s="1"/>
  <c r="T1932" i="3" s="1"/>
  <c r="U1932" i="3"/>
  <c r="V1932" i="3" s="1"/>
  <c r="L1933" i="3"/>
  <c r="M1933" i="3"/>
  <c r="N1933" i="3"/>
  <c r="P1933" i="3"/>
  <c r="Q1933" i="3"/>
  <c r="R1933" i="3"/>
  <c r="S1933" i="3" s="1"/>
  <c r="T1933" i="3" s="1"/>
  <c r="U1933" i="3"/>
  <c r="V1933" i="3" s="1"/>
  <c r="L1934" i="3"/>
  <c r="M1934" i="3"/>
  <c r="N1934" i="3"/>
  <c r="P1934" i="3"/>
  <c r="Q1934" i="3"/>
  <c r="R1934" i="3"/>
  <c r="S1934" i="3" s="1"/>
  <c r="T1934" i="3" s="1"/>
  <c r="U1934" i="3"/>
  <c r="V1934" i="3" s="1"/>
  <c r="L1935" i="3"/>
  <c r="M1935" i="3"/>
  <c r="N1935" i="3"/>
  <c r="P1935" i="3"/>
  <c r="Q1935" i="3"/>
  <c r="R1935" i="3"/>
  <c r="S1935" i="3" s="1"/>
  <c r="T1935" i="3" s="1"/>
  <c r="U1935" i="3"/>
  <c r="V1935" i="3" s="1"/>
  <c r="L1936" i="3"/>
  <c r="M1936" i="3"/>
  <c r="N1936" i="3"/>
  <c r="P1936" i="3"/>
  <c r="Q1936" i="3"/>
  <c r="R1936" i="3"/>
  <c r="S1936" i="3" s="1"/>
  <c r="T1936" i="3" s="1"/>
  <c r="U1936" i="3"/>
  <c r="V1936" i="3" s="1"/>
  <c r="L1937" i="3"/>
  <c r="M1937" i="3"/>
  <c r="N1937" i="3"/>
  <c r="P1937" i="3"/>
  <c r="Q1937" i="3"/>
  <c r="R1937" i="3"/>
  <c r="S1937" i="3" s="1"/>
  <c r="T1937" i="3" s="1"/>
  <c r="U1937" i="3"/>
  <c r="V1937" i="3" s="1"/>
  <c r="L1938" i="3"/>
  <c r="M1938" i="3"/>
  <c r="N1938" i="3"/>
  <c r="P1938" i="3"/>
  <c r="Q1938" i="3"/>
  <c r="R1938" i="3"/>
  <c r="S1938" i="3" s="1"/>
  <c r="T1938" i="3" s="1"/>
  <c r="U1938" i="3"/>
  <c r="V1938" i="3" s="1"/>
  <c r="L1939" i="3"/>
  <c r="M1939" i="3"/>
  <c r="N1939" i="3"/>
  <c r="P1939" i="3"/>
  <c r="Q1939" i="3"/>
  <c r="R1939" i="3"/>
  <c r="S1939" i="3" s="1"/>
  <c r="T1939" i="3" s="1"/>
  <c r="U1939" i="3"/>
  <c r="V1939" i="3" s="1"/>
  <c r="L1940" i="3"/>
  <c r="M1940" i="3"/>
  <c r="N1940" i="3"/>
  <c r="P1940" i="3"/>
  <c r="Q1940" i="3"/>
  <c r="R1940" i="3"/>
  <c r="S1940" i="3" s="1"/>
  <c r="T1940" i="3" s="1"/>
  <c r="U1940" i="3"/>
  <c r="V1940" i="3" s="1"/>
  <c r="L1941" i="3"/>
  <c r="M1941" i="3"/>
  <c r="N1941" i="3"/>
  <c r="P1941" i="3"/>
  <c r="Q1941" i="3"/>
  <c r="R1941" i="3"/>
  <c r="S1941" i="3" s="1"/>
  <c r="T1941" i="3" s="1"/>
  <c r="U1941" i="3"/>
  <c r="V1941" i="3" s="1"/>
  <c r="L1942" i="3"/>
  <c r="M1942" i="3"/>
  <c r="N1942" i="3"/>
  <c r="P1942" i="3"/>
  <c r="Q1942" i="3"/>
  <c r="R1942" i="3"/>
  <c r="S1942" i="3" s="1"/>
  <c r="T1942" i="3" s="1"/>
  <c r="U1942" i="3"/>
  <c r="V1942" i="3" s="1"/>
  <c r="L1943" i="3"/>
  <c r="M1943" i="3"/>
  <c r="N1943" i="3"/>
  <c r="P1943" i="3"/>
  <c r="Q1943" i="3"/>
  <c r="R1943" i="3"/>
  <c r="S1943" i="3" s="1"/>
  <c r="T1943" i="3" s="1"/>
  <c r="U1943" i="3"/>
  <c r="V1943" i="3" s="1"/>
  <c r="L1944" i="3"/>
  <c r="M1944" i="3"/>
  <c r="N1944" i="3"/>
  <c r="P1944" i="3"/>
  <c r="Q1944" i="3"/>
  <c r="R1944" i="3"/>
  <c r="S1944" i="3" s="1"/>
  <c r="T1944" i="3" s="1"/>
  <c r="U1944" i="3"/>
  <c r="V1944" i="3" s="1"/>
  <c r="L1945" i="3"/>
  <c r="M1945" i="3"/>
  <c r="N1945" i="3"/>
  <c r="P1945" i="3"/>
  <c r="Q1945" i="3"/>
  <c r="R1945" i="3"/>
  <c r="S1945" i="3" s="1"/>
  <c r="T1945" i="3" s="1"/>
  <c r="U1945" i="3"/>
  <c r="V1945" i="3" s="1"/>
  <c r="L1946" i="3"/>
  <c r="M1946" i="3"/>
  <c r="N1946" i="3"/>
  <c r="P1946" i="3"/>
  <c r="Q1946" i="3"/>
  <c r="R1946" i="3"/>
  <c r="S1946" i="3" s="1"/>
  <c r="T1946" i="3" s="1"/>
  <c r="U1946" i="3"/>
  <c r="V1946" i="3" s="1"/>
  <c r="L1947" i="3"/>
  <c r="M1947" i="3"/>
  <c r="N1947" i="3"/>
  <c r="P1947" i="3"/>
  <c r="Q1947" i="3"/>
  <c r="R1947" i="3"/>
  <c r="S1947" i="3" s="1"/>
  <c r="T1947" i="3" s="1"/>
  <c r="U1947" i="3"/>
  <c r="V1947" i="3" s="1"/>
  <c r="L1948" i="3"/>
  <c r="M1948" i="3"/>
  <c r="N1948" i="3"/>
  <c r="P1948" i="3"/>
  <c r="Q1948" i="3"/>
  <c r="R1948" i="3"/>
  <c r="S1948" i="3" s="1"/>
  <c r="T1948" i="3" s="1"/>
  <c r="U1948" i="3"/>
  <c r="V1948" i="3" s="1"/>
  <c r="L1949" i="3"/>
  <c r="M1949" i="3"/>
  <c r="N1949" i="3"/>
  <c r="P1949" i="3"/>
  <c r="Q1949" i="3"/>
  <c r="R1949" i="3"/>
  <c r="S1949" i="3" s="1"/>
  <c r="T1949" i="3" s="1"/>
  <c r="U1949" i="3"/>
  <c r="V1949" i="3" s="1"/>
  <c r="L1950" i="3"/>
  <c r="M1950" i="3"/>
  <c r="N1950" i="3"/>
  <c r="P1950" i="3"/>
  <c r="Q1950" i="3"/>
  <c r="R1950" i="3"/>
  <c r="S1950" i="3" s="1"/>
  <c r="T1950" i="3" s="1"/>
  <c r="U1950" i="3"/>
  <c r="V1950" i="3" s="1"/>
  <c r="L1951" i="3"/>
  <c r="M1951" i="3"/>
  <c r="N1951" i="3"/>
  <c r="P1951" i="3"/>
  <c r="Q1951" i="3"/>
  <c r="R1951" i="3"/>
  <c r="S1951" i="3" s="1"/>
  <c r="T1951" i="3" s="1"/>
  <c r="U1951" i="3"/>
  <c r="V1951" i="3" s="1"/>
  <c r="L1952" i="3"/>
  <c r="M1952" i="3"/>
  <c r="N1952" i="3"/>
  <c r="P1952" i="3"/>
  <c r="Q1952" i="3"/>
  <c r="R1952" i="3"/>
  <c r="S1952" i="3" s="1"/>
  <c r="T1952" i="3" s="1"/>
  <c r="U1952" i="3"/>
  <c r="V1952" i="3" s="1"/>
  <c r="L1953" i="3"/>
  <c r="M1953" i="3"/>
  <c r="N1953" i="3"/>
  <c r="P1953" i="3"/>
  <c r="Q1953" i="3"/>
  <c r="R1953" i="3"/>
  <c r="S1953" i="3" s="1"/>
  <c r="T1953" i="3" s="1"/>
  <c r="U1953" i="3"/>
  <c r="V1953" i="3" s="1"/>
  <c r="L1954" i="3"/>
  <c r="M1954" i="3"/>
  <c r="N1954" i="3"/>
  <c r="P1954" i="3"/>
  <c r="Q1954" i="3"/>
  <c r="R1954" i="3"/>
  <c r="S1954" i="3" s="1"/>
  <c r="T1954" i="3" s="1"/>
  <c r="U1954" i="3"/>
  <c r="V1954" i="3"/>
  <c r="L1955" i="3"/>
  <c r="M1955" i="3"/>
  <c r="N1955" i="3"/>
  <c r="P1955" i="3"/>
  <c r="Q1955" i="3"/>
  <c r="R1955" i="3"/>
  <c r="S1955" i="3" s="1"/>
  <c r="T1955" i="3" s="1"/>
  <c r="U1955" i="3"/>
  <c r="V1955" i="3" s="1"/>
  <c r="L1956" i="3"/>
  <c r="M1956" i="3"/>
  <c r="N1956" i="3"/>
  <c r="P1956" i="3"/>
  <c r="Q1956" i="3"/>
  <c r="R1956" i="3"/>
  <c r="S1956" i="3" s="1"/>
  <c r="T1956" i="3" s="1"/>
  <c r="U1956" i="3"/>
  <c r="V1956" i="3" s="1"/>
  <c r="L1957" i="3"/>
  <c r="M1957" i="3"/>
  <c r="N1957" i="3"/>
  <c r="P1957" i="3"/>
  <c r="Q1957" i="3"/>
  <c r="R1957" i="3"/>
  <c r="S1957" i="3" s="1"/>
  <c r="T1957" i="3" s="1"/>
  <c r="U1957" i="3"/>
  <c r="V1957" i="3" s="1"/>
  <c r="L1958" i="3"/>
  <c r="M1958" i="3"/>
  <c r="N1958" i="3"/>
  <c r="P1958" i="3"/>
  <c r="Q1958" i="3"/>
  <c r="R1958" i="3"/>
  <c r="S1958" i="3" s="1"/>
  <c r="T1958" i="3" s="1"/>
  <c r="U1958" i="3"/>
  <c r="V1958" i="3"/>
  <c r="L1959" i="3"/>
  <c r="M1959" i="3"/>
  <c r="N1959" i="3"/>
  <c r="P1959" i="3"/>
  <c r="Q1959" i="3"/>
  <c r="R1959" i="3"/>
  <c r="S1959" i="3" s="1"/>
  <c r="T1959" i="3" s="1"/>
  <c r="U1959" i="3"/>
  <c r="V1959" i="3" s="1"/>
  <c r="L1960" i="3"/>
  <c r="M1960" i="3"/>
  <c r="N1960" i="3"/>
  <c r="P1960" i="3"/>
  <c r="Q1960" i="3"/>
  <c r="R1960" i="3"/>
  <c r="S1960" i="3" s="1"/>
  <c r="T1960" i="3" s="1"/>
  <c r="U1960" i="3"/>
  <c r="V1960" i="3"/>
  <c r="L1961" i="3"/>
  <c r="M1961" i="3"/>
  <c r="N1961" i="3"/>
  <c r="P1961" i="3"/>
  <c r="Q1961" i="3"/>
  <c r="R1961" i="3"/>
  <c r="S1961" i="3"/>
  <c r="T1961" i="3" s="1"/>
  <c r="U1961" i="3"/>
  <c r="V1961" i="3" s="1"/>
  <c r="L1962" i="3"/>
  <c r="M1962" i="3"/>
  <c r="N1962" i="3"/>
  <c r="P1962" i="3"/>
  <c r="Q1962" i="3"/>
  <c r="R1962" i="3"/>
  <c r="S1962" i="3" s="1"/>
  <c r="T1962" i="3" s="1"/>
  <c r="U1962" i="3"/>
  <c r="V1962" i="3" s="1"/>
  <c r="L1963" i="3"/>
  <c r="M1963" i="3"/>
  <c r="N1963" i="3"/>
  <c r="P1963" i="3"/>
  <c r="Q1963" i="3"/>
  <c r="R1963" i="3"/>
  <c r="S1963" i="3" s="1"/>
  <c r="T1963" i="3" s="1"/>
  <c r="U1963" i="3"/>
  <c r="V1963" i="3" s="1"/>
  <c r="L1964" i="3"/>
  <c r="M1964" i="3"/>
  <c r="N1964" i="3"/>
  <c r="P1964" i="3"/>
  <c r="Q1964" i="3"/>
  <c r="R1964" i="3"/>
  <c r="S1964" i="3" s="1"/>
  <c r="T1964" i="3" s="1"/>
  <c r="U1964" i="3"/>
  <c r="V1964" i="3" s="1"/>
  <c r="L1965" i="3"/>
  <c r="M1965" i="3"/>
  <c r="N1965" i="3"/>
  <c r="P1965" i="3"/>
  <c r="Q1965" i="3"/>
  <c r="R1965" i="3"/>
  <c r="S1965" i="3" s="1"/>
  <c r="T1965" i="3" s="1"/>
  <c r="U1965" i="3"/>
  <c r="V1965" i="3"/>
  <c r="L1966" i="3"/>
  <c r="M1966" i="3"/>
  <c r="N1966" i="3"/>
  <c r="P1966" i="3"/>
  <c r="Q1966" i="3"/>
  <c r="R1966" i="3"/>
  <c r="S1966" i="3" s="1"/>
  <c r="T1966" i="3" s="1"/>
  <c r="U1966" i="3"/>
  <c r="V1966" i="3" s="1"/>
  <c r="L1967" i="3"/>
  <c r="M1967" i="3"/>
  <c r="N1967" i="3"/>
  <c r="P1967" i="3"/>
  <c r="Q1967" i="3"/>
  <c r="R1967" i="3"/>
  <c r="S1967" i="3" s="1"/>
  <c r="T1967" i="3" s="1"/>
  <c r="U1967" i="3"/>
  <c r="V1967" i="3" s="1"/>
  <c r="L1968" i="3"/>
  <c r="M1968" i="3"/>
  <c r="N1968" i="3"/>
  <c r="P1968" i="3"/>
  <c r="Q1968" i="3"/>
  <c r="R1968" i="3"/>
  <c r="S1968" i="3" s="1"/>
  <c r="T1968" i="3" s="1"/>
  <c r="U1968" i="3"/>
  <c r="V1968" i="3" s="1"/>
  <c r="L1969" i="3"/>
  <c r="M1969" i="3"/>
  <c r="N1969" i="3"/>
  <c r="P1969" i="3"/>
  <c r="Q1969" i="3"/>
  <c r="R1969" i="3"/>
  <c r="S1969" i="3" s="1"/>
  <c r="T1969" i="3" s="1"/>
  <c r="U1969" i="3"/>
  <c r="V1969" i="3" s="1"/>
  <c r="L1970" i="3"/>
  <c r="M1970" i="3"/>
  <c r="N1970" i="3"/>
  <c r="P1970" i="3"/>
  <c r="Q1970" i="3"/>
  <c r="R1970" i="3"/>
  <c r="S1970" i="3" s="1"/>
  <c r="T1970" i="3" s="1"/>
  <c r="U1970" i="3"/>
  <c r="V1970" i="3" s="1"/>
  <c r="L1971" i="3"/>
  <c r="M1971" i="3"/>
  <c r="N1971" i="3"/>
  <c r="P1971" i="3"/>
  <c r="Q1971" i="3"/>
  <c r="R1971" i="3"/>
  <c r="S1971" i="3"/>
  <c r="T1971" i="3" s="1"/>
  <c r="U1971" i="3"/>
  <c r="V1971" i="3" s="1"/>
  <c r="L1972" i="3"/>
  <c r="M1972" i="3"/>
  <c r="N1972" i="3"/>
  <c r="P1972" i="3"/>
  <c r="Q1972" i="3"/>
  <c r="R1972" i="3"/>
  <c r="S1972" i="3" s="1"/>
  <c r="T1972" i="3" s="1"/>
  <c r="U1972" i="3"/>
  <c r="V1972" i="3" s="1"/>
  <c r="L1973" i="3"/>
  <c r="M1973" i="3"/>
  <c r="N1973" i="3"/>
  <c r="P1973" i="3"/>
  <c r="Q1973" i="3"/>
  <c r="R1973" i="3"/>
  <c r="S1973" i="3" s="1"/>
  <c r="T1973" i="3" s="1"/>
  <c r="U1973" i="3"/>
  <c r="V1973" i="3" s="1"/>
  <c r="L1974" i="3"/>
  <c r="M1974" i="3"/>
  <c r="N1974" i="3"/>
  <c r="P1974" i="3"/>
  <c r="Q1974" i="3"/>
  <c r="R1974" i="3"/>
  <c r="S1974" i="3" s="1"/>
  <c r="T1974" i="3" s="1"/>
  <c r="U1974" i="3"/>
  <c r="V1974" i="3" s="1"/>
  <c r="L1975" i="3"/>
  <c r="M1975" i="3"/>
  <c r="N1975" i="3"/>
  <c r="P1975" i="3"/>
  <c r="Q1975" i="3"/>
  <c r="R1975" i="3"/>
  <c r="S1975" i="3" s="1"/>
  <c r="T1975" i="3" s="1"/>
  <c r="U1975" i="3"/>
  <c r="V1975" i="3" s="1"/>
  <c r="L1976" i="3"/>
  <c r="M1976" i="3"/>
  <c r="N1976" i="3"/>
  <c r="P1976" i="3"/>
  <c r="Q1976" i="3"/>
  <c r="R1976" i="3"/>
  <c r="S1976" i="3" s="1"/>
  <c r="T1976" i="3" s="1"/>
  <c r="U1976" i="3"/>
  <c r="V1976" i="3" s="1"/>
  <c r="L1977" i="3"/>
  <c r="M1977" i="3"/>
  <c r="N1977" i="3"/>
  <c r="P1977" i="3"/>
  <c r="Q1977" i="3"/>
  <c r="R1977" i="3"/>
  <c r="S1977" i="3" s="1"/>
  <c r="T1977" i="3" s="1"/>
  <c r="U1977" i="3"/>
  <c r="V1977" i="3" s="1"/>
  <c r="L1978" i="3"/>
  <c r="M1978" i="3"/>
  <c r="N1978" i="3"/>
  <c r="P1978" i="3"/>
  <c r="Q1978" i="3"/>
  <c r="R1978" i="3"/>
  <c r="S1978" i="3" s="1"/>
  <c r="T1978" i="3" s="1"/>
  <c r="U1978" i="3"/>
  <c r="V1978" i="3" s="1"/>
  <c r="L1979" i="3"/>
  <c r="M1979" i="3"/>
  <c r="N1979" i="3"/>
  <c r="P1979" i="3"/>
  <c r="Q1979" i="3"/>
  <c r="R1979" i="3"/>
  <c r="S1979" i="3" s="1"/>
  <c r="T1979" i="3" s="1"/>
  <c r="U1979" i="3"/>
  <c r="V1979" i="3" s="1"/>
  <c r="L1980" i="3"/>
  <c r="M1980" i="3"/>
  <c r="N1980" i="3"/>
  <c r="P1980" i="3"/>
  <c r="Q1980" i="3"/>
  <c r="R1980" i="3"/>
  <c r="S1980" i="3" s="1"/>
  <c r="T1980" i="3" s="1"/>
  <c r="U1980" i="3"/>
  <c r="V1980" i="3" s="1"/>
  <c r="L1981" i="3"/>
  <c r="M1981" i="3"/>
  <c r="N1981" i="3"/>
  <c r="P1981" i="3"/>
  <c r="Q1981" i="3"/>
  <c r="R1981" i="3"/>
  <c r="S1981" i="3" s="1"/>
  <c r="T1981" i="3" s="1"/>
  <c r="U1981" i="3"/>
  <c r="V1981" i="3" s="1"/>
  <c r="L1982" i="3"/>
  <c r="M1982" i="3"/>
  <c r="N1982" i="3"/>
  <c r="P1982" i="3"/>
  <c r="Q1982" i="3"/>
  <c r="R1982" i="3"/>
  <c r="S1982" i="3" s="1"/>
  <c r="T1982" i="3" s="1"/>
  <c r="U1982" i="3"/>
  <c r="V1982" i="3" s="1"/>
  <c r="L1983" i="3"/>
  <c r="M1983" i="3"/>
  <c r="N1983" i="3"/>
  <c r="P1983" i="3"/>
  <c r="Q1983" i="3"/>
  <c r="R1983" i="3"/>
  <c r="S1983" i="3" s="1"/>
  <c r="T1983" i="3" s="1"/>
  <c r="U1983" i="3"/>
  <c r="V1983" i="3" s="1"/>
  <c r="L1984" i="3"/>
  <c r="M1984" i="3"/>
  <c r="N1984" i="3"/>
  <c r="P1984" i="3"/>
  <c r="Q1984" i="3"/>
  <c r="R1984" i="3"/>
  <c r="S1984" i="3" s="1"/>
  <c r="T1984" i="3" s="1"/>
  <c r="U1984" i="3"/>
  <c r="V1984" i="3" s="1"/>
  <c r="L1985" i="3"/>
  <c r="M1985" i="3"/>
  <c r="N1985" i="3"/>
  <c r="P1985" i="3"/>
  <c r="Q1985" i="3"/>
  <c r="R1985" i="3"/>
  <c r="S1985" i="3" s="1"/>
  <c r="T1985" i="3" s="1"/>
  <c r="U1985" i="3"/>
  <c r="V1985" i="3" s="1"/>
  <c r="L1986" i="3"/>
  <c r="M1986" i="3"/>
  <c r="N1986" i="3"/>
  <c r="P1986" i="3"/>
  <c r="Q1986" i="3"/>
  <c r="R1986" i="3"/>
  <c r="S1986" i="3" s="1"/>
  <c r="T1986" i="3" s="1"/>
  <c r="U1986" i="3"/>
  <c r="V1986" i="3" s="1"/>
  <c r="L1987" i="3"/>
  <c r="M1987" i="3"/>
  <c r="N1987" i="3"/>
  <c r="P1987" i="3"/>
  <c r="Q1987" i="3"/>
  <c r="R1987" i="3"/>
  <c r="S1987" i="3"/>
  <c r="T1987" i="3" s="1"/>
  <c r="U1987" i="3"/>
  <c r="V1987" i="3" s="1"/>
  <c r="L1988" i="3"/>
  <c r="M1988" i="3"/>
  <c r="N1988" i="3"/>
  <c r="P1988" i="3"/>
  <c r="Q1988" i="3"/>
  <c r="R1988" i="3"/>
  <c r="S1988" i="3" s="1"/>
  <c r="T1988" i="3" s="1"/>
  <c r="U1988" i="3"/>
  <c r="V1988" i="3" s="1"/>
  <c r="L1989" i="3"/>
  <c r="M1989" i="3"/>
  <c r="N1989" i="3"/>
  <c r="P1989" i="3"/>
  <c r="Q1989" i="3"/>
  <c r="R1989" i="3"/>
  <c r="S1989" i="3" s="1"/>
  <c r="T1989" i="3" s="1"/>
  <c r="U1989" i="3"/>
  <c r="V1989" i="3" s="1"/>
  <c r="L1990" i="3"/>
  <c r="M1990" i="3"/>
  <c r="N1990" i="3"/>
  <c r="P1990" i="3"/>
  <c r="Q1990" i="3"/>
  <c r="R1990" i="3"/>
  <c r="S1990" i="3" s="1"/>
  <c r="T1990" i="3" s="1"/>
  <c r="U1990" i="3"/>
  <c r="V1990" i="3" s="1"/>
  <c r="L1991" i="3"/>
  <c r="M1991" i="3"/>
  <c r="N1991" i="3"/>
  <c r="P1991" i="3"/>
  <c r="Q1991" i="3"/>
  <c r="R1991" i="3"/>
  <c r="S1991" i="3" s="1"/>
  <c r="T1991" i="3" s="1"/>
  <c r="U1991" i="3"/>
  <c r="V1991" i="3" s="1"/>
  <c r="L1992" i="3"/>
  <c r="M1992" i="3"/>
  <c r="N1992" i="3"/>
  <c r="P1992" i="3"/>
  <c r="Q1992" i="3"/>
  <c r="R1992" i="3"/>
  <c r="S1992" i="3" s="1"/>
  <c r="T1992" i="3" s="1"/>
  <c r="U1992" i="3"/>
  <c r="V1992" i="3" s="1"/>
  <c r="L1993" i="3"/>
  <c r="M1993" i="3"/>
  <c r="N1993" i="3"/>
  <c r="P1993" i="3"/>
  <c r="Q1993" i="3"/>
  <c r="R1993" i="3"/>
  <c r="S1993" i="3" s="1"/>
  <c r="T1993" i="3" s="1"/>
  <c r="U1993" i="3"/>
  <c r="V1993" i="3" s="1"/>
  <c r="L1994" i="3"/>
  <c r="M1994" i="3"/>
  <c r="N1994" i="3"/>
  <c r="P1994" i="3"/>
  <c r="Q1994" i="3"/>
  <c r="R1994" i="3"/>
  <c r="S1994" i="3" s="1"/>
  <c r="T1994" i="3" s="1"/>
  <c r="U1994" i="3"/>
  <c r="V1994" i="3" s="1"/>
  <c r="L1995" i="3"/>
  <c r="M1995" i="3"/>
  <c r="N1995" i="3"/>
  <c r="P1995" i="3"/>
  <c r="Q1995" i="3"/>
  <c r="R1995" i="3"/>
  <c r="S1995" i="3" s="1"/>
  <c r="T1995" i="3" s="1"/>
  <c r="U1995" i="3"/>
  <c r="V1995" i="3" s="1"/>
  <c r="L1996" i="3"/>
  <c r="M1996" i="3"/>
  <c r="N1996" i="3"/>
  <c r="P1996" i="3"/>
  <c r="Q1996" i="3"/>
  <c r="R1996" i="3"/>
  <c r="S1996" i="3" s="1"/>
  <c r="T1996" i="3" s="1"/>
  <c r="U1996" i="3"/>
  <c r="V1996" i="3" s="1"/>
  <c r="L1997" i="3"/>
  <c r="M1997" i="3"/>
  <c r="N1997" i="3"/>
  <c r="P1997" i="3"/>
  <c r="Q1997" i="3"/>
  <c r="R1997" i="3"/>
  <c r="S1997" i="3" s="1"/>
  <c r="T1997" i="3" s="1"/>
  <c r="U1997" i="3"/>
  <c r="V1997" i="3" s="1"/>
  <c r="L1998" i="3"/>
  <c r="M1998" i="3"/>
  <c r="N1998" i="3"/>
  <c r="P1998" i="3"/>
  <c r="Q1998" i="3"/>
  <c r="R1998" i="3"/>
  <c r="S1998" i="3" s="1"/>
  <c r="T1998" i="3" s="1"/>
  <c r="U1998" i="3"/>
  <c r="V1998" i="3" s="1"/>
  <c r="L1999" i="3"/>
  <c r="M1999" i="3"/>
  <c r="N1999" i="3"/>
  <c r="P1999" i="3"/>
  <c r="Q1999" i="3"/>
  <c r="R1999" i="3"/>
  <c r="S1999" i="3" s="1"/>
  <c r="T1999" i="3" s="1"/>
  <c r="U1999" i="3"/>
  <c r="V1999" i="3" s="1"/>
  <c r="L2000" i="3"/>
  <c r="M2000" i="3"/>
  <c r="N2000" i="3"/>
  <c r="P2000" i="3"/>
  <c r="Q2000" i="3"/>
  <c r="R2000" i="3"/>
  <c r="S2000" i="3" s="1"/>
  <c r="T2000" i="3" s="1"/>
  <c r="U2000" i="3"/>
  <c r="V2000" i="3" s="1"/>
  <c r="L2001" i="3"/>
  <c r="M2001" i="3"/>
  <c r="N2001" i="3"/>
  <c r="P2001" i="3"/>
  <c r="Q2001" i="3"/>
  <c r="R2001" i="3"/>
  <c r="S2001" i="3" s="1"/>
  <c r="T2001" i="3" s="1"/>
  <c r="U2001" i="3"/>
  <c r="V2001" i="3" s="1"/>
  <c r="L2002" i="3"/>
  <c r="M2002" i="3"/>
  <c r="N2002" i="3"/>
  <c r="P2002" i="3"/>
  <c r="Q2002" i="3"/>
  <c r="R2002" i="3"/>
  <c r="S2002" i="3"/>
  <c r="T2002" i="3" s="1"/>
  <c r="U2002" i="3"/>
  <c r="V2002" i="3" s="1"/>
  <c r="L2003" i="3"/>
  <c r="M2003" i="3"/>
  <c r="N2003" i="3"/>
  <c r="P2003" i="3"/>
  <c r="Q2003" i="3"/>
  <c r="R2003" i="3"/>
  <c r="S2003" i="3" s="1"/>
  <c r="T2003" i="3" s="1"/>
  <c r="U2003" i="3"/>
  <c r="V2003" i="3" s="1"/>
  <c r="L2004" i="3"/>
  <c r="M2004" i="3"/>
  <c r="N2004" i="3"/>
  <c r="P2004" i="3"/>
  <c r="Q2004" i="3"/>
  <c r="R2004" i="3"/>
  <c r="S2004" i="3" s="1"/>
  <c r="T2004" i="3" s="1"/>
  <c r="U2004" i="3"/>
  <c r="V2004" i="3" s="1"/>
  <c r="L2005" i="3"/>
  <c r="M2005" i="3"/>
  <c r="N2005" i="3"/>
  <c r="P2005" i="3"/>
  <c r="Q2005" i="3"/>
  <c r="R2005" i="3"/>
  <c r="S2005" i="3" s="1"/>
  <c r="T2005" i="3" s="1"/>
  <c r="U2005" i="3"/>
  <c r="V2005" i="3" s="1"/>
  <c r="L2006" i="3"/>
  <c r="M2006" i="3"/>
  <c r="N2006" i="3"/>
  <c r="P2006" i="3"/>
  <c r="Q2006" i="3"/>
  <c r="R2006" i="3"/>
  <c r="S2006" i="3" s="1"/>
  <c r="T2006" i="3" s="1"/>
  <c r="U2006" i="3"/>
  <c r="V2006" i="3" s="1"/>
  <c r="L2007" i="3"/>
  <c r="M2007" i="3"/>
  <c r="N2007" i="3"/>
  <c r="P2007" i="3"/>
  <c r="Q2007" i="3"/>
  <c r="R2007" i="3"/>
  <c r="S2007" i="3" s="1"/>
  <c r="T2007" i="3" s="1"/>
  <c r="U2007" i="3"/>
  <c r="V2007" i="3" s="1"/>
  <c r="L2008" i="3"/>
  <c r="M2008" i="3"/>
  <c r="N2008" i="3"/>
  <c r="P2008" i="3"/>
  <c r="Q2008" i="3"/>
  <c r="R2008" i="3"/>
  <c r="S2008" i="3" s="1"/>
  <c r="T2008" i="3" s="1"/>
  <c r="U2008" i="3"/>
  <c r="V2008" i="3"/>
  <c r="L2009" i="3"/>
  <c r="M2009" i="3"/>
  <c r="N2009" i="3"/>
  <c r="P2009" i="3"/>
  <c r="Q2009" i="3"/>
  <c r="R2009" i="3"/>
  <c r="S2009" i="3" s="1"/>
  <c r="T2009" i="3" s="1"/>
  <c r="U2009" i="3"/>
  <c r="V2009" i="3" s="1"/>
  <c r="L2010" i="3"/>
  <c r="M2010" i="3"/>
  <c r="N2010" i="3"/>
  <c r="P2010" i="3"/>
  <c r="Q2010" i="3"/>
  <c r="R2010" i="3"/>
  <c r="S2010" i="3" s="1"/>
  <c r="T2010" i="3" s="1"/>
  <c r="U2010" i="3"/>
  <c r="V2010" i="3" s="1"/>
  <c r="L2011" i="3"/>
  <c r="M2011" i="3"/>
  <c r="N2011" i="3"/>
  <c r="P2011" i="3"/>
  <c r="Q2011" i="3"/>
  <c r="R2011" i="3"/>
  <c r="S2011" i="3" s="1"/>
  <c r="T2011" i="3" s="1"/>
  <c r="U2011" i="3"/>
  <c r="V2011" i="3" s="1"/>
  <c r="L2012" i="3"/>
  <c r="M2012" i="3"/>
  <c r="N2012" i="3"/>
  <c r="P2012" i="3"/>
  <c r="Q2012" i="3"/>
  <c r="R2012" i="3"/>
  <c r="S2012" i="3" s="1"/>
  <c r="T2012" i="3" s="1"/>
  <c r="U2012" i="3"/>
  <c r="V2012" i="3" s="1"/>
  <c r="L2013" i="3"/>
  <c r="M2013" i="3"/>
  <c r="N2013" i="3"/>
  <c r="P2013" i="3"/>
  <c r="Q2013" i="3"/>
  <c r="R2013" i="3"/>
  <c r="S2013" i="3" s="1"/>
  <c r="T2013" i="3" s="1"/>
  <c r="U2013" i="3"/>
  <c r="V2013" i="3" s="1"/>
  <c r="L2014" i="3"/>
  <c r="M2014" i="3"/>
  <c r="N2014" i="3"/>
  <c r="P2014" i="3"/>
  <c r="Q2014" i="3"/>
  <c r="R2014" i="3"/>
  <c r="S2014" i="3" s="1"/>
  <c r="T2014" i="3" s="1"/>
  <c r="U2014" i="3"/>
  <c r="V2014" i="3" s="1"/>
  <c r="L2015" i="3"/>
  <c r="M2015" i="3"/>
  <c r="N2015" i="3"/>
  <c r="P2015" i="3"/>
  <c r="Q2015" i="3"/>
  <c r="R2015" i="3"/>
  <c r="S2015" i="3" s="1"/>
  <c r="T2015" i="3" s="1"/>
  <c r="U2015" i="3"/>
  <c r="V2015" i="3" s="1"/>
  <c r="L2016" i="3"/>
  <c r="M2016" i="3"/>
  <c r="N2016" i="3"/>
  <c r="P2016" i="3"/>
  <c r="Q2016" i="3"/>
  <c r="R2016" i="3"/>
  <c r="S2016" i="3" s="1"/>
  <c r="T2016" i="3" s="1"/>
  <c r="U2016" i="3"/>
  <c r="V2016" i="3" s="1"/>
  <c r="L2017" i="3"/>
  <c r="M2017" i="3"/>
  <c r="N2017" i="3"/>
  <c r="P2017" i="3"/>
  <c r="Q2017" i="3"/>
  <c r="R2017" i="3"/>
  <c r="S2017" i="3" s="1"/>
  <c r="T2017" i="3" s="1"/>
  <c r="U2017" i="3"/>
  <c r="V2017" i="3" s="1"/>
  <c r="L2018" i="3"/>
  <c r="M2018" i="3"/>
  <c r="N2018" i="3"/>
  <c r="P2018" i="3"/>
  <c r="Q2018" i="3"/>
  <c r="R2018" i="3"/>
  <c r="S2018" i="3" s="1"/>
  <c r="T2018" i="3" s="1"/>
  <c r="U2018" i="3"/>
  <c r="V2018" i="3" s="1"/>
  <c r="L2019" i="3"/>
  <c r="M2019" i="3"/>
  <c r="N2019" i="3"/>
  <c r="P2019" i="3"/>
  <c r="Q2019" i="3"/>
  <c r="R2019" i="3"/>
  <c r="S2019" i="3" s="1"/>
  <c r="T2019" i="3" s="1"/>
  <c r="U2019" i="3"/>
  <c r="V2019" i="3" s="1"/>
  <c r="L2020" i="3"/>
  <c r="M2020" i="3"/>
  <c r="N2020" i="3"/>
  <c r="P2020" i="3"/>
  <c r="Q2020" i="3"/>
  <c r="R2020" i="3"/>
  <c r="S2020" i="3" s="1"/>
  <c r="T2020" i="3" s="1"/>
  <c r="U2020" i="3"/>
  <c r="V2020" i="3" s="1"/>
  <c r="L2021" i="3"/>
  <c r="M2021" i="3"/>
  <c r="N2021" i="3"/>
  <c r="P2021" i="3"/>
  <c r="Q2021" i="3"/>
  <c r="R2021" i="3"/>
  <c r="S2021" i="3" s="1"/>
  <c r="T2021" i="3" s="1"/>
  <c r="U2021" i="3"/>
  <c r="V2021" i="3" s="1"/>
  <c r="L2022" i="3"/>
  <c r="M2022" i="3"/>
  <c r="N2022" i="3"/>
  <c r="P2022" i="3"/>
  <c r="Q2022" i="3"/>
  <c r="R2022" i="3"/>
  <c r="S2022" i="3" s="1"/>
  <c r="T2022" i="3" s="1"/>
  <c r="U2022" i="3"/>
  <c r="V2022" i="3" s="1"/>
  <c r="L2023" i="3"/>
  <c r="M2023" i="3"/>
  <c r="N2023" i="3"/>
  <c r="P2023" i="3"/>
  <c r="Q2023" i="3"/>
  <c r="R2023" i="3"/>
  <c r="S2023" i="3" s="1"/>
  <c r="T2023" i="3" s="1"/>
  <c r="U2023" i="3"/>
  <c r="V2023" i="3" s="1"/>
  <c r="L2024" i="3"/>
  <c r="M2024" i="3"/>
  <c r="N2024" i="3"/>
  <c r="P2024" i="3"/>
  <c r="Q2024" i="3"/>
  <c r="R2024" i="3"/>
  <c r="S2024" i="3" s="1"/>
  <c r="T2024" i="3" s="1"/>
  <c r="U2024" i="3"/>
  <c r="V2024" i="3" s="1"/>
  <c r="L2025" i="3"/>
  <c r="M2025" i="3"/>
  <c r="N2025" i="3"/>
  <c r="P2025" i="3"/>
  <c r="Q2025" i="3"/>
  <c r="R2025" i="3"/>
  <c r="S2025" i="3" s="1"/>
  <c r="T2025" i="3" s="1"/>
  <c r="U2025" i="3"/>
  <c r="V2025" i="3" s="1"/>
  <c r="L2026" i="3"/>
  <c r="M2026" i="3"/>
  <c r="N2026" i="3"/>
  <c r="P2026" i="3"/>
  <c r="Q2026" i="3"/>
  <c r="R2026" i="3"/>
  <c r="S2026" i="3" s="1"/>
  <c r="T2026" i="3" s="1"/>
  <c r="U2026" i="3"/>
  <c r="V2026" i="3" s="1"/>
  <c r="L2027" i="3"/>
  <c r="M2027" i="3"/>
  <c r="N2027" i="3"/>
  <c r="P2027" i="3"/>
  <c r="Q2027" i="3"/>
  <c r="R2027" i="3"/>
  <c r="S2027" i="3" s="1"/>
  <c r="T2027" i="3" s="1"/>
  <c r="U2027" i="3"/>
  <c r="V2027" i="3" s="1"/>
  <c r="L2028" i="3"/>
  <c r="M2028" i="3"/>
  <c r="N2028" i="3"/>
  <c r="P2028" i="3"/>
  <c r="Q2028" i="3"/>
  <c r="R2028" i="3"/>
  <c r="S2028" i="3" s="1"/>
  <c r="T2028" i="3" s="1"/>
  <c r="U2028" i="3"/>
  <c r="V2028" i="3" s="1"/>
  <c r="L2029" i="3"/>
  <c r="M2029" i="3"/>
  <c r="N2029" i="3"/>
  <c r="P2029" i="3"/>
  <c r="Q2029" i="3"/>
  <c r="R2029" i="3"/>
  <c r="S2029" i="3" s="1"/>
  <c r="T2029" i="3" s="1"/>
  <c r="U2029" i="3"/>
  <c r="V2029" i="3" s="1"/>
  <c r="L2030" i="3"/>
  <c r="M2030" i="3"/>
  <c r="N2030" i="3"/>
  <c r="P2030" i="3"/>
  <c r="Q2030" i="3"/>
  <c r="R2030" i="3"/>
  <c r="S2030" i="3" s="1"/>
  <c r="T2030" i="3" s="1"/>
  <c r="U2030" i="3"/>
  <c r="V2030" i="3" s="1"/>
  <c r="L2031" i="3"/>
  <c r="M2031" i="3"/>
  <c r="N2031" i="3"/>
  <c r="P2031" i="3"/>
  <c r="Q2031" i="3"/>
  <c r="R2031" i="3"/>
  <c r="S2031" i="3" s="1"/>
  <c r="T2031" i="3" s="1"/>
  <c r="U2031" i="3"/>
  <c r="V2031" i="3" s="1"/>
  <c r="L2032" i="3"/>
  <c r="M2032" i="3"/>
  <c r="N2032" i="3"/>
  <c r="P2032" i="3"/>
  <c r="Q2032" i="3"/>
  <c r="R2032" i="3"/>
  <c r="S2032" i="3" s="1"/>
  <c r="T2032" i="3" s="1"/>
  <c r="U2032" i="3"/>
  <c r="V2032" i="3" s="1"/>
  <c r="L2033" i="3"/>
  <c r="M2033" i="3"/>
  <c r="N2033" i="3"/>
  <c r="P2033" i="3"/>
  <c r="Q2033" i="3"/>
  <c r="R2033" i="3"/>
  <c r="S2033" i="3" s="1"/>
  <c r="T2033" i="3" s="1"/>
  <c r="U2033" i="3"/>
  <c r="V2033" i="3" s="1"/>
  <c r="L2034" i="3"/>
  <c r="M2034" i="3"/>
  <c r="N2034" i="3"/>
  <c r="P2034" i="3"/>
  <c r="Q2034" i="3"/>
  <c r="R2034" i="3"/>
  <c r="S2034" i="3" s="1"/>
  <c r="T2034" i="3" s="1"/>
  <c r="U2034" i="3"/>
  <c r="V2034" i="3" s="1"/>
  <c r="L2035" i="3"/>
  <c r="M2035" i="3"/>
  <c r="N2035" i="3"/>
  <c r="P2035" i="3"/>
  <c r="Q2035" i="3"/>
  <c r="R2035" i="3"/>
  <c r="S2035" i="3" s="1"/>
  <c r="T2035" i="3" s="1"/>
  <c r="U2035" i="3"/>
  <c r="V2035" i="3" s="1"/>
  <c r="L2036" i="3"/>
  <c r="M2036" i="3"/>
  <c r="N2036" i="3"/>
  <c r="P2036" i="3"/>
  <c r="Q2036" i="3"/>
  <c r="R2036" i="3"/>
  <c r="S2036" i="3" s="1"/>
  <c r="T2036" i="3" s="1"/>
  <c r="U2036" i="3"/>
  <c r="V2036" i="3" s="1"/>
  <c r="L2037" i="3"/>
  <c r="M2037" i="3"/>
  <c r="N2037" i="3"/>
  <c r="P2037" i="3"/>
  <c r="Q2037" i="3"/>
  <c r="R2037" i="3"/>
  <c r="S2037" i="3" s="1"/>
  <c r="T2037" i="3" s="1"/>
  <c r="U2037" i="3"/>
  <c r="V2037" i="3" s="1"/>
  <c r="L2038" i="3"/>
  <c r="M2038" i="3"/>
  <c r="N2038" i="3"/>
  <c r="P2038" i="3"/>
  <c r="Q2038" i="3"/>
  <c r="R2038" i="3"/>
  <c r="S2038" i="3" s="1"/>
  <c r="T2038" i="3" s="1"/>
  <c r="U2038" i="3"/>
  <c r="V2038" i="3" s="1"/>
  <c r="L2039" i="3"/>
  <c r="M2039" i="3"/>
  <c r="N2039" i="3"/>
  <c r="P2039" i="3"/>
  <c r="Q2039" i="3"/>
  <c r="R2039" i="3"/>
  <c r="S2039" i="3" s="1"/>
  <c r="T2039" i="3" s="1"/>
  <c r="U2039" i="3"/>
  <c r="V2039" i="3" s="1"/>
  <c r="L2040" i="3"/>
  <c r="M2040" i="3"/>
  <c r="N2040" i="3"/>
  <c r="P2040" i="3"/>
  <c r="Q2040" i="3"/>
  <c r="R2040" i="3"/>
  <c r="S2040" i="3" s="1"/>
  <c r="T2040" i="3" s="1"/>
  <c r="U2040" i="3"/>
  <c r="V2040" i="3" s="1"/>
  <c r="L2041" i="3"/>
  <c r="M2041" i="3"/>
  <c r="N2041" i="3"/>
  <c r="P2041" i="3"/>
  <c r="Q2041" i="3"/>
  <c r="R2041" i="3"/>
  <c r="S2041" i="3" s="1"/>
  <c r="T2041" i="3" s="1"/>
  <c r="U2041" i="3"/>
  <c r="V2041" i="3" s="1"/>
  <c r="L2042" i="3"/>
  <c r="M2042" i="3"/>
  <c r="N2042" i="3"/>
  <c r="P2042" i="3"/>
  <c r="Q2042" i="3"/>
  <c r="R2042" i="3"/>
  <c r="S2042" i="3" s="1"/>
  <c r="T2042" i="3" s="1"/>
  <c r="U2042" i="3"/>
  <c r="V2042" i="3" s="1"/>
  <c r="L2043" i="3"/>
  <c r="M2043" i="3"/>
  <c r="N2043" i="3"/>
  <c r="P2043" i="3"/>
  <c r="Q2043" i="3"/>
  <c r="R2043" i="3"/>
  <c r="S2043" i="3" s="1"/>
  <c r="T2043" i="3" s="1"/>
  <c r="U2043" i="3"/>
  <c r="V2043" i="3" s="1"/>
  <c r="L2044" i="3"/>
  <c r="M2044" i="3"/>
  <c r="N2044" i="3"/>
  <c r="P2044" i="3"/>
  <c r="Q2044" i="3"/>
  <c r="R2044" i="3"/>
  <c r="S2044" i="3" s="1"/>
  <c r="T2044" i="3" s="1"/>
  <c r="U2044" i="3"/>
  <c r="V2044" i="3" s="1"/>
  <c r="L2045" i="3"/>
  <c r="M2045" i="3"/>
  <c r="N2045" i="3"/>
  <c r="P2045" i="3"/>
  <c r="Q2045" i="3"/>
  <c r="R2045" i="3"/>
  <c r="S2045" i="3" s="1"/>
  <c r="T2045" i="3" s="1"/>
  <c r="U2045" i="3"/>
  <c r="V2045" i="3" s="1"/>
  <c r="L2046" i="3"/>
  <c r="M2046" i="3"/>
  <c r="N2046" i="3"/>
  <c r="P2046" i="3"/>
  <c r="Q2046" i="3"/>
  <c r="R2046" i="3"/>
  <c r="S2046" i="3" s="1"/>
  <c r="T2046" i="3" s="1"/>
  <c r="U2046" i="3"/>
  <c r="V2046" i="3" s="1"/>
  <c r="L2047" i="3"/>
  <c r="M2047" i="3"/>
  <c r="N2047" i="3"/>
  <c r="P2047" i="3"/>
  <c r="Q2047" i="3"/>
  <c r="R2047" i="3"/>
  <c r="S2047" i="3" s="1"/>
  <c r="T2047" i="3" s="1"/>
  <c r="U2047" i="3"/>
  <c r="V2047" i="3" s="1"/>
  <c r="L2048" i="3"/>
  <c r="M2048" i="3"/>
  <c r="N2048" i="3"/>
  <c r="P2048" i="3"/>
  <c r="Q2048" i="3"/>
  <c r="R2048" i="3"/>
  <c r="S2048" i="3" s="1"/>
  <c r="T2048" i="3" s="1"/>
  <c r="U2048" i="3"/>
  <c r="V2048" i="3" s="1"/>
  <c r="L2049" i="3"/>
  <c r="M2049" i="3"/>
  <c r="N2049" i="3"/>
  <c r="P2049" i="3"/>
  <c r="Q2049" i="3"/>
  <c r="R2049" i="3"/>
  <c r="S2049" i="3" s="1"/>
  <c r="T2049" i="3" s="1"/>
  <c r="U2049" i="3"/>
  <c r="V2049" i="3" s="1"/>
  <c r="L2050" i="3"/>
  <c r="M2050" i="3"/>
  <c r="N2050" i="3"/>
  <c r="P2050" i="3"/>
  <c r="Q2050" i="3"/>
  <c r="R2050" i="3"/>
  <c r="S2050" i="3" s="1"/>
  <c r="T2050" i="3" s="1"/>
  <c r="U2050" i="3"/>
  <c r="V2050" i="3" s="1"/>
  <c r="L2051" i="3"/>
  <c r="M2051" i="3"/>
  <c r="N2051" i="3"/>
  <c r="P2051" i="3"/>
  <c r="Q2051" i="3"/>
  <c r="R2051" i="3"/>
  <c r="S2051" i="3" s="1"/>
  <c r="T2051" i="3" s="1"/>
  <c r="U2051" i="3"/>
  <c r="V2051" i="3" s="1"/>
  <c r="L2052" i="3"/>
  <c r="M2052" i="3"/>
  <c r="N2052" i="3"/>
  <c r="P2052" i="3"/>
  <c r="Q2052" i="3"/>
  <c r="R2052" i="3"/>
  <c r="S2052" i="3" s="1"/>
  <c r="T2052" i="3" s="1"/>
  <c r="U2052" i="3"/>
  <c r="V2052" i="3" s="1"/>
  <c r="L2053" i="3"/>
  <c r="M2053" i="3"/>
  <c r="N2053" i="3"/>
  <c r="P2053" i="3"/>
  <c r="Q2053" i="3"/>
  <c r="R2053" i="3"/>
  <c r="S2053" i="3" s="1"/>
  <c r="T2053" i="3" s="1"/>
  <c r="U2053" i="3"/>
  <c r="V2053" i="3" s="1"/>
  <c r="L2054" i="3"/>
  <c r="M2054" i="3"/>
  <c r="N2054" i="3"/>
  <c r="P2054" i="3"/>
  <c r="Q2054" i="3"/>
  <c r="R2054" i="3"/>
  <c r="S2054" i="3" s="1"/>
  <c r="T2054" i="3" s="1"/>
  <c r="U2054" i="3"/>
  <c r="V2054" i="3" s="1"/>
  <c r="L2055" i="3"/>
  <c r="M2055" i="3"/>
  <c r="N2055" i="3"/>
  <c r="P2055" i="3"/>
  <c r="Q2055" i="3"/>
  <c r="R2055" i="3"/>
  <c r="S2055" i="3" s="1"/>
  <c r="T2055" i="3" s="1"/>
  <c r="U2055" i="3"/>
  <c r="V2055" i="3" s="1"/>
  <c r="L2056" i="3"/>
  <c r="M2056" i="3"/>
  <c r="N2056" i="3"/>
  <c r="P2056" i="3"/>
  <c r="Q2056" i="3"/>
  <c r="R2056" i="3"/>
  <c r="S2056" i="3" s="1"/>
  <c r="T2056" i="3" s="1"/>
  <c r="U2056" i="3"/>
  <c r="V2056" i="3" s="1"/>
  <c r="L2057" i="3"/>
  <c r="M2057" i="3"/>
  <c r="N2057" i="3"/>
  <c r="P2057" i="3"/>
  <c r="Q2057" i="3"/>
  <c r="R2057" i="3"/>
  <c r="S2057" i="3"/>
  <c r="T2057" i="3" s="1"/>
  <c r="U2057" i="3"/>
  <c r="V2057" i="3" s="1"/>
  <c r="L2058" i="3"/>
  <c r="M2058" i="3"/>
  <c r="N2058" i="3"/>
  <c r="P2058" i="3"/>
  <c r="Q2058" i="3"/>
  <c r="R2058" i="3"/>
  <c r="S2058" i="3" s="1"/>
  <c r="T2058" i="3" s="1"/>
  <c r="U2058" i="3"/>
  <c r="V2058" i="3" s="1"/>
  <c r="L2059" i="3"/>
  <c r="M2059" i="3"/>
  <c r="N2059" i="3"/>
  <c r="P2059" i="3"/>
  <c r="Q2059" i="3"/>
  <c r="R2059" i="3"/>
  <c r="S2059" i="3" s="1"/>
  <c r="T2059" i="3" s="1"/>
  <c r="U2059" i="3"/>
  <c r="V2059" i="3" s="1"/>
  <c r="L2060" i="3"/>
  <c r="M2060" i="3"/>
  <c r="N2060" i="3"/>
  <c r="P2060" i="3"/>
  <c r="Q2060" i="3"/>
  <c r="R2060" i="3"/>
  <c r="S2060" i="3" s="1"/>
  <c r="T2060" i="3" s="1"/>
  <c r="U2060" i="3"/>
  <c r="V2060" i="3" s="1"/>
  <c r="L2061" i="3"/>
  <c r="M2061" i="3"/>
  <c r="N2061" i="3"/>
  <c r="P2061" i="3"/>
  <c r="Q2061" i="3"/>
  <c r="R2061" i="3"/>
  <c r="S2061" i="3" s="1"/>
  <c r="T2061" i="3" s="1"/>
  <c r="U2061" i="3"/>
  <c r="V2061" i="3" s="1"/>
  <c r="L2062" i="3"/>
  <c r="M2062" i="3"/>
  <c r="N2062" i="3"/>
  <c r="P2062" i="3"/>
  <c r="Q2062" i="3"/>
  <c r="R2062" i="3"/>
  <c r="S2062" i="3" s="1"/>
  <c r="T2062" i="3" s="1"/>
  <c r="U2062" i="3"/>
  <c r="V2062" i="3" s="1"/>
  <c r="L2063" i="3"/>
  <c r="M2063" i="3"/>
  <c r="N2063" i="3"/>
  <c r="P2063" i="3"/>
  <c r="Q2063" i="3"/>
  <c r="R2063" i="3"/>
  <c r="S2063" i="3" s="1"/>
  <c r="T2063" i="3" s="1"/>
  <c r="U2063" i="3"/>
  <c r="V2063" i="3" s="1"/>
  <c r="L2064" i="3"/>
  <c r="M2064" i="3"/>
  <c r="N2064" i="3"/>
  <c r="P2064" i="3"/>
  <c r="Q2064" i="3"/>
  <c r="R2064" i="3"/>
  <c r="S2064" i="3" s="1"/>
  <c r="T2064" i="3" s="1"/>
  <c r="U2064" i="3"/>
  <c r="V2064" i="3" s="1"/>
  <c r="L2065" i="3"/>
  <c r="M2065" i="3"/>
  <c r="N2065" i="3"/>
  <c r="P2065" i="3"/>
  <c r="Q2065" i="3"/>
  <c r="R2065" i="3"/>
  <c r="S2065" i="3" s="1"/>
  <c r="T2065" i="3" s="1"/>
  <c r="U2065" i="3"/>
  <c r="V2065" i="3" s="1"/>
  <c r="L2066" i="3"/>
  <c r="M2066" i="3"/>
  <c r="N2066" i="3"/>
  <c r="P2066" i="3"/>
  <c r="Q2066" i="3"/>
  <c r="R2066" i="3"/>
  <c r="S2066" i="3"/>
  <c r="T2066" i="3" s="1"/>
  <c r="U2066" i="3"/>
  <c r="V2066" i="3" s="1"/>
  <c r="L2067" i="3"/>
  <c r="M2067" i="3"/>
  <c r="N2067" i="3"/>
  <c r="P2067" i="3"/>
  <c r="Q2067" i="3"/>
  <c r="R2067" i="3"/>
  <c r="S2067" i="3" s="1"/>
  <c r="T2067" i="3" s="1"/>
  <c r="U2067" i="3"/>
  <c r="V2067" i="3" s="1"/>
  <c r="L2068" i="3"/>
  <c r="M2068" i="3"/>
  <c r="N2068" i="3"/>
  <c r="P2068" i="3"/>
  <c r="Q2068" i="3"/>
  <c r="R2068" i="3"/>
  <c r="S2068" i="3" s="1"/>
  <c r="T2068" i="3" s="1"/>
  <c r="U2068" i="3"/>
  <c r="V2068" i="3" s="1"/>
  <c r="L2069" i="3"/>
  <c r="M2069" i="3"/>
  <c r="N2069" i="3"/>
  <c r="P2069" i="3"/>
  <c r="Q2069" i="3"/>
  <c r="R2069" i="3"/>
  <c r="S2069" i="3"/>
  <c r="T2069" i="3" s="1"/>
  <c r="U2069" i="3"/>
  <c r="V2069" i="3" s="1"/>
  <c r="L2070" i="3"/>
  <c r="M2070" i="3"/>
  <c r="N2070" i="3"/>
  <c r="P2070" i="3"/>
  <c r="Q2070" i="3"/>
  <c r="R2070" i="3"/>
  <c r="S2070" i="3" s="1"/>
  <c r="T2070" i="3" s="1"/>
  <c r="U2070" i="3"/>
  <c r="V2070" i="3" s="1"/>
  <c r="L2071" i="3"/>
  <c r="M2071" i="3"/>
  <c r="N2071" i="3"/>
  <c r="P2071" i="3"/>
  <c r="Q2071" i="3"/>
  <c r="R2071" i="3"/>
  <c r="S2071" i="3" s="1"/>
  <c r="T2071" i="3" s="1"/>
  <c r="U2071" i="3"/>
  <c r="V2071" i="3" s="1"/>
  <c r="L2072" i="3"/>
  <c r="M2072" i="3"/>
  <c r="N2072" i="3"/>
  <c r="P2072" i="3"/>
  <c r="Q2072" i="3"/>
  <c r="R2072" i="3"/>
  <c r="S2072" i="3" s="1"/>
  <c r="T2072" i="3" s="1"/>
  <c r="U2072" i="3"/>
  <c r="V2072" i="3" s="1"/>
  <c r="L2073" i="3"/>
  <c r="M2073" i="3"/>
  <c r="N2073" i="3"/>
  <c r="P2073" i="3"/>
  <c r="Q2073" i="3"/>
  <c r="R2073" i="3"/>
  <c r="S2073" i="3" s="1"/>
  <c r="T2073" i="3" s="1"/>
  <c r="U2073" i="3"/>
  <c r="V2073" i="3" s="1"/>
  <c r="L2074" i="3"/>
  <c r="M2074" i="3"/>
  <c r="N2074" i="3"/>
  <c r="P2074" i="3"/>
  <c r="Q2074" i="3"/>
  <c r="R2074" i="3"/>
  <c r="S2074" i="3" s="1"/>
  <c r="T2074" i="3" s="1"/>
  <c r="U2074" i="3"/>
  <c r="V2074" i="3" s="1"/>
  <c r="L2075" i="3"/>
  <c r="M2075" i="3"/>
  <c r="N2075" i="3"/>
  <c r="P2075" i="3"/>
  <c r="Q2075" i="3"/>
  <c r="R2075" i="3"/>
  <c r="S2075" i="3" s="1"/>
  <c r="T2075" i="3" s="1"/>
  <c r="U2075" i="3"/>
  <c r="V2075" i="3" s="1"/>
  <c r="L2076" i="3"/>
  <c r="M2076" i="3"/>
  <c r="N2076" i="3"/>
  <c r="P2076" i="3"/>
  <c r="Q2076" i="3"/>
  <c r="R2076" i="3"/>
  <c r="S2076" i="3" s="1"/>
  <c r="T2076" i="3" s="1"/>
  <c r="U2076" i="3"/>
  <c r="V2076" i="3" s="1"/>
  <c r="L2077" i="3"/>
  <c r="M2077" i="3"/>
  <c r="N2077" i="3"/>
  <c r="P2077" i="3"/>
  <c r="Q2077" i="3"/>
  <c r="R2077" i="3"/>
  <c r="S2077" i="3" s="1"/>
  <c r="T2077" i="3" s="1"/>
  <c r="U2077" i="3"/>
  <c r="V2077" i="3" s="1"/>
  <c r="L2078" i="3"/>
  <c r="M2078" i="3"/>
  <c r="N2078" i="3"/>
  <c r="P2078" i="3"/>
  <c r="Q2078" i="3"/>
  <c r="R2078" i="3"/>
  <c r="S2078" i="3" s="1"/>
  <c r="T2078" i="3" s="1"/>
  <c r="U2078" i="3"/>
  <c r="V2078" i="3" s="1"/>
  <c r="L2079" i="3"/>
  <c r="M2079" i="3"/>
  <c r="N2079" i="3"/>
  <c r="P2079" i="3"/>
  <c r="Q2079" i="3"/>
  <c r="R2079" i="3"/>
  <c r="S2079" i="3" s="1"/>
  <c r="T2079" i="3" s="1"/>
  <c r="U2079" i="3"/>
  <c r="V2079" i="3" s="1"/>
  <c r="L2080" i="3"/>
  <c r="M2080" i="3"/>
  <c r="N2080" i="3"/>
  <c r="P2080" i="3"/>
  <c r="Q2080" i="3"/>
  <c r="R2080" i="3"/>
  <c r="S2080" i="3" s="1"/>
  <c r="T2080" i="3" s="1"/>
  <c r="U2080" i="3"/>
  <c r="V2080" i="3"/>
  <c r="L2081" i="3"/>
  <c r="M2081" i="3"/>
  <c r="N2081" i="3"/>
  <c r="P2081" i="3"/>
  <c r="Q2081" i="3"/>
  <c r="R2081" i="3"/>
  <c r="S2081" i="3" s="1"/>
  <c r="T2081" i="3" s="1"/>
  <c r="U2081" i="3"/>
  <c r="V2081" i="3" s="1"/>
  <c r="L2082" i="3"/>
  <c r="M2082" i="3"/>
  <c r="N2082" i="3"/>
  <c r="P2082" i="3"/>
  <c r="Q2082" i="3"/>
  <c r="R2082" i="3"/>
  <c r="S2082" i="3" s="1"/>
  <c r="T2082" i="3" s="1"/>
  <c r="U2082" i="3"/>
  <c r="V2082" i="3" s="1"/>
  <c r="L2083" i="3"/>
  <c r="M2083" i="3"/>
  <c r="N2083" i="3"/>
  <c r="P2083" i="3"/>
  <c r="Q2083" i="3"/>
  <c r="R2083" i="3"/>
  <c r="S2083" i="3" s="1"/>
  <c r="T2083" i="3" s="1"/>
  <c r="U2083" i="3"/>
  <c r="V2083" i="3" s="1"/>
  <c r="L2084" i="3"/>
  <c r="M2084" i="3"/>
  <c r="N2084" i="3"/>
  <c r="P2084" i="3"/>
  <c r="Q2084" i="3"/>
  <c r="R2084" i="3"/>
  <c r="S2084" i="3" s="1"/>
  <c r="T2084" i="3" s="1"/>
  <c r="U2084" i="3"/>
  <c r="V2084" i="3" s="1"/>
  <c r="L2085" i="3"/>
  <c r="M2085" i="3"/>
  <c r="N2085" i="3"/>
  <c r="P2085" i="3"/>
  <c r="Q2085" i="3"/>
  <c r="R2085" i="3"/>
  <c r="S2085" i="3" s="1"/>
  <c r="T2085" i="3" s="1"/>
  <c r="U2085" i="3"/>
  <c r="V2085" i="3" s="1"/>
  <c r="L2086" i="3"/>
  <c r="M2086" i="3"/>
  <c r="N2086" i="3"/>
  <c r="P2086" i="3"/>
  <c r="Q2086" i="3"/>
  <c r="R2086" i="3"/>
  <c r="S2086" i="3" s="1"/>
  <c r="T2086" i="3" s="1"/>
  <c r="U2086" i="3"/>
  <c r="V2086" i="3" s="1"/>
  <c r="L2087" i="3"/>
  <c r="M2087" i="3"/>
  <c r="N2087" i="3"/>
  <c r="P2087" i="3"/>
  <c r="Q2087" i="3"/>
  <c r="R2087" i="3"/>
  <c r="S2087" i="3" s="1"/>
  <c r="T2087" i="3" s="1"/>
  <c r="U2087" i="3"/>
  <c r="V2087" i="3" s="1"/>
  <c r="L2088" i="3"/>
  <c r="M2088" i="3"/>
  <c r="N2088" i="3"/>
  <c r="P2088" i="3"/>
  <c r="Q2088" i="3"/>
  <c r="R2088" i="3"/>
  <c r="S2088" i="3" s="1"/>
  <c r="T2088" i="3" s="1"/>
  <c r="U2088" i="3"/>
  <c r="V2088" i="3" s="1"/>
  <c r="L2089" i="3"/>
  <c r="M2089" i="3"/>
  <c r="N2089" i="3"/>
  <c r="P2089" i="3"/>
  <c r="Q2089" i="3"/>
  <c r="R2089" i="3"/>
  <c r="S2089" i="3" s="1"/>
  <c r="T2089" i="3" s="1"/>
  <c r="U2089" i="3"/>
  <c r="V2089" i="3" s="1"/>
  <c r="L2090" i="3"/>
  <c r="M2090" i="3"/>
  <c r="N2090" i="3"/>
  <c r="P2090" i="3"/>
  <c r="Q2090" i="3"/>
  <c r="R2090" i="3"/>
  <c r="S2090" i="3" s="1"/>
  <c r="T2090" i="3" s="1"/>
  <c r="U2090" i="3"/>
  <c r="V2090" i="3" s="1"/>
  <c r="L2091" i="3"/>
  <c r="M2091" i="3"/>
  <c r="N2091" i="3"/>
  <c r="P2091" i="3"/>
  <c r="Q2091" i="3"/>
  <c r="R2091" i="3"/>
  <c r="S2091" i="3" s="1"/>
  <c r="T2091" i="3" s="1"/>
  <c r="U2091" i="3"/>
  <c r="V2091" i="3" s="1"/>
  <c r="L2092" i="3"/>
  <c r="M2092" i="3"/>
  <c r="N2092" i="3"/>
  <c r="P2092" i="3"/>
  <c r="Q2092" i="3"/>
  <c r="R2092" i="3"/>
  <c r="S2092" i="3" s="1"/>
  <c r="T2092" i="3" s="1"/>
  <c r="U2092" i="3"/>
  <c r="V2092" i="3" s="1"/>
  <c r="L2093" i="3"/>
  <c r="M2093" i="3"/>
  <c r="N2093" i="3"/>
  <c r="P2093" i="3"/>
  <c r="Q2093" i="3"/>
  <c r="R2093" i="3"/>
  <c r="S2093" i="3" s="1"/>
  <c r="T2093" i="3" s="1"/>
  <c r="U2093" i="3"/>
  <c r="V2093" i="3"/>
  <c r="L2094" i="3"/>
  <c r="M2094" i="3"/>
  <c r="N2094" i="3"/>
  <c r="P2094" i="3"/>
  <c r="Q2094" i="3"/>
  <c r="R2094" i="3"/>
  <c r="S2094" i="3" s="1"/>
  <c r="T2094" i="3" s="1"/>
  <c r="U2094" i="3"/>
  <c r="V2094" i="3" s="1"/>
  <c r="L2095" i="3"/>
  <c r="M2095" i="3"/>
  <c r="N2095" i="3"/>
  <c r="P2095" i="3"/>
  <c r="Q2095" i="3"/>
  <c r="R2095" i="3"/>
  <c r="S2095" i="3" s="1"/>
  <c r="T2095" i="3" s="1"/>
  <c r="U2095" i="3"/>
  <c r="V2095" i="3" s="1"/>
  <c r="L2096" i="3"/>
  <c r="M2096" i="3"/>
  <c r="N2096" i="3"/>
  <c r="P2096" i="3"/>
  <c r="Q2096" i="3"/>
  <c r="R2096" i="3"/>
  <c r="S2096" i="3" s="1"/>
  <c r="T2096" i="3" s="1"/>
  <c r="U2096" i="3"/>
  <c r="V2096" i="3" s="1"/>
  <c r="L2097" i="3"/>
  <c r="M2097" i="3"/>
  <c r="N2097" i="3"/>
  <c r="P2097" i="3"/>
  <c r="Q2097" i="3"/>
  <c r="R2097" i="3"/>
  <c r="S2097" i="3" s="1"/>
  <c r="T2097" i="3" s="1"/>
  <c r="U2097" i="3"/>
  <c r="V2097" i="3" s="1"/>
  <c r="L2098" i="3"/>
  <c r="M2098" i="3"/>
  <c r="N2098" i="3"/>
  <c r="P2098" i="3"/>
  <c r="Q2098" i="3"/>
  <c r="R2098" i="3"/>
  <c r="S2098" i="3" s="1"/>
  <c r="T2098" i="3" s="1"/>
  <c r="U2098" i="3"/>
  <c r="V2098" i="3" s="1"/>
  <c r="L2099" i="3"/>
  <c r="M2099" i="3"/>
  <c r="N2099" i="3"/>
  <c r="P2099" i="3"/>
  <c r="Q2099" i="3"/>
  <c r="R2099" i="3"/>
  <c r="S2099" i="3" s="1"/>
  <c r="T2099" i="3" s="1"/>
  <c r="U2099" i="3"/>
  <c r="V2099" i="3" s="1"/>
  <c r="L2100" i="3"/>
  <c r="M2100" i="3"/>
  <c r="N2100" i="3"/>
  <c r="P2100" i="3"/>
  <c r="Q2100" i="3"/>
  <c r="R2100" i="3"/>
  <c r="S2100" i="3" s="1"/>
  <c r="T2100" i="3" s="1"/>
  <c r="U2100" i="3"/>
  <c r="V2100" i="3" s="1"/>
  <c r="L2101" i="3"/>
  <c r="M2101" i="3"/>
  <c r="N2101" i="3"/>
  <c r="P2101" i="3"/>
  <c r="Q2101" i="3"/>
  <c r="R2101" i="3"/>
  <c r="S2101" i="3" s="1"/>
  <c r="T2101" i="3" s="1"/>
  <c r="U2101" i="3"/>
  <c r="V2101" i="3" s="1"/>
  <c r="L2102" i="3"/>
  <c r="M2102" i="3"/>
  <c r="N2102" i="3"/>
  <c r="P2102" i="3"/>
  <c r="Q2102" i="3"/>
  <c r="R2102" i="3"/>
  <c r="S2102" i="3" s="1"/>
  <c r="T2102" i="3" s="1"/>
  <c r="U2102" i="3"/>
  <c r="V2102" i="3" s="1"/>
  <c r="L2103" i="3"/>
  <c r="M2103" i="3"/>
  <c r="N2103" i="3"/>
  <c r="P2103" i="3"/>
  <c r="Q2103" i="3"/>
  <c r="R2103" i="3"/>
  <c r="S2103" i="3" s="1"/>
  <c r="T2103" i="3" s="1"/>
  <c r="U2103" i="3"/>
  <c r="V2103" i="3" s="1"/>
  <c r="L2104" i="3"/>
  <c r="M2104" i="3"/>
  <c r="N2104" i="3"/>
  <c r="P2104" i="3"/>
  <c r="Q2104" i="3"/>
  <c r="R2104" i="3"/>
  <c r="S2104" i="3" s="1"/>
  <c r="T2104" i="3" s="1"/>
  <c r="U2104" i="3"/>
  <c r="V2104" i="3" s="1"/>
  <c r="L2105" i="3"/>
  <c r="M2105" i="3"/>
  <c r="N2105" i="3"/>
  <c r="P2105" i="3"/>
  <c r="Q2105" i="3"/>
  <c r="R2105" i="3"/>
  <c r="S2105" i="3"/>
  <c r="T2105" i="3" s="1"/>
  <c r="U2105" i="3"/>
  <c r="V2105" i="3" s="1"/>
  <c r="L2106" i="3"/>
  <c r="M2106" i="3"/>
  <c r="N2106" i="3"/>
  <c r="P2106" i="3"/>
  <c r="Q2106" i="3"/>
  <c r="R2106" i="3"/>
  <c r="S2106" i="3" s="1"/>
  <c r="T2106" i="3" s="1"/>
  <c r="U2106" i="3"/>
  <c r="V2106" i="3" s="1"/>
  <c r="L2107" i="3"/>
  <c r="M2107" i="3"/>
  <c r="N2107" i="3"/>
  <c r="P2107" i="3"/>
  <c r="Q2107" i="3"/>
  <c r="R2107" i="3"/>
  <c r="S2107" i="3" s="1"/>
  <c r="T2107" i="3" s="1"/>
  <c r="U2107" i="3"/>
  <c r="V2107" i="3" s="1"/>
  <c r="L2108" i="3"/>
  <c r="M2108" i="3"/>
  <c r="N2108" i="3"/>
  <c r="P2108" i="3"/>
  <c r="Q2108" i="3"/>
  <c r="R2108" i="3"/>
  <c r="S2108" i="3" s="1"/>
  <c r="T2108" i="3" s="1"/>
  <c r="U2108" i="3"/>
  <c r="V2108" i="3" s="1"/>
  <c r="L2109" i="3"/>
  <c r="M2109" i="3"/>
  <c r="N2109" i="3"/>
  <c r="P2109" i="3"/>
  <c r="Q2109" i="3"/>
  <c r="R2109" i="3"/>
  <c r="S2109" i="3" s="1"/>
  <c r="T2109" i="3" s="1"/>
  <c r="U2109" i="3"/>
  <c r="V2109" i="3" s="1"/>
  <c r="L2110" i="3"/>
  <c r="M2110" i="3"/>
  <c r="N2110" i="3"/>
  <c r="P2110" i="3"/>
  <c r="Q2110" i="3"/>
  <c r="R2110" i="3"/>
  <c r="S2110" i="3" s="1"/>
  <c r="T2110" i="3" s="1"/>
  <c r="U2110" i="3"/>
  <c r="V2110" i="3" s="1"/>
  <c r="L2111" i="3"/>
  <c r="M2111" i="3"/>
  <c r="N2111" i="3"/>
  <c r="P2111" i="3"/>
  <c r="Q2111" i="3"/>
  <c r="R2111" i="3"/>
  <c r="S2111" i="3" s="1"/>
  <c r="T2111" i="3" s="1"/>
  <c r="U2111" i="3"/>
  <c r="V2111" i="3" s="1"/>
  <c r="L2112" i="3"/>
  <c r="M2112" i="3"/>
  <c r="N2112" i="3"/>
  <c r="P2112" i="3"/>
  <c r="Q2112" i="3"/>
  <c r="R2112" i="3"/>
  <c r="S2112" i="3" s="1"/>
  <c r="T2112" i="3" s="1"/>
  <c r="U2112" i="3"/>
  <c r="V2112" i="3"/>
  <c r="L2113" i="3"/>
  <c r="M2113" i="3"/>
  <c r="N2113" i="3"/>
  <c r="P2113" i="3"/>
  <c r="Q2113" i="3"/>
  <c r="R2113" i="3"/>
  <c r="S2113" i="3" s="1"/>
  <c r="T2113" i="3" s="1"/>
  <c r="U2113" i="3"/>
  <c r="V2113" i="3" s="1"/>
  <c r="L2114" i="3"/>
  <c r="M2114" i="3"/>
  <c r="N2114" i="3"/>
  <c r="P2114" i="3"/>
  <c r="Q2114" i="3"/>
  <c r="R2114" i="3"/>
  <c r="S2114" i="3" s="1"/>
  <c r="T2114" i="3" s="1"/>
  <c r="U2114" i="3"/>
  <c r="V2114" i="3" s="1"/>
  <c r="L2115" i="3"/>
  <c r="M2115" i="3"/>
  <c r="N2115" i="3"/>
  <c r="P2115" i="3"/>
  <c r="Q2115" i="3"/>
  <c r="R2115" i="3"/>
  <c r="S2115" i="3" s="1"/>
  <c r="T2115" i="3" s="1"/>
  <c r="U2115" i="3"/>
  <c r="V2115" i="3" s="1"/>
  <c r="L2116" i="3"/>
  <c r="M2116" i="3"/>
  <c r="N2116" i="3"/>
  <c r="P2116" i="3"/>
  <c r="Q2116" i="3"/>
  <c r="R2116" i="3"/>
  <c r="S2116" i="3" s="1"/>
  <c r="T2116" i="3" s="1"/>
  <c r="U2116" i="3"/>
  <c r="V2116" i="3" s="1"/>
  <c r="L2117" i="3"/>
  <c r="M2117" i="3"/>
  <c r="N2117" i="3"/>
  <c r="P2117" i="3"/>
  <c r="Q2117" i="3"/>
  <c r="R2117" i="3"/>
  <c r="S2117" i="3" s="1"/>
  <c r="T2117" i="3" s="1"/>
  <c r="U2117" i="3"/>
  <c r="V2117" i="3" s="1"/>
  <c r="L2118" i="3"/>
  <c r="M2118" i="3"/>
  <c r="N2118" i="3"/>
  <c r="P2118" i="3"/>
  <c r="Q2118" i="3"/>
  <c r="R2118" i="3"/>
  <c r="S2118" i="3" s="1"/>
  <c r="T2118" i="3" s="1"/>
  <c r="U2118" i="3"/>
  <c r="V2118" i="3" s="1"/>
  <c r="L2119" i="3"/>
  <c r="M2119" i="3"/>
  <c r="N2119" i="3"/>
  <c r="P2119" i="3"/>
  <c r="Q2119" i="3"/>
  <c r="R2119" i="3"/>
  <c r="S2119" i="3" s="1"/>
  <c r="T2119" i="3" s="1"/>
  <c r="U2119" i="3"/>
  <c r="V2119" i="3" s="1"/>
  <c r="L2120" i="3"/>
  <c r="M2120" i="3"/>
  <c r="N2120" i="3"/>
  <c r="P2120" i="3"/>
  <c r="Q2120" i="3"/>
  <c r="R2120" i="3"/>
  <c r="S2120" i="3" s="1"/>
  <c r="T2120" i="3" s="1"/>
  <c r="U2120" i="3"/>
  <c r="V2120" i="3" s="1"/>
  <c r="L2121" i="3"/>
  <c r="M2121" i="3"/>
  <c r="N2121" i="3"/>
  <c r="P2121" i="3"/>
  <c r="Q2121" i="3"/>
  <c r="R2121" i="3"/>
  <c r="S2121" i="3" s="1"/>
  <c r="T2121" i="3" s="1"/>
  <c r="U2121" i="3"/>
  <c r="V2121" i="3" s="1"/>
  <c r="L2122" i="3"/>
  <c r="M2122" i="3"/>
  <c r="N2122" i="3"/>
  <c r="P2122" i="3"/>
  <c r="Q2122" i="3"/>
  <c r="R2122" i="3"/>
  <c r="S2122" i="3" s="1"/>
  <c r="T2122" i="3" s="1"/>
  <c r="U2122" i="3"/>
  <c r="V2122" i="3" s="1"/>
  <c r="L2123" i="3"/>
  <c r="M2123" i="3"/>
  <c r="N2123" i="3"/>
  <c r="P2123" i="3"/>
  <c r="Q2123" i="3"/>
  <c r="R2123" i="3"/>
  <c r="S2123" i="3" s="1"/>
  <c r="T2123" i="3" s="1"/>
  <c r="U2123" i="3"/>
  <c r="V2123" i="3" s="1"/>
  <c r="L2124" i="3"/>
  <c r="M2124" i="3"/>
  <c r="N2124" i="3"/>
  <c r="P2124" i="3"/>
  <c r="Q2124" i="3"/>
  <c r="R2124" i="3"/>
  <c r="S2124" i="3" s="1"/>
  <c r="T2124" i="3" s="1"/>
  <c r="U2124" i="3"/>
  <c r="V2124" i="3" s="1"/>
  <c r="L2125" i="3"/>
  <c r="M2125" i="3"/>
  <c r="N2125" i="3"/>
  <c r="P2125" i="3"/>
  <c r="Q2125" i="3"/>
  <c r="R2125" i="3"/>
  <c r="S2125" i="3" s="1"/>
  <c r="T2125" i="3" s="1"/>
  <c r="U2125" i="3"/>
  <c r="V2125" i="3" s="1"/>
  <c r="L2126" i="3"/>
  <c r="M2126" i="3"/>
  <c r="N2126" i="3"/>
  <c r="P2126" i="3"/>
  <c r="Q2126" i="3"/>
  <c r="R2126" i="3"/>
  <c r="S2126" i="3" s="1"/>
  <c r="T2126" i="3" s="1"/>
  <c r="U2126" i="3"/>
  <c r="V2126" i="3" s="1"/>
  <c r="L2127" i="3"/>
  <c r="M2127" i="3"/>
  <c r="N2127" i="3"/>
  <c r="P2127" i="3"/>
  <c r="Q2127" i="3"/>
  <c r="R2127" i="3"/>
  <c r="S2127" i="3" s="1"/>
  <c r="T2127" i="3" s="1"/>
  <c r="U2127" i="3"/>
  <c r="V2127" i="3" s="1"/>
  <c r="L2128" i="3"/>
  <c r="M2128" i="3"/>
  <c r="N2128" i="3"/>
  <c r="P2128" i="3"/>
  <c r="Q2128" i="3"/>
  <c r="R2128" i="3"/>
  <c r="S2128" i="3" s="1"/>
  <c r="T2128" i="3" s="1"/>
  <c r="U2128" i="3"/>
  <c r="V2128" i="3" s="1"/>
  <c r="L2129" i="3"/>
  <c r="M2129" i="3"/>
  <c r="N2129" i="3"/>
  <c r="P2129" i="3"/>
  <c r="Q2129" i="3"/>
  <c r="R2129" i="3"/>
  <c r="S2129" i="3" s="1"/>
  <c r="T2129" i="3" s="1"/>
  <c r="U2129" i="3"/>
  <c r="V2129" i="3"/>
  <c r="L2130" i="3"/>
  <c r="M2130" i="3"/>
  <c r="N2130" i="3"/>
  <c r="P2130" i="3"/>
  <c r="Q2130" i="3"/>
  <c r="R2130" i="3"/>
  <c r="S2130" i="3" s="1"/>
  <c r="T2130" i="3" s="1"/>
  <c r="U2130" i="3"/>
  <c r="V2130" i="3" s="1"/>
  <c r="L2131" i="3"/>
  <c r="M2131" i="3"/>
  <c r="N2131" i="3"/>
  <c r="P2131" i="3"/>
  <c r="Q2131" i="3"/>
  <c r="R2131" i="3"/>
  <c r="S2131" i="3" s="1"/>
  <c r="T2131" i="3" s="1"/>
  <c r="U2131" i="3"/>
  <c r="V2131" i="3" s="1"/>
  <c r="L2132" i="3"/>
  <c r="M2132" i="3"/>
  <c r="N2132" i="3"/>
  <c r="P2132" i="3"/>
  <c r="Q2132" i="3"/>
  <c r="R2132" i="3"/>
  <c r="S2132" i="3" s="1"/>
  <c r="T2132" i="3" s="1"/>
  <c r="U2132" i="3"/>
  <c r="V2132" i="3" s="1"/>
  <c r="L2133" i="3"/>
  <c r="M2133" i="3"/>
  <c r="N2133" i="3"/>
  <c r="P2133" i="3"/>
  <c r="Q2133" i="3"/>
  <c r="R2133" i="3"/>
  <c r="S2133" i="3" s="1"/>
  <c r="T2133" i="3" s="1"/>
  <c r="U2133" i="3"/>
  <c r="V2133" i="3" s="1"/>
  <c r="L2134" i="3"/>
  <c r="M2134" i="3"/>
  <c r="N2134" i="3"/>
  <c r="P2134" i="3"/>
  <c r="Q2134" i="3"/>
  <c r="R2134" i="3"/>
  <c r="S2134" i="3" s="1"/>
  <c r="T2134" i="3" s="1"/>
  <c r="U2134" i="3"/>
  <c r="V2134" i="3" s="1"/>
  <c r="L2135" i="3"/>
  <c r="M2135" i="3"/>
  <c r="N2135" i="3"/>
  <c r="P2135" i="3"/>
  <c r="Q2135" i="3"/>
  <c r="R2135" i="3"/>
  <c r="S2135" i="3" s="1"/>
  <c r="T2135" i="3" s="1"/>
  <c r="U2135" i="3"/>
  <c r="V2135" i="3" s="1"/>
  <c r="L2136" i="3"/>
  <c r="M2136" i="3"/>
  <c r="N2136" i="3"/>
  <c r="P2136" i="3"/>
  <c r="Q2136" i="3"/>
  <c r="R2136" i="3"/>
  <c r="S2136" i="3" s="1"/>
  <c r="T2136" i="3" s="1"/>
  <c r="U2136" i="3"/>
  <c r="V2136" i="3" s="1"/>
  <c r="L2137" i="3"/>
  <c r="M2137" i="3"/>
  <c r="N2137" i="3"/>
  <c r="P2137" i="3"/>
  <c r="Q2137" i="3"/>
  <c r="R2137" i="3"/>
  <c r="S2137" i="3" s="1"/>
  <c r="T2137" i="3" s="1"/>
  <c r="U2137" i="3"/>
  <c r="V2137" i="3" s="1"/>
  <c r="L2138" i="3"/>
  <c r="M2138" i="3"/>
  <c r="N2138" i="3"/>
  <c r="P2138" i="3"/>
  <c r="Q2138" i="3"/>
  <c r="R2138" i="3"/>
  <c r="S2138" i="3" s="1"/>
  <c r="T2138" i="3" s="1"/>
  <c r="U2138" i="3"/>
  <c r="V2138" i="3" s="1"/>
  <c r="L2139" i="3"/>
  <c r="M2139" i="3"/>
  <c r="N2139" i="3"/>
  <c r="P2139" i="3"/>
  <c r="Q2139" i="3"/>
  <c r="R2139" i="3"/>
  <c r="S2139" i="3" s="1"/>
  <c r="T2139" i="3" s="1"/>
  <c r="U2139" i="3"/>
  <c r="V2139" i="3" s="1"/>
  <c r="L2140" i="3"/>
  <c r="M2140" i="3"/>
  <c r="N2140" i="3"/>
  <c r="P2140" i="3"/>
  <c r="Q2140" i="3"/>
  <c r="R2140" i="3"/>
  <c r="S2140" i="3" s="1"/>
  <c r="T2140" i="3" s="1"/>
  <c r="U2140" i="3"/>
  <c r="V2140" i="3" s="1"/>
  <c r="L2141" i="3"/>
  <c r="M2141" i="3"/>
  <c r="N2141" i="3"/>
  <c r="P2141" i="3"/>
  <c r="Q2141" i="3"/>
  <c r="R2141" i="3"/>
  <c r="S2141" i="3" s="1"/>
  <c r="T2141" i="3" s="1"/>
  <c r="U2141" i="3"/>
  <c r="V2141" i="3" s="1"/>
  <c r="L2142" i="3"/>
  <c r="M2142" i="3"/>
  <c r="N2142" i="3"/>
  <c r="P2142" i="3"/>
  <c r="Q2142" i="3"/>
  <c r="R2142" i="3"/>
  <c r="S2142" i="3" s="1"/>
  <c r="T2142" i="3" s="1"/>
  <c r="U2142" i="3"/>
  <c r="V2142" i="3" s="1"/>
  <c r="L2143" i="3"/>
  <c r="M2143" i="3"/>
  <c r="N2143" i="3"/>
  <c r="P2143" i="3"/>
  <c r="Q2143" i="3"/>
  <c r="R2143" i="3"/>
  <c r="S2143" i="3" s="1"/>
  <c r="T2143" i="3" s="1"/>
  <c r="U2143" i="3"/>
  <c r="V2143" i="3" s="1"/>
  <c r="L2144" i="3"/>
  <c r="M2144" i="3"/>
  <c r="N2144" i="3"/>
  <c r="P2144" i="3"/>
  <c r="Q2144" i="3"/>
  <c r="R2144" i="3"/>
  <c r="S2144" i="3" s="1"/>
  <c r="T2144" i="3" s="1"/>
  <c r="U2144" i="3"/>
  <c r="V2144" i="3" s="1"/>
  <c r="L2145" i="3"/>
  <c r="M2145" i="3"/>
  <c r="N2145" i="3"/>
  <c r="P2145" i="3"/>
  <c r="Q2145" i="3"/>
  <c r="R2145" i="3"/>
  <c r="S2145" i="3" s="1"/>
  <c r="T2145" i="3" s="1"/>
  <c r="U2145" i="3"/>
  <c r="V2145" i="3" s="1"/>
  <c r="N6" i="17" l="1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5" i="17"/>
  <c r="AY27" i="9" l="1"/>
  <c r="AZ27" i="9"/>
  <c r="BA27" i="9"/>
  <c r="BB27" i="9"/>
  <c r="AX27" i="9"/>
  <c r="BX5" i="9"/>
  <c r="BX6" i="9"/>
  <c r="BX7" i="9"/>
  <c r="BX10" i="9"/>
  <c r="BX11" i="9"/>
  <c r="BX12" i="9"/>
  <c r="BX15" i="9"/>
  <c r="BX16" i="9"/>
  <c r="BX19" i="9"/>
  <c r="BX20" i="9"/>
  <c r="BX21" i="9"/>
  <c r="BX22" i="9"/>
  <c r="BX25" i="9"/>
  <c r="BX26" i="9"/>
  <c r="BW5" i="9"/>
  <c r="BW6" i="9"/>
  <c r="BW7" i="9"/>
  <c r="BW8" i="9"/>
  <c r="BW9" i="9"/>
  <c r="BW10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4" i="9"/>
  <c r="BX4" i="9"/>
  <c r="BC26" i="9" l="1"/>
  <c r="BD26" i="9"/>
  <c r="BE26" i="9"/>
  <c r="BF26" i="9"/>
  <c r="BG26" i="9"/>
  <c r="BL4" i="9" l="1"/>
  <c r="U3" i="3" l="1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U2286" i="3"/>
  <c r="U2287" i="3"/>
  <c r="U2288" i="3"/>
  <c r="U2289" i="3"/>
  <c r="U2290" i="3"/>
  <c r="U2291" i="3"/>
  <c r="U2292" i="3"/>
  <c r="U2293" i="3"/>
  <c r="U2294" i="3"/>
  <c r="U2295" i="3"/>
  <c r="U2296" i="3"/>
  <c r="U2297" i="3"/>
  <c r="U2298" i="3"/>
  <c r="U2299" i="3"/>
  <c r="U2300" i="3"/>
  <c r="U2301" i="3"/>
  <c r="U2302" i="3"/>
  <c r="U2303" i="3"/>
  <c r="U2304" i="3"/>
  <c r="U2305" i="3"/>
  <c r="U2306" i="3"/>
  <c r="U2307" i="3"/>
  <c r="U2308" i="3"/>
  <c r="U2309" i="3"/>
  <c r="U2310" i="3"/>
  <c r="U2311" i="3"/>
  <c r="U2312" i="3"/>
  <c r="U2313" i="3"/>
  <c r="U2314" i="3"/>
  <c r="U2315" i="3"/>
  <c r="U2316" i="3"/>
  <c r="U2317" i="3"/>
  <c r="U2318" i="3"/>
  <c r="U2319" i="3"/>
  <c r="U2320" i="3"/>
  <c r="U2321" i="3"/>
  <c r="U2322" i="3"/>
  <c r="U2323" i="3"/>
  <c r="U2324" i="3"/>
  <c r="U2325" i="3"/>
  <c r="U2326" i="3"/>
  <c r="U2327" i="3"/>
  <c r="U2328" i="3"/>
  <c r="U2329" i="3"/>
  <c r="U2330" i="3"/>
  <c r="U2331" i="3"/>
  <c r="U2332" i="3"/>
  <c r="U2333" i="3"/>
  <c r="U2334" i="3"/>
  <c r="U2335" i="3"/>
  <c r="U2336" i="3"/>
  <c r="U2337" i="3"/>
  <c r="U2338" i="3"/>
  <c r="U2339" i="3"/>
  <c r="U2340" i="3"/>
  <c r="U2341" i="3"/>
  <c r="U2342" i="3"/>
  <c r="U2343" i="3"/>
  <c r="U2344" i="3"/>
  <c r="U2345" i="3"/>
  <c r="U2346" i="3"/>
  <c r="U2347" i="3"/>
  <c r="U2348" i="3"/>
  <c r="U2349" i="3"/>
  <c r="U2350" i="3"/>
  <c r="U2351" i="3"/>
  <c r="U2352" i="3"/>
  <c r="U2353" i="3"/>
  <c r="U2354" i="3"/>
  <c r="U2355" i="3"/>
  <c r="U2356" i="3"/>
  <c r="U2357" i="3"/>
  <c r="U2358" i="3"/>
  <c r="U2359" i="3"/>
  <c r="U2360" i="3"/>
  <c r="U2361" i="3"/>
  <c r="U2362" i="3"/>
  <c r="U2363" i="3"/>
  <c r="U2364" i="3"/>
  <c r="U2365" i="3"/>
  <c r="U2366" i="3"/>
  <c r="U2367" i="3"/>
  <c r="U2368" i="3"/>
  <c r="U2369" i="3"/>
  <c r="U2370" i="3"/>
  <c r="U2371" i="3"/>
  <c r="U2372" i="3"/>
  <c r="U2373" i="3"/>
  <c r="U2374" i="3"/>
  <c r="U2375" i="3"/>
  <c r="U2376" i="3"/>
  <c r="U2377" i="3"/>
  <c r="U2378" i="3"/>
  <c r="U2379" i="3"/>
  <c r="U2380" i="3"/>
  <c r="U2381" i="3"/>
  <c r="U2382" i="3"/>
  <c r="U2383" i="3"/>
  <c r="U2384" i="3"/>
  <c r="U2385" i="3"/>
  <c r="U2386" i="3"/>
  <c r="U2387" i="3"/>
  <c r="U2388" i="3"/>
  <c r="U2389" i="3"/>
  <c r="U2390" i="3"/>
  <c r="U2391" i="3"/>
  <c r="U2392" i="3"/>
  <c r="U2393" i="3"/>
  <c r="U2394" i="3"/>
  <c r="U2395" i="3"/>
  <c r="U2396" i="3"/>
  <c r="U2397" i="3"/>
  <c r="U2398" i="3"/>
  <c r="U2399" i="3"/>
  <c r="U2400" i="3"/>
  <c r="U2401" i="3"/>
  <c r="U2402" i="3"/>
  <c r="U2403" i="3"/>
  <c r="U2404" i="3"/>
  <c r="U2405" i="3"/>
  <c r="U2406" i="3"/>
  <c r="U2407" i="3"/>
  <c r="U2408" i="3"/>
  <c r="U2409" i="3"/>
  <c r="U2410" i="3"/>
  <c r="U2411" i="3"/>
  <c r="U2412" i="3"/>
  <c r="U2413" i="3"/>
  <c r="U2414" i="3"/>
  <c r="U2415" i="3"/>
  <c r="U2416" i="3"/>
  <c r="U2417" i="3"/>
  <c r="U2418" i="3"/>
  <c r="U2419" i="3"/>
  <c r="U2420" i="3"/>
  <c r="U2421" i="3"/>
  <c r="U2422" i="3"/>
  <c r="U2423" i="3"/>
  <c r="U2424" i="3"/>
  <c r="U2425" i="3"/>
  <c r="U2426" i="3"/>
  <c r="U2427" i="3"/>
  <c r="U2428" i="3"/>
  <c r="U2429" i="3"/>
  <c r="U2430" i="3"/>
  <c r="U2431" i="3"/>
  <c r="U2432" i="3"/>
  <c r="U2433" i="3"/>
  <c r="U2434" i="3"/>
  <c r="U2435" i="3"/>
  <c r="U2436" i="3"/>
  <c r="U2437" i="3"/>
  <c r="U2438" i="3"/>
  <c r="U2439" i="3"/>
  <c r="U2440" i="3"/>
  <c r="U2441" i="3"/>
  <c r="U2442" i="3"/>
  <c r="U2443" i="3"/>
  <c r="U2444" i="3"/>
  <c r="U2445" i="3"/>
  <c r="U2446" i="3"/>
  <c r="U2447" i="3"/>
  <c r="U2448" i="3"/>
  <c r="U2449" i="3"/>
  <c r="U2450" i="3"/>
  <c r="U2451" i="3"/>
  <c r="U2452" i="3"/>
  <c r="U2453" i="3"/>
  <c r="U2454" i="3"/>
  <c r="U2455" i="3"/>
  <c r="U2456" i="3"/>
  <c r="U2457" i="3"/>
  <c r="U2458" i="3"/>
  <c r="U2459" i="3"/>
  <c r="U2460" i="3"/>
  <c r="U2461" i="3"/>
  <c r="U2462" i="3"/>
  <c r="U2463" i="3"/>
  <c r="U2464" i="3"/>
  <c r="U2465" i="3"/>
  <c r="U2466" i="3"/>
  <c r="U2467" i="3"/>
  <c r="U2468" i="3"/>
  <c r="U2469" i="3"/>
  <c r="U2470" i="3"/>
  <c r="U2471" i="3"/>
  <c r="U2472" i="3"/>
  <c r="U2473" i="3"/>
  <c r="U2474" i="3"/>
  <c r="U2475" i="3"/>
  <c r="U2476" i="3"/>
  <c r="U2477" i="3"/>
  <c r="U2478" i="3"/>
  <c r="U2479" i="3"/>
  <c r="U2480" i="3"/>
  <c r="U2481" i="3"/>
  <c r="U2482" i="3"/>
  <c r="U2483" i="3"/>
  <c r="U2484" i="3"/>
  <c r="U2485" i="3"/>
  <c r="U2486" i="3"/>
  <c r="U2487" i="3"/>
  <c r="U2488" i="3"/>
  <c r="U2489" i="3"/>
  <c r="U2490" i="3"/>
  <c r="U2491" i="3"/>
  <c r="U2492" i="3"/>
  <c r="U2493" i="3"/>
  <c r="U2494" i="3"/>
  <c r="U2495" i="3"/>
  <c r="U2496" i="3"/>
  <c r="U2497" i="3"/>
  <c r="U2498" i="3"/>
  <c r="U2499" i="3"/>
  <c r="U2500" i="3"/>
  <c r="U2501" i="3"/>
  <c r="U2502" i="3"/>
  <c r="U2503" i="3"/>
  <c r="U2504" i="3"/>
  <c r="U2505" i="3"/>
  <c r="U2506" i="3"/>
  <c r="U2507" i="3"/>
  <c r="U2508" i="3"/>
  <c r="U2509" i="3"/>
  <c r="U2510" i="3"/>
  <c r="U2511" i="3"/>
  <c r="U2512" i="3"/>
  <c r="U2513" i="3"/>
  <c r="U2514" i="3"/>
  <c r="U2515" i="3"/>
  <c r="U2516" i="3"/>
  <c r="U2517" i="3"/>
  <c r="U2518" i="3"/>
  <c r="U2519" i="3"/>
  <c r="U2520" i="3"/>
  <c r="U2521" i="3"/>
  <c r="U2522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U2698" i="3"/>
  <c r="U2699" i="3"/>
  <c r="U2700" i="3"/>
  <c r="U2701" i="3"/>
  <c r="U2702" i="3"/>
  <c r="U2703" i="3"/>
  <c r="U2704" i="3"/>
  <c r="U2705" i="3"/>
  <c r="U2706" i="3"/>
  <c r="U2707" i="3"/>
  <c r="U2708" i="3"/>
  <c r="U2709" i="3"/>
  <c r="U2710" i="3"/>
  <c r="U2711" i="3"/>
  <c r="U2712" i="3"/>
  <c r="U2713" i="3"/>
  <c r="U2714" i="3"/>
  <c r="U2715" i="3"/>
  <c r="U2716" i="3"/>
  <c r="U2717" i="3"/>
  <c r="U2718" i="3"/>
  <c r="U2719" i="3"/>
  <c r="U2720" i="3"/>
  <c r="U2721" i="3"/>
  <c r="U2722" i="3"/>
  <c r="U2723" i="3"/>
  <c r="U2724" i="3"/>
  <c r="U2725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U3137" i="3"/>
  <c r="U3138" i="3"/>
  <c r="U3139" i="3"/>
  <c r="U3140" i="3"/>
  <c r="U3141" i="3"/>
  <c r="U3142" i="3"/>
  <c r="U3143" i="3"/>
  <c r="U3144" i="3"/>
  <c r="U3145" i="3"/>
  <c r="U3146" i="3"/>
  <c r="U3147" i="3"/>
  <c r="U3148" i="3"/>
  <c r="U3149" i="3"/>
  <c r="U3150" i="3"/>
  <c r="U3151" i="3"/>
  <c r="U3152" i="3"/>
  <c r="U3153" i="3"/>
  <c r="U3154" i="3"/>
  <c r="U3155" i="3"/>
  <c r="U3156" i="3"/>
  <c r="U3157" i="3"/>
  <c r="U3158" i="3"/>
  <c r="U3159" i="3"/>
  <c r="U3160" i="3"/>
  <c r="U3161" i="3"/>
  <c r="U3162" i="3"/>
  <c r="U3163" i="3"/>
  <c r="U3164" i="3"/>
  <c r="U3165" i="3"/>
  <c r="U3166" i="3"/>
  <c r="U3167" i="3"/>
  <c r="U3168" i="3"/>
  <c r="U3169" i="3"/>
  <c r="U3170" i="3"/>
  <c r="U3171" i="3"/>
  <c r="U3172" i="3"/>
  <c r="U3173" i="3"/>
  <c r="U3174" i="3"/>
  <c r="U3175" i="3"/>
  <c r="U3176" i="3"/>
  <c r="U3177" i="3"/>
  <c r="U3178" i="3"/>
  <c r="U3179" i="3"/>
  <c r="U3180" i="3"/>
  <c r="U3181" i="3"/>
  <c r="U3182" i="3"/>
  <c r="U3183" i="3"/>
  <c r="U3184" i="3"/>
  <c r="U3185" i="3"/>
  <c r="U3186" i="3"/>
  <c r="U3187" i="3"/>
  <c r="U3188" i="3"/>
  <c r="U3189" i="3"/>
  <c r="U3190" i="3"/>
  <c r="U3191" i="3"/>
  <c r="U3192" i="3"/>
  <c r="U3193" i="3"/>
  <c r="U3194" i="3"/>
  <c r="U3195" i="3"/>
  <c r="U3196" i="3"/>
  <c r="U3197" i="3"/>
  <c r="U3198" i="3"/>
  <c r="U3199" i="3"/>
  <c r="U3200" i="3"/>
  <c r="U3201" i="3"/>
  <c r="U3202" i="3"/>
  <c r="U3203" i="3"/>
  <c r="U3204" i="3"/>
  <c r="U3205" i="3"/>
  <c r="U3206" i="3"/>
  <c r="U3207" i="3"/>
  <c r="U3208" i="3"/>
  <c r="U3209" i="3"/>
  <c r="U3210" i="3"/>
  <c r="U3211" i="3"/>
  <c r="U3212" i="3"/>
  <c r="U3213" i="3"/>
  <c r="U3214" i="3"/>
  <c r="U3215" i="3"/>
  <c r="U3216" i="3"/>
  <c r="U3217" i="3"/>
  <c r="U3218" i="3"/>
  <c r="U3219" i="3"/>
  <c r="U3220" i="3"/>
  <c r="U3221" i="3"/>
  <c r="U3222" i="3"/>
  <c r="U3223" i="3"/>
  <c r="U3224" i="3"/>
  <c r="U3225" i="3"/>
  <c r="U3226" i="3"/>
  <c r="U3227" i="3"/>
  <c r="U3228" i="3"/>
  <c r="U3229" i="3"/>
  <c r="U3230" i="3"/>
  <c r="U3231" i="3"/>
  <c r="U3232" i="3"/>
  <c r="U3233" i="3"/>
  <c r="U3234" i="3"/>
  <c r="U3235" i="3"/>
  <c r="U3236" i="3"/>
  <c r="U3237" i="3"/>
  <c r="U3238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U3276" i="3"/>
  <c r="U3277" i="3"/>
  <c r="U3278" i="3"/>
  <c r="U3279" i="3"/>
  <c r="U3280" i="3"/>
  <c r="U3281" i="3"/>
  <c r="U3282" i="3"/>
  <c r="U3283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U3332" i="3"/>
  <c r="U3333" i="3"/>
  <c r="U3334" i="3"/>
  <c r="U3335" i="3"/>
  <c r="U3336" i="3"/>
  <c r="U3337" i="3"/>
  <c r="U3338" i="3"/>
  <c r="U3339" i="3"/>
  <c r="U3340" i="3"/>
  <c r="U3341" i="3"/>
  <c r="U3342" i="3"/>
  <c r="U3343" i="3"/>
  <c r="U3344" i="3"/>
  <c r="U3345" i="3"/>
  <c r="U3346" i="3"/>
  <c r="U3347" i="3"/>
  <c r="U3348" i="3"/>
  <c r="U3349" i="3"/>
  <c r="U3350" i="3"/>
  <c r="U3351" i="3"/>
  <c r="U3352" i="3"/>
  <c r="U3353" i="3"/>
  <c r="U3354" i="3"/>
  <c r="U3355" i="3"/>
  <c r="U3356" i="3"/>
  <c r="U3357" i="3"/>
  <c r="U3358" i="3"/>
  <c r="U3359" i="3"/>
  <c r="U3360" i="3"/>
  <c r="U3361" i="3"/>
  <c r="U3362" i="3"/>
  <c r="U3363" i="3"/>
  <c r="U3364" i="3"/>
  <c r="U3365" i="3"/>
  <c r="U3366" i="3"/>
  <c r="U3367" i="3"/>
  <c r="U3368" i="3"/>
  <c r="U3369" i="3"/>
  <c r="U3370" i="3"/>
  <c r="U3371" i="3"/>
  <c r="U3372" i="3"/>
  <c r="U3373" i="3"/>
  <c r="U3374" i="3"/>
  <c r="U3375" i="3"/>
  <c r="U3376" i="3"/>
  <c r="U3377" i="3"/>
  <c r="U3378" i="3"/>
  <c r="U3379" i="3"/>
  <c r="U3380" i="3"/>
  <c r="U3381" i="3"/>
  <c r="U3382" i="3"/>
  <c r="U3383" i="3"/>
  <c r="U3384" i="3"/>
  <c r="U3385" i="3"/>
  <c r="U3386" i="3"/>
  <c r="U3387" i="3"/>
  <c r="U3388" i="3"/>
  <c r="U3389" i="3"/>
  <c r="U3390" i="3"/>
  <c r="U3391" i="3"/>
  <c r="U3392" i="3"/>
  <c r="U3393" i="3"/>
  <c r="U3394" i="3"/>
  <c r="U3395" i="3"/>
  <c r="U3396" i="3"/>
  <c r="U3397" i="3"/>
  <c r="U3398" i="3"/>
  <c r="U3399" i="3"/>
  <c r="U3400" i="3"/>
  <c r="U3401" i="3"/>
  <c r="U3402" i="3"/>
  <c r="U3403" i="3"/>
  <c r="U3404" i="3"/>
  <c r="U3405" i="3"/>
  <c r="U3406" i="3"/>
  <c r="U3407" i="3"/>
  <c r="U3408" i="3"/>
  <c r="U3409" i="3"/>
  <c r="U3410" i="3"/>
  <c r="U3411" i="3"/>
  <c r="U3412" i="3"/>
  <c r="U3413" i="3"/>
  <c r="U3414" i="3"/>
  <c r="U3415" i="3"/>
  <c r="U3416" i="3"/>
  <c r="U3417" i="3"/>
  <c r="U3418" i="3"/>
  <c r="U3419" i="3"/>
  <c r="U3420" i="3"/>
  <c r="U3421" i="3"/>
  <c r="U3422" i="3"/>
  <c r="U3423" i="3"/>
  <c r="U3424" i="3"/>
  <c r="U3425" i="3"/>
  <c r="U3426" i="3"/>
  <c r="U3427" i="3"/>
  <c r="U3428" i="3"/>
  <c r="U3429" i="3"/>
  <c r="U3430" i="3"/>
  <c r="U3431" i="3"/>
  <c r="U3432" i="3"/>
  <c r="U3433" i="3"/>
  <c r="U3434" i="3"/>
  <c r="U3435" i="3"/>
  <c r="U3436" i="3"/>
  <c r="U3437" i="3"/>
  <c r="U3438" i="3"/>
  <c r="U3439" i="3"/>
  <c r="U3440" i="3"/>
  <c r="U3441" i="3"/>
  <c r="U3442" i="3"/>
  <c r="U3443" i="3"/>
  <c r="U3444" i="3"/>
  <c r="U3445" i="3"/>
  <c r="U3446" i="3"/>
  <c r="U3447" i="3"/>
  <c r="U3448" i="3"/>
  <c r="U3449" i="3"/>
  <c r="U3450" i="3"/>
  <c r="U3451" i="3"/>
  <c r="U3452" i="3"/>
  <c r="U3453" i="3"/>
  <c r="U3454" i="3"/>
  <c r="U3455" i="3"/>
  <c r="U3456" i="3"/>
  <c r="U3457" i="3"/>
  <c r="U3458" i="3"/>
  <c r="U3459" i="3"/>
  <c r="U3460" i="3"/>
  <c r="U3461" i="3"/>
  <c r="U3462" i="3"/>
  <c r="U3463" i="3"/>
  <c r="U3464" i="3"/>
  <c r="U3465" i="3"/>
  <c r="U3466" i="3"/>
  <c r="U3467" i="3"/>
  <c r="U3468" i="3"/>
  <c r="U3469" i="3"/>
  <c r="U3470" i="3"/>
  <c r="U3471" i="3"/>
  <c r="U3472" i="3"/>
  <c r="U3473" i="3"/>
  <c r="U3474" i="3"/>
  <c r="U3475" i="3"/>
  <c r="U3476" i="3"/>
  <c r="U3477" i="3"/>
  <c r="U3478" i="3"/>
  <c r="U3479" i="3"/>
  <c r="U3480" i="3"/>
  <c r="U3481" i="3"/>
  <c r="U3482" i="3"/>
  <c r="U3483" i="3"/>
  <c r="U3484" i="3"/>
  <c r="U3485" i="3"/>
  <c r="U3486" i="3"/>
  <c r="U3487" i="3"/>
  <c r="U3488" i="3"/>
  <c r="U3489" i="3"/>
  <c r="U3490" i="3"/>
  <c r="U3491" i="3"/>
  <c r="U3492" i="3"/>
  <c r="U3493" i="3"/>
  <c r="U3494" i="3"/>
  <c r="U3495" i="3"/>
  <c r="U3496" i="3"/>
  <c r="U3497" i="3"/>
  <c r="U3498" i="3"/>
  <c r="U3499" i="3"/>
  <c r="U3500" i="3"/>
  <c r="U3501" i="3"/>
  <c r="U3502" i="3"/>
  <c r="U3503" i="3"/>
  <c r="U3504" i="3"/>
  <c r="U3505" i="3"/>
  <c r="U3506" i="3"/>
  <c r="U3507" i="3"/>
  <c r="U3508" i="3"/>
  <c r="U3509" i="3"/>
  <c r="U3510" i="3"/>
  <c r="U3511" i="3"/>
  <c r="U3512" i="3"/>
  <c r="U3513" i="3"/>
  <c r="U3514" i="3"/>
  <c r="U3515" i="3"/>
  <c r="U3516" i="3"/>
  <c r="U3517" i="3"/>
  <c r="U3518" i="3"/>
  <c r="U3519" i="3"/>
  <c r="U3520" i="3"/>
  <c r="U3521" i="3"/>
  <c r="U3522" i="3"/>
  <c r="U3523" i="3"/>
  <c r="U3524" i="3"/>
  <c r="U3525" i="3"/>
  <c r="U3526" i="3"/>
  <c r="U3527" i="3"/>
  <c r="U3528" i="3"/>
  <c r="U3529" i="3"/>
  <c r="U3530" i="3"/>
  <c r="U3531" i="3"/>
  <c r="U3532" i="3"/>
  <c r="U3533" i="3"/>
  <c r="U3534" i="3"/>
  <c r="U3535" i="3"/>
  <c r="U3536" i="3"/>
  <c r="U3537" i="3"/>
  <c r="U3538" i="3"/>
  <c r="U3539" i="3"/>
  <c r="U3540" i="3"/>
  <c r="U3541" i="3"/>
  <c r="U3542" i="3"/>
  <c r="U3543" i="3"/>
  <c r="U3544" i="3"/>
  <c r="U3545" i="3"/>
  <c r="U3546" i="3"/>
  <c r="U3547" i="3"/>
  <c r="U3548" i="3"/>
  <c r="U3549" i="3"/>
  <c r="U3550" i="3"/>
  <c r="U3551" i="3"/>
  <c r="U3552" i="3"/>
  <c r="U3553" i="3"/>
  <c r="U3554" i="3"/>
  <c r="U3555" i="3"/>
  <c r="U3556" i="3"/>
  <c r="U3557" i="3"/>
  <c r="U3558" i="3"/>
  <c r="U3559" i="3"/>
  <c r="U3560" i="3"/>
  <c r="U3561" i="3"/>
  <c r="U3562" i="3"/>
  <c r="U3563" i="3"/>
  <c r="U3564" i="3"/>
  <c r="U3565" i="3"/>
  <c r="U3566" i="3"/>
  <c r="U3567" i="3"/>
  <c r="U3568" i="3"/>
  <c r="U3569" i="3"/>
  <c r="U3570" i="3"/>
  <c r="U3571" i="3"/>
  <c r="U3572" i="3"/>
  <c r="U3573" i="3"/>
  <c r="U3574" i="3"/>
  <c r="U3575" i="3"/>
  <c r="U3576" i="3"/>
  <c r="U3577" i="3"/>
  <c r="U3578" i="3"/>
  <c r="U3579" i="3"/>
  <c r="U3580" i="3"/>
  <c r="U3581" i="3"/>
  <c r="U3582" i="3"/>
  <c r="U3583" i="3"/>
  <c r="U3584" i="3"/>
  <c r="U3585" i="3"/>
  <c r="U3586" i="3"/>
  <c r="U3587" i="3"/>
  <c r="U3588" i="3"/>
  <c r="U3589" i="3"/>
  <c r="U3590" i="3"/>
  <c r="U3591" i="3"/>
  <c r="U3592" i="3"/>
  <c r="U3593" i="3"/>
  <c r="U3594" i="3"/>
  <c r="U3595" i="3"/>
  <c r="U3596" i="3"/>
  <c r="U3597" i="3"/>
  <c r="U3598" i="3"/>
  <c r="U3599" i="3"/>
  <c r="U3600" i="3"/>
  <c r="U3601" i="3"/>
  <c r="U3602" i="3"/>
  <c r="U3603" i="3"/>
  <c r="U3604" i="3"/>
  <c r="U3605" i="3"/>
  <c r="U3606" i="3"/>
  <c r="U3607" i="3"/>
  <c r="U3608" i="3"/>
  <c r="U3609" i="3"/>
  <c r="U3610" i="3"/>
  <c r="U3611" i="3"/>
  <c r="U3612" i="3"/>
  <c r="U3613" i="3"/>
  <c r="U3614" i="3"/>
  <c r="U3615" i="3"/>
  <c r="U3616" i="3"/>
  <c r="U3617" i="3"/>
  <c r="U3618" i="3"/>
  <c r="U3619" i="3"/>
  <c r="U3620" i="3"/>
  <c r="U3621" i="3"/>
  <c r="U3622" i="3"/>
  <c r="U3623" i="3"/>
  <c r="U3624" i="3"/>
  <c r="U3625" i="3"/>
  <c r="U3626" i="3"/>
  <c r="U3627" i="3"/>
  <c r="U3628" i="3"/>
  <c r="U3629" i="3"/>
  <c r="U3630" i="3"/>
  <c r="U3631" i="3"/>
  <c r="U3632" i="3"/>
  <c r="U3633" i="3"/>
  <c r="U3634" i="3"/>
  <c r="U3635" i="3"/>
  <c r="U3636" i="3"/>
  <c r="U3637" i="3"/>
  <c r="U3638" i="3"/>
  <c r="U3639" i="3"/>
  <c r="U3640" i="3"/>
  <c r="U3641" i="3"/>
  <c r="U3642" i="3"/>
  <c r="U3643" i="3"/>
  <c r="U3644" i="3"/>
  <c r="U3645" i="3"/>
  <c r="U3646" i="3"/>
  <c r="U3647" i="3"/>
  <c r="U3648" i="3"/>
  <c r="U3649" i="3"/>
  <c r="U3650" i="3"/>
  <c r="U3651" i="3"/>
  <c r="U3652" i="3"/>
  <c r="U3653" i="3"/>
  <c r="U3654" i="3"/>
  <c r="U3655" i="3"/>
  <c r="U3656" i="3"/>
  <c r="U3657" i="3"/>
  <c r="U3658" i="3"/>
  <c r="U3659" i="3"/>
  <c r="U3660" i="3"/>
  <c r="U3661" i="3"/>
  <c r="U3662" i="3"/>
  <c r="U3663" i="3"/>
  <c r="U3664" i="3"/>
  <c r="U3665" i="3"/>
  <c r="U3666" i="3"/>
  <c r="U3667" i="3"/>
  <c r="U3668" i="3"/>
  <c r="U3669" i="3"/>
  <c r="U3670" i="3"/>
  <c r="U3671" i="3"/>
  <c r="U3672" i="3"/>
  <c r="U3673" i="3"/>
  <c r="U3674" i="3"/>
  <c r="U3675" i="3"/>
  <c r="U3676" i="3"/>
  <c r="U3677" i="3"/>
  <c r="U3678" i="3"/>
  <c r="U3679" i="3"/>
  <c r="U3680" i="3"/>
  <c r="U3681" i="3"/>
  <c r="U3682" i="3"/>
  <c r="U3683" i="3"/>
  <c r="U3684" i="3"/>
  <c r="U3685" i="3"/>
  <c r="U3686" i="3"/>
  <c r="U3687" i="3"/>
  <c r="U3688" i="3"/>
  <c r="U3689" i="3"/>
  <c r="U3690" i="3"/>
  <c r="U3691" i="3"/>
  <c r="U3692" i="3"/>
  <c r="U3693" i="3"/>
  <c r="U3694" i="3"/>
  <c r="U3695" i="3"/>
  <c r="U3696" i="3"/>
  <c r="U3697" i="3"/>
  <c r="U3698" i="3"/>
  <c r="U3699" i="3"/>
  <c r="U3700" i="3"/>
  <c r="U3701" i="3"/>
  <c r="U3702" i="3"/>
  <c r="U3703" i="3"/>
  <c r="U3704" i="3"/>
  <c r="U3705" i="3"/>
  <c r="U3706" i="3"/>
  <c r="U3707" i="3"/>
  <c r="U3708" i="3"/>
  <c r="U3709" i="3"/>
  <c r="U3710" i="3"/>
  <c r="U3711" i="3"/>
  <c r="U3712" i="3"/>
  <c r="U3713" i="3"/>
  <c r="U3714" i="3"/>
  <c r="U3715" i="3"/>
  <c r="U3716" i="3"/>
  <c r="U3717" i="3"/>
  <c r="U3718" i="3"/>
  <c r="U3719" i="3"/>
  <c r="U3720" i="3"/>
  <c r="U3721" i="3"/>
  <c r="U3722" i="3"/>
  <c r="U3723" i="3"/>
  <c r="U3724" i="3"/>
  <c r="U3725" i="3"/>
  <c r="U3726" i="3"/>
  <c r="U3727" i="3"/>
  <c r="U3728" i="3"/>
  <c r="U3729" i="3"/>
  <c r="U3730" i="3"/>
  <c r="U3731" i="3"/>
  <c r="U3732" i="3"/>
  <c r="U3733" i="3"/>
  <c r="U3734" i="3"/>
  <c r="U3735" i="3"/>
  <c r="U3736" i="3"/>
  <c r="U3737" i="3"/>
  <c r="U3738" i="3"/>
  <c r="U3739" i="3"/>
  <c r="U3740" i="3"/>
  <c r="U3741" i="3"/>
  <c r="U3742" i="3"/>
  <c r="U3743" i="3"/>
  <c r="U3744" i="3"/>
  <c r="U3745" i="3"/>
  <c r="U3746" i="3"/>
  <c r="U3747" i="3"/>
  <c r="U3748" i="3"/>
  <c r="U3749" i="3"/>
  <c r="U3750" i="3"/>
  <c r="U3751" i="3"/>
  <c r="U3752" i="3"/>
  <c r="U3753" i="3"/>
  <c r="U3754" i="3"/>
  <c r="U3755" i="3"/>
  <c r="U3756" i="3"/>
  <c r="U3757" i="3"/>
  <c r="U3758" i="3"/>
  <c r="U3759" i="3"/>
  <c r="U3760" i="3"/>
  <c r="U3761" i="3"/>
  <c r="U3762" i="3"/>
  <c r="U3763" i="3"/>
  <c r="U3764" i="3"/>
  <c r="U3765" i="3"/>
  <c r="U3766" i="3"/>
  <c r="U3767" i="3"/>
  <c r="U3768" i="3"/>
  <c r="U3769" i="3"/>
  <c r="U3770" i="3"/>
  <c r="U3771" i="3"/>
  <c r="U3772" i="3"/>
  <c r="U3773" i="3"/>
  <c r="U3774" i="3"/>
  <c r="U3775" i="3"/>
  <c r="U3776" i="3"/>
  <c r="U3777" i="3"/>
  <c r="U3778" i="3"/>
  <c r="U3779" i="3"/>
  <c r="U3780" i="3"/>
  <c r="U3781" i="3"/>
  <c r="U3782" i="3"/>
  <c r="U3783" i="3"/>
  <c r="U3784" i="3"/>
  <c r="U3785" i="3"/>
  <c r="U3786" i="3"/>
  <c r="U3787" i="3"/>
  <c r="U3788" i="3"/>
  <c r="U3789" i="3"/>
  <c r="U3790" i="3"/>
  <c r="U3791" i="3"/>
  <c r="U3792" i="3"/>
  <c r="U3793" i="3"/>
  <c r="U3794" i="3"/>
  <c r="U3795" i="3"/>
  <c r="U3796" i="3"/>
  <c r="U3797" i="3"/>
  <c r="U3798" i="3"/>
  <c r="U3799" i="3"/>
  <c r="U3800" i="3"/>
  <c r="U3801" i="3"/>
  <c r="U3802" i="3"/>
  <c r="U3803" i="3"/>
  <c r="U3804" i="3"/>
  <c r="U3805" i="3"/>
  <c r="U3806" i="3"/>
  <c r="U3807" i="3"/>
  <c r="U3808" i="3"/>
  <c r="U3809" i="3"/>
  <c r="U3810" i="3"/>
  <c r="U3811" i="3"/>
  <c r="U3812" i="3"/>
  <c r="U3813" i="3"/>
  <c r="U3814" i="3"/>
  <c r="U3815" i="3"/>
  <c r="U3816" i="3"/>
  <c r="U3817" i="3"/>
  <c r="U3818" i="3"/>
  <c r="U3819" i="3"/>
  <c r="U3820" i="3"/>
  <c r="U3821" i="3"/>
  <c r="U3822" i="3"/>
  <c r="U3823" i="3"/>
  <c r="U3824" i="3"/>
  <c r="U3825" i="3"/>
  <c r="U3826" i="3"/>
  <c r="U3827" i="3"/>
  <c r="U3828" i="3"/>
  <c r="U3829" i="3"/>
  <c r="U3830" i="3"/>
  <c r="U3831" i="3"/>
  <c r="U3832" i="3"/>
  <c r="U3833" i="3"/>
  <c r="U3834" i="3"/>
  <c r="U3835" i="3"/>
  <c r="U3836" i="3"/>
  <c r="U3837" i="3"/>
  <c r="U3838" i="3"/>
  <c r="U3839" i="3"/>
  <c r="U3840" i="3"/>
  <c r="U3841" i="3"/>
  <c r="U3842" i="3"/>
  <c r="U3843" i="3"/>
  <c r="U3844" i="3"/>
  <c r="U3845" i="3"/>
  <c r="U3846" i="3"/>
  <c r="U3847" i="3"/>
  <c r="U3848" i="3"/>
  <c r="U3849" i="3"/>
  <c r="U3850" i="3"/>
  <c r="U3851" i="3"/>
  <c r="U3852" i="3"/>
  <c r="U3853" i="3"/>
  <c r="U3854" i="3"/>
  <c r="U3855" i="3"/>
  <c r="U3856" i="3"/>
  <c r="U3857" i="3"/>
  <c r="U3858" i="3"/>
  <c r="U3859" i="3"/>
  <c r="U3860" i="3"/>
  <c r="U3861" i="3"/>
  <c r="U3862" i="3"/>
  <c r="U3863" i="3"/>
  <c r="U3864" i="3"/>
  <c r="U3865" i="3"/>
  <c r="U3866" i="3"/>
  <c r="U3867" i="3"/>
  <c r="U3868" i="3"/>
  <c r="U3869" i="3"/>
  <c r="U3870" i="3"/>
  <c r="U3871" i="3"/>
  <c r="U3872" i="3"/>
  <c r="U3873" i="3"/>
  <c r="U3874" i="3"/>
  <c r="U3875" i="3"/>
  <c r="U3876" i="3"/>
  <c r="U3877" i="3"/>
  <c r="U3878" i="3"/>
  <c r="U3879" i="3"/>
  <c r="U3880" i="3"/>
  <c r="U3881" i="3"/>
  <c r="U3882" i="3"/>
  <c r="U3883" i="3"/>
  <c r="U3884" i="3"/>
  <c r="U3885" i="3"/>
  <c r="U3886" i="3"/>
  <c r="U3887" i="3"/>
  <c r="U3888" i="3"/>
  <c r="U3889" i="3"/>
  <c r="U3890" i="3"/>
  <c r="U3891" i="3"/>
  <c r="U3892" i="3"/>
  <c r="U3893" i="3"/>
  <c r="U3894" i="3"/>
  <c r="U3895" i="3"/>
  <c r="U3896" i="3"/>
  <c r="U3897" i="3"/>
  <c r="U3898" i="3"/>
  <c r="U3899" i="3"/>
  <c r="U3900" i="3"/>
  <c r="U3901" i="3"/>
  <c r="U3902" i="3"/>
  <c r="U3903" i="3"/>
  <c r="U3904" i="3"/>
  <c r="U3905" i="3"/>
  <c r="U3906" i="3"/>
  <c r="U3907" i="3"/>
  <c r="U3908" i="3"/>
  <c r="U3909" i="3"/>
  <c r="U3910" i="3"/>
  <c r="U3911" i="3"/>
  <c r="U3912" i="3"/>
  <c r="U3913" i="3"/>
  <c r="U3914" i="3"/>
  <c r="U3915" i="3"/>
  <c r="U3916" i="3"/>
  <c r="U3917" i="3"/>
  <c r="U3918" i="3"/>
  <c r="U3919" i="3"/>
  <c r="U3920" i="3"/>
  <c r="U3921" i="3"/>
  <c r="U3922" i="3"/>
  <c r="U3923" i="3"/>
  <c r="U3924" i="3"/>
  <c r="U3925" i="3"/>
  <c r="U3926" i="3"/>
  <c r="U3927" i="3"/>
  <c r="U3928" i="3"/>
  <c r="U3929" i="3"/>
  <c r="U3930" i="3"/>
  <c r="U3931" i="3"/>
  <c r="U3932" i="3"/>
  <c r="U3933" i="3"/>
  <c r="U3934" i="3"/>
  <c r="U3935" i="3"/>
  <c r="U3936" i="3"/>
  <c r="U3937" i="3"/>
  <c r="U3938" i="3"/>
  <c r="U3939" i="3"/>
  <c r="U3940" i="3"/>
  <c r="U3941" i="3"/>
  <c r="U3942" i="3"/>
  <c r="U3943" i="3"/>
  <c r="U3944" i="3"/>
  <c r="U3945" i="3"/>
  <c r="U3946" i="3"/>
  <c r="U3947" i="3"/>
  <c r="U3948" i="3"/>
  <c r="U3949" i="3"/>
  <c r="U3950" i="3"/>
  <c r="U3951" i="3"/>
  <c r="U3952" i="3"/>
  <c r="U3953" i="3"/>
  <c r="U3954" i="3"/>
  <c r="U3955" i="3"/>
  <c r="U3956" i="3"/>
  <c r="U3957" i="3"/>
  <c r="U3958" i="3"/>
  <c r="U3959" i="3"/>
  <c r="U3960" i="3"/>
  <c r="U3961" i="3"/>
  <c r="U3962" i="3"/>
  <c r="U3963" i="3"/>
  <c r="U3964" i="3"/>
  <c r="U3965" i="3"/>
  <c r="U3966" i="3"/>
  <c r="U3967" i="3"/>
  <c r="U3968" i="3"/>
  <c r="U3969" i="3"/>
  <c r="U3970" i="3"/>
  <c r="U3971" i="3"/>
  <c r="U3972" i="3"/>
  <c r="U3973" i="3"/>
  <c r="U3974" i="3"/>
  <c r="U3975" i="3"/>
  <c r="U3976" i="3"/>
  <c r="U3977" i="3"/>
  <c r="U3978" i="3"/>
  <c r="U3979" i="3"/>
  <c r="U3980" i="3"/>
  <c r="U3981" i="3"/>
  <c r="U3982" i="3"/>
  <c r="U3983" i="3"/>
  <c r="U3984" i="3"/>
  <c r="U3985" i="3"/>
  <c r="U3986" i="3"/>
  <c r="U3987" i="3"/>
  <c r="U3988" i="3"/>
  <c r="U3989" i="3"/>
  <c r="U3990" i="3"/>
  <c r="U3991" i="3"/>
  <c r="U3992" i="3"/>
  <c r="U3993" i="3"/>
  <c r="U3994" i="3"/>
  <c r="U3995" i="3"/>
  <c r="U3996" i="3"/>
  <c r="U3997" i="3"/>
  <c r="U3998" i="3"/>
  <c r="U3999" i="3"/>
  <c r="U4000" i="3"/>
  <c r="U4001" i="3"/>
  <c r="U4002" i="3"/>
  <c r="U4003" i="3"/>
  <c r="U4004" i="3"/>
  <c r="U4005" i="3"/>
  <c r="U4006" i="3"/>
  <c r="U4007" i="3"/>
  <c r="U4008" i="3"/>
  <c r="U4009" i="3"/>
  <c r="U4010" i="3"/>
  <c r="U4011" i="3"/>
  <c r="U4012" i="3"/>
  <c r="U4013" i="3"/>
  <c r="U4014" i="3"/>
  <c r="U4015" i="3"/>
  <c r="U4016" i="3"/>
  <c r="U4017" i="3"/>
  <c r="U4018" i="3"/>
  <c r="U4019" i="3"/>
  <c r="U4020" i="3"/>
  <c r="U4021" i="3"/>
  <c r="U4022" i="3"/>
  <c r="U4023" i="3"/>
  <c r="U4024" i="3"/>
  <c r="U4025" i="3"/>
  <c r="U4026" i="3"/>
  <c r="U4027" i="3"/>
  <c r="U4028" i="3"/>
  <c r="U4029" i="3"/>
  <c r="U4030" i="3"/>
  <c r="U4031" i="3"/>
  <c r="U4032" i="3"/>
  <c r="U4033" i="3"/>
  <c r="U4034" i="3"/>
  <c r="U4035" i="3"/>
  <c r="U4036" i="3"/>
  <c r="U4037" i="3"/>
  <c r="U4038" i="3"/>
  <c r="U4039" i="3"/>
  <c r="U4040" i="3"/>
  <c r="U4041" i="3"/>
  <c r="U4042" i="3"/>
  <c r="U4043" i="3"/>
  <c r="U4044" i="3"/>
  <c r="U4045" i="3"/>
  <c r="U4046" i="3"/>
  <c r="U4047" i="3"/>
  <c r="U4048" i="3"/>
  <c r="U4049" i="3"/>
  <c r="U4050" i="3"/>
  <c r="U4051" i="3"/>
  <c r="U4052" i="3"/>
  <c r="U4053" i="3"/>
  <c r="U4054" i="3"/>
  <c r="U4055" i="3"/>
  <c r="U4056" i="3"/>
  <c r="U4057" i="3"/>
  <c r="U4058" i="3"/>
  <c r="U4059" i="3"/>
  <c r="U4060" i="3"/>
  <c r="U4061" i="3"/>
  <c r="U4062" i="3"/>
  <c r="U4063" i="3"/>
  <c r="U4064" i="3"/>
  <c r="U4065" i="3"/>
  <c r="U4066" i="3"/>
  <c r="U4067" i="3"/>
  <c r="U4068" i="3"/>
  <c r="U4069" i="3"/>
  <c r="U4070" i="3"/>
  <c r="U4071" i="3"/>
  <c r="U4072" i="3"/>
  <c r="U4073" i="3"/>
  <c r="U4074" i="3"/>
  <c r="U4075" i="3"/>
  <c r="U4076" i="3"/>
  <c r="U4077" i="3"/>
  <c r="U4078" i="3"/>
  <c r="U4079" i="3"/>
  <c r="U4080" i="3"/>
  <c r="U4081" i="3"/>
  <c r="U4082" i="3"/>
  <c r="U4083" i="3"/>
  <c r="U4084" i="3"/>
  <c r="U4085" i="3"/>
  <c r="U4086" i="3"/>
  <c r="U4087" i="3"/>
  <c r="U4088" i="3"/>
  <c r="U4089" i="3"/>
  <c r="U4090" i="3"/>
  <c r="U4091" i="3"/>
  <c r="U4092" i="3"/>
  <c r="U4093" i="3"/>
  <c r="U4094" i="3"/>
  <c r="U4095" i="3"/>
  <c r="U4096" i="3"/>
  <c r="U4097" i="3"/>
  <c r="U4098" i="3"/>
  <c r="U4099" i="3"/>
  <c r="U4100" i="3"/>
  <c r="U4101" i="3"/>
  <c r="U4102" i="3"/>
  <c r="U4103" i="3"/>
  <c r="U4104" i="3"/>
  <c r="U4105" i="3"/>
  <c r="U4106" i="3"/>
  <c r="U4107" i="3"/>
  <c r="U4108" i="3"/>
  <c r="U4109" i="3"/>
  <c r="U4110" i="3"/>
  <c r="U4111" i="3"/>
  <c r="U4112" i="3"/>
  <c r="U4113" i="3"/>
  <c r="U4114" i="3"/>
  <c r="U4115" i="3"/>
  <c r="U4116" i="3"/>
  <c r="U4117" i="3"/>
  <c r="U4118" i="3"/>
  <c r="U4119" i="3"/>
  <c r="U4120" i="3"/>
  <c r="U4121" i="3"/>
  <c r="U4122" i="3"/>
  <c r="U4123" i="3"/>
  <c r="U4124" i="3"/>
  <c r="U4125" i="3"/>
  <c r="U4126" i="3"/>
  <c r="U4127" i="3"/>
  <c r="U4128" i="3"/>
  <c r="U4129" i="3"/>
  <c r="U4130" i="3"/>
  <c r="U4131" i="3"/>
  <c r="U4132" i="3"/>
  <c r="U4133" i="3"/>
  <c r="U4134" i="3"/>
  <c r="U4135" i="3"/>
  <c r="U4136" i="3"/>
  <c r="U4137" i="3"/>
  <c r="U4138" i="3"/>
  <c r="U4139" i="3"/>
  <c r="U4140" i="3"/>
  <c r="U4141" i="3"/>
  <c r="U4142" i="3"/>
  <c r="U4143" i="3"/>
  <c r="U4144" i="3"/>
  <c r="U4145" i="3"/>
  <c r="U4146" i="3"/>
  <c r="U4147" i="3"/>
  <c r="U4148" i="3"/>
  <c r="U4149" i="3"/>
  <c r="U4150" i="3"/>
  <c r="U4151" i="3"/>
  <c r="U4152" i="3"/>
  <c r="U4153" i="3"/>
  <c r="U4154" i="3"/>
  <c r="U4155" i="3"/>
  <c r="U4156" i="3"/>
  <c r="U4157" i="3"/>
  <c r="U4158" i="3"/>
  <c r="U4159" i="3"/>
  <c r="U4160" i="3"/>
  <c r="U4161" i="3"/>
  <c r="U4162" i="3"/>
  <c r="U4163" i="3"/>
  <c r="U4164" i="3"/>
  <c r="U4165" i="3"/>
  <c r="U4166" i="3"/>
  <c r="U4167" i="3"/>
  <c r="U4168" i="3"/>
  <c r="U4169" i="3"/>
  <c r="U4170" i="3"/>
  <c r="U4171" i="3"/>
  <c r="U4172" i="3"/>
  <c r="U4173" i="3"/>
  <c r="U4174" i="3"/>
  <c r="U4175" i="3"/>
  <c r="U4176" i="3"/>
  <c r="U4177" i="3"/>
  <c r="U4178" i="3"/>
  <c r="U4179" i="3"/>
  <c r="U4180" i="3"/>
  <c r="U4181" i="3"/>
  <c r="U4182" i="3"/>
  <c r="U4183" i="3"/>
  <c r="U4184" i="3"/>
  <c r="U4185" i="3"/>
  <c r="U4186" i="3"/>
  <c r="U4187" i="3"/>
  <c r="U4188" i="3"/>
  <c r="U4189" i="3"/>
  <c r="U4190" i="3"/>
  <c r="U4191" i="3"/>
  <c r="U4192" i="3"/>
  <c r="U4193" i="3"/>
  <c r="U4194" i="3"/>
  <c r="U4195" i="3"/>
  <c r="U4196" i="3"/>
  <c r="U4197" i="3"/>
  <c r="U4198" i="3"/>
  <c r="U4199" i="3"/>
  <c r="U4200" i="3"/>
  <c r="U4201" i="3"/>
  <c r="U4202" i="3"/>
  <c r="U4203" i="3"/>
  <c r="U4204" i="3"/>
  <c r="U4205" i="3"/>
  <c r="U4206" i="3"/>
  <c r="U4207" i="3"/>
  <c r="U4208" i="3"/>
  <c r="U4209" i="3"/>
  <c r="U4210" i="3"/>
  <c r="U4211" i="3"/>
  <c r="U4212" i="3"/>
  <c r="U4213" i="3"/>
  <c r="U4214" i="3"/>
  <c r="U4215" i="3"/>
  <c r="U4216" i="3"/>
  <c r="U4217" i="3"/>
  <c r="U4218" i="3"/>
  <c r="U4219" i="3"/>
  <c r="U4220" i="3"/>
  <c r="U4221" i="3"/>
  <c r="U4222" i="3"/>
  <c r="U4223" i="3"/>
  <c r="U4224" i="3"/>
  <c r="U4225" i="3"/>
  <c r="U4226" i="3"/>
  <c r="U4227" i="3"/>
  <c r="U4228" i="3"/>
  <c r="U4229" i="3"/>
  <c r="U4230" i="3"/>
  <c r="U4231" i="3"/>
  <c r="U4232" i="3"/>
  <c r="U4233" i="3"/>
  <c r="U4234" i="3"/>
  <c r="U4235" i="3"/>
  <c r="U4236" i="3"/>
  <c r="U4237" i="3"/>
  <c r="U4238" i="3"/>
  <c r="U4239" i="3"/>
  <c r="U4240" i="3"/>
  <c r="U4241" i="3"/>
  <c r="U4242" i="3"/>
  <c r="U4243" i="3"/>
  <c r="U4244" i="3"/>
  <c r="U4245" i="3"/>
  <c r="U4246" i="3"/>
  <c r="U4247" i="3"/>
  <c r="U4248" i="3"/>
  <c r="U4249" i="3"/>
  <c r="U4250" i="3"/>
  <c r="U4251" i="3"/>
  <c r="U4252" i="3"/>
  <c r="U4253" i="3"/>
  <c r="U4254" i="3"/>
  <c r="U4255" i="3"/>
  <c r="U4256" i="3"/>
  <c r="U4257" i="3"/>
  <c r="U4258" i="3"/>
  <c r="U4259" i="3"/>
  <c r="U4260" i="3"/>
  <c r="U4261" i="3"/>
  <c r="U4262" i="3"/>
  <c r="U4263" i="3"/>
  <c r="U4264" i="3"/>
  <c r="U4265" i="3"/>
  <c r="U4266" i="3"/>
  <c r="U4267" i="3"/>
  <c r="U4268" i="3"/>
  <c r="U4269" i="3"/>
  <c r="U4270" i="3"/>
  <c r="U4271" i="3"/>
  <c r="U4272" i="3"/>
  <c r="U4273" i="3"/>
  <c r="U4274" i="3"/>
  <c r="U4275" i="3"/>
  <c r="U4276" i="3"/>
  <c r="U4277" i="3"/>
  <c r="U4278" i="3"/>
  <c r="U4279" i="3"/>
  <c r="U4280" i="3"/>
  <c r="U4281" i="3"/>
  <c r="U4282" i="3"/>
  <c r="U4283" i="3"/>
  <c r="U4284" i="3"/>
  <c r="U4285" i="3"/>
  <c r="U4286" i="3"/>
  <c r="U4287" i="3"/>
  <c r="U4288" i="3"/>
  <c r="U4289" i="3"/>
  <c r="U4290" i="3"/>
  <c r="U4291" i="3"/>
  <c r="U4292" i="3"/>
  <c r="U4293" i="3"/>
  <c r="U4294" i="3"/>
  <c r="U4295" i="3"/>
  <c r="U4296" i="3"/>
  <c r="U4297" i="3"/>
  <c r="U4298" i="3"/>
  <c r="U4299" i="3"/>
  <c r="U4300" i="3"/>
  <c r="U4301" i="3"/>
  <c r="U4302" i="3"/>
  <c r="U4303" i="3"/>
  <c r="U4304" i="3"/>
  <c r="U4305" i="3"/>
  <c r="U4306" i="3"/>
  <c r="U4307" i="3"/>
  <c r="U4308" i="3"/>
  <c r="U4309" i="3"/>
  <c r="U4310" i="3"/>
  <c r="U4311" i="3"/>
  <c r="U4312" i="3"/>
  <c r="U4313" i="3"/>
  <c r="U4314" i="3"/>
  <c r="U4315" i="3"/>
  <c r="U4316" i="3"/>
  <c r="U4317" i="3"/>
  <c r="U4318" i="3"/>
  <c r="U4319" i="3"/>
  <c r="U4320" i="3"/>
  <c r="U4321" i="3"/>
  <c r="U4322" i="3"/>
  <c r="U4323" i="3"/>
  <c r="U4324" i="3"/>
  <c r="U4325" i="3"/>
  <c r="U4326" i="3"/>
  <c r="U4327" i="3"/>
  <c r="U4328" i="3"/>
  <c r="U4329" i="3"/>
  <c r="U4330" i="3"/>
  <c r="U4331" i="3"/>
  <c r="U4332" i="3"/>
  <c r="U4333" i="3"/>
  <c r="U4334" i="3"/>
  <c r="U4335" i="3"/>
  <c r="U4336" i="3"/>
  <c r="U4337" i="3"/>
  <c r="U4338" i="3"/>
  <c r="U4339" i="3"/>
  <c r="U4340" i="3"/>
  <c r="U4341" i="3"/>
  <c r="U4342" i="3"/>
  <c r="U4343" i="3"/>
  <c r="U4344" i="3"/>
  <c r="U4345" i="3"/>
  <c r="U4346" i="3"/>
  <c r="U4347" i="3"/>
  <c r="U4348" i="3"/>
  <c r="U4349" i="3"/>
  <c r="U4350" i="3"/>
  <c r="U4351" i="3"/>
  <c r="U4352" i="3"/>
  <c r="U4353" i="3"/>
  <c r="U4354" i="3"/>
  <c r="U4355" i="3"/>
  <c r="U4356" i="3"/>
  <c r="U4357" i="3"/>
  <c r="U4358" i="3"/>
  <c r="U4359" i="3"/>
  <c r="U4360" i="3"/>
  <c r="U4361" i="3"/>
  <c r="U4362" i="3"/>
  <c r="U4363" i="3"/>
  <c r="U4364" i="3"/>
  <c r="U4365" i="3"/>
  <c r="U4366" i="3"/>
  <c r="U4367" i="3"/>
  <c r="U4368" i="3"/>
  <c r="U4369" i="3"/>
  <c r="U4370" i="3"/>
  <c r="U4371" i="3"/>
  <c r="U4372" i="3"/>
  <c r="U4373" i="3"/>
  <c r="U4374" i="3"/>
  <c r="U4375" i="3"/>
  <c r="U4376" i="3"/>
  <c r="U4377" i="3"/>
  <c r="U4378" i="3"/>
  <c r="U4379" i="3"/>
  <c r="U4380" i="3"/>
  <c r="U4381" i="3"/>
  <c r="U4382" i="3"/>
  <c r="U4383" i="3"/>
  <c r="U4384" i="3"/>
  <c r="U4385" i="3"/>
  <c r="U4386" i="3"/>
  <c r="U4387" i="3"/>
  <c r="U4388" i="3"/>
  <c r="U4389" i="3"/>
  <c r="U4390" i="3"/>
  <c r="U4391" i="3"/>
  <c r="U4392" i="3"/>
  <c r="U4393" i="3"/>
  <c r="U4394" i="3"/>
  <c r="U4395" i="3"/>
  <c r="U4396" i="3"/>
  <c r="U4397" i="3"/>
  <c r="U4398" i="3"/>
  <c r="U4399" i="3"/>
  <c r="U4400" i="3"/>
  <c r="U4401" i="3"/>
  <c r="U4402" i="3"/>
  <c r="U4403" i="3"/>
  <c r="U4404" i="3"/>
  <c r="U4405" i="3"/>
  <c r="U4406" i="3"/>
  <c r="U4407" i="3"/>
  <c r="U4408" i="3"/>
  <c r="U4409" i="3"/>
  <c r="U4410" i="3"/>
  <c r="U4411" i="3"/>
  <c r="U4412" i="3"/>
  <c r="U4413" i="3"/>
  <c r="U4414" i="3"/>
  <c r="U4415" i="3"/>
  <c r="U4416" i="3"/>
  <c r="U4417" i="3"/>
  <c r="U4418" i="3"/>
  <c r="U4419" i="3"/>
  <c r="U4420" i="3"/>
  <c r="U4421" i="3"/>
  <c r="U4422" i="3"/>
  <c r="U4423" i="3"/>
  <c r="U4424" i="3"/>
  <c r="U4425" i="3"/>
  <c r="U4426" i="3"/>
  <c r="U4427" i="3"/>
  <c r="U4428" i="3"/>
  <c r="U4429" i="3"/>
  <c r="U4430" i="3"/>
  <c r="U4431" i="3"/>
  <c r="U4432" i="3"/>
  <c r="U4433" i="3"/>
  <c r="U4434" i="3"/>
  <c r="U4435" i="3"/>
  <c r="U4436" i="3"/>
  <c r="U4437" i="3"/>
  <c r="U4438" i="3"/>
  <c r="U4439" i="3"/>
  <c r="U4440" i="3"/>
  <c r="U4441" i="3"/>
  <c r="U4442" i="3"/>
  <c r="U4443" i="3"/>
  <c r="U4444" i="3"/>
  <c r="U4445" i="3"/>
  <c r="U4446" i="3"/>
  <c r="U4447" i="3"/>
  <c r="U4448" i="3"/>
  <c r="U4449" i="3"/>
  <c r="U4450" i="3"/>
  <c r="U4451" i="3"/>
  <c r="U4452" i="3"/>
  <c r="U4453" i="3"/>
  <c r="U4454" i="3"/>
  <c r="U4455" i="3"/>
  <c r="U4456" i="3"/>
  <c r="U4457" i="3"/>
  <c r="U4458" i="3"/>
  <c r="U4459" i="3"/>
  <c r="U4460" i="3"/>
  <c r="U4461" i="3"/>
  <c r="U4462" i="3"/>
  <c r="U4463" i="3"/>
  <c r="U4464" i="3"/>
  <c r="U4465" i="3"/>
  <c r="U4466" i="3"/>
  <c r="U4467" i="3"/>
  <c r="U4468" i="3"/>
  <c r="U4469" i="3"/>
  <c r="U4470" i="3"/>
  <c r="U4471" i="3"/>
  <c r="U4472" i="3"/>
  <c r="U4473" i="3"/>
  <c r="U4474" i="3"/>
  <c r="U4475" i="3"/>
  <c r="U4476" i="3"/>
  <c r="U4477" i="3"/>
  <c r="U4478" i="3"/>
  <c r="U4479" i="3"/>
  <c r="U4480" i="3"/>
  <c r="U4481" i="3"/>
  <c r="U4482" i="3"/>
  <c r="U4483" i="3"/>
  <c r="U4484" i="3"/>
  <c r="U4485" i="3"/>
  <c r="U4486" i="3"/>
  <c r="U4487" i="3"/>
  <c r="U4488" i="3"/>
  <c r="U4489" i="3"/>
  <c r="U4490" i="3"/>
  <c r="U4491" i="3"/>
  <c r="U4492" i="3"/>
  <c r="U4493" i="3"/>
  <c r="U4494" i="3"/>
  <c r="U4495" i="3"/>
  <c r="U4496" i="3"/>
  <c r="U4497" i="3"/>
  <c r="U4498" i="3"/>
  <c r="U4499" i="3"/>
  <c r="U4500" i="3"/>
  <c r="U4501" i="3"/>
  <c r="U4502" i="3"/>
  <c r="U4503" i="3"/>
  <c r="U4504" i="3"/>
  <c r="U4505" i="3"/>
  <c r="U4506" i="3"/>
  <c r="U4507" i="3"/>
  <c r="U4508" i="3"/>
  <c r="U4509" i="3"/>
  <c r="U4510" i="3"/>
  <c r="U4511" i="3"/>
  <c r="U4512" i="3"/>
  <c r="U4513" i="3"/>
  <c r="U4514" i="3"/>
  <c r="U4515" i="3"/>
  <c r="U4516" i="3"/>
  <c r="U4517" i="3"/>
  <c r="U4518" i="3"/>
  <c r="U4519" i="3"/>
  <c r="U4520" i="3"/>
  <c r="U4521" i="3"/>
  <c r="U4522" i="3"/>
  <c r="U4523" i="3"/>
  <c r="U4524" i="3"/>
  <c r="U4525" i="3"/>
  <c r="U4526" i="3"/>
  <c r="U4527" i="3"/>
  <c r="U4528" i="3"/>
  <c r="U4529" i="3"/>
  <c r="U4530" i="3"/>
  <c r="U4531" i="3"/>
  <c r="U4532" i="3"/>
  <c r="U4533" i="3"/>
  <c r="U4534" i="3"/>
  <c r="U4535" i="3"/>
  <c r="U4536" i="3"/>
  <c r="U4537" i="3"/>
  <c r="U4538" i="3"/>
  <c r="U4539" i="3"/>
  <c r="U4540" i="3"/>
  <c r="U4541" i="3"/>
  <c r="U4542" i="3"/>
  <c r="U4543" i="3"/>
  <c r="U4544" i="3"/>
  <c r="U4545" i="3"/>
  <c r="U4546" i="3"/>
  <c r="U4547" i="3"/>
  <c r="U4548" i="3"/>
  <c r="U4549" i="3"/>
  <c r="U4550" i="3"/>
  <c r="U4551" i="3"/>
  <c r="U4552" i="3"/>
  <c r="U4553" i="3"/>
  <c r="U4554" i="3"/>
  <c r="U4555" i="3"/>
  <c r="U4556" i="3"/>
  <c r="U4557" i="3"/>
  <c r="U4558" i="3"/>
  <c r="U4559" i="3"/>
  <c r="U4560" i="3"/>
  <c r="U4561" i="3"/>
  <c r="U4562" i="3"/>
  <c r="U4563" i="3"/>
  <c r="U4564" i="3"/>
  <c r="U4565" i="3"/>
  <c r="U4566" i="3"/>
  <c r="U4567" i="3"/>
  <c r="U4568" i="3"/>
  <c r="U4569" i="3"/>
  <c r="U4570" i="3"/>
  <c r="U4571" i="3"/>
  <c r="U4572" i="3"/>
  <c r="U4573" i="3"/>
  <c r="U4574" i="3"/>
  <c r="U4575" i="3"/>
  <c r="U4576" i="3"/>
  <c r="U4577" i="3"/>
  <c r="U4578" i="3"/>
  <c r="U4579" i="3"/>
  <c r="U4580" i="3"/>
  <c r="U4581" i="3"/>
  <c r="U4582" i="3"/>
  <c r="U4583" i="3"/>
  <c r="U4584" i="3"/>
  <c r="U4585" i="3"/>
  <c r="U4586" i="3"/>
  <c r="U4587" i="3"/>
  <c r="U4588" i="3"/>
  <c r="U4589" i="3"/>
  <c r="U4590" i="3"/>
  <c r="U4591" i="3"/>
  <c r="U4592" i="3"/>
  <c r="U4593" i="3"/>
  <c r="U4594" i="3"/>
  <c r="U4595" i="3"/>
  <c r="U4596" i="3"/>
  <c r="U4597" i="3"/>
  <c r="U4598" i="3"/>
  <c r="U4599" i="3"/>
  <c r="U4600" i="3"/>
  <c r="U4601" i="3"/>
  <c r="U4602" i="3"/>
  <c r="U4603" i="3"/>
  <c r="U4604" i="3"/>
  <c r="U4605" i="3"/>
  <c r="U4606" i="3"/>
  <c r="U4607" i="3"/>
  <c r="U4608" i="3"/>
  <c r="U4609" i="3"/>
  <c r="U4610" i="3"/>
  <c r="U4611" i="3"/>
  <c r="U4612" i="3"/>
  <c r="U4613" i="3"/>
  <c r="U4614" i="3"/>
  <c r="U4615" i="3"/>
  <c r="U4616" i="3"/>
  <c r="U4617" i="3"/>
  <c r="U4618" i="3"/>
  <c r="U4619" i="3"/>
  <c r="U4620" i="3"/>
  <c r="U4621" i="3"/>
  <c r="U4622" i="3"/>
  <c r="U4623" i="3"/>
  <c r="U4624" i="3"/>
  <c r="U4625" i="3"/>
  <c r="U4626" i="3"/>
  <c r="U4627" i="3"/>
  <c r="U4628" i="3"/>
  <c r="U4629" i="3"/>
  <c r="U4630" i="3"/>
  <c r="U4631" i="3"/>
  <c r="U4632" i="3"/>
  <c r="U4633" i="3"/>
  <c r="U4634" i="3"/>
  <c r="U4635" i="3"/>
  <c r="U4636" i="3"/>
  <c r="U4637" i="3"/>
  <c r="U4638" i="3"/>
  <c r="U4639" i="3"/>
  <c r="U4640" i="3"/>
  <c r="U4641" i="3"/>
  <c r="U4642" i="3"/>
  <c r="U4643" i="3"/>
  <c r="U4644" i="3"/>
  <c r="U4645" i="3"/>
  <c r="U4646" i="3"/>
  <c r="U4647" i="3"/>
  <c r="U4648" i="3"/>
  <c r="U4649" i="3"/>
  <c r="U4650" i="3"/>
  <c r="U4651" i="3"/>
  <c r="U4652" i="3"/>
  <c r="U4653" i="3"/>
  <c r="U4654" i="3"/>
  <c r="U4655" i="3"/>
  <c r="U4656" i="3"/>
  <c r="U4657" i="3"/>
  <c r="U4658" i="3"/>
  <c r="U4659" i="3"/>
  <c r="U4660" i="3"/>
  <c r="U4661" i="3"/>
  <c r="U4662" i="3"/>
  <c r="U4663" i="3"/>
  <c r="U4664" i="3"/>
  <c r="U4665" i="3"/>
  <c r="U4666" i="3"/>
  <c r="U4667" i="3"/>
  <c r="U4668" i="3"/>
  <c r="U4669" i="3"/>
  <c r="U4670" i="3"/>
  <c r="U4671" i="3"/>
  <c r="U4672" i="3"/>
  <c r="U4673" i="3"/>
  <c r="U4674" i="3"/>
  <c r="U4675" i="3"/>
  <c r="U4676" i="3"/>
  <c r="U4677" i="3"/>
  <c r="U4678" i="3"/>
  <c r="U4679" i="3"/>
  <c r="U4680" i="3"/>
  <c r="U4681" i="3"/>
  <c r="U4682" i="3"/>
  <c r="U4683" i="3"/>
  <c r="U4684" i="3"/>
  <c r="U4685" i="3"/>
  <c r="U4686" i="3"/>
  <c r="U4687" i="3"/>
  <c r="U4688" i="3"/>
  <c r="U4689" i="3"/>
  <c r="U4690" i="3"/>
  <c r="U4691" i="3"/>
  <c r="U4692" i="3"/>
  <c r="U4693" i="3"/>
  <c r="U4694" i="3"/>
  <c r="U4695" i="3"/>
  <c r="U4696" i="3"/>
  <c r="U4697" i="3"/>
  <c r="U4698" i="3"/>
  <c r="U4699" i="3"/>
  <c r="U4700" i="3"/>
  <c r="U4701" i="3"/>
  <c r="U4702" i="3"/>
  <c r="U4703" i="3"/>
  <c r="U4704" i="3"/>
  <c r="U4705" i="3"/>
  <c r="U4706" i="3"/>
  <c r="U4707" i="3"/>
  <c r="U4708" i="3"/>
  <c r="U4709" i="3"/>
  <c r="U4710" i="3"/>
  <c r="U4711" i="3"/>
  <c r="U4712" i="3"/>
  <c r="U4713" i="3"/>
  <c r="U4714" i="3"/>
  <c r="U4715" i="3"/>
  <c r="U4716" i="3"/>
  <c r="U4717" i="3"/>
  <c r="U4718" i="3"/>
  <c r="U4719" i="3"/>
  <c r="U4720" i="3"/>
  <c r="U4721" i="3"/>
  <c r="U4722" i="3"/>
  <c r="U4723" i="3"/>
  <c r="U4724" i="3"/>
  <c r="U4725" i="3"/>
  <c r="U4726" i="3"/>
  <c r="U4727" i="3"/>
  <c r="U4728" i="3"/>
  <c r="U4729" i="3"/>
  <c r="U4730" i="3"/>
  <c r="U4731" i="3"/>
  <c r="U4732" i="3"/>
  <c r="U4733" i="3"/>
  <c r="U4734" i="3"/>
  <c r="U4735" i="3"/>
  <c r="U4736" i="3"/>
  <c r="U4737" i="3"/>
  <c r="U4738" i="3"/>
  <c r="U4739" i="3"/>
  <c r="U4740" i="3"/>
  <c r="U4741" i="3"/>
  <c r="U4742" i="3"/>
  <c r="U4743" i="3"/>
  <c r="U4744" i="3"/>
  <c r="U4745" i="3"/>
  <c r="U4746" i="3"/>
  <c r="U4747" i="3"/>
  <c r="U4748" i="3"/>
  <c r="U4749" i="3"/>
  <c r="U4750" i="3"/>
  <c r="U4751" i="3"/>
  <c r="U4752" i="3"/>
  <c r="U4753" i="3"/>
  <c r="U4754" i="3"/>
  <c r="U4755" i="3"/>
  <c r="U4756" i="3"/>
  <c r="U4757" i="3"/>
  <c r="U4758" i="3"/>
  <c r="U4759" i="3"/>
  <c r="U4760" i="3"/>
  <c r="U4761" i="3"/>
  <c r="U4762" i="3"/>
  <c r="U4763" i="3"/>
  <c r="U4764" i="3"/>
  <c r="U4765" i="3"/>
  <c r="U4766" i="3"/>
  <c r="U4767" i="3"/>
  <c r="U4768" i="3"/>
  <c r="U4769" i="3"/>
  <c r="U4770" i="3"/>
  <c r="U4771" i="3"/>
  <c r="U4772" i="3"/>
  <c r="U4773" i="3"/>
  <c r="U4774" i="3"/>
  <c r="U4775" i="3"/>
  <c r="U4776" i="3"/>
  <c r="U4777" i="3"/>
  <c r="U4778" i="3"/>
  <c r="U4779" i="3"/>
  <c r="U4780" i="3"/>
  <c r="U4781" i="3"/>
  <c r="U4782" i="3"/>
  <c r="U4783" i="3"/>
  <c r="U4784" i="3"/>
  <c r="U4785" i="3"/>
  <c r="U4786" i="3"/>
  <c r="U4787" i="3"/>
  <c r="U4788" i="3"/>
  <c r="U4789" i="3"/>
  <c r="U4790" i="3"/>
  <c r="U4791" i="3"/>
  <c r="U4792" i="3"/>
  <c r="U4793" i="3"/>
  <c r="U4794" i="3"/>
  <c r="U4795" i="3"/>
  <c r="U4796" i="3"/>
  <c r="U4797" i="3"/>
  <c r="U4798" i="3"/>
  <c r="U4799" i="3"/>
  <c r="U4800" i="3"/>
  <c r="U4801" i="3"/>
  <c r="U4802" i="3"/>
  <c r="U4803" i="3"/>
  <c r="U4804" i="3"/>
  <c r="U4805" i="3"/>
  <c r="U4806" i="3"/>
  <c r="U4807" i="3"/>
  <c r="U4808" i="3"/>
  <c r="U4809" i="3"/>
  <c r="U4810" i="3"/>
  <c r="U4811" i="3"/>
  <c r="U4812" i="3"/>
  <c r="U4813" i="3"/>
  <c r="U4814" i="3"/>
  <c r="U4815" i="3"/>
  <c r="U4816" i="3"/>
  <c r="U4817" i="3"/>
  <c r="U4818" i="3"/>
  <c r="U4819" i="3"/>
  <c r="U4820" i="3"/>
  <c r="U4821" i="3"/>
  <c r="U4822" i="3"/>
  <c r="U4823" i="3"/>
  <c r="U4824" i="3"/>
  <c r="U4825" i="3"/>
  <c r="U4826" i="3"/>
  <c r="U4827" i="3"/>
  <c r="U4828" i="3"/>
  <c r="U4829" i="3"/>
  <c r="U4830" i="3"/>
  <c r="U4831" i="3"/>
  <c r="U4832" i="3"/>
  <c r="U4833" i="3"/>
  <c r="U4834" i="3"/>
  <c r="U4835" i="3"/>
  <c r="U4836" i="3"/>
  <c r="U4837" i="3"/>
  <c r="U4838" i="3"/>
  <c r="U4839" i="3"/>
  <c r="U4840" i="3"/>
  <c r="U4841" i="3"/>
  <c r="U4842" i="3"/>
  <c r="U4843" i="3"/>
  <c r="U4844" i="3"/>
  <c r="U4845" i="3"/>
  <c r="U4846" i="3"/>
  <c r="U4847" i="3"/>
  <c r="U4848" i="3"/>
  <c r="U4849" i="3"/>
  <c r="U4850" i="3"/>
  <c r="U4851" i="3"/>
  <c r="U4852" i="3"/>
  <c r="U4853" i="3"/>
  <c r="U4854" i="3"/>
  <c r="U4855" i="3"/>
  <c r="U4856" i="3"/>
  <c r="U4857" i="3"/>
  <c r="U4858" i="3"/>
  <c r="U4859" i="3"/>
  <c r="U4860" i="3"/>
  <c r="U4861" i="3"/>
  <c r="U4862" i="3"/>
  <c r="U4863" i="3"/>
  <c r="U4864" i="3"/>
  <c r="U4865" i="3"/>
  <c r="U4866" i="3"/>
  <c r="U4867" i="3"/>
  <c r="U4868" i="3"/>
  <c r="U4869" i="3"/>
  <c r="U4870" i="3"/>
  <c r="U4871" i="3"/>
  <c r="U4872" i="3"/>
  <c r="U4873" i="3"/>
  <c r="U4874" i="3"/>
  <c r="U4875" i="3"/>
  <c r="U4876" i="3"/>
  <c r="U4877" i="3"/>
  <c r="U4878" i="3"/>
  <c r="U4879" i="3"/>
  <c r="U4880" i="3"/>
  <c r="U4881" i="3"/>
  <c r="U4882" i="3"/>
  <c r="U4883" i="3"/>
  <c r="U4884" i="3"/>
  <c r="U4885" i="3"/>
  <c r="U4886" i="3"/>
  <c r="U4887" i="3"/>
  <c r="U4888" i="3"/>
  <c r="U4889" i="3"/>
  <c r="U4890" i="3"/>
  <c r="U4891" i="3"/>
  <c r="U4892" i="3"/>
  <c r="U4893" i="3"/>
  <c r="U4894" i="3"/>
  <c r="U4895" i="3"/>
  <c r="U4896" i="3"/>
  <c r="U4897" i="3"/>
  <c r="U4898" i="3"/>
  <c r="U4899" i="3"/>
  <c r="U4900" i="3"/>
  <c r="U4901" i="3"/>
  <c r="U4902" i="3"/>
  <c r="U4903" i="3"/>
  <c r="U4904" i="3"/>
  <c r="U4905" i="3"/>
  <c r="U4906" i="3"/>
  <c r="U4907" i="3"/>
  <c r="U4908" i="3"/>
  <c r="U4909" i="3"/>
  <c r="U4910" i="3"/>
  <c r="U4911" i="3"/>
  <c r="U4912" i="3"/>
  <c r="U4913" i="3"/>
  <c r="U4914" i="3"/>
  <c r="U4915" i="3"/>
  <c r="U4916" i="3"/>
  <c r="U4917" i="3"/>
  <c r="U4918" i="3"/>
  <c r="U4919" i="3"/>
  <c r="U4920" i="3"/>
  <c r="U4921" i="3"/>
  <c r="U4922" i="3"/>
  <c r="U4923" i="3"/>
  <c r="U4924" i="3"/>
  <c r="U4925" i="3"/>
  <c r="U4926" i="3"/>
  <c r="U4927" i="3"/>
  <c r="U4928" i="3"/>
  <c r="U4929" i="3"/>
  <c r="U4930" i="3"/>
  <c r="U4931" i="3"/>
  <c r="U4932" i="3"/>
  <c r="U4933" i="3"/>
  <c r="U4934" i="3"/>
  <c r="U4935" i="3"/>
  <c r="U4936" i="3"/>
  <c r="U4937" i="3"/>
  <c r="U4938" i="3"/>
  <c r="U4939" i="3"/>
  <c r="U4940" i="3"/>
  <c r="U4941" i="3"/>
  <c r="U4942" i="3"/>
  <c r="U4943" i="3"/>
  <c r="U4944" i="3"/>
  <c r="U4945" i="3"/>
  <c r="U4946" i="3"/>
  <c r="U4947" i="3"/>
  <c r="U4948" i="3"/>
  <c r="U4949" i="3"/>
  <c r="U4950" i="3"/>
  <c r="U4951" i="3"/>
  <c r="U4952" i="3"/>
  <c r="U4953" i="3"/>
  <c r="U4954" i="3"/>
  <c r="U4955" i="3"/>
  <c r="U4956" i="3"/>
  <c r="U4957" i="3"/>
  <c r="U4958" i="3"/>
  <c r="U4959" i="3"/>
  <c r="U4960" i="3"/>
  <c r="U4961" i="3"/>
  <c r="U4962" i="3"/>
  <c r="U4963" i="3"/>
  <c r="U4964" i="3"/>
  <c r="U4965" i="3"/>
  <c r="U4966" i="3"/>
  <c r="U4967" i="3"/>
  <c r="U4968" i="3"/>
  <c r="U4969" i="3"/>
  <c r="U4970" i="3"/>
  <c r="U4971" i="3"/>
  <c r="U4972" i="3"/>
  <c r="U4973" i="3"/>
  <c r="U4974" i="3"/>
  <c r="U4975" i="3"/>
  <c r="U4976" i="3"/>
  <c r="U4977" i="3"/>
  <c r="U4978" i="3"/>
  <c r="U4979" i="3"/>
  <c r="U4980" i="3"/>
  <c r="U4981" i="3"/>
  <c r="U4982" i="3"/>
  <c r="U4983" i="3"/>
  <c r="U4984" i="3"/>
  <c r="U4985" i="3"/>
  <c r="U4986" i="3"/>
  <c r="U4987" i="3"/>
  <c r="U4988" i="3"/>
  <c r="U4989" i="3"/>
  <c r="U4990" i="3"/>
  <c r="U4991" i="3"/>
  <c r="U4992" i="3"/>
  <c r="U4993" i="3"/>
  <c r="U4994" i="3"/>
  <c r="U4995" i="3"/>
  <c r="U4996" i="3"/>
  <c r="U4997" i="3"/>
  <c r="U4998" i="3"/>
  <c r="U4999" i="3"/>
  <c r="U5000" i="3"/>
  <c r="U5001" i="3"/>
  <c r="U5002" i="3"/>
  <c r="U5003" i="3"/>
  <c r="U5004" i="3"/>
  <c r="U5005" i="3"/>
  <c r="U5006" i="3"/>
  <c r="U5007" i="3"/>
  <c r="U5008" i="3"/>
  <c r="U5009" i="3"/>
  <c r="U5010" i="3"/>
  <c r="U5011" i="3"/>
  <c r="U5012" i="3"/>
  <c r="U5013" i="3"/>
  <c r="U5014" i="3"/>
  <c r="U5015" i="3"/>
  <c r="U5016" i="3"/>
  <c r="U5017" i="3"/>
  <c r="U5018" i="3"/>
  <c r="U5019" i="3"/>
  <c r="U5020" i="3"/>
  <c r="U5021" i="3"/>
  <c r="U5022" i="3"/>
  <c r="U5023" i="3"/>
  <c r="U5024" i="3"/>
  <c r="U5025" i="3"/>
  <c r="U5026" i="3"/>
  <c r="U5027" i="3"/>
  <c r="U5028" i="3"/>
  <c r="U5029" i="3"/>
  <c r="U5030" i="3"/>
  <c r="U5031" i="3"/>
  <c r="U5032" i="3"/>
  <c r="U5033" i="3"/>
  <c r="U5034" i="3"/>
  <c r="U5035" i="3"/>
  <c r="U5036" i="3"/>
  <c r="U5037" i="3"/>
  <c r="U5038" i="3"/>
  <c r="U5039" i="3"/>
  <c r="U5040" i="3"/>
  <c r="U5041" i="3"/>
  <c r="U5042" i="3"/>
  <c r="U5043" i="3"/>
  <c r="U5044" i="3"/>
  <c r="U5045" i="3"/>
  <c r="U5046" i="3"/>
  <c r="U5047" i="3"/>
  <c r="U5048" i="3"/>
  <c r="U5049" i="3"/>
  <c r="U5050" i="3"/>
  <c r="U5051" i="3"/>
  <c r="U5052" i="3"/>
  <c r="U5053" i="3"/>
  <c r="U5054" i="3"/>
  <c r="U5055" i="3"/>
  <c r="U5056" i="3"/>
  <c r="U5057" i="3"/>
  <c r="U5058" i="3"/>
  <c r="U5059" i="3"/>
  <c r="U5060" i="3"/>
  <c r="U5061" i="3"/>
  <c r="U5062" i="3"/>
  <c r="U5063" i="3"/>
  <c r="U5064" i="3"/>
  <c r="U5065" i="3"/>
  <c r="U5066" i="3"/>
  <c r="U5067" i="3"/>
  <c r="U5068" i="3"/>
  <c r="U5069" i="3"/>
  <c r="U5070" i="3"/>
  <c r="U5071" i="3"/>
  <c r="U5072" i="3"/>
  <c r="U5073" i="3"/>
  <c r="U5074" i="3"/>
  <c r="U5075" i="3"/>
  <c r="U5076" i="3"/>
  <c r="U5077" i="3"/>
  <c r="U5078" i="3"/>
  <c r="U5079" i="3"/>
  <c r="U5080" i="3"/>
  <c r="U5081" i="3"/>
  <c r="U5082" i="3"/>
  <c r="U5083" i="3"/>
  <c r="U5084" i="3"/>
  <c r="U5085" i="3"/>
  <c r="U5086" i="3"/>
  <c r="U5087" i="3"/>
  <c r="U5088" i="3"/>
  <c r="U5089" i="3"/>
  <c r="U5090" i="3"/>
  <c r="U5091" i="3"/>
  <c r="U5092" i="3"/>
  <c r="U5093" i="3"/>
  <c r="U5094" i="3"/>
  <c r="U5095" i="3"/>
  <c r="U5096" i="3"/>
  <c r="U5097" i="3"/>
  <c r="U5098" i="3"/>
  <c r="U5099" i="3"/>
  <c r="U5100" i="3"/>
  <c r="U5101" i="3"/>
  <c r="U5102" i="3"/>
  <c r="U5103" i="3"/>
  <c r="U5104" i="3"/>
  <c r="U5105" i="3"/>
  <c r="U5106" i="3"/>
  <c r="U5107" i="3"/>
  <c r="U5108" i="3"/>
  <c r="U5109" i="3"/>
  <c r="U5110" i="3"/>
  <c r="U5111" i="3"/>
  <c r="U5112" i="3"/>
  <c r="U5113" i="3"/>
  <c r="U5114" i="3"/>
  <c r="U5115" i="3"/>
  <c r="U5116" i="3"/>
  <c r="U5117" i="3"/>
  <c r="U5118" i="3"/>
  <c r="U5119" i="3"/>
  <c r="U5120" i="3"/>
  <c r="U5121" i="3"/>
  <c r="U5122" i="3"/>
  <c r="U5123" i="3"/>
  <c r="U5124" i="3"/>
  <c r="U5125" i="3"/>
  <c r="U5126" i="3"/>
  <c r="U5127" i="3"/>
  <c r="U5128" i="3"/>
  <c r="U5129" i="3"/>
  <c r="U5130" i="3"/>
  <c r="U5131" i="3"/>
  <c r="U5132" i="3"/>
  <c r="U5133" i="3"/>
  <c r="U5134" i="3"/>
  <c r="U5135" i="3"/>
  <c r="U5136" i="3"/>
  <c r="U5137" i="3"/>
  <c r="U5138" i="3"/>
  <c r="U5139" i="3"/>
  <c r="U5140" i="3"/>
  <c r="U5141" i="3"/>
  <c r="U5142" i="3"/>
  <c r="U5143" i="3"/>
  <c r="U5144" i="3"/>
  <c r="U5145" i="3"/>
  <c r="U5146" i="3"/>
  <c r="U5147" i="3"/>
  <c r="U5148" i="3"/>
  <c r="U5149" i="3"/>
  <c r="U5150" i="3"/>
  <c r="U5151" i="3"/>
  <c r="U5152" i="3"/>
  <c r="U5153" i="3"/>
  <c r="U5154" i="3"/>
  <c r="U5155" i="3"/>
  <c r="U5156" i="3"/>
  <c r="U5157" i="3"/>
  <c r="U5158" i="3"/>
  <c r="U5159" i="3"/>
  <c r="U5160" i="3"/>
  <c r="U5161" i="3"/>
  <c r="U5162" i="3"/>
  <c r="U5163" i="3"/>
  <c r="U5164" i="3"/>
  <c r="U5165" i="3"/>
  <c r="U5166" i="3"/>
  <c r="U5167" i="3"/>
  <c r="U5168" i="3"/>
  <c r="U5169" i="3"/>
  <c r="U5170" i="3"/>
  <c r="U5171" i="3"/>
  <c r="U5172" i="3"/>
  <c r="U5173" i="3"/>
  <c r="U5174" i="3"/>
  <c r="U5175" i="3"/>
  <c r="U5176" i="3"/>
  <c r="U5177" i="3"/>
  <c r="U5178" i="3"/>
  <c r="U5179" i="3"/>
  <c r="U5180" i="3"/>
  <c r="U5181" i="3"/>
  <c r="U5182" i="3"/>
  <c r="U5183" i="3"/>
  <c r="U5184" i="3"/>
  <c r="U5185" i="3"/>
  <c r="U5186" i="3"/>
  <c r="U5187" i="3"/>
  <c r="U5188" i="3"/>
  <c r="U5189" i="3"/>
  <c r="U5190" i="3"/>
  <c r="U5191" i="3"/>
  <c r="U5192" i="3"/>
  <c r="U5193" i="3"/>
  <c r="U5194" i="3"/>
  <c r="U5195" i="3"/>
  <c r="U5196" i="3"/>
  <c r="U5197" i="3"/>
  <c r="U5198" i="3"/>
  <c r="U5199" i="3"/>
  <c r="U5200" i="3"/>
  <c r="U5201" i="3"/>
  <c r="U5202" i="3"/>
  <c r="U5203" i="3"/>
  <c r="U5204" i="3"/>
  <c r="U5205" i="3"/>
  <c r="U5206" i="3"/>
  <c r="U5207" i="3"/>
  <c r="U5208" i="3"/>
  <c r="U5209" i="3"/>
  <c r="U5210" i="3"/>
  <c r="U5211" i="3"/>
  <c r="U5212" i="3"/>
  <c r="U5213" i="3"/>
  <c r="U5214" i="3"/>
  <c r="U5215" i="3"/>
  <c r="U5216" i="3"/>
  <c r="U5217" i="3"/>
  <c r="U5218" i="3"/>
  <c r="U5219" i="3"/>
  <c r="U5220" i="3"/>
  <c r="U5221" i="3"/>
  <c r="U5222" i="3"/>
  <c r="U5223" i="3"/>
  <c r="U5224" i="3"/>
  <c r="U5225" i="3"/>
  <c r="U5226" i="3"/>
  <c r="U5227" i="3"/>
  <c r="U5228" i="3"/>
  <c r="U5229" i="3"/>
  <c r="U5230" i="3"/>
  <c r="U5231" i="3"/>
  <c r="U5232" i="3"/>
  <c r="U5233" i="3"/>
  <c r="U5234" i="3"/>
  <c r="U5235" i="3"/>
  <c r="U5236" i="3"/>
  <c r="U5237" i="3"/>
  <c r="U5238" i="3"/>
  <c r="U5239" i="3"/>
  <c r="U5240" i="3"/>
  <c r="U5241" i="3"/>
  <c r="U5242" i="3"/>
  <c r="U5243" i="3"/>
  <c r="U5244" i="3"/>
  <c r="U5245" i="3"/>
  <c r="U5246" i="3"/>
  <c r="U5247" i="3"/>
  <c r="U5248" i="3"/>
  <c r="U5249" i="3"/>
  <c r="U5250" i="3"/>
  <c r="U5251" i="3"/>
  <c r="U5252" i="3"/>
  <c r="U5253" i="3"/>
  <c r="U5254" i="3"/>
  <c r="U5255" i="3"/>
  <c r="U5256" i="3"/>
  <c r="U5257" i="3"/>
  <c r="U5258" i="3"/>
  <c r="U5259" i="3"/>
  <c r="U5260" i="3"/>
  <c r="U5261" i="3"/>
  <c r="U5262" i="3"/>
  <c r="U5263" i="3"/>
  <c r="U5264" i="3"/>
  <c r="U5265" i="3"/>
  <c r="U5266" i="3"/>
  <c r="U5267" i="3"/>
  <c r="U5268" i="3"/>
  <c r="U5269" i="3"/>
  <c r="U5270" i="3"/>
  <c r="U5271" i="3"/>
  <c r="U5272" i="3"/>
  <c r="U5273" i="3"/>
  <c r="U5274" i="3"/>
  <c r="U5275" i="3"/>
  <c r="U5276" i="3"/>
  <c r="U5277" i="3"/>
  <c r="U5278" i="3"/>
  <c r="U5279" i="3"/>
  <c r="U5280" i="3"/>
  <c r="U5281" i="3"/>
  <c r="U5282" i="3"/>
  <c r="U5283" i="3"/>
  <c r="U5284" i="3"/>
  <c r="U5285" i="3"/>
  <c r="U5286" i="3"/>
  <c r="U5287" i="3"/>
  <c r="U5288" i="3"/>
  <c r="U5289" i="3"/>
  <c r="U5290" i="3"/>
  <c r="U5291" i="3"/>
  <c r="U5292" i="3"/>
  <c r="U5293" i="3"/>
  <c r="U5294" i="3"/>
  <c r="U5295" i="3"/>
  <c r="U5296" i="3"/>
  <c r="U5297" i="3"/>
  <c r="U5298" i="3"/>
  <c r="U5299" i="3"/>
  <c r="U5300" i="3"/>
  <c r="U5301" i="3"/>
  <c r="U5302" i="3"/>
  <c r="U5303" i="3"/>
  <c r="U5304" i="3"/>
  <c r="U5305" i="3"/>
  <c r="U5306" i="3"/>
  <c r="U5307" i="3"/>
  <c r="U5308" i="3"/>
  <c r="U5309" i="3"/>
  <c r="U5310" i="3"/>
  <c r="U5311" i="3"/>
  <c r="U5312" i="3"/>
  <c r="U5313" i="3"/>
  <c r="U5314" i="3"/>
  <c r="U5315" i="3"/>
  <c r="U5316" i="3"/>
  <c r="U5317" i="3"/>
  <c r="U5318" i="3"/>
  <c r="U5319" i="3"/>
  <c r="U5320" i="3"/>
  <c r="U5321" i="3"/>
  <c r="U5322" i="3"/>
  <c r="U5323" i="3"/>
  <c r="U5324" i="3"/>
  <c r="U5325" i="3"/>
  <c r="U5326" i="3"/>
  <c r="U5327" i="3"/>
  <c r="U5328" i="3"/>
  <c r="U5329" i="3"/>
  <c r="U5330" i="3"/>
  <c r="U5331" i="3"/>
  <c r="U5332" i="3"/>
  <c r="U5333" i="3"/>
  <c r="U5334" i="3"/>
  <c r="U5335" i="3"/>
  <c r="U5336" i="3"/>
  <c r="U5337" i="3"/>
  <c r="U5338" i="3"/>
  <c r="U5339" i="3"/>
  <c r="U5340" i="3"/>
  <c r="U5341" i="3"/>
  <c r="U5342" i="3"/>
  <c r="U5343" i="3"/>
  <c r="U5344" i="3"/>
  <c r="U5345" i="3"/>
  <c r="U5346" i="3"/>
  <c r="U5347" i="3"/>
  <c r="U5348" i="3"/>
  <c r="U5349" i="3"/>
  <c r="U5350" i="3"/>
  <c r="U5351" i="3"/>
  <c r="U5352" i="3"/>
  <c r="U5353" i="3"/>
  <c r="U5354" i="3"/>
  <c r="U5355" i="3"/>
  <c r="U5356" i="3"/>
  <c r="U5357" i="3"/>
  <c r="U5358" i="3"/>
  <c r="U5359" i="3"/>
  <c r="U5360" i="3"/>
  <c r="U5361" i="3"/>
  <c r="U5362" i="3"/>
  <c r="U5363" i="3"/>
  <c r="U5364" i="3"/>
  <c r="U5365" i="3"/>
  <c r="U5366" i="3"/>
  <c r="U5367" i="3"/>
  <c r="U5368" i="3"/>
  <c r="U5369" i="3"/>
  <c r="U5370" i="3"/>
  <c r="U5371" i="3"/>
  <c r="U5372" i="3"/>
  <c r="U5373" i="3"/>
  <c r="U5374" i="3"/>
  <c r="U5375" i="3"/>
  <c r="U5376" i="3"/>
  <c r="U5377" i="3"/>
  <c r="U5378" i="3"/>
  <c r="U5379" i="3"/>
  <c r="U5380" i="3"/>
  <c r="U5381" i="3"/>
  <c r="U5382" i="3"/>
  <c r="U5383" i="3"/>
  <c r="U5384" i="3"/>
  <c r="U5385" i="3"/>
  <c r="U5386" i="3"/>
  <c r="U5387" i="3"/>
  <c r="U5388" i="3"/>
  <c r="U5389" i="3"/>
  <c r="U5390" i="3"/>
  <c r="U5391" i="3"/>
  <c r="U5392" i="3"/>
  <c r="U5393" i="3"/>
  <c r="U5394" i="3"/>
  <c r="U5395" i="3"/>
  <c r="U5396" i="3"/>
  <c r="U5397" i="3"/>
  <c r="U5398" i="3"/>
  <c r="U5399" i="3"/>
  <c r="U5400" i="3"/>
  <c r="U5401" i="3"/>
  <c r="U5402" i="3"/>
  <c r="U5403" i="3"/>
  <c r="U5404" i="3"/>
  <c r="U5405" i="3"/>
  <c r="U5406" i="3"/>
  <c r="U5407" i="3"/>
  <c r="U5408" i="3"/>
  <c r="U5409" i="3"/>
  <c r="U5410" i="3"/>
  <c r="U5411" i="3"/>
  <c r="U5412" i="3"/>
  <c r="U5413" i="3"/>
  <c r="U5414" i="3"/>
  <c r="U5415" i="3"/>
  <c r="U5416" i="3"/>
  <c r="U5417" i="3"/>
  <c r="U5418" i="3"/>
  <c r="U5419" i="3"/>
  <c r="U5420" i="3"/>
  <c r="U5421" i="3"/>
  <c r="U5422" i="3"/>
  <c r="U5423" i="3"/>
  <c r="U5424" i="3"/>
  <c r="U5425" i="3"/>
  <c r="U5426" i="3"/>
  <c r="U5427" i="3"/>
  <c r="U5428" i="3"/>
  <c r="U5429" i="3"/>
  <c r="U5430" i="3"/>
  <c r="U5431" i="3"/>
  <c r="U5432" i="3"/>
  <c r="U5433" i="3"/>
  <c r="U5434" i="3"/>
  <c r="U5435" i="3"/>
  <c r="U5436" i="3"/>
  <c r="U5437" i="3"/>
  <c r="U5438" i="3"/>
  <c r="U5439" i="3"/>
  <c r="U5440" i="3"/>
  <c r="U5441" i="3"/>
  <c r="U5442" i="3"/>
  <c r="U5443" i="3"/>
  <c r="U5444" i="3"/>
  <c r="U5445" i="3"/>
  <c r="U5446" i="3"/>
  <c r="U5447" i="3"/>
  <c r="U5448" i="3"/>
  <c r="U5449" i="3"/>
  <c r="U5450" i="3"/>
  <c r="U5451" i="3"/>
  <c r="U5452" i="3"/>
  <c r="U5453" i="3"/>
  <c r="U5454" i="3"/>
  <c r="U5455" i="3"/>
  <c r="U5456" i="3"/>
  <c r="U5457" i="3"/>
  <c r="U5458" i="3"/>
  <c r="U5459" i="3"/>
  <c r="U5460" i="3"/>
  <c r="U5461" i="3"/>
  <c r="U5462" i="3"/>
  <c r="U5463" i="3"/>
  <c r="U5464" i="3"/>
  <c r="U5465" i="3"/>
  <c r="U5466" i="3"/>
  <c r="U5467" i="3"/>
  <c r="U5468" i="3"/>
  <c r="U5469" i="3"/>
  <c r="U5470" i="3"/>
  <c r="U5471" i="3"/>
  <c r="U5472" i="3"/>
  <c r="U5473" i="3"/>
  <c r="U5474" i="3"/>
  <c r="U5475" i="3"/>
  <c r="U5476" i="3"/>
  <c r="U5477" i="3"/>
  <c r="U5478" i="3"/>
  <c r="U5479" i="3"/>
  <c r="U5480" i="3"/>
  <c r="U5481" i="3"/>
  <c r="U5482" i="3"/>
  <c r="U5483" i="3"/>
  <c r="U5484" i="3"/>
  <c r="U5485" i="3"/>
  <c r="U5486" i="3"/>
  <c r="U5487" i="3"/>
  <c r="U5488" i="3"/>
  <c r="U5489" i="3"/>
  <c r="U5490" i="3"/>
  <c r="U5491" i="3"/>
  <c r="U5492" i="3"/>
  <c r="U5493" i="3"/>
  <c r="U5494" i="3"/>
  <c r="U5495" i="3"/>
  <c r="U5496" i="3"/>
  <c r="U5497" i="3"/>
  <c r="U5498" i="3"/>
  <c r="U5499" i="3"/>
  <c r="U5500" i="3"/>
  <c r="U5501" i="3"/>
  <c r="U5502" i="3"/>
  <c r="U5503" i="3"/>
  <c r="U5504" i="3"/>
  <c r="U5505" i="3"/>
  <c r="U5506" i="3"/>
  <c r="U5507" i="3"/>
  <c r="U5508" i="3"/>
  <c r="U5509" i="3"/>
  <c r="U5510" i="3"/>
  <c r="U5511" i="3"/>
  <c r="U5512" i="3"/>
  <c r="U5513" i="3"/>
  <c r="U5514" i="3"/>
  <c r="U5515" i="3"/>
  <c r="U5516" i="3"/>
  <c r="U5517" i="3"/>
  <c r="U5518" i="3"/>
  <c r="U5519" i="3"/>
  <c r="U5520" i="3"/>
  <c r="U5521" i="3"/>
  <c r="U5522" i="3"/>
  <c r="U5523" i="3"/>
  <c r="U5524" i="3"/>
  <c r="U5525" i="3"/>
  <c r="U5526" i="3"/>
  <c r="U5527" i="3"/>
  <c r="U5528" i="3"/>
  <c r="U5529" i="3"/>
  <c r="U5530" i="3"/>
  <c r="U5531" i="3"/>
  <c r="U5532" i="3"/>
  <c r="U5533" i="3"/>
  <c r="U5534" i="3"/>
  <c r="U5535" i="3"/>
  <c r="U5536" i="3"/>
  <c r="U5537" i="3"/>
  <c r="U5538" i="3"/>
  <c r="U5539" i="3"/>
  <c r="U5540" i="3"/>
  <c r="U5541" i="3"/>
  <c r="U5542" i="3"/>
  <c r="U5543" i="3"/>
  <c r="U5544" i="3"/>
  <c r="U5545" i="3"/>
  <c r="U5546" i="3"/>
  <c r="U5547" i="3"/>
  <c r="U5548" i="3"/>
  <c r="U5549" i="3"/>
  <c r="U5550" i="3"/>
  <c r="U5551" i="3"/>
  <c r="U5552" i="3"/>
  <c r="U5553" i="3"/>
  <c r="U5554" i="3"/>
  <c r="U5555" i="3"/>
  <c r="U5556" i="3"/>
  <c r="U5557" i="3"/>
  <c r="U5558" i="3"/>
  <c r="U5559" i="3"/>
  <c r="U5560" i="3"/>
  <c r="U5561" i="3"/>
  <c r="U5562" i="3"/>
  <c r="U5563" i="3"/>
  <c r="U5564" i="3"/>
  <c r="U5565" i="3"/>
  <c r="U5566" i="3"/>
  <c r="U5567" i="3"/>
  <c r="U5568" i="3"/>
  <c r="U5569" i="3"/>
  <c r="U5570" i="3"/>
  <c r="U5571" i="3"/>
  <c r="U5572" i="3"/>
  <c r="U5573" i="3"/>
  <c r="U5574" i="3"/>
  <c r="U5575" i="3"/>
  <c r="U5576" i="3"/>
  <c r="U5577" i="3"/>
  <c r="U5578" i="3"/>
  <c r="U5579" i="3"/>
  <c r="U5580" i="3"/>
  <c r="U5581" i="3"/>
  <c r="U5582" i="3"/>
  <c r="U5583" i="3"/>
  <c r="U5584" i="3"/>
  <c r="U5585" i="3"/>
  <c r="U5586" i="3"/>
  <c r="U5587" i="3"/>
  <c r="U5588" i="3"/>
  <c r="U5589" i="3"/>
  <c r="U5590" i="3"/>
  <c r="U5591" i="3"/>
  <c r="U5592" i="3"/>
  <c r="U5593" i="3"/>
  <c r="U5594" i="3"/>
  <c r="U5595" i="3"/>
  <c r="U5596" i="3"/>
  <c r="U5597" i="3"/>
  <c r="U5598" i="3"/>
  <c r="U5599" i="3"/>
  <c r="U5600" i="3"/>
  <c r="U5601" i="3"/>
  <c r="U5602" i="3"/>
  <c r="U5603" i="3"/>
  <c r="U5604" i="3"/>
  <c r="U5605" i="3"/>
  <c r="U5606" i="3"/>
  <c r="U5607" i="3"/>
  <c r="U5608" i="3"/>
  <c r="U5609" i="3"/>
  <c r="U5610" i="3"/>
  <c r="U5611" i="3"/>
  <c r="U5612" i="3"/>
  <c r="U5613" i="3"/>
  <c r="U5614" i="3"/>
  <c r="U5615" i="3"/>
  <c r="U5616" i="3"/>
  <c r="U5617" i="3"/>
  <c r="U5618" i="3"/>
  <c r="U5619" i="3"/>
  <c r="U5620" i="3"/>
  <c r="U5621" i="3"/>
  <c r="U5622" i="3"/>
  <c r="U5623" i="3"/>
  <c r="U5624" i="3"/>
  <c r="U5625" i="3"/>
  <c r="U5626" i="3"/>
  <c r="U5627" i="3"/>
  <c r="U5628" i="3"/>
  <c r="U5629" i="3"/>
  <c r="U5630" i="3"/>
  <c r="U5631" i="3"/>
  <c r="U5632" i="3"/>
  <c r="U5633" i="3"/>
  <c r="U5634" i="3"/>
  <c r="U5635" i="3"/>
  <c r="U5636" i="3"/>
  <c r="U5637" i="3"/>
  <c r="U5638" i="3"/>
  <c r="U5639" i="3"/>
  <c r="U5640" i="3"/>
  <c r="U5641" i="3"/>
  <c r="U5642" i="3"/>
  <c r="U5643" i="3"/>
  <c r="U5644" i="3"/>
  <c r="U5645" i="3"/>
  <c r="U5646" i="3"/>
  <c r="U5647" i="3"/>
  <c r="U5648" i="3"/>
  <c r="U5649" i="3"/>
  <c r="U5650" i="3"/>
  <c r="U5651" i="3"/>
  <c r="U5652" i="3"/>
  <c r="U5653" i="3"/>
  <c r="U5654" i="3"/>
  <c r="U5655" i="3"/>
  <c r="U5656" i="3"/>
  <c r="U5657" i="3"/>
  <c r="U5658" i="3"/>
  <c r="U5659" i="3"/>
  <c r="U5660" i="3"/>
  <c r="U5661" i="3"/>
  <c r="U5662" i="3"/>
  <c r="U5663" i="3"/>
  <c r="U5664" i="3"/>
  <c r="U5665" i="3"/>
  <c r="U5666" i="3"/>
  <c r="U5667" i="3"/>
  <c r="U5668" i="3"/>
  <c r="U5669" i="3"/>
  <c r="U5670" i="3"/>
  <c r="U5671" i="3"/>
  <c r="U5672" i="3"/>
  <c r="U5673" i="3"/>
  <c r="U5674" i="3"/>
  <c r="U5675" i="3"/>
  <c r="U5676" i="3"/>
  <c r="U5677" i="3"/>
  <c r="U5678" i="3"/>
  <c r="U5679" i="3"/>
  <c r="U5680" i="3"/>
  <c r="U5681" i="3"/>
  <c r="U5682" i="3"/>
  <c r="U5683" i="3"/>
  <c r="U5684" i="3"/>
  <c r="U5685" i="3"/>
  <c r="U5686" i="3"/>
  <c r="U5687" i="3"/>
  <c r="U5688" i="3"/>
  <c r="U5689" i="3"/>
  <c r="U5690" i="3"/>
  <c r="U5691" i="3"/>
  <c r="U5692" i="3"/>
  <c r="U5693" i="3"/>
  <c r="U5694" i="3"/>
  <c r="U5695" i="3"/>
  <c r="U5696" i="3"/>
  <c r="U5697" i="3"/>
  <c r="U5698" i="3"/>
  <c r="U5699" i="3"/>
  <c r="U5700" i="3"/>
  <c r="U5701" i="3"/>
  <c r="U5702" i="3"/>
  <c r="U5703" i="3"/>
  <c r="U5704" i="3"/>
  <c r="U5705" i="3"/>
  <c r="U5706" i="3"/>
  <c r="U5707" i="3"/>
  <c r="U5708" i="3"/>
  <c r="U5709" i="3"/>
  <c r="U5710" i="3"/>
  <c r="U5711" i="3"/>
  <c r="U5712" i="3"/>
  <c r="U5713" i="3"/>
  <c r="U5714" i="3"/>
  <c r="U5715" i="3"/>
  <c r="U5716" i="3"/>
  <c r="U5717" i="3"/>
  <c r="U5718" i="3"/>
  <c r="U5719" i="3"/>
  <c r="U5720" i="3"/>
  <c r="U5721" i="3"/>
  <c r="U5722" i="3"/>
  <c r="U5723" i="3"/>
  <c r="U5724" i="3"/>
  <c r="U5725" i="3"/>
  <c r="U5726" i="3"/>
  <c r="U5727" i="3"/>
  <c r="U5728" i="3"/>
  <c r="U5729" i="3"/>
  <c r="U5730" i="3"/>
  <c r="U5731" i="3"/>
  <c r="U5732" i="3"/>
  <c r="U5733" i="3"/>
  <c r="U5734" i="3"/>
  <c r="U5735" i="3"/>
  <c r="U5736" i="3"/>
  <c r="U5737" i="3"/>
  <c r="U5738" i="3"/>
  <c r="U5739" i="3"/>
  <c r="U5740" i="3"/>
  <c r="U5741" i="3"/>
  <c r="U5742" i="3"/>
  <c r="U5743" i="3"/>
  <c r="U5744" i="3"/>
  <c r="U5745" i="3"/>
  <c r="U5746" i="3"/>
  <c r="U5747" i="3"/>
  <c r="U5748" i="3"/>
  <c r="U5749" i="3"/>
  <c r="U5750" i="3"/>
  <c r="U5751" i="3"/>
  <c r="U5752" i="3"/>
  <c r="U5753" i="3"/>
  <c r="U5754" i="3"/>
  <c r="U5755" i="3"/>
  <c r="U5756" i="3"/>
  <c r="U5757" i="3"/>
  <c r="U5758" i="3"/>
  <c r="U5759" i="3"/>
  <c r="U5760" i="3"/>
  <c r="U5761" i="3"/>
  <c r="U5762" i="3"/>
  <c r="U5763" i="3"/>
  <c r="U5764" i="3"/>
  <c r="U5765" i="3"/>
  <c r="U5766" i="3"/>
  <c r="U5767" i="3"/>
  <c r="U5768" i="3"/>
  <c r="U5769" i="3"/>
  <c r="U5770" i="3"/>
  <c r="U5771" i="3"/>
  <c r="U5772" i="3"/>
  <c r="U5773" i="3"/>
  <c r="U5774" i="3"/>
  <c r="U5775" i="3"/>
  <c r="U5776" i="3"/>
  <c r="U5777" i="3"/>
  <c r="U5778" i="3"/>
  <c r="U5779" i="3"/>
  <c r="U5780" i="3"/>
  <c r="U5781" i="3"/>
  <c r="U5782" i="3"/>
  <c r="U5783" i="3"/>
  <c r="U5784" i="3"/>
  <c r="U5785" i="3"/>
  <c r="U5786" i="3"/>
  <c r="U5787" i="3"/>
  <c r="U5788" i="3"/>
  <c r="U5789" i="3"/>
  <c r="U5790" i="3"/>
  <c r="U5791" i="3"/>
  <c r="U5792" i="3"/>
  <c r="U5793" i="3"/>
  <c r="U5794" i="3"/>
  <c r="U5795" i="3"/>
  <c r="U5796" i="3"/>
  <c r="U5797" i="3"/>
  <c r="U5798" i="3"/>
  <c r="U5799" i="3"/>
  <c r="U5800" i="3"/>
  <c r="U5801" i="3"/>
  <c r="U5802" i="3"/>
  <c r="U5803" i="3"/>
  <c r="U5804" i="3"/>
  <c r="U5805" i="3"/>
  <c r="U5806" i="3"/>
  <c r="U5807" i="3"/>
  <c r="U5808" i="3"/>
  <c r="U5809" i="3"/>
  <c r="U5810" i="3"/>
  <c r="U5811" i="3"/>
  <c r="U5812" i="3"/>
  <c r="U5813" i="3"/>
  <c r="U5814" i="3"/>
  <c r="U5815" i="3"/>
  <c r="U5816" i="3"/>
  <c r="U5817" i="3"/>
  <c r="U5818" i="3"/>
  <c r="U5819" i="3"/>
  <c r="U5820" i="3"/>
  <c r="U5821" i="3"/>
  <c r="U5822" i="3"/>
  <c r="U5823" i="3"/>
  <c r="U5824" i="3"/>
  <c r="U5825" i="3"/>
  <c r="U5826" i="3"/>
  <c r="U5827" i="3"/>
  <c r="U5828" i="3"/>
  <c r="U5829" i="3"/>
  <c r="U5830" i="3"/>
  <c r="U5831" i="3"/>
  <c r="U5832" i="3"/>
  <c r="U5833" i="3"/>
  <c r="U5834" i="3"/>
  <c r="U5835" i="3"/>
  <c r="U5836" i="3"/>
  <c r="U5837" i="3"/>
  <c r="U5838" i="3"/>
  <c r="U5839" i="3"/>
  <c r="U5840" i="3"/>
  <c r="U5841" i="3"/>
  <c r="U5842" i="3"/>
  <c r="U5843" i="3"/>
  <c r="U5844" i="3"/>
  <c r="U5845" i="3"/>
  <c r="U5846" i="3"/>
  <c r="U5847" i="3"/>
  <c r="U5848" i="3"/>
  <c r="U5849" i="3"/>
  <c r="U5850" i="3"/>
  <c r="U5851" i="3"/>
  <c r="U5852" i="3"/>
  <c r="U5853" i="3"/>
  <c r="U5854" i="3"/>
  <c r="U5855" i="3"/>
  <c r="U5856" i="3"/>
  <c r="U5857" i="3"/>
  <c r="U5858" i="3"/>
  <c r="U5859" i="3"/>
  <c r="U5860" i="3"/>
  <c r="U5861" i="3"/>
  <c r="U5862" i="3"/>
  <c r="U5863" i="3"/>
  <c r="U5864" i="3"/>
  <c r="U5865" i="3"/>
  <c r="U5866" i="3"/>
  <c r="U5867" i="3"/>
  <c r="U5868" i="3"/>
  <c r="U5869" i="3"/>
  <c r="U5870" i="3"/>
  <c r="U5871" i="3"/>
  <c r="U5872" i="3"/>
  <c r="U5873" i="3"/>
  <c r="U5874" i="3"/>
  <c r="U5875" i="3"/>
  <c r="U5876" i="3"/>
  <c r="U5877" i="3"/>
  <c r="U5878" i="3"/>
  <c r="U5879" i="3"/>
  <c r="U5880" i="3"/>
  <c r="U5881" i="3"/>
  <c r="U5882" i="3"/>
  <c r="U5883" i="3"/>
  <c r="U5884" i="3"/>
  <c r="U5885" i="3"/>
  <c r="U5886" i="3"/>
  <c r="U5887" i="3"/>
  <c r="U5888" i="3"/>
  <c r="U5889" i="3"/>
  <c r="U5890" i="3"/>
  <c r="U5891" i="3"/>
  <c r="U5892" i="3"/>
  <c r="U5893" i="3"/>
  <c r="U5894" i="3"/>
  <c r="U5895" i="3"/>
  <c r="U5896" i="3"/>
  <c r="U5897" i="3"/>
  <c r="U5898" i="3"/>
  <c r="U5899" i="3"/>
  <c r="U5900" i="3"/>
  <c r="U5901" i="3"/>
  <c r="U5902" i="3"/>
  <c r="U5903" i="3"/>
  <c r="U5904" i="3"/>
  <c r="U5905" i="3"/>
  <c r="U5906" i="3"/>
  <c r="U5907" i="3"/>
  <c r="U5908" i="3"/>
  <c r="U5909" i="3"/>
  <c r="U5910" i="3"/>
  <c r="U5911" i="3"/>
  <c r="U5912" i="3"/>
  <c r="U5913" i="3"/>
  <c r="U5914" i="3"/>
  <c r="U5915" i="3"/>
  <c r="U5916" i="3"/>
  <c r="U5917" i="3"/>
  <c r="U5918" i="3"/>
  <c r="U5919" i="3"/>
  <c r="U5920" i="3"/>
  <c r="U5921" i="3"/>
  <c r="U5922" i="3"/>
  <c r="U5923" i="3"/>
  <c r="U5924" i="3"/>
  <c r="U5925" i="3"/>
  <c r="U5926" i="3"/>
  <c r="U5927" i="3"/>
  <c r="U5928" i="3"/>
  <c r="U5929" i="3"/>
  <c r="U5930" i="3"/>
  <c r="U5931" i="3"/>
  <c r="U5932" i="3"/>
  <c r="U5933" i="3"/>
  <c r="U5934" i="3"/>
  <c r="U5935" i="3"/>
  <c r="U5936" i="3"/>
  <c r="U5937" i="3"/>
  <c r="U5938" i="3"/>
  <c r="U5939" i="3"/>
  <c r="U5940" i="3"/>
  <c r="U5941" i="3"/>
  <c r="U5942" i="3"/>
  <c r="U5943" i="3"/>
  <c r="U5944" i="3"/>
  <c r="U5945" i="3"/>
  <c r="U5946" i="3"/>
  <c r="U5947" i="3"/>
  <c r="U5948" i="3"/>
  <c r="U5949" i="3"/>
  <c r="U5950" i="3"/>
  <c r="U5951" i="3"/>
  <c r="U5952" i="3"/>
  <c r="U5953" i="3"/>
  <c r="U5954" i="3"/>
  <c r="U5955" i="3"/>
  <c r="U5956" i="3"/>
  <c r="U5957" i="3"/>
  <c r="U5958" i="3"/>
  <c r="U5959" i="3"/>
  <c r="U5960" i="3"/>
  <c r="U5961" i="3"/>
  <c r="U5962" i="3"/>
  <c r="U5963" i="3"/>
  <c r="U5964" i="3"/>
  <c r="U5965" i="3"/>
  <c r="U5966" i="3"/>
  <c r="U5967" i="3"/>
  <c r="U5968" i="3"/>
  <c r="U5969" i="3"/>
  <c r="U5970" i="3"/>
  <c r="U5971" i="3"/>
  <c r="U5972" i="3"/>
  <c r="U5973" i="3"/>
  <c r="U5974" i="3"/>
  <c r="U5975" i="3"/>
  <c r="U5976" i="3"/>
  <c r="U5977" i="3"/>
  <c r="U5978" i="3"/>
  <c r="U5979" i="3"/>
  <c r="U5980" i="3"/>
  <c r="U5981" i="3"/>
  <c r="U5982" i="3"/>
  <c r="U5983" i="3"/>
  <c r="U5984" i="3"/>
  <c r="U5985" i="3"/>
  <c r="U5986" i="3"/>
  <c r="U5987" i="3"/>
  <c r="U5988" i="3"/>
  <c r="U5989" i="3"/>
  <c r="U5990" i="3"/>
  <c r="U5991" i="3"/>
  <c r="U5992" i="3"/>
  <c r="U5993" i="3"/>
  <c r="U5994" i="3"/>
  <c r="U5995" i="3"/>
  <c r="U5996" i="3"/>
  <c r="U5997" i="3"/>
  <c r="U5998" i="3"/>
  <c r="U5999" i="3"/>
  <c r="U6000" i="3"/>
  <c r="U6001" i="3"/>
  <c r="U6002" i="3"/>
  <c r="U6003" i="3"/>
  <c r="U6004" i="3"/>
  <c r="U6005" i="3"/>
  <c r="U6006" i="3"/>
  <c r="U6007" i="3"/>
  <c r="U6008" i="3"/>
  <c r="U6009" i="3"/>
  <c r="U6010" i="3"/>
  <c r="U6011" i="3"/>
  <c r="U6012" i="3"/>
  <c r="U6013" i="3"/>
  <c r="U6014" i="3"/>
  <c r="U6015" i="3"/>
  <c r="U6016" i="3"/>
  <c r="U6017" i="3"/>
  <c r="U6018" i="3"/>
  <c r="U6019" i="3"/>
  <c r="U6020" i="3"/>
  <c r="U6021" i="3"/>
  <c r="U6022" i="3"/>
  <c r="U6023" i="3"/>
  <c r="U6024" i="3"/>
  <c r="U6025" i="3"/>
  <c r="U6026" i="3"/>
  <c r="U6027" i="3"/>
  <c r="U6028" i="3"/>
  <c r="U6029" i="3"/>
  <c r="U6030" i="3"/>
  <c r="U6031" i="3"/>
  <c r="U6032" i="3"/>
  <c r="U6033" i="3"/>
  <c r="U6034" i="3"/>
  <c r="U6035" i="3"/>
  <c r="U6036" i="3"/>
  <c r="U6037" i="3"/>
  <c r="U6038" i="3"/>
  <c r="U6039" i="3"/>
  <c r="U6040" i="3"/>
  <c r="U6041" i="3"/>
  <c r="U6042" i="3"/>
  <c r="U6043" i="3"/>
  <c r="U6044" i="3"/>
  <c r="U6045" i="3"/>
  <c r="U6046" i="3"/>
  <c r="U6047" i="3"/>
  <c r="U6048" i="3"/>
  <c r="U6049" i="3"/>
  <c r="U6050" i="3"/>
  <c r="U6051" i="3"/>
  <c r="U6052" i="3"/>
  <c r="U6053" i="3"/>
  <c r="U6054" i="3"/>
  <c r="U6055" i="3"/>
  <c r="U6056" i="3"/>
  <c r="U6057" i="3"/>
  <c r="U6058" i="3"/>
  <c r="U6059" i="3"/>
  <c r="U6060" i="3"/>
  <c r="U6061" i="3"/>
  <c r="U6062" i="3"/>
  <c r="U6063" i="3"/>
  <c r="U6064" i="3"/>
  <c r="U6065" i="3"/>
  <c r="U6066" i="3"/>
  <c r="U6067" i="3"/>
  <c r="U6068" i="3"/>
  <c r="U6069" i="3"/>
  <c r="U6070" i="3"/>
  <c r="U6071" i="3"/>
  <c r="U6072" i="3"/>
  <c r="U6073" i="3"/>
  <c r="U6074" i="3"/>
  <c r="U6075" i="3"/>
  <c r="U6076" i="3"/>
  <c r="U6077" i="3"/>
  <c r="U6078" i="3"/>
  <c r="U6079" i="3"/>
  <c r="U6080" i="3"/>
  <c r="U6081" i="3"/>
  <c r="U6082" i="3"/>
  <c r="U6083" i="3"/>
  <c r="U6084" i="3"/>
  <c r="U6085" i="3"/>
  <c r="U6086" i="3"/>
  <c r="U6087" i="3"/>
  <c r="U6088" i="3"/>
  <c r="U6089" i="3"/>
  <c r="U6090" i="3"/>
  <c r="U6091" i="3"/>
  <c r="U6092" i="3"/>
  <c r="U6093" i="3"/>
  <c r="U6094" i="3"/>
  <c r="U6095" i="3"/>
  <c r="U6096" i="3"/>
  <c r="U6097" i="3"/>
  <c r="U6098" i="3"/>
  <c r="U6099" i="3"/>
  <c r="U6100" i="3"/>
  <c r="U6101" i="3"/>
  <c r="U6102" i="3"/>
  <c r="U6103" i="3"/>
  <c r="U6104" i="3"/>
  <c r="U6105" i="3"/>
  <c r="U6106" i="3"/>
  <c r="U6107" i="3"/>
  <c r="U6108" i="3"/>
  <c r="U6109" i="3"/>
  <c r="U6110" i="3"/>
  <c r="U6111" i="3"/>
  <c r="U6112" i="3"/>
  <c r="U6113" i="3"/>
  <c r="U6114" i="3"/>
  <c r="U6115" i="3"/>
  <c r="U6116" i="3"/>
  <c r="U6117" i="3"/>
  <c r="U6118" i="3"/>
  <c r="U6119" i="3"/>
  <c r="U6120" i="3"/>
  <c r="U6121" i="3"/>
  <c r="U6122" i="3"/>
  <c r="U6123" i="3"/>
  <c r="U6124" i="3"/>
  <c r="U6125" i="3"/>
  <c r="U6126" i="3"/>
  <c r="U6127" i="3"/>
  <c r="U6128" i="3"/>
  <c r="U6129" i="3"/>
  <c r="U6130" i="3"/>
  <c r="U6131" i="3"/>
  <c r="U6132" i="3"/>
  <c r="U6133" i="3"/>
  <c r="U6134" i="3"/>
  <c r="U6135" i="3"/>
  <c r="U6136" i="3"/>
  <c r="U6137" i="3"/>
  <c r="U6138" i="3"/>
  <c r="U6139" i="3"/>
  <c r="U6140" i="3"/>
  <c r="U6141" i="3"/>
  <c r="U6142" i="3"/>
  <c r="U6143" i="3"/>
  <c r="U6144" i="3"/>
  <c r="U6145" i="3"/>
  <c r="U6146" i="3"/>
  <c r="U6147" i="3"/>
  <c r="U6148" i="3"/>
  <c r="U6149" i="3"/>
  <c r="U6150" i="3"/>
  <c r="U6151" i="3"/>
  <c r="U6152" i="3"/>
  <c r="U6153" i="3"/>
  <c r="U6154" i="3"/>
  <c r="U6155" i="3"/>
  <c r="U6156" i="3"/>
  <c r="U6157" i="3"/>
  <c r="U6158" i="3"/>
  <c r="U6159" i="3"/>
  <c r="U6160" i="3"/>
  <c r="U6161" i="3"/>
  <c r="U6162" i="3"/>
  <c r="U6163" i="3"/>
  <c r="U6164" i="3"/>
  <c r="U6165" i="3"/>
  <c r="U6166" i="3"/>
  <c r="U6167" i="3"/>
  <c r="U6168" i="3"/>
  <c r="U6169" i="3"/>
  <c r="U6170" i="3"/>
  <c r="U6171" i="3"/>
  <c r="U6172" i="3"/>
  <c r="U6173" i="3"/>
  <c r="U6174" i="3"/>
  <c r="U6175" i="3"/>
  <c r="U6176" i="3"/>
  <c r="U6177" i="3"/>
  <c r="U6178" i="3"/>
  <c r="U6179" i="3"/>
  <c r="U6180" i="3"/>
  <c r="U6181" i="3"/>
  <c r="U6182" i="3"/>
  <c r="U6183" i="3"/>
  <c r="U6184" i="3"/>
  <c r="U6185" i="3"/>
  <c r="U6186" i="3"/>
  <c r="U6187" i="3"/>
  <c r="U6188" i="3"/>
  <c r="U6189" i="3"/>
  <c r="U6190" i="3"/>
  <c r="U6191" i="3"/>
  <c r="U6192" i="3"/>
  <c r="U6193" i="3"/>
  <c r="U6194" i="3"/>
  <c r="U6195" i="3"/>
  <c r="U6196" i="3"/>
  <c r="U6197" i="3"/>
  <c r="U6198" i="3"/>
  <c r="U6199" i="3"/>
  <c r="U6200" i="3"/>
  <c r="U6201" i="3"/>
  <c r="U6202" i="3"/>
  <c r="U6203" i="3"/>
  <c r="U6204" i="3"/>
  <c r="U6205" i="3"/>
  <c r="U6206" i="3"/>
  <c r="U6207" i="3"/>
  <c r="U6208" i="3"/>
  <c r="U6209" i="3"/>
  <c r="U6210" i="3"/>
  <c r="U6211" i="3"/>
  <c r="U6212" i="3"/>
  <c r="U6213" i="3"/>
  <c r="U6214" i="3"/>
  <c r="U6215" i="3"/>
  <c r="U6216" i="3"/>
  <c r="U6217" i="3"/>
  <c r="U6218" i="3"/>
  <c r="U6219" i="3"/>
  <c r="U6220" i="3"/>
  <c r="U6221" i="3"/>
  <c r="U6222" i="3"/>
  <c r="U6223" i="3"/>
  <c r="U6224" i="3"/>
  <c r="U6225" i="3"/>
  <c r="U6226" i="3"/>
  <c r="U6227" i="3"/>
  <c r="U6228" i="3"/>
  <c r="U6229" i="3"/>
  <c r="U6230" i="3"/>
  <c r="U6231" i="3"/>
  <c r="U6232" i="3"/>
  <c r="U6233" i="3"/>
  <c r="U6234" i="3"/>
  <c r="U6235" i="3"/>
  <c r="U6236" i="3"/>
  <c r="U6237" i="3"/>
  <c r="U6238" i="3"/>
  <c r="U6239" i="3"/>
  <c r="U6240" i="3"/>
  <c r="U6241" i="3"/>
  <c r="U6242" i="3"/>
  <c r="U6243" i="3"/>
  <c r="U6244" i="3"/>
  <c r="U6245" i="3"/>
  <c r="U6246" i="3"/>
  <c r="U6247" i="3"/>
  <c r="U6248" i="3"/>
  <c r="U6249" i="3"/>
  <c r="U6250" i="3"/>
  <c r="U6251" i="3"/>
  <c r="U6252" i="3"/>
  <c r="U6253" i="3"/>
  <c r="U6254" i="3"/>
  <c r="U6255" i="3"/>
  <c r="U6256" i="3"/>
  <c r="U6257" i="3"/>
  <c r="U6258" i="3"/>
  <c r="U6259" i="3"/>
  <c r="U6260" i="3"/>
  <c r="U6261" i="3"/>
  <c r="U6262" i="3"/>
  <c r="U6263" i="3"/>
  <c r="U6264" i="3"/>
  <c r="U6265" i="3"/>
  <c r="U6266" i="3"/>
  <c r="U6267" i="3"/>
  <c r="U6268" i="3"/>
  <c r="U6269" i="3"/>
  <c r="U6270" i="3"/>
  <c r="U6271" i="3"/>
  <c r="U6272" i="3"/>
  <c r="U6273" i="3"/>
  <c r="U6274" i="3"/>
  <c r="U6275" i="3"/>
  <c r="U6276" i="3"/>
  <c r="U6277" i="3"/>
  <c r="U6278" i="3"/>
  <c r="U6279" i="3"/>
  <c r="U6280" i="3"/>
  <c r="U6281" i="3"/>
  <c r="U6282" i="3"/>
  <c r="U6283" i="3"/>
  <c r="U6284" i="3"/>
  <c r="U6285" i="3"/>
  <c r="U6286" i="3"/>
  <c r="U6287" i="3"/>
  <c r="U6288" i="3"/>
  <c r="U6289" i="3"/>
  <c r="U6290" i="3"/>
  <c r="U6291" i="3"/>
  <c r="U6292" i="3"/>
  <c r="U6293" i="3"/>
  <c r="U6294" i="3"/>
  <c r="U6295" i="3"/>
  <c r="U6296" i="3"/>
  <c r="U6297" i="3"/>
  <c r="U6298" i="3"/>
  <c r="U6299" i="3"/>
  <c r="U6300" i="3"/>
  <c r="U6301" i="3"/>
  <c r="U6302" i="3"/>
  <c r="U6303" i="3"/>
  <c r="U6304" i="3"/>
  <c r="U6305" i="3"/>
  <c r="U6306" i="3"/>
  <c r="U6307" i="3"/>
  <c r="U6308" i="3"/>
  <c r="U6309" i="3"/>
  <c r="U6310" i="3"/>
  <c r="U6311" i="3"/>
  <c r="U6312" i="3"/>
  <c r="U6313" i="3"/>
  <c r="U6314" i="3"/>
  <c r="U6315" i="3"/>
  <c r="U6316" i="3"/>
  <c r="U6317" i="3"/>
  <c r="U6318" i="3"/>
  <c r="U6319" i="3"/>
  <c r="U6320" i="3"/>
  <c r="U6321" i="3"/>
  <c r="U6322" i="3"/>
  <c r="U6323" i="3"/>
  <c r="U6324" i="3"/>
  <c r="U6325" i="3"/>
  <c r="U6326" i="3"/>
  <c r="U6327" i="3"/>
  <c r="U6328" i="3"/>
  <c r="U6329" i="3"/>
  <c r="U6330" i="3"/>
  <c r="U6331" i="3"/>
  <c r="U6332" i="3"/>
  <c r="U6333" i="3"/>
  <c r="U6334" i="3"/>
  <c r="U6335" i="3"/>
  <c r="U6336" i="3"/>
  <c r="U6337" i="3"/>
  <c r="U6338" i="3"/>
  <c r="U6339" i="3"/>
  <c r="U6340" i="3"/>
  <c r="U6341" i="3"/>
  <c r="U6342" i="3"/>
  <c r="U6343" i="3"/>
  <c r="U6344" i="3"/>
  <c r="U6345" i="3"/>
  <c r="U6346" i="3"/>
  <c r="U6347" i="3"/>
  <c r="U6348" i="3"/>
  <c r="U6349" i="3"/>
  <c r="U6350" i="3"/>
  <c r="U6351" i="3"/>
  <c r="U6352" i="3"/>
  <c r="U6353" i="3"/>
  <c r="U6354" i="3"/>
  <c r="U6355" i="3"/>
  <c r="U6356" i="3"/>
  <c r="U6357" i="3"/>
  <c r="U6358" i="3"/>
  <c r="U6359" i="3"/>
  <c r="U6360" i="3"/>
  <c r="U6361" i="3"/>
  <c r="U6362" i="3"/>
  <c r="U6363" i="3"/>
  <c r="U6364" i="3"/>
  <c r="U6365" i="3"/>
  <c r="U6366" i="3"/>
  <c r="U6367" i="3"/>
  <c r="U6368" i="3"/>
  <c r="U6369" i="3"/>
  <c r="U6370" i="3"/>
  <c r="U6371" i="3"/>
  <c r="U6372" i="3"/>
  <c r="U6373" i="3"/>
  <c r="U6374" i="3"/>
  <c r="U6375" i="3"/>
  <c r="U6376" i="3"/>
  <c r="U6377" i="3"/>
  <c r="U6378" i="3"/>
  <c r="U6379" i="3"/>
  <c r="U6380" i="3"/>
  <c r="U6381" i="3"/>
  <c r="U6382" i="3"/>
  <c r="U6383" i="3"/>
  <c r="U6384" i="3"/>
  <c r="U6385" i="3"/>
  <c r="U6386" i="3"/>
  <c r="U6387" i="3"/>
  <c r="U6388" i="3"/>
  <c r="U6389" i="3"/>
  <c r="U6390" i="3"/>
  <c r="U6391" i="3"/>
  <c r="U6392" i="3"/>
  <c r="U6393" i="3"/>
  <c r="U6394" i="3"/>
  <c r="U6395" i="3"/>
  <c r="U6396" i="3"/>
  <c r="U6397" i="3"/>
  <c r="U6398" i="3"/>
  <c r="U6399" i="3"/>
  <c r="U6400" i="3"/>
  <c r="U6401" i="3"/>
  <c r="U6402" i="3"/>
  <c r="U6403" i="3"/>
  <c r="U6404" i="3"/>
  <c r="U6405" i="3"/>
  <c r="U6406" i="3"/>
  <c r="U6407" i="3"/>
  <c r="U6408" i="3"/>
  <c r="U6409" i="3"/>
  <c r="U6410" i="3"/>
  <c r="U6411" i="3"/>
  <c r="U6412" i="3"/>
  <c r="U6413" i="3"/>
  <c r="U6414" i="3"/>
  <c r="U6415" i="3"/>
  <c r="U6416" i="3"/>
  <c r="U6417" i="3"/>
  <c r="U6418" i="3"/>
  <c r="U6419" i="3"/>
  <c r="U6420" i="3"/>
  <c r="U6421" i="3"/>
  <c r="U2" i="3"/>
  <c r="L11" i="3" l="1"/>
  <c r="M11" i="3"/>
  <c r="N11" i="3"/>
  <c r="P11" i="3"/>
  <c r="Q11" i="3"/>
  <c r="R11" i="3"/>
  <c r="V11" i="3"/>
  <c r="L12" i="3"/>
  <c r="M12" i="3"/>
  <c r="N12" i="3"/>
  <c r="P12" i="3"/>
  <c r="Q12" i="3"/>
  <c r="R12" i="3"/>
  <c r="V12" i="3"/>
  <c r="L13" i="3"/>
  <c r="M13" i="3"/>
  <c r="N13" i="3"/>
  <c r="P13" i="3"/>
  <c r="Q13" i="3"/>
  <c r="R13" i="3"/>
  <c r="V13" i="3"/>
  <c r="L14" i="3"/>
  <c r="M14" i="3"/>
  <c r="N14" i="3"/>
  <c r="P14" i="3"/>
  <c r="Q14" i="3"/>
  <c r="R14" i="3"/>
  <c r="V14" i="3"/>
  <c r="L15" i="3"/>
  <c r="M15" i="3"/>
  <c r="N15" i="3"/>
  <c r="P15" i="3"/>
  <c r="Q15" i="3"/>
  <c r="R15" i="3"/>
  <c r="V15" i="3"/>
  <c r="L16" i="3"/>
  <c r="M16" i="3"/>
  <c r="N16" i="3"/>
  <c r="P16" i="3"/>
  <c r="Q16" i="3"/>
  <c r="R16" i="3"/>
  <c r="V16" i="3"/>
  <c r="L17" i="3"/>
  <c r="M17" i="3"/>
  <c r="N17" i="3"/>
  <c r="P17" i="3"/>
  <c r="Q17" i="3"/>
  <c r="R17" i="3"/>
  <c r="V17" i="3"/>
  <c r="L18" i="3"/>
  <c r="M18" i="3"/>
  <c r="N18" i="3"/>
  <c r="P18" i="3"/>
  <c r="Q18" i="3"/>
  <c r="R18" i="3"/>
  <c r="V18" i="3"/>
  <c r="L19" i="3"/>
  <c r="M19" i="3"/>
  <c r="N19" i="3"/>
  <c r="P19" i="3"/>
  <c r="Q19" i="3"/>
  <c r="R19" i="3"/>
  <c r="V19" i="3"/>
  <c r="L20" i="3"/>
  <c r="M20" i="3"/>
  <c r="N20" i="3"/>
  <c r="P20" i="3"/>
  <c r="Q20" i="3"/>
  <c r="R20" i="3"/>
  <c r="V20" i="3"/>
  <c r="L21" i="3"/>
  <c r="M21" i="3"/>
  <c r="N21" i="3"/>
  <c r="P21" i="3"/>
  <c r="Q21" i="3"/>
  <c r="R21" i="3"/>
  <c r="V21" i="3"/>
  <c r="L22" i="3"/>
  <c r="M22" i="3"/>
  <c r="N22" i="3"/>
  <c r="P22" i="3"/>
  <c r="Q22" i="3"/>
  <c r="R22" i="3"/>
  <c r="V22" i="3"/>
  <c r="L23" i="3"/>
  <c r="M23" i="3"/>
  <c r="N23" i="3"/>
  <c r="P23" i="3"/>
  <c r="Q23" i="3"/>
  <c r="R23" i="3"/>
  <c r="V23" i="3"/>
  <c r="L24" i="3"/>
  <c r="M24" i="3"/>
  <c r="N24" i="3"/>
  <c r="P24" i="3"/>
  <c r="Q24" i="3"/>
  <c r="R24" i="3"/>
  <c r="V24" i="3"/>
  <c r="L25" i="3"/>
  <c r="M25" i="3"/>
  <c r="N25" i="3"/>
  <c r="P25" i="3"/>
  <c r="Q25" i="3"/>
  <c r="R25" i="3"/>
  <c r="V25" i="3"/>
  <c r="L26" i="3"/>
  <c r="M26" i="3"/>
  <c r="N26" i="3"/>
  <c r="P26" i="3"/>
  <c r="Q26" i="3"/>
  <c r="R26" i="3"/>
  <c r="V26" i="3"/>
  <c r="L27" i="3"/>
  <c r="M27" i="3"/>
  <c r="N27" i="3"/>
  <c r="P27" i="3"/>
  <c r="Q27" i="3"/>
  <c r="R27" i="3"/>
  <c r="V27" i="3"/>
  <c r="L28" i="3"/>
  <c r="M28" i="3"/>
  <c r="N28" i="3"/>
  <c r="P28" i="3"/>
  <c r="Q28" i="3"/>
  <c r="R28" i="3"/>
  <c r="V28" i="3"/>
  <c r="L29" i="3"/>
  <c r="M29" i="3"/>
  <c r="N29" i="3"/>
  <c r="P29" i="3"/>
  <c r="Q29" i="3"/>
  <c r="R29" i="3"/>
  <c r="V29" i="3"/>
  <c r="L30" i="3"/>
  <c r="M30" i="3"/>
  <c r="N30" i="3"/>
  <c r="P30" i="3"/>
  <c r="Q30" i="3"/>
  <c r="R30" i="3"/>
  <c r="V30" i="3"/>
  <c r="L31" i="3"/>
  <c r="M31" i="3"/>
  <c r="N31" i="3"/>
  <c r="P31" i="3"/>
  <c r="Q31" i="3"/>
  <c r="R31" i="3"/>
  <c r="V31" i="3"/>
  <c r="L32" i="3"/>
  <c r="M32" i="3"/>
  <c r="N32" i="3"/>
  <c r="P32" i="3"/>
  <c r="Q32" i="3"/>
  <c r="R32" i="3"/>
  <c r="V32" i="3"/>
  <c r="L33" i="3"/>
  <c r="M33" i="3"/>
  <c r="N33" i="3"/>
  <c r="P33" i="3"/>
  <c r="Q33" i="3"/>
  <c r="R33" i="3"/>
  <c r="V33" i="3"/>
  <c r="L34" i="3"/>
  <c r="M34" i="3"/>
  <c r="N34" i="3"/>
  <c r="P34" i="3"/>
  <c r="Q34" i="3"/>
  <c r="R34" i="3"/>
  <c r="V34" i="3"/>
  <c r="L35" i="3"/>
  <c r="M35" i="3"/>
  <c r="N35" i="3"/>
  <c r="P35" i="3"/>
  <c r="Q35" i="3"/>
  <c r="R35" i="3"/>
  <c r="V35" i="3"/>
  <c r="L36" i="3"/>
  <c r="M36" i="3"/>
  <c r="N36" i="3"/>
  <c r="P36" i="3"/>
  <c r="Q36" i="3"/>
  <c r="R36" i="3"/>
  <c r="V36" i="3"/>
  <c r="L37" i="3"/>
  <c r="M37" i="3"/>
  <c r="N37" i="3"/>
  <c r="P37" i="3"/>
  <c r="Q37" i="3"/>
  <c r="R37" i="3"/>
  <c r="V37" i="3"/>
  <c r="L38" i="3"/>
  <c r="M38" i="3"/>
  <c r="N38" i="3"/>
  <c r="P38" i="3"/>
  <c r="Q38" i="3"/>
  <c r="R38" i="3"/>
  <c r="V38" i="3"/>
  <c r="L39" i="3"/>
  <c r="M39" i="3"/>
  <c r="N39" i="3"/>
  <c r="P39" i="3"/>
  <c r="Q39" i="3"/>
  <c r="R39" i="3"/>
  <c r="V39" i="3"/>
  <c r="L40" i="3"/>
  <c r="M40" i="3"/>
  <c r="N40" i="3"/>
  <c r="P40" i="3"/>
  <c r="Q40" i="3"/>
  <c r="R40" i="3"/>
  <c r="V40" i="3"/>
  <c r="L41" i="3"/>
  <c r="M41" i="3"/>
  <c r="N41" i="3"/>
  <c r="P41" i="3"/>
  <c r="Q41" i="3"/>
  <c r="R41" i="3"/>
  <c r="V41" i="3"/>
  <c r="L42" i="3"/>
  <c r="M42" i="3"/>
  <c r="N42" i="3"/>
  <c r="P42" i="3"/>
  <c r="Q42" i="3"/>
  <c r="R42" i="3"/>
  <c r="V42" i="3"/>
  <c r="L43" i="3"/>
  <c r="M43" i="3"/>
  <c r="N43" i="3"/>
  <c r="P43" i="3"/>
  <c r="Q43" i="3"/>
  <c r="R43" i="3"/>
  <c r="V43" i="3"/>
  <c r="L44" i="3"/>
  <c r="M44" i="3"/>
  <c r="N44" i="3"/>
  <c r="P44" i="3"/>
  <c r="Q44" i="3"/>
  <c r="R44" i="3"/>
  <c r="V44" i="3"/>
  <c r="L45" i="3"/>
  <c r="M45" i="3"/>
  <c r="N45" i="3"/>
  <c r="P45" i="3"/>
  <c r="Q45" i="3"/>
  <c r="R45" i="3"/>
  <c r="V45" i="3"/>
  <c r="L46" i="3"/>
  <c r="M46" i="3"/>
  <c r="N46" i="3"/>
  <c r="P46" i="3"/>
  <c r="Q46" i="3"/>
  <c r="R46" i="3"/>
  <c r="V46" i="3"/>
  <c r="L47" i="3"/>
  <c r="M47" i="3"/>
  <c r="N47" i="3"/>
  <c r="P47" i="3"/>
  <c r="Q47" i="3"/>
  <c r="R47" i="3"/>
  <c r="V47" i="3"/>
  <c r="L48" i="3"/>
  <c r="M48" i="3"/>
  <c r="N48" i="3"/>
  <c r="P48" i="3"/>
  <c r="Q48" i="3"/>
  <c r="R48" i="3"/>
  <c r="V48" i="3"/>
  <c r="L49" i="3"/>
  <c r="M49" i="3"/>
  <c r="N49" i="3"/>
  <c r="P49" i="3"/>
  <c r="Q49" i="3"/>
  <c r="R49" i="3"/>
  <c r="V49" i="3"/>
  <c r="L50" i="3"/>
  <c r="M50" i="3"/>
  <c r="N50" i="3"/>
  <c r="P50" i="3"/>
  <c r="Q50" i="3"/>
  <c r="R50" i="3"/>
  <c r="V50" i="3"/>
  <c r="L51" i="3"/>
  <c r="M51" i="3"/>
  <c r="N51" i="3"/>
  <c r="P51" i="3"/>
  <c r="Q51" i="3"/>
  <c r="R51" i="3"/>
  <c r="V51" i="3"/>
  <c r="L52" i="3"/>
  <c r="M52" i="3"/>
  <c r="N52" i="3"/>
  <c r="P52" i="3"/>
  <c r="Q52" i="3"/>
  <c r="R52" i="3"/>
  <c r="V52" i="3"/>
  <c r="L53" i="3"/>
  <c r="M53" i="3"/>
  <c r="N53" i="3"/>
  <c r="P53" i="3"/>
  <c r="Q53" i="3"/>
  <c r="R53" i="3"/>
  <c r="V53" i="3"/>
  <c r="L54" i="3"/>
  <c r="M54" i="3"/>
  <c r="N54" i="3"/>
  <c r="P54" i="3"/>
  <c r="Q54" i="3"/>
  <c r="R54" i="3"/>
  <c r="V54" i="3"/>
  <c r="L55" i="3"/>
  <c r="M55" i="3"/>
  <c r="N55" i="3"/>
  <c r="P55" i="3"/>
  <c r="Q55" i="3"/>
  <c r="R55" i="3"/>
  <c r="V55" i="3"/>
  <c r="L56" i="3"/>
  <c r="M56" i="3"/>
  <c r="N56" i="3"/>
  <c r="P56" i="3"/>
  <c r="Q56" i="3"/>
  <c r="R56" i="3"/>
  <c r="V56" i="3"/>
  <c r="L57" i="3"/>
  <c r="M57" i="3"/>
  <c r="N57" i="3"/>
  <c r="P57" i="3"/>
  <c r="Q57" i="3"/>
  <c r="R57" i="3"/>
  <c r="V57" i="3"/>
  <c r="L58" i="3"/>
  <c r="M58" i="3"/>
  <c r="N58" i="3"/>
  <c r="P58" i="3"/>
  <c r="Q58" i="3"/>
  <c r="R58" i="3"/>
  <c r="V58" i="3"/>
  <c r="L59" i="3"/>
  <c r="M59" i="3"/>
  <c r="N59" i="3"/>
  <c r="P59" i="3"/>
  <c r="Q59" i="3"/>
  <c r="R59" i="3"/>
  <c r="V59" i="3"/>
  <c r="L60" i="3"/>
  <c r="M60" i="3"/>
  <c r="N60" i="3"/>
  <c r="P60" i="3"/>
  <c r="Q60" i="3"/>
  <c r="R60" i="3"/>
  <c r="V60" i="3"/>
  <c r="L61" i="3"/>
  <c r="M61" i="3"/>
  <c r="N61" i="3"/>
  <c r="P61" i="3"/>
  <c r="Q61" i="3"/>
  <c r="R61" i="3"/>
  <c r="V61" i="3"/>
  <c r="L62" i="3"/>
  <c r="M62" i="3"/>
  <c r="N62" i="3"/>
  <c r="P62" i="3"/>
  <c r="Q62" i="3"/>
  <c r="R62" i="3"/>
  <c r="V62" i="3"/>
  <c r="L63" i="3"/>
  <c r="M63" i="3"/>
  <c r="N63" i="3"/>
  <c r="P63" i="3"/>
  <c r="Q63" i="3"/>
  <c r="R63" i="3"/>
  <c r="V63" i="3"/>
  <c r="L64" i="3"/>
  <c r="M64" i="3"/>
  <c r="N64" i="3"/>
  <c r="P64" i="3"/>
  <c r="Q64" i="3"/>
  <c r="R64" i="3"/>
  <c r="V64" i="3"/>
  <c r="L65" i="3"/>
  <c r="M65" i="3"/>
  <c r="N65" i="3"/>
  <c r="P65" i="3"/>
  <c r="Q65" i="3"/>
  <c r="R65" i="3"/>
  <c r="V65" i="3"/>
  <c r="L66" i="3"/>
  <c r="M66" i="3"/>
  <c r="N66" i="3"/>
  <c r="P66" i="3"/>
  <c r="Q66" i="3"/>
  <c r="R66" i="3"/>
  <c r="V66" i="3"/>
  <c r="L67" i="3"/>
  <c r="M67" i="3"/>
  <c r="N67" i="3"/>
  <c r="P67" i="3"/>
  <c r="Q67" i="3"/>
  <c r="R67" i="3"/>
  <c r="V67" i="3"/>
  <c r="L68" i="3"/>
  <c r="M68" i="3"/>
  <c r="N68" i="3"/>
  <c r="P68" i="3"/>
  <c r="Q68" i="3"/>
  <c r="R68" i="3"/>
  <c r="V68" i="3"/>
  <c r="L69" i="3"/>
  <c r="M69" i="3"/>
  <c r="N69" i="3"/>
  <c r="P69" i="3"/>
  <c r="Q69" i="3"/>
  <c r="R69" i="3"/>
  <c r="V69" i="3"/>
  <c r="L70" i="3"/>
  <c r="M70" i="3"/>
  <c r="N70" i="3"/>
  <c r="P70" i="3"/>
  <c r="Q70" i="3"/>
  <c r="R70" i="3"/>
  <c r="V70" i="3"/>
  <c r="L71" i="3"/>
  <c r="M71" i="3"/>
  <c r="N71" i="3"/>
  <c r="P71" i="3"/>
  <c r="Q71" i="3"/>
  <c r="R71" i="3"/>
  <c r="V71" i="3"/>
  <c r="L72" i="3"/>
  <c r="M72" i="3"/>
  <c r="N72" i="3"/>
  <c r="P72" i="3"/>
  <c r="Q72" i="3"/>
  <c r="R72" i="3"/>
  <c r="V72" i="3"/>
  <c r="L73" i="3"/>
  <c r="M73" i="3"/>
  <c r="N73" i="3"/>
  <c r="P73" i="3"/>
  <c r="Q73" i="3"/>
  <c r="R73" i="3"/>
  <c r="V73" i="3"/>
  <c r="L74" i="3"/>
  <c r="M74" i="3"/>
  <c r="N74" i="3"/>
  <c r="P74" i="3"/>
  <c r="Q74" i="3"/>
  <c r="R74" i="3"/>
  <c r="V74" i="3"/>
  <c r="L75" i="3"/>
  <c r="M75" i="3"/>
  <c r="N75" i="3"/>
  <c r="P75" i="3"/>
  <c r="Q75" i="3"/>
  <c r="R75" i="3"/>
  <c r="V75" i="3"/>
  <c r="L76" i="3"/>
  <c r="M76" i="3"/>
  <c r="N76" i="3"/>
  <c r="P76" i="3"/>
  <c r="Q76" i="3"/>
  <c r="R76" i="3"/>
  <c r="V76" i="3"/>
  <c r="L77" i="3"/>
  <c r="M77" i="3"/>
  <c r="N77" i="3"/>
  <c r="P77" i="3"/>
  <c r="Q77" i="3"/>
  <c r="R77" i="3"/>
  <c r="V77" i="3"/>
  <c r="L78" i="3"/>
  <c r="M78" i="3"/>
  <c r="N78" i="3"/>
  <c r="P78" i="3"/>
  <c r="Q78" i="3"/>
  <c r="R78" i="3"/>
  <c r="V78" i="3"/>
  <c r="L79" i="3"/>
  <c r="M79" i="3"/>
  <c r="N79" i="3"/>
  <c r="P79" i="3"/>
  <c r="Q79" i="3"/>
  <c r="R79" i="3"/>
  <c r="V79" i="3"/>
  <c r="L80" i="3"/>
  <c r="M80" i="3"/>
  <c r="N80" i="3"/>
  <c r="P80" i="3"/>
  <c r="Q80" i="3"/>
  <c r="R80" i="3"/>
  <c r="V80" i="3"/>
  <c r="L81" i="3"/>
  <c r="M81" i="3"/>
  <c r="N81" i="3"/>
  <c r="P81" i="3"/>
  <c r="Q81" i="3"/>
  <c r="R81" i="3"/>
  <c r="V81" i="3"/>
  <c r="L82" i="3"/>
  <c r="M82" i="3"/>
  <c r="N82" i="3"/>
  <c r="P82" i="3"/>
  <c r="Q82" i="3"/>
  <c r="R82" i="3"/>
  <c r="V82" i="3"/>
  <c r="L83" i="3"/>
  <c r="M83" i="3"/>
  <c r="N83" i="3"/>
  <c r="P83" i="3"/>
  <c r="Q83" i="3"/>
  <c r="R83" i="3"/>
  <c r="V83" i="3"/>
  <c r="L84" i="3"/>
  <c r="M84" i="3"/>
  <c r="N84" i="3"/>
  <c r="P84" i="3"/>
  <c r="Q84" i="3"/>
  <c r="R84" i="3"/>
  <c r="V84" i="3"/>
  <c r="L85" i="3"/>
  <c r="M85" i="3"/>
  <c r="N85" i="3"/>
  <c r="P85" i="3"/>
  <c r="Q85" i="3"/>
  <c r="R85" i="3"/>
  <c r="V85" i="3"/>
  <c r="L86" i="3"/>
  <c r="M86" i="3"/>
  <c r="N86" i="3"/>
  <c r="P86" i="3"/>
  <c r="Q86" i="3"/>
  <c r="R86" i="3"/>
  <c r="V86" i="3"/>
  <c r="L87" i="3"/>
  <c r="M87" i="3"/>
  <c r="N87" i="3"/>
  <c r="P87" i="3"/>
  <c r="Q87" i="3"/>
  <c r="R87" i="3"/>
  <c r="V87" i="3"/>
  <c r="L88" i="3"/>
  <c r="M88" i="3"/>
  <c r="N88" i="3"/>
  <c r="P88" i="3"/>
  <c r="Q88" i="3"/>
  <c r="R88" i="3"/>
  <c r="V88" i="3"/>
  <c r="L89" i="3"/>
  <c r="M89" i="3"/>
  <c r="N89" i="3"/>
  <c r="P89" i="3"/>
  <c r="Q89" i="3"/>
  <c r="R89" i="3"/>
  <c r="V89" i="3"/>
  <c r="L90" i="3"/>
  <c r="M90" i="3"/>
  <c r="N90" i="3"/>
  <c r="P90" i="3"/>
  <c r="Q90" i="3"/>
  <c r="R90" i="3"/>
  <c r="V90" i="3"/>
  <c r="L91" i="3"/>
  <c r="M91" i="3"/>
  <c r="N91" i="3"/>
  <c r="P91" i="3"/>
  <c r="Q91" i="3"/>
  <c r="R91" i="3"/>
  <c r="V91" i="3"/>
  <c r="L92" i="3"/>
  <c r="M92" i="3"/>
  <c r="N92" i="3"/>
  <c r="P92" i="3"/>
  <c r="Q92" i="3"/>
  <c r="R92" i="3"/>
  <c r="V92" i="3"/>
  <c r="L93" i="3"/>
  <c r="M93" i="3"/>
  <c r="N93" i="3"/>
  <c r="P93" i="3"/>
  <c r="Q93" i="3"/>
  <c r="R93" i="3"/>
  <c r="V93" i="3"/>
  <c r="L94" i="3"/>
  <c r="M94" i="3"/>
  <c r="N94" i="3"/>
  <c r="P94" i="3"/>
  <c r="Q94" i="3"/>
  <c r="R94" i="3"/>
  <c r="V94" i="3"/>
  <c r="L95" i="3"/>
  <c r="M95" i="3"/>
  <c r="N95" i="3"/>
  <c r="P95" i="3"/>
  <c r="Q95" i="3"/>
  <c r="R95" i="3"/>
  <c r="V95" i="3"/>
  <c r="L96" i="3"/>
  <c r="M96" i="3"/>
  <c r="N96" i="3"/>
  <c r="P96" i="3"/>
  <c r="Q96" i="3"/>
  <c r="R96" i="3"/>
  <c r="V96" i="3"/>
  <c r="L97" i="3"/>
  <c r="M97" i="3"/>
  <c r="N97" i="3"/>
  <c r="P97" i="3"/>
  <c r="Q97" i="3"/>
  <c r="R97" i="3"/>
  <c r="V97" i="3"/>
  <c r="L98" i="3"/>
  <c r="M98" i="3"/>
  <c r="N98" i="3"/>
  <c r="P98" i="3"/>
  <c r="Q98" i="3"/>
  <c r="R98" i="3"/>
  <c r="V98" i="3"/>
  <c r="L99" i="3"/>
  <c r="M99" i="3"/>
  <c r="N99" i="3"/>
  <c r="P99" i="3"/>
  <c r="Q99" i="3"/>
  <c r="R99" i="3"/>
  <c r="V99" i="3"/>
  <c r="L100" i="3"/>
  <c r="M100" i="3"/>
  <c r="N100" i="3"/>
  <c r="P100" i="3"/>
  <c r="Q100" i="3"/>
  <c r="R100" i="3"/>
  <c r="V100" i="3"/>
  <c r="L101" i="3"/>
  <c r="M101" i="3"/>
  <c r="N101" i="3"/>
  <c r="P101" i="3"/>
  <c r="Q101" i="3"/>
  <c r="R101" i="3"/>
  <c r="V101" i="3"/>
  <c r="L102" i="3"/>
  <c r="M102" i="3"/>
  <c r="N102" i="3"/>
  <c r="P102" i="3"/>
  <c r="Q102" i="3"/>
  <c r="R102" i="3"/>
  <c r="V102" i="3"/>
  <c r="L103" i="3"/>
  <c r="M103" i="3"/>
  <c r="N103" i="3"/>
  <c r="P103" i="3"/>
  <c r="Q103" i="3"/>
  <c r="R103" i="3"/>
  <c r="V103" i="3"/>
  <c r="L104" i="3"/>
  <c r="M104" i="3"/>
  <c r="N104" i="3"/>
  <c r="P104" i="3"/>
  <c r="Q104" i="3"/>
  <c r="R104" i="3"/>
  <c r="V104" i="3"/>
  <c r="L105" i="3"/>
  <c r="M105" i="3"/>
  <c r="N105" i="3"/>
  <c r="P105" i="3"/>
  <c r="Q105" i="3"/>
  <c r="R105" i="3"/>
  <c r="V105" i="3"/>
  <c r="L106" i="3"/>
  <c r="M106" i="3"/>
  <c r="N106" i="3"/>
  <c r="P106" i="3"/>
  <c r="Q106" i="3"/>
  <c r="R106" i="3"/>
  <c r="V106" i="3"/>
  <c r="L107" i="3"/>
  <c r="M107" i="3"/>
  <c r="N107" i="3"/>
  <c r="P107" i="3"/>
  <c r="Q107" i="3"/>
  <c r="R107" i="3"/>
  <c r="V107" i="3"/>
  <c r="L108" i="3"/>
  <c r="M108" i="3"/>
  <c r="N108" i="3"/>
  <c r="P108" i="3"/>
  <c r="Q108" i="3"/>
  <c r="R108" i="3"/>
  <c r="V108" i="3"/>
  <c r="L109" i="3"/>
  <c r="M109" i="3"/>
  <c r="N109" i="3"/>
  <c r="P109" i="3"/>
  <c r="Q109" i="3"/>
  <c r="R109" i="3"/>
  <c r="V109" i="3"/>
  <c r="L110" i="3"/>
  <c r="M110" i="3"/>
  <c r="N110" i="3"/>
  <c r="P110" i="3"/>
  <c r="Q110" i="3"/>
  <c r="R110" i="3"/>
  <c r="V110" i="3"/>
  <c r="L111" i="3"/>
  <c r="M111" i="3"/>
  <c r="N111" i="3"/>
  <c r="P111" i="3"/>
  <c r="Q111" i="3"/>
  <c r="R111" i="3"/>
  <c r="V111" i="3"/>
  <c r="L112" i="3"/>
  <c r="M112" i="3"/>
  <c r="N112" i="3"/>
  <c r="P112" i="3"/>
  <c r="Q112" i="3"/>
  <c r="R112" i="3"/>
  <c r="V112" i="3"/>
  <c r="L113" i="3"/>
  <c r="M113" i="3"/>
  <c r="N113" i="3"/>
  <c r="P113" i="3"/>
  <c r="Q113" i="3"/>
  <c r="R113" i="3"/>
  <c r="V113" i="3"/>
  <c r="L114" i="3"/>
  <c r="M114" i="3"/>
  <c r="N114" i="3"/>
  <c r="P114" i="3"/>
  <c r="Q114" i="3"/>
  <c r="R114" i="3"/>
  <c r="V114" i="3"/>
  <c r="L115" i="3"/>
  <c r="M115" i="3"/>
  <c r="N115" i="3"/>
  <c r="P115" i="3"/>
  <c r="Q115" i="3"/>
  <c r="R115" i="3"/>
  <c r="V115" i="3"/>
  <c r="L116" i="3"/>
  <c r="M116" i="3"/>
  <c r="N116" i="3"/>
  <c r="P116" i="3"/>
  <c r="Q116" i="3"/>
  <c r="R116" i="3"/>
  <c r="V116" i="3"/>
  <c r="L117" i="3"/>
  <c r="M117" i="3"/>
  <c r="N117" i="3"/>
  <c r="P117" i="3"/>
  <c r="Q117" i="3"/>
  <c r="R117" i="3"/>
  <c r="V117" i="3"/>
  <c r="L118" i="3"/>
  <c r="M118" i="3"/>
  <c r="N118" i="3"/>
  <c r="P118" i="3"/>
  <c r="Q118" i="3"/>
  <c r="R118" i="3"/>
  <c r="V118" i="3"/>
  <c r="L119" i="3"/>
  <c r="M119" i="3"/>
  <c r="N119" i="3"/>
  <c r="P119" i="3"/>
  <c r="Q119" i="3"/>
  <c r="R119" i="3"/>
  <c r="V119" i="3"/>
  <c r="L120" i="3"/>
  <c r="M120" i="3"/>
  <c r="N120" i="3"/>
  <c r="P120" i="3"/>
  <c r="Q120" i="3"/>
  <c r="R120" i="3"/>
  <c r="V120" i="3"/>
  <c r="L121" i="3"/>
  <c r="M121" i="3"/>
  <c r="N121" i="3"/>
  <c r="P121" i="3"/>
  <c r="Q121" i="3"/>
  <c r="R121" i="3"/>
  <c r="V121" i="3"/>
  <c r="L122" i="3"/>
  <c r="M122" i="3"/>
  <c r="N122" i="3"/>
  <c r="P122" i="3"/>
  <c r="Q122" i="3"/>
  <c r="R122" i="3"/>
  <c r="V122" i="3"/>
  <c r="L123" i="3"/>
  <c r="M123" i="3"/>
  <c r="N123" i="3"/>
  <c r="P123" i="3"/>
  <c r="Q123" i="3"/>
  <c r="R123" i="3"/>
  <c r="V123" i="3"/>
  <c r="L124" i="3"/>
  <c r="M124" i="3"/>
  <c r="N124" i="3"/>
  <c r="P124" i="3"/>
  <c r="Q124" i="3"/>
  <c r="R124" i="3"/>
  <c r="V124" i="3"/>
  <c r="L125" i="3"/>
  <c r="M125" i="3"/>
  <c r="N125" i="3"/>
  <c r="P125" i="3"/>
  <c r="Q125" i="3"/>
  <c r="R125" i="3"/>
  <c r="V125" i="3"/>
  <c r="L126" i="3"/>
  <c r="M126" i="3"/>
  <c r="N126" i="3"/>
  <c r="P126" i="3"/>
  <c r="Q126" i="3"/>
  <c r="R126" i="3"/>
  <c r="V126" i="3"/>
  <c r="L127" i="3"/>
  <c r="M127" i="3"/>
  <c r="N127" i="3"/>
  <c r="P127" i="3"/>
  <c r="Q127" i="3"/>
  <c r="R127" i="3"/>
  <c r="V127" i="3"/>
  <c r="L128" i="3"/>
  <c r="M128" i="3"/>
  <c r="N128" i="3"/>
  <c r="P128" i="3"/>
  <c r="Q128" i="3"/>
  <c r="R128" i="3"/>
  <c r="V128" i="3"/>
  <c r="L129" i="3"/>
  <c r="M129" i="3"/>
  <c r="N129" i="3"/>
  <c r="P129" i="3"/>
  <c r="Q129" i="3"/>
  <c r="R129" i="3"/>
  <c r="V129" i="3"/>
  <c r="L130" i="3"/>
  <c r="M130" i="3"/>
  <c r="N130" i="3"/>
  <c r="P130" i="3"/>
  <c r="Q130" i="3"/>
  <c r="R130" i="3"/>
  <c r="V130" i="3"/>
  <c r="L131" i="3"/>
  <c r="M131" i="3"/>
  <c r="N131" i="3"/>
  <c r="P131" i="3"/>
  <c r="Q131" i="3"/>
  <c r="R131" i="3"/>
  <c r="V131" i="3"/>
  <c r="L132" i="3"/>
  <c r="M132" i="3"/>
  <c r="N132" i="3"/>
  <c r="P132" i="3"/>
  <c r="Q132" i="3"/>
  <c r="R132" i="3"/>
  <c r="V132" i="3"/>
  <c r="L133" i="3"/>
  <c r="M133" i="3"/>
  <c r="N133" i="3"/>
  <c r="P133" i="3"/>
  <c r="Q133" i="3"/>
  <c r="R133" i="3"/>
  <c r="V133" i="3"/>
  <c r="L134" i="3"/>
  <c r="M134" i="3"/>
  <c r="N134" i="3"/>
  <c r="P134" i="3"/>
  <c r="Q134" i="3"/>
  <c r="R134" i="3"/>
  <c r="V134" i="3"/>
  <c r="L135" i="3"/>
  <c r="M135" i="3"/>
  <c r="N135" i="3"/>
  <c r="P135" i="3"/>
  <c r="Q135" i="3"/>
  <c r="R135" i="3"/>
  <c r="V135" i="3"/>
  <c r="L136" i="3"/>
  <c r="M136" i="3"/>
  <c r="N136" i="3"/>
  <c r="P136" i="3"/>
  <c r="Q136" i="3"/>
  <c r="R136" i="3"/>
  <c r="V136" i="3"/>
  <c r="L137" i="3"/>
  <c r="M137" i="3"/>
  <c r="N137" i="3"/>
  <c r="P137" i="3"/>
  <c r="Q137" i="3"/>
  <c r="R137" i="3"/>
  <c r="V137" i="3"/>
  <c r="L138" i="3"/>
  <c r="M138" i="3"/>
  <c r="N138" i="3"/>
  <c r="P138" i="3"/>
  <c r="Q138" i="3"/>
  <c r="R138" i="3"/>
  <c r="V138" i="3"/>
  <c r="L139" i="3"/>
  <c r="M139" i="3"/>
  <c r="N139" i="3"/>
  <c r="P139" i="3"/>
  <c r="Q139" i="3"/>
  <c r="R139" i="3"/>
  <c r="V139" i="3"/>
  <c r="L140" i="3"/>
  <c r="M140" i="3"/>
  <c r="N140" i="3"/>
  <c r="P140" i="3"/>
  <c r="Q140" i="3"/>
  <c r="R140" i="3"/>
  <c r="V140" i="3"/>
  <c r="L141" i="3"/>
  <c r="M141" i="3"/>
  <c r="N141" i="3"/>
  <c r="P141" i="3"/>
  <c r="Q141" i="3"/>
  <c r="R141" i="3"/>
  <c r="V141" i="3"/>
  <c r="L142" i="3"/>
  <c r="M142" i="3"/>
  <c r="N142" i="3"/>
  <c r="P142" i="3"/>
  <c r="Q142" i="3"/>
  <c r="R142" i="3"/>
  <c r="V142" i="3"/>
  <c r="L143" i="3"/>
  <c r="M143" i="3"/>
  <c r="N143" i="3"/>
  <c r="P143" i="3"/>
  <c r="Q143" i="3"/>
  <c r="R143" i="3"/>
  <c r="V143" i="3"/>
  <c r="L144" i="3"/>
  <c r="M144" i="3"/>
  <c r="N144" i="3"/>
  <c r="P144" i="3"/>
  <c r="Q144" i="3"/>
  <c r="R144" i="3"/>
  <c r="V144" i="3"/>
  <c r="L145" i="3"/>
  <c r="M145" i="3"/>
  <c r="N145" i="3"/>
  <c r="P145" i="3"/>
  <c r="Q145" i="3"/>
  <c r="R145" i="3"/>
  <c r="V145" i="3"/>
  <c r="L146" i="3"/>
  <c r="M146" i="3"/>
  <c r="N146" i="3"/>
  <c r="P146" i="3"/>
  <c r="Q146" i="3"/>
  <c r="R146" i="3"/>
  <c r="V146" i="3"/>
  <c r="L147" i="3"/>
  <c r="M147" i="3"/>
  <c r="N147" i="3"/>
  <c r="P147" i="3"/>
  <c r="Q147" i="3"/>
  <c r="R147" i="3"/>
  <c r="V147" i="3"/>
  <c r="L148" i="3"/>
  <c r="M148" i="3"/>
  <c r="N148" i="3"/>
  <c r="P148" i="3"/>
  <c r="Q148" i="3"/>
  <c r="R148" i="3"/>
  <c r="V148" i="3"/>
  <c r="L149" i="3"/>
  <c r="M149" i="3"/>
  <c r="N149" i="3"/>
  <c r="P149" i="3"/>
  <c r="Q149" i="3"/>
  <c r="R149" i="3"/>
  <c r="V149" i="3"/>
  <c r="L150" i="3"/>
  <c r="M150" i="3"/>
  <c r="N150" i="3"/>
  <c r="P150" i="3"/>
  <c r="Q150" i="3"/>
  <c r="R150" i="3"/>
  <c r="V150" i="3"/>
  <c r="L151" i="3"/>
  <c r="M151" i="3"/>
  <c r="N151" i="3"/>
  <c r="P151" i="3"/>
  <c r="Q151" i="3"/>
  <c r="R151" i="3"/>
  <c r="V151" i="3"/>
  <c r="L152" i="3"/>
  <c r="M152" i="3"/>
  <c r="N152" i="3"/>
  <c r="P152" i="3"/>
  <c r="Q152" i="3"/>
  <c r="R152" i="3"/>
  <c r="V152" i="3"/>
  <c r="L153" i="3"/>
  <c r="M153" i="3"/>
  <c r="N153" i="3"/>
  <c r="P153" i="3"/>
  <c r="Q153" i="3"/>
  <c r="R153" i="3"/>
  <c r="V153" i="3"/>
  <c r="L154" i="3"/>
  <c r="M154" i="3"/>
  <c r="N154" i="3"/>
  <c r="P154" i="3"/>
  <c r="Q154" i="3"/>
  <c r="R154" i="3"/>
  <c r="V154" i="3"/>
  <c r="L155" i="3"/>
  <c r="M155" i="3"/>
  <c r="N155" i="3"/>
  <c r="P155" i="3"/>
  <c r="Q155" i="3"/>
  <c r="R155" i="3"/>
  <c r="V155" i="3"/>
  <c r="L156" i="3"/>
  <c r="M156" i="3"/>
  <c r="N156" i="3"/>
  <c r="P156" i="3"/>
  <c r="Q156" i="3"/>
  <c r="R156" i="3"/>
  <c r="V156" i="3"/>
  <c r="L157" i="3"/>
  <c r="M157" i="3"/>
  <c r="N157" i="3"/>
  <c r="P157" i="3"/>
  <c r="Q157" i="3"/>
  <c r="R157" i="3"/>
  <c r="V157" i="3"/>
  <c r="L158" i="3"/>
  <c r="M158" i="3"/>
  <c r="N158" i="3"/>
  <c r="P158" i="3"/>
  <c r="Q158" i="3"/>
  <c r="R158" i="3"/>
  <c r="V158" i="3"/>
  <c r="L159" i="3"/>
  <c r="M159" i="3"/>
  <c r="N159" i="3"/>
  <c r="P159" i="3"/>
  <c r="Q159" i="3"/>
  <c r="R159" i="3"/>
  <c r="V159" i="3"/>
  <c r="L160" i="3"/>
  <c r="M160" i="3"/>
  <c r="N160" i="3"/>
  <c r="P160" i="3"/>
  <c r="Q160" i="3"/>
  <c r="R160" i="3"/>
  <c r="V160" i="3"/>
  <c r="L161" i="3"/>
  <c r="M161" i="3"/>
  <c r="N161" i="3"/>
  <c r="P161" i="3"/>
  <c r="Q161" i="3"/>
  <c r="R161" i="3"/>
  <c r="V161" i="3"/>
  <c r="L162" i="3"/>
  <c r="M162" i="3"/>
  <c r="N162" i="3"/>
  <c r="P162" i="3"/>
  <c r="Q162" i="3"/>
  <c r="R162" i="3"/>
  <c r="V162" i="3"/>
  <c r="L163" i="3"/>
  <c r="M163" i="3"/>
  <c r="N163" i="3"/>
  <c r="P163" i="3"/>
  <c r="Q163" i="3"/>
  <c r="R163" i="3"/>
  <c r="V163" i="3"/>
  <c r="L164" i="3"/>
  <c r="M164" i="3"/>
  <c r="N164" i="3"/>
  <c r="P164" i="3"/>
  <c r="Q164" i="3"/>
  <c r="R164" i="3"/>
  <c r="V164" i="3"/>
  <c r="L165" i="3"/>
  <c r="M165" i="3"/>
  <c r="N165" i="3"/>
  <c r="P165" i="3"/>
  <c r="Q165" i="3"/>
  <c r="R165" i="3"/>
  <c r="V165" i="3"/>
  <c r="L166" i="3"/>
  <c r="M166" i="3"/>
  <c r="N166" i="3"/>
  <c r="P166" i="3"/>
  <c r="Q166" i="3"/>
  <c r="R166" i="3"/>
  <c r="V166" i="3"/>
  <c r="L167" i="3"/>
  <c r="M167" i="3"/>
  <c r="N167" i="3"/>
  <c r="P167" i="3"/>
  <c r="Q167" i="3"/>
  <c r="R167" i="3"/>
  <c r="V167" i="3"/>
  <c r="L168" i="3"/>
  <c r="M168" i="3"/>
  <c r="N168" i="3"/>
  <c r="P168" i="3"/>
  <c r="Q168" i="3"/>
  <c r="R168" i="3"/>
  <c r="V168" i="3"/>
  <c r="L169" i="3"/>
  <c r="M169" i="3"/>
  <c r="N169" i="3"/>
  <c r="P169" i="3"/>
  <c r="Q169" i="3"/>
  <c r="R169" i="3"/>
  <c r="V169" i="3"/>
  <c r="L170" i="3"/>
  <c r="M170" i="3"/>
  <c r="N170" i="3"/>
  <c r="P170" i="3"/>
  <c r="Q170" i="3"/>
  <c r="R170" i="3"/>
  <c r="V170" i="3"/>
  <c r="L171" i="3"/>
  <c r="M171" i="3"/>
  <c r="N171" i="3"/>
  <c r="P171" i="3"/>
  <c r="Q171" i="3"/>
  <c r="R171" i="3"/>
  <c r="V171" i="3"/>
  <c r="L172" i="3"/>
  <c r="M172" i="3"/>
  <c r="N172" i="3"/>
  <c r="P172" i="3"/>
  <c r="Q172" i="3"/>
  <c r="R172" i="3"/>
  <c r="V172" i="3"/>
  <c r="L173" i="3"/>
  <c r="M173" i="3"/>
  <c r="N173" i="3"/>
  <c r="P173" i="3"/>
  <c r="Q173" i="3"/>
  <c r="R173" i="3"/>
  <c r="V173" i="3"/>
  <c r="L174" i="3"/>
  <c r="M174" i="3"/>
  <c r="N174" i="3"/>
  <c r="P174" i="3"/>
  <c r="Q174" i="3"/>
  <c r="R174" i="3"/>
  <c r="V174" i="3"/>
  <c r="L175" i="3"/>
  <c r="M175" i="3"/>
  <c r="N175" i="3"/>
  <c r="P175" i="3"/>
  <c r="Q175" i="3"/>
  <c r="R175" i="3"/>
  <c r="V175" i="3"/>
  <c r="L176" i="3"/>
  <c r="M176" i="3"/>
  <c r="N176" i="3"/>
  <c r="P176" i="3"/>
  <c r="Q176" i="3"/>
  <c r="R176" i="3"/>
  <c r="V176" i="3"/>
  <c r="L177" i="3"/>
  <c r="M177" i="3"/>
  <c r="N177" i="3"/>
  <c r="P177" i="3"/>
  <c r="Q177" i="3"/>
  <c r="R177" i="3"/>
  <c r="V177" i="3"/>
  <c r="L178" i="3"/>
  <c r="M178" i="3"/>
  <c r="N178" i="3"/>
  <c r="P178" i="3"/>
  <c r="Q178" i="3"/>
  <c r="R178" i="3"/>
  <c r="V178" i="3"/>
  <c r="L179" i="3"/>
  <c r="M179" i="3"/>
  <c r="N179" i="3"/>
  <c r="P179" i="3"/>
  <c r="Q179" i="3"/>
  <c r="R179" i="3"/>
  <c r="V179" i="3"/>
  <c r="L180" i="3"/>
  <c r="M180" i="3"/>
  <c r="N180" i="3"/>
  <c r="P180" i="3"/>
  <c r="Q180" i="3"/>
  <c r="R180" i="3"/>
  <c r="V180" i="3"/>
  <c r="L181" i="3"/>
  <c r="M181" i="3"/>
  <c r="N181" i="3"/>
  <c r="P181" i="3"/>
  <c r="Q181" i="3"/>
  <c r="R181" i="3"/>
  <c r="V181" i="3"/>
  <c r="L182" i="3"/>
  <c r="M182" i="3"/>
  <c r="N182" i="3"/>
  <c r="P182" i="3"/>
  <c r="Q182" i="3"/>
  <c r="R182" i="3"/>
  <c r="V182" i="3"/>
  <c r="L183" i="3"/>
  <c r="M183" i="3"/>
  <c r="N183" i="3"/>
  <c r="P183" i="3"/>
  <c r="Q183" i="3"/>
  <c r="R183" i="3"/>
  <c r="V183" i="3"/>
  <c r="L184" i="3"/>
  <c r="M184" i="3"/>
  <c r="N184" i="3"/>
  <c r="P184" i="3"/>
  <c r="Q184" i="3"/>
  <c r="R184" i="3"/>
  <c r="V184" i="3"/>
  <c r="L185" i="3"/>
  <c r="M185" i="3"/>
  <c r="N185" i="3"/>
  <c r="P185" i="3"/>
  <c r="Q185" i="3"/>
  <c r="R185" i="3"/>
  <c r="V185" i="3"/>
  <c r="L186" i="3"/>
  <c r="M186" i="3"/>
  <c r="N186" i="3"/>
  <c r="P186" i="3"/>
  <c r="Q186" i="3"/>
  <c r="R186" i="3"/>
  <c r="V186" i="3"/>
  <c r="L187" i="3"/>
  <c r="M187" i="3"/>
  <c r="N187" i="3"/>
  <c r="P187" i="3"/>
  <c r="Q187" i="3"/>
  <c r="R187" i="3"/>
  <c r="V187" i="3"/>
  <c r="L188" i="3"/>
  <c r="M188" i="3"/>
  <c r="N188" i="3"/>
  <c r="P188" i="3"/>
  <c r="Q188" i="3"/>
  <c r="R188" i="3"/>
  <c r="V188" i="3"/>
  <c r="L189" i="3"/>
  <c r="M189" i="3"/>
  <c r="N189" i="3"/>
  <c r="P189" i="3"/>
  <c r="Q189" i="3"/>
  <c r="R189" i="3"/>
  <c r="V189" i="3"/>
  <c r="L190" i="3"/>
  <c r="M190" i="3"/>
  <c r="N190" i="3"/>
  <c r="P190" i="3"/>
  <c r="Q190" i="3"/>
  <c r="R190" i="3"/>
  <c r="V190" i="3"/>
  <c r="L191" i="3"/>
  <c r="M191" i="3"/>
  <c r="N191" i="3"/>
  <c r="P191" i="3"/>
  <c r="Q191" i="3"/>
  <c r="R191" i="3"/>
  <c r="V191" i="3"/>
  <c r="L192" i="3"/>
  <c r="M192" i="3"/>
  <c r="N192" i="3"/>
  <c r="P192" i="3"/>
  <c r="Q192" i="3"/>
  <c r="R192" i="3"/>
  <c r="V192" i="3"/>
  <c r="L193" i="3"/>
  <c r="M193" i="3"/>
  <c r="N193" i="3"/>
  <c r="P193" i="3"/>
  <c r="Q193" i="3"/>
  <c r="R193" i="3"/>
  <c r="V193" i="3"/>
  <c r="L194" i="3"/>
  <c r="M194" i="3"/>
  <c r="N194" i="3"/>
  <c r="P194" i="3"/>
  <c r="Q194" i="3"/>
  <c r="R194" i="3"/>
  <c r="V194" i="3"/>
  <c r="L195" i="3"/>
  <c r="M195" i="3"/>
  <c r="N195" i="3"/>
  <c r="P195" i="3"/>
  <c r="Q195" i="3"/>
  <c r="R195" i="3"/>
  <c r="V195" i="3"/>
  <c r="L196" i="3"/>
  <c r="M196" i="3"/>
  <c r="N196" i="3"/>
  <c r="P196" i="3"/>
  <c r="Q196" i="3"/>
  <c r="R196" i="3"/>
  <c r="V196" i="3"/>
  <c r="L197" i="3"/>
  <c r="M197" i="3"/>
  <c r="N197" i="3"/>
  <c r="P197" i="3"/>
  <c r="Q197" i="3"/>
  <c r="R197" i="3"/>
  <c r="V197" i="3"/>
  <c r="L198" i="3"/>
  <c r="M198" i="3"/>
  <c r="N198" i="3"/>
  <c r="P198" i="3"/>
  <c r="Q198" i="3"/>
  <c r="R198" i="3"/>
  <c r="V198" i="3"/>
  <c r="L199" i="3"/>
  <c r="M199" i="3"/>
  <c r="N199" i="3"/>
  <c r="P199" i="3"/>
  <c r="Q199" i="3"/>
  <c r="R199" i="3"/>
  <c r="V199" i="3"/>
  <c r="L200" i="3"/>
  <c r="M200" i="3"/>
  <c r="N200" i="3"/>
  <c r="P200" i="3"/>
  <c r="Q200" i="3"/>
  <c r="R200" i="3"/>
  <c r="V200" i="3"/>
  <c r="L201" i="3"/>
  <c r="M201" i="3"/>
  <c r="N201" i="3"/>
  <c r="P201" i="3"/>
  <c r="Q201" i="3"/>
  <c r="R201" i="3"/>
  <c r="V201" i="3"/>
  <c r="L202" i="3"/>
  <c r="M202" i="3"/>
  <c r="N202" i="3"/>
  <c r="P202" i="3"/>
  <c r="Q202" i="3"/>
  <c r="R202" i="3"/>
  <c r="V202" i="3"/>
  <c r="L203" i="3"/>
  <c r="M203" i="3"/>
  <c r="N203" i="3"/>
  <c r="P203" i="3"/>
  <c r="Q203" i="3"/>
  <c r="R203" i="3"/>
  <c r="V203" i="3"/>
  <c r="L204" i="3"/>
  <c r="M204" i="3"/>
  <c r="N204" i="3"/>
  <c r="P204" i="3"/>
  <c r="Q204" i="3"/>
  <c r="R204" i="3"/>
  <c r="V204" i="3"/>
  <c r="L205" i="3"/>
  <c r="M205" i="3"/>
  <c r="N205" i="3"/>
  <c r="P205" i="3"/>
  <c r="Q205" i="3"/>
  <c r="R205" i="3"/>
  <c r="V205" i="3"/>
  <c r="L206" i="3"/>
  <c r="M206" i="3"/>
  <c r="N206" i="3"/>
  <c r="P206" i="3"/>
  <c r="Q206" i="3"/>
  <c r="R206" i="3"/>
  <c r="V206" i="3"/>
  <c r="L207" i="3"/>
  <c r="M207" i="3"/>
  <c r="N207" i="3"/>
  <c r="P207" i="3"/>
  <c r="Q207" i="3"/>
  <c r="R207" i="3"/>
  <c r="V207" i="3"/>
  <c r="L208" i="3"/>
  <c r="M208" i="3"/>
  <c r="N208" i="3"/>
  <c r="P208" i="3"/>
  <c r="Q208" i="3"/>
  <c r="R208" i="3"/>
  <c r="V208" i="3"/>
  <c r="L209" i="3"/>
  <c r="M209" i="3"/>
  <c r="N209" i="3"/>
  <c r="P209" i="3"/>
  <c r="Q209" i="3"/>
  <c r="R209" i="3"/>
  <c r="V209" i="3"/>
  <c r="L210" i="3"/>
  <c r="M210" i="3"/>
  <c r="N210" i="3"/>
  <c r="P210" i="3"/>
  <c r="Q210" i="3"/>
  <c r="R210" i="3"/>
  <c r="V210" i="3"/>
  <c r="L211" i="3"/>
  <c r="M211" i="3"/>
  <c r="N211" i="3"/>
  <c r="P211" i="3"/>
  <c r="Q211" i="3"/>
  <c r="R211" i="3"/>
  <c r="V211" i="3"/>
  <c r="L212" i="3"/>
  <c r="M212" i="3"/>
  <c r="N212" i="3"/>
  <c r="P212" i="3"/>
  <c r="Q212" i="3"/>
  <c r="R212" i="3"/>
  <c r="V212" i="3"/>
  <c r="L213" i="3"/>
  <c r="M213" i="3"/>
  <c r="N213" i="3"/>
  <c r="P213" i="3"/>
  <c r="Q213" i="3"/>
  <c r="R213" i="3"/>
  <c r="V213" i="3"/>
  <c r="L214" i="3"/>
  <c r="M214" i="3"/>
  <c r="N214" i="3"/>
  <c r="P214" i="3"/>
  <c r="Q214" i="3"/>
  <c r="R214" i="3"/>
  <c r="V214" i="3"/>
  <c r="L215" i="3"/>
  <c r="M215" i="3"/>
  <c r="N215" i="3"/>
  <c r="P215" i="3"/>
  <c r="Q215" i="3"/>
  <c r="R215" i="3"/>
  <c r="V215" i="3"/>
  <c r="L216" i="3"/>
  <c r="M216" i="3"/>
  <c r="N216" i="3"/>
  <c r="P216" i="3"/>
  <c r="Q216" i="3"/>
  <c r="R216" i="3"/>
  <c r="V216" i="3"/>
  <c r="L217" i="3"/>
  <c r="M217" i="3"/>
  <c r="N217" i="3"/>
  <c r="P217" i="3"/>
  <c r="Q217" i="3"/>
  <c r="R217" i="3"/>
  <c r="V217" i="3"/>
  <c r="L218" i="3"/>
  <c r="M218" i="3"/>
  <c r="N218" i="3"/>
  <c r="P218" i="3"/>
  <c r="Q218" i="3"/>
  <c r="R218" i="3"/>
  <c r="V218" i="3"/>
  <c r="L219" i="3"/>
  <c r="M219" i="3"/>
  <c r="N219" i="3"/>
  <c r="P219" i="3"/>
  <c r="Q219" i="3"/>
  <c r="R219" i="3"/>
  <c r="V219" i="3"/>
  <c r="L220" i="3"/>
  <c r="M220" i="3"/>
  <c r="N220" i="3"/>
  <c r="P220" i="3"/>
  <c r="Q220" i="3"/>
  <c r="R220" i="3"/>
  <c r="V220" i="3"/>
  <c r="L221" i="3"/>
  <c r="M221" i="3"/>
  <c r="N221" i="3"/>
  <c r="P221" i="3"/>
  <c r="Q221" i="3"/>
  <c r="R221" i="3"/>
  <c r="V221" i="3"/>
  <c r="L222" i="3"/>
  <c r="M222" i="3"/>
  <c r="N222" i="3"/>
  <c r="P222" i="3"/>
  <c r="Q222" i="3"/>
  <c r="R222" i="3"/>
  <c r="V222" i="3"/>
  <c r="L223" i="3"/>
  <c r="M223" i="3"/>
  <c r="N223" i="3"/>
  <c r="P223" i="3"/>
  <c r="Q223" i="3"/>
  <c r="R223" i="3"/>
  <c r="V223" i="3"/>
  <c r="L224" i="3"/>
  <c r="M224" i="3"/>
  <c r="N224" i="3"/>
  <c r="P224" i="3"/>
  <c r="Q224" i="3"/>
  <c r="R224" i="3"/>
  <c r="V224" i="3"/>
  <c r="L225" i="3"/>
  <c r="M225" i="3"/>
  <c r="N225" i="3"/>
  <c r="P225" i="3"/>
  <c r="Q225" i="3"/>
  <c r="R225" i="3"/>
  <c r="V225" i="3"/>
  <c r="L226" i="3"/>
  <c r="M226" i="3"/>
  <c r="N226" i="3"/>
  <c r="P226" i="3"/>
  <c r="Q226" i="3"/>
  <c r="R226" i="3"/>
  <c r="V226" i="3"/>
  <c r="L227" i="3"/>
  <c r="M227" i="3"/>
  <c r="N227" i="3"/>
  <c r="P227" i="3"/>
  <c r="Q227" i="3"/>
  <c r="R227" i="3"/>
  <c r="V227" i="3"/>
  <c r="L228" i="3"/>
  <c r="M228" i="3"/>
  <c r="N228" i="3"/>
  <c r="P228" i="3"/>
  <c r="Q228" i="3"/>
  <c r="R228" i="3"/>
  <c r="V228" i="3"/>
  <c r="L229" i="3"/>
  <c r="M229" i="3"/>
  <c r="N229" i="3"/>
  <c r="P229" i="3"/>
  <c r="Q229" i="3"/>
  <c r="R229" i="3"/>
  <c r="V229" i="3"/>
  <c r="L230" i="3"/>
  <c r="M230" i="3"/>
  <c r="N230" i="3"/>
  <c r="P230" i="3"/>
  <c r="Q230" i="3"/>
  <c r="R230" i="3"/>
  <c r="V230" i="3"/>
  <c r="L231" i="3"/>
  <c r="M231" i="3"/>
  <c r="N231" i="3"/>
  <c r="P231" i="3"/>
  <c r="Q231" i="3"/>
  <c r="R231" i="3"/>
  <c r="V231" i="3"/>
  <c r="L232" i="3"/>
  <c r="M232" i="3"/>
  <c r="N232" i="3"/>
  <c r="P232" i="3"/>
  <c r="Q232" i="3"/>
  <c r="R232" i="3"/>
  <c r="V232" i="3"/>
  <c r="L233" i="3"/>
  <c r="M233" i="3"/>
  <c r="N233" i="3"/>
  <c r="P233" i="3"/>
  <c r="Q233" i="3"/>
  <c r="R233" i="3"/>
  <c r="V233" i="3"/>
  <c r="L234" i="3"/>
  <c r="M234" i="3"/>
  <c r="N234" i="3"/>
  <c r="P234" i="3"/>
  <c r="Q234" i="3"/>
  <c r="R234" i="3"/>
  <c r="V234" i="3"/>
  <c r="L235" i="3"/>
  <c r="M235" i="3"/>
  <c r="N235" i="3"/>
  <c r="P235" i="3"/>
  <c r="Q235" i="3"/>
  <c r="R235" i="3"/>
  <c r="V235" i="3"/>
  <c r="L236" i="3"/>
  <c r="M236" i="3"/>
  <c r="N236" i="3"/>
  <c r="P236" i="3"/>
  <c r="Q236" i="3"/>
  <c r="R236" i="3"/>
  <c r="V236" i="3"/>
  <c r="L237" i="3"/>
  <c r="M237" i="3"/>
  <c r="N237" i="3"/>
  <c r="P237" i="3"/>
  <c r="Q237" i="3"/>
  <c r="R237" i="3"/>
  <c r="V237" i="3"/>
  <c r="L238" i="3"/>
  <c r="M238" i="3"/>
  <c r="N238" i="3"/>
  <c r="P238" i="3"/>
  <c r="Q238" i="3"/>
  <c r="R238" i="3"/>
  <c r="V238" i="3"/>
  <c r="L239" i="3"/>
  <c r="M239" i="3"/>
  <c r="N239" i="3"/>
  <c r="P239" i="3"/>
  <c r="Q239" i="3"/>
  <c r="R239" i="3"/>
  <c r="V239" i="3"/>
  <c r="L240" i="3"/>
  <c r="M240" i="3"/>
  <c r="N240" i="3"/>
  <c r="P240" i="3"/>
  <c r="Q240" i="3"/>
  <c r="R240" i="3"/>
  <c r="V240" i="3"/>
  <c r="L241" i="3"/>
  <c r="M241" i="3"/>
  <c r="N241" i="3"/>
  <c r="P241" i="3"/>
  <c r="Q241" i="3"/>
  <c r="R241" i="3"/>
  <c r="V241" i="3"/>
  <c r="L242" i="3"/>
  <c r="M242" i="3"/>
  <c r="N242" i="3"/>
  <c r="P242" i="3"/>
  <c r="Q242" i="3"/>
  <c r="R242" i="3"/>
  <c r="V242" i="3"/>
  <c r="L243" i="3"/>
  <c r="M243" i="3"/>
  <c r="N243" i="3"/>
  <c r="P243" i="3"/>
  <c r="Q243" i="3"/>
  <c r="R243" i="3"/>
  <c r="V243" i="3"/>
  <c r="L244" i="3"/>
  <c r="M244" i="3"/>
  <c r="N244" i="3"/>
  <c r="P244" i="3"/>
  <c r="Q244" i="3"/>
  <c r="R244" i="3"/>
  <c r="V244" i="3"/>
  <c r="L245" i="3"/>
  <c r="M245" i="3"/>
  <c r="N245" i="3"/>
  <c r="P245" i="3"/>
  <c r="Q245" i="3"/>
  <c r="R245" i="3"/>
  <c r="V245" i="3"/>
  <c r="L246" i="3"/>
  <c r="M246" i="3"/>
  <c r="N246" i="3"/>
  <c r="P246" i="3"/>
  <c r="Q246" i="3"/>
  <c r="R246" i="3"/>
  <c r="V246" i="3"/>
  <c r="L247" i="3"/>
  <c r="M247" i="3"/>
  <c r="N247" i="3"/>
  <c r="P247" i="3"/>
  <c r="Q247" i="3"/>
  <c r="R247" i="3"/>
  <c r="V247" i="3"/>
  <c r="L248" i="3"/>
  <c r="M248" i="3"/>
  <c r="N248" i="3"/>
  <c r="P248" i="3"/>
  <c r="Q248" i="3"/>
  <c r="R248" i="3"/>
  <c r="V248" i="3"/>
  <c r="L249" i="3"/>
  <c r="M249" i="3"/>
  <c r="N249" i="3"/>
  <c r="P249" i="3"/>
  <c r="Q249" i="3"/>
  <c r="R249" i="3"/>
  <c r="V249" i="3"/>
  <c r="L250" i="3"/>
  <c r="M250" i="3"/>
  <c r="N250" i="3"/>
  <c r="P250" i="3"/>
  <c r="Q250" i="3"/>
  <c r="R250" i="3"/>
  <c r="V250" i="3"/>
  <c r="L251" i="3"/>
  <c r="M251" i="3"/>
  <c r="N251" i="3"/>
  <c r="P251" i="3"/>
  <c r="Q251" i="3"/>
  <c r="R251" i="3"/>
  <c r="V251" i="3"/>
  <c r="L252" i="3"/>
  <c r="M252" i="3"/>
  <c r="N252" i="3"/>
  <c r="P252" i="3"/>
  <c r="Q252" i="3"/>
  <c r="R252" i="3"/>
  <c r="V252" i="3"/>
  <c r="L253" i="3"/>
  <c r="M253" i="3"/>
  <c r="N253" i="3"/>
  <c r="P253" i="3"/>
  <c r="Q253" i="3"/>
  <c r="R253" i="3"/>
  <c r="V253" i="3"/>
  <c r="L254" i="3"/>
  <c r="M254" i="3"/>
  <c r="N254" i="3"/>
  <c r="P254" i="3"/>
  <c r="Q254" i="3"/>
  <c r="R254" i="3"/>
  <c r="V254" i="3"/>
  <c r="L255" i="3"/>
  <c r="M255" i="3"/>
  <c r="N255" i="3"/>
  <c r="P255" i="3"/>
  <c r="Q255" i="3"/>
  <c r="R255" i="3"/>
  <c r="V255" i="3"/>
  <c r="L256" i="3"/>
  <c r="M256" i="3"/>
  <c r="N256" i="3"/>
  <c r="P256" i="3"/>
  <c r="Q256" i="3"/>
  <c r="R256" i="3"/>
  <c r="V256" i="3"/>
  <c r="L257" i="3"/>
  <c r="M257" i="3"/>
  <c r="N257" i="3"/>
  <c r="P257" i="3"/>
  <c r="Q257" i="3"/>
  <c r="R257" i="3"/>
  <c r="V257" i="3"/>
  <c r="L258" i="3"/>
  <c r="M258" i="3"/>
  <c r="N258" i="3"/>
  <c r="P258" i="3"/>
  <c r="Q258" i="3"/>
  <c r="R258" i="3"/>
  <c r="V258" i="3"/>
  <c r="L259" i="3"/>
  <c r="M259" i="3"/>
  <c r="N259" i="3"/>
  <c r="P259" i="3"/>
  <c r="Q259" i="3"/>
  <c r="R259" i="3"/>
  <c r="V259" i="3"/>
  <c r="L260" i="3"/>
  <c r="M260" i="3"/>
  <c r="N260" i="3"/>
  <c r="P260" i="3"/>
  <c r="Q260" i="3"/>
  <c r="R260" i="3"/>
  <c r="V260" i="3"/>
  <c r="L261" i="3"/>
  <c r="M261" i="3"/>
  <c r="N261" i="3"/>
  <c r="P261" i="3"/>
  <c r="Q261" i="3"/>
  <c r="R261" i="3"/>
  <c r="V261" i="3"/>
  <c r="L262" i="3"/>
  <c r="M262" i="3"/>
  <c r="N262" i="3"/>
  <c r="P262" i="3"/>
  <c r="Q262" i="3"/>
  <c r="R262" i="3"/>
  <c r="V262" i="3"/>
  <c r="L263" i="3"/>
  <c r="M263" i="3"/>
  <c r="N263" i="3"/>
  <c r="P263" i="3"/>
  <c r="Q263" i="3"/>
  <c r="R263" i="3"/>
  <c r="V263" i="3"/>
  <c r="L264" i="3"/>
  <c r="M264" i="3"/>
  <c r="N264" i="3"/>
  <c r="P264" i="3"/>
  <c r="Q264" i="3"/>
  <c r="R264" i="3"/>
  <c r="V264" i="3"/>
  <c r="L265" i="3"/>
  <c r="M265" i="3"/>
  <c r="N265" i="3"/>
  <c r="P265" i="3"/>
  <c r="Q265" i="3"/>
  <c r="R265" i="3"/>
  <c r="V265" i="3"/>
  <c r="L266" i="3"/>
  <c r="M266" i="3"/>
  <c r="N266" i="3"/>
  <c r="P266" i="3"/>
  <c r="Q266" i="3"/>
  <c r="R266" i="3"/>
  <c r="V266" i="3"/>
  <c r="L267" i="3"/>
  <c r="M267" i="3"/>
  <c r="N267" i="3"/>
  <c r="P267" i="3"/>
  <c r="Q267" i="3"/>
  <c r="R267" i="3"/>
  <c r="V267" i="3"/>
  <c r="L268" i="3"/>
  <c r="M268" i="3"/>
  <c r="N268" i="3"/>
  <c r="P268" i="3"/>
  <c r="Q268" i="3"/>
  <c r="R268" i="3"/>
  <c r="V268" i="3"/>
  <c r="L269" i="3"/>
  <c r="M269" i="3"/>
  <c r="N269" i="3"/>
  <c r="P269" i="3"/>
  <c r="Q269" i="3"/>
  <c r="R269" i="3"/>
  <c r="V269" i="3"/>
  <c r="L270" i="3"/>
  <c r="M270" i="3"/>
  <c r="N270" i="3"/>
  <c r="P270" i="3"/>
  <c r="Q270" i="3"/>
  <c r="R270" i="3"/>
  <c r="V270" i="3"/>
  <c r="L271" i="3"/>
  <c r="M271" i="3"/>
  <c r="N271" i="3"/>
  <c r="P271" i="3"/>
  <c r="Q271" i="3"/>
  <c r="R271" i="3"/>
  <c r="V271" i="3"/>
  <c r="L272" i="3"/>
  <c r="M272" i="3"/>
  <c r="N272" i="3"/>
  <c r="P272" i="3"/>
  <c r="Q272" i="3"/>
  <c r="R272" i="3"/>
  <c r="V272" i="3"/>
  <c r="L273" i="3"/>
  <c r="M273" i="3"/>
  <c r="N273" i="3"/>
  <c r="P273" i="3"/>
  <c r="Q273" i="3"/>
  <c r="R273" i="3"/>
  <c r="V273" i="3"/>
  <c r="L274" i="3"/>
  <c r="M274" i="3"/>
  <c r="N274" i="3"/>
  <c r="P274" i="3"/>
  <c r="Q274" i="3"/>
  <c r="R274" i="3"/>
  <c r="V274" i="3"/>
  <c r="L275" i="3"/>
  <c r="M275" i="3"/>
  <c r="N275" i="3"/>
  <c r="P275" i="3"/>
  <c r="Q275" i="3"/>
  <c r="R275" i="3"/>
  <c r="V275" i="3"/>
  <c r="L276" i="3"/>
  <c r="M276" i="3"/>
  <c r="N276" i="3"/>
  <c r="P276" i="3"/>
  <c r="Q276" i="3"/>
  <c r="R276" i="3"/>
  <c r="V276" i="3"/>
  <c r="L277" i="3"/>
  <c r="M277" i="3"/>
  <c r="N277" i="3"/>
  <c r="P277" i="3"/>
  <c r="Q277" i="3"/>
  <c r="R277" i="3"/>
  <c r="V277" i="3"/>
  <c r="L278" i="3"/>
  <c r="M278" i="3"/>
  <c r="N278" i="3"/>
  <c r="P278" i="3"/>
  <c r="Q278" i="3"/>
  <c r="R278" i="3"/>
  <c r="V278" i="3"/>
  <c r="L279" i="3"/>
  <c r="M279" i="3"/>
  <c r="N279" i="3"/>
  <c r="P279" i="3"/>
  <c r="Q279" i="3"/>
  <c r="R279" i="3"/>
  <c r="V279" i="3"/>
  <c r="L280" i="3"/>
  <c r="M280" i="3"/>
  <c r="N280" i="3"/>
  <c r="P280" i="3"/>
  <c r="Q280" i="3"/>
  <c r="R280" i="3"/>
  <c r="V280" i="3"/>
  <c r="L281" i="3"/>
  <c r="M281" i="3"/>
  <c r="N281" i="3"/>
  <c r="P281" i="3"/>
  <c r="Q281" i="3"/>
  <c r="R281" i="3"/>
  <c r="V281" i="3"/>
  <c r="L282" i="3"/>
  <c r="M282" i="3"/>
  <c r="N282" i="3"/>
  <c r="P282" i="3"/>
  <c r="Q282" i="3"/>
  <c r="R282" i="3"/>
  <c r="V282" i="3"/>
  <c r="L283" i="3"/>
  <c r="M283" i="3"/>
  <c r="N283" i="3"/>
  <c r="P283" i="3"/>
  <c r="Q283" i="3"/>
  <c r="R283" i="3"/>
  <c r="V283" i="3"/>
  <c r="L284" i="3"/>
  <c r="M284" i="3"/>
  <c r="N284" i="3"/>
  <c r="P284" i="3"/>
  <c r="Q284" i="3"/>
  <c r="R284" i="3"/>
  <c r="V284" i="3"/>
  <c r="L285" i="3"/>
  <c r="M285" i="3"/>
  <c r="N285" i="3"/>
  <c r="P285" i="3"/>
  <c r="Q285" i="3"/>
  <c r="R285" i="3"/>
  <c r="V285" i="3"/>
  <c r="L286" i="3"/>
  <c r="M286" i="3"/>
  <c r="N286" i="3"/>
  <c r="P286" i="3"/>
  <c r="Q286" i="3"/>
  <c r="R286" i="3"/>
  <c r="V286" i="3"/>
  <c r="L287" i="3"/>
  <c r="M287" i="3"/>
  <c r="N287" i="3"/>
  <c r="P287" i="3"/>
  <c r="Q287" i="3"/>
  <c r="R287" i="3"/>
  <c r="V287" i="3"/>
  <c r="L288" i="3"/>
  <c r="M288" i="3"/>
  <c r="N288" i="3"/>
  <c r="P288" i="3"/>
  <c r="Q288" i="3"/>
  <c r="R288" i="3"/>
  <c r="V288" i="3"/>
  <c r="L289" i="3"/>
  <c r="M289" i="3"/>
  <c r="N289" i="3"/>
  <c r="P289" i="3"/>
  <c r="Q289" i="3"/>
  <c r="R289" i="3"/>
  <c r="V289" i="3"/>
  <c r="L290" i="3"/>
  <c r="M290" i="3"/>
  <c r="N290" i="3"/>
  <c r="P290" i="3"/>
  <c r="Q290" i="3"/>
  <c r="R290" i="3"/>
  <c r="V290" i="3"/>
  <c r="L291" i="3"/>
  <c r="M291" i="3"/>
  <c r="N291" i="3"/>
  <c r="P291" i="3"/>
  <c r="Q291" i="3"/>
  <c r="R291" i="3"/>
  <c r="V291" i="3"/>
  <c r="L292" i="3"/>
  <c r="M292" i="3"/>
  <c r="N292" i="3"/>
  <c r="P292" i="3"/>
  <c r="Q292" i="3"/>
  <c r="R292" i="3"/>
  <c r="V292" i="3"/>
  <c r="L293" i="3"/>
  <c r="M293" i="3"/>
  <c r="N293" i="3"/>
  <c r="P293" i="3"/>
  <c r="Q293" i="3"/>
  <c r="R293" i="3"/>
  <c r="V293" i="3"/>
  <c r="L294" i="3"/>
  <c r="M294" i="3"/>
  <c r="N294" i="3"/>
  <c r="P294" i="3"/>
  <c r="Q294" i="3"/>
  <c r="R294" i="3"/>
  <c r="V294" i="3"/>
  <c r="L295" i="3"/>
  <c r="M295" i="3"/>
  <c r="N295" i="3"/>
  <c r="P295" i="3"/>
  <c r="Q295" i="3"/>
  <c r="R295" i="3"/>
  <c r="V295" i="3"/>
  <c r="L296" i="3"/>
  <c r="M296" i="3"/>
  <c r="N296" i="3"/>
  <c r="P296" i="3"/>
  <c r="Q296" i="3"/>
  <c r="R296" i="3"/>
  <c r="V296" i="3"/>
  <c r="L297" i="3"/>
  <c r="M297" i="3"/>
  <c r="N297" i="3"/>
  <c r="P297" i="3"/>
  <c r="Q297" i="3"/>
  <c r="R297" i="3"/>
  <c r="V297" i="3"/>
  <c r="L298" i="3"/>
  <c r="M298" i="3"/>
  <c r="N298" i="3"/>
  <c r="P298" i="3"/>
  <c r="Q298" i="3"/>
  <c r="R298" i="3"/>
  <c r="V298" i="3"/>
  <c r="L299" i="3"/>
  <c r="M299" i="3"/>
  <c r="N299" i="3"/>
  <c r="P299" i="3"/>
  <c r="Q299" i="3"/>
  <c r="R299" i="3"/>
  <c r="V299" i="3"/>
  <c r="L300" i="3"/>
  <c r="M300" i="3"/>
  <c r="N300" i="3"/>
  <c r="P300" i="3"/>
  <c r="Q300" i="3"/>
  <c r="R300" i="3"/>
  <c r="V300" i="3"/>
  <c r="L301" i="3"/>
  <c r="M301" i="3"/>
  <c r="N301" i="3"/>
  <c r="P301" i="3"/>
  <c r="Q301" i="3"/>
  <c r="R301" i="3"/>
  <c r="V301" i="3"/>
  <c r="L302" i="3"/>
  <c r="M302" i="3"/>
  <c r="N302" i="3"/>
  <c r="P302" i="3"/>
  <c r="Q302" i="3"/>
  <c r="R302" i="3"/>
  <c r="V302" i="3"/>
  <c r="L303" i="3"/>
  <c r="M303" i="3"/>
  <c r="N303" i="3"/>
  <c r="P303" i="3"/>
  <c r="Q303" i="3"/>
  <c r="R303" i="3"/>
  <c r="V303" i="3"/>
  <c r="L304" i="3"/>
  <c r="M304" i="3"/>
  <c r="N304" i="3"/>
  <c r="P304" i="3"/>
  <c r="Q304" i="3"/>
  <c r="R304" i="3"/>
  <c r="V304" i="3"/>
  <c r="L305" i="3"/>
  <c r="M305" i="3"/>
  <c r="N305" i="3"/>
  <c r="P305" i="3"/>
  <c r="Q305" i="3"/>
  <c r="R305" i="3"/>
  <c r="V305" i="3"/>
  <c r="L306" i="3"/>
  <c r="M306" i="3"/>
  <c r="N306" i="3"/>
  <c r="P306" i="3"/>
  <c r="Q306" i="3"/>
  <c r="R306" i="3"/>
  <c r="V306" i="3"/>
  <c r="L307" i="3"/>
  <c r="M307" i="3"/>
  <c r="N307" i="3"/>
  <c r="P307" i="3"/>
  <c r="Q307" i="3"/>
  <c r="R307" i="3"/>
  <c r="V307" i="3"/>
  <c r="L308" i="3"/>
  <c r="M308" i="3"/>
  <c r="N308" i="3"/>
  <c r="P308" i="3"/>
  <c r="Q308" i="3"/>
  <c r="R308" i="3"/>
  <c r="V308" i="3"/>
  <c r="L309" i="3"/>
  <c r="M309" i="3"/>
  <c r="N309" i="3"/>
  <c r="P309" i="3"/>
  <c r="Q309" i="3"/>
  <c r="R309" i="3"/>
  <c r="V309" i="3"/>
  <c r="L310" i="3"/>
  <c r="M310" i="3"/>
  <c r="N310" i="3"/>
  <c r="P310" i="3"/>
  <c r="Q310" i="3"/>
  <c r="R310" i="3"/>
  <c r="V310" i="3"/>
  <c r="L311" i="3"/>
  <c r="M311" i="3"/>
  <c r="N311" i="3"/>
  <c r="P311" i="3"/>
  <c r="Q311" i="3"/>
  <c r="R311" i="3"/>
  <c r="V311" i="3"/>
  <c r="L312" i="3"/>
  <c r="M312" i="3"/>
  <c r="N312" i="3"/>
  <c r="P312" i="3"/>
  <c r="Q312" i="3"/>
  <c r="R312" i="3"/>
  <c r="V312" i="3"/>
  <c r="L313" i="3"/>
  <c r="M313" i="3"/>
  <c r="N313" i="3"/>
  <c r="P313" i="3"/>
  <c r="Q313" i="3"/>
  <c r="R313" i="3"/>
  <c r="V313" i="3"/>
  <c r="L314" i="3"/>
  <c r="M314" i="3"/>
  <c r="N314" i="3"/>
  <c r="P314" i="3"/>
  <c r="Q314" i="3"/>
  <c r="R314" i="3"/>
  <c r="V314" i="3"/>
  <c r="L315" i="3"/>
  <c r="M315" i="3"/>
  <c r="N315" i="3"/>
  <c r="P315" i="3"/>
  <c r="Q315" i="3"/>
  <c r="R315" i="3"/>
  <c r="V315" i="3"/>
  <c r="L316" i="3"/>
  <c r="M316" i="3"/>
  <c r="N316" i="3"/>
  <c r="P316" i="3"/>
  <c r="Q316" i="3"/>
  <c r="R316" i="3"/>
  <c r="V316" i="3"/>
  <c r="L317" i="3"/>
  <c r="M317" i="3"/>
  <c r="N317" i="3"/>
  <c r="P317" i="3"/>
  <c r="Q317" i="3"/>
  <c r="R317" i="3"/>
  <c r="V317" i="3"/>
  <c r="L318" i="3"/>
  <c r="M318" i="3"/>
  <c r="N318" i="3"/>
  <c r="P318" i="3"/>
  <c r="Q318" i="3"/>
  <c r="R318" i="3"/>
  <c r="V318" i="3"/>
  <c r="L319" i="3"/>
  <c r="M319" i="3"/>
  <c r="N319" i="3"/>
  <c r="P319" i="3"/>
  <c r="Q319" i="3"/>
  <c r="R319" i="3"/>
  <c r="V319" i="3"/>
  <c r="L320" i="3"/>
  <c r="M320" i="3"/>
  <c r="N320" i="3"/>
  <c r="P320" i="3"/>
  <c r="Q320" i="3"/>
  <c r="R320" i="3"/>
  <c r="V320" i="3"/>
  <c r="L321" i="3"/>
  <c r="M321" i="3"/>
  <c r="N321" i="3"/>
  <c r="P321" i="3"/>
  <c r="Q321" i="3"/>
  <c r="R321" i="3"/>
  <c r="V321" i="3"/>
  <c r="L322" i="3"/>
  <c r="M322" i="3"/>
  <c r="N322" i="3"/>
  <c r="P322" i="3"/>
  <c r="Q322" i="3"/>
  <c r="R322" i="3"/>
  <c r="V322" i="3"/>
  <c r="L323" i="3"/>
  <c r="M323" i="3"/>
  <c r="N323" i="3"/>
  <c r="P323" i="3"/>
  <c r="Q323" i="3"/>
  <c r="R323" i="3"/>
  <c r="V323" i="3"/>
  <c r="L324" i="3"/>
  <c r="M324" i="3"/>
  <c r="N324" i="3"/>
  <c r="P324" i="3"/>
  <c r="Q324" i="3"/>
  <c r="R324" i="3"/>
  <c r="V324" i="3"/>
  <c r="L325" i="3"/>
  <c r="M325" i="3"/>
  <c r="N325" i="3"/>
  <c r="P325" i="3"/>
  <c r="Q325" i="3"/>
  <c r="R325" i="3"/>
  <c r="V325" i="3"/>
  <c r="L326" i="3"/>
  <c r="M326" i="3"/>
  <c r="N326" i="3"/>
  <c r="P326" i="3"/>
  <c r="Q326" i="3"/>
  <c r="R326" i="3"/>
  <c r="V326" i="3"/>
  <c r="L327" i="3"/>
  <c r="M327" i="3"/>
  <c r="N327" i="3"/>
  <c r="P327" i="3"/>
  <c r="Q327" i="3"/>
  <c r="R327" i="3"/>
  <c r="V327" i="3"/>
  <c r="L328" i="3"/>
  <c r="M328" i="3"/>
  <c r="N328" i="3"/>
  <c r="P328" i="3"/>
  <c r="Q328" i="3"/>
  <c r="R328" i="3"/>
  <c r="V328" i="3"/>
  <c r="L329" i="3"/>
  <c r="M329" i="3"/>
  <c r="N329" i="3"/>
  <c r="P329" i="3"/>
  <c r="Q329" i="3"/>
  <c r="R329" i="3"/>
  <c r="V329" i="3"/>
  <c r="L330" i="3"/>
  <c r="M330" i="3"/>
  <c r="N330" i="3"/>
  <c r="P330" i="3"/>
  <c r="Q330" i="3"/>
  <c r="R330" i="3"/>
  <c r="V330" i="3"/>
  <c r="L331" i="3"/>
  <c r="M331" i="3"/>
  <c r="N331" i="3"/>
  <c r="P331" i="3"/>
  <c r="Q331" i="3"/>
  <c r="R331" i="3"/>
  <c r="V331" i="3"/>
  <c r="L332" i="3"/>
  <c r="M332" i="3"/>
  <c r="N332" i="3"/>
  <c r="P332" i="3"/>
  <c r="Q332" i="3"/>
  <c r="R332" i="3"/>
  <c r="V332" i="3"/>
  <c r="L333" i="3"/>
  <c r="M333" i="3"/>
  <c r="N333" i="3"/>
  <c r="P333" i="3"/>
  <c r="Q333" i="3"/>
  <c r="R333" i="3"/>
  <c r="V333" i="3"/>
  <c r="L334" i="3"/>
  <c r="M334" i="3"/>
  <c r="N334" i="3"/>
  <c r="P334" i="3"/>
  <c r="Q334" i="3"/>
  <c r="R334" i="3"/>
  <c r="V334" i="3"/>
  <c r="L335" i="3"/>
  <c r="M335" i="3"/>
  <c r="N335" i="3"/>
  <c r="P335" i="3"/>
  <c r="Q335" i="3"/>
  <c r="R335" i="3"/>
  <c r="V335" i="3"/>
  <c r="L336" i="3"/>
  <c r="M336" i="3"/>
  <c r="N336" i="3"/>
  <c r="P336" i="3"/>
  <c r="Q336" i="3"/>
  <c r="R336" i="3"/>
  <c r="V336" i="3"/>
  <c r="L337" i="3"/>
  <c r="M337" i="3"/>
  <c r="N337" i="3"/>
  <c r="P337" i="3"/>
  <c r="Q337" i="3"/>
  <c r="R337" i="3"/>
  <c r="V337" i="3"/>
  <c r="L338" i="3"/>
  <c r="M338" i="3"/>
  <c r="N338" i="3"/>
  <c r="P338" i="3"/>
  <c r="Q338" i="3"/>
  <c r="R338" i="3"/>
  <c r="V338" i="3"/>
  <c r="L339" i="3"/>
  <c r="M339" i="3"/>
  <c r="N339" i="3"/>
  <c r="P339" i="3"/>
  <c r="Q339" i="3"/>
  <c r="R339" i="3"/>
  <c r="V339" i="3"/>
  <c r="L340" i="3"/>
  <c r="M340" i="3"/>
  <c r="N340" i="3"/>
  <c r="P340" i="3"/>
  <c r="Q340" i="3"/>
  <c r="R340" i="3"/>
  <c r="V340" i="3"/>
  <c r="L341" i="3"/>
  <c r="M341" i="3"/>
  <c r="N341" i="3"/>
  <c r="P341" i="3"/>
  <c r="Q341" i="3"/>
  <c r="R341" i="3"/>
  <c r="V341" i="3"/>
  <c r="L342" i="3"/>
  <c r="M342" i="3"/>
  <c r="N342" i="3"/>
  <c r="P342" i="3"/>
  <c r="Q342" i="3"/>
  <c r="R342" i="3"/>
  <c r="V342" i="3"/>
  <c r="L343" i="3"/>
  <c r="M343" i="3"/>
  <c r="N343" i="3"/>
  <c r="P343" i="3"/>
  <c r="Q343" i="3"/>
  <c r="R343" i="3"/>
  <c r="V343" i="3"/>
  <c r="L344" i="3"/>
  <c r="M344" i="3"/>
  <c r="N344" i="3"/>
  <c r="P344" i="3"/>
  <c r="Q344" i="3"/>
  <c r="R344" i="3"/>
  <c r="V344" i="3"/>
  <c r="L345" i="3"/>
  <c r="M345" i="3"/>
  <c r="N345" i="3"/>
  <c r="P345" i="3"/>
  <c r="Q345" i="3"/>
  <c r="R345" i="3"/>
  <c r="V345" i="3"/>
  <c r="L346" i="3"/>
  <c r="M346" i="3"/>
  <c r="N346" i="3"/>
  <c r="P346" i="3"/>
  <c r="Q346" i="3"/>
  <c r="R346" i="3"/>
  <c r="V346" i="3"/>
  <c r="L347" i="3"/>
  <c r="M347" i="3"/>
  <c r="N347" i="3"/>
  <c r="P347" i="3"/>
  <c r="Q347" i="3"/>
  <c r="R347" i="3"/>
  <c r="V347" i="3"/>
  <c r="L348" i="3"/>
  <c r="M348" i="3"/>
  <c r="N348" i="3"/>
  <c r="P348" i="3"/>
  <c r="Q348" i="3"/>
  <c r="R348" i="3"/>
  <c r="V348" i="3"/>
  <c r="L349" i="3"/>
  <c r="M349" i="3"/>
  <c r="N349" i="3"/>
  <c r="P349" i="3"/>
  <c r="Q349" i="3"/>
  <c r="R349" i="3"/>
  <c r="V349" i="3"/>
  <c r="L350" i="3"/>
  <c r="M350" i="3"/>
  <c r="N350" i="3"/>
  <c r="P350" i="3"/>
  <c r="Q350" i="3"/>
  <c r="R350" i="3"/>
  <c r="V350" i="3"/>
  <c r="L351" i="3"/>
  <c r="M351" i="3"/>
  <c r="N351" i="3"/>
  <c r="P351" i="3"/>
  <c r="Q351" i="3"/>
  <c r="R351" i="3"/>
  <c r="V351" i="3"/>
  <c r="L352" i="3"/>
  <c r="M352" i="3"/>
  <c r="N352" i="3"/>
  <c r="P352" i="3"/>
  <c r="Q352" i="3"/>
  <c r="R352" i="3"/>
  <c r="V352" i="3"/>
  <c r="L353" i="3"/>
  <c r="M353" i="3"/>
  <c r="N353" i="3"/>
  <c r="P353" i="3"/>
  <c r="Q353" i="3"/>
  <c r="R353" i="3"/>
  <c r="V353" i="3"/>
  <c r="L354" i="3"/>
  <c r="M354" i="3"/>
  <c r="N354" i="3"/>
  <c r="P354" i="3"/>
  <c r="Q354" i="3"/>
  <c r="R354" i="3"/>
  <c r="V354" i="3"/>
  <c r="L355" i="3"/>
  <c r="M355" i="3"/>
  <c r="N355" i="3"/>
  <c r="P355" i="3"/>
  <c r="Q355" i="3"/>
  <c r="R355" i="3"/>
  <c r="V355" i="3"/>
  <c r="L356" i="3"/>
  <c r="M356" i="3"/>
  <c r="N356" i="3"/>
  <c r="P356" i="3"/>
  <c r="Q356" i="3"/>
  <c r="R356" i="3"/>
  <c r="V356" i="3"/>
  <c r="L357" i="3"/>
  <c r="M357" i="3"/>
  <c r="N357" i="3"/>
  <c r="P357" i="3"/>
  <c r="Q357" i="3"/>
  <c r="R357" i="3"/>
  <c r="V357" i="3"/>
  <c r="L358" i="3"/>
  <c r="M358" i="3"/>
  <c r="N358" i="3"/>
  <c r="P358" i="3"/>
  <c r="Q358" i="3"/>
  <c r="R358" i="3"/>
  <c r="V358" i="3"/>
  <c r="L359" i="3"/>
  <c r="M359" i="3"/>
  <c r="N359" i="3"/>
  <c r="P359" i="3"/>
  <c r="Q359" i="3"/>
  <c r="R359" i="3"/>
  <c r="V359" i="3"/>
  <c r="L360" i="3"/>
  <c r="M360" i="3"/>
  <c r="N360" i="3"/>
  <c r="P360" i="3"/>
  <c r="Q360" i="3"/>
  <c r="R360" i="3"/>
  <c r="V360" i="3"/>
  <c r="L361" i="3"/>
  <c r="M361" i="3"/>
  <c r="N361" i="3"/>
  <c r="P361" i="3"/>
  <c r="Q361" i="3"/>
  <c r="R361" i="3"/>
  <c r="V361" i="3"/>
  <c r="L362" i="3"/>
  <c r="M362" i="3"/>
  <c r="N362" i="3"/>
  <c r="P362" i="3"/>
  <c r="Q362" i="3"/>
  <c r="R362" i="3"/>
  <c r="V362" i="3"/>
  <c r="L363" i="3"/>
  <c r="M363" i="3"/>
  <c r="N363" i="3"/>
  <c r="P363" i="3"/>
  <c r="Q363" i="3"/>
  <c r="R363" i="3"/>
  <c r="V363" i="3"/>
  <c r="L364" i="3"/>
  <c r="M364" i="3"/>
  <c r="N364" i="3"/>
  <c r="P364" i="3"/>
  <c r="Q364" i="3"/>
  <c r="R364" i="3"/>
  <c r="V364" i="3"/>
  <c r="L365" i="3"/>
  <c r="M365" i="3"/>
  <c r="N365" i="3"/>
  <c r="P365" i="3"/>
  <c r="Q365" i="3"/>
  <c r="R365" i="3"/>
  <c r="V365" i="3"/>
  <c r="L366" i="3"/>
  <c r="M366" i="3"/>
  <c r="N366" i="3"/>
  <c r="P366" i="3"/>
  <c r="Q366" i="3"/>
  <c r="R366" i="3"/>
  <c r="V366" i="3"/>
  <c r="L367" i="3"/>
  <c r="M367" i="3"/>
  <c r="N367" i="3"/>
  <c r="P367" i="3"/>
  <c r="Q367" i="3"/>
  <c r="R367" i="3"/>
  <c r="V367" i="3"/>
  <c r="L368" i="3"/>
  <c r="M368" i="3"/>
  <c r="N368" i="3"/>
  <c r="P368" i="3"/>
  <c r="Q368" i="3"/>
  <c r="R368" i="3"/>
  <c r="V368" i="3"/>
  <c r="L369" i="3"/>
  <c r="M369" i="3"/>
  <c r="N369" i="3"/>
  <c r="P369" i="3"/>
  <c r="Q369" i="3"/>
  <c r="R369" i="3"/>
  <c r="V369" i="3"/>
  <c r="L370" i="3"/>
  <c r="M370" i="3"/>
  <c r="N370" i="3"/>
  <c r="P370" i="3"/>
  <c r="Q370" i="3"/>
  <c r="R370" i="3"/>
  <c r="V370" i="3"/>
  <c r="L371" i="3"/>
  <c r="M371" i="3"/>
  <c r="N371" i="3"/>
  <c r="P371" i="3"/>
  <c r="Q371" i="3"/>
  <c r="R371" i="3"/>
  <c r="V371" i="3"/>
  <c r="L372" i="3"/>
  <c r="M372" i="3"/>
  <c r="N372" i="3"/>
  <c r="P372" i="3"/>
  <c r="Q372" i="3"/>
  <c r="R372" i="3"/>
  <c r="V372" i="3"/>
  <c r="L373" i="3"/>
  <c r="M373" i="3"/>
  <c r="N373" i="3"/>
  <c r="P373" i="3"/>
  <c r="Q373" i="3"/>
  <c r="R373" i="3"/>
  <c r="V373" i="3"/>
  <c r="L374" i="3"/>
  <c r="M374" i="3"/>
  <c r="N374" i="3"/>
  <c r="P374" i="3"/>
  <c r="Q374" i="3"/>
  <c r="R374" i="3"/>
  <c r="V374" i="3"/>
  <c r="L375" i="3"/>
  <c r="M375" i="3"/>
  <c r="N375" i="3"/>
  <c r="P375" i="3"/>
  <c r="Q375" i="3"/>
  <c r="R375" i="3"/>
  <c r="V375" i="3"/>
  <c r="L376" i="3"/>
  <c r="M376" i="3"/>
  <c r="N376" i="3"/>
  <c r="P376" i="3"/>
  <c r="Q376" i="3"/>
  <c r="R376" i="3"/>
  <c r="V376" i="3"/>
  <c r="L377" i="3"/>
  <c r="M377" i="3"/>
  <c r="N377" i="3"/>
  <c r="P377" i="3"/>
  <c r="Q377" i="3"/>
  <c r="R377" i="3"/>
  <c r="V377" i="3"/>
  <c r="L378" i="3"/>
  <c r="M378" i="3"/>
  <c r="N378" i="3"/>
  <c r="P378" i="3"/>
  <c r="Q378" i="3"/>
  <c r="R378" i="3"/>
  <c r="V378" i="3"/>
  <c r="L379" i="3"/>
  <c r="M379" i="3"/>
  <c r="N379" i="3"/>
  <c r="P379" i="3"/>
  <c r="Q379" i="3"/>
  <c r="R379" i="3"/>
  <c r="V379" i="3"/>
  <c r="L380" i="3"/>
  <c r="M380" i="3"/>
  <c r="N380" i="3"/>
  <c r="P380" i="3"/>
  <c r="Q380" i="3"/>
  <c r="R380" i="3"/>
  <c r="V380" i="3"/>
  <c r="L381" i="3"/>
  <c r="M381" i="3"/>
  <c r="N381" i="3"/>
  <c r="P381" i="3"/>
  <c r="Q381" i="3"/>
  <c r="R381" i="3"/>
  <c r="V381" i="3"/>
  <c r="L382" i="3"/>
  <c r="M382" i="3"/>
  <c r="N382" i="3"/>
  <c r="P382" i="3"/>
  <c r="Q382" i="3"/>
  <c r="R382" i="3"/>
  <c r="V382" i="3"/>
  <c r="L383" i="3"/>
  <c r="M383" i="3"/>
  <c r="N383" i="3"/>
  <c r="P383" i="3"/>
  <c r="Q383" i="3"/>
  <c r="R383" i="3"/>
  <c r="V383" i="3"/>
  <c r="L384" i="3"/>
  <c r="M384" i="3"/>
  <c r="N384" i="3"/>
  <c r="P384" i="3"/>
  <c r="Q384" i="3"/>
  <c r="R384" i="3"/>
  <c r="V384" i="3"/>
  <c r="L385" i="3"/>
  <c r="M385" i="3"/>
  <c r="N385" i="3"/>
  <c r="P385" i="3"/>
  <c r="Q385" i="3"/>
  <c r="R385" i="3"/>
  <c r="V385" i="3"/>
  <c r="L386" i="3"/>
  <c r="M386" i="3"/>
  <c r="N386" i="3"/>
  <c r="P386" i="3"/>
  <c r="Q386" i="3"/>
  <c r="R386" i="3"/>
  <c r="V386" i="3"/>
  <c r="L387" i="3"/>
  <c r="M387" i="3"/>
  <c r="N387" i="3"/>
  <c r="P387" i="3"/>
  <c r="Q387" i="3"/>
  <c r="R387" i="3"/>
  <c r="V387" i="3"/>
  <c r="L388" i="3"/>
  <c r="M388" i="3"/>
  <c r="N388" i="3"/>
  <c r="P388" i="3"/>
  <c r="Q388" i="3"/>
  <c r="R388" i="3"/>
  <c r="V388" i="3"/>
  <c r="L389" i="3"/>
  <c r="M389" i="3"/>
  <c r="N389" i="3"/>
  <c r="P389" i="3"/>
  <c r="Q389" i="3"/>
  <c r="R389" i="3"/>
  <c r="V389" i="3"/>
  <c r="L390" i="3"/>
  <c r="M390" i="3"/>
  <c r="N390" i="3"/>
  <c r="P390" i="3"/>
  <c r="Q390" i="3"/>
  <c r="R390" i="3"/>
  <c r="V390" i="3"/>
  <c r="L391" i="3"/>
  <c r="M391" i="3"/>
  <c r="N391" i="3"/>
  <c r="P391" i="3"/>
  <c r="Q391" i="3"/>
  <c r="R391" i="3"/>
  <c r="V391" i="3"/>
  <c r="L392" i="3"/>
  <c r="M392" i="3"/>
  <c r="N392" i="3"/>
  <c r="P392" i="3"/>
  <c r="Q392" i="3"/>
  <c r="R392" i="3"/>
  <c r="V392" i="3"/>
  <c r="L393" i="3"/>
  <c r="M393" i="3"/>
  <c r="N393" i="3"/>
  <c r="P393" i="3"/>
  <c r="Q393" i="3"/>
  <c r="R393" i="3"/>
  <c r="V393" i="3"/>
  <c r="L394" i="3"/>
  <c r="M394" i="3"/>
  <c r="N394" i="3"/>
  <c r="P394" i="3"/>
  <c r="Q394" i="3"/>
  <c r="R394" i="3"/>
  <c r="V394" i="3"/>
  <c r="L395" i="3"/>
  <c r="M395" i="3"/>
  <c r="N395" i="3"/>
  <c r="P395" i="3"/>
  <c r="Q395" i="3"/>
  <c r="R395" i="3"/>
  <c r="V395" i="3"/>
  <c r="L396" i="3"/>
  <c r="M396" i="3"/>
  <c r="N396" i="3"/>
  <c r="P396" i="3"/>
  <c r="Q396" i="3"/>
  <c r="R396" i="3"/>
  <c r="V396" i="3"/>
  <c r="L397" i="3"/>
  <c r="M397" i="3"/>
  <c r="N397" i="3"/>
  <c r="P397" i="3"/>
  <c r="Q397" i="3"/>
  <c r="R397" i="3"/>
  <c r="V397" i="3"/>
  <c r="L398" i="3"/>
  <c r="M398" i="3"/>
  <c r="N398" i="3"/>
  <c r="P398" i="3"/>
  <c r="Q398" i="3"/>
  <c r="R398" i="3"/>
  <c r="V398" i="3"/>
  <c r="L399" i="3"/>
  <c r="M399" i="3"/>
  <c r="N399" i="3"/>
  <c r="P399" i="3"/>
  <c r="Q399" i="3"/>
  <c r="R399" i="3"/>
  <c r="V399" i="3"/>
  <c r="L400" i="3"/>
  <c r="M400" i="3"/>
  <c r="N400" i="3"/>
  <c r="P400" i="3"/>
  <c r="Q400" i="3"/>
  <c r="R400" i="3"/>
  <c r="V400" i="3"/>
  <c r="L401" i="3"/>
  <c r="M401" i="3"/>
  <c r="N401" i="3"/>
  <c r="P401" i="3"/>
  <c r="Q401" i="3"/>
  <c r="R401" i="3"/>
  <c r="V401" i="3"/>
  <c r="L402" i="3"/>
  <c r="M402" i="3"/>
  <c r="N402" i="3"/>
  <c r="P402" i="3"/>
  <c r="Q402" i="3"/>
  <c r="R402" i="3"/>
  <c r="V402" i="3"/>
  <c r="L403" i="3"/>
  <c r="M403" i="3"/>
  <c r="N403" i="3"/>
  <c r="P403" i="3"/>
  <c r="Q403" i="3"/>
  <c r="R403" i="3"/>
  <c r="V403" i="3"/>
  <c r="L404" i="3"/>
  <c r="M404" i="3"/>
  <c r="N404" i="3"/>
  <c r="P404" i="3"/>
  <c r="Q404" i="3"/>
  <c r="R404" i="3"/>
  <c r="V404" i="3"/>
  <c r="L405" i="3"/>
  <c r="M405" i="3"/>
  <c r="N405" i="3"/>
  <c r="P405" i="3"/>
  <c r="Q405" i="3"/>
  <c r="R405" i="3"/>
  <c r="V405" i="3"/>
  <c r="L406" i="3"/>
  <c r="M406" i="3"/>
  <c r="N406" i="3"/>
  <c r="P406" i="3"/>
  <c r="Q406" i="3"/>
  <c r="R406" i="3"/>
  <c r="V406" i="3"/>
  <c r="L407" i="3"/>
  <c r="M407" i="3"/>
  <c r="N407" i="3"/>
  <c r="P407" i="3"/>
  <c r="Q407" i="3"/>
  <c r="R407" i="3"/>
  <c r="V407" i="3"/>
  <c r="L408" i="3"/>
  <c r="M408" i="3"/>
  <c r="N408" i="3"/>
  <c r="P408" i="3"/>
  <c r="Q408" i="3"/>
  <c r="R408" i="3"/>
  <c r="V408" i="3"/>
  <c r="L409" i="3"/>
  <c r="M409" i="3"/>
  <c r="N409" i="3"/>
  <c r="P409" i="3"/>
  <c r="Q409" i="3"/>
  <c r="R409" i="3"/>
  <c r="V409" i="3"/>
  <c r="L410" i="3"/>
  <c r="M410" i="3"/>
  <c r="N410" i="3"/>
  <c r="P410" i="3"/>
  <c r="Q410" i="3"/>
  <c r="R410" i="3"/>
  <c r="V410" i="3"/>
  <c r="L411" i="3"/>
  <c r="M411" i="3"/>
  <c r="N411" i="3"/>
  <c r="P411" i="3"/>
  <c r="Q411" i="3"/>
  <c r="R411" i="3"/>
  <c r="V411" i="3"/>
  <c r="L412" i="3"/>
  <c r="M412" i="3"/>
  <c r="N412" i="3"/>
  <c r="P412" i="3"/>
  <c r="Q412" i="3"/>
  <c r="R412" i="3"/>
  <c r="V412" i="3"/>
  <c r="L413" i="3"/>
  <c r="M413" i="3"/>
  <c r="N413" i="3"/>
  <c r="P413" i="3"/>
  <c r="Q413" i="3"/>
  <c r="R413" i="3"/>
  <c r="V413" i="3"/>
  <c r="L414" i="3"/>
  <c r="M414" i="3"/>
  <c r="N414" i="3"/>
  <c r="P414" i="3"/>
  <c r="Q414" i="3"/>
  <c r="R414" i="3"/>
  <c r="V414" i="3"/>
  <c r="L415" i="3"/>
  <c r="M415" i="3"/>
  <c r="N415" i="3"/>
  <c r="P415" i="3"/>
  <c r="Q415" i="3"/>
  <c r="R415" i="3"/>
  <c r="V415" i="3"/>
  <c r="L416" i="3"/>
  <c r="M416" i="3"/>
  <c r="N416" i="3"/>
  <c r="P416" i="3"/>
  <c r="Q416" i="3"/>
  <c r="R416" i="3"/>
  <c r="V416" i="3"/>
  <c r="L417" i="3"/>
  <c r="M417" i="3"/>
  <c r="N417" i="3"/>
  <c r="P417" i="3"/>
  <c r="Q417" i="3"/>
  <c r="R417" i="3"/>
  <c r="V417" i="3"/>
  <c r="L418" i="3"/>
  <c r="M418" i="3"/>
  <c r="N418" i="3"/>
  <c r="P418" i="3"/>
  <c r="Q418" i="3"/>
  <c r="R418" i="3"/>
  <c r="V418" i="3"/>
  <c r="L419" i="3"/>
  <c r="M419" i="3"/>
  <c r="N419" i="3"/>
  <c r="P419" i="3"/>
  <c r="Q419" i="3"/>
  <c r="R419" i="3"/>
  <c r="V419" i="3"/>
  <c r="L420" i="3"/>
  <c r="M420" i="3"/>
  <c r="N420" i="3"/>
  <c r="P420" i="3"/>
  <c r="Q420" i="3"/>
  <c r="R420" i="3"/>
  <c r="V420" i="3"/>
  <c r="L421" i="3"/>
  <c r="M421" i="3"/>
  <c r="N421" i="3"/>
  <c r="P421" i="3"/>
  <c r="Q421" i="3"/>
  <c r="R421" i="3"/>
  <c r="V421" i="3"/>
  <c r="L422" i="3"/>
  <c r="M422" i="3"/>
  <c r="N422" i="3"/>
  <c r="P422" i="3"/>
  <c r="Q422" i="3"/>
  <c r="R422" i="3"/>
  <c r="V422" i="3"/>
  <c r="L423" i="3"/>
  <c r="M423" i="3"/>
  <c r="N423" i="3"/>
  <c r="P423" i="3"/>
  <c r="Q423" i="3"/>
  <c r="R423" i="3"/>
  <c r="V423" i="3"/>
  <c r="L424" i="3"/>
  <c r="M424" i="3"/>
  <c r="N424" i="3"/>
  <c r="P424" i="3"/>
  <c r="Q424" i="3"/>
  <c r="R424" i="3"/>
  <c r="V424" i="3"/>
  <c r="L425" i="3"/>
  <c r="M425" i="3"/>
  <c r="N425" i="3"/>
  <c r="P425" i="3"/>
  <c r="Q425" i="3"/>
  <c r="R425" i="3"/>
  <c r="V425" i="3"/>
  <c r="L426" i="3"/>
  <c r="M426" i="3"/>
  <c r="N426" i="3"/>
  <c r="P426" i="3"/>
  <c r="Q426" i="3"/>
  <c r="R426" i="3"/>
  <c r="V426" i="3"/>
  <c r="L427" i="3"/>
  <c r="M427" i="3"/>
  <c r="N427" i="3"/>
  <c r="P427" i="3"/>
  <c r="Q427" i="3"/>
  <c r="R427" i="3"/>
  <c r="V427" i="3"/>
  <c r="L428" i="3"/>
  <c r="M428" i="3"/>
  <c r="N428" i="3"/>
  <c r="P428" i="3"/>
  <c r="Q428" i="3"/>
  <c r="R428" i="3"/>
  <c r="V428" i="3"/>
  <c r="L429" i="3"/>
  <c r="M429" i="3"/>
  <c r="N429" i="3"/>
  <c r="P429" i="3"/>
  <c r="Q429" i="3"/>
  <c r="R429" i="3"/>
  <c r="V429" i="3"/>
  <c r="L430" i="3"/>
  <c r="M430" i="3"/>
  <c r="N430" i="3"/>
  <c r="P430" i="3"/>
  <c r="Q430" i="3"/>
  <c r="R430" i="3"/>
  <c r="V430" i="3"/>
  <c r="L431" i="3"/>
  <c r="M431" i="3"/>
  <c r="N431" i="3"/>
  <c r="P431" i="3"/>
  <c r="Q431" i="3"/>
  <c r="R431" i="3"/>
  <c r="V431" i="3"/>
  <c r="L432" i="3"/>
  <c r="M432" i="3"/>
  <c r="N432" i="3"/>
  <c r="P432" i="3"/>
  <c r="Q432" i="3"/>
  <c r="R432" i="3"/>
  <c r="V432" i="3"/>
  <c r="L433" i="3"/>
  <c r="M433" i="3"/>
  <c r="N433" i="3"/>
  <c r="P433" i="3"/>
  <c r="Q433" i="3"/>
  <c r="R433" i="3"/>
  <c r="V433" i="3"/>
  <c r="L434" i="3"/>
  <c r="M434" i="3"/>
  <c r="N434" i="3"/>
  <c r="P434" i="3"/>
  <c r="Q434" i="3"/>
  <c r="R434" i="3"/>
  <c r="V434" i="3"/>
  <c r="L435" i="3"/>
  <c r="M435" i="3"/>
  <c r="N435" i="3"/>
  <c r="P435" i="3"/>
  <c r="Q435" i="3"/>
  <c r="R435" i="3"/>
  <c r="V435" i="3"/>
  <c r="L436" i="3"/>
  <c r="M436" i="3"/>
  <c r="N436" i="3"/>
  <c r="P436" i="3"/>
  <c r="Q436" i="3"/>
  <c r="R436" i="3"/>
  <c r="V436" i="3"/>
  <c r="L437" i="3"/>
  <c r="M437" i="3"/>
  <c r="N437" i="3"/>
  <c r="P437" i="3"/>
  <c r="Q437" i="3"/>
  <c r="R437" i="3"/>
  <c r="V437" i="3"/>
  <c r="L438" i="3"/>
  <c r="M438" i="3"/>
  <c r="N438" i="3"/>
  <c r="P438" i="3"/>
  <c r="Q438" i="3"/>
  <c r="R438" i="3"/>
  <c r="V438" i="3"/>
  <c r="L439" i="3"/>
  <c r="M439" i="3"/>
  <c r="N439" i="3"/>
  <c r="P439" i="3"/>
  <c r="Q439" i="3"/>
  <c r="R439" i="3"/>
  <c r="V439" i="3"/>
  <c r="L440" i="3"/>
  <c r="M440" i="3"/>
  <c r="N440" i="3"/>
  <c r="P440" i="3"/>
  <c r="Q440" i="3"/>
  <c r="R440" i="3"/>
  <c r="V440" i="3"/>
  <c r="L441" i="3"/>
  <c r="M441" i="3"/>
  <c r="N441" i="3"/>
  <c r="P441" i="3"/>
  <c r="Q441" i="3"/>
  <c r="R441" i="3"/>
  <c r="V441" i="3"/>
  <c r="L442" i="3"/>
  <c r="M442" i="3"/>
  <c r="N442" i="3"/>
  <c r="P442" i="3"/>
  <c r="Q442" i="3"/>
  <c r="R442" i="3"/>
  <c r="V442" i="3"/>
  <c r="L443" i="3"/>
  <c r="M443" i="3"/>
  <c r="N443" i="3"/>
  <c r="P443" i="3"/>
  <c r="Q443" i="3"/>
  <c r="R443" i="3"/>
  <c r="V443" i="3"/>
  <c r="L444" i="3"/>
  <c r="M444" i="3"/>
  <c r="N444" i="3"/>
  <c r="P444" i="3"/>
  <c r="Q444" i="3"/>
  <c r="R444" i="3"/>
  <c r="V444" i="3"/>
  <c r="L445" i="3"/>
  <c r="M445" i="3"/>
  <c r="N445" i="3"/>
  <c r="P445" i="3"/>
  <c r="Q445" i="3"/>
  <c r="R445" i="3"/>
  <c r="V445" i="3"/>
  <c r="L446" i="3"/>
  <c r="M446" i="3"/>
  <c r="N446" i="3"/>
  <c r="P446" i="3"/>
  <c r="Q446" i="3"/>
  <c r="R446" i="3"/>
  <c r="V446" i="3"/>
  <c r="L447" i="3"/>
  <c r="M447" i="3"/>
  <c r="N447" i="3"/>
  <c r="P447" i="3"/>
  <c r="Q447" i="3"/>
  <c r="R447" i="3"/>
  <c r="V447" i="3"/>
  <c r="L448" i="3"/>
  <c r="M448" i="3"/>
  <c r="N448" i="3"/>
  <c r="P448" i="3"/>
  <c r="Q448" i="3"/>
  <c r="R448" i="3"/>
  <c r="V448" i="3"/>
  <c r="L449" i="3"/>
  <c r="M449" i="3"/>
  <c r="N449" i="3"/>
  <c r="P449" i="3"/>
  <c r="Q449" i="3"/>
  <c r="R449" i="3"/>
  <c r="V449" i="3"/>
  <c r="L450" i="3"/>
  <c r="M450" i="3"/>
  <c r="N450" i="3"/>
  <c r="P450" i="3"/>
  <c r="Q450" i="3"/>
  <c r="R450" i="3"/>
  <c r="V450" i="3"/>
  <c r="L451" i="3"/>
  <c r="M451" i="3"/>
  <c r="N451" i="3"/>
  <c r="P451" i="3"/>
  <c r="Q451" i="3"/>
  <c r="R451" i="3"/>
  <c r="V451" i="3"/>
  <c r="L452" i="3"/>
  <c r="M452" i="3"/>
  <c r="N452" i="3"/>
  <c r="P452" i="3"/>
  <c r="Q452" i="3"/>
  <c r="R452" i="3"/>
  <c r="V452" i="3"/>
  <c r="L453" i="3"/>
  <c r="M453" i="3"/>
  <c r="N453" i="3"/>
  <c r="P453" i="3"/>
  <c r="Q453" i="3"/>
  <c r="R453" i="3"/>
  <c r="V453" i="3"/>
  <c r="L454" i="3"/>
  <c r="M454" i="3"/>
  <c r="N454" i="3"/>
  <c r="P454" i="3"/>
  <c r="Q454" i="3"/>
  <c r="R454" i="3"/>
  <c r="V454" i="3"/>
  <c r="L455" i="3"/>
  <c r="M455" i="3"/>
  <c r="N455" i="3"/>
  <c r="P455" i="3"/>
  <c r="Q455" i="3"/>
  <c r="R455" i="3"/>
  <c r="V455" i="3"/>
  <c r="L456" i="3"/>
  <c r="M456" i="3"/>
  <c r="N456" i="3"/>
  <c r="P456" i="3"/>
  <c r="Q456" i="3"/>
  <c r="R456" i="3"/>
  <c r="V456" i="3"/>
  <c r="L457" i="3"/>
  <c r="M457" i="3"/>
  <c r="N457" i="3"/>
  <c r="P457" i="3"/>
  <c r="Q457" i="3"/>
  <c r="R457" i="3"/>
  <c r="V457" i="3"/>
  <c r="L458" i="3"/>
  <c r="M458" i="3"/>
  <c r="N458" i="3"/>
  <c r="P458" i="3"/>
  <c r="Q458" i="3"/>
  <c r="R458" i="3"/>
  <c r="V458" i="3"/>
  <c r="L459" i="3"/>
  <c r="M459" i="3"/>
  <c r="N459" i="3"/>
  <c r="P459" i="3"/>
  <c r="Q459" i="3"/>
  <c r="R459" i="3"/>
  <c r="V459" i="3"/>
  <c r="L460" i="3"/>
  <c r="M460" i="3"/>
  <c r="N460" i="3"/>
  <c r="P460" i="3"/>
  <c r="Q460" i="3"/>
  <c r="R460" i="3"/>
  <c r="V460" i="3"/>
  <c r="L461" i="3"/>
  <c r="M461" i="3"/>
  <c r="N461" i="3"/>
  <c r="P461" i="3"/>
  <c r="Q461" i="3"/>
  <c r="R461" i="3"/>
  <c r="V461" i="3"/>
  <c r="L462" i="3"/>
  <c r="M462" i="3"/>
  <c r="N462" i="3"/>
  <c r="P462" i="3"/>
  <c r="Q462" i="3"/>
  <c r="R462" i="3"/>
  <c r="V462" i="3"/>
  <c r="L463" i="3"/>
  <c r="M463" i="3"/>
  <c r="N463" i="3"/>
  <c r="P463" i="3"/>
  <c r="Q463" i="3"/>
  <c r="R463" i="3"/>
  <c r="V463" i="3"/>
  <c r="L464" i="3"/>
  <c r="M464" i="3"/>
  <c r="N464" i="3"/>
  <c r="P464" i="3"/>
  <c r="Q464" i="3"/>
  <c r="R464" i="3"/>
  <c r="V464" i="3"/>
  <c r="L465" i="3"/>
  <c r="M465" i="3"/>
  <c r="N465" i="3"/>
  <c r="P465" i="3"/>
  <c r="Q465" i="3"/>
  <c r="R465" i="3"/>
  <c r="V465" i="3"/>
  <c r="L466" i="3"/>
  <c r="M466" i="3"/>
  <c r="N466" i="3"/>
  <c r="P466" i="3"/>
  <c r="Q466" i="3"/>
  <c r="R466" i="3"/>
  <c r="V466" i="3"/>
  <c r="L467" i="3"/>
  <c r="M467" i="3"/>
  <c r="N467" i="3"/>
  <c r="P467" i="3"/>
  <c r="Q467" i="3"/>
  <c r="R467" i="3"/>
  <c r="V467" i="3"/>
  <c r="L468" i="3"/>
  <c r="M468" i="3"/>
  <c r="N468" i="3"/>
  <c r="P468" i="3"/>
  <c r="Q468" i="3"/>
  <c r="R468" i="3"/>
  <c r="V468" i="3"/>
  <c r="L469" i="3"/>
  <c r="M469" i="3"/>
  <c r="N469" i="3"/>
  <c r="P469" i="3"/>
  <c r="Q469" i="3"/>
  <c r="R469" i="3"/>
  <c r="V469" i="3"/>
  <c r="L470" i="3"/>
  <c r="M470" i="3"/>
  <c r="N470" i="3"/>
  <c r="P470" i="3"/>
  <c r="Q470" i="3"/>
  <c r="R470" i="3"/>
  <c r="V470" i="3"/>
  <c r="L471" i="3"/>
  <c r="M471" i="3"/>
  <c r="N471" i="3"/>
  <c r="P471" i="3"/>
  <c r="Q471" i="3"/>
  <c r="R471" i="3"/>
  <c r="V471" i="3"/>
  <c r="L472" i="3"/>
  <c r="M472" i="3"/>
  <c r="N472" i="3"/>
  <c r="P472" i="3"/>
  <c r="Q472" i="3"/>
  <c r="R472" i="3"/>
  <c r="V472" i="3"/>
  <c r="L473" i="3"/>
  <c r="M473" i="3"/>
  <c r="N473" i="3"/>
  <c r="P473" i="3"/>
  <c r="Q473" i="3"/>
  <c r="R473" i="3"/>
  <c r="V473" i="3"/>
  <c r="L474" i="3"/>
  <c r="M474" i="3"/>
  <c r="N474" i="3"/>
  <c r="P474" i="3"/>
  <c r="Q474" i="3"/>
  <c r="R474" i="3"/>
  <c r="V474" i="3"/>
  <c r="L475" i="3"/>
  <c r="M475" i="3"/>
  <c r="N475" i="3"/>
  <c r="P475" i="3"/>
  <c r="Q475" i="3"/>
  <c r="R475" i="3"/>
  <c r="V475" i="3"/>
  <c r="L476" i="3"/>
  <c r="M476" i="3"/>
  <c r="N476" i="3"/>
  <c r="P476" i="3"/>
  <c r="Q476" i="3"/>
  <c r="R476" i="3"/>
  <c r="V476" i="3"/>
  <c r="L477" i="3"/>
  <c r="M477" i="3"/>
  <c r="N477" i="3"/>
  <c r="P477" i="3"/>
  <c r="Q477" i="3"/>
  <c r="R477" i="3"/>
  <c r="V477" i="3"/>
  <c r="L478" i="3"/>
  <c r="M478" i="3"/>
  <c r="N478" i="3"/>
  <c r="P478" i="3"/>
  <c r="Q478" i="3"/>
  <c r="R478" i="3"/>
  <c r="V478" i="3"/>
  <c r="L479" i="3"/>
  <c r="M479" i="3"/>
  <c r="N479" i="3"/>
  <c r="P479" i="3"/>
  <c r="Q479" i="3"/>
  <c r="R479" i="3"/>
  <c r="V479" i="3"/>
  <c r="L480" i="3"/>
  <c r="M480" i="3"/>
  <c r="N480" i="3"/>
  <c r="P480" i="3"/>
  <c r="Q480" i="3"/>
  <c r="R480" i="3"/>
  <c r="V480" i="3"/>
  <c r="L481" i="3"/>
  <c r="M481" i="3"/>
  <c r="N481" i="3"/>
  <c r="P481" i="3"/>
  <c r="Q481" i="3"/>
  <c r="R481" i="3"/>
  <c r="V481" i="3"/>
  <c r="L482" i="3"/>
  <c r="M482" i="3"/>
  <c r="N482" i="3"/>
  <c r="P482" i="3"/>
  <c r="Q482" i="3"/>
  <c r="R482" i="3"/>
  <c r="V482" i="3"/>
  <c r="L483" i="3"/>
  <c r="M483" i="3"/>
  <c r="N483" i="3"/>
  <c r="P483" i="3"/>
  <c r="Q483" i="3"/>
  <c r="R483" i="3"/>
  <c r="V483" i="3"/>
  <c r="L484" i="3"/>
  <c r="M484" i="3"/>
  <c r="N484" i="3"/>
  <c r="P484" i="3"/>
  <c r="Q484" i="3"/>
  <c r="R484" i="3"/>
  <c r="V484" i="3"/>
  <c r="L485" i="3"/>
  <c r="M485" i="3"/>
  <c r="N485" i="3"/>
  <c r="P485" i="3"/>
  <c r="Q485" i="3"/>
  <c r="R485" i="3"/>
  <c r="V485" i="3"/>
  <c r="L486" i="3"/>
  <c r="M486" i="3"/>
  <c r="N486" i="3"/>
  <c r="P486" i="3"/>
  <c r="Q486" i="3"/>
  <c r="R486" i="3"/>
  <c r="V486" i="3"/>
  <c r="L487" i="3"/>
  <c r="M487" i="3"/>
  <c r="N487" i="3"/>
  <c r="P487" i="3"/>
  <c r="Q487" i="3"/>
  <c r="R487" i="3"/>
  <c r="V487" i="3"/>
  <c r="L488" i="3"/>
  <c r="M488" i="3"/>
  <c r="N488" i="3"/>
  <c r="P488" i="3"/>
  <c r="Q488" i="3"/>
  <c r="R488" i="3"/>
  <c r="V488" i="3"/>
  <c r="L489" i="3"/>
  <c r="M489" i="3"/>
  <c r="N489" i="3"/>
  <c r="P489" i="3"/>
  <c r="Q489" i="3"/>
  <c r="R489" i="3"/>
  <c r="V489" i="3"/>
  <c r="L490" i="3"/>
  <c r="M490" i="3"/>
  <c r="N490" i="3"/>
  <c r="P490" i="3"/>
  <c r="Q490" i="3"/>
  <c r="R490" i="3"/>
  <c r="V490" i="3"/>
  <c r="L491" i="3"/>
  <c r="M491" i="3"/>
  <c r="N491" i="3"/>
  <c r="P491" i="3"/>
  <c r="Q491" i="3"/>
  <c r="R491" i="3"/>
  <c r="V491" i="3"/>
  <c r="L492" i="3"/>
  <c r="M492" i="3"/>
  <c r="N492" i="3"/>
  <c r="P492" i="3"/>
  <c r="Q492" i="3"/>
  <c r="R492" i="3"/>
  <c r="V492" i="3"/>
  <c r="L493" i="3"/>
  <c r="M493" i="3"/>
  <c r="N493" i="3"/>
  <c r="P493" i="3"/>
  <c r="Q493" i="3"/>
  <c r="R493" i="3"/>
  <c r="V493" i="3"/>
  <c r="L494" i="3"/>
  <c r="M494" i="3"/>
  <c r="N494" i="3"/>
  <c r="P494" i="3"/>
  <c r="Q494" i="3"/>
  <c r="R494" i="3"/>
  <c r="V494" i="3"/>
  <c r="L495" i="3"/>
  <c r="M495" i="3"/>
  <c r="N495" i="3"/>
  <c r="P495" i="3"/>
  <c r="Q495" i="3"/>
  <c r="R495" i="3"/>
  <c r="V495" i="3"/>
  <c r="L496" i="3"/>
  <c r="M496" i="3"/>
  <c r="N496" i="3"/>
  <c r="P496" i="3"/>
  <c r="Q496" i="3"/>
  <c r="R496" i="3"/>
  <c r="V496" i="3"/>
  <c r="L497" i="3"/>
  <c r="M497" i="3"/>
  <c r="N497" i="3"/>
  <c r="P497" i="3"/>
  <c r="Q497" i="3"/>
  <c r="R497" i="3"/>
  <c r="V497" i="3"/>
  <c r="L498" i="3"/>
  <c r="M498" i="3"/>
  <c r="N498" i="3"/>
  <c r="P498" i="3"/>
  <c r="Q498" i="3"/>
  <c r="R498" i="3"/>
  <c r="V498" i="3"/>
  <c r="L499" i="3"/>
  <c r="M499" i="3"/>
  <c r="N499" i="3"/>
  <c r="P499" i="3"/>
  <c r="Q499" i="3"/>
  <c r="R499" i="3"/>
  <c r="V499" i="3"/>
  <c r="L500" i="3"/>
  <c r="M500" i="3"/>
  <c r="N500" i="3"/>
  <c r="P500" i="3"/>
  <c r="Q500" i="3"/>
  <c r="R500" i="3"/>
  <c r="V500" i="3"/>
  <c r="L501" i="3"/>
  <c r="M501" i="3"/>
  <c r="N501" i="3"/>
  <c r="P501" i="3"/>
  <c r="Q501" i="3"/>
  <c r="R501" i="3"/>
  <c r="V501" i="3"/>
  <c r="L502" i="3"/>
  <c r="M502" i="3"/>
  <c r="N502" i="3"/>
  <c r="P502" i="3"/>
  <c r="Q502" i="3"/>
  <c r="R502" i="3"/>
  <c r="V502" i="3"/>
  <c r="L503" i="3"/>
  <c r="M503" i="3"/>
  <c r="N503" i="3"/>
  <c r="P503" i="3"/>
  <c r="Q503" i="3"/>
  <c r="R503" i="3"/>
  <c r="V503" i="3"/>
  <c r="L504" i="3"/>
  <c r="M504" i="3"/>
  <c r="N504" i="3"/>
  <c r="P504" i="3"/>
  <c r="Q504" i="3"/>
  <c r="R504" i="3"/>
  <c r="V504" i="3"/>
  <c r="L505" i="3"/>
  <c r="M505" i="3"/>
  <c r="N505" i="3"/>
  <c r="P505" i="3"/>
  <c r="Q505" i="3"/>
  <c r="R505" i="3"/>
  <c r="V505" i="3"/>
  <c r="L506" i="3"/>
  <c r="M506" i="3"/>
  <c r="N506" i="3"/>
  <c r="P506" i="3"/>
  <c r="Q506" i="3"/>
  <c r="R506" i="3"/>
  <c r="V506" i="3"/>
  <c r="L507" i="3"/>
  <c r="M507" i="3"/>
  <c r="N507" i="3"/>
  <c r="P507" i="3"/>
  <c r="Q507" i="3"/>
  <c r="R507" i="3"/>
  <c r="V507" i="3"/>
  <c r="L508" i="3"/>
  <c r="M508" i="3"/>
  <c r="N508" i="3"/>
  <c r="P508" i="3"/>
  <c r="Q508" i="3"/>
  <c r="R508" i="3"/>
  <c r="V508" i="3"/>
  <c r="L509" i="3"/>
  <c r="M509" i="3"/>
  <c r="N509" i="3"/>
  <c r="P509" i="3"/>
  <c r="Q509" i="3"/>
  <c r="R509" i="3"/>
  <c r="V509" i="3"/>
  <c r="L510" i="3"/>
  <c r="M510" i="3"/>
  <c r="N510" i="3"/>
  <c r="P510" i="3"/>
  <c r="Q510" i="3"/>
  <c r="R510" i="3"/>
  <c r="V510" i="3"/>
  <c r="L511" i="3"/>
  <c r="M511" i="3"/>
  <c r="N511" i="3"/>
  <c r="P511" i="3"/>
  <c r="Q511" i="3"/>
  <c r="R511" i="3"/>
  <c r="V511" i="3"/>
  <c r="L512" i="3"/>
  <c r="M512" i="3"/>
  <c r="N512" i="3"/>
  <c r="P512" i="3"/>
  <c r="Q512" i="3"/>
  <c r="R512" i="3"/>
  <c r="V512" i="3"/>
  <c r="L513" i="3"/>
  <c r="M513" i="3"/>
  <c r="N513" i="3"/>
  <c r="P513" i="3"/>
  <c r="Q513" i="3"/>
  <c r="R513" i="3"/>
  <c r="V513" i="3"/>
  <c r="L514" i="3"/>
  <c r="M514" i="3"/>
  <c r="N514" i="3"/>
  <c r="P514" i="3"/>
  <c r="Q514" i="3"/>
  <c r="R514" i="3"/>
  <c r="V514" i="3"/>
  <c r="L515" i="3"/>
  <c r="M515" i="3"/>
  <c r="N515" i="3"/>
  <c r="P515" i="3"/>
  <c r="Q515" i="3"/>
  <c r="R515" i="3"/>
  <c r="V515" i="3"/>
  <c r="L516" i="3"/>
  <c r="M516" i="3"/>
  <c r="N516" i="3"/>
  <c r="P516" i="3"/>
  <c r="Q516" i="3"/>
  <c r="R516" i="3"/>
  <c r="V516" i="3"/>
  <c r="L517" i="3"/>
  <c r="M517" i="3"/>
  <c r="N517" i="3"/>
  <c r="P517" i="3"/>
  <c r="Q517" i="3"/>
  <c r="R517" i="3"/>
  <c r="V517" i="3"/>
  <c r="L518" i="3"/>
  <c r="M518" i="3"/>
  <c r="N518" i="3"/>
  <c r="P518" i="3"/>
  <c r="Q518" i="3"/>
  <c r="R518" i="3"/>
  <c r="V518" i="3"/>
  <c r="L519" i="3"/>
  <c r="M519" i="3"/>
  <c r="N519" i="3"/>
  <c r="P519" i="3"/>
  <c r="Q519" i="3"/>
  <c r="R519" i="3"/>
  <c r="V519" i="3"/>
  <c r="L520" i="3"/>
  <c r="M520" i="3"/>
  <c r="N520" i="3"/>
  <c r="P520" i="3"/>
  <c r="Q520" i="3"/>
  <c r="R520" i="3"/>
  <c r="V520" i="3"/>
  <c r="L521" i="3"/>
  <c r="M521" i="3"/>
  <c r="N521" i="3"/>
  <c r="P521" i="3"/>
  <c r="Q521" i="3"/>
  <c r="R521" i="3"/>
  <c r="V521" i="3"/>
  <c r="L522" i="3"/>
  <c r="M522" i="3"/>
  <c r="N522" i="3"/>
  <c r="P522" i="3"/>
  <c r="Q522" i="3"/>
  <c r="R522" i="3"/>
  <c r="V522" i="3"/>
  <c r="L523" i="3"/>
  <c r="M523" i="3"/>
  <c r="N523" i="3"/>
  <c r="P523" i="3"/>
  <c r="Q523" i="3"/>
  <c r="R523" i="3"/>
  <c r="V523" i="3"/>
  <c r="L524" i="3"/>
  <c r="M524" i="3"/>
  <c r="N524" i="3"/>
  <c r="P524" i="3"/>
  <c r="Q524" i="3"/>
  <c r="R524" i="3"/>
  <c r="V524" i="3"/>
  <c r="L525" i="3"/>
  <c r="M525" i="3"/>
  <c r="N525" i="3"/>
  <c r="P525" i="3"/>
  <c r="Q525" i="3"/>
  <c r="R525" i="3"/>
  <c r="V525" i="3"/>
  <c r="L526" i="3"/>
  <c r="M526" i="3"/>
  <c r="N526" i="3"/>
  <c r="P526" i="3"/>
  <c r="Q526" i="3"/>
  <c r="R526" i="3"/>
  <c r="V526" i="3"/>
  <c r="L527" i="3"/>
  <c r="M527" i="3"/>
  <c r="N527" i="3"/>
  <c r="P527" i="3"/>
  <c r="Q527" i="3"/>
  <c r="R527" i="3"/>
  <c r="V527" i="3"/>
  <c r="L528" i="3"/>
  <c r="M528" i="3"/>
  <c r="N528" i="3"/>
  <c r="P528" i="3"/>
  <c r="Q528" i="3"/>
  <c r="R528" i="3"/>
  <c r="V528" i="3"/>
  <c r="L529" i="3"/>
  <c r="M529" i="3"/>
  <c r="N529" i="3"/>
  <c r="P529" i="3"/>
  <c r="Q529" i="3"/>
  <c r="R529" i="3"/>
  <c r="V529" i="3"/>
  <c r="L530" i="3"/>
  <c r="M530" i="3"/>
  <c r="N530" i="3"/>
  <c r="P530" i="3"/>
  <c r="Q530" i="3"/>
  <c r="R530" i="3"/>
  <c r="V530" i="3"/>
  <c r="L531" i="3"/>
  <c r="M531" i="3"/>
  <c r="N531" i="3"/>
  <c r="P531" i="3"/>
  <c r="Q531" i="3"/>
  <c r="R531" i="3"/>
  <c r="V531" i="3"/>
  <c r="L532" i="3"/>
  <c r="M532" i="3"/>
  <c r="N532" i="3"/>
  <c r="P532" i="3"/>
  <c r="Q532" i="3"/>
  <c r="R532" i="3"/>
  <c r="V532" i="3"/>
  <c r="L533" i="3"/>
  <c r="M533" i="3"/>
  <c r="N533" i="3"/>
  <c r="P533" i="3"/>
  <c r="Q533" i="3"/>
  <c r="R533" i="3"/>
  <c r="V533" i="3"/>
  <c r="L534" i="3"/>
  <c r="M534" i="3"/>
  <c r="N534" i="3"/>
  <c r="P534" i="3"/>
  <c r="Q534" i="3"/>
  <c r="R534" i="3"/>
  <c r="V534" i="3"/>
  <c r="L535" i="3"/>
  <c r="M535" i="3"/>
  <c r="N535" i="3"/>
  <c r="P535" i="3"/>
  <c r="Q535" i="3"/>
  <c r="R535" i="3"/>
  <c r="V535" i="3"/>
  <c r="L536" i="3"/>
  <c r="M536" i="3"/>
  <c r="N536" i="3"/>
  <c r="P536" i="3"/>
  <c r="Q536" i="3"/>
  <c r="R536" i="3"/>
  <c r="V536" i="3"/>
  <c r="L537" i="3"/>
  <c r="M537" i="3"/>
  <c r="N537" i="3"/>
  <c r="P537" i="3"/>
  <c r="Q537" i="3"/>
  <c r="R537" i="3"/>
  <c r="V537" i="3"/>
  <c r="L538" i="3"/>
  <c r="M538" i="3"/>
  <c r="N538" i="3"/>
  <c r="P538" i="3"/>
  <c r="Q538" i="3"/>
  <c r="R538" i="3"/>
  <c r="V538" i="3"/>
  <c r="L539" i="3"/>
  <c r="M539" i="3"/>
  <c r="N539" i="3"/>
  <c r="P539" i="3"/>
  <c r="Q539" i="3"/>
  <c r="R539" i="3"/>
  <c r="V539" i="3"/>
  <c r="L540" i="3"/>
  <c r="M540" i="3"/>
  <c r="N540" i="3"/>
  <c r="P540" i="3"/>
  <c r="Q540" i="3"/>
  <c r="R540" i="3"/>
  <c r="V540" i="3"/>
  <c r="L541" i="3"/>
  <c r="M541" i="3"/>
  <c r="N541" i="3"/>
  <c r="P541" i="3"/>
  <c r="Q541" i="3"/>
  <c r="R541" i="3"/>
  <c r="V541" i="3"/>
  <c r="L542" i="3"/>
  <c r="M542" i="3"/>
  <c r="N542" i="3"/>
  <c r="P542" i="3"/>
  <c r="Q542" i="3"/>
  <c r="R542" i="3"/>
  <c r="V542" i="3"/>
  <c r="L543" i="3"/>
  <c r="M543" i="3"/>
  <c r="N543" i="3"/>
  <c r="P543" i="3"/>
  <c r="Q543" i="3"/>
  <c r="R543" i="3"/>
  <c r="V543" i="3"/>
  <c r="L544" i="3"/>
  <c r="M544" i="3"/>
  <c r="N544" i="3"/>
  <c r="P544" i="3"/>
  <c r="Q544" i="3"/>
  <c r="R544" i="3"/>
  <c r="V544" i="3"/>
  <c r="L545" i="3"/>
  <c r="M545" i="3"/>
  <c r="N545" i="3"/>
  <c r="P545" i="3"/>
  <c r="Q545" i="3"/>
  <c r="R545" i="3"/>
  <c r="V545" i="3"/>
  <c r="L546" i="3"/>
  <c r="M546" i="3"/>
  <c r="N546" i="3"/>
  <c r="P546" i="3"/>
  <c r="Q546" i="3"/>
  <c r="R546" i="3"/>
  <c r="V546" i="3"/>
  <c r="L547" i="3"/>
  <c r="M547" i="3"/>
  <c r="N547" i="3"/>
  <c r="P547" i="3"/>
  <c r="Q547" i="3"/>
  <c r="R547" i="3"/>
  <c r="V547" i="3"/>
  <c r="L548" i="3"/>
  <c r="M548" i="3"/>
  <c r="N548" i="3"/>
  <c r="P548" i="3"/>
  <c r="Q548" i="3"/>
  <c r="R548" i="3"/>
  <c r="V548" i="3"/>
  <c r="L549" i="3"/>
  <c r="M549" i="3"/>
  <c r="N549" i="3"/>
  <c r="P549" i="3"/>
  <c r="Q549" i="3"/>
  <c r="R549" i="3"/>
  <c r="V549" i="3"/>
  <c r="L550" i="3"/>
  <c r="M550" i="3"/>
  <c r="N550" i="3"/>
  <c r="P550" i="3"/>
  <c r="Q550" i="3"/>
  <c r="R550" i="3"/>
  <c r="V550" i="3"/>
  <c r="L551" i="3"/>
  <c r="M551" i="3"/>
  <c r="N551" i="3"/>
  <c r="P551" i="3"/>
  <c r="Q551" i="3"/>
  <c r="R551" i="3"/>
  <c r="V551" i="3"/>
  <c r="L552" i="3"/>
  <c r="M552" i="3"/>
  <c r="N552" i="3"/>
  <c r="P552" i="3"/>
  <c r="Q552" i="3"/>
  <c r="R552" i="3"/>
  <c r="V552" i="3"/>
  <c r="L553" i="3"/>
  <c r="M553" i="3"/>
  <c r="N553" i="3"/>
  <c r="P553" i="3"/>
  <c r="Q553" i="3"/>
  <c r="R553" i="3"/>
  <c r="V553" i="3"/>
  <c r="L554" i="3"/>
  <c r="M554" i="3"/>
  <c r="N554" i="3"/>
  <c r="P554" i="3"/>
  <c r="Q554" i="3"/>
  <c r="R554" i="3"/>
  <c r="V554" i="3"/>
  <c r="L555" i="3"/>
  <c r="M555" i="3"/>
  <c r="N555" i="3"/>
  <c r="P555" i="3"/>
  <c r="Q555" i="3"/>
  <c r="R555" i="3"/>
  <c r="V555" i="3"/>
  <c r="L556" i="3"/>
  <c r="M556" i="3"/>
  <c r="N556" i="3"/>
  <c r="P556" i="3"/>
  <c r="Q556" i="3"/>
  <c r="R556" i="3"/>
  <c r="V556" i="3"/>
  <c r="L557" i="3"/>
  <c r="M557" i="3"/>
  <c r="N557" i="3"/>
  <c r="P557" i="3"/>
  <c r="Q557" i="3"/>
  <c r="R557" i="3"/>
  <c r="V557" i="3"/>
  <c r="L558" i="3"/>
  <c r="M558" i="3"/>
  <c r="N558" i="3"/>
  <c r="P558" i="3"/>
  <c r="Q558" i="3"/>
  <c r="R558" i="3"/>
  <c r="V558" i="3"/>
  <c r="L559" i="3"/>
  <c r="M559" i="3"/>
  <c r="N559" i="3"/>
  <c r="P559" i="3"/>
  <c r="Q559" i="3"/>
  <c r="R559" i="3"/>
  <c r="V559" i="3"/>
  <c r="L560" i="3"/>
  <c r="M560" i="3"/>
  <c r="N560" i="3"/>
  <c r="P560" i="3"/>
  <c r="Q560" i="3"/>
  <c r="R560" i="3"/>
  <c r="V560" i="3"/>
  <c r="L561" i="3"/>
  <c r="M561" i="3"/>
  <c r="N561" i="3"/>
  <c r="P561" i="3"/>
  <c r="Q561" i="3"/>
  <c r="R561" i="3"/>
  <c r="V561" i="3"/>
  <c r="L562" i="3"/>
  <c r="M562" i="3"/>
  <c r="N562" i="3"/>
  <c r="P562" i="3"/>
  <c r="Q562" i="3"/>
  <c r="R562" i="3"/>
  <c r="V562" i="3"/>
  <c r="L563" i="3"/>
  <c r="M563" i="3"/>
  <c r="N563" i="3"/>
  <c r="P563" i="3"/>
  <c r="Q563" i="3"/>
  <c r="R563" i="3"/>
  <c r="V563" i="3"/>
  <c r="L564" i="3"/>
  <c r="M564" i="3"/>
  <c r="N564" i="3"/>
  <c r="P564" i="3"/>
  <c r="Q564" i="3"/>
  <c r="R564" i="3"/>
  <c r="V564" i="3"/>
  <c r="L565" i="3"/>
  <c r="M565" i="3"/>
  <c r="N565" i="3"/>
  <c r="P565" i="3"/>
  <c r="Q565" i="3"/>
  <c r="R565" i="3"/>
  <c r="V565" i="3"/>
  <c r="L566" i="3"/>
  <c r="M566" i="3"/>
  <c r="N566" i="3"/>
  <c r="P566" i="3"/>
  <c r="Q566" i="3"/>
  <c r="R566" i="3"/>
  <c r="V566" i="3"/>
  <c r="L567" i="3"/>
  <c r="M567" i="3"/>
  <c r="N567" i="3"/>
  <c r="P567" i="3"/>
  <c r="Q567" i="3"/>
  <c r="R567" i="3"/>
  <c r="V567" i="3"/>
  <c r="L568" i="3"/>
  <c r="M568" i="3"/>
  <c r="N568" i="3"/>
  <c r="P568" i="3"/>
  <c r="Q568" i="3"/>
  <c r="R568" i="3"/>
  <c r="V568" i="3"/>
  <c r="L569" i="3"/>
  <c r="M569" i="3"/>
  <c r="N569" i="3"/>
  <c r="P569" i="3"/>
  <c r="Q569" i="3"/>
  <c r="R569" i="3"/>
  <c r="V569" i="3"/>
  <c r="L570" i="3"/>
  <c r="M570" i="3"/>
  <c r="N570" i="3"/>
  <c r="P570" i="3"/>
  <c r="Q570" i="3"/>
  <c r="R570" i="3"/>
  <c r="V570" i="3"/>
  <c r="L571" i="3"/>
  <c r="M571" i="3"/>
  <c r="N571" i="3"/>
  <c r="P571" i="3"/>
  <c r="Q571" i="3"/>
  <c r="R571" i="3"/>
  <c r="V571" i="3"/>
  <c r="L572" i="3"/>
  <c r="M572" i="3"/>
  <c r="N572" i="3"/>
  <c r="P572" i="3"/>
  <c r="Q572" i="3"/>
  <c r="R572" i="3"/>
  <c r="V572" i="3"/>
  <c r="L573" i="3"/>
  <c r="M573" i="3"/>
  <c r="N573" i="3"/>
  <c r="P573" i="3"/>
  <c r="Q573" i="3"/>
  <c r="R573" i="3"/>
  <c r="V573" i="3"/>
  <c r="L574" i="3"/>
  <c r="M574" i="3"/>
  <c r="N574" i="3"/>
  <c r="P574" i="3"/>
  <c r="Q574" i="3"/>
  <c r="R574" i="3"/>
  <c r="V574" i="3"/>
  <c r="L575" i="3"/>
  <c r="M575" i="3"/>
  <c r="N575" i="3"/>
  <c r="P575" i="3"/>
  <c r="Q575" i="3"/>
  <c r="R575" i="3"/>
  <c r="V575" i="3"/>
  <c r="L576" i="3"/>
  <c r="M576" i="3"/>
  <c r="N576" i="3"/>
  <c r="P576" i="3"/>
  <c r="Q576" i="3"/>
  <c r="R576" i="3"/>
  <c r="V576" i="3"/>
  <c r="L577" i="3"/>
  <c r="M577" i="3"/>
  <c r="N577" i="3"/>
  <c r="P577" i="3"/>
  <c r="Q577" i="3"/>
  <c r="R577" i="3"/>
  <c r="V577" i="3"/>
  <c r="L578" i="3"/>
  <c r="M578" i="3"/>
  <c r="N578" i="3"/>
  <c r="P578" i="3"/>
  <c r="Q578" i="3"/>
  <c r="R578" i="3"/>
  <c r="V578" i="3"/>
  <c r="L579" i="3"/>
  <c r="M579" i="3"/>
  <c r="N579" i="3"/>
  <c r="P579" i="3"/>
  <c r="Q579" i="3"/>
  <c r="R579" i="3"/>
  <c r="V579" i="3"/>
  <c r="L580" i="3"/>
  <c r="M580" i="3"/>
  <c r="N580" i="3"/>
  <c r="P580" i="3"/>
  <c r="Q580" i="3"/>
  <c r="R580" i="3"/>
  <c r="V580" i="3"/>
  <c r="L581" i="3"/>
  <c r="M581" i="3"/>
  <c r="N581" i="3"/>
  <c r="P581" i="3"/>
  <c r="Q581" i="3"/>
  <c r="R581" i="3"/>
  <c r="V581" i="3"/>
  <c r="L582" i="3"/>
  <c r="M582" i="3"/>
  <c r="N582" i="3"/>
  <c r="P582" i="3"/>
  <c r="Q582" i="3"/>
  <c r="R582" i="3"/>
  <c r="V582" i="3"/>
  <c r="L583" i="3"/>
  <c r="M583" i="3"/>
  <c r="N583" i="3"/>
  <c r="P583" i="3"/>
  <c r="Q583" i="3"/>
  <c r="R583" i="3"/>
  <c r="V583" i="3"/>
  <c r="L584" i="3"/>
  <c r="M584" i="3"/>
  <c r="N584" i="3"/>
  <c r="P584" i="3"/>
  <c r="Q584" i="3"/>
  <c r="R584" i="3"/>
  <c r="V584" i="3"/>
  <c r="L585" i="3"/>
  <c r="M585" i="3"/>
  <c r="N585" i="3"/>
  <c r="P585" i="3"/>
  <c r="Q585" i="3"/>
  <c r="R585" i="3"/>
  <c r="V585" i="3"/>
  <c r="L586" i="3"/>
  <c r="M586" i="3"/>
  <c r="N586" i="3"/>
  <c r="P586" i="3"/>
  <c r="Q586" i="3"/>
  <c r="R586" i="3"/>
  <c r="V586" i="3"/>
  <c r="L587" i="3"/>
  <c r="M587" i="3"/>
  <c r="N587" i="3"/>
  <c r="P587" i="3"/>
  <c r="Q587" i="3"/>
  <c r="R587" i="3"/>
  <c r="V587" i="3"/>
  <c r="L588" i="3"/>
  <c r="M588" i="3"/>
  <c r="N588" i="3"/>
  <c r="P588" i="3"/>
  <c r="Q588" i="3"/>
  <c r="R588" i="3"/>
  <c r="V588" i="3"/>
  <c r="L589" i="3"/>
  <c r="M589" i="3"/>
  <c r="N589" i="3"/>
  <c r="P589" i="3"/>
  <c r="Q589" i="3"/>
  <c r="R589" i="3"/>
  <c r="V589" i="3"/>
  <c r="L590" i="3"/>
  <c r="M590" i="3"/>
  <c r="N590" i="3"/>
  <c r="P590" i="3"/>
  <c r="Q590" i="3"/>
  <c r="R590" i="3"/>
  <c r="V590" i="3"/>
  <c r="L591" i="3"/>
  <c r="M591" i="3"/>
  <c r="N591" i="3"/>
  <c r="P591" i="3"/>
  <c r="Q591" i="3"/>
  <c r="R591" i="3"/>
  <c r="V591" i="3"/>
  <c r="L592" i="3"/>
  <c r="M592" i="3"/>
  <c r="N592" i="3"/>
  <c r="P592" i="3"/>
  <c r="Q592" i="3"/>
  <c r="R592" i="3"/>
  <c r="V592" i="3"/>
  <c r="L593" i="3"/>
  <c r="M593" i="3"/>
  <c r="N593" i="3"/>
  <c r="P593" i="3"/>
  <c r="Q593" i="3"/>
  <c r="R593" i="3"/>
  <c r="V593" i="3"/>
  <c r="L594" i="3"/>
  <c r="M594" i="3"/>
  <c r="N594" i="3"/>
  <c r="P594" i="3"/>
  <c r="Q594" i="3"/>
  <c r="R594" i="3"/>
  <c r="V594" i="3"/>
  <c r="L595" i="3"/>
  <c r="M595" i="3"/>
  <c r="N595" i="3"/>
  <c r="P595" i="3"/>
  <c r="Q595" i="3"/>
  <c r="R595" i="3"/>
  <c r="V595" i="3"/>
  <c r="L596" i="3"/>
  <c r="M596" i="3"/>
  <c r="N596" i="3"/>
  <c r="P596" i="3"/>
  <c r="Q596" i="3"/>
  <c r="R596" i="3"/>
  <c r="V596" i="3"/>
  <c r="L597" i="3"/>
  <c r="M597" i="3"/>
  <c r="N597" i="3"/>
  <c r="P597" i="3"/>
  <c r="Q597" i="3"/>
  <c r="R597" i="3"/>
  <c r="V597" i="3"/>
  <c r="L598" i="3"/>
  <c r="M598" i="3"/>
  <c r="N598" i="3"/>
  <c r="P598" i="3"/>
  <c r="Q598" i="3"/>
  <c r="R598" i="3"/>
  <c r="V598" i="3"/>
  <c r="L599" i="3"/>
  <c r="M599" i="3"/>
  <c r="N599" i="3"/>
  <c r="P599" i="3"/>
  <c r="Q599" i="3"/>
  <c r="R599" i="3"/>
  <c r="V599" i="3"/>
  <c r="L600" i="3"/>
  <c r="M600" i="3"/>
  <c r="N600" i="3"/>
  <c r="P600" i="3"/>
  <c r="Q600" i="3"/>
  <c r="R600" i="3"/>
  <c r="V600" i="3"/>
  <c r="L601" i="3"/>
  <c r="M601" i="3"/>
  <c r="N601" i="3"/>
  <c r="P601" i="3"/>
  <c r="Q601" i="3"/>
  <c r="R601" i="3"/>
  <c r="V601" i="3"/>
  <c r="L602" i="3"/>
  <c r="M602" i="3"/>
  <c r="N602" i="3"/>
  <c r="P602" i="3"/>
  <c r="Q602" i="3"/>
  <c r="R602" i="3"/>
  <c r="V602" i="3"/>
  <c r="L603" i="3"/>
  <c r="M603" i="3"/>
  <c r="N603" i="3"/>
  <c r="P603" i="3"/>
  <c r="Q603" i="3"/>
  <c r="R603" i="3"/>
  <c r="V603" i="3"/>
  <c r="L604" i="3"/>
  <c r="M604" i="3"/>
  <c r="N604" i="3"/>
  <c r="P604" i="3"/>
  <c r="Q604" i="3"/>
  <c r="R604" i="3"/>
  <c r="V604" i="3"/>
  <c r="L605" i="3"/>
  <c r="M605" i="3"/>
  <c r="N605" i="3"/>
  <c r="P605" i="3"/>
  <c r="Q605" i="3"/>
  <c r="R605" i="3"/>
  <c r="V605" i="3"/>
  <c r="L606" i="3"/>
  <c r="M606" i="3"/>
  <c r="N606" i="3"/>
  <c r="P606" i="3"/>
  <c r="Q606" i="3"/>
  <c r="R606" i="3"/>
  <c r="V606" i="3"/>
  <c r="L607" i="3"/>
  <c r="M607" i="3"/>
  <c r="N607" i="3"/>
  <c r="P607" i="3"/>
  <c r="Q607" i="3"/>
  <c r="R607" i="3"/>
  <c r="V607" i="3"/>
  <c r="L608" i="3"/>
  <c r="M608" i="3"/>
  <c r="N608" i="3"/>
  <c r="P608" i="3"/>
  <c r="Q608" i="3"/>
  <c r="R608" i="3"/>
  <c r="V608" i="3"/>
  <c r="L609" i="3"/>
  <c r="M609" i="3"/>
  <c r="N609" i="3"/>
  <c r="P609" i="3"/>
  <c r="Q609" i="3"/>
  <c r="R609" i="3"/>
  <c r="V609" i="3"/>
  <c r="L610" i="3"/>
  <c r="M610" i="3"/>
  <c r="N610" i="3"/>
  <c r="P610" i="3"/>
  <c r="Q610" i="3"/>
  <c r="R610" i="3"/>
  <c r="V610" i="3"/>
  <c r="L611" i="3"/>
  <c r="M611" i="3"/>
  <c r="N611" i="3"/>
  <c r="P611" i="3"/>
  <c r="Q611" i="3"/>
  <c r="R611" i="3"/>
  <c r="V611" i="3"/>
  <c r="L612" i="3"/>
  <c r="M612" i="3"/>
  <c r="N612" i="3"/>
  <c r="P612" i="3"/>
  <c r="Q612" i="3"/>
  <c r="R612" i="3"/>
  <c r="V612" i="3"/>
  <c r="L613" i="3"/>
  <c r="M613" i="3"/>
  <c r="N613" i="3"/>
  <c r="P613" i="3"/>
  <c r="Q613" i="3"/>
  <c r="R613" i="3"/>
  <c r="V613" i="3"/>
  <c r="L614" i="3"/>
  <c r="M614" i="3"/>
  <c r="N614" i="3"/>
  <c r="P614" i="3"/>
  <c r="Q614" i="3"/>
  <c r="R614" i="3"/>
  <c r="V614" i="3"/>
  <c r="L615" i="3"/>
  <c r="M615" i="3"/>
  <c r="N615" i="3"/>
  <c r="P615" i="3"/>
  <c r="Q615" i="3"/>
  <c r="R615" i="3"/>
  <c r="V615" i="3"/>
  <c r="L616" i="3"/>
  <c r="M616" i="3"/>
  <c r="N616" i="3"/>
  <c r="P616" i="3"/>
  <c r="Q616" i="3"/>
  <c r="R616" i="3"/>
  <c r="V616" i="3"/>
  <c r="L617" i="3"/>
  <c r="M617" i="3"/>
  <c r="N617" i="3"/>
  <c r="P617" i="3"/>
  <c r="Q617" i="3"/>
  <c r="R617" i="3"/>
  <c r="V617" i="3"/>
  <c r="L618" i="3"/>
  <c r="M618" i="3"/>
  <c r="N618" i="3"/>
  <c r="P618" i="3"/>
  <c r="Q618" i="3"/>
  <c r="R618" i="3"/>
  <c r="V618" i="3"/>
  <c r="L619" i="3"/>
  <c r="M619" i="3"/>
  <c r="N619" i="3"/>
  <c r="P619" i="3"/>
  <c r="Q619" i="3"/>
  <c r="R619" i="3"/>
  <c r="V619" i="3"/>
  <c r="L620" i="3"/>
  <c r="M620" i="3"/>
  <c r="N620" i="3"/>
  <c r="P620" i="3"/>
  <c r="Q620" i="3"/>
  <c r="R620" i="3"/>
  <c r="V620" i="3"/>
  <c r="L621" i="3"/>
  <c r="M621" i="3"/>
  <c r="N621" i="3"/>
  <c r="P621" i="3"/>
  <c r="Q621" i="3"/>
  <c r="R621" i="3"/>
  <c r="V621" i="3"/>
  <c r="L622" i="3"/>
  <c r="M622" i="3"/>
  <c r="N622" i="3"/>
  <c r="P622" i="3"/>
  <c r="Q622" i="3"/>
  <c r="R622" i="3"/>
  <c r="V622" i="3"/>
  <c r="L623" i="3"/>
  <c r="M623" i="3"/>
  <c r="N623" i="3"/>
  <c r="P623" i="3"/>
  <c r="Q623" i="3"/>
  <c r="R623" i="3"/>
  <c r="V623" i="3"/>
  <c r="L624" i="3"/>
  <c r="M624" i="3"/>
  <c r="N624" i="3"/>
  <c r="P624" i="3"/>
  <c r="Q624" i="3"/>
  <c r="R624" i="3"/>
  <c r="V624" i="3"/>
  <c r="L625" i="3"/>
  <c r="M625" i="3"/>
  <c r="N625" i="3"/>
  <c r="P625" i="3"/>
  <c r="Q625" i="3"/>
  <c r="R625" i="3"/>
  <c r="V625" i="3"/>
  <c r="L626" i="3"/>
  <c r="M626" i="3"/>
  <c r="N626" i="3"/>
  <c r="P626" i="3"/>
  <c r="Q626" i="3"/>
  <c r="R626" i="3"/>
  <c r="V626" i="3"/>
  <c r="L627" i="3"/>
  <c r="M627" i="3"/>
  <c r="N627" i="3"/>
  <c r="P627" i="3"/>
  <c r="Q627" i="3"/>
  <c r="R627" i="3"/>
  <c r="V627" i="3"/>
  <c r="L628" i="3"/>
  <c r="M628" i="3"/>
  <c r="N628" i="3"/>
  <c r="P628" i="3"/>
  <c r="Q628" i="3"/>
  <c r="R628" i="3"/>
  <c r="V628" i="3"/>
  <c r="L629" i="3"/>
  <c r="M629" i="3"/>
  <c r="N629" i="3"/>
  <c r="P629" i="3"/>
  <c r="Q629" i="3"/>
  <c r="R629" i="3"/>
  <c r="V629" i="3"/>
  <c r="L630" i="3"/>
  <c r="M630" i="3"/>
  <c r="N630" i="3"/>
  <c r="P630" i="3"/>
  <c r="Q630" i="3"/>
  <c r="R630" i="3"/>
  <c r="V630" i="3"/>
  <c r="L631" i="3"/>
  <c r="M631" i="3"/>
  <c r="N631" i="3"/>
  <c r="P631" i="3"/>
  <c r="Q631" i="3"/>
  <c r="R631" i="3"/>
  <c r="V631" i="3"/>
  <c r="L632" i="3"/>
  <c r="M632" i="3"/>
  <c r="N632" i="3"/>
  <c r="P632" i="3"/>
  <c r="Q632" i="3"/>
  <c r="R632" i="3"/>
  <c r="V632" i="3"/>
  <c r="L633" i="3"/>
  <c r="M633" i="3"/>
  <c r="N633" i="3"/>
  <c r="P633" i="3"/>
  <c r="Q633" i="3"/>
  <c r="R633" i="3"/>
  <c r="V633" i="3"/>
  <c r="L634" i="3"/>
  <c r="M634" i="3"/>
  <c r="N634" i="3"/>
  <c r="P634" i="3"/>
  <c r="Q634" i="3"/>
  <c r="R634" i="3"/>
  <c r="V634" i="3"/>
  <c r="L635" i="3"/>
  <c r="M635" i="3"/>
  <c r="N635" i="3"/>
  <c r="P635" i="3"/>
  <c r="Q635" i="3"/>
  <c r="R635" i="3"/>
  <c r="V635" i="3"/>
  <c r="L636" i="3"/>
  <c r="M636" i="3"/>
  <c r="N636" i="3"/>
  <c r="P636" i="3"/>
  <c r="Q636" i="3"/>
  <c r="R636" i="3"/>
  <c r="V636" i="3"/>
  <c r="L637" i="3"/>
  <c r="M637" i="3"/>
  <c r="N637" i="3"/>
  <c r="P637" i="3"/>
  <c r="Q637" i="3"/>
  <c r="R637" i="3"/>
  <c r="V637" i="3"/>
  <c r="L638" i="3"/>
  <c r="M638" i="3"/>
  <c r="N638" i="3"/>
  <c r="P638" i="3"/>
  <c r="Q638" i="3"/>
  <c r="R638" i="3"/>
  <c r="V638" i="3"/>
  <c r="L639" i="3"/>
  <c r="M639" i="3"/>
  <c r="N639" i="3"/>
  <c r="P639" i="3"/>
  <c r="Q639" i="3"/>
  <c r="R639" i="3"/>
  <c r="V639" i="3"/>
  <c r="L640" i="3"/>
  <c r="M640" i="3"/>
  <c r="N640" i="3"/>
  <c r="P640" i="3"/>
  <c r="Q640" i="3"/>
  <c r="R640" i="3"/>
  <c r="V640" i="3"/>
  <c r="L641" i="3"/>
  <c r="M641" i="3"/>
  <c r="N641" i="3"/>
  <c r="P641" i="3"/>
  <c r="Q641" i="3"/>
  <c r="R641" i="3"/>
  <c r="V641" i="3"/>
  <c r="L642" i="3"/>
  <c r="M642" i="3"/>
  <c r="N642" i="3"/>
  <c r="P642" i="3"/>
  <c r="Q642" i="3"/>
  <c r="R642" i="3"/>
  <c r="V642" i="3"/>
  <c r="L643" i="3"/>
  <c r="M643" i="3"/>
  <c r="N643" i="3"/>
  <c r="P643" i="3"/>
  <c r="Q643" i="3"/>
  <c r="R643" i="3"/>
  <c r="V643" i="3"/>
  <c r="L644" i="3"/>
  <c r="M644" i="3"/>
  <c r="N644" i="3"/>
  <c r="P644" i="3"/>
  <c r="Q644" i="3"/>
  <c r="R644" i="3"/>
  <c r="V644" i="3"/>
  <c r="L645" i="3"/>
  <c r="M645" i="3"/>
  <c r="N645" i="3"/>
  <c r="P645" i="3"/>
  <c r="Q645" i="3"/>
  <c r="R645" i="3"/>
  <c r="V645" i="3"/>
  <c r="L646" i="3"/>
  <c r="M646" i="3"/>
  <c r="N646" i="3"/>
  <c r="P646" i="3"/>
  <c r="Q646" i="3"/>
  <c r="R646" i="3"/>
  <c r="V646" i="3"/>
  <c r="L647" i="3"/>
  <c r="M647" i="3"/>
  <c r="N647" i="3"/>
  <c r="P647" i="3"/>
  <c r="Q647" i="3"/>
  <c r="R647" i="3"/>
  <c r="V647" i="3"/>
  <c r="L648" i="3"/>
  <c r="M648" i="3"/>
  <c r="N648" i="3"/>
  <c r="P648" i="3"/>
  <c r="Q648" i="3"/>
  <c r="R648" i="3"/>
  <c r="V648" i="3"/>
  <c r="L649" i="3"/>
  <c r="M649" i="3"/>
  <c r="N649" i="3"/>
  <c r="P649" i="3"/>
  <c r="Q649" i="3"/>
  <c r="R649" i="3"/>
  <c r="V649" i="3"/>
  <c r="L650" i="3"/>
  <c r="M650" i="3"/>
  <c r="N650" i="3"/>
  <c r="P650" i="3"/>
  <c r="Q650" i="3"/>
  <c r="R650" i="3"/>
  <c r="V650" i="3"/>
  <c r="L651" i="3"/>
  <c r="M651" i="3"/>
  <c r="N651" i="3"/>
  <c r="P651" i="3"/>
  <c r="Q651" i="3"/>
  <c r="R651" i="3"/>
  <c r="V651" i="3"/>
  <c r="L652" i="3"/>
  <c r="M652" i="3"/>
  <c r="N652" i="3"/>
  <c r="P652" i="3"/>
  <c r="Q652" i="3"/>
  <c r="R652" i="3"/>
  <c r="V652" i="3"/>
  <c r="L653" i="3"/>
  <c r="M653" i="3"/>
  <c r="N653" i="3"/>
  <c r="P653" i="3"/>
  <c r="Q653" i="3"/>
  <c r="R653" i="3"/>
  <c r="V653" i="3"/>
  <c r="L654" i="3"/>
  <c r="M654" i="3"/>
  <c r="N654" i="3"/>
  <c r="P654" i="3"/>
  <c r="Q654" i="3"/>
  <c r="R654" i="3"/>
  <c r="V654" i="3"/>
  <c r="L655" i="3"/>
  <c r="M655" i="3"/>
  <c r="N655" i="3"/>
  <c r="P655" i="3"/>
  <c r="Q655" i="3"/>
  <c r="R655" i="3"/>
  <c r="V655" i="3"/>
  <c r="L656" i="3"/>
  <c r="M656" i="3"/>
  <c r="N656" i="3"/>
  <c r="P656" i="3"/>
  <c r="Q656" i="3"/>
  <c r="R656" i="3"/>
  <c r="V656" i="3"/>
  <c r="L657" i="3"/>
  <c r="M657" i="3"/>
  <c r="N657" i="3"/>
  <c r="P657" i="3"/>
  <c r="Q657" i="3"/>
  <c r="R657" i="3"/>
  <c r="V657" i="3"/>
  <c r="L658" i="3"/>
  <c r="M658" i="3"/>
  <c r="N658" i="3"/>
  <c r="P658" i="3"/>
  <c r="Q658" i="3"/>
  <c r="R658" i="3"/>
  <c r="V658" i="3"/>
  <c r="L659" i="3"/>
  <c r="M659" i="3"/>
  <c r="N659" i="3"/>
  <c r="P659" i="3"/>
  <c r="Q659" i="3"/>
  <c r="R659" i="3"/>
  <c r="V659" i="3"/>
  <c r="L660" i="3"/>
  <c r="M660" i="3"/>
  <c r="N660" i="3"/>
  <c r="P660" i="3"/>
  <c r="Q660" i="3"/>
  <c r="R660" i="3"/>
  <c r="V660" i="3"/>
  <c r="L661" i="3"/>
  <c r="M661" i="3"/>
  <c r="N661" i="3"/>
  <c r="P661" i="3"/>
  <c r="Q661" i="3"/>
  <c r="R661" i="3"/>
  <c r="V661" i="3"/>
  <c r="L662" i="3"/>
  <c r="M662" i="3"/>
  <c r="N662" i="3"/>
  <c r="P662" i="3"/>
  <c r="Q662" i="3"/>
  <c r="R662" i="3"/>
  <c r="V662" i="3"/>
  <c r="L663" i="3"/>
  <c r="M663" i="3"/>
  <c r="N663" i="3"/>
  <c r="P663" i="3"/>
  <c r="Q663" i="3"/>
  <c r="R663" i="3"/>
  <c r="V663" i="3"/>
  <c r="L664" i="3"/>
  <c r="M664" i="3"/>
  <c r="N664" i="3"/>
  <c r="P664" i="3"/>
  <c r="Q664" i="3"/>
  <c r="R664" i="3"/>
  <c r="V664" i="3"/>
  <c r="L665" i="3"/>
  <c r="M665" i="3"/>
  <c r="N665" i="3"/>
  <c r="P665" i="3"/>
  <c r="Q665" i="3"/>
  <c r="R665" i="3"/>
  <c r="V665" i="3"/>
  <c r="L666" i="3"/>
  <c r="M666" i="3"/>
  <c r="N666" i="3"/>
  <c r="P666" i="3"/>
  <c r="Q666" i="3"/>
  <c r="R666" i="3"/>
  <c r="V666" i="3"/>
  <c r="L667" i="3"/>
  <c r="M667" i="3"/>
  <c r="N667" i="3"/>
  <c r="P667" i="3"/>
  <c r="Q667" i="3"/>
  <c r="R667" i="3"/>
  <c r="V667" i="3"/>
  <c r="L668" i="3"/>
  <c r="M668" i="3"/>
  <c r="N668" i="3"/>
  <c r="P668" i="3"/>
  <c r="Q668" i="3"/>
  <c r="R668" i="3"/>
  <c r="V668" i="3"/>
  <c r="L669" i="3"/>
  <c r="M669" i="3"/>
  <c r="N669" i="3"/>
  <c r="P669" i="3"/>
  <c r="Q669" i="3"/>
  <c r="R669" i="3"/>
  <c r="V669" i="3"/>
  <c r="L670" i="3"/>
  <c r="M670" i="3"/>
  <c r="N670" i="3"/>
  <c r="P670" i="3"/>
  <c r="Q670" i="3"/>
  <c r="R670" i="3"/>
  <c r="V670" i="3"/>
  <c r="L671" i="3"/>
  <c r="M671" i="3"/>
  <c r="N671" i="3"/>
  <c r="P671" i="3"/>
  <c r="Q671" i="3"/>
  <c r="R671" i="3"/>
  <c r="V671" i="3"/>
  <c r="L672" i="3"/>
  <c r="M672" i="3"/>
  <c r="N672" i="3"/>
  <c r="P672" i="3"/>
  <c r="Q672" i="3"/>
  <c r="R672" i="3"/>
  <c r="V672" i="3"/>
  <c r="L673" i="3"/>
  <c r="M673" i="3"/>
  <c r="N673" i="3"/>
  <c r="P673" i="3"/>
  <c r="Q673" i="3"/>
  <c r="R673" i="3"/>
  <c r="V673" i="3"/>
  <c r="L674" i="3"/>
  <c r="M674" i="3"/>
  <c r="N674" i="3"/>
  <c r="P674" i="3"/>
  <c r="Q674" i="3"/>
  <c r="R674" i="3"/>
  <c r="V674" i="3"/>
  <c r="L675" i="3"/>
  <c r="M675" i="3"/>
  <c r="N675" i="3"/>
  <c r="P675" i="3"/>
  <c r="Q675" i="3"/>
  <c r="R675" i="3"/>
  <c r="V675" i="3"/>
  <c r="L676" i="3"/>
  <c r="M676" i="3"/>
  <c r="N676" i="3"/>
  <c r="P676" i="3"/>
  <c r="Q676" i="3"/>
  <c r="R676" i="3"/>
  <c r="V676" i="3"/>
  <c r="L677" i="3"/>
  <c r="M677" i="3"/>
  <c r="N677" i="3"/>
  <c r="P677" i="3"/>
  <c r="Q677" i="3"/>
  <c r="R677" i="3"/>
  <c r="V677" i="3"/>
  <c r="L678" i="3"/>
  <c r="M678" i="3"/>
  <c r="N678" i="3"/>
  <c r="P678" i="3"/>
  <c r="Q678" i="3"/>
  <c r="R678" i="3"/>
  <c r="V678" i="3"/>
  <c r="L679" i="3"/>
  <c r="M679" i="3"/>
  <c r="N679" i="3"/>
  <c r="P679" i="3"/>
  <c r="Q679" i="3"/>
  <c r="R679" i="3"/>
  <c r="V679" i="3"/>
  <c r="L680" i="3"/>
  <c r="M680" i="3"/>
  <c r="N680" i="3"/>
  <c r="P680" i="3"/>
  <c r="Q680" i="3"/>
  <c r="R680" i="3"/>
  <c r="V680" i="3"/>
  <c r="L681" i="3"/>
  <c r="M681" i="3"/>
  <c r="N681" i="3"/>
  <c r="P681" i="3"/>
  <c r="Q681" i="3"/>
  <c r="R681" i="3"/>
  <c r="V681" i="3"/>
  <c r="L682" i="3"/>
  <c r="M682" i="3"/>
  <c r="N682" i="3"/>
  <c r="P682" i="3"/>
  <c r="Q682" i="3"/>
  <c r="R682" i="3"/>
  <c r="V682" i="3"/>
  <c r="L683" i="3"/>
  <c r="M683" i="3"/>
  <c r="N683" i="3"/>
  <c r="P683" i="3"/>
  <c r="Q683" i="3"/>
  <c r="R683" i="3"/>
  <c r="V683" i="3"/>
  <c r="L684" i="3"/>
  <c r="M684" i="3"/>
  <c r="N684" i="3"/>
  <c r="P684" i="3"/>
  <c r="Q684" i="3"/>
  <c r="R684" i="3"/>
  <c r="V684" i="3"/>
  <c r="L685" i="3"/>
  <c r="M685" i="3"/>
  <c r="N685" i="3"/>
  <c r="P685" i="3"/>
  <c r="Q685" i="3"/>
  <c r="R685" i="3"/>
  <c r="V685" i="3"/>
  <c r="L686" i="3"/>
  <c r="M686" i="3"/>
  <c r="N686" i="3"/>
  <c r="P686" i="3"/>
  <c r="Q686" i="3"/>
  <c r="R686" i="3"/>
  <c r="V686" i="3"/>
  <c r="L687" i="3"/>
  <c r="M687" i="3"/>
  <c r="N687" i="3"/>
  <c r="P687" i="3"/>
  <c r="Q687" i="3"/>
  <c r="R687" i="3"/>
  <c r="V687" i="3"/>
  <c r="L688" i="3"/>
  <c r="M688" i="3"/>
  <c r="N688" i="3"/>
  <c r="P688" i="3"/>
  <c r="Q688" i="3"/>
  <c r="R688" i="3"/>
  <c r="V688" i="3"/>
  <c r="L689" i="3"/>
  <c r="M689" i="3"/>
  <c r="N689" i="3"/>
  <c r="P689" i="3"/>
  <c r="Q689" i="3"/>
  <c r="R689" i="3"/>
  <c r="V689" i="3"/>
  <c r="L690" i="3"/>
  <c r="M690" i="3"/>
  <c r="N690" i="3"/>
  <c r="P690" i="3"/>
  <c r="Q690" i="3"/>
  <c r="R690" i="3"/>
  <c r="V690" i="3"/>
  <c r="L691" i="3"/>
  <c r="M691" i="3"/>
  <c r="N691" i="3"/>
  <c r="P691" i="3"/>
  <c r="Q691" i="3"/>
  <c r="R691" i="3"/>
  <c r="V691" i="3"/>
  <c r="L692" i="3"/>
  <c r="M692" i="3"/>
  <c r="N692" i="3"/>
  <c r="P692" i="3"/>
  <c r="Q692" i="3"/>
  <c r="R692" i="3"/>
  <c r="V692" i="3"/>
  <c r="L693" i="3"/>
  <c r="M693" i="3"/>
  <c r="N693" i="3"/>
  <c r="P693" i="3"/>
  <c r="Q693" i="3"/>
  <c r="R693" i="3"/>
  <c r="V693" i="3"/>
  <c r="L694" i="3"/>
  <c r="M694" i="3"/>
  <c r="N694" i="3"/>
  <c r="P694" i="3"/>
  <c r="Q694" i="3"/>
  <c r="R694" i="3"/>
  <c r="V694" i="3"/>
  <c r="L695" i="3"/>
  <c r="M695" i="3"/>
  <c r="N695" i="3"/>
  <c r="P695" i="3"/>
  <c r="Q695" i="3"/>
  <c r="R695" i="3"/>
  <c r="V695" i="3"/>
  <c r="L696" i="3"/>
  <c r="M696" i="3"/>
  <c r="N696" i="3"/>
  <c r="P696" i="3"/>
  <c r="Q696" i="3"/>
  <c r="R696" i="3"/>
  <c r="V696" i="3"/>
  <c r="L697" i="3"/>
  <c r="M697" i="3"/>
  <c r="N697" i="3"/>
  <c r="P697" i="3"/>
  <c r="Q697" i="3"/>
  <c r="R697" i="3"/>
  <c r="V697" i="3"/>
  <c r="L698" i="3"/>
  <c r="M698" i="3"/>
  <c r="N698" i="3"/>
  <c r="P698" i="3"/>
  <c r="Q698" i="3"/>
  <c r="R698" i="3"/>
  <c r="V698" i="3"/>
  <c r="L699" i="3"/>
  <c r="M699" i="3"/>
  <c r="N699" i="3"/>
  <c r="P699" i="3"/>
  <c r="Q699" i="3"/>
  <c r="R699" i="3"/>
  <c r="V699" i="3"/>
  <c r="L700" i="3"/>
  <c r="M700" i="3"/>
  <c r="N700" i="3"/>
  <c r="P700" i="3"/>
  <c r="Q700" i="3"/>
  <c r="R700" i="3"/>
  <c r="V700" i="3"/>
  <c r="L701" i="3"/>
  <c r="M701" i="3"/>
  <c r="N701" i="3"/>
  <c r="P701" i="3"/>
  <c r="Q701" i="3"/>
  <c r="R701" i="3"/>
  <c r="V701" i="3"/>
  <c r="L702" i="3"/>
  <c r="M702" i="3"/>
  <c r="N702" i="3"/>
  <c r="P702" i="3"/>
  <c r="Q702" i="3"/>
  <c r="R702" i="3"/>
  <c r="V702" i="3"/>
  <c r="L703" i="3"/>
  <c r="M703" i="3"/>
  <c r="N703" i="3"/>
  <c r="P703" i="3"/>
  <c r="Q703" i="3"/>
  <c r="R703" i="3"/>
  <c r="V703" i="3"/>
  <c r="L704" i="3"/>
  <c r="M704" i="3"/>
  <c r="N704" i="3"/>
  <c r="P704" i="3"/>
  <c r="Q704" i="3"/>
  <c r="R704" i="3"/>
  <c r="V704" i="3"/>
  <c r="L705" i="3"/>
  <c r="M705" i="3"/>
  <c r="N705" i="3"/>
  <c r="P705" i="3"/>
  <c r="Q705" i="3"/>
  <c r="R705" i="3"/>
  <c r="V705" i="3"/>
  <c r="L706" i="3"/>
  <c r="M706" i="3"/>
  <c r="N706" i="3"/>
  <c r="P706" i="3"/>
  <c r="Q706" i="3"/>
  <c r="R706" i="3"/>
  <c r="V706" i="3"/>
  <c r="L707" i="3"/>
  <c r="M707" i="3"/>
  <c r="N707" i="3"/>
  <c r="P707" i="3"/>
  <c r="Q707" i="3"/>
  <c r="R707" i="3"/>
  <c r="V707" i="3"/>
  <c r="L708" i="3"/>
  <c r="M708" i="3"/>
  <c r="N708" i="3"/>
  <c r="P708" i="3"/>
  <c r="Q708" i="3"/>
  <c r="R708" i="3"/>
  <c r="V708" i="3"/>
  <c r="L709" i="3"/>
  <c r="M709" i="3"/>
  <c r="N709" i="3"/>
  <c r="P709" i="3"/>
  <c r="Q709" i="3"/>
  <c r="R709" i="3"/>
  <c r="V709" i="3"/>
  <c r="L710" i="3"/>
  <c r="M710" i="3"/>
  <c r="N710" i="3"/>
  <c r="P710" i="3"/>
  <c r="Q710" i="3"/>
  <c r="R710" i="3"/>
  <c r="V710" i="3"/>
  <c r="L711" i="3"/>
  <c r="M711" i="3"/>
  <c r="N711" i="3"/>
  <c r="P711" i="3"/>
  <c r="Q711" i="3"/>
  <c r="R711" i="3"/>
  <c r="V711" i="3"/>
  <c r="L712" i="3"/>
  <c r="M712" i="3"/>
  <c r="N712" i="3"/>
  <c r="P712" i="3"/>
  <c r="Q712" i="3"/>
  <c r="R712" i="3"/>
  <c r="V712" i="3"/>
  <c r="L713" i="3"/>
  <c r="M713" i="3"/>
  <c r="N713" i="3"/>
  <c r="P713" i="3"/>
  <c r="Q713" i="3"/>
  <c r="R713" i="3"/>
  <c r="V713" i="3"/>
  <c r="L714" i="3"/>
  <c r="M714" i="3"/>
  <c r="N714" i="3"/>
  <c r="P714" i="3"/>
  <c r="Q714" i="3"/>
  <c r="R714" i="3"/>
  <c r="V714" i="3"/>
  <c r="L715" i="3"/>
  <c r="M715" i="3"/>
  <c r="N715" i="3"/>
  <c r="P715" i="3"/>
  <c r="Q715" i="3"/>
  <c r="R715" i="3"/>
  <c r="V715" i="3"/>
  <c r="L716" i="3"/>
  <c r="M716" i="3"/>
  <c r="N716" i="3"/>
  <c r="P716" i="3"/>
  <c r="Q716" i="3"/>
  <c r="R716" i="3"/>
  <c r="V716" i="3"/>
  <c r="L717" i="3"/>
  <c r="M717" i="3"/>
  <c r="N717" i="3"/>
  <c r="P717" i="3"/>
  <c r="Q717" i="3"/>
  <c r="R717" i="3"/>
  <c r="V717" i="3"/>
  <c r="L718" i="3"/>
  <c r="M718" i="3"/>
  <c r="N718" i="3"/>
  <c r="P718" i="3"/>
  <c r="Q718" i="3"/>
  <c r="R718" i="3"/>
  <c r="V718" i="3"/>
  <c r="L719" i="3"/>
  <c r="M719" i="3"/>
  <c r="N719" i="3"/>
  <c r="P719" i="3"/>
  <c r="Q719" i="3"/>
  <c r="R719" i="3"/>
  <c r="V719" i="3"/>
  <c r="L720" i="3"/>
  <c r="M720" i="3"/>
  <c r="N720" i="3"/>
  <c r="P720" i="3"/>
  <c r="Q720" i="3"/>
  <c r="R720" i="3"/>
  <c r="V720" i="3"/>
  <c r="L721" i="3"/>
  <c r="M721" i="3"/>
  <c r="N721" i="3"/>
  <c r="P721" i="3"/>
  <c r="Q721" i="3"/>
  <c r="R721" i="3"/>
  <c r="V721" i="3"/>
  <c r="L722" i="3"/>
  <c r="M722" i="3"/>
  <c r="N722" i="3"/>
  <c r="P722" i="3"/>
  <c r="Q722" i="3"/>
  <c r="R722" i="3"/>
  <c r="V722" i="3"/>
  <c r="L723" i="3"/>
  <c r="M723" i="3"/>
  <c r="N723" i="3"/>
  <c r="P723" i="3"/>
  <c r="Q723" i="3"/>
  <c r="R723" i="3"/>
  <c r="V723" i="3"/>
  <c r="L724" i="3"/>
  <c r="M724" i="3"/>
  <c r="N724" i="3"/>
  <c r="P724" i="3"/>
  <c r="Q724" i="3"/>
  <c r="R724" i="3"/>
  <c r="V724" i="3"/>
  <c r="L725" i="3"/>
  <c r="M725" i="3"/>
  <c r="N725" i="3"/>
  <c r="P725" i="3"/>
  <c r="Q725" i="3"/>
  <c r="R725" i="3"/>
  <c r="V725" i="3"/>
  <c r="L726" i="3"/>
  <c r="M726" i="3"/>
  <c r="N726" i="3"/>
  <c r="P726" i="3"/>
  <c r="Q726" i="3"/>
  <c r="R726" i="3"/>
  <c r="V726" i="3"/>
  <c r="L727" i="3"/>
  <c r="M727" i="3"/>
  <c r="N727" i="3"/>
  <c r="P727" i="3"/>
  <c r="Q727" i="3"/>
  <c r="R727" i="3"/>
  <c r="V727" i="3"/>
  <c r="L728" i="3"/>
  <c r="M728" i="3"/>
  <c r="N728" i="3"/>
  <c r="P728" i="3"/>
  <c r="Q728" i="3"/>
  <c r="R728" i="3"/>
  <c r="V728" i="3"/>
  <c r="L729" i="3"/>
  <c r="M729" i="3"/>
  <c r="N729" i="3"/>
  <c r="P729" i="3"/>
  <c r="Q729" i="3"/>
  <c r="R729" i="3"/>
  <c r="V729" i="3"/>
  <c r="L730" i="3"/>
  <c r="M730" i="3"/>
  <c r="N730" i="3"/>
  <c r="P730" i="3"/>
  <c r="Q730" i="3"/>
  <c r="R730" i="3"/>
  <c r="V730" i="3"/>
  <c r="L731" i="3"/>
  <c r="M731" i="3"/>
  <c r="N731" i="3"/>
  <c r="P731" i="3"/>
  <c r="Q731" i="3"/>
  <c r="R731" i="3"/>
  <c r="V731" i="3"/>
  <c r="L732" i="3"/>
  <c r="M732" i="3"/>
  <c r="N732" i="3"/>
  <c r="P732" i="3"/>
  <c r="Q732" i="3"/>
  <c r="R732" i="3"/>
  <c r="V732" i="3"/>
  <c r="L733" i="3"/>
  <c r="M733" i="3"/>
  <c r="N733" i="3"/>
  <c r="P733" i="3"/>
  <c r="Q733" i="3"/>
  <c r="R733" i="3"/>
  <c r="V733" i="3"/>
  <c r="L734" i="3"/>
  <c r="M734" i="3"/>
  <c r="N734" i="3"/>
  <c r="P734" i="3"/>
  <c r="Q734" i="3"/>
  <c r="R734" i="3"/>
  <c r="V734" i="3"/>
  <c r="L735" i="3"/>
  <c r="M735" i="3"/>
  <c r="N735" i="3"/>
  <c r="P735" i="3"/>
  <c r="Q735" i="3"/>
  <c r="R735" i="3"/>
  <c r="V735" i="3"/>
  <c r="L736" i="3"/>
  <c r="M736" i="3"/>
  <c r="N736" i="3"/>
  <c r="P736" i="3"/>
  <c r="Q736" i="3"/>
  <c r="R736" i="3"/>
  <c r="V736" i="3"/>
  <c r="L737" i="3"/>
  <c r="M737" i="3"/>
  <c r="N737" i="3"/>
  <c r="P737" i="3"/>
  <c r="Q737" i="3"/>
  <c r="R737" i="3"/>
  <c r="V737" i="3"/>
  <c r="L738" i="3"/>
  <c r="M738" i="3"/>
  <c r="N738" i="3"/>
  <c r="P738" i="3"/>
  <c r="Q738" i="3"/>
  <c r="R738" i="3"/>
  <c r="V738" i="3"/>
  <c r="L739" i="3"/>
  <c r="M739" i="3"/>
  <c r="N739" i="3"/>
  <c r="P739" i="3"/>
  <c r="Q739" i="3"/>
  <c r="R739" i="3"/>
  <c r="V739" i="3"/>
  <c r="L740" i="3"/>
  <c r="M740" i="3"/>
  <c r="N740" i="3"/>
  <c r="P740" i="3"/>
  <c r="Q740" i="3"/>
  <c r="R740" i="3"/>
  <c r="V740" i="3"/>
  <c r="L741" i="3"/>
  <c r="M741" i="3"/>
  <c r="N741" i="3"/>
  <c r="P741" i="3"/>
  <c r="Q741" i="3"/>
  <c r="R741" i="3"/>
  <c r="V741" i="3"/>
  <c r="L742" i="3"/>
  <c r="M742" i="3"/>
  <c r="N742" i="3"/>
  <c r="P742" i="3"/>
  <c r="Q742" i="3"/>
  <c r="R742" i="3"/>
  <c r="V742" i="3"/>
  <c r="L743" i="3"/>
  <c r="M743" i="3"/>
  <c r="N743" i="3"/>
  <c r="P743" i="3"/>
  <c r="Q743" i="3"/>
  <c r="R743" i="3"/>
  <c r="V743" i="3"/>
  <c r="L744" i="3"/>
  <c r="M744" i="3"/>
  <c r="N744" i="3"/>
  <c r="P744" i="3"/>
  <c r="Q744" i="3"/>
  <c r="R744" i="3"/>
  <c r="V744" i="3"/>
  <c r="L745" i="3"/>
  <c r="M745" i="3"/>
  <c r="N745" i="3"/>
  <c r="P745" i="3"/>
  <c r="Q745" i="3"/>
  <c r="R745" i="3"/>
  <c r="V745" i="3"/>
  <c r="L746" i="3"/>
  <c r="M746" i="3"/>
  <c r="N746" i="3"/>
  <c r="P746" i="3"/>
  <c r="Q746" i="3"/>
  <c r="R746" i="3"/>
  <c r="V746" i="3"/>
  <c r="L747" i="3"/>
  <c r="M747" i="3"/>
  <c r="N747" i="3"/>
  <c r="P747" i="3"/>
  <c r="Q747" i="3"/>
  <c r="R747" i="3"/>
  <c r="V747" i="3"/>
  <c r="L748" i="3"/>
  <c r="M748" i="3"/>
  <c r="N748" i="3"/>
  <c r="P748" i="3"/>
  <c r="Q748" i="3"/>
  <c r="R748" i="3"/>
  <c r="V748" i="3"/>
  <c r="L749" i="3"/>
  <c r="M749" i="3"/>
  <c r="N749" i="3"/>
  <c r="P749" i="3"/>
  <c r="Q749" i="3"/>
  <c r="R749" i="3"/>
  <c r="V749" i="3"/>
  <c r="L750" i="3"/>
  <c r="M750" i="3"/>
  <c r="N750" i="3"/>
  <c r="P750" i="3"/>
  <c r="Q750" i="3"/>
  <c r="R750" i="3"/>
  <c r="V750" i="3"/>
  <c r="L751" i="3"/>
  <c r="M751" i="3"/>
  <c r="N751" i="3"/>
  <c r="P751" i="3"/>
  <c r="Q751" i="3"/>
  <c r="R751" i="3"/>
  <c r="V751" i="3"/>
  <c r="L752" i="3"/>
  <c r="M752" i="3"/>
  <c r="N752" i="3"/>
  <c r="P752" i="3"/>
  <c r="Q752" i="3"/>
  <c r="R752" i="3"/>
  <c r="V752" i="3"/>
  <c r="L753" i="3"/>
  <c r="M753" i="3"/>
  <c r="N753" i="3"/>
  <c r="P753" i="3"/>
  <c r="Q753" i="3"/>
  <c r="R753" i="3"/>
  <c r="V753" i="3"/>
  <c r="L754" i="3"/>
  <c r="M754" i="3"/>
  <c r="N754" i="3"/>
  <c r="P754" i="3"/>
  <c r="Q754" i="3"/>
  <c r="R754" i="3"/>
  <c r="V754" i="3"/>
  <c r="L755" i="3"/>
  <c r="M755" i="3"/>
  <c r="N755" i="3"/>
  <c r="P755" i="3"/>
  <c r="Q755" i="3"/>
  <c r="R755" i="3"/>
  <c r="V755" i="3"/>
  <c r="L756" i="3"/>
  <c r="M756" i="3"/>
  <c r="N756" i="3"/>
  <c r="P756" i="3"/>
  <c r="Q756" i="3"/>
  <c r="R756" i="3"/>
  <c r="V756" i="3"/>
  <c r="L757" i="3"/>
  <c r="M757" i="3"/>
  <c r="N757" i="3"/>
  <c r="P757" i="3"/>
  <c r="Q757" i="3"/>
  <c r="R757" i="3"/>
  <c r="V757" i="3"/>
  <c r="L758" i="3"/>
  <c r="M758" i="3"/>
  <c r="N758" i="3"/>
  <c r="P758" i="3"/>
  <c r="Q758" i="3"/>
  <c r="R758" i="3"/>
  <c r="V758" i="3"/>
  <c r="L759" i="3"/>
  <c r="M759" i="3"/>
  <c r="N759" i="3"/>
  <c r="P759" i="3"/>
  <c r="Q759" i="3"/>
  <c r="R759" i="3"/>
  <c r="V759" i="3"/>
  <c r="L760" i="3"/>
  <c r="M760" i="3"/>
  <c r="N760" i="3"/>
  <c r="P760" i="3"/>
  <c r="Q760" i="3"/>
  <c r="R760" i="3"/>
  <c r="V760" i="3"/>
  <c r="L761" i="3"/>
  <c r="M761" i="3"/>
  <c r="N761" i="3"/>
  <c r="P761" i="3"/>
  <c r="Q761" i="3"/>
  <c r="R761" i="3"/>
  <c r="V761" i="3"/>
  <c r="L762" i="3"/>
  <c r="M762" i="3"/>
  <c r="N762" i="3"/>
  <c r="P762" i="3"/>
  <c r="Q762" i="3"/>
  <c r="R762" i="3"/>
  <c r="V762" i="3"/>
  <c r="L763" i="3"/>
  <c r="M763" i="3"/>
  <c r="N763" i="3"/>
  <c r="P763" i="3"/>
  <c r="Q763" i="3"/>
  <c r="R763" i="3"/>
  <c r="V763" i="3"/>
  <c r="L764" i="3"/>
  <c r="M764" i="3"/>
  <c r="N764" i="3"/>
  <c r="P764" i="3"/>
  <c r="Q764" i="3"/>
  <c r="R764" i="3"/>
  <c r="V764" i="3"/>
  <c r="L765" i="3"/>
  <c r="M765" i="3"/>
  <c r="N765" i="3"/>
  <c r="P765" i="3"/>
  <c r="Q765" i="3"/>
  <c r="R765" i="3"/>
  <c r="V765" i="3"/>
  <c r="L766" i="3"/>
  <c r="M766" i="3"/>
  <c r="N766" i="3"/>
  <c r="P766" i="3"/>
  <c r="Q766" i="3"/>
  <c r="R766" i="3"/>
  <c r="V766" i="3"/>
  <c r="L767" i="3"/>
  <c r="M767" i="3"/>
  <c r="N767" i="3"/>
  <c r="P767" i="3"/>
  <c r="Q767" i="3"/>
  <c r="R767" i="3"/>
  <c r="V767" i="3"/>
  <c r="L768" i="3"/>
  <c r="M768" i="3"/>
  <c r="N768" i="3"/>
  <c r="P768" i="3"/>
  <c r="Q768" i="3"/>
  <c r="R768" i="3"/>
  <c r="V768" i="3"/>
  <c r="L769" i="3"/>
  <c r="M769" i="3"/>
  <c r="N769" i="3"/>
  <c r="P769" i="3"/>
  <c r="Q769" i="3"/>
  <c r="R769" i="3"/>
  <c r="V769" i="3"/>
  <c r="L770" i="3"/>
  <c r="M770" i="3"/>
  <c r="N770" i="3"/>
  <c r="P770" i="3"/>
  <c r="Q770" i="3"/>
  <c r="R770" i="3"/>
  <c r="V770" i="3"/>
  <c r="L771" i="3"/>
  <c r="M771" i="3"/>
  <c r="N771" i="3"/>
  <c r="P771" i="3"/>
  <c r="Q771" i="3"/>
  <c r="R771" i="3"/>
  <c r="V771" i="3"/>
  <c r="L772" i="3"/>
  <c r="M772" i="3"/>
  <c r="N772" i="3"/>
  <c r="P772" i="3"/>
  <c r="Q772" i="3"/>
  <c r="R772" i="3"/>
  <c r="V772" i="3"/>
  <c r="L773" i="3"/>
  <c r="M773" i="3"/>
  <c r="N773" i="3"/>
  <c r="P773" i="3"/>
  <c r="Q773" i="3"/>
  <c r="R773" i="3"/>
  <c r="V773" i="3"/>
  <c r="L774" i="3"/>
  <c r="M774" i="3"/>
  <c r="N774" i="3"/>
  <c r="P774" i="3"/>
  <c r="Q774" i="3"/>
  <c r="R774" i="3"/>
  <c r="V774" i="3"/>
  <c r="L775" i="3"/>
  <c r="M775" i="3"/>
  <c r="N775" i="3"/>
  <c r="P775" i="3"/>
  <c r="Q775" i="3"/>
  <c r="R775" i="3"/>
  <c r="V775" i="3"/>
  <c r="L776" i="3"/>
  <c r="M776" i="3"/>
  <c r="N776" i="3"/>
  <c r="P776" i="3"/>
  <c r="Q776" i="3"/>
  <c r="R776" i="3"/>
  <c r="V776" i="3"/>
  <c r="L777" i="3"/>
  <c r="M777" i="3"/>
  <c r="N777" i="3"/>
  <c r="P777" i="3"/>
  <c r="Q777" i="3"/>
  <c r="R777" i="3"/>
  <c r="V777" i="3"/>
  <c r="L778" i="3"/>
  <c r="M778" i="3"/>
  <c r="N778" i="3"/>
  <c r="P778" i="3"/>
  <c r="Q778" i="3"/>
  <c r="R778" i="3"/>
  <c r="V778" i="3"/>
  <c r="L779" i="3"/>
  <c r="M779" i="3"/>
  <c r="N779" i="3"/>
  <c r="P779" i="3"/>
  <c r="Q779" i="3"/>
  <c r="R779" i="3"/>
  <c r="V779" i="3"/>
  <c r="L780" i="3"/>
  <c r="M780" i="3"/>
  <c r="N780" i="3"/>
  <c r="P780" i="3"/>
  <c r="Q780" i="3"/>
  <c r="R780" i="3"/>
  <c r="V780" i="3"/>
  <c r="L781" i="3"/>
  <c r="M781" i="3"/>
  <c r="N781" i="3"/>
  <c r="P781" i="3"/>
  <c r="Q781" i="3"/>
  <c r="R781" i="3"/>
  <c r="V781" i="3"/>
  <c r="L782" i="3"/>
  <c r="M782" i="3"/>
  <c r="N782" i="3"/>
  <c r="P782" i="3"/>
  <c r="Q782" i="3"/>
  <c r="R782" i="3"/>
  <c r="V782" i="3"/>
  <c r="L783" i="3"/>
  <c r="M783" i="3"/>
  <c r="N783" i="3"/>
  <c r="P783" i="3"/>
  <c r="Q783" i="3"/>
  <c r="R783" i="3"/>
  <c r="V783" i="3"/>
  <c r="L784" i="3"/>
  <c r="M784" i="3"/>
  <c r="N784" i="3"/>
  <c r="P784" i="3"/>
  <c r="Q784" i="3"/>
  <c r="R784" i="3"/>
  <c r="V784" i="3"/>
  <c r="L785" i="3"/>
  <c r="M785" i="3"/>
  <c r="N785" i="3"/>
  <c r="P785" i="3"/>
  <c r="Q785" i="3"/>
  <c r="R785" i="3"/>
  <c r="V785" i="3"/>
  <c r="L786" i="3"/>
  <c r="M786" i="3"/>
  <c r="N786" i="3"/>
  <c r="P786" i="3"/>
  <c r="Q786" i="3"/>
  <c r="R786" i="3"/>
  <c r="V786" i="3"/>
  <c r="L787" i="3"/>
  <c r="M787" i="3"/>
  <c r="N787" i="3"/>
  <c r="P787" i="3"/>
  <c r="Q787" i="3"/>
  <c r="R787" i="3"/>
  <c r="V787" i="3"/>
  <c r="L788" i="3"/>
  <c r="M788" i="3"/>
  <c r="N788" i="3"/>
  <c r="P788" i="3"/>
  <c r="Q788" i="3"/>
  <c r="R788" i="3"/>
  <c r="V788" i="3"/>
  <c r="L789" i="3"/>
  <c r="M789" i="3"/>
  <c r="N789" i="3"/>
  <c r="P789" i="3"/>
  <c r="Q789" i="3"/>
  <c r="R789" i="3"/>
  <c r="V789" i="3"/>
  <c r="L790" i="3"/>
  <c r="M790" i="3"/>
  <c r="N790" i="3"/>
  <c r="P790" i="3"/>
  <c r="Q790" i="3"/>
  <c r="R790" i="3"/>
  <c r="V790" i="3"/>
  <c r="L791" i="3"/>
  <c r="M791" i="3"/>
  <c r="N791" i="3"/>
  <c r="P791" i="3"/>
  <c r="Q791" i="3"/>
  <c r="R791" i="3"/>
  <c r="V791" i="3"/>
  <c r="L792" i="3"/>
  <c r="M792" i="3"/>
  <c r="N792" i="3"/>
  <c r="P792" i="3"/>
  <c r="Q792" i="3"/>
  <c r="R792" i="3"/>
  <c r="V792" i="3"/>
  <c r="L793" i="3"/>
  <c r="M793" i="3"/>
  <c r="N793" i="3"/>
  <c r="P793" i="3"/>
  <c r="Q793" i="3"/>
  <c r="R793" i="3"/>
  <c r="V793" i="3"/>
  <c r="L794" i="3"/>
  <c r="M794" i="3"/>
  <c r="N794" i="3"/>
  <c r="P794" i="3"/>
  <c r="Q794" i="3"/>
  <c r="R794" i="3"/>
  <c r="V794" i="3"/>
  <c r="L795" i="3"/>
  <c r="M795" i="3"/>
  <c r="N795" i="3"/>
  <c r="P795" i="3"/>
  <c r="Q795" i="3"/>
  <c r="R795" i="3"/>
  <c r="V795" i="3"/>
  <c r="L796" i="3"/>
  <c r="M796" i="3"/>
  <c r="N796" i="3"/>
  <c r="P796" i="3"/>
  <c r="Q796" i="3"/>
  <c r="R796" i="3"/>
  <c r="V796" i="3"/>
  <c r="L797" i="3"/>
  <c r="M797" i="3"/>
  <c r="N797" i="3"/>
  <c r="P797" i="3"/>
  <c r="Q797" i="3"/>
  <c r="R797" i="3"/>
  <c r="V797" i="3"/>
  <c r="L798" i="3"/>
  <c r="M798" i="3"/>
  <c r="N798" i="3"/>
  <c r="P798" i="3"/>
  <c r="Q798" i="3"/>
  <c r="R798" i="3"/>
  <c r="V798" i="3"/>
  <c r="L799" i="3"/>
  <c r="M799" i="3"/>
  <c r="N799" i="3"/>
  <c r="P799" i="3"/>
  <c r="Q799" i="3"/>
  <c r="R799" i="3"/>
  <c r="V799" i="3"/>
  <c r="L800" i="3"/>
  <c r="M800" i="3"/>
  <c r="N800" i="3"/>
  <c r="P800" i="3"/>
  <c r="Q800" i="3"/>
  <c r="R800" i="3"/>
  <c r="V800" i="3"/>
  <c r="L801" i="3"/>
  <c r="M801" i="3"/>
  <c r="N801" i="3"/>
  <c r="P801" i="3"/>
  <c r="Q801" i="3"/>
  <c r="R801" i="3"/>
  <c r="V801" i="3"/>
  <c r="L802" i="3"/>
  <c r="M802" i="3"/>
  <c r="N802" i="3"/>
  <c r="P802" i="3"/>
  <c r="Q802" i="3"/>
  <c r="R802" i="3"/>
  <c r="V802" i="3"/>
  <c r="L803" i="3"/>
  <c r="M803" i="3"/>
  <c r="N803" i="3"/>
  <c r="P803" i="3"/>
  <c r="Q803" i="3"/>
  <c r="R803" i="3"/>
  <c r="V803" i="3"/>
  <c r="L804" i="3"/>
  <c r="M804" i="3"/>
  <c r="N804" i="3"/>
  <c r="P804" i="3"/>
  <c r="Q804" i="3"/>
  <c r="R804" i="3"/>
  <c r="V804" i="3"/>
  <c r="L805" i="3"/>
  <c r="M805" i="3"/>
  <c r="N805" i="3"/>
  <c r="P805" i="3"/>
  <c r="Q805" i="3"/>
  <c r="R805" i="3"/>
  <c r="V805" i="3"/>
  <c r="L806" i="3"/>
  <c r="M806" i="3"/>
  <c r="N806" i="3"/>
  <c r="P806" i="3"/>
  <c r="Q806" i="3"/>
  <c r="R806" i="3"/>
  <c r="V806" i="3"/>
  <c r="L807" i="3"/>
  <c r="M807" i="3"/>
  <c r="N807" i="3"/>
  <c r="P807" i="3"/>
  <c r="Q807" i="3"/>
  <c r="R807" i="3"/>
  <c r="V807" i="3"/>
  <c r="L808" i="3"/>
  <c r="M808" i="3"/>
  <c r="N808" i="3"/>
  <c r="P808" i="3"/>
  <c r="Q808" i="3"/>
  <c r="R808" i="3"/>
  <c r="V808" i="3"/>
  <c r="L809" i="3"/>
  <c r="M809" i="3"/>
  <c r="N809" i="3"/>
  <c r="P809" i="3"/>
  <c r="Q809" i="3"/>
  <c r="R809" i="3"/>
  <c r="V809" i="3"/>
  <c r="L810" i="3"/>
  <c r="M810" i="3"/>
  <c r="N810" i="3"/>
  <c r="P810" i="3"/>
  <c r="Q810" i="3"/>
  <c r="R810" i="3"/>
  <c r="V810" i="3"/>
  <c r="L811" i="3"/>
  <c r="M811" i="3"/>
  <c r="N811" i="3"/>
  <c r="P811" i="3"/>
  <c r="Q811" i="3"/>
  <c r="R811" i="3"/>
  <c r="V811" i="3"/>
  <c r="L812" i="3"/>
  <c r="M812" i="3"/>
  <c r="N812" i="3"/>
  <c r="P812" i="3"/>
  <c r="Q812" i="3"/>
  <c r="R812" i="3"/>
  <c r="V812" i="3"/>
  <c r="L813" i="3"/>
  <c r="M813" i="3"/>
  <c r="N813" i="3"/>
  <c r="P813" i="3"/>
  <c r="Q813" i="3"/>
  <c r="R813" i="3"/>
  <c r="V813" i="3"/>
  <c r="L814" i="3"/>
  <c r="M814" i="3"/>
  <c r="N814" i="3"/>
  <c r="P814" i="3"/>
  <c r="Q814" i="3"/>
  <c r="R814" i="3"/>
  <c r="V814" i="3"/>
  <c r="L815" i="3"/>
  <c r="M815" i="3"/>
  <c r="N815" i="3"/>
  <c r="P815" i="3"/>
  <c r="Q815" i="3"/>
  <c r="R815" i="3"/>
  <c r="V815" i="3"/>
  <c r="L816" i="3"/>
  <c r="M816" i="3"/>
  <c r="N816" i="3"/>
  <c r="P816" i="3"/>
  <c r="Q816" i="3"/>
  <c r="R816" i="3"/>
  <c r="V816" i="3"/>
  <c r="L817" i="3"/>
  <c r="M817" i="3"/>
  <c r="N817" i="3"/>
  <c r="P817" i="3"/>
  <c r="Q817" i="3"/>
  <c r="R817" i="3"/>
  <c r="V817" i="3"/>
  <c r="L818" i="3"/>
  <c r="M818" i="3"/>
  <c r="N818" i="3"/>
  <c r="P818" i="3"/>
  <c r="Q818" i="3"/>
  <c r="R818" i="3"/>
  <c r="V818" i="3"/>
  <c r="L819" i="3"/>
  <c r="M819" i="3"/>
  <c r="N819" i="3"/>
  <c r="P819" i="3"/>
  <c r="Q819" i="3"/>
  <c r="R819" i="3"/>
  <c r="V819" i="3"/>
  <c r="L820" i="3"/>
  <c r="M820" i="3"/>
  <c r="N820" i="3"/>
  <c r="P820" i="3"/>
  <c r="Q820" i="3"/>
  <c r="R820" i="3"/>
  <c r="V820" i="3"/>
  <c r="L821" i="3"/>
  <c r="M821" i="3"/>
  <c r="N821" i="3"/>
  <c r="P821" i="3"/>
  <c r="Q821" i="3"/>
  <c r="R821" i="3"/>
  <c r="V821" i="3"/>
  <c r="L822" i="3"/>
  <c r="M822" i="3"/>
  <c r="N822" i="3"/>
  <c r="P822" i="3"/>
  <c r="Q822" i="3"/>
  <c r="R822" i="3"/>
  <c r="V822" i="3"/>
  <c r="L823" i="3"/>
  <c r="M823" i="3"/>
  <c r="N823" i="3"/>
  <c r="P823" i="3"/>
  <c r="Q823" i="3"/>
  <c r="R823" i="3"/>
  <c r="V823" i="3"/>
  <c r="L824" i="3"/>
  <c r="M824" i="3"/>
  <c r="N824" i="3"/>
  <c r="P824" i="3"/>
  <c r="Q824" i="3"/>
  <c r="R824" i="3"/>
  <c r="V824" i="3"/>
  <c r="L825" i="3"/>
  <c r="M825" i="3"/>
  <c r="N825" i="3"/>
  <c r="P825" i="3"/>
  <c r="Q825" i="3"/>
  <c r="R825" i="3"/>
  <c r="V825" i="3"/>
  <c r="L826" i="3"/>
  <c r="M826" i="3"/>
  <c r="N826" i="3"/>
  <c r="P826" i="3"/>
  <c r="Q826" i="3"/>
  <c r="R826" i="3"/>
  <c r="V826" i="3"/>
  <c r="L827" i="3"/>
  <c r="M827" i="3"/>
  <c r="N827" i="3"/>
  <c r="P827" i="3"/>
  <c r="Q827" i="3"/>
  <c r="R827" i="3"/>
  <c r="V827" i="3"/>
  <c r="L828" i="3"/>
  <c r="M828" i="3"/>
  <c r="N828" i="3"/>
  <c r="P828" i="3"/>
  <c r="Q828" i="3"/>
  <c r="R828" i="3"/>
  <c r="V828" i="3"/>
  <c r="L829" i="3"/>
  <c r="M829" i="3"/>
  <c r="N829" i="3"/>
  <c r="P829" i="3"/>
  <c r="Q829" i="3"/>
  <c r="R829" i="3"/>
  <c r="V829" i="3"/>
  <c r="L830" i="3"/>
  <c r="M830" i="3"/>
  <c r="N830" i="3"/>
  <c r="P830" i="3"/>
  <c r="Q830" i="3"/>
  <c r="R830" i="3"/>
  <c r="V830" i="3"/>
  <c r="L831" i="3"/>
  <c r="M831" i="3"/>
  <c r="N831" i="3"/>
  <c r="P831" i="3"/>
  <c r="Q831" i="3"/>
  <c r="R831" i="3"/>
  <c r="V831" i="3"/>
  <c r="L832" i="3"/>
  <c r="M832" i="3"/>
  <c r="N832" i="3"/>
  <c r="P832" i="3"/>
  <c r="Q832" i="3"/>
  <c r="R832" i="3"/>
  <c r="V832" i="3"/>
  <c r="L833" i="3"/>
  <c r="M833" i="3"/>
  <c r="N833" i="3"/>
  <c r="P833" i="3"/>
  <c r="Q833" i="3"/>
  <c r="R833" i="3"/>
  <c r="V833" i="3"/>
  <c r="L834" i="3"/>
  <c r="M834" i="3"/>
  <c r="N834" i="3"/>
  <c r="P834" i="3"/>
  <c r="Q834" i="3"/>
  <c r="R834" i="3"/>
  <c r="V834" i="3"/>
  <c r="L835" i="3"/>
  <c r="M835" i="3"/>
  <c r="N835" i="3"/>
  <c r="P835" i="3"/>
  <c r="Q835" i="3"/>
  <c r="R835" i="3"/>
  <c r="V835" i="3"/>
  <c r="L836" i="3"/>
  <c r="M836" i="3"/>
  <c r="N836" i="3"/>
  <c r="P836" i="3"/>
  <c r="Q836" i="3"/>
  <c r="R836" i="3"/>
  <c r="V836" i="3"/>
  <c r="L837" i="3"/>
  <c r="M837" i="3"/>
  <c r="N837" i="3"/>
  <c r="P837" i="3"/>
  <c r="Q837" i="3"/>
  <c r="R837" i="3"/>
  <c r="V837" i="3"/>
  <c r="L838" i="3"/>
  <c r="M838" i="3"/>
  <c r="N838" i="3"/>
  <c r="P838" i="3"/>
  <c r="Q838" i="3"/>
  <c r="R838" i="3"/>
  <c r="V838" i="3"/>
  <c r="L839" i="3"/>
  <c r="M839" i="3"/>
  <c r="N839" i="3"/>
  <c r="P839" i="3"/>
  <c r="Q839" i="3"/>
  <c r="R839" i="3"/>
  <c r="V839" i="3"/>
  <c r="L840" i="3"/>
  <c r="M840" i="3"/>
  <c r="N840" i="3"/>
  <c r="P840" i="3"/>
  <c r="Q840" i="3"/>
  <c r="R840" i="3"/>
  <c r="V840" i="3"/>
  <c r="L841" i="3"/>
  <c r="M841" i="3"/>
  <c r="N841" i="3"/>
  <c r="P841" i="3"/>
  <c r="Q841" i="3"/>
  <c r="R841" i="3"/>
  <c r="V841" i="3"/>
  <c r="L842" i="3"/>
  <c r="M842" i="3"/>
  <c r="N842" i="3"/>
  <c r="P842" i="3"/>
  <c r="Q842" i="3"/>
  <c r="R842" i="3"/>
  <c r="V842" i="3"/>
  <c r="S816" i="3" l="1"/>
  <c r="T816" i="3" s="1"/>
  <c r="S625" i="3"/>
  <c r="T625" i="3" s="1"/>
  <c r="S836" i="3"/>
  <c r="T836" i="3" s="1"/>
  <c r="S828" i="3"/>
  <c r="T828" i="3" s="1"/>
  <c r="S820" i="3"/>
  <c r="T820" i="3" s="1"/>
  <c r="S807" i="3"/>
  <c r="T807" i="3" s="1"/>
  <c r="S803" i="3"/>
  <c r="T803" i="3" s="1"/>
  <c r="S795" i="3"/>
  <c r="T795" i="3" s="1"/>
  <c r="S787" i="3"/>
  <c r="T787" i="3" s="1"/>
  <c r="S783" i="3"/>
  <c r="T783" i="3" s="1"/>
  <c r="S775" i="3"/>
  <c r="T775" i="3" s="1"/>
  <c r="S767" i="3"/>
  <c r="T767" i="3" s="1"/>
  <c r="S759" i="3"/>
  <c r="T759" i="3" s="1"/>
  <c r="S755" i="3"/>
  <c r="T755" i="3" s="1"/>
  <c r="S747" i="3"/>
  <c r="T747" i="3" s="1"/>
  <c r="S739" i="3"/>
  <c r="T739" i="3" s="1"/>
  <c r="S731" i="3"/>
  <c r="T731" i="3" s="1"/>
  <c r="S723" i="3"/>
  <c r="T723" i="3" s="1"/>
  <c r="S715" i="3"/>
  <c r="T715" i="3" s="1"/>
  <c r="S711" i="3"/>
  <c r="T711" i="3" s="1"/>
  <c r="S707" i="3"/>
  <c r="T707" i="3" s="1"/>
  <c r="S699" i="3"/>
  <c r="T699" i="3" s="1"/>
  <c r="S695" i="3"/>
  <c r="T695" i="3" s="1"/>
  <c r="S692" i="3"/>
  <c r="T692" i="3" s="1"/>
  <c r="S688" i="3"/>
  <c r="T688" i="3" s="1"/>
  <c r="S686" i="3"/>
  <c r="T686" i="3" s="1"/>
  <c r="S685" i="3"/>
  <c r="T685" i="3" s="1"/>
  <c r="S684" i="3"/>
  <c r="T684" i="3" s="1"/>
  <c r="S680" i="3"/>
  <c r="T680" i="3" s="1"/>
  <c r="S676" i="3"/>
  <c r="T676" i="3" s="1"/>
  <c r="S672" i="3"/>
  <c r="T672" i="3" s="1"/>
  <c r="S671" i="3"/>
  <c r="T671" i="3" s="1"/>
  <c r="S667" i="3"/>
  <c r="T667" i="3" s="1"/>
  <c r="S663" i="3"/>
  <c r="T663" i="3" s="1"/>
  <c r="S659" i="3"/>
  <c r="T659" i="3" s="1"/>
  <c r="S655" i="3"/>
  <c r="T655" i="3" s="1"/>
  <c r="S651" i="3"/>
  <c r="T651" i="3" s="1"/>
  <c r="S647" i="3"/>
  <c r="T647" i="3" s="1"/>
  <c r="S643" i="3"/>
  <c r="T643" i="3" s="1"/>
  <c r="S640" i="3"/>
  <c r="T640" i="3" s="1"/>
  <c r="S639" i="3"/>
  <c r="T639" i="3" s="1"/>
  <c r="S636" i="3"/>
  <c r="T636" i="3" s="1"/>
  <c r="S635" i="3"/>
  <c r="T635" i="3" s="1"/>
  <c r="S632" i="3"/>
  <c r="T632" i="3" s="1"/>
  <c r="S631" i="3"/>
  <c r="T631" i="3" s="1"/>
  <c r="S628" i="3"/>
  <c r="T628" i="3" s="1"/>
  <c r="S627" i="3"/>
  <c r="T627" i="3" s="1"/>
  <c r="S626" i="3"/>
  <c r="T626" i="3" s="1"/>
  <c r="S463" i="3"/>
  <c r="T463" i="3" s="1"/>
  <c r="S459" i="3"/>
  <c r="T459" i="3" s="1"/>
  <c r="S451" i="3"/>
  <c r="T451" i="3" s="1"/>
  <c r="S447" i="3"/>
  <c r="T447" i="3" s="1"/>
  <c r="S443" i="3"/>
  <c r="T443" i="3" s="1"/>
  <c r="S432" i="3"/>
  <c r="T432" i="3" s="1"/>
  <c r="S420" i="3"/>
  <c r="T420" i="3" s="1"/>
  <c r="S412" i="3"/>
  <c r="T412" i="3" s="1"/>
  <c r="S400" i="3"/>
  <c r="T400" i="3" s="1"/>
  <c r="S396" i="3"/>
  <c r="T396" i="3" s="1"/>
  <c r="S392" i="3"/>
  <c r="T392" i="3" s="1"/>
  <c r="S384" i="3"/>
  <c r="T384" i="3" s="1"/>
  <c r="S376" i="3"/>
  <c r="T376" i="3" s="1"/>
  <c r="S372" i="3"/>
  <c r="T372" i="3" s="1"/>
  <c r="S841" i="3"/>
  <c r="T841" i="3" s="1"/>
  <c r="S837" i="3"/>
  <c r="T837" i="3" s="1"/>
  <c r="S829" i="3"/>
  <c r="T829" i="3" s="1"/>
  <c r="S825" i="3"/>
  <c r="T825" i="3" s="1"/>
  <c r="S821" i="3"/>
  <c r="T821" i="3" s="1"/>
  <c r="S812" i="3"/>
  <c r="T812" i="3" s="1"/>
  <c r="S804" i="3"/>
  <c r="T804" i="3" s="1"/>
  <c r="S800" i="3"/>
  <c r="T800" i="3" s="1"/>
  <c r="S796" i="3"/>
  <c r="T796" i="3" s="1"/>
  <c r="S792" i="3"/>
  <c r="T792" i="3" s="1"/>
  <c r="S784" i="3"/>
  <c r="T784" i="3" s="1"/>
  <c r="S780" i="3"/>
  <c r="T780" i="3" s="1"/>
  <c r="S768" i="3"/>
  <c r="T768" i="3" s="1"/>
  <c r="S760" i="3"/>
  <c r="T760" i="3" s="1"/>
  <c r="S756" i="3"/>
  <c r="T756" i="3" s="1"/>
  <c r="S748" i="3"/>
  <c r="T748" i="3" s="1"/>
  <c r="S740" i="3"/>
  <c r="T740" i="3" s="1"/>
  <c r="S736" i="3"/>
  <c r="T736" i="3" s="1"/>
  <c r="S732" i="3"/>
  <c r="T732" i="3" s="1"/>
  <c r="S724" i="3"/>
  <c r="T724" i="3" s="1"/>
  <c r="S716" i="3"/>
  <c r="T716" i="3" s="1"/>
  <c r="S624" i="3"/>
  <c r="T624" i="3" s="1"/>
  <c r="S620" i="3"/>
  <c r="T620" i="3" s="1"/>
  <c r="S616" i="3"/>
  <c r="T616" i="3" s="1"/>
  <c r="S612" i="3"/>
  <c r="T612" i="3" s="1"/>
  <c r="S608" i="3"/>
  <c r="T608" i="3" s="1"/>
  <c r="S604" i="3"/>
  <c r="T604" i="3" s="1"/>
  <c r="S600" i="3"/>
  <c r="T600" i="3" s="1"/>
  <c r="S596" i="3"/>
  <c r="T596" i="3" s="1"/>
  <c r="S592" i="3"/>
  <c r="T592" i="3" s="1"/>
  <c r="S591" i="3"/>
  <c r="T591" i="3" s="1"/>
  <c r="S582" i="3"/>
  <c r="T582" i="3" s="1"/>
  <c r="S581" i="3"/>
  <c r="T581" i="3" s="1"/>
  <c r="S579" i="3"/>
  <c r="T579" i="3" s="1"/>
  <c r="S577" i="3"/>
  <c r="T577" i="3" s="1"/>
  <c r="S575" i="3"/>
  <c r="T575" i="3" s="1"/>
  <c r="S573" i="3"/>
  <c r="T573" i="3" s="1"/>
  <c r="S571" i="3"/>
  <c r="T571" i="3" s="1"/>
  <c r="S570" i="3"/>
  <c r="T570" i="3" s="1"/>
  <c r="S568" i="3"/>
  <c r="T568" i="3" s="1"/>
  <c r="S564" i="3"/>
  <c r="T564" i="3" s="1"/>
  <c r="S561" i="3"/>
  <c r="T561" i="3" s="1"/>
  <c r="S558" i="3"/>
  <c r="T558" i="3" s="1"/>
  <c r="S554" i="3"/>
  <c r="T554" i="3" s="1"/>
  <c r="S552" i="3"/>
  <c r="T552" i="3" s="1"/>
  <c r="S550" i="3"/>
  <c r="T550" i="3" s="1"/>
  <c r="S548" i="3"/>
  <c r="T548" i="3" s="1"/>
  <c r="S546" i="3"/>
  <c r="T546" i="3" s="1"/>
  <c r="S544" i="3"/>
  <c r="T544" i="3" s="1"/>
  <c r="S543" i="3"/>
  <c r="T543" i="3" s="1"/>
  <c r="S539" i="3"/>
  <c r="T539" i="3" s="1"/>
  <c r="S537" i="3"/>
  <c r="T537" i="3" s="1"/>
  <c r="S535" i="3"/>
  <c r="T535" i="3" s="1"/>
  <c r="S534" i="3"/>
  <c r="T534" i="3" s="1"/>
  <c r="S532" i="3"/>
  <c r="T532" i="3" s="1"/>
  <c r="S530" i="3"/>
  <c r="T530" i="3" s="1"/>
  <c r="S528" i="3"/>
  <c r="T528" i="3" s="1"/>
  <c r="S526" i="3"/>
  <c r="T526" i="3" s="1"/>
  <c r="S525" i="3"/>
  <c r="T525" i="3" s="1"/>
  <c r="S521" i="3"/>
  <c r="T521" i="3" s="1"/>
  <c r="S519" i="3"/>
  <c r="T519" i="3" s="1"/>
  <c r="S517" i="3"/>
  <c r="T517" i="3" s="1"/>
  <c r="S515" i="3"/>
  <c r="T515" i="3" s="1"/>
  <c r="S513" i="3"/>
  <c r="T513" i="3" s="1"/>
  <c r="S511" i="3"/>
  <c r="T511" i="3" s="1"/>
  <c r="S510" i="3"/>
  <c r="T510" i="3" s="1"/>
  <c r="S500" i="3"/>
  <c r="T500" i="3" s="1"/>
  <c r="S498" i="3"/>
  <c r="T498" i="3" s="1"/>
  <c r="S496" i="3"/>
  <c r="T496" i="3" s="1"/>
  <c r="S494" i="3"/>
  <c r="T494" i="3" s="1"/>
  <c r="S492" i="3"/>
  <c r="T492" i="3" s="1"/>
  <c r="S490" i="3"/>
  <c r="T490" i="3" s="1"/>
  <c r="S488" i="3"/>
  <c r="T488" i="3" s="1"/>
  <c r="S486" i="3"/>
  <c r="T486" i="3" s="1"/>
  <c r="S479" i="3"/>
  <c r="T479" i="3" s="1"/>
  <c r="S478" i="3"/>
  <c r="T478" i="3" s="1"/>
  <c r="S477" i="3"/>
  <c r="T477" i="3" s="1"/>
  <c r="S475" i="3"/>
  <c r="T475" i="3" s="1"/>
  <c r="S471" i="3"/>
  <c r="T471" i="3" s="1"/>
  <c r="S467" i="3"/>
  <c r="T467" i="3" s="1"/>
  <c r="S464" i="3"/>
  <c r="T464" i="3" s="1"/>
  <c r="S452" i="3"/>
  <c r="T452" i="3" s="1"/>
  <c r="S441" i="3"/>
  <c r="T441" i="3" s="1"/>
  <c r="S437" i="3"/>
  <c r="T437" i="3" s="1"/>
  <c r="S433" i="3"/>
  <c r="T433" i="3" s="1"/>
  <c r="S425" i="3"/>
  <c r="T425" i="3" s="1"/>
  <c r="S417" i="3"/>
  <c r="T417" i="3" s="1"/>
  <c r="S413" i="3"/>
  <c r="T413" i="3" s="1"/>
  <c r="S397" i="3"/>
  <c r="T397" i="3" s="1"/>
  <c r="S385" i="3"/>
  <c r="T385" i="3" s="1"/>
  <c r="S381" i="3"/>
  <c r="T381" i="3" s="1"/>
  <c r="S838" i="3"/>
  <c r="T838" i="3" s="1"/>
  <c r="S840" i="3"/>
  <c r="T840" i="3" s="1"/>
  <c r="S832" i="3"/>
  <c r="T832" i="3" s="1"/>
  <c r="S824" i="3"/>
  <c r="T824" i="3" s="1"/>
  <c r="S815" i="3"/>
  <c r="T815" i="3" s="1"/>
  <c r="S771" i="3"/>
  <c r="T771" i="3" s="1"/>
  <c r="S751" i="3"/>
  <c r="T751" i="3" s="1"/>
  <c r="S743" i="3"/>
  <c r="T743" i="3" s="1"/>
  <c r="S735" i="3"/>
  <c r="T735" i="3" s="1"/>
  <c r="S727" i="3"/>
  <c r="T727" i="3" s="1"/>
  <c r="S698" i="3"/>
  <c r="T698" i="3" s="1"/>
  <c r="S694" i="3"/>
  <c r="T694" i="3" s="1"/>
  <c r="S691" i="3"/>
  <c r="T691" i="3" s="1"/>
  <c r="S690" i="3"/>
  <c r="T690" i="3" s="1"/>
  <c r="S687" i="3"/>
  <c r="T687" i="3" s="1"/>
  <c r="S683" i="3"/>
  <c r="T683" i="3" s="1"/>
  <c r="S682" i="3"/>
  <c r="T682" i="3" s="1"/>
  <c r="S681" i="3"/>
  <c r="T681" i="3" s="1"/>
  <c r="S678" i="3"/>
  <c r="T678" i="3" s="1"/>
  <c r="S677" i="3"/>
  <c r="T677" i="3" s="1"/>
  <c r="S674" i="3"/>
  <c r="T674" i="3" s="1"/>
  <c r="S673" i="3"/>
  <c r="T673" i="3" s="1"/>
  <c r="S670" i="3"/>
  <c r="T670" i="3" s="1"/>
  <c r="S669" i="3"/>
  <c r="T669" i="3" s="1"/>
  <c r="S666" i="3"/>
  <c r="T666" i="3" s="1"/>
  <c r="S665" i="3"/>
  <c r="T665" i="3" s="1"/>
  <c r="S662" i="3"/>
  <c r="T662" i="3" s="1"/>
  <c r="S661" i="3"/>
  <c r="T661" i="3" s="1"/>
  <c r="S658" i="3"/>
  <c r="T658" i="3" s="1"/>
  <c r="S657" i="3"/>
  <c r="T657" i="3" s="1"/>
  <c r="S654" i="3"/>
  <c r="T654" i="3" s="1"/>
  <c r="S653" i="3"/>
  <c r="T653" i="3" s="1"/>
  <c r="S650" i="3"/>
  <c r="T650" i="3" s="1"/>
  <c r="S649" i="3"/>
  <c r="T649" i="3" s="1"/>
  <c r="S646" i="3"/>
  <c r="T646" i="3" s="1"/>
  <c r="S645" i="3"/>
  <c r="T645" i="3" s="1"/>
  <c r="S644" i="3"/>
  <c r="T644" i="3" s="1"/>
  <c r="S638" i="3"/>
  <c r="T638" i="3" s="1"/>
  <c r="S637" i="3"/>
  <c r="T637" i="3" s="1"/>
  <c r="S633" i="3"/>
  <c r="T633" i="3" s="1"/>
  <c r="S440" i="3"/>
  <c r="T440" i="3" s="1"/>
  <c r="S428" i="3"/>
  <c r="T428" i="3" s="1"/>
  <c r="S424" i="3"/>
  <c r="T424" i="3" s="1"/>
  <c r="S408" i="3"/>
  <c r="T408" i="3" s="1"/>
  <c r="S404" i="3"/>
  <c r="T404" i="3" s="1"/>
  <c r="S388" i="3"/>
  <c r="T388" i="3" s="1"/>
  <c r="S368" i="3"/>
  <c r="T368" i="3" s="1"/>
  <c r="S808" i="3"/>
  <c r="T808" i="3" s="1"/>
  <c r="S776" i="3"/>
  <c r="T776" i="3" s="1"/>
  <c r="S772" i="3"/>
  <c r="T772" i="3" s="1"/>
  <c r="S764" i="3"/>
  <c r="T764" i="3" s="1"/>
  <c r="S744" i="3"/>
  <c r="T744" i="3" s="1"/>
  <c r="S704" i="3"/>
  <c r="T704" i="3" s="1"/>
  <c r="S623" i="3"/>
  <c r="T623" i="3" s="1"/>
  <c r="S622" i="3"/>
  <c r="T622" i="3" s="1"/>
  <c r="S619" i="3"/>
  <c r="T619" i="3" s="1"/>
  <c r="S618" i="3"/>
  <c r="T618" i="3" s="1"/>
  <c r="S615" i="3"/>
  <c r="T615" i="3" s="1"/>
  <c r="S614" i="3"/>
  <c r="T614" i="3" s="1"/>
  <c r="S613" i="3"/>
  <c r="T613" i="3" s="1"/>
  <c r="S609" i="3"/>
  <c r="T609" i="3" s="1"/>
  <c r="S603" i="3"/>
  <c r="T603" i="3" s="1"/>
  <c r="S602" i="3"/>
  <c r="T602" i="3" s="1"/>
  <c r="S601" i="3"/>
  <c r="T601" i="3" s="1"/>
  <c r="S598" i="3"/>
  <c r="T598" i="3" s="1"/>
  <c r="S597" i="3"/>
  <c r="T597" i="3" s="1"/>
  <c r="S594" i="3"/>
  <c r="T594" i="3" s="1"/>
  <c r="S593" i="3"/>
  <c r="T593" i="3" s="1"/>
  <c r="S590" i="3"/>
  <c r="T590" i="3" s="1"/>
  <c r="S589" i="3"/>
  <c r="T589" i="3" s="1"/>
  <c r="S586" i="3"/>
  <c r="T586" i="3" s="1"/>
  <c r="S585" i="3"/>
  <c r="T585" i="3" s="1"/>
  <c r="S578" i="3"/>
  <c r="T578" i="3" s="1"/>
  <c r="S574" i="3"/>
  <c r="T574" i="3" s="1"/>
  <c r="S567" i="3"/>
  <c r="T567" i="3" s="1"/>
  <c r="S566" i="3"/>
  <c r="T566" i="3" s="1"/>
  <c r="S563" i="3"/>
  <c r="T563" i="3" s="1"/>
  <c r="S562" i="3"/>
  <c r="T562" i="3" s="1"/>
  <c r="S559" i="3"/>
  <c r="T559" i="3" s="1"/>
  <c r="S555" i="3"/>
  <c r="T555" i="3" s="1"/>
  <c r="S551" i="3"/>
  <c r="T551" i="3" s="1"/>
  <c r="S547" i="3"/>
  <c r="T547" i="3" s="1"/>
  <c r="S540" i="3"/>
  <c r="T540" i="3" s="1"/>
  <c r="S536" i="3"/>
  <c r="T536" i="3" s="1"/>
  <c r="S533" i="3"/>
  <c r="T533" i="3" s="1"/>
  <c r="S529" i="3"/>
  <c r="T529" i="3" s="1"/>
  <c r="S522" i="3"/>
  <c r="T522" i="3" s="1"/>
  <c r="S518" i="3"/>
  <c r="T518" i="3" s="1"/>
  <c r="S514" i="3"/>
  <c r="T514" i="3" s="1"/>
  <c r="S507" i="3"/>
  <c r="T507" i="3" s="1"/>
  <c r="S506" i="3"/>
  <c r="T506" i="3" s="1"/>
  <c r="S503" i="3"/>
  <c r="T503" i="3" s="1"/>
  <c r="S502" i="3"/>
  <c r="T502" i="3" s="1"/>
  <c r="S499" i="3"/>
  <c r="T499" i="3" s="1"/>
  <c r="S495" i="3"/>
  <c r="T495" i="3" s="1"/>
  <c r="S491" i="3"/>
  <c r="T491" i="3" s="1"/>
  <c r="S487" i="3"/>
  <c r="T487" i="3" s="1"/>
  <c r="S484" i="3"/>
  <c r="T484" i="3" s="1"/>
  <c r="S483" i="3"/>
  <c r="T483" i="3" s="1"/>
  <c r="S474" i="3"/>
  <c r="T474" i="3" s="1"/>
  <c r="S473" i="3"/>
  <c r="T473" i="3" s="1"/>
  <c r="S472" i="3"/>
  <c r="T472" i="3" s="1"/>
  <c r="S468" i="3"/>
  <c r="T468" i="3" s="1"/>
  <c r="S460" i="3"/>
  <c r="T460" i="3" s="1"/>
  <c r="S456" i="3"/>
  <c r="T456" i="3" s="1"/>
  <c r="S448" i="3"/>
  <c r="T448" i="3" s="1"/>
  <c r="S444" i="3"/>
  <c r="T444" i="3" s="1"/>
  <c r="S421" i="3"/>
  <c r="T421" i="3" s="1"/>
  <c r="S373" i="3"/>
  <c r="T373" i="3" s="1"/>
  <c r="S369" i="3"/>
  <c r="T369" i="3" s="1"/>
  <c r="S365" i="3"/>
  <c r="T365" i="3" s="1"/>
  <c r="S361" i="3"/>
  <c r="T361" i="3" s="1"/>
  <c r="S357" i="3"/>
  <c r="T357" i="3" s="1"/>
  <c r="S353" i="3"/>
  <c r="T353" i="3" s="1"/>
  <c r="S349" i="3"/>
  <c r="T349" i="3" s="1"/>
  <c r="S345" i="3"/>
  <c r="T345" i="3" s="1"/>
  <c r="S341" i="3"/>
  <c r="T341" i="3" s="1"/>
  <c r="S337" i="3"/>
  <c r="T337" i="3" s="1"/>
  <c r="S333" i="3"/>
  <c r="T333" i="3" s="1"/>
  <c r="S329" i="3"/>
  <c r="T329" i="3" s="1"/>
  <c r="S325" i="3"/>
  <c r="T325" i="3" s="1"/>
  <c r="S321" i="3"/>
  <c r="T321" i="3" s="1"/>
  <c r="S317" i="3"/>
  <c r="T317" i="3" s="1"/>
  <c r="S313" i="3"/>
  <c r="T313" i="3" s="1"/>
  <c r="S309" i="3"/>
  <c r="T309" i="3" s="1"/>
  <c r="S305" i="3"/>
  <c r="T305" i="3" s="1"/>
  <c r="S301" i="3"/>
  <c r="T301" i="3" s="1"/>
  <c r="S297" i="3"/>
  <c r="T297" i="3" s="1"/>
  <c r="S293" i="3"/>
  <c r="T293" i="3" s="1"/>
  <c r="S289" i="3"/>
  <c r="T289" i="3" s="1"/>
  <c r="S285" i="3"/>
  <c r="T285" i="3" s="1"/>
  <c r="S281" i="3"/>
  <c r="T281" i="3" s="1"/>
  <c r="S277" i="3"/>
  <c r="T277" i="3" s="1"/>
  <c r="S273" i="3"/>
  <c r="T273" i="3" s="1"/>
  <c r="S269" i="3"/>
  <c r="T269" i="3" s="1"/>
  <c r="S265" i="3"/>
  <c r="T265" i="3" s="1"/>
  <c r="S261" i="3"/>
  <c r="T261" i="3" s="1"/>
  <c r="S257" i="3"/>
  <c r="T257" i="3" s="1"/>
  <c r="S253" i="3"/>
  <c r="T253" i="3" s="1"/>
  <c r="S249" i="3"/>
  <c r="T249" i="3" s="1"/>
  <c r="S245" i="3"/>
  <c r="T245" i="3" s="1"/>
  <c r="S241" i="3"/>
  <c r="T241" i="3" s="1"/>
  <c r="S237" i="3"/>
  <c r="T237" i="3" s="1"/>
  <c r="S233" i="3"/>
  <c r="T233" i="3" s="1"/>
  <c r="S229" i="3"/>
  <c r="T229" i="3" s="1"/>
  <c r="S225" i="3"/>
  <c r="T225" i="3" s="1"/>
  <c r="S221" i="3"/>
  <c r="T221" i="3" s="1"/>
  <c r="S217" i="3"/>
  <c r="T217" i="3" s="1"/>
  <c r="S213" i="3"/>
  <c r="T213" i="3" s="1"/>
  <c r="S209" i="3"/>
  <c r="T209" i="3" s="1"/>
  <c r="S205" i="3"/>
  <c r="T205" i="3" s="1"/>
  <c r="S201" i="3"/>
  <c r="T201" i="3" s="1"/>
  <c r="S195" i="3"/>
  <c r="T195" i="3" s="1"/>
  <c r="S191" i="3"/>
  <c r="T191" i="3" s="1"/>
  <c r="S187" i="3"/>
  <c r="T187" i="3" s="1"/>
  <c r="S183" i="3"/>
  <c r="T183" i="3" s="1"/>
  <c r="S179" i="3"/>
  <c r="T179" i="3" s="1"/>
  <c r="S175" i="3"/>
  <c r="T175" i="3" s="1"/>
  <c r="S171" i="3"/>
  <c r="T171" i="3" s="1"/>
  <c r="S167" i="3"/>
  <c r="T167" i="3" s="1"/>
  <c r="S163" i="3"/>
  <c r="T163" i="3" s="1"/>
  <c r="S159" i="3"/>
  <c r="T159" i="3" s="1"/>
  <c r="S155" i="3"/>
  <c r="T155" i="3" s="1"/>
  <c r="S151" i="3"/>
  <c r="T151" i="3" s="1"/>
  <c r="S147" i="3"/>
  <c r="T147" i="3" s="1"/>
  <c r="S143" i="3"/>
  <c r="T143" i="3" s="1"/>
  <c r="S139" i="3"/>
  <c r="T139" i="3" s="1"/>
  <c r="S135" i="3"/>
  <c r="T135" i="3" s="1"/>
  <c r="S131" i="3"/>
  <c r="T131" i="3" s="1"/>
  <c r="S127" i="3"/>
  <c r="T127" i="3" s="1"/>
  <c r="S123" i="3"/>
  <c r="T123" i="3" s="1"/>
  <c r="S119" i="3"/>
  <c r="T119" i="3" s="1"/>
  <c r="S115" i="3"/>
  <c r="T115" i="3" s="1"/>
  <c r="S111" i="3"/>
  <c r="T111" i="3" s="1"/>
  <c r="S107" i="3"/>
  <c r="T107" i="3" s="1"/>
  <c r="S103" i="3"/>
  <c r="T103" i="3" s="1"/>
  <c r="S99" i="3"/>
  <c r="T99" i="3" s="1"/>
  <c r="S95" i="3"/>
  <c r="T95" i="3" s="1"/>
  <c r="S91" i="3"/>
  <c r="T91" i="3" s="1"/>
  <c r="S87" i="3"/>
  <c r="T87" i="3" s="1"/>
  <c r="S83" i="3"/>
  <c r="T83" i="3" s="1"/>
  <c r="S79" i="3"/>
  <c r="T79" i="3" s="1"/>
  <c r="S75" i="3"/>
  <c r="T75" i="3" s="1"/>
  <c r="S71" i="3"/>
  <c r="T71" i="3" s="1"/>
  <c r="S67" i="3"/>
  <c r="T67" i="3" s="1"/>
  <c r="S63" i="3"/>
  <c r="T63" i="3" s="1"/>
  <c r="S59" i="3"/>
  <c r="T59" i="3" s="1"/>
  <c r="S55" i="3"/>
  <c r="T55" i="3" s="1"/>
  <c r="S51" i="3"/>
  <c r="T51" i="3" s="1"/>
  <c r="S47" i="3"/>
  <c r="T47" i="3" s="1"/>
  <c r="S43" i="3"/>
  <c r="T43" i="3" s="1"/>
  <c r="S39" i="3"/>
  <c r="T39" i="3" s="1"/>
  <c r="S35" i="3"/>
  <c r="T35" i="3" s="1"/>
  <c r="S31" i="3"/>
  <c r="T31" i="3" s="1"/>
  <c r="S27" i="3"/>
  <c r="T27" i="3" s="1"/>
  <c r="S23" i="3"/>
  <c r="T23" i="3" s="1"/>
  <c r="S19" i="3"/>
  <c r="T19" i="3" s="1"/>
  <c r="S15" i="3"/>
  <c r="T15" i="3" s="1"/>
  <c r="S11" i="3"/>
  <c r="T11" i="3" s="1"/>
  <c r="S811" i="3"/>
  <c r="T811" i="3" s="1"/>
  <c r="S799" i="3"/>
  <c r="T799" i="3" s="1"/>
  <c r="S791" i="3"/>
  <c r="T791" i="3" s="1"/>
  <c r="S779" i="3"/>
  <c r="T779" i="3" s="1"/>
  <c r="S763" i="3"/>
  <c r="T763" i="3" s="1"/>
  <c r="S719" i="3"/>
  <c r="T719" i="3" s="1"/>
  <c r="S703" i="3"/>
  <c r="T703" i="3" s="1"/>
  <c r="S697" i="3"/>
  <c r="T697" i="3" s="1"/>
  <c r="S696" i="3"/>
  <c r="T696" i="3" s="1"/>
  <c r="S693" i="3"/>
  <c r="T693" i="3" s="1"/>
  <c r="S689" i="3"/>
  <c r="T689" i="3" s="1"/>
  <c r="S679" i="3"/>
  <c r="T679" i="3" s="1"/>
  <c r="S675" i="3"/>
  <c r="T675" i="3" s="1"/>
  <c r="S668" i="3"/>
  <c r="T668" i="3" s="1"/>
  <c r="S664" i="3"/>
  <c r="T664" i="3" s="1"/>
  <c r="S660" i="3"/>
  <c r="T660" i="3" s="1"/>
  <c r="S656" i="3"/>
  <c r="T656" i="3" s="1"/>
  <c r="S652" i="3"/>
  <c r="T652" i="3" s="1"/>
  <c r="S648" i="3"/>
  <c r="T648" i="3" s="1"/>
  <c r="S642" i="3"/>
  <c r="T642" i="3" s="1"/>
  <c r="S641" i="3"/>
  <c r="T641" i="3" s="1"/>
  <c r="S634" i="3"/>
  <c r="T634" i="3" s="1"/>
  <c r="S630" i="3"/>
  <c r="T630" i="3" s="1"/>
  <c r="S629" i="3"/>
  <c r="T629" i="3" s="1"/>
  <c r="S455" i="3"/>
  <c r="T455" i="3" s="1"/>
  <c r="S436" i="3"/>
  <c r="T436" i="3" s="1"/>
  <c r="S416" i="3"/>
  <c r="T416" i="3" s="1"/>
  <c r="S380" i="3"/>
  <c r="T380" i="3" s="1"/>
  <c r="S833" i="3"/>
  <c r="T833" i="3" s="1"/>
  <c r="S817" i="3"/>
  <c r="T817" i="3" s="1"/>
  <c r="S788" i="3"/>
  <c r="T788" i="3" s="1"/>
  <c r="S752" i="3"/>
  <c r="T752" i="3" s="1"/>
  <c r="S728" i="3"/>
  <c r="T728" i="3" s="1"/>
  <c r="S720" i="3"/>
  <c r="T720" i="3" s="1"/>
  <c r="S712" i="3"/>
  <c r="T712" i="3" s="1"/>
  <c r="S708" i="3"/>
  <c r="T708" i="3" s="1"/>
  <c r="S700" i="3"/>
  <c r="T700" i="3" s="1"/>
  <c r="S621" i="3"/>
  <c r="T621" i="3" s="1"/>
  <c r="S617" i="3"/>
  <c r="T617" i="3" s="1"/>
  <c r="S611" i="3"/>
  <c r="T611" i="3" s="1"/>
  <c r="S610" i="3"/>
  <c r="T610" i="3" s="1"/>
  <c r="S607" i="3"/>
  <c r="T607" i="3" s="1"/>
  <c r="S606" i="3"/>
  <c r="T606" i="3" s="1"/>
  <c r="S605" i="3"/>
  <c r="T605" i="3" s="1"/>
  <c r="S599" i="3"/>
  <c r="T599" i="3" s="1"/>
  <c r="S595" i="3"/>
  <c r="T595" i="3" s="1"/>
  <c r="S588" i="3"/>
  <c r="T588" i="3" s="1"/>
  <c r="S587" i="3"/>
  <c r="T587" i="3" s="1"/>
  <c r="S584" i="3"/>
  <c r="T584" i="3" s="1"/>
  <c r="S583" i="3"/>
  <c r="T583" i="3" s="1"/>
  <c r="S580" i="3"/>
  <c r="T580" i="3" s="1"/>
  <c r="S576" i="3"/>
  <c r="T576" i="3" s="1"/>
  <c r="S572" i="3"/>
  <c r="T572" i="3" s="1"/>
  <c r="S569" i="3"/>
  <c r="T569" i="3" s="1"/>
  <c r="S565" i="3"/>
  <c r="T565" i="3" s="1"/>
  <c r="S560" i="3"/>
  <c r="T560" i="3" s="1"/>
  <c r="S557" i="3"/>
  <c r="T557" i="3" s="1"/>
  <c r="S556" i="3"/>
  <c r="T556" i="3" s="1"/>
  <c r="S553" i="3"/>
  <c r="T553" i="3" s="1"/>
  <c r="S549" i="3"/>
  <c r="T549" i="3" s="1"/>
  <c r="S545" i="3"/>
  <c r="T545" i="3" s="1"/>
  <c r="S542" i="3"/>
  <c r="T542" i="3" s="1"/>
  <c r="S541" i="3"/>
  <c r="T541" i="3" s="1"/>
  <c r="S538" i="3"/>
  <c r="T538" i="3" s="1"/>
  <c r="S531" i="3"/>
  <c r="T531" i="3" s="1"/>
  <c r="S527" i="3"/>
  <c r="T527" i="3" s="1"/>
  <c r="S524" i="3"/>
  <c r="T524" i="3" s="1"/>
  <c r="S523" i="3"/>
  <c r="T523" i="3" s="1"/>
  <c r="S520" i="3"/>
  <c r="T520" i="3" s="1"/>
  <c r="S516" i="3"/>
  <c r="T516" i="3" s="1"/>
  <c r="S512" i="3"/>
  <c r="T512" i="3" s="1"/>
  <c r="S509" i="3"/>
  <c r="T509" i="3" s="1"/>
  <c r="S508" i="3"/>
  <c r="T508" i="3" s="1"/>
  <c r="S505" i="3"/>
  <c r="T505" i="3" s="1"/>
  <c r="S504" i="3"/>
  <c r="T504" i="3" s="1"/>
  <c r="S501" i="3"/>
  <c r="T501" i="3" s="1"/>
  <c r="S497" i="3"/>
  <c r="T497" i="3" s="1"/>
  <c r="S493" i="3"/>
  <c r="T493" i="3" s="1"/>
  <c r="S489" i="3"/>
  <c r="T489" i="3" s="1"/>
  <c r="S485" i="3"/>
  <c r="T485" i="3" s="1"/>
  <c r="S482" i="3"/>
  <c r="T482" i="3" s="1"/>
  <c r="S481" i="3"/>
  <c r="T481" i="3" s="1"/>
  <c r="S480" i="3"/>
  <c r="T480" i="3" s="1"/>
  <c r="S476" i="3"/>
  <c r="T476" i="3" s="1"/>
  <c r="S470" i="3"/>
  <c r="T470" i="3" s="1"/>
  <c r="S469" i="3"/>
  <c r="T469" i="3" s="1"/>
  <c r="S466" i="3"/>
  <c r="T466" i="3" s="1"/>
  <c r="S465" i="3"/>
  <c r="T465" i="3" s="1"/>
  <c r="S429" i="3"/>
  <c r="T429" i="3" s="1"/>
  <c r="S409" i="3"/>
  <c r="T409" i="3" s="1"/>
  <c r="S405" i="3"/>
  <c r="T405" i="3" s="1"/>
  <c r="S401" i="3"/>
  <c r="T401" i="3" s="1"/>
  <c r="S393" i="3"/>
  <c r="T393" i="3" s="1"/>
  <c r="S389" i="3"/>
  <c r="T389" i="3" s="1"/>
  <c r="S377" i="3"/>
  <c r="T377" i="3" s="1"/>
  <c r="S842" i="3"/>
  <c r="T842" i="3" s="1"/>
  <c r="S834" i="3"/>
  <c r="T834" i="3" s="1"/>
  <c r="S830" i="3"/>
  <c r="T830" i="3" s="1"/>
  <c r="S826" i="3"/>
  <c r="T826" i="3" s="1"/>
  <c r="S822" i="3"/>
  <c r="T822" i="3" s="1"/>
  <c r="S818" i="3"/>
  <c r="T818" i="3" s="1"/>
  <c r="S813" i="3"/>
  <c r="T813" i="3" s="1"/>
  <c r="S809" i="3"/>
  <c r="T809" i="3" s="1"/>
  <c r="S805" i="3"/>
  <c r="T805" i="3" s="1"/>
  <c r="S801" i="3"/>
  <c r="T801" i="3" s="1"/>
  <c r="S797" i="3"/>
  <c r="T797" i="3" s="1"/>
  <c r="S793" i="3"/>
  <c r="T793" i="3" s="1"/>
  <c r="S789" i="3"/>
  <c r="T789" i="3" s="1"/>
  <c r="S785" i="3"/>
  <c r="T785" i="3" s="1"/>
  <c r="S781" i="3"/>
  <c r="T781" i="3" s="1"/>
  <c r="S777" i="3"/>
  <c r="T777" i="3" s="1"/>
  <c r="S773" i="3"/>
  <c r="T773" i="3" s="1"/>
  <c r="S769" i="3"/>
  <c r="T769" i="3" s="1"/>
  <c r="S765" i="3"/>
  <c r="T765" i="3" s="1"/>
  <c r="S761" i="3"/>
  <c r="T761" i="3" s="1"/>
  <c r="S757" i="3"/>
  <c r="T757" i="3" s="1"/>
  <c r="S753" i="3"/>
  <c r="T753" i="3" s="1"/>
  <c r="S749" i="3"/>
  <c r="T749" i="3" s="1"/>
  <c r="S745" i="3"/>
  <c r="T745" i="3" s="1"/>
  <c r="S741" i="3"/>
  <c r="T741" i="3" s="1"/>
  <c r="S737" i="3"/>
  <c r="T737" i="3" s="1"/>
  <c r="S733" i="3"/>
  <c r="T733" i="3" s="1"/>
  <c r="S729" i="3"/>
  <c r="T729" i="3" s="1"/>
  <c r="S725" i="3"/>
  <c r="T725" i="3" s="1"/>
  <c r="S721" i="3"/>
  <c r="T721" i="3" s="1"/>
  <c r="S717" i="3"/>
  <c r="T717" i="3" s="1"/>
  <c r="S713" i="3"/>
  <c r="T713" i="3" s="1"/>
  <c r="S709" i="3"/>
  <c r="T709" i="3" s="1"/>
  <c r="S705" i="3"/>
  <c r="T705" i="3" s="1"/>
  <c r="S701" i="3"/>
  <c r="T701" i="3" s="1"/>
  <c r="S461" i="3"/>
  <c r="T461" i="3" s="1"/>
  <c r="S457" i="3"/>
  <c r="T457" i="3" s="1"/>
  <c r="S453" i="3"/>
  <c r="T453" i="3" s="1"/>
  <c r="S449" i="3"/>
  <c r="T449" i="3" s="1"/>
  <c r="S445" i="3"/>
  <c r="T445" i="3" s="1"/>
  <c r="S442" i="3"/>
  <c r="T442" i="3" s="1"/>
  <c r="S438" i="3"/>
  <c r="T438" i="3" s="1"/>
  <c r="S434" i="3"/>
  <c r="T434" i="3" s="1"/>
  <c r="S430" i="3"/>
  <c r="T430" i="3" s="1"/>
  <c r="S426" i="3"/>
  <c r="T426" i="3" s="1"/>
  <c r="S839" i="3"/>
  <c r="T839" i="3" s="1"/>
  <c r="S835" i="3"/>
  <c r="T835" i="3" s="1"/>
  <c r="S831" i="3"/>
  <c r="T831" i="3" s="1"/>
  <c r="S827" i="3"/>
  <c r="T827" i="3" s="1"/>
  <c r="S823" i="3"/>
  <c r="T823" i="3" s="1"/>
  <c r="S819" i="3"/>
  <c r="T819" i="3" s="1"/>
  <c r="S814" i="3"/>
  <c r="T814" i="3" s="1"/>
  <c r="S810" i="3"/>
  <c r="T810" i="3" s="1"/>
  <c r="S806" i="3"/>
  <c r="T806" i="3" s="1"/>
  <c r="S802" i="3"/>
  <c r="T802" i="3" s="1"/>
  <c r="S798" i="3"/>
  <c r="T798" i="3" s="1"/>
  <c r="S794" i="3"/>
  <c r="T794" i="3" s="1"/>
  <c r="S790" i="3"/>
  <c r="T790" i="3" s="1"/>
  <c r="S786" i="3"/>
  <c r="T786" i="3" s="1"/>
  <c r="S782" i="3"/>
  <c r="T782" i="3" s="1"/>
  <c r="S778" i="3"/>
  <c r="T778" i="3" s="1"/>
  <c r="S774" i="3"/>
  <c r="T774" i="3" s="1"/>
  <c r="S770" i="3"/>
  <c r="T770" i="3" s="1"/>
  <c r="S766" i="3"/>
  <c r="T766" i="3" s="1"/>
  <c r="S762" i="3"/>
  <c r="T762" i="3" s="1"/>
  <c r="S758" i="3"/>
  <c r="T758" i="3" s="1"/>
  <c r="S754" i="3"/>
  <c r="T754" i="3" s="1"/>
  <c r="S750" i="3"/>
  <c r="T750" i="3" s="1"/>
  <c r="S746" i="3"/>
  <c r="T746" i="3" s="1"/>
  <c r="S742" i="3"/>
  <c r="T742" i="3" s="1"/>
  <c r="S738" i="3"/>
  <c r="T738" i="3" s="1"/>
  <c r="S734" i="3"/>
  <c r="T734" i="3" s="1"/>
  <c r="S730" i="3"/>
  <c r="T730" i="3" s="1"/>
  <c r="S726" i="3"/>
  <c r="T726" i="3" s="1"/>
  <c r="S722" i="3"/>
  <c r="T722" i="3" s="1"/>
  <c r="S718" i="3"/>
  <c r="T718" i="3" s="1"/>
  <c r="S714" i="3"/>
  <c r="T714" i="3" s="1"/>
  <c r="S710" i="3"/>
  <c r="T710" i="3" s="1"/>
  <c r="S706" i="3"/>
  <c r="T706" i="3" s="1"/>
  <c r="S702" i="3"/>
  <c r="T702" i="3" s="1"/>
  <c r="S462" i="3"/>
  <c r="T462" i="3" s="1"/>
  <c r="S458" i="3"/>
  <c r="T458" i="3" s="1"/>
  <c r="S454" i="3"/>
  <c r="T454" i="3" s="1"/>
  <c r="S450" i="3"/>
  <c r="T450" i="3" s="1"/>
  <c r="S446" i="3"/>
  <c r="T446" i="3" s="1"/>
  <c r="S439" i="3"/>
  <c r="T439" i="3" s="1"/>
  <c r="S435" i="3"/>
  <c r="T435" i="3" s="1"/>
  <c r="S431" i="3"/>
  <c r="T431" i="3" s="1"/>
  <c r="S427" i="3"/>
  <c r="T427" i="3" s="1"/>
  <c r="S423" i="3"/>
  <c r="T423" i="3" s="1"/>
  <c r="S419" i="3"/>
  <c r="T419" i="3" s="1"/>
  <c r="S415" i="3"/>
  <c r="T415" i="3" s="1"/>
  <c r="S411" i="3"/>
  <c r="T411" i="3" s="1"/>
  <c r="S407" i="3"/>
  <c r="T407" i="3" s="1"/>
  <c r="S403" i="3"/>
  <c r="T403" i="3" s="1"/>
  <c r="S399" i="3"/>
  <c r="T399" i="3" s="1"/>
  <c r="S395" i="3"/>
  <c r="T395" i="3" s="1"/>
  <c r="S391" i="3"/>
  <c r="T391" i="3" s="1"/>
  <c r="S387" i="3"/>
  <c r="T387" i="3" s="1"/>
  <c r="S383" i="3"/>
  <c r="T383" i="3" s="1"/>
  <c r="S379" i="3"/>
  <c r="T379" i="3" s="1"/>
  <c r="S375" i="3"/>
  <c r="T375" i="3" s="1"/>
  <c r="S371" i="3"/>
  <c r="T371" i="3" s="1"/>
  <c r="S367" i="3"/>
  <c r="T367" i="3" s="1"/>
  <c r="S363" i="3"/>
  <c r="T363" i="3" s="1"/>
  <c r="S359" i="3"/>
  <c r="T359" i="3" s="1"/>
  <c r="S355" i="3"/>
  <c r="T355" i="3" s="1"/>
  <c r="S351" i="3"/>
  <c r="T351" i="3" s="1"/>
  <c r="S347" i="3"/>
  <c r="T347" i="3" s="1"/>
  <c r="S343" i="3"/>
  <c r="T343" i="3" s="1"/>
  <c r="S339" i="3"/>
  <c r="T339" i="3" s="1"/>
  <c r="S335" i="3"/>
  <c r="T335" i="3" s="1"/>
  <c r="S331" i="3"/>
  <c r="T331" i="3" s="1"/>
  <c r="S327" i="3"/>
  <c r="T327" i="3" s="1"/>
  <c r="S323" i="3"/>
  <c r="T323" i="3" s="1"/>
  <c r="S319" i="3"/>
  <c r="T319" i="3" s="1"/>
  <c r="S315" i="3"/>
  <c r="T315" i="3" s="1"/>
  <c r="S311" i="3"/>
  <c r="T311" i="3" s="1"/>
  <c r="S307" i="3"/>
  <c r="T307" i="3" s="1"/>
  <c r="S303" i="3"/>
  <c r="T303" i="3" s="1"/>
  <c r="S299" i="3"/>
  <c r="T299" i="3" s="1"/>
  <c r="S295" i="3"/>
  <c r="T295" i="3" s="1"/>
  <c r="S291" i="3"/>
  <c r="T291" i="3" s="1"/>
  <c r="S287" i="3"/>
  <c r="T287" i="3" s="1"/>
  <c r="S283" i="3"/>
  <c r="T283" i="3" s="1"/>
  <c r="S279" i="3"/>
  <c r="T279" i="3" s="1"/>
  <c r="S275" i="3"/>
  <c r="T275" i="3" s="1"/>
  <c r="S271" i="3"/>
  <c r="T271" i="3" s="1"/>
  <c r="S267" i="3"/>
  <c r="T267" i="3" s="1"/>
  <c r="S263" i="3"/>
  <c r="T263" i="3" s="1"/>
  <c r="S259" i="3"/>
  <c r="T259" i="3" s="1"/>
  <c r="S255" i="3"/>
  <c r="T255" i="3" s="1"/>
  <c r="S251" i="3"/>
  <c r="T251" i="3" s="1"/>
  <c r="S247" i="3"/>
  <c r="T247" i="3" s="1"/>
  <c r="S243" i="3"/>
  <c r="T243" i="3" s="1"/>
  <c r="S239" i="3"/>
  <c r="T239" i="3" s="1"/>
  <c r="S235" i="3"/>
  <c r="T235" i="3" s="1"/>
  <c r="S231" i="3"/>
  <c r="T231" i="3" s="1"/>
  <c r="S227" i="3"/>
  <c r="T227" i="3" s="1"/>
  <c r="S223" i="3"/>
  <c r="T223" i="3" s="1"/>
  <c r="S219" i="3"/>
  <c r="T219" i="3" s="1"/>
  <c r="S215" i="3"/>
  <c r="T215" i="3" s="1"/>
  <c r="S211" i="3"/>
  <c r="T211" i="3" s="1"/>
  <c r="S207" i="3"/>
  <c r="T207" i="3" s="1"/>
  <c r="S203" i="3"/>
  <c r="T203" i="3" s="1"/>
  <c r="S199" i="3"/>
  <c r="T199" i="3" s="1"/>
  <c r="S197" i="3"/>
  <c r="T197" i="3" s="1"/>
  <c r="S193" i="3"/>
  <c r="T193" i="3" s="1"/>
  <c r="S189" i="3"/>
  <c r="T189" i="3" s="1"/>
  <c r="S185" i="3"/>
  <c r="T185" i="3" s="1"/>
  <c r="S181" i="3"/>
  <c r="T181" i="3" s="1"/>
  <c r="S177" i="3"/>
  <c r="T177" i="3" s="1"/>
  <c r="S173" i="3"/>
  <c r="T173" i="3" s="1"/>
  <c r="S169" i="3"/>
  <c r="T169" i="3" s="1"/>
  <c r="S165" i="3"/>
  <c r="T165" i="3" s="1"/>
  <c r="S161" i="3"/>
  <c r="T161" i="3" s="1"/>
  <c r="S157" i="3"/>
  <c r="T157" i="3" s="1"/>
  <c r="S153" i="3"/>
  <c r="T153" i="3" s="1"/>
  <c r="S149" i="3"/>
  <c r="T149" i="3" s="1"/>
  <c r="S145" i="3"/>
  <c r="T145" i="3" s="1"/>
  <c r="S141" i="3"/>
  <c r="T141" i="3" s="1"/>
  <c r="S137" i="3"/>
  <c r="T137" i="3" s="1"/>
  <c r="S133" i="3"/>
  <c r="T133" i="3" s="1"/>
  <c r="S129" i="3"/>
  <c r="T129" i="3" s="1"/>
  <c r="S125" i="3"/>
  <c r="T125" i="3" s="1"/>
  <c r="S121" i="3"/>
  <c r="T121" i="3" s="1"/>
  <c r="S117" i="3"/>
  <c r="T117" i="3" s="1"/>
  <c r="S113" i="3"/>
  <c r="T113" i="3" s="1"/>
  <c r="S109" i="3"/>
  <c r="T109" i="3" s="1"/>
  <c r="S105" i="3"/>
  <c r="T105" i="3" s="1"/>
  <c r="S101" i="3"/>
  <c r="T101" i="3" s="1"/>
  <c r="S97" i="3"/>
  <c r="T97" i="3" s="1"/>
  <c r="S93" i="3"/>
  <c r="T93" i="3" s="1"/>
  <c r="S89" i="3"/>
  <c r="T89" i="3" s="1"/>
  <c r="S85" i="3"/>
  <c r="T85" i="3" s="1"/>
  <c r="S81" i="3"/>
  <c r="T81" i="3" s="1"/>
  <c r="S77" i="3"/>
  <c r="T77" i="3" s="1"/>
  <c r="S73" i="3"/>
  <c r="T73" i="3" s="1"/>
  <c r="S69" i="3"/>
  <c r="T69" i="3" s="1"/>
  <c r="S65" i="3"/>
  <c r="T65" i="3" s="1"/>
  <c r="S61" i="3"/>
  <c r="T61" i="3" s="1"/>
  <c r="S57" i="3"/>
  <c r="T57" i="3" s="1"/>
  <c r="S53" i="3"/>
  <c r="T53" i="3" s="1"/>
  <c r="S49" i="3"/>
  <c r="T49" i="3" s="1"/>
  <c r="S45" i="3"/>
  <c r="T45" i="3" s="1"/>
  <c r="S41" i="3"/>
  <c r="T41" i="3" s="1"/>
  <c r="S37" i="3"/>
  <c r="T37" i="3" s="1"/>
  <c r="S33" i="3"/>
  <c r="T33" i="3" s="1"/>
  <c r="S29" i="3"/>
  <c r="T29" i="3" s="1"/>
  <c r="S25" i="3"/>
  <c r="T25" i="3" s="1"/>
  <c r="S21" i="3"/>
  <c r="T21" i="3" s="1"/>
  <c r="S17" i="3"/>
  <c r="T17" i="3" s="1"/>
  <c r="S13" i="3"/>
  <c r="T13" i="3" s="1"/>
  <c r="S364" i="3"/>
  <c r="T364" i="3" s="1"/>
  <c r="S360" i="3"/>
  <c r="T360" i="3" s="1"/>
  <c r="S356" i="3"/>
  <c r="T356" i="3" s="1"/>
  <c r="S352" i="3"/>
  <c r="T352" i="3" s="1"/>
  <c r="S348" i="3"/>
  <c r="T348" i="3" s="1"/>
  <c r="S344" i="3"/>
  <c r="T344" i="3" s="1"/>
  <c r="S340" i="3"/>
  <c r="T340" i="3" s="1"/>
  <c r="S336" i="3"/>
  <c r="T336" i="3" s="1"/>
  <c r="S332" i="3"/>
  <c r="T332" i="3" s="1"/>
  <c r="S328" i="3"/>
  <c r="T328" i="3" s="1"/>
  <c r="S324" i="3"/>
  <c r="T324" i="3" s="1"/>
  <c r="S320" i="3"/>
  <c r="T320" i="3" s="1"/>
  <c r="S316" i="3"/>
  <c r="T316" i="3" s="1"/>
  <c r="S312" i="3"/>
  <c r="T312" i="3" s="1"/>
  <c r="S308" i="3"/>
  <c r="T308" i="3" s="1"/>
  <c r="S304" i="3"/>
  <c r="T304" i="3" s="1"/>
  <c r="S300" i="3"/>
  <c r="T300" i="3" s="1"/>
  <c r="S296" i="3"/>
  <c r="T296" i="3" s="1"/>
  <c r="S292" i="3"/>
  <c r="T292" i="3" s="1"/>
  <c r="S288" i="3"/>
  <c r="T288" i="3" s="1"/>
  <c r="S284" i="3"/>
  <c r="T284" i="3" s="1"/>
  <c r="S280" i="3"/>
  <c r="T280" i="3" s="1"/>
  <c r="S276" i="3"/>
  <c r="T276" i="3" s="1"/>
  <c r="S272" i="3"/>
  <c r="T272" i="3" s="1"/>
  <c r="S268" i="3"/>
  <c r="T268" i="3" s="1"/>
  <c r="S264" i="3"/>
  <c r="T264" i="3" s="1"/>
  <c r="S260" i="3"/>
  <c r="T260" i="3" s="1"/>
  <c r="S256" i="3"/>
  <c r="T256" i="3" s="1"/>
  <c r="S252" i="3"/>
  <c r="T252" i="3" s="1"/>
  <c r="S248" i="3"/>
  <c r="T248" i="3" s="1"/>
  <c r="S244" i="3"/>
  <c r="T244" i="3" s="1"/>
  <c r="S240" i="3"/>
  <c r="T240" i="3" s="1"/>
  <c r="S236" i="3"/>
  <c r="T236" i="3" s="1"/>
  <c r="S232" i="3"/>
  <c r="T232" i="3" s="1"/>
  <c r="S228" i="3"/>
  <c r="T228" i="3" s="1"/>
  <c r="S224" i="3"/>
  <c r="T224" i="3" s="1"/>
  <c r="S220" i="3"/>
  <c r="T220" i="3" s="1"/>
  <c r="S216" i="3"/>
  <c r="T216" i="3" s="1"/>
  <c r="S212" i="3"/>
  <c r="T212" i="3" s="1"/>
  <c r="S208" i="3"/>
  <c r="T208" i="3" s="1"/>
  <c r="S204" i="3"/>
  <c r="T204" i="3" s="1"/>
  <c r="S200" i="3"/>
  <c r="T200" i="3" s="1"/>
  <c r="S194" i="3"/>
  <c r="T194" i="3" s="1"/>
  <c r="S190" i="3"/>
  <c r="T190" i="3" s="1"/>
  <c r="S186" i="3"/>
  <c r="T186" i="3" s="1"/>
  <c r="S182" i="3"/>
  <c r="T182" i="3" s="1"/>
  <c r="S178" i="3"/>
  <c r="T178" i="3" s="1"/>
  <c r="S174" i="3"/>
  <c r="T174" i="3" s="1"/>
  <c r="S170" i="3"/>
  <c r="T170" i="3" s="1"/>
  <c r="S166" i="3"/>
  <c r="T166" i="3" s="1"/>
  <c r="S162" i="3"/>
  <c r="T162" i="3" s="1"/>
  <c r="S158" i="3"/>
  <c r="T158" i="3" s="1"/>
  <c r="S154" i="3"/>
  <c r="T154" i="3" s="1"/>
  <c r="S150" i="3"/>
  <c r="T150" i="3" s="1"/>
  <c r="S146" i="3"/>
  <c r="T146" i="3" s="1"/>
  <c r="S142" i="3"/>
  <c r="T142" i="3" s="1"/>
  <c r="S138" i="3"/>
  <c r="T138" i="3" s="1"/>
  <c r="S134" i="3"/>
  <c r="T134" i="3" s="1"/>
  <c r="S130" i="3"/>
  <c r="T130" i="3" s="1"/>
  <c r="S126" i="3"/>
  <c r="T126" i="3" s="1"/>
  <c r="S122" i="3"/>
  <c r="T122" i="3" s="1"/>
  <c r="S118" i="3"/>
  <c r="T118" i="3" s="1"/>
  <c r="S114" i="3"/>
  <c r="T114" i="3" s="1"/>
  <c r="S110" i="3"/>
  <c r="T110" i="3" s="1"/>
  <c r="S106" i="3"/>
  <c r="T106" i="3" s="1"/>
  <c r="S102" i="3"/>
  <c r="T102" i="3" s="1"/>
  <c r="S98" i="3"/>
  <c r="T98" i="3" s="1"/>
  <c r="S94" i="3"/>
  <c r="T94" i="3" s="1"/>
  <c r="S90" i="3"/>
  <c r="T90" i="3" s="1"/>
  <c r="S86" i="3"/>
  <c r="T86" i="3" s="1"/>
  <c r="S82" i="3"/>
  <c r="T82" i="3" s="1"/>
  <c r="S78" i="3"/>
  <c r="T78" i="3" s="1"/>
  <c r="S74" i="3"/>
  <c r="T74" i="3" s="1"/>
  <c r="S70" i="3"/>
  <c r="T70" i="3" s="1"/>
  <c r="S66" i="3"/>
  <c r="T66" i="3" s="1"/>
  <c r="S62" i="3"/>
  <c r="T62" i="3" s="1"/>
  <c r="S58" i="3"/>
  <c r="T58" i="3" s="1"/>
  <c r="S54" i="3"/>
  <c r="T54" i="3" s="1"/>
  <c r="S50" i="3"/>
  <c r="T50" i="3" s="1"/>
  <c r="S46" i="3"/>
  <c r="T46" i="3" s="1"/>
  <c r="S42" i="3"/>
  <c r="T42" i="3" s="1"/>
  <c r="S38" i="3"/>
  <c r="T38" i="3" s="1"/>
  <c r="S34" i="3"/>
  <c r="T34" i="3" s="1"/>
  <c r="S30" i="3"/>
  <c r="T30" i="3" s="1"/>
  <c r="S26" i="3"/>
  <c r="T26" i="3" s="1"/>
  <c r="S22" i="3"/>
  <c r="T22" i="3" s="1"/>
  <c r="S18" i="3"/>
  <c r="T18" i="3" s="1"/>
  <c r="S14" i="3"/>
  <c r="T14" i="3" s="1"/>
  <c r="S422" i="3"/>
  <c r="T422" i="3" s="1"/>
  <c r="S418" i="3"/>
  <c r="T418" i="3" s="1"/>
  <c r="S414" i="3"/>
  <c r="T414" i="3" s="1"/>
  <c r="S410" i="3"/>
  <c r="T410" i="3" s="1"/>
  <c r="S406" i="3"/>
  <c r="T406" i="3" s="1"/>
  <c r="S402" i="3"/>
  <c r="T402" i="3" s="1"/>
  <c r="S398" i="3"/>
  <c r="T398" i="3" s="1"/>
  <c r="S394" i="3"/>
  <c r="T394" i="3" s="1"/>
  <c r="S390" i="3"/>
  <c r="T390" i="3" s="1"/>
  <c r="S386" i="3"/>
  <c r="T386" i="3" s="1"/>
  <c r="S382" i="3"/>
  <c r="T382" i="3" s="1"/>
  <c r="S378" i="3"/>
  <c r="T378" i="3" s="1"/>
  <c r="S374" i="3"/>
  <c r="T374" i="3" s="1"/>
  <c r="S370" i="3"/>
  <c r="T370" i="3" s="1"/>
  <c r="S366" i="3"/>
  <c r="T366" i="3" s="1"/>
  <c r="S362" i="3"/>
  <c r="T362" i="3" s="1"/>
  <c r="S358" i="3"/>
  <c r="T358" i="3" s="1"/>
  <c r="S354" i="3"/>
  <c r="T354" i="3" s="1"/>
  <c r="S350" i="3"/>
  <c r="T350" i="3" s="1"/>
  <c r="S346" i="3"/>
  <c r="T346" i="3" s="1"/>
  <c r="S342" i="3"/>
  <c r="T342" i="3" s="1"/>
  <c r="S338" i="3"/>
  <c r="T338" i="3" s="1"/>
  <c r="S334" i="3"/>
  <c r="T334" i="3" s="1"/>
  <c r="S330" i="3"/>
  <c r="T330" i="3" s="1"/>
  <c r="S326" i="3"/>
  <c r="T326" i="3" s="1"/>
  <c r="S322" i="3"/>
  <c r="T322" i="3" s="1"/>
  <c r="S318" i="3"/>
  <c r="T318" i="3" s="1"/>
  <c r="S314" i="3"/>
  <c r="T314" i="3" s="1"/>
  <c r="S310" i="3"/>
  <c r="T310" i="3" s="1"/>
  <c r="S306" i="3"/>
  <c r="T306" i="3" s="1"/>
  <c r="S302" i="3"/>
  <c r="T302" i="3" s="1"/>
  <c r="S298" i="3"/>
  <c r="T298" i="3" s="1"/>
  <c r="S294" i="3"/>
  <c r="T294" i="3" s="1"/>
  <c r="S290" i="3"/>
  <c r="T290" i="3" s="1"/>
  <c r="S286" i="3"/>
  <c r="T286" i="3" s="1"/>
  <c r="S282" i="3"/>
  <c r="T282" i="3" s="1"/>
  <c r="S278" i="3"/>
  <c r="T278" i="3" s="1"/>
  <c r="S274" i="3"/>
  <c r="T274" i="3" s="1"/>
  <c r="S270" i="3"/>
  <c r="T270" i="3" s="1"/>
  <c r="S266" i="3"/>
  <c r="T266" i="3" s="1"/>
  <c r="S262" i="3"/>
  <c r="T262" i="3" s="1"/>
  <c r="S258" i="3"/>
  <c r="T258" i="3" s="1"/>
  <c r="S254" i="3"/>
  <c r="T254" i="3" s="1"/>
  <c r="S250" i="3"/>
  <c r="T250" i="3" s="1"/>
  <c r="S246" i="3"/>
  <c r="T246" i="3" s="1"/>
  <c r="S242" i="3"/>
  <c r="T242" i="3" s="1"/>
  <c r="S238" i="3"/>
  <c r="T238" i="3" s="1"/>
  <c r="S234" i="3"/>
  <c r="T234" i="3" s="1"/>
  <c r="S230" i="3"/>
  <c r="T230" i="3" s="1"/>
  <c r="S226" i="3"/>
  <c r="T226" i="3" s="1"/>
  <c r="S222" i="3"/>
  <c r="T222" i="3" s="1"/>
  <c r="S218" i="3"/>
  <c r="T218" i="3" s="1"/>
  <c r="S214" i="3"/>
  <c r="T214" i="3" s="1"/>
  <c r="S210" i="3"/>
  <c r="T210" i="3" s="1"/>
  <c r="S206" i="3"/>
  <c r="T206" i="3" s="1"/>
  <c r="S202" i="3"/>
  <c r="T202" i="3" s="1"/>
  <c r="S198" i="3"/>
  <c r="T198" i="3" s="1"/>
  <c r="S196" i="3"/>
  <c r="T196" i="3" s="1"/>
  <c r="S192" i="3"/>
  <c r="T192" i="3" s="1"/>
  <c r="S188" i="3"/>
  <c r="T188" i="3" s="1"/>
  <c r="S184" i="3"/>
  <c r="T184" i="3" s="1"/>
  <c r="S180" i="3"/>
  <c r="T180" i="3" s="1"/>
  <c r="S176" i="3"/>
  <c r="T176" i="3" s="1"/>
  <c r="S172" i="3"/>
  <c r="T172" i="3" s="1"/>
  <c r="S168" i="3"/>
  <c r="T168" i="3" s="1"/>
  <c r="S164" i="3"/>
  <c r="T164" i="3" s="1"/>
  <c r="S160" i="3"/>
  <c r="T160" i="3" s="1"/>
  <c r="S156" i="3"/>
  <c r="T156" i="3" s="1"/>
  <c r="S152" i="3"/>
  <c r="T152" i="3" s="1"/>
  <c r="S148" i="3"/>
  <c r="T148" i="3" s="1"/>
  <c r="S144" i="3"/>
  <c r="T144" i="3" s="1"/>
  <c r="S140" i="3"/>
  <c r="T140" i="3" s="1"/>
  <c r="S136" i="3"/>
  <c r="T136" i="3" s="1"/>
  <c r="S132" i="3"/>
  <c r="T132" i="3" s="1"/>
  <c r="S128" i="3"/>
  <c r="T128" i="3" s="1"/>
  <c r="S124" i="3"/>
  <c r="T124" i="3" s="1"/>
  <c r="S120" i="3"/>
  <c r="T120" i="3" s="1"/>
  <c r="S116" i="3"/>
  <c r="T116" i="3" s="1"/>
  <c r="S112" i="3"/>
  <c r="T112" i="3" s="1"/>
  <c r="S108" i="3"/>
  <c r="T108" i="3" s="1"/>
  <c r="S104" i="3"/>
  <c r="T104" i="3" s="1"/>
  <c r="S100" i="3"/>
  <c r="T100" i="3" s="1"/>
  <c r="S96" i="3"/>
  <c r="T96" i="3" s="1"/>
  <c r="S92" i="3"/>
  <c r="T92" i="3" s="1"/>
  <c r="S88" i="3"/>
  <c r="T88" i="3" s="1"/>
  <c r="S84" i="3"/>
  <c r="T84" i="3" s="1"/>
  <c r="S80" i="3"/>
  <c r="T80" i="3" s="1"/>
  <c r="S76" i="3"/>
  <c r="T76" i="3" s="1"/>
  <c r="S72" i="3"/>
  <c r="T72" i="3" s="1"/>
  <c r="S68" i="3"/>
  <c r="T68" i="3" s="1"/>
  <c r="S64" i="3"/>
  <c r="T64" i="3" s="1"/>
  <c r="S60" i="3"/>
  <c r="T60" i="3" s="1"/>
  <c r="S56" i="3"/>
  <c r="T56" i="3" s="1"/>
  <c r="S52" i="3"/>
  <c r="T52" i="3" s="1"/>
  <c r="S48" i="3"/>
  <c r="T48" i="3" s="1"/>
  <c r="S44" i="3"/>
  <c r="T44" i="3" s="1"/>
  <c r="S40" i="3"/>
  <c r="T40" i="3" s="1"/>
  <c r="S36" i="3"/>
  <c r="T36" i="3" s="1"/>
  <c r="S32" i="3"/>
  <c r="T32" i="3" s="1"/>
  <c r="S28" i="3"/>
  <c r="T28" i="3" s="1"/>
  <c r="S24" i="3"/>
  <c r="T24" i="3" s="1"/>
  <c r="S20" i="3"/>
  <c r="T20" i="3" s="1"/>
  <c r="S16" i="3"/>
  <c r="T16" i="3" s="1"/>
  <c r="S12" i="3"/>
  <c r="T12" i="3" s="1"/>
  <c r="Z4" i="17"/>
  <c r="Q5" i="17" l="1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A67" i="13" l="1"/>
  <c r="A75" i="13" l="1"/>
  <c r="A83" i="13" l="1"/>
  <c r="A91" i="13" l="1"/>
  <c r="A99" i="13"/>
  <c r="E1" i="10" l="1"/>
  <c r="D9" i="10" l="1"/>
  <c r="D13" i="10"/>
  <c r="D17" i="10"/>
  <c r="D21" i="10"/>
  <c r="D25" i="10"/>
  <c r="E25" i="10" s="1"/>
  <c r="D29" i="10"/>
  <c r="D33" i="10"/>
  <c r="D37" i="10"/>
  <c r="D41" i="10"/>
  <c r="D45" i="10"/>
  <c r="E45" i="10" s="1"/>
  <c r="D49" i="10"/>
  <c r="D53" i="10"/>
  <c r="D57" i="10"/>
  <c r="D61" i="10"/>
  <c r="D65" i="10"/>
  <c r="E65" i="10" s="1"/>
  <c r="D69" i="10"/>
  <c r="D73" i="10"/>
  <c r="D77" i="10"/>
  <c r="D81" i="10"/>
  <c r="D6" i="10"/>
  <c r="D14" i="10"/>
  <c r="D22" i="10"/>
  <c r="D30" i="10"/>
  <c r="E30" i="10" s="1"/>
  <c r="D38" i="10"/>
  <c r="D46" i="10"/>
  <c r="D54" i="10"/>
  <c r="D62" i="10"/>
  <c r="D70" i="10"/>
  <c r="E70" i="10" s="1"/>
  <c r="D78" i="10"/>
  <c r="D82" i="10"/>
  <c r="D11" i="10"/>
  <c r="D19" i="10"/>
  <c r="D27" i="10"/>
  <c r="D35" i="10"/>
  <c r="E35" i="10" s="1"/>
  <c r="D39" i="10"/>
  <c r="D51" i="10"/>
  <c r="D55" i="10"/>
  <c r="E55" i="10" s="1"/>
  <c r="D63" i="10"/>
  <c r="D75" i="10"/>
  <c r="E75" i="10" s="1"/>
  <c r="D83" i="10"/>
  <c r="D8" i="10"/>
  <c r="D12" i="10"/>
  <c r="D16" i="10"/>
  <c r="D20" i="10"/>
  <c r="E20" i="10" s="1"/>
  <c r="D24" i="10"/>
  <c r="D28" i="10"/>
  <c r="D32" i="10"/>
  <c r="D36" i="10"/>
  <c r="E36" i="10" s="1"/>
  <c r="D40" i="10"/>
  <c r="E40" i="10" s="1"/>
  <c r="D44" i="10"/>
  <c r="D48" i="10"/>
  <c r="D52" i="10"/>
  <c r="D56" i="10"/>
  <c r="D60" i="10"/>
  <c r="E60" i="10" s="1"/>
  <c r="D64" i="10"/>
  <c r="D68" i="10"/>
  <c r="D72" i="10"/>
  <c r="D76" i="10"/>
  <c r="D80" i="10"/>
  <c r="D10" i="10"/>
  <c r="E10" i="10" s="1"/>
  <c r="D18" i="10"/>
  <c r="D26" i="10"/>
  <c r="E26" i="10" s="1"/>
  <c r="D34" i="10"/>
  <c r="D42" i="10"/>
  <c r="D50" i="10"/>
  <c r="E50" i="10" s="1"/>
  <c r="D58" i="10"/>
  <c r="D66" i="10"/>
  <c r="D74" i="10"/>
  <c r="D7" i="10"/>
  <c r="D15" i="10"/>
  <c r="E15" i="10" s="1"/>
  <c r="D23" i="10"/>
  <c r="D31" i="10"/>
  <c r="D43" i="10"/>
  <c r="D47" i="10"/>
  <c r="E47" i="10" s="1"/>
  <c r="D59" i="10"/>
  <c r="D67" i="10"/>
  <c r="D71" i="10"/>
  <c r="D79" i="10"/>
  <c r="E79" i="10" s="1"/>
  <c r="G33" i="12"/>
  <c r="F33" i="12"/>
  <c r="E33" i="12"/>
  <c r="D33" i="12"/>
  <c r="E72" i="10" l="1"/>
  <c r="E80" i="10"/>
  <c r="E82" i="10"/>
  <c r="E81" i="10"/>
  <c r="E67" i="10"/>
  <c r="E64" i="10"/>
  <c r="E48" i="10"/>
  <c r="E69" i="10"/>
  <c r="L17" i="10" s="1"/>
  <c r="E74" i="10"/>
  <c r="E42" i="10"/>
  <c r="E76" i="10"/>
  <c r="E44" i="10"/>
  <c r="E46" i="10"/>
  <c r="E49" i="10"/>
  <c r="E59" i="10"/>
  <c r="E66" i="10"/>
  <c r="E56" i="10"/>
  <c r="E71" i="10"/>
  <c r="E43" i="10"/>
  <c r="E58" i="10"/>
  <c r="E68" i="10"/>
  <c r="E52" i="10"/>
  <c r="J12" i="10" s="1"/>
  <c r="E63" i="10"/>
  <c r="E62" i="10"/>
  <c r="E73" i="10"/>
  <c r="E57" i="10"/>
  <c r="J13" i="10" s="1"/>
  <c r="E41" i="10"/>
  <c r="E18" i="10"/>
  <c r="K7" i="10" s="1"/>
  <c r="E54" i="10"/>
  <c r="E53" i="10"/>
  <c r="E51" i="10"/>
  <c r="E78" i="10"/>
  <c r="E77" i="10"/>
  <c r="E61" i="10"/>
  <c r="E16" i="10"/>
  <c r="I7" i="10" s="1"/>
  <c r="E21" i="10"/>
  <c r="I8" i="10" s="1"/>
  <c r="E23" i="10"/>
  <c r="K8" i="10" s="1"/>
  <c r="E28" i="10"/>
  <c r="K9" i="10" s="1"/>
  <c r="E12" i="10"/>
  <c r="J6" i="10" s="1"/>
  <c r="E19" i="10"/>
  <c r="L7" i="10" s="1"/>
  <c r="E14" i="10"/>
  <c r="L6" i="10" s="1"/>
  <c r="E33" i="10"/>
  <c r="K10" i="10" s="1"/>
  <c r="E17" i="10"/>
  <c r="J7" i="10" s="1"/>
  <c r="E31" i="10"/>
  <c r="I10" i="10" s="1"/>
  <c r="E32" i="10"/>
  <c r="J10" i="10" s="1"/>
  <c r="E27" i="10"/>
  <c r="J9" i="10" s="1"/>
  <c r="E22" i="10"/>
  <c r="E37" i="10"/>
  <c r="J11" i="10" s="1"/>
  <c r="E34" i="10"/>
  <c r="L10" i="10" s="1"/>
  <c r="E24" i="10"/>
  <c r="E39" i="10"/>
  <c r="L11" i="10" s="1"/>
  <c r="E11" i="10"/>
  <c r="I6" i="10" s="1"/>
  <c r="E38" i="10"/>
  <c r="K11" i="10" s="1"/>
  <c r="E29" i="10"/>
  <c r="L9" i="10" s="1"/>
  <c r="E13" i="10"/>
  <c r="K6" i="10" s="1"/>
  <c r="H15" i="10"/>
  <c r="H16" i="10"/>
  <c r="H12" i="10"/>
  <c r="H17" i="10"/>
  <c r="H14" i="10"/>
  <c r="H13" i="10"/>
  <c r="I11" i="10"/>
  <c r="H11" i="10"/>
  <c r="H8" i="10"/>
  <c r="H7" i="10"/>
  <c r="H9" i="10"/>
  <c r="H10" i="10"/>
  <c r="I9" i="10"/>
  <c r="D6" i="4"/>
  <c r="E6" i="4"/>
  <c r="D7" i="4"/>
  <c r="H7" i="4" s="1"/>
  <c r="E7" i="4"/>
  <c r="F7" i="4"/>
  <c r="E8" i="4"/>
  <c r="F8" i="4"/>
  <c r="E9" i="4"/>
  <c r="F9" i="4"/>
  <c r="E10" i="4"/>
  <c r="F10" i="4"/>
  <c r="E11" i="4"/>
  <c r="F11" i="4"/>
  <c r="E12" i="4"/>
  <c r="F12" i="4"/>
  <c r="E13" i="4"/>
  <c r="F13" i="4"/>
  <c r="E14" i="4"/>
  <c r="F14" i="4"/>
  <c r="E15" i="4"/>
  <c r="F15" i="4"/>
  <c r="E16" i="4"/>
  <c r="F16" i="4"/>
  <c r="E17" i="4"/>
  <c r="F17" i="4"/>
  <c r="E18" i="4"/>
  <c r="F18" i="4"/>
  <c r="E19" i="4"/>
  <c r="F19" i="4"/>
  <c r="E20" i="4"/>
  <c r="F20" i="4"/>
  <c r="E21" i="4"/>
  <c r="F21" i="4"/>
  <c r="E22" i="4"/>
  <c r="F22" i="4"/>
  <c r="E23" i="4"/>
  <c r="F23" i="4"/>
  <c r="E24" i="4"/>
  <c r="F24" i="4"/>
  <c r="E25" i="4"/>
  <c r="F25" i="4"/>
  <c r="E26" i="4"/>
  <c r="F26" i="4"/>
  <c r="E27" i="4"/>
  <c r="F27" i="4"/>
  <c r="E28" i="4"/>
  <c r="F28" i="4"/>
  <c r="E29" i="4"/>
  <c r="F29" i="4"/>
  <c r="E30" i="4"/>
  <c r="F30" i="4"/>
  <c r="E31" i="4"/>
  <c r="F31" i="4"/>
  <c r="E32" i="4"/>
  <c r="F32" i="4"/>
  <c r="E33" i="4"/>
  <c r="F33" i="4"/>
  <c r="E34" i="4"/>
  <c r="F34" i="4"/>
  <c r="E35" i="4"/>
  <c r="F35" i="4"/>
  <c r="E36" i="4"/>
  <c r="F36" i="4"/>
  <c r="E37" i="4"/>
  <c r="F37" i="4"/>
  <c r="E38" i="4"/>
  <c r="F38" i="4"/>
  <c r="E39" i="4"/>
  <c r="F39" i="4"/>
  <c r="E40" i="4"/>
  <c r="F40" i="4"/>
  <c r="E41" i="4"/>
  <c r="F41" i="4"/>
  <c r="E42" i="4"/>
  <c r="F42" i="4"/>
  <c r="E43" i="4"/>
  <c r="F43" i="4"/>
  <c r="E44" i="4"/>
  <c r="F44" i="4"/>
  <c r="E45" i="4"/>
  <c r="F45" i="4"/>
  <c r="E46" i="4"/>
  <c r="F46" i="4"/>
  <c r="E47" i="4"/>
  <c r="F47" i="4"/>
  <c r="E48" i="4"/>
  <c r="F48" i="4"/>
  <c r="E49" i="4"/>
  <c r="F49" i="4"/>
  <c r="E50" i="4"/>
  <c r="F50" i="4"/>
  <c r="E51" i="4"/>
  <c r="F51" i="4"/>
  <c r="E52" i="4"/>
  <c r="F52" i="4"/>
  <c r="E53" i="4"/>
  <c r="F53" i="4"/>
  <c r="E54" i="4"/>
  <c r="F54" i="4"/>
  <c r="E55" i="4"/>
  <c r="F55" i="4"/>
  <c r="E56" i="4"/>
  <c r="F56" i="4"/>
  <c r="E57" i="4"/>
  <c r="F57" i="4"/>
  <c r="E58" i="4"/>
  <c r="F58" i="4"/>
  <c r="E59" i="4"/>
  <c r="F59" i="4"/>
  <c r="E60" i="4"/>
  <c r="F60" i="4"/>
  <c r="E61" i="4"/>
  <c r="F61" i="4"/>
  <c r="E62" i="4"/>
  <c r="F62" i="4"/>
  <c r="E63" i="4"/>
  <c r="F63" i="4"/>
  <c r="E64" i="4"/>
  <c r="F64" i="4"/>
  <c r="E65" i="4"/>
  <c r="F65" i="4"/>
  <c r="E66" i="4"/>
  <c r="F66" i="4"/>
  <c r="E67" i="4"/>
  <c r="F67" i="4"/>
  <c r="E68" i="4"/>
  <c r="F68" i="4"/>
  <c r="E69" i="4"/>
  <c r="F69" i="4"/>
  <c r="E70" i="4"/>
  <c r="F70" i="4"/>
  <c r="E71" i="4"/>
  <c r="F71" i="4"/>
  <c r="E72" i="4"/>
  <c r="F72" i="4"/>
  <c r="E73" i="4"/>
  <c r="F73" i="4"/>
  <c r="E74" i="4"/>
  <c r="F74" i="4"/>
  <c r="E75" i="4"/>
  <c r="F75" i="4"/>
  <c r="E76" i="4"/>
  <c r="F76" i="4"/>
  <c r="E77" i="4"/>
  <c r="F77" i="4"/>
  <c r="E78" i="4"/>
  <c r="F78" i="4"/>
  <c r="E79" i="4"/>
  <c r="F79" i="4"/>
  <c r="E80" i="4"/>
  <c r="F80" i="4"/>
  <c r="E81" i="4"/>
  <c r="F81" i="4"/>
  <c r="E82" i="4"/>
  <c r="F82" i="4"/>
  <c r="E83" i="4"/>
  <c r="F83" i="4"/>
  <c r="E84" i="4"/>
  <c r="F84" i="4"/>
  <c r="E85" i="4"/>
  <c r="F85" i="4"/>
  <c r="E86" i="4"/>
  <c r="F86" i="4"/>
  <c r="E87" i="4"/>
  <c r="F87" i="4"/>
  <c r="E88" i="4"/>
  <c r="F88" i="4"/>
  <c r="E89" i="4"/>
  <c r="F89" i="4"/>
  <c r="E90" i="4"/>
  <c r="F90" i="4"/>
  <c r="E91" i="4"/>
  <c r="F91" i="4"/>
  <c r="E92" i="4"/>
  <c r="F92" i="4"/>
  <c r="E93" i="4"/>
  <c r="F93" i="4"/>
  <c r="E94" i="4"/>
  <c r="F94" i="4"/>
  <c r="E95" i="4"/>
  <c r="F95" i="4"/>
  <c r="E96" i="4"/>
  <c r="F96" i="4"/>
  <c r="E97" i="4"/>
  <c r="F97" i="4"/>
  <c r="E98" i="4"/>
  <c r="F98" i="4"/>
  <c r="E99" i="4"/>
  <c r="F99" i="4"/>
  <c r="E100" i="4"/>
  <c r="F100" i="4"/>
  <c r="E101" i="4"/>
  <c r="F101" i="4"/>
  <c r="E102" i="4"/>
  <c r="F102" i="4"/>
  <c r="E103" i="4"/>
  <c r="F103" i="4"/>
  <c r="E104" i="4"/>
  <c r="F104" i="4"/>
  <c r="E105" i="4"/>
  <c r="F105" i="4"/>
  <c r="E106" i="4"/>
  <c r="F106" i="4"/>
  <c r="E107" i="4"/>
  <c r="F107" i="4"/>
  <c r="E108" i="4"/>
  <c r="F108" i="4"/>
  <c r="E109" i="4"/>
  <c r="F109" i="4"/>
  <c r="E110" i="4"/>
  <c r="F110" i="4"/>
  <c r="E111" i="4"/>
  <c r="F111" i="4"/>
  <c r="E112" i="4"/>
  <c r="F112" i="4"/>
  <c r="E113" i="4"/>
  <c r="F113" i="4"/>
  <c r="E114" i="4"/>
  <c r="F114" i="4"/>
  <c r="E115" i="4"/>
  <c r="F115" i="4"/>
  <c r="E116" i="4"/>
  <c r="F116" i="4"/>
  <c r="E117" i="4"/>
  <c r="F117" i="4"/>
  <c r="E118" i="4"/>
  <c r="F118" i="4"/>
  <c r="E119" i="4"/>
  <c r="F119" i="4"/>
  <c r="E120" i="4"/>
  <c r="F120" i="4"/>
  <c r="E121" i="4"/>
  <c r="F121" i="4"/>
  <c r="E122" i="4"/>
  <c r="F122" i="4"/>
  <c r="E123" i="4"/>
  <c r="F123" i="4"/>
  <c r="E124" i="4"/>
  <c r="F124" i="4"/>
  <c r="E125" i="4"/>
  <c r="F125" i="4"/>
  <c r="E126" i="4"/>
  <c r="F126" i="4"/>
  <c r="E127" i="4"/>
  <c r="F127" i="4"/>
  <c r="E128" i="4"/>
  <c r="F128" i="4"/>
  <c r="E129" i="4"/>
  <c r="F129" i="4"/>
  <c r="E130" i="4"/>
  <c r="F130" i="4"/>
  <c r="E131" i="4"/>
  <c r="F131" i="4"/>
  <c r="E132" i="4"/>
  <c r="F132" i="4"/>
  <c r="E133" i="4"/>
  <c r="F133" i="4"/>
  <c r="E134" i="4"/>
  <c r="F134" i="4"/>
  <c r="E135" i="4"/>
  <c r="F135" i="4"/>
  <c r="E136" i="4"/>
  <c r="F136" i="4"/>
  <c r="E137" i="4"/>
  <c r="F137" i="4"/>
  <c r="E138" i="4"/>
  <c r="F138" i="4"/>
  <c r="E139" i="4"/>
  <c r="F139" i="4"/>
  <c r="E140" i="4"/>
  <c r="F140" i="4"/>
  <c r="E141" i="4"/>
  <c r="F141" i="4"/>
  <c r="E142" i="4"/>
  <c r="F142" i="4"/>
  <c r="E143" i="4"/>
  <c r="F143" i="4"/>
  <c r="E144" i="4"/>
  <c r="F144" i="4"/>
  <c r="E145" i="4"/>
  <c r="F145" i="4"/>
  <c r="E146" i="4"/>
  <c r="F146" i="4"/>
  <c r="E147" i="4"/>
  <c r="F147" i="4"/>
  <c r="E148" i="4"/>
  <c r="F148" i="4"/>
  <c r="E149" i="4"/>
  <c r="F149" i="4"/>
  <c r="E150" i="4"/>
  <c r="F150" i="4"/>
  <c r="E151" i="4"/>
  <c r="F151" i="4"/>
  <c r="E152" i="4"/>
  <c r="F152" i="4"/>
  <c r="E153" i="4"/>
  <c r="F153" i="4"/>
  <c r="E154" i="4"/>
  <c r="F154" i="4"/>
  <c r="E155" i="4"/>
  <c r="F155" i="4"/>
  <c r="E156" i="4"/>
  <c r="F156" i="4"/>
  <c r="E157" i="4"/>
  <c r="F157" i="4"/>
  <c r="E158" i="4"/>
  <c r="F158" i="4"/>
  <c r="E159" i="4"/>
  <c r="F159" i="4"/>
  <c r="E160" i="4"/>
  <c r="F160" i="4"/>
  <c r="E161" i="4"/>
  <c r="F161" i="4"/>
  <c r="E162" i="4"/>
  <c r="F162" i="4"/>
  <c r="E163" i="4"/>
  <c r="F163" i="4"/>
  <c r="E164" i="4"/>
  <c r="F164" i="4"/>
  <c r="E165" i="4"/>
  <c r="F165" i="4"/>
  <c r="E166" i="4"/>
  <c r="F166" i="4"/>
  <c r="E167" i="4"/>
  <c r="F167" i="4"/>
  <c r="E168" i="4"/>
  <c r="F168" i="4"/>
  <c r="E169" i="4"/>
  <c r="F169" i="4"/>
  <c r="E170" i="4"/>
  <c r="F170" i="4"/>
  <c r="E171" i="4"/>
  <c r="F171" i="4"/>
  <c r="E172" i="4"/>
  <c r="F172" i="4"/>
  <c r="E173" i="4"/>
  <c r="F173" i="4"/>
  <c r="E174" i="4"/>
  <c r="F174" i="4"/>
  <c r="E175" i="4"/>
  <c r="F175" i="4"/>
  <c r="E176" i="4"/>
  <c r="F176" i="4"/>
  <c r="E177" i="4"/>
  <c r="F177" i="4"/>
  <c r="E178" i="4"/>
  <c r="F178" i="4"/>
  <c r="E179" i="4"/>
  <c r="F179" i="4"/>
  <c r="E180" i="4"/>
  <c r="F180" i="4"/>
  <c r="E181" i="4"/>
  <c r="F181" i="4"/>
  <c r="E182" i="4"/>
  <c r="F182" i="4"/>
  <c r="E183" i="4"/>
  <c r="F183" i="4"/>
  <c r="E184" i="4"/>
  <c r="F184" i="4"/>
  <c r="E185" i="4"/>
  <c r="F185" i="4"/>
  <c r="E186" i="4"/>
  <c r="F186" i="4"/>
  <c r="E187" i="4"/>
  <c r="F187" i="4"/>
  <c r="E188" i="4"/>
  <c r="F188" i="4"/>
  <c r="E189" i="4"/>
  <c r="F189" i="4"/>
  <c r="E190" i="4"/>
  <c r="F190" i="4"/>
  <c r="E191" i="4"/>
  <c r="F191" i="4"/>
  <c r="E192" i="4"/>
  <c r="F192" i="4"/>
  <c r="E193" i="4"/>
  <c r="F193" i="4"/>
  <c r="E194" i="4"/>
  <c r="F194" i="4"/>
  <c r="E195" i="4"/>
  <c r="F195" i="4"/>
  <c r="E196" i="4"/>
  <c r="F196" i="4"/>
  <c r="E197" i="4"/>
  <c r="F197" i="4"/>
  <c r="E198" i="4"/>
  <c r="F198" i="4"/>
  <c r="E199" i="4"/>
  <c r="F199" i="4"/>
  <c r="E200" i="4"/>
  <c r="F200" i="4"/>
  <c r="E201" i="4"/>
  <c r="F201" i="4"/>
  <c r="E202" i="4"/>
  <c r="F202" i="4"/>
  <c r="E203" i="4"/>
  <c r="F203" i="4"/>
  <c r="E204" i="4"/>
  <c r="F204" i="4"/>
  <c r="E205" i="4"/>
  <c r="F205" i="4"/>
  <c r="E206" i="4"/>
  <c r="F206" i="4"/>
  <c r="E207" i="4"/>
  <c r="F207" i="4"/>
  <c r="E208" i="4"/>
  <c r="F208" i="4"/>
  <c r="E209" i="4"/>
  <c r="F209" i="4"/>
  <c r="E210" i="4"/>
  <c r="F210" i="4"/>
  <c r="E211" i="4"/>
  <c r="F211" i="4"/>
  <c r="E212" i="4"/>
  <c r="F212" i="4"/>
  <c r="E213" i="4"/>
  <c r="F213" i="4"/>
  <c r="E214" i="4"/>
  <c r="F214" i="4"/>
  <c r="E215" i="4"/>
  <c r="F215" i="4"/>
  <c r="E216" i="4"/>
  <c r="F216" i="4"/>
  <c r="E217" i="4"/>
  <c r="F217" i="4"/>
  <c r="E218" i="4"/>
  <c r="F218" i="4"/>
  <c r="E219" i="4"/>
  <c r="F219" i="4"/>
  <c r="E220" i="4"/>
  <c r="F220" i="4"/>
  <c r="E221" i="4"/>
  <c r="F221" i="4"/>
  <c r="E222" i="4"/>
  <c r="F222" i="4"/>
  <c r="E223" i="4"/>
  <c r="F223" i="4"/>
  <c r="E224" i="4"/>
  <c r="F224" i="4"/>
  <c r="E225" i="4"/>
  <c r="F225" i="4"/>
  <c r="E226" i="4"/>
  <c r="F226" i="4"/>
  <c r="E227" i="4"/>
  <c r="F227" i="4"/>
  <c r="E228" i="4"/>
  <c r="F228" i="4"/>
  <c r="E229" i="4"/>
  <c r="F229" i="4"/>
  <c r="E230" i="4"/>
  <c r="F230" i="4"/>
  <c r="E231" i="4"/>
  <c r="F231" i="4"/>
  <c r="E232" i="4"/>
  <c r="F232" i="4"/>
  <c r="E233" i="4"/>
  <c r="F233" i="4"/>
  <c r="E234" i="4"/>
  <c r="F234" i="4"/>
  <c r="E235" i="4"/>
  <c r="F235" i="4"/>
  <c r="E236" i="4"/>
  <c r="F236" i="4"/>
  <c r="E237" i="4"/>
  <c r="F237" i="4"/>
  <c r="E238" i="4"/>
  <c r="F238" i="4"/>
  <c r="E239" i="4"/>
  <c r="F239" i="4"/>
  <c r="E240" i="4"/>
  <c r="F240" i="4"/>
  <c r="E241" i="4"/>
  <c r="F241" i="4"/>
  <c r="E242" i="4"/>
  <c r="F242" i="4"/>
  <c r="E243" i="4"/>
  <c r="F243" i="4"/>
  <c r="E244" i="4"/>
  <c r="F244" i="4"/>
  <c r="E245" i="4"/>
  <c r="F245" i="4"/>
  <c r="E246" i="4"/>
  <c r="F246" i="4"/>
  <c r="E247" i="4"/>
  <c r="F247" i="4"/>
  <c r="E248" i="4"/>
  <c r="F248" i="4"/>
  <c r="E249" i="4"/>
  <c r="F249" i="4"/>
  <c r="E250" i="4"/>
  <c r="F250" i="4"/>
  <c r="E251" i="4"/>
  <c r="F251" i="4"/>
  <c r="E252" i="4"/>
  <c r="F252" i="4"/>
  <c r="E253" i="4"/>
  <c r="F253" i="4"/>
  <c r="E254" i="4"/>
  <c r="F254" i="4"/>
  <c r="E255" i="4"/>
  <c r="F255" i="4"/>
  <c r="E256" i="4"/>
  <c r="F256" i="4"/>
  <c r="E257" i="4"/>
  <c r="F257" i="4"/>
  <c r="E258" i="4"/>
  <c r="F258" i="4"/>
  <c r="E259" i="4"/>
  <c r="F259" i="4"/>
  <c r="E260" i="4"/>
  <c r="F260" i="4"/>
  <c r="E261" i="4"/>
  <c r="F261" i="4"/>
  <c r="E262" i="4"/>
  <c r="F262" i="4"/>
  <c r="E263" i="4"/>
  <c r="F263" i="4"/>
  <c r="E264" i="4"/>
  <c r="F264" i="4"/>
  <c r="E265" i="4"/>
  <c r="F265" i="4"/>
  <c r="E266" i="4"/>
  <c r="F266" i="4"/>
  <c r="E267" i="4"/>
  <c r="F267" i="4"/>
  <c r="E268" i="4"/>
  <c r="F268" i="4"/>
  <c r="E269" i="4"/>
  <c r="F269" i="4"/>
  <c r="E270" i="4"/>
  <c r="F270" i="4"/>
  <c r="E271" i="4"/>
  <c r="F271" i="4"/>
  <c r="E272" i="4"/>
  <c r="F272" i="4"/>
  <c r="E273" i="4"/>
  <c r="F273" i="4"/>
  <c r="E274" i="4"/>
  <c r="F274" i="4"/>
  <c r="E275" i="4"/>
  <c r="F275" i="4"/>
  <c r="E276" i="4"/>
  <c r="F276" i="4"/>
  <c r="E277" i="4"/>
  <c r="F277" i="4"/>
  <c r="E278" i="4"/>
  <c r="F278" i="4"/>
  <c r="E279" i="4"/>
  <c r="F279" i="4"/>
  <c r="E280" i="4"/>
  <c r="F280" i="4"/>
  <c r="E281" i="4"/>
  <c r="F281" i="4"/>
  <c r="E282" i="4"/>
  <c r="F282" i="4"/>
  <c r="E283" i="4"/>
  <c r="F283" i="4"/>
  <c r="E284" i="4"/>
  <c r="F284" i="4"/>
  <c r="E285" i="4"/>
  <c r="F285" i="4"/>
  <c r="E286" i="4"/>
  <c r="F286" i="4"/>
  <c r="E287" i="4"/>
  <c r="F287" i="4"/>
  <c r="E288" i="4"/>
  <c r="F288" i="4"/>
  <c r="E289" i="4"/>
  <c r="F289" i="4"/>
  <c r="E290" i="4"/>
  <c r="F290" i="4"/>
  <c r="E291" i="4"/>
  <c r="F291" i="4"/>
  <c r="E292" i="4"/>
  <c r="F292" i="4"/>
  <c r="E293" i="4"/>
  <c r="F293" i="4"/>
  <c r="E294" i="4"/>
  <c r="F294" i="4"/>
  <c r="E295" i="4"/>
  <c r="F295" i="4"/>
  <c r="E296" i="4"/>
  <c r="F296" i="4"/>
  <c r="E297" i="4"/>
  <c r="F297" i="4"/>
  <c r="E298" i="4"/>
  <c r="F298" i="4"/>
  <c r="E299" i="4"/>
  <c r="F299" i="4"/>
  <c r="E300" i="4"/>
  <c r="F300" i="4"/>
  <c r="E301" i="4"/>
  <c r="F301" i="4"/>
  <c r="E302" i="4"/>
  <c r="F302" i="4"/>
  <c r="E303" i="4"/>
  <c r="F303" i="4"/>
  <c r="E304" i="4"/>
  <c r="F304" i="4"/>
  <c r="E305" i="4"/>
  <c r="F305" i="4"/>
  <c r="E306" i="4"/>
  <c r="F306" i="4"/>
  <c r="E307" i="4"/>
  <c r="F307" i="4"/>
  <c r="E308" i="4"/>
  <c r="F308" i="4"/>
  <c r="E309" i="4"/>
  <c r="F309" i="4"/>
  <c r="E310" i="4"/>
  <c r="F310" i="4"/>
  <c r="E311" i="4"/>
  <c r="F311" i="4"/>
  <c r="E312" i="4"/>
  <c r="F312" i="4"/>
  <c r="E313" i="4"/>
  <c r="F313" i="4"/>
  <c r="E314" i="4"/>
  <c r="F314" i="4"/>
  <c r="E315" i="4"/>
  <c r="F315" i="4"/>
  <c r="E316" i="4"/>
  <c r="F316" i="4"/>
  <c r="E317" i="4"/>
  <c r="F317" i="4"/>
  <c r="E318" i="4"/>
  <c r="F318" i="4"/>
  <c r="E319" i="4"/>
  <c r="F319" i="4"/>
  <c r="E320" i="4"/>
  <c r="F320" i="4"/>
  <c r="E321" i="4"/>
  <c r="F321" i="4"/>
  <c r="E322" i="4"/>
  <c r="F322" i="4"/>
  <c r="E323" i="4"/>
  <c r="F323" i="4"/>
  <c r="E324" i="4"/>
  <c r="F324" i="4"/>
  <c r="E325" i="4"/>
  <c r="F325" i="4"/>
  <c r="E326" i="4"/>
  <c r="F326" i="4"/>
  <c r="E327" i="4"/>
  <c r="F327" i="4"/>
  <c r="E328" i="4"/>
  <c r="F328" i="4"/>
  <c r="E329" i="4"/>
  <c r="F329" i="4"/>
  <c r="E330" i="4"/>
  <c r="F330" i="4"/>
  <c r="E331" i="4"/>
  <c r="F331" i="4"/>
  <c r="E332" i="4"/>
  <c r="F332" i="4"/>
  <c r="E333" i="4"/>
  <c r="F333" i="4"/>
  <c r="E334" i="4"/>
  <c r="F334" i="4"/>
  <c r="E335" i="4"/>
  <c r="F335" i="4"/>
  <c r="E336" i="4"/>
  <c r="F336" i="4"/>
  <c r="E337" i="4"/>
  <c r="F337" i="4"/>
  <c r="E338" i="4"/>
  <c r="F338" i="4"/>
  <c r="E339" i="4"/>
  <c r="F339" i="4"/>
  <c r="E340" i="4"/>
  <c r="F340" i="4"/>
  <c r="E341" i="4"/>
  <c r="F341" i="4"/>
  <c r="E342" i="4"/>
  <c r="F342" i="4"/>
  <c r="E343" i="4"/>
  <c r="F343" i="4"/>
  <c r="E344" i="4"/>
  <c r="F344" i="4"/>
  <c r="E345" i="4"/>
  <c r="F345" i="4"/>
  <c r="E346" i="4"/>
  <c r="F346" i="4"/>
  <c r="E347" i="4"/>
  <c r="F347" i="4"/>
  <c r="E348" i="4"/>
  <c r="F348" i="4"/>
  <c r="E349" i="4"/>
  <c r="F349" i="4"/>
  <c r="E350" i="4"/>
  <c r="F350" i="4"/>
  <c r="E351" i="4"/>
  <c r="F351" i="4"/>
  <c r="E352" i="4"/>
  <c r="F352" i="4"/>
  <c r="E353" i="4"/>
  <c r="F353" i="4"/>
  <c r="E354" i="4"/>
  <c r="F354" i="4"/>
  <c r="E355" i="4"/>
  <c r="F355" i="4"/>
  <c r="E356" i="4"/>
  <c r="F356" i="4"/>
  <c r="E357" i="4"/>
  <c r="F357" i="4"/>
  <c r="E358" i="4"/>
  <c r="F358" i="4"/>
  <c r="E359" i="4"/>
  <c r="F359" i="4"/>
  <c r="E360" i="4"/>
  <c r="F360" i="4"/>
  <c r="E361" i="4"/>
  <c r="F361" i="4"/>
  <c r="E362" i="4"/>
  <c r="F362" i="4"/>
  <c r="E363" i="4"/>
  <c r="F363" i="4"/>
  <c r="E364" i="4"/>
  <c r="F364" i="4"/>
  <c r="E365" i="4"/>
  <c r="F365" i="4"/>
  <c r="E366" i="4"/>
  <c r="F366" i="4"/>
  <c r="E367" i="4"/>
  <c r="F367" i="4"/>
  <c r="E368" i="4"/>
  <c r="F368" i="4"/>
  <c r="E369" i="4"/>
  <c r="F369" i="4"/>
  <c r="E370" i="4"/>
  <c r="F370" i="4"/>
  <c r="E371" i="4"/>
  <c r="F371" i="4"/>
  <c r="E372" i="4"/>
  <c r="F372" i="4"/>
  <c r="E373" i="4"/>
  <c r="F373" i="4"/>
  <c r="E374" i="4"/>
  <c r="F374" i="4"/>
  <c r="E375" i="4"/>
  <c r="F375" i="4"/>
  <c r="E376" i="4"/>
  <c r="F376" i="4"/>
  <c r="E377" i="4"/>
  <c r="F377" i="4"/>
  <c r="E378" i="4"/>
  <c r="F378" i="4"/>
  <c r="E379" i="4"/>
  <c r="F379" i="4"/>
  <c r="E380" i="4"/>
  <c r="F380" i="4"/>
  <c r="E381" i="4"/>
  <c r="F381" i="4"/>
  <c r="E382" i="4"/>
  <c r="F382" i="4"/>
  <c r="E383" i="4"/>
  <c r="F383" i="4"/>
  <c r="E384" i="4"/>
  <c r="F384" i="4"/>
  <c r="E385" i="4"/>
  <c r="F385" i="4"/>
  <c r="E386" i="4"/>
  <c r="F386" i="4"/>
  <c r="E387" i="4"/>
  <c r="F387" i="4"/>
  <c r="E388" i="4"/>
  <c r="F388" i="4"/>
  <c r="E389" i="4"/>
  <c r="F389" i="4"/>
  <c r="E390" i="4"/>
  <c r="F390" i="4"/>
  <c r="E391" i="4"/>
  <c r="F391" i="4"/>
  <c r="E392" i="4"/>
  <c r="F392" i="4"/>
  <c r="E393" i="4"/>
  <c r="F393" i="4"/>
  <c r="E394" i="4"/>
  <c r="F394" i="4"/>
  <c r="E395" i="4"/>
  <c r="F395" i="4"/>
  <c r="E396" i="4"/>
  <c r="F396" i="4"/>
  <c r="E397" i="4"/>
  <c r="F397" i="4"/>
  <c r="E398" i="4"/>
  <c r="F398" i="4"/>
  <c r="E399" i="4"/>
  <c r="F399" i="4"/>
  <c r="E400" i="4"/>
  <c r="F400" i="4"/>
  <c r="E401" i="4"/>
  <c r="F401" i="4"/>
  <c r="E402" i="4"/>
  <c r="F402" i="4"/>
  <c r="E403" i="4"/>
  <c r="F403" i="4"/>
  <c r="E404" i="4"/>
  <c r="F404" i="4"/>
  <c r="E405" i="4"/>
  <c r="F405" i="4"/>
  <c r="E406" i="4"/>
  <c r="F406" i="4"/>
  <c r="E407" i="4"/>
  <c r="F407" i="4"/>
  <c r="E408" i="4"/>
  <c r="F408" i="4"/>
  <c r="E409" i="4"/>
  <c r="F409" i="4"/>
  <c r="E410" i="4"/>
  <c r="F410" i="4"/>
  <c r="E411" i="4"/>
  <c r="F411" i="4"/>
  <c r="E412" i="4"/>
  <c r="F412" i="4"/>
  <c r="E413" i="4"/>
  <c r="F413" i="4"/>
  <c r="E414" i="4"/>
  <c r="F414" i="4"/>
  <c r="E415" i="4"/>
  <c r="F415" i="4"/>
  <c r="E416" i="4"/>
  <c r="F416" i="4"/>
  <c r="E417" i="4"/>
  <c r="F417" i="4"/>
  <c r="E418" i="4"/>
  <c r="F418" i="4"/>
  <c r="E419" i="4"/>
  <c r="F419" i="4"/>
  <c r="E420" i="4"/>
  <c r="F420" i="4"/>
  <c r="E421" i="4"/>
  <c r="F421" i="4"/>
  <c r="E422" i="4"/>
  <c r="F422" i="4"/>
  <c r="E423" i="4"/>
  <c r="F423" i="4"/>
  <c r="E424" i="4"/>
  <c r="F424" i="4"/>
  <c r="E425" i="4"/>
  <c r="F425" i="4"/>
  <c r="E426" i="4"/>
  <c r="F426" i="4"/>
  <c r="E427" i="4"/>
  <c r="F427" i="4"/>
  <c r="E428" i="4"/>
  <c r="F428" i="4"/>
  <c r="E429" i="4"/>
  <c r="F429" i="4"/>
  <c r="E430" i="4"/>
  <c r="F430" i="4"/>
  <c r="E431" i="4"/>
  <c r="F431" i="4"/>
  <c r="E432" i="4"/>
  <c r="F432" i="4"/>
  <c r="E433" i="4"/>
  <c r="F433" i="4"/>
  <c r="E434" i="4"/>
  <c r="F434" i="4"/>
  <c r="E435" i="4"/>
  <c r="F435" i="4"/>
  <c r="E436" i="4"/>
  <c r="F436" i="4"/>
  <c r="E437" i="4"/>
  <c r="F437" i="4"/>
  <c r="E438" i="4"/>
  <c r="F438" i="4"/>
  <c r="E439" i="4"/>
  <c r="F439" i="4"/>
  <c r="E440" i="4"/>
  <c r="F440" i="4"/>
  <c r="E441" i="4"/>
  <c r="F441" i="4"/>
  <c r="E442" i="4"/>
  <c r="F442" i="4"/>
  <c r="E443" i="4"/>
  <c r="F443" i="4"/>
  <c r="E444" i="4"/>
  <c r="F444" i="4"/>
  <c r="E445" i="4"/>
  <c r="F445" i="4"/>
  <c r="E446" i="4"/>
  <c r="F446" i="4"/>
  <c r="E447" i="4"/>
  <c r="F447" i="4"/>
  <c r="E448" i="4"/>
  <c r="F448" i="4"/>
  <c r="E449" i="4"/>
  <c r="F449" i="4"/>
  <c r="E450" i="4"/>
  <c r="F450" i="4"/>
  <c r="E451" i="4"/>
  <c r="F451" i="4"/>
  <c r="E452" i="4"/>
  <c r="F452" i="4"/>
  <c r="E453" i="4"/>
  <c r="F453" i="4"/>
  <c r="E454" i="4"/>
  <c r="F454" i="4"/>
  <c r="E455" i="4"/>
  <c r="F455" i="4"/>
  <c r="E456" i="4"/>
  <c r="F456" i="4"/>
  <c r="E457" i="4"/>
  <c r="F457" i="4"/>
  <c r="E458" i="4"/>
  <c r="F458" i="4"/>
  <c r="E459" i="4"/>
  <c r="F459" i="4"/>
  <c r="E460" i="4"/>
  <c r="F460" i="4"/>
  <c r="E461" i="4"/>
  <c r="F461" i="4"/>
  <c r="E462" i="4"/>
  <c r="F462" i="4"/>
  <c r="E463" i="4"/>
  <c r="F463" i="4"/>
  <c r="E464" i="4"/>
  <c r="F464" i="4"/>
  <c r="E465" i="4"/>
  <c r="F465" i="4"/>
  <c r="E466" i="4"/>
  <c r="F466" i="4"/>
  <c r="E467" i="4"/>
  <c r="F467" i="4"/>
  <c r="E468" i="4"/>
  <c r="F468" i="4"/>
  <c r="E469" i="4"/>
  <c r="F469" i="4"/>
  <c r="E470" i="4"/>
  <c r="F470" i="4"/>
  <c r="E471" i="4"/>
  <c r="F471" i="4"/>
  <c r="E472" i="4"/>
  <c r="F472" i="4"/>
  <c r="E473" i="4"/>
  <c r="F473" i="4"/>
  <c r="E474" i="4"/>
  <c r="F474" i="4"/>
  <c r="E475" i="4"/>
  <c r="F475" i="4"/>
  <c r="E476" i="4"/>
  <c r="F476" i="4"/>
  <c r="E477" i="4"/>
  <c r="F477" i="4"/>
  <c r="E478" i="4"/>
  <c r="F478" i="4"/>
  <c r="E479" i="4"/>
  <c r="F479" i="4"/>
  <c r="E480" i="4"/>
  <c r="F480" i="4"/>
  <c r="E481" i="4"/>
  <c r="F481" i="4"/>
  <c r="E482" i="4"/>
  <c r="F482" i="4"/>
  <c r="E483" i="4"/>
  <c r="F483" i="4"/>
  <c r="E484" i="4"/>
  <c r="F484" i="4"/>
  <c r="E485" i="4"/>
  <c r="F485" i="4"/>
  <c r="E486" i="4"/>
  <c r="F486" i="4"/>
  <c r="E487" i="4"/>
  <c r="F487" i="4"/>
  <c r="E488" i="4"/>
  <c r="F488" i="4"/>
  <c r="E489" i="4"/>
  <c r="F489" i="4"/>
  <c r="E490" i="4"/>
  <c r="F490" i="4"/>
  <c r="E491" i="4"/>
  <c r="F491" i="4"/>
  <c r="E492" i="4"/>
  <c r="F492" i="4"/>
  <c r="E493" i="4"/>
  <c r="F493" i="4"/>
  <c r="E494" i="4"/>
  <c r="F494" i="4"/>
  <c r="E495" i="4"/>
  <c r="F495" i="4"/>
  <c r="E496" i="4"/>
  <c r="F496" i="4"/>
  <c r="E497" i="4"/>
  <c r="F497" i="4"/>
  <c r="E498" i="4"/>
  <c r="F498" i="4"/>
  <c r="E499" i="4"/>
  <c r="F499" i="4"/>
  <c r="E500" i="4"/>
  <c r="F500" i="4"/>
  <c r="E501" i="4"/>
  <c r="F501" i="4"/>
  <c r="E502" i="4"/>
  <c r="F502" i="4"/>
  <c r="E503" i="4"/>
  <c r="F503" i="4"/>
  <c r="E504" i="4"/>
  <c r="F504" i="4"/>
  <c r="E505" i="4"/>
  <c r="F505" i="4"/>
  <c r="E506" i="4"/>
  <c r="F506" i="4"/>
  <c r="E507" i="4"/>
  <c r="F507" i="4"/>
  <c r="E508" i="4"/>
  <c r="F508" i="4"/>
  <c r="E509" i="4"/>
  <c r="F509" i="4"/>
  <c r="E510" i="4"/>
  <c r="F510" i="4"/>
  <c r="E511" i="4"/>
  <c r="F511" i="4"/>
  <c r="E512" i="4"/>
  <c r="F512" i="4"/>
  <c r="E513" i="4"/>
  <c r="F513" i="4"/>
  <c r="E514" i="4"/>
  <c r="F514" i="4"/>
  <c r="E515" i="4"/>
  <c r="F515" i="4"/>
  <c r="E516" i="4"/>
  <c r="F516" i="4"/>
  <c r="E517" i="4"/>
  <c r="F517" i="4"/>
  <c r="E518" i="4"/>
  <c r="F518" i="4"/>
  <c r="E519" i="4"/>
  <c r="F519" i="4"/>
  <c r="E520" i="4"/>
  <c r="F520" i="4"/>
  <c r="E521" i="4"/>
  <c r="F521" i="4"/>
  <c r="E522" i="4"/>
  <c r="F522" i="4"/>
  <c r="E523" i="4"/>
  <c r="F523" i="4"/>
  <c r="E524" i="4"/>
  <c r="F524" i="4"/>
  <c r="E525" i="4"/>
  <c r="F525" i="4"/>
  <c r="E526" i="4"/>
  <c r="F526" i="4"/>
  <c r="E527" i="4"/>
  <c r="F527" i="4"/>
  <c r="E528" i="4"/>
  <c r="F528" i="4"/>
  <c r="E529" i="4"/>
  <c r="F529" i="4"/>
  <c r="E530" i="4"/>
  <c r="F530" i="4"/>
  <c r="E531" i="4"/>
  <c r="F531" i="4"/>
  <c r="E532" i="4"/>
  <c r="F532" i="4"/>
  <c r="E533" i="4"/>
  <c r="F533" i="4"/>
  <c r="E534" i="4"/>
  <c r="F534" i="4"/>
  <c r="E535" i="4"/>
  <c r="F535" i="4"/>
  <c r="E536" i="4"/>
  <c r="F536" i="4"/>
  <c r="E537" i="4"/>
  <c r="F537" i="4"/>
  <c r="E538" i="4"/>
  <c r="F538" i="4"/>
  <c r="E539" i="4"/>
  <c r="F539" i="4"/>
  <c r="E540" i="4"/>
  <c r="F540" i="4"/>
  <c r="E541" i="4"/>
  <c r="F541" i="4"/>
  <c r="E542" i="4"/>
  <c r="F542" i="4"/>
  <c r="E543" i="4"/>
  <c r="F543" i="4"/>
  <c r="E544" i="4"/>
  <c r="F544" i="4"/>
  <c r="E545" i="4"/>
  <c r="F545" i="4"/>
  <c r="E546" i="4"/>
  <c r="F546" i="4"/>
  <c r="E547" i="4"/>
  <c r="F547" i="4"/>
  <c r="E548" i="4"/>
  <c r="F548" i="4"/>
  <c r="E549" i="4"/>
  <c r="F549" i="4"/>
  <c r="E550" i="4"/>
  <c r="F550" i="4"/>
  <c r="E551" i="4"/>
  <c r="F551" i="4"/>
  <c r="E552" i="4"/>
  <c r="F552" i="4"/>
  <c r="E553" i="4"/>
  <c r="F553" i="4"/>
  <c r="E554" i="4"/>
  <c r="F554" i="4"/>
  <c r="E555" i="4"/>
  <c r="F555" i="4"/>
  <c r="E556" i="4"/>
  <c r="F556" i="4"/>
  <c r="E557" i="4"/>
  <c r="F557" i="4"/>
  <c r="E558" i="4"/>
  <c r="F558" i="4"/>
  <c r="E559" i="4"/>
  <c r="F559" i="4"/>
  <c r="E560" i="4"/>
  <c r="F560" i="4"/>
  <c r="E561" i="4"/>
  <c r="F561" i="4"/>
  <c r="E562" i="4"/>
  <c r="F562" i="4"/>
  <c r="E563" i="4"/>
  <c r="F563" i="4"/>
  <c r="E564" i="4"/>
  <c r="F564" i="4"/>
  <c r="E565" i="4"/>
  <c r="F565" i="4"/>
  <c r="E566" i="4"/>
  <c r="F566" i="4"/>
  <c r="E567" i="4"/>
  <c r="F567" i="4"/>
  <c r="E568" i="4"/>
  <c r="F568" i="4"/>
  <c r="E569" i="4"/>
  <c r="F569" i="4"/>
  <c r="E570" i="4"/>
  <c r="F570" i="4"/>
  <c r="E571" i="4"/>
  <c r="F571" i="4"/>
  <c r="E572" i="4"/>
  <c r="F572" i="4"/>
  <c r="E573" i="4"/>
  <c r="F573" i="4"/>
  <c r="E574" i="4"/>
  <c r="F574" i="4"/>
  <c r="E575" i="4"/>
  <c r="F575" i="4"/>
  <c r="E576" i="4"/>
  <c r="F576" i="4"/>
  <c r="E577" i="4"/>
  <c r="F577" i="4"/>
  <c r="E578" i="4"/>
  <c r="F578" i="4"/>
  <c r="E579" i="4"/>
  <c r="F579" i="4"/>
  <c r="E580" i="4"/>
  <c r="F580" i="4"/>
  <c r="E581" i="4"/>
  <c r="F581" i="4"/>
  <c r="E582" i="4"/>
  <c r="F582" i="4"/>
  <c r="E583" i="4"/>
  <c r="F583" i="4"/>
  <c r="E584" i="4"/>
  <c r="F584" i="4"/>
  <c r="E585" i="4"/>
  <c r="F585" i="4"/>
  <c r="E586" i="4"/>
  <c r="F586" i="4"/>
  <c r="E587" i="4"/>
  <c r="F587" i="4"/>
  <c r="E588" i="4"/>
  <c r="F588" i="4"/>
  <c r="E589" i="4"/>
  <c r="F589" i="4"/>
  <c r="E590" i="4"/>
  <c r="F590" i="4"/>
  <c r="E591" i="4"/>
  <c r="F591" i="4"/>
  <c r="E592" i="4"/>
  <c r="F592" i="4"/>
  <c r="E593" i="4"/>
  <c r="F593" i="4"/>
  <c r="E594" i="4"/>
  <c r="F594" i="4"/>
  <c r="E595" i="4"/>
  <c r="F595" i="4"/>
  <c r="E596" i="4"/>
  <c r="F596" i="4"/>
  <c r="E597" i="4"/>
  <c r="F597" i="4"/>
  <c r="E598" i="4"/>
  <c r="F598" i="4"/>
  <c r="E599" i="4"/>
  <c r="F599" i="4"/>
  <c r="E600" i="4"/>
  <c r="F600" i="4"/>
  <c r="E601" i="4"/>
  <c r="F601" i="4"/>
  <c r="E602" i="4"/>
  <c r="F602" i="4"/>
  <c r="E603" i="4"/>
  <c r="F603" i="4"/>
  <c r="E604" i="4"/>
  <c r="F604" i="4"/>
  <c r="E605" i="4"/>
  <c r="F605" i="4"/>
  <c r="E606" i="4"/>
  <c r="F606" i="4"/>
  <c r="E607" i="4"/>
  <c r="F607" i="4"/>
  <c r="E608" i="4"/>
  <c r="F608" i="4"/>
  <c r="E609" i="4"/>
  <c r="F609" i="4"/>
  <c r="E610" i="4"/>
  <c r="F610" i="4"/>
  <c r="E611" i="4"/>
  <c r="F611" i="4"/>
  <c r="E612" i="4"/>
  <c r="F612" i="4"/>
  <c r="E613" i="4"/>
  <c r="F613" i="4"/>
  <c r="E614" i="4"/>
  <c r="F614" i="4"/>
  <c r="E615" i="4"/>
  <c r="F615" i="4"/>
  <c r="E616" i="4"/>
  <c r="F616" i="4"/>
  <c r="E617" i="4"/>
  <c r="F617" i="4"/>
  <c r="E618" i="4"/>
  <c r="F618" i="4"/>
  <c r="E619" i="4"/>
  <c r="F619" i="4"/>
  <c r="E620" i="4"/>
  <c r="F620" i="4"/>
  <c r="E621" i="4"/>
  <c r="F621" i="4"/>
  <c r="E622" i="4"/>
  <c r="F622" i="4"/>
  <c r="E623" i="4"/>
  <c r="F623" i="4"/>
  <c r="E624" i="4"/>
  <c r="F624" i="4"/>
  <c r="E625" i="4"/>
  <c r="F625" i="4"/>
  <c r="E626" i="4"/>
  <c r="F626" i="4"/>
  <c r="E627" i="4"/>
  <c r="F627" i="4"/>
  <c r="E628" i="4"/>
  <c r="F628" i="4"/>
  <c r="E629" i="4"/>
  <c r="F629" i="4"/>
  <c r="E630" i="4"/>
  <c r="F630" i="4"/>
  <c r="E631" i="4"/>
  <c r="F631" i="4"/>
  <c r="E632" i="4"/>
  <c r="F632" i="4"/>
  <c r="E633" i="4"/>
  <c r="F633" i="4"/>
  <c r="E634" i="4"/>
  <c r="F634" i="4"/>
  <c r="E635" i="4"/>
  <c r="F635" i="4"/>
  <c r="E636" i="4"/>
  <c r="F636" i="4"/>
  <c r="E637" i="4"/>
  <c r="F637" i="4"/>
  <c r="E638" i="4"/>
  <c r="F638" i="4"/>
  <c r="E639" i="4"/>
  <c r="F639" i="4"/>
  <c r="E640" i="4"/>
  <c r="F640" i="4"/>
  <c r="E641" i="4"/>
  <c r="F641" i="4"/>
  <c r="E642" i="4"/>
  <c r="F642" i="4"/>
  <c r="E643" i="4"/>
  <c r="F643" i="4"/>
  <c r="E644" i="4"/>
  <c r="F644" i="4"/>
  <c r="E645" i="4"/>
  <c r="F645" i="4"/>
  <c r="E646" i="4"/>
  <c r="F646" i="4"/>
  <c r="E647" i="4"/>
  <c r="F647" i="4"/>
  <c r="E648" i="4"/>
  <c r="F648" i="4"/>
  <c r="E649" i="4"/>
  <c r="F649" i="4"/>
  <c r="E650" i="4"/>
  <c r="F650" i="4"/>
  <c r="E651" i="4"/>
  <c r="F651" i="4"/>
  <c r="E652" i="4"/>
  <c r="F652" i="4"/>
  <c r="E653" i="4"/>
  <c r="F653" i="4"/>
  <c r="E654" i="4"/>
  <c r="F654" i="4"/>
  <c r="E655" i="4"/>
  <c r="F655" i="4"/>
  <c r="E656" i="4"/>
  <c r="F656" i="4"/>
  <c r="E657" i="4"/>
  <c r="F657" i="4"/>
  <c r="E658" i="4"/>
  <c r="F658" i="4"/>
  <c r="E659" i="4"/>
  <c r="F659" i="4"/>
  <c r="E660" i="4"/>
  <c r="F660" i="4"/>
  <c r="E661" i="4"/>
  <c r="F661" i="4"/>
  <c r="E662" i="4"/>
  <c r="F662" i="4"/>
  <c r="E663" i="4"/>
  <c r="F663" i="4"/>
  <c r="E664" i="4"/>
  <c r="F664" i="4"/>
  <c r="E665" i="4"/>
  <c r="F665" i="4"/>
  <c r="E666" i="4"/>
  <c r="F666" i="4"/>
  <c r="E667" i="4"/>
  <c r="F667" i="4"/>
  <c r="E668" i="4"/>
  <c r="F668" i="4"/>
  <c r="E669" i="4"/>
  <c r="F669" i="4"/>
  <c r="E670" i="4"/>
  <c r="F670" i="4"/>
  <c r="E671" i="4"/>
  <c r="F671" i="4"/>
  <c r="E672" i="4"/>
  <c r="F672" i="4"/>
  <c r="E673" i="4"/>
  <c r="F673" i="4"/>
  <c r="E674" i="4"/>
  <c r="F674" i="4"/>
  <c r="E675" i="4"/>
  <c r="F675" i="4"/>
  <c r="E676" i="4"/>
  <c r="F676" i="4"/>
  <c r="E677" i="4"/>
  <c r="F677" i="4"/>
  <c r="E678" i="4"/>
  <c r="F678" i="4"/>
  <c r="E679" i="4"/>
  <c r="F679" i="4"/>
  <c r="E680" i="4"/>
  <c r="F680" i="4"/>
  <c r="E681" i="4"/>
  <c r="F681" i="4"/>
  <c r="E682" i="4"/>
  <c r="F682" i="4"/>
  <c r="E683" i="4"/>
  <c r="F683" i="4"/>
  <c r="E684" i="4"/>
  <c r="F684" i="4"/>
  <c r="E685" i="4"/>
  <c r="F685" i="4"/>
  <c r="E686" i="4"/>
  <c r="F686" i="4"/>
  <c r="E687" i="4"/>
  <c r="F687" i="4"/>
  <c r="E688" i="4"/>
  <c r="F688" i="4"/>
  <c r="E689" i="4"/>
  <c r="F689" i="4"/>
  <c r="E690" i="4"/>
  <c r="F690" i="4"/>
  <c r="E691" i="4"/>
  <c r="F691" i="4"/>
  <c r="E692" i="4"/>
  <c r="F692" i="4"/>
  <c r="E693" i="4"/>
  <c r="F693" i="4"/>
  <c r="E694" i="4"/>
  <c r="F694" i="4"/>
  <c r="E695" i="4"/>
  <c r="F695" i="4"/>
  <c r="E696" i="4"/>
  <c r="F696" i="4"/>
  <c r="E697" i="4"/>
  <c r="F697" i="4"/>
  <c r="E698" i="4"/>
  <c r="F698" i="4"/>
  <c r="E699" i="4"/>
  <c r="F699" i="4"/>
  <c r="E700" i="4"/>
  <c r="F700" i="4"/>
  <c r="E701" i="4"/>
  <c r="F701" i="4"/>
  <c r="E702" i="4"/>
  <c r="F702" i="4"/>
  <c r="E703" i="4"/>
  <c r="F703" i="4"/>
  <c r="E704" i="4"/>
  <c r="F704" i="4"/>
  <c r="E705" i="4"/>
  <c r="F705" i="4"/>
  <c r="E706" i="4"/>
  <c r="F706" i="4"/>
  <c r="E707" i="4"/>
  <c r="F707" i="4"/>
  <c r="E708" i="4"/>
  <c r="F708" i="4"/>
  <c r="E709" i="4"/>
  <c r="F709" i="4"/>
  <c r="E710" i="4"/>
  <c r="F710" i="4"/>
  <c r="E711" i="4"/>
  <c r="F711" i="4"/>
  <c r="E712" i="4"/>
  <c r="F712" i="4"/>
  <c r="E713" i="4"/>
  <c r="F713" i="4"/>
  <c r="E714" i="4"/>
  <c r="F714" i="4"/>
  <c r="E715" i="4"/>
  <c r="F715" i="4"/>
  <c r="E716" i="4"/>
  <c r="F716" i="4"/>
  <c r="E717" i="4"/>
  <c r="F717" i="4"/>
  <c r="E718" i="4"/>
  <c r="F718" i="4"/>
  <c r="E719" i="4"/>
  <c r="F719" i="4"/>
  <c r="E720" i="4"/>
  <c r="F720" i="4"/>
  <c r="E721" i="4"/>
  <c r="F721" i="4"/>
  <c r="E722" i="4"/>
  <c r="F722" i="4"/>
  <c r="E723" i="4"/>
  <c r="F723" i="4"/>
  <c r="E724" i="4"/>
  <c r="F724" i="4"/>
  <c r="E725" i="4"/>
  <c r="F725" i="4"/>
  <c r="E726" i="4"/>
  <c r="F726" i="4"/>
  <c r="E727" i="4"/>
  <c r="F727" i="4"/>
  <c r="E728" i="4"/>
  <c r="F728" i="4"/>
  <c r="E729" i="4"/>
  <c r="F729" i="4"/>
  <c r="E730" i="4"/>
  <c r="F730" i="4"/>
  <c r="E731" i="4"/>
  <c r="F731" i="4"/>
  <c r="E732" i="4"/>
  <c r="F732" i="4"/>
  <c r="E733" i="4"/>
  <c r="F733" i="4"/>
  <c r="E734" i="4"/>
  <c r="F734" i="4"/>
  <c r="E735" i="4"/>
  <c r="F735" i="4"/>
  <c r="E736" i="4"/>
  <c r="F736" i="4"/>
  <c r="E737" i="4"/>
  <c r="F737" i="4"/>
  <c r="E738" i="4"/>
  <c r="F738" i="4"/>
  <c r="E739" i="4"/>
  <c r="F739" i="4"/>
  <c r="E740" i="4"/>
  <c r="F740" i="4"/>
  <c r="E741" i="4"/>
  <c r="F741" i="4"/>
  <c r="E742" i="4"/>
  <c r="F742" i="4"/>
  <c r="E743" i="4"/>
  <c r="F743" i="4"/>
  <c r="E744" i="4"/>
  <c r="F744" i="4"/>
  <c r="E745" i="4"/>
  <c r="F745" i="4"/>
  <c r="E746" i="4"/>
  <c r="F746" i="4"/>
  <c r="E747" i="4"/>
  <c r="F747" i="4"/>
  <c r="E748" i="4"/>
  <c r="F748" i="4"/>
  <c r="E749" i="4"/>
  <c r="F749" i="4"/>
  <c r="E750" i="4"/>
  <c r="F750" i="4"/>
  <c r="E751" i="4"/>
  <c r="F751" i="4"/>
  <c r="E752" i="4"/>
  <c r="F752" i="4"/>
  <c r="E753" i="4"/>
  <c r="F753" i="4"/>
  <c r="E754" i="4"/>
  <c r="F754" i="4"/>
  <c r="E755" i="4"/>
  <c r="F755" i="4"/>
  <c r="E756" i="4"/>
  <c r="F756" i="4"/>
  <c r="E757" i="4"/>
  <c r="F757" i="4"/>
  <c r="E758" i="4"/>
  <c r="F758" i="4"/>
  <c r="E759" i="4"/>
  <c r="F759" i="4"/>
  <c r="E760" i="4"/>
  <c r="F760" i="4"/>
  <c r="E761" i="4"/>
  <c r="F761" i="4"/>
  <c r="E762" i="4"/>
  <c r="F762" i="4"/>
  <c r="E763" i="4"/>
  <c r="F763" i="4"/>
  <c r="E764" i="4"/>
  <c r="F764" i="4"/>
  <c r="E765" i="4"/>
  <c r="F765" i="4"/>
  <c r="E766" i="4"/>
  <c r="F766" i="4"/>
  <c r="E767" i="4"/>
  <c r="F767" i="4"/>
  <c r="E768" i="4"/>
  <c r="F768" i="4"/>
  <c r="E769" i="4"/>
  <c r="F769" i="4"/>
  <c r="E770" i="4"/>
  <c r="F770" i="4"/>
  <c r="E771" i="4"/>
  <c r="F771" i="4"/>
  <c r="E772" i="4"/>
  <c r="F772" i="4"/>
  <c r="E773" i="4"/>
  <c r="F773" i="4"/>
  <c r="E774" i="4"/>
  <c r="F774" i="4"/>
  <c r="E775" i="4"/>
  <c r="F775" i="4"/>
  <c r="E776" i="4"/>
  <c r="F776" i="4"/>
  <c r="E777" i="4"/>
  <c r="F777" i="4"/>
  <c r="E778" i="4"/>
  <c r="F778" i="4"/>
  <c r="E779" i="4"/>
  <c r="F779" i="4"/>
  <c r="E780" i="4"/>
  <c r="F780" i="4"/>
  <c r="E781" i="4"/>
  <c r="F781" i="4"/>
  <c r="E782" i="4"/>
  <c r="F782" i="4"/>
  <c r="E783" i="4"/>
  <c r="F783" i="4"/>
  <c r="E784" i="4"/>
  <c r="F784" i="4"/>
  <c r="E785" i="4"/>
  <c r="F785" i="4"/>
  <c r="E786" i="4"/>
  <c r="F786" i="4"/>
  <c r="E787" i="4"/>
  <c r="F787" i="4"/>
  <c r="E788" i="4"/>
  <c r="F788" i="4"/>
  <c r="E789" i="4"/>
  <c r="F789" i="4"/>
  <c r="E790" i="4"/>
  <c r="F790" i="4"/>
  <c r="E791" i="4"/>
  <c r="F791" i="4"/>
  <c r="E792" i="4"/>
  <c r="F792" i="4"/>
  <c r="E793" i="4"/>
  <c r="F793" i="4"/>
  <c r="E794" i="4"/>
  <c r="F794" i="4"/>
  <c r="E795" i="4"/>
  <c r="F795" i="4"/>
  <c r="E796" i="4"/>
  <c r="F796" i="4"/>
  <c r="E797" i="4"/>
  <c r="F797" i="4"/>
  <c r="E798" i="4"/>
  <c r="F798" i="4"/>
  <c r="E799" i="4"/>
  <c r="F799" i="4"/>
  <c r="E800" i="4"/>
  <c r="F800" i="4"/>
  <c r="E801" i="4"/>
  <c r="F801" i="4"/>
  <c r="E802" i="4"/>
  <c r="F802" i="4"/>
  <c r="E803" i="4"/>
  <c r="F803" i="4"/>
  <c r="E804" i="4"/>
  <c r="F804" i="4"/>
  <c r="E805" i="4"/>
  <c r="F805" i="4"/>
  <c r="E806" i="4"/>
  <c r="F806" i="4"/>
  <c r="E807" i="4"/>
  <c r="F807" i="4"/>
  <c r="E808" i="4"/>
  <c r="F808" i="4"/>
  <c r="E809" i="4"/>
  <c r="F809" i="4"/>
  <c r="E810" i="4"/>
  <c r="F810" i="4"/>
  <c r="E811" i="4"/>
  <c r="F811" i="4"/>
  <c r="E812" i="4"/>
  <c r="F812" i="4"/>
  <c r="E813" i="4"/>
  <c r="F813" i="4"/>
  <c r="E814" i="4"/>
  <c r="F814" i="4"/>
  <c r="E815" i="4"/>
  <c r="F815" i="4"/>
  <c r="E816" i="4"/>
  <c r="F816" i="4"/>
  <c r="E817" i="4"/>
  <c r="F817" i="4"/>
  <c r="E818" i="4"/>
  <c r="F818" i="4"/>
  <c r="E819" i="4"/>
  <c r="F819" i="4"/>
  <c r="E820" i="4"/>
  <c r="F820" i="4"/>
  <c r="E821" i="4"/>
  <c r="F821" i="4"/>
  <c r="E822" i="4"/>
  <c r="F822" i="4"/>
  <c r="E823" i="4"/>
  <c r="F823" i="4"/>
  <c r="E824" i="4"/>
  <c r="F824" i="4"/>
  <c r="E825" i="4"/>
  <c r="F825" i="4"/>
  <c r="E826" i="4"/>
  <c r="F826" i="4"/>
  <c r="E827" i="4"/>
  <c r="F827" i="4"/>
  <c r="E828" i="4"/>
  <c r="F828" i="4"/>
  <c r="E829" i="4"/>
  <c r="F829" i="4"/>
  <c r="E830" i="4"/>
  <c r="F830" i="4"/>
  <c r="E831" i="4"/>
  <c r="F831" i="4"/>
  <c r="E832" i="4"/>
  <c r="F832" i="4"/>
  <c r="E833" i="4"/>
  <c r="F833" i="4"/>
  <c r="E834" i="4"/>
  <c r="F834" i="4"/>
  <c r="E835" i="4"/>
  <c r="F835" i="4"/>
  <c r="E836" i="4"/>
  <c r="F836" i="4"/>
  <c r="E837" i="4"/>
  <c r="F837" i="4"/>
  <c r="E838" i="4"/>
  <c r="F838" i="4"/>
  <c r="E839" i="4"/>
  <c r="F839" i="4"/>
  <c r="E840" i="4"/>
  <c r="F840" i="4"/>
  <c r="E841" i="4"/>
  <c r="F841" i="4"/>
  <c r="E842" i="4"/>
  <c r="F842" i="4"/>
  <c r="E843" i="4"/>
  <c r="F843" i="4"/>
  <c r="E844" i="4"/>
  <c r="F844" i="4"/>
  <c r="E845" i="4"/>
  <c r="F845" i="4"/>
  <c r="E846" i="4"/>
  <c r="F846" i="4"/>
  <c r="E847" i="4"/>
  <c r="F847" i="4"/>
  <c r="E848" i="4"/>
  <c r="F848" i="4"/>
  <c r="E849" i="4"/>
  <c r="F849" i="4"/>
  <c r="E850" i="4"/>
  <c r="F850" i="4"/>
  <c r="E851" i="4"/>
  <c r="F851" i="4"/>
  <c r="E852" i="4"/>
  <c r="F852" i="4"/>
  <c r="E853" i="4"/>
  <c r="F853" i="4"/>
  <c r="E854" i="4"/>
  <c r="F854" i="4"/>
  <c r="E855" i="4"/>
  <c r="F855" i="4"/>
  <c r="E856" i="4"/>
  <c r="F856" i="4"/>
  <c r="E857" i="4"/>
  <c r="F857" i="4"/>
  <c r="E858" i="4"/>
  <c r="F858" i="4"/>
  <c r="E859" i="4"/>
  <c r="F859" i="4"/>
  <c r="E860" i="4"/>
  <c r="F860" i="4"/>
  <c r="E861" i="4"/>
  <c r="F861" i="4"/>
  <c r="E862" i="4"/>
  <c r="F862" i="4"/>
  <c r="E863" i="4"/>
  <c r="F863" i="4"/>
  <c r="E864" i="4"/>
  <c r="F864" i="4"/>
  <c r="E865" i="4"/>
  <c r="F865" i="4"/>
  <c r="E866" i="4"/>
  <c r="F866" i="4"/>
  <c r="E867" i="4"/>
  <c r="F867" i="4"/>
  <c r="E868" i="4"/>
  <c r="F868" i="4"/>
  <c r="E869" i="4"/>
  <c r="F869" i="4"/>
  <c r="E870" i="4"/>
  <c r="F870" i="4"/>
  <c r="E871" i="4"/>
  <c r="F871" i="4"/>
  <c r="E872" i="4"/>
  <c r="F872" i="4"/>
  <c r="E873" i="4"/>
  <c r="F873" i="4"/>
  <c r="E874" i="4"/>
  <c r="F874" i="4"/>
  <c r="E875" i="4"/>
  <c r="F875" i="4"/>
  <c r="E876" i="4"/>
  <c r="F876" i="4"/>
  <c r="E877" i="4"/>
  <c r="F877" i="4"/>
  <c r="E878" i="4"/>
  <c r="F878" i="4"/>
  <c r="E879" i="4"/>
  <c r="F879" i="4"/>
  <c r="E880" i="4"/>
  <c r="F880" i="4"/>
  <c r="E881" i="4"/>
  <c r="F881" i="4"/>
  <c r="E882" i="4"/>
  <c r="F882" i="4"/>
  <c r="E883" i="4"/>
  <c r="F883" i="4"/>
  <c r="E884" i="4"/>
  <c r="F884" i="4"/>
  <c r="E885" i="4"/>
  <c r="F885" i="4"/>
  <c r="E886" i="4"/>
  <c r="F886" i="4"/>
  <c r="E887" i="4"/>
  <c r="F887" i="4"/>
  <c r="E888" i="4"/>
  <c r="F888" i="4"/>
  <c r="E889" i="4"/>
  <c r="F889" i="4"/>
  <c r="E890" i="4"/>
  <c r="F890" i="4"/>
  <c r="E891" i="4"/>
  <c r="F891" i="4"/>
  <c r="E892" i="4"/>
  <c r="F892" i="4"/>
  <c r="E893" i="4"/>
  <c r="F893" i="4"/>
  <c r="E894" i="4"/>
  <c r="F894" i="4"/>
  <c r="E895" i="4"/>
  <c r="F895" i="4"/>
  <c r="E896" i="4"/>
  <c r="F896" i="4"/>
  <c r="E897" i="4"/>
  <c r="F897" i="4"/>
  <c r="E898" i="4"/>
  <c r="F898" i="4"/>
  <c r="E899" i="4"/>
  <c r="F899" i="4"/>
  <c r="E900" i="4"/>
  <c r="F900" i="4"/>
  <c r="E901" i="4"/>
  <c r="F901" i="4"/>
  <c r="E902" i="4"/>
  <c r="F902" i="4"/>
  <c r="E903" i="4"/>
  <c r="F903" i="4"/>
  <c r="E904" i="4"/>
  <c r="F904" i="4"/>
  <c r="E905" i="4"/>
  <c r="F905" i="4"/>
  <c r="E906" i="4"/>
  <c r="F906" i="4"/>
  <c r="E907" i="4"/>
  <c r="F907" i="4"/>
  <c r="E908" i="4"/>
  <c r="F908" i="4"/>
  <c r="E909" i="4"/>
  <c r="F909" i="4"/>
  <c r="E910" i="4"/>
  <c r="F910" i="4"/>
  <c r="E911" i="4"/>
  <c r="F911" i="4"/>
  <c r="E912" i="4"/>
  <c r="F912" i="4"/>
  <c r="E913" i="4"/>
  <c r="F913" i="4"/>
  <c r="E914" i="4"/>
  <c r="F914" i="4"/>
  <c r="E915" i="4"/>
  <c r="F915" i="4"/>
  <c r="E916" i="4"/>
  <c r="F916" i="4"/>
  <c r="E917" i="4"/>
  <c r="F917" i="4"/>
  <c r="E918" i="4"/>
  <c r="F918" i="4"/>
  <c r="E919" i="4"/>
  <c r="F919" i="4"/>
  <c r="E920" i="4"/>
  <c r="F920" i="4"/>
  <c r="E921" i="4"/>
  <c r="F921" i="4"/>
  <c r="E922" i="4"/>
  <c r="F922" i="4"/>
  <c r="E923" i="4"/>
  <c r="F923" i="4"/>
  <c r="E924" i="4"/>
  <c r="F924" i="4"/>
  <c r="E925" i="4"/>
  <c r="F925" i="4"/>
  <c r="E926" i="4"/>
  <c r="F926" i="4"/>
  <c r="E927" i="4"/>
  <c r="F927" i="4"/>
  <c r="E928" i="4"/>
  <c r="F928" i="4"/>
  <c r="E929" i="4"/>
  <c r="F929" i="4"/>
  <c r="E930" i="4"/>
  <c r="F930" i="4"/>
  <c r="E931" i="4"/>
  <c r="F931" i="4"/>
  <c r="E932" i="4"/>
  <c r="F932" i="4"/>
  <c r="E933" i="4"/>
  <c r="F933" i="4"/>
  <c r="E934" i="4"/>
  <c r="F934" i="4"/>
  <c r="E935" i="4"/>
  <c r="F935" i="4"/>
  <c r="E936" i="4"/>
  <c r="F936" i="4"/>
  <c r="E937" i="4"/>
  <c r="F937" i="4"/>
  <c r="E938" i="4"/>
  <c r="F938" i="4"/>
  <c r="E939" i="4"/>
  <c r="F939" i="4"/>
  <c r="E940" i="4"/>
  <c r="F940" i="4"/>
  <c r="E941" i="4"/>
  <c r="F941" i="4"/>
  <c r="E942" i="4"/>
  <c r="F942" i="4"/>
  <c r="E943" i="4"/>
  <c r="F943" i="4"/>
  <c r="E944" i="4"/>
  <c r="F944" i="4"/>
  <c r="E945" i="4"/>
  <c r="F945" i="4"/>
  <c r="E946" i="4"/>
  <c r="F946" i="4"/>
  <c r="E947" i="4"/>
  <c r="F947" i="4"/>
  <c r="E948" i="4"/>
  <c r="F948" i="4"/>
  <c r="E949" i="4"/>
  <c r="F949" i="4"/>
  <c r="E950" i="4"/>
  <c r="F950" i="4"/>
  <c r="E951" i="4"/>
  <c r="F951" i="4"/>
  <c r="E952" i="4"/>
  <c r="F952" i="4"/>
  <c r="E953" i="4"/>
  <c r="F953" i="4"/>
  <c r="E954" i="4"/>
  <c r="F954" i="4"/>
  <c r="E955" i="4"/>
  <c r="F955" i="4"/>
  <c r="E956" i="4"/>
  <c r="F956" i="4"/>
  <c r="E957" i="4"/>
  <c r="F957" i="4"/>
  <c r="E958" i="4"/>
  <c r="F958" i="4"/>
  <c r="E959" i="4"/>
  <c r="F959" i="4"/>
  <c r="E960" i="4"/>
  <c r="F960" i="4"/>
  <c r="I13" i="10" l="1"/>
  <c r="J17" i="10"/>
  <c r="J14" i="10"/>
  <c r="K14" i="10"/>
  <c r="L13" i="10"/>
  <c r="K13" i="10"/>
  <c r="L15" i="10"/>
  <c r="I12" i="10"/>
  <c r="K17" i="10"/>
  <c r="I15" i="10"/>
  <c r="L16" i="10"/>
  <c r="I14" i="10"/>
  <c r="K12" i="10"/>
  <c r="I16" i="10"/>
  <c r="L14" i="10"/>
  <c r="I17" i="10"/>
  <c r="L12" i="10"/>
  <c r="K16" i="10"/>
  <c r="K15" i="10"/>
  <c r="J15" i="10"/>
  <c r="J16" i="10"/>
  <c r="L8" i="10"/>
  <c r="J8" i="10"/>
  <c r="D8" i="4"/>
  <c r="M2" i="9"/>
  <c r="M9" i="9" s="1"/>
  <c r="M14" i="9" s="1"/>
  <c r="M18" i="9" s="1"/>
  <c r="M24" i="9" s="1"/>
  <c r="M28" i="9" s="1"/>
  <c r="BK26" i="9"/>
  <c r="BL26" i="9"/>
  <c r="BM26" i="9"/>
  <c r="BN26" i="9"/>
  <c r="BU26" i="9" s="1"/>
  <c r="BJ26" i="9"/>
  <c r="BL25" i="9"/>
  <c r="BM25" i="9"/>
  <c r="BN25" i="9"/>
  <c r="BU25" i="9" s="1"/>
  <c r="BK25" i="9"/>
  <c r="BJ25" i="9"/>
  <c r="BK20" i="9"/>
  <c r="BL20" i="9"/>
  <c r="BM20" i="9"/>
  <c r="BN20" i="9"/>
  <c r="BU20" i="9" s="1"/>
  <c r="BK21" i="9"/>
  <c r="BL21" i="9"/>
  <c r="BM21" i="9"/>
  <c r="BN21" i="9"/>
  <c r="BU21" i="9" s="1"/>
  <c r="BK22" i="9"/>
  <c r="BL22" i="9"/>
  <c r="BM22" i="9"/>
  <c r="BN22" i="9"/>
  <c r="BU22" i="9" s="1"/>
  <c r="BL19" i="9"/>
  <c r="BM19" i="9"/>
  <c r="BN19" i="9"/>
  <c r="BU19" i="9" s="1"/>
  <c r="BK19" i="9"/>
  <c r="BJ22" i="9"/>
  <c r="BJ20" i="9"/>
  <c r="BJ21" i="9"/>
  <c r="BJ19" i="9"/>
  <c r="BJ16" i="9"/>
  <c r="BK16" i="9"/>
  <c r="BL16" i="9"/>
  <c r="BM16" i="9"/>
  <c r="BN16" i="9"/>
  <c r="BU16" i="9" s="1"/>
  <c r="BL15" i="9"/>
  <c r="BM15" i="9"/>
  <c r="BN15" i="9"/>
  <c r="BU15" i="9" s="1"/>
  <c r="BK15" i="9"/>
  <c r="BK11" i="9"/>
  <c r="BL11" i="9"/>
  <c r="BM11" i="9"/>
  <c r="BN11" i="9"/>
  <c r="BU11" i="9" s="1"/>
  <c r="BK12" i="9"/>
  <c r="BL12" i="9"/>
  <c r="BM12" i="9"/>
  <c r="BN12" i="9"/>
  <c r="BU12" i="9" s="1"/>
  <c r="BL10" i="9"/>
  <c r="BM10" i="9"/>
  <c r="BN10" i="9"/>
  <c r="BU10" i="9" s="1"/>
  <c r="BK10" i="9"/>
  <c r="BJ15" i="9"/>
  <c r="BJ11" i="9"/>
  <c r="BJ12" i="9"/>
  <c r="BJ10" i="9"/>
  <c r="BJ5" i="9"/>
  <c r="BJ6" i="9"/>
  <c r="BJ7" i="9"/>
  <c r="BJ4" i="9"/>
  <c r="BK5" i="9"/>
  <c r="BL5" i="9"/>
  <c r="BM5" i="9"/>
  <c r="BN5" i="9"/>
  <c r="BU5" i="9" s="1"/>
  <c r="BK6" i="9"/>
  <c r="BL6" i="9"/>
  <c r="BM6" i="9"/>
  <c r="BN6" i="9"/>
  <c r="BU6" i="9" s="1"/>
  <c r="BK7" i="9"/>
  <c r="BL7" i="9"/>
  <c r="BM7" i="9"/>
  <c r="BN7" i="9"/>
  <c r="BU7" i="9" s="1"/>
  <c r="BN4" i="9"/>
  <c r="BU4" i="9" s="1"/>
  <c r="BM4" i="9"/>
  <c r="BK4" i="9"/>
  <c r="BJ27" i="9" l="1"/>
  <c r="Y2" i="9"/>
  <c r="Y9" i="9" s="1"/>
  <c r="Y14" i="9" s="1"/>
  <c r="Y18" i="9" s="1"/>
  <c r="Y24" i="9" s="1"/>
  <c r="Y28" i="9" s="1"/>
  <c r="H8" i="4"/>
  <c r="D9" i="4"/>
  <c r="H9" i="4" s="1"/>
  <c r="BJ13" i="9"/>
  <c r="AK2" i="9" l="1"/>
  <c r="AK9" i="9" s="1"/>
  <c r="AK14" i="9" s="1"/>
  <c r="AK18" i="9" s="1"/>
  <c r="AK24" i="9" s="1"/>
  <c r="AK28" i="9" s="1"/>
  <c r="D10" i="4"/>
  <c r="BL8" i="9"/>
  <c r="BO4" i="9"/>
  <c r="BN8" i="9"/>
  <c r="BM8" i="9"/>
  <c r="BJ17" i="9"/>
  <c r="BJ8" i="9"/>
  <c r="AW2" i="9" l="1"/>
  <c r="H10" i="4"/>
  <c r="D11" i="4"/>
  <c r="H11" i="4" s="1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836" i="3"/>
  <c r="V2837" i="3"/>
  <c r="V2838" i="3"/>
  <c r="V2839" i="3"/>
  <c r="V2840" i="3"/>
  <c r="V2841" i="3"/>
  <c r="V2842" i="3"/>
  <c r="V2843" i="3"/>
  <c r="V2844" i="3"/>
  <c r="V2845" i="3"/>
  <c r="V2846" i="3"/>
  <c r="V2847" i="3"/>
  <c r="V2848" i="3"/>
  <c r="V2849" i="3"/>
  <c r="V2850" i="3"/>
  <c r="V2851" i="3"/>
  <c r="V2852" i="3"/>
  <c r="V2853" i="3"/>
  <c r="V2854" i="3"/>
  <c r="V2855" i="3"/>
  <c r="V2856" i="3"/>
  <c r="V2857" i="3"/>
  <c r="V2858" i="3"/>
  <c r="V2859" i="3"/>
  <c r="V2860" i="3"/>
  <c r="V2861" i="3"/>
  <c r="V2862" i="3"/>
  <c r="V2863" i="3"/>
  <c r="V2864" i="3"/>
  <c r="V2865" i="3"/>
  <c r="V2866" i="3"/>
  <c r="V2867" i="3"/>
  <c r="V2868" i="3"/>
  <c r="V2869" i="3"/>
  <c r="V2870" i="3"/>
  <c r="V2871" i="3"/>
  <c r="V2872" i="3"/>
  <c r="V2873" i="3"/>
  <c r="V2874" i="3"/>
  <c r="V2875" i="3"/>
  <c r="V2876" i="3"/>
  <c r="V2877" i="3"/>
  <c r="V2878" i="3"/>
  <c r="V2879" i="3"/>
  <c r="V2880" i="3"/>
  <c r="V2881" i="3"/>
  <c r="V2882" i="3"/>
  <c r="V2883" i="3"/>
  <c r="V2884" i="3"/>
  <c r="V2885" i="3"/>
  <c r="V2886" i="3"/>
  <c r="V2887" i="3"/>
  <c r="V2888" i="3"/>
  <c r="V2889" i="3"/>
  <c r="V2890" i="3"/>
  <c r="V2891" i="3"/>
  <c r="V2892" i="3"/>
  <c r="V2893" i="3"/>
  <c r="V2894" i="3"/>
  <c r="V2895" i="3"/>
  <c r="V2896" i="3"/>
  <c r="V2897" i="3"/>
  <c r="V2898" i="3"/>
  <c r="V2899" i="3"/>
  <c r="V3384" i="3"/>
  <c r="V3385" i="3"/>
  <c r="V3386" i="3"/>
  <c r="V3387" i="3"/>
  <c r="V3388" i="3"/>
  <c r="V3389" i="3"/>
  <c r="V3390" i="3"/>
  <c r="V3391" i="3"/>
  <c r="V3392" i="3"/>
  <c r="V3393" i="3"/>
  <c r="V3394" i="3"/>
  <c r="V3395" i="3"/>
  <c r="V3396" i="3"/>
  <c r="V3397" i="3"/>
  <c r="V3398" i="3"/>
  <c r="V3399" i="3"/>
  <c r="V3400" i="3"/>
  <c r="V3401" i="3"/>
  <c r="V3402" i="3"/>
  <c r="V3403" i="3"/>
  <c r="V3404" i="3"/>
  <c r="V3405" i="3"/>
  <c r="V3406" i="3"/>
  <c r="V3407" i="3"/>
  <c r="V3408" i="3"/>
  <c r="V3409" i="3"/>
  <c r="V3410" i="3"/>
  <c r="V3411" i="3"/>
  <c r="V3412" i="3"/>
  <c r="V3413" i="3"/>
  <c r="V3414" i="3"/>
  <c r="V3415" i="3"/>
  <c r="V3416" i="3"/>
  <c r="V3417" i="3"/>
  <c r="V3418" i="3"/>
  <c r="V3419" i="3"/>
  <c r="V3420" i="3"/>
  <c r="V3421" i="3"/>
  <c r="V3422" i="3"/>
  <c r="V3423" i="3"/>
  <c r="V3424" i="3"/>
  <c r="V3425" i="3"/>
  <c r="V3426" i="3"/>
  <c r="V3427" i="3"/>
  <c r="V3428" i="3"/>
  <c r="V3429" i="3"/>
  <c r="V3430" i="3"/>
  <c r="V3431" i="3"/>
  <c r="V3432" i="3"/>
  <c r="V3433" i="3"/>
  <c r="V3434" i="3"/>
  <c r="V3435" i="3"/>
  <c r="V3436" i="3"/>
  <c r="V3437" i="3"/>
  <c r="V3438" i="3"/>
  <c r="V3439" i="3"/>
  <c r="V3440" i="3"/>
  <c r="V3441" i="3"/>
  <c r="V3442" i="3"/>
  <c r="V3443" i="3"/>
  <c r="V3444" i="3"/>
  <c r="V3445" i="3"/>
  <c r="V3446" i="3"/>
  <c r="V3447" i="3"/>
  <c r="V3448" i="3"/>
  <c r="V3449" i="3"/>
  <c r="V3450" i="3"/>
  <c r="V3451" i="3"/>
  <c r="V3452" i="3"/>
  <c r="V3453" i="3"/>
  <c r="V3454" i="3"/>
  <c r="V3455" i="3"/>
  <c r="V3456" i="3"/>
  <c r="V3457" i="3"/>
  <c r="V3458" i="3"/>
  <c r="V3459" i="3"/>
  <c r="V3460" i="3"/>
  <c r="V3461" i="3"/>
  <c r="V3462" i="3"/>
  <c r="V3463" i="3"/>
  <c r="V3464" i="3"/>
  <c r="V3465" i="3"/>
  <c r="V3466" i="3"/>
  <c r="V3467" i="3"/>
  <c r="V3468" i="3"/>
  <c r="V3469" i="3"/>
  <c r="V3470" i="3"/>
  <c r="V3471" i="3"/>
  <c r="V3472" i="3"/>
  <c r="V3473" i="3"/>
  <c r="V3474" i="3"/>
  <c r="V3475" i="3"/>
  <c r="V3476" i="3"/>
  <c r="V3477" i="3"/>
  <c r="V3478" i="3"/>
  <c r="V3479" i="3"/>
  <c r="V3480" i="3"/>
  <c r="V3481" i="3"/>
  <c r="V3482" i="3"/>
  <c r="V3483" i="3"/>
  <c r="V3484" i="3"/>
  <c r="V3485" i="3"/>
  <c r="V3486" i="3"/>
  <c r="V3487" i="3"/>
  <c r="V3488" i="3"/>
  <c r="V3489" i="3"/>
  <c r="V3490" i="3"/>
  <c r="V3491" i="3"/>
  <c r="V3492" i="3"/>
  <c r="V3493" i="3"/>
  <c r="V3494" i="3"/>
  <c r="V3495" i="3"/>
  <c r="V3496" i="3"/>
  <c r="V3497" i="3"/>
  <c r="V3498" i="3"/>
  <c r="V3499" i="3"/>
  <c r="V3500" i="3"/>
  <c r="V3501" i="3"/>
  <c r="V3550" i="3"/>
  <c r="V3551" i="3"/>
  <c r="V3552" i="3"/>
  <c r="V3553" i="3"/>
  <c r="V3554" i="3"/>
  <c r="V3555" i="3"/>
  <c r="V3556" i="3"/>
  <c r="V3557" i="3"/>
  <c r="V3558" i="3"/>
  <c r="V3559" i="3"/>
  <c r="V3704" i="3"/>
  <c r="V3705" i="3"/>
  <c r="V3706" i="3"/>
  <c r="V3707" i="3"/>
  <c r="V3708" i="3"/>
  <c r="V3709" i="3"/>
  <c r="V3710" i="3"/>
  <c r="V3711" i="3"/>
  <c r="V3712" i="3"/>
  <c r="V3713" i="3"/>
  <c r="V3714" i="3"/>
  <c r="V3715" i="3"/>
  <c r="V3716" i="3"/>
  <c r="V3717" i="3"/>
  <c r="V3718" i="3"/>
  <c r="V3719" i="3"/>
  <c r="V3720" i="3"/>
  <c r="V3721" i="3"/>
  <c r="V3722" i="3"/>
  <c r="V3723" i="3"/>
  <c r="V3724" i="3"/>
  <c r="V3854" i="3"/>
  <c r="V3856" i="3"/>
  <c r="V3857" i="3"/>
  <c r="V3858" i="3"/>
  <c r="V3859" i="3"/>
  <c r="V3860" i="3"/>
  <c r="V3861" i="3"/>
  <c r="V3862" i="3"/>
  <c r="V3863" i="3"/>
  <c r="V3864" i="3"/>
  <c r="V3865" i="3"/>
  <c r="V3866" i="3"/>
  <c r="V3867" i="3"/>
  <c r="V3868" i="3"/>
  <c r="V3869" i="3"/>
  <c r="V3870" i="3"/>
  <c r="V3871" i="3"/>
  <c r="V3872" i="3"/>
  <c r="V3873" i="3"/>
  <c r="V3874" i="3"/>
  <c r="V3875" i="3"/>
  <c r="V3876" i="3"/>
  <c r="V3877" i="3"/>
  <c r="V3878" i="3"/>
  <c r="V3879" i="3"/>
  <c r="V3880" i="3"/>
  <c r="V3881" i="3"/>
  <c r="V3882" i="3"/>
  <c r="V3883" i="3"/>
  <c r="V3884" i="3"/>
  <c r="V3956" i="3"/>
  <c r="V3957" i="3"/>
  <c r="V3958" i="3"/>
  <c r="V3959" i="3"/>
  <c r="V3960" i="3"/>
  <c r="V3961" i="3"/>
  <c r="V3962" i="3"/>
  <c r="V3963" i="3"/>
  <c r="V3964" i="3"/>
  <c r="V3965" i="3"/>
  <c r="V3966" i="3"/>
  <c r="V3967" i="3"/>
  <c r="V3968" i="3"/>
  <c r="V3969" i="3"/>
  <c r="V3970" i="3"/>
  <c r="V3971" i="3"/>
  <c r="V3972" i="3"/>
  <c r="V3973" i="3"/>
  <c r="V3974" i="3"/>
  <c r="V3975" i="3"/>
  <c r="V3976" i="3"/>
  <c r="V4055" i="3"/>
  <c r="V4056" i="3"/>
  <c r="V4057" i="3"/>
  <c r="V4058" i="3"/>
  <c r="V4059" i="3"/>
  <c r="V4060" i="3"/>
  <c r="V4061" i="3"/>
  <c r="V4062" i="3"/>
  <c r="V4063" i="3"/>
  <c r="V4064" i="3"/>
  <c r="V4065" i="3"/>
  <c r="V4066" i="3"/>
  <c r="V4067" i="3"/>
  <c r="V4068" i="3"/>
  <c r="V4069" i="3"/>
  <c r="V4070" i="3"/>
  <c r="V4071" i="3"/>
  <c r="V4072" i="3"/>
  <c r="V4073" i="3"/>
  <c r="V4074" i="3"/>
  <c r="V4075" i="3"/>
  <c r="V4076" i="3"/>
  <c r="V4653" i="3"/>
  <c r="V4654" i="3"/>
  <c r="V4655" i="3"/>
  <c r="V4656" i="3"/>
  <c r="V4657" i="3"/>
  <c r="V4658" i="3"/>
  <c r="V4659" i="3"/>
  <c r="V4660" i="3"/>
  <c r="V4661" i="3"/>
  <c r="V4662" i="3"/>
  <c r="V4663" i="3"/>
  <c r="V4664" i="3"/>
  <c r="V4665" i="3"/>
  <c r="V4666" i="3"/>
  <c r="V4667" i="3"/>
  <c r="V4668" i="3"/>
  <c r="V4669" i="3"/>
  <c r="V4670" i="3"/>
  <c r="V4671" i="3"/>
  <c r="V4672" i="3"/>
  <c r="V4673" i="3"/>
  <c r="V4674" i="3"/>
  <c r="V4675" i="3"/>
  <c r="V4676" i="3"/>
  <c r="V4677" i="3"/>
  <c r="V4678" i="3"/>
  <c r="V4679" i="3"/>
  <c r="V4680" i="3"/>
  <c r="V4681" i="3"/>
  <c r="V4682" i="3"/>
  <c r="V4683" i="3"/>
  <c r="V4684" i="3"/>
  <c r="V4685" i="3"/>
  <c r="V4686" i="3"/>
  <c r="V4687" i="3"/>
  <c r="V4688" i="3"/>
  <c r="V4689" i="3"/>
  <c r="V4690" i="3"/>
  <c r="V4691" i="3"/>
  <c r="V4692" i="3"/>
  <c r="V4693" i="3"/>
  <c r="V4694" i="3"/>
  <c r="V4695" i="3"/>
  <c r="V4696" i="3"/>
  <c r="V4697" i="3"/>
  <c r="V4698" i="3"/>
  <c r="V4699" i="3"/>
  <c r="V4700" i="3"/>
  <c r="V4701" i="3"/>
  <c r="V4702" i="3"/>
  <c r="V4703" i="3"/>
  <c r="V4704" i="3"/>
  <c r="V4705" i="3"/>
  <c r="V4706" i="3"/>
  <c r="V4707" i="3"/>
  <c r="V4708" i="3"/>
  <c r="V4709" i="3"/>
  <c r="V4710" i="3"/>
  <c r="V4711" i="3"/>
  <c r="V4712" i="3"/>
  <c r="V4713" i="3"/>
  <c r="V4714" i="3"/>
  <c r="V4715" i="3"/>
  <c r="V4716" i="3"/>
  <c r="V4717" i="3"/>
  <c r="V4718" i="3"/>
  <c r="V4719" i="3"/>
  <c r="V4720" i="3"/>
  <c r="V4721" i="3"/>
  <c r="V4722" i="3"/>
  <c r="V4723" i="3"/>
  <c r="V4724" i="3"/>
  <c r="V4725" i="3"/>
  <c r="V4726" i="3"/>
  <c r="V4727" i="3"/>
  <c r="V4728" i="3"/>
  <c r="V4729" i="3"/>
  <c r="V4730" i="3"/>
  <c r="V4731" i="3"/>
  <c r="V4732" i="3"/>
  <c r="V4733" i="3"/>
  <c r="V4734" i="3"/>
  <c r="V4735" i="3"/>
  <c r="V4736" i="3"/>
  <c r="V4737" i="3"/>
  <c r="V4738" i="3"/>
  <c r="V4739" i="3"/>
  <c r="V4740" i="3"/>
  <c r="V4741" i="3"/>
  <c r="V5676" i="3"/>
  <c r="V5678" i="3"/>
  <c r="V5679" i="3"/>
  <c r="V5680" i="3"/>
  <c r="V5681" i="3"/>
  <c r="V5682" i="3"/>
  <c r="V5683" i="3"/>
  <c r="V5684" i="3"/>
  <c r="V5685" i="3"/>
  <c r="V5686" i="3"/>
  <c r="V5687" i="3"/>
  <c r="V5688" i="3"/>
  <c r="V5689" i="3"/>
  <c r="V5690" i="3"/>
  <c r="V5691" i="3"/>
  <c r="V5692" i="3"/>
  <c r="V5693" i="3"/>
  <c r="V5694" i="3"/>
  <c r="V5695" i="3"/>
  <c r="V5696" i="3"/>
  <c r="V5697" i="3"/>
  <c r="V5698" i="3"/>
  <c r="V5699" i="3"/>
  <c r="V5700" i="3"/>
  <c r="V5701" i="3"/>
  <c r="V5702" i="3"/>
  <c r="V5703" i="3"/>
  <c r="V5704" i="3"/>
  <c r="V5705" i="3"/>
  <c r="V5706" i="3"/>
  <c r="V5707" i="3"/>
  <c r="V5708" i="3"/>
  <c r="V5709" i="3"/>
  <c r="V5710" i="3"/>
  <c r="V5711" i="3"/>
  <c r="V5712" i="3"/>
  <c r="V5713" i="3"/>
  <c r="V5714" i="3"/>
  <c r="V5715" i="3"/>
  <c r="V5716" i="3"/>
  <c r="V5717" i="3"/>
  <c r="V5718" i="3"/>
  <c r="V5719" i="3"/>
  <c r="V5720" i="3"/>
  <c r="V5721" i="3"/>
  <c r="V5722" i="3"/>
  <c r="V5723" i="3"/>
  <c r="V5724" i="3"/>
  <c r="V5725" i="3"/>
  <c r="V5726" i="3"/>
  <c r="V5727" i="3"/>
  <c r="V5728" i="3"/>
  <c r="V6160" i="3"/>
  <c r="V6161" i="3"/>
  <c r="V6162" i="3"/>
  <c r="V6163" i="3"/>
  <c r="V6164" i="3"/>
  <c r="V6165" i="3"/>
  <c r="V6166" i="3"/>
  <c r="V6167" i="3"/>
  <c r="V6168" i="3"/>
  <c r="V6169" i="3"/>
  <c r="V6170" i="3"/>
  <c r="V6171" i="3"/>
  <c r="V6172" i="3"/>
  <c r="V6173" i="3"/>
  <c r="V6174" i="3"/>
  <c r="V6175" i="3"/>
  <c r="V6176" i="3"/>
  <c r="V6177" i="3"/>
  <c r="V6178" i="3"/>
  <c r="V6179" i="3"/>
  <c r="V6180" i="3"/>
  <c r="V6181" i="3"/>
  <c r="V6182" i="3"/>
  <c r="V6183" i="3"/>
  <c r="V6184" i="3"/>
  <c r="V6185" i="3"/>
  <c r="V6186" i="3"/>
  <c r="V6187" i="3"/>
  <c r="V6188" i="3"/>
  <c r="V6189" i="3"/>
  <c r="V6190" i="3"/>
  <c r="V6191" i="3"/>
  <c r="V6192" i="3"/>
  <c r="V6193" i="3"/>
  <c r="V6194" i="3"/>
  <c r="V6195" i="3"/>
  <c r="V6196" i="3"/>
  <c r="V6197" i="3"/>
  <c r="V6198" i="3"/>
  <c r="V6199" i="3"/>
  <c r="V6200" i="3"/>
  <c r="V6201" i="3"/>
  <c r="V6202" i="3"/>
  <c r="V6203" i="3"/>
  <c r="V6204" i="3"/>
  <c r="V6205" i="3"/>
  <c r="V6206" i="3"/>
  <c r="V6207" i="3"/>
  <c r="V6208" i="3"/>
  <c r="V6209" i="3"/>
  <c r="V6210" i="3"/>
  <c r="V6211" i="3"/>
  <c r="V6212" i="3"/>
  <c r="V6213" i="3"/>
  <c r="V6214" i="3"/>
  <c r="V6215" i="3"/>
  <c r="V6216" i="3"/>
  <c r="V6217" i="3"/>
  <c r="V6218" i="3"/>
  <c r="V6219" i="3"/>
  <c r="V6220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50" i="3"/>
  <c r="R3551" i="3"/>
  <c r="R3552" i="3"/>
  <c r="R3553" i="3"/>
  <c r="R3554" i="3"/>
  <c r="R3555" i="3"/>
  <c r="R3556" i="3"/>
  <c r="R3557" i="3"/>
  <c r="R3558" i="3"/>
  <c r="R3559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854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653" i="3"/>
  <c r="R4654" i="3"/>
  <c r="R4655" i="3"/>
  <c r="R4656" i="3"/>
  <c r="R4657" i="3"/>
  <c r="R4658" i="3"/>
  <c r="R4659" i="3"/>
  <c r="R4660" i="3"/>
  <c r="R4661" i="3"/>
  <c r="R4662" i="3"/>
  <c r="R4663" i="3"/>
  <c r="R4664" i="3"/>
  <c r="R4665" i="3"/>
  <c r="R4666" i="3"/>
  <c r="R4667" i="3"/>
  <c r="R4668" i="3"/>
  <c r="R4669" i="3"/>
  <c r="R4670" i="3"/>
  <c r="R4671" i="3"/>
  <c r="R4672" i="3"/>
  <c r="R4673" i="3"/>
  <c r="R4674" i="3"/>
  <c r="R4675" i="3"/>
  <c r="R4676" i="3"/>
  <c r="R4677" i="3"/>
  <c r="R4678" i="3"/>
  <c r="R4679" i="3"/>
  <c r="R4680" i="3"/>
  <c r="R4681" i="3"/>
  <c r="R4682" i="3"/>
  <c r="R4683" i="3"/>
  <c r="R4684" i="3"/>
  <c r="R4685" i="3"/>
  <c r="R4686" i="3"/>
  <c r="R4687" i="3"/>
  <c r="R4688" i="3"/>
  <c r="R4689" i="3"/>
  <c r="R4690" i="3"/>
  <c r="R4691" i="3"/>
  <c r="R4692" i="3"/>
  <c r="R4693" i="3"/>
  <c r="R4694" i="3"/>
  <c r="R4695" i="3"/>
  <c r="R4696" i="3"/>
  <c r="R4697" i="3"/>
  <c r="R4698" i="3"/>
  <c r="R4699" i="3"/>
  <c r="R4700" i="3"/>
  <c r="R4701" i="3"/>
  <c r="R4702" i="3"/>
  <c r="R4703" i="3"/>
  <c r="R4704" i="3"/>
  <c r="R4705" i="3"/>
  <c r="R4706" i="3"/>
  <c r="R4707" i="3"/>
  <c r="R4708" i="3"/>
  <c r="R4709" i="3"/>
  <c r="R4710" i="3"/>
  <c r="R4711" i="3"/>
  <c r="R4712" i="3"/>
  <c r="R4713" i="3"/>
  <c r="R4714" i="3"/>
  <c r="R4715" i="3"/>
  <c r="R4716" i="3"/>
  <c r="R4717" i="3"/>
  <c r="R4718" i="3"/>
  <c r="R4719" i="3"/>
  <c r="R4720" i="3"/>
  <c r="R4721" i="3"/>
  <c r="R4722" i="3"/>
  <c r="R4723" i="3"/>
  <c r="R4724" i="3"/>
  <c r="R4725" i="3"/>
  <c r="R4726" i="3"/>
  <c r="R4727" i="3"/>
  <c r="R4728" i="3"/>
  <c r="R4729" i="3"/>
  <c r="R4730" i="3"/>
  <c r="R4731" i="3"/>
  <c r="R4732" i="3"/>
  <c r="R4733" i="3"/>
  <c r="R4734" i="3"/>
  <c r="R4735" i="3"/>
  <c r="R4736" i="3"/>
  <c r="R4737" i="3"/>
  <c r="R4738" i="3"/>
  <c r="R4739" i="3"/>
  <c r="R4740" i="3"/>
  <c r="R4741" i="3"/>
  <c r="R5676" i="3"/>
  <c r="R5678" i="3"/>
  <c r="R5679" i="3"/>
  <c r="R5680" i="3"/>
  <c r="R5681" i="3"/>
  <c r="R5682" i="3"/>
  <c r="R5683" i="3"/>
  <c r="R5684" i="3"/>
  <c r="R5685" i="3"/>
  <c r="R5686" i="3"/>
  <c r="R5687" i="3"/>
  <c r="R5688" i="3"/>
  <c r="R5689" i="3"/>
  <c r="R5690" i="3"/>
  <c r="R5691" i="3"/>
  <c r="R5692" i="3"/>
  <c r="R5693" i="3"/>
  <c r="R5694" i="3"/>
  <c r="R5695" i="3"/>
  <c r="R5696" i="3"/>
  <c r="R5697" i="3"/>
  <c r="R5698" i="3"/>
  <c r="R5699" i="3"/>
  <c r="R5700" i="3"/>
  <c r="R5701" i="3"/>
  <c r="R5702" i="3"/>
  <c r="R5703" i="3"/>
  <c r="R5704" i="3"/>
  <c r="R5705" i="3"/>
  <c r="R5706" i="3"/>
  <c r="R5707" i="3"/>
  <c r="R5708" i="3"/>
  <c r="R5709" i="3"/>
  <c r="R5710" i="3"/>
  <c r="R5711" i="3"/>
  <c r="R5712" i="3"/>
  <c r="R5713" i="3"/>
  <c r="R5714" i="3"/>
  <c r="R5715" i="3"/>
  <c r="R5716" i="3"/>
  <c r="R5717" i="3"/>
  <c r="R5718" i="3"/>
  <c r="R5719" i="3"/>
  <c r="R5720" i="3"/>
  <c r="R5721" i="3"/>
  <c r="R5722" i="3"/>
  <c r="R5723" i="3"/>
  <c r="R5724" i="3"/>
  <c r="R5725" i="3"/>
  <c r="R5726" i="3"/>
  <c r="R5727" i="3"/>
  <c r="R5728" i="3"/>
  <c r="R6160" i="3"/>
  <c r="R6161" i="3"/>
  <c r="R6162" i="3"/>
  <c r="R6163" i="3"/>
  <c r="R6164" i="3"/>
  <c r="R6165" i="3"/>
  <c r="R6166" i="3"/>
  <c r="R6167" i="3"/>
  <c r="R6168" i="3"/>
  <c r="R6169" i="3"/>
  <c r="R6170" i="3"/>
  <c r="R6171" i="3"/>
  <c r="R6172" i="3"/>
  <c r="R6173" i="3"/>
  <c r="R6174" i="3"/>
  <c r="R6175" i="3"/>
  <c r="R6176" i="3"/>
  <c r="R6177" i="3"/>
  <c r="R6178" i="3"/>
  <c r="R6179" i="3"/>
  <c r="R6180" i="3"/>
  <c r="R6181" i="3"/>
  <c r="R6182" i="3"/>
  <c r="R6183" i="3"/>
  <c r="R6184" i="3"/>
  <c r="R6185" i="3"/>
  <c r="R6186" i="3"/>
  <c r="R6187" i="3"/>
  <c r="R6188" i="3"/>
  <c r="R6189" i="3"/>
  <c r="R6190" i="3"/>
  <c r="R6191" i="3"/>
  <c r="R6192" i="3"/>
  <c r="R6193" i="3"/>
  <c r="R6194" i="3"/>
  <c r="R6195" i="3"/>
  <c r="R6196" i="3"/>
  <c r="R6197" i="3"/>
  <c r="R6198" i="3"/>
  <c r="R6199" i="3"/>
  <c r="R6200" i="3"/>
  <c r="R6201" i="3"/>
  <c r="R6202" i="3"/>
  <c r="R6203" i="3"/>
  <c r="R6204" i="3"/>
  <c r="R6205" i="3"/>
  <c r="R6206" i="3"/>
  <c r="R6207" i="3"/>
  <c r="R6208" i="3"/>
  <c r="R6209" i="3"/>
  <c r="R6210" i="3"/>
  <c r="R6211" i="3"/>
  <c r="R6212" i="3"/>
  <c r="R6213" i="3"/>
  <c r="R6214" i="3"/>
  <c r="R6215" i="3"/>
  <c r="R6216" i="3"/>
  <c r="R6217" i="3"/>
  <c r="R6218" i="3"/>
  <c r="R6219" i="3"/>
  <c r="R6220" i="3"/>
  <c r="M2177" i="3"/>
  <c r="N2177" i="3"/>
  <c r="M2178" i="3"/>
  <c r="N2178" i="3"/>
  <c r="M2179" i="3"/>
  <c r="N2179" i="3"/>
  <c r="M2180" i="3"/>
  <c r="N2180" i="3"/>
  <c r="M2181" i="3"/>
  <c r="N2181" i="3"/>
  <c r="M2182" i="3"/>
  <c r="N2182" i="3"/>
  <c r="M2183" i="3"/>
  <c r="N2183" i="3"/>
  <c r="M2184" i="3"/>
  <c r="N2184" i="3"/>
  <c r="M2185" i="3"/>
  <c r="N2185" i="3"/>
  <c r="M2186" i="3"/>
  <c r="N2186" i="3"/>
  <c r="M2187" i="3"/>
  <c r="N2187" i="3"/>
  <c r="M2188" i="3"/>
  <c r="N2188" i="3"/>
  <c r="M2189" i="3"/>
  <c r="N2189" i="3"/>
  <c r="M2190" i="3"/>
  <c r="N2190" i="3"/>
  <c r="M2191" i="3"/>
  <c r="N2191" i="3"/>
  <c r="M2192" i="3"/>
  <c r="N2192" i="3"/>
  <c r="M2193" i="3"/>
  <c r="N2193" i="3"/>
  <c r="M2194" i="3"/>
  <c r="N2194" i="3"/>
  <c r="M2195" i="3"/>
  <c r="N2195" i="3"/>
  <c r="M2196" i="3"/>
  <c r="N2196" i="3"/>
  <c r="M2197" i="3"/>
  <c r="N2197" i="3"/>
  <c r="M2198" i="3"/>
  <c r="N2198" i="3"/>
  <c r="M2199" i="3"/>
  <c r="N2199" i="3"/>
  <c r="M2200" i="3"/>
  <c r="N2200" i="3"/>
  <c r="M2201" i="3"/>
  <c r="N2201" i="3"/>
  <c r="M2202" i="3"/>
  <c r="N2202" i="3"/>
  <c r="M2203" i="3"/>
  <c r="N2203" i="3"/>
  <c r="M2204" i="3"/>
  <c r="N2204" i="3"/>
  <c r="M2205" i="3"/>
  <c r="N2205" i="3"/>
  <c r="M2206" i="3"/>
  <c r="N2206" i="3"/>
  <c r="M2207" i="3"/>
  <c r="N2207" i="3"/>
  <c r="M2208" i="3"/>
  <c r="N2208" i="3"/>
  <c r="M2209" i="3"/>
  <c r="N2209" i="3"/>
  <c r="M2210" i="3"/>
  <c r="N2210" i="3"/>
  <c r="M2211" i="3"/>
  <c r="N2211" i="3"/>
  <c r="M2212" i="3"/>
  <c r="N2212" i="3"/>
  <c r="M2213" i="3"/>
  <c r="N2213" i="3"/>
  <c r="M2214" i="3"/>
  <c r="N2214" i="3"/>
  <c r="M2215" i="3"/>
  <c r="N2215" i="3"/>
  <c r="M2216" i="3"/>
  <c r="N2216" i="3"/>
  <c r="M2217" i="3"/>
  <c r="N2217" i="3"/>
  <c r="M2218" i="3"/>
  <c r="N2218" i="3"/>
  <c r="M2219" i="3"/>
  <c r="N2219" i="3"/>
  <c r="M2220" i="3"/>
  <c r="N2220" i="3"/>
  <c r="M2221" i="3"/>
  <c r="N2221" i="3"/>
  <c r="M2222" i="3"/>
  <c r="N2222" i="3"/>
  <c r="M2223" i="3"/>
  <c r="N2223" i="3"/>
  <c r="M2224" i="3"/>
  <c r="N2224" i="3"/>
  <c r="M2225" i="3"/>
  <c r="N2225" i="3"/>
  <c r="M2226" i="3"/>
  <c r="N2226" i="3"/>
  <c r="M2227" i="3"/>
  <c r="N2227" i="3"/>
  <c r="M2228" i="3"/>
  <c r="N2228" i="3"/>
  <c r="M2229" i="3"/>
  <c r="N2229" i="3"/>
  <c r="M2230" i="3"/>
  <c r="N2230" i="3"/>
  <c r="M2231" i="3"/>
  <c r="N2231" i="3"/>
  <c r="M2232" i="3"/>
  <c r="N2232" i="3"/>
  <c r="M2233" i="3"/>
  <c r="N2233" i="3"/>
  <c r="M2234" i="3"/>
  <c r="N2234" i="3"/>
  <c r="M2235" i="3"/>
  <c r="N2235" i="3"/>
  <c r="M2299" i="3"/>
  <c r="N2299" i="3"/>
  <c r="M2300" i="3"/>
  <c r="N2300" i="3"/>
  <c r="M2301" i="3"/>
  <c r="N2301" i="3"/>
  <c r="M2302" i="3"/>
  <c r="N2302" i="3"/>
  <c r="M2303" i="3"/>
  <c r="N2303" i="3"/>
  <c r="M2304" i="3"/>
  <c r="N2304" i="3"/>
  <c r="M2305" i="3"/>
  <c r="N2305" i="3"/>
  <c r="M2306" i="3"/>
  <c r="N2306" i="3"/>
  <c r="M2307" i="3"/>
  <c r="N2307" i="3"/>
  <c r="M2308" i="3"/>
  <c r="N2308" i="3"/>
  <c r="M2309" i="3"/>
  <c r="N2309" i="3"/>
  <c r="M2310" i="3"/>
  <c r="N2310" i="3"/>
  <c r="M2311" i="3"/>
  <c r="N2311" i="3"/>
  <c r="M2312" i="3"/>
  <c r="N2312" i="3"/>
  <c r="M2313" i="3"/>
  <c r="N2313" i="3"/>
  <c r="M2314" i="3"/>
  <c r="N2314" i="3"/>
  <c r="M2315" i="3"/>
  <c r="N2315" i="3"/>
  <c r="M2399" i="3"/>
  <c r="N2399" i="3"/>
  <c r="M2400" i="3"/>
  <c r="N2400" i="3"/>
  <c r="M2401" i="3"/>
  <c r="N2401" i="3"/>
  <c r="M2402" i="3"/>
  <c r="N2402" i="3"/>
  <c r="M2403" i="3"/>
  <c r="N2403" i="3"/>
  <c r="M2404" i="3"/>
  <c r="N2404" i="3"/>
  <c r="M2405" i="3"/>
  <c r="N2405" i="3"/>
  <c r="M2406" i="3"/>
  <c r="N2406" i="3"/>
  <c r="M2407" i="3"/>
  <c r="N2407" i="3"/>
  <c r="M2408" i="3"/>
  <c r="N2408" i="3"/>
  <c r="M2409" i="3"/>
  <c r="N2409" i="3"/>
  <c r="M2410" i="3"/>
  <c r="N2410" i="3"/>
  <c r="M2411" i="3"/>
  <c r="N2411" i="3"/>
  <c r="M2412" i="3"/>
  <c r="N2412" i="3"/>
  <c r="M2413" i="3"/>
  <c r="N2413" i="3"/>
  <c r="M2414" i="3"/>
  <c r="N2414" i="3"/>
  <c r="M2415" i="3"/>
  <c r="N2415" i="3"/>
  <c r="M2836" i="3"/>
  <c r="N2836" i="3"/>
  <c r="M2837" i="3"/>
  <c r="N2837" i="3"/>
  <c r="M2838" i="3"/>
  <c r="N2838" i="3"/>
  <c r="M2839" i="3"/>
  <c r="N2839" i="3"/>
  <c r="M2840" i="3"/>
  <c r="N2840" i="3"/>
  <c r="M2841" i="3"/>
  <c r="N2841" i="3"/>
  <c r="M2842" i="3"/>
  <c r="N2842" i="3"/>
  <c r="M2843" i="3"/>
  <c r="N2843" i="3"/>
  <c r="M2844" i="3"/>
  <c r="N2844" i="3"/>
  <c r="M2845" i="3"/>
  <c r="N2845" i="3"/>
  <c r="M2846" i="3"/>
  <c r="N2846" i="3"/>
  <c r="M2847" i="3"/>
  <c r="N2847" i="3"/>
  <c r="M2848" i="3"/>
  <c r="N2848" i="3"/>
  <c r="M2849" i="3"/>
  <c r="N2849" i="3"/>
  <c r="M2850" i="3"/>
  <c r="N2850" i="3"/>
  <c r="M2851" i="3"/>
  <c r="N2851" i="3"/>
  <c r="M2852" i="3"/>
  <c r="N2852" i="3"/>
  <c r="M2853" i="3"/>
  <c r="N2853" i="3"/>
  <c r="M2854" i="3"/>
  <c r="N2854" i="3"/>
  <c r="M2855" i="3"/>
  <c r="N2855" i="3"/>
  <c r="M2856" i="3"/>
  <c r="N2856" i="3"/>
  <c r="M2857" i="3"/>
  <c r="N2857" i="3"/>
  <c r="M2858" i="3"/>
  <c r="N2858" i="3"/>
  <c r="M2859" i="3"/>
  <c r="N2859" i="3"/>
  <c r="M2860" i="3"/>
  <c r="N2860" i="3"/>
  <c r="M2861" i="3"/>
  <c r="N2861" i="3"/>
  <c r="M2862" i="3"/>
  <c r="N2862" i="3"/>
  <c r="M2863" i="3"/>
  <c r="N2863" i="3"/>
  <c r="M2864" i="3"/>
  <c r="N2864" i="3"/>
  <c r="M2865" i="3"/>
  <c r="N2865" i="3"/>
  <c r="M2866" i="3"/>
  <c r="N2866" i="3"/>
  <c r="M2867" i="3"/>
  <c r="N2867" i="3"/>
  <c r="M2868" i="3"/>
  <c r="N2868" i="3"/>
  <c r="M2869" i="3"/>
  <c r="N2869" i="3"/>
  <c r="M2870" i="3"/>
  <c r="N2870" i="3"/>
  <c r="M2871" i="3"/>
  <c r="N2871" i="3"/>
  <c r="M2872" i="3"/>
  <c r="N2872" i="3"/>
  <c r="M2873" i="3"/>
  <c r="N2873" i="3"/>
  <c r="M2874" i="3"/>
  <c r="N2874" i="3"/>
  <c r="M2875" i="3"/>
  <c r="N2875" i="3"/>
  <c r="M2876" i="3"/>
  <c r="N2876" i="3"/>
  <c r="M2877" i="3"/>
  <c r="N2877" i="3"/>
  <c r="M2878" i="3"/>
  <c r="N2878" i="3"/>
  <c r="M2879" i="3"/>
  <c r="N2879" i="3"/>
  <c r="M2880" i="3"/>
  <c r="N2880" i="3"/>
  <c r="M2881" i="3"/>
  <c r="N2881" i="3"/>
  <c r="M2882" i="3"/>
  <c r="N2882" i="3"/>
  <c r="M2883" i="3"/>
  <c r="N2883" i="3"/>
  <c r="M2884" i="3"/>
  <c r="N2884" i="3"/>
  <c r="M2885" i="3"/>
  <c r="N2885" i="3"/>
  <c r="M2886" i="3"/>
  <c r="N2886" i="3"/>
  <c r="M2887" i="3"/>
  <c r="N2887" i="3"/>
  <c r="M2888" i="3"/>
  <c r="N2888" i="3"/>
  <c r="M2889" i="3"/>
  <c r="N2889" i="3"/>
  <c r="M2890" i="3"/>
  <c r="N2890" i="3"/>
  <c r="M2891" i="3"/>
  <c r="N2891" i="3"/>
  <c r="M2892" i="3"/>
  <c r="N2892" i="3"/>
  <c r="M2893" i="3"/>
  <c r="N2893" i="3"/>
  <c r="M2894" i="3"/>
  <c r="N2894" i="3"/>
  <c r="M2895" i="3"/>
  <c r="N2895" i="3"/>
  <c r="M2896" i="3"/>
  <c r="N2896" i="3"/>
  <c r="M2897" i="3"/>
  <c r="N2897" i="3"/>
  <c r="M2898" i="3"/>
  <c r="N2898" i="3"/>
  <c r="M2899" i="3"/>
  <c r="N2899" i="3"/>
  <c r="M3384" i="3"/>
  <c r="N3384" i="3"/>
  <c r="M3385" i="3"/>
  <c r="N3385" i="3"/>
  <c r="M3386" i="3"/>
  <c r="N3386" i="3"/>
  <c r="M3387" i="3"/>
  <c r="N3387" i="3"/>
  <c r="M3388" i="3"/>
  <c r="N3388" i="3"/>
  <c r="M3389" i="3"/>
  <c r="N3389" i="3"/>
  <c r="M3390" i="3"/>
  <c r="N3390" i="3"/>
  <c r="M3391" i="3"/>
  <c r="N3391" i="3"/>
  <c r="M3392" i="3"/>
  <c r="N3392" i="3"/>
  <c r="M3393" i="3"/>
  <c r="N3393" i="3"/>
  <c r="M3394" i="3"/>
  <c r="N3394" i="3"/>
  <c r="M3395" i="3"/>
  <c r="N3395" i="3"/>
  <c r="M3396" i="3"/>
  <c r="N3396" i="3"/>
  <c r="M3397" i="3"/>
  <c r="N3397" i="3"/>
  <c r="M3398" i="3"/>
  <c r="N3398" i="3"/>
  <c r="M3399" i="3"/>
  <c r="N3399" i="3"/>
  <c r="M3400" i="3"/>
  <c r="N3400" i="3"/>
  <c r="M3401" i="3"/>
  <c r="N3401" i="3"/>
  <c r="M3402" i="3"/>
  <c r="N3402" i="3"/>
  <c r="M3403" i="3"/>
  <c r="N3403" i="3"/>
  <c r="M3404" i="3"/>
  <c r="N3404" i="3"/>
  <c r="M3405" i="3"/>
  <c r="N3405" i="3"/>
  <c r="M3406" i="3"/>
  <c r="N3406" i="3"/>
  <c r="M3407" i="3"/>
  <c r="N3407" i="3"/>
  <c r="M3408" i="3"/>
  <c r="N3408" i="3"/>
  <c r="M3409" i="3"/>
  <c r="N3409" i="3"/>
  <c r="M3410" i="3"/>
  <c r="N3410" i="3"/>
  <c r="M3411" i="3"/>
  <c r="N3411" i="3"/>
  <c r="M3412" i="3"/>
  <c r="N3412" i="3"/>
  <c r="M3413" i="3"/>
  <c r="N3413" i="3"/>
  <c r="M3414" i="3"/>
  <c r="N3414" i="3"/>
  <c r="M3415" i="3"/>
  <c r="N3415" i="3"/>
  <c r="M3416" i="3"/>
  <c r="N3416" i="3"/>
  <c r="M3417" i="3"/>
  <c r="N3417" i="3"/>
  <c r="M3418" i="3"/>
  <c r="N3418" i="3"/>
  <c r="M3419" i="3"/>
  <c r="N3419" i="3"/>
  <c r="M3420" i="3"/>
  <c r="N3420" i="3"/>
  <c r="M3421" i="3"/>
  <c r="N3421" i="3"/>
  <c r="M3422" i="3"/>
  <c r="N3422" i="3"/>
  <c r="M3423" i="3"/>
  <c r="N3423" i="3"/>
  <c r="M3424" i="3"/>
  <c r="N3424" i="3"/>
  <c r="M3425" i="3"/>
  <c r="N3425" i="3"/>
  <c r="M3426" i="3"/>
  <c r="N3426" i="3"/>
  <c r="M3427" i="3"/>
  <c r="N3427" i="3"/>
  <c r="M3428" i="3"/>
  <c r="N3428" i="3"/>
  <c r="M3429" i="3"/>
  <c r="N3429" i="3"/>
  <c r="M3430" i="3"/>
  <c r="N3430" i="3"/>
  <c r="M3431" i="3"/>
  <c r="N3431" i="3"/>
  <c r="M3432" i="3"/>
  <c r="N3432" i="3"/>
  <c r="M3433" i="3"/>
  <c r="N3433" i="3"/>
  <c r="M3434" i="3"/>
  <c r="N3434" i="3"/>
  <c r="M3435" i="3"/>
  <c r="N3435" i="3"/>
  <c r="M3436" i="3"/>
  <c r="N3436" i="3"/>
  <c r="M3437" i="3"/>
  <c r="N3437" i="3"/>
  <c r="M3438" i="3"/>
  <c r="N3438" i="3"/>
  <c r="M3439" i="3"/>
  <c r="N3439" i="3"/>
  <c r="M3440" i="3"/>
  <c r="N3440" i="3"/>
  <c r="M3441" i="3"/>
  <c r="N3441" i="3"/>
  <c r="M3442" i="3"/>
  <c r="N3442" i="3"/>
  <c r="M3443" i="3"/>
  <c r="N3443" i="3"/>
  <c r="M3444" i="3"/>
  <c r="N3444" i="3"/>
  <c r="M3445" i="3"/>
  <c r="N3445" i="3"/>
  <c r="M3446" i="3"/>
  <c r="N3446" i="3"/>
  <c r="M3447" i="3"/>
  <c r="N3447" i="3"/>
  <c r="M3448" i="3"/>
  <c r="N3448" i="3"/>
  <c r="M3449" i="3"/>
  <c r="N3449" i="3"/>
  <c r="M3450" i="3"/>
  <c r="N3450" i="3"/>
  <c r="M3451" i="3"/>
  <c r="N3451" i="3"/>
  <c r="M3452" i="3"/>
  <c r="N3452" i="3"/>
  <c r="M3453" i="3"/>
  <c r="N3453" i="3"/>
  <c r="M3454" i="3"/>
  <c r="N3454" i="3"/>
  <c r="M3455" i="3"/>
  <c r="N3455" i="3"/>
  <c r="M3456" i="3"/>
  <c r="N3456" i="3"/>
  <c r="M3457" i="3"/>
  <c r="N3457" i="3"/>
  <c r="M3458" i="3"/>
  <c r="N3458" i="3"/>
  <c r="M3459" i="3"/>
  <c r="N3459" i="3"/>
  <c r="M3460" i="3"/>
  <c r="N3460" i="3"/>
  <c r="M3461" i="3"/>
  <c r="N3461" i="3"/>
  <c r="M3462" i="3"/>
  <c r="N3462" i="3"/>
  <c r="M3463" i="3"/>
  <c r="N3463" i="3"/>
  <c r="M3464" i="3"/>
  <c r="N3464" i="3"/>
  <c r="M3465" i="3"/>
  <c r="N3465" i="3"/>
  <c r="M3466" i="3"/>
  <c r="N3466" i="3"/>
  <c r="M3467" i="3"/>
  <c r="N3467" i="3"/>
  <c r="M3468" i="3"/>
  <c r="N3468" i="3"/>
  <c r="M3469" i="3"/>
  <c r="N3469" i="3"/>
  <c r="M3470" i="3"/>
  <c r="N3470" i="3"/>
  <c r="M3471" i="3"/>
  <c r="N3471" i="3"/>
  <c r="M3472" i="3"/>
  <c r="N3472" i="3"/>
  <c r="M3473" i="3"/>
  <c r="N3473" i="3"/>
  <c r="M3474" i="3"/>
  <c r="N3474" i="3"/>
  <c r="M3475" i="3"/>
  <c r="N3475" i="3"/>
  <c r="M3476" i="3"/>
  <c r="N3476" i="3"/>
  <c r="M3477" i="3"/>
  <c r="N3477" i="3"/>
  <c r="M3478" i="3"/>
  <c r="N3478" i="3"/>
  <c r="M3479" i="3"/>
  <c r="N3479" i="3"/>
  <c r="M3480" i="3"/>
  <c r="N3480" i="3"/>
  <c r="M3481" i="3"/>
  <c r="N3481" i="3"/>
  <c r="M3482" i="3"/>
  <c r="N3482" i="3"/>
  <c r="M3483" i="3"/>
  <c r="N3483" i="3"/>
  <c r="M3484" i="3"/>
  <c r="N3484" i="3"/>
  <c r="M3485" i="3"/>
  <c r="N3485" i="3"/>
  <c r="M3486" i="3"/>
  <c r="N3486" i="3"/>
  <c r="M3487" i="3"/>
  <c r="N3487" i="3"/>
  <c r="M3488" i="3"/>
  <c r="N3488" i="3"/>
  <c r="M3489" i="3"/>
  <c r="N3489" i="3"/>
  <c r="M3490" i="3"/>
  <c r="N3490" i="3"/>
  <c r="M3491" i="3"/>
  <c r="N3491" i="3"/>
  <c r="M3492" i="3"/>
  <c r="N3492" i="3"/>
  <c r="M3493" i="3"/>
  <c r="N3493" i="3"/>
  <c r="M3494" i="3"/>
  <c r="N3494" i="3"/>
  <c r="M3495" i="3"/>
  <c r="N3495" i="3"/>
  <c r="M3496" i="3"/>
  <c r="N3496" i="3"/>
  <c r="M3497" i="3"/>
  <c r="N3497" i="3"/>
  <c r="M3498" i="3"/>
  <c r="N3498" i="3"/>
  <c r="M3499" i="3"/>
  <c r="N3499" i="3"/>
  <c r="M3500" i="3"/>
  <c r="N3500" i="3"/>
  <c r="M3501" i="3"/>
  <c r="N3501" i="3"/>
  <c r="M3550" i="3"/>
  <c r="N3550" i="3"/>
  <c r="M3551" i="3"/>
  <c r="N3551" i="3"/>
  <c r="M3552" i="3"/>
  <c r="N3552" i="3"/>
  <c r="M3553" i="3"/>
  <c r="N3553" i="3"/>
  <c r="M3554" i="3"/>
  <c r="N3554" i="3"/>
  <c r="M3555" i="3"/>
  <c r="N3555" i="3"/>
  <c r="M3556" i="3"/>
  <c r="N3556" i="3"/>
  <c r="M3557" i="3"/>
  <c r="N3557" i="3"/>
  <c r="M3558" i="3"/>
  <c r="N3558" i="3"/>
  <c r="M3559" i="3"/>
  <c r="N3559" i="3"/>
  <c r="M3704" i="3"/>
  <c r="N3704" i="3"/>
  <c r="M3705" i="3"/>
  <c r="N3705" i="3"/>
  <c r="M3706" i="3"/>
  <c r="N3706" i="3"/>
  <c r="M3707" i="3"/>
  <c r="N3707" i="3"/>
  <c r="M3708" i="3"/>
  <c r="N3708" i="3"/>
  <c r="M3709" i="3"/>
  <c r="N3709" i="3"/>
  <c r="M3710" i="3"/>
  <c r="N3710" i="3"/>
  <c r="M3711" i="3"/>
  <c r="N3711" i="3"/>
  <c r="M3712" i="3"/>
  <c r="N3712" i="3"/>
  <c r="M3713" i="3"/>
  <c r="N3713" i="3"/>
  <c r="M3714" i="3"/>
  <c r="N3714" i="3"/>
  <c r="M3715" i="3"/>
  <c r="N3715" i="3"/>
  <c r="M3716" i="3"/>
  <c r="N3716" i="3"/>
  <c r="M3717" i="3"/>
  <c r="N3717" i="3"/>
  <c r="M3718" i="3"/>
  <c r="N3718" i="3"/>
  <c r="M3719" i="3"/>
  <c r="N3719" i="3"/>
  <c r="M3720" i="3"/>
  <c r="N3720" i="3"/>
  <c r="M3721" i="3"/>
  <c r="N3721" i="3"/>
  <c r="M3722" i="3"/>
  <c r="N3722" i="3"/>
  <c r="M3723" i="3"/>
  <c r="N3723" i="3"/>
  <c r="M3724" i="3"/>
  <c r="N3724" i="3"/>
  <c r="M3854" i="3"/>
  <c r="N3854" i="3"/>
  <c r="M3856" i="3"/>
  <c r="N3856" i="3"/>
  <c r="M3857" i="3"/>
  <c r="N3857" i="3"/>
  <c r="M3858" i="3"/>
  <c r="N3858" i="3"/>
  <c r="M3859" i="3"/>
  <c r="N3859" i="3"/>
  <c r="M3860" i="3"/>
  <c r="N3860" i="3"/>
  <c r="M3861" i="3"/>
  <c r="N3861" i="3"/>
  <c r="M3862" i="3"/>
  <c r="N3862" i="3"/>
  <c r="M3863" i="3"/>
  <c r="N3863" i="3"/>
  <c r="M3864" i="3"/>
  <c r="N3864" i="3"/>
  <c r="M3865" i="3"/>
  <c r="N3865" i="3"/>
  <c r="M3866" i="3"/>
  <c r="N3866" i="3"/>
  <c r="M3867" i="3"/>
  <c r="N3867" i="3"/>
  <c r="M3868" i="3"/>
  <c r="N3868" i="3"/>
  <c r="M3869" i="3"/>
  <c r="N3869" i="3"/>
  <c r="M3870" i="3"/>
  <c r="N3870" i="3"/>
  <c r="M3871" i="3"/>
  <c r="N3871" i="3"/>
  <c r="M3872" i="3"/>
  <c r="N3872" i="3"/>
  <c r="M3873" i="3"/>
  <c r="N3873" i="3"/>
  <c r="M3874" i="3"/>
  <c r="N3874" i="3"/>
  <c r="M3875" i="3"/>
  <c r="N3875" i="3"/>
  <c r="M3876" i="3"/>
  <c r="N3876" i="3"/>
  <c r="M3877" i="3"/>
  <c r="N3877" i="3"/>
  <c r="M3878" i="3"/>
  <c r="N3878" i="3"/>
  <c r="M3879" i="3"/>
  <c r="N3879" i="3"/>
  <c r="M3880" i="3"/>
  <c r="N3880" i="3"/>
  <c r="M3881" i="3"/>
  <c r="N3881" i="3"/>
  <c r="M3882" i="3"/>
  <c r="N3882" i="3"/>
  <c r="M3883" i="3"/>
  <c r="N3883" i="3"/>
  <c r="M3884" i="3"/>
  <c r="N3884" i="3"/>
  <c r="M3956" i="3"/>
  <c r="N3956" i="3"/>
  <c r="M3957" i="3"/>
  <c r="N3957" i="3"/>
  <c r="M3958" i="3"/>
  <c r="N3958" i="3"/>
  <c r="M3959" i="3"/>
  <c r="N3959" i="3"/>
  <c r="M3960" i="3"/>
  <c r="N3960" i="3"/>
  <c r="M3961" i="3"/>
  <c r="N3961" i="3"/>
  <c r="M3962" i="3"/>
  <c r="N3962" i="3"/>
  <c r="M3963" i="3"/>
  <c r="N3963" i="3"/>
  <c r="M3964" i="3"/>
  <c r="N3964" i="3"/>
  <c r="M3965" i="3"/>
  <c r="N3965" i="3"/>
  <c r="M3966" i="3"/>
  <c r="N3966" i="3"/>
  <c r="M3967" i="3"/>
  <c r="N3967" i="3"/>
  <c r="M3968" i="3"/>
  <c r="N3968" i="3"/>
  <c r="M3969" i="3"/>
  <c r="N3969" i="3"/>
  <c r="M3970" i="3"/>
  <c r="N3970" i="3"/>
  <c r="M3971" i="3"/>
  <c r="N3971" i="3"/>
  <c r="M3972" i="3"/>
  <c r="N3972" i="3"/>
  <c r="M3973" i="3"/>
  <c r="N3973" i="3"/>
  <c r="M3974" i="3"/>
  <c r="N3974" i="3"/>
  <c r="M3975" i="3"/>
  <c r="N3975" i="3"/>
  <c r="M3976" i="3"/>
  <c r="N3976" i="3"/>
  <c r="M4055" i="3"/>
  <c r="N4055" i="3"/>
  <c r="M4056" i="3"/>
  <c r="N4056" i="3"/>
  <c r="M4057" i="3"/>
  <c r="N4057" i="3"/>
  <c r="M4058" i="3"/>
  <c r="N4058" i="3"/>
  <c r="M4059" i="3"/>
  <c r="N4059" i="3"/>
  <c r="M4060" i="3"/>
  <c r="N4060" i="3"/>
  <c r="M4061" i="3"/>
  <c r="N4061" i="3"/>
  <c r="M4062" i="3"/>
  <c r="N4062" i="3"/>
  <c r="M4063" i="3"/>
  <c r="N4063" i="3"/>
  <c r="M4064" i="3"/>
  <c r="N4064" i="3"/>
  <c r="M4065" i="3"/>
  <c r="N4065" i="3"/>
  <c r="M4066" i="3"/>
  <c r="N4066" i="3"/>
  <c r="M4067" i="3"/>
  <c r="N4067" i="3"/>
  <c r="M4068" i="3"/>
  <c r="N4068" i="3"/>
  <c r="M4069" i="3"/>
  <c r="N4069" i="3"/>
  <c r="M4070" i="3"/>
  <c r="N4070" i="3"/>
  <c r="M4071" i="3"/>
  <c r="N4071" i="3"/>
  <c r="M4072" i="3"/>
  <c r="N4072" i="3"/>
  <c r="M4073" i="3"/>
  <c r="N4073" i="3"/>
  <c r="M4074" i="3"/>
  <c r="N4074" i="3"/>
  <c r="M4075" i="3"/>
  <c r="N4075" i="3"/>
  <c r="M4076" i="3"/>
  <c r="N4076" i="3"/>
  <c r="M4653" i="3"/>
  <c r="N4653" i="3"/>
  <c r="M4654" i="3"/>
  <c r="N4654" i="3"/>
  <c r="M4655" i="3"/>
  <c r="N4655" i="3"/>
  <c r="M4656" i="3"/>
  <c r="N4656" i="3"/>
  <c r="M4657" i="3"/>
  <c r="N4657" i="3"/>
  <c r="M4658" i="3"/>
  <c r="N4658" i="3"/>
  <c r="M4659" i="3"/>
  <c r="N4659" i="3"/>
  <c r="M4660" i="3"/>
  <c r="N4660" i="3"/>
  <c r="M4661" i="3"/>
  <c r="N4661" i="3"/>
  <c r="M4662" i="3"/>
  <c r="N4662" i="3"/>
  <c r="M4663" i="3"/>
  <c r="N4663" i="3"/>
  <c r="M4664" i="3"/>
  <c r="N4664" i="3"/>
  <c r="M4665" i="3"/>
  <c r="N4665" i="3"/>
  <c r="M4666" i="3"/>
  <c r="N4666" i="3"/>
  <c r="M4667" i="3"/>
  <c r="N4667" i="3"/>
  <c r="M4668" i="3"/>
  <c r="N4668" i="3"/>
  <c r="M4669" i="3"/>
  <c r="N4669" i="3"/>
  <c r="M4670" i="3"/>
  <c r="N4670" i="3"/>
  <c r="M4671" i="3"/>
  <c r="N4671" i="3"/>
  <c r="M4672" i="3"/>
  <c r="N4672" i="3"/>
  <c r="M4673" i="3"/>
  <c r="N4673" i="3"/>
  <c r="M4674" i="3"/>
  <c r="N4674" i="3"/>
  <c r="M4675" i="3"/>
  <c r="N4675" i="3"/>
  <c r="M4676" i="3"/>
  <c r="N4676" i="3"/>
  <c r="M4677" i="3"/>
  <c r="N4677" i="3"/>
  <c r="M4678" i="3"/>
  <c r="N4678" i="3"/>
  <c r="M4679" i="3"/>
  <c r="N4679" i="3"/>
  <c r="M4680" i="3"/>
  <c r="N4680" i="3"/>
  <c r="M4681" i="3"/>
  <c r="N4681" i="3"/>
  <c r="M4682" i="3"/>
  <c r="N4682" i="3"/>
  <c r="M4683" i="3"/>
  <c r="N4683" i="3"/>
  <c r="M4684" i="3"/>
  <c r="N4684" i="3"/>
  <c r="M4685" i="3"/>
  <c r="N4685" i="3"/>
  <c r="M4686" i="3"/>
  <c r="N4686" i="3"/>
  <c r="M4687" i="3"/>
  <c r="N4687" i="3"/>
  <c r="M4688" i="3"/>
  <c r="N4688" i="3"/>
  <c r="M4689" i="3"/>
  <c r="N4689" i="3"/>
  <c r="M4690" i="3"/>
  <c r="N4690" i="3"/>
  <c r="M4691" i="3"/>
  <c r="N4691" i="3"/>
  <c r="M4692" i="3"/>
  <c r="N4692" i="3"/>
  <c r="M4693" i="3"/>
  <c r="N4693" i="3"/>
  <c r="M4694" i="3"/>
  <c r="N4694" i="3"/>
  <c r="M4695" i="3"/>
  <c r="N4695" i="3"/>
  <c r="M4696" i="3"/>
  <c r="N4696" i="3"/>
  <c r="M4697" i="3"/>
  <c r="N4697" i="3"/>
  <c r="M4698" i="3"/>
  <c r="N4698" i="3"/>
  <c r="M4699" i="3"/>
  <c r="N4699" i="3"/>
  <c r="M4700" i="3"/>
  <c r="N4700" i="3"/>
  <c r="M4701" i="3"/>
  <c r="N4701" i="3"/>
  <c r="M4702" i="3"/>
  <c r="N4702" i="3"/>
  <c r="M4703" i="3"/>
  <c r="N4703" i="3"/>
  <c r="M4704" i="3"/>
  <c r="N4704" i="3"/>
  <c r="M4705" i="3"/>
  <c r="N4705" i="3"/>
  <c r="M4706" i="3"/>
  <c r="N4706" i="3"/>
  <c r="M4707" i="3"/>
  <c r="N4707" i="3"/>
  <c r="M4708" i="3"/>
  <c r="N4708" i="3"/>
  <c r="M4709" i="3"/>
  <c r="N4709" i="3"/>
  <c r="M4710" i="3"/>
  <c r="N4710" i="3"/>
  <c r="M4711" i="3"/>
  <c r="N4711" i="3"/>
  <c r="M4712" i="3"/>
  <c r="N4712" i="3"/>
  <c r="M4713" i="3"/>
  <c r="N4713" i="3"/>
  <c r="M4714" i="3"/>
  <c r="N4714" i="3"/>
  <c r="M4715" i="3"/>
  <c r="N4715" i="3"/>
  <c r="M4716" i="3"/>
  <c r="N4716" i="3"/>
  <c r="M4717" i="3"/>
  <c r="N4717" i="3"/>
  <c r="M4718" i="3"/>
  <c r="N4718" i="3"/>
  <c r="M4719" i="3"/>
  <c r="N4719" i="3"/>
  <c r="M4720" i="3"/>
  <c r="N4720" i="3"/>
  <c r="M4721" i="3"/>
  <c r="N4721" i="3"/>
  <c r="M4722" i="3"/>
  <c r="N4722" i="3"/>
  <c r="M4723" i="3"/>
  <c r="N4723" i="3"/>
  <c r="M4724" i="3"/>
  <c r="N4724" i="3"/>
  <c r="M4725" i="3"/>
  <c r="N4725" i="3"/>
  <c r="M4726" i="3"/>
  <c r="N4726" i="3"/>
  <c r="M4727" i="3"/>
  <c r="N4727" i="3"/>
  <c r="M4728" i="3"/>
  <c r="N4728" i="3"/>
  <c r="M4729" i="3"/>
  <c r="N4729" i="3"/>
  <c r="M4730" i="3"/>
  <c r="N4730" i="3"/>
  <c r="M4731" i="3"/>
  <c r="N4731" i="3"/>
  <c r="M4732" i="3"/>
  <c r="N4732" i="3"/>
  <c r="M4733" i="3"/>
  <c r="N4733" i="3"/>
  <c r="M4734" i="3"/>
  <c r="N4734" i="3"/>
  <c r="M4735" i="3"/>
  <c r="N4735" i="3"/>
  <c r="M4736" i="3"/>
  <c r="N4736" i="3"/>
  <c r="M4737" i="3"/>
  <c r="N4737" i="3"/>
  <c r="M4738" i="3"/>
  <c r="N4738" i="3"/>
  <c r="M4739" i="3"/>
  <c r="N4739" i="3"/>
  <c r="M4740" i="3"/>
  <c r="N4740" i="3"/>
  <c r="M4741" i="3"/>
  <c r="N4741" i="3"/>
  <c r="M5676" i="3"/>
  <c r="N5676" i="3"/>
  <c r="M5678" i="3"/>
  <c r="N5678" i="3"/>
  <c r="M5679" i="3"/>
  <c r="N5679" i="3"/>
  <c r="M5680" i="3"/>
  <c r="N5680" i="3"/>
  <c r="M5681" i="3"/>
  <c r="N5681" i="3"/>
  <c r="M5682" i="3"/>
  <c r="N5682" i="3"/>
  <c r="M5683" i="3"/>
  <c r="N5683" i="3"/>
  <c r="M5684" i="3"/>
  <c r="N5684" i="3"/>
  <c r="M5685" i="3"/>
  <c r="N5685" i="3"/>
  <c r="M5686" i="3"/>
  <c r="N5686" i="3"/>
  <c r="M5687" i="3"/>
  <c r="N5687" i="3"/>
  <c r="M5688" i="3"/>
  <c r="N5688" i="3"/>
  <c r="M5689" i="3"/>
  <c r="N5689" i="3"/>
  <c r="M5690" i="3"/>
  <c r="N5690" i="3"/>
  <c r="M5691" i="3"/>
  <c r="N5691" i="3"/>
  <c r="M5692" i="3"/>
  <c r="N5692" i="3"/>
  <c r="M5693" i="3"/>
  <c r="N5693" i="3"/>
  <c r="M5694" i="3"/>
  <c r="N5694" i="3"/>
  <c r="M5695" i="3"/>
  <c r="N5695" i="3"/>
  <c r="M5696" i="3"/>
  <c r="N5696" i="3"/>
  <c r="M5697" i="3"/>
  <c r="N5697" i="3"/>
  <c r="M5698" i="3"/>
  <c r="N5698" i="3"/>
  <c r="M5699" i="3"/>
  <c r="N5699" i="3"/>
  <c r="M5700" i="3"/>
  <c r="N5700" i="3"/>
  <c r="M5701" i="3"/>
  <c r="N5701" i="3"/>
  <c r="M5702" i="3"/>
  <c r="N5702" i="3"/>
  <c r="M5703" i="3"/>
  <c r="N5703" i="3"/>
  <c r="M5704" i="3"/>
  <c r="N5704" i="3"/>
  <c r="M5705" i="3"/>
  <c r="N5705" i="3"/>
  <c r="M5706" i="3"/>
  <c r="N5706" i="3"/>
  <c r="M5707" i="3"/>
  <c r="N5707" i="3"/>
  <c r="M5708" i="3"/>
  <c r="N5708" i="3"/>
  <c r="M5709" i="3"/>
  <c r="N5709" i="3"/>
  <c r="M5710" i="3"/>
  <c r="N5710" i="3"/>
  <c r="M5711" i="3"/>
  <c r="N5711" i="3"/>
  <c r="M5712" i="3"/>
  <c r="N5712" i="3"/>
  <c r="M5713" i="3"/>
  <c r="N5713" i="3"/>
  <c r="M5714" i="3"/>
  <c r="N5714" i="3"/>
  <c r="M5715" i="3"/>
  <c r="N5715" i="3"/>
  <c r="M5716" i="3"/>
  <c r="N5716" i="3"/>
  <c r="M5717" i="3"/>
  <c r="N5717" i="3"/>
  <c r="M5718" i="3"/>
  <c r="N5718" i="3"/>
  <c r="M5719" i="3"/>
  <c r="N5719" i="3"/>
  <c r="M5720" i="3"/>
  <c r="N5720" i="3"/>
  <c r="M5721" i="3"/>
  <c r="N5721" i="3"/>
  <c r="M5722" i="3"/>
  <c r="N5722" i="3"/>
  <c r="M5723" i="3"/>
  <c r="N5723" i="3"/>
  <c r="M5724" i="3"/>
  <c r="N5724" i="3"/>
  <c r="M5725" i="3"/>
  <c r="N5725" i="3"/>
  <c r="M5726" i="3"/>
  <c r="N5726" i="3"/>
  <c r="M5727" i="3"/>
  <c r="N5727" i="3"/>
  <c r="M5728" i="3"/>
  <c r="N5728" i="3"/>
  <c r="M6160" i="3"/>
  <c r="N6160" i="3"/>
  <c r="M6161" i="3"/>
  <c r="N6161" i="3"/>
  <c r="M6162" i="3"/>
  <c r="N6162" i="3"/>
  <c r="M6163" i="3"/>
  <c r="N6163" i="3"/>
  <c r="M6164" i="3"/>
  <c r="N6164" i="3"/>
  <c r="M6165" i="3"/>
  <c r="N6165" i="3"/>
  <c r="M6166" i="3"/>
  <c r="N6166" i="3"/>
  <c r="M6167" i="3"/>
  <c r="N6167" i="3"/>
  <c r="M6168" i="3"/>
  <c r="N6168" i="3"/>
  <c r="M6169" i="3"/>
  <c r="N6169" i="3"/>
  <c r="M6170" i="3"/>
  <c r="N6170" i="3"/>
  <c r="M6171" i="3"/>
  <c r="N6171" i="3"/>
  <c r="M6172" i="3"/>
  <c r="N6172" i="3"/>
  <c r="M6173" i="3"/>
  <c r="N6173" i="3"/>
  <c r="M6174" i="3"/>
  <c r="N6174" i="3"/>
  <c r="M6175" i="3"/>
  <c r="N6175" i="3"/>
  <c r="M6176" i="3"/>
  <c r="N6176" i="3"/>
  <c r="M6177" i="3"/>
  <c r="N6177" i="3"/>
  <c r="M6178" i="3"/>
  <c r="N6178" i="3"/>
  <c r="M6179" i="3"/>
  <c r="N6179" i="3"/>
  <c r="M6180" i="3"/>
  <c r="N6180" i="3"/>
  <c r="M6181" i="3"/>
  <c r="N6181" i="3"/>
  <c r="M6182" i="3"/>
  <c r="N6182" i="3"/>
  <c r="M6183" i="3"/>
  <c r="N6183" i="3"/>
  <c r="M6184" i="3"/>
  <c r="N6184" i="3"/>
  <c r="M6185" i="3"/>
  <c r="N6185" i="3"/>
  <c r="M6186" i="3"/>
  <c r="N6186" i="3"/>
  <c r="M6187" i="3"/>
  <c r="N6187" i="3"/>
  <c r="M6188" i="3"/>
  <c r="N6188" i="3"/>
  <c r="M6189" i="3"/>
  <c r="N6189" i="3"/>
  <c r="M6190" i="3"/>
  <c r="N6190" i="3"/>
  <c r="M6191" i="3"/>
  <c r="N6191" i="3"/>
  <c r="M6192" i="3"/>
  <c r="N6192" i="3"/>
  <c r="M6193" i="3"/>
  <c r="N6193" i="3"/>
  <c r="M6194" i="3"/>
  <c r="N6194" i="3"/>
  <c r="M6195" i="3"/>
  <c r="N6195" i="3"/>
  <c r="M6196" i="3"/>
  <c r="N6196" i="3"/>
  <c r="M6197" i="3"/>
  <c r="N6197" i="3"/>
  <c r="M6198" i="3"/>
  <c r="N6198" i="3"/>
  <c r="M6199" i="3"/>
  <c r="N6199" i="3"/>
  <c r="M6200" i="3"/>
  <c r="N6200" i="3"/>
  <c r="M6201" i="3"/>
  <c r="N6201" i="3"/>
  <c r="M6202" i="3"/>
  <c r="N6202" i="3"/>
  <c r="M6203" i="3"/>
  <c r="N6203" i="3"/>
  <c r="M6204" i="3"/>
  <c r="N6204" i="3"/>
  <c r="M6205" i="3"/>
  <c r="N6205" i="3"/>
  <c r="M6206" i="3"/>
  <c r="N6206" i="3"/>
  <c r="M6207" i="3"/>
  <c r="N6207" i="3"/>
  <c r="M6208" i="3"/>
  <c r="N6208" i="3"/>
  <c r="M6209" i="3"/>
  <c r="N6209" i="3"/>
  <c r="M6210" i="3"/>
  <c r="N6210" i="3"/>
  <c r="M6211" i="3"/>
  <c r="N6211" i="3"/>
  <c r="M6212" i="3"/>
  <c r="N6212" i="3"/>
  <c r="M6213" i="3"/>
  <c r="N6213" i="3"/>
  <c r="M6214" i="3"/>
  <c r="N6214" i="3"/>
  <c r="M6215" i="3"/>
  <c r="N6215" i="3"/>
  <c r="M6216" i="3"/>
  <c r="N6216" i="3"/>
  <c r="M6217" i="3"/>
  <c r="N6217" i="3"/>
  <c r="M6218" i="3"/>
  <c r="N6218" i="3"/>
  <c r="M6219" i="3"/>
  <c r="N6219" i="3"/>
  <c r="M6220" i="3"/>
  <c r="N6220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50" i="3"/>
  <c r="L3551" i="3"/>
  <c r="L3552" i="3"/>
  <c r="L3553" i="3"/>
  <c r="L3554" i="3"/>
  <c r="L3555" i="3"/>
  <c r="L3556" i="3"/>
  <c r="L3557" i="3"/>
  <c r="L3558" i="3"/>
  <c r="L3559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854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5676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6160" i="3"/>
  <c r="L6161" i="3"/>
  <c r="L6162" i="3"/>
  <c r="L6163" i="3"/>
  <c r="L6164" i="3"/>
  <c r="L6165" i="3"/>
  <c r="L6166" i="3"/>
  <c r="L6167" i="3"/>
  <c r="L6168" i="3"/>
  <c r="L6169" i="3"/>
  <c r="L6170" i="3"/>
  <c r="L6171" i="3"/>
  <c r="L6172" i="3"/>
  <c r="L6173" i="3"/>
  <c r="L6174" i="3"/>
  <c r="L6175" i="3"/>
  <c r="L6176" i="3"/>
  <c r="L6177" i="3"/>
  <c r="L6178" i="3"/>
  <c r="L6179" i="3"/>
  <c r="L6180" i="3"/>
  <c r="L6181" i="3"/>
  <c r="L6182" i="3"/>
  <c r="L6183" i="3"/>
  <c r="L6184" i="3"/>
  <c r="L6185" i="3"/>
  <c r="L6186" i="3"/>
  <c r="L6187" i="3"/>
  <c r="L6188" i="3"/>
  <c r="L6189" i="3"/>
  <c r="L6190" i="3"/>
  <c r="L6191" i="3"/>
  <c r="L6192" i="3"/>
  <c r="L6193" i="3"/>
  <c r="L6194" i="3"/>
  <c r="L6195" i="3"/>
  <c r="L6196" i="3"/>
  <c r="L6197" i="3"/>
  <c r="L6198" i="3"/>
  <c r="L6199" i="3"/>
  <c r="L6200" i="3"/>
  <c r="L6201" i="3"/>
  <c r="L6202" i="3"/>
  <c r="L6203" i="3"/>
  <c r="L6204" i="3"/>
  <c r="L6205" i="3"/>
  <c r="L6206" i="3"/>
  <c r="L6207" i="3"/>
  <c r="L6208" i="3"/>
  <c r="L6209" i="3"/>
  <c r="L6210" i="3"/>
  <c r="L6211" i="3"/>
  <c r="L6212" i="3"/>
  <c r="L6213" i="3"/>
  <c r="L6214" i="3"/>
  <c r="L6215" i="3"/>
  <c r="L6216" i="3"/>
  <c r="L6217" i="3"/>
  <c r="L6218" i="3"/>
  <c r="L6219" i="3"/>
  <c r="L6220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50" i="3"/>
  <c r="P3551" i="3"/>
  <c r="P3552" i="3"/>
  <c r="P3553" i="3"/>
  <c r="P3554" i="3"/>
  <c r="P3555" i="3"/>
  <c r="P3556" i="3"/>
  <c r="P3557" i="3"/>
  <c r="P3558" i="3"/>
  <c r="P3559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854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653" i="3"/>
  <c r="P4654" i="3"/>
  <c r="P4655" i="3"/>
  <c r="P4656" i="3"/>
  <c r="P4657" i="3"/>
  <c r="P4658" i="3"/>
  <c r="P4659" i="3"/>
  <c r="P4660" i="3"/>
  <c r="P4661" i="3"/>
  <c r="P4662" i="3"/>
  <c r="P4663" i="3"/>
  <c r="P4664" i="3"/>
  <c r="P4665" i="3"/>
  <c r="P4666" i="3"/>
  <c r="P4667" i="3"/>
  <c r="P4668" i="3"/>
  <c r="P4669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686" i="3"/>
  <c r="P4687" i="3"/>
  <c r="P4688" i="3"/>
  <c r="P4689" i="3"/>
  <c r="P4690" i="3"/>
  <c r="P4691" i="3"/>
  <c r="P4692" i="3"/>
  <c r="P4693" i="3"/>
  <c r="P4694" i="3"/>
  <c r="P4695" i="3"/>
  <c r="P4696" i="3"/>
  <c r="P4697" i="3"/>
  <c r="P4698" i="3"/>
  <c r="P4699" i="3"/>
  <c r="P4700" i="3"/>
  <c r="P4701" i="3"/>
  <c r="P4702" i="3"/>
  <c r="P4703" i="3"/>
  <c r="P4704" i="3"/>
  <c r="P4705" i="3"/>
  <c r="P4706" i="3"/>
  <c r="P4707" i="3"/>
  <c r="P4708" i="3"/>
  <c r="P4709" i="3"/>
  <c r="P4710" i="3"/>
  <c r="P4711" i="3"/>
  <c r="P4712" i="3"/>
  <c r="P4713" i="3"/>
  <c r="P4714" i="3"/>
  <c r="P4715" i="3"/>
  <c r="P4716" i="3"/>
  <c r="P4717" i="3"/>
  <c r="P4718" i="3"/>
  <c r="P4719" i="3"/>
  <c r="P4720" i="3"/>
  <c r="P4721" i="3"/>
  <c r="P4722" i="3"/>
  <c r="P4723" i="3"/>
  <c r="P4724" i="3"/>
  <c r="P4725" i="3"/>
  <c r="P4726" i="3"/>
  <c r="P4727" i="3"/>
  <c r="P4728" i="3"/>
  <c r="P4729" i="3"/>
  <c r="P4730" i="3"/>
  <c r="P4731" i="3"/>
  <c r="P4732" i="3"/>
  <c r="P4733" i="3"/>
  <c r="P4734" i="3"/>
  <c r="P4735" i="3"/>
  <c r="P4736" i="3"/>
  <c r="P4737" i="3"/>
  <c r="P4738" i="3"/>
  <c r="P4739" i="3"/>
  <c r="P4740" i="3"/>
  <c r="P4741" i="3"/>
  <c r="P5676" i="3"/>
  <c r="P5678" i="3"/>
  <c r="P5679" i="3"/>
  <c r="P5680" i="3"/>
  <c r="P5681" i="3"/>
  <c r="P5682" i="3"/>
  <c r="P5683" i="3"/>
  <c r="P5684" i="3"/>
  <c r="P5685" i="3"/>
  <c r="P5686" i="3"/>
  <c r="P5687" i="3"/>
  <c r="P5688" i="3"/>
  <c r="P5689" i="3"/>
  <c r="P5690" i="3"/>
  <c r="P5691" i="3"/>
  <c r="P5692" i="3"/>
  <c r="P5693" i="3"/>
  <c r="P5694" i="3"/>
  <c r="P5695" i="3"/>
  <c r="P5696" i="3"/>
  <c r="P5697" i="3"/>
  <c r="P5698" i="3"/>
  <c r="P5699" i="3"/>
  <c r="P5700" i="3"/>
  <c r="P5701" i="3"/>
  <c r="P5702" i="3"/>
  <c r="P5703" i="3"/>
  <c r="P5704" i="3"/>
  <c r="P5705" i="3"/>
  <c r="P5706" i="3"/>
  <c r="P5707" i="3"/>
  <c r="P5708" i="3"/>
  <c r="P5709" i="3"/>
  <c r="P5710" i="3"/>
  <c r="P5711" i="3"/>
  <c r="P5712" i="3"/>
  <c r="P5713" i="3"/>
  <c r="P5714" i="3"/>
  <c r="P5715" i="3"/>
  <c r="P5716" i="3"/>
  <c r="P5717" i="3"/>
  <c r="P5718" i="3"/>
  <c r="P5719" i="3"/>
  <c r="P5720" i="3"/>
  <c r="P5721" i="3"/>
  <c r="P5722" i="3"/>
  <c r="P5723" i="3"/>
  <c r="P5724" i="3"/>
  <c r="P5725" i="3"/>
  <c r="P5726" i="3"/>
  <c r="P5727" i="3"/>
  <c r="P5728" i="3"/>
  <c r="P6160" i="3"/>
  <c r="P6161" i="3"/>
  <c r="P6162" i="3"/>
  <c r="P6163" i="3"/>
  <c r="P6164" i="3"/>
  <c r="P6165" i="3"/>
  <c r="P6166" i="3"/>
  <c r="P6167" i="3"/>
  <c r="P6168" i="3"/>
  <c r="P6169" i="3"/>
  <c r="P6170" i="3"/>
  <c r="P6171" i="3"/>
  <c r="P6172" i="3"/>
  <c r="P6173" i="3"/>
  <c r="P6174" i="3"/>
  <c r="P6175" i="3"/>
  <c r="P6176" i="3"/>
  <c r="P6177" i="3"/>
  <c r="P6178" i="3"/>
  <c r="P6179" i="3"/>
  <c r="P6180" i="3"/>
  <c r="P6181" i="3"/>
  <c r="P6182" i="3"/>
  <c r="P6183" i="3"/>
  <c r="P6184" i="3"/>
  <c r="P6185" i="3"/>
  <c r="P6186" i="3"/>
  <c r="P6187" i="3"/>
  <c r="P6188" i="3"/>
  <c r="P6189" i="3"/>
  <c r="P6190" i="3"/>
  <c r="P6191" i="3"/>
  <c r="P6192" i="3"/>
  <c r="P6193" i="3"/>
  <c r="P6194" i="3"/>
  <c r="P6195" i="3"/>
  <c r="P6196" i="3"/>
  <c r="P6197" i="3"/>
  <c r="P6198" i="3"/>
  <c r="P6199" i="3"/>
  <c r="P6200" i="3"/>
  <c r="P6201" i="3"/>
  <c r="P6202" i="3"/>
  <c r="P6203" i="3"/>
  <c r="P6204" i="3"/>
  <c r="P6205" i="3"/>
  <c r="P6206" i="3"/>
  <c r="P6207" i="3"/>
  <c r="P6208" i="3"/>
  <c r="P6209" i="3"/>
  <c r="P6210" i="3"/>
  <c r="P6211" i="3"/>
  <c r="P6212" i="3"/>
  <c r="P6213" i="3"/>
  <c r="P6214" i="3"/>
  <c r="P6215" i="3"/>
  <c r="P6216" i="3"/>
  <c r="P6217" i="3"/>
  <c r="P6218" i="3"/>
  <c r="P6219" i="3"/>
  <c r="P6220" i="3"/>
  <c r="Q3" i="3"/>
  <c r="Q4" i="3"/>
  <c r="Q5" i="3"/>
  <c r="Q6" i="3"/>
  <c r="Q7" i="3"/>
  <c r="Q8" i="3"/>
  <c r="Q9" i="3"/>
  <c r="Q10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8" i="3"/>
  <c r="Q2667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5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6" i="3"/>
  <c r="Q4205" i="3"/>
  <c r="Q4207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5" i="3"/>
  <c r="Q4766" i="3"/>
  <c r="Q4767" i="3"/>
  <c r="Q4768" i="3"/>
  <c r="Q4769" i="3"/>
  <c r="Q4770" i="3"/>
  <c r="Q4771" i="3"/>
  <c r="Q4772" i="3"/>
  <c r="Q4773" i="3"/>
  <c r="Q4774" i="3"/>
  <c r="Q4775" i="3"/>
  <c r="Q4776" i="3"/>
  <c r="Q4777" i="3"/>
  <c r="Q4778" i="3"/>
  <c r="Q4779" i="3"/>
  <c r="Q4780" i="3"/>
  <c r="Q4781" i="3"/>
  <c r="Q4782" i="3"/>
  <c r="Q4783" i="3"/>
  <c r="Q4784" i="3"/>
  <c r="Q4785" i="3"/>
  <c r="Q4786" i="3"/>
  <c r="Q4787" i="3"/>
  <c r="Q4788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4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Q4838" i="3"/>
  <c r="Q4839" i="3"/>
  <c r="Q4840" i="3"/>
  <c r="Q4841" i="3"/>
  <c r="Q4842" i="3"/>
  <c r="Q4843" i="3"/>
  <c r="Q4844" i="3"/>
  <c r="Q4845" i="3"/>
  <c r="Q4846" i="3"/>
  <c r="Q4847" i="3"/>
  <c r="Q4848" i="3"/>
  <c r="Q4849" i="3"/>
  <c r="Q4850" i="3"/>
  <c r="Q4851" i="3"/>
  <c r="Q4852" i="3"/>
  <c r="Q4854" i="3"/>
  <c r="Q4853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6" i="3"/>
  <c r="Q4877" i="3"/>
  <c r="Q4878" i="3"/>
  <c r="Q4879" i="3"/>
  <c r="Q4880" i="3"/>
  <c r="Q4881" i="3"/>
  <c r="Q4882" i="3"/>
  <c r="Q4883" i="3"/>
  <c r="Q4884" i="3"/>
  <c r="Q4885" i="3"/>
  <c r="Q4886" i="3"/>
  <c r="Q4887" i="3"/>
  <c r="Q4888" i="3"/>
  <c r="Q4889" i="3"/>
  <c r="Q4890" i="3"/>
  <c r="Q4891" i="3"/>
  <c r="Q4892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8" i="3"/>
  <c r="Q4909" i="3"/>
  <c r="Q4910" i="3"/>
  <c r="Q4911" i="3"/>
  <c r="Q4912" i="3"/>
  <c r="Q4913" i="3"/>
  <c r="Q4914" i="3"/>
  <c r="Q4915" i="3"/>
  <c r="Q4916" i="3"/>
  <c r="Q4917" i="3"/>
  <c r="Q4918" i="3"/>
  <c r="Q4919" i="3"/>
  <c r="Q4920" i="3"/>
  <c r="Q4921" i="3"/>
  <c r="Q4922" i="3"/>
  <c r="Q4923" i="3"/>
  <c r="Q4924" i="3"/>
  <c r="Q4925" i="3"/>
  <c r="Q4926" i="3"/>
  <c r="Q4927" i="3"/>
  <c r="Q4928" i="3"/>
  <c r="Q4929" i="3"/>
  <c r="Q4930" i="3"/>
  <c r="Q4931" i="3"/>
  <c r="Q4932" i="3"/>
  <c r="Q4933" i="3"/>
  <c r="Q4934" i="3"/>
  <c r="Q4935" i="3"/>
  <c r="Q4936" i="3"/>
  <c r="Q4937" i="3"/>
  <c r="Q4938" i="3"/>
  <c r="Q4939" i="3"/>
  <c r="Q4940" i="3"/>
  <c r="Q4941" i="3"/>
  <c r="Q4942" i="3"/>
  <c r="Q4944" i="3"/>
  <c r="Q4943" i="3"/>
  <c r="Q4945" i="3"/>
  <c r="Q4946" i="3"/>
  <c r="Q4947" i="3"/>
  <c r="Q4948" i="3"/>
  <c r="Q4949" i="3"/>
  <c r="Q4950" i="3"/>
  <c r="Q4951" i="3"/>
  <c r="Q4952" i="3"/>
  <c r="Q4953" i="3"/>
  <c r="Q4954" i="3"/>
  <c r="Q4955" i="3"/>
  <c r="Q4956" i="3"/>
  <c r="Q4957" i="3"/>
  <c r="Q4958" i="3"/>
  <c r="Q4959" i="3"/>
  <c r="Q4960" i="3"/>
  <c r="Q4961" i="3"/>
  <c r="Q4962" i="3"/>
  <c r="Q4963" i="3"/>
  <c r="Q4964" i="3"/>
  <c r="Q4965" i="3"/>
  <c r="Q4966" i="3"/>
  <c r="Q4967" i="3"/>
  <c r="Q4968" i="3"/>
  <c r="Q4969" i="3"/>
  <c r="Q4970" i="3"/>
  <c r="Q4971" i="3"/>
  <c r="Q4973" i="3"/>
  <c r="Q4972" i="3"/>
  <c r="Q4974" i="3"/>
  <c r="Q4975" i="3"/>
  <c r="Q4976" i="3"/>
  <c r="Q4977" i="3"/>
  <c r="Q4978" i="3"/>
  <c r="Q4979" i="3"/>
  <c r="Q4980" i="3"/>
  <c r="Q4981" i="3"/>
  <c r="Q4982" i="3"/>
  <c r="Q4983" i="3"/>
  <c r="Q4984" i="3"/>
  <c r="Q4985" i="3"/>
  <c r="Q4986" i="3"/>
  <c r="Q4987" i="3"/>
  <c r="Q4988" i="3"/>
  <c r="Q4989" i="3"/>
  <c r="Q4990" i="3"/>
  <c r="Q4991" i="3"/>
  <c r="Q4992" i="3"/>
  <c r="Q4993" i="3"/>
  <c r="Q4994" i="3"/>
  <c r="Q4995" i="3"/>
  <c r="Q4996" i="3"/>
  <c r="Q4997" i="3"/>
  <c r="Q4998" i="3"/>
  <c r="Q4999" i="3"/>
  <c r="Q5000" i="3"/>
  <c r="Q5001" i="3"/>
  <c r="Q5002" i="3"/>
  <c r="Q5003" i="3"/>
  <c r="Q5004" i="3"/>
  <c r="Q5005" i="3"/>
  <c r="Q5006" i="3"/>
  <c r="Q5007" i="3"/>
  <c r="Q5008" i="3"/>
  <c r="Q5009" i="3"/>
  <c r="Q5010" i="3"/>
  <c r="Q5011" i="3"/>
  <c r="Q5012" i="3"/>
  <c r="Q5013" i="3"/>
  <c r="Q5014" i="3"/>
  <c r="Q5015" i="3"/>
  <c r="Q5016" i="3"/>
  <c r="Q5017" i="3"/>
  <c r="Q5018" i="3"/>
  <c r="Q5019" i="3"/>
  <c r="Q5020" i="3"/>
  <c r="Q5021" i="3"/>
  <c r="Q5022" i="3"/>
  <c r="Q5023" i="3"/>
  <c r="Q5024" i="3"/>
  <c r="Q5025" i="3"/>
  <c r="Q5026" i="3"/>
  <c r="Q5027" i="3"/>
  <c r="Q5028" i="3"/>
  <c r="Q5029" i="3"/>
  <c r="Q5030" i="3"/>
  <c r="Q5031" i="3"/>
  <c r="Q5032" i="3"/>
  <c r="Q5033" i="3"/>
  <c r="Q5034" i="3"/>
  <c r="Q5035" i="3"/>
  <c r="Q5036" i="3"/>
  <c r="Q5037" i="3"/>
  <c r="Q5038" i="3"/>
  <c r="Q5039" i="3"/>
  <c r="Q5040" i="3"/>
  <c r="Q5041" i="3"/>
  <c r="Q5042" i="3"/>
  <c r="Q5043" i="3"/>
  <c r="Q5044" i="3"/>
  <c r="Q5045" i="3"/>
  <c r="Q5046" i="3"/>
  <c r="Q5047" i="3"/>
  <c r="Q5048" i="3"/>
  <c r="Q5049" i="3"/>
  <c r="Q5050" i="3"/>
  <c r="Q5051" i="3"/>
  <c r="Q5052" i="3"/>
  <c r="Q5053" i="3"/>
  <c r="Q5054" i="3"/>
  <c r="Q5055" i="3"/>
  <c r="Q5056" i="3"/>
  <c r="Q5057" i="3"/>
  <c r="Q5058" i="3"/>
  <c r="Q5059" i="3"/>
  <c r="Q5060" i="3"/>
  <c r="Q5061" i="3"/>
  <c r="Q5062" i="3"/>
  <c r="Q5063" i="3"/>
  <c r="Q5064" i="3"/>
  <c r="Q5065" i="3"/>
  <c r="Q5066" i="3"/>
  <c r="Q5067" i="3"/>
  <c r="Q5068" i="3"/>
  <c r="Q5069" i="3"/>
  <c r="Q5070" i="3"/>
  <c r="Q5071" i="3"/>
  <c r="Q5072" i="3"/>
  <c r="Q5073" i="3"/>
  <c r="Q5074" i="3"/>
  <c r="Q5075" i="3"/>
  <c r="Q5076" i="3"/>
  <c r="Q5077" i="3"/>
  <c r="Q5078" i="3"/>
  <c r="Q5079" i="3"/>
  <c r="Q5080" i="3"/>
  <c r="Q5081" i="3"/>
  <c r="Q5082" i="3"/>
  <c r="Q5083" i="3"/>
  <c r="Q5084" i="3"/>
  <c r="Q5085" i="3"/>
  <c r="Q5086" i="3"/>
  <c r="Q5087" i="3"/>
  <c r="Q5088" i="3"/>
  <c r="Q5089" i="3"/>
  <c r="Q5090" i="3"/>
  <c r="Q5091" i="3"/>
  <c r="Q5092" i="3"/>
  <c r="Q5093" i="3"/>
  <c r="Q5094" i="3"/>
  <c r="Q5095" i="3"/>
  <c r="Q5096" i="3"/>
  <c r="Q5097" i="3"/>
  <c r="Q5098" i="3"/>
  <c r="Q5099" i="3"/>
  <c r="Q5100" i="3"/>
  <c r="Q5101" i="3"/>
  <c r="Q5102" i="3"/>
  <c r="Q5103" i="3"/>
  <c r="Q5104" i="3"/>
  <c r="Q5105" i="3"/>
  <c r="Q5106" i="3"/>
  <c r="Q5107" i="3"/>
  <c r="Q5108" i="3"/>
  <c r="Q5109" i="3"/>
  <c r="Q5110" i="3"/>
  <c r="Q5111" i="3"/>
  <c r="Q5112" i="3"/>
  <c r="Q5113" i="3"/>
  <c r="Q5114" i="3"/>
  <c r="Q5115" i="3"/>
  <c r="Q5116" i="3"/>
  <c r="Q5117" i="3"/>
  <c r="Q5118" i="3"/>
  <c r="Q5119" i="3"/>
  <c r="Q5120" i="3"/>
  <c r="Q5121" i="3"/>
  <c r="Q5122" i="3"/>
  <c r="Q5123" i="3"/>
  <c r="Q5124" i="3"/>
  <c r="Q5125" i="3"/>
  <c r="Q5126" i="3"/>
  <c r="Q5127" i="3"/>
  <c r="Q5128" i="3"/>
  <c r="Q5129" i="3"/>
  <c r="Q5130" i="3"/>
  <c r="Q5131" i="3"/>
  <c r="Q5132" i="3"/>
  <c r="Q5133" i="3"/>
  <c r="Q5134" i="3"/>
  <c r="Q5135" i="3"/>
  <c r="Q5136" i="3"/>
  <c r="Q5137" i="3"/>
  <c r="Q5138" i="3"/>
  <c r="Q5139" i="3"/>
  <c r="Q5140" i="3"/>
  <c r="Q5141" i="3"/>
  <c r="Q5142" i="3"/>
  <c r="Q5143" i="3"/>
  <c r="Q5144" i="3"/>
  <c r="Q5145" i="3"/>
  <c r="Q5146" i="3"/>
  <c r="Q5147" i="3"/>
  <c r="Q5148" i="3"/>
  <c r="Q5149" i="3"/>
  <c r="Q5150" i="3"/>
  <c r="Q5151" i="3"/>
  <c r="Q5152" i="3"/>
  <c r="Q5153" i="3"/>
  <c r="Q5154" i="3"/>
  <c r="Q5155" i="3"/>
  <c r="Q5156" i="3"/>
  <c r="Q5157" i="3"/>
  <c r="Q5158" i="3"/>
  <c r="Q5159" i="3"/>
  <c r="Q5160" i="3"/>
  <c r="Q5161" i="3"/>
  <c r="Q5162" i="3"/>
  <c r="Q5163" i="3"/>
  <c r="Q5164" i="3"/>
  <c r="Q5165" i="3"/>
  <c r="Q5166" i="3"/>
  <c r="Q5167" i="3"/>
  <c r="Q5168" i="3"/>
  <c r="Q5169" i="3"/>
  <c r="Q5170" i="3"/>
  <c r="Q5171" i="3"/>
  <c r="Q5172" i="3"/>
  <c r="Q5173" i="3"/>
  <c r="Q5174" i="3"/>
  <c r="Q5175" i="3"/>
  <c r="Q5176" i="3"/>
  <c r="Q5177" i="3"/>
  <c r="Q5178" i="3"/>
  <c r="Q5179" i="3"/>
  <c r="Q5180" i="3"/>
  <c r="Q5181" i="3"/>
  <c r="Q5182" i="3"/>
  <c r="Q5183" i="3"/>
  <c r="Q5184" i="3"/>
  <c r="Q5185" i="3"/>
  <c r="Q5186" i="3"/>
  <c r="Q5187" i="3"/>
  <c r="Q5188" i="3"/>
  <c r="Q5189" i="3"/>
  <c r="Q5190" i="3"/>
  <c r="Q5191" i="3"/>
  <c r="Q5192" i="3"/>
  <c r="Q5193" i="3"/>
  <c r="Q5194" i="3"/>
  <c r="Q5195" i="3"/>
  <c r="Q5196" i="3"/>
  <c r="Q5197" i="3"/>
  <c r="Q5198" i="3"/>
  <c r="Q5199" i="3"/>
  <c r="Q5200" i="3"/>
  <c r="Q5201" i="3"/>
  <c r="Q5202" i="3"/>
  <c r="Q5203" i="3"/>
  <c r="Q5204" i="3"/>
  <c r="Q5205" i="3"/>
  <c r="Q5206" i="3"/>
  <c r="Q5207" i="3"/>
  <c r="Q5208" i="3"/>
  <c r="Q5209" i="3"/>
  <c r="Q5210" i="3"/>
  <c r="Q5211" i="3"/>
  <c r="Q5212" i="3"/>
  <c r="Q5213" i="3"/>
  <c r="Q5214" i="3"/>
  <c r="Q5215" i="3"/>
  <c r="Q5216" i="3"/>
  <c r="Q5217" i="3"/>
  <c r="Q5218" i="3"/>
  <c r="Q5219" i="3"/>
  <c r="Q5220" i="3"/>
  <c r="Q5221" i="3"/>
  <c r="Q5222" i="3"/>
  <c r="Q5223" i="3"/>
  <c r="Q5224" i="3"/>
  <c r="Q5225" i="3"/>
  <c r="Q5226" i="3"/>
  <c r="Q5227" i="3"/>
  <c r="Q5228" i="3"/>
  <c r="Q5229" i="3"/>
  <c r="Q5230" i="3"/>
  <c r="Q5231" i="3"/>
  <c r="Q5232" i="3"/>
  <c r="Q5233" i="3"/>
  <c r="Q5234" i="3"/>
  <c r="Q5235" i="3"/>
  <c r="Q5236" i="3"/>
  <c r="Q5237" i="3"/>
  <c r="Q5238" i="3"/>
  <c r="Q5239" i="3"/>
  <c r="Q5240" i="3"/>
  <c r="Q5241" i="3"/>
  <c r="Q5242" i="3"/>
  <c r="Q5243" i="3"/>
  <c r="Q5244" i="3"/>
  <c r="Q5245" i="3"/>
  <c r="Q5246" i="3"/>
  <c r="Q5247" i="3"/>
  <c r="Q5248" i="3"/>
  <c r="Q5249" i="3"/>
  <c r="Q5250" i="3"/>
  <c r="Q5251" i="3"/>
  <c r="Q5252" i="3"/>
  <c r="Q5253" i="3"/>
  <c r="Q5254" i="3"/>
  <c r="Q5255" i="3"/>
  <c r="Q5256" i="3"/>
  <c r="Q5257" i="3"/>
  <c r="Q5258" i="3"/>
  <c r="Q5259" i="3"/>
  <c r="Q5260" i="3"/>
  <c r="Q5261" i="3"/>
  <c r="Q5262" i="3"/>
  <c r="Q5263" i="3"/>
  <c r="Q5264" i="3"/>
  <c r="Q5265" i="3"/>
  <c r="Q5266" i="3"/>
  <c r="Q5267" i="3"/>
  <c r="Q5268" i="3"/>
  <c r="Q5269" i="3"/>
  <c r="Q5270" i="3"/>
  <c r="Q5271" i="3"/>
  <c r="Q5272" i="3"/>
  <c r="Q5273" i="3"/>
  <c r="Q5274" i="3"/>
  <c r="Q5275" i="3"/>
  <c r="Q5276" i="3"/>
  <c r="Q5277" i="3"/>
  <c r="Q5278" i="3"/>
  <c r="Q5279" i="3"/>
  <c r="Q5280" i="3"/>
  <c r="Q5281" i="3"/>
  <c r="Q5282" i="3"/>
  <c r="Q5283" i="3"/>
  <c r="Q5284" i="3"/>
  <c r="Q5285" i="3"/>
  <c r="Q5286" i="3"/>
  <c r="Q5287" i="3"/>
  <c r="Q5288" i="3"/>
  <c r="Q5289" i="3"/>
  <c r="Q5290" i="3"/>
  <c r="Q5291" i="3"/>
  <c r="Q5292" i="3"/>
  <c r="Q5293" i="3"/>
  <c r="Q5294" i="3"/>
  <c r="Q5295" i="3"/>
  <c r="Q5296" i="3"/>
  <c r="Q5297" i="3"/>
  <c r="Q5298" i="3"/>
  <c r="Q5299" i="3"/>
  <c r="Q5300" i="3"/>
  <c r="Q5301" i="3"/>
  <c r="Q5302" i="3"/>
  <c r="Q5303" i="3"/>
  <c r="Q5304" i="3"/>
  <c r="Q5305" i="3"/>
  <c r="Q5306" i="3"/>
  <c r="Q5307" i="3"/>
  <c r="Q5308" i="3"/>
  <c r="Q5309" i="3"/>
  <c r="Q5310" i="3"/>
  <c r="Q5311" i="3"/>
  <c r="Q5312" i="3"/>
  <c r="Q5313" i="3"/>
  <c r="Q5314" i="3"/>
  <c r="Q5315" i="3"/>
  <c r="Q5316" i="3"/>
  <c r="Q5317" i="3"/>
  <c r="Q5318" i="3"/>
  <c r="Q5319" i="3"/>
  <c r="Q5320" i="3"/>
  <c r="Q5321" i="3"/>
  <c r="Q5322" i="3"/>
  <c r="Q5323" i="3"/>
  <c r="Q5324" i="3"/>
  <c r="Q5325" i="3"/>
  <c r="Q5326" i="3"/>
  <c r="Q5327" i="3"/>
  <c r="Q5328" i="3"/>
  <c r="Q5329" i="3"/>
  <c r="Q5330" i="3"/>
  <c r="Q5331" i="3"/>
  <c r="Q5332" i="3"/>
  <c r="Q5333" i="3"/>
  <c r="Q5334" i="3"/>
  <c r="Q5335" i="3"/>
  <c r="Q5336" i="3"/>
  <c r="Q5337" i="3"/>
  <c r="Q5338" i="3"/>
  <c r="Q5339" i="3"/>
  <c r="Q5340" i="3"/>
  <c r="Q5341" i="3"/>
  <c r="Q5342" i="3"/>
  <c r="Q5343" i="3"/>
  <c r="Q5344" i="3"/>
  <c r="Q5345" i="3"/>
  <c r="Q5346" i="3"/>
  <c r="Q5347" i="3"/>
  <c r="Q5348" i="3"/>
  <c r="Q5349" i="3"/>
  <c r="Q5350" i="3"/>
  <c r="Q5351" i="3"/>
  <c r="Q5352" i="3"/>
  <c r="Q5353" i="3"/>
  <c r="Q5354" i="3"/>
  <c r="Q5355" i="3"/>
  <c r="Q5356" i="3"/>
  <c r="Q5357" i="3"/>
  <c r="Q5358" i="3"/>
  <c r="Q5359" i="3"/>
  <c r="Q5360" i="3"/>
  <c r="Q5361" i="3"/>
  <c r="Q5363" i="3"/>
  <c r="Q5362" i="3"/>
  <c r="Q5364" i="3"/>
  <c r="Q5365" i="3"/>
  <c r="Q5366" i="3"/>
  <c r="Q5367" i="3"/>
  <c r="Q5368" i="3"/>
  <c r="Q5369" i="3"/>
  <c r="Q5370" i="3"/>
  <c r="Q5371" i="3"/>
  <c r="Q5372" i="3"/>
  <c r="Q5373" i="3"/>
  <c r="Q5374" i="3"/>
  <c r="Q5375" i="3"/>
  <c r="Q5376" i="3"/>
  <c r="Q5377" i="3"/>
  <c r="Q5378" i="3"/>
  <c r="Q5379" i="3"/>
  <c r="Q5380" i="3"/>
  <c r="Q5381" i="3"/>
  <c r="Q5382" i="3"/>
  <c r="Q5383" i="3"/>
  <c r="Q5384" i="3"/>
  <c r="Q5385" i="3"/>
  <c r="Q5386" i="3"/>
  <c r="Q5387" i="3"/>
  <c r="Q5388" i="3"/>
  <c r="Q5389" i="3"/>
  <c r="Q5390" i="3"/>
  <c r="Q5391" i="3"/>
  <c r="Q5392" i="3"/>
  <c r="Q5393" i="3"/>
  <c r="Q5394" i="3"/>
  <c r="Q5395" i="3"/>
  <c r="Q5396" i="3"/>
  <c r="Q5397" i="3"/>
  <c r="Q5398" i="3"/>
  <c r="Q5399" i="3"/>
  <c r="Q5400" i="3"/>
  <c r="Q5401" i="3"/>
  <c r="Q5402" i="3"/>
  <c r="Q5403" i="3"/>
  <c r="Q5404" i="3"/>
  <c r="Q5405" i="3"/>
  <c r="Q5406" i="3"/>
  <c r="Q5407" i="3"/>
  <c r="Q5408" i="3"/>
  <c r="Q5409" i="3"/>
  <c r="Q5410" i="3"/>
  <c r="Q5411" i="3"/>
  <c r="Q5412" i="3"/>
  <c r="Q5413" i="3"/>
  <c r="Q5414" i="3"/>
  <c r="Q5415" i="3"/>
  <c r="Q5416" i="3"/>
  <c r="Q5417" i="3"/>
  <c r="Q5418" i="3"/>
  <c r="Q5419" i="3"/>
  <c r="Q5420" i="3"/>
  <c r="Q5421" i="3"/>
  <c r="Q5422" i="3"/>
  <c r="Q5423" i="3"/>
  <c r="Q5424" i="3"/>
  <c r="Q5425" i="3"/>
  <c r="Q5426" i="3"/>
  <c r="Q5427" i="3"/>
  <c r="Q5428" i="3"/>
  <c r="Q5429" i="3"/>
  <c r="Q5430" i="3"/>
  <c r="Q5431" i="3"/>
  <c r="Q5432" i="3"/>
  <c r="Q5433" i="3"/>
  <c r="Q5434" i="3"/>
  <c r="Q5435" i="3"/>
  <c r="Q5436" i="3"/>
  <c r="Q5437" i="3"/>
  <c r="Q5438" i="3"/>
  <c r="Q5439" i="3"/>
  <c r="Q5440" i="3"/>
  <c r="Q5441" i="3"/>
  <c r="Q5442" i="3"/>
  <c r="Q5443" i="3"/>
  <c r="Q5444" i="3"/>
  <c r="Q5445" i="3"/>
  <c r="Q5446" i="3"/>
  <c r="Q5447" i="3"/>
  <c r="Q5448" i="3"/>
  <c r="Q5449" i="3"/>
  <c r="Q5450" i="3"/>
  <c r="Q5451" i="3"/>
  <c r="Q5452" i="3"/>
  <c r="Q5453" i="3"/>
  <c r="Q5454" i="3"/>
  <c r="Q5455" i="3"/>
  <c r="Q5456" i="3"/>
  <c r="Q5457" i="3"/>
  <c r="Q5458" i="3"/>
  <c r="Q5459" i="3"/>
  <c r="Q5460" i="3"/>
  <c r="Q5461" i="3"/>
  <c r="Q5462" i="3"/>
  <c r="Q5463" i="3"/>
  <c r="Q5464" i="3"/>
  <c r="Q5465" i="3"/>
  <c r="Q5466" i="3"/>
  <c r="Q5467" i="3"/>
  <c r="Q5468" i="3"/>
  <c r="Q5469" i="3"/>
  <c r="Q5470" i="3"/>
  <c r="Q5471" i="3"/>
  <c r="Q5472" i="3"/>
  <c r="Q5473" i="3"/>
  <c r="Q5474" i="3"/>
  <c r="Q5475" i="3"/>
  <c r="Q5476" i="3"/>
  <c r="Q5477" i="3"/>
  <c r="Q5478" i="3"/>
  <c r="Q5479" i="3"/>
  <c r="Q5480" i="3"/>
  <c r="Q5481" i="3"/>
  <c r="Q5482" i="3"/>
  <c r="Q5483" i="3"/>
  <c r="Q5484" i="3"/>
  <c r="Q5485" i="3"/>
  <c r="Q5486" i="3"/>
  <c r="Q5487" i="3"/>
  <c r="Q5488" i="3"/>
  <c r="Q5489" i="3"/>
  <c r="Q5490" i="3"/>
  <c r="Q5491" i="3"/>
  <c r="Q5492" i="3"/>
  <c r="Q5493" i="3"/>
  <c r="Q5494" i="3"/>
  <c r="Q5495" i="3"/>
  <c r="Q5496" i="3"/>
  <c r="Q5497" i="3"/>
  <c r="Q5498" i="3"/>
  <c r="Q5499" i="3"/>
  <c r="Q5500" i="3"/>
  <c r="Q5501" i="3"/>
  <c r="Q5502" i="3"/>
  <c r="Q5503" i="3"/>
  <c r="Q5504" i="3"/>
  <c r="Q5505" i="3"/>
  <c r="Q5506" i="3"/>
  <c r="Q5507" i="3"/>
  <c r="Q5508" i="3"/>
  <c r="Q5509" i="3"/>
  <c r="Q5510" i="3"/>
  <c r="Q5511" i="3"/>
  <c r="Q5512" i="3"/>
  <c r="Q5513" i="3"/>
  <c r="Q5514" i="3"/>
  <c r="Q5515" i="3"/>
  <c r="Q5516" i="3"/>
  <c r="Q5517" i="3"/>
  <c r="Q5518" i="3"/>
  <c r="Q5519" i="3"/>
  <c r="Q5520" i="3"/>
  <c r="Q5521" i="3"/>
  <c r="Q5522" i="3"/>
  <c r="Q5523" i="3"/>
  <c r="Q5524" i="3"/>
  <c r="Q5525" i="3"/>
  <c r="Q5526" i="3"/>
  <c r="Q5527" i="3"/>
  <c r="Q5528" i="3"/>
  <c r="Q5529" i="3"/>
  <c r="Q5530" i="3"/>
  <c r="Q5531" i="3"/>
  <c r="Q5532" i="3"/>
  <c r="Q5533" i="3"/>
  <c r="Q5534" i="3"/>
  <c r="Q5535" i="3"/>
  <c r="Q5536" i="3"/>
  <c r="Q5537" i="3"/>
  <c r="Q5538" i="3"/>
  <c r="Q5539" i="3"/>
  <c r="Q5540" i="3"/>
  <c r="Q5541" i="3"/>
  <c r="Q5542" i="3"/>
  <c r="Q5543" i="3"/>
  <c r="Q5544" i="3"/>
  <c r="Q5545" i="3"/>
  <c r="Q5546" i="3"/>
  <c r="Q5547" i="3"/>
  <c r="Q5548" i="3"/>
  <c r="Q5549" i="3"/>
  <c r="Q5550" i="3"/>
  <c r="Q5551" i="3"/>
  <c r="Q5552" i="3"/>
  <c r="Q5553" i="3"/>
  <c r="Q5554" i="3"/>
  <c r="Q5555" i="3"/>
  <c r="Q5556" i="3"/>
  <c r="Q5557" i="3"/>
  <c r="Q5558" i="3"/>
  <c r="Q5559" i="3"/>
  <c r="Q5560" i="3"/>
  <c r="Q5561" i="3"/>
  <c r="Q5562" i="3"/>
  <c r="Q5563" i="3"/>
  <c r="Q5564" i="3"/>
  <c r="Q5565" i="3"/>
  <c r="Q5566" i="3"/>
  <c r="Q5567" i="3"/>
  <c r="Q5568" i="3"/>
  <c r="Q5569" i="3"/>
  <c r="Q5570" i="3"/>
  <c r="Q5571" i="3"/>
  <c r="Q5572" i="3"/>
  <c r="Q5573" i="3"/>
  <c r="Q5574" i="3"/>
  <c r="Q5575" i="3"/>
  <c r="Q5576" i="3"/>
  <c r="Q5577" i="3"/>
  <c r="Q5578" i="3"/>
  <c r="Q5579" i="3"/>
  <c r="Q5580" i="3"/>
  <c r="Q5581" i="3"/>
  <c r="Q5582" i="3"/>
  <c r="Q5583" i="3"/>
  <c r="Q5584" i="3"/>
  <c r="Q5585" i="3"/>
  <c r="Q5586" i="3"/>
  <c r="Q5587" i="3"/>
  <c r="Q5588" i="3"/>
  <c r="Q5589" i="3"/>
  <c r="Q5590" i="3"/>
  <c r="Q5591" i="3"/>
  <c r="Q5592" i="3"/>
  <c r="Q5593" i="3"/>
  <c r="Q5594" i="3"/>
  <c r="Q5595" i="3"/>
  <c r="Q5596" i="3"/>
  <c r="Q5597" i="3"/>
  <c r="Q5598" i="3"/>
  <c r="Q5599" i="3"/>
  <c r="Q5600" i="3"/>
  <c r="Q5601" i="3"/>
  <c r="Q5602" i="3"/>
  <c r="Q5603" i="3"/>
  <c r="Q5604" i="3"/>
  <c r="Q5605" i="3"/>
  <c r="Q5606" i="3"/>
  <c r="Q5607" i="3"/>
  <c r="Q5608" i="3"/>
  <c r="Q5609" i="3"/>
  <c r="Q5610" i="3"/>
  <c r="Q5611" i="3"/>
  <c r="Q5612" i="3"/>
  <c r="Q5613" i="3"/>
  <c r="Q5614" i="3"/>
  <c r="Q5615" i="3"/>
  <c r="Q5616" i="3"/>
  <c r="Q5617" i="3"/>
  <c r="Q5618" i="3"/>
  <c r="Q5619" i="3"/>
  <c r="Q5620" i="3"/>
  <c r="Q5621" i="3"/>
  <c r="Q5622" i="3"/>
  <c r="Q5623" i="3"/>
  <c r="Q5624" i="3"/>
  <c r="Q5625" i="3"/>
  <c r="Q5626" i="3"/>
  <c r="Q5627" i="3"/>
  <c r="Q5628" i="3"/>
  <c r="Q5629" i="3"/>
  <c r="Q5630" i="3"/>
  <c r="Q5631" i="3"/>
  <c r="Q5632" i="3"/>
  <c r="Q5633" i="3"/>
  <c r="Q5634" i="3"/>
  <c r="Q5635" i="3"/>
  <c r="Q5636" i="3"/>
  <c r="Q5637" i="3"/>
  <c r="Q5638" i="3"/>
  <c r="Q5639" i="3"/>
  <c r="Q5640" i="3"/>
  <c r="Q5641" i="3"/>
  <c r="Q5642" i="3"/>
  <c r="Q5643" i="3"/>
  <c r="Q5644" i="3"/>
  <c r="Q5645" i="3"/>
  <c r="Q5646" i="3"/>
  <c r="Q5647" i="3"/>
  <c r="Q5648" i="3"/>
  <c r="Q5649" i="3"/>
  <c r="Q5650" i="3"/>
  <c r="Q5651" i="3"/>
  <c r="Q5652" i="3"/>
  <c r="Q5653" i="3"/>
  <c r="Q5654" i="3"/>
  <c r="Q5655" i="3"/>
  <c r="Q5656" i="3"/>
  <c r="Q5657" i="3"/>
  <c r="Q5658" i="3"/>
  <c r="Q5659" i="3"/>
  <c r="Q5660" i="3"/>
  <c r="Q5661" i="3"/>
  <c r="Q5662" i="3"/>
  <c r="Q5663" i="3"/>
  <c r="Q5664" i="3"/>
  <c r="Q5665" i="3"/>
  <c r="Q5666" i="3"/>
  <c r="Q5667" i="3"/>
  <c r="Q5668" i="3"/>
  <c r="Q5669" i="3"/>
  <c r="Q5670" i="3"/>
  <c r="Q5671" i="3"/>
  <c r="Q5672" i="3"/>
  <c r="Q5673" i="3"/>
  <c r="Q5674" i="3"/>
  <c r="Q5675" i="3"/>
  <c r="Q5677" i="3"/>
  <c r="Q5729" i="3"/>
  <c r="Q5730" i="3"/>
  <c r="Q5731" i="3"/>
  <c r="Q5732" i="3"/>
  <c r="Q5733" i="3"/>
  <c r="Q5734" i="3"/>
  <c r="Q5735" i="3"/>
  <c r="Q5736" i="3"/>
  <c r="Q5737" i="3"/>
  <c r="Q5738" i="3"/>
  <c r="Q5739" i="3"/>
  <c r="Q5740" i="3"/>
  <c r="Q5741" i="3"/>
  <c r="Q5742" i="3"/>
  <c r="Q5743" i="3"/>
  <c r="Q5744" i="3"/>
  <c r="Q5745" i="3"/>
  <c r="Q5746" i="3"/>
  <c r="Q5747" i="3"/>
  <c r="Q5748" i="3"/>
  <c r="Q5749" i="3"/>
  <c r="Q5750" i="3"/>
  <c r="Q5751" i="3"/>
  <c r="Q5752" i="3"/>
  <c r="Q5753" i="3"/>
  <c r="Q5754" i="3"/>
  <c r="Q5755" i="3"/>
  <c r="Q5756" i="3"/>
  <c r="Q5757" i="3"/>
  <c r="Q5758" i="3"/>
  <c r="Q5759" i="3"/>
  <c r="Q5760" i="3"/>
  <c r="Q5761" i="3"/>
  <c r="Q5762" i="3"/>
  <c r="Q5763" i="3"/>
  <c r="Q5764" i="3"/>
  <c r="Q5765" i="3"/>
  <c r="Q5766" i="3"/>
  <c r="Q5767" i="3"/>
  <c r="Q5768" i="3"/>
  <c r="Q5769" i="3"/>
  <c r="Q5770" i="3"/>
  <c r="Q5771" i="3"/>
  <c r="Q5772" i="3"/>
  <c r="Q5773" i="3"/>
  <c r="Q5774" i="3"/>
  <c r="Q5775" i="3"/>
  <c r="Q5776" i="3"/>
  <c r="Q5777" i="3"/>
  <c r="Q5778" i="3"/>
  <c r="Q5779" i="3"/>
  <c r="Q5780" i="3"/>
  <c r="Q5781" i="3"/>
  <c r="Q5782" i="3"/>
  <c r="Q5783" i="3"/>
  <c r="Q5784" i="3"/>
  <c r="Q5785" i="3"/>
  <c r="Q5786" i="3"/>
  <c r="Q5787" i="3"/>
  <c r="Q5788" i="3"/>
  <c r="Q5789" i="3"/>
  <c r="Q5790" i="3"/>
  <c r="Q5791" i="3"/>
  <c r="Q5792" i="3"/>
  <c r="Q5793" i="3"/>
  <c r="Q5794" i="3"/>
  <c r="Q5795" i="3"/>
  <c r="Q5796" i="3"/>
  <c r="Q5797" i="3"/>
  <c r="Q5798" i="3"/>
  <c r="Q5799" i="3"/>
  <c r="Q5800" i="3"/>
  <c r="Q5801" i="3"/>
  <c r="Q5802" i="3"/>
  <c r="Q5803" i="3"/>
  <c r="Q5804" i="3"/>
  <c r="Q5805" i="3"/>
  <c r="Q5806" i="3"/>
  <c r="Q5807" i="3"/>
  <c r="Q5808" i="3"/>
  <c r="Q5809" i="3"/>
  <c r="Q5810" i="3"/>
  <c r="Q5811" i="3"/>
  <c r="Q5812" i="3"/>
  <c r="Q5813" i="3"/>
  <c r="Q5814" i="3"/>
  <c r="Q5815" i="3"/>
  <c r="Q5816" i="3"/>
  <c r="Q5817" i="3"/>
  <c r="Q5818" i="3"/>
  <c r="Q5819" i="3"/>
  <c r="Q5820" i="3"/>
  <c r="Q5821" i="3"/>
  <c r="Q5822" i="3"/>
  <c r="Q5823" i="3"/>
  <c r="Q5824" i="3"/>
  <c r="Q5825" i="3"/>
  <c r="Q5826" i="3"/>
  <c r="Q5827" i="3"/>
  <c r="Q5828" i="3"/>
  <c r="Q5829" i="3"/>
  <c r="Q5830" i="3"/>
  <c r="Q5831" i="3"/>
  <c r="Q5832" i="3"/>
  <c r="Q5833" i="3"/>
  <c r="Q5834" i="3"/>
  <c r="Q5835" i="3"/>
  <c r="Q5836" i="3"/>
  <c r="Q5837" i="3"/>
  <c r="Q5838" i="3"/>
  <c r="Q5839" i="3"/>
  <c r="Q5840" i="3"/>
  <c r="Q5841" i="3"/>
  <c r="Q5842" i="3"/>
  <c r="Q5843" i="3"/>
  <c r="Q5844" i="3"/>
  <c r="Q5845" i="3"/>
  <c r="Q5846" i="3"/>
  <c r="Q5847" i="3"/>
  <c r="Q5848" i="3"/>
  <c r="Q5849" i="3"/>
  <c r="Q5850" i="3"/>
  <c r="Q5851" i="3"/>
  <c r="Q5852" i="3"/>
  <c r="Q5853" i="3"/>
  <c r="Q5854" i="3"/>
  <c r="Q5855" i="3"/>
  <c r="Q5856" i="3"/>
  <c r="Q5857" i="3"/>
  <c r="Q5858" i="3"/>
  <c r="Q5859" i="3"/>
  <c r="Q5860" i="3"/>
  <c r="Q5861" i="3"/>
  <c r="Q5862" i="3"/>
  <c r="Q5863" i="3"/>
  <c r="Q5864" i="3"/>
  <c r="Q5865" i="3"/>
  <c r="Q5866" i="3"/>
  <c r="Q5867" i="3"/>
  <c r="Q5868" i="3"/>
  <c r="Q5869" i="3"/>
  <c r="Q5870" i="3"/>
  <c r="Q5871" i="3"/>
  <c r="Q5872" i="3"/>
  <c r="Q5873" i="3"/>
  <c r="Q5874" i="3"/>
  <c r="Q5875" i="3"/>
  <c r="Q5876" i="3"/>
  <c r="Q5877" i="3"/>
  <c r="Q5878" i="3"/>
  <c r="Q5879" i="3"/>
  <c r="Q5880" i="3"/>
  <c r="Q5881" i="3"/>
  <c r="Q5882" i="3"/>
  <c r="Q5883" i="3"/>
  <c r="Q5884" i="3"/>
  <c r="Q5885" i="3"/>
  <c r="Q5886" i="3"/>
  <c r="Q5887" i="3"/>
  <c r="Q5888" i="3"/>
  <c r="Q5889" i="3"/>
  <c r="Q5890" i="3"/>
  <c r="Q5891" i="3"/>
  <c r="Q5892" i="3"/>
  <c r="Q5893" i="3"/>
  <c r="Q5894" i="3"/>
  <c r="Q5895" i="3"/>
  <c r="Q5896" i="3"/>
  <c r="Q5897" i="3"/>
  <c r="Q5898" i="3"/>
  <c r="Q5899" i="3"/>
  <c r="Q5900" i="3"/>
  <c r="Q5901" i="3"/>
  <c r="Q5902" i="3"/>
  <c r="Q5903" i="3"/>
  <c r="Q5904" i="3"/>
  <c r="Q5905" i="3"/>
  <c r="Q5906" i="3"/>
  <c r="Q5907" i="3"/>
  <c r="Q5908" i="3"/>
  <c r="Q5909" i="3"/>
  <c r="Q5910" i="3"/>
  <c r="Q5911" i="3"/>
  <c r="Q5912" i="3"/>
  <c r="Q5913" i="3"/>
  <c r="Q5914" i="3"/>
  <c r="Q5915" i="3"/>
  <c r="Q5916" i="3"/>
  <c r="Q5917" i="3"/>
  <c r="Q5918" i="3"/>
  <c r="Q5919" i="3"/>
  <c r="Q5920" i="3"/>
  <c r="Q5921" i="3"/>
  <c r="Q5922" i="3"/>
  <c r="Q5923" i="3"/>
  <c r="Q5924" i="3"/>
  <c r="Q5925" i="3"/>
  <c r="Q5926" i="3"/>
  <c r="Q5927" i="3"/>
  <c r="Q5928" i="3"/>
  <c r="Q5929" i="3"/>
  <c r="Q5930" i="3"/>
  <c r="Q5931" i="3"/>
  <c r="Q5932" i="3"/>
  <c r="Q5933" i="3"/>
  <c r="Q5934" i="3"/>
  <c r="Q5935" i="3"/>
  <c r="Q5936" i="3"/>
  <c r="Q5937" i="3"/>
  <c r="Q5938" i="3"/>
  <c r="Q5939" i="3"/>
  <c r="Q5940" i="3"/>
  <c r="Q5941" i="3"/>
  <c r="Q5942" i="3"/>
  <c r="Q5943" i="3"/>
  <c r="Q5944" i="3"/>
  <c r="Q5945" i="3"/>
  <c r="Q5946" i="3"/>
  <c r="Q5947" i="3"/>
  <c r="Q5948" i="3"/>
  <c r="Q5949" i="3"/>
  <c r="Q5950" i="3"/>
  <c r="Q5951" i="3"/>
  <c r="Q5952" i="3"/>
  <c r="Q5953" i="3"/>
  <c r="Q5954" i="3"/>
  <c r="Q5955" i="3"/>
  <c r="Q5956" i="3"/>
  <c r="Q5957" i="3"/>
  <c r="Q5958" i="3"/>
  <c r="Q5959" i="3"/>
  <c r="Q5960" i="3"/>
  <c r="Q5961" i="3"/>
  <c r="Q5962" i="3"/>
  <c r="Q5963" i="3"/>
  <c r="Q5964" i="3"/>
  <c r="Q5965" i="3"/>
  <c r="Q5966" i="3"/>
  <c r="Q5967" i="3"/>
  <c r="Q5968" i="3"/>
  <c r="Q5969" i="3"/>
  <c r="Q5970" i="3"/>
  <c r="Q5971" i="3"/>
  <c r="Q5972" i="3"/>
  <c r="Q5973" i="3"/>
  <c r="Q5974" i="3"/>
  <c r="Q5975" i="3"/>
  <c r="Q5976" i="3"/>
  <c r="Q5977" i="3"/>
  <c r="Q5978" i="3"/>
  <c r="Q5979" i="3"/>
  <c r="Q5980" i="3"/>
  <c r="Q5981" i="3"/>
  <c r="Q5982" i="3"/>
  <c r="Q5983" i="3"/>
  <c r="Q5984" i="3"/>
  <c r="Q5985" i="3"/>
  <c r="Q5986" i="3"/>
  <c r="Q5987" i="3"/>
  <c r="Q5988" i="3"/>
  <c r="Q5989" i="3"/>
  <c r="Q5990" i="3"/>
  <c r="Q5991" i="3"/>
  <c r="Q5992" i="3"/>
  <c r="Q5993" i="3"/>
  <c r="Q5994" i="3"/>
  <c r="Q5995" i="3"/>
  <c r="Q5996" i="3"/>
  <c r="Q5997" i="3"/>
  <c r="Q5998" i="3"/>
  <c r="Q5999" i="3"/>
  <c r="Q6000" i="3"/>
  <c r="Q6001" i="3"/>
  <c r="Q6002" i="3"/>
  <c r="Q6003" i="3"/>
  <c r="Q6004" i="3"/>
  <c r="Q6005" i="3"/>
  <c r="Q6006" i="3"/>
  <c r="Q6007" i="3"/>
  <c r="Q6008" i="3"/>
  <c r="Q6009" i="3"/>
  <c r="Q6010" i="3"/>
  <c r="Q6011" i="3"/>
  <c r="Q6012" i="3"/>
  <c r="Q6013" i="3"/>
  <c r="Q6014" i="3"/>
  <c r="Q6015" i="3"/>
  <c r="Q6016" i="3"/>
  <c r="Q6017" i="3"/>
  <c r="Q6018" i="3"/>
  <c r="Q6019" i="3"/>
  <c r="Q6020" i="3"/>
  <c r="Q6021" i="3"/>
  <c r="Q6022" i="3"/>
  <c r="Q6023" i="3"/>
  <c r="Q6024" i="3"/>
  <c r="Q6025" i="3"/>
  <c r="Q6026" i="3"/>
  <c r="Q6027" i="3"/>
  <c r="Q6028" i="3"/>
  <c r="Q6029" i="3"/>
  <c r="Q6030" i="3"/>
  <c r="Q6031" i="3"/>
  <c r="Q6032" i="3"/>
  <c r="Q6033" i="3"/>
  <c r="Q6034" i="3"/>
  <c r="Q6035" i="3"/>
  <c r="Q6036" i="3"/>
  <c r="Q6037" i="3"/>
  <c r="Q6038" i="3"/>
  <c r="Q6039" i="3"/>
  <c r="Q6040" i="3"/>
  <c r="Q6041" i="3"/>
  <c r="Q6042" i="3"/>
  <c r="Q6043" i="3"/>
  <c r="Q6044" i="3"/>
  <c r="Q6045" i="3"/>
  <c r="Q6046" i="3"/>
  <c r="Q6047" i="3"/>
  <c r="Q6048" i="3"/>
  <c r="Q6049" i="3"/>
  <c r="Q6050" i="3"/>
  <c r="Q6051" i="3"/>
  <c r="Q6052" i="3"/>
  <c r="Q6053" i="3"/>
  <c r="Q6054" i="3"/>
  <c r="Q6055" i="3"/>
  <c r="Q6056" i="3"/>
  <c r="Q6057" i="3"/>
  <c r="Q6058" i="3"/>
  <c r="Q6059" i="3"/>
  <c r="Q6060" i="3"/>
  <c r="Q6061" i="3"/>
  <c r="Q6062" i="3"/>
  <c r="Q6063" i="3"/>
  <c r="Q6064" i="3"/>
  <c r="Q6065" i="3"/>
  <c r="Q6066" i="3"/>
  <c r="Q6067" i="3"/>
  <c r="Q6068" i="3"/>
  <c r="Q6069" i="3"/>
  <c r="Q6070" i="3"/>
  <c r="Q6071" i="3"/>
  <c r="Q6072" i="3"/>
  <c r="Q6073" i="3"/>
  <c r="Q6074" i="3"/>
  <c r="Q6075" i="3"/>
  <c r="Q6076" i="3"/>
  <c r="Q6077" i="3"/>
  <c r="Q6078" i="3"/>
  <c r="Q6079" i="3"/>
  <c r="Q6080" i="3"/>
  <c r="Q6081" i="3"/>
  <c r="Q6082" i="3"/>
  <c r="Q6083" i="3"/>
  <c r="Q6084" i="3"/>
  <c r="Q6085" i="3"/>
  <c r="Q6086" i="3"/>
  <c r="Q6087" i="3"/>
  <c r="Q6088" i="3"/>
  <c r="Q6089" i="3"/>
  <c r="Q6090" i="3"/>
  <c r="Q6091" i="3"/>
  <c r="Q6092" i="3"/>
  <c r="Q6093" i="3"/>
  <c r="Q6094" i="3"/>
  <c r="Q6095" i="3"/>
  <c r="Q6096" i="3"/>
  <c r="Q6097" i="3"/>
  <c r="Q6098" i="3"/>
  <c r="Q6099" i="3"/>
  <c r="Q6100" i="3"/>
  <c r="Q6101" i="3"/>
  <c r="Q6102" i="3"/>
  <c r="Q6103" i="3"/>
  <c r="Q6104" i="3"/>
  <c r="Q6105" i="3"/>
  <c r="Q6106" i="3"/>
  <c r="Q6107" i="3"/>
  <c r="Q6108" i="3"/>
  <c r="Q6109" i="3"/>
  <c r="Q6110" i="3"/>
  <c r="Q6111" i="3"/>
  <c r="Q6112" i="3"/>
  <c r="Q6113" i="3"/>
  <c r="Q6114" i="3"/>
  <c r="Q6115" i="3"/>
  <c r="Q6116" i="3"/>
  <c r="Q6117" i="3"/>
  <c r="Q6118" i="3"/>
  <c r="Q6119" i="3"/>
  <c r="Q6120" i="3"/>
  <c r="Q6121" i="3"/>
  <c r="Q6122" i="3"/>
  <c r="Q6123" i="3"/>
  <c r="Q6124" i="3"/>
  <c r="Q6125" i="3"/>
  <c r="Q6126" i="3"/>
  <c r="Q6127" i="3"/>
  <c r="Q6128" i="3"/>
  <c r="Q6129" i="3"/>
  <c r="Q6130" i="3"/>
  <c r="Q6131" i="3"/>
  <c r="Q6132" i="3"/>
  <c r="Q6133" i="3"/>
  <c r="Q6134" i="3"/>
  <c r="Q6135" i="3"/>
  <c r="Q6136" i="3"/>
  <c r="Q6137" i="3"/>
  <c r="Q6138" i="3"/>
  <c r="Q6139" i="3"/>
  <c r="Q6140" i="3"/>
  <c r="Q6141" i="3"/>
  <c r="Q6142" i="3"/>
  <c r="Q6143" i="3"/>
  <c r="Q6144" i="3"/>
  <c r="Q6145" i="3"/>
  <c r="Q6146" i="3"/>
  <c r="Q6147" i="3"/>
  <c r="Q6148" i="3"/>
  <c r="Q6149" i="3"/>
  <c r="Q6150" i="3"/>
  <c r="Q6151" i="3"/>
  <c r="Q6152" i="3"/>
  <c r="Q6153" i="3"/>
  <c r="Q6154" i="3"/>
  <c r="Q6155" i="3"/>
  <c r="Q6156" i="3"/>
  <c r="Q6157" i="3"/>
  <c r="Q6158" i="3"/>
  <c r="Q6159" i="3"/>
  <c r="Q6221" i="3"/>
  <c r="Q6222" i="3"/>
  <c r="Q6223" i="3"/>
  <c r="Q6224" i="3"/>
  <c r="Q6225" i="3"/>
  <c r="Q6226" i="3"/>
  <c r="Q6227" i="3"/>
  <c r="Q6228" i="3"/>
  <c r="Q6229" i="3"/>
  <c r="Q6230" i="3"/>
  <c r="Q6231" i="3"/>
  <c r="Q6232" i="3"/>
  <c r="Q6233" i="3"/>
  <c r="Q6234" i="3"/>
  <c r="Q6235" i="3"/>
  <c r="Q6236" i="3"/>
  <c r="Q6237" i="3"/>
  <c r="Q6238" i="3"/>
  <c r="Q6239" i="3"/>
  <c r="Q6240" i="3"/>
  <c r="Q6241" i="3"/>
  <c r="Q6242" i="3"/>
  <c r="Q6243" i="3"/>
  <c r="Q6244" i="3"/>
  <c r="Q6245" i="3"/>
  <c r="Q6246" i="3"/>
  <c r="Q6247" i="3"/>
  <c r="Q6248" i="3"/>
  <c r="Q6249" i="3"/>
  <c r="Q6250" i="3"/>
  <c r="Q6251" i="3"/>
  <c r="Q6252" i="3"/>
  <c r="Q6253" i="3"/>
  <c r="Q6254" i="3"/>
  <c r="Q6255" i="3"/>
  <c r="Q6256" i="3"/>
  <c r="Q6257" i="3"/>
  <c r="Q6258" i="3"/>
  <c r="Q6259" i="3"/>
  <c r="Q6260" i="3"/>
  <c r="Q6261" i="3"/>
  <c r="Q6262" i="3"/>
  <c r="Q6263" i="3"/>
  <c r="Q6264" i="3"/>
  <c r="Q6265" i="3"/>
  <c r="Q6266" i="3"/>
  <c r="Q6267" i="3"/>
  <c r="Q6268" i="3"/>
  <c r="Q6269" i="3"/>
  <c r="Q6270" i="3"/>
  <c r="Q6271" i="3"/>
  <c r="Q6272" i="3"/>
  <c r="Q6273" i="3"/>
  <c r="Q6274" i="3"/>
  <c r="Q6275" i="3"/>
  <c r="Q6276" i="3"/>
  <c r="Q6277" i="3"/>
  <c r="Q6278" i="3"/>
  <c r="Q6279" i="3"/>
  <c r="Q6280" i="3"/>
  <c r="Q6281" i="3"/>
  <c r="Q6282" i="3"/>
  <c r="Q6283" i="3"/>
  <c r="Q6284" i="3"/>
  <c r="Q6285" i="3"/>
  <c r="Q6286" i="3"/>
  <c r="Q6287" i="3"/>
  <c r="Q6288" i="3"/>
  <c r="Q6289" i="3"/>
  <c r="Q6290" i="3"/>
  <c r="Q6291" i="3"/>
  <c r="Q6292" i="3"/>
  <c r="Q6293" i="3"/>
  <c r="Q6294" i="3"/>
  <c r="Q6295" i="3"/>
  <c r="Q6296" i="3"/>
  <c r="Q6297" i="3"/>
  <c r="Q6298" i="3"/>
  <c r="Q6299" i="3"/>
  <c r="Q6300" i="3"/>
  <c r="Q6301" i="3"/>
  <c r="Q6302" i="3"/>
  <c r="Q6303" i="3"/>
  <c r="Q6304" i="3"/>
  <c r="Q6305" i="3"/>
  <c r="Q6306" i="3"/>
  <c r="Q6307" i="3"/>
  <c r="Q6308" i="3"/>
  <c r="Q6309" i="3"/>
  <c r="Q6310" i="3"/>
  <c r="Q6311" i="3"/>
  <c r="Q6312" i="3"/>
  <c r="Q6313" i="3"/>
  <c r="Q6314" i="3"/>
  <c r="Q6315" i="3"/>
  <c r="Q6316" i="3"/>
  <c r="Q6317" i="3"/>
  <c r="Q6318" i="3"/>
  <c r="Q6319" i="3"/>
  <c r="Q6320" i="3"/>
  <c r="Q6321" i="3"/>
  <c r="Q6322" i="3"/>
  <c r="Q6323" i="3"/>
  <c r="Q6324" i="3"/>
  <c r="Q6325" i="3"/>
  <c r="Q6326" i="3"/>
  <c r="Q6327" i="3"/>
  <c r="Q6328" i="3"/>
  <c r="Q6329" i="3"/>
  <c r="Q6330" i="3"/>
  <c r="Q6331" i="3"/>
  <c r="Q6332" i="3"/>
  <c r="Q6333" i="3"/>
  <c r="Q6334" i="3"/>
  <c r="Q6335" i="3"/>
  <c r="Q6336" i="3"/>
  <c r="Q6337" i="3"/>
  <c r="Q6338" i="3"/>
  <c r="Q6339" i="3"/>
  <c r="Q6340" i="3"/>
  <c r="Q6341" i="3"/>
  <c r="Q6342" i="3"/>
  <c r="Q6343" i="3"/>
  <c r="Q6344" i="3"/>
  <c r="Q6345" i="3"/>
  <c r="Q6346" i="3"/>
  <c r="Q6347" i="3"/>
  <c r="Q6348" i="3"/>
  <c r="Q6349" i="3"/>
  <c r="Q6350" i="3"/>
  <c r="Q6351" i="3"/>
  <c r="Q6352" i="3"/>
  <c r="Q6353" i="3"/>
  <c r="Q6354" i="3"/>
  <c r="Q6355" i="3"/>
  <c r="Q6356" i="3"/>
  <c r="Q6357" i="3"/>
  <c r="Q6358" i="3"/>
  <c r="Q6359" i="3"/>
  <c r="Q6360" i="3"/>
  <c r="Q6361" i="3"/>
  <c r="Q6362" i="3"/>
  <c r="Q6363" i="3"/>
  <c r="Q6364" i="3"/>
  <c r="Q6365" i="3"/>
  <c r="Q6366" i="3"/>
  <c r="Q6367" i="3"/>
  <c r="Q6368" i="3"/>
  <c r="Q6369" i="3"/>
  <c r="Q6370" i="3"/>
  <c r="Q6371" i="3"/>
  <c r="Q6372" i="3"/>
  <c r="Q6373" i="3"/>
  <c r="Q6374" i="3"/>
  <c r="Q6375" i="3"/>
  <c r="Q6376" i="3"/>
  <c r="Q6377" i="3"/>
  <c r="Q6378" i="3"/>
  <c r="Q6379" i="3"/>
  <c r="Q6380" i="3"/>
  <c r="Q6381" i="3"/>
  <c r="Q6382" i="3"/>
  <c r="Q6383" i="3"/>
  <c r="Q6384" i="3"/>
  <c r="Q6385" i="3"/>
  <c r="Q6386" i="3"/>
  <c r="Q6387" i="3"/>
  <c r="Q6389" i="3"/>
  <c r="Q6388" i="3"/>
  <c r="Q6390" i="3"/>
  <c r="Q6391" i="3"/>
  <c r="Q6392" i="3"/>
  <c r="Q6393" i="3"/>
  <c r="Q6394" i="3"/>
  <c r="Q6395" i="3"/>
  <c r="Q6396" i="3"/>
  <c r="Q6397" i="3"/>
  <c r="Q6398" i="3"/>
  <c r="Q6399" i="3"/>
  <c r="Q6400" i="3"/>
  <c r="Q6401" i="3"/>
  <c r="Q6402" i="3"/>
  <c r="Q6403" i="3"/>
  <c r="Q6404" i="3"/>
  <c r="Q6405" i="3"/>
  <c r="Q6406" i="3"/>
  <c r="Q6407" i="3"/>
  <c r="Q6408" i="3"/>
  <c r="Q6409" i="3"/>
  <c r="Q6410" i="3"/>
  <c r="Q6411" i="3"/>
  <c r="Q6412" i="3"/>
  <c r="Q6413" i="3"/>
  <c r="Q6414" i="3"/>
  <c r="Q6415" i="3"/>
  <c r="Q6416" i="3"/>
  <c r="Q6417" i="3"/>
  <c r="Q6418" i="3"/>
  <c r="Q6419" i="3"/>
  <c r="Q6420" i="3"/>
  <c r="Q6421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50" i="3"/>
  <c r="Q3551" i="3"/>
  <c r="Q3552" i="3"/>
  <c r="Q3553" i="3"/>
  <c r="Q3554" i="3"/>
  <c r="Q3555" i="3"/>
  <c r="Q3556" i="3"/>
  <c r="Q3557" i="3"/>
  <c r="Q3558" i="3"/>
  <c r="Q3559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854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5676" i="3"/>
  <c r="Q5678" i="3"/>
  <c r="Q5679" i="3"/>
  <c r="Q5680" i="3"/>
  <c r="Q5681" i="3"/>
  <c r="Q5682" i="3"/>
  <c r="Q5683" i="3"/>
  <c r="Q5684" i="3"/>
  <c r="Q5685" i="3"/>
  <c r="Q5686" i="3"/>
  <c r="Q5687" i="3"/>
  <c r="Q5688" i="3"/>
  <c r="Q5689" i="3"/>
  <c r="Q5690" i="3"/>
  <c r="Q5691" i="3"/>
  <c r="Q5692" i="3"/>
  <c r="Q5693" i="3"/>
  <c r="Q5694" i="3"/>
  <c r="Q5695" i="3"/>
  <c r="Q5696" i="3"/>
  <c r="Q5697" i="3"/>
  <c r="Q5698" i="3"/>
  <c r="Q5699" i="3"/>
  <c r="Q5700" i="3"/>
  <c r="Q5701" i="3"/>
  <c r="Q5702" i="3"/>
  <c r="Q5703" i="3"/>
  <c r="Q5704" i="3"/>
  <c r="Q5705" i="3"/>
  <c r="Q5706" i="3"/>
  <c r="Q5707" i="3"/>
  <c r="Q5708" i="3"/>
  <c r="Q5709" i="3"/>
  <c r="Q5710" i="3"/>
  <c r="Q5711" i="3"/>
  <c r="Q5712" i="3"/>
  <c r="Q5713" i="3"/>
  <c r="Q5714" i="3"/>
  <c r="Q5715" i="3"/>
  <c r="Q5716" i="3"/>
  <c r="Q5717" i="3"/>
  <c r="Q5718" i="3"/>
  <c r="Q5719" i="3"/>
  <c r="Q5720" i="3"/>
  <c r="Q5721" i="3"/>
  <c r="Q5722" i="3"/>
  <c r="Q5723" i="3"/>
  <c r="Q5724" i="3"/>
  <c r="Q5725" i="3"/>
  <c r="Q5726" i="3"/>
  <c r="Q5727" i="3"/>
  <c r="Q5728" i="3"/>
  <c r="Q6160" i="3"/>
  <c r="Q6161" i="3"/>
  <c r="Q6162" i="3"/>
  <c r="Q6163" i="3"/>
  <c r="Q6164" i="3"/>
  <c r="Q6165" i="3"/>
  <c r="Q6166" i="3"/>
  <c r="Q6167" i="3"/>
  <c r="Q6168" i="3"/>
  <c r="Q6169" i="3"/>
  <c r="Q6170" i="3"/>
  <c r="Q6171" i="3"/>
  <c r="Q6172" i="3"/>
  <c r="Q6173" i="3"/>
  <c r="Q6174" i="3"/>
  <c r="Q6175" i="3"/>
  <c r="Q6176" i="3"/>
  <c r="Q6177" i="3"/>
  <c r="Q6178" i="3"/>
  <c r="Q6179" i="3"/>
  <c r="Q6180" i="3"/>
  <c r="Q6181" i="3"/>
  <c r="Q6182" i="3"/>
  <c r="Q6183" i="3"/>
  <c r="Q6184" i="3"/>
  <c r="Q6185" i="3"/>
  <c r="Q6186" i="3"/>
  <c r="Q6187" i="3"/>
  <c r="Q6188" i="3"/>
  <c r="Q6189" i="3"/>
  <c r="Q6190" i="3"/>
  <c r="Q6191" i="3"/>
  <c r="Q6192" i="3"/>
  <c r="Q6193" i="3"/>
  <c r="Q6194" i="3"/>
  <c r="Q6195" i="3"/>
  <c r="Q6196" i="3"/>
  <c r="Q6197" i="3"/>
  <c r="Q6198" i="3"/>
  <c r="Q6199" i="3"/>
  <c r="Q6200" i="3"/>
  <c r="Q6201" i="3"/>
  <c r="Q6202" i="3"/>
  <c r="Q6203" i="3"/>
  <c r="Q6204" i="3"/>
  <c r="Q6205" i="3"/>
  <c r="Q6206" i="3"/>
  <c r="Q6207" i="3"/>
  <c r="Q6208" i="3"/>
  <c r="Q6209" i="3"/>
  <c r="Q6210" i="3"/>
  <c r="Q6211" i="3"/>
  <c r="Q6212" i="3"/>
  <c r="Q6213" i="3"/>
  <c r="Q6214" i="3"/>
  <c r="Q6215" i="3"/>
  <c r="Q6216" i="3"/>
  <c r="Q6217" i="3"/>
  <c r="Q6218" i="3"/>
  <c r="Q6219" i="3"/>
  <c r="Q6220" i="3"/>
  <c r="Q2" i="3"/>
  <c r="S6220" i="3" l="1"/>
  <c r="T6220" i="3" s="1"/>
  <c r="S6212" i="3"/>
  <c r="T6212" i="3" s="1"/>
  <c r="S6200" i="3"/>
  <c r="T6200" i="3" s="1"/>
  <c r="S6196" i="3"/>
  <c r="T6196" i="3" s="1"/>
  <c r="S6184" i="3"/>
  <c r="T6184" i="3" s="1"/>
  <c r="S6172" i="3"/>
  <c r="T6172" i="3" s="1"/>
  <c r="S6164" i="3"/>
  <c r="T6164" i="3" s="1"/>
  <c r="S5727" i="3"/>
  <c r="T5727" i="3" s="1"/>
  <c r="S5715" i="3"/>
  <c r="T5715" i="3" s="1"/>
  <c r="S5703" i="3"/>
  <c r="T5703" i="3" s="1"/>
  <c r="S5691" i="3"/>
  <c r="T5691" i="3" s="1"/>
  <c r="S5683" i="3"/>
  <c r="T5683" i="3" s="1"/>
  <c r="S4734" i="3"/>
  <c r="T4734" i="3" s="1"/>
  <c r="S4726" i="3"/>
  <c r="T4726" i="3" s="1"/>
  <c r="S4718" i="3"/>
  <c r="T4718" i="3" s="1"/>
  <c r="S4706" i="3"/>
  <c r="T4706" i="3" s="1"/>
  <c r="S4694" i="3"/>
  <c r="T4694" i="3" s="1"/>
  <c r="S4686" i="3"/>
  <c r="T4686" i="3" s="1"/>
  <c r="S4678" i="3"/>
  <c r="T4678" i="3" s="1"/>
  <c r="S4666" i="3"/>
  <c r="T4666" i="3" s="1"/>
  <c r="S4654" i="3"/>
  <c r="T4654" i="3" s="1"/>
  <c r="S4066" i="3"/>
  <c r="T4066" i="3" s="1"/>
  <c r="S4058" i="3"/>
  <c r="T4058" i="3" s="1"/>
  <c r="S3972" i="3"/>
  <c r="T3972" i="3" s="1"/>
  <c r="S3960" i="3"/>
  <c r="T3960" i="3" s="1"/>
  <c r="S3877" i="3"/>
  <c r="T3877" i="3" s="1"/>
  <c r="S3873" i="3"/>
  <c r="T3873" i="3" s="1"/>
  <c r="S3869" i="3"/>
  <c r="T3869" i="3" s="1"/>
  <c r="S3857" i="3"/>
  <c r="T3857" i="3" s="1"/>
  <c r="S3715" i="3"/>
  <c r="T3715" i="3" s="1"/>
  <c r="S3559" i="3"/>
  <c r="T3559" i="3" s="1"/>
  <c r="S3551" i="3"/>
  <c r="T3551" i="3" s="1"/>
  <c r="S3495" i="3"/>
  <c r="T3495" i="3" s="1"/>
  <c r="S3483" i="3"/>
  <c r="T3483" i="3" s="1"/>
  <c r="S3471" i="3"/>
  <c r="T3471" i="3" s="1"/>
  <c r="S3467" i="3"/>
  <c r="T3467" i="3" s="1"/>
  <c r="S3455" i="3"/>
  <c r="T3455" i="3" s="1"/>
  <c r="S3443" i="3"/>
  <c r="T3443" i="3" s="1"/>
  <c r="S3431" i="3"/>
  <c r="T3431" i="3" s="1"/>
  <c r="S3419" i="3"/>
  <c r="T3419" i="3" s="1"/>
  <c r="S3415" i="3"/>
  <c r="T3415" i="3" s="1"/>
  <c r="S3403" i="3"/>
  <c r="T3403" i="3" s="1"/>
  <c r="S3395" i="3"/>
  <c r="T3395" i="3" s="1"/>
  <c r="S3387" i="3"/>
  <c r="T3387" i="3" s="1"/>
  <c r="S2891" i="3"/>
  <c r="T2891" i="3" s="1"/>
  <c r="S2887" i="3"/>
  <c r="T2887" i="3" s="1"/>
  <c r="S2875" i="3"/>
  <c r="T2875" i="3" s="1"/>
  <c r="S2863" i="3"/>
  <c r="T2863" i="3" s="1"/>
  <c r="S2855" i="3"/>
  <c r="T2855" i="3" s="1"/>
  <c r="S2847" i="3"/>
  <c r="T2847" i="3" s="1"/>
  <c r="S2411" i="3"/>
  <c r="T2411" i="3" s="1"/>
  <c r="S2403" i="3"/>
  <c r="T2403" i="3" s="1"/>
  <c r="S2308" i="3"/>
  <c r="T2308" i="3" s="1"/>
  <c r="S2300" i="3"/>
  <c r="T2300" i="3" s="1"/>
  <c r="S2229" i="3"/>
  <c r="T2229" i="3" s="1"/>
  <c r="S2217" i="3"/>
  <c r="T2217" i="3" s="1"/>
  <c r="S2205" i="3"/>
  <c r="T2205" i="3" s="1"/>
  <c r="S2201" i="3"/>
  <c r="T2201" i="3" s="1"/>
  <c r="S2189" i="3"/>
  <c r="T2189" i="3" s="1"/>
  <c r="S2177" i="3"/>
  <c r="T2177" i="3" s="1"/>
  <c r="S6216" i="3"/>
  <c r="T6216" i="3" s="1"/>
  <c r="S6208" i="3"/>
  <c r="T6208" i="3" s="1"/>
  <c r="S6192" i="3"/>
  <c r="T6192" i="3" s="1"/>
  <c r="S6180" i="3"/>
  <c r="T6180" i="3" s="1"/>
  <c r="S6168" i="3"/>
  <c r="T6168" i="3" s="1"/>
  <c r="S5719" i="3"/>
  <c r="T5719" i="3" s="1"/>
  <c r="S5711" i="3"/>
  <c r="T5711" i="3" s="1"/>
  <c r="S5699" i="3"/>
  <c r="T5699" i="3" s="1"/>
  <c r="S5687" i="3"/>
  <c r="T5687" i="3" s="1"/>
  <c r="S4738" i="3"/>
  <c r="T4738" i="3" s="1"/>
  <c r="S4722" i="3"/>
  <c r="T4722" i="3" s="1"/>
  <c r="S4714" i="3"/>
  <c r="T4714" i="3" s="1"/>
  <c r="S4702" i="3"/>
  <c r="T4702" i="3" s="1"/>
  <c r="S4690" i="3"/>
  <c r="T4690" i="3" s="1"/>
  <c r="S4670" i="3"/>
  <c r="T4670" i="3" s="1"/>
  <c r="S4662" i="3"/>
  <c r="T4662" i="3" s="1"/>
  <c r="S4074" i="3"/>
  <c r="T4074" i="3" s="1"/>
  <c r="S4062" i="3"/>
  <c r="T4062" i="3" s="1"/>
  <c r="S3968" i="3"/>
  <c r="T3968" i="3" s="1"/>
  <c r="S3956" i="3"/>
  <c r="T3956" i="3" s="1"/>
  <c r="S3865" i="3"/>
  <c r="T3865" i="3" s="1"/>
  <c r="S3723" i="3"/>
  <c r="T3723" i="3" s="1"/>
  <c r="S3711" i="3"/>
  <c r="T3711" i="3" s="1"/>
  <c r="S3555" i="3"/>
  <c r="T3555" i="3" s="1"/>
  <c r="S3491" i="3"/>
  <c r="T3491" i="3" s="1"/>
  <c r="S3479" i="3"/>
  <c r="T3479" i="3" s="1"/>
  <c r="S3463" i="3"/>
  <c r="T3463" i="3" s="1"/>
  <c r="S3451" i="3"/>
  <c r="T3451" i="3" s="1"/>
  <c r="S3435" i="3"/>
  <c r="T3435" i="3" s="1"/>
  <c r="S3427" i="3"/>
  <c r="T3427" i="3" s="1"/>
  <c r="S3411" i="3"/>
  <c r="T3411" i="3" s="1"/>
  <c r="S3399" i="3"/>
  <c r="T3399" i="3" s="1"/>
  <c r="S2899" i="3"/>
  <c r="T2899" i="3" s="1"/>
  <c r="S2883" i="3"/>
  <c r="T2883" i="3" s="1"/>
  <c r="S2871" i="3"/>
  <c r="T2871" i="3" s="1"/>
  <c r="S2859" i="3"/>
  <c r="T2859" i="3" s="1"/>
  <c r="S2843" i="3"/>
  <c r="T2843" i="3" s="1"/>
  <c r="S2415" i="3"/>
  <c r="T2415" i="3" s="1"/>
  <c r="S2407" i="3"/>
  <c r="T2407" i="3" s="1"/>
  <c r="S2312" i="3"/>
  <c r="T2312" i="3" s="1"/>
  <c r="S2233" i="3"/>
  <c r="T2233" i="3" s="1"/>
  <c r="S2221" i="3"/>
  <c r="T2221" i="3" s="1"/>
  <c r="S2209" i="3"/>
  <c r="T2209" i="3" s="1"/>
  <c r="S2197" i="3"/>
  <c r="T2197" i="3" s="1"/>
  <c r="S2181" i="3"/>
  <c r="T2181" i="3" s="1"/>
  <c r="S6204" i="3"/>
  <c r="T6204" i="3" s="1"/>
  <c r="S6188" i="3"/>
  <c r="T6188" i="3" s="1"/>
  <c r="S6176" i="3"/>
  <c r="T6176" i="3" s="1"/>
  <c r="S6160" i="3"/>
  <c r="T6160" i="3" s="1"/>
  <c r="S5723" i="3"/>
  <c r="T5723" i="3" s="1"/>
  <c r="S5707" i="3"/>
  <c r="T5707" i="3" s="1"/>
  <c r="S5695" i="3"/>
  <c r="T5695" i="3" s="1"/>
  <c r="S5679" i="3"/>
  <c r="T5679" i="3" s="1"/>
  <c r="S4730" i="3"/>
  <c r="T4730" i="3" s="1"/>
  <c r="S4710" i="3"/>
  <c r="T4710" i="3" s="1"/>
  <c r="S4698" i="3"/>
  <c r="T4698" i="3" s="1"/>
  <c r="S4682" i="3"/>
  <c r="T4682" i="3" s="1"/>
  <c r="S4674" i="3"/>
  <c r="T4674" i="3" s="1"/>
  <c r="S4658" i="3"/>
  <c r="T4658" i="3" s="1"/>
  <c r="S4070" i="3"/>
  <c r="T4070" i="3" s="1"/>
  <c r="S3976" i="3"/>
  <c r="T3976" i="3" s="1"/>
  <c r="S3964" i="3"/>
  <c r="T3964" i="3" s="1"/>
  <c r="S3881" i="3"/>
  <c r="T3881" i="3" s="1"/>
  <c r="S3861" i="3"/>
  <c r="T3861" i="3" s="1"/>
  <c r="S3719" i="3"/>
  <c r="T3719" i="3" s="1"/>
  <c r="S3707" i="3"/>
  <c r="T3707" i="3" s="1"/>
  <c r="S3499" i="3"/>
  <c r="T3499" i="3" s="1"/>
  <c r="S3487" i="3"/>
  <c r="T3487" i="3" s="1"/>
  <c r="S3475" i="3"/>
  <c r="T3475" i="3" s="1"/>
  <c r="S3459" i="3"/>
  <c r="T3459" i="3" s="1"/>
  <c r="S3447" i="3"/>
  <c r="T3447" i="3" s="1"/>
  <c r="S3439" i="3"/>
  <c r="T3439" i="3" s="1"/>
  <c r="S3423" i="3"/>
  <c r="T3423" i="3" s="1"/>
  <c r="S3407" i="3"/>
  <c r="T3407" i="3" s="1"/>
  <c r="S3391" i="3"/>
  <c r="T3391" i="3" s="1"/>
  <c r="S2895" i="3"/>
  <c r="T2895" i="3" s="1"/>
  <c r="S2879" i="3"/>
  <c r="T2879" i="3" s="1"/>
  <c r="S2867" i="3"/>
  <c r="T2867" i="3" s="1"/>
  <c r="S2851" i="3"/>
  <c r="T2851" i="3" s="1"/>
  <c r="S2839" i="3"/>
  <c r="T2839" i="3" s="1"/>
  <c r="S2399" i="3"/>
  <c r="T2399" i="3" s="1"/>
  <c r="S2304" i="3"/>
  <c r="T2304" i="3" s="1"/>
  <c r="S2225" i="3"/>
  <c r="T2225" i="3" s="1"/>
  <c r="S2213" i="3"/>
  <c r="T2213" i="3" s="1"/>
  <c r="S2193" i="3"/>
  <c r="T2193" i="3" s="1"/>
  <c r="S2185" i="3"/>
  <c r="T2185" i="3" s="1"/>
  <c r="S6217" i="3"/>
  <c r="T6217" i="3" s="1"/>
  <c r="S6213" i="3"/>
  <c r="T6213" i="3" s="1"/>
  <c r="S6209" i="3"/>
  <c r="T6209" i="3" s="1"/>
  <c r="S6205" i="3"/>
  <c r="T6205" i="3" s="1"/>
  <c r="S6201" i="3"/>
  <c r="T6201" i="3" s="1"/>
  <c r="S6197" i="3"/>
  <c r="T6197" i="3" s="1"/>
  <c r="S6193" i="3"/>
  <c r="T6193" i="3" s="1"/>
  <c r="S6189" i="3"/>
  <c r="T6189" i="3" s="1"/>
  <c r="S6185" i="3"/>
  <c r="T6185" i="3" s="1"/>
  <c r="S6181" i="3"/>
  <c r="T6181" i="3" s="1"/>
  <c r="S6177" i="3"/>
  <c r="T6177" i="3" s="1"/>
  <c r="S6173" i="3"/>
  <c r="T6173" i="3" s="1"/>
  <c r="S6169" i="3"/>
  <c r="T6169" i="3" s="1"/>
  <c r="S6165" i="3"/>
  <c r="T6165" i="3" s="1"/>
  <c r="S6161" i="3"/>
  <c r="T6161" i="3" s="1"/>
  <c r="S5728" i="3"/>
  <c r="T5728" i="3" s="1"/>
  <c r="S5724" i="3"/>
  <c r="T5724" i="3" s="1"/>
  <c r="S5720" i="3"/>
  <c r="T5720" i="3" s="1"/>
  <c r="S5716" i="3"/>
  <c r="T5716" i="3" s="1"/>
  <c r="S5712" i="3"/>
  <c r="T5712" i="3" s="1"/>
  <c r="S5708" i="3"/>
  <c r="T5708" i="3" s="1"/>
  <c r="S5704" i="3"/>
  <c r="T5704" i="3" s="1"/>
  <c r="S5700" i="3"/>
  <c r="T5700" i="3" s="1"/>
  <c r="S5696" i="3"/>
  <c r="T5696" i="3" s="1"/>
  <c r="S5692" i="3"/>
  <c r="T5692" i="3" s="1"/>
  <c r="S5688" i="3"/>
  <c r="T5688" i="3" s="1"/>
  <c r="S5684" i="3"/>
  <c r="T5684" i="3" s="1"/>
  <c r="S5680" i="3"/>
  <c r="T5680" i="3" s="1"/>
  <c r="S4739" i="3"/>
  <c r="T4739" i="3" s="1"/>
  <c r="S4735" i="3"/>
  <c r="T4735" i="3" s="1"/>
  <c r="S4731" i="3"/>
  <c r="T4731" i="3" s="1"/>
  <c r="S4727" i="3"/>
  <c r="T4727" i="3" s="1"/>
  <c r="S4723" i="3"/>
  <c r="T4723" i="3" s="1"/>
  <c r="S4719" i="3"/>
  <c r="T4719" i="3" s="1"/>
  <c r="S4715" i="3"/>
  <c r="T4715" i="3" s="1"/>
  <c r="S4711" i="3"/>
  <c r="T4711" i="3" s="1"/>
  <c r="S4707" i="3"/>
  <c r="T4707" i="3" s="1"/>
  <c r="S4703" i="3"/>
  <c r="T4703" i="3" s="1"/>
  <c r="S4699" i="3"/>
  <c r="T4699" i="3" s="1"/>
  <c r="S4695" i="3"/>
  <c r="T4695" i="3" s="1"/>
  <c r="S4691" i="3"/>
  <c r="T4691" i="3" s="1"/>
  <c r="S4687" i="3"/>
  <c r="T4687" i="3" s="1"/>
  <c r="S4683" i="3"/>
  <c r="T4683" i="3" s="1"/>
  <c r="S4679" i="3"/>
  <c r="T4679" i="3" s="1"/>
  <c r="S4675" i="3"/>
  <c r="T4675" i="3" s="1"/>
  <c r="S4671" i="3"/>
  <c r="T4671" i="3" s="1"/>
  <c r="S4667" i="3"/>
  <c r="T4667" i="3" s="1"/>
  <c r="S4663" i="3"/>
  <c r="T4663" i="3" s="1"/>
  <c r="S4659" i="3"/>
  <c r="T4659" i="3" s="1"/>
  <c r="S4655" i="3"/>
  <c r="T4655" i="3" s="1"/>
  <c r="S4075" i="3"/>
  <c r="T4075" i="3" s="1"/>
  <c r="S4071" i="3"/>
  <c r="T4071" i="3" s="1"/>
  <c r="S4067" i="3"/>
  <c r="T4067" i="3" s="1"/>
  <c r="S4063" i="3"/>
  <c r="T4063" i="3" s="1"/>
  <c r="S4059" i="3"/>
  <c r="T4059" i="3" s="1"/>
  <c r="S4055" i="3"/>
  <c r="T4055" i="3" s="1"/>
  <c r="S3973" i="3"/>
  <c r="T3973" i="3" s="1"/>
  <c r="S3969" i="3"/>
  <c r="T3969" i="3" s="1"/>
  <c r="S3965" i="3"/>
  <c r="T3965" i="3" s="1"/>
  <c r="S3961" i="3"/>
  <c r="T3961" i="3" s="1"/>
  <c r="S3957" i="3"/>
  <c r="T3957" i="3" s="1"/>
  <c r="S3882" i="3"/>
  <c r="T3882" i="3" s="1"/>
  <c r="S3878" i="3"/>
  <c r="T3878" i="3" s="1"/>
  <c r="S3874" i="3"/>
  <c r="T3874" i="3" s="1"/>
  <c r="S3870" i="3"/>
  <c r="T3870" i="3" s="1"/>
  <c r="S3866" i="3"/>
  <c r="T3866" i="3" s="1"/>
  <c r="S3862" i="3"/>
  <c r="T3862" i="3" s="1"/>
  <c r="S3858" i="3"/>
  <c r="T3858" i="3" s="1"/>
  <c r="S3724" i="3"/>
  <c r="T3724" i="3" s="1"/>
  <c r="S3720" i="3"/>
  <c r="T3720" i="3" s="1"/>
  <c r="S3716" i="3"/>
  <c r="T3716" i="3" s="1"/>
  <c r="S3712" i="3"/>
  <c r="T3712" i="3" s="1"/>
  <c r="S3708" i="3"/>
  <c r="T3708" i="3" s="1"/>
  <c r="S3704" i="3"/>
  <c r="T3704" i="3" s="1"/>
  <c r="S3556" i="3"/>
  <c r="T3556" i="3" s="1"/>
  <c r="S3552" i="3"/>
  <c r="T3552" i="3" s="1"/>
  <c r="S3500" i="3"/>
  <c r="T3500" i="3" s="1"/>
  <c r="S3496" i="3"/>
  <c r="T3496" i="3" s="1"/>
  <c r="S3492" i="3"/>
  <c r="T3492" i="3" s="1"/>
  <c r="S3488" i="3"/>
  <c r="T3488" i="3" s="1"/>
  <c r="S3484" i="3"/>
  <c r="T3484" i="3" s="1"/>
  <c r="S3480" i="3"/>
  <c r="T3480" i="3" s="1"/>
  <c r="S3476" i="3"/>
  <c r="T3476" i="3" s="1"/>
  <c r="S3472" i="3"/>
  <c r="T3472" i="3" s="1"/>
  <c r="S3468" i="3"/>
  <c r="T3468" i="3" s="1"/>
  <c r="S3464" i="3"/>
  <c r="T3464" i="3" s="1"/>
  <c r="S3460" i="3"/>
  <c r="T3460" i="3" s="1"/>
  <c r="S3456" i="3"/>
  <c r="T3456" i="3" s="1"/>
  <c r="S3452" i="3"/>
  <c r="T3452" i="3" s="1"/>
  <c r="S3448" i="3"/>
  <c r="T3448" i="3" s="1"/>
  <c r="S3444" i="3"/>
  <c r="T3444" i="3" s="1"/>
  <c r="S3440" i="3"/>
  <c r="T3440" i="3" s="1"/>
  <c r="S3436" i="3"/>
  <c r="T3436" i="3" s="1"/>
  <c r="S3432" i="3"/>
  <c r="T3432" i="3" s="1"/>
  <c r="S3428" i="3"/>
  <c r="T3428" i="3" s="1"/>
  <c r="S3424" i="3"/>
  <c r="T3424" i="3" s="1"/>
  <c r="S3420" i="3"/>
  <c r="T3420" i="3" s="1"/>
  <c r="S3416" i="3"/>
  <c r="T3416" i="3" s="1"/>
  <c r="S3412" i="3"/>
  <c r="T3412" i="3" s="1"/>
  <c r="S3408" i="3"/>
  <c r="T3408" i="3" s="1"/>
  <c r="S3404" i="3"/>
  <c r="T3404" i="3" s="1"/>
  <c r="S3400" i="3"/>
  <c r="T3400" i="3" s="1"/>
  <c r="S3396" i="3"/>
  <c r="T3396" i="3" s="1"/>
  <c r="S3392" i="3"/>
  <c r="T3392" i="3" s="1"/>
  <c r="S3388" i="3"/>
  <c r="T3388" i="3" s="1"/>
  <c r="S3384" i="3"/>
  <c r="T3384" i="3" s="1"/>
  <c r="S2896" i="3"/>
  <c r="T2896" i="3" s="1"/>
  <c r="S2892" i="3"/>
  <c r="T2892" i="3" s="1"/>
  <c r="S2888" i="3"/>
  <c r="T2888" i="3" s="1"/>
  <c r="S2884" i="3"/>
  <c r="T2884" i="3" s="1"/>
  <c r="S2880" i="3"/>
  <c r="T2880" i="3" s="1"/>
  <c r="S2876" i="3"/>
  <c r="T2876" i="3" s="1"/>
  <c r="S2872" i="3"/>
  <c r="T2872" i="3" s="1"/>
  <c r="S2868" i="3"/>
  <c r="T2868" i="3" s="1"/>
  <c r="S2864" i="3"/>
  <c r="T2864" i="3" s="1"/>
  <c r="S2860" i="3"/>
  <c r="T2860" i="3" s="1"/>
  <c r="S2856" i="3"/>
  <c r="T2856" i="3" s="1"/>
  <c r="S2852" i="3"/>
  <c r="T2852" i="3" s="1"/>
  <c r="S2848" i="3"/>
  <c r="T2848" i="3" s="1"/>
  <c r="S2844" i="3"/>
  <c r="T2844" i="3" s="1"/>
  <c r="S2840" i="3"/>
  <c r="T2840" i="3" s="1"/>
  <c r="S2836" i="3"/>
  <c r="T2836" i="3" s="1"/>
  <c r="S2412" i="3"/>
  <c r="T2412" i="3" s="1"/>
  <c r="S2408" i="3"/>
  <c r="T2408" i="3" s="1"/>
  <c r="S2404" i="3"/>
  <c r="T2404" i="3" s="1"/>
  <c r="S2400" i="3"/>
  <c r="T2400" i="3" s="1"/>
  <c r="S2313" i="3"/>
  <c r="T2313" i="3" s="1"/>
  <c r="S2309" i="3"/>
  <c r="T2309" i="3" s="1"/>
  <c r="S2305" i="3"/>
  <c r="T2305" i="3" s="1"/>
  <c r="S2301" i="3"/>
  <c r="T2301" i="3" s="1"/>
  <c r="S2234" i="3"/>
  <c r="T2234" i="3" s="1"/>
  <c r="S2230" i="3"/>
  <c r="T2230" i="3" s="1"/>
  <c r="S2226" i="3"/>
  <c r="T2226" i="3" s="1"/>
  <c r="S2222" i="3"/>
  <c r="T2222" i="3" s="1"/>
  <c r="S2218" i="3"/>
  <c r="T2218" i="3" s="1"/>
  <c r="S2214" i="3"/>
  <c r="T2214" i="3" s="1"/>
  <c r="S2210" i="3"/>
  <c r="T2210" i="3" s="1"/>
  <c r="S2206" i="3"/>
  <c r="T2206" i="3" s="1"/>
  <c r="S2202" i="3"/>
  <c r="T2202" i="3" s="1"/>
  <c r="S2198" i="3"/>
  <c r="T2198" i="3" s="1"/>
  <c r="S2194" i="3"/>
  <c r="T2194" i="3" s="1"/>
  <c r="S2190" i="3"/>
  <c r="T2190" i="3" s="1"/>
  <c r="S2186" i="3"/>
  <c r="T2186" i="3" s="1"/>
  <c r="S2182" i="3"/>
  <c r="T2182" i="3" s="1"/>
  <c r="S2178" i="3"/>
  <c r="T2178" i="3" s="1"/>
  <c r="S6219" i="3"/>
  <c r="T6219" i="3" s="1"/>
  <c r="S6215" i="3"/>
  <c r="T6215" i="3" s="1"/>
  <c r="S6211" i="3"/>
  <c r="T6211" i="3" s="1"/>
  <c r="S6207" i="3"/>
  <c r="T6207" i="3" s="1"/>
  <c r="S6203" i="3"/>
  <c r="T6203" i="3" s="1"/>
  <c r="S6199" i="3"/>
  <c r="T6199" i="3" s="1"/>
  <c r="S6195" i="3"/>
  <c r="T6195" i="3" s="1"/>
  <c r="S6191" i="3"/>
  <c r="T6191" i="3" s="1"/>
  <c r="S6187" i="3"/>
  <c r="T6187" i="3" s="1"/>
  <c r="S6183" i="3"/>
  <c r="T6183" i="3" s="1"/>
  <c r="S6179" i="3"/>
  <c r="T6179" i="3" s="1"/>
  <c r="S6175" i="3"/>
  <c r="T6175" i="3" s="1"/>
  <c r="S6171" i="3"/>
  <c r="T6171" i="3" s="1"/>
  <c r="S6167" i="3"/>
  <c r="T6167" i="3" s="1"/>
  <c r="S6163" i="3"/>
  <c r="T6163" i="3" s="1"/>
  <c r="S5726" i="3"/>
  <c r="T5726" i="3" s="1"/>
  <c r="S5722" i="3"/>
  <c r="T5722" i="3" s="1"/>
  <c r="S5718" i="3"/>
  <c r="T5718" i="3" s="1"/>
  <c r="S5714" i="3"/>
  <c r="T5714" i="3" s="1"/>
  <c r="S5710" i="3"/>
  <c r="T5710" i="3" s="1"/>
  <c r="S5706" i="3"/>
  <c r="T5706" i="3" s="1"/>
  <c r="S5702" i="3"/>
  <c r="T5702" i="3" s="1"/>
  <c r="S5698" i="3"/>
  <c r="T5698" i="3" s="1"/>
  <c r="S5694" i="3"/>
  <c r="T5694" i="3" s="1"/>
  <c r="S5690" i="3"/>
  <c r="T5690" i="3" s="1"/>
  <c r="S5686" i="3"/>
  <c r="T5686" i="3" s="1"/>
  <c r="S5682" i="3"/>
  <c r="T5682" i="3" s="1"/>
  <c r="S5678" i="3"/>
  <c r="T5678" i="3" s="1"/>
  <c r="S4741" i="3"/>
  <c r="T4741" i="3" s="1"/>
  <c r="S4737" i="3"/>
  <c r="T4737" i="3" s="1"/>
  <c r="S4733" i="3"/>
  <c r="T4733" i="3" s="1"/>
  <c r="S4729" i="3"/>
  <c r="T4729" i="3" s="1"/>
  <c r="S4725" i="3"/>
  <c r="T4725" i="3" s="1"/>
  <c r="S4721" i="3"/>
  <c r="T4721" i="3" s="1"/>
  <c r="S4717" i="3"/>
  <c r="T4717" i="3" s="1"/>
  <c r="S4713" i="3"/>
  <c r="T4713" i="3" s="1"/>
  <c r="S4709" i="3"/>
  <c r="T4709" i="3" s="1"/>
  <c r="S4705" i="3"/>
  <c r="T4705" i="3" s="1"/>
  <c r="S4701" i="3"/>
  <c r="T4701" i="3" s="1"/>
  <c r="S4697" i="3"/>
  <c r="T4697" i="3" s="1"/>
  <c r="S4693" i="3"/>
  <c r="T4693" i="3" s="1"/>
  <c r="S4689" i="3"/>
  <c r="T4689" i="3" s="1"/>
  <c r="S4685" i="3"/>
  <c r="T4685" i="3" s="1"/>
  <c r="S4681" i="3"/>
  <c r="T4681" i="3" s="1"/>
  <c r="S4677" i="3"/>
  <c r="T4677" i="3" s="1"/>
  <c r="S4673" i="3"/>
  <c r="T4673" i="3" s="1"/>
  <c r="S4669" i="3"/>
  <c r="T4669" i="3" s="1"/>
  <c r="S4665" i="3"/>
  <c r="T4665" i="3" s="1"/>
  <c r="S4661" i="3"/>
  <c r="T4661" i="3" s="1"/>
  <c r="S4657" i="3"/>
  <c r="T4657" i="3" s="1"/>
  <c r="S4653" i="3"/>
  <c r="T4653" i="3" s="1"/>
  <c r="S4073" i="3"/>
  <c r="T4073" i="3" s="1"/>
  <c r="S4069" i="3"/>
  <c r="T4069" i="3" s="1"/>
  <c r="S4065" i="3"/>
  <c r="T4065" i="3" s="1"/>
  <c r="S4061" i="3"/>
  <c r="T4061" i="3" s="1"/>
  <c r="S4057" i="3"/>
  <c r="T4057" i="3" s="1"/>
  <c r="S3975" i="3"/>
  <c r="T3975" i="3" s="1"/>
  <c r="S3971" i="3"/>
  <c r="T3971" i="3" s="1"/>
  <c r="S3967" i="3"/>
  <c r="T3967" i="3" s="1"/>
  <c r="S3963" i="3"/>
  <c r="T3963" i="3" s="1"/>
  <c r="S3959" i="3"/>
  <c r="T3959" i="3" s="1"/>
  <c r="S3884" i="3"/>
  <c r="T3884" i="3" s="1"/>
  <c r="S3880" i="3"/>
  <c r="T3880" i="3" s="1"/>
  <c r="S3876" i="3"/>
  <c r="T3876" i="3" s="1"/>
  <c r="S3872" i="3"/>
  <c r="T3872" i="3" s="1"/>
  <c r="S3868" i="3"/>
  <c r="T3868" i="3" s="1"/>
  <c r="S3864" i="3"/>
  <c r="T3864" i="3" s="1"/>
  <c r="S3860" i="3"/>
  <c r="T3860" i="3" s="1"/>
  <c r="S3856" i="3"/>
  <c r="T3856" i="3" s="1"/>
  <c r="S3722" i="3"/>
  <c r="T3722" i="3" s="1"/>
  <c r="S3718" i="3"/>
  <c r="T3718" i="3" s="1"/>
  <c r="S3714" i="3"/>
  <c r="T3714" i="3" s="1"/>
  <c r="S3710" i="3"/>
  <c r="T3710" i="3" s="1"/>
  <c r="S3706" i="3"/>
  <c r="T3706" i="3" s="1"/>
  <c r="S3558" i="3"/>
  <c r="T3558" i="3" s="1"/>
  <c r="S3554" i="3"/>
  <c r="T3554" i="3" s="1"/>
  <c r="S3550" i="3"/>
  <c r="T3550" i="3" s="1"/>
  <c r="S3498" i="3"/>
  <c r="T3498" i="3" s="1"/>
  <c r="S3494" i="3"/>
  <c r="T3494" i="3" s="1"/>
  <c r="S3490" i="3"/>
  <c r="T3490" i="3" s="1"/>
  <c r="S3486" i="3"/>
  <c r="T3486" i="3" s="1"/>
  <c r="S3482" i="3"/>
  <c r="T3482" i="3" s="1"/>
  <c r="S3478" i="3"/>
  <c r="T3478" i="3" s="1"/>
  <c r="S3474" i="3"/>
  <c r="T3474" i="3" s="1"/>
  <c r="S3470" i="3"/>
  <c r="T3470" i="3" s="1"/>
  <c r="S3466" i="3"/>
  <c r="T3466" i="3" s="1"/>
  <c r="S3462" i="3"/>
  <c r="T3462" i="3" s="1"/>
  <c r="S3458" i="3"/>
  <c r="T3458" i="3" s="1"/>
  <c r="S3454" i="3"/>
  <c r="T3454" i="3" s="1"/>
  <c r="S3450" i="3"/>
  <c r="T3450" i="3" s="1"/>
  <c r="S3446" i="3"/>
  <c r="T3446" i="3" s="1"/>
  <c r="S3442" i="3"/>
  <c r="T3442" i="3" s="1"/>
  <c r="S3438" i="3"/>
  <c r="T3438" i="3" s="1"/>
  <c r="S3434" i="3"/>
  <c r="T3434" i="3" s="1"/>
  <c r="S3430" i="3"/>
  <c r="T3430" i="3" s="1"/>
  <c r="S3426" i="3"/>
  <c r="T3426" i="3" s="1"/>
  <c r="S3422" i="3"/>
  <c r="T3422" i="3" s="1"/>
  <c r="S3418" i="3"/>
  <c r="T3418" i="3" s="1"/>
  <c r="S3414" i="3"/>
  <c r="T3414" i="3" s="1"/>
  <c r="S3410" i="3"/>
  <c r="T3410" i="3" s="1"/>
  <c r="S3406" i="3"/>
  <c r="T3406" i="3" s="1"/>
  <c r="S3402" i="3"/>
  <c r="T3402" i="3" s="1"/>
  <c r="S3398" i="3"/>
  <c r="T3398" i="3" s="1"/>
  <c r="S3394" i="3"/>
  <c r="T3394" i="3" s="1"/>
  <c r="S3390" i="3"/>
  <c r="T3390" i="3" s="1"/>
  <c r="S3386" i="3"/>
  <c r="T3386" i="3" s="1"/>
  <c r="S2898" i="3"/>
  <c r="T2898" i="3" s="1"/>
  <c r="S2894" i="3"/>
  <c r="T2894" i="3" s="1"/>
  <c r="S2890" i="3"/>
  <c r="T2890" i="3" s="1"/>
  <c r="S2886" i="3"/>
  <c r="T2886" i="3" s="1"/>
  <c r="S2882" i="3"/>
  <c r="T2882" i="3" s="1"/>
  <c r="S2878" i="3"/>
  <c r="T2878" i="3" s="1"/>
  <c r="S2874" i="3"/>
  <c r="T2874" i="3" s="1"/>
  <c r="S2870" i="3"/>
  <c r="T2870" i="3" s="1"/>
  <c r="S2866" i="3"/>
  <c r="T2866" i="3" s="1"/>
  <c r="S2862" i="3"/>
  <c r="T2862" i="3" s="1"/>
  <c r="S2858" i="3"/>
  <c r="T2858" i="3" s="1"/>
  <c r="S2854" i="3"/>
  <c r="T2854" i="3" s="1"/>
  <c r="S2850" i="3"/>
  <c r="T2850" i="3" s="1"/>
  <c r="S2846" i="3"/>
  <c r="T2846" i="3" s="1"/>
  <c r="S2842" i="3"/>
  <c r="T2842" i="3" s="1"/>
  <c r="S2838" i="3"/>
  <c r="T2838" i="3" s="1"/>
  <c r="S2414" i="3"/>
  <c r="T2414" i="3" s="1"/>
  <c r="S2410" i="3"/>
  <c r="T2410" i="3" s="1"/>
  <c r="S2406" i="3"/>
  <c r="T2406" i="3" s="1"/>
  <c r="S2402" i="3"/>
  <c r="T2402" i="3" s="1"/>
  <c r="S2315" i="3"/>
  <c r="T2315" i="3" s="1"/>
  <c r="S2311" i="3"/>
  <c r="T2311" i="3" s="1"/>
  <c r="S2307" i="3"/>
  <c r="T2307" i="3" s="1"/>
  <c r="S2303" i="3"/>
  <c r="T2303" i="3" s="1"/>
  <c r="S2299" i="3"/>
  <c r="T2299" i="3" s="1"/>
  <c r="S2232" i="3"/>
  <c r="T2232" i="3" s="1"/>
  <c r="S2228" i="3"/>
  <c r="T2228" i="3" s="1"/>
  <c r="S2224" i="3"/>
  <c r="T2224" i="3" s="1"/>
  <c r="S2220" i="3"/>
  <c r="T2220" i="3" s="1"/>
  <c r="S2216" i="3"/>
  <c r="T2216" i="3" s="1"/>
  <c r="S2212" i="3"/>
  <c r="T2212" i="3" s="1"/>
  <c r="S2208" i="3"/>
  <c r="T2208" i="3" s="1"/>
  <c r="S2204" i="3"/>
  <c r="T2204" i="3" s="1"/>
  <c r="S2200" i="3"/>
  <c r="T2200" i="3" s="1"/>
  <c r="S2196" i="3"/>
  <c r="T2196" i="3" s="1"/>
  <c r="S2192" i="3"/>
  <c r="T2192" i="3" s="1"/>
  <c r="S2188" i="3"/>
  <c r="T2188" i="3" s="1"/>
  <c r="S2184" i="3"/>
  <c r="T2184" i="3" s="1"/>
  <c r="S2180" i="3"/>
  <c r="T2180" i="3" s="1"/>
  <c r="S6218" i="3"/>
  <c r="T6218" i="3" s="1"/>
  <c r="S6214" i="3"/>
  <c r="T6214" i="3" s="1"/>
  <c r="S6210" i="3"/>
  <c r="T6210" i="3" s="1"/>
  <c r="S6206" i="3"/>
  <c r="T6206" i="3" s="1"/>
  <c r="S6202" i="3"/>
  <c r="T6202" i="3" s="1"/>
  <c r="S6198" i="3"/>
  <c r="T6198" i="3" s="1"/>
  <c r="S6194" i="3"/>
  <c r="T6194" i="3" s="1"/>
  <c r="S6190" i="3"/>
  <c r="T6190" i="3" s="1"/>
  <c r="S6186" i="3"/>
  <c r="T6186" i="3" s="1"/>
  <c r="S6182" i="3"/>
  <c r="T6182" i="3" s="1"/>
  <c r="S6178" i="3"/>
  <c r="T6178" i="3" s="1"/>
  <c r="S6174" i="3"/>
  <c r="T6174" i="3" s="1"/>
  <c r="S6170" i="3"/>
  <c r="T6170" i="3" s="1"/>
  <c r="S6166" i="3"/>
  <c r="T6166" i="3" s="1"/>
  <c r="S6162" i="3"/>
  <c r="T6162" i="3" s="1"/>
  <c r="S5725" i="3"/>
  <c r="T5725" i="3" s="1"/>
  <c r="S5721" i="3"/>
  <c r="T5721" i="3" s="1"/>
  <c r="S5717" i="3"/>
  <c r="T5717" i="3" s="1"/>
  <c r="S5713" i="3"/>
  <c r="T5713" i="3" s="1"/>
  <c r="S5709" i="3"/>
  <c r="T5709" i="3" s="1"/>
  <c r="S5705" i="3"/>
  <c r="T5705" i="3" s="1"/>
  <c r="S5701" i="3"/>
  <c r="T5701" i="3" s="1"/>
  <c r="S5697" i="3"/>
  <c r="T5697" i="3" s="1"/>
  <c r="S5693" i="3"/>
  <c r="T5693" i="3" s="1"/>
  <c r="S5689" i="3"/>
  <c r="T5689" i="3" s="1"/>
  <c r="S5685" i="3"/>
  <c r="T5685" i="3" s="1"/>
  <c r="S5681" i="3"/>
  <c r="T5681" i="3" s="1"/>
  <c r="S5676" i="3"/>
  <c r="T5676" i="3" s="1"/>
  <c r="S4740" i="3"/>
  <c r="T4740" i="3" s="1"/>
  <c r="S4736" i="3"/>
  <c r="T4736" i="3" s="1"/>
  <c r="S4732" i="3"/>
  <c r="T4732" i="3" s="1"/>
  <c r="S4728" i="3"/>
  <c r="T4728" i="3" s="1"/>
  <c r="S4724" i="3"/>
  <c r="T4724" i="3" s="1"/>
  <c r="S4720" i="3"/>
  <c r="T4720" i="3" s="1"/>
  <c r="S4716" i="3"/>
  <c r="T4716" i="3" s="1"/>
  <c r="S4712" i="3"/>
  <c r="T4712" i="3" s="1"/>
  <c r="S4708" i="3"/>
  <c r="T4708" i="3" s="1"/>
  <c r="S4704" i="3"/>
  <c r="T4704" i="3" s="1"/>
  <c r="S4700" i="3"/>
  <c r="T4700" i="3" s="1"/>
  <c r="S4696" i="3"/>
  <c r="T4696" i="3" s="1"/>
  <c r="S4692" i="3"/>
  <c r="T4692" i="3" s="1"/>
  <c r="S4688" i="3"/>
  <c r="T4688" i="3" s="1"/>
  <c r="S4684" i="3"/>
  <c r="T4684" i="3" s="1"/>
  <c r="S4680" i="3"/>
  <c r="T4680" i="3" s="1"/>
  <c r="S4676" i="3"/>
  <c r="T4676" i="3" s="1"/>
  <c r="S4672" i="3"/>
  <c r="T4672" i="3" s="1"/>
  <c r="S4668" i="3"/>
  <c r="T4668" i="3" s="1"/>
  <c r="S4664" i="3"/>
  <c r="T4664" i="3" s="1"/>
  <c r="S4660" i="3"/>
  <c r="T4660" i="3" s="1"/>
  <c r="S4656" i="3"/>
  <c r="T4656" i="3" s="1"/>
  <c r="S4076" i="3"/>
  <c r="T4076" i="3" s="1"/>
  <c r="S4072" i="3"/>
  <c r="T4072" i="3" s="1"/>
  <c r="S4068" i="3"/>
  <c r="T4068" i="3" s="1"/>
  <c r="S4064" i="3"/>
  <c r="T4064" i="3" s="1"/>
  <c r="S4060" i="3"/>
  <c r="T4060" i="3" s="1"/>
  <c r="S4056" i="3"/>
  <c r="T4056" i="3" s="1"/>
  <c r="S3974" i="3"/>
  <c r="T3974" i="3" s="1"/>
  <c r="S3970" i="3"/>
  <c r="T3970" i="3" s="1"/>
  <c r="S3966" i="3"/>
  <c r="T3966" i="3" s="1"/>
  <c r="S3962" i="3"/>
  <c r="T3962" i="3" s="1"/>
  <c r="S3958" i="3"/>
  <c r="T3958" i="3" s="1"/>
  <c r="S3883" i="3"/>
  <c r="T3883" i="3" s="1"/>
  <c r="S3879" i="3"/>
  <c r="T3879" i="3" s="1"/>
  <c r="S3875" i="3"/>
  <c r="T3875" i="3" s="1"/>
  <c r="S3871" i="3"/>
  <c r="T3871" i="3" s="1"/>
  <c r="S3867" i="3"/>
  <c r="T3867" i="3" s="1"/>
  <c r="S3863" i="3"/>
  <c r="T3863" i="3" s="1"/>
  <c r="S3859" i="3"/>
  <c r="T3859" i="3" s="1"/>
  <c r="S3854" i="3"/>
  <c r="T3854" i="3" s="1"/>
  <c r="S3721" i="3"/>
  <c r="T3721" i="3" s="1"/>
  <c r="S3717" i="3"/>
  <c r="T3717" i="3" s="1"/>
  <c r="S3713" i="3"/>
  <c r="T3713" i="3" s="1"/>
  <c r="S3709" i="3"/>
  <c r="T3709" i="3" s="1"/>
  <c r="S3705" i="3"/>
  <c r="T3705" i="3" s="1"/>
  <c r="S3557" i="3"/>
  <c r="T3557" i="3" s="1"/>
  <c r="S3553" i="3"/>
  <c r="T3553" i="3" s="1"/>
  <c r="S3501" i="3"/>
  <c r="T3501" i="3" s="1"/>
  <c r="S3497" i="3"/>
  <c r="T3497" i="3" s="1"/>
  <c r="S3493" i="3"/>
  <c r="T3493" i="3" s="1"/>
  <c r="S3489" i="3"/>
  <c r="T3489" i="3" s="1"/>
  <c r="S3485" i="3"/>
  <c r="T3485" i="3" s="1"/>
  <c r="S3481" i="3"/>
  <c r="T3481" i="3" s="1"/>
  <c r="S3477" i="3"/>
  <c r="T3477" i="3" s="1"/>
  <c r="S3473" i="3"/>
  <c r="T3473" i="3" s="1"/>
  <c r="S3469" i="3"/>
  <c r="T3469" i="3" s="1"/>
  <c r="S3465" i="3"/>
  <c r="T3465" i="3" s="1"/>
  <c r="S3461" i="3"/>
  <c r="T3461" i="3" s="1"/>
  <c r="S3457" i="3"/>
  <c r="T3457" i="3" s="1"/>
  <c r="S3453" i="3"/>
  <c r="T3453" i="3" s="1"/>
  <c r="S3449" i="3"/>
  <c r="T3449" i="3" s="1"/>
  <c r="S3445" i="3"/>
  <c r="T3445" i="3" s="1"/>
  <c r="S3441" i="3"/>
  <c r="T3441" i="3" s="1"/>
  <c r="S3437" i="3"/>
  <c r="T3437" i="3" s="1"/>
  <c r="S3433" i="3"/>
  <c r="T3433" i="3" s="1"/>
  <c r="S3429" i="3"/>
  <c r="T3429" i="3" s="1"/>
  <c r="S3425" i="3"/>
  <c r="T3425" i="3" s="1"/>
  <c r="S3421" i="3"/>
  <c r="T3421" i="3" s="1"/>
  <c r="S3417" i="3"/>
  <c r="T3417" i="3" s="1"/>
  <c r="S3413" i="3"/>
  <c r="T3413" i="3" s="1"/>
  <c r="S3409" i="3"/>
  <c r="T3409" i="3" s="1"/>
  <c r="S3405" i="3"/>
  <c r="T3405" i="3" s="1"/>
  <c r="S3401" i="3"/>
  <c r="T3401" i="3" s="1"/>
  <c r="S3397" i="3"/>
  <c r="T3397" i="3" s="1"/>
  <c r="S3393" i="3"/>
  <c r="T3393" i="3" s="1"/>
  <c r="S3389" i="3"/>
  <c r="T3389" i="3" s="1"/>
  <c r="S3385" i="3"/>
  <c r="T3385" i="3" s="1"/>
  <c r="S2897" i="3"/>
  <c r="T2897" i="3" s="1"/>
  <c r="S2893" i="3"/>
  <c r="T2893" i="3" s="1"/>
  <c r="S2889" i="3"/>
  <c r="T2889" i="3" s="1"/>
  <c r="S2885" i="3"/>
  <c r="T2885" i="3" s="1"/>
  <c r="S2881" i="3"/>
  <c r="T2881" i="3" s="1"/>
  <c r="S2877" i="3"/>
  <c r="T2877" i="3" s="1"/>
  <c r="S2873" i="3"/>
  <c r="T2873" i="3" s="1"/>
  <c r="S2869" i="3"/>
  <c r="T2869" i="3" s="1"/>
  <c r="S2865" i="3"/>
  <c r="T2865" i="3" s="1"/>
  <c r="S2861" i="3"/>
  <c r="T2861" i="3" s="1"/>
  <c r="S2857" i="3"/>
  <c r="T2857" i="3" s="1"/>
  <c r="S2853" i="3"/>
  <c r="T2853" i="3" s="1"/>
  <c r="S2849" i="3"/>
  <c r="T2849" i="3" s="1"/>
  <c r="S2845" i="3"/>
  <c r="T2845" i="3" s="1"/>
  <c r="S2841" i="3"/>
  <c r="T2841" i="3" s="1"/>
  <c r="S2837" i="3"/>
  <c r="T2837" i="3" s="1"/>
  <c r="S2413" i="3"/>
  <c r="T2413" i="3" s="1"/>
  <c r="S2409" i="3"/>
  <c r="T2409" i="3" s="1"/>
  <c r="S2405" i="3"/>
  <c r="T2405" i="3" s="1"/>
  <c r="S2401" i="3"/>
  <c r="T2401" i="3" s="1"/>
  <c r="S2314" i="3"/>
  <c r="T2314" i="3" s="1"/>
  <c r="S2310" i="3"/>
  <c r="T2310" i="3" s="1"/>
  <c r="S2306" i="3"/>
  <c r="T2306" i="3" s="1"/>
  <c r="S2302" i="3"/>
  <c r="T2302" i="3" s="1"/>
  <c r="S2235" i="3"/>
  <c r="T2235" i="3" s="1"/>
  <c r="S2231" i="3"/>
  <c r="T2231" i="3" s="1"/>
  <c r="S2227" i="3"/>
  <c r="T2227" i="3" s="1"/>
  <c r="S2223" i="3"/>
  <c r="T2223" i="3" s="1"/>
  <c r="S2219" i="3"/>
  <c r="T2219" i="3" s="1"/>
  <c r="S2215" i="3"/>
  <c r="T2215" i="3" s="1"/>
  <c r="S2211" i="3"/>
  <c r="T2211" i="3" s="1"/>
  <c r="S2207" i="3"/>
  <c r="T2207" i="3" s="1"/>
  <c r="S2203" i="3"/>
  <c r="T2203" i="3" s="1"/>
  <c r="S2199" i="3"/>
  <c r="T2199" i="3" s="1"/>
  <c r="S2195" i="3"/>
  <c r="T2195" i="3" s="1"/>
  <c r="S2191" i="3"/>
  <c r="T2191" i="3" s="1"/>
  <c r="S2187" i="3"/>
  <c r="T2187" i="3" s="1"/>
  <c r="S2183" i="3"/>
  <c r="T2183" i="3" s="1"/>
  <c r="S2179" i="3"/>
  <c r="T2179" i="3" s="1"/>
  <c r="BI2" i="9"/>
  <c r="AW9" i="9"/>
  <c r="AW14" i="9" s="1"/>
  <c r="AW18" i="9" s="1"/>
  <c r="AW24" i="9" s="1"/>
  <c r="AW28" i="9" s="1"/>
  <c r="D12" i="4"/>
  <c r="D13" i="4" s="1"/>
  <c r="M16" i="17" l="1"/>
  <c r="O16" i="17" s="1"/>
  <c r="M15" i="17"/>
  <c r="O15" i="17" s="1"/>
  <c r="M14" i="17"/>
  <c r="O14" i="17" s="1"/>
  <c r="M13" i="17"/>
  <c r="M12" i="17"/>
  <c r="M11" i="17"/>
  <c r="O11" i="17" s="1"/>
  <c r="M10" i="17"/>
  <c r="O10" i="17" s="1"/>
  <c r="M9" i="17"/>
  <c r="O9" i="17" s="1"/>
  <c r="M8" i="17"/>
  <c r="O8" i="17" s="1"/>
  <c r="M7" i="17"/>
  <c r="O7" i="17" s="1"/>
  <c r="M6" i="17"/>
  <c r="O6" i="17" s="1"/>
  <c r="M17" i="17"/>
  <c r="O17" i="17" s="1"/>
  <c r="M5" i="17"/>
  <c r="O5" i="17" s="1"/>
  <c r="H12" i="4"/>
  <c r="H13" i="4"/>
  <c r="D14" i="4"/>
  <c r="I57" i="8" l="1"/>
  <c r="Q57" i="8"/>
  <c r="AG57" i="8"/>
  <c r="Y57" i="8"/>
  <c r="AO57" i="8"/>
  <c r="AO64" i="8"/>
  <c r="Q64" i="8"/>
  <c r="Y64" i="8"/>
  <c r="AG64" i="8"/>
  <c r="I64" i="8"/>
  <c r="O12" i="17"/>
  <c r="O13" i="17"/>
  <c r="P16" i="17"/>
  <c r="P12" i="17"/>
  <c r="O4075" i="3" s="1"/>
  <c r="P14" i="17"/>
  <c r="P9" i="17"/>
  <c r="P10" i="17"/>
  <c r="P17" i="17"/>
  <c r="R17" i="17" s="1"/>
  <c r="P13" i="17"/>
  <c r="T13" i="17" s="1"/>
  <c r="P7" i="17"/>
  <c r="M18" i="17"/>
  <c r="M19" i="17"/>
  <c r="O19" i="17" s="1"/>
  <c r="O4055" i="3"/>
  <c r="O4076" i="3"/>
  <c r="P15" i="17"/>
  <c r="P8" i="17"/>
  <c r="P5" i="17"/>
  <c r="U5" i="17" s="1"/>
  <c r="B19" i="12"/>
  <c r="M26" i="10" s="1"/>
  <c r="P11" i="17"/>
  <c r="P6" i="17"/>
  <c r="G8" i="4"/>
  <c r="B22" i="12"/>
  <c r="B16" i="12"/>
  <c r="M23" i="10" s="1"/>
  <c r="G9" i="4"/>
  <c r="G11" i="4"/>
  <c r="B23" i="12"/>
  <c r="B29" i="12"/>
  <c r="M30" i="10" s="1"/>
  <c r="B27" i="12"/>
  <c r="M28" i="10" s="1"/>
  <c r="B17" i="12"/>
  <c r="M24" i="10" s="1"/>
  <c r="B12" i="12"/>
  <c r="M21" i="10" s="1"/>
  <c r="G12" i="4"/>
  <c r="G7" i="4"/>
  <c r="B13" i="12"/>
  <c r="M22" i="10" s="1"/>
  <c r="B26" i="12"/>
  <c r="M27" i="10" s="1"/>
  <c r="G10" i="4"/>
  <c r="B11" i="12"/>
  <c r="G13" i="4"/>
  <c r="B18" i="12"/>
  <c r="M25" i="10" s="1"/>
  <c r="B28" i="12"/>
  <c r="M29" i="10" s="1"/>
  <c r="G14" i="4"/>
  <c r="D15" i="4"/>
  <c r="H14" i="4"/>
  <c r="O18" i="17" l="1"/>
  <c r="U12" i="17"/>
  <c r="V13" i="17"/>
  <c r="S12" i="17"/>
  <c r="O2141" i="3"/>
  <c r="O2145" i="3"/>
  <c r="O2138" i="3"/>
  <c r="O2134" i="3"/>
  <c r="O2139" i="3"/>
  <c r="O2135" i="3"/>
  <c r="O2143" i="3"/>
  <c r="O2144" i="3"/>
  <c r="O2136" i="3"/>
  <c r="O2140" i="3"/>
  <c r="O2142" i="3"/>
  <c r="O2137" i="3"/>
  <c r="S13" i="17"/>
  <c r="R13" i="17"/>
  <c r="T12" i="17"/>
  <c r="R12" i="17"/>
  <c r="U13" i="17"/>
  <c r="V12" i="17"/>
  <c r="O1900" i="3"/>
  <c r="O1905" i="3"/>
  <c r="O1911" i="3"/>
  <c r="O1915" i="3"/>
  <c r="O1920" i="3"/>
  <c r="O1923" i="3"/>
  <c r="O1926" i="3"/>
  <c r="O1930" i="3"/>
  <c r="O1934" i="3"/>
  <c r="O1941" i="3"/>
  <c r="O1945" i="3"/>
  <c r="O1949" i="3"/>
  <c r="O1951" i="3"/>
  <c r="O1954" i="3"/>
  <c r="O1956" i="3"/>
  <c r="O1960" i="3"/>
  <c r="O1964" i="3"/>
  <c r="O1969" i="3"/>
  <c r="O1975" i="3"/>
  <c r="O1979" i="3"/>
  <c r="O1984" i="3"/>
  <c r="O1987" i="3"/>
  <c r="O1990" i="3"/>
  <c r="O1994" i="3"/>
  <c r="O1998" i="3"/>
  <c r="O2005" i="3"/>
  <c r="O2009" i="3"/>
  <c r="O2013" i="3"/>
  <c r="O2015" i="3"/>
  <c r="O2018" i="3"/>
  <c r="O2020" i="3"/>
  <c r="O2024" i="3"/>
  <c r="O2028" i="3"/>
  <c r="O2041" i="3"/>
  <c r="O2043" i="3"/>
  <c r="O2044" i="3"/>
  <c r="O2050" i="3"/>
  <c r="O2057" i="3"/>
  <c r="O2059" i="3"/>
  <c r="O2060" i="3"/>
  <c r="O2066" i="3"/>
  <c r="O2073" i="3"/>
  <c r="O2075" i="3"/>
  <c r="O2076" i="3"/>
  <c r="O2082" i="3"/>
  <c r="O2089" i="3"/>
  <c r="O2091" i="3"/>
  <c r="O2092" i="3"/>
  <c r="O2098" i="3"/>
  <c r="O2105" i="3"/>
  <c r="O2107" i="3"/>
  <c r="O2108" i="3"/>
  <c r="O2114" i="3"/>
  <c r="O2121" i="3"/>
  <c r="O2123" i="3"/>
  <c r="O2124" i="3"/>
  <c r="O2130" i="3"/>
  <c r="O1901" i="3"/>
  <c r="O1903" i="3"/>
  <c r="O1906" i="3"/>
  <c r="O1908" i="3"/>
  <c r="O1912" i="3"/>
  <c r="O1916" i="3"/>
  <c r="O1921" i="3"/>
  <c r="O1927" i="3"/>
  <c r="O1931" i="3"/>
  <c r="O1936" i="3"/>
  <c r="O1939" i="3"/>
  <c r="O1942" i="3"/>
  <c r="O1946" i="3"/>
  <c r="O1950" i="3"/>
  <c r="O1957" i="3"/>
  <c r="O1961" i="3"/>
  <c r="O1910" i="3"/>
  <c r="O1918" i="3"/>
  <c r="O1924" i="3"/>
  <c r="O1932" i="3"/>
  <c r="O1935" i="3"/>
  <c r="O1944" i="3"/>
  <c r="O1959" i="3"/>
  <c r="O1966" i="3"/>
  <c r="O1971" i="3"/>
  <c r="O1974" i="3"/>
  <c r="O1980" i="3"/>
  <c r="O1986" i="3"/>
  <c r="O1989" i="3"/>
  <c r="O1995" i="3"/>
  <c r="O2001" i="3"/>
  <c r="O2008" i="3"/>
  <c r="O2014" i="3"/>
  <c r="O2016" i="3"/>
  <c r="O2025" i="3"/>
  <c r="O2029" i="3"/>
  <c r="O2030" i="3"/>
  <c r="O2035" i="3"/>
  <c r="O2036" i="3"/>
  <c r="O2045" i="3"/>
  <c r="O2047" i="3"/>
  <c r="O2048" i="3"/>
  <c r="O2051" i="3"/>
  <c r="O2052" i="3"/>
  <c r="O2061" i="3"/>
  <c r="O2063" i="3"/>
  <c r="O2064" i="3"/>
  <c r="O2067" i="3"/>
  <c r="O2068" i="3"/>
  <c r="O2077" i="3"/>
  <c r="O2079" i="3"/>
  <c r="O2080" i="3"/>
  <c r="O2083" i="3"/>
  <c r="O2084" i="3"/>
  <c r="O2093" i="3"/>
  <c r="O2095" i="3"/>
  <c r="O2096" i="3"/>
  <c r="O2099" i="3"/>
  <c r="O2100" i="3"/>
  <c r="O2109" i="3"/>
  <c r="O2111" i="3"/>
  <c r="O2112" i="3"/>
  <c r="O2115" i="3"/>
  <c r="O2116" i="3"/>
  <c r="O2125" i="3"/>
  <c r="O2127" i="3"/>
  <c r="O2128" i="3"/>
  <c r="O2131" i="3"/>
  <c r="O2132" i="3"/>
  <c r="O1907" i="3"/>
  <c r="O1913" i="3"/>
  <c r="O1922" i="3"/>
  <c r="O1925" i="3"/>
  <c r="O1933" i="3"/>
  <c r="O1947" i="3"/>
  <c r="O1955" i="3"/>
  <c r="O1962" i="3"/>
  <c r="O1968" i="3"/>
  <c r="O1976" i="3"/>
  <c r="O1981" i="3"/>
  <c r="O1983" i="3"/>
  <c r="O1991" i="3"/>
  <c r="O1996" i="3"/>
  <c r="O1999" i="3"/>
  <c r="O2002" i="3"/>
  <c r="O2004" i="3"/>
  <c r="O2010" i="3"/>
  <c r="O2017" i="3"/>
  <c r="O1902" i="3"/>
  <c r="O1904" i="3"/>
  <c r="O1914" i="3"/>
  <c r="O1919" i="3"/>
  <c r="O1928" i="3"/>
  <c r="O1953" i="3"/>
  <c r="O1963" i="3"/>
  <c r="O1967" i="3"/>
  <c r="O1978" i="3"/>
  <c r="O1988" i="3"/>
  <c r="O2007" i="3"/>
  <c r="O2026" i="3"/>
  <c r="O2032" i="3"/>
  <c r="O2049" i="3"/>
  <c r="O2054" i="3"/>
  <c r="O2058" i="3"/>
  <c r="O2085" i="3"/>
  <c r="O2087" i="3"/>
  <c r="O2094" i="3"/>
  <c r="O2122" i="3"/>
  <c r="O1917" i="3"/>
  <c r="O1940" i="3"/>
  <c r="O1972" i="3"/>
  <c r="O1982" i="3"/>
  <c r="O1992" i="3"/>
  <c r="O2021" i="3"/>
  <c r="O2027" i="3"/>
  <c r="O2038" i="3"/>
  <c r="O2069" i="3"/>
  <c r="O2072" i="3"/>
  <c r="O2097" i="3"/>
  <c r="O2133" i="3"/>
  <c r="O1938" i="3"/>
  <c r="O1973" i="3"/>
  <c r="O2012" i="3"/>
  <c r="O2031" i="3"/>
  <c r="O2034" i="3"/>
  <c r="O2053" i="3"/>
  <c r="O2056" i="3"/>
  <c r="O2081" i="3"/>
  <c r="O2119" i="3"/>
  <c r="O2126" i="3"/>
  <c r="O1909" i="3"/>
  <c r="O1948" i="3"/>
  <c r="O1952" i="3"/>
  <c r="O1958" i="3"/>
  <c r="O1977" i="3"/>
  <c r="O1997" i="3"/>
  <c r="O2000" i="3"/>
  <c r="O2006" i="3"/>
  <c r="O2019" i="3"/>
  <c r="O2023" i="3"/>
  <c r="O2037" i="3"/>
  <c r="O2039" i="3"/>
  <c r="O2040" i="3"/>
  <c r="O2046" i="3"/>
  <c r="O2065" i="3"/>
  <c r="O2070" i="3"/>
  <c r="O2074" i="3"/>
  <c r="O2101" i="3"/>
  <c r="O2103" i="3"/>
  <c r="O2104" i="3"/>
  <c r="O2110" i="3"/>
  <c r="O2129" i="3"/>
  <c r="O2088" i="3"/>
  <c r="O2113" i="3"/>
  <c r="O2118" i="3"/>
  <c r="O1929" i="3"/>
  <c r="O1937" i="3"/>
  <c r="O1965" i="3"/>
  <c r="O1985" i="3"/>
  <c r="O2003" i="3"/>
  <c r="O2011" i="3"/>
  <c r="O2042" i="3"/>
  <c r="O2071" i="3"/>
  <c r="O2078" i="3"/>
  <c r="O2102" i="3"/>
  <c r="O2106" i="3"/>
  <c r="O1943" i="3"/>
  <c r="O1970" i="3"/>
  <c r="O1993" i="3"/>
  <c r="O2022" i="3"/>
  <c r="O2033" i="3"/>
  <c r="O2055" i="3"/>
  <c r="O2062" i="3"/>
  <c r="O2086" i="3"/>
  <c r="O2090" i="3"/>
  <c r="O2117" i="3"/>
  <c r="O2120" i="3"/>
  <c r="O1629" i="3"/>
  <c r="O1631" i="3"/>
  <c r="O1635" i="3"/>
  <c r="O1636" i="3"/>
  <c r="O1637" i="3"/>
  <c r="O1641" i="3"/>
  <c r="O1647" i="3"/>
  <c r="O1651" i="3"/>
  <c r="O1654" i="3"/>
  <c r="O1661" i="3"/>
  <c r="O1663" i="3"/>
  <c r="O1667" i="3"/>
  <c r="O1668" i="3"/>
  <c r="O1669" i="3"/>
  <c r="O1673" i="3"/>
  <c r="O1679" i="3"/>
  <c r="O1683" i="3"/>
  <c r="O1686" i="3"/>
  <c r="O1693" i="3"/>
  <c r="O1695" i="3"/>
  <c r="O1699" i="3"/>
  <c r="O1700" i="3"/>
  <c r="O1701" i="3"/>
  <c r="O1705" i="3"/>
  <c r="O1711" i="3"/>
  <c r="O1715" i="3"/>
  <c r="O1718" i="3"/>
  <c r="O1725" i="3"/>
  <c r="O1727" i="3"/>
  <c r="O1731" i="3"/>
  <c r="O1732" i="3"/>
  <c r="O1733" i="3"/>
  <c r="O1737" i="3"/>
  <c r="O1738" i="3"/>
  <c r="O1742" i="3"/>
  <c r="O1745" i="3"/>
  <c r="O1746" i="3"/>
  <c r="O1750" i="3"/>
  <c r="O1753" i="3"/>
  <c r="O1754" i="3"/>
  <c r="O1758" i="3"/>
  <c r="O1761" i="3"/>
  <c r="O1762" i="3"/>
  <c r="O1766" i="3"/>
  <c r="O1769" i="3"/>
  <c r="O1770" i="3"/>
  <c r="O1774" i="3"/>
  <c r="O1777" i="3"/>
  <c r="O1778" i="3"/>
  <c r="O1782" i="3"/>
  <c r="O1785" i="3"/>
  <c r="O1786" i="3"/>
  <c r="O1790" i="3"/>
  <c r="O1793" i="3"/>
  <c r="O1794" i="3"/>
  <c r="O1797" i="3"/>
  <c r="O1801" i="3"/>
  <c r="O1805" i="3"/>
  <c r="O1807" i="3"/>
  <c r="O1810" i="3"/>
  <c r="O1812" i="3"/>
  <c r="O1816" i="3"/>
  <c r="O1820" i="3"/>
  <c r="O1825" i="3"/>
  <c r="O1831" i="3"/>
  <c r="O1835" i="3"/>
  <c r="O1840" i="3"/>
  <c r="O1843" i="3"/>
  <c r="O1846" i="3"/>
  <c r="O1850" i="3"/>
  <c r="O1854" i="3"/>
  <c r="O1861" i="3"/>
  <c r="O1865" i="3"/>
  <c r="O1869" i="3"/>
  <c r="O1871" i="3"/>
  <c r="O1874" i="3"/>
  <c r="O1876" i="3"/>
  <c r="O1880" i="3"/>
  <c r="O1884" i="3"/>
  <c r="O1889" i="3"/>
  <c r="O1895" i="3"/>
  <c r="O1899" i="3"/>
  <c r="O1623" i="3"/>
  <c r="O1626" i="3"/>
  <c r="O1632" i="3"/>
  <c r="O1643" i="3"/>
  <c r="O1649" i="3"/>
  <c r="O1665" i="3"/>
  <c r="O1670" i="3"/>
  <c r="O1676" i="3"/>
  <c r="O1677" i="3"/>
  <c r="O1682" i="3"/>
  <c r="O1687" i="3"/>
  <c r="O1690" i="3"/>
  <c r="O1694" i="3"/>
  <c r="O1698" i="3"/>
  <c r="O1703" i="3"/>
  <c r="O1706" i="3"/>
  <c r="O1710" i="3"/>
  <c r="O1716" i="3"/>
  <c r="O1720" i="3"/>
  <c r="O1736" i="3"/>
  <c r="O1739" i="3"/>
  <c r="O1743" i="3"/>
  <c r="O1756" i="3"/>
  <c r="O1757" i="3"/>
  <c r="O1768" i="3"/>
  <c r="O1771" i="3"/>
  <c r="O1775" i="3"/>
  <c r="O1788" i="3"/>
  <c r="O1789" i="3"/>
  <c r="O1800" i="3"/>
  <c r="O1806" i="3"/>
  <c r="O1808" i="3"/>
  <c r="O1817" i="3"/>
  <c r="O1822" i="3"/>
  <c r="O1827" i="3"/>
  <c r="O1830" i="3"/>
  <c r="O1836" i="3"/>
  <c r="O1842" i="3"/>
  <c r="O1845" i="3"/>
  <c r="O1851" i="3"/>
  <c r="O1857" i="3"/>
  <c r="O1864" i="3"/>
  <c r="O1870" i="3"/>
  <c r="O1872" i="3"/>
  <c r="O1881" i="3"/>
  <c r="O1886" i="3"/>
  <c r="O1891" i="3"/>
  <c r="O1894" i="3"/>
  <c r="O1624" i="3"/>
  <c r="O1627" i="3"/>
  <c r="O1628" i="3"/>
  <c r="O1633" i="3"/>
  <c r="O1638" i="3"/>
  <c r="O1644" i="3"/>
  <c r="O1645" i="3"/>
  <c r="O1650" i="3"/>
  <c r="O1655" i="3"/>
  <c r="O1658" i="3"/>
  <c r="O1662" i="3"/>
  <c r="O1666" i="3"/>
  <c r="O1671" i="3"/>
  <c r="O1674" i="3"/>
  <c r="O1678" i="3"/>
  <c r="O1684" i="3"/>
  <c r="O1688" i="3"/>
  <c r="O1704" i="3"/>
  <c r="O1712" i="3"/>
  <c r="O1717" i="3"/>
  <c r="O1721" i="3"/>
  <c r="O1723" i="3"/>
  <c r="O1724" i="3"/>
  <c r="O1728" i="3"/>
  <c r="O1744" i="3"/>
  <c r="O1747" i="3"/>
  <c r="O1751" i="3"/>
  <c r="O1764" i="3"/>
  <c r="O1765" i="3"/>
  <c r="O1776" i="3"/>
  <c r="O1779" i="3"/>
  <c r="O1783" i="3"/>
  <c r="O1796" i="3"/>
  <c r="O1802" i="3"/>
  <c r="O1809" i="3"/>
  <c r="O1813" i="3"/>
  <c r="O1818" i="3"/>
  <c r="O1824" i="3"/>
  <c r="O1832" i="3"/>
  <c r="O1837" i="3"/>
  <c r="O1839" i="3"/>
  <c r="O1847" i="3"/>
  <c r="O1852" i="3"/>
  <c r="O1855" i="3"/>
  <c r="O1858" i="3"/>
  <c r="O1860" i="3"/>
  <c r="O1866" i="3"/>
  <c r="O1873" i="3"/>
  <c r="O1877" i="3"/>
  <c r="O1882" i="3"/>
  <c r="O1888" i="3"/>
  <c r="O1896" i="3"/>
  <c r="O1625" i="3"/>
  <c r="O1634" i="3"/>
  <c r="O1639" i="3"/>
  <c r="O1642" i="3"/>
  <c r="O1646" i="3"/>
  <c r="O1652" i="3"/>
  <c r="O1656" i="3"/>
  <c r="O1672" i="3"/>
  <c r="O1680" i="3"/>
  <c r="O1685" i="3"/>
  <c r="O1689" i="3"/>
  <c r="O1691" i="3"/>
  <c r="O1692" i="3"/>
  <c r="O1696" i="3"/>
  <c r="O1707" i="3"/>
  <c r="O1713" i="3"/>
  <c r="O1729" i="3"/>
  <c r="O1734" i="3"/>
  <c r="O1740" i="3"/>
  <c r="O1741" i="3"/>
  <c r="O1752" i="3"/>
  <c r="O1755" i="3"/>
  <c r="O1759" i="3"/>
  <c r="O1772" i="3"/>
  <c r="O1773" i="3"/>
  <c r="O1784" i="3"/>
  <c r="O1787" i="3"/>
  <c r="O1791" i="3"/>
  <c r="O1798" i="3"/>
  <c r="O1803" i="3"/>
  <c r="O1814" i="3"/>
  <c r="O1819" i="3"/>
  <c r="O1826" i="3"/>
  <c r="O1828" i="3"/>
  <c r="O1833" i="3"/>
  <c r="O1838" i="3"/>
  <c r="O1848" i="3"/>
  <c r="O1853" i="3"/>
  <c r="O1862" i="3"/>
  <c r="O1867" i="3"/>
  <c r="O1878" i="3"/>
  <c r="O1883" i="3"/>
  <c r="O1890" i="3"/>
  <c r="O1892" i="3"/>
  <c r="O1897" i="3"/>
  <c r="O1630" i="3"/>
  <c r="O1648" i="3"/>
  <c r="O1653" i="3"/>
  <c r="O1659" i="3"/>
  <c r="O1664" i="3"/>
  <c r="O1681" i="3"/>
  <c r="O1702" i="3"/>
  <c r="O1709" i="3"/>
  <c r="O1719" i="3"/>
  <c r="O1726" i="3"/>
  <c r="O1730" i="3"/>
  <c r="O1749" i="3"/>
  <c r="O1763" i="3"/>
  <c r="O1780" i="3"/>
  <c r="O1781" i="3"/>
  <c r="O1792" i="3"/>
  <c r="O1804" i="3"/>
  <c r="O1811" i="3"/>
  <c r="O1823" i="3"/>
  <c r="O1829" i="3"/>
  <c r="O1841" i="3"/>
  <c r="O1849" i="3"/>
  <c r="O1859" i="3"/>
  <c r="O1868" i="3"/>
  <c r="O1879" i="3"/>
  <c r="O1887" i="3"/>
  <c r="O1898" i="3"/>
  <c r="O1640" i="3"/>
  <c r="O1657" i="3"/>
  <c r="O1660" i="3"/>
  <c r="O1675" i="3"/>
  <c r="O1697" i="3"/>
  <c r="O1708" i="3"/>
  <c r="O1714" i="3"/>
  <c r="O1722" i="3"/>
  <c r="O1735" i="3"/>
  <c r="O1748" i="3"/>
  <c r="O1760" i="3"/>
  <c r="O1767" i="3"/>
  <c r="O1795" i="3"/>
  <c r="O1799" i="3"/>
  <c r="O1815" i="3"/>
  <c r="O1821" i="3"/>
  <c r="O1834" i="3"/>
  <c r="O1844" i="3"/>
  <c r="O1856" i="3"/>
  <c r="O1863" i="3"/>
  <c r="O1875" i="3"/>
  <c r="O1885" i="3"/>
  <c r="O1893" i="3"/>
  <c r="O1286" i="3"/>
  <c r="O1293" i="3"/>
  <c r="O1302" i="3"/>
  <c r="O1307" i="3"/>
  <c r="O1310" i="3"/>
  <c r="O1317" i="3"/>
  <c r="O1323" i="3"/>
  <c r="O1328" i="3"/>
  <c r="O1329" i="3"/>
  <c r="O1333" i="3"/>
  <c r="O1338" i="3"/>
  <c r="O1345" i="3"/>
  <c r="O1348" i="3"/>
  <c r="O1354" i="3"/>
  <c r="O1359" i="3"/>
  <c r="O1364" i="3"/>
  <c r="O1373" i="3"/>
  <c r="O1375" i="3"/>
  <c r="O1376" i="3"/>
  <c r="O1379" i="3"/>
  <c r="O1383" i="3"/>
  <c r="O1384" i="3"/>
  <c r="O1385" i="3"/>
  <c r="O1389" i="3"/>
  <c r="O1395" i="3"/>
  <c r="O1399" i="3"/>
  <c r="O1400" i="3"/>
  <c r="O1401" i="3"/>
  <c r="O1404" i="3"/>
  <c r="O1410" i="3"/>
  <c r="O1418" i="3"/>
  <c r="O1426" i="3"/>
  <c r="O1434" i="3"/>
  <c r="O1442" i="3"/>
  <c r="O1450" i="3"/>
  <c r="O1458" i="3"/>
  <c r="O1466" i="3"/>
  <c r="O1474" i="3"/>
  <c r="O1482" i="3"/>
  <c r="O1490" i="3"/>
  <c r="O1498" i="3"/>
  <c r="O1506" i="3"/>
  <c r="O1514" i="3"/>
  <c r="O1522" i="3"/>
  <c r="O1530" i="3"/>
  <c r="O1536" i="3"/>
  <c r="O1542" i="3"/>
  <c r="O1547" i="3"/>
  <c r="O1552" i="3"/>
  <c r="O1556" i="3"/>
  <c r="O1559" i="3"/>
  <c r="O1562" i="3"/>
  <c r="O1568" i="3"/>
  <c r="O1574" i="3"/>
  <c r="O1579" i="3"/>
  <c r="O1584" i="3"/>
  <c r="O1588" i="3"/>
  <c r="O1591" i="3"/>
  <c r="O1594" i="3"/>
  <c r="O1600" i="3"/>
  <c r="O1606" i="3"/>
  <c r="O1611" i="3"/>
  <c r="O1616" i="3"/>
  <c r="O1620" i="3"/>
  <c r="O1290" i="3"/>
  <c r="O1295" i="3"/>
  <c r="O1299" i="3"/>
  <c r="O1303" i="3"/>
  <c r="O1304" i="3"/>
  <c r="O1305" i="3"/>
  <c r="O1308" i="3"/>
  <c r="O1314" i="3"/>
  <c r="O1318" i="3"/>
  <c r="O1324" i="3"/>
  <c r="O1326" i="3"/>
  <c r="O1330" i="3"/>
  <c r="O1334" i="3"/>
  <c r="O1339" i="3"/>
  <c r="O1342" i="3"/>
  <c r="O1349" i="3"/>
  <c r="O1355" i="3"/>
  <c r="O1360" i="3"/>
  <c r="O1361" i="3"/>
  <c r="O1365" i="3"/>
  <c r="O1370" i="3"/>
  <c r="O1291" i="3"/>
  <c r="O1294" i="3"/>
  <c r="O1322" i="3"/>
  <c r="O1347" i="3"/>
  <c r="O1357" i="3"/>
  <c r="O1362" i="3"/>
  <c r="O1374" i="3"/>
  <c r="O1380" i="3"/>
  <c r="O1391" i="3"/>
  <c r="O1397" i="3"/>
  <c r="O1409" i="3"/>
  <c r="O1414" i="3"/>
  <c r="O1427" i="3"/>
  <c r="O1431" i="3"/>
  <c r="O1432" i="3"/>
  <c r="O1436" i="3"/>
  <c r="O1437" i="3"/>
  <c r="O1441" i="3"/>
  <c r="O1446" i="3"/>
  <c r="O1459" i="3"/>
  <c r="O1463" i="3"/>
  <c r="O1464" i="3"/>
  <c r="O1468" i="3"/>
  <c r="O1469" i="3"/>
  <c r="O1473" i="3"/>
  <c r="O1478" i="3"/>
  <c r="O1491" i="3"/>
  <c r="O1495" i="3"/>
  <c r="O1496" i="3"/>
  <c r="O1500" i="3"/>
  <c r="O1501" i="3"/>
  <c r="O1505" i="3"/>
  <c r="O1510" i="3"/>
  <c r="O1523" i="3"/>
  <c r="O1527" i="3"/>
  <c r="O1528" i="3"/>
  <c r="O1531" i="3"/>
  <c r="O1532" i="3"/>
  <c r="O1539" i="3"/>
  <c r="O1540" i="3"/>
  <c r="O1541" i="3"/>
  <c r="O1548" i="3"/>
  <c r="O1549" i="3"/>
  <c r="O1554" i="3"/>
  <c r="O1558" i="3"/>
  <c r="O1566" i="3"/>
  <c r="O1570" i="3"/>
  <c r="O1577" i="3"/>
  <c r="O1585" i="3"/>
  <c r="O1601" i="3"/>
  <c r="O1608" i="3"/>
  <c r="O1610" i="3"/>
  <c r="O1615" i="3"/>
  <c r="O1621" i="3"/>
  <c r="O1296" i="3"/>
  <c r="O1297" i="3"/>
  <c r="O1311" i="3"/>
  <c r="O1316" i="3"/>
  <c r="O1332" i="3"/>
  <c r="O1352" i="3"/>
  <c r="O1366" i="3"/>
  <c r="O1372" i="3"/>
  <c r="O1390" i="3"/>
  <c r="O1394" i="3"/>
  <c r="O1411" i="3"/>
  <c r="O1416" i="3"/>
  <c r="O1421" i="3"/>
  <c r="O1430" i="3"/>
  <c r="O1447" i="3"/>
  <c r="O1452" i="3"/>
  <c r="O1457" i="3"/>
  <c r="O1287" i="3"/>
  <c r="O1288" i="3"/>
  <c r="O1292" i="3"/>
  <c r="O1300" i="3"/>
  <c r="O1315" i="3"/>
  <c r="O1325" i="3"/>
  <c r="O1327" i="3"/>
  <c r="O1331" i="3"/>
  <c r="O1340" i="3"/>
  <c r="O1343" i="3"/>
  <c r="O1344" i="3"/>
  <c r="O1350" i="3"/>
  <c r="O1363" i="3"/>
  <c r="O1371" i="3"/>
  <c r="O1377" i="3"/>
  <c r="O1381" i="3"/>
  <c r="O1386" i="3"/>
  <c r="O1392" i="3"/>
  <c r="O1393" i="3"/>
  <c r="O1398" i="3"/>
  <c r="O1402" i="3"/>
  <c r="O1406" i="3"/>
  <c r="O1419" i="3"/>
  <c r="O1423" i="3"/>
  <c r="O1424" i="3"/>
  <c r="O1428" i="3"/>
  <c r="O1429" i="3"/>
  <c r="O1433" i="3"/>
  <c r="O1438" i="3"/>
  <c r="O1451" i="3"/>
  <c r="O1455" i="3"/>
  <c r="O1456" i="3"/>
  <c r="O1460" i="3"/>
  <c r="O1461" i="3"/>
  <c r="O1465" i="3"/>
  <c r="O1470" i="3"/>
  <c r="O1483" i="3"/>
  <c r="O1487" i="3"/>
  <c r="O1488" i="3"/>
  <c r="O1492" i="3"/>
  <c r="O1493" i="3"/>
  <c r="O1497" i="3"/>
  <c r="O1502" i="3"/>
  <c r="O1515" i="3"/>
  <c r="O1519" i="3"/>
  <c r="O1520" i="3"/>
  <c r="O1524" i="3"/>
  <c r="O1525" i="3"/>
  <c r="O1529" i="3"/>
  <c r="O1533" i="3"/>
  <c r="O1535" i="3"/>
  <c r="O1543" i="3"/>
  <c r="O1550" i="3"/>
  <c r="O1555" i="3"/>
  <c r="O1560" i="3"/>
  <c r="O1563" i="3"/>
  <c r="O1564" i="3"/>
  <c r="O1571" i="3"/>
  <c r="O1572" i="3"/>
  <c r="O1573" i="3"/>
  <c r="O1580" i="3"/>
  <c r="O1581" i="3"/>
  <c r="O1586" i="3"/>
  <c r="O1590" i="3"/>
  <c r="O1598" i="3"/>
  <c r="O1602" i="3"/>
  <c r="O1609" i="3"/>
  <c r="O1617" i="3"/>
  <c r="O1289" i="3"/>
  <c r="O1301" i="3"/>
  <c r="O1306" i="3"/>
  <c r="O1312" i="3"/>
  <c r="O1341" i="3"/>
  <c r="O1351" i="3"/>
  <c r="O1353" i="3"/>
  <c r="O1382" i="3"/>
  <c r="O1387" i="3"/>
  <c r="O1403" i="3"/>
  <c r="O1415" i="3"/>
  <c r="O1420" i="3"/>
  <c r="O1425" i="3"/>
  <c r="O1443" i="3"/>
  <c r="O1448" i="3"/>
  <c r="O1453" i="3"/>
  <c r="O1462" i="3"/>
  <c r="O1309" i="3"/>
  <c r="O1319" i="3"/>
  <c r="O1320" i="3"/>
  <c r="O1321" i="3"/>
  <c r="O1396" i="3"/>
  <c r="O1405" i="3"/>
  <c r="O1444" i="3"/>
  <c r="O1445" i="3"/>
  <c r="O1467" i="3"/>
  <c r="O1476" i="3"/>
  <c r="O1477" i="3"/>
  <c r="O1494" i="3"/>
  <c r="O1511" i="3"/>
  <c r="O1512" i="3"/>
  <c r="O1518" i="3"/>
  <c r="O1538" i="3"/>
  <c r="O1545" i="3"/>
  <c r="O1551" i="3"/>
  <c r="O1561" i="3"/>
  <c r="O1587" i="3"/>
  <c r="O1593" i="3"/>
  <c r="O1597" i="3"/>
  <c r="O1603" i="3"/>
  <c r="O1604" i="3"/>
  <c r="O1605" i="3"/>
  <c r="O1619" i="3"/>
  <c r="O1388" i="3"/>
  <c r="O1413" i="3"/>
  <c r="O1449" i="3"/>
  <c r="O1471" i="3"/>
  <c r="O1484" i="3"/>
  <c r="O1507" i="3"/>
  <c r="O1534" i="3"/>
  <c r="O1567" i="3"/>
  <c r="O1578" i="3"/>
  <c r="O1607" i="3"/>
  <c r="O1613" i="3"/>
  <c r="O1356" i="3"/>
  <c r="O1368" i="3"/>
  <c r="O1369" i="3"/>
  <c r="O1440" i="3"/>
  <c r="O1479" i="3"/>
  <c r="O1486" i="3"/>
  <c r="O1499" i="3"/>
  <c r="O1509" i="3"/>
  <c r="O1557" i="3"/>
  <c r="O1565" i="3"/>
  <c r="O1576" i="3"/>
  <c r="O1614" i="3"/>
  <c r="O1284" i="3"/>
  <c r="O1285" i="3"/>
  <c r="O1298" i="3"/>
  <c r="O1335" i="3"/>
  <c r="O1336" i="3"/>
  <c r="O1337" i="3"/>
  <c r="O1346" i="3"/>
  <c r="O1407" i="3"/>
  <c r="O1408" i="3"/>
  <c r="O1422" i="3"/>
  <c r="O1475" i="3"/>
  <c r="O1481" i="3"/>
  <c r="O1489" i="3"/>
  <c r="O1503" i="3"/>
  <c r="O1504" i="3"/>
  <c r="O1516" i="3"/>
  <c r="O1517" i="3"/>
  <c r="O1537" i="3"/>
  <c r="O1544" i="3"/>
  <c r="O1546" i="3"/>
  <c r="O1583" i="3"/>
  <c r="O1592" i="3"/>
  <c r="O1595" i="3"/>
  <c r="O1596" i="3"/>
  <c r="O1599" i="3"/>
  <c r="O1618" i="3"/>
  <c r="O1358" i="3"/>
  <c r="O1412" i="3"/>
  <c r="O1435" i="3"/>
  <c r="O1472" i="3"/>
  <c r="O1485" i="3"/>
  <c r="O1513" i="3"/>
  <c r="O1521" i="3"/>
  <c r="O1553" i="3"/>
  <c r="O1575" i="3"/>
  <c r="O1589" i="3"/>
  <c r="O1612" i="3"/>
  <c r="O1313" i="3"/>
  <c r="O1367" i="3"/>
  <c r="O1378" i="3"/>
  <c r="O1417" i="3"/>
  <c r="O1439" i="3"/>
  <c r="O1454" i="3"/>
  <c r="O1480" i="3"/>
  <c r="O1508" i="3"/>
  <c r="O1526" i="3"/>
  <c r="O1569" i="3"/>
  <c r="O1582" i="3"/>
  <c r="O1622" i="3"/>
  <c r="O1004" i="3"/>
  <c r="O1009" i="3"/>
  <c r="O1010" i="3"/>
  <c r="O1013" i="3"/>
  <c r="O1019" i="3"/>
  <c r="O1022" i="3"/>
  <c r="O1023" i="3"/>
  <c r="O1032" i="3"/>
  <c r="O1036" i="3"/>
  <c r="O1041" i="3"/>
  <c r="O1042" i="3"/>
  <c r="O1045" i="3"/>
  <c r="O1051" i="3"/>
  <c r="O1054" i="3"/>
  <c r="O1055" i="3"/>
  <c r="O1064" i="3"/>
  <c r="O1068" i="3"/>
  <c r="O1075" i="3"/>
  <c r="O1077" i="3"/>
  <c r="O1078" i="3"/>
  <c r="O1079" i="3"/>
  <c r="O1082" i="3"/>
  <c r="O1088" i="3"/>
  <c r="O1093" i="3"/>
  <c r="O1098" i="3"/>
  <c r="O1102" i="3"/>
  <c r="O1106" i="3"/>
  <c r="O1113" i="3"/>
  <c r="O1118" i="3"/>
  <c r="O1126" i="3"/>
  <c r="O1134" i="3"/>
  <c r="O1142" i="3"/>
  <c r="O1150" i="3"/>
  <c r="O1158" i="3"/>
  <c r="O1166" i="3"/>
  <c r="O1171" i="3"/>
  <c r="O1175" i="3"/>
  <c r="O1176" i="3"/>
  <c r="O1177" i="3"/>
  <c r="O1180" i="3"/>
  <c r="O1186" i="3"/>
  <c r="O1190" i="3"/>
  <c r="O1196" i="3"/>
  <c r="O1198" i="3"/>
  <c r="O1202" i="3"/>
  <c r="O1206" i="3"/>
  <c r="O1211" i="3"/>
  <c r="O1214" i="3"/>
  <c r="O1221" i="3"/>
  <c r="O1227" i="3"/>
  <c r="O1232" i="3"/>
  <c r="O1233" i="3"/>
  <c r="O1237" i="3"/>
  <c r="O1242" i="3"/>
  <c r="O1249" i="3"/>
  <c r="O1252" i="3"/>
  <c r="O1253" i="3"/>
  <c r="O1257" i="3"/>
  <c r="O1260" i="3"/>
  <c r="O1261" i="3"/>
  <c r="O1265" i="3"/>
  <c r="O1268" i="3"/>
  <c r="O1269" i="3"/>
  <c r="O1273" i="3"/>
  <c r="O1276" i="3"/>
  <c r="O1277" i="3"/>
  <c r="O1281" i="3"/>
  <c r="O1000" i="3"/>
  <c r="O1002" i="3"/>
  <c r="O1005" i="3"/>
  <c r="O1011" i="3"/>
  <c r="O1014" i="3"/>
  <c r="O1015" i="3"/>
  <c r="O1024" i="3"/>
  <c r="O1028" i="3"/>
  <c r="O1033" i="3"/>
  <c r="O1034" i="3"/>
  <c r="O1037" i="3"/>
  <c r="O1043" i="3"/>
  <c r="O1046" i="3"/>
  <c r="O1047" i="3"/>
  <c r="O1056" i="3"/>
  <c r="O1060" i="3"/>
  <c r="O1065" i="3"/>
  <c r="O1069" i="3"/>
  <c r="O1017" i="3"/>
  <c r="O1018" i="3"/>
  <c r="O1027" i="3"/>
  <c r="O1049" i="3"/>
  <c r="O1050" i="3"/>
  <c r="O1059" i="3"/>
  <c r="O1066" i="3"/>
  <c r="O1083" i="3"/>
  <c r="O1090" i="3"/>
  <c r="O1092" i="3"/>
  <c r="O1097" i="3"/>
  <c r="O1103" i="3"/>
  <c r="O1112" i="3"/>
  <c r="O1116" i="3"/>
  <c r="O1117" i="3"/>
  <c r="O1130" i="3"/>
  <c r="O1135" i="3"/>
  <c r="O1136" i="3"/>
  <c r="O1139" i="3"/>
  <c r="O1145" i="3"/>
  <c r="O1148" i="3"/>
  <c r="O1149" i="3"/>
  <c r="O1162" i="3"/>
  <c r="O1167" i="3"/>
  <c r="O1168" i="3"/>
  <c r="O1169" i="3"/>
  <c r="O1174" i="3"/>
  <c r="O1178" i="3"/>
  <c r="O1182" i="3"/>
  <c r="O1191" i="3"/>
  <c r="O1192" i="3"/>
  <c r="O1193" i="3"/>
  <c r="O1200" i="3"/>
  <c r="O1201" i="3"/>
  <c r="O1207" i="3"/>
  <c r="O1208" i="3"/>
  <c r="O1209" i="3"/>
  <c r="O1213" i="3"/>
  <c r="O1217" i="3"/>
  <c r="O1220" i="3"/>
  <c r="O1228" i="3"/>
  <c r="O1230" i="3"/>
  <c r="O1236" i="3"/>
  <c r="O1243" i="3"/>
  <c r="O1246" i="3"/>
  <c r="O1250" i="3"/>
  <c r="O1263" i="3"/>
  <c r="O1264" i="3"/>
  <c r="O1275" i="3"/>
  <c r="O1278" i="3"/>
  <c r="O1282" i="3"/>
  <c r="O1001" i="3"/>
  <c r="O1006" i="3"/>
  <c r="O1007" i="3"/>
  <c r="O1038" i="3"/>
  <c r="O1039" i="3"/>
  <c r="O1067" i="3"/>
  <c r="O1072" i="3"/>
  <c r="O1076" i="3"/>
  <c r="O1080" i="3"/>
  <c r="O1084" i="3"/>
  <c r="O1091" i="3"/>
  <c r="O1099" i="3"/>
  <c r="O1104" i="3"/>
  <c r="O1108" i="3"/>
  <c r="O1122" i="3"/>
  <c r="O1127" i="3"/>
  <c r="O1128" i="3"/>
  <c r="O1131" i="3"/>
  <c r="O1137" i="3"/>
  <c r="O1140" i="3"/>
  <c r="O1141" i="3"/>
  <c r="O1154" i="3"/>
  <c r="O1159" i="3"/>
  <c r="O1160" i="3"/>
  <c r="O1163" i="3"/>
  <c r="O1170" i="3"/>
  <c r="O1179" i="3"/>
  <c r="O1187" i="3"/>
  <c r="O1194" i="3"/>
  <c r="O1203" i="3"/>
  <c r="O1222" i="3"/>
  <c r="O1229" i="3"/>
  <c r="O1238" i="3"/>
  <c r="O1244" i="3"/>
  <c r="O1012" i="3"/>
  <c r="O1016" i="3"/>
  <c r="O1029" i="3"/>
  <c r="O1052" i="3"/>
  <c r="O1062" i="3"/>
  <c r="O1063" i="3"/>
  <c r="O1073" i="3"/>
  <c r="O1085" i="3"/>
  <c r="O1086" i="3"/>
  <c r="O1087" i="3"/>
  <c r="O1101" i="3"/>
  <c r="O1115" i="3"/>
  <c r="O1123" i="3"/>
  <c r="O1132" i="3"/>
  <c r="O1133" i="3"/>
  <c r="O1153" i="3"/>
  <c r="O1161" i="3"/>
  <c r="O1212" i="3"/>
  <c r="O1226" i="3"/>
  <c r="O1231" i="3"/>
  <c r="O1234" i="3"/>
  <c r="O1245" i="3"/>
  <c r="O1266" i="3"/>
  <c r="O1283" i="3"/>
  <c r="O1020" i="3"/>
  <c r="O1030" i="3"/>
  <c r="O1031" i="3"/>
  <c r="O1035" i="3"/>
  <c r="O1053" i="3"/>
  <c r="O1057" i="3"/>
  <c r="O1058" i="3"/>
  <c r="O1070" i="3"/>
  <c r="O1074" i="3"/>
  <c r="O1089" i="3"/>
  <c r="O1094" i="3"/>
  <c r="O1095" i="3"/>
  <c r="O1105" i="3"/>
  <c r="O1109" i="3"/>
  <c r="O1110" i="3"/>
  <c r="O1111" i="3"/>
  <c r="O1119" i="3"/>
  <c r="O1120" i="3"/>
  <c r="O1124" i="3"/>
  <c r="O1125" i="3"/>
  <c r="O1146" i="3"/>
  <c r="O1188" i="3"/>
  <c r="O1195" i="3"/>
  <c r="O1218" i="3"/>
  <c r="O1235" i="3"/>
  <c r="O1251" i="3"/>
  <c r="O1254" i="3"/>
  <c r="O1258" i="3"/>
  <c r="O1267" i="3"/>
  <c r="O1270" i="3"/>
  <c r="O1274" i="3"/>
  <c r="O999" i="3"/>
  <c r="O1003" i="3"/>
  <c r="O1021" i="3"/>
  <c r="O1025" i="3"/>
  <c r="O1026" i="3"/>
  <c r="O1040" i="3"/>
  <c r="O1071" i="3"/>
  <c r="O1096" i="3"/>
  <c r="O1107" i="3"/>
  <c r="O1121" i="3"/>
  <c r="O1129" i="3"/>
  <c r="O1138" i="3"/>
  <c r="O1147" i="3"/>
  <c r="O1155" i="3"/>
  <c r="O1164" i="3"/>
  <c r="O1165" i="3"/>
  <c r="O1172" i="3"/>
  <c r="O1183" i="3"/>
  <c r="O1184" i="3"/>
  <c r="O1189" i="3"/>
  <c r="O1197" i="3"/>
  <c r="O1199" i="3"/>
  <c r="O1204" i="3"/>
  <c r="O1219" i="3"/>
  <c r="O1239" i="3"/>
  <c r="O1240" i="3"/>
  <c r="O1241" i="3"/>
  <c r="O1259" i="3"/>
  <c r="O1262" i="3"/>
  <c r="O1279" i="3"/>
  <c r="O1280" i="3"/>
  <c r="O1008" i="3"/>
  <c r="O1044" i="3"/>
  <c r="O1048" i="3"/>
  <c r="O1061" i="3"/>
  <c r="O1081" i="3"/>
  <c r="O1100" i="3"/>
  <c r="O1114" i="3"/>
  <c r="O1143" i="3"/>
  <c r="O1144" i="3"/>
  <c r="O1151" i="3"/>
  <c r="O1152" i="3"/>
  <c r="O1156" i="3"/>
  <c r="O1157" i="3"/>
  <c r="O1173" i="3"/>
  <c r="O1181" i="3"/>
  <c r="O1185" i="3"/>
  <c r="O1205" i="3"/>
  <c r="O1210" i="3"/>
  <c r="O1215" i="3"/>
  <c r="O1216" i="3"/>
  <c r="O1223" i="3"/>
  <c r="O1224" i="3"/>
  <c r="O1225" i="3"/>
  <c r="O1247" i="3"/>
  <c r="O1248" i="3"/>
  <c r="O1255" i="3"/>
  <c r="O1256" i="3"/>
  <c r="O1271" i="3"/>
  <c r="O1272" i="3"/>
  <c r="O465" i="3"/>
  <c r="O468" i="3"/>
  <c r="O469" i="3"/>
  <c r="O471" i="3"/>
  <c r="O473" i="3"/>
  <c r="O476" i="3"/>
  <c r="O478" i="3"/>
  <c r="O480" i="3"/>
  <c r="O482" i="3"/>
  <c r="O484" i="3"/>
  <c r="O486" i="3"/>
  <c r="O488" i="3"/>
  <c r="O490" i="3"/>
  <c r="O492" i="3"/>
  <c r="O494" i="3"/>
  <c r="O495" i="3"/>
  <c r="O498" i="3"/>
  <c r="O499" i="3"/>
  <c r="O502" i="3"/>
  <c r="O503" i="3"/>
  <c r="O505" i="3"/>
  <c r="O508" i="3"/>
  <c r="O510" i="3"/>
  <c r="O512" i="3"/>
  <c r="O514" i="3"/>
  <c r="O516" i="3"/>
  <c r="O517" i="3"/>
  <c r="O519" i="3"/>
  <c r="O522" i="3"/>
  <c r="O523" i="3"/>
  <c r="O526" i="3"/>
  <c r="O527" i="3"/>
  <c r="O530" i="3"/>
  <c r="O532" i="3"/>
  <c r="O533" i="3"/>
  <c r="O536" i="3"/>
  <c r="O538" i="3"/>
  <c r="O540" i="3"/>
  <c r="O541" i="3"/>
  <c r="O544" i="3"/>
  <c r="O545" i="3"/>
  <c r="O547" i="3"/>
  <c r="O549" i="3"/>
  <c r="O551" i="3"/>
  <c r="O553" i="3"/>
  <c r="O555" i="3"/>
  <c r="O557" i="3"/>
  <c r="O560" i="3"/>
  <c r="O561" i="3"/>
  <c r="O564" i="3"/>
  <c r="O566" i="3"/>
  <c r="O568" i="3"/>
  <c r="O570" i="3"/>
  <c r="O572" i="3"/>
  <c r="O573" i="3"/>
  <c r="O576" i="3"/>
  <c r="O577" i="3"/>
  <c r="O580" i="3"/>
  <c r="O582" i="3"/>
  <c r="O584" i="3"/>
  <c r="O586" i="3"/>
  <c r="O588" i="3"/>
  <c r="O590" i="3"/>
  <c r="O592" i="3"/>
  <c r="O594" i="3"/>
  <c r="O595" i="3"/>
  <c r="O598" i="3"/>
  <c r="O600" i="3"/>
  <c r="O602" i="3"/>
  <c r="O604" i="3"/>
  <c r="O606" i="3"/>
  <c r="O608" i="3"/>
  <c r="O610" i="3"/>
  <c r="O612" i="3"/>
  <c r="O614" i="3"/>
  <c r="O615" i="3"/>
  <c r="O618" i="3"/>
  <c r="O619" i="3"/>
  <c r="O622" i="3"/>
  <c r="O623" i="3"/>
  <c r="O626" i="3"/>
  <c r="O627" i="3"/>
  <c r="O629" i="3"/>
  <c r="O631" i="3"/>
  <c r="O633" i="3"/>
  <c r="O466" i="3"/>
  <c r="O467" i="3"/>
  <c r="O470" i="3"/>
  <c r="O472" i="3"/>
  <c r="O474" i="3"/>
  <c r="O475" i="3"/>
  <c r="O477" i="3"/>
  <c r="O479" i="3"/>
  <c r="O481" i="3"/>
  <c r="O483" i="3"/>
  <c r="O485" i="3"/>
  <c r="O487" i="3"/>
  <c r="O489" i="3"/>
  <c r="O491" i="3"/>
  <c r="O493" i="3"/>
  <c r="O496" i="3"/>
  <c r="O497" i="3"/>
  <c r="O500" i="3"/>
  <c r="O501" i="3"/>
  <c r="O504" i="3"/>
  <c r="O506" i="3"/>
  <c r="O507" i="3"/>
  <c r="O509" i="3"/>
  <c r="O511" i="3"/>
  <c r="O513" i="3"/>
  <c r="O515" i="3"/>
  <c r="O518" i="3"/>
  <c r="O520" i="3"/>
  <c r="O521" i="3"/>
  <c r="O524" i="3"/>
  <c r="O525" i="3"/>
  <c r="O528" i="3"/>
  <c r="O529" i="3"/>
  <c r="O531" i="3"/>
  <c r="O534" i="3"/>
  <c r="O535" i="3"/>
  <c r="O537" i="3"/>
  <c r="O539" i="3"/>
  <c r="O542" i="3"/>
  <c r="O543" i="3"/>
  <c r="O546" i="3"/>
  <c r="O548" i="3"/>
  <c r="O550" i="3"/>
  <c r="O552" i="3"/>
  <c r="O554" i="3"/>
  <c r="O556" i="3"/>
  <c r="O558" i="3"/>
  <c r="O559" i="3"/>
  <c r="O562" i="3"/>
  <c r="O563" i="3"/>
  <c r="O565" i="3"/>
  <c r="O567" i="3"/>
  <c r="O569" i="3"/>
  <c r="O571" i="3"/>
  <c r="O574" i="3"/>
  <c r="O575" i="3"/>
  <c r="O578" i="3"/>
  <c r="O579" i="3"/>
  <c r="O581" i="3"/>
  <c r="O583" i="3"/>
  <c r="O585" i="3"/>
  <c r="O587" i="3"/>
  <c r="O589" i="3"/>
  <c r="O591" i="3"/>
  <c r="O593" i="3"/>
  <c r="O596" i="3"/>
  <c r="O597" i="3"/>
  <c r="O599" i="3"/>
  <c r="O601" i="3"/>
  <c r="O603" i="3"/>
  <c r="O605" i="3"/>
  <c r="O607" i="3"/>
  <c r="O609" i="3"/>
  <c r="O611" i="3"/>
  <c r="O613" i="3"/>
  <c r="O616" i="3"/>
  <c r="O617" i="3"/>
  <c r="O620" i="3"/>
  <c r="O621" i="3"/>
  <c r="O624" i="3"/>
  <c r="O625" i="3"/>
  <c r="O628" i="3"/>
  <c r="O630" i="3"/>
  <c r="O632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3975" i="3"/>
  <c r="O4074" i="3"/>
  <c r="O4056" i="3"/>
  <c r="O3972" i="3"/>
  <c r="O4073" i="3"/>
  <c r="O3957" i="3"/>
  <c r="O3973" i="3"/>
  <c r="O4067" i="3"/>
  <c r="O3960" i="3"/>
  <c r="O3976" i="3"/>
  <c r="O4070" i="3"/>
  <c r="O3967" i="3"/>
  <c r="O4061" i="3"/>
  <c r="O3958" i="3"/>
  <c r="O3974" i="3"/>
  <c r="O4068" i="3"/>
  <c r="S17" i="17"/>
  <c r="O4072" i="3"/>
  <c r="O3970" i="3"/>
  <c r="O4069" i="3"/>
  <c r="O3971" i="3"/>
  <c r="O4066" i="3"/>
  <c r="O3968" i="3"/>
  <c r="O4071" i="3"/>
  <c r="O3969" i="3"/>
  <c r="O4064" i="3"/>
  <c r="O3966" i="3"/>
  <c r="O4065" i="3"/>
  <c r="O3963" i="3"/>
  <c r="O4062" i="3"/>
  <c r="O3964" i="3"/>
  <c r="O4063" i="3"/>
  <c r="O3965" i="3"/>
  <c r="O4060" i="3"/>
  <c r="O3962" i="3"/>
  <c r="O4057" i="3"/>
  <c r="O3959" i="3"/>
  <c r="O4058" i="3"/>
  <c r="O3956" i="3"/>
  <c r="O4059" i="3"/>
  <c r="O3961" i="3"/>
  <c r="T17" i="17"/>
  <c r="V17" i="17"/>
  <c r="AS2" i="17"/>
  <c r="B33" i="12"/>
  <c r="M32" i="10" s="1"/>
  <c r="U17" i="17"/>
  <c r="P18" i="17"/>
  <c r="S18" i="17" s="1"/>
  <c r="P19" i="17"/>
  <c r="T19" i="17" s="1"/>
  <c r="AG2" i="17"/>
  <c r="O3552" i="3"/>
  <c r="O3556" i="3"/>
  <c r="O3704" i="3"/>
  <c r="O3708" i="3"/>
  <c r="O3712" i="3"/>
  <c r="O3716" i="3"/>
  <c r="O3720" i="3"/>
  <c r="O3724" i="3"/>
  <c r="O3858" i="3"/>
  <c r="O3862" i="3"/>
  <c r="O3866" i="3"/>
  <c r="O3870" i="3"/>
  <c r="O3874" i="3"/>
  <c r="O3878" i="3"/>
  <c r="O3882" i="3"/>
  <c r="O3551" i="3"/>
  <c r="O3555" i="3"/>
  <c r="O3559" i="3"/>
  <c r="O3707" i="3"/>
  <c r="O3711" i="3"/>
  <c r="O3715" i="3"/>
  <c r="O3719" i="3"/>
  <c r="O3723" i="3"/>
  <c r="O3857" i="3"/>
  <c r="O3861" i="3"/>
  <c r="O3865" i="3"/>
  <c r="O3869" i="3"/>
  <c r="O3873" i="3"/>
  <c r="O3877" i="3"/>
  <c r="O3881" i="3"/>
  <c r="O3550" i="3"/>
  <c r="O3554" i="3"/>
  <c r="O3558" i="3"/>
  <c r="O3706" i="3"/>
  <c r="O3710" i="3"/>
  <c r="O3714" i="3"/>
  <c r="O3718" i="3"/>
  <c r="O3722" i="3"/>
  <c r="O3856" i="3"/>
  <c r="O3860" i="3"/>
  <c r="O3864" i="3"/>
  <c r="O3868" i="3"/>
  <c r="O3872" i="3"/>
  <c r="O3876" i="3"/>
  <c r="O3880" i="3"/>
  <c r="O3884" i="3"/>
  <c r="O3553" i="3"/>
  <c r="O3557" i="3"/>
  <c r="O3705" i="3"/>
  <c r="O3709" i="3"/>
  <c r="O3713" i="3"/>
  <c r="O3717" i="3"/>
  <c r="O3721" i="3"/>
  <c r="O3854" i="3"/>
  <c r="O3859" i="3"/>
  <c r="O3863" i="3"/>
  <c r="O3867" i="3"/>
  <c r="O3871" i="3"/>
  <c r="O3875" i="3"/>
  <c r="O3879" i="3"/>
  <c r="O3883" i="3"/>
  <c r="R5" i="17"/>
  <c r="T5" i="17"/>
  <c r="O710" i="3"/>
  <c r="O719" i="3"/>
  <c r="O733" i="3"/>
  <c r="O734" i="3"/>
  <c r="O735" i="3"/>
  <c r="O736" i="3"/>
  <c r="O737" i="3"/>
  <c r="O738" i="3"/>
  <c r="O739" i="3"/>
  <c r="O740" i="3"/>
  <c r="O741" i="3"/>
  <c r="O752" i="3"/>
  <c r="O753" i="3"/>
  <c r="O754" i="3"/>
  <c r="O755" i="3"/>
  <c r="O783" i="3"/>
  <c r="O784" i="3"/>
  <c r="O785" i="3"/>
  <c r="O799" i="3"/>
  <c r="O800" i="3"/>
  <c r="O801" i="3"/>
  <c r="O802" i="3"/>
  <c r="O803" i="3"/>
  <c r="O804" i="3"/>
  <c r="O805" i="3"/>
  <c r="O712" i="3"/>
  <c r="O732" i="3"/>
  <c r="O798" i="3"/>
  <c r="O816" i="3"/>
  <c r="O830" i="3"/>
  <c r="O831" i="3"/>
  <c r="O832" i="3"/>
  <c r="O833" i="3"/>
  <c r="O834" i="3"/>
  <c r="O835" i="3"/>
  <c r="O711" i="3"/>
  <c r="O742" i="3"/>
  <c r="O743" i="3"/>
  <c r="O744" i="3"/>
  <c r="O745" i="3"/>
  <c r="O746" i="3"/>
  <c r="O747" i="3"/>
  <c r="O748" i="3"/>
  <c r="O749" i="3"/>
  <c r="O756" i="3"/>
  <c r="O806" i="3"/>
  <c r="O807" i="3"/>
  <c r="O808" i="3"/>
  <c r="O809" i="3"/>
  <c r="O810" i="3"/>
  <c r="O811" i="3"/>
  <c r="O812" i="3"/>
  <c r="O813" i="3"/>
  <c r="O821" i="3"/>
  <c r="O822" i="3"/>
  <c r="O823" i="3"/>
  <c r="O824" i="3"/>
  <c r="O825" i="3"/>
  <c r="O826" i="3"/>
  <c r="O827" i="3"/>
  <c r="O828" i="3"/>
  <c r="O829" i="3"/>
  <c r="O836" i="3"/>
  <c r="O713" i="3"/>
  <c r="O714" i="3"/>
  <c r="O715" i="3"/>
  <c r="O716" i="3"/>
  <c r="O717" i="3"/>
  <c r="O718" i="3"/>
  <c r="O750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6" i="3"/>
  <c r="O814" i="3"/>
  <c r="O815" i="3"/>
  <c r="O837" i="3"/>
  <c r="O838" i="3"/>
  <c r="O839" i="3"/>
  <c r="O840" i="3"/>
  <c r="O841" i="3"/>
  <c r="O842" i="3"/>
  <c r="O724" i="3"/>
  <c r="O725" i="3"/>
  <c r="O726" i="3"/>
  <c r="O727" i="3"/>
  <c r="O728" i="3"/>
  <c r="O729" i="3"/>
  <c r="O730" i="3"/>
  <c r="O731" i="3"/>
  <c r="O782" i="3"/>
  <c r="O817" i="3"/>
  <c r="O818" i="3"/>
  <c r="O819" i="3"/>
  <c r="O700" i="3"/>
  <c r="O751" i="3"/>
  <c r="O820" i="3"/>
  <c r="O701" i="3"/>
  <c r="O702" i="3"/>
  <c r="O703" i="3"/>
  <c r="O704" i="3"/>
  <c r="O705" i="3"/>
  <c r="O706" i="3"/>
  <c r="O707" i="3"/>
  <c r="O708" i="3"/>
  <c r="O709" i="3"/>
  <c r="O720" i="3"/>
  <c r="O721" i="3"/>
  <c r="O722" i="3"/>
  <c r="O723" i="3"/>
  <c r="O787" i="3"/>
  <c r="O788" i="3"/>
  <c r="O789" i="3"/>
  <c r="O790" i="3"/>
  <c r="O791" i="3"/>
  <c r="O792" i="3"/>
  <c r="O793" i="3"/>
  <c r="O794" i="3"/>
  <c r="O795" i="3"/>
  <c r="O796" i="3"/>
  <c r="O797" i="3"/>
  <c r="O12" i="3"/>
  <c r="O24" i="3"/>
  <c r="O40" i="3"/>
  <c r="O56" i="3"/>
  <c r="O72" i="3"/>
  <c r="O94" i="3"/>
  <c r="O103" i="3"/>
  <c r="O112" i="3"/>
  <c r="O127" i="3"/>
  <c r="O138" i="3"/>
  <c r="O139" i="3"/>
  <c r="O149" i="3"/>
  <c r="O150" i="3"/>
  <c r="O151" i="3"/>
  <c r="O152" i="3"/>
  <c r="O153" i="3"/>
  <c r="O165" i="3"/>
  <c r="O166" i="3"/>
  <c r="O167" i="3"/>
  <c r="O172" i="3"/>
  <c r="O173" i="3"/>
  <c r="O178" i="3"/>
  <c r="O190" i="3"/>
  <c r="O191" i="3"/>
  <c r="O192" i="3"/>
  <c r="O193" i="3"/>
  <c r="O194" i="3"/>
  <c r="O195" i="3"/>
  <c r="O196" i="3"/>
  <c r="O197" i="3"/>
  <c r="O13" i="3"/>
  <c r="O14" i="3"/>
  <c r="O15" i="3"/>
  <c r="O32" i="3"/>
  <c r="O49" i="3"/>
  <c r="O50" i="3"/>
  <c r="O51" i="3"/>
  <c r="O52" i="3"/>
  <c r="O53" i="3"/>
  <c r="O54" i="3"/>
  <c r="O55" i="3"/>
  <c r="O73" i="3"/>
  <c r="O74" i="3"/>
  <c r="O75" i="3"/>
  <c r="O76" i="3"/>
  <c r="O77" i="3"/>
  <c r="O78" i="3"/>
  <c r="O79" i="3"/>
  <c r="O96" i="3"/>
  <c r="O97" i="3"/>
  <c r="O98" i="3"/>
  <c r="O99" i="3"/>
  <c r="O100" i="3"/>
  <c r="O101" i="3"/>
  <c r="O111" i="3"/>
  <c r="O148" i="3"/>
  <c r="O171" i="3"/>
  <c r="O174" i="3"/>
  <c r="O175" i="3"/>
  <c r="O189" i="3"/>
  <c r="O198" i="3"/>
  <c r="O199" i="3"/>
  <c r="O200" i="3"/>
  <c r="O217" i="3"/>
  <c r="O244" i="3"/>
  <c r="O245" i="3"/>
  <c r="O278" i="3"/>
  <c r="O279" i="3"/>
  <c r="O280" i="3"/>
  <c r="O281" i="3"/>
  <c r="O282" i="3"/>
  <c r="O283" i="3"/>
  <c r="O291" i="3"/>
  <c r="O292" i="3"/>
  <c r="O293" i="3"/>
  <c r="O294" i="3"/>
  <c r="O295" i="3"/>
  <c r="O296" i="3"/>
  <c r="O297" i="3"/>
  <c r="O298" i="3"/>
  <c r="O299" i="3"/>
  <c r="O305" i="3"/>
  <c r="O306" i="3"/>
  <c r="O307" i="3"/>
  <c r="O308" i="3"/>
  <c r="O309" i="3"/>
  <c r="O310" i="3"/>
  <c r="O311" i="3"/>
  <c r="O312" i="3"/>
  <c r="O340" i="3"/>
  <c r="O347" i="3"/>
  <c r="O353" i="3"/>
  <c r="O363" i="3"/>
  <c r="O367" i="3"/>
  <c r="O403" i="3"/>
  <c r="O404" i="3"/>
  <c r="O414" i="3"/>
  <c r="O415" i="3"/>
  <c r="O416" i="3"/>
  <c r="O417" i="3"/>
  <c r="O418" i="3"/>
  <c r="O419" i="3"/>
  <c r="O420" i="3"/>
  <c r="O421" i="3"/>
  <c r="O422" i="3"/>
  <c r="O423" i="3"/>
  <c r="O424" i="3"/>
  <c r="O430" i="3"/>
  <c r="O431" i="3"/>
  <c r="O432" i="3"/>
  <c r="O25" i="3"/>
  <c r="O26" i="3"/>
  <c r="O27" i="3"/>
  <c r="O28" i="3"/>
  <c r="O29" i="3"/>
  <c r="O30" i="3"/>
  <c r="O31" i="3"/>
  <c r="O65" i="3"/>
  <c r="O66" i="3"/>
  <c r="O67" i="3"/>
  <c r="O68" i="3"/>
  <c r="O69" i="3"/>
  <c r="O70" i="3"/>
  <c r="O71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113" i="3"/>
  <c r="O114" i="3"/>
  <c r="O115" i="3"/>
  <c r="O128" i="3"/>
  <c r="O158" i="3"/>
  <c r="O159" i="3"/>
  <c r="O160" i="3"/>
  <c r="O161" i="3"/>
  <c r="O162" i="3"/>
  <c r="O163" i="3"/>
  <c r="O168" i="3"/>
  <c r="O176" i="3"/>
  <c r="O201" i="3"/>
  <c r="O230" i="3"/>
  <c r="O285" i="3"/>
  <c r="O286" i="3"/>
  <c r="O287" i="3"/>
  <c r="O288" i="3"/>
  <c r="O289" i="3"/>
  <c r="O304" i="3"/>
  <c r="O349" i="3"/>
  <c r="O362" i="3"/>
  <c r="O368" i="3"/>
  <c r="O413" i="3"/>
  <c r="O426" i="3"/>
  <c r="O427" i="3"/>
  <c r="O428" i="3"/>
  <c r="O433" i="3"/>
  <c r="O33" i="3"/>
  <c r="O34" i="3"/>
  <c r="O35" i="3"/>
  <c r="O36" i="3"/>
  <c r="O37" i="3"/>
  <c r="O38" i="3"/>
  <c r="O39" i="3"/>
  <c r="O95" i="3"/>
  <c r="O102" i="3"/>
  <c r="O116" i="3"/>
  <c r="O117" i="3"/>
  <c r="O118" i="3"/>
  <c r="O119" i="3"/>
  <c r="O120" i="3"/>
  <c r="O121" i="3"/>
  <c r="O122" i="3"/>
  <c r="O123" i="3"/>
  <c r="O124" i="3"/>
  <c r="O125" i="3"/>
  <c r="O129" i="3"/>
  <c r="O130" i="3"/>
  <c r="O131" i="3"/>
  <c r="O132" i="3"/>
  <c r="O133" i="3"/>
  <c r="O134" i="3"/>
  <c r="O41" i="3"/>
  <c r="O42" i="3"/>
  <c r="O43" i="3"/>
  <c r="O44" i="3"/>
  <c r="O45" i="3"/>
  <c r="O46" i="3"/>
  <c r="O47" i="3"/>
  <c r="O57" i="3"/>
  <c r="O58" i="3"/>
  <c r="O59" i="3"/>
  <c r="O60" i="3"/>
  <c r="O61" i="3"/>
  <c r="O62" i="3"/>
  <c r="O63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6" i="3"/>
  <c r="O250" i="3"/>
  <c r="O300" i="3"/>
  <c r="O339" i="3"/>
  <c r="O348" i="3"/>
  <c r="O364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5" i="3"/>
  <c r="O425" i="3"/>
  <c r="O48" i="3"/>
  <c r="O64" i="3"/>
  <c r="O126" i="3"/>
  <c r="O135" i="3"/>
  <c r="O136" i="3"/>
  <c r="O137" i="3"/>
  <c r="O140" i="3"/>
  <c r="O177" i="3"/>
  <c r="O202" i="3"/>
  <c r="O203" i="3"/>
  <c r="O204" i="3"/>
  <c r="O205" i="3"/>
  <c r="O206" i="3"/>
  <c r="O207" i="3"/>
  <c r="O208" i="3"/>
  <c r="O209" i="3"/>
  <c r="O210" i="3"/>
  <c r="O211" i="3"/>
  <c r="O247" i="3"/>
  <c r="O248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301" i="3"/>
  <c r="O302" i="3"/>
  <c r="O303" i="3"/>
  <c r="O350" i="3"/>
  <c r="O351" i="3"/>
  <c r="O352" i="3"/>
  <c r="O365" i="3"/>
  <c r="O406" i="3"/>
  <c r="O407" i="3"/>
  <c r="O408" i="3"/>
  <c r="O409" i="3"/>
  <c r="O410" i="3"/>
  <c r="O411" i="3"/>
  <c r="O412" i="3"/>
  <c r="O16" i="3"/>
  <c r="O80" i="3"/>
  <c r="O104" i="3"/>
  <c r="O105" i="3"/>
  <c r="O106" i="3"/>
  <c r="O107" i="3"/>
  <c r="O108" i="3"/>
  <c r="O109" i="3"/>
  <c r="O141" i="3"/>
  <c r="O142" i="3"/>
  <c r="O143" i="3"/>
  <c r="O144" i="3"/>
  <c r="O145" i="3"/>
  <c r="O146" i="3"/>
  <c r="O147" i="3"/>
  <c r="O169" i="3"/>
  <c r="O170" i="3"/>
  <c r="O179" i="3"/>
  <c r="O180" i="3"/>
  <c r="O181" i="3"/>
  <c r="O182" i="3"/>
  <c r="O183" i="3"/>
  <c r="O184" i="3"/>
  <c r="O185" i="3"/>
  <c r="O186" i="3"/>
  <c r="O187" i="3"/>
  <c r="O188" i="3"/>
  <c r="O212" i="3"/>
  <c r="O213" i="3"/>
  <c r="O290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66" i="3"/>
  <c r="O369" i="3"/>
  <c r="O17" i="3"/>
  <c r="O18" i="3"/>
  <c r="O19" i="3"/>
  <c r="O20" i="3"/>
  <c r="O21" i="3"/>
  <c r="O22" i="3"/>
  <c r="O23" i="3"/>
  <c r="O214" i="3"/>
  <c r="O215" i="3"/>
  <c r="O216" i="3"/>
  <c r="O249" i="3"/>
  <c r="O341" i="3"/>
  <c r="O354" i="3"/>
  <c r="O355" i="3"/>
  <c r="O356" i="3"/>
  <c r="O357" i="3"/>
  <c r="O358" i="3"/>
  <c r="O359" i="3"/>
  <c r="O360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11" i="3"/>
  <c r="O110" i="3"/>
  <c r="O154" i="3"/>
  <c r="O155" i="3"/>
  <c r="O156" i="3"/>
  <c r="O157" i="3"/>
  <c r="O164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77" i="3"/>
  <c r="O284" i="3"/>
  <c r="O313" i="3"/>
  <c r="O342" i="3"/>
  <c r="O343" i="3"/>
  <c r="O344" i="3"/>
  <c r="O345" i="3"/>
  <c r="O346" i="3"/>
  <c r="O361" i="3"/>
  <c r="O429" i="3"/>
  <c r="S5" i="17"/>
  <c r="V5" i="17"/>
  <c r="O2299" i="3"/>
  <c r="O2303" i="3"/>
  <c r="O2307" i="3"/>
  <c r="O2311" i="3"/>
  <c r="O2315" i="3"/>
  <c r="O2402" i="3"/>
  <c r="O2406" i="3"/>
  <c r="O2410" i="3"/>
  <c r="O2414" i="3"/>
  <c r="O2302" i="3"/>
  <c r="O2306" i="3"/>
  <c r="O2310" i="3"/>
  <c r="O2314" i="3"/>
  <c r="O2401" i="3"/>
  <c r="O2405" i="3"/>
  <c r="O2409" i="3"/>
  <c r="O2413" i="3"/>
  <c r="O2301" i="3"/>
  <c r="O2305" i="3"/>
  <c r="O2309" i="3"/>
  <c r="O2313" i="3"/>
  <c r="O2400" i="3"/>
  <c r="O2404" i="3"/>
  <c r="O2408" i="3"/>
  <c r="O2412" i="3"/>
  <c r="O2300" i="3"/>
  <c r="O2304" i="3"/>
  <c r="O2308" i="3"/>
  <c r="O2312" i="3"/>
  <c r="O2399" i="3"/>
  <c r="O2403" i="3"/>
  <c r="O2407" i="3"/>
  <c r="O2411" i="3"/>
  <c r="O2415" i="3"/>
  <c r="U14" i="17"/>
  <c r="AP2" i="17"/>
  <c r="S9" i="17"/>
  <c r="AK2" i="17"/>
  <c r="AN2" i="17"/>
  <c r="R11" i="17"/>
  <c r="AM2" i="17"/>
  <c r="T6" i="17"/>
  <c r="AH2" i="17"/>
  <c r="T15" i="17"/>
  <c r="AQ2" i="17"/>
  <c r="T7" i="17"/>
  <c r="AI2" i="17"/>
  <c r="T10" i="17"/>
  <c r="AL2" i="17"/>
  <c r="T16" i="17"/>
  <c r="AR2" i="17"/>
  <c r="AO2" i="17"/>
  <c r="T8" i="17"/>
  <c r="AJ2" i="17"/>
  <c r="U11" i="17"/>
  <c r="S15" i="17"/>
  <c r="U8" i="17"/>
  <c r="V15" i="17"/>
  <c r="S14" i="17"/>
  <c r="T9" i="17"/>
  <c r="V14" i="17"/>
  <c r="R15" i="17"/>
  <c r="R14" i="17"/>
  <c r="V9" i="17"/>
  <c r="V7" i="17"/>
  <c r="R7" i="17"/>
  <c r="S7" i="17"/>
  <c r="U7" i="17"/>
  <c r="T11" i="17"/>
  <c r="V6" i="17"/>
  <c r="R10" i="17"/>
  <c r="U10" i="17"/>
  <c r="S10" i="17"/>
  <c r="R6" i="17"/>
  <c r="V10" i="17"/>
  <c r="V16" i="17"/>
  <c r="U15" i="17"/>
  <c r="S6" i="17"/>
  <c r="U6" i="17"/>
  <c r="R8" i="17"/>
  <c r="S8" i="17"/>
  <c r="T14" i="17"/>
  <c r="R16" i="17"/>
  <c r="R9" i="17"/>
  <c r="S11" i="17"/>
  <c r="V11" i="17"/>
  <c r="V8" i="17"/>
  <c r="S16" i="17"/>
  <c r="U16" i="17"/>
  <c r="U9" i="17"/>
  <c r="B14" i="12"/>
  <c r="B32" i="12"/>
  <c r="M31" i="10" s="1"/>
  <c r="H15" i="4"/>
  <c r="G15" i="4"/>
  <c r="D16" i="4"/>
  <c r="P33" i="12"/>
  <c r="Q33" i="12" s="1"/>
  <c r="R33" i="12" s="1"/>
  <c r="S33" i="12" s="1"/>
  <c r="P32" i="12"/>
  <c r="Q32" i="12" s="1"/>
  <c r="R32" i="12" s="1"/>
  <c r="P29" i="12"/>
  <c r="Q29" i="12" s="1"/>
  <c r="R29" i="12" s="1"/>
  <c r="S29" i="12" s="1"/>
  <c r="P28" i="12"/>
  <c r="Q28" i="12" s="1"/>
  <c r="R28" i="12" s="1"/>
  <c r="S28" i="12" s="1"/>
  <c r="P27" i="12"/>
  <c r="Q27" i="12" s="1"/>
  <c r="R27" i="12" s="1"/>
  <c r="S27" i="12" s="1"/>
  <c r="P26" i="12"/>
  <c r="Q26" i="12" s="1"/>
  <c r="R26" i="12" s="1"/>
  <c r="P23" i="12"/>
  <c r="P22" i="12"/>
  <c r="P19" i="12"/>
  <c r="Q19" i="12" s="1"/>
  <c r="R19" i="12" s="1"/>
  <c r="S19" i="12" s="1"/>
  <c r="P17" i="12"/>
  <c r="Q17" i="12" s="1"/>
  <c r="R17" i="12" s="1"/>
  <c r="S17" i="12" s="1"/>
  <c r="P18" i="12"/>
  <c r="Q18" i="12" s="1"/>
  <c r="R18" i="12" s="1"/>
  <c r="S18" i="12" s="1"/>
  <c r="P16" i="12"/>
  <c r="Q16" i="12" s="1"/>
  <c r="R16" i="12" s="1"/>
  <c r="P13" i="12"/>
  <c r="Q13" i="12" s="1"/>
  <c r="R13" i="12" s="1"/>
  <c r="S13" i="12" s="1"/>
  <c r="P12" i="12"/>
  <c r="Q12" i="12" s="1"/>
  <c r="R12" i="12" s="1"/>
  <c r="S12" i="12" s="1"/>
  <c r="P11" i="12"/>
  <c r="Q11" i="12" s="1"/>
  <c r="R11" i="12" s="1"/>
  <c r="S11" i="12" s="1"/>
  <c r="Q23" i="12" l="1"/>
  <c r="Q61" i="8"/>
  <c r="Q22" i="12"/>
  <c r="Q54" i="8"/>
  <c r="V18" i="17"/>
  <c r="U18" i="17"/>
  <c r="T18" i="17"/>
  <c r="R18" i="17"/>
  <c r="AL10" i="17"/>
  <c r="AL5" i="17"/>
  <c r="AL7" i="17"/>
  <c r="AL4" i="17"/>
  <c r="AL6" i="17"/>
  <c r="AL8" i="17"/>
  <c r="AL9" i="17"/>
  <c r="AM9" i="17"/>
  <c r="AM6" i="17"/>
  <c r="AM10" i="17"/>
  <c r="AM7" i="17"/>
  <c r="AM8" i="17"/>
  <c r="AM5" i="17"/>
  <c r="AM4" i="17"/>
  <c r="AJ8" i="17"/>
  <c r="AJ6" i="17"/>
  <c r="AJ10" i="17"/>
  <c r="AJ7" i="17"/>
  <c r="AJ4" i="17"/>
  <c r="AJ9" i="17"/>
  <c r="AJ5" i="17"/>
  <c r="AR5" i="17"/>
  <c r="AR4" i="17"/>
  <c r="AR9" i="17"/>
  <c r="AR8" i="17"/>
  <c r="AR6" i="17"/>
  <c r="AR7" i="17"/>
  <c r="AR10" i="17"/>
  <c r="AI4" i="17"/>
  <c r="AI8" i="17"/>
  <c r="AI5" i="17"/>
  <c r="AI9" i="17"/>
  <c r="AI6" i="17"/>
  <c r="AI10" i="17"/>
  <c r="AI7" i="17"/>
  <c r="AH4" i="17"/>
  <c r="AH8" i="17"/>
  <c r="AH7" i="17"/>
  <c r="AH5" i="17"/>
  <c r="AH6" i="17"/>
  <c r="AH9" i="17"/>
  <c r="AN9" i="17"/>
  <c r="AN5" i="17"/>
  <c r="AN7" i="17"/>
  <c r="AN4" i="17"/>
  <c r="AN10" i="17"/>
  <c r="AN6" i="17"/>
  <c r="AN8" i="17"/>
  <c r="AG4" i="17"/>
  <c r="AG8" i="17"/>
  <c r="AG7" i="17"/>
  <c r="AG5" i="17"/>
  <c r="AG6" i="17"/>
  <c r="AG9" i="17"/>
  <c r="AO10" i="17"/>
  <c r="AO6" i="17"/>
  <c r="AO8" i="17"/>
  <c r="AO9" i="17"/>
  <c r="AO5" i="17"/>
  <c r="AO7" i="17"/>
  <c r="AO4" i="17"/>
  <c r="AQ7" i="17"/>
  <c r="AQ4" i="17"/>
  <c r="AQ9" i="17"/>
  <c r="AQ6" i="17"/>
  <c r="AQ8" i="17"/>
  <c r="AQ5" i="17"/>
  <c r="AQ10" i="17"/>
  <c r="AP7" i="17"/>
  <c r="AP8" i="17"/>
  <c r="AP9" i="17"/>
  <c r="AP10" i="17"/>
  <c r="AP4" i="17"/>
  <c r="AP5" i="17"/>
  <c r="AP6" i="17"/>
  <c r="AK4" i="17"/>
  <c r="AK6" i="17"/>
  <c r="AK8" i="17"/>
  <c r="AK9" i="17"/>
  <c r="AK10" i="17"/>
  <c r="AK5" i="17"/>
  <c r="AK7" i="17"/>
  <c r="AS4" i="17"/>
  <c r="AS10" i="17"/>
  <c r="AS8" i="17"/>
  <c r="AS5" i="17"/>
  <c r="AS7" i="17"/>
  <c r="AS9" i="17"/>
  <c r="AS6" i="17"/>
  <c r="V19" i="17"/>
  <c r="R19" i="17"/>
  <c r="AU2" i="17"/>
  <c r="U19" i="17"/>
  <c r="S19" i="17"/>
  <c r="AH10" i="17"/>
  <c r="AT2" i="17"/>
  <c r="D17" i="4"/>
  <c r="G16" i="4"/>
  <c r="H16" i="4"/>
  <c r="S26" i="12"/>
  <c r="S32" i="12"/>
  <c r="S16" i="12"/>
  <c r="R22" i="12" l="1"/>
  <c r="Y54" i="8"/>
  <c r="R23" i="12"/>
  <c r="Y61" i="8"/>
  <c r="AT9" i="17"/>
  <c r="AT7" i="17"/>
  <c r="AT4" i="17"/>
  <c r="AT6" i="17"/>
  <c r="AT8" i="17"/>
  <c r="AT5" i="17"/>
  <c r="AT10" i="17"/>
  <c r="AU6" i="17"/>
  <c r="AU4" i="17"/>
  <c r="AU10" i="17"/>
  <c r="AU8" i="17"/>
  <c r="AU5" i="17"/>
  <c r="AU7" i="17"/>
  <c r="AU9" i="17"/>
  <c r="J21" i="17" a="1"/>
  <c r="K21" i="17" s="1"/>
  <c r="H17" i="4"/>
  <c r="D18" i="4"/>
  <c r="G17" i="4"/>
  <c r="O5680" i="3"/>
  <c r="O5684" i="3"/>
  <c r="O5688" i="3"/>
  <c r="O5692" i="3"/>
  <c r="O5696" i="3"/>
  <c r="O5700" i="3"/>
  <c r="O5704" i="3"/>
  <c r="O5708" i="3"/>
  <c r="O5679" i="3"/>
  <c r="O5683" i="3"/>
  <c r="O5687" i="3"/>
  <c r="O5691" i="3"/>
  <c r="O5695" i="3"/>
  <c r="O5699" i="3"/>
  <c r="O5703" i="3"/>
  <c r="O5707" i="3"/>
  <c r="O5711" i="3"/>
  <c r="O5715" i="3"/>
  <c r="O5719" i="3"/>
  <c r="O5723" i="3"/>
  <c r="O5727" i="3"/>
  <c r="O5676" i="3"/>
  <c r="O5685" i="3"/>
  <c r="O5693" i="3"/>
  <c r="O5701" i="3"/>
  <c r="O5709" i="3"/>
  <c r="O5712" i="3"/>
  <c r="O5722" i="3"/>
  <c r="O5725" i="3"/>
  <c r="O5728" i="3"/>
  <c r="O5682" i="3"/>
  <c r="O5690" i="3"/>
  <c r="O5698" i="3"/>
  <c r="O5706" i="3"/>
  <c r="O5718" i="3"/>
  <c r="O5721" i="3"/>
  <c r="O5724" i="3"/>
  <c r="O5686" i="3"/>
  <c r="O5702" i="3"/>
  <c r="O5714" i="3"/>
  <c r="O5717" i="3"/>
  <c r="O5726" i="3"/>
  <c r="O5678" i="3"/>
  <c r="O5694" i="3"/>
  <c r="O5710" i="3"/>
  <c r="O5681" i="3"/>
  <c r="O5713" i="3"/>
  <c r="O5720" i="3"/>
  <c r="O5689" i="3"/>
  <c r="O5705" i="3"/>
  <c r="O5697" i="3"/>
  <c r="O5716" i="3"/>
  <c r="O6160" i="3"/>
  <c r="O6164" i="3"/>
  <c r="O6168" i="3"/>
  <c r="O6172" i="3"/>
  <c r="O6176" i="3"/>
  <c r="O6180" i="3"/>
  <c r="O6184" i="3"/>
  <c r="O6188" i="3"/>
  <c r="O6192" i="3"/>
  <c r="O6196" i="3"/>
  <c r="O6200" i="3"/>
  <c r="O6204" i="3"/>
  <c r="O6208" i="3"/>
  <c r="O6212" i="3"/>
  <c r="O6216" i="3"/>
  <c r="O6220" i="3"/>
  <c r="O6163" i="3"/>
  <c r="O6167" i="3"/>
  <c r="O6171" i="3"/>
  <c r="O6175" i="3"/>
  <c r="O6179" i="3"/>
  <c r="O6183" i="3"/>
  <c r="O6187" i="3"/>
  <c r="O6191" i="3"/>
  <c r="O6195" i="3"/>
  <c r="O6199" i="3"/>
  <c r="O6203" i="3"/>
  <c r="O6207" i="3"/>
  <c r="O6211" i="3"/>
  <c r="O6215" i="3"/>
  <c r="O6219" i="3"/>
  <c r="O6166" i="3"/>
  <c r="O6174" i="3"/>
  <c r="O6182" i="3"/>
  <c r="O6190" i="3"/>
  <c r="O6198" i="3"/>
  <c r="O6206" i="3"/>
  <c r="O6214" i="3"/>
  <c r="O6162" i="3"/>
  <c r="O6170" i="3"/>
  <c r="O6178" i="3"/>
  <c r="O6186" i="3"/>
  <c r="O6194" i="3"/>
  <c r="O6202" i="3"/>
  <c r="O6210" i="3"/>
  <c r="O6218" i="3"/>
  <c r="O6161" i="3"/>
  <c r="O6177" i="3"/>
  <c r="O6193" i="3"/>
  <c r="O6209" i="3"/>
  <c r="O6165" i="3"/>
  <c r="O6181" i="3"/>
  <c r="O6197" i="3"/>
  <c r="O6213" i="3"/>
  <c r="O6185" i="3"/>
  <c r="O6217" i="3"/>
  <c r="O6201" i="3"/>
  <c r="O6189" i="3"/>
  <c r="O6169" i="3"/>
  <c r="O6173" i="3"/>
  <c r="O6205" i="3"/>
  <c r="O4656" i="3"/>
  <c r="O4660" i="3"/>
  <c r="O4664" i="3"/>
  <c r="O4668" i="3"/>
  <c r="O4672" i="3"/>
  <c r="O4676" i="3"/>
  <c r="O4680" i="3"/>
  <c r="O4684" i="3"/>
  <c r="O4688" i="3"/>
  <c r="O4692" i="3"/>
  <c r="O4696" i="3"/>
  <c r="O4700" i="3"/>
  <c r="O4704" i="3"/>
  <c r="O4708" i="3"/>
  <c r="O4712" i="3"/>
  <c r="O4716" i="3"/>
  <c r="O4720" i="3"/>
  <c r="O4724" i="3"/>
  <c r="O4728" i="3"/>
  <c r="O4732" i="3"/>
  <c r="O4736" i="3"/>
  <c r="O4740" i="3"/>
  <c r="O4654" i="3"/>
  <c r="O4658" i="3"/>
  <c r="O4662" i="3"/>
  <c r="O4666" i="3"/>
  <c r="O4670" i="3"/>
  <c r="O4674" i="3"/>
  <c r="O4678" i="3"/>
  <c r="O4682" i="3"/>
  <c r="O4686" i="3"/>
  <c r="O4690" i="3"/>
  <c r="O4694" i="3"/>
  <c r="O4698" i="3"/>
  <c r="O4702" i="3"/>
  <c r="O4706" i="3"/>
  <c r="O4710" i="3"/>
  <c r="O4714" i="3"/>
  <c r="O4718" i="3"/>
  <c r="O4722" i="3"/>
  <c r="O4726" i="3"/>
  <c r="O4730" i="3"/>
  <c r="O4734" i="3"/>
  <c r="O4738" i="3"/>
  <c r="O4657" i="3"/>
  <c r="O4665" i="3"/>
  <c r="O4673" i="3"/>
  <c r="O4681" i="3"/>
  <c r="O4689" i="3"/>
  <c r="O4697" i="3"/>
  <c r="O4705" i="3"/>
  <c r="O4713" i="3"/>
  <c r="O4721" i="3"/>
  <c r="O4729" i="3"/>
  <c r="O4737" i="3"/>
  <c r="O4659" i="3"/>
  <c r="O4667" i="3"/>
  <c r="O4675" i="3"/>
  <c r="O4683" i="3"/>
  <c r="O4691" i="3"/>
  <c r="O4699" i="3"/>
  <c r="O4707" i="3"/>
  <c r="O4715" i="3"/>
  <c r="O4723" i="3"/>
  <c r="O4731" i="3"/>
  <c r="O4739" i="3"/>
  <c r="O4663" i="3"/>
  <c r="O4679" i="3"/>
  <c r="O4695" i="3"/>
  <c r="O4711" i="3"/>
  <c r="O4727" i="3"/>
  <c r="O4653" i="3"/>
  <c r="O4669" i="3"/>
  <c r="O4685" i="3"/>
  <c r="O4701" i="3"/>
  <c r="O4717" i="3"/>
  <c r="O4733" i="3"/>
  <c r="O4671" i="3"/>
  <c r="O4703" i="3"/>
  <c r="O4735" i="3"/>
  <c r="O4655" i="3"/>
  <c r="O4687" i="3"/>
  <c r="O4719" i="3"/>
  <c r="O4661" i="3"/>
  <c r="O4725" i="3"/>
  <c r="O4677" i="3"/>
  <c r="O4741" i="3"/>
  <c r="O4709" i="3"/>
  <c r="O4693" i="3"/>
  <c r="O2837" i="3"/>
  <c r="O2841" i="3"/>
  <c r="O2845" i="3"/>
  <c r="O2849" i="3"/>
  <c r="O2853" i="3"/>
  <c r="O2857" i="3"/>
  <c r="O2861" i="3"/>
  <c r="O2865" i="3"/>
  <c r="O2869" i="3"/>
  <c r="O2873" i="3"/>
  <c r="O2877" i="3"/>
  <c r="O2881" i="3"/>
  <c r="O2885" i="3"/>
  <c r="O2889" i="3"/>
  <c r="O2893" i="3"/>
  <c r="O2897" i="3"/>
  <c r="O2839" i="3"/>
  <c r="O2843" i="3"/>
  <c r="O2847" i="3"/>
  <c r="O2851" i="3"/>
  <c r="O2855" i="3"/>
  <c r="O2859" i="3"/>
  <c r="O2863" i="3"/>
  <c r="O2867" i="3"/>
  <c r="O2871" i="3"/>
  <c r="O2875" i="3"/>
  <c r="O2879" i="3"/>
  <c r="O2883" i="3"/>
  <c r="O2887" i="3"/>
  <c r="O2891" i="3"/>
  <c r="O2895" i="3"/>
  <c r="O2899" i="3"/>
  <c r="O2838" i="3"/>
  <c r="O2846" i="3"/>
  <c r="O2854" i="3"/>
  <c r="O2862" i="3"/>
  <c r="O2870" i="3"/>
  <c r="O2878" i="3"/>
  <c r="O2886" i="3"/>
  <c r="O2894" i="3"/>
  <c r="O2840" i="3"/>
  <c r="O2848" i="3"/>
  <c r="O2856" i="3"/>
  <c r="O2864" i="3"/>
  <c r="O2872" i="3"/>
  <c r="O2880" i="3"/>
  <c r="O2888" i="3"/>
  <c r="O2896" i="3"/>
  <c r="O2836" i="3"/>
  <c r="O2852" i="3"/>
  <c r="O2868" i="3"/>
  <c r="O2884" i="3"/>
  <c r="O2842" i="3"/>
  <c r="O2858" i="3"/>
  <c r="O2874" i="3"/>
  <c r="O2890" i="3"/>
  <c r="O2844" i="3"/>
  <c r="O2876" i="3"/>
  <c r="O2860" i="3"/>
  <c r="O2892" i="3"/>
  <c r="O2898" i="3"/>
  <c r="O2850" i="3"/>
  <c r="O2882" i="3"/>
  <c r="O2866" i="3"/>
  <c r="O2179" i="3"/>
  <c r="O2183" i="3"/>
  <c r="O2187" i="3"/>
  <c r="O2191" i="3"/>
  <c r="O2195" i="3"/>
  <c r="O2199" i="3"/>
  <c r="O2203" i="3"/>
  <c r="O2207" i="3"/>
  <c r="O2211" i="3"/>
  <c r="O2215" i="3"/>
  <c r="O2219" i="3"/>
  <c r="O2223" i="3"/>
  <c r="O2227" i="3"/>
  <c r="O2231" i="3"/>
  <c r="O2235" i="3"/>
  <c r="O2177" i="3"/>
  <c r="O2181" i="3"/>
  <c r="O2185" i="3"/>
  <c r="O2189" i="3"/>
  <c r="O2193" i="3"/>
  <c r="O2197" i="3"/>
  <c r="O2201" i="3"/>
  <c r="O2205" i="3"/>
  <c r="O2209" i="3"/>
  <c r="O2213" i="3"/>
  <c r="O2217" i="3"/>
  <c r="O2221" i="3"/>
  <c r="O2225" i="3"/>
  <c r="O2229" i="3"/>
  <c r="O2233" i="3"/>
  <c r="O2178" i="3"/>
  <c r="O2186" i="3"/>
  <c r="O2194" i="3"/>
  <c r="O2202" i="3"/>
  <c r="O2210" i="3"/>
  <c r="O2218" i="3"/>
  <c r="O2226" i="3"/>
  <c r="O2234" i="3"/>
  <c r="O2180" i="3"/>
  <c r="O2188" i="3"/>
  <c r="O2196" i="3"/>
  <c r="O2204" i="3"/>
  <c r="O2212" i="3"/>
  <c r="O2220" i="3"/>
  <c r="O2228" i="3"/>
  <c r="O2182" i="3"/>
  <c r="O2198" i="3"/>
  <c r="O2214" i="3"/>
  <c r="O2230" i="3"/>
  <c r="O2184" i="3"/>
  <c r="O2200" i="3"/>
  <c r="O2216" i="3"/>
  <c r="O2232" i="3"/>
  <c r="O2190" i="3"/>
  <c r="O2222" i="3"/>
  <c r="O2206" i="3"/>
  <c r="O2192" i="3"/>
  <c r="O2208" i="3"/>
  <c r="O2224" i="3"/>
  <c r="O3385" i="3"/>
  <c r="O3389" i="3"/>
  <c r="O3393" i="3"/>
  <c r="O3397" i="3"/>
  <c r="O3401" i="3"/>
  <c r="O3405" i="3"/>
  <c r="O3409" i="3"/>
  <c r="O3413" i="3"/>
  <c r="O3417" i="3"/>
  <c r="O3421" i="3"/>
  <c r="O3425" i="3"/>
  <c r="O3429" i="3"/>
  <c r="O3433" i="3"/>
  <c r="O3437" i="3"/>
  <c r="O3441" i="3"/>
  <c r="O3445" i="3"/>
  <c r="O3449" i="3"/>
  <c r="O3453" i="3"/>
  <c r="O3457" i="3"/>
  <c r="O3461" i="3"/>
  <c r="O3465" i="3"/>
  <c r="O3469" i="3"/>
  <c r="O3473" i="3"/>
  <c r="O3477" i="3"/>
  <c r="O3481" i="3"/>
  <c r="O3485" i="3"/>
  <c r="O3489" i="3"/>
  <c r="O3493" i="3"/>
  <c r="O3497" i="3"/>
  <c r="O3501" i="3"/>
  <c r="O3387" i="3"/>
  <c r="O3391" i="3"/>
  <c r="O3395" i="3"/>
  <c r="O3399" i="3"/>
  <c r="O3403" i="3"/>
  <c r="O3407" i="3"/>
  <c r="O3411" i="3"/>
  <c r="O3415" i="3"/>
  <c r="O3419" i="3"/>
  <c r="O3423" i="3"/>
  <c r="O3427" i="3"/>
  <c r="O3431" i="3"/>
  <c r="O3435" i="3"/>
  <c r="O3439" i="3"/>
  <c r="O3443" i="3"/>
  <c r="O3447" i="3"/>
  <c r="O3451" i="3"/>
  <c r="O3455" i="3"/>
  <c r="O3459" i="3"/>
  <c r="O3463" i="3"/>
  <c r="O3467" i="3"/>
  <c r="O3471" i="3"/>
  <c r="O3475" i="3"/>
  <c r="O3479" i="3"/>
  <c r="O3483" i="3"/>
  <c r="O3487" i="3"/>
  <c r="O3491" i="3"/>
  <c r="O3495" i="3"/>
  <c r="O3499" i="3"/>
  <c r="O3386" i="3"/>
  <c r="O3394" i="3"/>
  <c r="O3402" i="3"/>
  <c r="O3410" i="3"/>
  <c r="O3418" i="3"/>
  <c r="O3426" i="3"/>
  <c r="O3434" i="3"/>
  <c r="O3442" i="3"/>
  <c r="O3450" i="3"/>
  <c r="O3458" i="3"/>
  <c r="O3466" i="3"/>
  <c r="O3474" i="3"/>
  <c r="O3482" i="3"/>
  <c r="O3490" i="3"/>
  <c r="O3498" i="3"/>
  <c r="O3388" i="3"/>
  <c r="O3396" i="3"/>
  <c r="O3404" i="3"/>
  <c r="O3412" i="3"/>
  <c r="O3420" i="3"/>
  <c r="O3428" i="3"/>
  <c r="O3436" i="3"/>
  <c r="O3444" i="3"/>
  <c r="O3452" i="3"/>
  <c r="O3460" i="3"/>
  <c r="O3468" i="3"/>
  <c r="O3476" i="3"/>
  <c r="O3484" i="3"/>
  <c r="O3492" i="3"/>
  <c r="O3500" i="3"/>
  <c r="O3384" i="3"/>
  <c r="O3400" i="3"/>
  <c r="O3416" i="3"/>
  <c r="O3432" i="3"/>
  <c r="O3448" i="3"/>
  <c r="O3464" i="3"/>
  <c r="O3480" i="3"/>
  <c r="O3496" i="3"/>
  <c r="O3390" i="3"/>
  <c r="O3406" i="3"/>
  <c r="O3422" i="3"/>
  <c r="O3438" i="3"/>
  <c r="O3454" i="3"/>
  <c r="O3470" i="3"/>
  <c r="O3486" i="3"/>
  <c r="O3392" i="3"/>
  <c r="O3424" i="3"/>
  <c r="O3456" i="3"/>
  <c r="O3488" i="3"/>
  <c r="O3408" i="3"/>
  <c r="O3440" i="3"/>
  <c r="O3472" i="3"/>
  <c r="O3446" i="3"/>
  <c r="O3398" i="3"/>
  <c r="O3462" i="3"/>
  <c r="O3494" i="3"/>
  <c r="O3414" i="3"/>
  <c r="O3430" i="3"/>
  <c r="O3478" i="3"/>
  <c r="S23" i="12" l="1"/>
  <c r="AO61" i="8" s="1"/>
  <c r="AG61" i="8"/>
  <c r="AG54" i="8"/>
  <c r="S22" i="12"/>
  <c r="AO54" i="8" s="1"/>
  <c r="K26" i="17"/>
  <c r="M24" i="17"/>
  <c r="K22" i="17"/>
  <c r="J26" i="17"/>
  <c r="W23" i="17"/>
  <c r="U21" i="17"/>
  <c r="P25" i="17"/>
  <c r="N23" i="17"/>
  <c r="L21" i="17"/>
  <c r="K25" i="17"/>
  <c r="X22" i="17"/>
  <c r="V25" i="17"/>
  <c r="T23" i="17"/>
  <c r="R21" i="17"/>
  <c r="Q25" i="17"/>
  <c r="O23" i="17"/>
  <c r="M21" i="17"/>
  <c r="W24" i="17"/>
  <c r="U22" i="17"/>
  <c r="T26" i="17"/>
  <c r="R24" i="17"/>
  <c r="P22" i="17"/>
  <c r="N25" i="17"/>
  <c r="L23" i="17"/>
  <c r="J21" i="17"/>
  <c r="X24" i="17"/>
  <c r="V22" i="17"/>
  <c r="Q26" i="17"/>
  <c r="O24" i="17"/>
  <c r="M22" i="17"/>
  <c r="L26" i="17"/>
  <c r="J24" i="17"/>
  <c r="W21" i="17"/>
  <c r="S26" i="17"/>
  <c r="U24" i="17"/>
  <c r="S22" i="17"/>
  <c r="R26" i="17"/>
  <c r="P24" i="17"/>
  <c r="N22" i="17"/>
  <c r="X25" i="17"/>
  <c r="V23" i="17"/>
  <c r="T21" i="17"/>
  <c r="S25" i="17"/>
  <c r="Q23" i="17"/>
  <c r="O21" i="17"/>
  <c r="W26" i="17"/>
  <c r="J25" i="17"/>
  <c r="X23" i="17"/>
  <c r="W22" i="17"/>
  <c r="V21" i="17"/>
  <c r="V26" i="17"/>
  <c r="U25" i="17"/>
  <c r="T24" i="17"/>
  <c r="S23" i="17"/>
  <c r="R22" i="17"/>
  <c r="Q21" i="17"/>
  <c r="M26" i="17"/>
  <c r="L25" i="17"/>
  <c r="K24" i="17"/>
  <c r="J23" i="17"/>
  <c r="X21" i="17"/>
  <c r="X26" i="17"/>
  <c r="W25" i="17"/>
  <c r="V24" i="17"/>
  <c r="U23" i="17"/>
  <c r="T22" i="17"/>
  <c r="S21" i="17"/>
  <c r="O26" i="17"/>
  <c r="R25" i="17"/>
  <c r="Q24" i="17"/>
  <c r="P23" i="17"/>
  <c r="O22" i="17"/>
  <c r="N21" i="17"/>
  <c r="N26" i="17"/>
  <c r="M25" i="17"/>
  <c r="L24" i="17"/>
  <c r="K23" i="17"/>
  <c r="J22" i="17"/>
  <c r="U26" i="17"/>
  <c r="T25" i="17"/>
  <c r="S24" i="17"/>
  <c r="R23" i="17"/>
  <c r="Q22" i="17"/>
  <c r="P21" i="17"/>
  <c r="P26" i="17"/>
  <c r="O25" i="17"/>
  <c r="N24" i="17"/>
  <c r="M23" i="17"/>
  <c r="L22" i="17"/>
  <c r="G18" i="4"/>
  <c r="D19" i="4"/>
  <c r="H18" i="4"/>
  <c r="H19" i="4" l="1"/>
  <c r="G19" i="4"/>
  <c r="D20" i="4"/>
  <c r="D21" i="4" l="1"/>
  <c r="G20" i="4"/>
  <c r="H20" i="4"/>
  <c r="H21" i="4" l="1"/>
  <c r="D22" i="4"/>
  <c r="G21" i="4"/>
  <c r="BX27" i="9"/>
  <c r="G22" i="4" l="1"/>
  <c r="D23" i="4"/>
  <c r="H22" i="4"/>
  <c r="H23" i="4" l="1"/>
  <c r="G23" i="4"/>
  <c r="D24" i="4"/>
  <c r="AJ7" i="8"/>
  <c r="AB7" i="8"/>
  <c r="T7" i="8"/>
  <c r="L7" i="8"/>
  <c r="I15" i="8"/>
  <c r="D7" i="8"/>
  <c r="D64" i="8" l="1"/>
  <c r="D57" i="8"/>
  <c r="L64" i="8"/>
  <c r="L57" i="8"/>
  <c r="T64" i="8"/>
  <c r="T57" i="8"/>
  <c r="AB64" i="8"/>
  <c r="AB57" i="8"/>
  <c r="AJ64" i="8"/>
  <c r="AJ57" i="8"/>
  <c r="Z5" i="17"/>
  <c r="D25" i="4"/>
  <c r="G24" i="4"/>
  <c r="H24" i="4"/>
  <c r="E7" i="8"/>
  <c r="AC7" i="8"/>
  <c r="AK7" i="8"/>
  <c r="U7" i="8"/>
  <c r="M7" i="8"/>
  <c r="C3" i="11"/>
  <c r="B4" i="11"/>
  <c r="B5" i="11"/>
  <c r="B6" i="11"/>
  <c r="B7" i="11"/>
  <c r="B3" i="11"/>
  <c r="A8" i="11"/>
  <c r="A13" i="11" s="1"/>
  <c r="A18" i="11" s="1"/>
  <c r="A23" i="11" s="1"/>
  <c r="A28" i="11" s="1"/>
  <c r="A33" i="11" s="1"/>
  <c r="A38" i="11" s="1"/>
  <c r="A43" i="11" s="1"/>
  <c r="A48" i="11" s="1"/>
  <c r="A53" i="11" s="1"/>
  <c r="A58" i="11" s="1"/>
  <c r="A63" i="11" s="1"/>
  <c r="A9" i="11"/>
  <c r="B9" i="11" s="1"/>
  <c r="A10" i="11"/>
  <c r="B10" i="11" s="1"/>
  <c r="A11" i="11"/>
  <c r="A16" i="11" s="1"/>
  <c r="A21" i="11" s="1"/>
  <c r="A26" i="11" s="1"/>
  <c r="A31" i="11" s="1"/>
  <c r="A36" i="11" s="1"/>
  <c r="A41" i="11" s="1"/>
  <c r="A46" i="11" s="1"/>
  <c r="A51" i="11" s="1"/>
  <c r="A56" i="11" s="1"/>
  <c r="A61" i="11" s="1"/>
  <c r="A66" i="11" s="1"/>
  <c r="A12" i="11"/>
  <c r="A17" i="11" s="1"/>
  <c r="A22" i="11" s="1"/>
  <c r="A27" i="11" s="1"/>
  <c r="A32" i="11" s="1"/>
  <c r="A37" i="11" s="1"/>
  <c r="A42" i="11" s="1"/>
  <c r="A47" i="11" s="1"/>
  <c r="A52" i="11" s="1"/>
  <c r="A57" i="11" s="1"/>
  <c r="A62" i="11" s="1"/>
  <c r="A67" i="11" s="1"/>
  <c r="A14" i="11"/>
  <c r="B14" i="11" s="1"/>
  <c r="A15" i="11"/>
  <c r="A20" i="11" s="1"/>
  <c r="A25" i="11" s="1"/>
  <c r="A30" i="11" s="1"/>
  <c r="A35" i="11" s="1"/>
  <c r="A40" i="11" s="1"/>
  <c r="A45" i="11" s="1"/>
  <c r="A50" i="11" s="1"/>
  <c r="A55" i="11" s="1"/>
  <c r="A60" i="11" s="1"/>
  <c r="A65" i="11" s="1"/>
  <c r="A19" i="11"/>
  <c r="A24" i="11" s="1"/>
  <c r="A29" i="11" s="1"/>
  <c r="A34" i="11" s="1"/>
  <c r="A39" i="11" s="1"/>
  <c r="A44" i="11" s="1"/>
  <c r="A49" i="11" s="1"/>
  <c r="A54" i="11" s="1"/>
  <c r="A59" i="11" s="1"/>
  <c r="A64" i="11" s="1"/>
  <c r="O4" i="3"/>
  <c r="O5" i="3"/>
  <c r="O6" i="3"/>
  <c r="O7" i="3"/>
  <c r="O8" i="3"/>
  <c r="O9" i="3"/>
  <c r="O10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8" i="3"/>
  <c r="O2667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5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4127" i="3"/>
  <c r="O4128" i="3"/>
  <c r="O4129" i="3"/>
  <c r="O4130" i="3"/>
  <c r="O4131" i="3"/>
  <c r="O4132" i="3"/>
  <c r="O4133" i="3"/>
  <c r="O4134" i="3"/>
  <c r="O4135" i="3"/>
  <c r="O4136" i="3"/>
  <c r="O4137" i="3"/>
  <c r="O4138" i="3"/>
  <c r="O4139" i="3"/>
  <c r="O4140" i="3"/>
  <c r="O4141" i="3"/>
  <c r="O4142" i="3"/>
  <c r="O4143" i="3"/>
  <c r="O4144" i="3"/>
  <c r="O4145" i="3"/>
  <c r="O4146" i="3"/>
  <c r="O4147" i="3"/>
  <c r="O4148" i="3"/>
  <c r="O4149" i="3"/>
  <c r="O4150" i="3"/>
  <c r="O4151" i="3"/>
  <c r="O4152" i="3"/>
  <c r="O4153" i="3"/>
  <c r="O4154" i="3"/>
  <c r="O4155" i="3"/>
  <c r="O4156" i="3"/>
  <c r="O4157" i="3"/>
  <c r="O4158" i="3"/>
  <c r="O4159" i="3"/>
  <c r="O4160" i="3"/>
  <c r="O4161" i="3"/>
  <c r="O4162" i="3"/>
  <c r="O4163" i="3"/>
  <c r="O4164" i="3"/>
  <c r="O4165" i="3"/>
  <c r="O4166" i="3"/>
  <c r="O4167" i="3"/>
  <c r="O4168" i="3"/>
  <c r="O4169" i="3"/>
  <c r="O4170" i="3"/>
  <c r="O4171" i="3"/>
  <c r="O4172" i="3"/>
  <c r="O4173" i="3"/>
  <c r="O4174" i="3"/>
  <c r="O4175" i="3"/>
  <c r="O4176" i="3"/>
  <c r="O4177" i="3"/>
  <c r="O4178" i="3"/>
  <c r="O4179" i="3"/>
  <c r="O4180" i="3"/>
  <c r="O4181" i="3"/>
  <c r="O4182" i="3"/>
  <c r="O4183" i="3"/>
  <c r="O4184" i="3"/>
  <c r="O4185" i="3"/>
  <c r="O4186" i="3"/>
  <c r="O4187" i="3"/>
  <c r="O4188" i="3"/>
  <c r="O4189" i="3"/>
  <c r="O4190" i="3"/>
  <c r="O4191" i="3"/>
  <c r="O4192" i="3"/>
  <c r="O4193" i="3"/>
  <c r="O4194" i="3"/>
  <c r="O4195" i="3"/>
  <c r="O4196" i="3"/>
  <c r="O4197" i="3"/>
  <c r="O4198" i="3"/>
  <c r="O4199" i="3"/>
  <c r="O4200" i="3"/>
  <c r="O4201" i="3"/>
  <c r="O4202" i="3"/>
  <c r="O4203" i="3"/>
  <c r="O4204" i="3"/>
  <c r="O4206" i="3"/>
  <c r="O4205" i="3"/>
  <c r="O4207" i="3"/>
  <c r="O4208" i="3"/>
  <c r="O4209" i="3"/>
  <c r="O4210" i="3"/>
  <c r="O4211" i="3"/>
  <c r="O4212" i="3"/>
  <c r="O4213" i="3"/>
  <c r="O4214" i="3"/>
  <c r="O4215" i="3"/>
  <c r="O4216" i="3"/>
  <c r="O4217" i="3"/>
  <c r="O4218" i="3"/>
  <c r="O4219" i="3"/>
  <c r="O4220" i="3"/>
  <c r="O4221" i="3"/>
  <c r="O4222" i="3"/>
  <c r="O4223" i="3"/>
  <c r="O4224" i="3"/>
  <c r="O4225" i="3"/>
  <c r="O4226" i="3"/>
  <c r="O4227" i="3"/>
  <c r="O4228" i="3"/>
  <c r="O4229" i="3"/>
  <c r="O4230" i="3"/>
  <c r="O4231" i="3"/>
  <c r="O4232" i="3"/>
  <c r="O4233" i="3"/>
  <c r="O4234" i="3"/>
  <c r="O4235" i="3"/>
  <c r="O4236" i="3"/>
  <c r="O4237" i="3"/>
  <c r="O4238" i="3"/>
  <c r="O4239" i="3"/>
  <c r="O4240" i="3"/>
  <c r="O4241" i="3"/>
  <c r="O4242" i="3"/>
  <c r="O4243" i="3"/>
  <c r="O4244" i="3"/>
  <c r="O4245" i="3"/>
  <c r="O4246" i="3"/>
  <c r="O4247" i="3"/>
  <c r="O4248" i="3"/>
  <c r="O4249" i="3"/>
  <c r="O4250" i="3"/>
  <c r="O4251" i="3"/>
  <c r="O4252" i="3"/>
  <c r="O4253" i="3"/>
  <c r="O4254" i="3"/>
  <c r="O4255" i="3"/>
  <c r="O4256" i="3"/>
  <c r="O4257" i="3"/>
  <c r="O4258" i="3"/>
  <c r="O4259" i="3"/>
  <c r="O4260" i="3"/>
  <c r="O4261" i="3"/>
  <c r="O4262" i="3"/>
  <c r="O4263" i="3"/>
  <c r="O4264" i="3"/>
  <c r="O4265" i="3"/>
  <c r="O4266" i="3"/>
  <c r="O4267" i="3"/>
  <c r="O4268" i="3"/>
  <c r="O4269" i="3"/>
  <c r="O4270" i="3"/>
  <c r="O4271" i="3"/>
  <c r="O4272" i="3"/>
  <c r="O4273" i="3"/>
  <c r="O4274" i="3"/>
  <c r="O4275" i="3"/>
  <c r="O4276" i="3"/>
  <c r="O4277" i="3"/>
  <c r="O4278" i="3"/>
  <c r="O4279" i="3"/>
  <c r="O4280" i="3"/>
  <c r="O4281" i="3"/>
  <c r="O4282" i="3"/>
  <c r="O4283" i="3"/>
  <c r="O4284" i="3"/>
  <c r="O4285" i="3"/>
  <c r="O4286" i="3"/>
  <c r="O4287" i="3"/>
  <c r="O4288" i="3"/>
  <c r="O4289" i="3"/>
  <c r="O4290" i="3"/>
  <c r="O4291" i="3"/>
  <c r="O4292" i="3"/>
  <c r="O4293" i="3"/>
  <c r="O4294" i="3"/>
  <c r="O4295" i="3"/>
  <c r="O4296" i="3"/>
  <c r="O4297" i="3"/>
  <c r="O4298" i="3"/>
  <c r="O4299" i="3"/>
  <c r="O4300" i="3"/>
  <c r="O4301" i="3"/>
  <c r="O4302" i="3"/>
  <c r="O4303" i="3"/>
  <c r="O4304" i="3"/>
  <c r="O4305" i="3"/>
  <c r="O4306" i="3"/>
  <c r="O4307" i="3"/>
  <c r="O4308" i="3"/>
  <c r="O4309" i="3"/>
  <c r="O4310" i="3"/>
  <c r="O4311" i="3"/>
  <c r="O4312" i="3"/>
  <c r="O4313" i="3"/>
  <c r="O4314" i="3"/>
  <c r="O4315" i="3"/>
  <c r="O4316" i="3"/>
  <c r="O4317" i="3"/>
  <c r="O4318" i="3"/>
  <c r="O4319" i="3"/>
  <c r="O4320" i="3"/>
  <c r="O4321" i="3"/>
  <c r="O4322" i="3"/>
  <c r="O4323" i="3"/>
  <c r="O4324" i="3"/>
  <c r="O4325" i="3"/>
  <c r="O4326" i="3"/>
  <c r="O4327" i="3"/>
  <c r="O4328" i="3"/>
  <c r="O4329" i="3"/>
  <c r="O4330" i="3"/>
  <c r="O4331" i="3"/>
  <c r="O4332" i="3"/>
  <c r="O4333" i="3"/>
  <c r="O4334" i="3"/>
  <c r="O4335" i="3"/>
  <c r="O4336" i="3"/>
  <c r="O4337" i="3"/>
  <c r="O4338" i="3"/>
  <c r="O4339" i="3"/>
  <c r="O4340" i="3"/>
  <c r="O4341" i="3"/>
  <c r="O4342" i="3"/>
  <c r="O4343" i="3"/>
  <c r="O4344" i="3"/>
  <c r="O4345" i="3"/>
  <c r="O4346" i="3"/>
  <c r="O4347" i="3"/>
  <c r="O4348" i="3"/>
  <c r="O4349" i="3"/>
  <c r="O4350" i="3"/>
  <c r="O4351" i="3"/>
  <c r="O4352" i="3"/>
  <c r="O4353" i="3"/>
  <c r="O4354" i="3"/>
  <c r="O4355" i="3"/>
  <c r="O4356" i="3"/>
  <c r="O4357" i="3"/>
  <c r="O4358" i="3"/>
  <c r="O4359" i="3"/>
  <c r="O4360" i="3"/>
  <c r="O4361" i="3"/>
  <c r="O4362" i="3"/>
  <c r="O4363" i="3"/>
  <c r="O4364" i="3"/>
  <c r="O4365" i="3"/>
  <c r="O4366" i="3"/>
  <c r="O4367" i="3"/>
  <c r="O4368" i="3"/>
  <c r="O4369" i="3"/>
  <c r="O4370" i="3"/>
  <c r="O4371" i="3"/>
  <c r="O4372" i="3"/>
  <c r="O4373" i="3"/>
  <c r="O4374" i="3"/>
  <c r="O4375" i="3"/>
  <c r="O4376" i="3"/>
  <c r="O4377" i="3"/>
  <c r="O4378" i="3"/>
  <c r="O4379" i="3"/>
  <c r="O4380" i="3"/>
  <c r="O4381" i="3"/>
  <c r="O4382" i="3"/>
  <c r="O4383" i="3"/>
  <c r="O4384" i="3"/>
  <c r="O4385" i="3"/>
  <c r="O4386" i="3"/>
  <c r="O4387" i="3"/>
  <c r="O4388" i="3"/>
  <c r="O4389" i="3"/>
  <c r="O4390" i="3"/>
  <c r="O4391" i="3"/>
  <c r="O4392" i="3"/>
  <c r="O4393" i="3"/>
  <c r="O4394" i="3"/>
  <c r="O4395" i="3"/>
  <c r="O4396" i="3"/>
  <c r="O4397" i="3"/>
  <c r="O4398" i="3"/>
  <c r="O4399" i="3"/>
  <c r="O4400" i="3"/>
  <c r="O4401" i="3"/>
  <c r="O4402" i="3"/>
  <c r="O4403" i="3"/>
  <c r="O4404" i="3"/>
  <c r="O4405" i="3"/>
  <c r="O4406" i="3"/>
  <c r="O4407" i="3"/>
  <c r="O4408" i="3"/>
  <c r="O4409" i="3"/>
  <c r="O4410" i="3"/>
  <c r="O4411" i="3"/>
  <c r="O4412" i="3"/>
  <c r="O4413" i="3"/>
  <c r="O4414" i="3"/>
  <c r="O4415" i="3"/>
  <c r="O4416" i="3"/>
  <c r="O4417" i="3"/>
  <c r="O4418" i="3"/>
  <c r="O4419" i="3"/>
  <c r="O4420" i="3"/>
  <c r="O4421" i="3"/>
  <c r="O4422" i="3"/>
  <c r="O4423" i="3"/>
  <c r="O4424" i="3"/>
  <c r="O4425" i="3"/>
  <c r="O4426" i="3"/>
  <c r="O4427" i="3"/>
  <c r="O4428" i="3"/>
  <c r="O4429" i="3"/>
  <c r="O4430" i="3"/>
  <c r="O4431" i="3"/>
  <c r="O4432" i="3"/>
  <c r="O4433" i="3"/>
  <c r="O4434" i="3"/>
  <c r="O4435" i="3"/>
  <c r="O4436" i="3"/>
  <c r="O4437" i="3"/>
  <c r="O4438" i="3"/>
  <c r="O4439" i="3"/>
  <c r="O4440" i="3"/>
  <c r="O4441" i="3"/>
  <c r="O4442" i="3"/>
  <c r="O4443" i="3"/>
  <c r="O4444" i="3"/>
  <c r="O4445" i="3"/>
  <c r="O4446" i="3"/>
  <c r="O4447" i="3"/>
  <c r="O4448" i="3"/>
  <c r="O4449" i="3"/>
  <c r="O4450" i="3"/>
  <c r="O4451" i="3"/>
  <c r="O4452" i="3"/>
  <c r="O4453" i="3"/>
  <c r="O4454" i="3"/>
  <c r="O4455" i="3"/>
  <c r="O4456" i="3"/>
  <c r="O4457" i="3"/>
  <c r="O4458" i="3"/>
  <c r="O4459" i="3"/>
  <c r="O4460" i="3"/>
  <c r="O4461" i="3"/>
  <c r="O4462" i="3"/>
  <c r="O4463" i="3"/>
  <c r="O4464" i="3"/>
  <c r="O4465" i="3"/>
  <c r="O4466" i="3"/>
  <c r="O4467" i="3"/>
  <c r="O4468" i="3"/>
  <c r="O4469" i="3"/>
  <c r="O4470" i="3"/>
  <c r="O4471" i="3"/>
  <c r="O4472" i="3"/>
  <c r="O4473" i="3"/>
  <c r="O4474" i="3"/>
  <c r="O4475" i="3"/>
  <c r="O4476" i="3"/>
  <c r="O4477" i="3"/>
  <c r="O4478" i="3"/>
  <c r="O4479" i="3"/>
  <c r="O4480" i="3"/>
  <c r="O4481" i="3"/>
  <c r="O4482" i="3"/>
  <c r="O4483" i="3"/>
  <c r="O4484" i="3"/>
  <c r="O4485" i="3"/>
  <c r="O4486" i="3"/>
  <c r="O4487" i="3"/>
  <c r="O4488" i="3"/>
  <c r="O4489" i="3"/>
  <c r="O4490" i="3"/>
  <c r="O4491" i="3"/>
  <c r="O4492" i="3"/>
  <c r="O4493" i="3"/>
  <c r="O4494" i="3"/>
  <c r="O4495" i="3"/>
  <c r="O4496" i="3"/>
  <c r="O4497" i="3"/>
  <c r="O4498" i="3"/>
  <c r="O4499" i="3"/>
  <c r="O4500" i="3"/>
  <c r="O4501" i="3"/>
  <c r="O4502" i="3"/>
  <c r="O4503" i="3"/>
  <c r="O4504" i="3"/>
  <c r="O4505" i="3"/>
  <c r="O4506" i="3"/>
  <c r="O4507" i="3"/>
  <c r="O4508" i="3"/>
  <c r="O4509" i="3"/>
  <c r="O4510" i="3"/>
  <c r="O4511" i="3"/>
  <c r="O4512" i="3"/>
  <c r="O4513" i="3"/>
  <c r="O4514" i="3"/>
  <c r="O4515" i="3"/>
  <c r="O4516" i="3"/>
  <c r="O4517" i="3"/>
  <c r="O4518" i="3"/>
  <c r="O4519" i="3"/>
  <c r="O4520" i="3"/>
  <c r="O4521" i="3"/>
  <c r="O4522" i="3"/>
  <c r="O4523" i="3"/>
  <c r="O4524" i="3"/>
  <c r="O4525" i="3"/>
  <c r="O4526" i="3"/>
  <c r="O4527" i="3"/>
  <c r="O4528" i="3"/>
  <c r="O4529" i="3"/>
  <c r="O4530" i="3"/>
  <c r="O4531" i="3"/>
  <c r="O4532" i="3"/>
  <c r="O4533" i="3"/>
  <c r="O4534" i="3"/>
  <c r="O4535" i="3"/>
  <c r="O4536" i="3"/>
  <c r="O4537" i="3"/>
  <c r="O4538" i="3"/>
  <c r="O4539" i="3"/>
  <c r="O4540" i="3"/>
  <c r="O4541" i="3"/>
  <c r="O4542" i="3"/>
  <c r="O4543" i="3"/>
  <c r="O4544" i="3"/>
  <c r="O4545" i="3"/>
  <c r="O4546" i="3"/>
  <c r="O4547" i="3"/>
  <c r="O4548" i="3"/>
  <c r="O4549" i="3"/>
  <c r="O4550" i="3"/>
  <c r="O4551" i="3"/>
  <c r="O4552" i="3"/>
  <c r="O4553" i="3"/>
  <c r="O4554" i="3"/>
  <c r="O4555" i="3"/>
  <c r="O4556" i="3"/>
  <c r="O4557" i="3"/>
  <c r="O4558" i="3"/>
  <c r="O4559" i="3"/>
  <c r="O4560" i="3"/>
  <c r="O4561" i="3"/>
  <c r="O4562" i="3"/>
  <c r="O4563" i="3"/>
  <c r="O4564" i="3"/>
  <c r="O4565" i="3"/>
  <c r="O4566" i="3"/>
  <c r="O4567" i="3"/>
  <c r="O4568" i="3"/>
  <c r="O4569" i="3"/>
  <c r="O4570" i="3"/>
  <c r="O4571" i="3"/>
  <c r="O4572" i="3"/>
  <c r="O4573" i="3"/>
  <c r="O4574" i="3"/>
  <c r="O4575" i="3"/>
  <c r="O4576" i="3"/>
  <c r="O4577" i="3"/>
  <c r="O4578" i="3"/>
  <c r="O4579" i="3"/>
  <c r="O4580" i="3"/>
  <c r="O4581" i="3"/>
  <c r="O4582" i="3"/>
  <c r="O4583" i="3"/>
  <c r="O4584" i="3"/>
  <c r="O4585" i="3"/>
  <c r="O4586" i="3"/>
  <c r="O4587" i="3"/>
  <c r="O4588" i="3"/>
  <c r="O4589" i="3"/>
  <c r="O4590" i="3"/>
  <c r="O4591" i="3"/>
  <c r="O4592" i="3"/>
  <c r="O4593" i="3"/>
  <c r="O4594" i="3"/>
  <c r="O4595" i="3"/>
  <c r="O4596" i="3"/>
  <c r="O4597" i="3"/>
  <c r="O4598" i="3"/>
  <c r="O4599" i="3"/>
  <c r="O4600" i="3"/>
  <c r="O4601" i="3"/>
  <c r="O4602" i="3"/>
  <c r="O4603" i="3"/>
  <c r="O4604" i="3"/>
  <c r="O4605" i="3"/>
  <c r="O4606" i="3"/>
  <c r="O4607" i="3"/>
  <c r="O4608" i="3"/>
  <c r="O4609" i="3"/>
  <c r="O4610" i="3"/>
  <c r="O4611" i="3"/>
  <c r="O4612" i="3"/>
  <c r="O4613" i="3"/>
  <c r="O4614" i="3"/>
  <c r="O4615" i="3"/>
  <c r="O4616" i="3"/>
  <c r="O4617" i="3"/>
  <c r="O4618" i="3"/>
  <c r="O4619" i="3"/>
  <c r="O4620" i="3"/>
  <c r="O4621" i="3"/>
  <c r="O4622" i="3"/>
  <c r="O4623" i="3"/>
  <c r="O4624" i="3"/>
  <c r="O4625" i="3"/>
  <c r="O4626" i="3"/>
  <c r="O4627" i="3"/>
  <c r="O4628" i="3"/>
  <c r="O4629" i="3"/>
  <c r="O4630" i="3"/>
  <c r="O4631" i="3"/>
  <c r="O4632" i="3"/>
  <c r="O4633" i="3"/>
  <c r="O4634" i="3"/>
  <c r="O4635" i="3"/>
  <c r="O4636" i="3"/>
  <c r="O4637" i="3"/>
  <c r="O4638" i="3"/>
  <c r="O4639" i="3"/>
  <c r="O4640" i="3"/>
  <c r="O4641" i="3"/>
  <c r="O4642" i="3"/>
  <c r="O4643" i="3"/>
  <c r="O4644" i="3"/>
  <c r="O4645" i="3"/>
  <c r="O4646" i="3"/>
  <c r="O4647" i="3"/>
  <c r="O4648" i="3"/>
  <c r="O4649" i="3"/>
  <c r="O4650" i="3"/>
  <c r="O4651" i="3"/>
  <c r="O4652" i="3"/>
  <c r="O4742" i="3"/>
  <c r="O4743" i="3"/>
  <c r="O4744" i="3"/>
  <c r="O4745" i="3"/>
  <c r="O4746" i="3"/>
  <c r="O4747" i="3"/>
  <c r="O4748" i="3"/>
  <c r="O4749" i="3"/>
  <c r="O4750" i="3"/>
  <c r="O4751" i="3"/>
  <c r="O4752" i="3"/>
  <c r="O4753" i="3"/>
  <c r="O4754" i="3"/>
  <c r="O4755" i="3"/>
  <c r="O4756" i="3"/>
  <c r="O4757" i="3"/>
  <c r="O4758" i="3"/>
  <c r="O4759" i="3"/>
  <c r="O4760" i="3"/>
  <c r="O4761" i="3"/>
  <c r="O4762" i="3"/>
  <c r="O4763" i="3"/>
  <c r="O4764" i="3"/>
  <c r="O4765" i="3"/>
  <c r="O4766" i="3"/>
  <c r="O4767" i="3"/>
  <c r="O4768" i="3"/>
  <c r="O4769" i="3"/>
  <c r="O4770" i="3"/>
  <c r="O4771" i="3"/>
  <c r="O4772" i="3"/>
  <c r="O4773" i="3"/>
  <c r="O4774" i="3"/>
  <c r="O4775" i="3"/>
  <c r="O4776" i="3"/>
  <c r="O4777" i="3"/>
  <c r="O4778" i="3"/>
  <c r="O4779" i="3"/>
  <c r="O4780" i="3"/>
  <c r="O4781" i="3"/>
  <c r="O4782" i="3"/>
  <c r="O4783" i="3"/>
  <c r="O4784" i="3"/>
  <c r="O4785" i="3"/>
  <c r="O4786" i="3"/>
  <c r="O4787" i="3"/>
  <c r="O4788" i="3"/>
  <c r="O4789" i="3"/>
  <c r="O4790" i="3"/>
  <c r="O4791" i="3"/>
  <c r="O4792" i="3"/>
  <c r="O4793" i="3"/>
  <c r="O4794" i="3"/>
  <c r="O4795" i="3"/>
  <c r="O4796" i="3"/>
  <c r="O4797" i="3"/>
  <c r="O4798" i="3"/>
  <c r="O4799" i="3"/>
  <c r="O4800" i="3"/>
  <c r="O4801" i="3"/>
  <c r="O4802" i="3"/>
  <c r="O4803" i="3"/>
  <c r="O4804" i="3"/>
  <c r="O4805" i="3"/>
  <c r="O4806" i="3"/>
  <c r="O4807" i="3"/>
  <c r="O4808" i="3"/>
  <c r="O4809" i="3"/>
  <c r="O4810" i="3"/>
  <c r="O4811" i="3"/>
  <c r="O4812" i="3"/>
  <c r="O4813" i="3"/>
  <c r="O4814" i="3"/>
  <c r="O4815" i="3"/>
  <c r="O4816" i="3"/>
  <c r="O4817" i="3"/>
  <c r="O4818" i="3"/>
  <c r="O4819" i="3"/>
  <c r="O4820" i="3"/>
  <c r="O4821" i="3"/>
  <c r="O4822" i="3"/>
  <c r="O4823" i="3"/>
  <c r="O4824" i="3"/>
  <c r="O4825" i="3"/>
  <c r="O4826" i="3"/>
  <c r="O4827" i="3"/>
  <c r="O4828" i="3"/>
  <c r="O4829" i="3"/>
  <c r="O4830" i="3"/>
  <c r="O4831" i="3"/>
  <c r="O4832" i="3"/>
  <c r="O4833" i="3"/>
  <c r="O4834" i="3"/>
  <c r="O4835" i="3"/>
  <c r="O4836" i="3"/>
  <c r="O4837" i="3"/>
  <c r="O4838" i="3"/>
  <c r="O4839" i="3"/>
  <c r="O4840" i="3"/>
  <c r="O4841" i="3"/>
  <c r="O4842" i="3"/>
  <c r="O4843" i="3"/>
  <c r="O4844" i="3"/>
  <c r="O4845" i="3"/>
  <c r="O4846" i="3"/>
  <c r="O4847" i="3"/>
  <c r="O4848" i="3"/>
  <c r="O4849" i="3"/>
  <c r="O4850" i="3"/>
  <c r="O4851" i="3"/>
  <c r="O4852" i="3"/>
  <c r="O4854" i="3"/>
  <c r="O4853" i="3"/>
  <c r="O4855" i="3"/>
  <c r="O4856" i="3"/>
  <c r="O4857" i="3"/>
  <c r="O4858" i="3"/>
  <c r="O4859" i="3"/>
  <c r="O4860" i="3"/>
  <c r="O4861" i="3"/>
  <c r="O4862" i="3"/>
  <c r="O4863" i="3"/>
  <c r="O4864" i="3"/>
  <c r="O4865" i="3"/>
  <c r="O4866" i="3"/>
  <c r="O4867" i="3"/>
  <c r="O4868" i="3"/>
  <c r="O4869" i="3"/>
  <c r="O4870" i="3"/>
  <c r="O4871" i="3"/>
  <c r="O4872" i="3"/>
  <c r="O4873" i="3"/>
  <c r="O4874" i="3"/>
  <c r="O4875" i="3"/>
  <c r="O4876" i="3"/>
  <c r="O4877" i="3"/>
  <c r="O4878" i="3"/>
  <c r="O4879" i="3"/>
  <c r="O4880" i="3"/>
  <c r="O4881" i="3"/>
  <c r="O4882" i="3"/>
  <c r="O4883" i="3"/>
  <c r="O4884" i="3"/>
  <c r="O4885" i="3"/>
  <c r="O4886" i="3"/>
  <c r="O4887" i="3"/>
  <c r="O4888" i="3"/>
  <c r="O4889" i="3"/>
  <c r="O4890" i="3"/>
  <c r="O4891" i="3"/>
  <c r="O4892" i="3"/>
  <c r="O4893" i="3"/>
  <c r="O4894" i="3"/>
  <c r="O4895" i="3"/>
  <c r="O4896" i="3"/>
  <c r="O4897" i="3"/>
  <c r="O4898" i="3"/>
  <c r="O4899" i="3"/>
  <c r="O4900" i="3"/>
  <c r="O4901" i="3"/>
  <c r="O4902" i="3"/>
  <c r="O4903" i="3"/>
  <c r="O4904" i="3"/>
  <c r="O4905" i="3"/>
  <c r="O4906" i="3"/>
  <c r="O4907" i="3"/>
  <c r="O4908" i="3"/>
  <c r="O4909" i="3"/>
  <c r="O4910" i="3"/>
  <c r="O4911" i="3"/>
  <c r="O4912" i="3"/>
  <c r="O4913" i="3"/>
  <c r="O4914" i="3"/>
  <c r="O4915" i="3"/>
  <c r="O4916" i="3"/>
  <c r="O4917" i="3"/>
  <c r="O4918" i="3"/>
  <c r="O4919" i="3"/>
  <c r="O4920" i="3"/>
  <c r="O4921" i="3"/>
  <c r="O4922" i="3"/>
  <c r="O4923" i="3"/>
  <c r="O4924" i="3"/>
  <c r="O4925" i="3"/>
  <c r="O4926" i="3"/>
  <c r="O4927" i="3"/>
  <c r="O4928" i="3"/>
  <c r="O4929" i="3"/>
  <c r="O4930" i="3"/>
  <c r="O4931" i="3"/>
  <c r="O4932" i="3"/>
  <c r="O4933" i="3"/>
  <c r="O4934" i="3"/>
  <c r="O4935" i="3"/>
  <c r="O4936" i="3"/>
  <c r="O4937" i="3"/>
  <c r="O4938" i="3"/>
  <c r="O4939" i="3"/>
  <c r="O4940" i="3"/>
  <c r="O4941" i="3"/>
  <c r="O4942" i="3"/>
  <c r="O4944" i="3"/>
  <c r="O4943" i="3"/>
  <c r="O4945" i="3"/>
  <c r="O4946" i="3"/>
  <c r="O4947" i="3"/>
  <c r="O4948" i="3"/>
  <c r="O4949" i="3"/>
  <c r="O4950" i="3"/>
  <c r="O4951" i="3"/>
  <c r="O4952" i="3"/>
  <c r="O4953" i="3"/>
  <c r="O4954" i="3"/>
  <c r="O4955" i="3"/>
  <c r="O4956" i="3"/>
  <c r="O4957" i="3"/>
  <c r="O4958" i="3"/>
  <c r="O4959" i="3"/>
  <c r="O4960" i="3"/>
  <c r="O4961" i="3"/>
  <c r="O4962" i="3"/>
  <c r="O4963" i="3"/>
  <c r="O4964" i="3"/>
  <c r="O4965" i="3"/>
  <c r="O4966" i="3"/>
  <c r="O4967" i="3"/>
  <c r="O4968" i="3"/>
  <c r="O4969" i="3"/>
  <c r="O4970" i="3"/>
  <c r="O4971" i="3"/>
  <c r="O4973" i="3"/>
  <c r="O4972" i="3"/>
  <c r="O4974" i="3"/>
  <c r="O4975" i="3"/>
  <c r="O4976" i="3"/>
  <c r="O4977" i="3"/>
  <c r="O4978" i="3"/>
  <c r="O4979" i="3"/>
  <c r="O4980" i="3"/>
  <c r="O4981" i="3"/>
  <c r="O4982" i="3"/>
  <c r="O4983" i="3"/>
  <c r="O4984" i="3"/>
  <c r="O4985" i="3"/>
  <c r="O4986" i="3"/>
  <c r="O4987" i="3"/>
  <c r="O4988" i="3"/>
  <c r="O4989" i="3"/>
  <c r="O4990" i="3"/>
  <c r="O4991" i="3"/>
  <c r="O4992" i="3"/>
  <c r="O4993" i="3"/>
  <c r="O4994" i="3"/>
  <c r="O4995" i="3"/>
  <c r="O4996" i="3"/>
  <c r="O4997" i="3"/>
  <c r="O4998" i="3"/>
  <c r="O4999" i="3"/>
  <c r="O5000" i="3"/>
  <c r="O5001" i="3"/>
  <c r="O5002" i="3"/>
  <c r="O5003" i="3"/>
  <c r="O5004" i="3"/>
  <c r="O5005" i="3"/>
  <c r="O5006" i="3"/>
  <c r="O5007" i="3"/>
  <c r="O5008" i="3"/>
  <c r="O5009" i="3"/>
  <c r="O5010" i="3"/>
  <c r="O5011" i="3"/>
  <c r="O5012" i="3"/>
  <c r="O5013" i="3"/>
  <c r="O5014" i="3"/>
  <c r="O5015" i="3"/>
  <c r="O5016" i="3"/>
  <c r="O5017" i="3"/>
  <c r="O5018" i="3"/>
  <c r="O5019" i="3"/>
  <c r="O5020" i="3"/>
  <c r="O5021" i="3"/>
  <c r="O5022" i="3"/>
  <c r="O5023" i="3"/>
  <c r="O5024" i="3"/>
  <c r="O5025" i="3"/>
  <c r="O5026" i="3"/>
  <c r="O5027" i="3"/>
  <c r="O5028" i="3"/>
  <c r="O5029" i="3"/>
  <c r="O5030" i="3"/>
  <c r="O5031" i="3"/>
  <c r="O5032" i="3"/>
  <c r="O5033" i="3"/>
  <c r="O5034" i="3"/>
  <c r="O5035" i="3"/>
  <c r="O5036" i="3"/>
  <c r="O5037" i="3"/>
  <c r="O5038" i="3"/>
  <c r="O5039" i="3"/>
  <c r="O5040" i="3"/>
  <c r="O5041" i="3"/>
  <c r="O5042" i="3"/>
  <c r="O5043" i="3"/>
  <c r="O5044" i="3"/>
  <c r="O5045" i="3"/>
  <c r="O5046" i="3"/>
  <c r="O5047" i="3"/>
  <c r="O5048" i="3"/>
  <c r="O5049" i="3"/>
  <c r="O5050" i="3"/>
  <c r="O5051" i="3"/>
  <c r="O5052" i="3"/>
  <c r="O5053" i="3"/>
  <c r="O5054" i="3"/>
  <c r="O5055" i="3"/>
  <c r="O5056" i="3"/>
  <c r="O5057" i="3"/>
  <c r="O5058" i="3"/>
  <c r="O5059" i="3"/>
  <c r="O5060" i="3"/>
  <c r="O5061" i="3"/>
  <c r="O5062" i="3"/>
  <c r="O5063" i="3"/>
  <c r="O5064" i="3"/>
  <c r="O5065" i="3"/>
  <c r="O5066" i="3"/>
  <c r="O5067" i="3"/>
  <c r="O5068" i="3"/>
  <c r="O5069" i="3"/>
  <c r="O5070" i="3"/>
  <c r="O5071" i="3"/>
  <c r="O5072" i="3"/>
  <c r="O5073" i="3"/>
  <c r="O5074" i="3"/>
  <c r="O5075" i="3"/>
  <c r="O5076" i="3"/>
  <c r="O5077" i="3"/>
  <c r="O5078" i="3"/>
  <c r="O5079" i="3"/>
  <c r="O5080" i="3"/>
  <c r="O5081" i="3"/>
  <c r="O5082" i="3"/>
  <c r="O5083" i="3"/>
  <c r="O5084" i="3"/>
  <c r="O5085" i="3"/>
  <c r="O5086" i="3"/>
  <c r="O5087" i="3"/>
  <c r="O5088" i="3"/>
  <c r="O5089" i="3"/>
  <c r="O5090" i="3"/>
  <c r="O5091" i="3"/>
  <c r="O5092" i="3"/>
  <c r="O5093" i="3"/>
  <c r="O5094" i="3"/>
  <c r="O5095" i="3"/>
  <c r="O5096" i="3"/>
  <c r="O5097" i="3"/>
  <c r="O5098" i="3"/>
  <c r="O5099" i="3"/>
  <c r="O5100" i="3"/>
  <c r="O5101" i="3"/>
  <c r="O5102" i="3"/>
  <c r="O5103" i="3"/>
  <c r="O5104" i="3"/>
  <c r="O5105" i="3"/>
  <c r="O5106" i="3"/>
  <c r="O5107" i="3"/>
  <c r="O5108" i="3"/>
  <c r="O5109" i="3"/>
  <c r="O5110" i="3"/>
  <c r="O5111" i="3"/>
  <c r="O5112" i="3"/>
  <c r="O5113" i="3"/>
  <c r="O5114" i="3"/>
  <c r="O5115" i="3"/>
  <c r="O5116" i="3"/>
  <c r="O5117" i="3"/>
  <c r="O5118" i="3"/>
  <c r="O5119" i="3"/>
  <c r="O5120" i="3"/>
  <c r="O5121" i="3"/>
  <c r="O5122" i="3"/>
  <c r="O5123" i="3"/>
  <c r="O5124" i="3"/>
  <c r="O5125" i="3"/>
  <c r="O5126" i="3"/>
  <c r="O5127" i="3"/>
  <c r="O5128" i="3"/>
  <c r="O5129" i="3"/>
  <c r="O5130" i="3"/>
  <c r="O5131" i="3"/>
  <c r="O5132" i="3"/>
  <c r="O5133" i="3"/>
  <c r="O5134" i="3"/>
  <c r="O5135" i="3"/>
  <c r="O5136" i="3"/>
  <c r="O5137" i="3"/>
  <c r="O5138" i="3"/>
  <c r="O5139" i="3"/>
  <c r="O5140" i="3"/>
  <c r="O5141" i="3"/>
  <c r="O5142" i="3"/>
  <c r="O5143" i="3"/>
  <c r="O5144" i="3"/>
  <c r="O5145" i="3"/>
  <c r="O5146" i="3"/>
  <c r="O5147" i="3"/>
  <c r="O5148" i="3"/>
  <c r="O5149" i="3"/>
  <c r="O5150" i="3"/>
  <c r="O5151" i="3"/>
  <c r="O5152" i="3"/>
  <c r="O5153" i="3"/>
  <c r="O5154" i="3"/>
  <c r="O5155" i="3"/>
  <c r="O5156" i="3"/>
  <c r="O5157" i="3"/>
  <c r="O5158" i="3"/>
  <c r="O5159" i="3"/>
  <c r="O5160" i="3"/>
  <c r="O5161" i="3"/>
  <c r="O5162" i="3"/>
  <c r="O5163" i="3"/>
  <c r="O5164" i="3"/>
  <c r="O5165" i="3"/>
  <c r="O5166" i="3"/>
  <c r="O5167" i="3"/>
  <c r="O5168" i="3"/>
  <c r="O5169" i="3"/>
  <c r="O5170" i="3"/>
  <c r="O5171" i="3"/>
  <c r="O5172" i="3"/>
  <c r="O5173" i="3"/>
  <c r="O5174" i="3"/>
  <c r="O5175" i="3"/>
  <c r="O5176" i="3"/>
  <c r="O5177" i="3"/>
  <c r="O5178" i="3"/>
  <c r="O5179" i="3"/>
  <c r="O5180" i="3"/>
  <c r="O5181" i="3"/>
  <c r="O5182" i="3"/>
  <c r="O5183" i="3"/>
  <c r="O5184" i="3"/>
  <c r="O5185" i="3"/>
  <c r="O5186" i="3"/>
  <c r="O5187" i="3"/>
  <c r="O5188" i="3"/>
  <c r="O5189" i="3"/>
  <c r="O5190" i="3"/>
  <c r="O5191" i="3"/>
  <c r="O5192" i="3"/>
  <c r="O5193" i="3"/>
  <c r="O5194" i="3"/>
  <c r="O5195" i="3"/>
  <c r="O5196" i="3"/>
  <c r="O5197" i="3"/>
  <c r="O5198" i="3"/>
  <c r="O5199" i="3"/>
  <c r="O5200" i="3"/>
  <c r="O5201" i="3"/>
  <c r="O5202" i="3"/>
  <c r="O5203" i="3"/>
  <c r="O5204" i="3"/>
  <c r="O5205" i="3"/>
  <c r="O5206" i="3"/>
  <c r="O5207" i="3"/>
  <c r="O5208" i="3"/>
  <c r="O5209" i="3"/>
  <c r="O5210" i="3"/>
  <c r="O5211" i="3"/>
  <c r="O5212" i="3"/>
  <c r="O5213" i="3"/>
  <c r="O5214" i="3"/>
  <c r="O5215" i="3"/>
  <c r="O5216" i="3"/>
  <c r="O5217" i="3"/>
  <c r="O5218" i="3"/>
  <c r="O5219" i="3"/>
  <c r="O5220" i="3"/>
  <c r="O5221" i="3"/>
  <c r="O5222" i="3"/>
  <c r="O5223" i="3"/>
  <c r="O5224" i="3"/>
  <c r="O5225" i="3"/>
  <c r="O5226" i="3"/>
  <c r="O5227" i="3"/>
  <c r="O5228" i="3"/>
  <c r="O5229" i="3"/>
  <c r="O5230" i="3"/>
  <c r="O5231" i="3"/>
  <c r="O5232" i="3"/>
  <c r="O5233" i="3"/>
  <c r="O5234" i="3"/>
  <c r="O5235" i="3"/>
  <c r="O5236" i="3"/>
  <c r="O5237" i="3"/>
  <c r="O5238" i="3"/>
  <c r="O5239" i="3"/>
  <c r="O5240" i="3"/>
  <c r="O5241" i="3"/>
  <c r="O5242" i="3"/>
  <c r="O5243" i="3"/>
  <c r="O5244" i="3"/>
  <c r="O5245" i="3"/>
  <c r="O5246" i="3"/>
  <c r="O5247" i="3"/>
  <c r="O5248" i="3"/>
  <c r="O5249" i="3"/>
  <c r="O5250" i="3"/>
  <c r="O5251" i="3"/>
  <c r="O5252" i="3"/>
  <c r="O5253" i="3"/>
  <c r="O5254" i="3"/>
  <c r="O5255" i="3"/>
  <c r="O5256" i="3"/>
  <c r="O5257" i="3"/>
  <c r="O5258" i="3"/>
  <c r="O5259" i="3"/>
  <c r="O5260" i="3"/>
  <c r="O5261" i="3"/>
  <c r="O5262" i="3"/>
  <c r="O5263" i="3"/>
  <c r="O5264" i="3"/>
  <c r="O5265" i="3"/>
  <c r="O5266" i="3"/>
  <c r="O5267" i="3"/>
  <c r="O5268" i="3"/>
  <c r="O5269" i="3"/>
  <c r="O5270" i="3"/>
  <c r="O5271" i="3"/>
  <c r="O5272" i="3"/>
  <c r="O5273" i="3"/>
  <c r="O5274" i="3"/>
  <c r="O5275" i="3"/>
  <c r="O5276" i="3"/>
  <c r="O5277" i="3"/>
  <c r="O5278" i="3"/>
  <c r="O5279" i="3"/>
  <c r="O5280" i="3"/>
  <c r="O5281" i="3"/>
  <c r="O5282" i="3"/>
  <c r="O5283" i="3"/>
  <c r="O5284" i="3"/>
  <c r="O5285" i="3"/>
  <c r="O5286" i="3"/>
  <c r="O5287" i="3"/>
  <c r="O5288" i="3"/>
  <c r="O5289" i="3"/>
  <c r="O5290" i="3"/>
  <c r="O5291" i="3"/>
  <c r="O5292" i="3"/>
  <c r="O5293" i="3"/>
  <c r="O5294" i="3"/>
  <c r="O5295" i="3"/>
  <c r="O5296" i="3"/>
  <c r="O5297" i="3"/>
  <c r="O5298" i="3"/>
  <c r="O5299" i="3"/>
  <c r="O5300" i="3"/>
  <c r="O5301" i="3"/>
  <c r="O5302" i="3"/>
  <c r="O5303" i="3"/>
  <c r="O5304" i="3"/>
  <c r="O5305" i="3"/>
  <c r="O5306" i="3"/>
  <c r="O5307" i="3"/>
  <c r="O5308" i="3"/>
  <c r="O5309" i="3"/>
  <c r="O5310" i="3"/>
  <c r="O5311" i="3"/>
  <c r="O5312" i="3"/>
  <c r="O5313" i="3"/>
  <c r="O5314" i="3"/>
  <c r="O5315" i="3"/>
  <c r="O5316" i="3"/>
  <c r="O5317" i="3"/>
  <c r="O5318" i="3"/>
  <c r="O5319" i="3"/>
  <c r="O5320" i="3"/>
  <c r="O5321" i="3"/>
  <c r="O5322" i="3"/>
  <c r="O5323" i="3"/>
  <c r="O5324" i="3"/>
  <c r="O5325" i="3"/>
  <c r="O5326" i="3"/>
  <c r="O5327" i="3"/>
  <c r="O5328" i="3"/>
  <c r="O5329" i="3"/>
  <c r="O5330" i="3"/>
  <c r="O5331" i="3"/>
  <c r="O5332" i="3"/>
  <c r="O5333" i="3"/>
  <c r="O5334" i="3"/>
  <c r="O5335" i="3"/>
  <c r="O5336" i="3"/>
  <c r="O5337" i="3"/>
  <c r="O5338" i="3"/>
  <c r="O5339" i="3"/>
  <c r="O5340" i="3"/>
  <c r="O5341" i="3"/>
  <c r="O5342" i="3"/>
  <c r="O5343" i="3"/>
  <c r="O5344" i="3"/>
  <c r="O5345" i="3"/>
  <c r="O5346" i="3"/>
  <c r="O5347" i="3"/>
  <c r="O5348" i="3"/>
  <c r="O5349" i="3"/>
  <c r="O5350" i="3"/>
  <c r="O5351" i="3"/>
  <c r="O5352" i="3"/>
  <c r="O5353" i="3"/>
  <c r="O5354" i="3"/>
  <c r="O5355" i="3"/>
  <c r="O5356" i="3"/>
  <c r="O5357" i="3"/>
  <c r="O5358" i="3"/>
  <c r="O5359" i="3"/>
  <c r="O5360" i="3"/>
  <c r="O5361" i="3"/>
  <c r="O5363" i="3"/>
  <c r="O5362" i="3"/>
  <c r="O5364" i="3"/>
  <c r="O5365" i="3"/>
  <c r="O5366" i="3"/>
  <c r="O5367" i="3"/>
  <c r="O5368" i="3"/>
  <c r="O5369" i="3"/>
  <c r="O5370" i="3"/>
  <c r="O5371" i="3"/>
  <c r="O5372" i="3"/>
  <c r="O5373" i="3"/>
  <c r="O5374" i="3"/>
  <c r="O5375" i="3"/>
  <c r="O5376" i="3"/>
  <c r="O5377" i="3"/>
  <c r="O5378" i="3"/>
  <c r="O5379" i="3"/>
  <c r="O5380" i="3"/>
  <c r="O5381" i="3"/>
  <c r="O5382" i="3"/>
  <c r="O5383" i="3"/>
  <c r="O5384" i="3"/>
  <c r="O5385" i="3"/>
  <c r="O5386" i="3"/>
  <c r="O5387" i="3"/>
  <c r="O5388" i="3"/>
  <c r="O5389" i="3"/>
  <c r="O5390" i="3"/>
  <c r="O5391" i="3"/>
  <c r="O5392" i="3"/>
  <c r="O5393" i="3"/>
  <c r="O5394" i="3"/>
  <c r="O5395" i="3"/>
  <c r="O5396" i="3"/>
  <c r="O5397" i="3"/>
  <c r="O5398" i="3"/>
  <c r="O5399" i="3"/>
  <c r="O5400" i="3"/>
  <c r="O5401" i="3"/>
  <c r="O5402" i="3"/>
  <c r="O5403" i="3"/>
  <c r="O5404" i="3"/>
  <c r="O5405" i="3"/>
  <c r="O5406" i="3"/>
  <c r="O5407" i="3"/>
  <c r="O5408" i="3"/>
  <c r="O5409" i="3"/>
  <c r="O5410" i="3"/>
  <c r="O5411" i="3"/>
  <c r="O5412" i="3"/>
  <c r="O5413" i="3"/>
  <c r="O5414" i="3"/>
  <c r="O5415" i="3"/>
  <c r="O5416" i="3"/>
  <c r="O5417" i="3"/>
  <c r="O5418" i="3"/>
  <c r="O5419" i="3"/>
  <c r="O5420" i="3"/>
  <c r="O5421" i="3"/>
  <c r="O5422" i="3"/>
  <c r="O5423" i="3"/>
  <c r="O5424" i="3"/>
  <c r="O5425" i="3"/>
  <c r="O5426" i="3"/>
  <c r="O5427" i="3"/>
  <c r="O5428" i="3"/>
  <c r="O5429" i="3"/>
  <c r="O5430" i="3"/>
  <c r="O5431" i="3"/>
  <c r="O5432" i="3"/>
  <c r="O5433" i="3"/>
  <c r="O5434" i="3"/>
  <c r="O5435" i="3"/>
  <c r="O5436" i="3"/>
  <c r="O5437" i="3"/>
  <c r="O5438" i="3"/>
  <c r="O5439" i="3"/>
  <c r="O5440" i="3"/>
  <c r="O5441" i="3"/>
  <c r="O5442" i="3"/>
  <c r="O5443" i="3"/>
  <c r="O5444" i="3"/>
  <c r="O5445" i="3"/>
  <c r="O5446" i="3"/>
  <c r="O5447" i="3"/>
  <c r="O5448" i="3"/>
  <c r="O5449" i="3"/>
  <c r="O5450" i="3"/>
  <c r="O5451" i="3"/>
  <c r="O5452" i="3"/>
  <c r="O5453" i="3"/>
  <c r="O5454" i="3"/>
  <c r="O5455" i="3"/>
  <c r="O5456" i="3"/>
  <c r="O5457" i="3"/>
  <c r="O5458" i="3"/>
  <c r="O5459" i="3"/>
  <c r="O5460" i="3"/>
  <c r="O5461" i="3"/>
  <c r="O5462" i="3"/>
  <c r="O5463" i="3"/>
  <c r="O5464" i="3"/>
  <c r="O5465" i="3"/>
  <c r="O5466" i="3"/>
  <c r="O5467" i="3"/>
  <c r="O5468" i="3"/>
  <c r="O5469" i="3"/>
  <c r="O5470" i="3"/>
  <c r="O5471" i="3"/>
  <c r="O5472" i="3"/>
  <c r="O5473" i="3"/>
  <c r="O5474" i="3"/>
  <c r="O5475" i="3"/>
  <c r="O5476" i="3"/>
  <c r="O5477" i="3"/>
  <c r="O5478" i="3"/>
  <c r="O5479" i="3"/>
  <c r="O5480" i="3"/>
  <c r="O5481" i="3"/>
  <c r="O5482" i="3"/>
  <c r="O5483" i="3"/>
  <c r="O5484" i="3"/>
  <c r="O5485" i="3"/>
  <c r="O5486" i="3"/>
  <c r="O5487" i="3"/>
  <c r="O5488" i="3"/>
  <c r="O5489" i="3"/>
  <c r="O5490" i="3"/>
  <c r="O5491" i="3"/>
  <c r="O5492" i="3"/>
  <c r="O5493" i="3"/>
  <c r="O5494" i="3"/>
  <c r="O5495" i="3"/>
  <c r="O5496" i="3"/>
  <c r="O5497" i="3"/>
  <c r="O5498" i="3"/>
  <c r="O5499" i="3"/>
  <c r="O5500" i="3"/>
  <c r="O5501" i="3"/>
  <c r="O5502" i="3"/>
  <c r="O5503" i="3"/>
  <c r="O5504" i="3"/>
  <c r="O5505" i="3"/>
  <c r="O5506" i="3"/>
  <c r="O5507" i="3"/>
  <c r="O5508" i="3"/>
  <c r="O5509" i="3"/>
  <c r="O5510" i="3"/>
  <c r="O5511" i="3"/>
  <c r="O5512" i="3"/>
  <c r="O5513" i="3"/>
  <c r="O5514" i="3"/>
  <c r="O5515" i="3"/>
  <c r="O5516" i="3"/>
  <c r="O5517" i="3"/>
  <c r="O5518" i="3"/>
  <c r="O5519" i="3"/>
  <c r="O5520" i="3"/>
  <c r="O5521" i="3"/>
  <c r="O5522" i="3"/>
  <c r="O5523" i="3"/>
  <c r="O5524" i="3"/>
  <c r="O5525" i="3"/>
  <c r="O5526" i="3"/>
  <c r="O5527" i="3"/>
  <c r="O5528" i="3"/>
  <c r="O5529" i="3"/>
  <c r="O5530" i="3"/>
  <c r="O5531" i="3"/>
  <c r="O5532" i="3"/>
  <c r="O5533" i="3"/>
  <c r="O5534" i="3"/>
  <c r="O5535" i="3"/>
  <c r="O5536" i="3"/>
  <c r="O5537" i="3"/>
  <c r="O5538" i="3"/>
  <c r="O5539" i="3"/>
  <c r="O5540" i="3"/>
  <c r="O5541" i="3"/>
  <c r="O5542" i="3"/>
  <c r="O5543" i="3"/>
  <c r="O5544" i="3"/>
  <c r="O5545" i="3"/>
  <c r="O5546" i="3"/>
  <c r="O5547" i="3"/>
  <c r="O5548" i="3"/>
  <c r="O5549" i="3"/>
  <c r="O5550" i="3"/>
  <c r="O5551" i="3"/>
  <c r="O5552" i="3"/>
  <c r="O5553" i="3"/>
  <c r="O5554" i="3"/>
  <c r="O5555" i="3"/>
  <c r="O5556" i="3"/>
  <c r="O5557" i="3"/>
  <c r="O5558" i="3"/>
  <c r="O5559" i="3"/>
  <c r="O5560" i="3"/>
  <c r="O5561" i="3"/>
  <c r="O5562" i="3"/>
  <c r="O5563" i="3"/>
  <c r="O5564" i="3"/>
  <c r="O5565" i="3"/>
  <c r="O5566" i="3"/>
  <c r="O5567" i="3"/>
  <c r="O5568" i="3"/>
  <c r="O5569" i="3"/>
  <c r="O5570" i="3"/>
  <c r="O5571" i="3"/>
  <c r="O5572" i="3"/>
  <c r="O5573" i="3"/>
  <c r="O5574" i="3"/>
  <c r="O5575" i="3"/>
  <c r="O5576" i="3"/>
  <c r="O5577" i="3"/>
  <c r="O5578" i="3"/>
  <c r="O5579" i="3"/>
  <c r="O5580" i="3"/>
  <c r="O5581" i="3"/>
  <c r="O5582" i="3"/>
  <c r="O5583" i="3"/>
  <c r="O5584" i="3"/>
  <c r="O5585" i="3"/>
  <c r="O5586" i="3"/>
  <c r="O5587" i="3"/>
  <c r="O5588" i="3"/>
  <c r="O5589" i="3"/>
  <c r="O5590" i="3"/>
  <c r="O5591" i="3"/>
  <c r="O5592" i="3"/>
  <c r="O5593" i="3"/>
  <c r="O5594" i="3"/>
  <c r="O5595" i="3"/>
  <c r="O5596" i="3"/>
  <c r="O5597" i="3"/>
  <c r="O5598" i="3"/>
  <c r="O5599" i="3"/>
  <c r="O5600" i="3"/>
  <c r="O5601" i="3"/>
  <c r="O5602" i="3"/>
  <c r="O5603" i="3"/>
  <c r="O5604" i="3"/>
  <c r="O5605" i="3"/>
  <c r="O5606" i="3"/>
  <c r="O5607" i="3"/>
  <c r="O5608" i="3"/>
  <c r="O5609" i="3"/>
  <c r="O5610" i="3"/>
  <c r="O5611" i="3"/>
  <c r="O5612" i="3"/>
  <c r="O5613" i="3"/>
  <c r="O5614" i="3"/>
  <c r="O5615" i="3"/>
  <c r="O5616" i="3"/>
  <c r="O5617" i="3"/>
  <c r="O5618" i="3"/>
  <c r="O5619" i="3"/>
  <c r="O5620" i="3"/>
  <c r="O5621" i="3"/>
  <c r="O5622" i="3"/>
  <c r="O5623" i="3"/>
  <c r="O5624" i="3"/>
  <c r="O5625" i="3"/>
  <c r="O5626" i="3"/>
  <c r="O5627" i="3"/>
  <c r="O5628" i="3"/>
  <c r="O5629" i="3"/>
  <c r="O5630" i="3"/>
  <c r="O5631" i="3"/>
  <c r="O5632" i="3"/>
  <c r="O5633" i="3"/>
  <c r="O5634" i="3"/>
  <c r="O5635" i="3"/>
  <c r="O5636" i="3"/>
  <c r="O5637" i="3"/>
  <c r="O5638" i="3"/>
  <c r="O5639" i="3"/>
  <c r="O5640" i="3"/>
  <c r="O5641" i="3"/>
  <c r="O5642" i="3"/>
  <c r="O5643" i="3"/>
  <c r="O5644" i="3"/>
  <c r="O5645" i="3"/>
  <c r="O5646" i="3"/>
  <c r="O5647" i="3"/>
  <c r="O5648" i="3"/>
  <c r="O5649" i="3"/>
  <c r="O5650" i="3"/>
  <c r="O5651" i="3"/>
  <c r="O5652" i="3"/>
  <c r="O5653" i="3"/>
  <c r="O5654" i="3"/>
  <c r="O5655" i="3"/>
  <c r="O5656" i="3"/>
  <c r="O5657" i="3"/>
  <c r="O5658" i="3"/>
  <c r="O5659" i="3"/>
  <c r="O5660" i="3"/>
  <c r="O5661" i="3"/>
  <c r="O5662" i="3"/>
  <c r="O5663" i="3"/>
  <c r="O5664" i="3"/>
  <c r="O5665" i="3"/>
  <c r="O5666" i="3"/>
  <c r="O5667" i="3"/>
  <c r="O5668" i="3"/>
  <c r="O5669" i="3"/>
  <c r="O5670" i="3"/>
  <c r="O5671" i="3"/>
  <c r="O5672" i="3"/>
  <c r="O5673" i="3"/>
  <c r="O5674" i="3"/>
  <c r="O5675" i="3"/>
  <c r="O5677" i="3"/>
  <c r="O5729" i="3"/>
  <c r="O5730" i="3"/>
  <c r="O5731" i="3"/>
  <c r="O5732" i="3"/>
  <c r="O5733" i="3"/>
  <c r="O5734" i="3"/>
  <c r="O5735" i="3"/>
  <c r="O5736" i="3"/>
  <c r="O5737" i="3"/>
  <c r="O5738" i="3"/>
  <c r="O5739" i="3"/>
  <c r="O5740" i="3"/>
  <c r="O5741" i="3"/>
  <c r="O5742" i="3"/>
  <c r="O5743" i="3"/>
  <c r="O5744" i="3"/>
  <c r="O5745" i="3"/>
  <c r="O5746" i="3"/>
  <c r="O5747" i="3"/>
  <c r="O5748" i="3"/>
  <c r="O5749" i="3"/>
  <c r="O5750" i="3"/>
  <c r="O5751" i="3"/>
  <c r="O5752" i="3"/>
  <c r="O5753" i="3"/>
  <c r="O5754" i="3"/>
  <c r="O5755" i="3"/>
  <c r="O5756" i="3"/>
  <c r="O5757" i="3"/>
  <c r="O5758" i="3"/>
  <c r="O5759" i="3"/>
  <c r="O5760" i="3"/>
  <c r="O5761" i="3"/>
  <c r="O5762" i="3"/>
  <c r="O5763" i="3"/>
  <c r="O5764" i="3"/>
  <c r="O5765" i="3"/>
  <c r="O5766" i="3"/>
  <c r="O5767" i="3"/>
  <c r="O5768" i="3"/>
  <c r="O5769" i="3"/>
  <c r="O5770" i="3"/>
  <c r="O5771" i="3"/>
  <c r="O5772" i="3"/>
  <c r="O5773" i="3"/>
  <c r="O5774" i="3"/>
  <c r="O5775" i="3"/>
  <c r="O5776" i="3"/>
  <c r="O5777" i="3"/>
  <c r="O5778" i="3"/>
  <c r="O5779" i="3"/>
  <c r="O5780" i="3"/>
  <c r="O5781" i="3"/>
  <c r="O5782" i="3"/>
  <c r="O5783" i="3"/>
  <c r="O5784" i="3"/>
  <c r="O5785" i="3"/>
  <c r="O5786" i="3"/>
  <c r="O5787" i="3"/>
  <c r="O5788" i="3"/>
  <c r="O5789" i="3"/>
  <c r="O5790" i="3"/>
  <c r="O5791" i="3"/>
  <c r="O5792" i="3"/>
  <c r="O5793" i="3"/>
  <c r="O5794" i="3"/>
  <c r="O5795" i="3"/>
  <c r="O5796" i="3"/>
  <c r="O5797" i="3"/>
  <c r="O5798" i="3"/>
  <c r="O5799" i="3"/>
  <c r="O5800" i="3"/>
  <c r="O5801" i="3"/>
  <c r="O5802" i="3"/>
  <c r="O5803" i="3"/>
  <c r="O5804" i="3"/>
  <c r="O5805" i="3"/>
  <c r="O5806" i="3"/>
  <c r="O5807" i="3"/>
  <c r="O5808" i="3"/>
  <c r="O5809" i="3"/>
  <c r="O5810" i="3"/>
  <c r="O5811" i="3"/>
  <c r="O5812" i="3"/>
  <c r="O5813" i="3"/>
  <c r="O5814" i="3"/>
  <c r="O5815" i="3"/>
  <c r="O5816" i="3"/>
  <c r="O5817" i="3"/>
  <c r="O5818" i="3"/>
  <c r="O5819" i="3"/>
  <c r="O5820" i="3"/>
  <c r="O5821" i="3"/>
  <c r="O5822" i="3"/>
  <c r="O5823" i="3"/>
  <c r="O5824" i="3"/>
  <c r="O5825" i="3"/>
  <c r="O5826" i="3"/>
  <c r="O5827" i="3"/>
  <c r="O5828" i="3"/>
  <c r="O5829" i="3"/>
  <c r="O5830" i="3"/>
  <c r="O5831" i="3"/>
  <c r="O5832" i="3"/>
  <c r="O5833" i="3"/>
  <c r="O5834" i="3"/>
  <c r="O5835" i="3"/>
  <c r="O5836" i="3"/>
  <c r="O5837" i="3"/>
  <c r="O5838" i="3"/>
  <c r="O5839" i="3"/>
  <c r="O5840" i="3"/>
  <c r="O5841" i="3"/>
  <c r="O5842" i="3"/>
  <c r="O5843" i="3"/>
  <c r="O5844" i="3"/>
  <c r="O5845" i="3"/>
  <c r="O5846" i="3"/>
  <c r="O5847" i="3"/>
  <c r="O5848" i="3"/>
  <c r="O5849" i="3"/>
  <c r="O5850" i="3"/>
  <c r="O5851" i="3"/>
  <c r="O5852" i="3"/>
  <c r="O5853" i="3"/>
  <c r="O5854" i="3"/>
  <c r="O5855" i="3"/>
  <c r="O5856" i="3"/>
  <c r="O5857" i="3"/>
  <c r="O5858" i="3"/>
  <c r="O5859" i="3"/>
  <c r="O5860" i="3"/>
  <c r="O5861" i="3"/>
  <c r="O5862" i="3"/>
  <c r="O5863" i="3"/>
  <c r="O5864" i="3"/>
  <c r="O5865" i="3"/>
  <c r="O5866" i="3"/>
  <c r="O5867" i="3"/>
  <c r="O5868" i="3"/>
  <c r="O5869" i="3"/>
  <c r="O5870" i="3"/>
  <c r="O5871" i="3"/>
  <c r="O5872" i="3"/>
  <c r="O5873" i="3"/>
  <c r="O5874" i="3"/>
  <c r="O5875" i="3"/>
  <c r="O5876" i="3"/>
  <c r="O5877" i="3"/>
  <c r="O5878" i="3"/>
  <c r="O5879" i="3"/>
  <c r="O5880" i="3"/>
  <c r="O5881" i="3"/>
  <c r="O5882" i="3"/>
  <c r="O5883" i="3"/>
  <c r="O5884" i="3"/>
  <c r="O5885" i="3"/>
  <c r="O5886" i="3"/>
  <c r="O5887" i="3"/>
  <c r="O5888" i="3"/>
  <c r="O5889" i="3"/>
  <c r="O5890" i="3"/>
  <c r="O5891" i="3"/>
  <c r="O5892" i="3"/>
  <c r="O5893" i="3"/>
  <c r="O5894" i="3"/>
  <c r="O5895" i="3"/>
  <c r="O5896" i="3"/>
  <c r="O5897" i="3"/>
  <c r="O5898" i="3"/>
  <c r="O5899" i="3"/>
  <c r="O5900" i="3"/>
  <c r="O5901" i="3"/>
  <c r="O5902" i="3"/>
  <c r="O5903" i="3"/>
  <c r="O5904" i="3"/>
  <c r="O5905" i="3"/>
  <c r="O5906" i="3"/>
  <c r="O5907" i="3"/>
  <c r="O5908" i="3"/>
  <c r="O5909" i="3"/>
  <c r="O5910" i="3"/>
  <c r="O5911" i="3"/>
  <c r="O5912" i="3"/>
  <c r="O5913" i="3"/>
  <c r="O5914" i="3"/>
  <c r="O5915" i="3"/>
  <c r="O5916" i="3"/>
  <c r="O5917" i="3"/>
  <c r="O5918" i="3"/>
  <c r="O5919" i="3"/>
  <c r="O5920" i="3"/>
  <c r="O5921" i="3"/>
  <c r="O5922" i="3"/>
  <c r="O5923" i="3"/>
  <c r="O5924" i="3"/>
  <c r="O5925" i="3"/>
  <c r="O5926" i="3"/>
  <c r="O5927" i="3"/>
  <c r="O5928" i="3"/>
  <c r="O5929" i="3"/>
  <c r="O5930" i="3"/>
  <c r="O5931" i="3"/>
  <c r="O5932" i="3"/>
  <c r="O5933" i="3"/>
  <c r="O5934" i="3"/>
  <c r="O5935" i="3"/>
  <c r="O5936" i="3"/>
  <c r="O5937" i="3"/>
  <c r="O5938" i="3"/>
  <c r="O5939" i="3"/>
  <c r="O5940" i="3"/>
  <c r="O5941" i="3"/>
  <c r="O5942" i="3"/>
  <c r="O5943" i="3"/>
  <c r="O5944" i="3"/>
  <c r="O5945" i="3"/>
  <c r="O5946" i="3"/>
  <c r="O5947" i="3"/>
  <c r="O5948" i="3"/>
  <c r="O5949" i="3"/>
  <c r="O5950" i="3"/>
  <c r="O5951" i="3"/>
  <c r="O5952" i="3"/>
  <c r="O5953" i="3"/>
  <c r="O5954" i="3"/>
  <c r="O5955" i="3"/>
  <c r="O5956" i="3"/>
  <c r="O5957" i="3"/>
  <c r="O5958" i="3"/>
  <c r="O5959" i="3"/>
  <c r="O5960" i="3"/>
  <c r="O5961" i="3"/>
  <c r="O5962" i="3"/>
  <c r="O5963" i="3"/>
  <c r="O5964" i="3"/>
  <c r="O5965" i="3"/>
  <c r="O5966" i="3"/>
  <c r="O5967" i="3"/>
  <c r="O5968" i="3"/>
  <c r="O5969" i="3"/>
  <c r="O5970" i="3"/>
  <c r="O5971" i="3"/>
  <c r="O5972" i="3"/>
  <c r="O5973" i="3"/>
  <c r="O5974" i="3"/>
  <c r="O5975" i="3"/>
  <c r="O5976" i="3"/>
  <c r="O5977" i="3"/>
  <c r="O5978" i="3"/>
  <c r="O5979" i="3"/>
  <c r="O5980" i="3"/>
  <c r="O5981" i="3"/>
  <c r="O5982" i="3"/>
  <c r="O5983" i="3"/>
  <c r="O5984" i="3"/>
  <c r="O5985" i="3"/>
  <c r="O5986" i="3"/>
  <c r="O5987" i="3"/>
  <c r="O5988" i="3"/>
  <c r="O5989" i="3"/>
  <c r="O5990" i="3"/>
  <c r="O5991" i="3"/>
  <c r="O5992" i="3"/>
  <c r="O5993" i="3"/>
  <c r="O5994" i="3"/>
  <c r="O5995" i="3"/>
  <c r="O5996" i="3"/>
  <c r="O5997" i="3"/>
  <c r="O5998" i="3"/>
  <c r="O5999" i="3"/>
  <c r="O6000" i="3"/>
  <c r="O6001" i="3"/>
  <c r="O6002" i="3"/>
  <c r="O6003" i="3"/>
  <c r="O6004" i="3"/>
  <c r="O6005" i="3"/>
  <c r="O6006" i="3"/>
  <c r="O6007" i="3"/>
  <c r="O6008" i="3"/>
  <c r="O6009" i="3"/>
  <c r="O6010" i="3"/>
  <c r="O6011" i="3"/>
  <c r="O6012" i="3"/>
  <c r="O6013" i="3"/>
  <c r="O6014" i="3"/>
  <c r="O6015" i="3"/>
  <c r="O6016" i="3"/>
  <c r="O6017" i="3"/>
  <c r="O6018" i="3"/>
  <c r="O6019" i="3"/>
  <c r="O6020" i="3"/>
  <c r="O6021" i="3"/>
  <c r="O6022" i="3"/>
  <c r="O6023" i="3"/>
  <c r="O6024" i="3"/>
  <c r="O6025" i="3"/>
  <c r="O6026" i="3"/>
  <c r="O6027" i="3"/>
  <c r="O6028" i="3"/>
  <c r="O6029" i="3"/>
  <c r="O6030" i="3"/>
  <c r="O6031" i="3"/>
  <c r="O6032" i="3"/>
  <c r="O6033" i="3"/>
  <c r="O6034" i="3"/>
  <c r="O6035" i="3"/>
  <c r="O6036" i="3"/>
  <c r="O6037" i="3"/>
  <c r="O6038" i="3"/>
  <c r="O6039" i="3"/>
  <c r="O6040" i="3"/>
  <c r="O6041" i="3"/>
  <c r="O6042" i="3"/>
  <c r="O6043" i="3"/>
  <c r="O6044" i="3"/>
  <c r="O6045" i="3"/>
  <c r="O6046" i="3"/>
  <c r="O6047" i="3"/>
  <c r="O6048" i="3"/>
  <c r="O6049" i="3"/>
  <c r="O6050" i="3"/>
  <c r="O6051" i="3"/>
  <c r="O6052" i="3"/>
  <c r="O6053" i="3"/>
  <c r="O6054" i="3"/>
  <c r="O6055" i="3"/>
  <c r="O6056" i="3"/>
  <c r="O6057" i="3"/>
  <c r="O6058" i="3"/>
  <c r="O6059" i="3"/>
  <c r="O6060" i="3"/>
  <c r="O6061" i="3"/>
  <c r="O6062" i="3"/>
  <c r="O6063" i="3"/>
  <c r="O6064" i="3"/>
  <c r="O6065" i="3"/>
  <c r="O6066" i="3"/>
  <c r="O6067" i="3"/>
  <c r="O6068" i="3"/>
  <c r="O6069" i="3"/>
  <c r="O6070" i="3"/>
  <c r="O6071" i="3"/>
  <c r="O6072" i="3"/>
  <c r="O6073" i="3"/>
  <c r="O6074" i="3"/>
  <c r="O6075" i="3"/>
  <c r="O6076" i="3"/>
  <c r="O6077" i="3"/>
  <c r="O6078" i="3"/>
  <c r="O6079" i="3"/>
  <c r="O6080" i="3"/>
  <c r="O6081" i="3"/>
  <c r="O6082" i="3"/>
  <c r="O6083" i="3"/>
  <c r="O6084" i="3"/>
  <c r="O6085" i="3"/>
  <c r="O6086" i="3"/>
  <c r="O6087" i="3"/>
  <c r="O6088" i="3"/>
  <c r="O6089" i="3"/>
  <c r="O6090" i="3"/>
  <c r="O6091" i="3"/>
  <c r="O6092" i="3"/>
  <c r="O6093" i="3"/>
  <c r="O6094" i="3"/>
  <c r="O6095" i="3"/>
  <c r="O6096" i="3"/>
  <c r="O6097" i="3"/>
  <c r="O6098" i="3"/>
  <c r="O6099" i="3"/>
  <c r="O6100" i="3"/>
  <c r="O6101" i="3"/>
  <c r="O6102" i="3"/>
  <c r="O6103" i="3"/>
  <c r="O6104" i="3"/>
  <c r="O6105" i="3"/>
  <c r="O6106" i="3"/>
  <c r="O6107" i="3"/>
  <c r="O6108" i="3"/>
  <c r="O6109" i="3"/>
  <c r="O6110" i="3"/>
  <c r="O6111" i="3"/>
  <c r="O6112" i="3"/>
  <c r="O6113" i="3"/>
  <c r="O6114" i="3"/>
  <c r="O6115" i="3"/>
  <c r="O6116" i="3"/>
  <c r="O6117" i="3"/>
  <c r="O6118" i="3"/>
  <c r="O6119" i="3"/>
  <c r="O6120" i="3"/>
  <c r="O6121" i="3"/>
  <c r="O6122" i="3"/>
  <c r="O6123" i="3"/>
  <c r="O6124" i="3"/>
  <c r="O6125" i="3"/>
  <c r="O6126" i="3"/>
  <c r="O6127" i="3"/>
  <c r="O6128" i="3"/>
  <c r="O6129" i="3"/>
  <c r="O6130" i="3"/>
  <c r="O6131" i="3"/>
  <c r="O6132" i="3"/>
  <c r="O6133" i="3"/>
  <c r="O6134" i="3"/>
  <c r="O6135" i="3"/>
  <c r="O6136" i="3"/>
  <c r="O6137" i="3"/>
  <c r="O6138" i="3"/>
  <c r="O6139" i="3"/>
  <c r="O6140" i="3"/>
  <c r="O6141" i="3"/>
  <c r="O6142" i="3"/>
  <c r="O6143" i="3"/>
  <c r="O6144" i="3"/>
  <c r="O6145" i="3"/>
  <c r="O6146" i="3"/>
  <c r="O6147" i="3"/>
  <c r="O6148" i="3"/>
  <c r="O6149" i="3"/>
  <c r="O6150" i="3"/>
  <c r="O6151" i="3"/>
  <c r="O6152" i="3"/>
  <c r="O6153" i="3"/>
  <c r="O6154" i="3"/>
  <c r="O6155" i="3"/>
  <c r="O6156" i="3"/>
  <c r="O6157" i="3"/>
  <c r="O6158" i="3"/>
  <c r="O6159" i="3"/>
  <c r="O6221" i="3"/>
  <c r="O6222" i="3"/>
  <c r="O6223" i="3"/>
  <c r="O6224" i="3"/>
  <c r="O6225" i="3"/>
  <c r="O6226" i="3"/>
  <c r="O6227" i="3"/>
  <c r="O6228" i="3"/>
  <c r="O6229" i="3"/>
  <c r="O6230" i="3"/>
  <c r="O6231" i="3"/>
  <c r="O6232" i="3"/>
  <c r="O6233" i="3"/>
  <c r="O6234" i="3"/>
  <c r="O6235" i="3"/>
  <c r="O6236" i="3"/>
  <c r="O6237" i="3"/>
  <c r="O6238" i="3"/>
  <c r="O6239" i="3"/>
  <c r="O6240" i="3"/>
  <c r="O6241" i="3"/>
  <c r="O6242" i="3"/>
  <c r="O6243" i="3"/>
  <c r="O6244" i="3"/>
  <c r="O6245" i="3"/>
  <c r="O6246" i="3"/>
  <c r="O6247" i="3"/>
  <c r="O6248" i="3"/>
  <c r="O6249" i="3"/>
  <c r="O6250" i="3"/>
  <c r="O6251" i="3"/>
  <c r="O6252" i="3"/>
  <c r="O6253" i="3"/>
  <c r="O6254" i="3"/>
  <c r="O6255" i="3"/>
  <c r="O6256" i="3"/>
  <c r="O6257" i="3"/>
  <c r="O6258" i="3"/>
  <c r="O6259" i="3"/>
  <c r="O6260" i="3"/>
  <c r="O6261" i="3"/>
  <c r="O6262" i="3"/>
  <c r="O6263" i="3"/>
  <c r="O6264" i="3"/>
  <c r="O6265" i="3"/>
  <c r="O6266" i="3"/>
  <c r="O6267" i="3"/>
  <c r="O6268" i="3"/>
  <c r="O6269" i="3"/>
  <c r="O6270" i="3"/>
  <c r="O6271" i="3"/>
  <c r="O6272" i="3"/>
  <c r="O6273" i="3"/>
  <c r="O6274" i="3"/>
  <c r="O6275" i="3"/>
  <c r="O6276" i="3"/>
  <c r="O6277" i="3"/>
  <c r="O6278" i="3"/>
  <c r="O6279" i="3"/>
  <c r="O6280" i="3"/>
  <c r="O6281" i="3"/>
  <c r="O6282" i="3"/>
  <c r="O6283" i="3"/>
  <c r="O6284" i="3"/>
  <c r="O6285" i="3"/>
  <c r="O6286" i="3"/>
  <c r="O6287" i="3"/>
  <c r="O6288" i="3"/>
  <c r="O6289" i="3"/>
  <c r="O6290" i="3"/>
  <c r="O6291" i="3"/>
  <c r="O6292" i="3"/>
  <c r="O6293" i="3"/>
  <c r="O6294" i="3"/>
  <c r="O6295" i="3"/>
  <c r="O6296" i="3"/>
  <c r="O6297" i="3"/>
  <c r="O6298" i="3"/>
  <c r="O6299" i="3"/>
  <c r="O6300" i="3"/>
  <c r="O6301" i="3"/>
  <c r="O6302" i="3"/>
  <c r="O6303" i="3"/>
  <c r="O6304" i="3"/>
  <c r="O6305" i="3"/>
  <c r="O6306" i="3"/>
  <c r="O6307" i="3"/>
  <c r="O6308" i="3"/>
  <c r="O6309" i="3"/>
  <c r="O6310" i="3"/>
  <c r="O6311" i="3"/>
  <c r="O6312" i="3"/>
  <c r="O6313" i="3"/>
  <c r="O6314" i="3"/>
  <c r="O6315" i="3"/>
  <c r="O6316" i="3"/>
  <c r="O6317" i="3"/>
  <c r="O6318" i="3"/>
  <c r="O6319" i="3"/>
  <c r="O6320" i="3"/>
  <c r="O6321" i="3"/>
  <c r="O6322" i="3"/>
  <c r="O6323" i="3"/>
  <c r="O6324" i="3"/>
  <c r="O6325" i="3"/>
  <c r="O6326" i="3"/>
  <c r="O6327" i="3"/>
  <c r="O6328" i="3"/>
  <c r="O6329" i="3"/>
  <c r="O6330" i="3"/>
  <c r="O6331" i="3"/>
  <c r="O6332" i="3"/>
  <c r="O6333" i="3"/>
  <c r="O6334" i="3"/>
  <c r="O6335" i="3"/>
  <c r="O6336" i="3"/>
  <c r="O6337" i="3"/>
  <c r="O6338" i="3"/>
  <c r="O6339" i="3"/>
  <c r="O6340" i="3"/>
  <c r="O6341" i="3"/>
  <c r="O6342" i="3"/>
  <c r="O6343" i="3"/>
  <c r="O6344" i="3"/>
  <c r="O6345" i="3"/>
  <c r="O6346" i="3"/>
  <c r="O6347" i="3"/>
  <c r="O6348" i="3"/>
  <c r="O6349" i="3"/>
  <c r="O6350" i="3"/>
  <c r="O6351" i="3"/>
  <c r="O6352" i="3"/>
  <c r="O6353" i="3"/>
  <c r="O6354" i="3"/>
  <c r="O6355" i="3"/>
  <c r="O6356" i="3"/>
  <c r="O6357" i="3"/>
  <c r="O6358" i="3"/>
  <c r="O6359" i="3"/>
  <c r="O6360" i="3"/>
  <c r="O6361" i="3"/>
  <c r="O6362" i="3"/>
  <c r="O6363" i="3"/>
  <c r="O6364" i="3"/>
  <c r="O6365" i="3"/>
  <c r="O6366" i="3"/>
  <c r="O6367" i="3"/>
  <c r="O6368" i="3"/>
  <c r="O6369" i="3"/>
  <c r="O6370" i="3"/>
  <c r="O6371" i="3"/>
  <c r="O6372" i="3"/>
  <c r="O6373" i="3"/>
  <c r="O6374" i="3"/>
  <c r="O6375" i="3"/>
  <c r="O6376" i="3"/>
  <c r="O6377" i="3"/>
  <c r="O6378" i="3"/>
  <c r="O6379" i="3"/>
  <c r="O6380" i="3"/>
  <c r="O6381" i="3"/>
  <c r="O6382" i="3"/>
  <c r="O6383" i="3"/>
  <c r="O6384" i="3"/>
  <c r="O6385" i="3"/>
  <c r="O6386" i="3"/>
  <c r="O6387" i="3"/>
  <c r="O6389" i="3"/>
  <c r="O6388" i="3"/>
  <c r="O6390" i="3"/>
  <c r="O6391" i="3"/>
  <c r="O6392" i="3"/>
  <c r="O6393" i="3"/>
  <c r="O6394" i="3"/>
  <c r="O6395" i="3"/>
  <c r="O6396" i="3"/>
  <c r="O6397" i="3"/>
  <c r="O6398" i="3"/>
  <c r="O6399" i="3"/>
  <c r="O6400" i="3"/>
  <c r="O6401" i="3"/>
  <c r="O6402" i="3"/>
  <c r="O6403" i="3"/>
  <c r="O6404" i="3"/>
  <c r="O6405" i="3"/>
  <c r="O6406" i="3"/>
  <c r="O6407" i="3"/>
  <c r="O6408" i="3"/>
  <c r="O6409" i="3"/>
  <c r="O6410" i="3"/>
  <c r="O6411" i="3"/>
  <c r="O6412" i="3"/>
  <c r="O6413" i="3"/>
  <c r="O6414" i="3"/>
  <c r="O6415" i="3"/>
  <c r="O6416" i="3"/>
  <c r="O6417" i="3"/>
  <c r="O6418" i="3"/>
  <c r="O6419" i="3"/>
  <c r="O6420" i="3"/>
  <c r="O6421" i="3"/>
  <c r="O3" i="3"/>
  <c r="O2" i="3"/>
  <c r="H21" i="10"/>
  <c r="I21" i="10"/>
  <c r="H22" i="10"/>
  <c r="L20" i="10"/>
  <c r="R2" i="3"/>
  <c r="M64" i="8" l="1"/>
  <c r="M57" i="8"/>
  <c r="U64" i="8"/>
  <c r="U57" i="8"/>
  <c r="AK57" i="8"/>
  <c r="AK64" i="8"/>
  <c r="AC57" i="8"/>
  <c r="AC64" i="8"/>
  <c r="E64" i="8"/>
  <c r="E57" i="8"/>
  <c r="B28" i="11"/>
  <c r="Z6" i="17"/>
  <c r="B56" i="11"/>
  <c r="B46" i="11"/>
  <c r="B32" i="11"/>
  <c r="B16" i="11"/>
  <c r="B54" i="11"/>
  <c r="B44" i="11"/>
  <c r="H29" i="10"/>
  <c r="L31" i="10"/>
  <c r="I23" i="10"/>
  <c r="I30" i="10"/>
  <c r="K28" i="10"/>
  <c r="J24" i="10"/>
  <c r="L32" i="10"/>
  <c r="H27" i="10"/>
  <c r="K29" i="10"/>
  <c r="H31" i="10"/>
  <c r="L23" i="10"/>
  <c r="J27" i="10"/>
  <c r="K31" i="10"/>
  <c r="K23" i="10"/>
  <c r="K30" i="10"/>
  <c r="L28" i="10"/>
  <c r="L29" i="10"/>
  <c r="I25" i="10"/>
  <c r="H32" i="10"/>
  <c r="L30" i="10"/>
  <c r="K26" i="10"/>
  <c r="I24" i="10"/>
  <c r="L26" i="10"/>
  <c r="I29" i="10"/>
  <c r="J31" i="10"/>
  <c r="I28" i="10"/>
  <c r="K24" i="10"/>
  <c r="I27" i="10"/>
  <c r="J29" i="10"/>
  <c r="I31" i="10"/>
  <c r="J23" i="10"/>
  <c r="J30" i="10"/>
  <c r="H28" i="10"/>
  <c r="K25" i="10"/>
  <c r="J32" i="10"/>
  <c r="I26" i="10"/>
  <c r="H24" i="10"/>
  <c r="L27" i="10"/>
  <c r="J25" i="10"/>
  <c r="E43" i="8" s="1"/>
  <c r="K32" i="10"/>
  <c r="J26" i="10"/>
  <c r="L24" i="10"/>
  <c r="K27" i="10"/>
  <c r="L25" i="10"/>
  <c r="H23" i="10"/>
  <c r="H30" i="10"/>
  <c r="J28" i="10"/>
  <c r="H25" i="10"/>
  <c r="I32" i="10"/>
  <c r="H26" i="10"/>
  <c r="J20" i="10"/>
  <c r="AK8" i="8" s="1"/>
  <c r="H20" i="10"/>
  <c r="I20" i="10"/>
  <c r="AB8" i="8" s="1"/>
  <c r="B66" i="11"/>
  <c r="B52" i="11"/>
  <c r="B36" i="11"/>
  <c r="B26" i="11"/>
  <c r="B12" i="11"/>
  <c r="B64" i="11"/>
  <c r="B48" i="11"/>
  <c r="B34" i="11"/>
  <c r="B24" i="11"/>
  <c r="B8" i="11"/>
  <c r="C8" i="11"/>
  <c r="A1" i="11"/>
  <c r="H25" i="4"/>
  <c r="D26" i="4"/>
  <c r="G25" i="4"/>
  <c r="B20" i="11"/>
  <c r="B67" i="11"/>
  <c r="B63" i="11"/>
  <c r="B59" i="11"/>
  <c r="B55" i="11"/>
  <c r="B51" i="11"/>
  <c r="B47" i="11"/>
  <c r="B43" i="11"/>
  <c r="B39" i="11"/>
  <c r="B35" i="11"/>
  <c r="B31" i="11"/>
  <c r="B27" i="11"/>
  <c r="B23" i="11"/>
  <c r="B19" i="11"/>
  <c r="B15" i="11"/>
  <c r="B11" i="11"/>
  <c r="B60" i="11"/>
  <c r="B40" i="11"/>
  <c r="B62" i="11"/>
  <c r="B58" i="11"/>
  <c r="B50" i="11"/>
  <c r="B42" i="11"/>
  <c r="B38" i="11"/>
  <c r="B30" i="11"/>
  <c r="B22" i="11"/>
  <c r="B18" i="11"/>
  <c r="B65" i="11"/>
  <c r="B61" i="11"/>
  <c r="B57" i="11"/>
  <c r="B53" i="11"/>
  <c r="B49" i="11"/>
  <c r="B45" i="11"/>
  <c r="B41" i="11"/>
  <c r="B37" i="11"/>
  <c r="B33" i="11"/>
  <c r="B29" i="11"/>
  <c r="B25" i="11"/>
  <c r="B21" i="11"/>
  <c r="B17" i="11"/>
  <c r="B13" i="11"/>
  <c r="AL7" i="8"/>
  <c r="V7" i="8"/>
  <c r="AD7" i="8"/>
  <c r="F7" i="8"/>
  <c r="AA15" i="8"/>
  <c r="N7" i="8"/>
  <c r="D5" i="10"/>
  <c r="H6" i="10" s="1"/>
  <c r="L21" i="10"/>
  <c r="K20" i="10"/>
  <c r="J21" i="10"/>
  <c r="K22" i="10"/>
  <c r="J22" i="10"/>
  <c r="K21" i="10"/>
  <c r="AB15" i="8"/>
  <c r="I22" i="10"/>
  <c r="L22" i="10"/>
  <c r="I99" i="8"/>
  <c r="V64" i="8" l="1"/>
  <c r="V57" i="8"/>
  <c r="AL64" i="8"/>
  <c r="AL57" i="8"/>
  <c r="N64" i="8"/>
  <c r="N57" i="8"/>
  <c r="F64" i="8"/>
  <c r="F57" i="8"/>
  <c r="AD57" i="8"/>
  <c r="AD64" i="8"/>
  <c r="C13" i="11"/>
  <c r="Z7" i="17"/>
  <c r="D8" i="8"/>
  <c r="AJ8" i="8"/>
  <c r="T8" i="8"/>
  <c r="L8" i="8"/>
  <c r="AD8" i="8"/>
  <c r="G26" i="4"/>
  <c r="D27" i="4"/>
  <c r="H26" i="4"/>
  <c r="G7" i="8"/>
  <c r="G50" i="8" s="1"/>
  <c r="W7" i="8"/>
  <c r="AE7" i="8"/>
  <c r="AM7" i="8"/>
  <c r="S15" i="8"/>
  <c r="K15" i="8"/>
  <c r="G15" i="8"/>
  <c r="AI15" i="8"/>
  <c r="G43" i="8"/>
  <c r="D43" i="8"/>
  <c r="C15" i="8"/>
  <c r="D36" i="8"/>
  <c r="AD15" i="8"/>
  <c r="U15" i="8"/>
  <c r="D29" i="8"/>
  <c r="E50" i="8"/>
  <c r="C50" i="8"/>
  <c r="D22" i="8"/>
  <c r="E22" i="8"/>
  <c r="E5" i="10"/>
  <c r="H5" i="10" s="1"/>
  <c r="E6" i="10"/>
  <c r="I5" i="10" s="1"/>
  <c r="E8" i="10"/>
  <c r="K5" i="10" s="1"/>
  <c r="E7" i="10"/>
  <c r="J5" i="10" s="1"/>
  <c r="E9" i="10"/>
  <c r="L5" i="10" s="1"/>
  <c r="M8" i="8"/>
  <c r="T15" i="8"/>
  <c r="C36" i="8"/>
  <c r="D50" i="8"/>
  <c r="C8" i="8"/>
  <c r="K8" i="8"/>
  <c r="AI8" i="8"/>
  <c r="AA8" i="8"/>
  <c r="S8" i="8"/>
  <c r="C29" i="8"/>
  <c r="U8" i="8"/>
  <c r="L15" i="8"/>
  <c r="F36" i="8"/>
  <c r="AC8" i="8"/>
  <c r="D15" i="8"/>
  <c r="AJ15" i="8"/>
  <c r="E8" i="8"/>
  <c r="C22" i="8"/>
  <c r="O7" i="8"/>
  <c r="AM64" i="8" l="1"/>
  <c r="AM57" i="8"/>
  <c r="G29" i="8"/>
  <c r="W64" i="8"/>
  <c r="W57" i="8"/>
  <c r="O64" i="8"/>
  <c r="O57" i="8"/>
  <c r="AE64" i="8"/>
  <c r="AE57" i="8"/>
  <c r="G64" i="8"/>
  <c r="G57" i="8"/>
  <c r="G8" i="8"/>
  <c r="C18" i="11"/>
  <c r="Z8" i="17"/>
  <c r="W8" i="8"/>
  <c r="F8" i="8"/>
  <c r="AL8" i="8"/>
  <c r="V8" i="8"/>
  <c r="N8" i="8"/>
  <c r="AE15" i="8"/>
  <c r="W15" i="8"/>
  <c r="H27" i="4"/>
  <c r="G27" i="4"/>
  <c r="D28" i="4"/>
  <c r="AK15" i="8"/>
  <c r="AN7" i="8"/>
  <c r="AM15" i="8"/>
  <c r="X7" i="8"/>
  <c r="O8" i="8"/>
  <c r="O15" i="8"/>
  <c r="AM8" i="8"/>
  <c r="AF7" i="8"/>
  <c r="AE8" i="8"/>
  <c r="H7" i="8"/>
  <c r="E36" i="8"/>
  <c r="G36" i="8"/>
  <c r="F29" i="8"/>
  <c r="F43" i="8"/>
  <c r="N15" i="8"/>
  <c r="AL15" i="8"/>
  <c r="F15" i="8"/>
  <c r="V15" i="8"/>
  <c r="E15" i="8"/>
  <c r="G22" i="8"/>
  <c r="F22" i="8"/>
  <c r="E29" i="8"/>
  <c r="AC15" i="8"/>
  <c r="C43" i="8"/>
  <c r="M15" i="8"/>
  <c r="F50" i="8"/>
  <c r="P7" i="8"/>
  <c r="AF57" i="8" l="1"/>
  <c r="AF64" i="8"/>
  <c r="AN64" i="8"/>
  <c r="AN57" i="8"/>
  <c r="X64" i="8"/>
  <c r="X57" i="8"/>
  <c r="P57" i="8"/>
  <c r="P64" i="8"/>
  <c r="H64" i="8"/>
  <c r="H57" i="8"/>
  <c r="C23" i="11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7" i="4"/>
  <c r="D29" i="4"/>
  <c r="G28" i="4"/>
  <c r="H28" i="4"/>
  <c r="D23" i="12"/>
  <c r="J23" i="12" s="1"/>
  <c r="D22" i="12"/>
  <c r="D12" i="12"/>
  <c r="E12" i="12" s="1"/>
  <c r="F12" i="12" s="1"/>
  <c r="G12" i="12" s="1"/>
  <c r="D13" i="12"/>
  <c r="E13" i="12" s="1"/>
  <c r="F13" i="12" s="1"/>
  <c r="G13" i="12" s="1"/>
  <c r="D11" i="12"/>
  <c r="J11" i="12" s="1"/>
  <c r="I12" i="12"/>
  <c r="K8" i="11" s="1"/>
  <c r="I13" i="12"/>
  <c r="K13" i="11" s="1"/>
  <c r="I16" i="12"/>
  <c r="K18" i="11" s="1"/>
  <c r="I17" i="12"/>
  <c r="I18" i="12"/>
  <c r="I19" i="12"/>
  <c r="I22" i="12"/>
  <c r="I23" i="12"/>
  <c r="I26" i="12"/>
  <c r="I27" i="12"/>
  <c r="I28" i="12"/>
  <c r="I29" i="12"/>
  <c r="I32" i="12"/>
  <c r="I33" i="12"/>
  <c r="J33" i="12"/>
  <c r="K33" i="12"/>
  <c r="L33" i="12"/>
  <c r="M33" i="12"/>
  <c r="I11" i="12"/>
  <c r="K3" i="11" s="1"/>
  <c r="K23" i="11" l="1"/>
  <c r="C28" i="11"/>
  <c r="K28" i="11" s="1"/>
  <c r="I28" i="4"/>
  <c r="H29" i="4"/>
  <c r="D30" i="4"/>
  <c r="G29" i="4"/>
  <c r="E11" i="12"/>
  <c r="F11" i="12" s="1"/>
  <c r="G11" i="12" s="1"/>
  <c r="J12" i="12"/>
  <c r="J22" i="12"/>
  <c r="E22" i="12"/>
  <c r="E23" i="12"/>
  <c r="C33" i="11" l="1"/>
  <c r="K33" i="11" s="1"/>
  <c r="I29" i="4"/>
  <c r="G30" i="4"/>
  <c r="D31" i="4"/>
  <c r="H30" i="4"/>
  <c r="F23" i="12"/>
  <c r="K23" i="12"/>
  <c r="K22" i="12"/>
  <c r="F22" i="12"/>
  <c r="C4" i="8"/>
  <c r="G58" i="8" l="1"/>
  <c r="H65" i="8"/>
  <c r="H58" i="8"/>
  <c r="C58" i="8"/>
  <c r="I58" i="8" s="1"/>
  <c r="D65" i="8"/>
  <c r="C65" i="8"/>
  <c r="I65" i="8" s="1"/>
  <c r="E58" i="8"/>
  <c r="F65" i="8"/>
  <c r="G65" i="8"/>
  <c r="D58" i="8"/>
  <c r="E65" i="8"/>
  <c r="F58" i="8"/>
  <c r="C38" i="11"/>
  <c r="K38" i="11" s="1"/>
  <c r="I30" i="4"/>
  <c r="H31" i="4"/>
  <c r="G31" i="4"/>
  <c r="D32" i="4"/>
  <c r="K4" i="8"/>
  <c r="G23" i="12"/>
  <c r="L23" i="12"/>
  <c r="G22" i="12"/>
  <c r="L22" i="12"/>
  <c r="G32" i="12"/>
  <c r="F32" i="12"/>
  <c r="E32" i="12"/>
  <c r="D32" i="12"/>
  <c r="G29" i="12"/>
  <c r="F29" i="12"/>
  <c r="E29" i="12"/>
  <c r="D29" i="12"/>
  <c r="G28" i="12"/>
  <c r="F28" i="12"/>
  <c r="E28" i="12"/>
  <c r="D28" i="12"/>
  <c r="G27" i="12"/>
  <c r="F27" i="12"/>
  <c r="E27" i="12"/>
  <c r="D27" i="12"/>
  <c r="G26" i="12"/>
  <c r="F26" i="12"/>
  <c r="E26" i="12"/>
  <c r="D26" i="12"/>
  <c r="G17" i="12"/>
  <c r="F17" i="12"/>
  <c r="E17" i="12"/>
  <c r="D17" i="12"/>
  <c r="G16" i="12"/>
  <c r="F16" i="12"/>
  <c r="E16" i="12"/>
  <c r="D16" i="12"/>
  <c r="D19" i="12"/>
  <c r="E19" i="12"/>
  <c r="F19" i="12"/>
  <c r="G19" i="12"/>
  <c r="G18" i="12"/>
  <c r="F18" i="12"/>
  <c r="E18" i="12"/>
  <c r="D18" i="12"/>
  <c r="AA9" i="12"/>
  <c r="U9" i="12"/>
  <c r="O9" i="12"/>
  <c r="I9" i="12"/>
  <c r="D9" i="12"/>
  <c r="AA6" i="12"/>
  <c r="U6" i="12"/>
  <c r="O6" i="12"/>
  <c r="I6" i="12"/>
  <c r="BT26" i="9"/>
  <c r="V6421" i="3"/>
  <c r="R6421" i="3"/>
  <c r="P6421" i="3"/>
  <c r="N6421" i="3"/>
  <c r="M6421" i="3"/>
  <c r="L6421" i="3"/>
  <c r="V6420" i="3"/>
  <c r="R6420" i="3"/>
  <c r="P6420" i="3"/>
  <c r="N6420" i="3"/>
  <c r="M6420" i="3"/>
  <c r="L6420" i="3"/>
  <c r="V6419" i="3"/>
  <c r="R6419" i="3"/>
  <c r="P6419" i="3"/>
  <c r="N6419" i="3"/>
  <c r="M6419" i="3"/>
  <c r="L6419" i="3"/>
  <c r="V6418" i="3"/>
  <c r="R6418" i="3"/>
  <c r="P6418" i="3"/>
  <c r="N6418" i="3"/>
  <c r="M6418" i="3"/>
  <c r="L6418" i="3"/>
  <c r="V6417" i="3"/>
  <c r="R6417" i="3"/>
  <c r="P6417" i="3"/>
  <c r="N6417" i="3"/>
  <c r="M6417" i="3"/>
  <c r="L6417" i="3"/>
  <c r="V6416" i="3"/>
  <c r="R6416" i="3"/>
  <c r="P6416" i="3"/>
  <c r="N6416" i="3"/>
  <c r="M6416" i="3"/>
  <c r="L6416" i="3"/>
  <c r="V6415" i="3"/>
  <c r="R6415" i="3"/>
  <c r="P6415" i="3"/>
  <c r="N6415" i="3"/>
  <c r="M6415" i="3"/>
  <c r="L6415" i="3"/>
  <c r="V6414" i="3"/>
  <c r="R6414" i="3"/>
  <c r="P6414" i="3"/>
  <c r="N6414" i="3"/>
  <c r="M6414" i="3"/>
  <c r="L6414" i="3"/>
  <c r="V6413" i="3"/>
  <c r="R6413" i="3"/>
  <c r="P6413" i="3"/>
  <c r="N6413" i="3"/>
  <c r="M6413" i="3"/>
  <c r="L6413" i="3"/>
  <c r="V6412" i="3"/>
  <c r="R6412" i="3"/>
  <c r="P6412" i="3"/>
  <c r="N6412" i="3"/>
  <c r="M6412" i="3"/>
  <c r="L6412" i="3"/>
  <c r="V6411" i="3"/>
  <c r="R6411" i="3"/>
  <c r="P6411" i="3"/>
  <c r="N6411" i="3"/>
  <c r="M6411" i="3"/>
  <c r="L6411" i="3"/>
  <c r="V6410" i="3"/>
  <c r="R6410" i="3"/>
  <c r="P6410" i="3"/>
  <c r="N6410" i="3"/>
  <c r="M6410" i="3"/>
  <c r="L6410" i="3"/>
  <c r="V6409" i="3"/>
  <c r="R6409" i="3"/>
  <c r="P6409" i="3"/>
  <c r="N6409" i="3"/>
  <c r="M6409" i="3"/>
  <c r="L6409" i="3"/>
  <c r="V6408" i="3"/>
  <c r="R6408" i="3"/>
  <c r="P6408" i="3"/>
  <c r="N6408" i="3"/>
  <c r="M6408" i="3"/>
  <c r="L6408" i="3"/>
  <c r="V6407" i="3"/>
  <c r="R6407" i="3"/>
  <c r="P6407" i="3"/>
  <c r="N6407" i="3"/>
  <c r="M6407" i="3"/>
  <c r="L6407" i="3"/>
  <c r="V6406" i="3"/>
  <c r="R6406" i="3"/>
  <c r="P6406" i="3"/>
  <c r="N6406" i="3"/>
  <c r="M6406" i="3"/>
  <c r="L6406" i="3"/>
  <c r="V6405" i="3"/>
  <c r="R6405" i="3"/>
  <c r="P6405" i="3"/>
  <c r="N6405" i="3"/>
  <c r="M6405" i="3"/>
  <c r="L6405" i="3"/>
  <c r="V6404" i="3"/>
  <c r="R6404" i="3"/>
  <c r="P6404" i="3"/>
  <c r="N6404" i="3"/>
  <c r="M6404" i="3"/>
  <c r="L6404" i="3"/>
  <c r="V6403" i="3"/>
  <c r="R6403" i="3"/>
  <c r="P6403" i="3"/>
  <c r="N6403" i="3"/>
  <c r="M6403" i="3"/>
  <c r="L6403" i="3"/>
  <c r="V6402" i="3"/>
  <c r="R6402" i="3"/>
  <c r="P6402" i="3"/>
  <c r="N6402" i="3"/>
  <c r="M6402" i="3"/>
  <c r="L6402" i="3"/>
  <c r="V6401" i="3"/>
  <c r="R6401" i="3"/>
  <c r="P6401" i="3"/>
  <c r="N6401" i="3"/>
  <c r="M6401" i="3"/>
  <c r="L6401" i="3"/>
  <c r="V6400" i="3"/>
  <c r="R6400" i="3"/>
  <c r="P6400" i="3"/>
  <c r="N6400" i="3"/>
  <c r="M6400" i="3"/>
  <c r="L6400" i="3"/>
  <c r="V6399" i="3"/>
  <c r="R6399" i="3"/>
  <c r="P6399" i="3"/>
  <c r="N6399" i="3"/>
  <c r="M6399" i="3"/>
  <c r="L6399" i="3"/>
  <c r="V6398" i="3"/>
  <c r="R6398" i="3"/>
  <c r="P6398" i="3"/>
  <c r="N6398" i="3"/>
  <c r="M6398" i="3"/>
  <c r="L6398" i="3"/>
  <c r="V6397" i="3"/>
  <c r="R6397" i="3"/>
  <c r="P6397" i="3"/>
  <c r="N6397" i="3"/>
  <c r="M6397" i="3"/>
  <c r="L6397" i="3"/>
  <c r="V6396" i="3"/>
  <c r="R6396" i="3"/>
  <c r="P6396" i="3"/>
  <c r="N6396" i="3"/>
  <c r="M6396" i="3"/>
  <c r="L6396" i="3"/>
  <c r="V6395" i="3"/>
  <c r="R6395" i="3"/>
  <c r="P6395" i="3"/>
  <c r="N6395" i="3"/>
  <c r="M6395" i="3"/>
  <c r="L6395" i="3"/>
  <c r="V6394" i="3"/>
  <c r="R6394" i="3"/>
  <c r="P6394" i="3"/>
  <c r="N6394" i="3"/>
  <c r="M6394" i="3"/>
  <c r="L6394" i="3"/>
  <c r="V6393" i="3"/>
  <c r="R6393" i="3"/>
  <c r="P6393" i="3"/>
  <c r="N6393" i="3"/>
  <c r="M6393" i="3"/>
  <c r="L6393" i="3"/>
  <c r="V6392" i="3"/>
  <c r="R6392" i="3"/>
  <c r="P6392" i="3"/>
  <c r="N6392" i="3"/>
  <c r="M6392" i="3"/>
  <c r="L6392" i="3"/>
  <c r="V6391" i="3"/>
  <c r="R6391" i="3"/>
  <c r="P6391" i="3"/>
  <c r="N6391" i="3"/>
  <c r="M6391" i="3"/>
  <c r="L6391" i="3"/>
  <c r="V6390" i="3"/>
  <c r="R6390" i="3"/>
  <c r="P6390" i="3"/>
  <c r="N6390" i="3"/>
  <c r="M6390" i="3"/>
  <c r="L6390" i="3"/>
  <c r="V6388" i="3"/>
  <c r="R6388" i="3"/>
  <c r="P6388" i="3"/>
  <c r="N6388" i="3"/>
  <c r="M6388" i="3"/>
  <c r="L6388" i="3"/>
  <c r="V6389" i="3"/>
  <c r="R6389" i="3"/>
  <c r="P6389" i="3"/>
  <c r="N6389" i="3"/>
  <c r="M6389" i="3"/>
  <c r="L6389" i="3"/>
  <c r="V6387" i="3"/>
  <c r="R6387" i="3"/>
  <c r="P6387" i="3"/>
  <c r="N6387" i="3"/>
  <c r="M6387" i="3"/>
  <c r="L6387" i="3"/>
  <c r="V6386" i="3"/>
  <c r="R6386" i="3"/>
  <c r="P6386" i="3"/>
  <c r="N6386" i="3"/>
  <c r="M6386" i="3"/>
  <c r="L6386" i="3"/>
  <c r="V6385" i="3"/>
  <c r="R6385" i="3"/>
  <c r="P6385" i="3"/>
  <c r="N6385" i="3"/>
  <c r="M6385" i="3"/>
  <c r="L6385" i="3"/>
  <c r="V6384" i="3"/>
  <c r="R6384" i="3"/>
  <c r="P6384" i="3"/>
  <c r="N6384" i="3"/>
  <c r="M6384" i="3"/>
  <c r="L6384" i="3"/>
  <c r="V6383" i="3"/>
  <c r="R6383" i="3"/>
  <c r="P6383" i="3"/>
  <c r="N6383" i="3"/>
  <c r="M6383" i="3"/>
  <c r="L6383" i="3"/>
  <c r="V6382" i="3"/>
  <c r="R6382" i="3"/>
  <c r="P6382" i="3"/>
  <c r="N6382" i="3"/>
  <c r="M6382" i="3"/>
  <c r="L6382" i="3"/>
  <c r="V6381" i="3"/>
  <c r="R6381" i="3"/>
  <c r="P6381" i="3"/>
  <c r="N6381" i="3"/>
  <c r="M6381" i="3"/>
  <c r="L6381" i="3"/>
  <c r="V6380" i="3"/>
  <c r="R6380" i="3"/>
  <c r="P6380" i="3"/>
  <c r="N6380" i="3"/>
  <c r="M6380" i="3"/>
  <c r="L6380" i="3"/>
  <c r="V6379" i="3"/>
  <c r="R6379" i="3"/>
  <c r="P6379" i="3"/>
  <c r="N6379" i="3"/>
  <c r="M6379" i="3"/>
  <c r="L6379" i="3"/>
  <c r="V6378" i="3"/>
  <c r="R6378" i="3"/>
  <c r="P6378" i="3"/>
  <c r="N6378" i="3"/>
  <c r="M6378" i="3"/>
  <c r="L6378" i="3"/>
  <c r="V6377" i="3"/>
  <c r="R6377" i="3"/>
  <c r="P6377" i="3"/>
  <c r="N6377" i="3"/>
  <c r="M6377" i="3"/>
  <c r="L6377" i="3"/>
  <c r="V6376" i="3"/>
  <c r="R6376" i="3"/>
  <c r="P6376" i="3"/>
  <c r="N6376" i="3"/>
  <c r="M6376" i="3"/>
  <c r="L6376" i="3"/>
  <c r="V6375" i="3"/>
  <c r="R6375" i="3"/>
  <c r="P6375" i="3"/>
  <c r="N6375" i="3"/>
  <c r="M6375" i="3"/>
  <c r="L6375" i="3"/>
  <c r="V6374" i="3"/>
  <c r="R6374" i="3"/>
  <c r="P6374" i="3"/>
  <c r="N6374" i="3"/>
  <c r="M6374" i="3"/>
  <c r="L6374" i="3"/>
  <c r="V6373" i="3"/>
  <c r="R6373" i="3"/>
  <c r="P6373" i="3"/>
  <c r="N6373" i="3"/>
  <c r="M6373" i="3"/>
  <c r="L6373" i="3"/>
  <c r="V6372" i="3"/>
  <c r="R6372" i="3"/>
  <c r="P6372" i="3"/>
  <c r="N6372" i="3"/>
  <c r="M6372" i="3"/>
  <c r="L6372" i="3"/>
  <c r="V6371" i="3"/>
  <c r="R6371" i="3"/>
  <c r="P6371" i="3"/>
  <c r="N6371" i="3"/>
  <c r="M6371" i="3"/>
  <c r="L6371" i="3"/>
  <c r="V6370" i="3"/>
  <c r="R6370" i="3"/>
  <c r="P6370" i="3"/>
  <c r="N6370" i="3"/>
  <c r="M6370" i="3"/>
  <c r="L6370" i="3"/>
  <c r="V6369" i="3"/>
  <c r="R6369" i="3"/>
  <c r="P6369" i="3"/>
  <c r="N6369" i="3"/>
  <c r="M6369" i="3"/>
  <c r="L6369" i="3"/>
  <c r="V6368" i="3"/>
  <c r="R6368" i="3"/>
  <c r="P6368" i="3"/>
  <c r="N6368" i="3"/>
  <c r="M6368" i="3"/>
  <c r="L6368" i="3"/>
  <c r="V6367" i="3"/>
  <c r="R6367" i="3"/>
  <c r="P6367" i="3"/>
  <c r="N6367" i="3"/>
  <c r="M6367" i="3"/>
  <c r="L6367" i="3"/>
  <c r="V6366" i="3"/>
  <c r="R6366" i="3"/>
  <c r="P6366" i="3"/>
  <c r="N6366" i="3"/>
  <c r="M6366" i="3"/>
  <c r="L6366" i="3"/>
  <c r="V6365" i="3"/>
  <c r="R6365" i="3"/>
  <c r="P6365" i="3"/>
  <c r="N6365" i="3"/>
  <c r="M6365" i="3"/>
  <c r="L6365" i="3"/>
  <c r="V6364" i="3"/>
  <c r="R6364" i="3"/>
  <c r="P6364" i="3"/>
  <c r="N6364" i="3"/>
  <c r="M6364" i="3"/>
  <c r="L6364" i="3"/>
  <c r="V6363" i="3"/>
  <c r="R6363" i="3"/>
  <c r="P6363" i="3"/>
  <c r="N6363" i="3"/>
  <c r="M6363" i="3"/>
  <c r="L6363" i="3"/>
  <c r="V6362" i="3"/>
  <c r="R6362" i="3"/>
  <c r="P6362" i="3"/>
  <c r="N6362" i="3"/>
  <c r="M6362" i="3"/>
  <c r="L6362" i="3"/>
  <c r="V6361" i="3"/>
  <c r="R6361" i="3"/>
  <c r="P6361" i="3"/>
  <c r="N6361" i="3"/>
  <c r="M6361" i="3"/>
  <c r="L6361" i="3"/>
  <c r="V6360" i="3"/>
  <c r="R6360" i="3"/>
  <c r="P6360" i="3"/>
  <c r="N6360" i="3"/>
  <c r="M6360" i="3"/>
  <c r="L6360" i="3"/>
  <c r="V6359" i="3"/>
  <c r="R6359" i="3"/>
  <c r="P6359" i="3"/>
  <c r="N6359" i="3"/>
  <c r="M6359" i="3"/>
  <c r="L6359" i="3"/>
  <c r="V6358" i="3"/>
  <c r="R6358" i="3"/>
  <c r="P6358" i="3"/>
  <c r="N6358" i="3"/>
  <c r="M6358" i="3"/>
  <c r="L6358" i="3"/>
  <c r="V6357" i="3"/>
  <c r="R6357" i="3"/>
  <c r="P6357" i="3"/>
  <c r="N6357" i="3"/>
  <c r="M6357" i="3"/>
  <c r="L6357" i="3"/>
  <c r="V6356" i="3"/>
  <c r="R6356" i="3"/>
  <c r="P6356" i="3"/>
  <c r="N6356" i="3"/>
  <c r="M6356" i="3"/>
  <c r="L6356" i="3"/>
  <c r="V6355" i="3"/>
  <c r="R6355" i="3"/>
  <c r="P6355" i="3"/>
  <c r="N6355" i="3"/>
  <c r="M6355" i="3"/>
  <c r="L6355" i="3"/>
  <c r="V6354" i="3"/>
  <c r="R6354" i="3"/>
  <c r="P6354" i="3"/>
  <c r="N6354" i="3"/>
  <c r="M6354" i="3"/>
  <c r="L6354" i="3"/>
  <c r="V6353" i="3"/>
  <c r="R6353" i="3"/>
  <c r="P6353" i="3"/>
  <c r="N6353" i="3"/>
  <c r="M6353" i="3"/>
  <c r="L6353" i="3"/>
  <c r="V6352" i="3"/>
  <c r="R6352" i="3"/>
  <c r="P6352" i="3"/>
  <c r="N6352" i="3"/>
  <c r="M6352" i="3"/>
  <c r="L6352" i="3"/>
  <c r="V6351" i="3"/>
  <c r="R6351" i="3"/>
  <c r="P6351" i="3"/>
  <c r="N6351" i="3"/>
  <c r="M6351" i="3"/>
  <c r="L6351" i="3"/>
  <c r="V6350" i="3"/>
  <c r="R6350" i="3"/>
  <c r="P6350" i="3"/>
  <c r="N6350" i="3"/>
  <c r="M6350" i="3"/>
  <c r="L6350" i="3"/>
  <c r="V6349" i="3"/>
  <c r="R6349" i="3"/>
  <c r="P6349" i="3"/>
  <c r="N6349" i="3"/>
  <c r="M6349" i="3"/>
  <c r="L6349" i="3"/>
  <c r="V6348" i="3"/>
  <c r="R6348" i="3"/>
  <c r="P6348" i="3"/>
  <c r="N6348" i="3"/>
  <c r="M6348" i="3"/>
  <c r="L6348" i="3"/>
  <c r="V6347" i="3"/>
  <c r="R6347" i="3"/>
  <c r="P6347" i="3"/>
  <c r="N6347" i="3"/>
  <c r="M6347" i="3"/>
  <c r="L6347" i="3"/>
  <c r="V6346" i="3"/>
  <c r="R6346" i="3"/>
  <c r="P6346" i="3"/>
  <c r="N6346" i="3"/>
  <c r="M6346" i="3"/>
  <c r="L6346" i="3"/>
  <c r="V6345" i="3"/>
  <c r="R6345" i="3"/>
  <c r="P6345" i="3"/>
  <c r="N6345" i="3"/>
  <c r="M6345" i="3"/>
  <c r="L6345" i="3"/>
  <c r="V6344" i="3"/>
  <c r="R6344" i="3"/>
  <c r="P6344" i="3"/>
  <c r="N6344" i="3"/>
  <c r="M6344" i="3"/>
  <c r="L6344" i="3"/>
  <c r="V6343" i="3"/>
  <c r="R6343" i="3"/>
  <c r="P6343" i="3"/>
  <c r="N6343" i="3"/>
  <c r="M6343" i="3"/>
  <c r="L6343" i="3"/>
  <c r="V6342" i="3"/>
  <c r="R6342" i="3"/>
  <c r="P6342" i="3"/>
  <c r="N6342" i="3"/>
  <c r="M6342" i="3"/>
  <c r="L6342" i="3"/>
  <c r="V6341" i="3"/>
  <c r="R6341" i="3"/>
  <c r="P6341" i="3"/>
  <c r="N6341" i="3"/>
  <c r="M6341" i="3"/>
  <c r="L6341" i="3"/>
  <c r="V6340" i="3"/>
  <c r="R6340" i="3"/>
  <c r="P6340" i="3"/>
  <c r="N6340" i="3"/>
  <c r="M6340" i="3"/>
  <c r="L6340" i="3"/>
  <c r="V6339" i="3"/>
  <c r="R6339" i="3"/>
  <c r="P6339" i="3"/>
  <c r="N6339" i="3"/>
  <c r="M6339" i="3"/>
  <c r="L6339" i="3"/>
  <c r="V6338" i="3"/>
  <c r="R6338" i="3"/>
  <c r="P6338" i="3"/>
  <c r="N6338" i="3"/>
  <c r="M6338" i="3"/>
  <c r="L6338" i="3"/>
  <c r="V6337" i="3"/>
  <c r="R6337" i="3"/>
  <c r="P6337" i="3"/>
  <c r="N6337" i="3"/>
  <c r="M6337" i="3"/>
  <c r="L6337" i="3"/>
  <c r="V6336" i="3"/>
  <c r="R6336" i="3"/>
  <c r="P6336" i="3"/>
  <c r="N6336" i="3"/>
  <c r="M6336" i="3"/>
  <c r="L6336" i="3"/>
  <c r="V6335" i="3"/>
  <c r="R6335" i="3"/>
  <c r="P6335" i="3"/>
  <c r="N6335" i="3"/>
  <c r="M6335" i="3"/>
  <c r="L6335" i="3"/>
  <c r="V6334" i="3"/>
  <c r="R6334" i="3"/>
  <c r="P6334" i="3"/>
  <c r="N6334" i="3"/>
  <c r="M6334" i="3"/>
  <c r="L6334" i="3"/>
  <c r="V6333" i="3"/>
  <c r="R6333" i="3"/>
  <c r="P6333" i="3"/>
  <c r="N6333" i="3"/>
  <c r="M6333" i="3"/>
  <c r="L6333" i="3"/>
  <c r="V6332" i="3"/>
  <c r="R6332" i="3"/>
  <c r="P6332" i="3"/>
  <c r="N6332" i="3"/>
  <c r="M6332" i="3"/>
  <c r="L6332" i="3"/>
  <c r="V6331" i="3"/>
  <c r="R6331" i="3"/>
  <c r="P6331" i="3"/>
  <c r="N6331" i="3"/>
  <c r="M6331" i="3"/>
  <c r="L6331" i="3"/>
  <c r="V6330" i="3"/>
  <c r="R6330" i="3"/>
  <c r="P6330" i="3"/>
  <c r="N6330" i="3"/>
  <c r="M6330" i="3"/>
  <c r="L6330" i="3"/>
  <c r="V6329" i="3"/>
  <c r="R6329" i="3"/>
  <c r="P6329" i="3"/>
  <c r="N6329" i="3"/>
  <c r="M6329" i="3"/>
  <c r="L6329" i="3"/>
  <c r="V6328" i="3"/>
  <c r="R6328" i="3"/>
  <c r="P6328" i="3"/>
  <c r="N6328" i="3"/>
  <c r="M6328" i="3"/>
  <c r="L6328" i="3"/>
  <c r="V6327" i="3"/>
  <c r="R6327" i="3"/>
  <c r="P6327" i="3"/>
  <c r="N6327" i="3"/>
  <c r="M6327" i="3"/>
  <c r="L6327" i="3"/>
  <c r="V6326" i="3"/>
  <c r="R6326" i="3"/>
  <c r="P6326" i="3"/>
  <c r="N6326" i="3"/>
  <c r="M6326" i="3"/>
  <c r="L6326" i="3"/>
  <c r="V6325" i="3"/>
  <c r="R6325" i="3"/>
  <c r="P6325" i="3"/>
  <c r="N6325" i="3"/>
  <c r="M6325" i="3"/>
  <c r="L6325" i="3"/>
  <c r="V6324" i="3"/>
  <c r="R6324" i="3"/>
  <c r="P6324" i="3"/>
  <c r="N6324" i="3"/>
  <c r="M6324" i="3"/>
  <c r="L6324" i="3"/>
  <c r="V6323" i="3"/>
  <c r="R6323" i="3"/>
  <c r="P6323" i="3"/>
  <c r="N6323" i="3"/>
  <c r="M6323" i="3"/>
  <c r="L6323" i="3"/>
  <c r="V6322" i="3"/>
  <c r="R6322" i="3"/>
  <c r="P6322" i="3"/>
  <c r="N6322" i="3"/>
  <c r="M6322" i="3"/>
  <c r="L6322" i="3"/>
  <c r="V6321" i="3"/>
  <c r="R6321" i="3"/>
  <c r="P6321" i="3"/>
  <c r="N6321" i="3"/>
  <c r="M6321" i="3"/>
  <c r="L6321" i="3"/>
  <c r="V6320" i="3"/>
  <c r="R6320" i="3"/>
  <c r="P6320" i="3"/>
  <c r="N6320" i="3"/>
  <c r="M6320" i="3"/>
  <c r="L6320" i="3"/>
  <c r="V6319" i="3"/>
  <c r="R6319" i="3"/>
  <c r="P6319" i="3"/>
  <c r="N6319" i="3"/>
  <c r="M6319" i="3"/>
  <c r="L6319" i="3"/>
  <c r="V6318" i="3"/>
  <c r="R6318" i="3"/>
  <c r="P6318" i="3"/>
  <c r="N6318" i="3"/>
  <c r="M6318" i="3"/>
  <c r="L6318" i="3"/>
  <c r="V6317" i="3"/>
  <c r="R6317" i="3"/>
  <c r="P6317" i="3"/>
  <c r="N6317" i="3"/>
  <c r="M6317" i="3"/>
  <c r="L6317" i="3"/>
  <c r="V6316" i="3"/>
  <c r="R6316" i="3"/>
  <c r="P6316" i="3"/>
  <c r="N6316" i="3"/>
  <c r="M6316" i="3"/>
  <c r="L6316" i="3"/>
  <c r="V6315" i="3"/>
  <c r="R6315" i="3"/>
  <c r="P6315" i="3"/>
  <c r="N6315" i="3"/>
  <c r="M6315" i="3"/>
  <c r="L6315" i="3"/>
  <c r="V6314" i="3"/>
  <c r="R6314" i="3"/>
  <c r="P6314" i="3"/>
  <c r="N6314" i="3"/>
  <c r="M6314" i="3"/>
  <c r="L6314" i="3"/>
  <c r="V6313" i="3"/>
  <c r="R6313" i="3"/>
  <c r="P6313" i="3"/>
  <c r="N6313" i="3"/>
  <c r="M6313" i="3"/>
  <c r="L6313" i="3"/>
  <c r="V6312" i="3"/>
  <c r="R6312" i="3"/>
  <c r="P6312" i="3"/>
  <c r="N6312" i="3"/>
  <c r="M6312" i="3"/>
  <c r="L6312" i="3"/>
  <c r="V6311" i="3"/>
  <c r="R6311" i="3"/>
  <c r="P6311" i="3"/>
  <c r="N6311" i="3"/>
  <c r="M6311" i="3"/>
  <c r="L6311" i="3"/>
  <c r="V6310" i="3"/>
  <c r="R6310" i="3"/>
  <c r="P6310" i="3"/>
  <c r="N6310" i="3"/>
  <c r="M6310" i="3"/>
  <c r="L6310" i="3"/>
  <c r="V6309" i="3"/>
  <c r="R6309" i="3"/>
  <c r="P6309" i="3"/>
  <c r="N6309" i="3"/>
  <c r="M6309" i="3"/>
  <c r="L6309" i="3"/>
  <c r="V6308" i="3"/>
  <c r="R6308" i="3"/>
  <c r="P6308" i="3"/>
  <c r="N6308" i="3"/>
  <c r="M6308" i="3"/>
  <c r="L6308" i="3"/>
  <c r="V6307" i="3"/>
  <c r="R6307" i="3"/>
  <c r="P6307" i="3"/>
  <c r="N6307" i="3"/>
  <c r="M6307" i="3"/>
  <c r="L6307" i="3"/>
  <c r="V6306" i="3"/>
  <c r="R6306" i="3"/>
  <c r="P6306" i="3"/>
  <c r="N6306" i="3"/>
  <c r="M6306" i="3"/>
  <c r="L6306" i="3"/>
  <c r="V6305" i="3"/>
  <c r="R6305" i="3"/>
  <c r="P6305" i="3"/>
  <c r="N6305" i="3"/>
  <c r="M6305" i="3"/>
  <c r="L6305" i="3"/>
  <c r="V6304" i="3"/>
  <c r="R6304" i="3"/>
  <c r="P6304" i="3"/>
  <c r="N6304" i="3"/>
  <c r="M6304" i="3"/>
  <c r="L6304" i="3"/>
  <c r="V6303" i="3"/>
  <c r="R6303" i="3"/>
  <c r="P6303" i="3"/>
  <c r="N6303" i="3"/>
  <c r="M6303" i="3"/>
  <c r="L6303" i="3"/>
  <c r="V6302" i="3"/>
  <c r="R6302" i="3"/>
  <c r="P6302" i="3"/>
  <c r="N6302" i="3"/>
  <c r="M6302" i="3"/>
  <c r="L6302" i="3"/>
  <c r="V6301" i="3"/>
  <c r="R6301" i="3"/>
  <c r="P6301" i="3"/>
  <c r="N6301" i="3"/>
  <c r="M6301" i="3"/>
  <c r="L6301" i="3"/>
  <c r="V6300" i="3"/>
  <c r="R6300" i="3"/>
  <c r="P6300" i="3"/>
  <c r="N6300" i="3"/>
  <c r="M6300" i="3"/>
  <c r="L6300" i="3"/>
  <c r="V6299" i="3"/>
  <c r="R6299" i="3"/>
  <c r="P6299" i="3"/>
  <c r="N6299" i="3"/>
  <c r="M6299" i="3"/>
  <c r="L6299" i="3"/>
  <c r="V6298" i="3"/>
  <c r="R6298" i="3"/>
  <c r="P6298" i="3"/>
  <c r="N6298" i="3"/>
  <c r="M6298" i="3"/>
  <c r="L6298" i="3"/>
  <c r="V6297" i="3"/>
  <c r="R6297" i="3"/>
  <c r="P6297" i="3"/>
  <c r="N6297" i="3"/>
  <c r="M6297" i="3"/>
  <c r="L6297" i="3"/>
  <c r="V6296" i="3"/>
  <c r="R6296" i="3"/>
  <c r="P6296" i="3"/>
  <c r="N6296" i="3"/>
  <c r="M6296" i="3"/>
  <c r="L6296" i="3"/>
  <c r="V6295" i="3"/>
  <c r="R6295" i="3"/>
  <c r="P6295" i="3"/>
  <c r="N6295" i="3"/>
  <c r="M6295" i="3"/>
  <c r="L6295" i="3"/>
  <c r="V6294" i="3"/>
  <c r="R6294" i="3"/>
  <c r="P6294" i="3"/>
  <c r="N6294" i="3"/>
  <c r="M6294" i="3"/>
  <c r="L6294" i="3"/>
  <c r="V6293" i="3"/>
  <c r="R6293" i="3"/>
  <c r="P6293" i="3"/>
  <c r="N6293" i="3"/>
  <c r="M6293" i="3"/>
  <c r="L6293" i="3"/>
  <c r="V6292" i="3"/>
  <c r="R6292" i="3"/>
  <c r="P6292" i="3"/>
  <c r="N6292" i="3"/>
  <c r="M6292" i="3"/>
  <c r="L6292" i="3"/>
  <c r="V6291" i="3"/>
  <c r="R6291" i="3"/>
  <c r="P6291" i="3"/>
  <c r="N6291" i="3"/>
  <c r="M6291" i="3"/>
  <c r="L6291" i="3"/>
  <c r="V6290" i="3"/>
  <c r="R6290" i="3"/>
  <c r="P6290" i="3"/>
  <c r="N6290" i="3"/>
  <c r="M6290" i="3"/>
  <c r="L6290" i="3"/>
  <c r="V6289" i="3"/>
  <c r="R6289" i="3"/>
  <c r="P6289" i="3"/>
  <c r="N6289" i="3"/>
  <c r="M6289" i="3"/>
  <c r="L6289" i="3"/>
  <c r="V6288" i="3"/>
  <c r="R6288" i="3"/>
  <c r="P6288" i="3"/>
  <c r="N6288" i="3"/>
  <c r="M6288" i="3"/>
  <c r="L6288" i="3"/>
  <c r="V6287" i="3"/>
  <c r="R6287" i="3"/>
  <c r="P6287" i="3"/>
  <c r="N6287" i="3"/>
  <c r="M6287" i="3"/>
  <c r="L6287" i="3"/>
  <c r="V6286" i="3"/>
  <c r="R6286" i="3"/>
  <c r="P6286" i="3"/>
  <c r="N6286" i="3"/>
  <c r="M6286" i="3"/>
  <c r="L6286" i="3"/>
  <c r="V6285" i="3"/>
  <c r="R6285" i="3"/>
  <c r="P6285" i="3"/>
  <c r="N6285" i="3"/>
  <c r="M6285" i="3"/>
  <c r="L6285" i="3"/>
  <c r="V6284" i="3"/>
  <c r="R6284" i="3"/>
  <c r="P6284" i="3"/>
  <c r="N6284" i="3"/>
  <c r="M6284" i="3"/>
  <c r="L6284" i="3"/>
  <c r="V6283" i="3"/>
  <c r="R6283" i="3"/>
  <c r="P6283" i="3"/>
  <c r="N6283" i="3"/>
  <c r="M6283" i="3"/>
  <c r="L6283" i="3"/>
  <c r="V6282" i="3"/>
  <c r="R6282" i="3"/>
  <c r="P6282" i="3"/>
  <c r="N6282" i="3"/>
  <c r="M6282" i="3"/>
  <c r="L6282" i="3"/>
  <c r="V6281" i="3"/>
  <c r="R6281" i="3"/>
  <c r="P6281" i="3"/>
  <c r="N6281" i="3"/>
  <c r="M6281" i="3"/>
  <c r="L6281" i="3"/>
  <c r="V6280" i="3"/>
  <c r="R6280" i="3"/>
  <c r="P6280" i="3"/>
  <c r="N6280" i="3"/>
  <c r="M6280" i="3"/>
  <c r="L6280" i="3"/>
  <c r="V6279" i="3"/>
  <c r="R6279" i="3"/>
  <c r="P6279" i="3"/>
  <c r="N6279" i="3"/>
  <c r="M6279" i="3"/>
  <c r="L6279" i="3"/>
  <c r="V6278" i="3"/>
  <c r="R6278" i="3"/>
  <c r="P6278" i="3"/>
  <c r="N6278" i="3"/>
  <c r="M6278" i="3"/>
  <c r="L6278" i="3"/>
  <c r="V6277" i="3"/>
  <c r="R6277" i="3"/>
  <c r="P6277" i="3"/>
  <c r="N6277" i="3"/>
  <c r="M6277" i="3"/>
  <c r="L6277" i="3"/>
  <c r="V6276" i="3"/>
  <c r="R6276" i="3"/>
  <c r="P6276" i="3"/>
  <c r="N6276" i="3"/>
  <c r="M6276" i="3"/>
  <c r="L6276" i="3"/>
  <c r="V6275" i="3"/>
  <c r="R6275" i="3"/>
  <c r="P6275" i="3"/>
  <c r="N6275" i="3"/>
  <c r="M6275" i="3"/>
  <c r="L6275" i="3"/>
  <c r="V6274" i="3"/>
  <c r="R6274" i="3"/>
  <c r="P6274" i="3"/>
  <c r="N6274" i="3"/>
  <c r="M6274" i="3"/>
  <c r="L6274" i="3"/>
  <c r="V6273" i="3"/>
  <c r="R6273" i="3"/>
  <c r="P6273" i="3"/>
  <c r="N6273" i="3"/>
  <c r="M6273" i="3"/>
  <c r="L6273" i="3"/>
  <c r="V6272" i="3"/>
  <c r="R6272" i="3"/>
  <c r="P6272" i="3"/>
  <c r="N6272" i="3"/>
  <c r="M6272" i="3"/>
  <c r="L6272" i="3"/>
  <c r="V6271" i="3"/>
  <c r="R6271" i="3"/>
  <c r="P6271" i="3"/>
  <c r="N6271" i="3"/>
  <c r="M6271" i="3"/>
  <c r="L6271" i="3"/>
  <c r="V6270" i="3"/>
  <c r="R6270" i="3"/>
  <c r="P6270" i="3"/>
  <c r="N6270" i="3"/>
  <c r="M6270" i="3"/>
  <c r="L6270" i="3"/>
  <c r="V6269" i="3"/>
  <c r="R6269" i="3"/>
  <c r="P6269" i="3"/>
  <c r="N6269" i="3"/>
  <c r="M6269" i="3"/>
  <c r="L6269" i="3"/>
  <c r="V6268" i="3"/>
  <c r="R6268" i="3"/>
  <c r="P6268" i="3"/>
  <c r="N6268" i="3"/>
  <c r="M6268" i="3"/>
  <c r="L6268" i="3"/>
  <c r="V6267" i="3"/>
  <c r="R6267" i="3"/>
  <c r="P6267" i="3"/>
  <c r="N6267" i="3"/>
  <c r="M6267" i="3"/>
  <c r="L6267" i="3"/>
  <c r="V6266" i="3"/>
  <c r="R6266" i="3"/>
  <c r="P6266" i="3"/>
  <c r="N6266" i="3"/>
  <c r="M6266" i="3"/>
  <c r="L6266" i="3"/>
  <c r="V6265" i="3"/>
  <c r="R6265" i="3"/>
  <c r="P6265" i="3"/>
  <c r="N6265" i="3"/>
  <c r="M6265" i="3"/>
  <c r="L6265" i="3"/>
  <c r="V6264" i="3"/>
  <c r="R6264" i="3"/>
  <c r="P6264" i="3"/>
  <c r="N6264" i="3"/>
  <c r="M6264" i="3"/>
  <c r="L6264" i="3"/>
  <c r="V6263" i="3"/>
  <c r="R6263" i="3"/>
  <c r="P6263" i="3"/>
  <c r="N6263" i="3"/>
  <c r="M6263" i="3"/>
  <c r="L6263" i="3"/>
  <c r="V6262" i="3"/>
  <c r="R6262" i="3"/>
  <c r="P6262" i="3"/>
  <c r="N6262" i="3"/>
  <c r="M6262" i="3"/>
  <c r="L6262" i="3"/>
  <c r="V6261" i="3"/>
  <c r="R6261" i="3"/>
  <c r="P6261" i="3"/>
  <c r="N6261" i="3"/>
  <c r="M6261" i="3"/>
  <c r="L6261" i="3"/>
  <c r="V6260" i="3"/>
  <c r="R6260" i="3"/>
  <c r="P6260" i="3"/>
  <c r="N6260" i="3"/>
  <c r="M6260" i="3"/>
  <c r="L6260" i="3"/>
  <c r="V6259" i="3"/>
  <c r="R6259" i="3"/>
  <c r="P6259" i="3"/>
  <c r="N6259" i="3"/>
  <c r="M6259" i="3"/>
  <c r="L6259" i="3"/>
  <c r="V6258" i="3"/>
  <c r="R6258" i="3"/>
  <c r="P6258" i="3"/>
  <c r="N6258" i="3"/>
  <c r="M6258" i="3"/>
  <c r="L6258" i="3"/>
  <c r="V6257" i="3"/>
  <c r="R6257" i="3"/>
  <c r="P6257" i="3"/>
  <c r="N6257" i="3"/>
  <c r="M6257" i="3"/>
  <c r="L6257" i="3"/>
  <c r="V6256" i="3"/>
  <c r="R6256" i="3"/>
  <c r="P6256" i="3"/>
  <c r="N6256" i="3"/>
  <c r="M6256" i="3"/>
  <c r="L6256" i="3"/>
  <c r="V6255" i="3"/>
  <c r="R6255" i="3"/>
  <c r="P6255" i="3"/>
  <c r="N6255" i="3"/>
  <c r="M6255" i="3"/>
  <c r="L6255" i="3"/>
  <c r="V6254" i="3"/>
  <c r="R6254" i="3"/>
  <c r="P6254" i="3"/>
  <c r="N6254" i="3"/>
  <c r="M6254" i="3"/>
  <c r="L6254" i="3"/>
  <c r="V6253" i="3"/>
  <c r="R6253" i="3"/>
  <c r="P6253" i="3"/>
  <c r="N6253" i="3"/>
  <c r="M6253" i="3"/>
  <c r="L6253" i="3"/>
  <c r="V6252" i="3"/>
  <c r="R6252" i="3"/>
  <c r="P6252" i="3"/>
  <c r="N6252" i="3"/>
  <c r="M6252" i="3"/>
  <c r="L6252" i="3"/>
  <c r="V6251" i="3"/>
  <c r="R6251" i="3"/>
  <c r="P6251" i="3"/>
  <c r="N6251" i="3"/>
  <c r="M6251" i="3"/>
  <c r="L6251" i="3"/>
  <c r="V6250" i="3"/>
  <c r="R6250" i="3"/>
  <c r="P6250" i="3"/>
  <c r="N6250" i="3"/>
  <c r="M6250" i="3"/>
  <c r="L6250" i="3"/>
  <c r="V6249" i="3"/>
  <c r="R6249" i="3"/>
  <c r="P6249" i="3"/>
  <c r="N6249" i="3"/>
  <c r="M6249" i="3"/>
  <c r="L6249" i="3"/>
  <c r="V6248" i="3"/>
  <c r="R6248" i="3"/>
  <c r="P6248" i="3"/>
  <c r="N6248" i="3"/>
  <c r="M6248" i="3"/>
  <c r="L6248" i="3"/>
  <c r="V6247" i="3"/>
  <c r="R6247" i="3"/>
  <c r="P6247" i="3"/>
  <c r="N6247" i="3"/>
  <c r="M6247" i="3"/>
  <c r="L6247" i="3"/>
  <c r="V6246" i="3"/>
  <c r="R6246" i="3"/>
  <c r="P6246" i="3"/>
  <c r="N6246" i="3"/>
  <c r="M6246" i="3"/>
  <c r="L6246" i="3"/>
  <c r="V6245" i="3"/>
  <c r="R6245" i="3"/>
  <c r="P6245" i="3"/>
  <c r="N6245" i="3"/>
  <c r="M6245" i="3"/>
  <c r="L6245" i="3"/>
  <c r="V6244" i="3"/>
  <c r="R6244" i="3"/>
  <c r="P6244" i="3"/>
  <c r="N6244" i="3"/>
  <c r="M6244" i="3"/>
  <c r="L6244" i="3"/>
  <c r="V6243" i="3"/>
  <c r="R6243" i="3"/>
  <c r="P6243" i="3"/>
  <c r="N6243" i="3"/>
  <c r="M6243" i="3"/>
  <c r="L6243" i="3"/>
  <c r="V6242" i="3"/>
  <c r="R6242" i="3"/>
  <c r="P6242" i="3"/>
  <c r="N6242" i="3"/>
  <c r="M6242" i="3"/>
  <c r="L6242" i="3"/>
  <c r="V6241" i="3"/>
  <c r="R6241" i="3"/>
  <c r="P6241" i="3"/>
  <c r="N6241" i="3"/>
  <c r="M6241" i="3"/>
  <c r="L6241" i="3"/>
  <c r="R6240" i="3"/>
  <c r="P6240" i="3"/>
  <c r="N6240" i="3"/>
  <c r="M6240" i="3"/>
  <c r="L6240" i="3"/>
  <c r="V6239" i="3"/>
  <c r="R6239" i="3"/>
  <c r="P6239" i="3"/>
  <c r="N6239" i="3"/>
  <c r="M6239" i="3"/>
  <c r="L6239" i="3"/>
  <c r="V6238" i="3"/>
  <c r="R6238" i="3"/>
  <c r="P6238" i="3"/>
  <c r="N6238" i="3"/>
  <c r="M6238" i="3"/>
  <c r="L6238" i="3"/>
  <c r="V6237" i="3"/>
  <c r="R6237" i="3"/>
  <c r="P6237" i="3"/>
  <c r="N6237" i="3"/>
  <c r="M6237" i="3"/>
  <c r="L6237" i="3"/>
  <c r="V6236" i="3"/>
  <c r="R6236" i="3"/>
  <c r="P6236" i="3"/>
  <c r="N6236" i="3"/>
  <c r="M6236" i="3"/>
  <c r="L6236" i="3"/>
  <c r="V6235" i="3"/>
  <c r="R6235" i="3"/>
  <c r="P6235" i="3"/>
  <c r="N6235" i="3"/>
  <c r="M6235" i="3"/>
  <c r="L6235" i="3"/>
  <c r="V6234" i="3"/>
  <c r="R6234" i="3"/>
  <c r="P6234" i="3"/>
  <c r="N6234" i="3"/>
  <c r="M6234" i="3"/>
  <c r="L6234" i="3"/>
  <c r="V6233" i="3"/>
  <c r="R6233" i="3"/>
  <c r="P6233" i="3"/>
  <c r="N6233" i="3"/>
  <c r="M6233" i="3"/>
  <c r="L6233" i="3"/>
  <c r="V6232" i="3"/>
  <c r="R6232" i="3"/>
  <c r="P6232" i="3"/>
  <c r="N6232" i="3"/>
  <c r="M6232" i="3"/>
  <c r="L6232" i="3"/>
  <c r="V6231" i="3"/>
  <c r="R6231" i="3"/>
  <c r="P6231" i="3"/>
  <c r="N6231" i="3"/>
  <c r="M6231" i="3"/>
  <c r="L6231" i="3"/>
  <c r="V6230" i="3"/>
  <c r="R6230" i="3"/>
  <c r="P6230" i="3"/>
  <c r="N6230" i="3"/>
  <c r="M6230" i="3"/>
  <c r="L6230" i="3"/>
  <c r="V6229" i="3"/>
  <c r="R6229" i="3"/>
  <c r="P6229" i="3"/>
  <c r="N6229" i="3"/>
  <c r="M6229" i="3"/>
  <c r="L6229" i="3"/>
  <c r="V6228" i="3"/>
  <c r="R6228" i="3"/>
  <c r="P6228" i="3"/>
  <c r="N6228" i="3"/>
  <c r="M6228" i="3"/>
  <c r="L6228" i="3"/>
  <c r="V6227" i="3"/>
  <c r="R6227" i="3"/>
  <c r="P6227" i="3"/>
  <c r="N6227" i="3"/>
  <c r="M6227" i="3"/>
  <c r="L6227" i="3"/>
  <c r="V6226" i="3"/>
  <c r="R6226" i="3"/>
  <c r="P6226" i="3"/>
  <c r="N6226" i="3"/>
  <c r="M6226" i="3"/>
  <c r="L6226" i="3"/>
  <c r="V6225" i="3"/>
  <c r="R6225" i="3"/>
  <c r="P6225" i="3"/>
  <c r="N6225" i="3"/>
  <c r="M6225" i="3"/>
  <c r="L6225" i="3"/>
  <c r="V6224" i="3"/>
  <c r="R6224" i="3"/>
  <c r="P6224" i="3"/>
  <c r="N6224" i="3"/>
  <c r="M6224" i="3"/>
  <c r="L6224" i="3"/>
  <c r="V6223" i="3"/>
  <c r="R6223" i="3"/>
  <c r="P6223" i="3"/>
  <c r="N6223" i="3"/>
  <c r="M6223" i="3"/>
  <c r="L6223" i="3"/>
  <c r="V6222" i="3"/>
  <c r="R6222" i="3"/>
  <c r="P6222" i="3"/>
  <c r="N6222" i="3"/>
  <c r="M6222" i="3"/>
  <c r="L6222" i="3"/>
  <c r="V6221" i="3"/>
  <c r="R6221" i="3"/>
  <c r="P6221" i="3"/>
  <c r="N6221" i="3"/>
  <c r="M6221" i="3"/>
  <c r="L6221" i="3"/>
  <c r="V6159" i="3"/>
  <c r="R6159" i="3"/>
  <c r="P6159" i="3"/>
  <c r="N6159" i="3"/>
  <c r="M6159" i="3"/>
  <c r="L6159" i="3"/>
  <c r="V6158" i="3"/>
  <c r="R6158" i="3"/>
  <c r="P6158" i="3"/>
  <c r="N6158" i="3"/>
  <c r="M6158" i="3"/>
  <c r="L6158" i="3"/>
  <c r="V6157" i="3"/>
  <c r="R6157" i="3"/>
  <c r="P6157" i="3"/>
  <c r="N6157" i="3"/>
  <c r="M6157" i="3"/>
  <c r="L6157" i="3"/>
  <c r="V6156" i="3"/>
  <c r="R6156" i="3"/>
  <c r="P6156" i="3"/>
  <c r="N6156" i="3"/>
  <c r="M6156" i="3"/>
  <c r="L6156" i="3"/>
  <c r="V6155" i="3"/>
  <c r="R6155" i="3"/>
  <c r="P6155" i="3"/>
  <c r="N6155" i="3"/>
  <c r="M6155" i="3"/>
  <c r="L6155" i="3"/>
  <c r="V6154" i="3"/>
  <c r="R6154" i="3"/>
  <c r="P6154" i="3"/>
  <c r="N6154" i="3"/>
  <c r="M6154" i="3"/>
  <c r="L6154" i="3"/>
  <c r="V6153" i="3"/>
  <c r="R6153" i="3"/>
  <c r="P6153" i="3"/>
  <c r="N6153" i="3"/>
  <c r="M6153" i="3"/>
  <c r="L6153" i="3"/>
  <c r="V6152" i="3"/>
  <c r="R6152" i="3"/>
  <c r="P6152" i="3"/>
  <c r="N6152" i="3"/>
  <c r="M6152" i="3"/>
  <c r="L6152" i="3"/>
  <c r="V6151" i="3"/>
  <c r="R6151" i="3"/>
  <c r="P6151" i="3"/>
  <c r="N6151" i="3"/>
  <c r="M6151" i="3"/>
  <c r="L6151" i="3"/>
  <c r="V6150" i="3"/>
  <c r="R6150" i="3"/>
  <c r="P6150" i="3"/>
  <c r="N6150" i="3"/>
  <c r="M6150" i="3"/>
  <c r="L6150" i="3"/>
  <c r="V6149" i="3"/>
  <c r="R6149" i="3"/>
  <c r="P6149" i="3"/>
  <c r="N6149" i="3"/>
  <c r="M6149" i="3"/>
  <c r="L6149" i="3"/>
  <c r="V6148" i="3"/>
  <c r="R6148" i="3"/>
  <c r="P6148" i="3"/>
  <c r="N6148" i="3"/>
  <c r="M6148" i="3"/>
  <c r="L6148" i="3"/>
  <c r="V6147" i="3"/>
  <c r="R6147" i="3"/>
  <c r="P6147" i="3"/>
  <c r="N6147" i="3"/>
  <c r="M6147" i="3"/>
  <c r="L6147" i="3"/>
  <c r="V6146" i="3"/>
  <c r="R6146" i="3"/>
  <c r="P6146" i="3"/>
  <c r="N6146" i="3"/>
  <c r="M6146" i="3"/>
  <c r="L6146" i="3"/>
  <c r="V6145" i="3"/>
  <c r="R6145" i="3"/>
  <c r="P6145" i="3"/>
  <c r="N6145" i="3"/>
  <c r="M6145" i="3"/>
  <c r="L6145" i="3"/>
  <c r="R6144" i="3"/>
  <c r="P6144" i="3"/>
  <c r="N6144" i="3"/>
  <c r="M6144" i="3"/>
  <c r="L6144" i="3"/>
  <c r="V6143" i="3"/>
  <c r="R6143" i="3"/>
  <c r="P6143" i="3"/>
  <c r="N6143" i="3"/>
  <c r="M6143" i="3"/>
  <c r="L6143" i="3"/>
  <c r="V6142" i="3"/>
  <c r="R6142" i="3"/>
  <c r="P6142" i="3"/>
  <c r="N6142" i="3"/>
  <c r="M6142" i="3"/>
  <c r="L6142" i="3"/>
  <c r="V6141" i="3"/>
  <c r="R6141" i="3"/>
  <c r="P6141" i="3"/>
  <c r="N6141" i="3"/>
  <c r="M6141" i="3"/>
  <c r="L6141" i="3"/>
  <c r="V6140" i="3"/>
  <c r="R6140" i="3"/>
  <c r="P6140" i="3"/>
  <c r="N6140" i="3"/>
  <c r="M6140" i="3"/>
  <c r="L6140" i="3"/>
  <c r="V6139" i="3"/>
  <c r="R6139" i="3"/>
  <c r="P6139" i="3"/>
  <c r="N6139" i="3"/>
  <c r="M6139" i="3"/>
  <c r="L6139" i="3"/>
  <c r="V6138" i="3"/>
  <c r="R6138" i="3"/>
  <c r="P6138" i="3"/>
  <c r="N6138" i="3"/>
  <c r="M6138" i="3"/>
  <c r="L6138" i="3"/>
  <c r="V6137" i="3"/>
  <c r="R6137" i="3"/>
  <c r="P6137" i="3"/>
  <c r="N6137" i="3"/>
  <c r="M6137" i="3"/>
  <c r="L6137" i="3"/>
  <c r="V6136" i="3"/>
  <c r="R6136" i="3"/>
  <c r="P6136" i="3"/>
  <c r="N6136" i="3"/>
  <c r="M6136" i="3"/>
  <c r="L6136" i="3"/>
  <c r="V6135" i="3"/>
  <c r="R6135" i="3"/>
  <c r="P6135" i="3"/>
  <c r="N6135" i="3"/>
  <c r="M6135" i="3"/>
  <c r="L6135" i="3"/>
  <c r="V6134" i="3"/>
  <c r="R6134" i="3"/>
  <c r="P6134" i="3"/>
  <c r="N6134" i="3"/>
  <c r="M6134" i="3"/>
  <c r="L6134" i="3"/>
  <c r="V6133" i="3"/>
  <c r="R6133" i="3"/>
  <c r="P6133" i="3"/>
  <c r="N6133" i="3"/>
  <c r="M6133" i="3"/>
  <c r="L6133" i="3"/>
  <c r="V6132" i="3"/>
  <c r="R6132" i="3"/>
  <c r="P6132" i="3"/>
  <c r="N6132" i="3"/>
  <c r="M6132" i="3"/>
  <c r="L6132" i="3"/>
  <c r="V6131" i="3"/>
  <c r="R6131" i="3"/>
  <c r="P6131" i="3"/>
  <c r="N6131" i="3"/>
  <c r="M6131" i="3"/>
  <c r="L6131" i="3"/>
  <c r="V6130" i="3"/>
  <c r="R6130" i="3"/>
  <c r="P6130" i="3"/>
  <c r="N6130" i="3"/>
  <c r="M6130" i="3"/>
  <c r="L6130" i="3"/>
  <c r="V6129" i="3"/>
  <c r="R6129" i="3"/>
  <c r="P6129" i="3"/>
  <c r="N6129" i="3"/>
  <c r="M6129" i="3"/>
  <c r="L6129" i="3"/>
  <c r="V6128" i="3"/>
  <c r="R6128" i="3"/>
  <c r="P6128" i="3"/>
  <c r="N6128" i="3"/>
  <c r="M6128" i="3"/>
  <c r="L6128" i="3"/>
  <c r="V6127" i="3"/>
  <c r="R6127" i="3"/>
  <c r="P6127" i="3"/>
  <c r="N6127" i="3"/>
  <c r="M6127" i="3"/>
  <c r="L6127" i="3"/>
  <c r="V6126" i="3"/>
  <c r="R6126" i="3"/>
  <c r="P6126" i="3"/>
  <c r="N6126" i="3"/>
  <c r="M6126" i="3"/>
  <c r="L6126" i="3"/>
  <c r="V6125" i="3"/>
  <c r="R6125" i="3"/>
  <c r="P6125" i="3"/>
  <c r="N6125" i="3"/>
  <c r="M6125" i="3"/>
  <c r="L6125" i="3"/>
  <c r="V6124" i="3"/>
  <c r="R6124" i="3"/>
  <c r="P6124" i="3"/>
  <c r="N6124" i="3"/>
  <c r="M6124" i="3"/>
  <c r="L6124" i="3"/>
  <c r="V6123" i="3"/>
  <c r="R6123" i="3"/>
  <c r="P6123" i="3"/>
  <c r="N6123" i="3"/>
  <c r="M6123" i="3"/>
  <c r="L6123" i="3"/>
  <c r="V6122" i="3"/>
  <c r="R6122" i="3"/>
  <c r="P6122" i="3"/>
  <c r="N6122" i="3"/>
  <c r="M6122" i="3"/>
  <c r="L6122" i="3"/>
  <c r="V6121" i="3"/>
  <c r="R6121" i="3"/>
  <c r="P6121" i="3"/>
  <c r="N6121" i="3"/>
  <c r="M6121" i="3"/>
  <c r="L6121" i="3"/>
  <c r="V6120" i="3"/>
  <c r="R6120" i="3"/>
  <c r="P6120" i="3"/>
  <c r="N6120" i="3"/>
  <c r="M6120" i="3"/>
  <c r="L6120" i="3"/>
  <c r="V6119" i="3"/>
  <c r="R6119" i="3"/>
  <c r="P6119" i="3"/>
  <c r="N6119" i="3"/>
  <c r="M6119" i="3"/>
  <c r="L6119" i="3"/>
  <c r="V6118" i="3"/>
  <c r="R6118" i="3"/>
  <c r="P6118" i="3"/>
  <c r="N6118" i="3"/>
  <c r="M6118" i="3"/>
  <c r="L6118" i="3"/>
  <c r="V6117" i="3"/>
  <c r="R6117" i="3"/>
  <c r="P6117" i="3"/>
  <c r="N6117" i="3"/>
  <c r="M6117" i="3"/>
  <c r="L6117" i="3"/>
  <c r="V6116" i="3"/>
  <c r="R6116" i="3"/>
  <c r="P6116" i="3"/>
  <c r="N6116" i="3"/>
  <c r="M6116" i="3"/>
  <c r="L6116" i="3"/>
  <c r="V6115" i="3"/>
  <c r="R6115" i="3"/>
  <c r="P6115" i="3"/>
  <c r="N6115" i="3"/>
  <c r="M6115" i="3"/>
  <c r="L6115" i="3"/>
  <c r="V6114" i="3"/>
  <c r="R6114" i="3"/>
  <c r="P6114" i="3"/>
  <c r="N6114" i="3"/>
  <c r="M6114" i="3"/>
  <c r="L6114" i="3"/>
  <c r="V6113" i="3"/>
  <c r="R6113" i="3"/>
  <c r="P6113" i="3"/>
  <c r="N6113" i="3"/>
  <c r="M6113" i="3"/>
  <c r="L6113" i="3"/>
  <c r="V6112" i="3"/>
  <c r="R6112" i="3"/>
  <c r="P6112" i="3"/>
  <c r="N6112" i="3"/>
  <c r="M6112" i="3"/>
  <c r="L6112" i="3"/>
  <c r="V6111" i="3"/>
  <c r="R6111" i="3"/>
  <c r="P6111" i="3"/>
  <c r="N6111" i="3"/>
  <c r="M6111" i="3"/>
  <c r="L6111" i="3"/>
  <c r="V6110" i="3"/>
  <c r="R6110" i="3"/>
  <c r="P6110" i="3"/>
  <c r="N6110" i="3"/>
  <c r="M6110" i="3"/>
  <c r="L6110" i="3"/>
  <c r="V6109" i="3"/>
  <c r="R6109" i="3"/>
  <c r="P6109" i="3"/>
  <c r="N6109" i="3"/>
  <c r="M6109" i="3"/>
  <c r="L6109" i="3"/>
  <c r="V6108" i="3"/>
  <c r="R6108" i="3"/>
  <c r="P6108" i="3"/>
  <c r="N6108" i="3"/>
  <c r="M6108" i="3"/>
  <c r="L6108" i="3"/>
  <c r="V6107" i="3"/>
  <c r="R6107" i="3"/>
  <c r="P6107" i="3"/>
  <c r="N6107" i="3"/>
  <c r="M6107" i="3"/>
  <c r="L6107" i="3"/>
  <c r="V6106" i="3"/>
  <c r="R6106" i="3"/>
  <c r="P6106" i="3"/>
  <c r="N6106" i="3"/>
  <c r="M6106" i="3"/>
  <c r="L6106" i="3"/>
  <c r="V6105" i="3"/>
  <c r="R6105" i="3"/>
  <c r="P6105" i="3"/>
  <c r="N6105" i="3"/>
  <c r="M6105" i="3"/>
  <c r="L6105" i="3"/>
  <c r="V6104" i="3"/>
  <c r="R6104" i="3"/>
  <c r="P6104" i="3"/>
  <c r="N6104" i="3"/>
  <c r="M6104" i="3"/>
  <c r="L6104" i="3"/>
  <c r="V6103" i="3"/>
  <c r="R6103" i="3"/>
  <c r="P6103" i="3"/>
  <c r="N6103" i="3"/>
  <c r="M6103" i="3"/>
  <c r="L6103" i="3"/>
  <c r="V6102" i="3"/>
  <c r="R6102" i="3"/>
  <c r="P6102" i="3"/>
  <c r="N6102" i="3"/>
  <c r="M6102" i="3"/>
  <c r="L6102" i="3"/>
  <c r="V6101" i="3"/>
  <c r="R6101" i="3"/>
  <c r="P6101" i="3"/>
  <c r="N6101" i="3"/>
  <c r="M6101" i="3"/>
  <c r="L6101" i="3"/>
  <c r="V6100" i="3"/>
  <c r="R6100" i="3"/>
  <c r="P6100" i="3"/>
  <c r="N6100" i="3"/>
  <c r="M6100" i="3"/>
  <c r="L6100" i="3"/>
  <c r="V6099" i="3"/>
  <c r="R6099" i="3"/>
  <c r="P6099" i="3"/>
  <c r="N6099" i="3"/>
  <c r="M6099" i="3"/>
  <c r="L6099" i="3"/>
  <c r="V6098" i="3"/>
  <c r="R6098" i="3"/>
  <c r="P6098" i="3"/>
  <c r="N6098" i="3"/>
  <c r="M6098" i="3"/>
  <c r="L6098" i="3"/>
  <c r="V6097" i="3"/>
  <c r="R6097" i="3"/>
  <c r="P6097" i="3"/>
  <c r="N6097" i="3"/>
  <c r="M6097" i="3"/>
  <c r="L6097" i="3"/>
  <c r="V6096" i="3"/>
  <c r="R6096" i="3"/>
  <c r="P6096" i="3"/>
  <c r="N6096" i="3"/>
  <c r="M6096" i="3"/>
  <c r="L6096" i="3"/>
  <c r="V6095" i="3"/>
  <c r="R6095" i="3"/>
  <c r="P6095" i="3"/>
  <c r="N6095" i="3"/>
  <c r="M6095" i="3"/>
  <c r="L6095" i="3"/>
  <c r="V6094" i="3"/>
  <c r="R6094" i="3"/>
  <c r="P6094" i="3"/>
  <c r="N6094" i="3"/>
  <c r="M6094" i="3"/>
  <c r="L6094" i="3"/>
  <c r="V6093" i="3"/>
  <c r="R6093" i="3"/>
  <c r="P6093" i="3"/>
  <c r="N6093" i="3"/>
  <c r="M6093" i="3"/>
  <c r="L6093" i="3"/>
  <c r="V6092" i="3"/>
  <c r="R6092" i="3"/>
  <c r="P6092" i="3"/>
  <c r="N6092" i="3"/>
  <c r="M6092" i="3"/>
  <c r="L6092" i="3"/>
  <c r="V6091" i="3"/>
  <c r="R6091" i="3"/>
  <c r="P6091" i="3"/>
  <c r="N6091" i="3"/>
  <c r="M6091" i="3"/>
  <c r="L6091" i="3"/>
  <c r="V6090" i="3"/>
  <c r="R6090" i="3"/>
  <c r="P6090" i="3"/>
  <c r="N6090" i="3"/>
  <c r="M6090" i="3"/>
  <c r="L6090" i="3"/>
  <c r="V6089" i="3"/>
  <c r="R6089" i="3"/>
  <c r="P6089" i="3"/>
  <c r="N6089" i="3"/>
  <c r="M6089" i="3"/>
  <c r="L6089" i="3"/>
  <c r="V6088" i="3"/>
  <c r="R6088" i="3"/>
  <c r="P6088" i="3"/>
  <c r="N6088" i="3"/>
  <c r="M6088" i="3"/>
  <c r="L6088" i="3"/>
  <c r="V6087" i="3"/>
  <c r="R6087" i="3"/>
  <c r="P6087" i="3"/>
  <c r="N6087" i="3"/>
  <c r="M6087" i="3"/>
  <c r="L6087" i="3"/>
  <c r="V6086" i="3"/>
  <c r="R6086" i="3"/>
  <c r="P6086" i="3"/>
  <c r="N6086" i="3"/>
  <c r="M6086" i="3"/>
  <c r="L6086" i="3"/>
  <c r="V6085" i="3"/>
  <c r="R6085" i="3"/>
  <c r="P6085" i="3"/>
  <c r="N6085" i="3"/>
  <c r="M6085" i="3"/>
  <c r="L6085" i="3"/>
  <c r="V6084" i="3"/>
  <c r="R6084" i="3"/>
  <c r="P6084" i="3"/>
  <c r="N6084" i="3"/>
  <c r="M6084" i="3"/>
  <c r="L6084" i="3"/>
  <c r="V6083" i="3"/>
  <c r="R6083" i="3"/>
  <c r="P6083" i="3"/>
  <c r="N6083" i="3"/>
  <c r="M6083" i="3"/>
  <c r="L6083" i="3"/>
  <c r="V6082" i="3"/>
  <c r="R6082" i="3"/>
  <c r="P6082" i="3"/>
  <c r="N6082" i="3"/>
  <c r="M6082" i="3"/>
  <c r="L6082" i="3"/>
  <c r="V6081" i="3"/>
  <c r="R6081" i="3"/>
  <c r="P6081" i="3"/>
  <c r="N6081" i="3"/>
  <c r="M6081" i="3"/>
  <c r="L6081" i="3"/>
  <c r="V6080" i="3"/>
  <c r="R6080" i="3"/>
  <c r="P6080" i="3"/>
  <c r="N6080" i="3"/>
  <c r="M6080" i="3"/>
  <c r="L6080" i="3"/>
  <c r="V6079" i="3"/>
  <c r="R6079" i="3"/>
  <c r="P6079" i="3"/>
  <c r="N6079" i="3"/>
  <c r="M6079" i="3"/>
  <c r="L6079" i="3"/>
  <c r="V6078" i="3"/>
  <c r="R6078" i="3"/>
  <c r="P6078" i="3"/>
  <c r="N6078" i="3"/>
  <c r="M6078" i="3"/>
  <c r="L6078" i="3"/>
  <c r="V6077" i="3"/>
  <c r="R6077" i="3"/>
  <c r="P6077" i="3"/>
  <c r="N6077" i="3"/>
  <c r="M6077" i="3"/>
  <c r="L6077" i="3"/>
  <c r="V6076" i="3"/>
  <c r="R6076" i="3"/>
  <c r="P6076" i="3"/>
  <c r="N6076" i="3"/>
  <c r="M6076" i="3"/>
  <c r="L6076" i="3"/>
  <c r="V6075" i="3"/>
  <c r="R6075" i="3"/>
  <c r="P6075" i="3"/>
  <c r="N6075" i="3"/>
  <c r="M6075" i="3"/>
  <c r="L6075" i="3"/>
  <c r="V6074" i="3"/>
  <c r="R6074" i="3"/>
  <c r="P6074" i="3"/>
  <c r="N6074" i="3"/>
  <c r="M6074" i="3"/>
  <c r="L6074" i="3"/>
  <c r="V6073" i="3"/>
  <c r="R6073" i="3"/>
  <c r="P6073" i="3"/>
  <c r="N6073" i="3"/>
  <c r="M6073" i="3"/>
  <c r="L6073" i="3"/>
  <c r="V6072" i="3"/>
  <c r="R6072" i="3"/>
  <c r="P6072" i="3"/>
  <c r="N6072" i="3"/>
  <c r="M6072" i="3"/>
  <c r="L6072" i="3"/>
  <c r="V6071" i="3"/>
  <c r="R6071" i="3"/>
  <c r="P6071" i="3"/>
  <c r="N6071" i="3"/>
  <c r="M6071" i="3"/>
  <c r="L6071" i="3"/>
  <c r="V6070" i="3"/>
  <c r="R6070" i="3"/>
  <c r="P6070" i="3"/>
  <c r="N6070" i="3"/>
  <c r="M6070" i="3"/>
  <c r="L6070" i="3"/>
  <c r="V6069" i="3"/>
  <c r="R6069" i="3"/>
  <c r="P6069" i="3"/>
  <c r="N6069" i="3"/>
  <c r="M6069" i="3"/>
  <c r="L6069" i="3"/>
  <c r="V6068" i="3"/>
  <c r="R6068" i="3"/>
  <c r="P6068" i="3"/>
  <c r="N6068" i="3"/>
  <c r="M6068" i="3"/>
  <c r="L6068" i="3"/>
  <c r="V6067" i="3"/>
  <c r="R6067" i="3"/>
  <c r="P6067" i="3"/>
  <c r="N6067" i="3"/>
  <c r="M6067" i="3"/>
  <c r="L6067" i="3"/>
  <c r="V6066" i="3"/>
  <c r="R6066" i="3"/>
  <c r="P6066" i="3"/>
  <c r="N6066" i="3"/>
  <c r="M6066" i="3"/>
  <c r="L6066" i="3"/>
  <c r="V6065" i="3"/>
  <c r="R6065" i="3"/>
  <c r="P6065" i="3"/>
  <c r="N6065" i="3"/>
  <c r="M6065" i="3"/>
  <c r="L6065" i="3"/>
  <c r="V6064" i="3"/>
  <c r="R6064" i="3"/>
  <c r="P6064" i="3"/>
  <c r="N6064" i="3"/>
  <c r="M6064" i="3"/>
  <c r="L6064" i="3"/>
  <c r="V6063" i="3"/>
  <c r="R6063" i="3"/>
  <c r="P6063" i="3"/>
  <c r="N6063" i="3"/>
  <c r="M6063" i="3"/>
  <c r="L6063" i="3"/>
  <c r="V6062" i="3"/>
  <c r="R6062" i="3"/>
  <c r="P6062" i="3"/>
  <c r="N6062" i="3"/>
  <c r="M6062" i="3"/>
  <c r="L6062" i="3"/>
  <c r="V6061" i="3"/>
  <c r="R6061" i="3"/>
  <c r="P6061" i="3"/>
  <c r="N6061" i="3"/>
  <c r="M6061" i="3"/>
  <c r="L6061" i="3"/>
  <c r="V6060" i="3"/>
  <c r="R6060" i="3"/>
  <c r="P6060" i="3"/>
  <c r="N6060" i="3"/>
  <c r="M6060" i="3"/>
  <c r="L6060" i="3"/>
  <c r="V6059" i="3"/>
  <c r="R6059" i="3"/>
  <c r="P6059" i="3"/>
  <c r="N6059" i="3"/>
  <c r="M6059" i="3"/>
  <c r="L6059" i="3"/>
  <c r="V6058" i="3"/>
  <c r="R6058" i="3"/>
  <c r="P6058" i="3"/>
  <c r="N6058" i="3"/>
  <c r="M6058" i="3"/>
  <c r="L6058" i="3"/>
  <c r="V6057" i="3"/>
  <c r="R6057" i="3"/>
  <c r="P6057" i="3"/>
  <c r="N6057" i="3"/>
  <c r="M6057" i="3"/>
  <c r="L6057" i="3"/>
  <c r="V6056" i="3"/>
  <c r="R6056" i="3"/>
  <c r="P6056" i="3"/>
  <c r="N6056" i="3"/>
  <c r="M6056" i="3"/>
  <c r="L6056" i="3"/>
  <c r="V6055" i="3"/>
  <c r="R6055" i="3"/>
  <c r="P6055" i="3"/>
  <c r="N6055" i="3"/>
  <c r="M6055" i="3"/>
  <c r="L6055" i="3"/>
  <c r="V6054" i="3"/>
  <c r="R6054" i="3"/>
  <c r="P6054" i="3"/>
  <c r="N6054" i="3"/>
  <c r="M6054" i="3"/>
  <c r="L6054" i="3"/>
  <c r="V6053" i="3"/>
  <c r="R6053" i="3"/>
  <c r="P6053" i="3"/>
  <c r="N6053" i="3"/>
  <c r="M6053" i="3"/>
  <c r="L6053" i="3"/>
  <c r="V6052" i="3"/>
  <c r="R6052" i="3"/>
  <c r="P6052" i="3"/>
  <c r="N6052" i="3"/>
  <c r="M6052" i="3"/>
  <c r="L6052" i="3"/>
  <c r="V6051" i="3"/>
  <c r="R6051" i="3"/>
  <c r="P6051" i="3"/>
  <c r="N6051" i="3"/>
  <c r="M6051" i="3"/>
  <c r="L6051" i="3"/>
  <c r="V6050" i="3"/>
  <c r="R6050" i="3"/>
  <c r="P6050" i="3"/>
  <c r="N6050" i="3"/>
  <c r="M6050" i="3"/>
  <c r="L6050" i="3"/>
  <c r="V6049" i="3"/>
  <c r="R6049" i="3"/>
  <c r="P6049" i="3"/>
  <c r="N6049" i="3"/>
  <c r="M6049" i="3"/>
  <c r="L6049" i="3"/>
  <c r="V6048" i="3"/>
  <c r="R6048" i="3"/>
  <c r="P6048" i="3"/>
  <c r="N6048" i="3"/>
  <c r="M6048" i="3"/>
  <c r="L6048" i="3"/>
  <c r="V6047" i="3"/>
  <c r="R6047" i="3"/>
  <c r="P6047" i="3"/>
  <c r="N6047" i="3"/>
  <c r="M6047" i="3"/>
  <c r="L6047" i="3"/>
  <c r="V6046" i="3"/>
  <c r="R6046" i="3"/>
  <c r="P6046" i="3"/>
  <c r="N6046" i="3"/>
  <c r="M6046" i="3"/>
  <c r="L6046" i="3"/>
  <c r="V6045" i="3"/>
  <c r="R6045" i="3"/>
  <c r="P6045" i="3"/>
  <c r="N6045" i="3"/>
  <c r="M6045" i="3"/>
  <c r="L6045" i="3"/>
  <c r="V6044" i="3"/>
  <c r="R6044" i="3"/>
  <c r="P6044" i="3"/>
  <c r="N6044" i="3"/>
  <c r="M6044" i="3"/>
  <c r="L6044" i="3"/>
  <c r="V6043" i="3"/>
  <c r="R6043" i="3"/>
  <c r="P6043" i="3"/>
  <c r="N6043" i="3"/>
  <c r="M6043" i="3"/>
  <c r="L6043" i="3"/>
  <c r="V6042" i="3"/>
  <c r="R6042" i="3"/>
  <c r="P6042" i="3"/>
  <c r="N6042" i="3"/>
  <c r="M6042" i="3"/>
  <c r="L6042" i="3"/>
  <c r="V6041" i="3"/>
  <c r="R6041" i="3"/>
  <c r="P6041" i="3"/>
  <c r="N6041" i="3"/>
  <c r="M6041" i="3"/>
  <c r="L6041" i="3"/>
  <c r="V6040" i="3"/>
  <c r="R6040" i="3"/>
  <c r="P6040" i="3"/>
  <c r="N6040" i="3"/>
  <c r="M6040" i="3"/>
  <c r="L6040" i="3"/>
  <c r="V6039" i="3"/>
  <c r="R6039" i="3"/>
  <c r="P6039" i="3"/>
  <c r="N6039" i="3"/>
  <c r="M6039" i="3"/>
  <c r="L6039" i="3"/>
  <c r="V6038" i="3"/>
  <c r="R6038" i="3"/>
  <c r="P6038" i="3"/>
  <c r="N6038" i="3"/>
  <c r="M6038" i="3"/>
  <c r="L6038" i="3"/>
  <c r="V6037" i="3"/>
  <c r="R6037" i="3"/>
  <c r="P6037" i="3"/>
  <c r="N6037" i="3"/>
  <c r="M6037" i="3"/>
  <c r="L6037" i="3"/>
  <c r="V6036" i="3"/>
  <c r="R6036" i="3"/>
  <c r="P6036" i="3"/>
  <c r="N6036" i="3"/>
  <c r="M6036" i="3"/>
  <c r="L6036" i="3"/>
  <c r="V6035" i="3"/>
  <c r="R6035" i="3"/>
  <c r="P6035" i="3"/>
  <c r="N6035" i="3"/>
  <c r="M6035" i="3"/>
  <c r="L6035" i="3"/>
  <c r="V6034" i="3"/>
  <c r="R6034" i="3"/>
  <c r="P6034" i="3"/>
  <c r="N6034" i="3"/>
  <c r="M6034" i="3"/>
  <c r="L6034" i="3"/>
  <c r="V6033" i="3"/>
  <c r="R6033" i="3"/>
  <c r="P6033" i="3"/>
  <c r="N6033" i="3"/>
  <c r="M6033" i="3"/>
  <c r="L6033" i="3"/>
  <c r="V6032" i="3"/>
  <c r="R6032" i="3"/>
  <c r="P6032" i="3"/>
  <c r="N6032" i="3"/>
  <c r="M6032" i="3"/>
  <c r="L6032" i="3"/>
  <c r="V6031" i="3"/>
  <c r="R6031" i="3"/>
  <c r="P6031" i="3"/>
  <c r="N6031" i="3"/>
  <c r="M6031" i="3"/>
  <c r="L6031" i="3"/>
  <c r="V6030" i="3"/>
  <c r="R6030" i="3"/>
  <c r="P6030" i="3"/>
  <c r="N6030" i="3"/>
  <c r="M6030" i="3"/>
  <c r="L6030" i="3"/>
  <c r="V6029" i="3"/>
  <c r="R6029" i="3"/>
  <c r="P6029" i="3"/>
  <c r="N6029" i="3"/>
  <c r="M6029" i="3"/>
  <c r="L6029" i="3"/>
  <c r="V6028" i="3"/>
  <c r="R6028" i="3"/>
  <c r="P6028" i="3"/>
  <c r="N6028" i="3"/>
  <c r="M6028" i="3"/>
  <c r="L6028" i="3"/>
  <c r="V6027" i="3"/>
  <c r="R6027" i="3"/>
  <c r="P6027" i="3"/>
  <c r="N6027" i="3"/>
  <c r="M6027" i="3"/>
  <c r="L6027" i="3"/>
  <c r="V6026" i="3"/>
  <c r="R6026" i="3"/>
  <c r="P6026" i="3"/>
  <c r="N6026" i="3"/>
  <c r="M6026" i="3"/>
  <c r="L6026" i="3"/>
  <c r="V6025" i="3"/>
  <c r="R6025" i="3"/>
  <c r="P6025" i="3"/>
  <c r="N6025" i="3"/>
  <c r="M6025" i="3"/>
  <c r="L6025" i="3"/>
  <c r="V6024" i="3"/>
  <c r="R6024" i="3"/>
  <c r="P6024" i="3"/>
  <c r="N6024" i="3"/>
  <c r="M6024" i="3"/>
  <c r="L6024" i="3"/>
  <c r="V6023" i="3"/>
  <c r="R6023" i="3"/>
  <c r="P6023" i="3"/>
  <c r="N6023" i="3"/>
  <c r="M6023" i="3"/>
  <c r="L6023" i="3"/>
  <c r="V6022" i="3"/>
  <c r="R6022" i="3"/>
  <c r="P6022" i="3"/>
  <c r="N6022" i="3"/>
  <c r="M6022" i="3"/>
  <c r="L6022" i="3"/>
  <c r="V6021" i="3"/>
  <c r="R6021" i="3"/>
  <c r="P6021" i="3"/>
  <c r="N6021" i="3"/>
  <c r="M6021" i="3"/>
  <c r="L6021" i="3"/>
  <c r="V6020" i="3"/>
  <c r="R6020" i="3"/>
  <c r="P6020" i="3"/>
  <c r="N6020" i="3"/>
  <c r="M6020" i="3"/>
  <c r="L6020" i="3"/>
  <c r="V6019" i="3"/>
  <c r="R6019" i="3"/>
  <c r="P6019" i="3"/>
  <c r="N6019" i="3"/>
  <c r="M6019" i="3"/>
  <c r="L6019" i="3"/>
  <c r="V6018" i="3"/>
  <c r="R6018" i="3"/>
  <c r="P6018" i="3"/>
  <c r="N6018" i="3"/>
  <c r="M6018" i="3"/>
  <c r="L6018" i="3"/>
  <c r="V6017" i="3"/>
  <c r="R6017" i="3"/>
  <c r="P6017" i="3"/>
  <c r="N6017" i="3"/>
  <c r="M6017" i="3"/>
  <c r="L6017" i="3"/>
  <c r="V6016" i="3"/>
  <c r="R6016" i="3"/>
  <c r="P6016" i="3"/>
  <c r="N6016" i="3"/>
  <c r="M6016" i="3"/>
  <c r="L6016" i="3"/>
  <c r="V6015" i="3"/>
  <c r="R6015" i="3"/>
  <c r="P6015" i="3"/>
  <c r="N6015" i="3"/>
  <c r="M6015" i="3"/>
  <c r="L6015" i="3"/>
  <c r="V6014" i="3"/>
  <c r="R6014" i="3"/>
  <c r="P6014" i="3"/>
  <c r="N6014" i="3"/>
  <c r="M6014" i="3"/>
  <c r="L6014" i="3"/>
  <c r="V6013" i="3"/>
  <c r="R6013" i="3"/>
  <c r="P6013" i="3"/>
  <c r="N6013" i="3"/>
  <c r="M6013" i="3"/>
  <c r="L6013" i="3"/>
  <c r="V6012" i="3"/>
  <c r="R6012" i="3"/>
  <c r="P6012" i="3"/>
  <c r="N6012" i="3"/>
  <c r="M6012" i="3"/>
  <c r="L6012" i="3"/>
  <c r="V6011" i="3"/>
  <c r="R6011" i="3"/>
  <c r="P6011" i="3"/>
  <c r="N6011" i="3"/>
  <c r="M6011" i="3"/>
  <c r="L6011" i="3"/>
  <c r="V6010" i="3"/>
  <c r="R6010" i="3"/>
  <c r="P6010" i="3"/>
  <c r="N6010" i="3"/>
  <c r="M6010" i="3"/>
  <c r="L6010" i="3"/>
  <c r="V6009" i="3"/>
  <c r="R6009" i="3"/>
  <c r="P6009" i="3"/>
  <c r="N6009" i="3"/>
  <c r="M6009" i="3"/>
  <c r="L6009" i="3"/>
  <c r="V6008" i="3"/>
  <c r="R6008" i="3"/>
  <c r="P6008" i="3"/>
  <c r="N6008" i="3"/>
  <c r="M6008" i="3"/>
  <c r="L6008" i="3"/>
  <c r="V6007" i="3"/>
  <c r="R6007" i="3"/>
  <c r="P6007" i="3"/>
  <c r="N6007" i="3"/>
  <c r="M6007" i="3"/>
  <c r="L6007" i="3"/>
  <c r="V6006" i="3"/>
  <c r="R6006" i="3"/>
  <c r="P6006" i="3"/>
  <c r="N6006" i="3"/>
  <c r="M6006" i="3"/>
  <c r="L6006" i="3"/>
  <c r="V6005" i="3"/>
  <c r="R6005" i="3"/>
  <c r="P6005" i="3"/>
  <c r="N6005" i="3"/>
  <c r="M6005" i="3"/>
  <c r="L6005" i="3"/>
  <c r="V6004" i="3"/>
  <c r="R6004" i="3"/>
  <c r="P6004" i="3"/>
  <c r="N6004" i="3"/>
  <c r="M6004" i="3"/>
  <c r="L6004" i="3"/>
  <c r="V6003" i="3"/>
  <c r="R6003" i="3"/>
  <c r="P6003" i="3"/>
  <c r="N6003" i="3"/>
  <c r="M6003" i="3"/>
  <c r="L6003" i="3"/>
  <c r="V6002" i="3"/>
  <c r="R6002" i="3"/>
  <c r="P6002" i="3"/>
  <c r="N6002" i="3"/>
  <c r="M6002" i="3"/>
  <c r="L6002" i="3"/>
  <c r="V6001" i="3"/>
  <c r="R6001" i="3"/>
  <c r="P6001" i="3"/>
  <c r="N6001" i="3"/>
  <c r="M6001" i="3"/>
  <c r="L6001" i="3"/>
  <c r="V6000" i="3"/>
  <c r="R6000" i="3"/>
  <c r="P6000" i="3"/>
  <c r="N6000" i="3"/>
  <c r="M6000" i="3"/>
  <c r="L6000" i="3"/>
  <c r="V5999" i="3"/>
  <c r="R5999" i="3"/>
  <c r="P5999" i="3"/>
  <c r="N5999" i="3"/>
  <c r="M5999" i="3"/>
  <c r="L5999" i="3"/>
  <c r="V5998" i="3"/>
  <c r="R5998" i="3"/>
  <c r="P5998" i="3"/>
  <c r="N5998" i="3"/>
  <c r="M5998" i="3"/>
  <c r="L5998" i="3"/>
  <c r="V5997" i="3"/>
  <c r="R5997" i="3"/>
  <c r="P5997" i="3"/>
  <c r="N5997" i="3"/>
  <c r="M5997" i="3"/>
  <c r="L5997" i="3"/>
  <c r="V5996" i="3"/>
  <c r="R5996" i="3"/>
  <c r="P5996" i="3"/>
  <c r="N5996" i="3"/>
  <c r="M5996" i="3"/>
  <c r="L5996" i="3"/>
  <c r="V5995" i="3"/>
  <c r="R5995" i="3"/>
  <c r="P5995" i="3"/>
  <c r="N5995" i="3"/>
  <c r="M5995" i="3"/>
  <c r="L5995" i="3"/>
  <c r="V5994" i="3"/>
  <c r="R5994" i="3"/>
  <c r="P5994" i="3"/>
  <c r="N5994" i="3"/>
  <c r="M5994" i="3"/>
  <c r="L5994" i="3"/>
  <c r="V5993" i="3"/>
  <c r="R5993" i="3"/>
  <c r="P5993" i="3"/>
  <c r="N5993" i="3"/>
  <c r="M5993" i="3"/>
  <c r="L5993" i="3"/>
  <c r="V5992" i="3"/>
  <c r="R5992" i="3"/>
  <c r="P5992" i="3"/>
  <c r="N5992" i="3"/>
  <c r="M5992" i="3"/>
  <c r="L5992" i="3"/>
  <c r="V5991" i="3"/>
  <c r="R5991" i="3"/>
  <c r="P5991" i="3"/>
  <c r="N5991" i="3"/>
  <c r="M5991" i="3"/>
  <c r="L5991" i="3"/>
  <c r="V5990" i="3"/>
  <c r="R5990" i="3"/>
  <c r="P5990" i="3"/>
  <c r="N5990" i="3"/>
  <c r="M5990" i="3"/>
  <c r="L5990" i="3"/>
  <c r="V5989" i="3"/>
  <c r="R5989" i="3"/>
  <c r="P5989" i="3"/>
  <c r="N5989" i="3"/>
  <c r="M5989" i="3"/>
  <c r="L5989" i="3"/>
  <c r="V5988" i="3"/>
  <c r="R5988" i="3"/>
  <c r="P5988" i="3"/>
  <c r="N5988" i="3"/>
  <c r="M5988" i="3"/>
  <c r="L5988" i="3"/>
  <c r="V5987" i="3"/>
  <c r="R5987" i="3"/>
  <c r="P5987" i="3"/>
  <c r="N5987" i="3"/>
  <c r="M5987" i="3"/>
  <c r="L5987" i="3"/>
  <c r="V5986" i="3"/>
  <c r="R5986" i="3"/>
  <c r="P5986" i="3"/>
  <c r="N5986" i="3"/>
  <c r="M5986" i="3"/>
  <c r="L5986" i="3"/>
  <c r="V5985" i="3"/>
  <c r="R5985" i="3"/>
  <c r="P5985" i="3"/>
  <c r="N5985" i="3"/>
  <c r="M5985" i="3"/>
  <c r="L5985" i="3"/>
  <c r="V5984" i="3"/>
  <c r="R5984" i="3"/>
  <c r="P5984" i="3"/>
  <c r="N5984" i="3"/>
  <c r="M5984" i="3"/>
  <c r="L5984" i="3"/>
  <c r="V5983" i="3"/>
  <c r="R5983" i="3"/>
  <c r="P5983" i="3"/>
  <c r="N5983" i="3"/>
  <c r="M5983" i="3"/>
  <c r="L5983" i="3"/>
  <c r="V5982" i="3"/>
  <c r="R5982" i="3"/>
  <c r="P5982" i="3"/>
  <c r="N5982" i="3"/>
  <c r="M5982" i="3"/>
  <c r="L5982" i="3"/>
  <c r="V5981" i="3"/>
  <c r="R5981" i="3"/>
  <c r="P5981" i="3"/>
  <c r="N5981" i="3"/>
  <c r="M5981" i="3"/>
  <c r="L5981" i="3"/>
  <c r="V5980" i="3"/>
  <c r="R5980" i="3"/>
  <c r="P5980" i="3"/>
  <c r="N5980" i="3"/>
  <c r="M5980" i="3"/>
  <c r="L5980" i="3"/>
  <c r="V5979" i="3"/>
  <c r="R5979" i="3"/>
  <c r="P5979" i="3"/>
  <c r="N5979" i="3"/>
  <c r="M5979" i="3"/>
  <c r="L5979" i="3"/>
  <c r="V5978" i="3"/>
  <c r="R5978" i="3"/>
  <c r="P5978" i="3"/>
  <c r="N5978" i="3"/>
  <c r="M5978" i="3"/>
  <c r="L5978" i="3"/>
  <c r="V5977" i="3"/>
  <c r="R5977" i="3"/>
  <c r="P5977" i="3"/>
  <c r="N5977" i="3"/>
  <c r="M5977" i="3"/>
  <c r="L5977" i="3"/>
  <c r="V5976" i="3"/>
  <c r="R5976" i="3"/>
  <c r="P5976" i="3"/>
  <c r="N5976" i="3"/>
  <c r="M5976" i="3"/>
  <c r="L5976" i="3"/>
  <c r="V5975" i="3"/>
  <c r="R5975" i="3"/>
  <c r="P5975" i="3"/>
  <c r="N5975" i="3"/>
  <c r="M5975" i="3"/>
  <c r="L5975" i="3"/>
  <c r="V5974" i="3"/>
  <c r="R5974" i="3"/>
  <c r="P5974" i="3"/>
  <c r="N5974" i="3"/>
  <c r="M5974" i="3"/>
  <c r="L5974" i="3"/>
  <c r="V5973" i="3"/>
  <c r="R5973" i="3"/>
  <c r="P5973" i="3"/>
  <c r="N5973" i="3"/>
  <c r="M5973" i="3"/>
  <c r="L5973" i="3"/>
  <c r="V5972" i="3"/>
  <c r="R5972" i="3"/>
  <c r="P5972" i="3"/>
  <c r="N5972" i="3"/>
  <c r="M5972" i="3"/>
  <c r="L5972" i="3"/>
  <c r="V5971" i="3"/>
  <c r="R5971" i="3"/>
  <c r="P5971" i="3"/>
  <c r="N5971" i="3"/>
  <c r="M5971" i="3"/>
  <c r="L5971" i="3"/>
  <c r="V5970" i="3"/>
  <c r="R5970" i="3"/>
  <c r="P5970" i="3"/>
  <c r="N5970" i="3"/>
  <c r="M5970" i="3"/>
  <c r="L5970" i="3"/>
  <c r="V5969" i="3"/>
  <c r="R5969" i="3"/>
  <c r="P5969" i="3"/>
  <c r="N5969" i="3"/>
  <c r="M5969" i="3"/>
  <c r="L5969" i="3"/>
  <c r="V5968" i="3"/>
  <c r="R5968" i="3"/>
  <c r="P5968" i="3"/>
  <c r="N5968" i="3"/>
  <c r="M5968" i="3"/>
  <c r="L5968" i="3"/>
  <c r="V5967" i="3"/>
  <c r="R5967" i="3"/>
  <c r="P5967" i="3"/>
  <c r="N5967" i="3"/>
  <c r="M5967" i="3"/>
  <c r="L5967" i="3"/>
  <c r="V5966" i="3"/>
  <c r="R5966" i="3"/>
  <c r="P5966" i="3"/>
  <c r="N5966" i="3"/>
  <c r="M5966" i="3"/>
  <c r="L5966" i="3"/>
  <c r="V5965" i="3"/>
  <c r="R5965" i="3"/>
  <c r="P5965" i="3"/>
  <c r="N5965" i="3"/>
  <c r="M5965" i="3"/>
  <c r="L5965" i="3"/>
  <c r="V5964" i="3"/>
  <c r="R5964" i="3"/>
  <c r="P5964" i="3"/>
  <c r="N5964" i="3"/>
  <c r="M5964" i="3"/>
  <c r="L5964" i="3"/>
  <c r="V5963" i="3"/>
  <c r="R5963" i="3"/>
  <c r="P5963" i="3"/>
  <c r="N5963" i="3"/>
  <c r="M5963" i="3"/>
  <c r="L5963" i="3"/>
  <c r="V5962" i="3"/>
  <c r="R5962" i="3"/>
  <c r="P5962" i="3"/>
  <c r="N5962" i="3"/>
  <c r="M5962" i="3"/>
  <c r="L5962" i="3"/>
  <c r="V5961" i="3"/>
  <c r="R5961" i="3"/>
  <c r="P5961" i="3"/>
  <c r="N5961" i="3"/>
  <c r="M5961" i="3"/>
  <c r="L5961" i="3"/>
  <c r="V5960" i="3"/>
  <c r="R5960" i="3"/>
  <c r="P5960" i="3"/>
  <c r="N5960" i="3"/>
  <c r="M5960" i="3"/>
  <c r="L5960" i="3"/>
  <c r="V5959" i="3"/>
  <c r="R5959" i="3"/>
  <c r="P5959" i="3"/>
  <c r="N5959" i="3"/>
  <c r="M5959" i="3"/>
  <c r="L5959" i="3"/>
  <c r="V5958" i="3"/>
  <c r="R5958" i="3"/>
  <c r="P5958" i="3"/>
  <c r="N5958" i="3"/>
  <c r="M5958" i="3"/>
  <c r="L5958" i="3"/>
  <c r="V5957" i="3"/>
  <c r="R5957" i="3"/>
  <c r="P5957" i="3"/>
  <c r="N5957" i="3"/>
  <c r="M5957" i="3"/>
  <c r="L5957" i="3"/>
  <c r="V5956" i="3"/>
  <c r="R5956" i="3"/>
  <c r="P5956" i="3"/>
  <c r="N5956" i="3"/>
  <c r="M5956" i="3"/>
  <c r="L5956" i="3"/>
  <c r="V5955" i="3"/>
  <c r="R5955" i="3"/>
  <c r="P5955" i="3"/>
  <c r="N5955" i="3"/>
  <c r="M5955" i="3"/>
  <c r="L5955" i="3"/>
  <c r="V5954" i="3"/>
  <c r="R5954" i="3"/>
  <c r="P5954" i="3"/>
  <c r="N5954" i="3"/>
  <c r="M5954" i="3"/>
  <c r="L5954" i="3"/>
  <c r="V5953" i="3"/>
  <c r="R5953" i="3"/>
  <c r="P5953" i="3"/>
  <c r="N5953" i="3"/>
  <c r="M5953" i="3"/>
  <c r="L5953" i="3"/>
  <c r="V5952" i="3"/>
  <c r="R5952" i="3"/>
  <c r="P5952" i="3"/>
  <c r="N5952" i="3"/>
  <c r="M5952" i="3"/>
  <c r="L5952" i="3"/>
  <c r="V5951" i="3"/>
  <c r="R5951" i="3"/>
  <c r="P5951" i="3"/>
  <c r="N5951" i="3"/>
  <c r="M5951" i="3"/>
  <c r="L5951" i="3"/>
  <c r="V5950" i="3"/>
  <c r="R5950" i="3"/>
  <c r="P5950" i="3"/>
  <c r="N5950" i="3"/>
  <c r="M5950" i="3"/>
  <c r="L5950" i="3"/>
  <c r="V5949" i="3"/>
  <c r="R5949" i="3"/>
  <c r="P5949" i="3"/>
  <c r="N5949" i="3"/>
  <c r="M5949" i="3"/>
  <c r="L5949" i="3"/>
  <c r="V5948" i="3"/>
  <c r="R5948" i="3"/>
  <c r="P5948" i="3"/>
  <c r="N5948" i="3"/>
  <c r="M5948" i="3"/>
  <c r="L5948" i="3"/>
  <c r="V5947" i="3"/>
  <c r="R5947" i="3"/>
  <c r="P5947" i="3"/>
  <c r="N5947" i="3"/>
  <c r="M5947" i="3"/>
  <c r="L5947" i="3"/>
  <c r="V5946" i="3"/>
  <c r="R5946" i="3"/>
  <c r="P5946" i="3"/>
  <c r="N5946" i="3"/>
  <c r="M5946" i="3"/>
  <c r="L5946" i="3"/>
  <c r="V5945" i="3"/>
  <c r="R5945" i="3"/>
  <c r="P5945" i="3"/>
  <c r="N5945" i="3"/>
  <c r="M5945" i="3"/>
  <c r="L5945" i="3"/>
  <c r="V5944" i="3"/>
  <c r="R5944" i="3"/>
  <c r="P5944" i="3"/>
  <c r="N5944" i="3"/>
  <c r="M5944" i="3"/>
  <c r="L5944" i="3"/>
  <c r="V5943" i="3"/>
  <c r="R5943" i="3"/>
  <c r="P5943" i="3"/>
  <c r="N5943" i="3"/>
  <c r="M5943" i="3"/>
  <c r="L5943" i="3"/>
  <c r="V5942" i="3"/>
  <c r="R5942" i="3"/>
  <c r="P5942" i="3"/>
  <c r="N5942" i="3"/>
  <c r="M5942" i="3"/>
  <c r="L5942" i="3"/>
  <c r="V5941" i="3"/>
  <c r="R5941" i="3"/>
  <c r="P5941" i="3"/>
  <c r="N5941" i="3"/>
  <c r="M5941" i="3"/>
  <c r="L5941" i="3"/>
  <c r="V5940" i="3"/>
  <c r="R5940" i="3"/>
  <c r="P5940" i="3"/>
  <c r="N5940" i="3"/>
  <c r="M5940" i="3"/>
  <c r="L5940" i="3"/>
  <c r="V5939" i="3"/>
  <c r="R5939" i="3"/>
  <c r="P5939" i="3"/>
  <c r="N5939" i="3"/>
  <c r="M5939" i="3"/>
  <c r="L5939" i="3"/>
  <c r="V5938" i="3"/>
  <c r="R5938" i="3"/>
  <c r="P5938" i="3"/>
  <c r="N5938" i="3"/>
  <c r="M5938" i="3"/>
  <c r="L5938" i="3"/>
  <c r="V5937" i="3"/>
  <c r="R5937" i="3"/>
  <c r="P5937" i="3"/>
  <c r="N5937" i="3"/>
  <c r="M5937" i="3"/>
  <c r="L5937" i="3"/>
  <c r="V5936" i="3"/>
  <c r="R5936" i="3"/>
  <c r="P5936" i="3"/>
  <c r="N5936" i="3"/>
  <c r="M5936" i="3"/>
  <c r="L5936" i="3"/>
  <c r="V5935" i="3"/>
  <c r="R5935" i="3"/>
  <c r="P5935" i="3"/>
  <c r="N5935" i="3"/>
  <c r="M5935" i="3"/>
  <c r="L5935" i="3"/>
  <c r="V5934" i="3"/>
  <c r="R5934" i="3"/>
  <c r="P5934" i="3"/>
  <c r="N5934" i="3"/>
  <c r="M5934" i="3"/>
  <c r="L5934" i="3"/>
  <c r="V5933" i="3"/>
  <c r="R5933" i="3"/>
  <c r="P5933" i="3"/>
  <c r="N5933" i="3"/>
  <c r="M5933" i="3"/>
  <c r="L5933" i="3"/>
  <c r="V5932" i="3"/>
  <c r="R5932" i="3"/>
  <c r="P5932" i="3"/>
  <c r="N5932" i="3"/>
  <c r="M5932" i="3"/>
  <c r="L5932" i="3"/>
  <c r="V5931" i="3"/>
  <c r="R5931" i="3"/>
  <c r="P5931" i="3"/>
  <c r="N5931" i="3"/>
  <c r="M5931" i="3"/>
  <c r="L5931" i="3"/>
  <c r="V5930" i="3"/>
  <c r="R5930" i="3"/>
  <c r="P5930" i="3"/>
  <c r="N5930" i="3"/>
  <c r="M5930" i="3"/>
  <c r="L5930" i="3"/>
  <c r="V5929" i="3"/>
  <c r="R5929" i="3"/>
  <c r="P5929" i="3"/>
  <c r="N5929" i="3"/>
  <c r="M5929" i="3"/>
  <c r="L5929" i="3"/>
  <c r="V5928" i="3"/>
  <c r="R5928" i="3"/>
  <c r="P5928" i="3"/>
  <c r="N5928" i="3"/>
  <c r="M5928" i="3"/>
  <c r="L5928" i="3"/>
  <c r="V5927" i="3"/>
  <c r="R5927" i="3"/>
  <c r="P5927" i="3"/>
  <c r="N5927" i="3"/>
  <c r="M5927" i="3"/>
  <c r="L5927" i="3"/>
  <c r="V5926" i="3"/>
  <c r="R5926" i="3"/>
  <c r="P5926" i="3"/>
  <c r="N5926" i="3"/>
  <c r="M5926" i="3"/>
  <c r="L5926" i="3"/>
  <c r="V5925" i="3"/>
  <c r="R5925" i="3"/>
  <c r="P5925" i="3"/>
  <c r="N5925" i="3"/>
  <c r="M5925" i="3"/>
  <c r="L5925" i="3"/>
  <c r="V5924" i="3"/>
  <c r="R5924" i="3"/>
  <c r="P5924" i="3"/>
  <c r="N5924" i="3"/>
  <c r="M5924" i="3"/>
  <c r="L5924" i="3"/>
  <c r="V5923" i="3"/>
  <c r="R5923" i="3"/>
  <c r="P5923" i="3"/>
  <c r="N5923" i="3"/>
  <c r="M5923" i="3"/>
  <c r="L5923" i="3"/>
  <c r="V5922" i="3"/>
  <c r="R5922" i="3"/>
  <c r="P5922" i="3"/>
  <c r="N5922" i="3"/>
  <c r="M5922" i="3"/>
  <c r="L5922" i="3"/>
  <c r="V5921" i="3"/>
  <c r="R5921" i="3"/>
  <c r="P5921" i="3"/>
  <c r="N5921" i="3"/>
  <c r="M5921" i="3"/>
  <c r="L5921" i="3"/>
  <c r="V5920" i="3"/>
  <c r="R5920" i="3"/>
  <c r="P5920" i="3"/>
  <c r="N5920" i="3"/>
  <c r="M5920" i="3"/>
  <c r="L5920" i="3"/>
  <c r="V5919" i="3"/>
  <c r="R5919" i="3"/>
  <c r="P5919" i="3"/>
  <c r="N5919" i="3"/>
  <c r="M5919" i="3"/>
  <c r="L5919" i="3"/>
  <c r="V5918" i="3"/>
  <c r="R5918" i="3"/>
  <c r="P5918" i="3"/>
  <c r="N5918" i="3"/>
  <c r="M5918" i="3"/>
  <c r="L5918" i="3"/>
  <c r="V5917" i="3"/>
  <c r="R5917" i="3"/>
  <c r="P5917" i="3"/>
  <c r="N5917" i="3"/>
  <c r="M5917" i="3"/>
  <c r="L5917" i="3"/>
  <c r="V5916" i="3"/>
  <c r="R5916" i="3"/>
  <c r="P5916" i="3"/>
  <c r="N5916" i="3"/>
  <c r="M5916" i="3"/>
  <c r="L5916" i="3"/>
  <c r="V5915" i="3"/>
  <c r="R5915" i="3"/>
  <c r="P5915" i="3"/>
  <c r="N5915" i="3"/>
  <c r="M5915" i="3"/>
  <c r="L5915" i="3"/>
  <c r="V5914" i="3"/>
  <c r="R5914" i="3"/>
  <c r="P5914" i="3"/>
  <c r="N5914" i="3"/>
  <c r="M5914" i="3"/>
  <c r="L5914" i="3"/>
  <c r="V5913" i="3"/>
  <c r="R5913" i="3"/>
  <c r="P5913" i="3"/>
  <c r="N5913" i="3"/>
  <c r="M5913" i="3"/>
  <c r="L5913" i="3"/>
  <c r="V5912" i="3"/>
  <c r="R5912" i="3"/>
  <c r="P5912" i="3"/>
  <c r="N5912" i="3"/>
  <c r="M5912" i="3"/>
  <c r="L5912" i="3"/>
  <c r="V5911" i="3"/>
  <c r="R5911" i="3"/>
  <c r="P5911" i="3"/>
  <c r="N5911" i="3"/>
  <c r="M5911" i="3"/>
  <c r="L5911" i="3"/>
  <c r="V5910" i="3"/>
  <c r="R5910" i="3"/>
  <c r="P5910" i="3"/>
  <c r="N5910" i="3"/>
  <c r="M5910" i="3"/>
  <c r="L5910" i="3"/>
  <c r="V5909" i="3"/>
  <c r="R5909" i="3"/>
  <c r="P5909" i="3"/>
  <c r="N5909" i="3"/>
  <c r="M5909" i="3"/>
  <c r="L5909" i="3"/>
  <c r="V5908" i="3"/>
  <c r="R5908" i="3"/>
  <c r="P5908" i="3"/>
  <c r="N5908" i="3"/>
  <c r="M5908" i="3"/>
  <c r="L5908" i="3"/>
  <c r="V5907" i="3"/>
  <c r="R5907" i="3"/>
  <c r="P5907" i="3"/>
  <c r="N5907" i="3"/>
  <c r="M5907" i="3"/>
  <c r="L5907" i="3"/>
  <c r="V5906" i="3"/>
  <c r="R5906" i="3"/>
  <c r="P5906" i="3"/>
  <c r="N5906" i="3"/>
  <c r="M5906" i="3"/>
  <c r="L5906" i="3"/>
  <c r="V5905" i="3"/>
  <c r="R5905" i="3"/>
  <c r="P5905" i="3"/>
  <c r="N5905" i="3"/>
  <c r="M5905" i="3"/>
  <c r="L5905" i="3"/>
  <c r="V5904" i="3"/>
  <c r="R5904" i="3"/>
  <c r="P5904" i="3"/>
  <c r="N5904" i="3"/>
  <c r="M5904" i="3"/>
  <c r="L5904" i="3"/>
  <c r="V5903" i="3"/>
  <c r="R5903" i="3"/>
  <c r="P5903" i="3"/>
  <c r="N5903" i="3"/>
  <c r="M5903" i="3"/>
  <c r="L5903" i="3"/>
  <c r="V5902" i="3"/>
  <c r="R5902" i="3"/>
  <c r="P5902" i="3"/>
  <c r="N5902" i="3"/>
  <c r="M5902" i="3"/>
  <c r="L5902" i="3"/>
  <c r="V5901" i="3"/>
  <c r="R5901" i="3"/>
  <c r="P5901" i="3"/>
  <c r="N5901" i="3"/>
  <c r="M5901" i="3"/>
  <c r="L5901" i="3"/>
  <c r="V5900" i="3"/>
  <c r="R5900" i="3"/>
  <c r="P5900" i="3"/>
  <c r="N5900" i="3"/>
  <c r="M5900" i="3"/>
  <c r="L5900" i="3"/>
  <c r="V5899" i="3"/>
  <c r="R5899" i="3"/>
  <c r="P5899" i="3"/>
  <c r="N5899" i="3"/>
  <c r="M5899" i="3"/>
  <c r="L5899" i="3"/>
  <c r="V5898" i="3"/>
  <c r="R5898" i="3"/>
  <c r="P5898" i="3"/>
  <c r="N5898" i="3"/>
  <c r="M5898" i="3"/>
  <c r="L5898" i="3"/>
  <c r="V5897" i="3"/>
  <c r="R5897" i="3"/>
  <c r="P5897" i="3"/>
  <c r="N5897" i="3"/>
  <c r="M5897" i="3"/>
  <c r="L5897" i="3"/>
  <c r="V5896" i="3"/>
  <c r="R5896" i="3"/>
  <c r="P5896" i="3"/>
  <c r="N5896" i="3"/>
  <c r="M5896" i="3"/>
  <c r="L5896" i="3"/>
  <c r="V5895" i="3"/>
  <c r="R5895" i="3"/>
  <c r="P5895" i="3"/>
  <c r="N5895" i="3"/>
  <c r="M5895" i="3"/>
  <c r="L5895" i="3"/>
  <c r="V5894" i="3"/>
  <c r="R5894" i="3"/>
  <c r="P5894" i="3"/>
  <c r="N5894" i="3"/>
  <c r="M5894" i="3"/>
  <c r="L5894" i="3"/>
  <c r="V5893" i="3"/>
  <c r="R5893" i="3"/>
  <c r="P5893" i="3"/>
  <c r="N5893" i="3"/>
  <c r="M5893" i="3"/>
  <c r="L5893" i="3"/>
  <c r="V5892" i="3"/>
  <c r="R5892" i="3"/>
  <c r="P5892" i="3"/>
  <c r="N5892" i="3"/>
  <c r="M5892" i="3"/>
  <c r="L5892" i="3"/>
  <c r="V5891" i="3"/>
  <c r="R5891" i="3"/>
  <c r="P5891" i="3"/>
  <c r="N5891" i="3"/>
  <c r="M5891" i="3"/>
  <c r="L5891" i="3"/>
  <c r="V5890" i="3"/>
  <c r="R5890" i="3"/>
  <c r="P5890" i="3"/>
  <c r="N5890" i="3"/>
  <c r="M5890" i="3"/>
  <c r="L5890" i="3"/>
  <c r="V5889" i="3"/>
  <c r="R5889" i="3"/>
  <c r="P5889" i="3"/>
  <c r="N5889" i="3"/>
  <c r="M5889" i="3"/>
  <c r="L5889" i="3"/>
  <c r="V5888" i="3"/>
  <c r="R5888" i="3"/>
  <c r="P5888" i="3"/>
  <c r="N5888" i="3"/>
  <c r="M5888" i="3"/>
  <c r="L5888" i="3"/>
  <c r="V5887" i="3"/>
  <c r="R5887" i="3"/>
  <c r="P5887" i="3"/>
  <c r="N5887" i="3"/>
  <c r="M5887" i="3"/>
  <c r="L5887" i="3"/>
  <c r="V5886" i="3"/>
  <c r="R5886" i="3"/>
  <c r="P5886" i="3"/>
  <c r="N5886" i="3"/>
  <c r="M5886" i="3"/>
  <c r="L5886" i="3"/>
  <c r="V5885" i="3"/>
  <c r="R5885" i="3"/>
  <c r="P5885" i="3"/>
  <c r="N5885" i="3"/>
  <c r="M5885" i="3"/>
  <c r="L5885" i="3"/>
  <c r="V5884" i="3"/>
  <c r="R5884" i="3"/>
  <c r="P5884" i="3"/>
  <c r="N5884" i="3"/>
  <c r="M5884" i="3"/>
  <c r="L5884" i="3"/>
  <c r="V5883" i="3"/>
  <c r="R5883" i="3"/>
  <c r="P5883" i="3"/>
  <c r="N5883" i="3"/>
  <c r="M5883" i="3"/>
  <c r="L5883" i="3"/>
  <c r="V5882" i="3"/>
  <c r="R5882" i="3"/>
  <c r="P5882" i="3"/>
  <c r="N5882" i="3"/>
  <c r="M5882" i="3"/>
  <c r="L5882" i="3"/>
  <c r="V5881" i="3"/>
  <c r="R5881" i="3"/>
  <c r="P5881" i="3"/>
  <c r="N5881" i="3"/>
  <c r="M5881" i="3"/>
  <c r="L5881" i="3"/>
  <c r="V5880" i="3"/>
  <c r="R5880" i="3"/>
  <c r="P5880" i="3"/>
  <c r="N5880" i="3"/>
  <c r="M5880" i="3"/>
  <c r="L5880" i="3"/>
  <c r="V5879" i="3"/>
  <c r="R5879" i="3"/>
  <c r="P5879" i="3"/>
  <c r="N5879" i="3"/>
  <c r="M5879" i="3"/>
  <c r="L5879" i="3"/>
  <c r="V5878" i="3"/>
  <c r="R5878" i="3"/>
  <c r="P5878" i="3"/>
  <c r="N5878" i="3"/>
  <c r="M5878" i="3"/>
  <c r="L5878" i="3"/>
  <c r="V5877" i="3"/>
  <c r="R5877" i="3"/>
  <c r="P5877" i="3"/>
  <c r="N5877" i="3"/>
  <c r="M5877" i="3"/>
  <c r="L5877" i="3"/>
  <c r="V5876" i="3"/>
  <c r="R5876" i="3"/>
  <c r="P5876" i="3"/>
  <c r="N5876" i="3"/>
  <c r="M5876" i="3"/>
  <c r="L5876" i="3"/>
  <c r="V5875" i="3"/>
  <c r="R5875" i="3"/>
  <c r="P5875" i="3"/>
  <c r="N5875" i="3"/>
  <c r="M5875" i="3"/>
  <c r="L5875" i="3"/>
  <c r="V5874" i="3"/>
  <c r="R5874" i="3"/>
  <c r="P5874" i="3"/>
  <c r="N5874" i="3"/>
  <c r="M5874" i="3"/>
  <c r="L5874" i="3"/>
  <c r="V5873" i="3"/>
  <c r="R5873" i="3"/>
  <c r="P5873" i="3"/>
  <c r="N5873" i="3"/>
  <c r="M5873" i="3"/>
  <c r="L5873" i="3"/>
  <c r="V5872" i="3"/>
  <c r="R5872" i="3"/>
  <c r="P5872" i="3"/>
  <c r="N5872" i="3"/>
  <c r="M5872" i="3"/>
  <c r="L5872" i="3"/>
  <c r="V5871" i="3"/>
  <c r="R5871" i="3"/>
  <c r="P5871" i="3"/>
  <c r="N5871" i="3"/>
  <c r="M5871" i="3"/>
  <c r="L5871" i="3"/>
  <c r="V5870" i="3"/>
  <c r="R5870" i="3"/>
  <c r="P5870" i="3"/>
  <c r="N5870" i="3"/>
  <c r="M5870" i="3"/>
  <c r="L5870" i="3"/>
  <c r="V5869" i="3"/>
  <c r="R5869" i="3"/>
  <c r="P5869" i="3"/>
  <c r="N5869" i="3"/>
  <c r="M5869" i="3"/>
  <c r="L5869" i="3"/>
  <c r="V5868" i="3"/>
  <c r="R5868" i="3"/>
  <c r="P5868" i="3"/>
  <c r="N5868" i="3"/>
  <c r="M5868" i="3"/>
  <c r="L5868" i="3"/>
  <c r="V5867" i="3"/>
  <c r="R5867" i="3"/>
  <c r="P5867" i="3"/>
  <c r="N5867" i="3"/>
  <c r="M5867" i="3"/>
  <c r="L5867" i="3"/>
  <c r="V5866" i="3"/>
  <c r="R5866" i="3"/>
  <c r="P5866" i="3"/>
  <c r="N5866" i="3"/>
  <c r="M5866" i="3"/>
  <c r="L5866" i="3"/>
  <c r="V5865" i="3"/>
  <c r="R5865" i="3"/>
  <c r="P5865" i="3"/>
  <c r="N5865" i="3"/>
  <c r="M5865" i="3"/>
  <c r="L5865" i="3"/>
  <c r="V5864" i="3"/>
  <c r="R5864" i="3"/>
  <c r="P5864" i="3"/>
  <c r="N5864" i="3"/>
  <c r="M5864" i="3"/>
  <c r="L5864" i="3"/>
  <c r="V5863" i="3"/>
  <c r="R5863" i="3"/>
  <c r="P5863" i="3"/>
  <c r="N5863" i="3"/>
  <c r="M5863" i="3"/>
  <c r="L5863" i="3"/>
  <c r="V5862" i="3"/>
  <c r="R5862" i="3"/>
  <c r="P5862" i="3"/>
  <c r="N5862" i="3"/>
  <c r="M5862" i="3"/>
  <c r="L5862" i="3"/>
  <c r="V5861" i="3"/>
  <c r="R5861" i="3"/>
  <c r="P5861" i="3"/>
  <c r="N5861" i="3"/>
  <c r="M5861" i="3"/>
  <c r="L5861" i="3"/>
  <c r="V5860" i="3"/>
  <c r="R5860" i="3"/>
  <c r="P5860" i="3"/>
  <c r="N5860" i="3"/>
  <c r="M5860" i="3"/>
  <c r="L5860" i="3"/>
  <c r="V5859" i="3"/>
  <c r="R5859" i="3"/>
  <c r="P5859" i="3"/>
  <c r="N5859" i="3"/>
  <c r="M5859" i="3"/>
  <c r="L5859" i="3"/>
  <c r="V5858" i="3"/>
  <c r="R5858" i="3"/>
  <c r="P5858" i="3"/>
  <c r="N5858" i="3"/>
  <c r="M5858" i="3"/>
  <c r="L5858" i="3"/>
  <c r="V5857" i="3"/>
  <c r="R5857" i="3"/>
  <c r="P5857" i="3"/>
  <c r="N5857" i="3"/>
  <c r="M5857" i="3"/>
  <c r="L5857" i="3"/>
  <c r="V5856" i="3"/>
  <c r="R5856" i="3"/>
  <c r="P5856" i="3"/>
  <c r="N5856" i="3"/>
  <c r="M5856" i="3"/>
  <c r="L5856" i="3"/>
  <c r="V5855" i="3"/>
  <c r="R5855" i="3"/>
  <c r="P5855" i="3"/>
  <c r="N5855" i="3"/>
  <c r="M5855" i="3"/>
  <c r="L5855" i="3"/>
  <c r="V5854" i="3"/>
  <c r="R5854" i="3"/>
  <c r="P5854" i="3"/>
  <c r="N5854" i="3"/>
  <c r="M5854" i="3"/>
  <c r="L5854" i="3"/>
  <c r="V5853" i="3"/>
  <c r="R5853" i="3"/>
  <c r="P5853" i="3"/>
  <c r="N5853" i="3"/>
  <c r="M5853" i="3"/>
  <c r="L5853" i="3"/>
  <c r="V5852" i="3"/>
  <c r="R5852" i="3"/>
  <c r="P5852" i="3"/>
  <c r="N5852" i="3"/>
  <c r="M5852" i="3"/>
  <c r="L5852" i="3"/>
  <c r="V5851" i="3"/>
  <c r="R5851" i="3"/>
  <c r="P5851" i="3"/>
  <c r="N5851" i="3"/>
  <c r="M5851" i="3"/>
  <c r="L5851" i="3"/>
  <c r="V5850" i="3"/>
  <c r="R5850" i="3"/>
  <c r="P5850" i="3"/>
  <c r="N5850" i="3"/>
  <c r="M5850" i="3"/>
  <c r="L5850" i="3"/>
  <c r="V5849" i="3"/>
  <c r="R5849" i="3"/>
  <c r="P5849" i="3"/>
  <c r="N5849" i="3"/>
  <c r="M5849" i="3"/>
  <c r="L5849" i="3"/>
  <c r="V5848" i="3"/>
  <c r="R5848" i="3"/>
  <c r="P5848" i="3"/>
  <c r="N5848" i="3"/>
  <c r="M5848" i="3"/>
  <c r="L5848" i="3"/>
  <c r="V5847" i="3"/>
  <c r="R5847" i="3"/>
  <c r="P5847" i="3"/>
  <c r="N5847" i="3"/>
  <c r="M5847" i="3"/>
  <c r="L5847" i="3"/>
  <c r="V5846" i="3"/>
  <c r="R5846" i="3"/>
  <c r="P5846" i="3"/>
  <c r="N5846" i="3"/>
  <c r="M5846" i="3"/>
  <c r="L5846" i="3"/>
  <c r="V5845" i="3"/>
  <c r="R5845" i="3"/>
  <c r="P5845" i="3"/>
  <c r="N5845" i="3"/>
  <c r="M5845" i="3"/>
  <c r="L5845" i="3"/>
  <c r="V5844" i="3"/>
  <c r="R5844" i="3"/>
  <c r="P5844" i="3"/>
  <c r="N5844" i="3"/>
  <c r="M5844" i="3"/>
  <c r="L5844" i="3"/>
  <c r="V5843" i="3"/>
  <c r="R5843" i="3"/>
  <c r="P5843" i="3"/>
  <c r="N5843" i="3"/>
  <c r="M5843" i="3"/>
  <c r="L5843" i="3"/>
  <c r="V5842" i="3"/>
  <c r="R5842" i="3"/>
  <c r="P5842" i="3"/>
  <c r="N5842" i="3"/>
  <c r="M5842" i="3"/>
  <c r="L5842" i="3"/>
  <c r="V5841" i="3"/>
  <c r="R5841" i="3"/>
  <c r="P5841" i="3"/>
  <c r="N5841" i="3"/>
  <c r="M5841" i="3"/>
  <c r="L5841" i="3"/>
  <c r="V5840" i="3"/>
  <c r="R5840" i="3"/>
  <c r="P5840" i="3"/>
  <c r="N5840" i="3"/>
  <c r="M5840" i="3"/>
  <c r="L5840" i="3"/>
  <c r="V5839" i="3"/>
  <c r="R5839" i="3"/>
  <c r="P5839" i="3"/>
  <c r="N5839" i="3"/>
  <c r="M5839" i="3"/>
  <c r="L5839" i="3"/>
  <c r="V5838" i="3"/>
  <c r="R5838" i="3"/>
  <c r="P5838" i="3"/>
  <c r="N5838" i="3"/>
  <c r="M5838" i="3"/>
  <c r="L5838" i="3"/>
  <c r="V5837" i="3"/>
  <c r="R5837" i="3"/>
  <c r="P5837" i="3"/>
  <c r="N5837" i="3"/>
  <c r="M5837" i="3"/>
  <c r="L5837" i="3"/>
  <c r="V5836" i="3"/>
  <c r="R5836" i="3"/>
  <c r="P5836" i="3"/>
  <c r="N5836" i="3"/>
  <c r="M5836" i="3"/>
  <c r="L5836" i="3"/>
  <c r="V5835" i="3"/>
  <c r="R5835" i="3"/>
  <c r="P5835" i="3"/>
  <c r="N5835" i="3"/>
  <c r="M5835" i="3"/>
  <c r="L5835" i="3"/>
  <c r="V5834" i="3"/>
  <c r="R5834" i="3"/>
  <c r="P5834" i="3"/>
  <c r="N5834" i="3"/>
  <c r="M5834" i="3"/>
  <c r="L5834" i="3"/>
  <c r="V5833" i="3"/>
  <c r="R5833" i="3"/>
  <c r="P5833" i="3"/>
  <c r="N5833" i="3"/>
  <c r="M5833" i="3"/>
  <c r="L5833" i="3"/>
  <c r="V5832" i="3"/>
  <c r="R5832" i="3"/>
  <c r="P5832" i="3"/>
  <c r="N5832" i="3"/>
  <c r="M5832" i="3"/>
  <c r="L5832" i="3"/>
  <c r="V5831" i="3"/>
  <c r="R5831" i="3"/>
  <c r="P5831" i="3"/>
  <c r="N5831" i="3"/>
  <c r="M5831" i="3"/>
  <c r="L5831" i="3"/>
  <c r="V5830" i="3"/>
  <c r="R5830" i="3"/>
  <c r="P5830" i="3"/>
  <c r="N5830" i="3"/>
  <c r="M5830" i="3"/>
  <c r="L5830" i="3"/>
  <c r="V5829" i="3"/>
  <c r="R5829" i="3"/>
  <c r="P5829" i="3"/>
  <c r="N5829" i="3"/>
  <c r="M5829" i="3"/>
  <c r="L5829" i="3"/>
  <c r="V5828" i="3"/>
  <c r="R5828" i="3"/>
  <c r="P5828" i="3"/>
  <c r="N5828" i="3"/>
  <c r="M5828" i="3"/>
  <c r="L5828" i="3"/>
  <c r="V5827" i="3"/>
  <c r="R5827" i="3"/>
  <c r="P5827" i="3"/>
  <c r="N5827" i="3"/>
  <c r="M5827" i="3"/>
  <c r="L5827" i="3"/>
  <c r="V5826" i="3"/>
  <c r="R5826" i="3"/>
  <c r="P5826" i="3"/>
  <c r="N5826" i="3"/>
  <c r="M5826" i="3"/>
  <c r="L5826" i="3"/>
  <c r="V5825" i="3"/>
  <c r="R5825" i="3"/>
  <c r="P5825" i="3"/>
  <c r="N5825" i="3"/>
  <c r="M5825" i="3"/>
  <c r="L5825" i="3"/>
  <c r="V5824" i="3"/>
  <c r="R5824" i="3"/>
  <c r="P5824" i="3"/>
  <c r="N5824" i="3"/>
  <c r="M5824" i="3"/>
  <c r="L5824" i="3"/>
  <c r="V5823" i="3"/>
  <c r="R5823" i="3"/>
  <c r="P5823" i="3"/>
  <c r="N5823" i="3"/>
  <c r="M5823" i="3"/>
  <c r="L5823" i="3"/>
  <c r="V5822" i="3"/>
  <c r="R5822" i="3"/>
  <c r="P5822" i="3"/>
  <c r="N5822" i="3"/>
  <c r="M5822" i="3"/>
  <c r="L5822" i="3"/>
  <c r="V5821" i="3"/>
  <c r="R5821" i="3"/>
  <c r="P5821" i="3"/>
  <c r="N5821" i="3"/>
  <c r="M5821" i="3"/>
  <c r="L5821" i="3"/>
  <c r="V5820" i="3"/>
  <c r="R5820" i="3"/>
  <c r="P5820" i="3"/>
  <c r="N5820" i="3"/>
  <c r="M5820" i="3"/>
  <c r="L5820" i="3"/>
  <c r="V5819" i="3"/>
  <c r="R5819" i="3"/>
  <c r="P5819" i="3"/>
  <c r="N5819" i="3"/>
  <c r="M5819" i="3"/>
  <c r="L5819" i="3"/>
  <c r="V5818" i="3"/>
  <c r="R5818" i="3"/>
  <c r="P5818" i="3"/>
  <c r="N5818" i="3"/>
  <c r="M5818" i="3"/>
  <c r="L5818" i="3"/>
  <c r="V5817" i="3"/>
  <c r="R5817" i="3"/>
  <c r="P5817" i="3"/>
  <c r="N5817" i="3"/>
  <c r="M5817" i="3"/>
  <c r="L5817" i="3"/>
  <c r="V5816" i="3"/>
  <c r="R5816" i="3"/>
  <c r="P5816" i="3"/>
  <c r="N5816" i="3"/>
  <c r="M5816" i="3"/>
  <c r="L5816" i="3"/>
  <c r="V5815" i="3"/>
  <c r="R5815" i="3"/>
  <c r="P5815" i="3"/>
  <c r="N5815" i="3"/>
  <c r="M5815" i="3"/>
  <c r="L5815" i="3"/>
  <c r="V5814" i="3"/>
  <c r="R5814" i="3"/>
  <c r="P5814" i="3"/>
  <c r="N5814" i="3"/>
  <c r="M5814" i="3"/>
  <c r="L5814" i="3"/>
  <c r="V5813" i="3"/>
  <c r="R5813" i="3"/>
  <c r="P5813" i="3"/>
  <c r="N5813" i="3"/>
  <c r="M5813" i="3"/>
  <c r="L5813" i="3"/>
  <c r="V5812" i="3"/>
  <c r="R5812" i="3"/>
  <c r="P5812" i="3"/>
  <c r="N5812" i="3"/>
  <c r="M5812" i="3"/>
  <c r="L5812" i="3"/>
  <c r="V5811" i="3"/>
  <c r="R5811" i="3"/>
  <c r="P5811" i="3"/>
  <c r="N5811" i="3"/>
  <c r="M5811" i="3"/>
  <c r="L5811" i="3"/>
  <c r="V5810" i="3"/>
  <c r="R5810" i="3"/>
  <c r="P5810" i="3"/>
  <c r="N5810" i="3"/>
  <c r="M5810" i="3"/>
  <c r="L5810" i="3"/>
  <c r="V5809" i="3"/>
  <c r="R5809" i="3"/>
  <c r="P5809" i="3"/>
  <c r="N5809" i="3"/>
  <c r="M5809" i="3"/>
  <c r="L5809" i="3"/>
  <c r="V5808" i="3"/>
  <c r="R5808" i="3"/>
  <c r="P5808" i="3"/>
  <c r="N5808" i="3"/>
  <c r="M5808" i="3"/>
  <c r="L5808" i="3"/>
  <c r="V5807" i="3"/>
  <c r="R5807" i="3"/>
  <c r="P5807" i="3"/>
  <c r="N5807" i="3"/>
  <c r="M5807" i="3"/>
  <c r="L5807" i="3"/>
  <c r="V5806" i="3"/>
  <c r="R5806" i="3"/>
  <c r="P5806" i="3"/>
  <c r="N5806" i="3"/>
  <c r="M5806" i="3"/>
  <c r="L5806" i="3"/>
  <c r="V5805" i="3"/>
  <c r="R5805" i="3"/>
  <c r="P5805" i="3"/>
  <c r="N5805" i="3"/>
  <c r="M5805" i="3"/>
  <c r="L5805" i="3"/>
  <c r="V5804" i="3"/>
  <c r="R5804" i="3"/>
  <c r="P5804" i="3"/>
  <c r="N5804" i="3"/>
  <c r="M5804" i="3"/>
  <c r="L5804" i="3"/>
  <c r="V5803" i="3"/>
  <c r="R5803" i="3"/>
  <c r="P5803" i="3"/>
  <c r="N5803" i="3"/>
  <c r="M5803" i="3"/>
  <c r="L5803" i="3"/>
  <c r="R5802" i="3"/>
  <c r="P5802" i="3"/>
  <c r="N5802" i="3"/>
  <c r="M5802" i="3"/>
  <c r="L5802" i="3"/>
  <c r="V5801" i="3"/>
  <c r="R5801" i="3"/>
  <c r="P5801" i="3"/>
  <c r="N5801" i="3"/>
  <c r="M5801" i="3"/>
  <c r="L5801" i="3"/>
  <c r="V5800" i="3"/>
  <c r="R5800" i="3"/>
  <c r="P5800" i="3"/>
  <c r="N5800" i="3"/>
  <c r="M5800" i="3"/>
  <c r="L5800" i="3"/>
  <c r="V5799" i="3"/>
  <c r="R5799" i="3"/>
  <c r="P5799" i="3"/>
  <c r="N5799" i="3"/>
  <c r="M5799" i="3"/>
  <c r="L5799" i="3"/>
  <c r="V5798" i="3"/>
  <c r="R5798" i="3"/>
  <c r="P5798" i="3"/>
  <c r="N5798" i="3"/>
  <c r="M5798" i="3"/>
  <c r="L5798" i="3"/>
  <c r="V5797" i="3"/>
  <c r="R5797" i="3"/>
  <c r="P5797" i="3"/>
  <c r="N5797" i="3"/>
  <c r="M5797" i="3"/>
  <c r="L5797" i="3"/>
  <c r="V5796" i="3"/>
  <c r="R5796" i="3"/>
  <c r="P5796" i="3"/>
  <c r="N5796" i="3"/>
  <c r="M5796" i="3"/>
  <c r="L5796" i="3"/>
  <c r="V5795" i="3"/>
  <c r="R5795" i="3"/>
  <c r="P5795" i="3"/>
  <c r="N5795" i="3"/>
  <c r="M5795" i="3"/>
  <c r="L5795" i="3"/>
  <c r="V5794" i="3"/>
  <c r="R5794" i="3"/>
  <c r="P5794" i="3"/>
  <c r="N5794" i="3"/>
  <c r="M5794" i="3"/>
  <c r="L5794" i="3"/>
  <c r="V5793" i="3"/>
  <c r="R5793" i="3"/>
  <c r="P5793" i="3"/>
  <c r="N5793" i="3"/>
  <c r="M5793" i="3"/>
  <c r="L5793" i="3"/>
  <c r="V5792" i="3"/>
  <c r="R5792" i="3"/>
  <c r="P5792" i="3"/>
  <c r="N5792" i="3"/>
  <c r="M5792" i="3"/>
  <c r="L5792" i="3"/>
  <c r="V5791" i="3"/>
  <c r="R5791" i="3"/>
  <c r="P5791" i="3"/>
  <c r="N5791" i="3"/>
  <c r="M5791" i="3"/>
  <c r="L5791" i="3"/>
  <c r="V5790" i="3"/>
  <c r="R5790" i="3"/>
  <c r="P5790" i="3"/>
  <c r="N5790" i="3"/>
  <c r="M5790" i="3"/>
  <c r="L5790" i="3"/>
  <c r="V5789" i="3"/>
  <c r="R5789" i="3"/>
  <c r="P5789" i="3"/>
  <c r="N5789" i="3"/>
  <c r="M5789" i="3"/>
  <c r="L5789" i="3"/>
  <c r="V5788" i="3"/>
  <c r="R5788" i="3"/>
  <c r="P5788" i="3"/>
  <c r="N5788" i="3"/>
  <c r="M5788" i="3"/>
  <c r="L5788" i="3"/>
  <c r="V5787" i="3"/>
  <c r="R5787" i="3"/>
  <c r="P5787" i="3"/>
  <c r="N5787" i="3"/>
  <c r="M5787" i="3"/>
  <c r="L5787" i="3"/>
  <c r="V5786" i="3"/>
  <c r="R5786" i="3"/>
  <c r="P5786" i="3"/>
  <c r="N5786" i="3"/>
  <c r="M5786" i="3"/>
  <c r="L5786" i="3"/>
  <c r="R5785" i="3"/>
  <c r="P5785" i="3"/>
  <c r="N5785" i="3"/>
  <c r="M5785" i="3"/>
  <c r="L5785" i="3"/>
  <c r="V5784" i="3"/>
  <c r="R5784" i="3"/>
  <c r="P5784" i="3"/>
  <c r="N5784" i="3"/>
  <c r="M5784" i="3"/>
  <c r="L5784" i="3"/>
  <c r="V5783" i="3"/>
  <c r="R5783" i="3"/>
  <c r="P5783" i="3"/>
  <c r="N5783" i="3"/>
  <c r="M5783" i="3"/>
  <c r="L5783" i="3"/>
  <c r="V5782" i="3"/>
  <c r="R5782" i="3"/>
  <c r="P5782" i="3"/>
  <c r="N5782" i="3"/>
  <c r="M5782" i="3"/>
  <c r="L5782" i="3"/>
  <c r="V5781" i="3"/>
  <c r="R5781" i="3"/>
  <c r="P5781" i="3"/>
  <c r="N5781" i="3"/>
  <c r="M5781" i="3"/>
  <c r="L5781" i="3"/>
  <c r="V5780" i="3"/>
  <c r="R5780" i="3"/>
  <c r="P5780" i="3"/>
  <c r="N5780" i="3"/>
  <c r="M5780" i="3"/>
  <c r="L5780" i="3"/>
  <c r="V5779" i="3"/>
  <c r="R5779" i="3"/>
  <c r="P5779" i="3"/>
  <c r="N5779" i="3"/>
  <c r="M5779" i="3"/>
  <c r="L5779" i="3"/>
  <c r="V5778" i="3"/>
  <c r="R5778" i="3"/>
  <c r="P5778" i="3"/>
  <c r="N5778" i="3"/>
  <c r="M5778" i="3"/>
  <c r="L5778" i="3"/>
  <c r="V5777" i="3"/>
  <c r="R5777" i="3"/>
  <c r="P5777" i="3"/>
  <c r="N5777" i="3"/>
  <c r="M5777" i="3"/>
  <c r="L5777" i="3"/>
  <c r="V5776" i="3"/>
  <c r="R5776" i="3"/>
  <c r="P5776" i="3"/>
  <c r="N5776" i="3"/>
  <c r="M5776" i="3"/>
  <c r="L5776" i="3"/>
  <c r="V5775" i="3"/>
  <c r="R5775" i="3"/>
  <c r="P5775" i="3"/>
  <c r="N5775" i="3"/>
  <c r="M5775" i="3"/>
  <c r="L5775" i="3"/>
  <c r="V5774" i="3"/>
  <c r="R5774" i="3"/>
  <c r="P5774" i="3"/>
  <c r="N5774" i="3"/>
  <c r="M5774" i="3"/>
  <c r="L5774" i="3"/>
  <c r="V5773" i="3"/>
  <c r="R5773" i="3"/>
  <c r="P5773" i="3"/>
  <c r="N5773" i="3"/>
  <c r="M5773" i="3"/>
  <c r="L5773" i="3"/>
  <c r="V5772" i="3"/>
  <c r="R5772" i="3"/>
  <c r="P5772" i="3"/>
  <c r="N5772" i="3"/>
  <c r="M5772" i="3"/>
  <c r="L5772" i="3"/>
  <c r="V5771" i="3"/>
  <c r="R5771" i="3"/>
  <c r="P5771" i="3"/>
  <c r="N5771" i="3"/>
  <c r="M5771" i="3"/>
  <c r="L5771" i="3"/>
  <c r="V5770" i="3"/>
  <c r="R5770" i="3"/>
  <c r="P5770" i="3"/>
  <c r="N5770" i="3"/>
  <c r="M5770" i="3"/>
  <c r="L5770" i="3"/>
  <c r="V5769" i="3"/>
  <c r="R5769" i="3"/>
  <c r="P5769" i="3"/>
  <c r="N5769" i="3"/>
  <c r="M5769" i="3"/>
  <c r="L5769" i="3"/>
  <c r="V5768" i="3"/>
  <c r="R5768" i="3"/>
  <c r="P5768" i="3"/>
  <c r="N5768" i="3"/>
  <c r="M5768" i="3"/>
  <c r="L5768" i="3"/>
  <c r="V5767" i="3"/>
  <c r="R5767" i="3"/>
  <c r="P5767" i="3"/>
  <c r="N5767" i="3"/>
  <c r="M5767" i="3"/>
  <c r="L5767" i="3"/>
  <c r="V5766" i="3"/>
  <c r="R5766" i="3"/>
  <c r="P5766" i="3"/>
  <c r="N5766" i="3"/>
  <c r="M5766" i="3"/>
  <c r="L5766" i="3"/>
  <c r="V5765" i="3"/>
  <c r="R5765" i="3"/>
  <c r="P5765" i="3"/>
  <c r="N5765" i="3"/>
  <c r="M5765" i="3"/>
  <c r="L5765" i="3"/>
  <c r="V5764" i="3"/>
  <c r="R5764" i="3"/>
  <c r="P5764" i="3"/>
  <c r="N5764" i="3"/>
  <c r="M5764" i="3"/>
  <c r="L5764" i="3"/>
  <c r="V5763" i="3"/>
  <c r="R5763" i="3"/>
  <c r="P5763" i="3"/>
  <c r="N5763" i="3"/>
  <c r="M5763" i="3"/>
  <c r="L5763" i="3"/>
  <c r="V5762" i="3"/>
  <c r="R5762" i="3"/>
  <c r="P5762" i="3"/>
  <c r="N5762" i="3"/>
  <c r="M5762" i="3"/>
  <c r="L5762" i="3"/>
  <c r="V5761" i="3"/>
  <c r="R5761" i="3"/>
  <c r="P5761" i="3"/>
  <c r="N5761" i="3"/>
  <c r="M5761" i="3"/>
  <c r="L5761" i="3"/>
  <c r="V5760" i="3"/>
  <c r="R5760" i="3"/>
  <c r="P5760" i="3"/>
  <c r="N5760" i="3"/>
  <c r="M5760" i="3"/>
  <c r="L5760" i="3"/>
  <c r="V5759" i="3"/>
  <c r="R5759" i="3"/>
  <c r="P5759" i="3"/>
  <c r="N5759" i="3"/>
  <c r="M5759" i="3"/>
  <c r="L5759" i="3"/>
  <c r="V5758" i="3"/>
  <c r="R5758" i="3"/>
  <c r="P5758" i="3"/>
  <c r="N5758" i="3"/>
  <c r="M5758" i="3"/>
  <c r="L5758" i="3"/>
  <c r="V5757" i="3"/>
  <c r="R5757" i="3"/>
  <c r="P5757" i="3"/>
  <c r="N5757" i="3"/>
  <c r="M5757" i="3"/>
  <c r="L5757" i="3"/>
  <c r="V5756" i="3"/>
  <c r="R5756" i="3"/>
  <c r="P5756" i="3"/>
  <c r="N5756" i="3"/>
  <c r="M5756" i="3"/>
  <c r="L5756" i="3"/>
  <c r="V5755" i="3"/>
  <c r="R5755" i="3"/>
  <c r="P5755" i="3"/>
  <c r="N5755" i="3"/>
  <c r="M5755" i="3"/>
  <c r="L5755" i="3"/>
  <c r="V5754" i="3"/>
  <c r="R5754" i="3"/>
  <c r="P5754" i="3"/>
  <c r="N5754" i="3"/>
  <c r="M5754" i="3"/>
  <c r="L5754" i="3"/>
  <c r="V5753" i="3"/>
  <c r="R5753" i="3"/>
  <c r="P5753" i="3"/>
  <c r="N5753" i="3"/>
  <c r="M5753" i="3"/>
  <c r="L5753" i="3"/>
  <c r="V5752" i="3"/>
  <c r="R5752" i="3"/>
  <c r="P5752" i="3"/>
  <c r="N5752" i="3"/>
  <c r="M5752" i="3"/>
  <c r="L5752" i="3"/>
  <c r="V5751" i="3"/>
  <c r="R5751" i="3"/>
  <c r="P5751" i="3"/>
  <c r="N5751" i="3"/>
  <c r="M5751" i="3"/>
  <c r="L5751" i="3"/>
  <c r="V5750" i="3"/>
  <c r="R5750" i="3"/>
  <c r="P5750" i="3"/>
  <c r="N5750" i="3"/>
  <c r="M5750" i="3"/>
  <c r="L5750" i="3"/>
  <c r="V5749" i="3"/>
  <c r="R5749" i="3"/>
  <c r="P5749" i="3"/>
  <c r="N5749" i="3"/>
  <c r="M5749" i="3"/>
  <c r="L5749" i="3"/>
  <c r="V5748" i="3"/>
  <c r="R5748" i="3"/>
  <c r="P5748" i="3"/>
  <c r="N5748" i="3"/>
  <c r="M5748" i="3"/>
  <c r="L5748" i="3"/>
  <c r="V5747" i="3"/>
  <c r="R5747" i="3"/>
  <c r="P5747" i="3"/>
  <c r="N5747" i="3"/>
  <c r="M5747" i="3"/>
  <c r="L5747" i="3"/>
  <c r="V5746" i="3"/>
  <c r="R5746" i="3"/>
  <c r="P5746" i="3"/>
  <c r="N5746" i="3"/>
  <c r="M5746" i="3"/>
  <c r="L5746" i="3"/>
  <c r="V5745" i="3"/>
  <c r="R5745" i="3"/>
  <c r="P5745" i="3"/>
  <c r="N5745" i="3"/>
  <c r="M5745" i="3"/>
  <c r="L5745" i="3"/>
  <c r="V5744" i="3"/>
  <c r="R5744" i="3"/>
  <c r="P5744" i="3"/>
  <c r="N5744" i="3"/>
  <c r="M5744" i="3"/>
  <c r="L5744" i="3"/>
  <c r="V5743" i="3"/>
  <c r="R5743" i="3"/>
  <c r="P5743" i="3"/>
  <c r="N5743" i="3"/>
  <c r="M5743" i="3"/>
  <c r="L5743" i="3"/>
  <c r="V5742" i="3"/>
  <c r="R5742" i="3"/>
  <c r="P5742" i="3"/>
  <c r="N5742" i="3"/>
  <c r="M5742" i="3"/>
  <c r="L5742" i="3"/>
  <c r="V5741" i="3"/>
  <c r="R5741" i="3"/>
  <c r="P5741" i="3"/>
  <c r="N5741" i="3"/>
  <c r="M5741" i="3"/>
  <c r="L5741" i="3"/>
  <c r="V5740" i="3"/>
  <c r="R5740" i="3"/>
  <c r="P5740" i="3"/>
  <c r="N5740" i="3"/>
  <c r="M5740" i="3"/>
  <c r="L5740" i="3"/>
  <c r="V5739" i="3"/>
  <c r="R5739" i="3"/>
  <c r="P5739" i="3"/>
  <c r="N5739" i="3"/>
  <c r="M5739" i="3"/>
  <c r="L5739" i="3"/>
  <c r="V5738" i="3"/>
  <c r="R5738" i="3"/>
  <c r="P5738" i="3"/>
  <c r="N5738" i="3"/>
  <c r="M5738" i="3"/>
  <c r="L5738" i="3"/>
  <c r="V5737" i="3"/>
  <c r="R5737" i="3"/>
  <c r="P5737" i="3"/>
  <c r="N5737" i="3"/>
  <c r="M5737" i="3"/>
  <c r="L5737" i="3"/>
  <c r="V5736" i="3"/>
  <c r="R5736" i="3"/>
  <c r="P5736" i="3"/>
  <c r="N5736" i="3"/>
  <c r="M5736" i="3"/>
  <c r="L5736" i="3"/>
  <c r="V5735" i="3"/>
  <c r="R5735" i="3"/>
  <c r="P5735" i="3"/>
  <c r="N5735" i="3"/>
  <c r="M5735" i="3"/>
  <c r="L5735" i="3"/>
  <c r="V5734" i="3"/>
  <c r="R5734" i="3"/>
  <c r="P5734" i="3"/>
  <c r="N5734" i="3"/>
  <c r="M5734" i="3"/>
  <c r="L5734" i="3"/>
  <c r="V5733" i="3"/>
  <c r="R5733" i="3"/>
  <c r="P5733" i="3"/>
  <c r="N5733" i="3"/>
  <c r="M5733" i="3"/>
  <c r="L5733" i="3"/>
  <c r="V5732" i="3"/>
  <c r="R5732" i="3"/>
  <c r="P5732" i="3"/>
  <c r="N5732" i="3"/>
  <c r="M5732" i="3"/>
  <c r="L5732" i="3"/>
  <c r="V5731" i="3"/>
  <c r="R5731" i="3"/>
  <c r="P5731" i="3"/>
  <c r="N5731" i="3"/>
  <c r="M5731" i="3"/>
  <c r="L5731" i="3"/>
  <c r="V5730" i="3"/>
  <c r="R5730" i="3"/>
  <c r="P5730" i="3"/>
  <c r="N5730" i="3"/>
  <c r="M5730" i="3"/>
  <c r="L5730" i="3"/>
  <c r="V5729" i="3"/>
  <c r="R5729" i="3"/>
  <c r="P5729" i="3"/>
  <c r="N5729" i="3"/>
  <c r="M5729" i="3"/>
  <c r="L5729" i="3"/>
  <c r="V5677" i="3"/>
  <c r="R5677" i="3"/>
  <c r="P5677" i="3"/>
  <c r="N5677" i="3"/>
  <c r="M5677" i="3"/>
  <c r="L5677" i="3"/>
  <c r="V5675" i="3"/>
  <c r="R5675" i="3"/>
  <c r="P5675" i="3"/>
  <c r="N5675" i="3"/>
  <c r="M5675" i="3"/>
  <c r="L5675" i="3"/>
  <c r="V5674" i="3"/>
  <c r="R5674" i="3"/>
  <c r="P5674" i="3"/>
  <c r="N5674" i="3"/>
  <c r="M5674" i="3"/>
  <c r="L5674" i="3"/>
  <c r="V5673" i="3"/>
  <c r="R5673" i="3"/>
  <c r="P5673" i="3"/>
  <c r="N5673" i="3"/>
  <c r="M5673" i="3"/>
  <c r="L5673" i="3"/>
  <c r="V5672" i="3"/>
  <c r="R5672" i="3"/>
  <c r="P5672" i="3"/>
  <c r="N5672" i="3"/>
  <c r="M5672" i="3"/>
  <c r="L5672" i="3"/>
  <c r="V5671" i="3"/>
  <c r="R5671" i="3"/>
  <c r="P5671" i="3"/>
  <c r="N5671" i="3"/>
  <c r="M5671" i="3"/>
  <c r="L5671" i="3"/>
  <c r="V5670" i="3"/>
  <c r="R5670" i="3"/>
  <c r="P5670" i="3"/>
  <c r="N5670" i="3"/>
  <c r="M5670" i="3"/>
  <c r="L5670" i="3"/>
  <c r="V5669" i="3"/>
  <c r="R5669" i="3"/>
  <c r="P5669" i="3"/>
  <c r="N5669" i="3"/>
  <c r="M5669" i="3"/>
  <c r="L5669" i="3"/>
  <c r="V5668" i="3"/>
  <c r="R5668" i="3"/>
  <c r="P5668" i="3"/>
  <c r="N5668" i="3"/>
  <c r="M5668" i="3"/>
  <c r="L5668" i="3"/>
  <c r="V5667" i="3"/>
  <c r="R5667" i="3"/>
  <c r="P5667" i="3"/>
  <c r="N5667" i="3"/>
  <c r="M5667" i="3"/>
  <c r="L5667" i="3"/>
  <c r="V5666" i="3"/>
  <c r="R5666" i="3"/>
  <c r="P5666" i="3"/>
  <c r="N5666" i="3"/>
  <c r="M5666" i="3"/>
  <c r="L5666" i="3"/>
  <c r="V5665" i="3"/>
  <c r="R5665" i="3"/>
  <c r="P5665" i="3"/>
  <c r="N5665" i="3"/>
  <c r="M5665" i="3"/>
  <c r="L5665" i="3"/>
  <c r="V5664" i="3"/>
  <c r="R5664" i="3"/>
  <c r="P5664" i="3"/>
  <c r="N5664" i="3"/>
  <c r="M5664" i="3"/>
  <c r="L5664" i="3"/>
  <c r="V5663" i="3"/>
  <c r="R5663" i="3"/>
  <c r="P5663" i="3"/>
  <c r="N5663" i="3"/>
  <c r="M5663" i="3"/>
  <c r="L5663" i="3"/>
  <c r="V5662" i="3"/>
  <c r="R5662" i="3"/>
  <c r="P5662" i="3"/>
  <c r="N5662" i="3"/>
  <c r="M5662" i="3"/>
  <c r="L5662" i="3"/>
  <c r="V5661" i="3"/>
  <c r="R5661" i="3"/>
  <c r="P5661" i="3"/>
  <c r="N5661" i="3"/>
  <c r="M5661" i="3"/>
  <c r="L5661" i="3"/>
  <c r="V5660" i="3"/>
  <c r="R5660" i="3"/>
  <c r="P5660" i="3"/>
  <c r="N5660" i="3"/>
  <c r="M5660" i="3"/>
  <c r="L5660" i="3"/>
  <c r="V5659" i="3"/>
  <c r="R5659" i="3"/>
  <c r="P5659" i="3"/>
  <c r="N5659" i="3"/>
  <c r="M5659" i="3"/>
  <c r="L5659" i="3"/>
  <c r="V5658" i="3"/>
  <c r="R5658" i="3"/>
  <c r="P5658" i="3"/>
  <c r="N5658" i="3"/>
  <c r="M5658" i="3"/>
  <c r="L5658" i="3"/>
  <c r="V5657" i="3"/>
  <c r="R5657" i="3"/>
  <c r="P5657" i="3"/>
  <c r="N5657" i="3"/>
  <c r="M5657" i="3"/>
  <c r="L5657" i="3"/>
  <c r="V5656" i="3"/>
  <c r="R5656" i="3"/>
  <c r="P5656" i="3"/>
  <c r="N5656" i="3"/>
  <c r="M5656" i="3"/>
  <c r="L5656" i="3"/>
  <c r="V5655" i="3"/>
  <c r="R5655" i="3"/>
  <c r="P5655" i="3"/>
  <c r="N5655" i="3"/>
  <c r="M5655" i="3"/>
  <c r="L5655" i="3"/>
  <c r="V5654" i="3"/>
  <c r="R5654" i="3"/>
  <c r="P5654" i="3"/>
  <c r="N5654" i="3"/>
  <c r="M5654" i="3"/>
  <c r="L5654" i="3"/>
  <c r="V5653" i="3"/>
  <c r="R5653" i="3"/>
  <c r="P5653" i="3"/>
  <c r="N5653" i="3"/>
  <c r="M5653" i="3"/>
  <c r="L5653" i="3"/>
  <c r="V5652" i="3"/>
  <c r="R5652" i="3"/>
  <c r="P5652" i="3"/>
  <c r="N5652" i="3"/>
  <c r="M5652" i="3"/>
  <c r="L5652" i="3"/>
  <c r="V5651" i="3"/>
  <c r="R5651" i="3"/>
  <c r="P5651" i="3"/>
  <c r="N5651" i="3"/>
  <c r="M5651" i="3"/>
  <c r="L5651" i="3"/>
  <c r="V5650" i="3"/>
  <c r="R5650" i="3"/>
  <c r="P5650" i="3"/>
  <c r="N5650" i="3"/>
  <c r="M5650" i="3"/>
  <c r="L5650" i="3"/>
  <c r="V5649" i="3"/>
  <c r="R5649" i="3"/>
  <c r="P5649" i="3"/>
  <c r="N5649" i="3"/>
  <c r="M5649" i="3"/>
  <c r="L5649" i="3"/>
  <c r="V5648" i="3"/>
  <c r="R5648" i="3"/>
  <c r="P5648" i="3"/>
  <c r="N5648" i="3"/>
  <c r="M5648" i="3"/>
  <c r="L5648" i="3"/>
  <c r="V5647" i="3"/>
  <c r="R5647" i="3"/>
  <c r="P5647" i="3"/>
  <c r="N5647" i="3"/>
  <c r="M5647" i="3"/>
  <c r="L5647" i="3"/>
  <c r="V5646" i="3"/>
  <c r="R5646" i="3"/>
  <c r="P5646" i="3"/>
  <c r="N5646" i="3"/>
  <c r="M5646" i="3"/>
  <c r="L5646" i="3"/>
  <c r="V5645" i="3"/>
  <c r="R5645" i="3"/>
  <c r="P5645" i="3"/>
  <c r="N5645" i="3"/>
  <c r="M5645" i="3"/>
  <c r="L5645" i="3"/>
  <c r="V5644" i="3"/>
  <c r="R5644" i="3"/>
  <c r="P5644" i="3"/>
  <c r="N5644" i="3"/>
  <c r="M5644" i="3"/>
  <c r="L5644" i="3"/>
  <c r="V5643" i="3"/>
  <c r="R5643" i="3"/>
  <c r="P5643" i="3"/>
  <c r="N5643" i="3"/>
  <c r="M5643" i="3"/>
  <c r="L5643" i="3"/>
  <c r="V5642" i="3"/>
  <c r="R5642" i="3"/>
  <c r="P5642" i="3"/>
  <c r="N5642" i="3"/>
  <c r="M5642" i="3"/>
  <c r="L5642" i="3"/>
  <c r="V5641" i="3"/>
  <c r="R5641" i="3"/>
  <c r="P5641" i="3"/>
  <c r="N5641" i="3"/>
  <c r="M5641" i="3"/>
  <c r="L5641" i="3"/>
  <c r="V5640" i="3"/>
  <c r="R5640" i="3"/>
  <c r="P5640" i="3"/>
  <c r="N5640" i="3"/>
  <c r="M5640" i="3"/>
  <c r="L5640" i="3"/>
  <c r="V5639" i="3"/>
  <c r="R5639" i="3"/>
  <c r="P5639" i="3"/>
  <c r="N5639" i="3"/>
  <c r="M5639" i="3"/>
  <c r="L5639" i="3"/>
  <c r="V5638" i="3"/>
  <c r="R5638" i="3"/>
  <c r="P5638" i="3"/>
  <c r="N5638" i="3"/>
  <c r="M5638" i="3"/>
  <c r="L5638" i="3"/>
  <c r="V5637" i="3"/>
  <c r="R5637" i="3"/>
  <c r="P5637" i="3"/>
  <c r="N5637" i="3"/>
  <c r="M5637" i="3"/>
  <c r="L5637" i="3"/>
  <c r="V5636" i="3"/>
  <c r="R5636" i="3"/>
  <c r="P5636" i="3"/>
  <c r="N5636" i="3"/>
  <c r="M5636" i="3"/>
  <c r="L5636" i="3"/>
  <c r="V5635" i="3"/>
  <c r="R5635" i="3"/>
  <c r="P5635" i="3"/>
  <c r="N5635" i="3"/>
  <c r="M5635" i="3"/>
  <c r="L5635" i="3"/>
  <c r="V5634" i="3"/>
  <c r="R5634" i="3"/>
  <c r="P5634" i="3"/>
  <c r="N5634" i="3"/>
  <c r="M5634" i="3"/>
  <c r="L5634" i="3"/>
  <c r="V5633" i="3"/>
  <c r="R5633" i="3"/>
  <c r="P5633" i="3"/>
  <c r="N5633" i="3"/>
  <c r="M5633" i="3"/>
  <c r="L5633" i="3"/>
  <c r="V5632" i="3"/>
  <c r="R5632" i="3"/>
  <c r="P5632" i="3"/>
  <c r="N5632" i="3"/>
  <c r="M5632" i="3"/>
  <c r="L5632" i="3"/>
  <c r="V5631" i="3"/>
  <c r="R5631" i="3"/>
  <c r="P5631" i="3"/>
  <c r="N5631" i="3"/>
  <c r="M5631" i="3"/>
  <c r="L5631" i="3"/>
  <c r="V5630" i="3"/>
  <c r="R5630" i="3"/>
  <c r="P5630" i="3"/>
  <c r="N5630" i="3"/>
  <c r="M5630" i="3"/>
  <c r="L5630" i="3"/>
  <c r="V5629" i="3"/>
  <c r="R5629" i="3"/>
  <c r="P5629" i="3"/>
  <c r="N5629" i="3"/>
  <c r="M5629" i="3"/>
  <c r="L5629" i="3"/>
  <c r="V5628" i="3"/>
  <c r="R5628" i="3"/>
  <c r="P5628" i="3"/>
  <c r="N5628" i="3"/>
  <c r="M5628" i="3"/>
  <c r="L5628" i="3"/>
  <c r="V5627" i="3"/>
  <c r="R5627" i="3"/>
  <c r="P5627" i="3"/>
  <c r="N5627" i="3"/>
  <c r="M5627" i="3"/>
  <c r="L5627" i="3"/>
  <c r="V5626" i="3"/>
  <c r="R5626" i="3"/>
  <c r="P5626" i="3"/>
  <c r="N5626" i="3"/>
  <c r="M5626" i="3"/>
  <c r="L5626" i="3"/>
  <c r="V5625" i="3"/>
  <c r="R5625" i="3"/>
  <c r="P5625" i="3"/>
  <c r="N5625" i="3"/>
  <c r="M5625" i="3"/>
  <c r="L5625" i="3"/>
  <c r="V5624" i="3"/>
  <c r="R5624" i="3"/>
  <c r="P5624" i="3"/>
  <c r="N5624" i="3"/>
  <c r="M5624" i="3"/>
  <c r="L5624" i="3"/>
  <c r="V5623" i="3"/>
  <c r="R5623" i="3"/>
  <c r="P5623" i="3"/>
  <c r="N5623" i="3"/>
  <c r="M5623" i="3"/>
  <c r="L5623" i="3"/>
  <c r="V5622" i="3"/>
  <c r="R5622" i="3"/>
  <c r="P5622" i="3"/>
  <c r="N5622" i="3"/>
  <c r="M5622" i="3"/>
  <c r="L5622" i="3"/>
  <c r="V5621" i="3"/>
  <c r="R5621" i="3"/>
  <c r="P5621" i="3"/>
  <c r="N5621" i="3"/>
  <c r="M5621" i="3"/>
  <c r="L5621" i="3"/>
  <c r="V5620" i="3"/>
  <c r="R5620" i="3"/>
  <c r="P5620" i="3"/>
  <c r="N5620" i="3"/>
  <c r="M5620" i="3"/>
  <c r="L5620" i="3"/>
  <c r="V5619" i="3"/>
  <c r="R5619" i="3"/>
  <c r="P5619" i="3"/>
  <c r="N5619" i="3"/>
  <c r="M5619" i="3"/>
  <c r="L5619" i="3"/>
  <c r="V5618" i="3"/>
  <c r="R5618" i="3"/>
  <c r="P5618" i="3"/>
  <c r="N5618" i="3"/>
  <c r="M5618" i="3"/>
  <c r="L5618" i="3"/>
  <c r="V5617" i="3"/>
  <c r="R5617" i="3"/>
  <c r="P5617" i="3"/>
  <c r="N5617" i="3"/>
  <c r="M5617" i="3"/>
  <c r="L5617" i="3"/>
  <c r="V5616" i="3"/>
  <c r="R5616" i="3"/>
  <c r="P5616" i="3"/>
  <c r="N5616" i="3"/>
  <c r="M5616" i="3"/>
  <c r="L5616" i="3"/>
  <c r="V5615" i="3"/>
  <c r="R5615" i="3"/>
  <c r="P5615" i="3"/>
  <c r="N5615" i="3"/>
  <c r="M5615" i="3"/>
  <c r="L5615" i="3"/>
  <c r="V5614" i="3"/>
  <c r="R5614" i="3"/>
  <c r="P5614" i="3"/>
  <c r="N5614" i="3"/>
  <c r="M5614" i="3"/>
  <c r="L5614" i="3"/>
  <c r="V5613" i="3"/>
  <c r="R5613" i="3"/>
  <c r="P5613" i="3"/>
  <c r="N5613" i="3"/>
  <c r="M5613" i="3"/>
  <c r="L5613" i="3"/>
  <c r="V5612" i="3"/>
  <c r="R5612" i="3"/>
  <c r="P5612" i="3"/>
  <c r="N5612" i="3"/>
  <c r="M5612" i="3"/>
  <c r="L5612" i="3"/>
  <c r="V5611" i="3"/>
  <c r="R5611" i="3"/>
  <c r="P5611" i="3"/>
  <c r="N5611" i="3"/>
  <c r="M5611" i="3"/>
  <c r="L5611" i="3"/>
  <c r="V5610" i="3"/>
  <c r="R5610" i="3"/>
  <c r="P5610" i="3"/>
  <c r="N5610" i="3"/>
  <c r="M5610" i="3"/>
  <c r="L5610" i="3"/>
  <c r="V5609" i="3"/>
  <c r="R5609" i="3"/>
  <c r="P5609" i="3"/>
  <c r="N5609" i="3"/>
  <c r="M5609" i="3"/>
  <c r="L5609" i="3"/>
  <c r="V5608" i="3"/>
  <c r="R5608" i="3"/>
  <c r="P5608" i="3"/>
  <c r="N5608" i="3"/>
  <c r="M5608" i="3"/>
  <c r="L5608" i="3"/>
  <c r="V5607" i="3"/>
  <c r="R5607" i="3"/>
  <c r="P5607" i="3"/>
  <c r="N5607" i="3"/>
  <c r="M5607" i="3"/>
  <c r="L5607" i="3"/>
  <c r="V5606" i="3"/>
  <c r="R5606" i="3"/>
  <c r="P5606" i="3"/>
  <c r="N5606" i="3"/>
  <c r="M5606" i="3"/>
  <c r="L5606" i="3"/>
  <c r="V5605" i="3"/>
  <c r="R5605" i="3"/>
  <c r="P5605" i="3"/>
  <c r="N5605" i="3"/>
  <c r="M5605" i="3"/>
  <c r="L5605" i="3"/>
  <c r="V5604" i="3"/>
  <c r="R5604" i="3"/>
  <c r="P5604" i="3"/>
  <c r="N5604" i="3"/>
  <c r="M5604" i="3"/>
  <c r="L5604" i="3"/>
  <c r="V5603" i="3"/>
  <c r="R5603" i="3"/>
  <c r="P5603" i="3"/>
  <c r="N5603" i="3"/>
  <c r="M5603" i="3"/>
  <c r="L5603" i="3"/>
  <c r="V5602" i="3"/>
  <c r="R5602" i="3"/>
  <c r="P5602" i="3"/>
  <c r="N5602" i="3"/>
  <c r="M5602" i="3"/>
  <c r="L5602" i="3"/>
  <c r="V5601" i="3"/>
  <c r="R5601" i="3"/>
  <c r="P5601" i="3"/>
  <c r="N5601" i="3"/>
  <c r="M5601" i="3"/>
  <c r="L5601" i="3"/>
  <c r="V5600" i="3"/>
  <c r="R5600" i="3"/>
  <c r="P5600" i="3"/>
  <c r="N5600" i="3"/>
  <c r="M5600" i="3"/>
  <c r="L5600" i="3"/>
  <c r="V5599" i="3"/>
  <c r="R5599" i="3"/>
  <c r="P5599" i="3"/>
  <c r="N5599" i="3"/>
  <c r="M5599" i="3"/>
  <c r="L5599" i="3"/>
  <c r="V5598" i="3"/>
  <c r="R5598" i="3"/>
  <c r="P5598" i="3"/>
  <c r="N5598" i="3"/>
  <c r="M5598" i="3"/>
  <c r="L5598" i="3"/>
  <c r="V5597" i="3"/>
  <c r="R5597" i="3"/>
  <c r="P5597" i="3"/>
  <c r="N5597" i="3"/>
  <c r="M5597" i="3"/>
  <c r="L5597" i="3"/>
  <c r="V5596" i="3"/>
  <c r="R5596" i="3"/>
  <c r="P5596" i="3"/>
  <c r="N5596" i="3"/>
  <c r="M5596" i="3"/>
  <c r="L5596" i="3"/>
  <c r="V5595" i="3"/>
  <c r="R5595" i="3"/>
  <c r="P5595" i="3"/>
  <c r="N5595" i="3"/>
  <c r="M5595" i="3"/>
  <c r="L5595" i="3"/>
  <c r="V5594" i="3"/>
  <c r="R5594" i="3"/>
  <c r="P5594" i="3"/>
  <c r="N5594" i="3"/>
  <c r="M5594" i="3"/>
  <c r="L5594" i="3"/>
  <c r="V5593" i="3"/>
  <c r="R5593" i="3"/>
  <c r="P5593" i="3"/>
  <c r="N5593" i="3"/>
  <c r="M5593" i="3"/>
  <c r="L5593" i="3"/>
  <c r="V5592" i="3"/>
  <c r="R5592" i="3"/>
  <c r="P5592" i="3"/>
  <c r="N5592" i="3"/>
  <c r="M5592" i="3"/>
  <c r="L5592" i="3"/>
  <c r="V5591" i="3"/>
  <c r="R5591" i="3"/>
  <c r="P5591" i="3"/>
  <c r="N5591" i="3"/>
  <c r="M5591" i="3"/>
  <c r="L5591" i="3"/>
  <c r="V5590" i="3"/>
  <c r="R5590" i="3"/>
  <c r="P5590" i="3"/>
  <c r="N5590" i="3"/>
  <c r="M5590" i="3"/>
  <c r="L5590" i="3"/>
  <c r="V5589" i="3"/>
  <c r="R5589" i="3"/>
  <c r="P5589" i="3"/>
  <c r="N5589" i="3"/>
  <c r="M5589" i="3"/>
  <c r="L5589" i="3"/>
  <c r="V5588" i="3"/>
  <c r="R5588" i="3"/>
  <c r="P5588" i="3"/>
  <c r="N5588" i="3"/>
  <c r="M5588" i="3"/>
  <c r="L5588" i="3"/>
  <c r="V5587" i="3"/>
  <c r="R5587" i="3"/>
  <c r="P5587" i="3"/>
  <c r="N5587" i="3"/>
  <c r="M5587" i="3"/>
  <c r="L5587" i="3"/>
  <c r="V5586" i="3"/>
  <c r="R5586" i="3"/>
  <c r="P5586" i="3"/>
  <c r="N5586" i="3"/>
  <c r="M5586" i="3"/>
  <c r="L5586" i="3"/>
  <c r="V5585" i="3"/>
  <c r="R5585" i="3"/>
  <c r="P5585" i="3"/>
  <c r="N5585" i="3"/>
  <c r="M5585" i="3"/>
  <c r="L5585" i="3"/>
  <c r="V5584" i="3"/>
  <c r="R5584" i="3"/>
  <c r="P5584" i="3"/>
  <c r="N5584" i="3"/>
  <c r="M5584" i="3"/>
  <c r="L5584" i="3"/>
  <c r="V5583" i="3"/>
  <c r="R5583" i="3"/>
  <c r="P5583" i="3"/>
  <c r="N5583" i="3"/>
  <c r="M5583" i="3"/>
  <c r="L5583" i="3"/>
  <c r="V5582" i="3"/>
  <c r="R5582" i="3"/>
  <c r="P5582" i="3"/>
  <c r="N5582" i="3"/>
  <c r="M5582" i="3"/>
  <c r="L5582" i="3"/>
  <c r="V5581" i="3"/>
  <c r="R5581" i="3"/>
  <c r="P5581" i="3"/>
  <c r="N5581" i="3"/>
  <c r="M5581" i="3"/>
  <c r="L5581" i="3"/>
  <c r="V5580" i="3"/>
  <c r="R5580" i="3"/>
  <c r="P5580" i="3"/>
  <c r="N5580" i="3"/>
  <c r="M5580" i="3"/>
  <c r="L5580" i="3"/>
  <c r="V5579" i="3"/>
  <c r="R5579" i="3"/>
  <c r="P5579" i="3"/>
  <c r="N5579" i="3"/>
  <c r="M5579" i="3"/>
  <c r="L5579" i="3"/>
  <c r="V5578" i="3"/>
  <c r="R5578" i="3"/>
  <c r="P5578" i="3"/>
  <c r="N5578" i="3"/>
  <c r="M5578" i="3"/>
  <c r="L5578" i="3"/>
  <c r="V5577" i="3"/>
  <c r="R5577" i="3"/>
  <c r="P5577" i="3"/>
  <c r="N5577" i="3"/>
  <c r="M5577" i="3"/>
  <c r="L5577" i="3"/>
  <c r="V5576" i="3"/>
  <c r="R5576" i="3"/>
  <c r="P5576" i="3"/>
  <c r="N5576" i="3"/>
  <c r="M5576" i="3"/>
  <c r="L5576" i="3"/>
  <c r="V5575" i="3"/>
  <c r="R5575" i="3"/>
  <c r="P5575" i="3"/>
  <c r="N5575" i="3"/>
  <c r="M5575" i="3"/>
  <c r="L5575" i="3"/>
  <c r="V5574" i="3"/>
  <c r="R5574" i="3"/>
  <c r="P5574" i="3"/>
  <c r="N5574" i="3"/>
  <c r="M5574" i="3"/>
  <c r="L5574" i="3"/>
  <c r="R5573" i="3"/>
  <c r="P5573" i="3"/>
  <c r="N5573" i="3"/>
  <c r="M5573" i="3"/>
  <c r="L5573" i="3"/>
  <c r="V5572" i="3"/>
  <c r="R5572" i="3"/>
  <c r="P5572" i="3"/>
  <c r="N5572" i="3"/>
  <c r="M5572" i="3"/>
  <c r="L5572" i="3"/>
  <c r="V5571" i="3"/>
  <c r="R5571" i="3"/>
  <c r="P5571" i="3"/>
  <c r="N5571" i="3"/>
  <c r="M5571" i="3"/>
  <c r="L5571" i="3"/>
  <c r="V5570" i="3"/>
  <c r="R5570" i="3"/>
  <c r="P5570" i="3"/>
  <c r="N5570" i="3"/>
  <c r="M5570" i="3"/>
  <c r="L5570" i="3"/>
  <c r="V5569" i="3"/>
  <c r="R5569" i="3"/>
  <c r="P5569" i="3"/>
  <c r="N5569" i="3"/>
  <c r="M5569" i="3"/>
  <c r="L5569" i="3"/>
  <c r="V5568" i="3"/>
  <c r="R5568" i="3"/>
  <c r="P5568" i="3"/>
  <c r="N5568" i="3"/>
  <c r="M5568" i="3"/>
  <c r="L5568" i="3"/>
  <c r="V5567" i="3"/>
  <c r="R5567" i="3"/>
  <c r="P5567" i="3"/>
  <c r="N5567" i="3"/>
  <c r="M5567" i="3"/>
  <c r="L5567" i="3"/>
  <c r="V5566" i="3"/>
  <c r="R5566" i="3"/>
  <c r="P5566" i="3"/>
  <c r="N5566" i="3"/>
  <c r="M5566" i="3"/>
  <c r="L5566" i="3"/>
  <c r="V5565" i="3"/>
  <c r="R5565" i="3"/>
  <c r="P5565" i="3"/>
  <c r="N5565" i="3"/>
  <c r="M5565" i="3"/>
  <c r="L5565" i="3"/>
  <c r="V5564" i="3"/>
  <c r="R5564" i="3"/>
  <c r="P5564" i="3"/>
  <c r="N5564" i="3"/>
  <c r="M5564" i="3"/>
  <c r="L5564" i="3"/>
  <c r="V5563" i="3"/>
  <c r="R5563" i="3"/>
  <c r="P5563" i="3"/>
  <c r="N5563" i="3"/>
  <c r="M5563" i="3"/>
  <c r="L5563" i="3"/>
  <c r="V5562" i="3"/>
  <c r="R5562" i="3"/>
  <c r="P5562" i="3"/>
  <c r="N5562" i="3"/>
  <c r="M5562" i="3"/>
  <c r="L5562" i="3"/>
  <c r="V5561" i="3"/>
  <c r="R5561" i="3"/>
  <c r="P5561" i="3"/>
  <c r="N5561" i="3"/>
  <c r="M5561" i="3"/>
  <c r="L5561" i="3"/>
  <c r="V5560" i="3"/>
  <c r="R5560" i="3"/>
  <c r="P5560" i="3"/>
  <c r="N5560" i="3"/>
  <c r="M5560" i="3"/>
  <c r="L5560" i="3"/>
  <c r="V5559" i="3"/>
  <c r="R5559" i="3"/>
  <c r="P5559" i="3"/>
  <c r="N5559" i="3"/>
  <c r="M5559" i="3"/>
  <c r="L5559" i="3"/>
  <c r="V5558" i="3"/>
  <c r="R5558" i="3"/>
  <c r="P5558" i="3"/>
  <c r="N5558" i="3"/>
  <c r="M5558" i="3"/>
  <c r="L5558" i="3"/>
  <c r="V5557" i="3"/>
  <c r="R5557" i="3"/>
  <c r="P5557" i="3"/>
  <c r="N5557" i="3"/>
  <c r="M5557" i="3"/>
  <c r="L5557" i="3"/>
  <c r="V5556" i="3"/>
  <c r="R5556" i="3"/>
  <c r="P5556" i="3"/>
  <c r="N5556" i="3"/>
  <c r="M5556" i="3"/>
  <c r="L5556" i="3"/>
  <c r="V5555" i="3"/>
  <c r="R5555" i="3"/>
  <c r="P5555" i="3"/>
  <c r="N5555" i="3"/>
  <c r="M5555" i="3"/>
  <c r="L5555" i="3"/>
  <c r="V5554" i="3"/>
  <c r="R5554" i="3"/>
  <c r="P5554" i="3"/>
  <c r="N5554" i="3"/>
  <c r="M5554" i="3"/>
  <c r="L5554" i="3"/>
  <c r="V5553" i="3"/>
  <c r="R5553" i="3"/>
  <c r="P5553" i="3"/>
  <c r="N5553" i="3"/>
  <c r="M5553" i="3"/>
  <c r="L5553" i="3"/>
  <c r="V5552" i="3"/>
  <c r="R5552" i="3"/>
  <c r="P5552" i="3"/>
  <c r="N5552" i="3"/>
  <c r="M5552" i="3"/>
  <c r="L5552" i="3"/>
  <c r="V5551" i="3"/>
  <c r="R5551" i="3"/>
  <c r="P5551" i="3"/>
  <c r="N5551" i="3"/>
  <c r="M5551" i="3"/>
  <c r="L5551" i="3"/>
  <c r="V5550" i="3"/>
  <c r="R5550" i="3"/>
  <c r="P5550" i="3"/>
  <c r="N5550" i="3"/>
  <c r="M5550" i="3"/>
  <c r="L5550" i="3"/>
  <c r="V5549" i="3"/>
  <c r="R5549" i="3"/>
  <c r="P5549" i="3"/>
  <c r="N5549" i="3"/>
  <c r="M5549" i="3"/>
  <c r="L5549" i="3"/>
  <c r="V5548" i="3"/>
  <c r="R5548" i="3"/>
  <c r="P5548" i="3"/>
  <c r="N5548" i="3"/>
  <c r="M5548" i="3"/>
  <c r="L5548" i="3"/>
  <c r="V5547" i="3"/>
  <c r="R5547" i="3"/>
  <c r="P5547" i="3"/>
  <c r="N5547" i="3"/>
  <c r="M5547" i="3"/>
  <c r="L5547" i="3"/>
  <c r="V5546" i="3"/>
  <c r="R5546" i="3"/>
  <c r="P5546" i="3"/>
  <c r="N5546" i="3"/>
  <c r="M5546" i="3"/>
  <c r="L5546" i="3"/>
  <c r="V5545" i="3"/>
  <c r="R5545" i="3"/>
  <c r="P5545" i="3"/>
  <c r="N5545" i="3"/>
  <c r="M5545" i="3"/>
  <c r="L5545" i="3"/>
  <c r="V5544" i="3"/>
  <c r="R5544" i="3"/>
  <c r="P5544" i="3"/>
  <c r="N5544" i="3"/>
  <c r="M5544" i="3"/>
  <c r="L5544" i="3"/>
  <c r="V5543" i="3"/>
  <c r="R5543" i="3"/>
  <c r="P5543" i="3"/>
  <c r="N5543" i="3"/>
  <c r="M5543" i="3"/>
  <c r="L5543" i="3"/>
  <c r="V5542" i="3"/>
  <c r="R5542" i="3"/>
  <c r="P5542" i="3"/>
  <c r="N5542" i="3"/>
  <c r="M5542" i="3"/>
  <c r="L5542" i="3"/>
  <c r="V5541" i="3"/>
  <c r="R5541" i="3"/>
  <c r="P5541" i="3"/>
  <c r="N5541" i="3"/>
  <c r="M5541" i="3"/>
  <c r="L5541" i="3"/>
  <c r="V5540" i="3"/>
  <c r="R5540" i="3"/>
  <c r="P5540" i="3"/>
  <c r="N5540" i="3"/>
  <c r="M5540" i="3"/>
  <c r="L5540" i="3"/>
  <c r="V5539" i="3"/>
  <c r="R5539" i="3"/>
  <c r="P5539" i="3"/>
  <c r="N5539" i="3"/>
  <c r="M5539" i="3"/>
  <c r="L5539" i="3"/>
  <c r="V5538" i="3"/>
  <c r="R5538" i="3"/>
  <c r="P5538" i="3"/>
  <c r="N5538" i="3"/>
  <c r="M5538" i="3"/>
  <c r="L5538" i="3"/>
  <c r="V5537" i="3"/>
  <c r="R5537" i="3"/>
  <c r="P5537" i="3"/>
  <c r="N5537" i="3"/>
  <c r="M5537" i="3"/>
  <c r="L5537" i="3"/>
  <c r="V5536" i="3"/>
  <c r="R5536" i="3"/>
  <c r="P5536" i="3"/>
  <c r="N5536" i="3"/>
  <c r="M5536" i="3"/>
  <c r="L5536" i="3"/>
  <c r="V5535" i="3"/>
  <c r="R5535" i="3"/>
  <c r="P5535" i="3"/>
  <c r="N5535" i="3"/>
  <c r="M5535" i="3"/>
  <c r="L5535" i="3"/>
  <c r="V5534" i="3"/>
  <c r="R5534" i="3"/>
  <c r="P5534" i="3"/>
  <c r="N5534" i="3"/>
  <c r="M5534" i="3"/>
  <c r="L5534" i="3"/>
  <c r="V5533" i="3"/>
  <c r="R5533" i="3"/>
  <c r="P5533" i="3"/>
  <c r="N5533" i="3"/>
  <c r="M5533" i="3"/>
  <c r="L5533" i="3"/>
  <c r="V5532" i="3"/>
  <c r="R5532" i="3"/>
  <c r="P5532" i="3"/>
  <c r="N5532" i="3"/>
  <c r="M5532" i="3"/>
  <c r="L5532" i="3"/>
  <c r="V5531" i="3"/>
  <c r="R5531" i="3"/>
  <c r="P5531" i="3"/>
  <c r="N5531" i="3"/>
  <c r="M5531" i="3"/>
  <c r="L5531" i="3"/>
  <c r="V5530" i="3"/>
  <c r="R5530" i="3"/>
  <c r="P5530" i="3"/>
  <c r="N5530" i="3"/>
  <c r="M5530" i="3"/>
  <c r="L5530" i="3"/>
  <c r="V5529" i="3"/>
  <c r="R5529" i="3"/>
  <c r="P5529" i="3"/>
  <c r="N5529" i="3"/>
  <c r="M5529" i="3"/>
  <c r="L5529" i="3"/>
  <c r="V5528" i="3"/>
  <c r="R5528" i="3"/>
  <c r="P5528" i="3"/>
  <c r="N5528" i="3"/>
  <c r="M5528" i="3"/>
  <c r="L5528" i="3"/>
  <c r="V5527" i="3"/>
  <c r="R5527" i="3"/>
  <c r="P5527" i="3"/>
  <c r="N5527" i="3"/>
  <c r="M5527" i="3"/>
  <c r="L5527" i="3"/>
  <c r="V5526" i="3"/>
  <c r="R5526" i="3"/>
  <c r="P5526" i="3"/>
  <c r="N5526" i="3"/>
  <c r="M5526" i="3"/>
  <c r="L5526" i="3"/>
  <c r="V5525" i="3"/>
  <c r="R5525" i="3"/>
  <c r="P5525" i="3"/>
  <c r="N5525" i="3"/>
  <c r="M5525" i="3"/>
  <c r="L5525" i="3"/>
  <c r="V5524" i="3"/>
  <c r="R5524" i="3"/>
  <c r="P5524" i="3"/>
  <c r="N5524" i="3"/>
  <c r="M5524" i="3"/>
  <c r="L5524" i="3"/>
  <c r="V5523" i="3"/>
  <c r="R5523" i="3"/>
  <c r="P5523" i="3"/>
  <c r="N5523" i="3"/>
  <c r="M5523" i="3"/>
  <c r="L5523" i="3"/>
  <c r="V5522" i="3"/>
  <c r="R5522" i="3"/>
  <c r="P5522" i="3"/>
  <c r="N5522" i="3"/>
  <c r="M5522" i="3"/>
  <c r="L5522" i="3"/>
  <c r="V5521" i="3"/>
  <c r="R5521" i="3"/>
  <c r="P5521" i="3"/>
  <c r="N5521" i="3"/>
  <c r="M5521" i="3"/>
  <c r="L5521" i="3"/>
  <c r="V5520" i="3"/>
  <c r="R5520" i="3"/>
  <c r="P5520" i="3"/>
  <c r="N5520" i="3"/>
  <c r="M5520" i="3"/>
  <c r="L5520" i="3"/>
  <c r="V5519" i="3"/>
  <c r="R5519" i="3"/>
  <c r="P5519" i="3"/>
  <c r="N5519" i="3"/>
  <c r="M5519" i="3"/>
  <c r="L5519" i="3"/>
  <c r="V5518" i="3"/>
  <c r="R5518" i="3"/>
  <c r="P5518" i="3"/>
  <c r="N5518" i="3"/>
  <c r="M5518" i="3"/>
  <c r="L5518" i="3"/>
  <c r="V5517" i="3"/>
  <c r="R5517" i="3"/>
  <c r="P5517" i="3"/>
  <c r="N5517" i="3"/>
  <c r="M5517" i="3"/>
  <c r="L5517" i="3"/>
  <c r="V5516" i="3"/>
  <c r="R5516" i="3"/>
  <c r="P5516" i="3"/>
  <c r="N5516" i="3"/>
  <c r="M5516" i="3"/>
  <c r="L5516" i="3"/>
  <c r="V5515" i="3"/>
  <c r="R5515" i="3"/>
  <c r="P5515" i="3"/>
  <c r="N5515" i="3"/>
  <c r="M5515" i="3"/>
  <c r="L5515" i="3"/>
  <c r="V5514" i="3"/>
  <c r="R5514" i="3"/>
  <c r="P5514" i="3"/>
  <c r="N5514" i="3"/>
  <c r="M5514" i="3"/>
  <c r="L5514" i="3"/>
  <c r="V5513" i="3"/>
  <c r="R5513" i="3"/>
  <c r="P5513" i="3"/>
  <c r="N5513" i="3"/>
  <c r="M5513" i="3"/>
  <c r="L5513" i="3"/>
  <c r="V5512" i="3"/>
  <c r="R5512" i="3"/>
  <c r="P5512" i="3"/>
  <c r="N5512" i="3"/>
  <c r="M5512" i="3"/>
  <c r="L5512" i="3"/>
  <c r="V5511" i="3"/>
  <c r="R5511" i="3"/>
  <c r="P5511" i="3"/>
  <c r="N5511" i="3"/>
  <c r="M5511" i="3"/>
  <c r="L5511" i="3"/>
  <c r="V5510" i="3"/>
  <c r="R5510" i="3"/>
  <c r="P5510" i="3"/>
  <c r="N5510" i="3"/>
  <c r="M5510" i="3"/>
  <c r="L5510" i="3"/>
  <c r="V5509" i="3"/>
  <c r="R5509" i="3"/>
  <c r="P5509" i="3"/>
  <c r="N5509" i="3"/>
  <c r="M5509" i="3"/>
  <c r="L5509" i="3"/>
  <c r="V5508" i="3"/>
  <c r="R5508" i="3"/>
  <c r="P5508" i="3"/>
  <c r="N5508" i="3"/>
  <c r="M5508" i="3"/>
  <c r="L5508" i="3"/>
  <c r="V5507" i="3"/>
  <c r="R5507" i="3"/>
  <c r="P5507" i="3"/>
  <c r="N5507" i="3"/>
  <c r="M5507" i="3"/>
  <c r="L5507" i="3"/>
  <c r="V5506" i="3"/>
  <c r="R5506" i="3"/>
  <c r="P5506" i="3"/>
  <c r="N5506" i="3"/>
  <c r="M5506" i="3"/>
  <c r="L5506" i="3"/>
  <c r="V5505" i="3"/>
  <c r="R5505" i="3"/>
  <c r="P5505" i="3"/>
  <c r="N5505" i="3"/>
  <c r="M5505" i="3"/>
  <c r="L5505" i="3"/>
  <c r="V5504" i="3"/>
  <c r="R5504" i="3"/>
  <c r="P5504" i="3"/>
  <c r="N5504" i="3"/>
  <c r="M5504" i="3"/>
  <c r="L5504" i="3"/>
  <c r="V5503" i="3"/>
  <c r="R5503" i="3"/>
  <c r="P5503" i="3"/>
  <c r="N5503" i="3"/>
  <c r="M5503" i="3"/>
  <c r="L5503" i="3"/>
  <c r="V5502" i="3"/>
  <c r="R5502" i="3"/>
  <c r="P5502" i="3"/>
  <c r="N5502" i="3"/>
  <c r="M5502" i="3"/>
  <c r="L5502" i="3"/>
  <c r="V5501" i="3"/>
  <c r="R5501" i="3"/>
  <c r="P5501" i="3"/>
  <c r="N5501" i="3"/>
  <c r="M5501" i="3"/>
  <c r="L5501" i="3"/>
  <c r="V5500" i="3"/>
  <c r="R5500" i="3"/>
  <c r="P5500" i="3"/>
  <c r="N5500" i="3"/>
  <c r="M5500" i="3"/>
  <c r="L5500" i="3"/>
  <c r="V5499" i="3"/>
  <c r="R5499" i="3"/>
  <c r="P5499" i="3"/>
  <c r="N5499" i="3"/>
  <c r="M5499" i="3"/>
  <c r="L5499" i="3"/>
  <c r="V5498" i="3"/>
  <c r="R5498" i="3"/>
  <c r="P5498" i="3"/>
  <c r="N5498" i="3"/>
  <c r="M5498" i="3"/>
  <c r="L5498" i="3"/>
  <c r="V5497" i="3"/>
  <c r="R5497" i="3"/>
  <c r="P5497" i="3"/>
  <c r="N5497" i="3"/>
  <c r="M5497" i="3"/>
  <c r="L5497" i="3"/>
  <c r="V5496" i="3"/>
  <c r="R5496" i="3"/>
  <c r="P5496" i="3"/>
  <c r="N5496" i="3"/>
  <c r="M5496" i="3"/>
  <c r="L5496" i="3"/>
  <c r="V5495" i="3"/>
  <c r="R5495" i="3"/>
  <c r="P5495" i="3"/>
  <c r="N5495" i="3"/>
  <c r="M5495" i="3"/>
  <c r="L5495" i="3"/>
  <c r="V5494" i="3"/>
  <c r="R5494" i="3"/>
  <c r="P5494" i="3"/>
  <c r="N5494" i="3"/>
  <c r="M5494" i="3"/>
  <c r="L5494" i="3"/>
  <c r="V5493" i="3"/>
  <c r="R5493" i="3"/>
  <c r="P5493" i="3"/>
  <c r="N5493" i="3"/>
  <c r="M5493" i="3"/>
  <c r="L5493" i="3"/>
  <c r="V5492" i="3"/>
  <c r="R5492" i="3"/>
  <c r="P5492" i="3"/>
  <c r="N5492" i="3"/>
  <c r="M5492" i="3"/>
  <c r="L5492" i="3"/>
  <c r="V5491" i="3"/>
  <c r="R5491" i="3"/>
  <c r="P5491" i="3"/>
  <c r="N5491" i="3"/>
  <c r="M5491" i="3"/>
  <c r="L5491" i="3"/>
  <c r="V5490" i="3"/>
  <c r="R5490" i="3"/>
  <c r="P5490" i="3"/>
  <c r="N5490" i="3"/>
  <c r="M5490" i="3"/>
  <c r="L5490" i="3"/>
  <c r="V5489" i="3"/>
  <c r="R5489" i="3"/>
  <c r="P5489" i="3"/>
  <c r="N5489" i="3"/>
  <c r="M5489" i="3"/>
  <c r="L5489" i="3"/>
  <c r="V5488" i="3"/>
  <c r="R5488" i="3"/>
  <c r="P5488" i="3"/>
  <c r="N5488" i="3"/>
  <c r="M5488" i="3"/>
  <c r="L5488" i="3"/>
  <c r="V5487" i="3"/>
  <c r="R5487" i="3"/>
  <c r="P5487" i="3"/>
  <c r="N5487" i="3"/>
  <c r="M5487" i="3"/>
  <c r="L5487" i="3"/>
  <c r="V5486" i="3"/>
  <c r="R5486" i="3"/>
  <c r="P5486" i="3"/>
  <c r="N5486" i="3"/>
  <c r="M5486" i="3"/>
  <c r="L5486" i="3"/>
  <c r="V5485" i="3"/>
  <c r="R5485" i="3"/>
  <c r="P5485" i="3"/>
  <c r="N5485" i="3"/>
  <c r="M5485" i="3"/>
  <c r="L5485" i="3"/>
  <c r="V5484" i="3"/>
  <c r="R5484" i="3"/>
  <c r="P5484" i="3"/>
  <c r="N5484" i="3"/>
  <c r="M5484" i="3"/>
  <c r="L5484" i="3"/>
  <c r="V5483" i="3"/>
  <c r="R5483" i="3"/>
  <c r="P5483" i="3"/>
  <c r="N5483" i="3"/>
  <c r="M5483" i="3"/>
  <c r="L5483" i="3"/>
  <c r="V5482" i="3"/>
  <c r="R5482" i="3"/>
  <c r="P5482" i="3"/>
  <c r="N5482" i="3"/>
  <c r="M5482" i="3"/>
  <c r="L5482" i="3"/>
  <c r="V5481" i="3"/>
  <c r="R5481" i="3"/>
  <c r="P5481" i="3"/>
  <c r="N5481" i="3"/>
  <c r="M5481" i="3"/>
  <c r="L5481" i="3"/>
  <c r="V5480" i="3"/>
  <c r="R5480" i="3"/>
  <c r="P5480" i="3"/>
  <c r="N5480" i="3"/>
  <c r="M5480" i="3"/>
  <c r="L5480" i="3"/>
  <c r="V5479" i="3"/>
  <c r="R5479" i="3"/>
  <c r="P5479" i="3"/>
  <c r="N5479" i="3"/>
  <c r="M5479" i="3"/>
  <c r="L5479" i="3"/>
  <c r="V5478" i="3"/>
  <c r="R5478" i="3"/>
  <c r="P5478" i="3"/>
  <c r="N5478" i="3"/>
  <c r="M5478" i="3"/>
  <c r="L5478" i="3"/>
  <c r="V5477" i="3"/>
  <c r="R5477" i="3"/>
  <c r="P5477" i="3"/>
  <c r="N5477" i="3"/>
  <c r="M5477" i="3"/>
  <c r="L5477" i="3"/>
  <c r="V5476" i="3"/>
  <c r="R5476" i="3"/>
  <c r="P5476" i="3"/>
  <c r="N5476" i="3"/>
  <c r="M5476" i="3"/>
  <c r="L5476" i="3"/>
  <c r="V5475" i="3"/>
  <c r="R5475" i="3"/>
  <c r="P5475" i="3"/>
  <c r="N5475" i="3"/>
  <c r="M5475" i="3"/>
  <c r="L5475" i="3"/>
  <c r="V5474" i="3"/>
  <c r="R5474" i="3"/>
  <c r="P5474" i="3"/>
  <c r="N5474" i="3"/>
  <c r="M5474" i="3"/>
  <c r="L5474" i="3"/>
  <c r="V5473" i="3"/>
  <c r="R5473" i="3"/>
  <c r="P5473" i="3"/>
  <c r="N5473" i="3"/>
  <c r="M5473" i="3"/>
  <c r="L5473" i="3"/>
  <c r="V5472" i="3"/>
  <c r="R5472" i="3"/>
  <c r="P5472" i="3"/>
  <c r="N5472" i="3"/>
  <c r="M5472" i="3"/>
  <c r="L5472" i="3"/>
  <c r="V5471" i="3"/>
  <c r="R5471" i="3"/>
  <c r="P5471" i="3"/>
  <c r="N5471" i="3"/>
  <c r="M5471" i="3"/>
  <c r="L5471" i="3"/>
  <c r="V5470" i="3"/>
  <c r="R5470" i="3"/>
  <c r="P5470" i="3"/>
  <c r="N5470" i="3"/>
  <c r="M5470" i="3"/>
  <c r="L5470" i="3"/>
  <c r="V5469" i="3"/>
  <c r="R5469" i="3"/>
  <c r="P5469" i="3"/>
  <c r="N5469" i="3"/>
  <c r="M5469" i="3"/>
  <c r="L5469" i="3"/>
  <c r="V5468" i="3"/>
  <c r="R5468" i="3"/>
  <c r="P5468" i="3"/>
  <c r="N5468" i="3"/>
  <c r="M5468" i="3"/>
  <c r="L5468" i="3"/>
  <c r="V5467" i="3"/>
  <c r="R5467" i="3"/>
  <c r="P5467" i="3"/>
  <c r="N5467" i="3"/>
  <c r="M5467" i="3"/>
  <c r="L5467" i="3"/>
  <c r="V5466" i="3"/>
  <c r="R5466" i="3"/>
  <c r="P5466" i="3"/>
  <c r="N5466" i="3"/>
  <c r="M5466" i="3"/>
  <c r="L5466" i="3"/>
  <c r="V5465" i="3"/>
  <c r="R5465" i="3"/>
  <c r="P5465" i="3"/>
  <c r="N5465" i="3"/>
  <c r="M5465" i="3"/>
  <c r="L5465" i="3"/>
  <c r="V5464" i="3"/>
  <c r="R5464" i="3"/>
  <c r="P5464" i="3"/>
  <c r="N5464" i="3"/>
  <c r="M5464" i="3"/>
  <c r="L5464" i="3"/>
  <c r="V5463" i="3"/>
  <c r="R5463" i="3"/>
  <c r="P5463" i="3"/>
  <c r="N5463" i="3"/>
  <c r="M5463" i="3"/>
  <c r="L5463" i="3"/>
  <c r="V5462" i="3"/>
  <c r="R5462" i="3"/>
  <c r="P5462" i="3"/>
  <c r="N5462" i="3"/>
  <c r="M5462" i="3"/>
  <c r="L5462" i="3"/>
  <c r="V5461" i="3"/>
  <c r="R5461" i="3"/>
  <c r="P5461" i="3"/>
  <c r="N5461" i="3"/>
  <c r="M5461" i="3"/>
  <c r="L5461" i="3"/>
  <c r="V5460" i="3"/>
  <c r="R5460" i="3"/>
  <c r="P5460" i="3"/>
  <c r="N5460" i="3"/>
  <c r="M5460" i="3"/>
  <c r="L5460" i="3"/>
  <c r="V5459" i="3"/>
  <c r="R5459" i="3"/>
  <c r="P5459" i="3"/>
  <c r="N5459" i="3"/>
  <c r="M5459" i="3"/>
  <c r="L5459" i="3"/>
  <c r="V5458" i="3"/>
  <c r="R5458" i="3"/>
  <c r="P5458" i="3"/>
  <c r="N5458" i="3"/>
  <c r="M5458" i="3"/>
  <c r="L5458" i="3"/>
  <c r="V5457" i="3"/>
  <c r="R5457" i="3"/>
  <c r="P5457" i="3"/>
  <c r="N5457" i="3"/>
  <c r="M5457" i="3"/>
  <c r="L5457" i="3"/>
  <c r="V5456" i="3"/>
  <c r="R5456" i="3"/>
  <c r="P5456" i="3"/>
  <c r="N5456" i="3"/>
  <c r="M5456" i="3"/>
  <c r="L5456" i="3"/>
  <c r="V5455" i="3"/>
  <c r="R5455" i="3"/>
  <c r="P5455" i="3"/>
  <c r="N5455" i="3"/>
  <c r="M5455" i="3"/>
  <c r="L5455" i="3"/>
  <c r="V5454" i="3"/>
  <c r="R5454" i="3"/>
  <c r="P5454" i="3"/>
  <c r="N5454" i="3"/>
  <c r="M5454" i="3"/>
  <c r="L5454" i="3"/>
  <c r="V5453" i="3"/>
  <c r="R5453" i="3"/>
  <c r="P5453" i="3"/>
  <c r="N5453" i="3"/>
  <c r="M5453" i="3"/>
  <c r="L5453" i="3"/>
  <c r="V5452" i="3"/>
  <c r="R5452" i="3"/>
  <c r="P5452" i="3"/>
  <c r="N5452" i="3"/>
  <c r="M5452" i="3"/>
  <c r="L5452" i="3"/>
  <c r="V5451" i="3"/>
  <c r="R5451" i="3"/>
  <c r="P5451" i="3"/>
  <c r="N5451" i="3"/>
  <c r="M5451" i="3"/>
  <c r="L5451" i="3"/>
  <c r="V5450" i="3"/>
  <c r="R5450" i="3"/>
  <c r="P5450" i="3"/>
  <c r="N5450" i="3"/>
  <c r="M5450" i="3"/>
  <c r="L5450" i="3"/>
  <c r="V5449" i="3"/>
  <c r="R5449" i="3"/>
  <c r="P5449" i="3"/>
  <c r="N5449" i="3"/>
  <c r="M5449" i="3"/>
  <c r="L5449" i="3"/>
  <c r="V5448" i="3"/>
  <c r="R5448" i="3"/>
  <c r="P5448" i="3"/>
  <c r="N5448" i="3"/>
  <c r="M5448" i="3"/>
  <c r="L5448" i="3"/>
  <c r="V5447" i="3"/>
  <c r="R5447" i="3"/>
  <c r="P5447" i="3"/>
  <c r="N5447" i="3"/>
  <c r="M5447" i="3"/>
  <c r="L5447" i="3"/>
  <c r="V5446" i="3"/>
  <c r="R5446" i="3"/>
  <c r="P5446" i="3"/>
  <c r="N5446" i="3"/>
  <c r="M5446" i="3"/>
  <c r="L5446" i="3"/>
  <c r="V5445" i="3"/>
  <c r="R5445" i="3"/>
  <c r="P5445" i="3"/>
  <c r="N5445" i="3"/>
  <c r="M5445" i="3"/>
  <c r="L5445" i="3"/>
  <c r="V5444" i="3"/>
  <c r="R5444" i="3"/>
  <c r="P5444" i="3"/>
  <c r="N5444" i="3"/>
  <c r="M5444" i="3"/>
  <c r="L5444" i="3"/>
  <c r="V5443" i="3"/>
  <c r="R5443" i="3"/>
  <c r="P5443" i="3"/>
  <c r="N5443" i="3"/>
  <c r="M5443" i="3"/>
  <c r="L5443" i="3"/>
  <c r="V5442" i="3"/>
  <c r="R5442" i="3"/>
  <c r="P5442" i="3"/>
  <c r="N5442" i="3"/>
  <c r="M5442" i="3"/>
  <c r="L5442" i="3"/>
  <c r="V5441" i="3"/>
  <c r="R5441" i="3"/>
  <c r="P5441" i="3"/>
  <c r="N5441" i="3"/>
  <c r="M5441" i="3"/>
  <c r="L5441" i="3"/>
  <c r="V5440" i="3"/>
  <c r="R5440" i="3"/>
  <c r="P5440" i="3"/>
  <c r="N5440" i="3"/>
  <c r="M5440" i="3"/>
  <c r="L5440" i="3"/>
  <c r="V5439" i="3"/>
  <c r="R5439" i="3"/>
  <c r="P5439" i="3"/>
  <c r="N5439" i="3"/>
  <c r="M5439" i="3"/>
  <c r="L5439" i="3"/>
  <c r="V5438" i="3"/>
  <c r="R5438" i="3"/>
  <c r="P5438" i="3"/>
  <c r="N5438" i="3"/>
  <c r="M5438" i="3"/>
  <c r="L5438" i="3"/>
  <c r="V5437" i="3"/>
  <c r="R5437" i="3"/>
  <c r="P5437" i="3"/>
  <c r="N5437" i="3"/>
  <c r="M5437" i="3"/>
  <c r="L5437" i="3"/>
  <c r="V5436" i="3"/>
  <c r="R5436" i="3"/>
  <c r="P5436" i="3"/>
  <c r="N5436" i="3"/>
  <c r="M5436" i="3"/>
  <c r="L5436" i="3"/>
  <c r="V5435" i="3"/>
  <c r="R5435" i="3"/>
  <c r="P5435" i="3"/>
  <c r="N5435" i="3"/>
  <c r="M5435" i="3"/>
  <c r="L5435" i="3"/>
  <c r="V5434" i="3"/>
  <c r="R5434" i="3"/>
  <c r="P5434" i="3"/>
  <c r="N5434" i="3"/>
  <c r="M5434" i="3"/>
  <c r="L5434" i="3"/>
  <c r="V5433" i="3"/>
  <c r="R5433" i="3"/>
  <c r="P5433" i="3"/>
  <c r="N5433" i="3"/>
  <c r="M5433" i="3"/>
  <c r="L5433" i="3"/>
  <c r="V5432" i="3"/>
  <c r="R5432" i="3"/>
  <c r="P5432" i="3"/>
  <c r="N5432" i="3"/>
  <c r="M5432" i="3"/>
  <c r="L5432" i="3"/>
  <c r="V5431" i="3"/>
  <c r="R5431" i="3"/>
  <c r="P5431" i="3"/>
  <c r="N5431" i="3"/>
  <c r="M5431" i="3"/>
  <c r="L5431" i="3"/>
  <c r="V5430" i="3"/>
  <c r="R5430" i="3"/>
  <c r="P5430" i="3"/>
  <c r="N5430" i="3"/>
  <c r="M5430" i="3"/>
  <c r="L5430" i="3"/>
  <c r="V5429" i="3"/>
  <c r="R5429" i="3"/>
  <c r="P5429" i="3"/>
  <c r="N5429" i="3"/>
  <c r="M5429" i="3"/>
  <c r="L5429" i="3"/>
  <c r="V5428" i="3"/>
  <c r="R5428" i="3"/>
  <c r="P5428" i="3"/>
  <c r="N5428" i="3"/>
  <c r="M5428" i="3"/>
  <c r="L5428" i="3"/>
  <c r="V5427" i="3"/>
  <c r="R5427" i="3"/>
  <c r="P5427" i="3"/>
  <c r="N5427" i="3"/>
  <c r="M5427" i="3"/>
  <c r="L5427" i="3"/>
  <c r="V5426" i="3"/>
  <c r="R5426" i="3"/>
  <c r="P5426" i="3"/>
  <c r="N5426" i="3"/>
  <c r="M5426" i="3"/>
  <c r="L5426" i="3"/>
  <c r="V5425" i="3"/>
  <c r="R5425" i="3"/>
  <c r="P5425" i="3"/>
  <c r="N5425" i="3"/>
  <c r="M5425" i="3"/>
  <c r="L5425" i="3"/>
  <c r="V5424" i="3"/>
  <c r="R5424" i="3"/>
  <c r="P5424" i="3"/>
  <c r="N5424" i="3"/>
  <c r="M5424" i="3"/>
  <c r="L5424" i="3"/>
  <c r="V5423" i="3"/>
  <c r="R5423" i="3"/>
  <c r="P5423" i="3"/>
  <c r="N5423" i="3"/>
  <c r="M5423" i="3"/>
  <c r="L5423" i="3"/>
  <c r="V5422" i="3"/>
  <c r="R5422" i="3"/>
  <c r="P5422" i="3"/>
  <c r="N5422" i="3"/>
  <c r="M5422" i="3"/>
  <c r="L5422" i="3"/>
  <c r="V5421" i="3"/>
  <c r="R5421" i="3"/>
  <c r="P5421" i="3"/>
  <c r="N5421" i="3"/>
  <c r="M5421" i="3"/>
  <c r="L5421" i="3"/>
  <c r="V5420" i="3"/>
  <c r="R5420" i="3"/>
  <c r="P5420" i="3"/>
  <c r="N5420" i="3"/>
  <c r="M5420" i="3"/>
  <c r="L5420" i="3"/>
  <c r="V5419" i="3"/>
  <c r="R5419" i="3"/>
  <c r="P5419" i="3"/>
  <c r="N5419" i="3"/>
  <c r="M5419" i="3"/>
  <c r="L5419" i="3"/>
  <c r="V5418" i="3"/>
  <c r="R5418" i="3"/>
  <c r="P5418" i="3"/>
  <c r="N5418" i="3"/>
  <c r="M5418" i="3"/>
  <c r="L5418" i="3"/>
  <c r="V5417" i="3"/>
  <c r="R5417" i="3"/>
  <c r="P5417" i="3"/>
  <c r="N5417" i="3"/>
  <c r="M5417" i="3"/>
  <c r="L5417" i="3"/>
  <c r="V5416" i="3"/>
  <c r="R5416" i="3"/>
  <c r="P5416" i="3"/>
  <c r="N5416" i="3"/>
  <c r="M5416" i="3"/>
  <c r="L5416" i="3"/>
  <c r="V5415" i="3"/>
  <c r="R5415" i="3"/>
  <c r="P5415" i="3"/>
  <c r="N5415" i="3"/>
  <c r="M5415" i="3"/>
  <c r="L5415" i="3"/>
  <c r="V5414" i="3"/>
  <c r="R5414" i="3"/>
  <c r="P5414" i="3"/>
  <c r="N5414" i="3"/>
  <c r="M5414" i="3"/>
  <c r="L5414" i="3"/>
  <c r="V5413" i="3"/>
  <c r="R5413" i="3"/>
  <c r="P5413" i="3"/>
  <c r="N5413" i="3"/>
  <c r="M5413" i="3"/>
  <c r="L5413" i="3"/>
  <c r="V5412" i="3"/>
  <c r="R5412" i="3"/>
  <c r="P5412" i="3"/>
  <c r="N5412" i="3"/>
  <c r="M5412" i="3"/>
  <c r="L5412" i="3"/>
  <c r="V5411" i="3"/>
  <c r="R5411" i="3"/>
  <c r="P5411" i="3"/>
  <c r="N5411" i="3"/>
  <c r="M5411" i="3"/>
  <c r="L5411" i="3"/>
  <c r="V5410" i="3"/>
  <c r="R5410" i="3"/>
  <c r="P5410" i="3"/>
  <c r="N5410" i="3"/>
  <c r="M5410" i="3"/>
  <c r="L5410" i="3"/>
  <c r="V5409" i="3"/>
  <c r="R5409" i="3"/>
  <c r="P5409" i="3"/>
  <c r="N5409" i="3"/>
  <c r="M5409" i="3"/>
  <c r="L5409" i="3"/>
  <c r="V5408" i="3"/>
  <c r="R5408" i="3"/>
  <c r="P5408" i="3"/>
  <c r="N5408" i="3"/>
  <c r="M5408" i="3"/>
  <c r="L5408" i="3"/>
  <c r="V5407" i="3"/>
  <c r="R5407" i="3"/>
  <c r="P5407" i="3"/>
  <c r="N5407" i="3"/>
  <c r="M5407" i="3"/>
  <c r="L5407" i="3"/>
  <c r="V5406" i="3"/>
  <c r="R5406" i="3"/>
  <c r="P5406" i="3"/>
  <c r="N5406" i="3"/>
  <c r="M5406" i="3"/>
  <c r="L5406" i="3"/>
  <c r="V5405" i="3"/>
  <c r="R5405" i="3"/>
  <c r="P5405" i="3"/>
  <c r="N5405" i="3"/>
  <c r="M5405" i="3"/>
  <c r="L5405" i="3"/>
  <c r="V5404" i="3"/>
  <c r="R5404" i="3"/>
  <c r="P5404" i="3"/>
  <c r="N5404" i="3"/>
  <c r="M5404" i="3"/>
  <c r="L5404" i="3"/>
  <c r="V5403" i="3"/>
  <c r="R5403" i="3"/>
  <c r="P5403" i="3"/>
  <c r="N5403" i="3"/>
  <c r="M5403" i="3"/>
  <c r="L5403" i="3"/>
  <c r="V5402" i="3"/>
  <c r="R5402" i="3"/>
  <c r="P5402" i="3"/>
  <c r="N5402" i="3"/>
  <c r="M5402" i="3"/>
  <c r="L5402" i="3"/>
  <c r="V5401" i="3"/>
  <c r="R5401" i="3"/>
  <c r="P5401" i="3"/>
  <c r="N5401" i="3"/>
  <c r="M5401" i="3"/>
  <c r="L5401" i="3"/>
  <c r="V5400" i="3"/>
  <c r="R5400" i="3"/>
  <c r="P5400" i="3"/>
  <c r="N5400" i="3"/>
  <c r="M5400" i="3"/>
  <c r="L5400" i="3"/>
  <c r="V5399" i="3"/>
  <c r="R5399" i="3"/>
  <c r="P5399" i="3"/>
  <c r="N5399" i="3"/>
  <c r="M5399" i="3"/>
  <c r="L5399" i="3"/>
  <c r="V5398" i="3"/>
  <c r="R5398" i="3"/>
  <c r="P5398" i="3"/>
  <c r="N5398" i="3"/>
  <c r="M5398" i="3"/>
  <c r="L5398" i="3"/>
  <c r="V5397" i="3"/>
  <c r="R5397" i="3"/>
  <c r="P5397" i="3"/>
  <c r="N5397" i="3"/>
  <c r="M5397" i="3"/>
  <c r="L5397" i="3"/>
  <c r="V5396" i="3"/>
  <c r="R5396" i="3"/>
  <c r="P5396" i="3"/>
  <c r="N5396" i="3"/>
  <c r="M5396" i="3"/>
  <c r="L5396" i="3"/>
  <c r="V5395" i="3"/>
  <c r="R5395" i="3"/>
  <c r="P5395" i="3"/>
  <c r="N5395" i="3"/>
  <c r="M5395" i="3"/>
  <c r="L5395" i="3"/>
  <c r="V5394" i="3"/>
  <c r="R5394" i="3"/>
  <c r="P5394" i="3"/>
  <c r="N5394" i="3"/>
  <c r="M5394" i="3"/>
  <c r="L5394" i="3"/>
  <c r="V5393" i="3"/>
  <c r="R5393" i="3"/>
  <c r="P5393" i="3"/>
  <c r="N5393" i="3"/>
  <c r="M5393" i="3"/>
  <c r="L5393" i="3"/>
  <c r="V5392" i="3"/>
  <c r="R5392" i="3"/>
  <c r="P5392" i="3"/>
  <c r="N5392" i="3"/>
  <c r="M5392" i="3"/>
  <c r="L5392" i="3"/>
  <c r="V5391" i="3"/>
  <c r="R5391" i="3"/>
  <c r="P5391" i="3"/>
  <c r="N5391" i="3"/>
  <c r="M5391" i="3"/>
  <c r="L5391" i="3"/>
  <c r="V5390" i="3"/>
  <c r="R5390" i="3"/>
  <c r="P5390" i="3"/>
  <c r="N5390" i="3"/>
  <c r="M5390" i="3"/>
  <c r="L5390" i="3"/>
  <c r="V5389" i="3"/>
  <c r="R5389" i="3"/>
  <c r="P5389" i="3"/>
  <c r="N5389" i="3"/>
  <c r="M5389" i="3"/>
  <c r="L5389" i="3"/>
  <c r="V5388" i="3"/>
  <c r="R5388" i="3"/>
  <c r="P5388" i="3"/>
  <c r="N5388" i="3"/>
  <c r="M5388" i="3"/>
  <c r="L5388" i="3"/>
  <c r="V5387" i="3"/>
  <c r="R5387" i="3"/>
  <c r="P5387" i="3"/>
  <c r="N5387" i="3"/>
  <c r="M5387" i="3"/>
  <c r="L5387" i="3"/>
  <c r="V5386" i="3"/>
  <c r="R5386" i="3"/>
  <c r="P5386" i="3"/>
  <c r="N5386" i="3"/>
  <c r="M5386" i="3"/>
  <c r="L5386" i="3"/>
  <c r="V5385" i="3"/>
  <c r="R5385" i="3"/>
  <c r="P5385" i="3"/>
  <c r="N5385" i="3"/>
  <c r="M5385" i="3"/>
  <c r="L5385" i="3"/>
  <c r="V5384" i="3"/>
  <c r="R5384" i="3"/>
  <c r="P5384" i="3"/>
  <c r="N5384" i="3"/>
  <c r="M5384" i="3"/>
  <c r="L5384" i="3"/>
  <c r="R5383" i="3"/>
  <c r="P5383" i="3"/>
  <c r="N5383" i="3"/>
  <c r="M5383" i="3"/>
  <c r="L5383" i="3"/>
  <c r="V5382" i="3"/>
  <c r="R5382" i="3"/>
  <c r="P5382" i="3"/>
  <c r="N5382" i="3"/>
  <c r="M5382" i="3"/>
  <c r="L5382" i="3"/>
  <c r="V5381" i="3"/>
  <c r="R5381" i="3"/>
  <c r="P5381" i="3"/>
  <c r="N5381" i="3"/>
  <c r="M5381" i="3"/>
  <c r="L5381" i="3"/>
  <c r="V5380" i="3"/>
  <c r="R5380" i="3"/>
  <c r="P5380" i="3"/>
  <c r="N5380" i="3"/>
  <c r="M5380" i="3"/>
  <c r="L5380" i="3"/>
  <c r="V5379" i="3"/>
  <c r="R5379" i="3"/>
  <c r="P5379" i="3"/>
  <c r="N5379" i="3"/>
  <c r="M5379" i="3"/>
  <c r="L5379" i="3"/>
  <c r="V5378" i="3"/>
  <c r="R5378" i="3"/>
  <c r="P5378" i="3"/>
  <c r="N5378" i="3"/>
  <c r="M5378" i="3"/>
  <c r="L5378" i="3"/>
  <c r="V5377" i="3"/>
  <c r="R5377" i="3"/>
  <c r="P5377" i="3"/>
  <c r="N5377" i="3"/>
  <c r="M5377" i="3"/>
  <c r="L5377" i="3"/>
  <c r="V5376" i="3"/>
  <c r="R5376" i="3"/>
  <c r="P5376" i="3"/>
  <c r="N5376" i="3"/>
  <c r="M5376" i="3"/>
  <c r="L5376" i="3"/>
  <c r="V5375" i="3"/>
  <c r="R5375" i="3"/>
  <c r="P5375" i="3"/>
  <c r="N5375" i="3"/>
  <c r="M5375" i="3"/>
  <c r="L5375" i="3"/>
  <c r="V5374" i="3"/>
  <c r="R5374" i="3"/>
  <c r="P5374" i="3"/>
  <c r="N5374" i="3"/>
  <c r="M5374" i="3"/>
  <c r="L5374" i="3"/>
  <c r="V5373" i="3"/>
  <c r="R5373" i="3"/>
  <c r="P5373" i="3"/>
  <c r="N5373" i="3"/>
  <c r="M5373" i="3"/>
  <c r="L5373" i="3"/>
  <c r="V5372" i="3"/>
  <c r="R5372" i="3"/>
  <c r="P5372" i="3"/>
  <c r="N5372" i="3"/>
  <c r="M5372" i="3"/>
  <c r="L5372" i="3"/>
  <c r="V5371" i="3"/>
  <c r="R5371" i="3"/>
  <c r="P5371" i="3"/>
  <c r="N5371" i="3"/>
  <c r="M5371" i="3"/>
  <c r="L5371" i="3"/>
  <c r="V5370" i="3"/>
  <c r="R5370" i="3"/>
  <c r="P5370" i="3"/>
  <c r="N5370" i="3"/>
  <c r="M5370" i="3"/>
  <c r="L5370" i="3"/>
  <c r="V5369" i="3"/>
  <c r="R5369" i="3"/>
  <c r="P5369" i="3"/>
  <c r="N5369" i="3"/>
  <c r="M5369" i="3"/>
  <c r="L5369" i="3"/>
  <c r="V5368" i="3"/>
  <c r="R5368" i="3"/>
  <c r="P5368" i="3"/>
  <c r="N5368" i="3"/>
  <c r="M5368" i="3"/>
  <c r="L5368" i="3"/>
  <c r="V5367" i="3"/>
  <c r="R5367" i="3"/>
  <c r="P5367" i="3"/>
  <c r="N5367" i="3"/>
  <c r="M5367" i="3"/>
  <c r="L5367" i="3"/>
  <c r="V5366" i="3"/>
  <c r="R5366" i="3"/>
  <c r="P5366" i="3"/>
  <c r="N5366" i="3"/>
  <c r="M5366" i="3"/>
  <c r="L5366" i="3"/>
  <c r="V5365" i="3"/>
  <c r="R5365" i="3"/>
  <c r="P5365" i="3"/>
  <c r="N5365" i="3"/>
  <c r="M5365" i="3"/>
  <c r="L5365" i="3"/>
  <c r="V5364" i="3"/>
  <c r="R5364" i="3"/>
  <c r="P5364" i="3"/>
  <c r="N5364" i="3"/>
  <c r="M5364" i="3"/>
  <c r="L5364" i="3"/>
  <c r="V5362" i="3"/>
  <c r="R5362" i="3"/>
  <c r="P5362" i="3"/>
  <c r="N5362" i="3"/>
  <c r="M5362" i="3"/>
  <c r="L5362" i="3"/>
  <c r="V5363" i="3"/>
  <c r="R5363" i="3"/>
  <c r="P5363" i="3"/>
  <c r="N5363" i="3"/>
  <c r="M5363" i="3"/>
  <c r="L5363" i="3"/>
  <c r="V5361" i="3"/>
  <c r="R5361" i="3"/>
  <c r="P5361" i="3"/>
  <c r="N5361" i="3"/>
  <c r="M5361" i="3"/>
  <c r="L5361" i="3"/>
  <c r="V5360" i="3"/>
  <c r="R5360" i="3"/>
  <c r="P5360" i="3"/>
  <c r="N5360" i="3"/>
  <c r="M5360" i="3"/>
  <c r="L5360" i="3"/>
  <c r="V5359" i="3"/>
  <c r="R5359" i="3"/>
  <c r="P5359" i="3"/>
  <c r="N5359" i="3"/>
  <c r="M5359" i="3"/>
  <c r="L5359" i="3"/>
  <c r="V5358" i="3"/>
  <c r="R5358" i="3"/>
  <c r="P5358" i="3"/>
  <c r="N5358" i="3"/>
  <c r="M5358" i="3"/>
  <c r="L5358" i="3"/>
  <c r="V5357" i="3"/>
  <c r="R5357" i="3"/>
  <c r="P5357" i="3"/>
  <c r="N5357" i="3"/>
  <c r="M5357" i="3"/>
  <c r="L5357" i="3"/>
  <c r="V5356" i="3"/>
  <c r="R5356" i="3"/>
  <c r="P5356" i="3"/>
  <c r="N5356" i="3"/>
  <c r="M5356" i="3"/>
  <c r="L5356" i="3"/>
  <c r="V5355" i="3"/>
  <c r="R5355" i="3"/>
  <c r="P5355" i="3"/>
  <c r="N5355" i="3"/>
  <c r="M5355" i="3"/>
  <c r="L5355" i="3"/>
  <c r="V5354" i="3"/>
  <c r="R5354" i="3"/>
  <c r="P5354" i="3"/>
  <c r="N5354" i="3"/>
  <c r="M5354" i="3"/>
  <c r="L5354" i="3"/>
  <c r="R5353" i="3"/>
  <c r="P5353" i="3"/>
  <c r="N5353" i="3"/>
  <c r="M5353" i="3"/>
  <c r="L5353" i="3"/>
  <c r="V5352" i="3"/>
  <c r="R5352" i="3"/>
  <c r="P5352" i="3"/>
  <c r="N5352" i="3"/>
  <c r="M5352" i="3"/>
  <c r="L5352" i="3"/>
  <c r="V5351" i="3"/>
  <c r="R5351" i="3"/>
  <c r="P5351" i="3"/>
  <c r="N5351" i="3"/>
  <c r="M5351" i="3"/>
  <c r="L5351" i="3"/>
  <c r="V5350" i="3"/>
  <c r="R5350" i="3"/>
  <c r="P5350" i="3"/>
  <c r="N5350" i="3"/>
  <c r="M5350" i="3"/>
  <c r="L5350" i="3"/>
  <c r="V5349" i="3"/>
  <c r="R5349" i="3"/>
  <c r="P5349" i="3"/>
  <c r="N5349" i="3"/>
  <c r="M5349" i="3"/>
  <c r="L5349" i="3"/>
  <c r="V5348" i="3"/>
  <c r="R5348" i="3"/>
  <c r="P5348" i="3"/>
  <c r="N5348" i="3"/>
  <c r="M5348" i="3"/>
  <c r="L5348" i="3"/>
  <c r="V5347" i="3"/>
  <c r="R5347" i="3"/>
  <c r="P5347" i="3"/>
  <c r="N5347" i="3"/>
  <c r="M5347" i="3"/>
  <c r="L5347" i="3"/>
  <c r="V5346" i="3"/>
  <c r="R5346" i="3"/>
  <c r="P5346" i="3"/>
  <c r="N5346" i="3"/>
  <c r="M5346" i="3"/>
  <c r="L5346" i="3"/>
  <c r="V5345" i="3"/>
  <c r="R5345" i="3"/>
  <c r="P5345" i="3"/>
  <c r="N5345" i="3"/>
  <c r="M5345" i="3"/>
  <c r="L5345" i="3"/>
  <c r="V5344" i="3"/>
  <c r="R5344" i="3"/>
  <c r="P5344" i="3"/>
  <c r="N5344" i="3"/>
  <c r="M5344" i="3"/>
  <c r="L5344" i="3"/>
  <c r="V5343" i="3"/>
  <c r="R5343" i="3"/>
  <c r="P5343" i="3"/>
  <c r="N5343" i="3"/>
  <c r="M5343" i="3"/>
  <c r="L5343" i="3"/>
  <c r="V5342" i="3"/>
  <c r="R5342" i="3"/>
  <c r="P5342" i="3"/>
  <c r="N5342" i="3"/>
  <c r="M5342" i="3"/>
  <c r="L5342" i="3"/>
  <c r="V5341" i="3"/>
  <c r="R5341" i="3"/>
  <c r="P5341" i="3"/>
  <c r="N5341" i="3"/>
  <c r="M5341" i="3"/>
  <c r="L5341" i="3"/>
  <c r="V5340" i="3"/>
  <c r="R5340" i="3"/>
  <c r="P5340" i="3"/>
  <c r="N5340" i="3"/>
  <c r="M5340" i="3"/>
  <c r="L5340" i="3"/>
  <c r="V5339" i="3"/>
  <c r="R5339" i="3"/>
  <c r="P5339" i="3"/>
  <c r="N5339" i="3"/>
  <c r="M5339" i="3"/>
  <c r="L5339" i="3"/>
  <c r="V5338" i="3"/>
  <c r="R5338" i="3"/>
  <c r="P5338" i="3"/>
  <c r="N5338" i="3"/>
  <c r="M5338" i="3"/>
  <c r="L5338" i="3"/>
  <c r="V5337" i="3"/>
  <c r="R5337" i="3"/>
  <c r="P5337" i="3"/>
  <c r="N5337" i="3"/>
  <c r="M5337" i="3"/>
  <c r="L5337" i="3"/>
  <c r="V5336" i="3"/>
  <c r="R5336" i="3"/>
  <c r="P5336" i="3"/>
  <c r="N5336" i="3"/>
  <c r="M5336" i="3"/>
  <c r="L5336" i="3"/>
  <c r="V5335" i="3"/>
  <c r="R5335" i="3"/>
  <c r="P5335" i="3"/>
  <c r="N5335" i="3"/>
  <c r="M5335" i="3"/>
  <c r="L5335" i="3"/>
  <c r="V5334" i="3"/>
  <c r="R5334" i="3"/>
  <c r="P5334" i="3"/>
  <c r="N5334" i="3"/>
  <c r="M5334" i="3"/>
  <c r="L5334" i="3"/>
  <c r="V5333" i="3"/>
  <c r="R5333" i="3"/>
  <c r="P5333" i="3"/>
  <c r="N5333" i="3"/>
  <c r="M5333" i="3"/>
  <c r="L5333" i="3"/>
  <c r="V5332" i="3"/>
  <c r="R5332" i="3"/>
  <c r="P5332" i="3"/>
  <c r="N5332" i="3"/>
  <c r="M5332" i="3"/>
  <c r="L5332" i="3"/>
  <c r="V5331" i="3"/>
  <c r="R5331" i="3"/>
  <c r="P5331" i="3"/>
  <c r="N5331" i="3"/>
  <c r="M5331" i="3"/>
  <c r="L5331" i="3"/>
  <c r="V5330" i="3"/>
  <c r="R5330" i="3"/>
  <c r="P5330" i="3"/>
  <c r="N5330" i="3"/>
  <c r="M5330" i="3"/>
  <c r="L5330" i="3"/>
  <c r="V5329" i="3"/>
  <c r="R5329" i="3"/>
  <c r="P5329" i="3"/>
  <c r="N5329" i="3"/>
  <c r="M5329" i="3"/>
  <c r="L5329" i="3"/>
  <c r="V5328" i="3"/>
  <c r="R5328" i="3"/>
  <c r="P5328" i="3"/>
  <c r="N5328" i="3"/>
  <c r="M5328" i="3"/>
  <c r="L5328" i="3"/>
  <c r="V5327" i="3"/>
  <c r="R5327" i="3"/>
  <c r="P5327" i="3"/>
  <c r="N5327" i="3"/>
  <c r="M5327" i="3"/>
  <c r="L5327" i="3"/>
  <c r="V5326" i="3"/>
  <c r="R5326" i="3"/>
  <c r="P5326" i="3"/>
  <c r="N5326" i="3"/>
  <c r="M5326" i="3"/>
  <c r="L5326" i="3"/>
  <c r="V5325" i="3"/>
  <c r="R5325" i="3"/>
  <c r="P5325" i="3"/>
  <c r="N5325" i="3"/>
  <c r="M5325" i="3"/>
  <c r="L5325" i="3"/>
  <c r="V5324" i="3"/>
  <c r="R5324" i="3"/>
  <c r="P5324" i="3"/>
  <c r="N5324" i="3"/>
  <c r="M5324" i="3"/>
  <c r="L5324" i="3"/>
  <c r="V5323" i="3"/>
  <c r="R5323" i="3"/>
  <c r="P5323" i="3"/>
  <c r="N5323" i="3"/>
  <c r="M5323" i="3"/>
  <c r="L5323" i="3"/>
  <c r="V5322" i="3"/>
  <c r="R5322" i="3"/>
  <c r="P5322" i="3"/>
  <c r="N5322" i="3"/>
  <c r="M5322" i="3"/>
  <c r="L5322" i="3"/>
  <c r="V5321" i="3"/>
  <c r="R5321" i="3"/>
  <c r="P5321" i="3"/>
  <c r="N5321" i="3"/>
  <c r="M5321" i="3"/>
  <c r="L5321" i="3"/>
  <c r="V5320" i="3"/>
  <c r="R5320" i="3"/>
  <c r="P5320" i="3"/>
  <c r="N5320" i="3"/>
  <c r="M5320" i="3"/>
  <c r="L5320" i="3"/>
  <c r="V5319" i="3"/>
  <c r="R5319" i="3"/>
  <c r="P5319" i="3"/>
  <c r="N5319" i="3"/>
  <c r="M5319" i="3"/>
  <c r="L5319" i="3"/>
  <c r="V5318" i="3"/>
  <c r="R5318" i="3"/>
  <c r="P5318" i="3"/>
  <c r="N5318" i="3"/>
  <c r="M5318" i="3"/>
  <c r="L5318" i="3"/>
  <c r="V5317" i="3"/>
  <c r="R5317" i="3"/>
  <c r="P5317" i="3"/>
  <c r="N5317" i="3"/>
  <c r="M5317" i="3"/>
  <c r="L5317" i="3"/>
  <c r="V5316" i="3"/>
  <c r="R5316" i="3"/>
  <c r="P5316" i="3"/>
  <c r="N5316" i="3"/>
  <c r="M5316" i="3"/>
  <c r="L5316" i="3"/>
  <c r="V5315" i="3"/>
  <c r="R5315" i="3"/>
  <c r="P5315" i="3"/>
  <c r="N5315" i="3"/>
  <c r="M5315" i="3"/>
  <c r="L5315" i="3"/>
  <c r="V5314" i="3"/>
  <c r="R5314" i="3"/>
  <c r="P5314" i="3"/>
  <c r="N5314" i="3"/>
  <c r="M5314" i="3"/>
  <c r="L5314" i="3"/>
  <c r="V5313" i="3"/>
  <c r="R5313" i="3"/>
  <c r="P5313" i="3"/>
  <c r="N5313" i="3"/>
  <c r="M5313" i="3"/>
  <c r="L5313" i="3"/>
  <c r="V5312" i="3"/>
  <c r="R5312" i="3"/>
  <c r="P5312" i="3"/>
  <c r="N5312" i="3"/>
  <c r="M5312" i="3"/>
  <c r="L5312" i="3"/>
  <c r="V5311" i="3"/>
  <c r="R5311" i="3"/>
  <c r="P5311" i="3"/>
  <c r="N5311" i="3"/>
  <c r="M5311" i="3"/>
  <c r="L5311" i="3"/>
  <c r="V5310" i="3"/>
  <c r="R5310" i="3"/>
  <c r="P5310" i="3"/>
  <c r="N5310" i="3"/>
  <c r="M5310" i="3"/>
  <c r="L5310" i="3"/>
  <c r="V5309" i="3"/>
  <c r="R5309" i="3"/>
  <c r="P5309" i="3"/>
  <c r="N5309" i="3"/>
  <c r="M5309" i="3"/>
  <c r="L5309" i="3"/>
  <c r="V5308" i="3"/>
  <c r="R5308" i="3"/>
  <c r="P5308" i="3"/>
  <c r="N5308" i="3"/>
  <c r="M5308" i="3"/>
  <c r="L5308" i="3"/>
  <c r="V5307" i="3"/>
  <c r="R5307" i="3"/>
  <c r="P5307" i="3"/>
  <c r="N5307" i="3"/>
  <c r="M5307" i="3"/>
  <c r="L5307" i="3"/>
  <c r="V5306" i="3"/>
  <c r="R5306" i="3"/>
  <c r="P5306" i="3"/>
  <c r="N5306" i="3"/>
  <c r="M5306" i="3"/>
  <c r="L5306" i="3"/>
  <c r="V5305" i="3"/>
  <c r="R5305" i="3"/>
  <c r="P5305" i="3"/>
  <c r="N5305" i="3"/>
  <c r="M5305" i="3"/>
  <c r="L5305" i="3"/>
  <c r="V5304" i="3"/>
  <c r="R5304" i="3"/>
  <c r="P5304" i="3"/>
  <c r="N5304" i="3"/>
  <c r="M5304" i="3"/>
  <c r="L5304" i="3"/>
  <c r="V5303" i="3"/>
  <c r="R5303" i="3"/>
  <c r="P5303" i="3"/>
  <c r="N5303" i="3"/>
  <c r="M5303" i="3"/>
  <c r="L5303" i="3"/>
  <c r="V5302" i="3"/>
  <c r="R5302" i="3"/>
  <c r="P5302" i="3"/>
  <c r="N5302" i="3"/>
  <c r="M5302" i="3"/>
  <c r="L5302" i="3"/>
  <c r="V5301" i="3"/>
  <c r="R5301" i="3"/>
  <c r="P5301" i="3"/>
  <c r="N5301" i="3"/>
  <c r="M5301" i="3"/>
  <c r="L5301" i="3"/>
  <c r="V5300" i="3"/>
  <c r="R5300" i="3"/>
  <c r="P5300" i="3"/>
  <c r="N5300" i="3"/>
  <c r="M5300" i="3"/>
  <c r="L5300" i="3"/>
  <c r="V5299" i="3"/>
  <c r="R5299" i="3"/>
  <c r="P5299" i="3"/>
  <c r="N5299" i="3"/>
  <c r="M5299" i="3"/>
  <c r="L5299" i="3"/>
  <c r="V5298" i="3"/>
  <c r="R5298" i="3"/>
  <c r="P5298" i="3"/>
  <c r="N5298" i="3"/>
  <c r="M5298" i="3"/>
  <c r="L5298" i="3"/>
  <c r="V5297" i="3"/>
  <c r="R5297" i="3"/>
  <c r="P5297" i="3"/>
  <c r="N5297" i="3"/>
  <c r="M5297" i="3"/>
  <c r="L5297" i="3"/>
  <c r="V5296" i="3"/>
  <c r="R5296" i="3"/>
  <c r="P5296" i="3"/>
  <c r="N5296" i="3"/>
  <c r="M5296" i="3"/>
  <c r="L5296" i="3"/>
  <c r="V5295" i="3"/>
  <c r="R5295" i="3"/>
  <c r="P5295" i="3"/>
  <c r="N5295" i="3"/>
  <c r="M5295" i="3"/>
  <c r="L5295" i="3"/>
  <c r="V5294" i="3"/>
  <c r="R5294" i="3"/>
  <c r="P5294" i="3"/>
  <c r="N5294" i="3"/>
  <c r="M5294" i="3"/>
  <c r="L5294" i="3"/>
  <c r="V5293" i="3"/>
  <c r="R5293" i="3"/>
  <c r="P5293" i="3"/>
  <c r="N5293" i="3"/>
  <c r="M5293" i="3"/>
  <c r="L5293" i="3"/>
  <c r="V5292" i="3"/>
  <c r="R5292" i="3"/>
  <c r="P5292" i="3"/>
  <c r="N5292" i="3"/>
  <c r="M5292" i="3"/>
  <c r="L5292" i="3"/>
  <c r="V5291" i="3"/>
  <c r="R5291" i="3"/>
  <c r="P5291" i="3"/>
  <c r="N5291" i="3"/>
  <c r="M5291" i="3"/>
  <c r="L5291" i="3"/>
  <c r="V5290" i="3"/>
  <c r="R5290" i="3"/>
  <c r="P5290" i="3"/>
  <c r="N5290" i="3"/>
  <c r="M5290" i="3"/>
  <c r="L5290" i="3"/>
  <c r="V5289" i="3"/>
  <c r="R5289" i="3"/>
  <c r="P5289" i="3"/>
  <c r="N5289" i="3"/>
  <c r="M5289" i="3"/>
  <c r="L5289" i="3"/>
  <c r="V5288" i="3"/>
  <c r="R5288" i="3"/>
  <c r="P5288" i="3"/>
  <c r="N5288" i="3"/>
  <c r="M5288" i="3"/>
  <c r="L5288" i="3"/>
  <c r="V5287" i="3"/>
  <c r="R5287" i="3"/>
  <c r="P5287" i="3"/>
  <c r="N5287" i="3"/>
  <c r="M5287" i="3"/>
  <c r="L5287" i="3"/>
  <c r="V5286" i="3"/>
  <c r="R5286" i="3"/>
  <c r="P5286" i="3"/>
  <c r="N5286" i="3"/>
  <c r="M5286" i="3"/>
  <c r="L5286" i="3"/>
  <c r="V5285" i="3"/>
  <c r="R5285" i="3"/>
  <c r="P5285" i="3"/>
  <c r="N5285" i="3"/>
  <c r="M5285" i="3"/>
  <c r="L5285" i="3"/>
  <c r="V5284" i="3"/>
  <c r="R5284" i="3"/>
  <c r="P5284" i="3"/>
  <c r="N5284" i="3"/>
  <c r="M5284" i="3"/>
  <c r="L5284" i="3"/>
  <c r="V5283" i="3"/>
  <c r="R5283" i="3"/>
  <c r="P5283" i="3"/>
  <c r="N5283" i="3"/>
  <c r="M5283" i="3"/>
  <c r="L5283" i="3"/>
  <c r="V5282" i="3"/>
  <c r="R5282" i="3"/>
  <c r="P5282" i="3"/>
  <c r="N5282" i="3"/>
  <c r="M5282" i="3"/>
  <c r="L5282" i="3"/>
  <c r="V5281" i="3"/>
  <c r="R5281" i="3"/>
  <c r="P5281" i="3"/>
  <c r="N5281" i="3"/>
  <c r="M5281" i="3"/>
  <c r="L5281" i="3"/>
  <c r="V5280" i="3"/>
  <c r="R5280" i="3"/>
  <c r="P5280" i="3"/>
  <c r="N5280" i="3"/>
  <c r="M5280" i="3"/>
  <c r="L5280" i="3"/>
  <c r="V5279" i="3"/>
  <c r="R5279" i="3"/>
  <c r="P5279" i="3"/>
  <c r="N5279" i="3"/>
  <c r="M5279" i="3"/>
  <c r="L5279" i="3"/>
  <c r="V5278" i="3"/>
  <c r="R5278" i="3"/>
  <c r="P5278" i="3"/>
  <c r="N5278" i="3"/>
  <c r="M5278" i="3"/>
  <c r="L5278" i="3"/>
  <c r="V5277" i="3"/>
  <c r="R5277" i="3"/>
  <c r="P5277" i="3"/>
  <c r="N5277" i="3"/>
  <c r="M5277" i="3"/>
  <c r="L5277" i="3"/>
  <c r="V5276" i="3"/>
  <c r="R5276" i="3"/>
  <c r="P5276" i="3"/>
  <c r="N5276" i="3"/>
  <c r="M5276" i="3"/>
  <c r="L5276" i="3"/>
  <c r="V5275" i="3"/>
  <c r="R5275" i="3"/>
  <c r="P5275" i="3"/>
  <c r="N5275" i="3"/>
  <c r="M5275" i="3"/>
  <c r="L5275" i="3"/>
  <c r="V5274" i="3"/>
  <c r="R5274" i="3"/>
  <c r="P5274" i="3"/>
  <c r="N5274" i="3"/>
  <c r="M5274" i="3"/>
  <c r="L5274" i="3"/>
  <c r="V5273" i="3"/>
  <c r="R5273" i="3"/>
  <c r="P5273" i="3"/>
  <c r="N5273" i="3"/>
  <c r="M5273" i="3"/>
  <c r="L5273" i="3"/>
  <c r="V5272" i="3"/>
  <c r="R5272" i="3"/>
  <c r="P5272" i="3"/>
  <c r="N5272" i="3"/>
  <c r="M5272" i="3"/>
  <c r="L5272" i="3"/>
  <c r="V5271" i="3"/>
  <c r="R5271" i="3"/>
  <c r="P5271" i="3"/>
  <c r="N5271" i="3"/>
  <c r="M5271" i="3"/>
  <c r="L5271" i="3"/>
  <c r="V5270" i="3"/>
  <c r="R5270" i="3"/>
  <c r="P5270" i="3"/>
  <c r="N5270" i="3"/>
  <c r="M5270" i="3"/>
  <c r="L5270" i="3"/>
  <c r="V5269" i="3"/>
  <c r="R5269" i="3"/>
  <c r="P5269" i="3"/>
  <c r="N5269" i="3"/>
  <c r="M5269" i="3"/>
  <c r="L5269" i="3"/>
  <c r="V5268" i="3"/>
  <c r="R5268" i="3"/>
  <c r="P5268" i="3"/>
  <c r="N5268" i="3"/>
  <c r="M5268" i="3"/>
  <c r="L5268" i="3"/>
  <c r="V5267" i="3"/>
  <c r="R5267" i="3"/>
  <c r="P5267" i="3"/>
  <c r="N5267" i="3"/>
  <c r="M5267" i="3"/>
  <c r="L5267" i="3"/>
  <c r="V5266" i="3"/>
  <c r="R5266" i="3"/>
  <c r="P5266" i="3"/>
  <c r="N5266" i="3"/>
  <c r="M5266" i="3"/>
  <c r="L5266" i="3"/>
  <c r="V5265" i="3"/>
  <c r="R5265" i="3"/>
  <c r="P5265" i="3"/>
  <c r="N5265" i="3"/>
  <c r="M5265" i="3"/>
  <c r="L5265" i="3"/>
  <c r="V5264" i="3"/>
  <c r="R5264" i="3"/>
  <c r="P5264" i="3"/>
  <c r="N5264" i="3"/>
  <c r="M5264" i="3"/>
  <c r="L5264" i="3"/>
  <c r="V5263" i="3"/>
  <c r="R5263" i="3"/>
  <c r="P5263" i="3"/>
  <c r="N5263" i="3"/>
  <c r="M5263" i="3"/>
  <c r="L5263" i="3"/>
  <c r="V5262" i="3"/>
  <c r="R5262" i="3"/>
  <c r="P5262" i="3"/>
  <c r="N5262" i="3"/>
  <c r="M5262" i="3"/>
  <c r="L5262" i="3"/>
  <c r="V5261" i="3"/>
  <c r="R5261" i="3"/>
  <c r="P5261" i="3"/>
  <c r="N5261" i="3"/>
  <c r="M5261" i="3"/>
  <c r="L5261" i="3"/>
  <c r="V5260" i="3"/>
  <c r="R5260" i="3"/>
  <c r="P5260" i="3"/>
  <c r="N5260" i="3"/>
  <c r="M5260" i="3"/>
  <c r="L5260" i="3"/>
  <c r="V5259" i="3"/>
  <c r="R5259" i="3"/>
  <c r="P5259" i="3"/>
  <c r="N5259" i="3"/>
  <c r="M5259" i="3"/>
  <c r="L5259" i="3"/>
  <c r="V5258" i="3"/>
  <c r="R5258" i="3"/>
  <c r="P5258" i="3"/>
  <c r="N5258" i="3"/>
  <c r="M5258" i="3"/>
  <c r="L5258" i="3"/>
  <c r="V5257" i="3"/>
  <c r="R5257" i="3"/>
  <c r="P5257" i="3"/>
  <c r="N5257" i="3"/>
  <c r="M5257" i="3"/>
  <c r="L5257" i="3"/>
  <c r="V5256" i="3"/>
  <c r="R5256" i="3"/>
  <c r="P5256" i="3"/>
  <c r="N5256" i="3"/>
  <c r="M5256" i="3"/>
  <c r="L5256" i="3"/>
  <c r="V5255" i="3"/>
  <c r="R5255" i="3"/>
  <c r="P5255" i="3"/>
  <c r="N5255" i="3"/>
  <c r="M5255" i="3"/>
  <c r="L5255" i="3"/>
  <c r="V5254" i="3"/>
  <c r="R5254" i="3"/>
  <c r="P5254" i="3"/>
  <c r="N5254" i="3"/>
  <c r="M5254" i="3"/>
  <c r="L5254" i="3"/>
  <c r="V5253" i="3"/>
  <c r="R5253" i="3"/>
  <c r="P5253" i="3"/>
  <c r="N5253" i="3"/>
  <c r="M5253" i="3"/>
  <c r="L5253" i="3"/>
  <c r="V5252" i="3"/>
  <c r="R5252" i="3"/>
  <c r="P5252" i="3"/>
  <c r="N5252" i="3"/>
  <c r="M5252" i="3"/>
  <c r="L5252" i="3"/>
  <c r="V5251" i="3"/>
  <c r="R5251" i="3"/>
  <c r="P5251" i="3"/>
  <c r="N5251" i="3"/>
  <c r="M5251" i="3"/>
  <c r="L5251" i="3"/>
  <c r="V5250" i="3"/>
  <c r="R5250" i="3"/>
  <c r="P5250" i="3"/>
  <c r="N5250" i="3"/>
  <c r="M5250" i="3"/>
  <c r="L5250" i="3"/>
  <c r="V5249" i="3"/>
  <c r="R5249" i="3"/>
  <c r="P5249" i="3"/>
  <c r="N5249" i="3"/>
  <c r="M5249" i="3"/>
  <c r="L5249" i="3"/>
  <c r="V5248" i="3"/>
  <c r="R5248" i="3"/>
  <c r="P5248" i="3"/>
  <c r="N5248" i="3"/>
  <c r="M5248" i="3"/>
  <c r="L5248" i="3"/>
  <c r="V5247" i="3"/>
  <c r="R5247" i="3"/>
  <c r="P5247" i="3"/>
  <c r="N5247" i="3"/>
  <c r="M5247" i="3"/>
  <c r="L5247" i="3"/>
  <c r="V5246" i="3"/>
  <c r="R5246" i="3"/>
  <c r="P5246" i="3"/>
  <c r="N5246" i="3"/>
  <c r="M5246" i="3"/>
  <c r="L5246" i="3"/>
  <c r="V5245" i="3"/>
  <c r="R5245" i="3"/>
  <c r="P5245" i="3"/>
  <c r="N5245" i="3"/>
  <c r="M5245" i="3"/>
  <c r="L5245" i="3"/>
  <c r="V5244" i="3"/>
  <c r="R5244" i="3"/>
  <c r="P5244" i="3"/>
  <c r="N5244" i="3"/>
  <c r="M5244" i="3"/>
  <c r="L5244" i="3"/>
  <c r="V5243" i="3"/>
  <c r="R5243" i="3"/>
  <c r="P5243" i="3"/>
  <c r="N5243" i="3"/>
  <c r="M5243" i="3"/>
  <c r="L5243" i="3"/>
  <c r="V5242" i="3"/>
  <c r="R5242" i="3"/>
  <c r="P5242" i="3"/>
  <c r="N5242" i="3"/>
  <c r="M5242" i="3"/>
  <c r="L5242" i="3"/>
  <c r="V5241" i="3"/>
  <c r="R5241" i="3"/>
  <c r="P5241" i="3"/>
  <c r="N5241" i="3"/>
  <c r="M5241" i="3"/>
  <c r="L5241" i="3"/>
  <c r="V5240" i="3"/>
  <c r="R5240" i="3"/>
  <c r="P5240" i="3"/>
  <c r="N5240" i="3"/>
  <c r="M5240" i="3"/>
  <c r="L5240" i="3"/>
  <c r="V5239" i="3"/>
  <c r="R5239" i="3"/>
  <c r="P5239" i="3"/>
  <c r="N5239" i="3"/>
  <c r="M5239" i="3"/>
  <c r="L5239" i="3"/>
  <c r="V5238" i="3"/>
  <c r="R5238" i="3"/>
  <c r="P5238" i="3"/>
  <c r="N5238" i="3"/>
  <c r="M5238" i="3"/>
  <c r="L5238" i="3"/>
  <c r="V5237" i="3"/>
  <c r="R5237" i="3"/>
  <c r="P5237" i="3"/>
  <c r="N5237" i="3"/>
  <c r="M5237" i="3"/>
  <c r="L5237" i="3"/>
  <c r="V5236" i="3"/>
  <c r="R5236" i="3"/>
  <c r="P5236" i="3"/>
  <c r="N5236" i="3"/>
  <c r="M5236" i="3"/>
  <c r="L5236" i="3"/>
  <c r="V5235" i="3"/>
  <c r="R5235" i="3"/>
  <c r="P5235" i="3"/>
  <c r="N5235" i="3"/>
  <c r="M5235" i="3"/>
  <c r="L5235" i="3"/>
  <c r="V5234" i="3"/>
  <c r="R5234" i="3"/>
  <c r="P5234" i="3"/>
  <c r="N5234" i="3"/>
  <c r="M5234" i="3"/>
  <c r="L5234" i="3"/>
  <c r="V5233" i="3"/>
  <c r="R5233" i="3"/>
  <c r="P5233" i="3"/>
  <c r="N5233" i="3"/>
  <c r="M5233" i="3"/>
  <c r="L5233" i="3"/>
  <c r="V5232" i="3"/>
  <c r="R5232" i="3"/>
  <c r="P5232" i="3"/>
  <c r="N5232" i="3"/>
  <c r="M5232" i="3"/>
  <c r="L5232" i="3"/>
  <c r="V5231" i="3"/>
  <c r="R5231" i="3"/>
  <c r="P5231" i="3"/>
  <c r="N5231" i="3"/>
  <c r="M5231" i="3"/>
  <c r="L5231" i="3"/>
  <c r="V5230" i="3"/>
  <c r="R5230" i="3"/>
  <c r="P5230" i="3"/>
  <c r="N5230" i="3"/>
  <c r="M5230" i="3"/>
  <c r="L5230" i="3"/>
  <c r="V5229" i="3"/>
  <c r="R5229" i="3"/>
  <c r="P5229" i="3"/>
  <c r="N5229" i="3"/>
  <c r="M5229" i="3"/>
  <c r="L5229" i="3"/>
  <c r="V5228" i="3"/>
  <c r="R5228" i="3"/>
  <c r="P5228" i="3"/>
  <c r="N5228" i="3"/>
  <c r="M5228" i="3"/>
  <c r="L5228" i="3"/>
  <c r="V5227" i="3"/>
  <c r="R5227" i="3"/>
  <c r="P5227" i="3"/>
  <c r="N5227" i="3"/>
  <c r="M5227" i="3"/>
  <c r="L5227" i="3"/>
  <c r="V5226" i="3"/>
  <c r="R5226" i="3"/>
  <c r="P5226" i="3"/>
  <c r="N5226" i="3"/>
  <c r="M5226" i="3"/>
  <c r="L5226" i="3"/>
  <c r="V5225" i="3"/>
  <c r="R5225" i="3"/>
  <c r="P5225" i="3"/>
  <c r="N5225" i="3"/>
  <c r="M5225" i="3"/>
  <c r="L5225" i="3"/>
  <c r="V5224" i="3"/>
  <c r="R5224" i="3"/>
  <c r="P5224" i="3"/>
  <c r="N5224" i="3"/>
  <c r="M5224" i="3"/>
  <c r="L5224" i="3"/>
  <c r="V5223" i="3"/>
  <c r="R5223" i="3"/>
  <c r="P5223" i="3"/>
  <c r="N5223" i="3"/>
  <c r="M5223" i="3"/>
  <c r="L5223" i="3"/>
  <c r="V5222" i="3"/>
  <c r="R5222" i="3"/>
  <c r="P5222" i="3"/>
  <c r="N5222" i="3"/>
  <c r="M5222" i="3"/>
  <c r="L5222" i="3"/>
  <c r="V5221" i="3"/>
  <c r="R5221" i="3"/>
  <c r="P5221" i="3"/>
  <c r="N5221" i="3"/>
  <c r="M5221" i="3"/>
  <c r="L5221" i="3"/>
  <c r="V5220" i="3"/>
  <c r="R5220" i="3"/>
  <c r="P5220" i="3"/>
  <c r="N5220" i="3"/>
  <c r="M5220" i="3"/>
  <c r="L5220" i="3"/>
  <c r="V5219" i="3"/>
  <c r="R5219" i="3"/>
  <c r="P5219" i="3"/>
  <c r="N5219" i="3"/>
  <c r="M5219" i="3"/>
  <c r="L5219" i="3"/>
  <c r="V5218" i="3"/>
  <c r="R5218" i="3"/>
  <c r="P5218" i="3"/>
  <c r="N5218" i="3"/>
  <c r="M5218" i="3"/>
  <c r="L5218" i="3"/>
  <c r="V5217" i="3"/>
  <c r="R5217" i="3"/>
  <c r="P5217" i="3"/>
  <c r="N5217" i="3"/>
  <c r="M5217" i="3"/>
  <c r="L5217" i="3"/>
  <c r="V5216" i="3"/>
  <c r="R5216" i="3"/>
  <c r="P5216" i="3"/>
  <c r="N5216" i="3"/>
  <c r="M5216" i="3"/>
  <c r="L5216" i="3"/>
  <c r="V5215" i="3"/>
  <c r="R5215" i="3"/>
  <c r="P5215" i="3"/>
  <c r="N5215" i="3"/>
  <c r="M5215" i="3"/>
  <c r="L5215" i="3"/>
  <c r="V5214" i="3"/>
  <c r="R5214" i="3"/>
  <c r="P5214" i="3"/>
  <c r="N5214" i="3"/>
  <c r="M5214" i="3"/>
  <c r="L5214" i="3"/>
  <c r="V5213" i="3"/>
  <c r="R5213" i="3"/>
  <c r="P5213" i="3"/>
  <c r="N5213" i="3"/>
  <c r="M5213" i="3"/>
  <c r="L5213" i="3"/>
  <c r="V5212" i="3"/>
  <c r="R5212" i="3"/>
  <c r="P5212" i="3"/>
  <c r="N5212" i="3"/>
  <c r="M5212" i="3"/>
  <c r="L5212" i="3"/>
  <c r="V5211" i="3"/>
  <c r="R5211" i="3"/>
  <c r="P5211" i="3"/>
  <c r="N5211" i="3"/>
  <c r="M5211" i="3"/>
  <c r="L5211" i="3"/>
  <c r="V5210" i="3"/>
  <c r="R5210" i="3"/>
  <c r="P5210" i="3"/>
  <c r="N5210" i="3"/>
  <c r="M5210" i="3"/>
  <c r="L5210" i="3"/>
  <c r="V5209" i="3"/>
  <c r="R5209" i="3"/>
  <c r="P5209" i="3"/>
  <c r="N5209" i="3"/>
  <c r="M5209" i="3"/>
  <c r="L5209" i="3"/>
  <c r="V5208" i="3"/>
  <c r="R5208" i="3"/>
  <c r="P5208" i="3"/>
  <c r="N5208" i="3"/>
  <c r="M5208" i="3"/>
  <c r="L5208" i="3"/>
  <c r="V5207" i="3"/>
  <c r="R5207" i="3"/>
  <c r="P5207" i="3"/>
  <c r="N5207" i="3"/>
  <c r="M5207" i="3"/>
  <c r="L5207" i="3"/>
  <c r="V5206" i="3"/>
  <c r="R5206" i="3"/>
  <c r="P5206" i="3"/>
  <c r="N5206" i="3"/>
  <c r="M5206" i="3"/>
  <c r="L5206" i="3"/>
  <c r="V5205" i="3"/>
  <c r="R5205" i="3"/>
  <c r="P5205" i="3"/>
  <c r="N5205" i="3"/>
  <c r="M5205" i="3"/>
  <c r="L5205" i="3"/>
  <c r="V5204" i="3"/>
  <c r="R5204" i="3"/>
  <c r="P5204" i="3"/>
  <c r="N5204" i="3"/>
  <c r="M5204" i="3"/>
  <c r="L5204" i="3"/>
  <c r="V5203" i="3"/>
  <c r="R5203" i="3"/>
  <c r="P5203" i="3"/>
  <c r="N5203" i="3"/>
  <c r="M5203" i="3"/>
  <c r="L5203" i="3"/>
  <c r="V5202" i="3"/>
  <c r="R5202" i="3"/>
  <c r="P5202" i="3"/>
  <c r="N5202" i="3"/>
  <c r="M5202" i="3"/>
  <c r="L5202" i="3"/>
  <c r="V5201" i="3"/>
  <c r="R5201" i="3"/>
  <c r="P5201" i="3"/>
  <c r="N5201" i="3"/>
  <c r="M5201" i="3"/>
  <c r="L5201" i="3"/>
  <c r="V5200" i="3"/>
  <c r="R5200" i="3"/>
  <c r="P5200" i="3"/>
  <c r="N5200" i="3"/>
  <c r="M5200" i="3"/>
  <c r="L5200" i="3"/>
  <c r="V5199" i="3"/>
  <c r="R5199" i="3"/>
  <c r="P5199" i="3"/>
  <c r="N5199" i="3"/>
  <c r="M5199" i="3"/>
  <c r="L5199" i="3"/>
  <c r="V5198" i="3"/>
  <c r="R5198" i="3"/>
  <c r="P5198" i="3"/>
  <c r="N5198" i="3"/>
  <c r="M5198" i="3"/>
  <c r="L5198" i="3"/>
  <c r="V5197" i="3"/>
  <c r="R5197" i="3"/>
  <c r="P5197" i="3"/>
  <c r="N5197" i="3"/>
  <c r="M5197" i="3"/>
  <c r="L5197" i="3"/>
  <c r="V5196" i="3"/>
  <c r="R5196" i="3"/>
  <c r="P5196" i="3"/>
  <c r="N5196" i="3"/>
  <c r="M5196" i="3"/>
  <c r="L5196" i="3"/>
  <c r="V5195" i="3"/>
  <c r="R5195" i="3"/>
  <c r="P5195" i="3"/>
  <c r="N5195" i="3"/>
  <c r="M5195" i="3"/>
  <c r="L5195" i="3"/>
  <c r="V5194" i="3"/>
  <c r="R5194" i="3"/>
  <c r="P5194" i="3"/>
  <c r="N5194" i="3"/>
  <c r="M5194" i="3"/>
  <c r="L5194" i="3"/>
  <c r="V5193" i="3"/>
  <c r="R5193" i="3"/>
  <c r="P5193" i="3"/>
  <c r="N5193" i="3"/>
  <c r="M5193" i="3"/>
  <c r="L5193" i="3"/>
  <c r="V5192" i="3"/>
  <c r="R5192" i="3"/>
  <c r="P5192" i="3"/>
  <c r="N5192" i="3"/>
  <c r="M5192" i="3"/>
  <c r="L5192" i="3"/>
  <c r="V5191" i="3"/>
  <c r="R5191" i="3"/>
  <c r="P5191" i="3"/>
  <c r="N5191" i="3"/>
  <c r="M5191" i="3"/>
  <c r="L5191" i="3"/>
  <c r="V5190" i="3"/>
  <c r="R5190" i="3"/>
  <c r="P5190" i="3"/>
  <c r="N5190" i="3"/>
  <c r="M5190" i="3"/>
  <c r="L5190" i="3"/>
  <c r="V5189" i="3"/>
  <c r="R5189" i="3"/>
  <c r="P5189" i="3"/>
  <c r="N5189" i="3"/>
  <c r="M5189" i="3"/>
  <c r="L5189" i="3"/>
  <c r="V5188" i="3"/>
  <c r="R5188" i="3"/>
  <c r="P5188" i="3"/>
  <c r="N5188" i="3"/>
  <c r="M5188" i="3"/>
  <c r="L5188" i="3"/>
  <c r="V5187" i="3"/>
  <c r="R5187" i="3"/>
  <c r="P5187" i="3"/>
  <c r="N5187" i="3"/>
  <c r="M5187" i="3"/>
  <c r="L5187" i="3"/>
  <c r="V5186" i="3"/>
  <c r="R5186" i="3"/>
  <c r="P5186" i="3"/>
  <c r="N5186" i="3"/>
  <c r="M5186" i="3"/>
  <c r="L5186" i="3"/>
  <c r="V5185" i="3"/>
  <c r="R5185" i="3"/>
  <c r="P5185" i="3"/>
  <c r="N5185" i="3"/>
  <c r="M5185" i="3"/>
  <c r="L5185" i="3"/>
  <c r="V5184" i="3"/>
  <c r="R5184" i="3"/>
  <c r="P5184" i="3"/>
  <c r="N5184" i="3"/>
  <c r="M5184" i="3"/>
  <c r="L5184" i="3"/>
  <c r="V5183" i="3"/>
  <c r="R5183" i="3"/>
  <c r="P5183" i="3"/>
  <c r="N5183" i="3"/>
  <c r="M5183" i="3"/>
  <c r="L5183" i="3"/>
  <c r="V5182" i="3"/>
  <c r="R5182" i="3"/>
  <c r="P5182" i="3"/>
  <c r="N5182" i="3"/>
  <c r="M5182" i="3"/>
  <c r="L5182" i="3"/>
  <c r="V5181" i="3"/>
  <c r="R5181" i="3"/>
  <c r="P5181" i="3"/>
  <c r="N5181" i="3"/>
  <c r="M5181" i="3"/>
  <c r="L5181" i="3"/>
  <c r="V5180" i="3"/>
  <c r="R5180" i="3"/>
  <c r="P5180" i="3"/>
  <c r="N5180" i="3"/>
  <c r="M5180" i="3"/>
  <c r="L5180" i="3"/>
  <c r="V5179" i="3"/>
  <c r="R5179" i="3"/>
  <c r="P5179" i="3"/>
  <c r="N5179" i="3"/>
  <c r="M5179" i="3"/>
  <c r="L5179" i="3"/>
  <c r="V5178" i="3"/>
  <c r="R5178" i="3"/>
  <c r="P5178" i="3"/>
  <c r="N5178" i="3"/>
  <c r="M5178" i="3"/>
  <c r="L5178" i="3"/>
  <c r="V5177" i="3"/>
  <c r="R5177" i="3"/>
  <c r="P5177" i="3"/>
  <c r="N5177" i="3"/>
  <c r="M5177" i="3"/>
  <c r="L5177" i="3"/>
  <c r="V5176" i="3"/>
  <c r="R5176" i="3"/>
  <c r="P5176" i="3"/>
  <c r="N5176" i="3"/>
  <c r="M5176" i="3"/>
  <c r="L5176" i="3"/>
  <c r="V5175" i="3"/>
  <c r="R5175" i="3"/>
  <c r="P5175" i="3"/>
  <c r="N5175" i="3"/>
  <c r="M5175" i="3"/>
  <c r="L5175" i="3"/>
  <c r="V5174" i="3"/>
  <c r="R5174" i="3"/>
  <c r="P5174" i="3"/>
  <c r="N5174" i="3"/>
  <c r="M5174" i="3"/>
  <c r="L5174" i="3"/>
  <c r="V5173" i="3"/>
  <c r="R5173" i="3"/>
  <c r="P5173" i="3"/>
  <c r="N5173" i="3"/>
  <c r="M5173" i="3"/>
  <c r="L5173" i="3"/>
  <c r="V5172" i="3"/>
  <c r="R5172" i="3"/>
  <c r="P5172" i="3"/>
  <c r="N5172" i="3"/>
  <c r="M5172" i="3"/>
  <c r="L5172" i="3"/>
  <c r="V5171" i="3"/>
  <c r="R5171" i="3"/>
  <c r="P5171" i="3"/>
  <c r="N5171" i="3"/>
  <c r="M5171" i="3"/>
  <c r="L5171" i="3"/>
  <c r="V5170" i="3"/>
  <c r="R5170" i="3"/>
  <c r="P5170" i="3"/>
  <c r="N5170" i="3"/>
  <c r="M5170" i="3"/>
  <c r="L5170" i="3"/>
  <c r="V5169" i="3"/>
  <c r="R5169" i="3"/>
  <c r="P5169" i="3"/>
  <c r="N5169" i="3"/>
  <c r="M5169" i="3"/>
  <c r="L5169" i="3"/>
  <c r="V5168" i="3"/>
  <c r="R5168" i="3"/>
  <c r="P5168" i="3"/>
  <c r="N5168" i="3"/>
  <c r="M5168" i="3"/>
  <c r="L5168" i="3"/>
  <c r="V5167" i="3"/>
  <c r="R5167" i="3"/>
  <c r="P5167" i="3"/>
  <c r="N5167" i="3"/>
  <c r="M5167" i="3"/>
  <c r="L5167" i="3"/>
  <c r="V5166" i="3"/>
  <c r="R5166" i="3"/>
  <c r="P5166" i="3"/>
  <c r="N5166" i="3"/>
  <c r="M5166" i="3"/>
  <c r="L5166" i="3"/>
  <c r="V5165" i="3"/>
  <c r="R5165" i="3"/>
  <c r="P5165" i="3"/>
  <c r="N5165" i="3"/>
  <c r="M5165" i="3"/>
  <c r="L5165" i="3"/>
  <c r="V5164" i="3"/>
  <c r="R5164" i="3"/>
  <c r="P5164" i="3"/>
  <c r="N5164" i="3"/>
  <c r="M5164" i="3"/>
  <c r="L5164" i="3"/>
  <c r="V5163" i="3"/>
  <c r="R5163" i="3"/>
  <c r="P5163" i="3"/>
  <c r="N5163" i="3"/>
  <c r="M5163" i="3"/>
  <c r="L5163" i="3"/>
  <c r="V5162" i="3"/>
  <c r="R5162" i="3"/>
  <c r="P5162" i="3"/>
  <c r="N5162" i="3"/>
  <c r="M5162" i="3"/>
  <c r="L5162" i="3"/>
  <c r="V5161" i="3"/>
  <c r="R5161" i="3"/>
  <c r="P5161" i="3"/>
  <c r="N5161" i="3"/>
  <c r="M5161" i="3"/>
  <c r="L5161" i="3"/>
  <c r="V5160" i="3"/>
  <c r="R5160" i="3"/>
  <c r="P5160" i="3"/>
  <c r="N5160" i="3"/>
  <c r="M5160" i="3"/>
  <c r="L5160" i="3"/>
  <c r="V5159" i="3"/>
  <c r="R5159" i="3"/>
  <c r="P5159" i="3"/>
  <c r="N5159" i="3"/>
  <c r="M5159" i="3"/>
  <c r="L5159" i="3"/>
  <c r="V5158" i="3"/>
  <c r="R5158" i="3"/>
  <c r="P5158" i="3"/>
  <c r="N5158" i="3"/>
  <c r="M5158" i="3"/>
  <c r="L5158" i="3"/>
  <c r="V5157" i="3"/>
  <c r="R5157" i="3"/>
  <c r="P5157" i="3"/>
  <c r="N5157" i="3"/>
  <c r="M5157" i="3"/>
  <c r="L5157" i="3"/>
  <c r="V5156" i="3"/>
  <c r="R5156" i="3"/>
  <c r="P5156" i="3"/>
  <c r="N5156" i="3"/>
  <c r="M5156" i="3"/>
  <c r="L5156" i="3"/>
  <c r="V5155" i="3"/>
  <c r="R5155" i="3"/>
  <c r="P5155" i="3"/>
  <c r="N5155" i="3"/>
  <c r="M5155" i="3"/>
  <c r="L5155" i="3"/>
  <c r="V5154" i="3"/>
  <c r="R5154" i="3"/>
  <c r="P5154" i="3"/>
  <c r="N5154" i="3"/>
  <c r="M5154" i="3"/>
  <c r="L5154" i="3"/>
  <c r="V5153" i="3"/>
  <c r="R5153" i="3"/>
  <c r="P5153" i="3"/>
  <c r="N5153" i="3"/>
  <c r="M5153" i="3"/>
  <c r="L5153" i="3"/>
  <c r="V5152" i="3"/>
  <c r="R5152" i="3"/>
  <c r="P5152" i="3"/>
  <c r="N5152" i="3"/>
  <c r="M5152" i="3"/>
  <c r="L5152" i="3"/>
  <c r="V5151" i="3"/>
  <c r="R5151" i="3"/>
  <c r="P5151" i="3"/>
  <c r="N5151" i="3"/>
  <c r="M5151" i="3"/>
  <c r="L5151" i="3"/>
  <c r="V5150" i="3"/>
  <c r="R5150" i="3"/>
  <c r="P5150" i="3"/>
  <c r="N5150" i="3"/>
  <c r="M5150" i="3"/>
  <c r="L5150" i="3"/>
  <c r="V5149" i="3"/>
  <c r="R5149" i="3"/>
  <c r="P5149" i="3"/>
  <c r="N5149" i="3"/>
  <c r="M5149" i="3"/>
  <c r="L5149" i="3"/>
  <c r="V5148" i="3"/>
  <c r="R5148" i="3"/>
  <c r="P5148" i="3"/>
  <c r="N5148" i="3"/>
  <c r="M5148" i="3"/>
  <c r="L5148" i="3"/>
  <c r="V5147" i="3"/>
  <c r="R5147" i="3"/>
  <c r="P5147" i="3"/>
  <c r="N5147" i="3"/>
  <c r="M5147" i="3"/>
  <c r="L5147" i="3"/>
  <c r="V5146" i="3"/>
  <c r="R5146" i="3"/>
  <c r="P5146" i="3"/>
  <c r="N5146" i="3"/>
  <c r="M5146" i="3"/>
  <c r="L5146" i="3"/>
  <c r="V5145" i="3"/>
  <c r="R5145" i="3"/>
  <c r="P5145" i="3"/>
  <c r="N5145" i="3"/>
  <c r="M5145" i="3"/>
  <c r="L5145" i="3"/>
  <c r="V5144" i="3"/>
  <c r="R5144" i="3"/>
  <c r="P5144" i="3"/>
  <c r="N5144" i="3"/>
  <c r="M5144" i="3"/>
  <c r="L5144" i="3"/>
  <c r="V5143" i="3"/>
  <c r="R5143" i="3"/>
  <c r="P5143" i="3"/>
  <c r="N5143" i="3"/>
  <c r="M5143" i="3"/>
  <c r="L5143" i="3"/>
  <c r="V5142" i="3"/>
  <c r="R5142" i="3"/>
  <c r="P5142" i="3"/>
  <c r="N5142" i="3"/>
  <c r="M5142" i="3"/>
  <c r="L5142" i="3"/>
  <c r="V5141" i="3"/>
  <c r="R5141" i="3"/>
  <c r="P5141" i="3"/>
  <c r="N5141" i="3"/>
  <c r="M5141" i="3"/>
  <c r="L5141" i="3"/>
  <c r="V5140" i="3"/>
  <c r="R5140" i="3"/>
  <c r="P5140" i="3"/>
  <c r="N5140" i="3"/>
  <c r="M5140" i="3"/>
  <c r="L5140" i="3"/>
  <c r="V5139" i="3"/>
  <c r="R5139" i="3"/>
  <c r="P5139" i="3"/>
  <c r="N5139" i="3"/>
  <c r="M5139" i="3"/>
  <c r="L5139" i="3"/>
  <c r="V5138" i="3"/>
  <c r="R5138" i="3"/>
  <c r="P5138" i="3"/>
  <c r="N5138" i="3"/>
  <c r="M5138" i="3"/>
  <c r="L5138" i="3"/>
  <c r="V5137" i="3"/>
  <c r="R5137" i="3"/>
  <c r="P5137" i="3"/>
  <c r="N5137" i="3"/>
  <c r="M5137" i="3"/>
  <c r="L5137" i="3"/>
  <c r="V5136" i="3"/>
  <c r="R5136" i="3"/>
  <c r="P5136" i="3"/>
  <c r="N5136" i="3"/>
  <c r="M5136" i="3"/>
  <c r="L5136" i="3"/>
  <c r="V5135" i="3"/>
  <c r="R5135" i="3"/>
  <c r="P5135" i="3"/>
  <c r="N5135" i="3"/>
  <c r="M5135" i="3"/>
  <c r="L5135" i="3"/>
  <c r="V5134" i="3"/>
  <c r="R5134" i="3"/>
  <c r="P5134" i="3"/>
  <c r="N5134" i="3"/>
  <c r="M5134" i="3"/>
  <c r="L5134" i="3"/>
  <c r="V5133" i="3"/>
  <c r="R5133" i="3"/>
  <c r="P5133" i="3"/>
  <c r="N5133" i="3"/>
  <c r="M5133" i="3"/>
  <c r="L5133" i="3"/>
  <c r="V5132" i="3"/>
  <c r="R5132" i="3"/>
  <c r="P5132" i="3"/>
  <c r="N5132" i="3"/>
  <c r="M5132" i="3"/>
  <c r="L5132" i="3"/>
  <c r="V5131" i="3"/>
  <c r="R5131" i="3"/>
  <c r="P5131" i="3"/>
  <c r="N5131" i="3"/>
  <c r="M5131" i="3"/>
  <c r="L5131" i="3"/>
  <c r="V5130" i="3"/>
  <c r="R5130" i="3"/>
  <c r="P5130" i="3"/>
  <c r="N5130" i="3"/>
  <c r="M5130" i="3"/>
  <c r="L5130" i="3"/>
  <c r="V5129" i="3"/>
  <c r="R5129" i="3"/>
  <c r="P5129" i="3"/>
  <c r="N5129" i="3"/>
  <c r="M5129" i="3"/>
  <c r="L5129" i="3"/>
  <c r="V5128" i="3"/>
  <c r="R5128" i="3"/>
  <c r="P5128" i="3"/>
  <c r="N5128" i="3"/>
  <c r="M5128" i="3"/>
  <c r="L5128" i="3"/>
  <c r="V5127" i="3"/>
  <c r="R5127" i="3"/>
  <c r="P5127" i="3"/>
  <c r="N5127" i="3"/>
  <c r="M5127" i="3"/>
  <c r="L5127" i="3"/>
  <c r="V5126" i="3"/>
  <c r="R5126" i="3"/>
  <c r="P5126" i="3"/>
  <c r="N5126" i="3"/>
  <c r="M5126" i="3"/>
  <c r="L5126" i="3"/>
  <c r="V5125" i="3"/>
  <c r="R5125" i="3"/>
  <c r="P5125" i="3"/>
  <c r="N5125" i="3"/>
  <c r="M5125" i="3"/>
  <c r="L5125" i="3"/>
  <c r="V5124" i="3"/>
  <c r="R5124" i="3"/>
  <c r="P5124" i="3"/>
  <c r="N5124" i="3"/>
  <c r="M5124" i="3"/>
  <c r="L5124" i="3"/>
  <c r="V5123" i="3"/>
  <c r="R5123" i="3"/>
  <c r="P5123" i="3"/>
  <c r="N5123" i="3"/>
  <c r="M5123" i="3"/>
  <c r="L5123" i="3"/>
  <c r="V5122" i="3"/>
  <c r="R5122" i="3"/>
  <c r="P5122" i="3"/>
  <c r="N5122" i="3"/>
  <c r="M5122" i="3"/>
  <c r="L5122" i="3"/>
  <c r="V5121" i="3"/>
  <c r="R5121" i="3"/>
  <c r="P5121" i="3"/>
  <c r="N5121" i="3"/>
  <c r="M5121" i="3"/>
  <c r="L5121" i="3"/>
  <c r="V5120" i="3"/>
  <c r="R5120" i="3"/>
  <c r="P5120" i="3"/>
  <c r="N5120" i="3"/>
  <c r="M5120" i="3"/>
  <c r="L5120" i="3"/>
  <c r="V5119" i="3"/>
  <c r="R5119" i="3"/>
  <c r="P5119" i="3"/>
  <c r="N5119" i="3"/>
  <c r="M5119" i="3"/>
  <c r="L5119" i="3"/>
  <c r="V5118" i="3"/>
  <c r="R5118" i="3"/>
  <c r="P5118" i="3"/>
  <c r="N5118" i="3"/>
  <c r="M5118" i="3"/>
  <c r="L5118" i="3"/>
  <c r="V5117" i="3"/>
  <c r="R5117" i="3"/>
  <c r="P5117" i="3"/>
  <c r="N5117" i="3"/>
  <c r="M5117" i="3"/>
  <c r="L5117" i="3"/>
  <c r="V5116" i="3"/>
  <c r="R5116" i="3"/>
  <c r="P5116" i="3"/>
  <c r="N5116" i="3"/>
  <c r="M5116" i="3"/>
  <c r="L5116" i="3"/>
  <c r="V5115" i="3"/>
  <c r="R5115" i="3"/>
  <c r="P5115" i="3"/>
  <c r="N5115" i="3"/>
  <c r="M5115" i="3"/>
  <c r="L5115" i="3"/>
  <c r="V5114" i="3"/>
  <c r="R5114" i="3"/>
  <c r="P5114" i="3"/>
  <c r="N5114" i="3"/>
  <c r="M5114" i="3"/>
  <c r="L5114" i="3"/>
  <c r="V5113" i="3"/>
  <c r="R5113" i="3"/>
  <c r="P5113" i="3"/>
  <c r="N5113" i="3"/>
  <c r="M5113" i="3"/>
  <c r="L5113" i="3"/>
  <c r="V5112" i="3"/>
  <c r="R5112" i="3"/>
  <c r="P5112" i="3"/>
  <c r="N5112" i="3"/>
  <c r="M5112" i="3"/>
  <c r="L5112" i="3"/>
  <c r="V5111" i="3"/>
  <c r="R5111" i="3"/>
  <c r="P5111" i="3"/>
  <c r="N5111" i="3"/>
  <c r="M5111" i="3"/>
  <c r="L5111" i="3"/>
  <c r="V5110" i="3"/>
  <c r="R5110" i="3"/>
  <c r="P5110" i="3"/>
  <c r="N5110" i="3"/>
  <c r="M5110" i="3"/>
  <c r="L5110" i="3"/>
  <c r="V5109" i="3"/>
  <c r="R5109" i="3"/>
  <c r="P5109" i="3"/>
  <c r="N5109" i="3"/>
  <c r="M5109" i="3"/>
  <c r="L5109" i="3"/>
  <c r="V5108" i="3"/>
  <c r="R5108" i="3"/>
  <c r="P5108" i="3"/>
  <c r="N5108" i="3"/>
  <c r="M5108" i="3"/>
  <c r="L5108" i="3"/>
  <c r="V5107" i="3"/>
  <c r="R5107" i="3"/>
  <c r="P5107" i="3"/>
  <c r="N5107" i="3"/>
  <c r="M5107" i="3"/>
  <c r="L5107" i="3"/>
  <c r="V5106" i="3"/>
  <c r="R5106" i="3"/>
  <c r="P5106" i="3"/>
  <c r="N5106" i="3"/>
  <c r="M5106" i="3"/>
  <c r="L5106" i="3"/>
  <c r="V5105" i="3"/>
  <c r="R5105" i="3"/>
  <c r="P5105" i="3"/>
  <c r="N5105" i="3"/>
  <c r="M5105" i="3"/>
  <c r="L5105" i="3"/>
  <c r="V5104" i="3"/>
  <c r="R5104" i="3"/>
  <c r="P5104" i="3"/>
  <c r="N5104" i="3"/>
  <c r="M5104" i="3"/>
  <c r="L5104" i="3"/>
  <c r="V5103" i="3"/>
  <c r="R5103" i="3"/>
  <c r="P5103" i="3"/>
  <c r="N5103" i="3"/>
  <c r="M5103" i="3"/>
  <c r="L5103" i="3"/>
  <c r="V5102" i="3"/>
  <c r="R5102" i="3"/>
  <c r="P5102" i="3"/>
  <c r="N5102" i="3"/>
  <c r="M5102" i="3"/>
  <c r="L5102" i="3"/>
  <c r="V5101" i="3"/>
  <c r="R5101" i="3"/>
  <c r="P5101" i="3"/>
  <c r="N5101" i="3"/>
  <c r="M5101" i="3"/>
  <c r="L5101" i="3"/>
  <c r="V5100" i="3"/>
  <c r="R5100" i="3"/>
  <c r="P5100" i="3"/>
  <c r="N5100" i="3"/>
  <c r="M5100" i="3"/>
  <c r="L5100" i="3"/>
  <c r="V5099" i="3"/>
  <c r="R5099" i="3"/>
  <c r="P5099" i="3"/>
  <c r="N5099" i="3"/>
  <c r="M5099" i="3"/>
  <c r="L5099" i="3"/>
  <c r="V5098" i="3"/>
  <c r="R5098" i="3"/>
  <c r="P5098" i="3"/>
  <c r="N5098" i="3"/>
  <c r="M5098" i="3"/>
  <c r="L5098" i="3"/>
  <c r="V5097" i="3"/>
  <c r="R5097" i="3"/>
  <c r="P5097" i="3"/>
  <c r="N5097" i="3"/>
  <c r="M5097" i="3"/>
  <c r="L5097" i="3"/>
  <c r="V5096" i="3"/>
  <c r="R5096" i="3"/>
  <c r="P5096" i="3"/>
  <c r="N5096" i="3"/>
  <c r="M5096" i="3"/>
  <c r="L5096" i="3"/>
  <c r="V5095" i="3"/>
  <c r="R5095" i="3"/>
  <c r="P5095" i="3"/>
  <c r="N5095" i="3"/>
  <c r="M5095" i="3"/>
  <c r="L5095" i="3"/>
  <c r="V5094" i="3"/>
  <c r="R5094" i="3"/>
  <c r="P5094" i="3"/>
  <c r="N5094" i="3"/>
  <c r="M5094" i="3"/>
  <c r="L5094" i="3"/>
  <c r="V5093" i="3"/>
  <c r="R5093" i="3"/>
  <c r="P5093" i="3"/>
  <c r="N5093" i="3"/>
  <c r="M5093" i="3"/>
  <c r="L5093" i="3"/>
  <c r="V5092" i="3"/>
  <c r="R5092" i="3"/>
  <c r="P5092" i="3"/>
  <c r="N5092" i="3"/>
  <c r="M5092" i="3"/>
  <c r="L5092" i="3"/>
  <c r="V5091" i="3"/>
  <c r="R5091" i="3"/>
  <c r="P5091" i="3"/>
  <c r="N5091" i="3"/>
  <c r="M5091" i="3"/>
  <c r="L5091" i="3"/>
  <c r="V5090" i="3"/>
  <c r="R5090" i="3"/>
  <c r="P5090" i="3"/>
  <c r="N5090" i="3"/>
  <c r="M5090" i="3"/>
  <c r="L5090" i="3"/>
  <c r="V5089" i="3"/>
  <c r="R5089" i="3"/>
  <c r="P5089" i="3"/>
  <c r="N5089" i="3"/>
  <c r="M5089" i="3"/>
  <c r="L5089" i="3"/>
  <c r="V5088" i="3"/>
  <c r="R5088" i="3"/>
  <c r="P5088" i="3"/>
  <c r="N5088" i="3"/>
  <c r="M5088" i="3"/>
  <c r="L5088" i="3"/>
  <c r="V5087" i="3"/>
  <c r="R5087" i="3"/>
  <c r="P5087" i="3"/>
  <c r="N5087" i="3"/>
  <c r="M5087" i="3"/>
  <c r="L5087" i="3"/>
  <c r="V5086" i="3"/>
  <c r="R5086" i="3"/>
  <c r="P5086" i="3"/>
  <c r="N5086" i="3"/>
  <c r="M5086" i="3"/>
  <c r="L5086" i="3"/>
  <c r="V5085" i="3"/>
  <c r="R5085" i="3"/>
  <c r="P5085" i="3"/>
  <c r="N5085" i="3"/>
  <c r="M5085" i="3"/>
  <c r="L5085" i="3"/>
  <c r="V5084" i="3"/>
  <c r="R5084" i="3"/>
  <c r="P5084" i="3"/>
  <c r="N5084" i="3"/>
  <c r="M5084" i="3"/>
  <c r="L5084" i="3"/>
  <c r="V5083" i="3"/>
  <c r="R5083" i="3"/>
  <c r="P5083" i="3"/>
  <c r="N5083" i="3"/>
  <c r="M5083" i="3"/>
  <c r="L5083" i="3"/>
  <c r="V5082" i="3"/>
  <c r="R5082" i="3"/>
  <c r="P5082" i="3"/>
  <c r="N5082" i="3"/>
  <c r="M5082" i="3"/>
  <c r="L5082" i="3"/>
  <c r="V5081" i="3"/>
  <c r="R5081" i="3"/>
  <c r="P5081" i="3"/>
  <c r="N5081" i="3"/>
  <c r="M5081" i="3"/>
  <c r="L5081" i="3"/>
  <c r="V5080" i="3"/>
  <c r="R5080" i="3"/>
  <c r="P5080" i="3"/>
  <c r="N5080" i="3"/>
  <c r="M5080" i="3"/>
  <c r="L5080" i="3"/>
  <c r="V5079" i="3"/>
  <c r="R5079" i="3"/>
  <c r="P5079" i="3"/>
  <c r="N5079" i="3"/>
  <c r="M5079" i="3"/>
  <c r="L5079" i="3"/>
  <c r="V5078" i="3"/>
  <c r="R5078" i="3"/>
  <c r="P5078" i="3"/>
  <c r="N5078" i="3"/>
  <c r="M5078" i="3"/>
  <c r="L5078" i="3"/>
  <c r="V5077" i="3"/>
  <c r="R5077" i="3"/>
  <c r="P5077" i="3"/>
  <c r="N5077" i="3"/>
  <c r="M5077" i="3"/>
  <c r="L5077" i="3"/>
  <c r="V5076" i="3"/>
  <c r="R5076" i="3"/>
  <c r="P5076" i="3"/>
  <c r="N5076" i="3"/>
  <c r="M5076" i="3"/>
  <c r="L5076" i="3"/>
  <c r="V5075" i="3"/>
  <c r="R5075" i="3"/>
  <c r="P5075" i="3"/>
  <c r="N5075" i="3"/>
  <c r="M5075" i="3"/>
  <c r="L5075" i="3"/>
  <c r="V5074" i="3"/>
  <c r="R5074" i="3"/>
  <c r="P5074" i="3"/>
  <c r="N5074" i="3"/>
  <c r="M5074" i="3"/>
  <c r="L5074" i="3"/>
  <c r="V5073" i="3"/>
  <c r="R5073" i="3"/>
  <c r="P5073" i="3"/>
  <c r="N5073" i="3"/>
  <c r="M5073" i="3"/>
  <c r="L5073" i="3"/>
  <c r="V5072" i="3"/>
  <c r="R5072" i="3"/>
  <c r="P5072" i="3"/>
  <c r="N5072" i="3"/>
  <c r="M5072" i="3"/>
  <c r="L5072" i="3"/>
  <c r="V5071" i="3"/>
  <c r="R5071" i="3"/>
  <c r="P5071" i="3"/>
  <c r="N5071" i="3"/>
  <c r="M5071" i="3"/>
  <c r="L5071" i="3"/>
  <c r="V5070" i="3"/>
  <c r="R5070" i="3"/>
  <c r="P5070" i="3"/>
  <c r="N5070" i="3"/>
  <c r="M5070" i="3"/>
  <c r="L5070" i="3"/>
  <c r="V5069" i="3"/>
  <c r="R5069" i="3"/>
  <c r="P5069" i="3"/>
  <c r="N5069" i="3"/>
  <c r="M5069" i="3"/>
  <c r="L5069" i="3"/>
  <c r="V5068" i="3"/>
  <c r="R5068" i="3"/>
  <c r="P5068" i="3"/>
  <c r="N5068" i="3"/>
  <c r="M5068" i="3"/>
  <c r="L5068" i="3"/>
  <c r="V5067" i="3"/>
  <c r="R5067" i="3"/>
  <c r="P5067" i="3"/>
  <c r="N5067" i="3"/>
  <c r="M5067" i="3"/>
  <c r="L5067" i="3"/>
  <c r="V5066" i="3"/>
  <c r="R5066" i="3"/>
  <c r="P5066" i="3"/>
  <c r="N5066" i="3"/>
  <c r="M5066" i="3"/>
  <c r="L5066" i="3"/>
  <c r="V5065" i="3"/>
  <c r="R5065" i="3"/>
  <c r="P5065" i="3"/>
  <c r="N5065" i="3"/>
  <c r="M5065" i="3"/>
  <c r="L5065" i="3"/>
  <c r="V5064" i="3"/>
  <c r="R5064" i="3"/>
  <c r="P5064" i="3"/>
  <c r="N5064" i="3"/>
  <c r="M5064" i="3"/>
  <c r="L5064" i="3"/>
  <c r="V5063" i="3"/>
  <c r="R5063" i="3"/>
  <c r="P5063" i="3"/>
  <c r="N5063" i="3"/>
  <c r="M5063" i="3"/>
  <c r="L5063" i="3"/>
  <c r="V5062" i="3"/>
  <c r="R5062" i="3"/>
  <c r="P5062" i="3"/>
  <c r="N5062" i="3"/>
  <c r="M5062" i="3"/>
  <c r="L5062" i="3"/>
  <c r="V5061" i="3"/>
  <c r="R5061" i="3"/>
  <c r="P5061" i="3"/>
  <c r="N5061" i="3"/>
  <c r="M5061" i="3"/>
  <c r="L5061" i="3"/>
  <c r="V5060" i="3"/>
  <c r="R5060" i="3"/>
  <c r="P5060" i="3"/>
  <c r="N5060" i="3"/>
  <c r="M5060" i="3"/>
  <c r="L5060" i="3"/>
  <c r="V5059" i="3"/>
  <c r="R5059" i="3"/>
  <c r="P5059" i="3"/>
  <c r="N5059" i="3"/>
  <c r="M5059" i="3"/>
  <c r="L5059" i="3"/>
  <c r="V5058" i="3"/>
  <c r="R5058" i="3"/>
  <c r="P5058" i="3"/>
  <c r="N5058" i="3"/>
  <c r="M5058" i="3"/>
  <c r="L5058" i="3"/>
  <c r="V5057" i="3"/>
  <c r="R5057" i="3"/>
  <c r="P5057" i="3"/>
  <c r="N5057" i="3"/>
  <c r="M5057" i="3"/>
  <c r="L5057" i="3"/>
  <c r="V5056" i="3"/>
  <c r="R5056" i="3"/>
  <c r="P5056" i="3"/>
  <c r="N5056" i="3"/>
  <c r="M5056" i="3"/>
  <c r="L5056" i="3"/>
  <c r="V5055" i="3"/>
  <c r="R5055" i="3"/>
  <c r="P5055" i="3"/>
  <c r="N5055" i="3"/>
  <c r="M5055" i="3"/>
  <c r="L5055" i="3"/>
  <c r="V5054" i="3"/>
  <c r="R5054" i="3"/>
  <c r="P5054" i="3"/>
  <c r="N5054" i="3"/>
  <c r="M5054" i="3"/>
  <c r="L5054" i="3"/>
  <c r="V5053" i="3"/>
  <c r="R5053" i="3"/>
  <c r="P5053" i="3"/>
  <c r="N5053" i="3"/>
  <c r="M5053" i="3"/>
  <c r="L5053" i="3"/>
  <c r="V5052" i="3"/>
  <c r="R5052" i="3"/>
  <c r="P5052" i="3"/>
  <c r="N5052" i="3"/>
  <c r="M5052" i="3"/>
  <c r="L5052" i="3"/>
  <c r="V5051" i="3"/>
  <c r="R5051" i="3"/>
  <c r="P5051" i="3"/>
  <c r="N5051" i="3"/>
  <c r="M5051" i="3"/>
  <c r="L5051" i="3"/>
  <c r="V5050" i="3"/>
  <c r="R5050" i="3"/>
  <c r="P5050" i="3"/>
  <c r="N5050" i="3"/>
  <c r="M5050" i="3"/>
  <c r="L5050" i="3"/>
  <c r="V5049" i="3"/>
  <c r="R5049" i="3"/>
  <c r="P5049" i="3"/>
  <c r="N5049" i="3"/>
  <c r="M5049" i="3"/>
  <c r="L5049" i="3"/>
  <c r="V5048" i="3"/>
  <c r="R5048" i="3"/>
  <c r="P5048" i="3"/>
  <c r="N5048" i="3"/>
  <c r="M5048" i="3"/>
  <c r="L5048" i="3"/>
  <c r="V5047" i="3"/>
  <c r="R5047" i="3"/>
  <c r="P5047" i="3"/>
  <c r="N5047" i="3"/>
  <c r="M5047" i="3"/>
  <c r="L5047" i="3"/>
  <c r="V5046" i="3"/>
  <c r="R5046" i="3"/>
  <c r="P5046" i="3"/>
  <c r="N5046" i="3"/>
  <c r="M5046" i="3"/>
  <c r="L5046" i="3"/>
  <c r="V5045" i="3"/>
  <c r="R5045" i="3"/>
  <c r="P5045" i="3"/>
  <c r="N5045" i="3"/>
  <c r="M5045" i="3"/>
  <c r="L5045" i="3"/>
  <c r="V5044" i="3"/>
  <c r="R5044" i="3"/>
  <c r="P5044" i="3"/>
  <c r="N5044" i="3"/>
  <c r="M5044" i="3"/>
  <c r="L5044" i="3"/>
  <c r="V5043" i="3"/>
  <c r="R5043" i="3"/>
  <c r="P5043" i="3"/>
  <c r="N5043" i="3"/>
  <c r="M5043" i="3"/>
  <c r="L5043" i="3"/>
  <c r="V5042" i="3"/>
  <c r="R5042" i="3"/>
  <c r="P5042" i="3"/>
  <c r="N5042" i="3"/>
  <c r="M5042" i="3"/>
  <c r="L5042" i="3"/>
  <c r="V5041" i="3"/>
  <c r="R5041" i="3"/>
  <c r="P5041" i="3"/>
  <c r="N5041" i="3"/>
  <c r="M5041" i="3"/>
  <c r="L5041" i="3"/>
  <c r="V5040" i="3"/>
  <c r="R5040" i="3"/>
  <c r="P5040" i="3"/>
  <c r="N5040" i="3"/>
  <c r="M5040" i="3"/>
  <c r="L5040" i="3"/>
  <c r="V5039" i="3"/>
  <c r="R5039" i="3"/>
  <c r="P5039" i="3"/>
  <c r="N5039" i="3"/>
  <c r="M5039" i="3"/>
  <c r="L5039" i="3"/>
  <c r="V5038" i="3"/>
  <c r="R5038" i="3"/>
  <c r="P5038" i="3"/>
  <c r="N5038" i="3"/>
  <c r="M5038" i="3"/>
  <c r="L5038" i="3"/>
  <c r="V5037" i="3"/>
  <c r="R5037" i="3"/>
  <c r="P5037" i="3"/>
  <c r="N5037" i="3"/>
  <c r="M5037" i="3"/>
  <c r="L5037" i="3"/>
  <c r="V5036" i="3"/>
  <c r="R5036" i="3"/>
  <c r="P5036" i="3"/>
  <c r="N5036" i="3"/>
  <c r="M5036" i="3"/>
  <c r="L5036" i="3"/>
  <c r="V5035" i="3"/>
  <c r="R5035" i="3"/>
  <c r="P5035" i="3"/>
  <c r="N5035" i="3"/>
  <c r="M5035" i="3"/>
  <c r="L5035" i="3"/>
  <c r="V5034" i="3"/>
  <c r="R5034" i="3"/>
  <c r="P5034" i="3"/>
  <c r="N5034" i="3"/>
  <c r="M5034" i="3"/>
  <c r="L5034" i="3"/>
  <c r="V5033" i="3"/>
  <c r="R5033" i="3"/>
  <c r="P5033" i="3"/>
  <c r="N5033" i="3"/>
  <c r="M5033" i="3"/>
  <c r="L5033" i="3"/>
  <c r="V5032" i="3"/>
  <c r="R5032" i="3"/>
  <c r="P5032" i="3"/>
  <c r="N5032" i="3"/>
  <c r="M5032" i="3"/>
  <c r="L5032" i="3"/>
  <c r="V5031" i="3"/>
  <c r="R5031" i="3"/>
  <c r="P5031" i="3"/>
  <c r="N5031" i="3"/>
  <c r="M5031" i="3"/>
  <c r="L5031" i="3"/>
  <c r="V5030" i="3"/>
  <c r="R5030" i="3"/>
  <c r="P5030" i="3"/>
  <c r="N5030" i="3"/>
  <c r="M5030" i="3"/>
  <c r="L5030" i="3"/>
  <c r="V5029" i="3"/>
  <c r="R5029" i="3"/>
  <c r="P5029" i="3"/>
  <c r="N5029" i="3"/>
  <c r="M5029" i="3"/>
  <c r="L5029" i="3"/>
  <c r="V5028" i="3"/>
  <c r="R5028" i="3"/>
  <c r="P5028" i="3"/>
  <c r="N5028" i="3"/>
  <c r="M5028" i="3"/>
  <c r="L5028" i="3"/>
  <c r="V5027" i="3"/>
  <c r="R5027" i="3"/>
  <c r="P5027" i="3"/>
  <c r="N5027" i="3"/>
  <c r="M5027" i="3"/>
  <c r="L5027" i="3"/>
  <c r="V5026" i="3"/>
  <c r="R5026" i="3"/>
  <c r="P5026" i="3"/>
  <c r="N5026" i="3"/>
  <c r="M5026" i="3"/>
  <c r="L5026" i="3"/>
  <c r="V5025" i="3"/>
  <c r="R5025" i="3"/>
  <c r="P5025" i="3"/>
  <c r="N5025" i="3"/>
  <c r="M5025" i="3"/>
  <c r="L5025" i="3"/>
  <c r="V5024" i="3"/>
  <c r="R5024" i="3"/>
  <c r="P5024" i="3"/>
  <c r="N5024" i="3"/>
  <c r="M5024" i="3"/>
  <c r="L5024" i="3"/>
  <c r="V5023" i="3"/>
  <c r="R5023" i="3"/>
  <c r="P5023" i="3"/>
  <c r="N5023" i="3"/>
  <c r="M5023" i="3"/>
  <c r="L5023" i="3"/>
  <c r="V5022" i="3"/>
  <c r="R5022" i="3"/>
  <c r="P5022" i="3"/>
  <c r="N5022" i="3"/>
  <c r="M5022" i="3"/>
  <c r="L5022" i="3"/>
  <c r="V5021" i="3"/>
  <c r="R5021" i="3"/>
  <c r="P5021" i="3"/>
  <c r="N5021" i="3"/>
  <c r="M5021" i="3"/>
  <c r="L5021" i="3"/>
  <c r="V5020" i="3"/>
  <c r="R5020" i="3"/>
  <c r="P5020" i="3"/>
  <c r="N5020" i="3"/>
  <c r="M5020" i="3"/>
  <c r="L5020" i="3"/>
  <c r="V5019" i="3"/>
  <c r="R5019" i="3"/>
  <c r="P5019" i="3"/>
  <c r="N5019" i="3"/>
  <c r="M5019" i="3"/>
  <c r="L5019" i="3"/>
  <c r="V5018" i="3"/>
  <c r="R5018" i="3"/>
  <c r="P5018" i="3"/>
  <c r="N5018" i="3"/>
  <c r="M5018" i="3"/>
  <c r="L5018" i="3"/>
  <c r="V5017" i="3"/>
  <c r="R5017" i="3"/>
  <c r="P5017" i="3"/>
  <c r="N5017" i="3"/>
  <c r="M5017" i="3"/>
  <c r="L5017" i="3"/>
  <c r="V5016" i="3"/>
  <c r="R5016" i="3"/>
  <c r="P5016" i="3"/>
  <c r="N5016" i="3"/>
  <c r="M5016" i="3"/>
  <c r="L5016" i="3"/>
  <c r="V5015" i="3"/>
  <c r="R5015" i="3"/>
  <c r="P5015" i="3"/>
  <c r="N5015" i="3"/>
  <c r="M5015" i="3"/>
  <c r="L5015" i="3"/>
  <c r="V5014" i="3"/>
  <c r="R5014" i="3"/>
  <c r="P5014" i="3"/>
  <c r="N5014" i="3"/>
  <c r="M5014" i="3"/>
  <c r="L5014" i="3"/>
  <c r="V5013" i="3"/>
  <c r="R5013" i="3"/>
  <c r="P5013" i="3"/>
  <c r="N5013" i="3"/>
  <c r="M5013" i="3"/>
  <c r="L5013" i="3"/>
  <c r="V5012" i="3"/>
  <c r="R5012" i="3"/>
  <c r="P5012" i="3"/>
  <c r="N5012" i="3"/>
  <c r="M5012" i="3"/>
  <c r="L5012" i="3"/>
  <c r="V5011" i="3"/>
  <c r="R5011" i="3"/>
  <c r="P5011" i="3"/>
  <c r="N5011" i="3"/>
  <c r="M5011" i="3"/>
  <c r="L5011" i="3"/>
  <c r="V5010" i="3"/>
  <c r="R5010" i="3"/>
  <c r="P5010" i="3"/>
  <c r="N5010" i="3"/>
  <c r="M5010" i="3"/>
  <c r="L5010" i="3"/>
  <c r="V5009" i="3"/>
  <c r="R5009" i="3"/>
  <c r="P5009" i="3"/>
  <c r="N5009" i="3"/>
  <c r="M5009" i="3"/>
  <c r="L5009" i="3"/>
  <c r="V5008" i="3"/>
  <c r="R5008" i="3"/>
  <c r="P5008" i="3"/>
  <c r="N5008" i="3"/>
  <c r="M5008" i="3"/>
  <c r="L5008" i="3"/>
  <c r="V5007" i="3"/>
  <c r="R5007" i="3"/>
  <c r="P5007" i="3"/>
  <c r="N5007" i="3"/>
  <c r="M5007" i="3"/>
  <c r="L5007" i="3"/>
  <c r="V5006" i="3"/>
  <c r="R5006" i="3"/>
  <c r="P5006" i="3"/>
  <c r="N5006" i="3"/>
  <c r="M5006" i="3"/>
  <c r="L5006" i="3"/>
  <c r="V5005" i="3"/>
  <c r="R5005" i="3"/>
  <c r="P5005" i="3"/>
  <c r="N5005" i="3"/>
  <c r="M5005" i="3"/>
  <c r="L5005" i="3"/>
  <c r="V5004" i="3"/>
  <c r="R5004" i="3"/>
  <c r="P5004" i="3"/>
  <c r="N5004" i="3"/>
  <c r="M5004" i="3"/>
  <c r="L5004" i="3"/>
  <c r="V5003" i="3"/>
  <c r="R5003" i="3"/>
  <c r="P5003" i="3"/>
  <c r="N5003" i="3"/>
  <c r="M5003" i="3"/>
  <c r="L5003" i="3"/>
  <c r="V5002" i="3"/>
  <c r="R5002" i="3"/>
  <c r="P5002" i="3"/>
  <c r="N5002" i="3"/>
  <c r="M5002" i="3"/>
  <c r="L5002" i="3"/>
  <c r="V5001" i="3"/>
  <c r="R5001" i="3"/>
  <c r="P5001" i="3"/>
  <c r="N5001" i="3"/>
  <c r="M5001" i="3"/>
  <c r="L5001" i="3"/>
  <c r="V5000" i="3"/>
  <c r="R5000" i="3"/>
  <c r="P5000" i="3"/>
  <c r="N5000" i="3"/>
  <c r="M5000" i="3"/>
  <c r="L5000" i="3"/>
  <c r="V4999" i="3"/>
  <c r="R4999" i="3"/>
  <c r="P4999" i="3"/>
  <c r="N4999" i="3"/>
  <c r="M4999" i="3"/>
  <c r="L4999" i="3"/>
  <c r="V4998" i="3"/>
  <c r="R4998" i="3"/>
  <c r="P4998" i="3"/>
  <c r="N4998" i="3"/>
  <c r="M4998" i="3"/>
  <c r="L4998" i="3"/>
  <c r="V4997" i="3"/>
  <c r="R4997" i="3"/>
  <c r="P4997" i="3"/>
  <c r="N4997" i="3"/>
  <c r="M4997" i="3"/>
  <c r="L4997" i="3"/>
  <c r="V4996" i="3"/>
  <c r="R4996" i="3"/>
  <c r="P4996" i="3"/>
  <c r="N4996" i="3"/>
  <c r="M4996" i="3"/>
  <c r="L4996" i="3"/>
  <c r="V4995" i="3"/>
  <c r="R4995" i="3"/>
  <c r="P4995" i="3"/>
  <c r="N4995" i="3"/>
  <c r="M4995" i="3"/>
  <c r="L4995" i="3"/>
  <c r="V4994" i="3"/>
  <c r="R4994" i="3"/>
  <c r="P4994" i="3"/>
  <c r="N4994" i="3"/>
  <c r="M4994" i="3"/>
  <c r="L4994" i="3"/>
  <c r="V4993" i="3"/>
  <c r="R4993" i="3"/>
  <c r="P4993" i="3"/>
  <c r="N4993" i="3"/>
  <c r="M4993" i="3"/>
  <c r="L4993" i="3"/>
  <c r="V4992" i="3"/>
  <c r="R4992" i="3"/>
  <c r="P4992" i="3"/>
  <c r="N4992" i="3"/>
  <c r="M4992" i="3"/>
  <c r="L4992" i="3"/>
  <c r="V4991" i="3"/>
  <c r="R4991" i="3"/>
  <c r="P4991" i="3"/>
  <c r="N4991" i="3"/>
  <c r="M4991" i="3"/>
  <c r="L4991" i="3"/>
  <c r="V4990" i="3"/>
  <c r="R4990" i="3"/>
  <c r="P4990" i="3"/>
  <c r="N4990" i="3"/>
  <c r="M4990" i="3"/>
  <c r="L4990" i="3"/>
  <c r="V4989" i="3"/>
  <c r="R4989" i="3"/>
  <c r="P4989" i="3"/>
  <c r="N4989" i="3"/>
  <c r="M4989" i="3"/>
  <c r="L4989" i="3"/>
  <c r="V4988" i="3"/>
  <c r="R4988" i="3"/>
  <c r="P4988" i="3"/>
  <c r="N4988" i="3"/>
  <c r="M4988" i="3"/>
  <c r="L4988" i="3"/>
  <c r="V4987" i="3"/>
  <c r="R4987" i="3"/>
  <c r="P4987" i="3"/>
  <c r="N4987" i="3"/>
  <c r="M4987" i="3"/>
  <c r="L4987" i="3"/>
  <c r="V4986" i="3"/>
  <c r="R4986" i="3"/>
  <c r="P4986" i="3"/>
  <c r="N4986" i="3"/>
  <c r="M4986" i="3"/>
  <c r="L4986" i="3"/>
  <c r="V4985" i="3"/>
  <c r="R4985" i="3"/>
  <c r="P4985" i="3"/>
  <c r="N4985" i="3"/>
  <c r="M4985" i="3"/>
  <c r="L4985" i="3"/>
  <c r="V4984" i="3"/>
  <c r="R4984" i="3"/>
  <c r="P4984" i="3"/>
  <c r="N4984" i="3"/>
  <c r="M4984" i="3"/>
  <c r="L4984" i="3"/>
  <c r="V4983" i="3"/>
  <c r="R4983" i="3"/>
  <c r="P4983" i="3"/>
  <c r="N4983" i="3"/>
  <c r="M4983" i="3"/>
  <c r="L4983" i="3"/>
  <c r="V4982" i="3"/>
  <c r="R4982" i="3"/>
  <c r="P4982" i="3"/>
  <c r="N4982" i="3"/>
  <c r="M4982" i="3"/>
  <c r="L4982" i="3"/>
  <c r="V4981" i="3"/>
  <c r="R4981" i="3"/>
  <c r="P4981" i="3"/>
  <c r="N4981" i="3"/>
  <c r="M4981" i="3"/>
  <c r="L4981" i="3"/>
  <c r="V4980" i="3"/>
  <c r="R4980" i="3"/>
  <c r="P4980" i="3"/>
  <c r="N4980" i="3"/>
  <c r="M4980" i="3"/>
  <c r="L4980" i="3"/>
  <c r="V4979" i="3"/>
  <c r="R4979" i="3"/>
  <c r="P4979" i="3"/>
  <c r="N4979" i="3"/>
  <c r="M4979" i="3"/>
  <c r="L4979" i="3"/>
  <c r="V4978" i="3"/>
  <c r="R4978" i="3"/>
  <c r="P4978" i="3"/>
  <c r="N4978" i="3"/>
  <c r="M4978" i="3"/>
  <c r="L4978" i="3"/>
  <c r="V4977" i="3"/>
  <c r="R4977" i="3"/>
  <c r="P4977" i="3"/>
  <c r="N4977" i="3"/>
  <c r="M4977" i="3"/>
  <c r="L4977" i="3"/>
  <c r="V4976" i="3"/>
  <c r="R4976" i="3"/>
  <c r="P4976" i="3"/>
  <c r="N4976" i="3"/>
  <c r="M4976" i="3"/>
  <c r="L4976" i="3"/>
  <c r="V4975" i="3"/>
  <c r="R4975" i="3"/>
  <c r="P4975" i="3"/>
  <c r="N4975" i="3"/>
  <c r="M4975" i="3"/>
  <c r="L4975" i="3"/>
  <c r="V4974" i="3"/>
  <c r="R4974" i="3"/>
  <c r="P4974" i="3"/>
  <c r="N4974" i="3"/>
  <c r="M4974" i="3"/>
  <c r="L4974" i="3"/>
  <c r="V4972" i="3"/>
  <c r="R4972" i="3"/>
  <c r="P4972" i="3"/>
  <c r="N4972" i="3"/>
  <c r="M4972" i="3"/>
  <c r="L4972" i="3"/>
  <c r="V4973" i="3"/>
  <c r="R4973" i="3"/>
  <c r="P4973" i="3"/>
  <c r="N4973" i="3"/>
  <c r="M4973" i="3"/>
  <c r="L4973" i="3"/>
  <c r="V4971" i="3"/>
  <c r="R4971" i="3"/>
  <c r="P4971" i="3"/>
  <c r="N4971" i="3"/>
  <c r="M4971" i="3"/>
  <c r="L4971" i="3"/>
  <c r="V4970" i="3"/>
  <c r="R4970" i="3"/>
  <c r="P4970" i="3"/>
  <c r="N4970" i="3"/>
  <c r="M4970" i="3"/>
  <c r="L4970" i="3"/>
  <c r="V4969" i="3"/>
  <c r="R4969" i="3"/>
  <c r="P4969" i="3"/>
  <c r="N4969" i="3"/>
  <c r="M4969" i="3"/>
  <c r="L4969" i="3"/>
  <c r="V4968" i="3"/>
  <c r="R4968" i="3"/>
  <c r="P4968" i="3"/>
  <c r="N4968" i="3"/>
  <c r="M4968" i="3"/>
  <c r="L4968" i="3"/>
  <c r="V4967" i="3"/>
  <c r="R4967" i="3"/>
  <c r="P4967" i="3"/>
  <c r="N4967" i="3"/>
  <c r="M4967" i="3"/>
  <c r="L4967" i="3"/>
  <c r="V4966" i="3"/>
  <c r="R4966" i="3"/>
  <c r="P4966" i="3"/>
  <c r="N4966" i="3"/>
  <c r="M4966" i="3"/>
  <c r="L4966" i="3"/>
  <c r="V4965" i="3"/>
  <c r="R4965" i="3"/>
  <c r="P4965" i="3"/>
  <c r="N4965" i="3"/>
  <c r="M4965" i="3"/>
  <c r="L4965" i="3"/>
  <c r="V4964" i="3"/>
  <c r="R4964" i="3"/>
  <c r="P4964" i="3"/>
  <c r="N4964" i="3"/>
  <c r="M4964" i="3"/>
  <c r="L4964" i="3"/>
  <c r="V4963" i="3"/>
  <c r="R4963" i="3"/>
  <c r="P4963" i="3"/>
  <c r="N4963" i="3"/>
  <c r="M4963" i="3"/>
  <c r="L4963" i="3"/>
  <c r="V4962" i="3"/>
  <c r="R4962" i="3"/>
  <c r="P4962" i="3"/>
  <c r="N4962" i="3"/>
  <c r="M4962" i="3"/>
  <c r="L4962" i="3"/>
  <c r="V4961" i="3"/>
  <c r="R4961" i="3"/>
  <c r="P4961" i="3"/>
  <c r="N4961" i="3"/>
  <c r="M4961" i="3"/>
  <c r="L4961" i="3"/>
  <c r="V4960" i="3"/>
  <c r="R4960" i="3"/>
  <c r="P4960" i="3"/>
  <c r="N4960" i="3"/>
  <c r="M4960" i="3"/>
  <c r="L4960" i="3"/>
  <c r="V4959" i="3"/>
  <c r="R4959" i="3"/>
  <c r="P4959" i="3"/>
  <c r="N4959" i="3"/>
  <c r="M4959" i="3"/>
  <c r="L4959" i="3"/>
  <c r="V4958" i="3"/>
  <c r="R4958" i="3"/>
  <c r="P4958" i="3"/>
  <c r="N4958" i="3"/>
  <c r="M4958" i="3"/>
  <c r="L4958" i="3"/>
  <c r="V4957" i="3"/>
  <c r="R4957" i="3"/>
  <c r="P4957" i="3"/>
  <c r="N4957" i="3"/>
  <c r="M4957" i="3"/>
  <c r="L4957" i="3"/>
  <c r="V4956" i="3"/>
  <c r="R4956" i="3"/>
  <c r="P4956" i="3"/>
  <c r="N4956" i="3"/>
  <c r="M4956" i="3"/>
  <c r="L4956" i="3"/>
  <c r="V4955" i="3"/>
  <c r="R4955" i="3"/>
  <c r="P4955" i="3"/>
  <c r="N4955" i="3"/>
  <c r="M4955" i="3"/>
  <c r="L4955" i="3"/>
  <c r="V4954" i="3"/>
  <c r="R4954" i="3"/>
  <c r="P4954" i="3"/>
  <c r="N4954" i="3"/>
  <c r="M4954" i="3"/>
  <c r="L4954" i="3"/>
  <c r="V4953" i="3"/>
  <c r="R4953" i="3"/>
  <c r="P4953" i="3"/>
  <c r="N4953" i="3"/>
  <c r="M4953" i="3"/>
  <c r="L4953" i="3"/>
  <c r="V4952" i="3"/>
  <c r="R4952" i="3"/>
  <c r="P4952" i="3"/>
  <c r="N4952" i="3"/>
  <c r="M4952" i="3"/>
  <c r="L4952" i="3"/>
  <c r="V4951" i="3"/>
  <c r="R4951" i="3"/>
  <c r="P4951" i="3"/>
  <c r="N4951" i="3"/>
  <c r="M4951" i="3"/>
  <c r="L4951" i="3"/>
  <c r="V4950" i="3"/>
  <c r="R4950" i="3"/>
  <c r="P4950" i="3"/>
  <c r="N4950" i="3"/>
  <c r="M4950" i="3"/>
  <c r="L4950" i="3"/>
  <c r="V4949" i="3"/>
  <c r="R4949" i="3"/>
  <c r="P4949" i="3"/>
  <c r="N4949" i="3"/>
  <c r="M4949" i="3"/>
  <c r="L4949" i="3"/>
  <c r="V4948" i="3"/>
  <c r="R4948" i="3"/>
  <c r="P4948" i="3"/>
  <c r="N4948" i="3"/>
  <c r="M4948" i="3"/>
  <c r="L4948" i="3"/>
  <c r="V4947" i="3"/>
  <c r="R4947" i="3"/>
  <c r="P4947" i="3"/>
  <c r="N4947" i="3"/>
  <c r="M4947" i="3"/>
  <c r="L4947" i="3"/>
  <c r="V4946" i="3"/>
  <c r="R4946" i="3"/>
  <c r="P4946" i="3"/>
  <c r="N4946" i="3"/>
  <c r="M4946" i="3"/>
  <c r="L4946" i="3"/>
  <c r="V4945" i="3"/>
  <c r="R4945" i="3"/>
  <c r="P4945" i="3"/>
  <c r="N4945" i="3"/>
  <c r="M4945" i="3"/>
  <c r="L4945" i="3"/>
  <c r="V4943" i="3"/>
  <c r="R4943" i="3"/>
  <c r="P4943" i="3"/>
  <c r="N4943" i="3"/>
  <c r="M4943" i="3"/>
  <c r="L4943" i="3"/>
  <c r="V4944" i="3"/>
  <c r="R4944" i="3"/>
  <c r="P4944" i="3"/>
  <c r="N4944" i="3"/>
  <c r="M4944" i="3"/>
  <c r="L4944" i="3"/>
  <c r="V4942" i="3"/>
  <c r="R4942" i="3"/>
  <c r="P4942" i="3"/>
  <c r="N4942" i="3"/>
  <c r="M4942" i="3"/>
  <c r="L4942" i="3"/>
  <c r="V4941" i="3"/>
  <c r="R4941" i="3"/>
  <c r="P4941" i="3"/>
  <c r="N4941" i="3"/>
  <c r="M4941" i="3"/>
  <c r="L4941" i="3"/>
  <c r="V4940" i="3"/>
  <c r="R4940" i="3"/>
  <c r="P4940" i="3"/>
  <c r="N4940" i="3"/>
  <c r="M4940" i="3"/>
  <c r="L4940" i="3"/>
  <c r="V4939" i="3"/>
  <c r="R4939" i="3"/>
  <c r="P4939" i="3"/>
  <c r="N4939" i="3"/>
  <c r="M4939" i="3"/>
  <c r="L4939" i="3"/>
  <c r="V4938" i="3"/>
  <c r="R4938" i="3"/>
  <c r="P4938" i="3"/>
  <c r="N4938" i="3"/>
  <c r="M4938" i="3"/>
  <c r="L4938" i="3"/>
  <c r="V4937" i="3"/>
  <c r="R4937" i="3"/>
  <c r="P4937" i="3"/>
  <c r="N4937" i="3"/>
  <c r="M4937" i="3"/>
  <c r="L4937" i="3"/>
  <c r="V4936" i="3"/>
  <c r="R4936" i="3"/>
  <c r="P4936" i="3"/>
  <c r="N4936" i="3"/>
  <c r="M4936" i="3"/>
  <c r="L4936" i="3"/>
  <c r="V4935" i="3"/>
  <c r="R4935" i="3"/>
  <c r="P4935" i="3"/>
  <c r="N4935" i="3"/>
  <c r="M4935" i="3"/>
  <c r="L4935" i="3"/>
  <c r="V4934" i="3"/>
  <c r="R4934" i="3"/>
  <c r="P4934" i="3"/>
  <c r="N4934" i="3"/>
  <c r="M4934" i="3"/>
  <c r="L4934" i="3"/>
  <c r="V4933" i="3"/>
  <c r="R4933" i="3"/>
  <c r="P4933" i="3"/>
  <c r="N4933" i="3"/>
  <c r="M4933" i="3"/>
  <c r="L4933" i="3"/>
  <c r="V4932" i="3"/>
  <c r="R4932" i="3"/>
  <c r="P4932" i="3"/>
  <c r="N4932" i="3"/>
  <c r="M4932" i="3"/>
  <c r="L4932" i="3"/>
  <c r="V4931" i="3"/>
  <c r="R4931" i="3"/>
  <c r="P4931" i="3"/>
  <c r="N4931" i="3"/>
  <c r="M4931" i="3"/>
  <c r="L4931" i="3"/>
  <c r="V4930" i="3"/>
  <c r="R4930" i="3"/>
  <c r="P4930" i="3"/>
  <c r="N4930" i="3"/>
  <c r="M4930" i="3"/>
  <c r="L4930" i="3"/>
  <c r="V4929" i="3"/>
  <c r="R4929" i="3"/>
  <c r="P4929" i="3"/>
  <c r="N4929" i="3"/>
  <c r="M4929" i="3"/>
  <c r="L4929" i="3"/>
  <c r="V4928" i="3"/>
  <c r="R4928" i="3"/>
  <c r="P4928" i="3"/>
  <c r="N4928" i="3"/>
  <c r="M4928" i="3"/>
  <c r="L4928" i="3"/>
  <c r="V4927" i="3"/>
  <c r="R4927" i="3"/>
  <c r="P4927" i="3"/>
  <c r="N4927" i="3"/>
  <c r="M4927" i="3"/>
  <c r="L4927" i="3"/>
  <c r="V4926" i="3"/>
  <c r="R4926" i="3"/>
  <c r="P4926" i="3"/>
  <c r="N4926" i="3"/>
  <c r="M4926" i="3"/>
  <c r="L4926" i="3"/>
  <c r="V4925" i="3"/>
  <c r="R4925" i="3"/>
  <c r="P4925" i="3"/>
  <c r="N4925" i="3"/>
  <c r="M4925" i="3"/>
  <c r="L4925" i="3"/>
  <c r="V4924" i="3"/>
  <c r="R4924" i="3"/>
  <c r="P4924" i="3"/>
  <c r="N4924" i="3"/>
  <c r="M4924" i="3"/>
  <c r="L4924" i="3"/>
  <c r="V4923" i="3"/>
  <c r="R4923" i="3"/>
  <c r="P4923" i="3"/>
  <c r="N4923" i="3"/>
  <c r="M4923" i="3"/>
  <c r="L4923" i="3"/>
  <c r="V4922" i="3"/>
  <c r="R4922" i="3"/>
  <c r="P4922" i="3"/>
  <c r="N4922" i="3"/>
  <c r="M4922" i="3"/>
  <c r="L4922" i="3"/>
  <c r="V4921" i="3"/>
  <c r="R4921" i="3"/>
  <c r="P4921" i="3"/>
  <c r="N4921" i="3"/>
  <c r="M4921" i="3"/>
  <c r="L4921" i="3"/>
  <c r="V4920" i="3"/>
  <c r="R4920" i="3"/>
  <c r="P4920" i="3"/>
  <c r="N4920" i="3"/>
  <c r="M4920" i="3"/>
  <c r="L4920" i="3"/>
  <c r="V4919" i="3"/>
  <c r="R4919" i="3"/>
  <c r="P4919" i="3"/>
  <c r="N4919" i="3"/>
  <c r="M4919" i="3"/>
  <c r="L4919" i="3"/>
  <c r="V4918" i="3"/>
  <c r="R4918" i="3"/>
  <c r="P4918" i="3"/>
  <c r="N4918" i="3"/>
  <c r="M4918" i="3"/>
  <c r="L4918" i="3"/>
  <c r="V4917" i="3"/>
  <c r="R4917" i="3"/>
  <c r="P4917" i="3"/>
  <c r="N4917" i="3"/>
  <c r="M4917" i="3"/>
  <c r="L4917" i="3"/>
  <c r="V4916" i="3"/>
  <c r="R4916" i="3"/>
  <c r="P4916" i="3"/>
  <c r="N4916" i="3"/>
  <c r="M4916" i="3"/>
  <c r="L4916" i="3"/>
  <c r="V4915" i="3"/>
  <c r="R4915" i="3"/>
  <c r="P4915" i="3"/>
  <c r="N4915" i="3"/>
  <c r="M4915" i="3"/>
  <c r="L4915" i="3"/>
  <c r="V4914" i="3"/>
  <c r="R4914" i="3"/>
  <c r="P4914" i="3"/>
  <c r="N4914" i="3"/>
  <c r="M4914" i="3"/>
  <c r="L4914" i="3"/>
  <c r="V4913" i="3"/>
  <c r="R4913" i="3"/>
  <c r="P4913" i="3"/>
  <c r="N4913" i="3"/>
  <c r="M4913" i="3"/>
  <c r="L4913" i="3"/>
  <c r="V4912" i="3"/>
  <c r="R4912" i="3"/>
  <c r="P4912" i="3"/>
  <c r="N4912" i="3"/>
  <c r="M4912" i="3"/>
  <c r="L4912" i="3"/>
  <c r="V4911" i="3"/>
  <c r="R4911" i="3"/>
  <c r="P4911" i="3"/>
  <c r="N4911" i="3"/>
  <c r="M4911" i="3"/>
  <c r="L4911" i="3"/>
  <c r="V4910" i="3"/>
  <c r="R4910" i="3"/>
  <c r="P4910" i="3"/>
  <c r="N4910" i="3"/>
  <c r="M4910" i="3"/>
  <c r="L4910" i="3"/>
  <c r="V4909" i="3"/>
  <c r="R4909" i="3"/>
  <c r="P4909" i="3"/>
  <c r="N4909" i="3"/>
  <c r="M4909" i="3"/>
  <c r="L4909" i="3"/>
  <c r="V4908" i="3"/>
  <c r="R4908" i="3"/>
  <c r="P4908" i="3"/>
  <c r="N4908" i="3"/>
  <c r="M4908" i="3"/>
  <c r="L4908" i="3"/>
  <c r="V4907" i="3"/>
  <c r="R4907" i="3"/>
  <c r="P4907" i="3"/>
  <c r="N4907" i="3"/>
  <c r="M4907" i="3"/>
  <c r="L4907" i="3"/>
  <c r="V4906" i="3"/>
  <c r="R4906" i="3"/>
  <c r="P4906" i="3"/>
  <c r="N4906" i="3"/>
  <c r="M4906" i="3"/>
  <c r="L4906" i="3"/>
  <c r="V4905" i="3"/>
  <c r="R4905" i="3"/>
  <c r="P4905" i="3"/>
  <c r="N4905" i="3"/>
  <c r="M4905" i="3"/>
  <c r="L4905" i="3"/>
  <c r="V4904" i="3"/>
  <c r="R4904" i="3"/>
  <c r="P4904" i="3"/>
  <c r="N4904" i="3"/>
  <c r="M4904" i="3"/>
  <c r="L4904" i="3"/>
  <c r="V4903" i="3"/>
  <c r="R4903" i="3"/>
  <c r="P4903" i="3"/>
  <c r="N4903" i="3"/>
  <c r="M4903" i="3"/>
  <c r="L4903" i="3"/>
  <c r="V4902" i="3"/>
  <c r="R4902" i="3"/>
  <c r="P4902" i="3"/>
  <c r="N4902" i="3"/>
  <c r="M4902" i="3"/>
  <c r="L4902" i="3"/>
  <c r="V4901" i="3"/>
  <c r="R4901" i="3"/>
  <c r="P4901" i="3"/>
  <c r="N4901" i="3"/>
  <c r="M4901" i="3"/>
  <c r="L4901" i="3"/>
  <c r="V4900" i="3"/>
  <c r="R4900" i="3"/>
  <c r="P4900" i="3"/>
  <c r="N4900" i="3"/>
  <c r="M4900" i="3"/>
  <c r="L4900" i="3"/>
  <c r="V4899" i="3"/>
  <c r="R4899" i="3"/>
  <c r="P4899" i="3"/>
  <c r="N4899" i="3"/>
  <c r="M4899" i="3"/>
  <c r="L4899" i="3"/>
  <c r="V4898" i="3"/>
  <c r="R4898" i="3"/>
  <c r="P4898" i="3"/>
  <c r="N4898" i="3"/>
  <c r="M4898" i="3"/>
  <c r="L4898" i="3"/>
  <c r="V4897" i="3"/>
  <c r="R4897" i="3"/>
  <c r="P4897" i="3"/>
  <c r="N4897" i="3"/>
  <c r="M4897" i="3"/>
  <c r="L4897" i="3"/>
  <c r="V4896" i="3"/>
  <c r="R4896" i="3"/>
  <c r="P4896" i="3"/>
  <c r="N4896" i="3"/>
  <c r="M4896" i="3"/>
  <c r="L4896" i="3"/>
  <c r="V4895" i="3"/>
  <c r="R4895" i="3"/>
  <c r="P4895" i="3"/>
  <c r="N4895" i="3"/>
  <c r="M4895" i="3"/>
  <c r="L4895" i="3"/>
  <c r="V4894" i="3"/>
  <c r="R4894" i="3"/>
  <c r="P4894" i="3"/>
  <c r="N4894" i="3"/>
  <c r="M4894" i="3"/>
  <c r="L4894" i="3"/>
  <c r="V4893" i="3"/>
  <c r="R4893" i="3"/>
  <c r="P4893" i="3"/>
  <c r="N4893" i="3"/>
  <c r="M4893" i="3"/>
  <c r="L4893" i="3"/>
  <c r="V4892" i="3"/>
  <c r="R4892" i="3"/>
  <c r="P4892" i="3"/>
  <c r="N4892" i="3"/>
  <c r="M4892" i="3"/>
  <c r="L4892" i="3"/>
  <c r="V4891" i="3"/>
  <c r="R4891" i="3"/>
  <c r="P4891" i="3"/>
  <c r="N4891" i="3"/>
  <c r="M4891" i="3"/>
  <c r="L4891" i="3"/>
  <c r="V4890" i="3"/>
  <c r="R4890" i="3"/>
  <c r="P4890" i="3"/>
  <c r="N4890" i="3"/>
  <c r="M4890" i="3"/>
  <c r="L4890" i="3"/>
  <c r="V4889" i="3"/>
  <c r="R4889" i="3"/>
  <c r="P4889" i="3"/>
  <c r="N4889" i="3"/>
  <c r="M4889" i="3"/>
  <c r="L4889" i="3"/>
  <c r="V4888" i="3"/>
  <c r="R4888" i="3"/>
  <c r="P4888" i="3"/>
  <c r="N4888" i="3"/>
  <c r="M4888" i="3"/>
  <c r="L4888" i="3"/>
  <c r="V4887" i="3"/>
  <c r="R4887" i="3"/>
  <c r="P4887" i="3"/>
  <c r="N4887" i="3"/>
  <c r="M4887" i="3"/>
  <c r="L4887" i="3"/>
  <c r="V4886" i="3"/>
  <c r="R4886" i="3"/>
  <c r="P4886" i="3"/>
  <c r="N4886" i="3"/>
  <c r="M4886" i="3"/>
  <c r="L4886" i="3"/>
  <c r="V4885" i="3"/>
  <c r="R4885" i="3"/>
  <c r="P4885" i="3"/>
  <c r="N4885" i="3"/>
  <c r="M4885" i="3"/>
  <c r="L4885" i="3"/>
  <c r="V4884" i="3"/>
  <c r="R4884" i="3"/>
  <c r="P4884" i="3"/>
  <c r="N4884" i="3"/>
  <c r="M4884" i="3"/>
  <c r="L4884" i="3"/>
  <c r="V4883" i="3"/>
  <c r="R4883" i="3"/>
  <c r="P4883" i="3"/>
  <c r="N4883" i="3"/>
  <c r="M4883" i="3"/>
  <c r="L4883" i="3"/>
  <c r="V4882" i="3"/>
  <c r="R4882" i="3"/>
  <c r="P4882" i="3"/>
  <c r="N4882" i="3"/>
  <c r="M4882" i="3"/>
  <c r="L4882" i="3"/>
  <c r="V4881" i="3"/>
  <c r="R4881" i="3"/>
  <c r="P4881" i="3"/>
  <c r="N4881" i="3"/>
  <c r="M4881" i="3"/>
  <c r="L4881" i="3"/>
  <c r="V4880" i="3"/>
  <c r="R4880" i="3"/>
  <c r="P4880" i="3"/>
  <c r="N4880" i="3"/>
  <c r="M4880" i="3"/>
  <c r="L4880" i="3"/>
  <c r="V4879" i="3"/>
  <c r="R4879" i="3"/>
  <c r="P4879" i="3"/>
  <c r="N4879" i="3"/>
  <c r="M4879" i="3"/>
  <c r="L4879" i="3"/>
  <c r="V4878" i="3"/>
  <c r="R4878" i="3"/>
  <c r="P4878" i="3"/>
  <c r="N4878" i="3"/>
  <c r="M4878" i="3"/>
  <c r="L4878" i="3"/>
  <c r="V4877" i="3"/>
  <c r="R4877" i="3"/>
  <c r="P4877" i="3"/>
  <c r="N4877" i="3"/>
  <c r="M4877" i="3"/>
  <c r="L4877" i="3"/>
  <c r="V4876" i="3"/>
  <c r="R4876" i="3"/>
  <c r="P4876" i="3"/>
  <c r="N4876" i="3"/>
  <c r="M4876" i="3"/>
  <c r="L4876" i="3"/>
  <c r="V4875" i="3"/>
  <c r="R4875" i="3"/>
  <c r="P4875" i="3"/>
  <c r="N4875" i="3"/>
  <c r="M4875" i="3"/>
  <c r="L4875" i="3"/>
  <c r="V4874" i="3"/>
  <c r="R4874" i="3"/>
  <c r="P4874" i="3"/>
  <c r="N4874" i="3"/>
  <c r="M4874" i="3"/>
  <c r="L4874" i="3"/>
  <c r="V4873" i="3"/>
  <c r="R4873" i="3"/>
  <c r="P4873" i="3"/>
  <c r="N4873" i="3"/>
  <c r="M4873" i="3"/>
  <c r="L4873" i="3"/>
  <c r="V4872" i="3"/>
  <c r="R4872" i="3"/>
  <c r="P4872" i="3"/>
  <c r="N4872" i="3"/>
  <c r="M4872" i="3"/>
  <c r="L4872" i="3"/>
  <c r="V4871" i="3"/>
  <c r="R4871" i="3"/>
  <c r="P4871" i="3"/>
  <c r="N4871" i="3"/>
  <c r="M4871" i="3"/>
  <c r="L4871" i="3"/>
  <c r="V4870" i="3"/>
  <c r="R4870" i="3"/>
  <c r="P4870" i="3"/>
  <c r="N4870" i="3"/>
  <c r="M4870" i="3"/>
  <c r="L4870" i="3"/>
  <c r="V4869" i="3"/>
  <c r="R4869" i="3"/>
  <c r="P4869" i="3"/>
  <c r="N4869" i="3"/>
  <c r="M4869" i="3"/>
  <c r="L4869" i="3"/>
  <c r="V4868" i="3"/>
  <c r="R4868" i="3"/>
  <c r="P4868" i="3"/>
  <c r="N4868" i="3"/>
  <c r="M4868" i="3"/>
  <c r="L4868" i="3"/>
  <c r="V4867" i="3"/>
  <c r="R4867" i="3"/>
  <c r="P4867" i="3"/>
  <c r="N4867" i="3"/>
  <c r="M4867" i="3"/>
  <c r="L4867" i="3"/>
  <c r="V4866" i="3"/>
  <c r="R4866" i="3"/>
  <c r="P4866" i="3"/>
  <c r="N4866" i="3"/>
  <c r="M4866" i="3"/>
  <c r="L4866" i="3"/>
  <c r="V4865" i="3"/>
  <c r="R4865" i="3"/>
  <c r="P4865" i="3"/>
  <c r="N4865" i="3"/>
  <c r="M4865" i="3"/>
  <c r="L4865" i="3"/>
  <c r="V4864" i="3"/>
  <c r="R4864" i="3"/>
  <c r="P4864" i="3"/>
  <c r="N4864" i="3"/>
  <c r="M4864" i="3"/>
  <c r="L4864" i="3"/>
  <c r="V4863" i="3"/>
  <c r="R4863" i="3"/>
  <c r="P4863" i="3"/>
  <c r="N4863" i="3"/>
  <c r="M4863" i="3"/>
  <c r="L4863" i="3"/>
  <c r="V4862" i="3"/>
  <c r="R4862" i="3"/>
  <c r="P4862" i="3"/>
  <c r="N4862" i="3"/>
  <c r="M4862" i="3"/>
  <c r="L4862" i="3"/>
  <c r="V4861" i="3"/>
  <c r="R4861" i="3"/>
  <c r="P4861" i="3"/>
  <c r="N4861" i="3"/>
  <c r="M4861" i="3"/>
  <c r="L4861" i="3"/>
  <c r="V4860" i="3"/>
  <c r="R4860" i="3"/>
  <c r="P4860" i="3"/>
  <c r="N4860" i="3"/>
  <c r="M4860" i="3"/>
  <c r="L4860" i="3"/>
  <c r="V4859" i="3"/>
  <c r="R4859" i="3"/>
  <c r="P4859" i="3"/>
  <c r="N4859" i="3"/>
  <c r="M4859" i="3"/>
  <c r="L4859" i="3"/>
  <c r="V4858" i="3"/>
  <c r="R4858" i="3"/>
  <c r="P4858" i="3"/>
  <c r="N4858" i="3"/>
  <c r="M4858" i="3"/>
  <c r="L4858" i="3"/>
  <c r="V4857" i="3"/>
  <c r="R4857" i="3"/>
  <c r="P4857" i="3"/>
  <c r="N4857" i="3"/>
  <c r="M4857" i="3"/>
  <c r="L4857" i="3"/>
  <c r="V4856" i="3"/>
  <c r="R4856" i="3"/>
  <c r="P4856" i="3"/>
  <c r="N4856" i="3"/>
  <c r="M4856" i="3"/>
  <c r="L4856" i="3"/>
  <c r="V4855" i="3"/>
  <c r="R4855" i="3"/>
  <c r="P4855" i="3"/>
  <c r="N4855" i="3"/>
  <c r="M4855" i="3"/>
  <c r="L4855" i="3"/>
  <c r="V4853" i="3"/>
  <c r="R4853" i="3"/>
  <c r="P4853" i="3"/>
  <c r="N4853" i="3"/>
  <c r="M4853" i="3"/>
  <c r="L4853" i="3"/>
  <c r="V4854" i="3"/>
  <c r="R4854" i="3"/>
  <c r="P4854" i="3"/>
  <c r="N4854" i="3"/>
  <c r="M4854" i="3"/>
  <c r="L4854" i="3"/>
  <c r="V4852" i="3"/>
  <c r="R4852" i="3"/>
  <c r="P4852" i="3"/>
  <c r="N4852" i="3"/>
  <c r="M4852" i="3"/>
  <c r="L4852" i="3"/>
  <c r="V4851" i="3"/>
  <c r="R4851" i="3"/>
  <c r="P4851" i="3"/>
  <c r="N4851" i="3"/>
  <c r="M4851" i="3"/>
  <c r="L4851" i="3"/>
  <c r="V4850" i="3"/>
  <c r="R4850" i="3"/>
  <c r="P4850" i="3"/>
  <c r="N4850" i="3"/>
  <c r="M4850" i="3"/>
  <c r="L4850" i="3"/>
  <c r="V4849" i="3"/>
  <c r="R4849" i="3"/>
  <c r="P4849" i="3"/>
  <c r="N4849" i="3"/>
  <c r="M4849" i="3"/>
  <c r="L4849" i="3"/>
  <c r="V4848" i="3"/>
  <c r="R4848" i="3"/>
  <c r="P4848" i="3"/>
  <c r="N4848" i="3"/>
  <c r="M4848" i="3"/>
  <c r="L4848" i="3"/>
  <c r="V4847" i="3"/>
  <c r="R4847" i="3"/>
  <c r="P4847" i="3"/>
  <c r="N4847" i="3"/>
  <c r="M4847" i="3"/>
  <c r="L4847" i="3"/>
  <c r="V4846" i="3"/>
  <c r="R4846" i="3"/>
  <c r="P4846" i="3"/>
  <c r="N4846" i="3"/>
  <c r="M4846" i="3"/>
  <c r="L4846" i="3"/>
  <c r="V4845" i="3"/>
  <c r="R4845" i="3"/>
  <c r="P4845" i="3"/>
  <c r="N4845" i="3"/>
  <c r="M4845" i="3"/>
  <c r="L4845" i="3"/>
  <c r="V4844" i="3"/>
  <c r="R4844" i="3"/>
  <c r="P4844" i="3"/>
  <c r="N4844" i="3"/>
  <c r="M4844" i="3"/>
  <c r="L4844" i="3"/>
  <c r="V4843" i="3"/>
  <c r="R4843" i="3"/>
  <c r="P4843" i="3"/>
  <c r="N4843" i="3"/>
  <c r="M4843" i="3"/>
  <c r="L4843" i="3"/>
  <c r="V4842" i="3"/>
  <c r="R4842" i="3"/>
  <c r="P4842" i="3"/>
  <c r="N4842" i="3"/>
  <c r="M4842" i="3"/>
  <c r="L4842" i="3"/>
  <c r="V4841" i="3"/>
  <c r="R4841" i="3"/>
  <c r="P4841" i="3"/>
  <c r="N4841" i="3"/>
  <c r="M4841" i="3"/>
  <c r="L4841" i="3"/>
  <c r="V4840" i="3"/>
  <c r="R4840" i="3"/>
  <c r="P4840" i="3"/>
  <c r="N4840" i="3"/>
  <c r="M4840" i="3"/>
  <c r="L4840" i="3"/>
  <c r="V4839" i="3"/>
  <c r="R4839" i="3"/>
  <c r="P4839" i="3"/>
  <c r="N4839" i="3"/>
  <c r="M4839" i="3"/>
  <c r="L4839" i="3"/>
  <c r="V4838" i="3"/>
  <c r="R4838" i="3"/>
  <c r="P4838" i="3"/>
  <c r="N4838" i="3"/>
  <c r="M4838" i="3"/>
  <c r="L4838" i="3"/>
  <c r="V4837" i="3"/>
  <c r="R4837" i="3"/>
  <c r="P4837" i="3"/>
  <c r="N4837" i="3"/>
  <c r="M4837" i="3"/>
  <c r="L4837" i="3"/>
  <c r="V4836" i="3"/>
  <c r="R4836" i="3"/>
  <c r="P4836" i="3"/>
  <c r="N4836" i="3"/>
  <c r="M4836" i="3"/>
  <c r="L4836" i="3"/>
  <c r="V4835" i="3"/>
  <c r="R4835" i="3"/>
  <c r="P4835" i="3"/>
  <c r="N4835" i="3"/>
  <c r="M4835" i="3"/>
  <c r="L4835" i="3"/>
  <c r="V4834" i="3"/>
  <c r="R4834" i="3"/>
  <c r="P4834" i="3"/>
  <c r="N4834" i="3"/>
  <c r="M4834" i="3"/>
  <c r="L4834" i="3"/>
  <c r="V4833" i="3"/>
  <c r="R4833" i="3"/>
  <c r="P4833" i="3"/>
  <c r="N4833" i="3"/>
  <c r="M4833" i="3"/>
  <c r="L4833" i="3"/>
  <c r="V4832" i="3"/>
  <c r="R4832" i="3"/>
  <c r="P4832" i="3"/>
  <c r="N4832" i="3"/>
  <c r="M4832" i="3"/>
  <c r="L4832" i="3"/>
  <c r="V4831" i="3"/>
  <c r="R4831" i="3"/>
  <c r="P4831" i="3"/>
  <c r="N4831" i="3"/>
  <c r="M4831" i="3"/>
  <c r="L4831" i="3"/>
  <c r="V4830" i="3"/>
  <c r="R4830" i="3"/>
  <c r="P4830" i="3"/>
  <c r="N4830" i="3"/>
  <c r="M4830" i="3"/>
  <c r="L4830" i="3"/>
  <c r="V4829" i="3"/>
  <c r="R4829" i="3"/>
  <c r="P4829" i="3"/>
  <c r="N4829" i="3"/>
  <c r="M4829" i="3"/>
  <c r="L4829" i="3"/>
  <c r="V4828" i="3"/>
  <c r="R4828" i="3"/>
  <c r="P4828" i="3"/>
  <c r="N4828" i="3"/>
  <c r="M4828" i="3"/>
  <c r="L4828" i="3"/>
  <c r="V4827" i="3"/>
  <c r="R4827" i="3"/>
  <c r="P4827" i="3"/>
  <c r="N4827" i="3"/>
  <c r="M4827" i="3"/>
  <c r="L4827" i="3"/>
  <c r="V4826" i="3"/>
  <c r="R4826" i="3"/>
  <c r="P4826" i="3"/>
  <c r="N4826" i="3"/>
  <c r="M4826" i="3"/>
  <c r="L4826" i="3"/>
  <c r="V4825" i="3"/>
  <c r="R4825" i="3"/>
  <c r="P4825" i="3"/>
  <c r="N4825" i="3"/>
  <c r="M4825" i="3"/>
  <c r="L4825" i="3"/>
  <c r="V4824" i="3"/>
  <c r="R4824" i="3"/>
  <c r="P4824" i="3"/>
  <c r="N4824" i="3"/>
  <c r="M4824" i="3"/>
  <c r="L4824" i="3"/>
  <c r="V4823" i="3"/>
  <c r="R4823" i="3"/>
  <c r="P4823" i="3"/>
  <c r="N4823" i="3"/>
  <c r="M4823" i="3"/>
  <c r="L4823" i="3"/>
  <c r="V4822" i="3"/>
  <c r="R4822" i="3"/>
  <c r="P4822" i="3"/>
  <c r="N4822" i="3"/>
  <c r="M4822" i="3"/>
  <c r="L4822" i="3"/>
  <c r="V4821" i="3"/>
  <c r="R4821" i="3"/>
  <c r="P4821" i="3"/>
  <c r="N4821" i="3"/>
  <c r="M4821" i="3"/>
  <c r="L4821" i="3"/>
  <c r="V4820" i="3"/>
  <c r="R4820" i="3"/>
  <c r="P4820" i="3"/>
  <c r="N4820" i="3"/>
  <c r="M4820" i="3"/>
  <c r="L4820" i="3"/>
  <c r="V4819" i="3"/>
  <c r="R4819" i="3"/>
  <c r="P4819" i="3"/>
  <c r="N4819" i="3"/>
  <c r="M4819" i="3"/>
  <c r="L4819" i="3"/>
  <c r="V4818" i="3"/>
  <c r="R4818" i="3"/>
  <c r="P4818" i="3"/>
  <c r="N4818" i="3"/>
  <c r="M4818" i="3"/>
  <c r="L4818" i="3"/>
  <c r="V4817" i="3"/>
  <c r="R4817" i="3"/>
  <c r="P4817" i="3"/>
  <c r="N4817" i="3"/>
  <c r="M4817" i="3"/>
  <c r="L4817" i="3"/>
  <c r="V4816" i="3"/>
  <c r="R4816" i="3"/>
  <c r="P4816" i="3"/>
  <c r="N4816" i="3"/>
  <c r="M4816" i="3"/>
  <c r="L4816" i="3"/>
  <c r="V4815" i="3"/>
  <c r="R4815" i="3"/>
  <c r="P4815" i="3"/>
  <c r="N4815" i="3"/>
  <c r="M4815" i="3"/>
  <c r="L4815" i="3"/>
  <c r="V4814" i="3"/>
  <c r="R4814" i="3"/>
  <c r="P4814" i="3"/>
  <c r="N4814" i="3"/>
  <c r="M4814" i="3"/>
  <c r="L4814" i="3"/>
  <c r="V4813" i="3"/>
  <c r="R4813" i="3"/>
  <c r="P4813" i="3"/>
  <c r="N4813" i="3"/>
  <c r="M4813" i="3"/>
  <c r="L4813" i="3"/>
  <c r="V4812" i="3"/>
  <c r="R4812" i="3"/>
  <c r="P4812" i="3"/>
  <c r="N4812" i="3"/>
  <c r="M4812" i="3"/>
  <c r="L4812" i="3"/>
  <c r="V4811" i="3"/>
  <c r="R4811" i="3"/>
  <c r="P4811" i="3"/>
  <c r="N4811" i="3"/>
  <c r="M4811" i="3"/>
  <c r="L4811" i="3"/>
  <c r="V4810" i="3"/>
  <c r="R4810" i="3"/>
  <c r="P4810" i="3"/>
  <c r="N4810" i="3"/>
  <c r="M4810" i="3"/>
  <c r="L4810" i="3"/>
  <c r="V4809" i="3"/>
  <c r="R4809" i="3"/>
  <c r="P4809" i="3"/>
  <c r="N4809" i="3"/>
  <c r="M4809" i="3"/>
  <c r="L4809" i="3"/>
  <c r="V4808" i="3"/>
  <c r="R4808" i="3"/>
  <c r="P4808" i="3"/>
  <c r="N4808" i="3"/>
  <c r="M4808" i="3"/>
  <c r="L4808" i="3"/>
  <c r="V4807" i="3"/>
  <c r="R4807" i="3"/>
  <c r="P4807" i="3"/>
  <c r="N4807" i="3"/>
  <c r="M4807" i="3"/>
  <c r="L4807" i="3"/>
  <c r="V4806" i="3"/>
  <c r="R4806" i="3"/>
  <c r="P4806" i="3"/>
  <c r="N4806" i="3"/>
  <c r="M4806" i="3"/>
  <c r="L4806" i="3"/>
  <c r="V4805" i="3"/>
  <c r="R4805" i="3"/>
  <c r="P4805" i="3"/>
  <c r="N4805" i="3"/>
  <c r="M4805" i="3"/>
  <c r="L4805" i="3"/>
  <c r="V4804" i="3"/>
  <c r="R4804" i="3"/>
  <c r="P4804" i="3"/>
  <c r="N4804" i="3"/>
  <c r="M4804" i="3"/>
  <c r="L4804" i="3"/>
  <c r="V4803" i="3"/>
  <c r="R4803" i="3"/>
  <c r="P4803" i="3"/>
  <c r="N4803" i="3"/>
  <c r="M4803" i="3"/>
  <c r="L4803" i="3"/>
  <c r="V4802" i="3"/>
  <c r="R4802" i="3"/>
  <c r="P4802" i="3"/>
  <c r="N4802" i="3"/>
  <c r="M4802" i="3"/>
  <c r="L4802" i="3"/>
  <c r="V4801" i="3"/>
  <c r="R4801" i="3"/>
  <c r="P4801" i="3"/>
  <c r="N4801" i="3"/>
  <c r="M4801" i="3"/>
  <c r="L4801" i="3"/>
  <c r="V4800" i="3"/>
  <c r="R4800" i="3"/>
  <c r="P4800" i="3"/>
  <c r="N4800" i="3"/>
  <c r="M4800" i="3"/>
  <c r="L4800" i="3"/>
  <c r="V4799" i="3"/>
  <c r="R4799" i="3"/>
  <c r="P4799" i="3"/>
  <c r="N4799" i="3"/>
  <c r="M4799" i="3"/>
  <c r="L4799" i="3"/>
  <c r="V4798" i="3"/>
  <c r="R4798" i="3"/>
  <c r="P4798" i="3"/>
  <c r="N4798" i="3"/>
  <c r="M4798" i="3"/>
  <c r="L4798" i="3"/>
  <c r="V4797" i="3"/>
  <c r="R4797" i="3"/>
  <c r="P4797" i="3"/>
  <c r="N4797" i="3"/>
  <c r="M4797" i="3"/>
  <c r="L4797" i="3"/>
  <c r="V4796" i="3"/>
  <c r="R4796" i="3"/>
  <c r="P4796" i="3"/>
  <c r="N4796" i="3"/>
  <c r="M4796" i="3"/>
  <c r="L4796" i="3"/>
  <c r="V4795" i="3"/>
  <c r="R4795" i="3"/>
  <c r="P4795" i="3"/>
  <c r="N4795" i="3"/>
  <c r="M4795" i="3"/>
  <c r="L4795" i="3"/>
  <c r="V4794" i="3"/>
  <c r="R4794" i="3"/>
  <c r="P4794" i="3"/>
  <c r="N4794" i="3"/>
  <c r="M4794" i="3"/>
  <c r="L4794" i="3"/>
  <c r="V4793" i="3"/>
  <c r="R4793" i="3"/>
  <c r="P4793" i="3"/>
  <c r="N4793" i="3"/>
  <c r="M4793" i="3"/>
  <c r="L4793" i="3"/>
  <c r="V4792" i="3"/>
  <c r="R4792" i="3"/>
  <c r="P4792" i="3"/>
  <c r="N4792" i="3"/>
  <c r="M4792" i="3"/>
  <c r="L4792" i="3"/>
  <c r="V4791" i="3"/>
  <c r="R4791" i="3"/>
  <c r="P4791" i="3"/>
  <c r="N4791" i="3"/>
  <c r="M4791" i="3"/>
  <c r="L4791" i="3"/>
  <c r="V4790" i="3"/>
  <c r="R4790" i="3"/>
  <c r="P4790" i="3"/>
  <c r="N4790" i="3"/>
  <c r="M4790" i="3"/>
  <c r="L4790" i="3"/>
  <c r="V4789" i="3"/>
  <c r="R4789" i="3"/>
  <c r="P4789" i="3"/>
  <c r="N4789" i="3"/>
  <c r="M4789" i="3"/>
  <c r="L4789" i="3"/>
  <c r="V4788" i="3"/>
  <c r="R4788" i="3"/>
  <c r="P4788" i="3"/>
  <c r="N4788" i="3"/>
  <c r="M4788" i="3"/>
  <c r="L4788" i="3"/>
  <c r="V4787" i="3"/>
  <c r="R4787" i="3"/>
  <c r="P4787" i="3"/>
  <c r="N4787" i="3"/>
  <c r="M4787" i="3"/>
  <c r="L4787" i="3"/>
  <c r="V4786" i="3"/>
  <c r="R4786" i="3"/>
  <c r="P4786" i="3"/>
  <c r="N4786" i="3"/>
  <c r="M4786" i="3"/>
  <c r="L4786" i="3"/>
  <c r="V4785" i="3"/>
  <c r="R4785" i="3"/>
  <c r="P4785" i="3"/>
  <c r="N4785" i="3"/>
  <c r="M4785" i="3"/>
  <c r="L4785" i="3"/>
  <c r="V4784" i="3"/>
  <c r="R4784" i="3"/>
  <c r="P4784" i="3"/>
  <c r="N4784" i="3"/>
  <c r="M4784" i="3"/>
  <c r="L4784" i="3"/>
  <c r="V4783" i="3"/>
  <c r="R4783" i="3"/>
  <c r="P4783" i="3"/>
  <c r="N4783" i="3"/>
  <c r="M4783" i="3"/>
  <c r="L4783" i="3"/>
  <c r="V4782" i="3"/>
  <c r="R4782" i="3"/>
  <c r="P4782" i="3"/>
  <c r="N4782" i="3"/>
  <c r="M4782" i="3"/>
  <c r="L4782" i="3"/>
  <c r="V4781" i="3"/>
  <c r="R4781" i="3"/>
  <c r="P4781" i="3"/>
  <c r="N4781" i="3"/>
  <c r="M4781" i="3"/>
  <c r="L4781" i="3"/>
  <c r="V4780" i="3"/>
  <c r="R4780" i="3"/>
  <c r="P4780" i="3"/>
  <c r="N4780" i="3"/>
  <c r="M4780" i="3"/>
  <c r="L4780" i="3"/>
  <c r="V4779" i="3"/>
  <c r="R4779" i="3"/>
  <c r="P4779" i="3"/>
  <c r="N4779" i="3"/>
  <c r="M4779" i="3"/>
  <c r="L4779" i="3"/>
  <c r="V4778" i="3"/>
  <c r="R4778" i="3"/>
  <c r="P4778" i="3"/>
  <c r="N4778" i="3"/>
  <c r="M4778" i="3"/>
  <c r="L4778" i="3"/>
  <c r="V4777" i="3"/>
  <c r="R4777" i="3"/>
  <c r="P4777" i="3"/>
  <c r="N4777" i="3"/>
  <c r="M4777" i="3"/>
  <c r="L4777" i="3"/>
  <c r="V4776" i="3"/>
  <c r="R4776" i="3"/>
  <c r="P4776" i="3"/>
  <c r="N4776" i="3"/>
  <c r="M4776" i="3"/>
  <c r="L4776" i="3"/>
  <c r="V4775" i="3"/>
  <c r="R4775" i="3"/>
  <c r="P4775" i="3"/>
  <c r="N4775" i="3"/>
  <c r="M4775" i="3"/>
  <c r="L4775" i="3"/>
  <c r="V4774" i="3"/>
  <c r="R4774" i="3"/>
  <c r="P4774" i="3"/>
  <c r="N4774" i="3"/>
  <c r="M4774" i="3"/>
  <c r="L4774" i="3"/>
  <c r="V4773" i="3"/>
  <c r="R4773" i="3"/>
  <c r="P4773" i="3"/>
  <c r="N4773" i="3"/>
  <c r="M4773" i="3"/>
  <c r="L4773" i="3"/>
  <c r="V4772" i="3"/>
  <c r="R4772" i="3"/>
  <c r="P4772" i="3"/>
  <c r="N4772" i="3"/>
  <c r="M4772" i="3"/>
  <c r="L4772" i="3"/>
  <c r="V4771" i="3"/>
  <c r="R4771" i="3"/>
  <c r="P4771" i="3"/>
  <c r="N4771" i="3"/>
  <c r="M4771" i="3"/>
  <c r="L4771" i="3"/>
  <c r="V4770" i="3"/>
  <c r="R4770" i="3"/>
  <c r="P4770" i="3"/>
  <c r="N4770" i="3"/>
  <c r="M4770" i="3"/>
  <c r="L4770" i="3"/>
  <c r="V4769" i="3"/>
  <c r="R4769" i="3"/>
  <c r="P4769" i="3"/>
  <c r="N4769" i="3"/>
  <c r="M4769" i="3"/>
  <c r="L4769" i="3"/>
  <c r="V4768" i="3"/>
  <c r="R4768" i="3"/>
  <c r="P4768" i="3"/>
  <c r="N4768" i="3"/>
  <c r="M4768" i="3"/>
  <c r="L4768" i="3"/>
  <c r="V4767" i="3"/>
  <c r="R4767" i="3"/>
  <c r="P4767" i="3"/>
  <c r="N4767" i="3"/>
  <c r="M4767" i="3"/>
  <c r="L4767" i="3"/>
  <c r="V4766" i="3"/>
  <c r="R4766" i="3"/>
  <c r="P4766" i="3"/>
  <c r="N4766" i="3"/>
  <c r="M4766" i="3"/>
  <c r="L4766" i="3"/>
  <c r="V4765" i="3"/>
  <c r="R4765" i="3"/>
  <c r="P4765" i="3"/>
  <c r="N4765" i="3"/>
  <c r="M4765" i="3"/>
  <c r="L4765" i="3"/>
  <c r="V4764" i="3"/>
  <c r="R4764" i="3"/>
  <c r="P4764" i="3"/>
  <c r="N4764" i="3"/>
  <c r="M4764" i="3"/>
  <c r="L4764" i="3"/>
  <c r="V4763" i="3"/>
  <c r="R4763" i="3"/>
  <c r="P4763" i="3"/>
  <c r="N4763" i="3"/>
  <c r="M4763" i="3"/>
  <c r="L4763" i="3"/>
  <c r="V4762" i="3"/>
  <c r="R4762" i="3"/>
  <c r="P4762" i="3"/>
  <c r="N4762" i="3"/>
  <c r="M4762" i="3"/>
  <c r="L4762" i="3"/>
  <c r="V4761" i="3"/>
  <c r="R4761" i="3"/>
  <c r="P4761" i="3"/>
  <c r="N4761" i="3"/>
  <c r="M4761" i="3"/>
  <c r="L4761" i="3"/>
  <c r="V4760" i="3"/>
  <c r="R4760" i="3"/>
  <c r="P4760" i="3"/>
  <c r="N4760" i="3"/>
  <c r="M4760" i="3"/>
  <c r="L4760" i="3"/>
  <c r="V4759" i="3"/>
  <c r="R4759" i="3"/>
  <c r="P4759" i="3"/>
  <c r="N4759" i="3"/>
  <c r="M4759" i="3"/>
  <c r="L4759" i="3"/>
  <c r="V4758" i="3"/>
  <c r="R4758" i="3"/>
  <c r="P4758" i="3"/>
  <c r="N4758" i="3"/>
  <c r="M4758" i="3"/>
  <c r="L4758" i="3"/>
  <c r="V4757" i="3"/>
  <c r="R4757" i="3"/>
  <c r="P4757" i="3"/>
  <c r="N4757" i="3"/>
  <c r="M4757" i="3"/>
  <c r="L4757" i="3"/>
  <c r="V4756" i="3"/>
  <c r="R4756" i="3"/>
  <c r="P4756" i="3"/>
  <c r="N4756" i="3"/>
  <c r="M4756" i="3"/>
  <c r="L4756" i="3"/>
  <c r="V4755" i="3"/>
  <c r="R4755" i="3"/>
  <c r="P4755" i="3"/>
  <c r="N4755" i="3"/>
  <c r="M4755" i="3"/>
  <c r="L4755" i="3"/>
  <c r="V4754" i="3"/>
  <c r="R4754" i="3"/>
  <c r="P4754" i="3"/>
  <c r="N4754" i="3"/>
  <c r="M4754" i="3"/>
  <c r="L4754" i="3"/>
  <c r="V4753" i="3"/>
  <c r="R4753" i="3"/>
  <c r="P4753" i="3"/>
  <c r="N4753" i="3"/>
  <c r="M4753" i="3"/>
  <c r="L4753" i="3"/>
  <c r="V4752" i="3"/>
  <c r="R4752" i="3"/>
  <c r="P4752" i="3"/>
  <c r="N4752" i="3"/>
  <c r="M4752" i="3"/>
  <c r="L4752" i="3"/>
  <c r="V4751" i="3"/>
  <c r="R4751" i="3"/>
  <c r="P4751" i="3"/>
  <c r="N4751" i="3"/>
  <c r="M4751" i="3"/>
  <c r="L4751" i="3"/>
  <c r="V4750" i="3"/>
  <c r="R4750" i="3"/>
  <c r="P4750" i="3"/>
  <c r="N4750" i="3"/>
  <c r="M4750" i="3"/>
  <c r="L4750" i="3"/>
  <c r="V4749" i="3"/>
  <c r="R4749" i="3"/>
  <c r="P4749" i="3"/>
  <c r="N4749" i="3"/>
  <c r="M4749" i="3"/>
  <c r="L4749" i="3"/>
  <c r="V4748" i="3"/>
  <c r="R4748" i="3"/>
  <c r="P4748" i="3"/>
  <c r="N4748" i="3"/>
  <c r="M4748" i="3"/>
  <c r="L4748" i="3"/>
  <c r="V4747" i="3"/>
  <c r="R4747" i="3"/>
  <c r="P4747" i="3"/>
  <c r="N4747" i="3"/>
  <c r="M4747" i="3"/>
  <c r="L4747" i="3"/>
  <c r="V4746" i="3"/>
  <c r="R4746" i="3"/>
  <c r="P4746" i="3"/>
  <c r="N4746" i="3"/>
  <c r="M4746" i="3"/>
  <c r="L4746" i="3"/>
  <c r="V4745" i="3"/>
  <c r="R4745" i="3"/>
  <c r="P4745" i="3"/>
  <c r="N4745" i="3"/>
  <c r="M4745" i="3"/>
  <c r="L4745" i="3"/>
  <c r="V4744" i="3"/>
  <c r="R4744" i="3"/>
  <c r="P4744" i="3"/>
  <c r="N4744" i="3"/>
  <c r="M4744" i="3"/>
  <c r="L4744" i="3"/>
  <c r="V4743" i="3"/>
  <c r="R4743" i="3"/>
  <c r="P4743" i="3"/>
  <c r="N4743" i="3"/>
  <c r="M4743" i="3"/>
  <c r="L4743" i="3"/>
  <c r="V4742" i="3"/>
  <c r="R4742" i="3"/>
  <c r="P4742" i="3"/>
  <c r="N4742" i="3"/>
  <c r="M4742" i="3"/>
  <c r="L4742" i="3"/>
  <c r="V4652" i="3"/>
  <c r="R4652" i="3"/>
  <c r="P4652" i="3"/>
  <c r="N4652" i="3"/>
  <c r="M4652" i="3"/>
  <c r="L4652" i="3"/>
  <c r="V4651" i="3"/>
  <c r="R4651" i="3"/>
  <c r="P4651" i="3"/>
  <c r="N4651" i="3"/>
  <c r="M4651" i="3"/>
  <c r="L4651" i="3"/>
  <c r="V4650" i="3"/>
  <c r="R4650" i="3"/>
  <c r="P4650" i="3"/>
  <c r="N4650" i="3"/>
  <c r="M4650" i="3"/>
  <c r="L4650" i="3"/>
  <c r="V4649" i="3"/>
  <c r="R4649" i="3"/>
  <c r="P4649" i="3"/>
  <c r="N4649" i="3"/>
  <c r="M4649" i="3"/>
  <c r="L4649" i="3"/>
  <c r="V4648" i="3"/>
  <c r="R4648" i="3"/>
  <c r="P4648" i="3"/>
  <c r="N4648" i="3"/>
  <c r="M4648" i="3"/>
  <c r="L4648" i="3"/>
  <c r="V4647" i="3"/>
  <c r="R4647" i="3"/>
  <c r="P4647" i="3"/>
  <c r="N4647" i="3"/>
  <c r="M4647" i="3"/>
  <c r="L4647" i="3"/>
  <c r="V4646" i="3"/>
  <c r="R4646" i="3"/>
  <c r="P4646" i="3"/>
  <c r="N4646" i="3"/>
  <c r="M4646" i="3"/>
  <c r="L4646" i="3"/>
  <c r="V4645" i="3"/>
  <c r="R4645" i="3"/>
  <c r="P4645" i="3"/>
  <c r="N4645" i="3"/>
  <c r="M4645" i="3"/>
  <c r="L4645" i="3"/>
  <c r="V4644" i="3"/>
  <c r="R4644" i="3"/>
  <c r="P4644" i="3"/>
  <c r="N4644" i="3"/>
  <c r="M4644" i="3"/>
  <c r="L4644" i="3"/>
  <c r="V4643" i="3"/>
  <c r="R4643" i="3"/>
  <c r="P4643" i="3"/>
  <c r="N4643" i="3"/>
  <c r="M4643" i="3"/>
  <c r="L4643" i="3"/>
  <c r="V4642" i="3"/>
  <c r="R4642" i="3"/>
  <c r="P4642" i="3"/>
  <c r="N4642" i="3"/>
  <c r="M4642" i="3"/>
  <c r="L4642" i="3"/>
  <c r="V4641" i="3"/>
  <c r="R4641" i="3"/>
  <c r="P4641" i="3"/>
  <c r="N4641" i="3"/>
  <c r="M4641" i="3"/>
  <c r="L4641" i="3"/>
  <c r="V4640" i="3"/>
  <c r="R4640" i="3"/>
  <c r="P4640" i="3"/>
  <c r="N4640" i="3"/>
  <c r="M4640" i="3"/>
  <c r="L4640" i="3"/>
  <c r="V4639" i="3"/>
  <c r="R4639" i="3"/>
  <c r="P4639" i="3"/>
  <c r="N4639" i="3"/>
  <c r="M4639" i="3"/>
  <c r="L4639" i="3"/>
  <c r="V4638" i="3"/>
  <c r="R4638" i="3"/>
  <c r="P4638" i="3"/>
  <c r="N4638" i="3"/>
  <c r="M4638" i="3"/>
  <c r="L4638" i="3"/>
  <c r="V4637" i="3"/>
  <c r="R4637" i="3"/>
  <c r="P4637" i="3"/>
  <c r="N4637" i="3"/>
  <c r="M4637" i="3"/>
  <c r="L4637" i="3"/>
  <c r="V4636" i="3"/>
  <c r="R4636" i="3"/>
  <c r="P4636" i="3"/>
  <c r="N4636" i="3"/>
  <c r="M4636" i="3"/>
  <c r="L4636" i="3"/>
  <c r="V4635" i="3"/>
  <c r="R4635" i="3"/>
  <c r="P4635" i="3"/>
  <c r="N4635" i="3"/>
  <c r="M4635" i="3"/>
  <c r="L4635" i="3"/>
  <c r="V4634" i="3"/>
  <c r="R4634" i="3"/>
  <c r="P4634" i="3"/>
  <c r="N4634" i="3"/>
  <c r="M4634" i="3"/>
  <c r="L4634" i="3"/>
  <c r="V4633" i="3"/>
  <c r="R4633" i="3"/>
  <c r="P4633" i="3"/>
  <c r="N4633" i="3"/>
  <c r="M4633" i="3"/>
  <c r="L4633" i="3"/>
  <c r="V4632" i="3"/>
  <c r="R4632" i="3"/>
  <c r="P4632" i="3"/>
  <c r="N4632" i="3"/>
  <c r="M4632" i="3"/>
  <c r="L4632" i="3"/>
  <c r="V4631" i="3"/>
  <c r="R4631" i="3"/>
  <c r="P4631" i="3"/>
  <c r="N4631" i="3"/>
  <c r="M4631" i="3"/>
  <c r="L4631" i="3"/>
  <c r="V4630" i="3"/>
  <c r="R4630" i="3"/>
  <c r="P4630" i="3"/>
  <c r="N4630" i="3"/>
  <c r="M4630" i="3"/>
  <c r="L4630" i="3"/>
  <c r="V4629" i="3"/>
  <c r="R4629" i="3"/>
  <c r="P4629" i="3"/>
  <c r="N4629" i="3"/>
  <c r="M4629" i="3"/>
  <c r="L4629" i="3"/>
  <c r="V4628" i="3"/>
  <c r="R4628" i="3"/>
  <c r="P4628" i="3"/>
  <c r="N4628" i="3"/>
  <c r="M4628" i="3"/>
  <c r="L4628" i="3"/>
  <c r="V4627" i="3"/>
  <c r="R4627" i="3"/>
  <c r="P4627" i="3"/>
  <c r="N4627" i="3"/>
  <c r="M4627" i="3"/>
  <c r="L4627" i="3"/>
  <c r="V4626" i="3"/>
  <c r="R4626" i="3"/>
  <c r="P4626" i="3"/>
  <c r="N4626" i="3"/>
  <c r="M4626" i="3"/>
  <c r="L4626" i="3"/>
  <c r="V4625" i="3"/>
  <c r="R4625" i="3"/>
  <c r="P4625" i="3"/>
  <c r="N4625" i="3"/>
  <c r="M4625" i="3"/>
  <c r="L4625" i="3"/>
  <c r="V4624" i="3"/>
  <c r="R4624" i="3"/>
  <c r="P4624" i="3"/>
  <c r="N4624" i="3"/>
  <c r="M4624" i="3"/>
  <c r="L4624" i="3"/>
  <c r="V4623" i="3"/>
  <c r="R4623" i="3"/>
  <c r="P4623" i="3"/>
  <c r="N4623" i="3"/>
  <c r="M4623" i="3"/>
  <c r="L4623" i="3"/>
  <c r="V4622" i="3"/>
  <c r="R4622" i="3"/>
  <c r="P4622" i="3"/>
  <c r="N4622" i="3"/>
  <c r="M4622" i="3"/>
  <c r="L4622" i="3"/>
  <c r="V4621" i="3"/>
  <c r="R4621" i="3"/>
  <c r="P4621" i="3"/>
  <c r="N4621" i="3"/>
  <c r="M4621" i="3"/>
  <c r="L4621" i="3"/>
  <c r="V4620" i="3"/>
  <c r="R4620" i="3"/>
  <c r="P4620" i="3"/>
  <c r="N4620" i="3"/>
  <c r="M4620" i="3"/>
  <c r="L4620" i="3"/>
  <c r="V4619" i="3"/>
  <c r="R4619" i="3"/>
  <c r="P4619" i="3"/>
  <c r="N4619" i="3"/>
  <c r="M4619" i="3"/>
  <c r="L4619" i="3"/>
  <c r="V4618" i="3"/>
  <c r="R4618" i="3"/>
  <c r="P4618" i="3"/>
  <c r="N4618" i="3"/>
  <c r="M4618" i="3"/>
  <c r="L4618" i="3"/>
  <c r="V4617" i="3"/>
  <c r="R4617" i="3"/>
  <c r="P4617" i="3"/>
  <c r="N4617" i="3"/>
  <c r="M4617" i="3"/>
  <c r="L4617" i="3"/>
  <c r="V4616" i="3"/>
  <c r="R4616" i="3"/>
  <c r="P4616" i="3"/>
  <c r="N4616" i="3"/>
  <c r="M4616" i="3"/>
  <c r="L4616" i="3"/>
  <c r="V4615" i="3"/>
  <c r="R4615" i="3"/>
  <c r="P4615" i="3"/>
  <c r="N4615" i="3"/>
  <c r="M4615" i="3"/>
  <c r="L4615" i="3"/>
  <c r="V4614" i="3"/>
  <c r="R4614" i="3"/>
  <c r="P4614" i="3"/>
  <c r="N4614" i="3"/>
  <c r="M4614" i="3"/>
  <c r="L4614" i="3"/>
  <c r="V4613" i="3"/>
  <c r="R4613" i="3"/>
  <c r="P4613" i="3"/>
  <c r="N4613" i="3"/>
  <c r="M4613" i="3"/>
  <c r="L4613" i="3"/>
  <c r="V4612" i="3"/>
  <c r="R4612" i="3"/>
  <c r="P4612" i="3"/>
  <c r="N4612" i="3"/>
  <c r="M4612" i="3"/>
  <c r="L4612" i="3"/>
  <c r="V4611" i="3"/>
  <c r="R4611" i="3"/>
  <c r="P4611" i="3"/>
  <c r="N4611" i="3"/>
  <c r="M4611" i="3"/>
  <c r="L4611" i="3"/>
  <c r="V4610" i="3"/>
  <c r="R4610" i="3"/>
  <c r="P4610" i="3"/>
  <c r="N4610" i="3"/>
  <c r="M4610" i="3"/>
  <c r="L4610" i="3"/>
  <c r="V4609" i="3"/>
  <c r="R4609" i="3"/>
  <c r="P4609" i="3"/>
  <c r="N4609" i="3"/>
  <c r="M4609" i="3"/>
  <c r="L4609" i="3"/>
  <c r="V4608" i="3"/>
  <c r="R4608" i="3"/>
  <c r="P4608" i="3"/>
  <c r="N4608" i="3"/>
  <c r="M4608" i="3"/>
  <c r="L4608" i="3"/>
  <c r="V4607" i="3"/>
  <c r="R4607" i="3"/>
  <c r="P4607" i="3"/>
  <c r="N4607" i="3"/>
  <c r="M4607" i="3"/>
  <c r="L4607" i="3"/>
  <c r="V4606" i="3"/>
  <c r="R4606" i="3"/>
  <c r="P4606" i="3"/>
  <c r="N4606" i="3"/>
  <c r="M4606" i="3"/>
  <c r="L4606" i="3"/>
  <c r="V4605" i="3"/>
  <c r="R4605" i="3"/>
  <c r="P4605" i="3"/>
  <c r="N4605" i="3"/>
  <c r="M4605" i="3"/>
  <c r="L4605" i="3"/>
  <c r="V4604" i="3"/>
  <c r="R4604" i="3"/>
  <c r="P4604" i="3"/>
  <c r="N4604" i="3"/>
  <c r="M4604" i="3"/>
  <c r="L4604" i="3"/>
  <c r="V4603" i="3"/>
  <c r="R4603" i="3"/>
  <c r="P4603" i="3"/>
  <c r="N4603" i="3"/>
  <c r="M4603" i="3"/>
  <c r="L4603" i="3"/>
  <c r="V4602" i="3"/>
  <c r="R4602" i="3"/>
  <c r="P4602" i="3"/>
  <c r="N4602" i="3"/>
  <c r="M4602" i="3"/>
  <c r="L4602" i="3"/>
  <c r="V4601" i="3"/>
  <c r="R4601" i="3"/>
  <c r="P4601" i="3"/>
  <c r="N4601" i="3"/>
  <c r="M4601" i="3"/>
  <c r="L4601" i="3"/>
  <c r="V4600" i="3"/>
  <c r="R4600" i="3"/>
  <c r="P4600" i="3"/>
  <c r="N4600" i="3"/>
  <c r="M4600" i="3"/>
  <c r="L4600" i="3"/>
  <c r="V4599" i="3"/>
  <c r="R4599" i="3"/>
  <c r="P4599" i="3"/>
  <c r="N4599" i="3"/>
  <c r="M4599" i="3"/>
  <c r="L4599" i="3"/>
  <c r="V4598" i="3"/>
  <c r="R4598" i="3"/>
  <c r="P4598" i="3"/>
  <c r="N4598" i="3"/>
  <c r="M4598" i="3"/>
  <c r="L4598" i="3"/>
  <c r="V4597" i="3"/>
  <c r="R4597" i="3"/>
  <c r="P4597" i="3"/>
  <c r="N4597" i="3"/>
  <c r="M4597" i="3"/>
  <c r="L4597" i="3"/>
  <c r="V4596" i="3"/>
  <c r="R4596" i="3"/>
  <c r="P4596" i="3"/>
  <c r="N4596" i="3"/>
  <c r="M4596" i="3"/>
  <c r="L4596" i="3"/>
  <c r="V4595" i="3"/>
  <c r="R4595" i="3"/>
  <c r="P4595" i="3"/>
  <c r="N4595" i="3"/>
  <c r="M4595" i="3"/>
  <c r="L4595" i="3"/>
  <c r="V4594" i="3"/>
  <c r="R4594" i="3"/>
  <c r="P4594" i="3"/>
  <c r="N4594" i="3"/>
  <c r="M4594" i="3"/>
  <c r="L4594" i="3"/>
  <c r="V4593" i="3"/>
  <c r="R4593" i="3"/>
  <c r="P4593" i="3"/>
  <c r="N4593" i="3"/>
  <c r="M4593" i="3"/>
  <c r="L4593" i="3"/>
  <c r="V4592" i="3"/>
  <c r="R4592" i="3"/>
  <c r="P4592" i="3"/>
  <c r="N4592" i="3"/>
  <c r="M4592" i="3"/>
  <c r="L4592" i="3"/>
  <c r="V4591" i="3"/>
  <c r="R4591" i="3"/>
  <c r="P4591" i="3"/>
  <c r="N4591" i="3"/>
  <c r="M4591" i="3"/>
  <c r="L4591" i="3"/>
  <c r="V4590" i="3"/>
  <c r="R4590" i="3"/>
  <c r="P4590" i="3"/>
  <c r="N4590" i="3"/>
  <c r="M4590" i="3"/>
  <c r="L4590" i="3"/>
  <c r="V4589" i="3"/>
  <c r="R4589" i="3"/>
  <c r="P4589" i="3"/>
  <c r="N4589" i="3"/>
  <c r="M4589" i="3"/>
  <c r="L4589" i="3"/>
  <c r="V4588" i="3"/>
  <c r="R4588" i="3"/>
  <c r="P4588" i="3"/>
  <c r="N4588" i="3"/>
  <c r="M4588" i="3"/>
  <c r="L4588" i="3"/>
  <c r="V4587" i="3"/>
  <c r="R4587" i="3"/>
  <c r="P4587" i="3"/>
  <c r="N4587" i="3"/>
  <c r="M4587" i="3"/>
  <c r="L4587" i="3"/>
  <c r="V4586" i="3"/>
  <c r="R4586" i="3"/>
  <c r="P4586" i="3"/>
  <c r="N4586" i="3"/>
  <c r="M4586" i="3"/>
  <c r="L4586" i="3"/>
  <c r="V4585" i="3"/>
  <c r="R4585" i="3"/>
  <c r="P4585" i="3"/>
  <c r="N4585" i="3"/>
  <c r="M4585" i="3"/>
  <c r="L4585" i="3"/>
  <c r="V4584" i="3"/>
  <c r="R4584" i="3"/>
  <c r="P4584" i="3"/>
  <c r="N4584" i="3"/>
  <c r="M4584" i="3"/>
  <c r="L4584" i="3"/>
  <c r="V4583" i="3"/>
  <c r="R4583" i="3"/>
  <c r="P4583" i="3"/>
  <c r="N4583" i="3"/>
  <c r="M4583" i="3"/>
  <c r="L4583" i="3"/>
  <c r="V4582" i="3"/>
  <c r="R4582" i="3"/>
  <c r="P4582" i="3"/>
  <c r="N4582" i="3"/>
  <c r="M4582" i="3"/>
  <c r="L4582" i="3"/>
  <c r="V4581" i="3"/>
  <c r="R4581" i="3"/>
  <c r="P4581" i="3"/>
  <c r="N4581" i="3"/>
  <c r="M4581" i="3"/>
  <c r="L4581" i="3"/>
  <c r="V4580" i="3"/>
  <c r="R4580" i="3"/>
  <c r="P4580" i="3"/>
  <c r="N4580" i="3"/>
  <c r="M4580" i="3"/>
  <c r="L4580" i="3"/>
  <c r="V4579" i="3"/>
  <c r="R4579" i="3"/>
  <c r="P4579" i="3"/>
  <c r="N4579" i="3"/>
  <c r="M4579" i="3"/>
  <c r="L4579" i="3"/>
  <c r="V4578" i="3"/>
  <c r="R4578" i="3"/>
  <c r="P4578" i="3"/>
  <c r="N4578" i="3"/>
  <c r="M4578" i="3"/>
  <c r="L4578" i="3"/>
  <c r="V4577" i="3"/>
  <c r="R4577" i="3"/>
  <c r="P4577" i="3"/>
  <c r="N4577" i="3"/>
  <c r="M4577" i="3"/>
  <c r="L4577" i="3"/>
  <c r="V4576" i="3"/>
  <c r="R4576" i="3"/>
  <c r="P4576" i="3"/>
  <c r="N4576" i="3"/>
  <c r="M4576" i="3"/>
  <c r="L4576" i="3"/>
  <c r="V4575" i="3"/>
  <c r="R4575" i="3"/>
  <c r="P4575" i="3"/>
  <c r="N4575" i="3"/>
  <c r="M4575" i="3"/>
  <c r="L4575" i="3"/>
  <c r="V4574" i="3"/>
  <c r="R4574" i="3"/>
  <c r="P4574" i="3"/>
  <c r="N4574" i="3"/>
  <c r="M4574" i="3"/>
  <c r="L4574" i="3"/>
  <c r="V4573" i="3"/>
  <c r="R4573" i="3"/>
  <c r="P4573" i="3"/>
  <c r="N4573" i="3"/>
  <c r="M4573" i="3"/>
  <c r="L4573" i="3"/>
  <c r="V4572" i="3"/>
  <c r="R4572" i="3"/>
  <c r="P4572" i="3"/>
  <c r="N4572" i="3"/>
  <c r="M4572" i="3"/>
  <c r="L4572" i="3"/>
  <c r="V4571" i="3"/>
  <c r="R4571" i="3"/>
  <c r="P4571" i="3"/>
  <c r="N4571" i="3"/>
  <c r="M4571" i="3"/>
  <c r="L4571" i="3"/>
  <c r="V4570" i="3"/>
  <c r="R4570" i="3"/>
  <c r="P4570" i="3"/>
  <c r="N4570" i="3"/>
  <c r="M4570" i="3"/>
  <c r="L4570" i="3"/>
  <c r="V4569" i="3"/>
  <c r="R4569" i="3"/>
  <c r="P4569" i="3"/>
  <c r="N4569" i="3"/>
  <c r="M4569" i="3"/>
  <c r="L4569" i="3"/>
  <c r="V4568" i="3"/>
  <c r="R4568" i="3"/>
  <c r="P4568" i="3"/>
  <c r="N4568" i="3"/>
  <c r="M4568" i="3"/>
  <c r="L4568" i="3"/>
  <c r="V4567" i="3"/>
  <c r="R4567" i="3"/>
  <c r="P4567" i="3"/>
  <c r="N4567" i="3"/>
  <c r="M4567" i="3"/>
  <c r="L4567" i="3"/>
  <c r="V4566" i="3"/>
  <c r="R4566" i="3"/>
  <c r="P4566" i="3"/>
  <c r="N4566" i="3"/>
  <c r="M4566" i="3"/>
  <c r="L4566" i="3"/>
  <c r="V4565" i="3"/>
  <c r="R4565" i="3"/>
  <c r="P4565" i="3"/>
  <c r="N4565" i="3"/>
  <c r="M4565" i="3"/>
  <c r="L4565" i="3"/>
  <c r="V4564" i="3"/>
  <c r="R4564" i="3"/>
  <c r="P4564" i="3"/>
  <c r="N4564" i="3"/>
  <c r="M4564" i="3"/>
  <c r="L4564" i="3"/>
  <c r="V4563" i="3"/>
  <c r="R4563" i="3"/>
  <c r="P4563" i="3"/>
  <c r="N4563" i="3"/>
  <c r="M4563" i="3"/>
  <c r="L4563" i="3"/>
  <c r="V4562" i="3"/>
  <c r="R4562" i="3"/>
  <c r="P4562" i="3"/>
  <c r="N4562" i="3"/>
  <c r="M4562" i="3"/>
  <c r="L4562" i="3"/>
  <c r="V4561" i="3"/>
  <c r="R4561" i="3"/>
  <c r="P4561" i="3"/>
  <c r="N4561" i="3"/>
  <c r="M4561" i="3"/>
  <c r="L4561" i="3"/>
  <c r="V4560" i="3"/>
  <c r="R4560" i="3"/>
  <c r="P4560" i="3"/>
  <c r="N4560" i="3"/>
  <c r="M4560" i="3"/>
  <c r="L4560" i="3"/>
  <c r="V4559" i="3"/>
  <c r="R4559" i="3"/>
  <c r="P4559" i="3"/>
  <c r="N4559" i="3"/>
  <c r="M4559" i="3"/>
  <c r="L4559" i="3"/>
  <c r="V4558" i="3"/>
  <c r="R4558" i="3"/>
  <c r="P4558" i="3"/>
  <c r="N4558" i="3"/>
  <c r="M4558" i="3"/>
  <c r="L4558" i="3"/>
  <c r="V4557" i="3"/>
  <c r="R4557" i="3"/>
  <c r="P4557" i="3"/>
  <c r="N4557" i="3"/>
  <c r="M4557" i="3"/>
  <c r="L4557" i="3"/>
  <c r="V4556" i="3"/>
  <c r="R4556" i="3"/>
  <c r="P4556" i="3"/>
  <c r="N4556" i="3"/>
  <c r="M4556" i="3"/>
  <c r="L4556" i="3"/>
  <c r="V4555" i="3"/>
  <c r="R4555" i="3"/>
  <c r="P4555" i="3"/>
  <c r="N4555" i="3"/>
  <c r="M4555" i="3"/>
  <c r="L4555" i="3"/>
  <c r="V4554" i="3"/>
  <c r="R4554" i="3"/>
  <c r="P4554" i="3"/>
  <c r="N4554" i="3"/>
  <c r="M4554" i="3"/>
  <c r="L4554" i="3"/>
  <c r="V4553" i="3"/>
  <c r="R4553" i="3"/>
  <c r="P4553" i="3"/>
  <c r="N4553" i="3"/>
  <c r="M4553" i="3"/>
  <c r="L4553" i="3"/>
  <c r="V4552" i="3"/>
  <c r="R4552" i="3"/>
  <c r="P4552" i="3"/>
  <c r="N4552" i="3"/>
  <c r="M4552" i="3"/>
  <c r="L4552" i="3"/>
  <c r="V4551" i="3"/>
  <c r="R4551" i="3"/>
  <c r="P4551" i="3"/>
  <c r="N4551" i="3"/>
  <c r="M4551" i="3"/>
  <c r="L4551" i="3"/>
  <c r="V4550" i="3"/>
  <c r="R4550" i="3"/>
  <c r="P4550" i="3"/>
  <c r="N4550" i="3"/>
  <c r="M4550" i="3"/>
  <c r="L4550" i="3"/>
  <c r="V4549" i="3"/>
  <c r="R4549" i="3"/>
  <c r="P4549" i="3"/>
  <c r="N4549" i="3"/>
  <c r="M4549" i="3"/>
  <c r="L4549" i="3"/>
  <c r="V4548" i="3"/>
  <c r="R4548" i="3"/>
  <c r="P4548" i="3"/>
  <c r="N4548" i="3"/>
  <c r="M4548" i="3"/>
  <c r="L4548" i="3"/>
  <c r="R4547" i="3"/>
  <c r="P4547" i="3"/>
  <c r="N4547" i="3"/>
  <c r="M4547" i="3"/>
  <c r="L4547" i="3"/>
  <c r="V4546" i="3"/>
  <c r="R4546" i="3"/>
  <c r="P4546" i="3"/>
  <c r="N4546" i="3"/>
  <c r="M4546" i="3"/>
  <c r="L4546" i="3"/>
  <c r="V4545" i="3"/>
  <c r="R4545" i="3"/>
  <c r="P4545" i="3"/>
  <c r="N4545" i="3"/>
  <c r="M4545" i="3"/>
  <c r="L4545" i="3"/>
  <c r="V4544" i="3"/>
  <c r="R4544" i="3"/>
  <c r="P4544" i="3"/>
  <c r="N4544" i="3"/>
  <c r="M4544" i="3"/>
  <c r="L4544" i="3"/>
  <c r="V4543" i="3"/>
  <c r="R4543" i="3"/>
  <c r="P4543" i="3"/>
  <c r="N4543" i="3"/>
  <c r="M4543" i="3"/>
  <c r="L4543" i="3"/>
  <c r="V4542" i="3"/>
  <c r="R4542" i="3"/>
  <c r="P4542" i="3"/>
  <c r="N4542" i="3"/>
  <c r="M4542" i="3"/>
  <c r="L4542" i="3"/>
  <c r="V4541" i="3"/>
  <c r="R4541" i="3"/>
  <c r="P4541" i="3"/>
  <c r="N4541" i="3"/>
  <c r="M4541" i="3"/>
  <c r="L4541" i="3"/>
  <c r="V4540" i="3"/>
  <c r="R4540" i="3"/>
  <c r="P4540" i="3"/>
  <c r="N4540" i="3"/>
  <c r="M4540" i="3"/>
  <c r="L4540" i="3"/>
  <c r="V4539" i="3"/>
  <c r="R4539" i="3"/>
  <c r="P4539" i="3"/>
  <c r="N4539" i="3"/>
  <c r="M4539" i="3"/>
  <c r="L4539" i="3"/>
  <c r="V4538" i="3"/>
  <c r="R4538" i="3"/>
  <c r="P4538" i="3"/>
  <c r="N4538" i="3"/>
  <c r="M4538" i="3"/>
  <c r="L4538" i="3"/>
  <c r="V4537" i="3"/>
  <c r="R4537" i="3"/>
  <c r="P4537" i="3"/>
  <c r="N4537" i="3"/>
  <c r="M4537" i="3"/>
  <c r="L4537" i="3"/>
  <c r="V4536" i="3"/>
  <c r="R4536" i="3"/>
  <c r="P4536" i="3"/>
  <c r="N4536" i="3"/>
  <c r="M4536" i="3"/>
  <c r="L4536" i="3"/>
  <c r="R4535" i="3"/>
  <c r="P4535" i="3"/>
  <c r="N4535" i="3"/>
  <c r="M4535" i="3"/>
  <c r="L4535" i="3"/>
  <c r="V4534" i="3"/>
  <c r="R4534" i="3"/>
  <c r="P4534" i="3"/>
  <c r="N4534" i="3"/>
  <c r="M4534" i="3"/>
  <c r="L4534" i="3"/>
  <c r="V4533" i="3"/>
  <c r="R4533" i="3"/>
  <c r="P4533" i="3"/>
  <c r="N4533" i="3"/>
  <c r="M4533" i="3"/>
  <c r="L4533" i="3"/>
  <c r="V4532" i="3"/>
  <c r="R4532" i="3"/>
  <c r="P4532" i="3"/>
  <c r="N4532" i="3"/>
  <c r="M4532" i="3"/>
  <c r="L4532" i="3"/>
  <c r="V4531" i="3"/>
  <c r="R4531" i="3"/>
  <c r="P4531" i="3"/>
  <c r="N4531" i="3"/>
  <c r="M4531" i="3"/>
  <c r="L4531" i="3"/>
  <c r="V4530" i="3"/>
  <c r="R4530" i="3"/>
  <c r="P4530" i="3"/>
  <c r="N4530" i="3"/>
  <c r="M4530" i="3"/>
  <c r="L4530" i="3"/>
  <c r="V4529" i="3"/>
  <c r="R4529" i="3"/>
  <c r="P4529" i="3"/>
  <c r="N4529" i="3"/>
  <c r="M4529" i="3"/>
  <c r="L4529" i="3"/>
  <c r="V4528" i="3"/>
  <c r="R4528" i="3"/>
  <c r="P4528" i="3"/>
  <c r="N4528" i="3"/>
  <c r="M4528" i="3"/>
  <c r="L4528" i="3"/>
  <c r="V4527" i="3"/>
  <c r="R4527" i="3"/>
  <c r="P4527" i="3"/>
  <c r="N4527" i="3"/>
  <c r="M4527" i="3"/>
  <c r="L4527" i="3"/>
  <c r="V4526" i="3"/>
  <c r="R4526" i="3"/>
  <c r="P4526" i="3"/>
  <c r="N4526" i="3"/>
  <c r="M4526" i="3"/>
  <c r="L4526" i="3"/>
  <c r="V4525" i="3"/>
  <c r="R4525" i="3"/>
  <c r="P4525" i="3"/>
  <c r="N4525" i="3"/>
  <c r="M4525" i="3"/>
  <c r="L4525" i="3"/>
  <c r="V4524" i="3"/>
  <c r="R4524" i="3"/>
  <c r="P4524" i="3"/>
  <c r="N4524" i="3"/>
  <c r="M4524" i="3"/>
  <c r="L4524" i="3"/>
  <c r="V4523" i="3"/>
  <c r="R4523" i="3"/>
  <c r="P4523" i="3"/>
  <c r="N4523" i="3"/>
  <c r="M4523" i="3"/>
  <c r="L4523" i="3"/>
  <c r="V4522" i="3"/>
  <c r="R4522" i="3"/>
  <c r="P4522" i="3"/>
  <c r="N4522" i="3"/>
  <c r="M4522" i="3"/>
  <c r="L4522" i="3"/>
  <c r="V4521" i="3"/>
  <c r="R4521" i="3"/>
  <c r="P4521" i="3"/>
  <c r="N4521" i="3"/>
  <c r="M4521" i="3"/>
  <c r="L4521" i="3"/>
  <c r="V4520" i="3"/>
  <c r="R4520" i="3"/>
  <c r="P4520" i="3"/>
  <c r="N4520" i="3"/>
  <c r="M4520" i="3"/>
  <c r="L4520" i="3"/>
  <c r="V4519" i="3"/>
  <c r="R4519" i="3"/>
  <c r="P4519" i="3"/>
  <c r="N4519" i="3"/>
  <c r="M4519" i="3"/>
  <c r="L4519" i="3"/>
  <c r="V4518" i="3"/>
  <c r="R4518" i="3"/>
  <c r="P4518" i="3"/>
  <c r="N4518" i="3"/>
  <c r="M4518" i="3"/>
  <c r="L4518" i="3"/>
  <c r="V4517" i="3"/>
  <c r="R4517" i="3"/>
  <c r="P4517" i="3"/>
  <c r="N4517" i="3"/>
  <c r="M4517" i="3"/>
  <c r="L4517" i="3"/>
  <c r="V4516" i="3"/>
  <c r="R4516" i="3"/>
  <c r="P4516" i="3"/>
  <c r="N4516" i="3"/>
  <c r="M4516" i="3"/>
  <c r="L4516" i="3"/>
  <c r="V4515" i="3"/>
  <c r="R4515" i="3"/>
  <c r="P4515" i="3"/>
  <c r="N4515" i="3"/>
  <c r="M4515" i="3"/>
  <c r="L4515" i="3"/>
  <c r="V4514" i="3"/>
  <c r="R4514" i="3"/>
  <c r="P4514" i="3"/>
  <c r="N4514" i="3"/>
  <c r="M4514" i="3"/>
  <c r="L4514" i="3"/>
  <c r="V4513" i="3"/>
  <c r="R4513" i="3"/>
  <c r="P4513" i="3"/>
  <c r="N4513" i="3"/>
  <c r="M4513" i="3"/>
  <c r="L4513" i="3"/>
  <c r="V4512" i="3"/>
  <c r="R4512" i="3"/>
  <c r="P4512" i="3"/>
  <c r="N4512" i="3"/>
  <c r="M4512" i="3"/>
  <c r="L4512" i="3"/>
  <c r="V4511" i="3"/>
  <c r="R4511" i="3"/>
  <c r="P4511" i="3"/>
  <c r="N4511" i="3"/>
  <c r="M4511" i="3"/>
  <c r="L4511" i="3"/>
  <c r="V4510" i="3"/>
  <c r="R4510" i="3"/>
  <c r="P4510" i="3"/>
  <c r="N4510" i="3"/>
  <c r="M4510" i="3"/>
  <c r="L4510" i="3"/>
  <c r="V4509" i="3"/>
  <c r="R4509" i="3"/>
  <c r="P4509" i="3"/>
  <c r="N4509" i="3"/>
  <c r="M4509" i="3"/>
  <c r="L4509" i="3"/>
  <c r="V4508" i="3"/>
  <c r="R4508" i="3"/>
  <c r="P4508" i="3"/>
  <c r="N4508" i="3"/>
  <c r="M4508" i="3"/>
  <c r="L4508" i="3"/>
  <c r="V4507" i="3"/>
  <c r="R4507" i="3"/>
  <c r="P4507" i="3"/>
  <c r="N4507" i="3"/>
  <c r="M4507" i="3"/>
  <c r="L4507" i="3"/>
  <c r="V4506" i="3"/>
  <c r="R4506" i="3"/>
  <c r="P4506" i="3"/>
  <c r="N4506" i="3"/>
  <c r="M4506" i="3"/>
  <c r="L4506" i="3"/>
  <c r="V4505" i="3"/>
  <c r="R4505" i="3"/>
  <c r="P4505" i="3"/>
  <c r="N4505" i="3"/>
  <c r="M4505" i="3"/>
  <c r="L4505" i="3"/>
  <c r="V4504" i="3"/>
  <c r="R4504" i="3"/>
  <c r="P4504" i="3"/>
  <c r="N4504" i="3"/>
  <c r="M4504" i="3"/>
  <c r="L4504" i="3"/>
  <c r="V4503" i="3"/>
  <c r="R4503" i="3"/>
  <c r="P4503" i="3"/>
  <c r="N4503" i="3"/>
  <c r="M4503" i="3"/>
  <c r="L4503" i="3"/>
  <c r="V4502" i="3"/>
  <c r="R4502" i="3"/>
  <c r="P4502" i="3"/>
  <c r="N4502" i="3"/>
  <c r="M4502" i="3"/>
  <c r="L4502" i="3"/>
  <c r="V4501" i="3"/>
  <c r="R4501" i="3"/>
  <c r="P4501" i="3"/>
  <c r="N4501" i="3"/>
  <c r="M4501" i="3"/>
  <c r="L4501" i="3"/>
  <c r="V4500" i="3"/>
  <c r="R4500" i="3"/>
  <c r="P4500" i="3"/>
  <c r="N4500" i="3"/>
  <c r="M4500" i="3"/>
  <c r="L4500" i="3"/>
  <c r="V4499" i="3"/>
  <c r="R4499" i="3"/>
  <c r="P4499" i="3"/>
  <c r="N4499" i="3"/>
  <c r="M4499" i="3"/>
  <c r="L4499" i="3"/>
  <c r="V4498" i="3"/>
  <c r="R4498" i="3"/>
  <c r="P4498" i="3"/>
  <c r="N4498" i="3"/>
  <c r="M4498" i="3"/>
  <c r="L4498" i="3"/>
  <c r="V4497" i="3"/>
  <c r="R4497" i="3"/>
  <c r="P4497" i="3"/>
  <c r="N4497" i="3"/>
  <c r="M4497" i="3"/>
  <c r="L4497" i="3"/>
  <c r="V4496" i="3"/>
  <c r="R4496" i="3"/>
  <c r="P4496" i="3"/>
  <c r="N4496" i="3"/>
  <c r="M4496" i="3"/>
  <c r="L4496" i="3"/>
  <c r="V4495" i="3"/>
  <c r="R4495" i="3"/>
  <c r="P4495" i="3"/>
  <c r="N4495" i="3"/>
  <c r="M4495" i="3"/>
  <c r="L4495" i="3"/>
  <c r="V4494" i="3"/>
  <c r="R4494" i="3"/>
  <c r="P4494" i="3"/>
  <c r="N4494" i="3"/>
  <c r="M4494" i="3"/>
  <c r="L4494" i="3"/>
  <c r="V4493" i="3"/>
  <c r="R4493" i="3"/>
  <c r="P4493" i="3"/>
  <c r="N4493" i="3"/>
  <c r="M4493" i="3"/>
  <c r="L4493" i="3"/>
  <c r="V4492" i="3"/>
  <c r="R4492" i="3"/>
  <c r="P4492" i="3"/>
  <c r="N4492" i="3"/>
  <c r="M4492" i="3"/>
  <c r="L4492" i="3"/>
  <c r="V4491" i="3"/>
  <c r="R4491" i="3"/>
  <c r="P4491" i="3"/>
  <c r="N4491" i="3"/>
  <c r="M4491" i="3"/>
  <c r="L4491" i="3"/>
  <c r="V4490" i="3"/>
  <c r="R4490" i="3"/>
  <c r="P4490" i="3"/>
  <c r="N4490" i="3"/>
  <c r="M4490" i="3"/>
  <c r="L4490" i="3"/>
  <c r="V4489" i="3"/>
  <c r="R4489" i="3"/>
  <c r="P4489" i="3"/>
  <c r="N4489" i="3"/>
  <c r="M4489" i="3"/>
  <c r="L4489" i="3"/>
  <c r="V4488" i="3"/>
  <c r="R4488" i="3"/>
  <c r="P4488" i="3"/>
  <c r="N4488" i="3"/>
  <c r="M4488" i="3"/>
  <c r="L4488" i="3"/>
  <c r="V4487" i="3"/>
  <c r="R4487" i="3"/>
  <c r="P4487" i="3"/>
  <c r="N4487" i="3"/>
  <c r="M4487" i="3"/>
  <c r="L4487" i="3"/>
  <c r="V4486" i="3"/>
  <c r="R4486" i="3"/>
  <c r="P4486" i="3"/>
  <c r="N4486" i="3"/>
  <c r="M4486" i="3"/>
  <c r="L4486" i="3"/>
  <c r="V4485" i="3"/>
  <c r="R4485" i="3"/>
  <c r="P4485" i="3"/>
  <c r="N4485" i="3"/>
  <c r="M4485" i="3"/>
  <c r="L4485" i="3"/>
  <c r="V4484" i="3"/>
  <c r="R4484" i="3"/>
  <c r="P4484" i="3"/>
  <c r="N4484" i="3"/>
  <c r="M4484" i="3"/>
  <c r="L4484" i="3"/>
  <c r="V4483" i="3"/>
  <c r="R4483" i="3"/>
  <c r="P4483" i="3"/>
  <c r="N4483" i="3"/>
  <c r="M4483" i="3"/>
  <c r="L4483" i="3"/>
  <c r="V4482" i="3"/>
  <c r="R4482" i="3"/>
  <c r="P4482" i="3"/>
  <c r="N4482" i="3"/>
  <c r="M4482" i="3"/>
  <c r="L4482" i="3"/>
  <c r="V4481" i="3"/>
  <c r="R4481" i="3"/>
  <c r="P4481" i="3"/>
  <c r="N4481" i="3"/>
  <c r="M4481" i="3"/>
  <c r="L4481" i="3"/>
  <c r="V4480" i="3"/>
  <c r="R4480" i="3"/>
  <c r="P4480" i="3"/>
  <c r="N4480" i="3"/>
  <c r="M4480" i="3"/>
  <c r="L4480" i="3"/>
  <c r="V4479" i="3"/>
  <c r="R4479" i="3"/>
  <c r="P4479" i="3"/>
  <c r="N4479" i="3"/>
  <c r="M4479" i="3"/>
  <c r="L4479" i="3"/>
  <c r="V4478" i="3"/>
  <c r="R4478" i="3"/>
  <c r="P4478" i="3"/>
  <c r="N4478" i="3"/>
  <c r="M4478" i="3"/>
  <c r="L4478" i="3"/>
  <c r="V4477" i="3"/>
  <c r="R4477" i="3"/>
  <c r="P4477" i="3"/>
  <c r="N4477" i="3"/>
  <c r="M4477" i="3"/>
  <c r="L4477" i="3"/>
  <c r="V4476" i="3"/>
  <c r="R4476" i="3"/>
  <c r="P4476" i="3"/>
  <c r="N4476" i="3"/>
  <c r="M4476" i="3"/>
  <c r="L4476" i="3"/>
  <c r="V4475" i="3"/>
  <c r="R4475" i="3"/>
  <c r="P4475" i="3"/>
  <c r="N4475" i="3"/>
  <c r="M4475" i="3"/>
  <c r="L4475" i="3"/>
  <c r="V4474" i="3"/>
  <c r="R4474" i="3"/>
  <c r="P4474" i="3"/>
  <c r="N4474" i="3"/>
  <c r="M4474" i="3"/>
  <c r="L4474" i="3"/>
  <c r="V4473" i="3"/>
  <c r="R4473" i="3"/>
  <c r="P4473" i="3"/>
  <c r="N4473" i="3"/>
  <c r="M4473" i="3"/>
  <c r="L4473" i="3"/>
  <c r="V4472" i="3"/>
  <c r="R4472" i="3"/>
  <c r="P4472" i="3"/>
  <c r="N4472" i="3"/>
  <c r="M4472" i="3"/>
  <c r="L4472" i="3"/>
  <c r="V4471" i="3"/>
  <c r="R4471" i="3"/>
  <c r="P4471" i="3"/>
  <c r="N4471" i="3"/>
  <c r="M4471" i="3"/>
  <c r="L4471" i="3"/>
  <c r="V4470" i="3"/>
  <c r="R4470" i="3"/>
  <c r="P4470" i="3"/>
  <c r="N4470" i="3"/>
  <c r="M4470" i="3"/>
  <c r="L4470" i="3"/>
  <c r="V4469" i="3"/>
  <c r="R4469" i="3"/>
  <c r="P4469" i="3"/>
  <c r="N4469" i="3"/>
  <c r="M4469" i="3"/>
  <c r="L4469" i="3"/>
  <c r="V4468" i="3"/>
  <c r="R4468" i="3"/>
  <c r="P4468" i="3"/>
  <c r="N4468" i="3"/>
  <c r="M4468" i="3"/>
  <c r="L4468" i="3"/>
  <c r="V4467" i="3"/>
  <c r="R4467" i="3"/>
  <c r="P4467" i="3"/>
  <c r="N4467" i="3"/>
  <c r="M4467" i="3"/>
  <c r="L4467" i="3"/>
  <c r="V4466" i="3"/>
  <c r="R4466" i="3"/>
  <c r="P4466" i="3"/>
  <c r="N4466" i="3"/>
  <c r="M4466" i="3"/>
  <c r="L4466" i="3"/>
  <c r="V4465" i="3"/>
  <c r="R4465" i="3"/>
  <c r="P4465" i="3"/>
  <c r="N4465" i="3"/>
  <c r="M4465" i="3"/>
  <c r="L4465" i="3"/>
  <c r="V4464" i="3"/>
  <c r="R4464" i="3"/>
  <c r="P4464" i="3"/>
  <c r="N4464" i="3"/>
  <c r="M4464" i="3"/>
  <c r="L4464" i="3"/>
  <c r="V4463" i="3"/>
  <c r="R4463" i="3"/>
  <c r="P4463" i="3"/>
  <c r="N4463" i="3"/>
  <c r="M4463" i="3"/>
  <c r="L4463" i="3"/>
  <c r="V4462" i="3"/>
  <c r="R4462" i="3"/>
  <c r="P4462" i="3"/>
  <c r="N4462" i="3"/>
  <c r="M4462" i="3"/>
  <c r="L4462" i="3"/>
  <c r="V4461" i="3"/>
  <c r="R4461" i="3"/>
  <c r="P4461" i="3"/>
  <c r="N4461" i="3"/>
  <c r="M4461" i="3"/>
  <c r="L4461" i="3"/>
  <c r="V4460" i="3"/>
  <c r="R4460" i="3"/>
  <c r="P4460" i="3"/>
  <c r="N4460" i="3"/>
  <c r="M4460" i="3"/>
  <c r="L4460" i="3"/>
  <c r="V4459" i="3"/>
  <c r="R4459" i="3"/>
  <c r="P4459" i="3"/>
  <c r="N4459" i="3"/>
  <c r="M4459" i="3"/>
  <c r="L4459" i="3"/>
  <c r="V4458" i="3"/>
  <c r="R4458" i="3"/>
  <c r="P4458" i="3"/>
  <c r="N4458" i="3"/>
  <c r="M4458" i="3"/>
  <c r="L4458" i="3"/>
  <c r="V4457" i="3"/>
  <c r="R4457" i="3"/>
  <c r="P4457" i="3"/>
  <c r="N4457" i="3"/>
  <c r="M4457" i="3"/>
  <c r="L4457" i="3"/>
  <c r="V4456" i="3"/>
  <c r="R4456" i="3"/>
  <c r="P4456" i="3"/>
  <c r="N4456" i="3"/>
  <c r="M4456" i="3"/>
  <c r="L4456" i="3"/>
  <c r="V4455" i="3"/>
  <c r="R4455" i="3"/>
  <c r="P4455" i="3"/>
  <c r="N4455" i="3"/>
  <c r="M4455" i="3"/>
  <c r="L4455" i="3"/>
  <c r="V4454" i="3"/>
  <c r="R4454" i="3"/>
  <c r="P4454" i="3"/>
  <c r="N4454" i="3"/>
  <c r="M4454" i="3"/>
  <c r="L4454" i="3"/>
  <c r="V4453" i="3"/>
  <c r="R4453" i="3"/>
  <c r="P4453" i="3"/>
  <c r="N4453" i="3"/>
  <c r="M4453" i="3"/>
  <c r="L4453" i="3"/>
  <c r="V4452" i="3"/>
  <c r="R4452" i="3"/>
  <c r="P4452" i="3"/>
  <c r="N4452" i="3"/>
  <c r="M4452" i="3"/>
  <c r="L4452" i="3"/>
  <c r="V4451" i="3"/>
  <c r="R4451" i="3"/>
  <c r="P4451" i="3"/>
  <c r="N4451" i="3"/>
  <c r="M4451" i="3"/>
  <c r="L4451" i="3"/>
  <c r="V4450" i="3"/>
  <c r="R4450" i="3"/>
  <c r="P4450" i="3"/>
  <c r="N4450" i="3"/>
  <c r="M4450" i="3"/>
  <c r="L4450" i="3"/>
  <c r="V4449" i="3"/>
  <c r="R4449" i="3"/>
  <c r="P4449" i="3"/>
  <c r="N4449" i="3"/>
  <c r="M4449" i="3"/>
  <c r="L4449" i="3"/>
  <c r="V4448" i="3"/>
  <c r="R4448" i="3"/>
  <c r="P4448" i="3"/>
  <c r="N4448" i="3"/>
  <c r="M4448" i="3"/>
  <c r="L4448" i="3"/>
  <c r="V4447" i="3"/>
  <c r="R4447" i="3"/>
  <c r="P4447" i="3"/>
  <c r="N4447" i="3"/>
  <c r="M4447" i="3"/>
  <c r="L4447" i="3"/>
  <c r="V4446" i="3"/>
  <c r="R4446" i="3"/>
  <c r="P4446" i="3"/>
  <c r="N4446" i="3"/>
  <c r="M4446" i="3"/>
  <c r="L4446" i="3"/>
  <c r="V4445" i="3"/>
  <c r="R4445" i="3"/>
  <c r="P4445" i="3"/>
  <c r="N4445" i="3"/>
  <c r="M4445" i="3"/>
  <c r="L4445" i="3"/>
  <c r="V4444" i="3"/>
  <c r="R4444" i="3"/>
  <c r="P4444" i="3"/>
  <c r="N4444" i="3"/>
  <c r="M4444" i="3"/>
  <c r="L4444" i="3"/>
  <c r="V4443" i="3"/>
  <c r="R4443" i="3"/>
  <c r="P4443" i="3"/>
  <c r="N4443" i="3"/>
  <c r="M4443" i="3"/>
  <c r="L4443" i="3"/>
  <c r="V4442" i="3"/>
  <c r="R4442" i="3"/>
  <c r="P4442" i="3"/>
  <c r="N4442" i="3"/>
  <c r="M4442" i="3"/>
  <c r="L4442" i="3"/>
  <c r="V4441" i="3"/>
  <c r="R4441" i="3"/>
  <c r="P4441" i="3"/>
  <c r="N4441" i="3"/>
  <c r="M4441" i="3"/>
  <c r="L4441" i="3"/>
  <c r="V4440" i="3"/>
  <c r="R4440" i="3"/>
  <c r="P4440" i="3"/>
  <c r="N4440" i="3"/>
  <c r="M4440" i="3"/>
  <c r="L4440" i="3"/>
  <c r="V4439" i="3"/>
  <c r="R4439" i="3"/>
  <c r="P4439" i="3"/>
  <c r="N4439" i="3"/>
  <c r="M4439" i="3"/>
  <c r="L4439" i="3"/>
  <c r="V4438" i="3"/>
  <c r="R4438" i="3"/>
  <c r="P4438" i="3"/>
  <c r="N4438" i="3"/>
  <c r="M4438" i="3"/>
  <c r="L4438" i="3"/>
  <c r="V4437" i="3"/>
  <c r="R4437" i="3"/>
  <c r="P4437" i="3"/>
  <c r="N4437" i="3"/>
  <c r="M4437" i="3"/>
  <c r="L4437" i="3"/>
  <c r="V4436" i="3"/>
  <c r="R4436" i="3"/>
  <c r="P4436" i="3"/>
  <c r="N4436" i="3"/>
  <c r="M4436" i="3"/>
  <c r="L4436" i="3"/>
  <c r="V4435" i="3"/>
  <c r="R4435" i="3"/>
  <c r="P4435" i="3"/>
  <c r="N4435" i="3"/>
  <c r="M4435" i="3"/>
  <c r="L4435" i="3"/>
  <c r="V4434" i="3"/>
  <c r="R4434" i="3"/>
  <c r="P4434" i="3"/>
  <c r="N4434" i="3"/>
  <c r="M4434" i="3"/>
  <c r="L4434" i="3"/>
  <c r="V4433" i="3"/>
  <c r="R4433" i="3"/>
  <c r="P4433" i="3"/>
  <c r="N4433" i="3"/>
  <c r="M4433" i="3"/>
  <c r="L4433" i="3"/>
  <c r="V4432" i="3"/>
  <c r="R4432" i="3"/>
  <c r="P4432" i="3"/>
  <c r="N4432" i="3"/>
  <c r="M4432" i="3"/>
  <c r="L4432" i="3"/>
  <c r="V4431" i="3"/>
  <c r="R4431" i="3"/>
  <c r="P4431" i="3"/>
  <c r="N4431" i="3"/>
  <c r="M4431" i="3"/>
  <c r="L4431" i="3"/>
  <c r="V4430" i="3"/>
  <c r="R4430" i="3"/>
  <c r="P4430" i="3"/>
  <c r="N4430" i="3"/>
  <c r="M4430" i="3"/>
  <c r="L4430" i="3"/>
  <c r="V4429" i="3"/>
  <c r="R4429" i="3"/>
  <c r="P4429" i="3"/>
  <c r="N4429" i="3"/>
  <c r="M4429" i="3"/>
  <c r="L4429" i="3"/>
  <c r="V4428" i="3"/>
  <c r="R4428" i="3"/>
  <c r="P4428" i="3"/>
  <c r="N4428" i="3"/>
  <c r="M4428" i="3"/>
  <c r="L4428" i="3"/>
  <c r="V4427" i="3"/>
  <c r="R4427" i="3"/>
  <c r="P4427" i="3"/>
  <c r="N4427" i="3"/>
  <c r="M4427" i="3"/>
  <c r="L4427" i="3"/>
  <c r="V4426" i="3"/>
  <c r="R4426" i="3"/>
  <c r="P4426" i="3"/>
  <c r="N4426" i="3"/>
  <c r="M4426" i="3"/>
  <c r="L4426" i="3"/>
  <c r="V4425" i="3"/>
  <c r="R4425" i="3"/>
  <c r="P4425" i="3"/>
  <c r="N4425" i="3"/>
  <c r="M4425" i="3"/>
  <c r="L4425" i="3"/>
  <c r="V4424" i="3"/>
  <c r="R4424" i="3"/>
  <c r="P4424" i="3"/>
  <c r="N4424" i="3"/>
  <c r="M4424" i="3"/>
  <c r="L4424" i="3"/>
  <c r="V4423" i="3"/>
  <c r="R4423" i="3"/>
  <c r="P4423" i="3"/>
  <c r="N4423" i="3"/>
  <c r="M4423" i="3"/>
  <c r="L4423" i="3"/>
  <c r="V4422" i="3"/>
  <c r="R4422" i="3"/>
  <c r="P4422" i="3"/>
  <c r="N4422" i="3"/>
  <c r="M4422" i="3"/>
  <c r="L4422" i="3"/>
  <c r="V4421" i="3"/>
  <c r="R4421" i="3"/>
  <c r="P4421" i="3"/>
  <c r="N4421" i="3"/>
  <c r="M4421" i="3"/>
  <c r="L4421" i="3"/>
  <c r="V4420" i="3"/>
  <c r="R4420" i="3"/>
  <c r="P4420" i="3"/>
  <c r="N4420" i="3"/>
  <c r="M4420" i="3"/>
  <c r="L4420" i="3"/>
  <c r="V4419" i="3"/>
  <c r="R4419" i="3"/>
  <c r="P4419" i="3"/>
  <c r="N4419" i="3"/>
  <c r="M4419" i="3"/>
  <c r="L4419" i="3"/>
  <c r="V4418" i="3"/>
  <c r="R4418" i="3"/>
  <c r="P4418" i="3"/>
  <c r="N4418" i="3"/>
  <c r="M4418" i="3"/>
  <c r="L4418" i="3"/>
  <c r="V4417" i="3"/>
  <c r="R4417" i="3"/>
  <c r="P4417" i="3"/>
  <c r="N4417" i="3"/>
  <c r="M4417" i="3"/>
  <c r="L4417" i="3"/>
  <c r="V4416" i="3"/>
  <c r="R4416" i="3"/>
  <c r="P4416" i="3"/>
  <c r="N4416" i="3"/>
  <c r="M4416" i="3"/>
  <c r="L4416" i="3"/>
  <c r="V4415" i="3"/>
  <c r="R4415" i="3"/>
  <c r="P4415" i="3"/>
  <c r="N4415" i="3"/>
  <c r="M4415" i="3"/>
  <c r="L4415" i="3"/>
  <c r="V4414" i="3"/>
  <c r="R4414" i="3"/>
  <c r="P4414" i="3"/>
  <c r="N4414" i="3"/>
  <c r="M4414" i="3"/>
  <c r="L4414" i="3"/>
  <c r="V4413" i="3"/>
  <c r="R4413" i="3"/>
  <c r="P4413" i="3"/>
  <c r="N4413" i="3"/>
  <c r="M4413" i="3"/>
  <c r="L4413" i="3"/>
  <c r="V4412" i="3"/>
  <c r="R4412" i="3"/>
  <c r="P4412" i="3"/>
  <c r="N4412" i="3"/>
  <c r="M4412" i="3"/>
  <c r="L4412" i="3"/>
  <c r="V4411" i="3"/>
  <c r="R4411" i="3"/>
  <c r="P4411" i="3"/>
  <c r="N4411" i="3"/>
  <c r="M4411" i="3"/>
  <c r="L4411" i="3"/>
  <c r="V4410" i="3"/>
  <c r="R4410" i="3"/>
  <c r="P4410" i="3"/>
  <c r="N4410" i="3"/>
  <c r="M4410" i="3"/>
  <c r="L4410" i="3"/>
  <c r="V4409" i="3"/>
  <c r="R4409" i="3"/>
  <c r="P4409" i="3"/>
  <c r="N4409" i="3"/>
  <c r="M4409" i="3"/>
  <c r="L4409" i="3"/>
  <c r="V4408" i="3"/>
  <c r="R4408" i="3"/>
  <c r="P4408" i="3"/>
  <c r="N4408" i="3"/>
  <c r="M4408" i="3"/>
  <c r="L4408" i="3"/>
  <c r="V4407" i="3"/>
  <c r="R4407" i="3"/>
  <c r="P4407" i="3"/>
  <c r="N4407" i="3"/>
  <c r="M4407" i="3"/>
  <c r="L4407" i="3"/>
  <c r="V4406" i="3"/>
  <c r="R4406" i="3"/>
  <c r="P4406" i="3"/>
  <c r="N4406" i="3"/>
  <c r="M4406" i="3"/>
  <c r="L4406" i="3"/>
  <c r="V4405" i="3"/>
  <c r="R4405" i="3"/>
  <c r="P4405" i="3"/>
  <c r="N4405" i="3"/>
  <c r="M4405" i="3"/>
  <c r="L4405" i="3"/>
  <c r="V4404" i="3"/>
  <c r="R4404" i="3"/>
  <c r="P4404" i="3"/>
  <c r="N4404" i="3"/>
  <c r="M4404" i="3"/>
  <c r="L4404" i="3"/>
  <c r="V4403" i="3"/>
  <c r="R4403" i="3"/>
  <c r="P4403" i="3"/>
  <c r="N4403" i="3"/>
  <c r="M4403" i="3"/>
  <c r="L4403" i="3"/>
  <c r="V4402" i="3"/>
  <c r="R4402" i="3"/>
  <c r="P4402" i="3"/>
  <c r="N4402" i="3"/>
  <c r="M4402" i="3"/>
  <c r="L4402" i="3"/>
  <c r="V4401" i="3"/>
  <c r="R4401" i="3"/>
  <c r="P4401" i="3"/>
  <c r="N4401" i="3"/>
  <c r="M4401" i="3"/>
  <c r="L4401" i="3"/>
  <c r="V4400" i="3"/>
  <c r="R4400" i="3"/>
  <c r="P4400" i="3"/>
  <c r="N4400" i="3"/>
  <c r="M4400" i="3"/>
  <c r="L4400" i="3"/>
  <c r="V4399" i="3"/>
  <c r="R4399" i="3"/>
  <c r="P4399" i="3"/>
  <c r="N4399" i="3"/>
  <c r="M4399" i="3"/>
  <c r="L4399" i="3"/>
  <c r="V4398" i="3"/>
  <c r="R4398" i="3"/>
  <c r="P4398" i="3"/>
  <c r="N4398" i="3"/>
  <c r="M4398" i="3"/>
  <c r="L4398" i="3"/>
  <c r="V4397" i="3"/>
  <c r="R4397" i="3"/>
  <c r="P4397" i="3"/>
  <c r="N4397" i="3"/>
  <c r="M4397" i="3"/>
  <c r="L4397" i="3"/>
  <c r="V4396" i="3"/>
  <c r="R4396" i="3"/>
  <c r="P4396" i="3"/>
  <c r="N4396" i="3"/>
  <c r="M4396" i="3"/>
  <c r="L4396" i="3"/>
  <c r="V4395" i="3"/>
  <c r="R4395" i="3"/>
  <c r="P4395" i="3"/>
  <c r="N4395" i="3"/>
  <c r="M4395" i="3"/>
  <c r="L4395" i="3"/>
  <c r="V4394" i="3"/>
  <c r="R4394" i="3"/>
  <c r="P4394" i="3"/>
  <c r="N4394" i="3"/>
  <c r="M4394" i="3"/>
  <c r="L4394" i="3"/>
  <c r="V4393" i="3"/>
  <c r="R4393" i="3"/>
  <c r="P4393" i="3"/>
  <c r="N4393" i="3"/>
  <c r="M4393" i="3"/>
  <c r="L4393" i="3"/>
  <c r="V4392" i="3"/>
  <c r="R4392" i="3"/>
  <c r="P4392" i="3"/>
  <c r="N4392" i="3"/>
  <c r="M4392" i="3"/>
  <c r="L4392" i="3"/>
  <c r="V4391" i="3"/>
  <c r="R4391" i="3"/>
  <c r="P4391" i="3"/>
  <c r="N4391" i="3"/>
  <c r="M4391" i="3"/>
  <c r="L4391" i="3"/>
  <c r="V4390" i="3"/>
  <c r="R4390" i="3"/>
  <c r="P4390" i="3"/>
  <c r="N4390" i="3"/>
  <c r="M4390" i="3"/>
  <c r="L4390" i="3"/>
  <c r="V4389" i="3"/>
  <c r="R4389" i="3"/>
  <c r="P4389" i="3"/>
  <c r="N4389" i="3"/>
  <c r="M4389" i="3"/>
  <c r="L4389" i="3"/>
  <c r="V4388" i="3"/>
  <c r="R4388" i="3"/>
  <c r="P4388" i="3"/>
  <c r="N4388" i="3"/>
  <c r="M4388" i="3"/>
  <c r="L4388" i="3"/>
  <c r="V4387" i="3"/>
  <c r="R4387" i="3"/>
  <c r="P4387" i="3"/>
  <c r="N4387" i="3"/>
  <c r="M4387" i="3"/>
  <c r="L4387" i="3"/>
  <c r="V4386" i="3"/>
  <c r="R4386" i="3"/>
  <c r="P4386" i="3"/>
  <c r="N4386" i="3"/>
  <c r="M4386" i="3"/>
  <c r="L4386" i="3"/>
  <c r="V4385" i="3"/>
  <c r="R4385" i="3"/>
  <c r="P4385" i="3"/>
  <c r="N4385" i="3"/>
  <c r="M4385" i="3"/>
  <c r="L4385" i="3"/>
  <c r="V4384" i="3"/>
  <c r="R4384" i="3"/>
  <c r="P4384" i="3"/>
  <c r="N4384" i="3"/>
  <c r="M4384" i="3"/>
  <c r="L4384" i="3"/>
  <c r="V4383" i="3"/>
  <c r="R4383" i="3"/>
  <c r="P4383" i="3"/>
  <c r="N4383" i="3"/>
  <c r="M4383" i="3"/>
  <c r="L4383" i="3"/>
  <c r="V4382" i="3"/>
  <c r="R4382" i="3"/>
  <c r="P4382" i="3"/>
  <c r="N4382" i="3"/>
  <c r="M4382" i="3"/>
  <c r="L4382" i="3"/>
  <c r="V4381" i="3"/>
  <c r="R4381" i="3"/>
  <c r="P4381" i="3"/>
  <c r="N4381" i="3"/>
  <c r="M4381" i="3"/>
  <c r="L4381" i="3"/>
  <c r="V4380" i="3"/>
  <c r="R4380" i="3"/>
  <c r="P4380" i="3"/>
  <c r="N4380" i="3"/>
  <c r="M4380" i="3"/>
  <c r="L4380" i="3"/>
  <c r="V4379" i="3"/>
  <c r="R4379" i="3"/>
  <c r="P4379" i="3"/>
  <c r="N4379" i="3"/>
  <c r="M4379" i="3"/>
  <c r="L4379" i="3"/>
  <c r="V4378" i="3"/>
  <c r="R4378" i="3"/>
  <c r="P4378" i="3"/>
  <c r="N4378" i="3"/>
  <c r="M4378" i="3"/>
  <c r="L4378" i="3"/>
  <c r="V4377" i="3"/>
  <c r="R4377" i="3"/>
  <c r="P4377" i="3"/>
  <c r="N4377" i="3"/>
  <c r="M4377" i="3"/>
  <c r="L4377" i="3"/>
  <c r="V4376" i="3"/>
  <c r="R4376" i="3"/>
  <c r="P4376" i="3"/>
  <c r="N4376" i="3"/>
  <c r="M4376" i="3"/>
  <c r="L4376" i="3"/>
  <c r="V4375" i="3"/>
  <c r="R4375" i="3"/>
  <c r="P4375" i="3"/>
  <c r="N4375" i="3"/>
  <c r="M4375" i="3"/>
  <c r="L4375" i="3"/>
  <c r="V4374" i="3"/>
  <c r="R4374" i="3"/>
  <c r="P4374" i="3"/>
  <c r="N4374" i="3"/>
  <c r="M4374" i="3"/>
  <c r="L4374" i="3"/>
  <c r="V4373" i="3"/>
  <c r="R4373" i="3"/>
  <c r="P4373" i="3"/>
  <c r="N4373" i="3"/>
  <c r="M4373" i="3"/>
  <c r="L4373" i="3"/>
  <c r="V4372" i="3"/>
  <c r="R4372" i="3"/>
  <c r="P4372" i="3"/>
  <c r="N4372" i="3"/>
  <c r="M4372" i="3"/>
  <c r="L4372" i="3"/>
  <c r="V4371" i="3"/>
  <c r="R4371" i="3"/>
  <c r="P4371" i="3"/>
  <c r="N4371" i="3"/>
  <c r="M4371" i="3"/>
  <c r="L4371" i="3"/>
  <c r="V4370" i="3"/>
  <c r="R4370" i="3"/>
  <c r="P4370" i="3"/>
  <c r="N4370" i="3"/>
  <c r="M4370" i="3"/>
  <c r="L4370" i="3"/>
  <c r="V4369" i="3"/>
  <c r="R4369" i="3"/>
  <c r="P4369" i="3"/>
  <c r="N4369" i="3"/>
  <c r="M4369" i="3"/>
  <c r="L4369" i="3"/>
  <c r="V4368" i="3"/>
  <c r="R4368" i="3"/>
  <c r="P4368" i="3"/>
  <c r="N4368" i="3"/>
  <c r="M4368" i="3"/>
  <c r="L4368" i="3"/>
  <c r="V4367" i="3"/>
  <c r="R4367" i="3"/>
  <c r="P4367" i="3"/>
  <c r="N4367" i="3"/>
  <c r="M4367" i="3"/>
  <c r="L4367" i="3"/>
  <c r="V4366" i="3"/>
  <c r="R4366" i="3"/>
  <c r="P4366" i="3"/>
  <c r="N4366" i="3"/>
  <c r="M4366" i="3"/>
  <c r="L4366" i="3"/>
  <c r="V4365" i="3"/>
  <c r="R4365" i="3"/>
  <c r="P4365" i="3"/>
  <c r="N4365" i="3"/>
  <c r="M4365" i="3"/>
  <c r="L4365" i="3"/>
  <c r="V4364" i="3"/>
  <c r="R4364" i="3"/>
  <c r="P4364" i="3"/>
  <c r="N4364" i="3"/>
  <c r="M4364" i="3"/>
  <c r="L4364" i="3"/>
  <c r="V4363" i="3"/>
  <c r="R4363" i="3"/>
  <c r="P4363" i="3"/>
  <c r="N4363" i="3"/>
  <c r="M4363" i="3"/>
  <c r="L4363" i="3"/>
  <c r="V4362" i="3"/>
  <c r="R4362" i="3"/>
  <c r="P4362" i="3"/>
  <c r="N4362" i="3"/>
  <c r="M4362" i="3"/>
  <c r="L4362" i="3"/>
  <c r="V4361" i="3"/>
  <c r="R4361" i="3"/>
  <c r="P4361" i="3"/>
  <c r="N4361" i="3"/>
  <c r="M4361" i="3"/>
  <c r="L4361" i="3"/>
  <c r="V4360" i="3"/>
  <c r="R4360" i="3"/>
  <c r="P4360" i="3"/>
  <c r="N4360" i="3"/>
  <c r="M4360" i="3"/>
  <c r="L4360" i="3"/>
  <c r="V4359" i="3"/>
  <c r="R4359" i="3"/>
  <c r="P4359" i="3"/>
  <c r="N4359" i="3"/>
  <c r="M4359" i="3"/>
  <c r="L4359" i="3"/>
  <c r="V4358" i="3"/>
  <c r="R4358" i="3"/>
  <c r="P4358" i="3"/>
  <c r="N4358" i="3"/>
  <c r="M4358" i="3"/>
  <c r="L4358" i="3"/>
  <c r="V4357" i="3"/>
  <c r="R4357" i="3"/>
  <c r="P4357" i="3"/>
  <c r="N4357" i="3"/>
  <c r="M4357" i="3"/>
  <c r="L4357" i="3"/>
  <c r="V4356" i="3"/>
  <c r="R4356" i="3"/>
  <c r="P4356" i="3"/>
  <c r="N4356" i="3"/>
  <c r="M4356" i="3"/>
  <c r="L4356" i="3"/>
  <c r="V4355" i="3"/>
  <c r="R4355" i="3"/>
  <c r="P4355" i="3"/>
  <c r="N4355" i="3"/>
  <c r="M4355" i="3"/>
  <c r="L4355" i="3"/>
  <c r="V4354" i="3"/>
  <c r="R4354" i="3"/>
  <c r="P4354" i="3"/>
  <c r="N4354" i="3"/>
  <c r="M4354" i="3"/>
  <c r="L4354" i="3"/>
  <c r="V4353" i="3"/>
  <c r="R4353" i="3"/>
  <c r="P4353" i="3"/>
  <c r="N4353" i="3"/>
  <c r="M4353" i="3"/>
  <c r="L4353" i="3"/>
  <c r="V4352" i="3"/>
  <c r="R4352" i="3"/>
  <c r="P4352" i="3"/>
  <c r="N4352" i="3"/>
  <c r="M4352" i="3"/>
  <c r="L4352" i="3"/>
  <c r="V4351" i="3"/>
  <c r="R4351" i="3"/>
  <c r="P4351" i="3"/>
  <c r="N4351" i="3"/>
  <c r="M4351" i="3"/>
  <c r="L4351" i="3"/>
  <c r="V4350" i="3"/>
  <c r="R4350" i="3"/>
  <c r="P4350" i="3"/>
  <c r="N4350" i="3"/>
  <c r="M4350" i="3"/>
  <c r="L4350" i="3"/>
  <c r="V4349" i="3"/>
  <c r="R4349" i="3"/>
  <c r="P4349" i="3"/>
  <c r="N4349" i="3"/>
  <c r="M4349" i="3"/>
  <c r="L4349" i="3"/>
  <c r="V4348" i="3"/>
  <c r="R4348" i="3"/>
  <c r="P4348" i="3"/>
  <c r="N4348" i="3"/>
  <c r="M4348" i="3"/>
  <c r="L4348" i="3"/>
  <c r="V4347" i="3"/>
  <c r="R4347" i="3"/>
  <c r="P4347" i="3"/>
  <c r="N4347" i="3"/>
  <c r="M4347" i="3"/>
  <c r="L4347" i="3"/>
  <c r="V4346" i="3"/>
  <c r="R4346" i="3"/>
  <c r="P4346" i="3"/>
  <c r="N4346" i="3"/>
  <c r="M4346" i="3"/>
  <c r="L4346" i="3"/>
  <c r="V4345" i="3"/>
  <c r="R4345" i="3"/>
  <c r="P4345" i="3"/>
  <c r="N4345" i="3"/>
  <c r="M4345" i="3"/>
  <c r="L4345" i="3"/>
  <c r="V4344" i="3"/>
  <c r="R4344" i="3"/>
  <c r="P4344" i="3"/>
  <c r="N4344" i="3"/>
  <c r="M4344" i="3"/>
  <c r="L4344" i="3"/>
  <c r="V4343" i="3"/>
  <c r="R4343" i="3"/>
  <c r="P4343" i="3"/>
  <c r="N4343" i="3"/>
  <c r="M4343" i="3"/>
  <c r="L4343" i="3"/>
  <c r="V4342" i="3"/>
  <c r="R4342" i="3"/>
  <c r="P4342" i="3"/>
  <c r="N4342" i="3"/>
  <c r="M4342" i="3"/>
  <c r="L4342" i="3"/>
  <c r="V4341" i="3"/>
  <c r="R4341" i="3"/>
  <c r="P4341" i="3"/>
  <c r="N4341" i="3"/>
  <c r="M4341" i="3"/>
  <c r="L4341" i="3"/>
  <c r="V4340" i="3"/>
  <c r="R4340" i="3"/>
  <c r="P4340" i="3"/>
  <c r="N4340" i="3"/>
  <c r="M4340" i="3"/>
  <c r="L4340" i="3"/>
  <c r="V4339" i="3"/>
  <c r="R4339" i="3"/>
  <c r="P4339" i="3"/>
  <c r="N4339" i="3"/>
  <c r="M4339" i="3"/>
  <c r="L4339" i="3"/>
  <c r="V4338" i="3"/>
  <c r="R4338" i="3"/>
  <c r="P4338" i="3"/>
  <c r="N4338" i="3"/>
  <c r="M4338" i="3"/>
  <c r="L4338" i="3"/>
  <c r="V4337" i="3"/>
  <c r="R4337" i="3"/>
  <c r="P4337" i="3"/>
  <c r="N4337" i="3"/>
  <c r="M4337" i="3"/>
  <c r="L4337" i="3"/>
  <c r="V4336" i="3"/>
  <c r="R4336" i="3"/>
  <c r="P4336" i="3"/>
  <c r="N4336" i="3"/>
  <c r="M4336" i="3"/>
  <c r="L4336" i="3"/>
  <c r="V4335" i="3"/>
  <c r="R4335" i="3"/>
  <c r="P4335" i="3"/>
  <c r="N4335" i="3"/>
  <c r="M4335" i="3"/>
  <c r="L4335" i="3"/>
  <c r="V4334" i="3"/>
  <c r="R4334" i="3"/>
  <c r="P4334" i="3"/>
  <c r="N4334" i="3"/>
  <c r="M4334" i="3"/>
  <c r="L4334" i="3"/>
  <c r="V4333" i="3"/>
  <c r="R4333" i="3"/>
  <c r="P4333" i="3"/>
  <c r="N4333" i="3"/>
  <c r="M4333" i="3"/>
  <c r="L4333" i="3"/>
  <c r="V4332" i="3"/>
  <c r="R4332" i="3"/>
  <c r="P4332" i="3"/>
  <c r="N4332" i="3"/>
  <c r="M4332" i="3"/>
  <c r="L4332" i="3"/>
  <c r="V4331" i="3"/>
  <c r="R4331" i="3"/>
  <c r="P4331" i="3"/>
  <c r="N4331" i="3"/>
  <c r="M4331" i="3"/>
  <c r="L4331" i="3"/>
  <c r="V4330" i="3"/>
  <c r="R4330" i="3"/>
  <c r="P4330" i="3"/>
  <c r="N4330" i="3"/>
  <c r="M4330" i="3"/>
  <c r="L4330" i="3"/>
  <c r="V4329" i="3"/>
  <c r="R4329" i="3"/>
  <c r="P4329" i="3"/>
  <c r="N4329" i="3"/>
  <c r="M4329" i="3"/>
  <c r="L4329" i="3"/>
  <c r="V4328" i="3"/>
  <c r="R4328" i="3"/>
  <c r="P4328" i="3"/>
  <c r="N4328" i="3"/>
  <c r="M4328" i="3"/>
  <c r="L4328" i="3"/>
  <c r="V4327" i="3"/>
  <c r="R4327" i="3"/>
  <c r="P4327" i="3"/>
  <c r="N4327" i="3"/>
  <c r="M4327" i="3"/>
  <c r="L4327" i="3"/>
  <c r="V4326" i="3"/>
  <c r="R4326" i="3"/>
  <c r="P4326" i="3"/>
  <c r="N4326" i="3"/>
  <c r="M4326" i="3"/>
  <c r="L4326" i="3"/>
  <c r="V4325" i="3"/>
  <c r="R4325" i="3"/>
  <c r="P4325" i="3"/>
  <c r="N4325" i="3"/>
  <c r="M4325" i="3"/>
  <c r="L4325" i="3"/>
  <c r="V4324" i="3"/>
  <c r="R4324" i="3"/>
  <c r="P4324" i="3"/>
  <c r="N4324" i="3"/>
  <c r="M4324" i="3"/>
  <c r="L4324" i="3"/>
  <c r="V4323" i="3"/>
  <c r="R4323" i="3"/>
  <c r="P4323" i="3"/>
  <c r="N4323" i="3"/>
  <c r="M4323" i="3"/>
  <c r="L4323" i="3"/>
  <c r="V4322" i="3"/>
  <c r="R4322" i="3"/>
  <c r="P4322" i="3"/>
  <c r="N4322" i="3"/>
  <c r="M4322" i="3"/>
  <c r="L4322" i="3"/>
  <c r="V4321" i="3"/>
  <c r="R4321" i="3"/>
  <c r="P4321" i="3"/>
  <c r="N4321" i="3"/>
  <c r="M4321" i="3"/>
  <c r="L4321" i="3"/>
  <c r="V4320" i="3"/>
  <c r="R4320" i="3"/>
  <c r="P4320" i="3"/>
  <c r="N4320" i="3"/>
  <c r="M4320" i="3"/>
  <c r="L4320" i="3"/>
  <c r="V4319" i="3"/>
  <c r="R4319" i="3"/>
  <c r="P4319" i="3"/>
  <c r="N4319" i="3"/>
  <c r="M4319" i="3"/>
  <c r="L4319" i="3"/>
  <c r="V4318" i="3"/>
  <c r="R4318" i="3"/>
  <c r="P4318" i="3"/>
  <c r="N4318" i="3"/>
  <c r="M4318" i="3"/>
  <c r="L4318" i="3"/>
  <c r="V4317" i="3"/>
  <c r="R4317" i="3"/>
  <c r="P4317" i="3"/>
  <c r="N4317" i="3"/>
  <c r="M4317" i="3"/>
  <c r="L4317" i="3"/>
  <c r="V4316" i="3"/>
  <c r="R4316" i="3"/>
  <c r="P4316" i="3"/>
  <c r="N4316" i="3"/>
  <c r="M4316" i="3"/>
  <c r="L4316" i="3"/>
  <c r="V4315" i="3"/>
  <c r="R4315" i="3"/>
  <c r="P4315" i="3"/>
  <c r="N4315" i="3"/>
  <c r="M4315" i="3"/>
  <c r="L4315" i="3"/>
  <c r="V4314" i="3"/>
  <c r="R4314" i="3"/>
  <c r="P4314" i="3"/>
  <c r="N4314" i="3"/>
  <c r="M4314" i="3"/>
  <c r="L4314" i="3"/>
  <c r="V4313" i="3"/>
  <c r="R4313" i="3"/>
  <c r="P4313" i="3"/>
  <c r="N4313" i="3"/>
  <c r="M4313" i="3"/>
  <c r="L4313" i="3"/>
  <c r="V4312" i="3"/>
  <c r="R4312" i="3"/>
  <c r="P4312" i="3"/>
  <c r="N4312" i="3"/>
  <c r="M4312" i="3"/>
  <c r="L4312" i="3"/>
  <c r="V4311" i="3"/>
  <c r="R4311" i="3"/>
  <c r="P4311" i="3"/>
  <c r="N4311" i="3"/>
  <c r="M4311" i="3"/>
  <c r="L4311" i="3"/>
  <c r="V4310" i="3"/>
  <c r="R4310" i="3"/>
  <c r="P4310" i="3"/>
  <c r="N4310" i="3"/>
  <c r="M4310" i="3"/>
  <c r="L4310" i="3"/>
  <c r="V4309" i="3"/>
  <c r="R4309" i="3"/>
  <c r="P4309" i="3"/>
  <c r="N4309" i="3"/>
  <c r="M4309" i="3"/>
  <c r="L4309" i="3"/>
  <c r="V4308" i="3"/>
  <c r="R4308" i="3"/>
  <c r="P4308" i="3"/>
  <c r="N4308" i="3"/>
  <c r="M4308" i="3"/>
  <c r="L4308" i="3"/>
  <c r="V4307" i="3"/>
  <c r="R4307" i="3"/>
  <c r="P4307" i="3"/>
  <c r="N4307" i="3"/>
  <c r="M4307" i="3"/>
  <c r="L4307" i="3"/>
  <c r="V4306" i="3"/>
  <c r="R4306" i="3"/>
  <c r="P4306" i="3"/>
  <c r="N4306" i="3"/>
  <c r="M4306" i="3"/>
  <c r="L4306" i="3"/>
  <c r="V4305" i="3"/>
  <c r="R4305" i="3"/>
  <c r="P4305" i="3"/>
  <c r="N4305" i="3"/>
  <c r="M4305" i="3"/>
  <c r="L4305" i="3"/>
  <c r="V4304" i="3"/>
  <c r="R4304" i="3"/>
  <c r="P4304" i="3"/>
  <c r="N4304" i="3"/>
  <c r="M4304" i="3"/>
  <c r="L4304" i="3"/>
  <c r="V4303" i="3"/>
  <c r="R4303" i="3"/>
  <c r="P4303" i="3"/>
  <c r="N4303" i="3"/>
  <c r="M4303" i="3"/>
  <c r="L4303" i="3"/>
  <c r="V4302" i="3"/>
  <c r="R4302" i="3"/>
  <c r="P4302" i="3"/>
  <c r="N4302" i="3"/>
  <c r="M4302" i="3"/>
  <c r="L4302" i="3"/>
  <c r="V4301" i="3"/>
  <c r="R4301" i="3"/>
  <c r="P4301" i="3"/>
  <c r="N4301" i="3"/>
  <c r="M4301" i="3"/>
  <c r="L4301" i="3"/>
  <c r="V4300" i="3"/>
  <c r="R4300" i="3"/>
  <c r="P4300" i="3"/>
  <c r="N4300" i="3"/>
  <c r="M4300" i="3"/>
  <c r="L4300" i="3"/>
  <c r="V4299" i="3"/>
  <c r="R4299" i="3"/>
  <c r="P4299" i="3"/>
  <c r="N4299" i="3"/>
  <c r="M4299" i="3"/>
  <c r="L4299" i="3"/>
  <c r="V4298" i="3"/>
  <c r="R4298" i="3"/>
  <c r="P4298" i="3"/>
  <c r="N4298" i="3"/>
  <c r="M4298" i="3"/>
  <c r="L4298" i="3"/>
  <c r="V4297" i="3"/>
  <c r="R4297" i="3"/>
  <c r="P4297" i="3"/>
  <c r="N4297" i="3"/>
  <c r="M4297" i="3"/>
  <c r="L4297" i="3"/>
  <c r="V4296" i="3"/>
  <c r="R4296" i="3"/>
  <c r="P4296" i="3"/>
  <c r="N4296" i="3"/>
  <c r="M4296" i="3"/>
  <c r="L4296" i="3"/>
  <c r="V4295" i="3"/>
  <c r="R4295" i="3"/>
  <c r="P4295" i="3"/>
  <c r="N4295" i="3"/>
  <c r="M4295" i="3"/>
  <c r="L4295" i="3"/>
  <c r="V4294" i="3"/>
  <c r="R4294" i="3"/>
  <c r="P4294" i="3"/>
  <c r="N4294" i="3"/>
  <c r="M4294" i="3"/>
  <c r="L4294" i="3"/>
  <c r="V4293" i="3"/>
  <c r="R4293" i="3"/>
  <c r="P4293" i="3"/>
  <c r="N4293" i="3"/>
  <c r="M4293" i="3"/>
  <c r="L4293" i="3"/>
  <c r="V4292" i="3"/>
  <c r="R4292" i="3"/>
  <c r="P4292" i="3"/>
  <c r="N4292" i="3"/>
  <c r="M4292" i="3"/>
  <c r="L4292" i="3"/>
  <c r="V4291" i="3"/>
  <c r="R4291" i="3"/>
  <c r="P4291" i="3"/>
  <c r="N4291" i="3"/>
  <c r="M4291" i="3"/>
  <c r="L4291" i="3"/>
  <c r="V4290" i="3"/>
  <c r="R4290" i="3"/>
  <c r="P4290" i="3"/>
  <c r="N4290" i="3"/>
  <c r="M4290" i="3"/>
  <c r="L4290" i="3"/>
  <c r="V4289" i="3"/>
  <c r="R4289" i="3"/>
  <c r="P4289" i="3"/>
  <c r="N4289" i="3"/>
  <c r="M4289" i="3"/>
  <c r="L4289" i="3"/>
  <c r="V4288" i="3"/>
  <c r="R4288" i="3"/>
  <c r="P4288" i="3"/>
  <c r="N4288" i="3"/>
  <c r="M4288" i="3"/>
  <c r="L4288" i="3"/>
  <c r="V4287" i="3"/>
  <c r="R4287" i="3"/>
  <c r="P4287" i="3"/>
  <c r="N4287" i="3"/>
  <c r="M4287" i="3"/>
  <c r="L4287" i="3"/>
  <c r="V4286" i="3"/>
  <c r="R4286" i="3"/>
  <c r="P4286" i="3"/>
  <c r="N4286" i="3"/>
  <c r="M4286" i="3"/>
  <c r="L4286" i="3"/>
  <c r="V4285" i="3"/>
  <c r="R4285" i="3"/>
  <c r="P4285" i="3"/>
  <c r="N4285" i="3"/>
  <c r="M4285" i="3"/>
  <c r="L4285" i="3"/>
  <c r="V4284" i="3"/>
  <c r="R4284" i="3"/>
  <c r="P4284" i="3"/>
  <c r="N4284" i="3"/>
  <c r="M4284" i="3"/>
  <c r="L4284" i="3"/>
  <c r="V4283" i="3"/>
  <c r="R4283" i="3"/>
  <c r="P4283" i="3"/>
  <c r="N4283" i="3"/>
  <c r="M4283" i="3"/>
  <c r="L4283" i="3"/>
  <c r="V4282" i="3"/>
  <c r="R4282" i="3"/>
  <c r="P4282" i="3"/>
  <c r="N4282" i="3"/>
  <c r="M4282" i="3"/>
  <c r="L4282" i="3"/>
  <c r="V4281" i="3"/>
  <c r="R4281" i="3"/>
  <c r="P4281" i="3"/>
  <c r="N4281" i="3"/>
  <c r="M4281" i="3"/>
  <c r="L4281" i="3"/>
  <c r="V4280" i="3"/>
  <c r="R4280" i="3"/>
  <c r="P4280" i="3"/>
  <c r="N4280" i="3"/>
  <c r="M4280" i="3"/>
  <c r="L4280" i="3"/>
  <c r="V4279" i="3"/>
  <c r="R4279" i="3"/>
  <c r="P4279" i="3"/>
  <c r="N4279" i="3"/>
  <c r="M4279" i="3"/>
  <c r="L4279" i="3"/>
  <c r="V4278" i="3"/>
  <c r="R4278" i="3"/>
  <c r="P4278" i="3"/>
  <c r="N4278" i="3"/>
  <c r="M4278" i="3"/>
  <c r="L4278" i="3"/>
  <c r="V4277" i="3"/>
  <c r="R4277" i="3"/>
  <c r="P4277" i="3"/>
  <c r="N4277" i="3"/>
  <c r="M4277" i="3"/>
  <c r="L4277" i="3"/>
  <c r="V4276" i="3"/>
  <c r="R4276" i="3"/>
  <c r="P4276" i="3"/>
  <c r="N4276" i="3"/>
  <c r="M4276" i="3"/>
  <c r="L4276" i="3"/>
  <c r="V4275" i="3"/>
  <c r="R4275" i="3"/>
  <c r="P4275" i="3"/>
  <c r="N4275" i="3"/>
  <c r="M4275" i="3"/>
  <c r="L4275" i="3"/>
  <c r="V4274" i="3"/>
  <c r="R4274" i="3"/>
  <c r="P4274" i="3"/>
  <c r="N4274" i="3"/>
  <c r="M4274" i="3"/>
  <c r="L4274" i="3"/>
  <c r="V4273" i="3"/>
  <c r="R4273" i="3"/>
  <c r="P4273" i="3"/>
  <c r="N4273" i="3"/>
  <c r="M4273" i="3"/>
  <c r="L4273" i="3"/>
  <c r="V4272" i="3"/>
  <c r="R4272" i="3"/>
  <c r="P4272" i="3"/>
  <c r="N4272" i="3"/>
  <c r="M4272" i="3"/>
  <c r="L4272" i="3"/>
  <c r="V4271" i="3"/>
  <c r="R4271" i="3"/>
  <c r="P4271" i="3"/>
  <c r="N4271" i="3"/>
  <c r="M4271" i="3"/>
  <c r="L4271" i="3"/>
  <c r="V4270" i="3"/>
  <c r="R4270" i="3"/>
  <c r="P4270" i="3"/>
  <c r="N4270" i="3"/>
  <c r="M4270" i="3"/>
  <c r="L4270" i="3"/>
  <c r="V4269" i="3"/>
  <c r="R4269" i="3"/>
  <c r="P4269" i="3"/>
  <c r="N4269" i="3"/>
  <c r="M4269" i="3"/>
  <c r="L4269" i="3"/>
  <c r="V4268" i="3"/>
  <c r="R4268" i="3"/>
  <c r="P4268" i="3"/>
  <c r="N4268" i="3"/>
  <c r="M4268" i="3"/>
  <c r="L4268" i="3"/>
  <c r="V4267" i="3"/>
  <c r="R4267" i="3"/>
  <c r="P4267" i="3"/>
  <c r="N4267" i="3"/>
  <c r="M4267" i="3"/>
  <c r="L4267" i="3"/>
  <c r="V4266" i="3"/>
  <c r="R4266" i="3"/>
  <c r="P4266" i="3"/>
  <c r="N4266" i="3"/>
  <c r="M4266" i="3"/>
  <c r="L4266" i="3"/>
  <c r="V4265" i="3"/>
  <c r="R4265" i="3"/>
  <c r="P4265" i="3"/>
  <c r="N4265" i="3"/>
  <c r="M4265" i="3"/>
  <c r="L4265" i="3"/>
  <c r="V4264" i="3"/>
  <c r="R4264" i="3"/>
  <c r="P4264" i="3"/>
  <c r="N4264" i="3"/>
  <c r="M4264" i="3"/>
  <c r="L4264" i="3"/>
  <c r="V4263" i="3"/>
  <c r="R4263" i="3"/>
  <c r="P4263" i="3"/>
  <c r="N4263" i="3"/>
  <c r="M4263" i="3"/>
  <c r="L4263" i="3"/>
  <c r="V4262" i="3"/>
  <c r="R4262" i="3"/>
  <c r="P4262" i="3"/>
  <c r="N4262" i="3"/>
  <c r="M4262" i="3"/>
  <c r="L4262" i="3"/>
  <c r="V4261" i="3"/>
  <c r="R4261" i="3"/>
  <c r="P4261" i="3"/>
  <c r="N4261" i="3"/>
  <c r="M4261" i="3"/>
  <c r="L4261" i="3"/>
  <c r="V4260" i="3"/>
  <c r="R4260" i="3"/>
  <c r="P4260" i="3"/>
  <c r="N4260" i="3"/>
  <c r="M4260" i="3"/>
  <c r="L4260" i="3"/>
  <c r="V4259" i="3"/>
  <c r="R4259" i="3"/>
  <c r="P4259" i="3"/>
  <c r="N4259" i="3"/>
  <c r="M4259" i="3"/>
  <c r="L4259" i="3"/>
  <c r="V4258" i="3"/>
  <c r="R4258" i="3"/>
  <c r="P4258" i="3"/>
  <c r="N4258" i="3"/>
  <c r="M4258" i="3"/>
  <c r="L4258" i="3"/>
  <c r="V4257" i="3"/>
  <c r="R4257" i="3"/>
  <c r="P4257" i="3"/>
  <c r="N4257" i="3"/>
  <c r="M4257" i="3"/>
  <c r="L4257" i="3"/>
  <c r="V4256" i="3"/>
  <c r="R4256" i="3"/>
  <c r="P4256" i="3"/>
  <c r="N4256" i="3"/>
  <c r="M4256" i="3"/>
  <c r="L4256" i="3"/>
  <c r="V4255" i="3"/>
  <c r="R4255" i="3"/>
  <c r="P4255" i="3"/>
  <c r="N4255" i="3"/>
  <c r="M4255" i="3"/>
  <c r="L4255" i="3"/>
  <c r="V4254" i="3"/>
  <c r="R4254" i="3"/>
  <c r="P4254" i="3"/>
  <c r="N4254" i="3"/>
  <c r="M4254" i="3"/>
  <c r="L4254" i="3"/>
  <c r="V4253" i="3"/>
  <c r="R4253" i="3"/>
  <c r="P4253" i="3"/>
  <c r="N4253" i="3"/>
  <c r="M4253" i="3"/>
  <c r="L4253" i="3"/>
  <c r="V4252" i="3"/>
  <c r="R4252" i="3"/>
  <c r="P4252" i="3"/>
  <c r="N4252" i="3"/>
  <c r="M4252" i="3"/>
  <c r="L4252" i="3"/>
  <c r="V4251" i="3"/>
  <c r="R4251" i="3"/>
  <c r="P4251" i="3"/>
  <c r="N4251" i="3"/>
  <c r="M4251" i="3"/>
  <c r="L4251" i="3"/>
  <c r="V4250" i="3"/>
  <c r="R4250" i="3"/>
  <c r="P4250" i="3"/>
  <c r="N4250" i="3"/>
  <c r="M4250" i="3"/>
  <c r="L4250" i="3"/>
  <c r="V4249" i="3"/>
  <c r="R4249" i="3"/>
  <c r="P4249" i="3"/>
  <c r="N4249" i="3"/>
  <c r="M4249" i="3"/>
  <c r="L4249" i="3"/>
  <c r="V4248" i="3"/>
  <c r="R4248" i="3"/>
  <c r="P4248" i="3"/>
  <c r="N4248" i="3"/>
  <c r="M4248" i="3"/>
  <c r="L4248" i="3"/>
  <c r="V4247" i="3"/>
  <c r="R4247" i="3"/>
  <c r="P4247" i="3"/>
  <c r="N4247" i="3"/>
  <c r="M4247" i="3"/>
  <c r="L4247" i="3"/>
  <c r="V4246" i="3"/>
  <c r="R4246" i="3"/>
  <c r="P4246" i="3"/>
  <c r="N4246" i="3"/>
  <c r="M4246" i="3"/>
  <c r="L4246" i="3"/>
  <c r="V4245" i="3"/>
  <c r="R4245" i="3"/>
  <c r="P4245" i="3"/>
  <c r="N4245" i="3"/>
  <c r="M4245" i="3"/>
  <c r="L4245" i="3"/>
  <c r="V4244" i="3"/>
  <c r="R4244" i="3"/>
  <c r="P4244" i="3"/>
  <c r="N4244" i="3"/>
  <c r="M4244" i="3"/>
  <c r="L4244" i="3"/>
  <c r="V4243" i="3"/>
  <c r="R4243" i="3"/>
  <c r="P4243" i="3"/>
  <c r="N4243" i="3"/>
  <c r="M4243" i="3"/>
  <c r="L4243" i="3"/>
  <c r="V4242" i="3"/>
  <c r="R4242" i="3"/>
  <c r="P4242" i="3"/>
  <c r="N4242" i="3"/>
  <c r="M4242" i="3"/>
  <c r="L4242" i="3"/>
  <c r="V4241" i="3"/>
  <c r="R4241" i="3"/>
  <c r="P4241" i="3"/>
  <c r="N4241" i="3"/>
  <c r="M4241" i="3"/>
  <c r="L4241" i="3"/>
  <c r="V4240" i="3"/>
  <c r="R4240" i="3"/>
  <c r="P4240" i="3"/>
  <c r="N4240" i="3"/>
  <c r="M4240" i="3"/>
  <c r="L4240" i="3"/>
  <c r="V4239" i="3"/>
  <c r="R4239" i="3"/>
  <c r="P4239" i="3"/>
  <c r="N4239" i="3"/>
  <c r="M4239" i="3"/>
  <c r="L4239" i="3"/>
  <c r="V4238" i="3"/>
  <c r="R4238" i="3"/>
  <c r="P4238" i="3"/>
  <c r="N4238" i="3"/>
  <c r="M4238" i="3"/>
  <c r="L4238" i="3"/>
  <c r="V4237" i="3"/>
  <c r="R4237" i="3"/>
  <c r="P4237" i="3"/>
  <c r="N4237" i="3"/>
  <c r="M4237" i="3"/>
  <c r="L4237" i="3"/>
  <c r="V4236" i="3"/>
  <c r="R4236" i="3"/>
  <c r="P4236" i="3"/>
  <c r="N4236" i="3"/>
  <c r="M4236" i="3"/>
  <c r="L4236" i="3"/>
  <c r="V4235" i="3"/>
  <c r="R4235" i="3"/>
  <c r="P4235" i="3"/>
  <c r="N4235" i="3"/>
  <c r="M4235" i="3"/>
  <c r="L4235" i="3"/>
  <c r="V4234" i="3"/>
  <c r="R4234" i="3"/>
  <c r="P4234" i="3"/>
  <c r="N4234" i="3"/>
  <c r="M4234" i="3"/>
  <c r="L4234" i="3"/>
  <c r="V4233" i="3"/>
  <c r="R4233" i="3"/>
  <c r="P4233" i="3"/>
  <c r="N4233" i="3"/>
  <c r="M4233" i="3"/>
  <c r="L4233" i="3"/>
  <c r="V4232" i="3"/>
  <c r="R4232" i="3"/>
  <c r="P4232" i="3"/>
  <c r="N4232" i="3"/>
  <c r="M4232" i="3"/>
  <c r="L4232" i="3"/>
  <c r="V4231" i="3"/>
  <c r="R4231" i="3"/>
  <c r="P4231" i="3"/>
  <c r="N4231" i="3"/>
  <c r="M4231" i="3"/>
  <c r="L4231" i="3"/>
  <c r="V4230" i="3"/>
  <c r="R4230" i="3"/>
  <c r="P4230" i="3"/>
  <c r="N4230" i="3"/>
  <c r="M4230" i="3"/>
  <c r="L4230" i="3"/>
  <c r="V4229" i="3"/>
  <c r="R4229" i="3"/>
  <c r="P4229" i="3"/>
  <c r="N4229" i="3"/>
  <c r="M4229" i="3"/>
  <c r="L4229" i="3"/>
  <c r="V4228" i="3"/>
  <c r="R4228" i="3"/>
  <c r="P4228" i="3"/>
  <c r="N4228" i="3"/>
  <c r="M4228" i="3"/>
  <c r="L4228" i="3"/>
  <c r="V4227" i="3"/>
  <c r="R4227" i="3"/>
  <c r="P4227" i="3"/>
  <c r="N4227" i="3"/>
  <c r="M4227" i="3"/>
  <c r="L4227" i="3"/>
  <c r="V4226" i="3"/>
  <c r="R4226" i="3"/>
  <c r="P4226" i="3"/>
  <c r="N4226" i="3"/>
  <c r="M4226" i="3"/>
  <c r="L4226" i="3"/>
  <c r="V4225" i="3"/>
  <c r="R4225" i="3"/>
  <c r="P4225" i="3"/>
  <c r="N4225" i="3"/>
  <c r="M4225" i="3"/>
  <c r="L4225" i="3"/>
  <c r="V4224" i="3"/>
  <c r="R4224" i="3"/>
  <c r="P4224" i="3"/>
  <c r="N4224" i="3"/>
  <c r="M4224" i="3"/>
  <c r="L4224" i="3"/>
  <c r="V4223" i="3"/>
  <c r="R4223" i="3"/>
  <c r="P4223" i="3"/>
  <c r="N4223" i="3"/>
  <c r="M4223" i="3"/>
  <c r="L4223" i="3"/>
  <c r="V4222" i="3"/>
  <c r="R4222" i="3"/>
  <c r="P4222" i="3"/>
  <c r="N4222" i="3"/>
  <c r="M4222" i="3"/>
  <c r="L4222" i="3"/>
  <c r="V4221" i="3"/>
  <c r="R4221" i="3"/>
  <c r="P4221" i="3"/>
  <c r="N4221" i="3"/>
  <c r="M4221" i="3"/>
  <c r="L4221" i="3"/>
  <c r="V4220" i="3"/>
  <c r="R4220" i="3"/>
  <c r="P4220" i="3"/>
  <c r="N4220" i="3"/>
  <c r="M4220" i="3"/>
  <c r="L4220" i="3"/>
  <c r="V4219" i="3"/>
  <c r="R4219" i="3"/>
  <c r="P4219" i="3"/>
  <c r="N4219" i="3"/>
  <c r="M4219" i="3"/>
  <c r="L4219" i="3"/>
  <c r="V4218" i="3"/>
  <c r="R4218" i="3"/>
  <c r="P4218" i="3"/>
  <c r="N4218" i="3"/>
  <c r="M4218" i="3"/>
  <c r="L4218" i="3"/>
  <c r="V4217" i="3"/>
  <c r="R4217" i="3"/>
  <c r="P4217" i="3"/>
  <c r="N4217" i="3"/>
  <c r="M4217" i="3"/>
  <c r="L4217" i="3"/>
  <c r="V4216" i="3"/>
  <c r="R4216" i="3"/>
  <c r="P4216" i="3"/>
  <c r="N4216" i="3"/>
  <c r="M4216" i="3"/>
  <c r="L4216" i="3"/>
  <c r="V4215" i="3"/>
  <c r="R4215" i="3"/>
  <c r="P4215" i="3"/>
  <c r="N4215" i="3"/>
  <c r="M4215" i="3"/>
  <c r="L4215" i="3"/>
  <c r="V4214" i="3"/>
  <c r="R4214" i="3"/>
  <c r="P4214" i="3"/>
  <c r="N4214" i="3"/>
  <c r="M4214" i="3"/>
  <c r="L4214" i="3"/>
  <c r="V4213" i="3"/>
  <c r="R4213" i="3"/>
  <c r="P4213" i="3"/>
  <c r="N4213" i="3"/>
  <c r="M4213" i="3"/>
  <c r="L4213" i="3"/>
  <c r="V4212" i="3"/>
  <c r="R4212" i="3"/>
  <c r="P4212" i="3"/>
  <c r="N4212" i="3"/>
  <c r="M4212" i="3"/>
  <c r="L4212" i="3"/>
  <c r="V4211" i="3"/>
  <c r="R4211" i="3"/>
  <c r="P4211" i="3"/>
  <c r="N4211" i="3"/>
  <c r="M4211" i="3"/>
  <c r="L4211" i="3"/>
  <c r="V4210" i="3"/>
  <c r="R4210" i="3"/>
  <c r="P4210" i="3"/>
  <c r="N4210" i="3"/>
  <c r="M4210" i="3"/>
  <c r="L4210" i="3"/>
  <c r="V4209" i="3"/>
  <c r="R4209" i="3"/>
  <c r="P4209" i="3"/>
  <c r="N4209" i="3"/>
  <c r="M4209" i="3"/>
  <c r="L4209" i="3"/>
  <c r="V4208" i="3"/>
  <c r="R4208" i="3"/>
  <c r="P4208" i="3"/>
  <c r="N4208" i="3"/>
  <c r="M4208" i="3"/>
  <c r="L4208" i="3"/>
  <c r="V4207" i="3"/>
  <c r="R4207" i="3"/>
  <c r="P4207" i="3"/>
  <c r="N4207" i="3"/>
  <c r="M4207" i="3"/>
  <c r="L4207" i="3"/>
  <c r="V4205" i="3"/>
  <c r="R4205" i="3"/>
  <c r="P4205" i="3"/>
  <c r="N4205" i="3"/>
  <c r="M4205" i="3"/>
  <c r="L4205" i="3"/>
  <c r="V4206" i="3"/>
  <c r="R4206" i="3"/>
  <c r="P4206" i="3"/>
  <c r="N4206" i="3"/>
  <c r="M4206" i="3"/>
  <c r="L4206" i="3"/>
  <c r="V4204" i="3"/>
  <c r="R4204" i="3"/>
  <c r="P4204" i="3"/>
  <c r="N4204" i="3"/>
  <c r="M4204" i="3"/>
  <c r="L4204" i="3"/>
  <c r="V4203" i="3"/>
  <c r="R4203" i="3"/>
  <c r="P4203" i="3"/>
  <c r="N4203" i="3"/>
  <c r="M4203" i="3"/>
  <c r="L4203" i="3"/>
  <c r="V4202" i="3"/>
  <c r="R4202" i="3"/>
  <c r="P4202" i="3"/>
  <c r="N4202" i="3"/>
  <c r="M4202" i="3"/>
  <c r="L4202" i="3"/>
  <c r="V4201" i="3"/>
  <c r="R4201" i="3"/>
  <c r="P4201" i="3"/>
  <c r="N4201" i="3"/>
  <c r="M4201" i="3"/>
  <c r="L4201" i="3"/>
  <c r="V4200" i="3"/>
  <c r="R4200" i="3"/>
  <c r="P4200" i="3"/>
  <c r="N4200" i="3"/>
  <c r="M4200" i="3"/>
  <c r="L4200" i="3"/>
  <c r="V4199" i="3"/>
  <c r="R4199" i="3"/>
  <c r="P4199" i="3"/>
  <c r="N4199" i="3"/>
  <c r="M4199" i="3"/>
  <c r="L4199" i="3"/>
  <c r="V4198" i="3"/>
  <c r="R4198" i="3"/>
  <c r="P4198" i="3"/>
  <c r="N4198" i="3"/>
  <c r="M4198" i="3"/>
  <c r="L4198" i="3"/>
  <c r="V4197" i="3"/>
  <c r="R4197" i="3"/>
  <c r="P4197" i="3"/>
  <c r="N4197" i="3"/>
  <c r="M4197" i="3"/>
  <c r="L4197" i="3"/>
  <c r="V4196" i="3"/>
  <c r="R4196" i="3"/>
  <c r="P4196" i="3"/>
  <c r="N4196" i="3"/>
  <c r="M4196" i="3"/>
  <c r="L4196" i="3"/>
  <c r="V4195" i="3"/>
  <c r="R4195" i="3"/>
  <c r="P4195" i="3"/>
  <c r="N4195" i="3"/>
  <c r="M4195" i="3"/>
  <c r="L4195" i="3"/>
  <c r="V4194" i="3"/>
  <c r="R4194" i="3"/>
  <c r="P4194" i="3"/>
  <c r="N4194" i="3"/>
  <c r="M4194" i="3"/>
  <c r="L4194" i="3"/>
  <c r="V4193" i="3"/>
  <c r="R4193" i="3"/>
  <c r="P4193" i="3"/>
  <c r="N4193" i="3"/>
  <c r="M4193" i="3"/>
  <c r="L4193" i="3"/>
  <c r="V4192" i="3"/>
  <c r="R4192" i="3"/>
  <c r="P4192" i="3"/>
  <c r="N4192" i="3"/>
  <c r="M4192" i="3"/>
  <c r="L4192" i="3"/>
  <c r="V4191" i="3"/>
  <c r="R4191" i="3"/>
  <c r="P4191" i="3"/>
  <c r="N4191" i="3"/>
  <c r="M4191" i="3"/>
  <c r="L4191" i="3"/>
  <c r="V4190" i="3"/>
  <c r="R4190" i="3"/>
  <c r="P4190" i="3"/>
  <c r="N4190" i="3"/>
  <c r="M4190" i="3"/>
  <c r="L4190" i="3"/>
  <c r="V4189" i="3"/>
  <c r="R4189" i="3"/>
  <c r="P4189" i="3"/>
  <c r="N4189" i="3"/>
  <c r="M4189" i="3"/>
  <c r="L4189" i="3"/>
  <c r="V4188" i="3"/>
  <c r="R4188" i="3"/>
  <c r="P4188" i="3"/>
  <c r="N4188" i="3"/>
  <c r="M4188" i="3"/>
  <c r="L4188" i="3"/>
  <c r="V4187" i="3"/>
  <c r="R4187" i="3"/>
  <c r="P4187" i="3"/>
  <c r="N4187" i="3"/>
  <c r="M4187" i="3"/>
  <c r="L4187" i="3"/>
  <c r="V4186" i="3"/>
  <c r="R4186" i="3"/>
  <c r="P4186" i="3"/>
  <c r="N4186" i="3"/>
  <c r="M4186" i="3"/>
  <c r="L4186" i="3"/>
  <c r="V4185" i="3"/>
  <c r="R4185" i="3"/>
  <c r="P4185" i="3"/>
  <c r="N4185" i="3"/>
  <c r="M4185" i="3"/>
  <c r="L4185" i="3"/>
  <c r="V4184" i="3"/>
  <c r="R4184" i="3"/>
  <c r="P4184" i="3"/>
  <c r="N4184" i="3"/>
  <c r="M4184" i="3"/>
  <c r="L4184" i="3"/>
  <c r="V4183" i="3"/>
  <c r="R4183" i="3"/>
  <c r="P4183" i="3"/>
  <c r="N4183" i="3"/>
  <c r="M4183" i="3"/>
  <c r="L4183" i="3"/>
  <c r="V4182" i="3"/>
  <c r="R4182" i="3"/>
  <c r="P4182" i="3"/>
  <c r="N4182" i="3"/>
  <c r="M4182" i="3"/>
  <c r="L4182" i="3"/>
  <c r="V4181" i="3"/>
  <c r="R4181" i="3"/>
  <c r="P4181" i="3"/>
  <c r="N4181" i="3"/>
  <c r="M4181" i="3"/>
  <c r="L4181" i="3"/>
  <c r="V4180" i="3"/>
  <c r="R4180" i="3"/>
  <c r="P4180" i="3"/>
  <c r="N4180" i="3"/>
  <c r="M4180" i="3"/>
  <c r="L4180" i="3"/>
  <c r="R4179" i="3"/>
  <c r="P4179" i="3"/>
  <c r="N4179" i="3"/>
  <c r="M4179" i="3"/>
  <c r="L4179" i="3"/>
  <c r="V4178" i="3"/>
  <c r="R4178" i="3"/>
  <c r="P4178" i="3"/>
  <c r="N4178" i="3"/>
  <c r="M4178" i="3"/>
  <c r="L4178" i="3"/>
  <c r="V4177" i="3"/>
  <c r="R4177" i="3"/>
  <c r="P4177" i="3"/>
  <c r="N4177" i="3"/>
  <c r="M4177" i="3"/>
  <c r="L4177" i="3"/>
  <c r="V4176" i="3"/>
  <c r="R4176" i="3"/>
  <c r="P4176" i="3"/>
  <c r="N4176" i="3"/>
  <c r="M4176" i="3"/>
  <c r="L4176" i="3"/>
  <c r="V4175" i="3"/>
  <c r="R4175" i="3"/>
  <c r="P4175" i="3"/>
  <c r="N4175" i="3"/>
  <c r="M4175" i="3"/>
  <c r="L4175" i="3"/>
  <c r="V4174" i="3"/>
  <c r="R4174" i="3"/>
  <c r="P4174" i="3"/>
  <c r="N4174" i="3"/>
  <c r="M4174" i="3"/>
  <c r="L4174" i="3"/>
  <c r="V4173" i="3"/>
  <c r="R4173" i="3"/>
  <c r="P4173" i="3"/>
  <c r="N4173" i="3"/>
  <c r="M4173" i="3"/>
  <c r="L4173" i="3"/>
  <c r="V4172" i="3"/>
  <c r="R4172" i="3"/>
  <c r="P4172" i="3"/>
  <c r="N4172" i="3"/>
  <c r="M4172" i="3"/>
  <c r="L4172" i="3"/>
  <c r="V4171" i="3"/>
  <c r="R4171" i="3"/>
  <c r="P4171" i="3"/>
  <c r="N4171" i="3"/>
  <c r="M4171" i="3"/>
  <c r="L4171" i="3"/>
  <c r="V4170" i="3"/>
  <c r="R4170" i="3"/>
  <c r="P4170" i="3"/>
  <c r="N4170" i="3"/>
  <c r="M4170" i="3"/>
  <c r="L4170" i="3"/>
  <c r="V4169" i="3"/>
  <c r="R4169" i="3"/>
  <c r="P4169" i="3"/>
  <c r="N4169" i="3"/>
  <c r="M4169" i="3"/>
  <c r="L4169" i="3"/>
  <c r="V4168" i="3"/>
  <c r="R4168" i="3"/>
  <c r="P4168" i="3"/>
  <c r="N4168" i="3"/>
  <c r="M4168" i="3"/>
  <c r="L4168" i="3"/>
  <c r="V4167" i="3"/>
  <c r="R4167" i="3"/>
  <c r="P4167" i="3"/>
  <c r="N4167" i="3"/>
  <c r="M4167" i="3"/>
  <c r="L4167" i="3"/>
  <c r="V4166" i="3"/>
  <c r="R4166" i="3"/>
  <c r="P4166" i="3"/>
  <c r="N4166" i="3"/>
  <c r="M4166" i="3"/>
  <c r="L4166" i="3"/>
  <c r="V4165" i="3"/>
  <c r="R4165" i="3"/>
  <c r="P4165" i="3"/>
  <c r="N4165" i="3"/>
  <c r="M4165" i="3"/>
  <c r="L4165" i="3"/>
  <c r="V4164" i="3"/>
  <c r="R4164" i="3"/>
  <c r="P4164" i="3"/>
  <c r="N4164" i="3"/>
  <c r="M4164" i="3"/>
  <c r="L4164" i="3"/>
  <c r="V4163" i="3"/>
  <c r="R4163" i="3"/>
  <c r="P4163" i="3"/>
  <c r="N4163" i="3"/>
  <c r="M4163" i="3"/>
  <c r="L4163" i="3"/>
  <c r="V4162" i="3"/>
  <c r="R4162" i="3"/>
  <c r="P4162" i="3"/>
  <c r="N4162" i="3"/>
  <c r="M4162" i="3"/>
  <c r="L4162" i="3"/>
  <c r="V4161" i="3"/>
  <c r="R4161" i="3"/>
  <c r="P4161" i="3"/>
  <c r="N4161" i="3"/>
  <c r="M4161" i="3"/>
  <c r="L4161" i="3"/>
  <c r="V4160" i="3"/>
  <c r="R4160" i="3"/>
  <c r="P4160" i="3"/>
  <c r="N4160" i="3"/>
  <c r="M4160" i="3"/>
  <c r="L4160" i="3"/>
  <c r="V4159" i="3"/>
  <c r="R4159" i="3"/>
  <c r="P4159" i="3"/>
  <c r="N4159" i="3"/>
  <c r="M4159" i="3"/>
  <c r="L4159" i="3"/>
  <c r="V4158" i="3"/>
  <c r="R4158" i="3"/>
  <c r="P4158" i="3"/>
  <c r="N4158" i="3"/>
  <c r="M4158" i="3"/>
  <c r="L4158" i="3"/>
  <c r="V4157" i="3"/>
  <c r="R4157" i="3"/>
  <c r="P4157" i="3"/>
  <c r="N4157" i="3"/>
  <c r="M4157" i="3"/>
  <c r="L4157" i="3"/>
  <c r="V4156" i="3"/>
  <c r="R4156" i="3"/>
  <c r="P4156" i="3"/>
  <c r="N4156" i="3"/>
  <c r="M4156" i="3"/>
  <c r="L4156" i="3"/>
  <c r="V4155" i="3"/>
  <c r="R4155" i="3"/>
  <c r="P4155" i="3"/>
  <c r="N4155" i="3"/>
  <c r="M4155" i="3"/>
  <c r="L4155" i="3"/>
  <c r="V4154" i="3"/>
  <c r="R4154" i="3"/>
  <c r="P4154" i="3"/>
  <c r="N4154" i="3"/>
  <c r="M4154" i="3"/>
  <c r="L4154" i="3"/>
  <c r="V4153" i="3"/>
  <c r="R4153" i="3"/>
  <c r="P4153" i="3"/>
  <c r="N4153" i="3"/>
  <c r="M4153" i="3"/>
  <c r="L4153" i="3"/>
  <c r="V4152" i="3"/>
  <c r="R4152" i="3"/>
  <c r="P4152" i="3"/>
  <c r="N4152" i="3"/>
  <c r="M4152" i="3"/>
  <c r="L4152" i="3"/>
  <c r="V4151" i="3"/>
  <c r="R4151" i="3"/>
  <c r="P4151" i="3"/>
  <c r="N4151" i="3"/>
  <c r="M4151" i="3"/>
  <c r="L4151" i="3"/>
  <c r="V4150" i="3"/>
  <c r="R4150" i="3"/>
  <c r="P4150" i="3"/>
  <c r="N4150" i="3"/>
  <c r="M4150" i="3"/>
  <c r="L4150" i="3"/>
  <c r="V4149" i="3"/>
  <c r="R4149" i="3"/>
  <c r="P4149" i="3"/>
  <c r="N4149" i="3"/>
  <c r="M4149" i="3"/>
  <c r="L4149" i="3"/>
  <c r="V4148" i="3"/>
  <c r="R4148" i="3"/>
  <c r="P4148" i="3"/>
  <c r="N4148" i="3"/>
  <c r="M4148" i="3"/>
  <c r="L4148" i="3"/>
  <c r="V4147" i="3"/>
  <c r="R4147" i="3"/>
  <c r="P4147" i="3"/>
  <c r="N4147" i="3"/>
  <c r="M4147" i="3"/>
  <c r="L4147" i="3"/>
  <c r="V4146" i="3"/>
  <c r="R4146" i="3"/>
  <c r="P4146" i="3"/>
  <c r="N4146" i="3"/>
  <c r="M4146" i="3"/>
  <c r="L4146" i="3"/>
  <c r="V4145" i="3"/>
  <c r="R4145" i="3"/>
  <c r="P4145" i="3"/>
  <c r="N4145" i="3"/>
  <c r="M4145" i="3"/>
  <c r="L4145" i="3"/>
  <c r="V4144" i="3"/>
  <c r="R4144" i="3"/>
  <c r="P4144" i="3"/>
  <c r="N4144" i="3"/>
  <c r="M4144" i="3"/>
  <c r="L4144" i="3"/>
  <c r="V4143" i="3"/>
  <c r="R4143" i="3"/>
  <c r="P4143" i="3"/>
  <c r="N4143" i="3"/>
  <c r="M4143" i="3"/>
  <c r="L4143" i="3"/>
  <c r="V4142" i="3"/>
  <c r="R4142" i="3"/>
  <c r="P4142" i="3"/>
  <c r="N4142" i="3"/>
  <c r="M4142" i="3"/>
  <c r="L4142" i="3"/>
  <c r="V4141" i="3"/>
  <c r="R4141" i="3"/>
  <c r="P4141" i="3"/>
  <c r="N4141" i="3"/>
  <c r="M4141" i="3"/>
  <c r="L4141" i="3"/>
  <c r="V4140" i="3"/>
  <c r="R4140" i="3"/>
  <c r="P4140" i="3"/>
  <c r="N4140" i="3"/>
  <c r="M4140" i="3"/>
  <c r="L4140" i="3"/>
  <c r="V4139" i="3"/>
  <c r="R4139" i="3"/>
  <c r="P4139" i="3"/>
  <c r="N4139" i="3"/>
  <c r="M4139" i="3"/>
  <c r="L4139" i="3"/>
  <c r="V4138" i="3"/>
  <c r="R4138" i="3"/>
  <c r="P4138" i="3"/>
  <c r="N4138" i="3"/>
  <c r="M4138" i="3"/>
  <c r="L4138" i="3"/>
  <c r="V4137" i="3"/>
  <c r="R4137" i="3"/>
  <c r="P4137" i="3"/>
  <c r="N4137" i="3"/>
  <c r="M4137" i="3"/>
  <c r="L4137" i="3"/>
  <c r="V4136" i="3"/>
  <c r="R4136" i="3"/>
  <c r="P4136" i="3"/>
  <c r="N4136" i="3"/>
  <c r="M4136" i="3"/>
  <c r="L4136" i="3"/>
  <c r="V4135" i="3"/>
  <c r="R4135" i="3"/>
  <c r="P4135" i="3"/>
  <c r="N4135" i="3"/>
  <c r="M4135" i="3"/>
  <c r="L4135" i="3"/>
  <c r="V4134" i="3"/>
  <c r="R4134" i="3"/>
  <c r="P4134" i="3"/>
  <c r="N4134" i="3"/>
  <c r="M4134" i="3"/>
  <c r="L4134" i="3"/>
  <c r="V4133" i="3"/>
  <c r="R4133" i="3"/>
  <c r="P4133" i="3"/>
  <c r="N4133" i="3"/>
  <c r="M4133" i="3"/>
  <c r="L4133" i="3"/>
  <c r="V4132" i="3"/>
  <c r="R4132" i="3"/>
  <c r="P4132" i="3"/>
  <c r="N4132" i="3"/>
  <c r="M4132" i="3"/>
  <c r="L4132" i="3"/>
  <c r="V4131" i="3"/>
  <c r="R4131" i="3"/>
  <c r="P4131" i="3"/>
  <c r="N4131" i="3"/>
  <c r="M4131" i="3"/>
  <c r="L4131" i="3"/>
  <c r="V4130" i="3"/>
  <c r="R4130" i="3"/>
  <c r="P4130" i="3"/>
  <c r="N4130" i="3"/>
  <c r="M4130" i="3"/>
  <c r="L4130" i="3"/>
  <c r="V4129" i="3"/>
  <c r="R4129" i="3"/>
  <c r="P4129" i="3"/>
  <c r="N4129" i="3"/>
  <c r="M4129" i="3"/>
  <c r="L4129" i="3"/>
  <c r="V4128" i="3"/>
  <c r="R4128" i="3"/>
  <c r="P4128" i="3"/>
  <c r="N4128" i="3"/>
  <c r="M4128" i="3"/>
  <c r="L4128" i="3"/>
  <c r="V4127" i="3"/>
  <c r="R4127" i="3"/>
  <c r="P4127" i="3"/>
  <c r="N4127" i="3"/>
  <c r="M4127" i="3"/>
  <c r="L4127" i="3"/>
  <c r="V4126" i="3"/>
  <c r="R4126" i="3"/>
  <c r="P4126" i="3"/>
  <c r="N4126" i="3"/>
  <c r="M4126" i="3"/>
  <c r="L4126" i="3"/>
  <c r="V4125" i="3"/>
  <c r="R4125" i="3"/>
  <c r="P4125" i="3"/>
  <c r="N4125" i="3"/>
  <c r="M4125" i="3"/>
  <c r="L4125" i="3"/>
  <c r="V4124" i="3"/>
  <c r="R4124" i="3"/>
  <c r="P4124" i="3"/>
  <c r="N4124" i="3"/>
  <c r="M4124" i="3"/>
  <c r="L4124" i="3"/>
  <c r="V4123" i="3"/>
  <c r="R4123" i="3"/>
  <c r="P4123" i="3"/>
  <c r="N4123" i="3"/>
  <c r="M4123" i="3"/>
  <c r="L4123" i="3"/>
  <c r="V4122" i="3"/>
  <c r="R4122" i="3"/>
  <c r="P4122" i="3"/>
  <c r="N4122" i="3"/>
  <c r="M4122" i="3"/>
  <c r="L4122" i="3"/>
  <c r="V4121" i="3"/>
  <c r="R4121" i="3"/>
  <c r="P4121" i="3"/>
  <c r="N4121" i="3"/>
  <c r="M4121" i="3"/>
  <c r="L4121" i="3"/>
  <c r="V4120" i="3"/>
  <c r="R4120" i="3"/>
  <c r="P4120" i="3"/>
  <c r="N4120" i="3"/>
  <c r="M4120" i="3"/>
  <c r="L4120" i="3"/>
  <c r="V4119" i="3"/>
  <c r="R4119" i="3"/>
  <c r="P4119" i="3"/>
  <c r="N4119" i="3"/>
  <c r="M4119" i="3"/>
  <c r="L4119" i="3"/>
  <c r="V4118" i="3"/>
  <c r="R4118" i="3"/>
  <c r="P4118" i="3"/>
  <c r="N4118" i="3"/>
  <c r="M4118" i="3"/>
  <c r="L4118" i="3"/>
  <c r="V4117" i="3"/>
  <c r="R4117" i="3"/>
  <c r="P4117" i="3"/>
  <c r="N4117" i="3"/>
  <c r="M4117" i="3"/>
  <c r="L4117" i="3"/>
  <c r="V4116" i="3"/>
  <c r="R4116" i="3"/>
  <c r="P4116" i="3"/>
  <c r="N4116" i="3"/>
  <c r="M4116" i="3"/>
  <c r="L4116" i="3"/>
  <c r="V4115" i="3"/>
  <c r="R4115" i="3"/>
  <c r="P4115" i="3"/>
  <c r="N4115" i="3"/>
  <c r="M4115" i="3"/>
  <c r="L4115" i="3"/>
  <c r="V4114" i="3"/>
  <c r="R4114" i="3"/>
  <c r="P4114" i="3"/>
  <c r="N4114" i="3"/>
  <c r="M4114" i="3"/>
  <c r="L4114" i="3"/>
  <c r="V4113" i="3"/>
  <c r="R4113" i="3"/>
  <c r="P4113" i="3"/>
  <c r="N4113" i="3"/>
  <c r="M4113" i="3"/>
  <c r="L4113" i="3"/>
  <c r="V4112" i="3"/>
  <c r="R4112" i="3"/>
  <c r="P4112" i="3"/>
  <c r="N4112" i="3"/>
  <c r="M4112" i="3"/>
  <c r="L4112" i="3"/>
  <c r="V4111" i="3"/>
  <c r="R4111" i="3"/>
  <c r="P4111" i="3"/>
  <c r="N4111" i="3"/>
  <c r="M4111" i="3"/>
  <c r="L4111" i="3"/>
  <c r="V4110" i="3"/>
  <c r="R4110" i="3"/>
  <c r="P4110" i="3"/>
  <c r="N4110" i="3"/>
  <c r="M4110" i="3"/>
  <c r="L4110" i="3"/>
  <c r="V4109" i="3"/>
  <c r="R4109" i="3"/>
  <c r="P4109" i="3"/>
  <c r="N4109" i="3"/>
  <c r="M4109" i="3"/>
  <c r="L4109" i="3"/>
  <c r="V4108" i="3"/>
  <c r="R4108" i="3"/>
  <c r="P4108" i="3"/>
  <c r="N4108" i="3"/>
  <c r="M4108" i="3"/>
  <c r="L4108" i="3"/>
  <c r="V4107" i="3"/>
  <c r="R4107" i="3"/>
  <c r="P4107" i="3"/>
  <c r="N4107" i="3"/>
  <c r="M4107" i="3"/>
  <c r="L4107" i="3"/>
  <c r="V4106" i="3"/>
  <c r="R4106" i="3"/>
  <c r="P4106" i="3"/>
  <c r="N4106" i="3"/>
  <c r="M4106" i="3"/>
  <c r="L4106" i="3"/>
  <c r="V4105" i="3"/>
  <c r="R4105" i="3"/>
  <c r="P4105" i="3"/>
  <c r="N4105" i="3"/>
  <c r="M4105" i="3"/>
  <c r="L4105" i="3"/>
  <c r="V4104" i="3"/>
  <c r="R4104" i="3"/>
  <c r="P4104" i="3"/>
  <c r="N4104" i="3"/>
  <c r="M4104" i="3"/>
  <c r="L4104" i="3"/>
  <c r="V4103" i="3"/>
  <c r="R4103" i="3"/>
  <c r="P4103" i="3"/>
  <c r="N4103" i="3"/>
  <c r="M4103" i="3"/>
  <c r="L4103" i="3"/>
  <c r="V4102" i="3"/>
  <c r="R4102" i="3"/>
  <c r="P4102" i="3"/>
  <c r="N4102" i="3"/>
  <c r="M4102" i="3"/>
  <c r="L4102" i="3"/>
  <c r="V4101" i="3"/>
  <c r="R4101" i="3"/>
  <c r="P4101" i="3"/>
  <c r="N4101" i="3"/>
  <c r="M4101" i="3"/>
  <c r="L4101" i="3"/>
  <c r="V4100" i="3"/>
  <c r="R4100" i="3"/>
  <c r="P4100" i="3"/>
  <c r="N4100" i="3"/>
  <c r="M4100" i="3"/>
  <c r="L4100" i="3"/>
  <c r="V4099" i="3"/>
  <c r="R4099" i="3"/>
  <c r="P4099" i="3"/>
  <c r="N4099" i="3"/>
  <c r="M4099" i="3"/>
  <c r="L4099" i="3"/>
  <c r="V4098" i="3"/>
  <c r="R4098" i="3"/>
  <c r="P4098" i="3"/>
  <c r="N4098" i="3"/>
  <c r="M4098" i="3"/>
  <c r="L4098" i="3"/>
  <c r="V4097" i="3"/>
  <c r="R4097" i="3"/>
  <c r="P4097" i="3"/>
  <c r="N4097" i="3"/>
  <c r="M4097" i="3"/>
  <c r="L4097" i="3"/>
  <c r="V4096" i="3"/>
  <c r="R4096" i="3"/>
  <c r="P4096" i="3"/>
  <c r="N4096" i="3"/>
  <c r="M4096" i="3"/>
  <c r="L4096" i="3"/>
  <c r="V4095" i="3"/>
  <c r="R4095" i="3"/>
  <c r="P4095" i="3"/>
  <c r="N4095" i="3"/>
  <c r="M4095" i="3"/>
  <c r="L4095" i="3"/>
  <c r="V4094" i="3"/>
  <c r="R4094" i="3"/>
  <c r="P4094" i="3"/>
  <c r="N4094" i="3"/>
  <c r="M4094" i="3"/>
  <c r="L4094" i="3"/>
  <c r="V4093" i="3"/>
  <c r="R4093" i="3"/>
  <c r="P4093" i="3"/>
  <c r="N4093" i="3"/>
  <c r="M4093" i="3"/>
  <c r="L4093" i="3"/>
  <c r="V4092" i="3"/>
  <c r="R4092" i="3"/>
  <c r="P4092" i="3"/>
  <c r="N4092" i="3"/>
  <c r="M4092" i="3"/>
  <c r="L4092" i="3"/>
  <c r="V4091" i="3"/>
  <c r="R4091" i="3"/>
  <c r="P4091" i="3"/>
  <c r="N4091" i="3"/>
  <c r="M4091" i="3"/>
  <c r="L4091" i="3"/>
  <c r="V4090" i="3"/>
  <c r="R4090" i="3"/>
  <c r="P4090" i="3"/>
  <c r="N4090" i="3"/>
  <c r="M4090" i="3"/>
  <c r="L4090" i="3"/>
  <c r="V4089" i="3"/>
  <c r="R4089" i="3"/>
  <c r="P4089" i="3"/>
  <c r="N4089" i="3"/>
  <c r="M4089" i="3"/>
  <c r="L4089" i="3"/>
  <c r="V4088" i="3"/>
  <c r="R4088" i="3"/>
  <c r="P4088" i="3"/>
  <c r="N4088" i="3"/>
  <c r="M4088" i="3"/>
  <c r="L4088" i="3"/>
  <c r="V4087" i="3"/>
  <c r="R4087" i="3"/>
  <c r="P4087" i="3"/>
  <c r="N4087" i="3"/>
  <c r="M4087" i="3"/>
  <c r="L4087" i="3"/>
  <c r="V4086" i="3"/>
  <c r="R4086" i="3"/>
  <c r="P4086" i="3"/>
  <c r="N4086" i="3"/>
  <c r="M4086" i="3"/>
  <c r="L4086" i="3"/>
  <c r="V4085" i="3"/>
  <c r="R4085" i="3"/>
  <c r="P4085" i="3"/>
  <c r="N4085" i="3"/>
  <c r="M4085" i="3"/>
  <c r="L4085" i="3"/>
  <c r="V4084" i="3"/>
  <c r="R4084" i="3"/>
  <c r="P4084" i="3"/>
  <c r="N4084" i="3"/>
  <c r="M4084" i="3"/>
  <c r="L4084" i="3"/>
  <c r="V4083" i="3"/>
  <c r="R4083" i="3"/>
  <c r="P4083" i="3"/>
  <c r="N4083" i="3"/>
  <c r="M4083" i="3"/>
  <c r="L4083" i="3"/>
  <c r="V4082" i="3"/>
  <c r="R4082" i="3"/>
  <c r="P4082" i="3"/>
  <c r="N4082" i="3"/>
  <c r="M4082" i="3"/>
  <c r="L4082" i="3"/>
  <c r="V4081" i="3"/>
  <c r="R4081" i="3"/>
  <c r="P4081" i="3"/>
  <c r="N4081" i="3"/>
  <c r="M4081" i="3"/>
  <c r="L4081" i="3"/>
  <c r="V4080" i="3"/>
  <c r="R4080" i="3"/>
  <c r="P4080" i="3"/>
  <c r="N4080" i="3"/>
  <c r="M4080" i="3"/>
  <c r="L4080" i="3"/>
  <c r="V4079" i="3"/>
  <c r="R4079" i="3"/>
  <c r="P4079" i="3"/>
  <c r="N4079" i="3"/>
  <c r="M4079" i="3"/>
  <c r="L4079" i="3"/>
  <c r="V4078" i="3"/>
  <c r="R4078" i="3"/>
  <c r="P4078" i="3"/>
  <c r="N4078" i="3"/>
  <c r="M4078" i="3"/>
  <c r="L4078" i="3"/>
  <c r="R4077" i="3"/>
  <c r="P4077" i="3"/>
  <c r="N4077" i="3"/>
  <c r="M4077" i="3"/>
  <c r="L4077" i="3"/>
  <c r="V4054" i="3"/>
  <c r="R4054" i="3"/>
  <c r="P4054" i="3"/>
  <c r="N4054" i="3"/>
  <c r="M4054" i="3"/>
  <c r="L4054" i="3"/>
  <c r="V4053" i="3"/>
  <c r="R4053" i="3"/>
  <c r="P4053" i="3"/>
  <c r="N4053" i="3"/>
  <c r="M4053" i="3"/>
  <c r="L4053" i="3"/>
  <c r="V4052" i="3"/>
  <c r="R4052" i="3"/>
  <c r="P4052" i="3"/>
  <c r="N4052" i="3"/>
  <c r="M4052" i="3"/>
  <c r="L4052" i="3"/>
  <c r="V4051" i="3"/>
  <c r="R4051" i="3"/>
  <c r="P4051" i="3"/>
  <c r="N4051" i="3"/>
  <c r="M4051" i="3"/>
  <c r="L4051" i="3"/>
  <c r="V4050" i="3"/>
  <c r="R4050" i="3"/>
  <c r="P4050" i="3"/>
  <c r="N4050" i="3"/>
  <c r="M4050" i="3"/>
  <c r="L4050" i="3"/>
  <c r="V4049" i="3"/>
  <c r="R4049" i="3"/>
  <c r="P4049" i="3"/>
  <c r="N4049" i="3"/>
  <c r="M4049" i="3"/>
  <c r="L4049" i="3"/>
  <c r="V4048" i="3"/>
  <c r="R4048" i="3"/>
  <c r="P4048" i="3"/>
  <c r="N4048" i="3"/>
  <c r="M4048" i="3"/>
  <c r="L4048" i="3"/>
  <c r="V4047" i="3"/>
  <c r="R4047" i="3"/>
  <c r="P4047" i="3"/>
  <c r="N4047" i="3"/>
  <c r="M4047" i="3"/>
  <c r="L4047" i="3"/>
  <c r="V4046" i="3"/>
  <c r="R4046" i="3"/>
  <c r="P4046" i="3"/>
  <c r="N4046" i="3"/>
  <c r="M4046" i="3"/>
  <c r="L4046" i="3"/>
  <c r="V4045" i="3"/>
  <c r="R4045" i="3"/>
  <c r="P4045" i="3"/>
  <c r="N4045" i="3"/>
  <c r="M4045" i="3"/>
  <c r="L4045" i="3"/>
  <c r="V4044" i="3"/>
  <c r="R4044" i="3"/>
  <c r="P4044" i="3"/>
  <c r="N4044" i="3"/>
  <c r="M4044" i="3"/>
  <c r="L4044" i="3"/>
  <c r="V4043" i="3"/>
  <c r="R4043" i="3"/>
  <c r="P4043" i="3"/>
  <c r="N4043" i="3"/>
  <c r="M4043" i="3"/>
  <c r="L4043" i="3"/>
  <c r="V4042" i="3"/>
  <c r="R4042" i="3"/>
  <c r="P4042" i="3"/>
  <c r="N4042" i="3"/>
  <c r="M4042" i="3"/>
  <c r="L4042" i="3"/>
  <c r="V4041" i="3"/>
  <c r="R4041" i="3"/>
  <c r="P4041" i="3"/>
  <c r="N4041" i="3"/>
  <c r="M4041" i="3"/>
  <c r="L4041" i="3"/>
  <c r="V4040" i="3"/>
  <c r="R4040" i="3"/>
  <c r="P4040" i="3"/>
  <c r="N4040" i="3"/>
  <c r="M4040" i="3"/>
  <c r="L4040" i="3"/>
  <c r="V4039" i="3"/>
  <c r="R4039" i="3"/>
  <c r="P4039" i="3"/>
  <c r="N4039" i="3"/>
  <c r="M4039" i="3"/>
  <c r="L4039" i="3"/>
  <c r="V4038" i="3"/>
  <c r="R4038" i="3"/>
  <c r="P4038" i="3"/>
  <c r="N4038" i="3"/>
  <c r="M4038" i="3"/>
  <c r="L4038" i="3"/>
  <c r="V4037" i="3"/>
  <c r="R4037" i="3"/>
  <c r="P4037" i="3"/>
  <c r="N4037" i="3"/>
  <c r="M4037" i="3"/>
  <c r="L4037" i="3"/>
  <c r="V4036" i="3"/>
  <c r="R4036" i="3"/>
  <c r="P4036" i="3"/>
  <c r="N4036" i="3"/>
  <c r="M4036" i="3"/>
  <c r="L4036" i="3"/>
  <c r="V4035" i="3"/>
  <c r="R4035" i="3"/>
  <c r="P4035" i="3"/>
  <c r="N4035" i="3"/>
  <c r="M4035" i="3"/>
  <c r="L4035" i="3"/>
  <c r="V4034" i="3"/>
  <c r="R4034" i="3"/>
  <c r="P4034" i="3"/>
  <c r="N4034" i="3"/>
  <c r="M4034" i="3"/>
  <c r="L4034" i="3"/>
  <c r="V4033" i="3"/>
  <c r="R4033" i="3"/>
  <c r="P4033" i="3"/>
  <c r="N4033" i="3"/>
  <c r="M4033" i="3"/>
  <c r="L4033" i="3"/>
  <c r="V4032" i="3"/>
  <c r="R4032" i="3"/>
  <c r="P4032" i="3"/>
  <c r="N4032" i="3"/>
  <c r="M4032" i="3"/>
  <c r="L4032" i="3"/>
  <c r="V4031" i="3"/>
  <c r="R4031" i="3"/>
  <c r="P4031" i="3"/>
  <c r="N4031" i="3"/>
  <c r="M4031" i="3"/>
  <c r="L4031" i="3"/>
  <c r="V4030" i="3"/>
  <c r="R4030" i="3"/>
  <c r="P4030" i="3"/>
  <c r="N4030" i="3"/>
  <c r="M4030" i="3"/>
  <c r="L4030" i="3"/>
  <c r="V4029" i="3"/>
  <c r="R4029" i="3"/>
  <c r="P4029" i="3"/>
  <c r="N4029" i="3"/>
  <c r="M4029" i="3"/>
  <c r="L4029" i="3"/>
  <c r="V4028" i="3"/>
  <c r="R4028" i="3"/>
  <c r="P4028" i="3"/>
  <c r="N4028" i="3"/>
  <c r="M4028" i="3"/>
  <c r="L4028" i="3"/>
  <c r="V4027" i="3"/>
  <c r="R4027" i="3"/>
  <c r="P4027" i="3"/>
  <c r="N4027" i="3"/>
  <c r="M4027" i="3"/>
  <c r="L4027" i="3"/>
  <c r="V4026" i="3"/>
  <c r="R4026" i="3"/>
  <c r="P4026" i="3"/>
  <c r="N4026" i="3"/>
  <c r="M4026" i="3"/>
  <c r="L4026" i="3"/>
  <c r="V4025" i="3"/>
  <c r="R4025" i="3"/>
  <c r="P4025" i="3"/>
  <c r="N4025" i="3"/>
  <c r="M4025" i="3"/>
  <c r="L4025" i="3"/>
  <c r="V4024" i="3"/>
  <c r="R4024" i="3"/>
  <c r="P4024" i="3"/>
  <c r="N4024" i="3"/>
  <c r="M4024" i="3"/>
  <c r="L4024" i="3"/>
  <c r="V4023" i="3"/>
  <c r="R4023" i="3"/>
  <c r="P4023" i="3"/>
  <c r="N4023" i="3"/>
  <c r="M4023" i="3"/>
  <c r="L4023" i="3"/>
  <c r="V4022" i="3"/>
  <c r="R4022" i="3"/>
  <c r="P4022" i="3"/>
  <c r="N4022" i="3"/>
  <c r="M4022" i="3"/>
  <c r="L4022" i="3"/>
  <c r="V4021" i="3"/>
  <c r="R4021" i="3"/>
  <c r="P4021" i="3"/>
  <c r="N4021" i="3"/>
  <c r="M4021" i="3"/>
  <c r="L4021" i="3"/>
  <c r="V4020" i="3"/>
  <c r="R4020" i="3"/>
  <c r="P4020" i="3"/>
  <c r="N4020" i="3"/>
  <c r="M4020" i="3"/>
  <c r="L4020" i="3"/>
  <c r="V4019" i="3"/>
  <c r="R4019" i="3"/>
  <c r="P4019" i="3"/>
  <c r="N4019" i="3"/>
  <c r="M4019" i="3"/>
  <c r="L4019" i="3"/>
  <c r="V4018" i="3"/>
  <c r="R4018" i="3"/>
  <c r="P4018" i="3"/>
  <c r="N4018" i="3"/>
  <c r="M4018" i="3"/>
  <c r="L4018" i="3"/>
  <c r="V4017" i="3"/>
  <c r="R4017" i="3"/>
  <c r="P4017" i="3"/>
  <c r="N4017" i="3"/>
  <c r="M4017" i="3"/>
  <c r="L4017" i="3"/>
  <c r="V4016" i="3"/>
  <c r="R4016" i="3"/>
  <c r="P4016" i="3"/>
  <c r="N4016" i="3"/>
  <c r="M4016" i="3"/>
  <c r="L4016" i="3"/>
  <c r="V4015" i="3"/>
  <c r="R4015" i="3"/>
  <c r="P4015" i="3"/>
  <c r="N4015" i="3"/>
  <c r="M4015" i="3"/>
  <c r="L4015" i="3"/>
  <c r="V4014" i="3"/>
  <c r="R4014" i="3"/>
  <c r="P4014" i="3"/>
  <c r="N4014" i="3"/>
  <c r="M4014" i="3"/>
  <c r="L4014" i="3"/>
  <c r="V4013" i="3"/>
  <c r="R4013" i="3"/>
  <c r="P4013" i="3"/>
  <c r="N4013" i="3"/>
  <c r="M4013" i="3"/>
  <c r="L4013" i="3"/>
  <c r="V4012" i="3"/>
  <c r="R4012" i="3"/>
  <c r="P4012" i="3"/>
  <c r="N4012" i="3"/>
  <c r="M4012" i="3"/>
  <c r="L4012" i="3"/>
  <c r="V4011" i="3"/>
  <c r="R4011" i="3"/>
  <c r="P4011" i="3"/>
  <c r="N4011" i="3"/>
  <c r="M4011" i="3"/>
  <c r="L4011" i="3"/>
  <c r="V4010" i="3"/>
  <c r="R4010" i="3"/>
  <c r="P4010" i="3"/>
  <c r="N4010" i="3"/>
  <c r="M4010" i="3"/>
  <c r="L4010" i="3"/>
  <c r="V4009" i="3"/>
  <c r="R4009" i="3"/>
  <c r="P4009" i="3"/>
  <c r="N4009" i="3"/>
  <c r="M4009" i="3"/>
  <c r="L4009" i="3"/>
  <c r="V4008" i="3"/>
  <c r="R4008" i="3"/>
  <c r="P4008" i="3"/>
  <c r="N4008" i="3"/>
  <c r="M4008" i="3"/>
  <c r="L4008" i="3"/>
  <c r="V4007" i="3"/>
  <c r="R4007" i="3"/>
  <c r="P4007" i="3"/>
  <c r="N4007" i="3"/>
  <c r="M4007" i="3"/>
  <c r="L4007" i="3"/>
  <c r="V4006" i="3"/>
  <c r="R4006" i="3"/>
  <c r="P4006" i="3"/>
  <c r="N4006" i="3"/>
  <c r="M4006" i="3"/>
  <c r="L4006" i="3"/>
  <c r="V4005" i="3"/>
  <c r="R4005" i="3"/>
  <c r="P4005" i="3"/>
  <c r="N4005" i="3"/>
  <c r="M4005" i="3"/>
  <c r="L4005" i="3"/>
  <c r="V4004" i="3"/>
  <c r="R4004" i="3"/>
  <c r="P4004" i="3"/>
  <c r="N4004" i="3"/>
  <c r="M4004" i="3"/>
  <c r="L4004" i="3"/>
  <c r="V4003" i="3"/>
  <c r="R4003" i="3"/>
  <c r="P4003" i="3"/>
  <c r="N4003" i="3"/>
  <c r="M4003" i="3"/>
  <c r="L4003" i="3"/>
  <c r="V4002" i="3"/>
  <c r="R4002" i="3"/>
  <c r="P4002" i="3"/>
  <c r="N4002" i="3"/>
  <c r="M4002" i="3"/>
  <c r="L4002" i="3"/>
  <c r="V4001" i="3"/>
  <c r="R4001" i="3"/>
  <c r="P4001" i="3"/>
  <c r="N4001" i="3"/>
  <c r="M4001" i="3"/>
  <c r="L4001" i="3"/>
  <c r="V4000" i="3"/>
  <c r="R4000" i="3"/>
  <c r="P4000" i="3"/>
  <c r="N4000" i="3"/>
  <c r="M4000" i="3"/>
  <c r="L4000" i="3"/>
  <c r="V3999" i="3"/>
  <c r="R3999" i="3"/>
  <c r="P3999" i="3"/>
  <c r="N3999" i="3"/>
  <c r="M3999" i="3"/>
  <c r="L3999" i="3"/>
  <c r="V3998" i="3"/>
  <c r="R3998" i="3"/>
  <c r="P3998" i="3"/>
  <c r="N3998" i="3"/>
  <c r="M3998" i="3"/>
  <c r="L3998" i="3"/>
  <c r="V3997" i="3"/>
  <c r="R3997" i="3"/>
  <c r="P3997" i="3"/>
  <c r="N3997" i="3"/>
  <c r="M3997" i="3"/>
  <c r="L3997" i="3"/>
  <c r="V3996" i="3"/>
  <c r="R3996" i="3"/>
  <c r="P3996" i="3"/>
  <c r="N3996" i="3"/>
  <c r="M3996" i="3"/>
  <c r="L3996" i="3"/>
  <c r="V3995" i="3"/>
  <c r="R3995" i="3"/>
  <c r="P3995" i="3"/>
  <c r="N3995" i="3"/>
  <c r="M3995" i="3"/>
  <c r="L3995" i="3"/>
  <c r="V3994" i="3"/>
  <c r="R3994" i="3"/>
  <c r="P3994" i="3"/>
  <c r="N3994" i="3"/>
  <c r="M3994" i="3"/>
  <c r="L3994" i="3"/>
  <c r="V3993" i="3"/>
  <c r="R3993" i="3"/>
  <c r="P3993" i="3"/>
  <c r="N3993" i="3"/>
  <c r="M3993" i="3"/>
  <c r="L3993" i="3"/>
  <c r="V3992" i="3"/>
  <c r="R3992" i="3"/>
  <c r="P3992" i="3"/>
  <c r="N3992" i="3"/>
  <c r="M3992" i="3"/>
  <c r="L3992" i="3"/>
  <c r="V3991" i="3"/>
  <c r="R3991" i="3"/>
  <c r="P3991" i="3"/>
  <c r="N3991" i="3"/>
  <c r="M3991" i="3"/>
  <c r="L3991" i="3"/>
  <c r="V3990" i="3"/>
  <c r="R3990" i="3"/>
  <c r="P3990" i="3"/>
  <c r="N3990" i="3"/>
  <c r="M3990" i="3"/>
  <c r="L3990" i="3"/>
  <c r="V3989" i="3"/>
  <c r="R3989" i="3"/>
  <c r="P3989" i="3"/>
  <c r="N3989" i="3"/>
  <c r="M3989" i="3"/>
  <c r="L3989" i="3"/>
  <c r="V3988" i="3"/>
  <c r="R3988" i="3"/>
  <c r="P3988" i="3"/>
  <c r="N3988" i="3"/>
  <c r="M3988" i="3"/>
  <c r="L3988" i="3"/>
  <c r="V3987" i="3"/>
  <c r="R3987" i="3"/>
  <c r="P3987" i="3"/>
  <c r="N3987" i="3"/>
  <c r="M3987" i="3"/>
  <c r="L3987" i="3"/>
  <c r="V3986" i="3"/>
  <c r="R3986" i="3"/>
  <c r="P3986" i="3"/>
  <c r="N3986" i="3"/>
  <c r="M3986" i="3"/>
  <c r="L3986" i="3"/>
  <c r="V3985" i="3"/>
  <c r="R3985" i="3"/>
  <c r="P3985" i="3"/>
  <c r="N3985" i="3"/>
  <c r="M3985" i="3"/>
  <c r="L3985" i="3"/>
  <c r="V3984" i="3"/>
  <c r="R3984" i="3"/>
  <c r="P3984" i="3"/>
  <c r="N3984" i="3"/>
  <c r="M3984" i="3"/>
  <c r="L3984" i="3"/>
  <c r="V3983" i="3"/>
  <c r="R3983" i="3"/>
  <c r="P3983" i="3"/>
  <c r="N3983" i="3"/>
  <c r="M3983" i="3"/>
  <c r="L3983" i="3"/>
  <c r="V3982" i="3"/>
  <c r="R3982" i="3"/>
  <c r="P3982" i="3"/>
  <c r="N3982" i="3"/>
  <c r="M3982" i="3"/>
  <c r="L3982" i="3"/>
  <c r="V3981" i="3"/>
  <c r="R3981" i="3"/>
  <c r="P3981" i="3"/>
  <c r="N3981" i="3"/>
  <c r="M3981" i="3"/>
  <c r="L3981" i="3"/>
  <c r="V3980" i="3"/>
  <c r="R3980" i="3"/>
  <c r="P3980" i="3"/>
  <c r="N3980" i="3"/>
  <c r="M3980" i="3"/>
  <c r="L3980" i="3"/>
  <c r="V3979" i="3"/>
  <c r="R3979" i="3"/>
  <c r="P3979" i="3"/>
  <c r="N3979" i="3"/>
  <c r="M3979" i="3"/>
  <c r="L3979" i="3"/>
  <c r="V3978" i="3"/>
  <c r="R3978" i="3"/>
  <c r="P3978" i="3"/>
  <c r="N3978" i="3"/>
  <c r="M3978" i="3"/>
  <c r="L3978" i="3"/>
  <c r="V3977" i="3"/>
  <c r="R3977" i="3"/>
  <c r="P3977" i="3"/>
  <c r="N3977" i="3"/>
  <c r="M3977" i="3"/>
  <c r="L3977" i="3"/>
  <c r="V3955" i="3"/>
  <c r="R3955" i="3"/>
  <c r="P3955" i="3"/>
  <c r="N3955" i="3"/>
  <c r="M3955" i="3"/>
  <c r="L3955" i="3"/>
  <c r="V3954" i="3"/>
  <c r="R3954" i="3"/>
  <c r="P3954" i="3"/>
  <c r="N3954" i="3"/>
  <c r="M3954" i="3"/>
  <c r="L3954" i="3"/>
  <c r="V3953" i="3"/>
  <c r="R3953" i="3"/>
  <c r="P3953" i="3"/>
  <c r="N3953" i="3"/>
  <c r="M3953" i="3"/>
  <c r="L3953" i="3"/>
  <c r="V3952" i="3"/>
  <c r="R3952" i="3"/>
  <c r="P3952" i="3"/>
  <c r="N3952" i="3"/>
  <c r="M3952" i="3"/>
  <c r="L3952" i="3"/>
  <c r="V3951" i="3"/>
  <c r="R3951" i="3"/>
  <c r="P3951" i="3"/>
  <c r="N3951" i="3"/>
  <c r="M3951" i="3"/>
  <c r="L3951" i="3"/>
  <c r="V3950" i="3"/>
  <c r="R3950" i="3"/>
  <c r="P3950" i="3"/>
  <c r="N3950" i="3"/>
  <c r="M3950" i="3"/>
  <c r="L3950" i="3"/>
  <c r="V3949" i="3"/>
  <c r="R3949" i="3"/>
  <c r="P3949" i="3"/>
  <c r="N3949" i="3"/>
  <c r="M3949" i="3"/>
  <c r="L3949" i="3"/>
  <c r="V3948" i="3"/>
  <c r="R3948" i="3"/>
  <c r="P3948" i="3"/>
  <c r="N3948" i="3"/>
  <c r="M3948" i="3"/>
  <c r="L3948" i="3"/>
  <c r="V3947" i="3"/>
  <c r="R3947" i="3"/>
  <c r="P3947" i="3"/>
  <c r="N3947" i="3"/>
  <c r="M3947" i="3"/>
  <c r="L3947" i="3"/>
  <c r="V3946" i="3"/>
  <c r="R3946" i="3"/>
  <c r="P3946" i="3"/>
  <c r="N3946" i="3"/>
  <c r="M3946" i="3"/>
  <c r="L3946" i="3"/>
  <c r="V3945" i="3"/>
  <c r="R3945" i="3"/>
  <c r="P3945" i="3"/>
  <c r="N3945" i="3"/>
  <c r="M3945" i="3"/>
  <c r="L3945" i="3"/>
  <c r="V3944" i="3"/>
  <c r="R3944" i="3"/>
  <c r="P3944" i="3"/>
  <c r="N3944" i="3"/>
  <c r="M3944" i="3"/>
  <c r="L3944" i="3"/>
  <c r="V3943" i="3"/>
  <c r="R3943" i="3"/>
  <c r="P3943" i="3"/>
  <c r="N3943" i="3"/>
  <c r="M3943" i="3"/>
  <c r="L3943" i="3"/>
  <c r="V3942" i="3"/>
  <c r="R3942" i="3"/>
  <c r="P3942" i="3"/>
  <c r="N3942" i="3"/>
  <c r="M3942" i="3"/>
  <c r="L3942" i="3"/>
  <c r="V3941" i="3"/>
  <c r="R3941" i="3"/>
  <c r="P3941" i="3"/>
  <c r="N3941" i="3"/>
  <c r="M3941" i="3"/>
  <c r="L3941" i="3"/>
  <c r="V3940" i="3"/>
  <c r="R3940" i="3"/>
  <c r="P3940" i="3"/>
  <c r="N3940" i="3"/>
  <c r="M3940" i="3"/>
  <c r="L3940" i="3"/>
  <c r="V3939" i="3"/>
  <c r="R3939" i="3"/>
  <c r="P3939" i="3"/>
  <c r="N3939" i="3"/>
  <c r="M3939" i="3"/>
  <c r="L3939" i="3"/>
  <c r="V3938" i="3"/>
  <c r="R3938" i="3"/>
  <c r="P3938" i="3"/>
  <c r="N3938" i="3"/>
  <c r="M3938" i="3"/>
  <c r="L3938" i="3"/>
  <c r="V3937" i="3"/>
  <c r="R3937" i="3"/>
  <c r="P3937" i="3"/>
  <c r="N3937" i="3"/>
  <c r="M3937" i="3"/>
  <c r="L3937" i="3"/>
  <c r="V3936" i="3"/>
  <c r="R3936" i="3"/>
  <c r="P3936" i="3"/>
  <c r="N3936" i="3"/>
  <c r="M3936" i="3"/>
  <c r="L3936" i="3"/>
  <c r="V3935" i="3"/>
  <c r="R3935" i="3"/>
  <c r="P3935" i="3"/>
  <c r="N3935" i="3"/>
  <c r="M3935" i="3"/>
  <c r="L3935" i="3"/>
  <c r="V3934" i="3"/>
  <c r="R3934" i="3"/>
  <c r="P3934" i="3"/>
  <c r="N3934" i="3"/>
  <c r="M3934" i="3"/>
  <c r="L3934" i="3"/>
  <c r="V3933" i="3"/>
  <c r="R3933" i="3"/>
  <c r="P3933" i="3"/>
  <c r="N3933" i="3"/>
  <c r="M3933" i="3"/>
  <c r="L3933" i="3"/>
  <c r="V3932" i="3"/>
  <c r="R3932" i="3"/>
  <c r="P3932" i="3"/>
  <c r="N3932" i="3"/>
  <c r="M3932" i="3"/>
  <c r="L3932" i="3"/>
  <c r="V3931" i="3"/>
  <c r="R3931" i="3"/>
  <c r="P3931" i="3"/>
  <c r="N3931" i="3"/>
  <c r="M3931" i="3"/>
  <c r="L3931" i="3"/>
  <c r="V3930" i="3"/>
  <c r="R3930" i="3"/>
  <c r="P3930" i="3"/>
  <c r="N3930" i="3"/>
  <c r="M3930" i="3"/>
  <c r="L3930" i="3"/>
  <c r="V3929" i="3"/>
  <c r="R3929" i="3"/>
  <c r="P3929" i="3"/>
  <c r="N3929" i="3"/>
  <c r="M3929" i="3"/>
  <c r="L3929" i="3"/>
  <c r="V3928" i="3"/>
  <c r="R3928" i="3"/>
  <c r="P3928" i="3"/>
  <c r="N3928" i="3"/>
  <c r="M3928" i="3"/>
  <c r="L3928" i="3"/>
  <c r="V3927" i="3"/>
  <c r="R3927" i="3"/>
  <c r="P3927" i="3"/>
  <c r="N3927" i="3"/>
  <c r="M3927" i="3"/>
  <c r="L3927" i="3"/>
  <c r="V3926" i="3"/>
  <c r="R3926" i="3"/>
  <c r="P3926" i="3"/>
  <c r="N3926" i="3"/>
  <c r="M3926" i="3"/>
  <c r="L3926" i="3"/>
  <c r="V3925" i="3"/>
  <c r="R3925" i="3"/>
  <c r="P3925" i="3"/>
  <c r="N3925" i="3"/>
  <c r="M3925" i="3"/>
  <c r="L3925" i="3"/>
  <c r="V3924" i="3"/>
  <c r="R3924" i="3"/>
  <c r="P3924" i="3"/>
  <c r="N3924" i="3"/>
  <c r="M3924" i="3"/>
  <c r="L3924" i="3"/>
  <c r="V3923" i="3"/>
  <c r="R3923" i="3"/>
  <c r="P3923" i="3"/>
  <c r="N3923" i="3"/>
  <c r="M3923" i="3"/>
  <c r="L3923" i="3"/>
  <c r="V3922" i="3"/>
  <c r="R3922" i="3"/>
  <c r="P3922" i="3"/>
  <c r="N3922" i="3"/>
  <c r="M3922" i="3"/>
  <c r="L3922" i="3"/>
  <c r="V3921" i="3"/>
  <c r="R3921" i="3"/>
  <c r="P3921" i="3"/>
  <c r="N3921" i="3"/>
  <c r="M3921" i="3"/>
  <c r="L3921" i="3"/>
  <c r="V3920" i="3"/>
  <c r="R3920" i="3"/>
  <c r="P3920" i="3"/>
  <c r="N3920" i="3"/>
  <c r="M3920" i="3"/>
  <c r="L3920" i="3"/>
  <c r="V3919" i="3"/>
  <c r="R3919" i="3"/>
  <c r="P3919" i="3"/>
  <c r="N3919" i="3"/>
  <c r="M3919" i="3"/>
  <c r="L3919" i="3"/>
  <c r="V3918" i="3"/>
  <c r="R3918" i="3"/>
  <c r="P3918" i="3"/>
  <c r="N3918" i="3"/>
  <c r="M3918" i="3"/>
  <c r="L3918" i="3"/>
  <c r="V3917" i="3"/>
  <c r="R3917" i="3"/>
  <c r="P3917" i="3"/>
  <c r="N3917" i="3"/>
  <c r="M3917" i="3"/>
  <c r="L3917" i="3"/>
  <c r="V3916" i="3"/>
  <c r="R3916" i="3"/>
  <c r="P3916" i="3"/>
  <c r="N3916" i="3"/>
  <c r="M3916" i="3"/>
  <c r="L3916" i="3"/>
  <c r="V3915" i="3"/>
  <c r="R3915" i="3"/>
  <c r="P3915" i="3"/>
  <c r="N3915" i="3"/>
  <c r="M3915" i="3"/>
  <c r="L3915" i="3"/>
  <c r="V3914" i="3"/>
  <c r="R3914" i="3"/>
  <c r="P3914" i="3"/>
  <c r="N3914" i="3"/>
  <c r="M3914" i="3"/>
  <c r="L3914" i="3"/>
  <c r="V3913" i="3"/>
  <c r="R3913" i="3"/>
  <c r="P3913" i="3"/>
  <c r="N3913" i="3"/>
  <c r="M3913" i="3"/>
  <c r="L3913" i="3"/>
  <c r="V3912" i="3"/>
  <c r="R3912" i="3"/>
  <c r="P3912" i="3"/>
  <c r="N3912" i="3"/>
  <c r="M3912" i="3"/>
  <c r="L3912" i="3"/>
  <c r="V3911" i="3"/>
  <c r="R3911" i="3"/>
  <c r="P3911" i="3"/>
  <c r="N3911" i="3"/>
  <c r="M3911" i="3"/>
  <c r="L3911" i="3"/>
  <c r="V3910" i="3"/>
  <c r="R3910" i="3"/>
  <c r="P3910" i="3"/>
  <c r="N3910" i="3"/>
  <c r="M3910" i="3"/>
  <c r="L3910" i="3"/>
  <c r="V3909" i="3"/>
  <c r="R3909" i="3"/>
  <c r="P3909" i="3"/>
  <c r="N3909" i="3"/>
  <c r="M3909" i="3"/>
  <c r="L3909" i="3"/>
  <c r="V3908" i="3"/>
  <c r="R3908" i="3"/>
  <c r="P3908" i="3"/>
  <c r="N3908" i="3"/>
  <c r="M3908" i="3"/>
  <c r="L3908" i="3"/>
  <c r="V3907" i="3"/>
  <c r="R3907" i="3"/>
  <c r="P3907" i="3"/>
  <c r="N3907" i="3"/>
  <c r="M3907" i="3"/>
  <c r="L3907" i="3"/>
  <c r="V3906" i="3"/>
  <c r="R3906" i="3"/>
  <c r="P3906" i="3"/>
  <c r="N3906" i="3"/>
  <c r="M3906" i="3"/>
  <c r="L3906" i="3"/>
  <c r="V3905" i="3"/>
  <c r="R3905" i="3"/>
  <c r="P3905" i="3"/>
  <c r="N3905" i="3"/>
  <c r="M3905" i="3"/>
  <c r="L3905" i="3"/>
  <c r="V3904" i="3"/>
  <c r="R3904" i="3"/>
  <c r="P3904" i="3"/>
  <c r="N3904" i="3"/>
  <c r="M3904" i="3"/>
  <c r="L3904" i="3"/>
  <c r="V3903" i="3"/>
  <c r="R3903" i="3"/>
  <c r="P3903" i="3"/>
  <c r="N3903" i="3"/>
  <c r="M3903" i="3"/>
  <c r="L3903" i="3"/>
  <c r="V3902" i="3"/>
  <c r="R3902" i="3"/>
  <c r="P3902" i="3"/>
  <c r="N3902" i="3"/>
  <c r="M3902" i="3"/>
  <c r="L3902" i="3"/>
  <c r="V3901" i="3"/>
  <c r="R3901" i="3"/>
  <c r="P3901" i="3"/>
  <c r="N3901" i="3"/>
  <c r="M3901" i="3"/>
  <c r="L3901" i="3"/>
  <c r="V3900" i="3"/>
  <c r="R3900" i="3"/>
  <c r="P3900" i="3"/>
  <c r="N3900" i="3"/>
  <c r="M3900" i="3"/>
  <c r="L3900" i="3"/>
  <c r="V3899" i="3"/>
  <c r="R3899" i="3"/>
  <c r="P3899" i="3"/>
  <c r="N3899" i="3"/>
  <c r="M3899" i="3"/>
  <c r="L3899" i="3"/>
  <c r="V3898" i="3"/>
  <c r="R3898" i="3"/>
  <c r="P3898" i="3"/>
  <c r="N3898" i="3"/>
  <c r="M3898" i="3"/>
  <c r="L3898" i="3"/>
  <c r="V3897" i="3"/>
  <c r="R3897" i="3"/>
  <c r="P3897" i="3"/>
  <c r="N3897" i="3"/>
  <c r="M3897" i="3"/>
  <c r="L3897" i="3"/>
  <c r="V3896" i="3"/>
  <c r="R3896" i="3"/>
  <c r="P3896" i="3"/>
  <c r="N3896" i="3"/>
  <c r="M3896" i="3"/>
  <c r="L3896" i="3"/>
  <c r="V3895" i="3"/>
  <c r="R3895" i="3"/>
  <c r="P3895" i="3"/>
  <c r="N3895" i="3"/>
  <c r="M3895" i="3"/>
  <c r="L3895" i="3"/>
  <c r="V3894" i="3"/>
  <c r="R3894" i="3"/>
  <c r="P3894" i="3"/>
  <c r="N3894" i="3"/>
  <c r="M3894" i="3"/>
  <c r="L3894" i="3"/>
  <c r="V3893" i="3"/>
  <c r="R3893" i="3"/>
  <c r="P3893" i="3"/>
  <c r="N3893" i="3"/>
  <c r="M3893" i="3"/>
  <c r="L3893" i="3"/>
  <c r="V3892" i="3"/>
  <c r="R3892" i="3"/>
  <c r="P3892" i="3"/>
  <c r="N3892" i="3"/>
  <c r="M3892" i="3"/>
  <c r="L3892" i="3"/>
  <c r="V3891" i="3"/>
  <c r="R3891" i="3"/>
  <c r="P3891" i="3"/>
  <c r="N3891" i="3"/>
  <c r="M3891" i="3"/>
  <c r="L3891" i="3"/>
  <c r="V3890" i="3"/>
  <c r="R3890" i="3"/>
  <c r="P3890" i="3"/>
  <c r="N3890" i="3"/>
  <c r="M3890" i="3"/>
  <c r="L3890" i="3"/>
  <c r="V3889" i="3"/>
  <c r="R3889" i="3"/>
  <c r="P3889" i="3"/>
  <c r="N3889" i="3"/>
  <c r="M3889" i="3"/>
  <c r="L3889" i="3"/>
  <c r="V3888" i="3"/>
  <c r="R3888" i="3"/>
  <c r="P3888" i="3"/>
  <c r="N3888" i="3"/>
  <c r="M3888" i="3"/>
  <c r="L3888" i="3"/>
  <c r="V3887" i="3"/>
  <c r="R3887" i="3"/>
  <c r="P3887" i="3"/>
  <c r="N3887" i="3"/>
  <c r="M3887" i="3"/>
  <c r="L3887" i="3"/>
  <c r="V3886" i="3"/>
  <c r="R3886" i="3"/>
  <c r="P3886" i="3"/>
  <c r="N3886" i="3"/>
  <c r="M3886" i="3"/>
  <c r="L3886" i="3"/>
  <c r="V3885" i="3"/>
  <c r="R3885" i="3"/>
  <c r="P3885" i="3"/>
  <c r="N3885" i="3"/>
  <c r="M3885" i="3"/>
  <c r="L3885" i="3"/>
  <c r="V3855" i="3"/>
  <c r="R3855" i="3"/>
  <c r="P3855" i="3"/>
  <c r="N3855" i="3"/>
  <c r="M3855" i="3"/>
  <c r="L3855" i="3"/>
  <c r="V3853" i="3"/>
  <c r="R3853" i="3"/>
  <c r="P3853" i="3"/>
  <c r="N3853" i="3"/>
  <c r="M3853" i="3"/>
  <c r="L3853" i="3"/>
  <c r="V3852" i="3"/>
  <c r="R3852" i="3"/>
  <c r="P3852" i="3"/>
  <c r="N3852" i="3"/>
  <c r="M3852" i="3"/>
  <c r="L3852" i="3"/>
  <c r="V3851" i="3"/>
  <c r="R3851" i="3"/>
  <c r="P3851" i="3"/>
  <c r="N3851" i="3"/>
  <c r="M3851" i="3"/>
  <c r="L3851" i="3"/>
  <c r="V3850" i="3"/>
  <c r="R3850" i="3"/>
  <c r="P3850" i="3"/>
  <c r="N3850" i="3"/>
  <c r="M3850" i="3"/>
  <c r="L3850" i="3"/>
  <c r="V3849" i="3"/>
  <c r="R3849" i="3"/>
  <c r="P3849" i="3"/>
  <c r="N3849" i="3"/>
  <c r="M3849" i="3"/>
  <c r="L3849" i="3"/>
  <c r="V3848" i="3"/>
  <c r="R3848" i="3"/>
  <c r="P3848" i="3"/>
  <c r="N3848" i="3"/>
  <c r="M3848" i="3"/>
  <c r="L3848" i="3"/>
  <c r="V3847" i="3"/>
  <c r="R3847" i="3"/>
  <c r="P3847" i="3"/>
  <c r="N3847" i="3"/>
  <c r="M3847" i="3"/>
  <c r="L3847" i="3"/>
  <c r="V3846" i="3"/>
  <c r="R3846" i="3"/>
  <c r="P3846" i="3"/>
  <c r="N3846" i="3"/>
  <c r="M3846" i="3"/>
  <c r="L3846" i="3"/>
  <c r="V3845" i="3"/>
  <c r="R3845" i="3"/>
  <c r="P3845" i="3"/>
  <c r="N3845" i="3"/>
  <c r="M3845" i="3"/>
  <c r="L3845" i="3"/>
  <c r="V3844" i="3"/>
  <c r="R3844" i="3"/>
  <c r="P3844" i="3"/>
  <c r="N3844" i="3"/>
  <c r="M3844" i="3"/>
  <c r="L3844" i="3"/>
  <c r="V3843" i="3"/>
  <c r="R3843" i="3"/>
  <c r="P3843" i="3"/>
  <c r="N3843" i="3"/>
  <c r="M3843" i="3"/>
  <c r="L3843" i="3"/>
  <c r="V3842" i="3"/>
  <c r="R3842" i="3"/>
  <c r="P3842" i="3"/>
  <c r="N3842" i="3"/>
  <c r="M3842" i="3"/>
  <c r="L3842" i="3"/>
  <c r="V3841" i="3"/>
  <c r="R3841" i="3"/>
  <c r="P3841" i="3"/>
  <c r="N3841" i="3"/>
  <c r="M3841" i="3"/>
  <c r="L3841" i="3"/>
  <c r="V3840" i="3"/>
  <c r="R3840" i="3"/>
  <c r="P3840" i="3"/>
  <c r="N3840" i="3"/>
  <c r="M3840" i="3"/>
  <c r="L3840" i="3"/>
  <c r="V3839" i="3"/>
  <c r="R3839" i="3"/>
  <c r="P3839" i="3"/>
  <c r="N3839" i="3"/>
  <c r="M3839" i="3"/>
  <c r="L3839" i="3"/>
  <c r="V3838" i="3"/>
  <c r="R3838" i="3"/>
  <c r="P3838" i="3"/>
  <c r="N3838" i="3"/>
  <c r="M3838" i="3"/>
  <c r="L3838" i="3"/>
  <c r="V3837" i="3"/>
  <c r="R3837" i="3"/>
  <c r="P3837" i="3"/>
  <c r="N3837" i="3"/>
  <c r="M3837" i="3"/>
  <c r="L3837" i="3"/>
  <c r="V3836" i="3"/>
  <c r="R3836" i="3"/>
  <c r="P3836" i="3"/>
  <c r="N3836" i="3"/>
  <c r="M3836" i="3"/>
  <c r="L3836" i="3"/>
  <c r="V3835" i="3"/>
  <c r="R3835" i="3"/>
  <c r="P3835" i="3"/>
  <c r="N3835" i="3"/>
  <c r="M3835" i="3"/>
  <c r="L3835" i="3"/>
  <c r="V3834" i="3"/>
  <c r="R3834" i="3"/>
  <c r="P3834" i="3"/>
  <c r="N3834" i="3"/>
  <c r="M3834" i="3"/>
  <c r="L3834" i="3"/>
  <c r="V3833" i="3"/>
  <c r="R3833" i="3"/>
  <c r="P3833" i="3"/>
  <c r="N3833" i="3"/>
  <c r="M3833" i="3"/>
  <c r="L3833" i="3"/>
  <c r="V3832" i="3"/>
  <c r="R3832" i="3"/>
  <c r="P3832" i="3"/>
  <c r="N3832" i="3"/>
  <c r="M3832" i="3"/>
  <c r="L3832" i="3"/>
  <c r="V3831" i="3"/>
  <c r="R3831" i="3"/>
  <c r="P3831" i="3"/>
  <c r="N3831" i="3"/>
  <c r="M3831" i="3"/>
  <c r="L3831" i="3"/>
  <c r="V3830" i="3"/>
  <c r="R3830" i="3"/>
  <c r="P3830" i="3"/>
  <c r="N3830" i="3"/>
  <c r="M3830" i="3"/>
  <c r="L3830" i="3"/>
  <c r="V3829" i="3"/>
  <c r="R3829" i="3"/>
  <c r="P3829" i="3"/>
  <c r="N3829" i="3"/>
  <c r="M3829" i="3"/>
  <c r="L3829" i="3"/>
  <c r="V3828" i="3"/>
  <c r="R3828" i="3"/>
  <c r="P3828" i="3"/>
  <c r="N3828" i="3"/>
  <c r="M3828" i="3"/>
  <c r="L3828" i="3"/>
  <c r="V3827" i="3"/>
  <c r="R3827" i="3"/>
  <c r="P3827" i="3"/>
  <c r="N3827" i="3"/>
  <c r="M3827" i="3"/>
  <c r="L3827" i="3"/>
  <c r="V3826" i="3"/>
  <c r="R3826" i="3"/>
  <c r="P3826" i="3"/>
  <c r="N3826" i="3"/>
  <c r="M3826" i="3"/>
  <c r="L3826" i="3"/>
  <c r="V3825" i="3"/>
  <c r="R3825" i="3"/>
  <c r="P3825" i="3"/>
  <c r="N3825" i="3"/>
  <c r="M3825" i="3"/>
  <c r="L3825" i="3"/>
  <c r="V3824" i="3"/>
  <c r="R3824" i="3"/>
  <c r="P3824" i="3"/>
  <c r="N3824" i="3"/>
  <c r="M3824" i="3"/>
  <c r="L3824" i="3"/>
  <c r="V3823" i="3"/>
  <c r="R3823" i="3"/>
  <c r="P3823" i="3"/>
  <c r="N3823" i="3"/>
  <c r="M3823" i="3"/>
  <c r="L3823" i="3"/>
  <c r="V3822" i="3"/>
  <c r="R3822" i="3"/>
  <c r="P3822" i="3"/>
  <c r="N3822" i="3"/>
  <c r="M3822" i="3"/>
  <c r="L3822" i="3"/>
  <c r="V3821" i="3"/>
  <c r="R3821" i="3"/>
  <c r="P3821" i="3"/>
  <c r="N3821" i="3"/>
  <c r="M3821" i="3"/>
  <c r="L3821" i="3"/>
  <c r="V3820" i="3"/>
  <c r="R3820" i="3"/>
  <c r="P3820" i="3"/>
  <c r="N3820" i="3"/>
  <c r="M3820" i="3"/>
  <c r="L3820" i="3"/>
  <c r="V3819" i="3"/>
  <c r="R3819" i="3"/>
  <c r="P3819" i="3"/>
  <c r="N3819" i="3"/>
  <c r="M3819" i="3"/>
  <c r="L3819" i="3"/>
  <c r="V3818" i="3"/>
  <c r="R3818" i="3"/>
  <c r="P3818" i="3"/>
  <c r="N3818" i="3"/>
  <c r="M3818" i="3"/>
  <c r="L3818" i="3"/>
  <c r="V3817" i="3"/>
  <c r="R3817" i="3"/>
  <c r="P3817" i="3"/>
  <c r="N3817" i="3"/>
  <c r="M3817" i="3"/>
  <c r="L3817" i="3"/>
  <c r="V3816" i="3"/>
  <c r="R3816" i="3"/>
  <c r="P3816" i="3"/>
  <c r="N3816" i="3"/>
  <c r="M3816" i="3"/>
  <c r="L3816" i="3"/>
  <c r="V3815" i="3"/>
  <c r="R3815" i="3"/>
  <c r="P3815" i="3"/>
  <c r="N3815" i="3"/>
  <c r="M3815" i="3"/>
  <c r="L3815" i="3"/>
  <c r="V3814" i="3"/>
  <c r="R3814" i="3"/>
  <c r="P3814" i="3"/>
  <c r="N3814" i="3"/>
  <c r="M3814" i="3"/>
  <c r="L3814" i="3"/>
  <c r="V3813" i="3"/>
  <c r="R3813" i="3"/>
  <c r="P3813" i="3"/>
  <c r="N3813" i="3"/>
  <c r="M3813" i="3"/>
  <c r="L3813" i="3"/>
  <c r="V3812" i="3"/>
  <c r="R3812" i="3"/>
  <c r="P3812" i="3"/>
  <c r="N3812" i="3"/>
  <c r="M3812" i="3"/>
  <c r="L3812" i="3"/>
  <c r="V3811" i="3"/>
  <c r="R3811" i="3"/>
  <c r="P3811" i="3"/>
  <c r="N3811" i="3"/>
  <c r="M3811" i="3"/>
  <c r="L3811" i="3"/>
  <c r="V3810" i="3"/>
  <c r="R3810" i="3"/>
  <c r="P3810" i="3"/>
  <c r="N3810" i="3"/>
  <c r="M3810" i="3"/>
  <c r="L3810" i="3"/>
  <c r="V3809" i="3"/>
  <c r="R3809" i="3"/>
  <c r="P3809" i="3"/>
  <c r="N3809" i="3"/>
  <c r="M3809" i="3"/>
  <c r="L3809" i="3"/>
  <c r="V3808" i="3"/>
  <c r="R3808" i="3"/>
  <c r="P3808" i="3"/>
  <c r="N3808" i="3"/>
  <c r="M3808" i="3"/>
  <c r="L3808" i="3"/>
  <c r="V3807" i="3"/>
  <c r="R3807" i="3"/>
  <c r="P3807" i="3"/>
  <c r="N3807" i="3"/>
  <c r="M3807" i="3"/>
  <c r="L3807" i="3"/>
  <c r="V3806" i="3"/>
  <c r="R3806" i="3"/>
  <c r="P3806" i="3"/>
  <c r="N3806" i="3"/>
  <c r="M3806" i="3"/>
  <c r="L3806" i="3"/>
  <c r="V3805" i="3"/>
  <c r="R3805" i="3"/>
  <c r="P3805" i="3"/>
  <c r="N3805" i="3"/>
  <c r="M3805" i="3"/>
  <c r="L3805" i="3"/>
  <c r="V3804" i="3"/>
  <c r="R3804" i="3"/>
  <c r="P3804" i="3"/>
  <c r="N3804" i="3"/>
  <c r="M3804" i="3"/>
  <c r="L3804" i="3"/>
  <c r="V3803" i="3"/>
  <c r="R3803" i="3"/>
  <c r="P3803" i="3"/>
  <c r="N3803" i="3"/>
  <c r="M3803" i="3"/>
  <c r="L3803" i="3"/>
  <c r="V3802" i="3"/>
  <c r="R3802" i="3"/>
  <c r="P3802" i="3"/>
  <c r="N3802" i="3"/>
  <c r="M3802" i="3"/>
  <c r="L3802" i="3"/>
  <c r="V3801" i="3"/>
  <c r="R3801" i="3"/>
  <c r="P3801" i="3"/>
  <c r="N3801" i="3"/>
  <c r="M3801" i="3"/>
  <c r="L3801" i="3"/>
  <c r="V3800" i="3"/>
  <c r="R3800" i="3"/>
  <c r="P3800" i="3"/>
  <c r="N3800" i="3"/>
  <c r="M3800" i="3"/>
  <c r="L3800" i="3"/>
  <c r="V3799" i="3"/>
  <c r="R3799" i="3"/>
  <c r="P3799" i="3"/>
  <c r="N3799" i="3"/>
  <c r="M3799" i="3"/>
  <c r="L3799" i="3"/>
  <c r="V3798" i="3"/>
  <c r="R3798" i="3"/>
  <c r="P3798" i="3"/>
  <c r="N3798" i="3"/>
  <c r="M3798" i="3"/>
  <c r="L3798" i="3"/>
  <c r="V3797" i="3"/>
  <c r="R3797" i="3"/>
  <c r="P3797" i="3"/>
  <c r="N3797" i="3"/>
  <c r="M3797" i="3"/>
  <c r="L3797" i="3"/>
  <c r="V3796" i="3"/>
  <c r="R3796" i="3"/>
  <c r="P3796" i="3"/>
  <c r="N3796" i="3"/>
  <c r="M3796" i="3"/>
  <c r="L3796" i="3"/>
  <c r="V3795" i="3"/>
  <c r="R3795" i="3"/>
  <c r="P3795" i="3"/>
  <c r="N3795" i="3"/>
  <c r="M3795" i="3"/>
  <c r="L3795" i="3"/>
  <c r="V3794" i="3"/>
  <c r="R3794" i="3"/>
  <c r="P3794" i="3"/>
  <c r="N3794" i="3"/>
  <c r="M3794" i="3"/>
  <c r="L3794" i="3"/>
  <c r="V3793" i="3"/>
  <c r="R3793" i="3"/>
  <c r="P3793" i="3"/>
  <c r="N3793" i="3"/>
  <c r="M3793" i="3"/>
  <c r="L3793" i="3"/>
  <c r="V3792" i="3"/>
  <c r="R3792" i="3"/>
  <c r="P3792" i="3"/>
  <c r="N3792" i="3"/>
  <c r="M3792" i="3"/>
  <c r="L3792" i="3"/>
  <c r="V3791" i="3"/>
  <c r="R3791" i="3"/>
  <c r="P3791" i="3"/>
  <c r="N3791" i="3"/>
  <c r="M3791" i="3"/>
  <c r="L3791" i="3"/>
  <c r="V3790" i="3"/>
  <c r="R3790" i="3"/>
  <c r="P3790" i="3"/>
  <c r="N3790" i="3"/>
  <c r="M3790" i="3"/>
  <c r="L3790" i="3"/>
  <c r="V3789" i="3"/>
  <c r="R3789" i="3"/>
  <c r="P3789" i="3"/>
  <c r="N3789" i="3"/>
  <c r="M3789" i="3"/>
  <c r="L3789" i="3"/>
  <c r="V3788" i="3"/>
  <c r="R3788" i="3"/>
  <c r="P3788" i="3"/>
  <c r="N3788" i="3"/>
  <c r="M3788" i="3"/>
  <c r="L3788" i="3"/>
  <c r="V3787" i="3"/>
  <c r="R3787" i="3"/>
  <c r="P3787" i="3"/>
  <c r="N3787" i="3"/>
  <c r="M3787" i="3"/>
  <c r="L3787" i="3"/>
  <c r="V3786" i="3"/>
  <c r="R3786" i="3"/>
  <c r="P3786" i="3"/>
  <c r="N3786" i="3"/>
  <c r="M3786" i="3"/>
  <c r="L3786" i="3"/>
  <c r="V3785" i="3"/>
  <c r="R3785" i="3"/>
  <c r="P3785" i="3"/>
  <c r="N3785" i="3"/>
  <c r="M3785" i="3"/>
  <c r="L3785" i="3"/>
  <c r="V3784" i="3"/>
  <c r="R3784" i="3"/>
  <c r="P3784" i="3"/>
  <c r="N3784" i="3"/>
  <c r="M3784" i="3"/>
  <c r="L3784" i="3"/>
  <c r="V3783" i="3"/>
  <c r="R3783" i="3"/>
  <c r="P3783" i="3"/>
  <c r="N3783" i="3"/>
  <c r="M3783" i="3"/>
  <c r="L3783" i="3"/>
  <c r="V3782" i="3"/>
  <c r="R3782" i="3"/>
  <c r="P3782" i="3"/>
  <c r="N3782" i="3"/>
  <c r="M3782" i="3"/>
  <c r="L3782" i="3"/>
  <c r="V3781" i="3"/>
  <c r="R3781" i="3"/>
  <c r="P3781" i="3"/>
  <c r="N3781" i="3"/>
  <c r="M3781" i="3"/>
  <c r="L3781" i="3"/>
  <c r="V3780" i="3"/>
  <c r="R3780" i="3"/>
  <c r="P3780" i="3"/>
  <c r="N3780" i="3"/>
  <c r="M3780" i="3"/>
  <c r="L3780" i="3"/>
  <c r="V3779" i="3"/>
  <c r="R3779" i="3"/>
  <c r="P3779" i="3"/>
  <c r="N3779" i="3"/>
  <c r="M3779" i="3"/>
  <c r="L3779" i="3"/>
  <c r="V3778" i="3"/>
  <c r="R3778" i="3"/>
  <c r="P3778" i="3"/>
  <c r="N3778" i="3"/>
  <c r="M3778" i="3"/>
  <c r="L3778" i="3"/>
  <c r="V3777" i="3"/>
  <c r="R3777" i="3"/>
  <c r="P3777" i="3"/>
  <c r="N3777" i="3"/>
  <c r="M3777" i="3"/>
  <c r="L3777" i="3"/>
  <c r="V3776" i="3"/>
  <c r="R3776" i="3"/>
  <c r="P3776" i="3"/>
  <c r="N3776" i="3"/>
  <c r="M3776" i="3"/>
  <c r="L3776" i="3"/>
  <c r="V3775" i="3"/>
  <c r="R3775" i="3"/>
  <c r="P3775" i="3"/>
  <c r="N3775" i="3"/>
  <c r="M3775" i="3"/>
  <c r="L3775" i="3"/>
  <c r="V3774" i="3"/>
  <c r="R3774" i="3"/>
  <c r="P3774" i="3"/>
  <c r="N3774" i="3"/>
  <c r="M3774" i="3"/>
  <c r="L3774" i="3"/>
  <c r="V3773" i="3"/>
  <c r="R3773" i="3"/>
  <c r="P3773" i="3"/>
  <c r="N3773" i="3"/>
  <c r="M3773" i="3"/>
  <c r="L3773" i="3"/>
  <c r="V3772" i="3"/>
  <c r="R3772" i="3"/>
  <c r="P3772" i="3"/>
  <c r="N3772" i="3"/>
  <c r="M3772" i="3"/>
  <c r="L3772" i="3"/>
  <c r="V3771" i="3"/>
  <c r="R3771" i="3"/>
  <c r="P3771" i="3"/>
  <c r="N3771" i="3"/>
  <c r="M3771" i="3"/>
  <c r="L3771" i="3"/>
  <c r="V3770" i="3"/>
  <c r="R3770" i="3"/>
  <c r="P3770" i="3"/>
  <c r="N3770" i="3"/>
  <c r="M3770" i="3"/>
  <c r="L3770" i="3"/>
  <c r="V3769" i="3"/>
  <c r="R3769" i="3"/>
  <c r="P3769" i="3"/>
  <c r="N3769" i="3"/>
  <c r="M3769" i="3"/>
  <c r="L3769" i="3"/>
  <c r="V3768" i="3"/>
  <c r="R3768" i="3"/>
  <c r="P3768" i="3"/>
  <c r="N3768" i="3"/>
  <c r="M3768" i="3"/>
  <c r="L3768" i="3"/>
  <c r="V3767" i="3"/>
  <c r="R3767" i="3"/>
  <c r="P3767" i="3"/>
  <c r="N3767" i="3"/>
  <c r="M3767" i="3"/>
  <c r="L3767" i="3"/>
  <c r="V3766" i="3"/>
  <c r="R3766" i="3"/>
  <c r="P3766" i="3"/>
  <c r="N3766" i="3"/>
  <c r="M3766" i="3"/>
  <c r="L3766" i="3"/>
  <c r="V3765" i="3"/>
  <c r="R3765" i="3"/>
  <c r="P3765" i="3"/>
  <c r="N3765" i="3"/>
  <c r="M3765" i="3"/>
  <c r="L3765" i="3"/>
  <c r="V3764" i="3"/>
  <c r="R3764" i="3"/>
  <c r="P3764" i="3"/>
  <c r="N3764" i="3"/>
  <c r="M3764" i="3"/>
  <c r="L3764" i="3"/>
  <c r="V3763" i="3"/>
  <c r="R3763" i="3"/>
  <c r="P3763" i="3"/>
  <c r="N3763" i="3"/>
  <c r="M3763" i="3"/>
  <c r="L3763" i="3"/>
  <c r="V3762" i="3"/>
  <c r="R3762" i="3"/>
  <c r="P3762" i="3"/>
  <c r="N3762" i="3"/>
  <c r="M3762" i="3"/>
  <c r="L3762" i="3"/>
  <c r="V3761" i="3"/>
  <c r="R3761" i="3"/>
  <c r="P3761" i="3"/>
  <c r="N3761" i="3"/>
  <c r="M3761" i="3"/>
  <c r="L3761" i="3"/>
  <c r="V3760" i="3"/>
  <c r="R3760" i="3"/>
  <c r="P3760" i="3"/>
  <c r="N3760" i="3"/>
  <c r="M3760" i="3"/>
  <c r="L3760" i="3"/>
  <c r="V3759" i="3"/>
  <c r="R3759" i="3"/>
  <c r="P3759" i="3"/>
  <c r="N3759" i="3"/>
  <c r="M3759" i="3"/>
  <c r="L3759" i="3"/>
  <c r="V3758" i="3"/>
  <c r="R3758" i="3"/>
  <c r="P3758" i="3"/>
  <c r="N3758" i="3"/>
  <c r="M3758" i="3"/>
  <c r="L3758" i="3"/>
  <c r="V3757" i="3"/>
  <c r="R3757" i="3"/>
  <c r="P3757" i="3"/>
  <c r="N3757" i="3"/>
  <c r="M3757" i="3"/>
  <c r="L3757" i="3"/>
  <c r="V3756" i="3"/>
  <c r="R3756" i="3"/>
  <c r="P3756" i="3"/>
  <c r="N3756" i="3"/>
  <c r="M3756" i="3"/>
  <c r="L3756" i="3"/>
  <c r="V3755" i="3"/>
  <c r="R3755" i="3"/>
  <c r="P3755" i="3"/>
  <c r="N3755" i="3"/>
  <c r="M3755" i="3"/>
  <c r="L3755" i="3"/>
  <c r="V3754" i="3"/>
  <c r="R3754" i="3"/>
  <c r="P3754" i="3"/>
  <c r="N3754" i="3"/>
  <c r="M3754" i="3"/>
  <c r="L3754" i="3"/>
  <c r="V3753" i="3"/>
  <c r="R3753" i="3"/>
  <c r="P3753" i="3"/>
  <c r="N3753" i="3"/>
  <c r="M3753" i="3"/>
  <c r="L3753" i="3"/>
  <c r="V3752" i="3"/>
  <c r="R3752" i="3"/>
  <c r="P3752" i="3"/>
  <c r="N3752" i="3"/>
  <c r="M3752" i="3"/>
  <c r="L3752" i="3"/>
  <c r="V3751" i="3"/>
  <c r="R3751" i="3"/>
  <c r="P3751" i="3"/>
  <c r="N3751" i="3"/>
  <c r="M3751" i="3"/>
  <c r="L3751" i="3"/>
  <c r="V3750" i="3"/>
  <c r="R3750" i="3"/>
  <c r="P3750" i="3"/>
  <c r="N3750" i="3"/>
  <c r="M3750" i="3"/>
  <c r="L3750" i="3"/>
  <c r="V3749" i="3"/>
  <c r="R3749" i="3"/>
  <c r="P3749" i="3"/>
  <c r="N3749" i="3"/>
  <c r="M3749" i="3"/>
  <c r="L3749" i="3"/>
  <c r="V3748" i="3"/>
  <c r="R3748" i="3"/>
  <c r="P3748" i="3"/>
  <c r="N3748" i="3"/>
  <c r="M3748" i="3"/>
  <c r="L3748" i="3"/>
  <c r="V3747" i="3"/>
  <c r="R3747" i="3"/>
  <c r="P3747" i="3"/>
  <c r="N3747" i="3"/>
  <c r="M3747" i="3"/>
  <c r="L3747" i="3"/>
  <c r="V3746" i="3"/>
  <c r="R3746" i="3"/>
  <c r="P3746" i="3"/>
  <c r="N3746" i="3"/>
  <c r="M3746" i="3"/>
  <c r="L3746" i="3"/>
  <c r="V3745" i="3"/>
  <c r="R3745" i="3"/>
  <c r="P3745" i="3"/>
  <c r="N3745" i="3"/>
  <c r="M3745" i="3"/>
  <c r="L3745" i="3"/>
  <c r="V3744" i="3"/>
  <c r="R3744" i="3"/>
  <c r="P3744" i="3"/>
  <c r="N3744" i="3"/>
  <c r="M3744" i="3"/>
  <c r="L3744" i="3"/>
  <c r="V3743" i="3"/>
  <c r="R3743" i="3"/>
  <c r="P3743" i="3"/>
  <c r="N3743" i="3"/>
  <c r="M3743" i="3"/>
  <c r="L3743" i="3"/>
  <c r="V3742" i="3"/>
  <c r="R3742" i="3"/>
  <c r="P3742" i="3"/>
  <c r="N3742" i="3"/>
  <c r="M3742" i="3"/>
  <c r="L3742" i="3"/>
  <c r="V3741" i="3"/>
  <c r="R3741" i="3"/>
  <c r="P3741" i="3"/>
  <c r="N3741" i="3"/>
  <c r="M3741" i="3"/>
  <c r="L3741" i="3"/>
  <c r="V3740" i="3"/>
  <c r="R3740" i="3"/>
  <c r="P3740" i="3"/>
  <c r="N3740" i="3"/>
  <c r="M3740" i="3"/>
  <c r="L3740" i="3"/>
  <c r="V3739" i="3"/>
  <c r="R3739" i="3"/>
  <c r="P3739" i="3"/>
  <c r="N3739" i="3"/>
  <c r="M3739" i="3"/>
  <c r="L3739" i="3"/>
  <c r="V3738" i="3"/>
  <c r="R3738" i="3"/>
  <c r="P3738" i="3"/>
  <c r="N3738" i="3"/>
  <c r="M3738" i="3"/>
  <c r="L3738" i="3"/>
  <c r="V3737" i="3"/>
  <c r="R3737" i="3"/>
  <c r="P3737" i="3"/>
  <c r="N3737" i="3"/>
  <c r="M3737" i="3"/>
  <c r="L3737" i="3"/>
  <c r="V3736" i="3"/>
  <c r="R3736" i="3"/>
  <c r="P3736" i="3"/>
  <c r="N3736" i="3"/>
  <c r="M3736" i="3"/>
  <c r="L3736" i="3"/>
  <c r="V3735" i="3"/>
  <c r="R3735" i="3"/>
  <c r="P3735" i="3"/>
  <c r="N3735" i="3"/>
  <c r="M3735" i="3"/>
  <c r="L3735" i="3"/>
  <c r="V3734" i="3"/>
  <c r="R3734" i="3"/>
  <c r="P3734" i="3"/>
  <c r="N3734" i="3"/>
  <c r="M3734" i="3"/>
  <c r="L3734" i="3"/>
  <c r="V3733" i="3"/>
  <c r="R3733" i="3"/>
  <c r="P3733" i="3"/>
  <c r="N3733" i="3"/>
  <c r="M3733" i="3"/>
  <c r="L3733" i="3"/>
  <c r="V3732" i="3"/>
  <c r="R3732" i="3"/>
  <c r="P3732" i="3"/>
  <c r="N3732" i="3"/>
  <c r="M3732" i="3"/>
  <c r="L3732" i="3"/>
  <c r="V3731" i="3"/>
  <c r="R3731" i="3"/>
  <c r="P3731" i="3"/>
  <c r="N3731" i="3"/>
  <c r="M3731" i="3"/>
  <c r="L3731" i="3"/>
  <c r="V3730" i="3"/>
  <c r="R3730" i="3"/>
  <c r="P3730" i="3"/>
  <c r="N3730" i="3"/>
  <c r="M3730" i="3"/>
  <c r="L3730" i="3"/>
  <c r="V3729" i="3"/>
  <c r="R3729" i="3"/>
  <c r="P3729" i="3"/>
  <c r="N3729" i="3"/>
  <c r="M3729" i="3"/>
  <c r="L3729" i="3"/>
  <c r="V3728" i="3"/>
  <c r="R3728" i="3"/>
  <c r="P3728" i="3"/>
  <c r="N3728" i="3"/>
  <c r="M3728" i="3"/>
  <c r="L3728" i="3"/>
  <c r="V3727" i="3"/>
  <c r="R3727" i="3"/>
  <c r="P3727" i="3"/>
  <c r="N3727" i="3"/>
  <c r="M3727" i="3"/>
  <c r="L3727" i="3"/>
  <c r="V3726" i="3"/>
  <c r="R3726" i="3"/>
  <c r="P3726" i="3"/>
  <c r="N3726" i="3"/>
  <c r="M3726" i="3"/>
  <c r="L3726" i="3"/>
  <c r="V3725" i="3"/>
  <c r="R3725" i="3"/>
  <c r="P3725" i="3"/>
  <c r="N3725" i="3"/>
  <c r="M3725" i="3"/>
  <c r="L3725" i="3"/>
  <c r="V3703" i="3"/>
  <c r="R3703" i="3"/>
  <c r="P3703" i="3"/>
  <c r="N3703" i="3"/>
  <c r="M3703" i="3"/>
  <c r="L3703" i="3"/>
  <c r="V3702" i="3"/>
  <c r="R3702" i="3"/>
  <c r="P3702" i="3"/>
  <c r="N3702" i="3"/>
  <c r="M3702" i="3"/>
  <c r="L3702" i="3"/>
  <c r="V3701" i="3"/>
  <c r="R3701" i="3"/>
  <c r="P3701" i="3"/>
  <c r="N3701" i="3"/>
  <c r="M3701" i="3"/>
  <c r="L3701" i="3"/>
  <c r="V3700" i="3"/>
  <c r="R3700" i="3"/>
  <c r="P3700" i="3"/>
  <c r="N3700" i="3"/>
  <c r="M3700" i="3"/>
  <c r="L3700" i="3"/>
  <c r="V3699" i="3"/>
  <c r="R3699" i="3"/>
  <c r="P3699" i="3"/>
  <c r="N3699" i="3"/>
  <c r="M3699" i="3"/>
  <c r="L3699" i="3"/>
  <c r="V3698" i="3"/>
  <c r="R3698" i="3"/>
  <c r="P3698" i="3"/>
  <c r="N3698" i="3"/>
  <c r="M3698" i="3"/>
  <c r="L3698" i="3"/>
  <c r="V3697" i="3"/>
  <c r="R3697" i="3"/>
  <c r="P3697" i="3"/>
  <c r="N3697" i="3"/>
  <c r="M3697" i="3"/>
  <c r="L3697" i="3"/>
  <c r="V3696" i="3"/>
  <c r="R3696" i="3"/>
  <c r="P3696" i="3"/>
  <c r="N3696" i="3"/>
  <c r="M3696" i="3"/>
  <c r="L3696" i="3"/>
  <c r="V3695" i="3"/>
  <c r="R3695" i="3"/>
  <c r="P3695" i="3"/>
  <c r="N3695" i="3"/>
  <c r="M3695" i="3"/>
  <c r="L3695" i="3"/>
  <c r="V3694" i="3"/>
  <c r="R3694" i="3"/>
  <c r="P3694" i="3"/>
  <c r="N3694" i="3"/>
  <c r="M3694" i="3"/>
  <c r="L3694" i="3"/>
  <c r="V3693" i="3"/>
  <c r="R3693" i="3"/>
  <c r="P3693" i="3"/>
  <c r="N3693" i="3"/>
  <c r="M3693" i="3"/>
  <c r="L3693" i="3"/>
  <c r="V3692" i="3"/>
  <c r="R3692" i="3"/>
  <c r="P3692" i="3"/>
  <c r="N3692" i="3"/>
  <c r="M3692" i="3"/>
  <c r="L3692" i="3"/>
  <c r="V3691" i="3"/>
  <c r="R3691" i="3"/>
  <c r="P3691" i="3"/>
  <c r="N3691" i="3"/>
  <c r="M3691" i="3"/>
  <c r="L3691" i="3"/>
  <c r="V3690" i="3"/>
  <c r="R3690" i="3"/>
  <c r="P3690" i="3"/>
  <c r="N3690" i="3"/>
  <c r="M3690" i="3"/>
  <c r="L3690" i="3"/>
  <c r="V3689" i="3"/>
  <c r="R3689" i="3"/>
  <c r="P3689" i="3"/>
  <c r="N3689" i="3"/>
  <c r="M3689" i="3"/>
  <c r="L3689" i="3"/>
  <c r="V3688" i="3"/>
  <c r="R3688" i="3"/>
  <c r="P3688" i="3"/>
  <c r="N3688" i="3"/>
  <c r="M3688" i="3"/>
  <c r="L3688" i="3"/>
  <c r="V3687" i="3"/>
  <c r="R3687" i="3"/>
  <c r="P3687" i="3"/>
  <c r="N3687" i="3"/>
  <c r="M3687" i="3"/>
  <c r="L3687" i="3"/>
  <c r="V3686" i="3"/>
  <c r="R3686" i="3"/>
  <c r="P3686" i="3"/>
  <c r="N3686" i="3"/>
  <c r="M3686" i="3"/>
  <c r="L3686" i="3"/>
  <c r="V3685" i="3"/>
  <c r="R3685" i="3"/>
  <c r="P3685" i="3"/>
  <c r="N3685" i="3"/>
  <c r="M3685" i="3"/>
  <c r="L3685" i="3"/>
  <c r="V3684" i="3"/>
  <c r="R3684" i="3"/>
  <c r="P3684" i="3"/>
  <c r="N3684" i="3"/>
  <c r="M3684" i="3"/>
  <c r="L3684" i="3"/>
  <c r="V3683" i="3"/>
  <c r="R3683" i="3"/>
  <c r="P3683" i="3"/>
  <c r="N3683" i="3"/>
  <c r="M3683" i="3"/>
  <c r="L3683" i="3"/>
  <c r="V3682" i="3"/>
  <c r="R3682" i="3"/>
  <c r="P3682" i="3"/>
  <c r="N3682" i="3"/>
  <c r="M3682" i="3"/>
  <c r="L3682" i="3"/>
  <c r="V3681" i="3"/>
  <c r="R3681" i="3"/>
  <c r="P3681" i="3"/>
  <c r="N3681" i="3"/>
  <c r="M3681" i="3"/>
  <c r="L3681" i="3"/>
  <c r="V3680" i="3"/>
  <c r="R3680" i="3"/>
  <c r="P3680" i="3"/>
  <c r="N3680" i="3"/>
  <c r="M3680" i="3"/>
  <c r="L3680" i="3"/>
  <c r="V3679" i="3"/>
  <c r="R3679" i="3"/>
  <c r="P3679" i="3"/>
  <c r="N3679" i="3"/>
  <c r="M3679" i="3"/>
  <c r="L3679" i="3"/>
  <c r="V3678" i="3"/>
  <c r="R3678" i="3"/>
  <c r="P3678" i="3"/>
  <c r="N3678" i="3"/>
  <c r="M3678" i="3"/>
  <c r="L3678" i="3"/>
  <c r="V3677" i="3"/>
  <c r="R3677" i="3"/>
  <c r="P3677" i="3"/>
  <c r="N3677" i="3"/>
  <c r="M3677" i="3"/>
  <c r="L3677" i="3"/>
  <c r="V3676" i="3"/>
  <c r="R3676" i="3"/>
  <c r="P3676" i="3"/>
  <c r="N3676" i="3"/>
  <c r="M3676" i="3"/>
  <c r="L3676" i="3"/>
  <c r="V3675" i="3"/>
  <c r="R3675" i="3"/>
  <c r="P3675" i="3"/>
  <c r="N3675" i="3"/>
  <c r="M3675" i="3"/>
  <c r="L3675" i="3"/>
  <c r="V3674" i="3"/>
  <c r="R3674" i="3"/>
  <c r="P3674" i="3"/>
  <c r="N3674" i="3"/>
  <c r="M3674" i="3"/>
  <c r="L3674" i="3"/>
  <c r="V3673" i="3"/>
  <c r="R3673" i="3"/>
  <c r="P3673" i="3"/>
  <c r="N3673" i="3"/>
  <c r="M3673" i="3"/>
  <c r="L3673" i="3"/>
  <c r="V3672" i="3"/>
  <c r="R3672" i="3"/>
  <c r="P3672" i="3"/>
  <c r="N3672" i="3"/>
  <c r="M3672" i="3"/>
  <c r="L3672" i="3"/>
  <c r="V3671" i="3"/>
  <c r="R3671" i="3"/>
  <c r="P3671" i="3"/>
  <c r="N3671" i="3"/>
  <c r="M3671" i="3"/>
  <c r="L3671" i="3"/>
  <c r="V3670" i="3"/>
  <c r="R3670" i="3"/>
  <c r="P3670" i="3"/>
  <c r="N3670" i="3"/>
  <c r="M3670" i="3"/>
  <c r="L3670" i="3"/>
  <c r="V3669" i="3"/>
  <c r="R3669" i="3"/>
  <c r="P3669" i="3"/>
  <c r="N3669" i="3"/>
  <c r="M3669" i="3"/>
  <c r="L3669" i="3"/>
  <c r="V3668" i="3"/>
  <c r="R3668" i="3"/>
  <c r="P3668" i="3"/>
  <c r="N3668" i="3"/>
  <c r="M3668" i="3"/>
  <c r="L3668" i="3"/>
  <c r="V3667" i="3"/>
  <c r="R3667" i="3"/>
  <c r="P3667" i="3"/>
  <c r="N3667" i="3"/>
  <c r="M3667" i="3"/>
  <c r="L3667" i="3"/>
  <c r="V3666" i="3"/>
  <c r="R3666" i="3"/>
  <c r="P3666" i="3"/>
  <c r="N3666" i="3"/>
  <c r="M3666" i="3"/>
  <c r="L3666" i="3"/>
  <c r="V3665" i="3"/>
  <c r="R3665" i="3"/>
  <c r="P3665" i="3"/>
  <c r="N3665" i="3"/>
  <c r="M3665" i="3"/>
  <c r="L3665" i="3"/>
  <c r="V3664" i="3"/>
  <c r="R3664" i="3"/>
  <c r="P3664" i="3"/>
  <c r="N3664" i="3"/>
  <c r="M3664" i="3"/>
  <c r="L3664" i="3"/>
  <c r="V3663" i="3"/>
  <c r="R3663" i="3"/>
  <c r="P3663" i="3"/>
  <c r="N3663" i="3"/>
  <c r="M3663" i="3"/>
  <c r="L3663" i="3"/>
  <c r="V3662" i="3"/>
  <c r="R3662" i="3"/>
  <c r="P3662" i="3"/>
  <c r="N3662" i="3"/>
  <c r="M3662" i="3"/>
  <c r="L3662" i="3"/>
  <c r="V3661" i="3"/>
  <c r="R3661" i="3"/>
  <c r="P3661" i="3"/>
  <c r="N3661" i="3"/>
  <c r="M3661" i="3"/>
  <c r="L3661" i="3"/>
  <c r="V3660" i="3"/>
  <c r="R3660" i="3"/>
  <c r="P3660" i="3"/>
  <c r="N3660" i="3"/>
  <c r="M3660" i="3"/>
  <c r="L3660" i="3"/>
  <c r="V3659" i="3"/>
  <c r="R3659" i="3"/>
  <c r="P3659" i="3"/>
  <c r="N3659" i="3"/>
  <c r="M3659" i="3"/>
  <c r="L3659" i="3"/>
  <c r="V3658" i="3"/>
  <c r="R3658" i="3"/>
  <c r="P3658" i="3"/>
  <c r="N3658" i="3"/>
  <c r="M3658" i="3"/>
  <c r="L3658" i="3"/>
  <c r="V3657" i="3"/>
  <c r="R3657" i="3"/>
  <c r="P3657" i="3"/>
  <c r="N3657" i="3"/>
  <c r="M3657" i="3"/>
  <c r="L3657" i="3"/>
  <c r="V3656" i="3"/>
  <c r="R3656" i="3"/>
  <c r="P3656" i="3"/>
  <c r="N3656" i="3"/>
  <c r="M3656" i="3"/>
  <c r="L3656" i="3"/>
  <c r="V3655" i="3"/>
  <c r="R3655" i="3"/>
  <c r="P3655" i="3"/>
  <c r="N3655" i="3"/>
  <c r="M3655" i="3"/>
  <c r="L3655" i="3"/>
  <c r="V3654" i="3"/>
  <c r="R3654" i="3"/>
  <c r="P3654" i="3"/>
  <c r="N3654" i="3"/>
  <c r="M3654" i="3"/>
  <c r="L3654" i="3"/>
  <c r="V3653" i="3"/>
  <c r="R3653" i="3"/>
  <c r="P3653" i="3"/>
  <c r="N3653" i="3"/>
  <c r="M3653" i="3"/>
  <c r="L3653" i="3"/>
  <c r="V3652" i="3"/>
  <c r="R3652" i="3"/>
  <c r="P3652" i="3"/>
  <c r="N3652" i="3"/>
  <c r="M3652" i="3"/>
  <c r="L3652" i="3"/>
  <c r="V3651" i="3"/>
  <c r="R3651" i="3"/>
  <c r="P3651" i="3"/>
  <c r="N3651" i="3"/>
  <c r="M3651" i="3"/>
  <c r="L3651" i="3"/>
  <c r="V3650" i="3"/>
  <c r="R3650" i="3"/>
  <c r="P3650" i="3"/>
  <c r="N3650" i="3"/>
  <c r="M3650" i="3"/>
  <c r="L3650" i="3"/>
  <c r="V3649" i="3"/>
  <c r="R3649" i="3"/>
  <c r="P3649" i="3"/>
  <c r="N3649" i="3"/>
  <c r="M3649" i="3"/>
  <c r="L3649" i="3"/>
  <c r="V3648" i="3"/>
  <c r="R3648" i="3"/>
  <c r="P3648" i="3"/>
  <c r="N3648" i="3"/>
  <c r="M3648" i="3"/>
  <c r="L3648" i="3"/>
  <c r="V3647" i="3"/>
  <c r="R3647" i="3"/>
  <c r="P3647" i="3"/>
  <c r="N3647" i="3"/>
  <c r="M3647" i="3"/>
  <c r="L3647" i="3"/>
  <c r="V3646" i="3"/>
  <c r="R3646" i="3"/>
  <c r="P3646" i="3"/>
  <c r="N3646" i="3"/>
  <c r="M3646" i="3"/>
  <c r="L3646" i="3"/>
  <c r="V3645" i="3"/>
  <c r="R3645" i="3"/>
  <c r="P3645" i="3"/>
  <c r="N3645" i="3"/>
  <c r="M3645" i="3"/>
  <c r="L3645" i="3"/>
  <c r="V3644" i="3"/>
  <c r="R3644" i="3"/>
  <c r="P3644" i="3"/>
  <c r="N3644" i="3"/>
  <c r="M3644" i="3"/>
  <c r="L3644" i="3"/>
  <c r="V3643" i="3"/>
  <c r="R3643" i="3"/>
  <c r="P3643" i="3"/>
  <c r="N3643" i="3"/>
  <c r="M3643" i="3"/>
  <c r="L3643" i="3"/>
  <c r="V3642" i="3"/>
  <c r="R3642" i="3"/>
  <c r="P3642" i="3"/>
  <c r="N3642" i="3"/>
  <c r="M3642" i="3"/>
  <c r="L3642" i="3"/>
  <c r="V3641" i="3"/>
  <c r="R3641" i="3"/>
  <c r="P3641" i="3"/>
  <c r="N3641" i="3"/>
  <c r="M3641" i="3"/>
  <c r="L3641" i="3"/>
  <c r="V3640" i="3"/>
  <c r="R3640" i="3"/>
  <c r="P3640" i="3"/>
  <c r="N3640" i="3"/>
  <c r="M3640" i="3"/>
  <c r="L3640" i="3"/>
  <c r="V3639" i="3"/>
  <c r="R3639" i="3"/>
  <c r="P3639" i="3"/>
  <c r="N3639" i="3"/>
  <c r="M3639" i="3"/>
  <c r="L3639" i="3"/>
  <c r="V3638" i="3"/>
  <c r="R3638" i="3"/>
  <c r="P3638" i="3"/>
  <c r="N3638" i="3"/>
  <c r="M3638" i="3"/>
  <c r="L3638" i="3"/>
  <c r="V3637" i="3"/>
  <c r="R3637" i="3"/>
  <c r="P3637" i="3"/>
  <c r="N3637" i="3"/>
  <c r="M3637" i="3"/>
  <c r="L3637" i="3"/>
  <c r="V3636" i="3"/>
  <c r="R3636" i="3"/>
  <c r="P3636" i="3"/>
  <c r="N3636" i="3"/>
  <c r="M3636" i="3"/>
  <c r="L3636" i="3"/>
  <c r="V3635" i="3"/>
  <c r="R3635" i="3"/>
  <c r="P3635" i="3"/>
  <c r="N3635" i="3"/>
  <c r="M3635" i="3"/>
  <c r="L3635" i="3"/>
  <c r="V3634" i="3"/>
  <c r="R3634" i="3"/>
  <c r="P3634" i="3"/>
  <c r="N3634" i="3"/>
  <c r="M3634" i="3"/>
  <c r="L3634" i="3"/>
  <c r="V3633" i="3"/>
  <c r="R3633" i="3"/>
  <c r="P3633" i="3"/>
  <c r="N3633" i="3"/>
  <c r="M3633" i="3"/>
  <c r="L3633" i="3"/>
  <c r="V3632" i="3"/>
  <c r="R3632" i="3"/>
  <c r="P3632" i="3"/>
  <c r="N3632" i="3"/>
  <c r="M3632" i="3"/>
  <c r="L3632" i="3"/>
  <c r="V3631" i="3"/>
  <c r="R3631" i="3"/>
  <c r="P3631" i="3"/>
  <c r="N3631" i="3"/>
  <c r="M3631" i="3"/>
  <c r="L3631" i="3"/>
  <c r="V3630" i="3"/>
  <c r="R3630" i="3"/>
  <c r="P3630" i="3"/>
  <c r="N3630" i="3"/>
  <c r="M3630" i="3"/>
  <c r="L3630" i="3"/>
  <c r="V3629" i="3"/>
  <c r="R3629" i="3"/>
  <c r="P3629" i="3"/>
  <c r="N3629" i="3"/>
  <c r="M3629" i="3"/>
  <c r="L3629" i="3"/>
  <c r="V3628" i="3"/>
  <c r="R3628" i="3"/>
  <c r="P3628" i="3"/>
  <c r="N3628" i="3"/>
  <c r="M3628" i="3"/>
  <c r="L3628" i="3"/>
  <c r="V3627" i="3"/>
  <c r="R3627" i="3"/>
  <c r="P3627" i="3"/>
  <c r="N3627" i="3"/>
  <c r="M3627" i="3"/>
  <c r="L3627" i="3"/>
  <c r="V3626" i="3"/>
  <c r="R3626" i="3"/>
  <c r="P3626" i="3"/>
  <c r="N3626" i="3"/>
  <c r="M3626" i="3"/>
  <c r="L3626" i="3"/>
  <c r="V3625" i="3"/>
  <c r="R3625" i="3"/>
  <c r="P3625" i="3"/>
  <c r="N3625" i="3"/>
  <c r="M3625" i="3"/>
  <c r="L3625" i="3"/>
  <c r="V3624" i="3"/>
  <c r="R3624" i="3"/>
  <c r="P3624" i="3"/>
  <c r="N3624" i="3"/>
  <c r="M3624" i="3"/>
  <c r="L3624" i="3"/>
  <c r="V3623" i="3"/>
  <c r="R3623" i="3"/>
  <c r="P3623" i="3"/>
  <c r="N3623" i="3"/>
  <c r="M3623" i="3"/>
  <c r="L3623" i="3"/>
  <c r="V3622" i="3"/>
  <c r="R3622" i="3"/>
  <c r="P3622" i="3"/>
  <c r="N3622" i="3"/>
  <c r="M3622" i="3"/>
  <c r="L3622" i="3"/>
  <c r="V3621" i="3"/>
  <c r="R3621" i="3"/>
  <c r="P3621" i="3"/>
  <c r="N3621" i="3"/>
  <c r="M3621" i="3"/>
  <c r="L3621" i="3"/>
  <c r="V3620" i="3"/>
  <c r="R3620" i="3"/>
  <c r="P3620" i="3"/>
  <c r="N3620" i="3"/>
  <c r="M3620" i="3"/>
  <c r="L3620" i="3"/>
  <c r="V3619" i="3"/>
  <c r="R3619" i="3"/>
  <c r="P3619" i="3"/>
  <c r="N3619" i="3"/>
  <c r="M3619" i="3"/>
  <c r="L3619" i="3"/>
  <c r="V3618" i="3"/>
  <c r="R3618" i="3"/>
  <c r="P3618" i="3"/>
  <c r="N3618" i="3"/>
  <c r="M3618" i="3"/>
  <c r="L3618" i="3"/>
  <c r="V3617" i="3"/>
  <c r="R3617" i="3"/>
  <c r="P3617" i="3"/>
  <c r="N3617" i="3"/>
  <c r="M3617" i="3"/>
  <c r="L3617" i="3"/>
  <c r="V3616" i="3"/>
  <c r="R3616" i="3"/>
  <c r="P3616" i="3"/>
  <c r="N3616" i="3"/>
  <c r="M3616" i="3"/>
  <c r="L3616" i="3"/>
  <c r="V3615" i="3"/>
  <c r="R3615" i="3"/>
  <c r="P3615" i="3"/>
  <c r="N3615" i="3"/>
  <c r="M3615" i="3"/>
  <c r="L3615" i="3"/>
  <c r="V3614" i="3"/>
  <c r="R3614" i="3"/>
  <c r="P3614" i="3"/>
  <c r="N3614" i="3"/>
  <c r="M3614" i="3"/>
  <c r="L3614" i="3"/>
  <c r="V3613" i="3"/>
  <c r="R3613" i="3"/>
  <c r="P3613" i="3"/>
  <c r="N3613" i="3"/>
  <c r="M3613" i="3"/>
  <c r="L3613" i="3"/>
  <c r="V3612" i="3"/>
  <c r="R3612" i="3"/>
  <c r="P3612" i="3"/>
  <c r="N3612" i="3"/>
  <c r="M3612" i="3"/>
  <c r="L3612" i="3"/>
  <c r="V3611" i="3"/>
  <c r="R3611" i="3"/>
  <c r="P3611" i="3"/>
  <c r="N3611" i="3"/>
  <c r="M3611" i="3"/>
  <c r="L3611" i="3"/>
  <c r="V3610" i="3"/>
  <c r="R3610" i="3"/>
  <c r="P3610" i="3"/>
  <c r="N3610" i="3"/>
  <c r="M3610" i="3"/>
  <c r="L3610" i="3"/>
  <c r="V3609" i="3"/>
  <c r="R3609" i="3"/>
  <c r="P3609" i="3"/>
  <c r="N3609" i="3"/>
  <c r="M3609" i="3"/>
  <c r="L3609" i="3"/>
  <c r="V3608" i="3"/>
  <c r="R3608" i="3"/>
  <c r="P3608" i="3"/>
  <c r="N3608" i="3"/>
  <c r="M3608" i="3"/>
  <c r="L3608" i="3"/>
  <c r="V3607" i="3"/>
  <c r="R3607" i="3"/>
  <c r="P3607" i="3"/>
  <c r="N3607" i="3"/>
  <c r="M3607" i="3"/>
  <c r="L3607" i="3"/>
  <c r="V3606" i="3"/>
  <c r="R3606" i="3"/>
  <c r="P3606" i="3"/>
  <c r="N3606" i="3"/>
  <c r="M3606" i="3"/>
  <c r="L3606" i="3"/>
  <c r="R3605" i="3"/>
  <c r="P3605" i="3"/>
  <c r="N3605" i="3"/>
  <c r="M3605" i="3"/>
  <c r="L3605" i="3"/>
  <c r="V3604" i="3"/>
  <c r="R3604" i="3"/>
  <c r="P3604" i="3"/>
  <c r="N3604" i="3"/>
  <c r="M3604" i="3"/>
  <c r="L3604" i="3"/>
  <c r="V3603" i="3"/>
  <c r="R3603" i="3"/>
  <c r="P3603" i="3"/>
  <c r="N3603" i="3"/>
  <c r="M3603" i="3"/>
  <c r="L3603" i="3"/>
  <c r="V3602" i="3"/>
  <c r="R3602" i="3"/>
  <c r="P3602" i="3"/>
  <c r="N3602" i="3"/>
  <c r="M3602" i="3"/>
  <c r="L3602" i="3"/>
  <c r="V3601" i="3"/>
  <c r="R3601" i="3"/>
  <c r="P3601" i="3"/>
  <c r="N3601" i="3"/>
  <c r="M3601" i="3"/>
  <c r="L3601" i="3"/>
  <c r="V3600" i="3"/>
  <c r="R3600" i="3"/>
  <c r="P3600" i="3"/>
  <c r="N3600" i="3"/>
  <c r="M3600" i="3"/>
  <c r="L3600" i="3"/>
  <c r="V3599" i="3"/>
  <c r="R3599" i="3"/>
  <c r="P3599" i="3"/>
  <c r="N3599" i="3"/>
  <c r="M3599" i="3"/>
  <c r="L3599" i="3"/>
  <c r="V3598" i="3"/>
  <c r="R3598" i="3"/>
  <c r="P3598" i="3"/>
  <c r="N3598" i="3"/>
  <c r="M3598" i="3"/>
  <c r="L3598" i="3"/>
  <c r="V3597" i="3"/>
  <c r="R3597" i="3"/>
  <c r="P3597" i="3"/>
  <c r="N3597" i="3"/>
  <c r="M3597" i="3"/>
  <c r="L3597" i="3"/>
  <c r="V3596" i="3"/>
  <c r="R3596" i="3"/>
  <c r="P3596" i="3"/>
  <c r="N3596" i="3"/>
  <c r="M3596" i="3"/>
  <c r="L3596" i="3"/>
  <c r="V3595" i="3"/>
  <c r="R3595" i="3"/>
  <c r="P3595" i="3"/>
  <c r="N3595" i="3"/>
  <c r="M3595" i="3"/>
  <c r="L3595" i="3"/>
  <c r="V3594" i="3"/>
  <c r="R3594" i="3"/>
  <c r="P3594" i="3"/>
  <c r="N3594" i="3"/>
  <c r="M3594" i="3"/>
  <c r="L3594" i="3"/>
  <c r="V3593" i="3"/>
  <c r="R3593" i="3"/>
  <c r="P3593" i="3"/>
  <c r="N3593" i="3"/>
  <c r="M3593" i="3"/>
  <c r="L3593" i="3"/>
  <c r="V3592" i="3"/>
  <c r="R3592" i="3"/>
  <c r="P3592" i="3"/>
  <c r="N3592" i="3"/>
  <c r="M3592" i="3"/>
  <c r="L3592" i="3"/>
  <c r="V3591" i="3"/>
  <c r="R3591" i="3"/>
  <c r="P3591" i="3"/>
  <c r="N3591" i="3"/>
  <c r="M3591" i="3"/>
  <c r="L3591" i="3"/>
  <c r="V3590" i="3"/>
  <c r="R3590" i="3"/>
  <c r="P3590" i="3"/>
  <c r="N3590" i="3"/>
  <c r="M3590" i="3"/>
  <c r="L3590" i="3"/>
  <c r="V3589" i="3"/>
  <c r="R3589" i="3"/>
  <c r="P3589" i="3"/>
  <c r="N3589" i="3"/>
  <c r="M3589" i="3"/>
  <c r="L3589" i="3"/>
  <c r="V3588" i="3"/>
  <c r="R3588" i="3"/>
  <c r="P3588" i="3"/>
  <c r="N3588" i="3"/>
  <c r="M3588" i="3"/>
  <c r="L3588" i="3"/>
  <c r="V3587" i="3"/>
  <c r="R3587" i="3"/>
  <c r="P3587" i="3"/>
  <c r="N3587" i="3"/>
  <c r="M3587" i="3"/>
  <c r="L3587" i="3"/>
  <c r="V3586" i="3"/>
  <c r="R3586" i="3"/>
  <c r="P3586" i="3"/>
  <c r="N3586" i="3"/>
  <c r="M3586" i="3"/>
  <c r="L3586" i="3"/>
  <c r="V3585" i="3"/>
  <c r="R3585" i="3"/>
  <c r="P3585" i="3"/>
  <c r="N3585" i="3"/>
  <c r="M3585" i="3"/>
  <c r="L3585" i="3"/>
  <c r="V3584" i="3"/>
  <c r="R3584" i="3"/>
  <c r="P3584" i="3"/>
  <c r="N3584" i="3"/>
  <c r="M3584" i="3"/>
  <c r="L3584" i="3"/>
  <c r="V3583" i="3"/>
  <c r="R3583" i="3"/>
  <c r="P3583" i="3"/>
  <c r="N3583" i="3"/>
  <c r="M3583" i="3"/>
  <c r="L3583" i="3"/>
  <c r="V3582" i="3"/>
  <c r="R3582" i="3"/>
  <c r="P3582" i="3"/>
  <c r="N3582" i="3"/>
  <c r="M3582" i="3"/>
  <c r="L3582" i="3"/>
  <c r="V3581" i="3"/>
  <c r="R3581" i="3"/>
  <c r="P3581" i="3"/>
  <c r="N3581" i="3"/>
  <c r="M3581" i="3"/>
  <c r="L3581" i="3"/>
  <c r="V3580" i="3"/>
  <c r="R3580" i="3"/>
  <c r="P3580" i="3"/>
  <c r="N3580" i="3"/>
  <c r="M3580" i="3"/>
  <c r="L3580" i="3"/>
  <c r="V3579" i="3"/>
  <c r="R3579" i="3"/>
  <c r="P3579" i="3"/>
  <c r="N3579" i="3"/>
  <c r="M3579" i="3"/>
  <c r="L3579" i="3"/>
  <c r="V3578" i="3"/>
  <c r="R3578" i="3"/>
  <c r="P3578" i="3"/>
  <c r="N3578" i="3"/>
  <c r="M3578" i="3"/>
  <c r="L3578" i="3"/>
  <c r="V3577" i="3"/>
  <c r="R3577" i="3"/>
  <c r="P3577" i="3"/>
  <c r="N3577" i="3"/>
  <c r="M3577" i="3"/>
  <c r="L3577" i="3"/>
  <c r="V3576" i="3"/>
  <c r="R3576" i="3"/>
  <c r="P3576" i="3"/>
  <c r="N3576" i="3"/>
  <c r="M3576" i="3"/>
  <c r="L3576" i="3"/>
  <c r="V3575" i="3"/>
  <c r="R3575" i="3"/>
  <c r="P3575" i="3"/>
  <c r="N3575" i="3"/>
  <c r="M3575" i="3"/>
  <c r="L3575" i="3"/>
  <c r="V3574" i="3"/>
  <c r="R3574" i="3"/>
  <c r="P3574" i="3"/>
  <c r="N3574" i="3"/>
  <c r="M3574" i="3"/>
  <c r="L3574" i="3"/>
  <c r="V3573" i="3"/>
  <c r="R3573" i="3"/>
  <c r="P3573" i="3"/>
  <c r="N3573" i="3"/>
  <c r="M3573" i="3"/>
  <c r="L3573" i="3"/>
  <c r="V3572" i="3"/>
  <c r="R3572" i="3"/>
  <c r="P3572" i="3"/>
  <c r="N3572" i="3"/>
  <c r="M3572" i="3"/>
  <c r="L3572" i="3"/>
  <c r="V3571" i="3"/>
  <c r="R3571" i="3"/>
  <c r="P3571" i="3"/>
  <c r="N3571" i="3"/>
  <c r="M3571" i="3"/>
  <c r="L3571" i="3"/>
  <c r="V3570" i="3"/>
  <c r="R3570" i="3"/>
  <c r="P3570" i="3"/>
  <c r="N3570" i="3"/>
  <c r="M3570" i="3"/>
  <c r="L3570" i="3"/>
  <c r="V3569" i="3"/>
  <c r="R3569" i="3"/>
  <c r="P3569" i="3"/>
  <c r="N3569" i="3"/>
  <c r="M3569" i="3"/>
  <c r="L3569" i="3"/>
  <c r="V3568" i="3"/>
  <c r="R3568" i="3"/>
  <c r="P3568" i="3"/>
  <c r="N3568" i="3"/>
  <c r="M3568" i="3"/>
  <c r="L3568" i="3"/>
  <c r="V3567" i="3"/>
  <c r="R3567" i="3"/>
  <c r="P3567" i="3"/>
  <c r="N3567" i="3"/>
  <c r="M3567" i="3"/>
  <c r="L3567" i="3"/>
  <c r="V3566" i="3"/>
  <c r="R3566" i="3"/>
  <c r="P3566" i="3"/>
  <c r="N3566" i="3"/>
  <c r="M3566" i="3"/>
  <c r="L3566" i="3"/>
  <c r="V3565" i="3"/>
  <c r="R3565" i="3"/>
  <c r="P3565" i="3"/>
  <c r="N3565" i="3"/>
  <c r="M3565" i="3"/>
  <c r="L3565" i="3"/>
  <c r="V3564" i="3"/>
  <c r="R3564" i="3"/>
  <c r="P3564" i="3"/>
  <c r="N3564" i="3"/>
  <c r="M3564" i="3"/>
  <c r="L3564" i="3"/>
  <c r="V3563" i="3"/>
  <c r="R3563" i="3"/>
  <c r="P3563" i="3"/>
  <c r="N3563" i="3"/>
  <c r="M3563" i="3"/>
  <c r="L3563" i="3"/>
  <c r="V3562" i="3"/>
  <c r="R3562" i="3"/>
  <c r="P3562" i="3"/>
  <c r="N3562" i="3"/>
  <c r="M3562" i="3"/>
  <c r="L3562" i="3"/>
  <c r="V3561" i="3"/>
  <c r="R3561" i="3"/>
  <c r="P3561" i="3"/>
  <c r="N3561" i="3"/>
  <c r="M3561" i="3"/>
  <c r="L3561" i="3"/>
  <c r="V3560" i="3"/>
  <c r="R3560" i="3"/>
  <c r="P3560" i="3"/>
  <c r="N3560" i="3"/>
  <c r="M3560" i="3"/>
  <c r="L3560" i="3"/>
  <c r="V3549" i="3"/>
  <c r="R3549" i="3"/>
  <c r="P3549" i="3"/>
  <c r="N3549" i="3"/>
  <c r="M3549" i="3"/>
  <c r="L3549" i="3"/>
  <c r="V3548" i="3"/>
  <c r="R3548" i="3"/>
  <c r="P3548" i="3"/>
  <c r="N3548" i="3"/>
  <c r="M3548" i="3"/>
  <c r="L3548" i="3"/>
  <c r="V3547" i="3"/>
  <c r="R3547" i="3"/>
  <c r="P3547" i="3"/>
  <c r="N3547" i="3"/>
  <c r="M3547" i="3"/>
  <c r="L3547" i="3"/>
  <c r="V3546" i="3"/>
  <c r="R3546" i="3"/>
  <c r="P3546" i="3"/>
  <c r="N3546" i="3"/>
  <c r="M3546" i="3"/>
  <c r="L3546" i="3"/>
  <c r="V3545" i="3"/>
  <c r="R3545" i="3"/>
  <c r="P3545" i="3"/>
  <c r="N3545" i="3"/>
  <c r="M3545" i="3"/>
  <c r="L3545" i="3"/>
  <c r="V3544" i="3"/>
  <c r="R3544" i="3"/>
  <c r="P3544" i="3"/>
  <c r="N3544" i="3"/>
  <c r="M3544" i="3"/>
  <c r="L3544" i="3"/>
  <c r="V3543" i="3"/>
  <c r="R3543" i="3"/>
  <c r="P3543" i="3"/>
  <c r="N3543" i="3"/>
  <c r="M3543" i="3"/>
  <c r="L3543" i="3"/>
  <c r="V3542" i="3"/>
  <c r="R3542" i="3"/>
  <c r="P3542" i="3"/>
  <c r="N3542" i="3"/>
  <c r="M3542" i="3"/>
  <c r="L3542" i="3"/>
  <c r="V3541" i="3"/>
  <c r="R3541" i="3"/>
  <c r="P3541" i="3"/>
  <c r="N3541" i="3"/>
  <c r="M3541" i="3"/>
  <c r="L3541" i="3"/>
  <c r="V3540" i="3"/>
  <c r="R3540" i="3"/>
  <c r="P3540" i="3"/>
  <c r="N3540" i="3"/>
  <c r="M3540" i="3"/>
  <c r="L3540" i="3"/>
  <c r="V3539" i="3"/>
  <c r="R3539" i="3"/>
  <c r="P3539" i="3"/>
  <c r="N3539" i="3"/>
  <c r="M3539" i="3"/>
  <c r="L3539" i="3"/>
  <c r="V3538" i="3"/>
  <c r="R3538" i="3"/>
  <c r="P3538" i="3"/>
  <c r="N3538" i="3"/>
  <c r="M3538" i="3"/>
  <c r="L3538" i="3"/>
  <c r="V3537" i="3"/>
  <c r="R3537" i="3"/>
  <c r="P3537" i="3"/>
  <c r="N3537" i="3"/>
  <c r="M3537" i="3"/>
  <c r="L3537" i="3"/>
  <c r="V3536" i="3"/>
  <c r="R3536" i="3"/>
  <c r="P3536" i="3"/>
  <c r="N3536" i="3"/>
  <c r="M3536" i="3"/>
  <c r="L3536" i="3"/>
  <c r="V3535" i="3"/>
  <c r="R3535" i="3"/>
  <c r="P3535" i="3"/>
  <c r="N3535" i="3"/>
  <c r="M3535" i="3"/>
  <c r="L3535" i="3"/>
  <c r="V3534" i="3"/>
  <c r="R3534" i="3"/>
  <c r="P3534" i="3"/>
  <c r="N3534" i="3"/>
  <c r="M3534" i="3"/>
  <c r="L3534" i="3"/>
  <c r="V3533" i="3"/>
  <c r="R3533" i="3"/>
  <c r="P3533" i="3"/>
  <c r="N3533" i="3"/>
  <c r="M3533" i="3"/>
  <c r="L3533" i="3"/>
  <c r="V3532" i="3"/>
  <c r="R3532" i="3"/>
  <c r="P3532" i="3"/>
  <c r="N3532" i="3"/>
  <c r="M3532" i="3"/>
  <c r="L3532" i="3"/>
  <c r="V3531" i="3"/>
  <c r="R3531" i="3"/>
  <c r="P3531" i="3"/>
  <c r="N3531" i="3"/>
  <c r="M3531" i="3"/>
  <c r="L3531" i="3"/>
  <c r="V3530" i="3"/>
  <c r="R3530" i="3"/>
  <c r="P3530" i="3"/>
  <c r="N3530" i="3"/>
  <c r="M3530" i="3"/>
  <c r="L3530" i="3"/>
  <c r="V3529" i="3"/>
  <c r="R3529" i="3"/>
  <c r="P3529" i="3"/>
  <c r="N3529" i="3"/>
  <c r="M3529" i="3"/>
  <c r="L3529" i="3"/>
  <c r="V3528" i="3"/>
  <c r="R3528" i="3"/>
  <c r="P3528" i="3"/>
  <c r="N3528" i="3"/>
  <c r="M3528" i="3"/>
  <c r="L3528" i="3"/>
  <c r="V3527" i="3"/>
  <c r="R3527" i="3"/>
  <c r="P3527" i="3"/>
  <c r="N3527" i="3"/>
  <c r="M3527" i="3"/>
  <c r="L3527" i="3"/>
  <c r="V3526" i="3"/>
  <c r="R3526" i="3"/>
  <c r="P3526" i="3"/>
  <c r="N3526" i="3"/>
  <c r="M3526" i="3"/>
  <c r="L3526" i="3"/>
  <c r="V3525" i="3"/>
  <c r="R3525" i="3"/>
  <c r="P3525" i="3"/>
  <c r="N3525" i="3"/>
  <c r="M3525" i="3"/>
  <c r="L3525" i="3"/>
  <c r="V3524" i="3"/>
  <c r="R3524" i="3"/>
  <c r="P3524" i="3"/>
  <c r="N3524" i="3"/>
  <c r="M3524" i="3"/>
  <c r="L3524" i="3"/>
  <c r="V3523" i="3"/>
  <c r="R3523" i="3"/>
  <c r="P3523" i="3"/>
  <c r="N3523" i="3"/>
  <c r="M3523" i="3"/>
  <c r="L3523" i="3"/>
  <c r="V3522" i="3"/>
  <c r="R3522" i="3"/>
  <c r="P3522" i="3"/>
  <c r="N3522" i="3"/>
  <c r="M3522" i="3"/>
  <c r="L3522" i="3"/>
  <c r="V3521" i="3"/>
  <c r="R3521" i="3"/>
  <c r="P3521" i="3"/>
  <c r="N3521" i="3"/>
  <c r="M3521" i="3"/>
  <c r="L3521" i="3"/>
  <c r="V3520" i="3"/>
  <c r="R3520" i="3"/>
  <c r="P3520" i="3"/>
  <c r="N3520" i="3"/>
  <c r="M3520" i="3"/>
  <c r="L3520" i="3"/>
  <c r="V3519" i="3"/>
  <c r="R3519" i="3"/>
  <c r="P3519" i="3"/>
  <c r="N3519" i="3"/>
  <c r="M3519" i="3"/>
  <c r="L3519" i="3"/>
  <c r="V3518" i="3"/>
  <c r="R3518" i="3"/>
  <c r="P3518" i="3"/>
  <c r="N3518" i="3"/>
  <c r="M3518" i="3"/>
  <c r="L3518" i="3"/>
  <c r="V3517" i="3"/>
  <c r="R3517" i="3"/>
  <c r="P3517" i="3"/>
  <c r="N3517" i="3"/>
  <c r="M3517" i="3"/>
  <c r="L3517" i="3"/>
  <c r="V3516" i="3"/>
  <c r="R3516" i="3"/>
  <c r="P3516" i="3"/>
  <c r="N3516" i="3"/>
  <c r="M3516" i="3"/>
  <c r="L3516" i="3"/>
  <c r="V3515" i="3"/>
  <c r="R3515" i="3"/>
  <c r="P3515" i="3"/>
  <c r="N3515" i="3"/>
  <c r="M3515" i="3"/>
  <c r="L3515" i="3"/>
  <c r="V3514" i="3"/>
  <c r="R3514" i="3"/>
  <c r="P3514" i="3"/>
  <c r="N3514" i="3"/>
  <c r="M3514" i="3"/>
  <c r="L3514" i="3"/>
  <c r="V3513" i="3"/>
  <c r="R3513" i="3"/>
  <c r="P3513" i="3"/>
  <c r="N3513" i="3"/>
  <c r="M3513" i="3"/>
  <c r="L3513" i="3"/>
  <c r="V3512" i="3"/>
  <c r="R3512" i="3"/>
  <c r="P3512" i="3"/>
  <c r="N3512" i="3"/>
  <c r="M3512" i="3"/>
  <c r="L3512" i="3"/>
  <c r="V3511" i="3"/>
  <c r="R3511" i="3"/>
  <c r="P3511" i="3"/>
  <c r="N3511" i="3"/>
  <c r="M3511" i="3"/>
  <c r="L3511" i="3"/>
  <c r="V3510" i="3"/>
  <c r="R3510" i="3"/>
  <c r="P3510" i="3"/>
  <c r="N3510" i="3"/>
  <c r="M3510" i="3"/>
  <c r="L3510" i="3"/>
  <c r="V3509" i="3"/>
  <c r="R3509" i="3"/>
  <c r="P3509" i="3"/>
  <c r="N3509" i="3"/>
  <c r="M3509" i="3"/>
  <c r="L3509" i="3"/>
  <c r="V3508" i="3"/>
  <c r="R3508" i="3"/>
  <c r="P3508" i="3"/>
  <c r="N3508" i="3"/>
  <c r="M3508" i="3"/>
  <c r="L3508" i="3"/>
  <c r="V3507" i="3"/>
  <c r="R3507" i="3"/>
  <c r="P3507" i="3"/>
  <c r="N3507" i="3"/>
  <c r="M3507" i="3"/>
  <c r="L3507" i="3"/>
  <c r="V3506" i="3"/>
  <c r="R3506" i="3"/>
  <c r="P3506" i="3"/>
  <c r="N3506" i="3"/>
  <c r="M3506" i="3"/>
  <c r="L3506" i="3"/>
  <c r="V3505" i="3"/>
  <c r="R3505" i="3"/>
  <c r="P3505" i="3"/>
  <c r="N3505" i="3"/>
  <c r="M3505" i="3"/>
  <c r="L3505" i="3"/>
  <c r="V3504" i="3"/>
  <c r="R3504" i="3"/>
  <c r="P3504" i="3"/>
  <c r="N3504" i="3"/>
  <c r="M3504" i="3"/>
  <c r="L3504" i="3"/>
  <c r="V3503" i="3"/>
  <c r="R3503" i="3"/>
  <c r="P3503" i="3"/>
  <c r="N3503" i="3"/>
  <c r="M3503" i="3"/>
  <c r="L3503" i="3"/>
  <c r="V3502" i="3"/>
  <c r="R3502" i="3"/>
  <c r="P3502" i="3"/>
  <c r="N3502" i="3"/>
  <c r="M3502" i="3"/>
  <c r="L3502" i="3"/>
  <c r="V3383" i="3"/>
  <c r="R3383" i="3"/>
  <c r="P3383" i="3"/>
  <c r="N3383" i="3"/>
  <c r="M3383" i="3"/>
  <c r="L3383" i="3"/>
  <c r="V3382" i="3"/>
  <c r="R3382" i="3"/>
  <c r="P3382" i="3"/>
  <c r="N3382" i="3"/>
  <c r="M3382" i="3"/>
  <c r="L3382" i="3"/>
  <c r="V3381" i="3"/>
  <c r="R3381" i="3"/>
  <c r="P3381" i="3"/>
  <c r="N3381" i="3"/>
  <c r="M3381" i="3"/>
  <c r="L3381" i="3"/>
  <c r="V3380" i="3"/>
  <c r="R3380" i="3"/>
  <c r="P3380" i="3"/>
  <c r="N3380" i="3"/>
  <c r="M3380" i="3"/>
  <c r="L3380" i="3"/>
  <c r="V3379" i="3"/>
  <c r="R3379" i="3"/>
  <c r="P3379" i="3"/>
  <c r="N3379" i="3"/>
  <c r="M3379" i="3"/>
  <c r="L3379" i="3"/>
  <c r="V3378" i="3"/>
  <c r="R3378" i="3"/>
  <c r="P3378" i="3"/>
  <c r="N3378" i="3"/>
  <c r="M3378" i="3"/>
  <c r="L3378" i="3"/>
  <c r="V3377" i="3"/>
  <c r="R3377" i="3"/>
  <c r="P3377" i="3"/>
  <c r="N3377" i="3"/>
  <c r="M3377" i="3"/>
  <c r="L3377" i="3"/>
  <c r="V3376" i="3"/>
  <c r="R3376" i="3"/>
  <c r="P3376" i="3"/>
  <c r="N3376" i="3"/>
  <c r="M3376" i="3"/>
  <c r="L3376" i="3"/>
  <c r="V3375" i="3"/>
  <c r="R3375" i="3"/>
  <c r="P3375" i="3"/>
  <c r="N3375" i="3"/>
  <c r="M3375" i="3"/>
  <c r="L3375" i="3"/>
  <c r="V3374" i="3"/>
  <c r="R3374" i="3"/>
  <c r="P3374" i="3"/>
  <c r="N3374" i="3"/>
  <c r="M3374" i="3"/>
  <c r="L3374" i="3"/>
  <c r="V3373" i="3"/>
  <c r="R3373" i="3"/>
  <c r="P3373" i="3"/>
  <c r="N3373" i="3"/>
  <c r="M3373" i="3"/>
  <c r="L3373" i="3"/>
  <c r="V3372" i="3"/>
  <c r="R3372" i="3"/>
  <c r="P3372" i="3"/>
  <c r="N3372" i="3"/>
  <c r="M3372" i="3"/>
  <c r="L3372" i="3"/>
  <c r="V3371" i="3"/>
  <c r="R3371" i="3"/>
  <c r="P3371" i="3"/>
  <c r="N3371" i="3"/>
  <c r="M3371" i="3"/>
  <c r="L3371" i="3"/>
  <c r="V3370" i="3"/>
  <c r="R3370" i="3"/>
  <c r="P3370" i="3"/>
  <c r="N3370" i="3"/>
  <c r="M3370" i="3"/>
  <c r="L3370" i="3"/>
  <c r="V3369" i="3"/>
  <c r="R3369" i="3"/>
  <c r="P3369" i="3"/>
  <c r="N3369" i="3"/>
  <c r="M3369" i="3"/>
  <c r="L3369" i="3"/>
  <c r="V3368" i="3"/>
  <c r="R3368" i="3"/>
  <c r="P3368" i="3"/>
  <c r="N3368" i="3"/>
  <c r="M3368" i="3"/>
  <c r="L3368" i="3"/>
  <c r="V3367" i="3"/>
  <c r="R3367" i="3"/>
  <c r="P3367" i="3"/>
  <c r="N3367" i="3"/>
  <c r="M3367" i="3"/>
  <c r="L3367" i="3"/>
  <c r="V3366" i="3"/>
  <c r="R3366" i="3"/>
  <c r="P3366" i="3"/>
  <c r="N3366" i="3"/>
  <c r="M3366" i="3"/>
  <c r="L3366" i="3"/>
  <c r="V3365" i="3"/>
  <c r="R3365" i="3"/>
  <c r="P3365" i="3"/>
  <c r="N3365" i="3"/>
  <c r="M3365" i="3"/>
  <c r="L3365" i="3"/>
  <c r="V3364" i="3"/>
  <c r="R3364" i="3"/>
  <c r="P3364" i="3"/>
  <c r="N3364" i="3"/>
  <c r="M3364" i="3"/>
  <c r="L3364" i="3"/>
  <c r="V3363" i="3"/>
  <c r="R3363" i="3"/>
  <c r="P3363" i="3"/>
  <c r="N3363" i="3"/>
  <c r="M3363" i="3"/>
  <c r="L3363" i="3"/>
  <c r="V3362" i="3"/>
  <c r="R3362" i="3"/>
  <c r="P3362" i="3"/>
  <c r="N3362" i="3"/>
  <c r="M3362" i="3"/>
  <c r="L3362" i="3"/>
  <c r="V3361" i="3"/>
  <c r="R3361" i="3"/>
  <c r="P3361" i="3"/>
  <c r="N3361" i="3"/>
  <c r="M3361" i="3"/>
  <c r="L3361" i="3"/>
  <c r="V3360" i="3"/>
  <c r="R3360" i="3"/>
  <c r="P3360" i="3"/>
  <c r="N3360" i="3"/>
  <c r="M3360" i="3"/>
  <c r="L3360" i="3"/>
  <c r="V3359" i="3"/>
  <c r="R3359" i="3"/>
  <c r="P3359" i="3"/>
  <c r="N3359" i="3"/>
  <c r="M3359" i="3"/>
  <c r="L3359" i="3"/>
  <c r="V3358" i="3"/>
  <c r="R3358" i="3"/>
  <c r="P3358" i="3"/>
  <c r="N3358" i="3"/>
  <c r="M3358" i="3"/>
  <c r="L3358" i="3"/>
  <c r="V3357" i="3"/>
  <c r="R3357" i="3"/>
  <c r="P3357" i="3"/>
  <c r="N3357" i="3"/>
  <c r="M3357" i="3"/>
  <c r="L3357" i="3"/>
  <c r="V3356" i="3"/>
  <c r="R3356" i="3"/>
  <c r="P3356" i="3"/>
  <c r="N3356" i="3"/>
  <c r="M3356" i="3"/>
  <c r="L3356" i="3"/>
  <c r="V3355" i="3"/>
  <c r="R3355" i="3"/>
  <c r="P3355" i="3"/>
  <c r="N3355" i="3"/>
  <c r="M3355" i="3"/>
  <c r="L3355" i="3"/>
  <c r="V3354" i="3"/>
  <c r="R3354" i="3"/>
  <c r="P3354" i="3"/>
  <c r="N3354" i="3"/>
  <c r="M3354" i="3"/>
  <c r="L3354" i="3"/>
  <c r="V3353" i="3"/>
  <c r="R3353" i="3"/>
  <c r="P3353" i="3"/>
  <c r="N3353" i="3"/>
  <c r="M3353" i="3"/>
  <c r="L3353" i="3"/>
  <c r="V3352" i="3"/>
  <c r="R3352" i="3"/>
  <c r="P3352" i="3"/>
  <c r="N3352" i="3"/>
  <c r="M3352" i="3"/>
  <c r="L3352" i="3"/>
  <c r="V3351" i="3"/>
  <c r="R3351" i="3"/>
  <c r="P3351" i="3"/>
  <c r="N3351" i="3"/>
  <c r="M3351" i="3"/>
  <c r="L3351" i="3"/>
  <c r="V3350" i="3"/>
  <c r="R3350" i="3"/>
  <c r="P3350" i="3"/>
  <c r="N3350" i="3"/>
  <c r="M3350" i="3"/>
  <c r="L3350" i="3"/>
  <c r="V3349" i="3"/>
  <c r="R3349" i="3"/>
  <c r="P3349" i="3"/>
  <c r="N3349" i="3"/>
  <c r="M3349" i="3"/>
  <c r="L3349" i="3"/>
  <c r="V3348" i="3"/>
  <c r="R3348" i="3"/>
  <c r="P3348" i="3"/>
  <c r="N3348" i="3"/>
  <c r="M3348" i="3"/>
  <c r="L3348" i="3"/>
  <c r="V3347" i="3"/>
  <c r="R3347" i="3"/>
  <c r="P3347" i="3"/>
  <c r="N3347" i="3"/>
  <c r="M3347" i="3"/>
  <c r="L3347" i="3"/>
  <c r="V3346" i="3"/>
  <c r="R3346" i="3"/>
  <c r="P3346" i="3"/>
  <c r="N3346" i="3"/>
  <c r="M3346" i="3"/>
  <c r="L3346" i="3"/>
  <c r="V3345" i="3"/>
  <c r="R3345" i="3"/>
  <c r="P3345" i="3"/>
  <c r="N3345" i="3"/>
  <c r="M3345" i="3"/>
  <c r="L3345" i="3"/>
  <c r="V3344" i="3"/>
  <c r="R3344" i="3"/>
  <c r="P3344" i="3"/>
  <c r="N3344" i="3"/>
  <c r="M3344" i="3"/>
  <c r="L3344" i="3"/>
  <c r="V3343" i="3"/>
  <c r="R3343" i="3"/>
  <c r="P3343" i="3"/>
  <c r="N3343" i="3"/>
  <c r="M3343" i="3"/>
  <c r="L3343" i="3"/>
  <c r="V3342" i="3"/>
  <c r="R3342" i="3"/>
  <c r="P3342" i="3"/>
  <c r="N3342" i="3"/>
  <c r="M3342" i="3"/>
  <c r="L3342" i="3"/>
  <c r="V3341" i="3"/>
  <c r="R3341" i="3"/>
  <c r="P3341" i="3"/>
  <c r="N3341" i="3"/>
  <c r="M3341" i="3"/>
  <c r="L3341" i="3"/>
  <c r="V3340" i="3"/>
  <c r="R3340" i="3"/>
  <c r="P3340" i="3"/>
  <c r="N3340" i="3"/>
  <c r="M3340" i="3"/>
  <c r="L3340" i="3"/>
  <c r="V3339" i="3"/>
  <c r="R3339" i="3"/>
  <c r="P3339" i="3"/>
  <c r="N3339" i="3"/>
  <c r="M3339" i="3"/>
  <c r="L3339" i="3"/>
  <c r="V3338" i="3"/>
  <c r="R3338" i="3"/>
  <c r="P3338" i="3"/>
  <c r="N3338" i="3"/>
  <c r="M3338" i="3"/>
  <c r="L3338" i="3"/>
  <c r="V3337" i="3"/>
  <c r="R3337" i="3"/>
  <c r="P3337" i="3"/>
  <c r="N3337" i="3"/>
  <c r="M3337" i="3"/>
  <c r="L3337" i="3"/>
  <c r="V3336" i="3"/>
  <c r="R3336" i="3"/>
  <c r="P3336" i="3"/>
  <c r="N3336" i="3"/>
  <c r="M3336" i="3"/>
  <c r="L3336" i="3"/>
  <c r="V3335" i="3"/>
  <c r="R3335" i="3"/>
  <c r="P3335" i="3"/>
  <c r="N3335" i="3"/>
  <c r="M3335" i="3"/>
  <c r="L3335" i="3"/>
  <c r="V3334" i="3"/>
  <c r="R3334" i="3"/>
  <c r="P3334" i="3"/>
  <c r="N3334" i="3"/>
  <c r="M3334" i="3"/>
  <c r="L3334" i="3"/>
  <c r="V3333" i="3"/>
  <c r="R3333" i="3"/>
  <c r="P3333" i="3"/>
  <c r="N3333" i="3"/>
  <c r="M3333" i="3"/>
  <c r="L3333" i="3"/>
  <c r="V3332" i="3"/>
  <c r="R3332" i="3"/>
  <c r="P3332" i="3"/>
  <c r="N3332" i="3"/>
  <c r="M3332" i="3"/>
  <c r="L3332" i="3"/>
  <c r="V3331" i="3"/>
  <c r="R3331" i="3"/>
  <c r="P3331" i="3"/>
  <c r="N3331" i="3"/>
  <c r="M3331" i="3"/>
  <c r="L3331" i="3"/>
  <c r="V3330" i="3"/>
  <c r="R3330" i="3"/>
  <c r="P3330" i="3"/>
  <c r="N3330" i="3"/>
  <c r="M3330" i="3"/>
  <c r="L3330" i="3"/>
  <c r="V3329" i="3"/>
  <c r="R3329" i="3"/>
  <c r="P3329" i="3"/>
  <c r="N3329" i="3"/>
  <c r="M3329" i="3"/>
  <c r="L3329" i="3"/>
  <c r="V3328" i="3"/>
  <c r="R3328" i="3"/>
  <c r="P3328" i="3"/>
  <c r="N3328" i="3"/>
  <c r="M3328" i="3"/>
  <c r="L3328" i="3"/>
  <c r="V3327" i="3"/>
  <c r="R3327" i="3"/>
  <c r="P3327" i="3"/>
  <c r="N3327" i="3"/>
  <c r="M3327" i="3"/>
  <c r="L3327" i="3"/>
  <c r="V3326" i="3"/>
  <c r="R3326" i="3"/>
  <c r="P3326" i="3"/>
  <c r="N3326" i="3"/>
  <c r="M3326" i="3"/>
  <c r="L3326" i="3"/>
  <c r="V3325" i="3"/>
  <c r="R3325" i="3"/>
  <c r="P3325" i="3"/>
  <c r="N3325" i="3"/>
  <c r="M3325" i="3"/>
  <c r="L3325" i="3"/>
  <c r="V3324" i="3"/>
  <c r="R3324" i="3"/>
  <c r="P3324" i="3"/>
  <c r="N3324" i="3"/>
  <c r="M3324" i="3"/>
  <c r="L3324" i="3"/>
  <c r="V3323" i="3"/>
  <c r="R3323" i="3"/>
  <c r="P3323" i="3"/>
  <c r="N3323" i="3"/>
  <c r="M3323" i="3"/>
  <c r="L3323" i="3"/>
  <c r="V3322" i="3"/>
  <c r="R3322" i="3"/>
  <c r="P3322" i="3"/>
  <c r="N3322" i="3"/>
  <c r="M3322" i="3"/>
  <c r="L3322" i="3"/>
  <c r="V3321" i="3"/>
  <c r="R3321" i="3"/>
  <c r="P3321" i="3"/>
  <c r="N3321" i="3"/>
  <c r="M3321" i="3"/>
  <c r="L3321" i="3"/>
  <c r="V3320" i="3"/>
  <c r="R3320" i="3"/>
  <c r="P3320" i="3"/>
  <c r="N3320" i="3"/>
  <c r="M3320" i="3"/>
  <c r="L3320" i="3"/>
  <c r="V3319" i="3"/>
  <c r="R3319" i="3"/>
  <c r="P3319" i="3"/>
  <c r="N3319" i="3"/>
  <c r="M3319" i="3"/>
  <c r="L3319" i="3"/>
  <c r="V3318" i="3"/>
  <c r="R3318" i="3"/>
  <c r="P3318" i="3"/>
  <c r="N3318" i="3"/>
  <c r="M3318" i="3"/>
  <c r="L3318" i="3"/>
  <c r="V3317" i="3"/>
  <c r="R3317" i="3"/>
  <c r="P3317" i="3"/>
  <c r="N3317" i="3"/>
  <c r="M3317" i="3"/>
  <c r="L3317" i="3"/>
  <c r="V3316" i="3"/>
  <c r="R3316" i="3"/>
  <c r="P3316" i="3"/>
  <c r="N3316" i="3"/>
  <c r="M3316" i="3"/>
  <c r="L3316" i="3"/>
  <c r="V3315" i="3"/>
  <c r="R3315" i="3"/>
  <c r="P3315" i="3"/>
  <c r="N3315" i="3"/>
  <c r="M3315" i="3"/>
  <c r="L3315" i="3"/>
  <c r="V3314" i="3"/>
  <c r="R3314" i="3"/>
  <c r="P3314" i="3"/>
  <c r="N3314" i="3"/>
  <c r="M3314" i="3"/>
  <c r="L3314" i="3"/>
  <c r="V3313" i="3"/>
  <c r="R3313" i="3"/>
  <c r="P3313" i="3"/>
  <c r="N3313" i="3"/>
  <c r="M3313" i="3"/>
  <c r="L3313" i="3"/>
  <c r="V3312" i="3"/>
  <c r="R3312" i="3"/>
  <c r="P3312" i="3"/>
  <c r="N3312" i="3"/>
  <c r="M3312" i="3"/>
  <c r="L3312" i="3"/>
  <c r="V3311" i="3"/>
  <c r="R3311" i="3"/>
  <c r="P3311" i="3"/>
  <c r="N3311" i="3"/>
  <c r="M3311" i="3"/>
  <c r="L3311" i="3"/>
  <c r="V3310" i="3"/>
  <c r="R3310" i="3"/>
  <c r="P3310" i="3"/>
  <c r="N3310" i="3"/>
  <c r="M3310" i="3"/>
  <c r="L3310" i="3"/>
  <c r="V3309" i="3"/>
  <c r="R3309" i="3"/>
  <c r="P3309" i="3"/>
  <c r="N3309" i="3"/>
  <c r="M3309" i="3"/>
  <c r="L3309" i="3"/>
  <c r="V3308" i="3"/>
  <c r="R3308" i="3"/>
  <c r="P3308" i="3"/>
  <c r="N3308" i="3"/>
  <c r="M3308" i="3"/>
  <c r="L3308" i="3"/>
  <c r="V3307" i="3"/>
  <c r="R3307" i="3"/>
  <c r="P3307" i="3"/>
  <c r="N3307" i="3"/>
  <c r="M3307" i="3"/>
  <c r="L3307" i="3"/>
  <c r="V3306" i="3"/>
  <c r="R3306" i="3"/>
  <c r="P3306" i="3"/>
  <c r="N3306" i="3"/>
  <c r="M3306" i="3"/>
  <c r="L3306" i="3"/>
  <c r="V3305" i="3"/>
  <c r="R3305" i="3"/>
  <c r="P3305" i="3"/>
  <c r="N3305" i="3"/>
  <c r="M3305" i="3"/>
  <c r="L3305" i="3"/>
  <c r="V3304" i="3"/>
  <c r="R3304" i="3"/>
  <c r="P3304" i="3"/>
  <c r="N3304" i="3"/>
  <c r="M3304" i="3"/>
  <c r="L3304" i="3"/>
  <c r="V3303" i="3"/>
  <c r="R3303" i="3"/>
  <c r="P3303" i="3"/>
  <c r="N3303" i="3"/>
  <c r="M3303" i="3"/>
  <c r="L3303" i="3"/>
  <c r="V3302" i="3"/>
  <c r="R3302" i="3"/>
  <c r="P3302" i="3"/>
  <c r="N3302" i="3"/>
  <c r="M3302" i="3"/>
  <c r="L3302" i="3"/>
  <c r="V3301" i="3"/>
  <c r="R3301" i="3"/>
  <c r="P3301" i="3"/>
  <c r="N3301" i="3"/>
  <c r="M3301" i="3"/>
  <c r="L3301" i="3"/>
  <c r="V3300" i="3"/>
  <c r="R3300" i="3"/>
  <c r="P3300" i="3"/>
  <c r="N3300" i="3"/>
  <c r="M3300" i="3"/>
  <c r="L3300" i="3"/>
  <c r="V3299" i="3"/>
  <c r="R3299" i="3"/>
  <c r="P3299" i="3"/>
  <c r="N3299" i="3"/>
  <c r="M3299" i="3"/>
  <c r="L3299" i="3"/>
  <c r="V3298" i="3"/>
  <c r="R3298" i="3"/>
  <c r="P3298" i="3"/>
  <c r="N3298" i="3"/>
  <c r="M3298" i="3"/>
  <c r="L3298" i="3"/>
  <c r="V3297" i="3"/>
  <c r="R3297" i="3"/>
  <c r="P3297" i="3"/>
  <c r="N3297" i="3"/>
  <c r="M3297" i="3"/>
  <c r="L3297" i="3"/>
  <c r="V3296" i="3"/>
  <c r="R3296" i="3"/>
  <c r="P3296" i="3"/>
  <c r="N3296" i="3"/>
  <c r="M3296" i="3"/>
  <c r="L3296" i="3"/>
  <c r="V3295" i="3"/>
  <c r="R3295" i="3"/>
  <c r="P3295" i="3"/>
  <c r="N3295" i="3"/>
  <c r="M3295" i="3"/>
  <c r="L3295" i="3"/>
  <c r="V3294" i="3"/>
  <c r="R3294" i="3"/>
  <c r="P3294" i="3"/>
  <c r="N3294" i="3"/>
  <c r="M3294" i="3"/>
  <c r="L3294" i="3"/>
  <c r="V3293" i="3"/>
  <c r="R3293" i="3"/>
  <c r="P3293" i="3"/>
  <c r="N3293" i="3"/>
  <c r="M3293" i="3"/>
  <c r="L3293" i="3"/>
  <c r="V3292" i="3"/>
  <c r="R3292" i="3"/>
  <c r="P3292" i="3"/>
  <c r="N3292" i="3"/>
  <c r="M3292" i="3"/>
  <c r="L3292" i="3"/>
  <c r="V3291" i="3"/>
  <c r="R3291" i="3"/>
  <c r="P3291" i="3"/>
  <c r="N3291" i="3"/>
  <c r="M3291" i="3"/>
  <c r="L3291" i="3"/>
  <c r="V3290" i="3"/>
  <c r="R3290" i="3"/>
  <c r="P3290" i="3"/>
  <c r="N3290" i="3"/>
  <c r="M3290" i="3"/>
  <c r="L3290" i="3"/>
  <c r="V3289" i="3"/>
  <c r="R3289" i="3"/>
  <c r="P3289" i="3"/>
  <c r="N3289" i="3"/>
  <c r="M3289" i="3"/>
  <c r="L3289" i="3"/>
  <c r="V3288" i="3"/>
  <c r="R3288" i="3"/>
  <c r="P3288" i="3"/>
  <c r="N3288" i="3"/>
  <c r="M3288" i="3"/>
  <c r="L3288" i="3"/>
  <c r="V3287" i="3"/>
  <c r="R3287" i="3"/>
  <c r="P3287" i="3"/>
  <c r="N3287" i="3"/>
  <c r="M3287" i="3"/>
  <c r="L3287" i="3"/>
  <c r="V3286" i="3"/>
  <c r="R3286" i="3"/>
  <c r="P3286" i="3"/>
  <c r="N3286" i="3"/>
  <c r="M3286" i="3"/>
  <c r="L3286" i="3"/>
  <c r="V3285" i="3"/>
  <c r="R3285" i="3"/>
  <c r="P3285" i="3"/>
  <c r="N3285" i="3"/>
  <c r="M3285" i="3"/>
  <c r="L3285" i="3"/>
  <c r="V3284" i="3"/>
  <c r="R3284" i="3"/>
  <c r="P3284" i="3"/>
  <c r="N3284" i="3"/>
  <c r="M3284" i="3"/>
  <c r="L3284" i="3"/>
  <c r="V3283" i="3"/>
  <c r="R3283" i="3"/>
  <c r="P3283" i="3"/>
  <c r="N3283" i="3"/>
  <c r="M3283" i="3"/>
  <c r="L3283" i="3"/>
  <c r="V3282" i="3"/>
  <c r="R3282" i="3"/>
  <c r="P3282" i="3"/>
  <c r="N3282" i="3"/>
  <c r="M3282" i="3"/>
  <c r="L3282" i="3"/>
  <c r="V3281" i="3"/>
  <c r="R3281" i="3"/>
  <c r="P3281" i="3"/>
  <c r="N3281" i="3"/>
  <c r="M3281" i="3"/>
  <c r="L3281" i="3"/>
  <c r="V3280" i="3"/>
  <c r="R3280" i="3"/>
  <c r="P3280" i="3"/>
  <c r="N3280" i="3"/>
  <c r="M3280" i="3"/>
  <c r="L3280" i="3"/>
  <c r="V3279" i="3"/>
  <c r="R3279" i="3"/>
  <c r="P3279" i="3"/>
  <c r="N3279" i="3"/>
  <c r="M3279" i="3"/>
  <c r="L3279" i="3"/>
  <c r="V3278" i="3"/>
  <c r="R3278" i="3"/>
  <c r="P3278" i="3"/>
  <c r="N3278" i="3"/>
  <c r="M3278" i="3"/>
  <c r="L3278" i="3"/>
  <c r="V3277" i="3"/>
  <c r="R3277" i="3"/>
  <c r="P3277" i="3"/>
  <c r="N3277" i="3"/>
  <c r="M3277" i="3"/>
  <c r="L3277" i="3"/>
  <c r="V3276" i="3"/>
  <c r="R3276" i="3"/>
  <c r="P3276" i="3"/>
  <c r="N3276" i="3"/>
  <c r="M3276" i="3"/>
  <c r="L3276" i="3"/>
  <c r="V3275" i="3"/>
  <c r="R3275" i="3"/>
  <c r="P3275" i="3"/>
  <c r="N3275" i="3"/>
  <c r="M3275" i="3"/>
  <c r="L3275" i="3"/>
  <c r="V3274" i="3"/>
  <c r="R3274" i="3"/>
  <c r="P3274" i="3"/>
  <c r="N3274" i="3"/>
  <c r="M3274" i="3"/>
  <c r="L3274" i="3"/>
  <c r="V3273" i="3"/>
  <c r="R3273" i="3"/>
  <c r="P3273" i="3"/>
  <c r="N3273" i="3"/>
  <c r="M3273" i="3"/>
  <c r="L3273" i="3"/>
  <c r="V3272" i="3"/>
  <c r="R3272" i="3"/>
  <c r="P3272" i="3"/>
  <c r="N3272" i="3"/>
  <c r="M3272" i="3"/>
  <c r="L3272" i="3"/>
  <c r="V3271" i="3"/>
  <c r="R3271" i="3"/>
  <c r="P3271" i="3"/>
  <c r="N3271" i="3"/>
  <c r="M3271" i="3"/>
  <c r="L3271" i="3"/>
  <c r="V3270" i="3"/>
  <c r="R3270" i="3"/>
  <c r="P3270" i="3"/>
  <c r="N3270" i="3"/>
  <c r="M3270" i="3"/>
  <c r="L3270" i="3"/>
  <c r="V3269" i="3"/>
  <c r="R3269" i="3"/>
  <c r="P3269" i="3"/>
  <c r="N3269" i="3"/>
  <c r="M3269" i="3"/>
  <c r="L3269" i="3"/>
  <c r="V3268" i="3"/>
  <c r="R3268" i="3"/>
  <c r="P3268" i="3"/>
  <c r="N3268" i="3"/>
  <c r="M3268" i="3"/>
  <c r="L3268" i="3"/>
  <c r="V3267" i="3"/>
  <c r="R3267" i="3"/>
  <c r="P3267" i="3"/>
  <c r="N3267" i="3"/>
  <c r="M3267" i="3"/>
  <c r="L3267" i="3"/>
  <c r="V3266" i="3"/>
  <c r="R3266" i="3"/>
  <c r="P3266" i="3"/>
  <c r="N3266" i="3"/>
  <c r="M3266" i="3"/>
  <c r="L3266" i="3"/>
  <c r="V3265" i="3"/>
  <c r="R3265" i="3"/>
  <c r="P3265" i="3"/>
  <c r="N3265" i="3"/>
  <c r="M3265" i="3"/>
  <c r="L3265" i="3"/>
  <c r="V3264" i="3"/>
  <c r="R3264" i="3"/>
  <c r="P3264" i="3"/>
  <c r="N3264" i="3"/>
  <c r="M3264" i="3"/>
  <c r="L3264" i="3"/>
  <c r="V3263" i="3"/>
  <c r="R3263" i="3"/>
  <c r="P3263" i="3"/>
  <c r="N3263" i="3"/>
  <c r="M3263" i="3"/>
  <c r="L3263" i="3"/>
  <c r="V3262" i="3"/>
  <c r="R3262" i="3"/>
  <c r="P3262" i="3"/>
  <c r="N3262" i="3"/>
  <c r="M3262" i="3"/>
  <c r="L3262" i="3"/>
  <c r="V3261" i="3"/>
  <c r="R3261" i="3"/>
  <c r="P3261" i="3"/>
  <c r="N3261" i="3"/>
  <c r="M3261" i="3"/>
  <c r="L3261" i="3"/>
  <c r="V3260" i="3"/>
  <c r="R3260" i="3"/>
  <c r="P3260" i="3"/>
  <c r="N3260" i="3"/>
  <c r="M3260" i="3"/>
  <c r="L3260" i="3"/>
  <c r="V3259" i="3"/>
  <c r="R3259" i="3"/>
  <c r="P3259" i="3"/>
  <c r="N3259" i="3"/>
  <c r="M3259" i="3"/>
  <c r="L3259" i="3"/>
  <c r="V3258" i="3"/>
  <c r="R3258" i="3"/>
  <c r="P3258" i="3"/>
  <c r="N3258" i="3"/>
  <c r="M3258" i="3"/>
  <c r="L3258" i="3"/>
  <c r="V3257" i="3"/>
  <c r="R3257" i="3"/>
  <c r="P3257" i="3"/>
  <c r="N3257" i="3"/>
  <c r="M3257" i="3"/>
  <c r="L3257" i="3"/>
  <c r="V3256" i="3"/>
  <c r="R3256" i="3"/>
  <c r="P3256" i="3"/>
  <c r="N3256" i="3"/>
  <c r="M3256" i="3"/>
  <c r="L3256" i="3"/>
  <c r="V3255" i="3"/>
  <c r="R3255" i="3"/>
  <c r="P3255" i="3"/>
  <c r="N3255" i="3"/>
  <c r="M3255" i="3"/>
  <c r="L3255" i="3"/>
  <c r="V3254" i="3"/>
  <c r="R3254" i="3"/>
  <c r="P3254" i="3"/>
  <c r="N3254" i="3"/>
  <c r="M3254" i="3"/>
  <c r="L3254" i="3"/>
  <c r="V3253" i="3"/>
  <c r="R3253" i="3"/>
  <c r="P3253" i="3"/>
  <c r="N3253" i="3"/>
  <c r="M3253" i="3"/>
  <c r="L3253" i="3"/>
  <c r="V3252" i="3"/>
  <c r="R3252" i="3"/>
  <c r="P3252" i="3"/>
  <c r="N3252" i="3"/>
  <c r="M3252" i="3"/>
  <c r="L3252" i="3"/>
  <c r="V3251" i="3"/>
  <c r="R3251" i="3"/>
  <c r="P3251" i="3"/>
  <c r="N3251" i="3"/>
  <c r="M3251" i="3"/>
  <c r="L3251" i="3"/>
  <c r="V3250" i="3"/>
  <c r="R3250" i="3"/>
  <c r="P3250" i="3"/>
  <c r="N3250" i="3"/>
  <c r="M3250" i="3"/>
  <c r="L3250" i="3"/>
  <c r="V3249" i="3"/>
  <c r="R3249" i="3"/>
  <c r="P3249" i="3"/>
  <c r="N3249" i="3"/>
  <c r="M3249" i="3"/>
  <c r="L3249" i="3"/>
  <c r="V3248" i="3"/>
  <c r="R3248" i="3"/>
  <c r="P3248" i="3"/>
  <c r="N3248" i="3"/>
  <c r="M3248" i="3"/>
  <c r="L3248" i="3"/>
  <c r="V3247" i="3"/>
  <c r="R3247" i="3"/>
  <c r="P3247" i="3"/>
  <c r="N3247" i="3"/>
  <c r="M3247" i="3"/>
  <c r="L3247" i="3"/>
  <c r="V3246" i="3"/>
  <c r="R3246" i="3"/>
  <c r="P3246" i="3"/>
  <c r="N3246" i="3"/>
  <c r="M3246" i="3"/>
  <c r="L3246" i="3"/>
  <c r="V3245" i="3"/>
  <c r="R3245" i="3"/>
  <c r="P3245" i="3"/>
  <c r="N3245" i="3"/>
  <c r="M3245" i="3"/>
  <c r="L3245" i="3"/>
  <c r="V3244" i="3"/>
  <c r="R3244" i="3"/>
  <c r="P3244" i="3"/>
  <c r="N3244" i="3"/>
  <c r="M3244" i="3"/>
  <c r="L3244" i="3"/>
  <c r="V3243" i="3"/>
  <c r="R3243" i="3"/>
  <c r="P3243" i="3"/>
  <c r="N3243" i="3"/>
  <c r="M3243" i="3"/>
  <c r="L3243" i="3"/>
  <c r="V3242" i="3"/>
  <c r="R3242" i="3"/>
  <c r="P3242" i="3"/>
  <c r="N3242" i="3"/>
  <c r="M3242" i="3"/>
  <c r="L3242" i="3"/>
  <c r="V3241" i="3"/>
  <c r="R3241" i="3"/>
  <c r="P3241" i="3"/>
  <c r="N3241" i="3"/>
  <c r="M3241" i="3"/>
  <c r="L3241" i="3"/>
  <c r="V3240" i="3"/>
  <c r="R3240" i="3"/>
  <c r="P3240" i="3"/>
  <c r="N3240" i="3"/>
  <c r="M3240" i="3"/>
  <c r="L3240" i="3"/>
  <c r="V3239" i="3"/>
  <c r="R3239" i="3"/>
  <c r="P3239" i="3"/>
  <c r="N3239" i="3"/>
  <c r="M3239" i="3"/>
  <c r="L3239" i="3"/>
  <c r="V3238" i="3"/>
  <c r="R3238" i="3"/>
  <c r="P3238" i="3"/>
  <c r="N3238" i="3"/>
  <c r="M3238" i="3"/>
  <c r="L3238" i="3"/>
  <c r="V3237" i="3"/>
  <c r="R3237" i="3"/>
  <c r="P3237" i="3"/>
  <c r="N3237" i="3"/>
  <c r="M3237" i="3"/>
  <c r="L3237" i="3"/>
  <c r="V3236" i="3"/>
  <c r="R3236" i="3"/>
  <c r="P3236" i="3"/>
  <c r="N3236" i="3"/>
  <c r="M3236" i="3"/>
  <c r="L3236" i="3"/>
  <c r="V3235" i="3"/>
  <c r="R3235" i="3"/>
  <c r="P3235" i="3"/>
  <c r="N3235" i="3"/>
  <c r="M3235" i="3"/>
  <c r="L3235" i="3"/>
  <c r="V3234" i="3"/>
  <c r="R3234" i="3"/>
  <c r="P3234" i="3"/>
  <c r="N3234" i="3"/>
  <c r="M3234" i="3"/>
  <c r="L3234" i="3"/>
  <c r="V3233" i="3"/>
  <c r="R3233" i="3"/>
  <c r="P3233" i="3"/>
  <c r="N3233" i="3"/>
  <c r="M3233" i="3"/>
  <c r="L3233" i="3"/>
  <c r="V3232" i="3"/>
  <c r="R3232" i="3"/>
  <c r="P3232" i="3"/>
  <c r="N3232" i="3"/>
  <c r="M3232" i="3"/>
  <c r="L3232" i="3"/>
  <c r="V3231" i="3"/>
  <c r="R3231" i="3"/>
  <c r="P3231" i="3"/>
  <c r="N3231" i="3"/>
  <c r="M3231" i="3"/>
  <c r="L3231" i="3"/>
  <c r="V3230" i="3"/>
  <c r="R3230" i="3"/>
  <c r="P3230" i="3"/>
  <c r="N3230" i="3"/>
  <c r="M3230" i="3"/>
  <c r="L3230" i="3"/>
  <c r="V3229" i="3"/>
  <c r="R3229" i="3"/>
  <c r="P3229" i="3"/>
  <c r="N3229" i="3"/>
  <c r="M3229" i="3"/>
  <c r="L3229" i="3"/>
  <c r="V3228" i="3"/>
  <c r="R3228" i="3"/>
  <c r="P3228" i="3"/>
  <c r="N3228" i="3"/>
  <c r="M3228" i="3"/>
  <c r="L3228" i="3"/>
  <c r="V3227" i="3"/>
  <c r="R3227" i="3"/>
  <c r="P3227" i="3"/>
  <c r="N3227" i="3"/>
  <c r="M3227" i="3"/>
  <c r="L3227" i="3"/>
  <c r="V3226" i="3"/>
  <c r="R3226" i="3"/>
  <c r="P3226" i="3"/>
  <c r="N3226" i="3"/>
  <c r="M3226" i="3"/>
  <c r="L3226" i="3"/>
  <c r="V3225" i="3"/>
  <c r="R3225" i="3"/>
  <c r="P3225" i="3"/>
  <c r="N3225" i="3"/>
  <c r="M3225" i="3"/>
  <c r="L3225" i="3"/>
  <c r="V3224" i="3"/>
  <c r="R3224" i="3"/>
  <c r="P3224" i="3"/>
  <c r="N3224" i="3"/>
  <c r="M3224" i="3"/>
  <c r="L3224" i="3"/>
  <c r="V3223" i="3"/>
  <c r="R3223" i="3"/>
  <c r="P3223" i="3"/>
  <c r="N3223" i="3"/>
  <c r="M3223" i="3"/>
  <c r="L3223" i="3"/>
  <c r="V3222" i="3"/>
  <c r="R3222" i="3"/>
  <c r="P3222" i="3"/>
  <c r="N3222" i="3"/>
  <c r="M3222" i="3"/>
  <c r="L3222" i="3"/>
  <c r="V3221" i="3"/>
  <c r="R3221" i="3"/>
  <c r="P3221" i="3"/>
  <c r="N3221" i="3"/>
  <c r="M3221" i="3"/>
  <c r="L3221" i="3"/>
  <c r="V3220" i="3"/>
  <c r="R3220" i="3"/>
  <c r="P3220" i="3"/>
  <c r="N3220" i="3"/>
  <c r="M3220" i="3"/>
  <c r="L3220" i="3"/>
  <c r="V3219" i="3"/>
  <c r="R3219" i="3"/>
  <c r="P3219" i="3"/>
  <c r="N3219" i="3"/>
  <c r="M3219" i="3"/>
  <c r="L3219" i="3"/>
  <c r="V3218" i="3"/>
  <c r="R3218" i="3"/>
  <c r="P3218" i="3"/>
  <c r="N3218" i="3"/>
  <c r="M3218" i="3"/>
  <c r="L3218" i="3"/>
  <c r="V3217" i="3"/>
  <c r="R3217" i="3"/>
  <c r="P3217" i="3"/>
  <c r="N3217" i="3"/>
  <c r="M3217" i="3"/>
  <c r="L3217" i="3"/>
  <c r="V3216" i="3"/>
  <c r="R3216" i="3"/>
  <c r="P3216" i="3"/>
  <c r="N3216" i="3"/>
  <c r="M3216" i="3"/>
  <c r="L3216" i="3"/>
  <c r="V3215" i="3"/>
  <c r="R3215" i="3"/>
  <c r="P3215" i="3"/>
  <c r="N3215" i="3"/>
  <c r="M3215" i="3"/>
  <c r="L3215" i="3"/>
  <c r="V3214" i="3"/>
  <c r="R3214" i="3"/>
  <c r="P3214" i="3"/>
  <c r="N3214" i="3"/>
  <c r="M3214" i="3"/>
  <c r="L3214" i="3"/>
  <c r="V3213" i="3"/>
  <c r="R3213" i="3"/>
  <c r="P3213" i="3"/>
  <c r="N3213" i="3"/>
  <c r="M3213" i="3"/>
  <c r="L3213" i="3"/>
  <c r="V3212" i="3"/>
  <c r="R3212" i="3"/>
  <c r="P3212" i="3"/>
  <c r="N3212" i="3"/>
  <c r="M3212" i="3"/>
  <c r="L3212" i="3"/>
  <c r="V3211" i="3"/>
  <c r="R3211" i="3"/>
  <c r="P3211" i="3"/>
  <c r="N3211" i="3"/>
  <c r="M3211" i="3"/>
  <c r="L3211" i="3"/>
  <c r="V3210" i="3"/>
  <c r="R3210" i="3"/>
  <c r="P3210" i="3"/>
  <c r="N3210" i="3"/>
  <c r="M3210" i="3"/>
  <c r="L3210" i="3"/>
  <c r="V3209" i="3"/>
  <c r="R3209" i="3"/>
  <c r="P3209" i="3"/>
  <c r="N3209" i="3"/>
  <c r="M3209" i="3"/>
  <c r="L3209" i="3"/>
  <c r="V3208" i="3"/>
  <c r="R3208" i="3"/>
  <c r="P3208" i="3"/>
  <c r="N3208" i="3"/>
  <c r="M3208" i="3"/>
  <c r="L3208" i="3"/>
  <c r="V3207" i="3"/>
  <c r="R3207" i="3"/>
  <c r="P3207" i="3"/>
  <c r="N3207" i="3"/>
  <c r="M3207" i="3"/>
  <c r="L3207" i="3"/>
  <c r="V3206" i="3"/>
  <c r="R3206" i="3"/>
  <c r="P3206" i="3"/>
  <c r="N3206" i="3"/>
  <c r="M3206" i="3"/>
  <c r="L3206" i="3"/>
  <c r="V3205" i="3"/>
  <c r="R3205" i="3"/>
  <c r="P3205" i="3"/>
  <c r="N3205" i="3"/>
  <c r="M3205" i="3"/>
  <c r="L3205" i="3"/>
  <c r="V3204" i="3"/>
  <c r="R3204" i="3"/>
  <c r="P3204" i="3"/>
  <c r="N3204" i="3"/>
  <c r="M3204" i="3"/>
  <c r="L3204" i="3"/>
  <c r="V3203" i="3"/>
  <c r="R3203" i="3"/>
  <c r="P3203" i="3"/>
  <c r="N3203" i="3"/>
  <c r="M3203" i="3"/>
  <c r="L3203" i="3"/>
  <c r="V3202" i="3"/>
  <c r="R3202" i="3"/>
  <c r="P3202" i="3"/>
  <c r="N3202" i="3"/>
  <c r="M3202" i="3"/>
  <c r="L3202" i="3"/>
  <c r="V3201" i="3"/>
  <c r="R3201" i="3"/>
  <c r="P3201" i="3"/>
  <c r="N3201" i="3"/>
  <c r="M3201" i="3"/>
  <c r="L3201" i="3"/>
  <c r="V3200" i="3"/>
  <c r="R3200" i="3"/>
  <c r="P3200" i="3"/>
  <c r="N3200" i="3"/>
  <c r="M3200" i="3"/>
  <c r="L3200" i="3"/>
  <c r="V3199" i="3"/>
  <c r="R3199" i="3"/>
  <c r="P3199" i="3"/>
  <c r="N3199" i="3"/>
  <c r="M3199" i="3"/>
  <c r="L3199" i="3"/>
  <c r="V3198" i="3"/>
  <c r="R3198" i="3"/>
  <c r="P3198" i="3"/>
  <c r="N3198" i="3"/>
  <c r="M3198" i="3"/>
  <c r="L3198" i="3"/>
  <c r="V3197" i="3"/>
  <c r="R3197" i="3"/>
  <c r="P3197" i="3"/>
  <c r="N3197" i="3"/>
  <c r="M3197" i="3"/>
  <c r="L3197" i="3"/>
  <c r="V3196" i="3"/>
  <c r="R3196" i="3"/>
  <c r="P3196" i="3"/>
  <c r="N3196" i="3"/>
  <c r="M3196" i="3"/>
  <c r="L3196" i="3"/>
  <c r="V3195" i="3"/>
  <c r="R3195" i="3"/>
  <c r="P3195" i="3"/>
  <c r="N3195" i="3"/>
  <c r="M3195" i="3"/>
  <c r="L3195" i="3"/>
  <c r="V3194" i="3"/>
  <c r="R3194" i="3"/>
  <c r="P3194" i="3"/>
  <c r="N3194" i="3"/>
  <c r="M3194" i="3"/>
  <c r="L3194" i="3"/>
  <c r="V3193" i="3"/>
  <c r="R3193" i="3"/>
  <c r="P3193" i="3"/>
  <c r="N3193" i="3"/>
  <c r="M3193" i="3"/>
  <c r="L3193" i="3"/>
  <c r="V3192" i="3"/>
  <c r="R3192" i="3"/>
  <c r="P3192" i="3"/>
  <c r="N3192" i="3"/>
  <c r="M3192" i="3"/>
  <c r="L3192" i="3"/>
  <c r="V3191" i="3"/>
  <c r="R3191" i="3"/>
  <c r="P3191" i="3"/>
  <c r="N3191" i="3"/>
  <c r="M3191" i="3"/>
  <c r="L3191" i="3"/>
  <c r="V3190" i="3"/>
  <c r="R3190" i="3"/>
  <c r="P3190" i="3"/>
  <c r="N3190" i="3"/>
  <c r="M3190" i="3"/>
  <c r="L3190" i="3"/>
  <c r="V3189" i="3"/>
  <c r="R3189" i="3"/>
  <c r="P3189" i="3"/>
  <c r="N3189" i="3"/>
  <c r="M3189" i="3"/>
  <c r="L3189" i="3"/>
  <c r="V3188" i="3"/>
  <c r="R3188" i="3"/>
  <c r="P3188" i="3"/>
  <c r="N3188" i="3"/>
  <c r="M3188" i="3"/>
  <c r="L3188" i="3"/>
  <c r="V3187" i="3"/>
  <c r="R3187" i="3"/>
  <c r="P3187" i="3"/>
  <c r="N3187" i="3"/>
  <c r="M3187" i="3"/>
  <c r="L3187" i="3"/>
  <c r="V3186" i="3"/>
  <c r="R3186" i="3"/>
  <c r="P3186" i="3"/>
  <c r="N3186" i="3"/>
  <c r="M3186" i="3"/>
  <c r="L3186" i="3"/>
  <c r="V3185" i="3"/>
  <c r="R3185" i="3"/>
  <c r="P3185" i="3"/>
  <c r="N3185" i="3"/>
  <c r="M3185" i="3"/>
  <c r="L3185" i="3"/>
  <c r="V3184" i="3"/>
  <c r="R3184" i="3"/>
  <c r="P3184" i="3"/>
  <c r="N3184" i="3"/>
  <c r="M3184" i="3"/>
  <c r="L3184" i="3"/>
  <c r="V3183" i="3"/>
  <c r="R3183" i="3"/>
  <c r="P3183" i="3"/>
  <c r="N3183" i="3"/>
  <c r="M3183" i="3"/>
  <c r="L3183" i="3"/>
  <c r="V3182" i="3"/>
  <c r="R3182" i="3"/>
  <c r="P3182" i="3"/>
  <c r="N3182" i="3"/>
  <c r="M3182" i="3"/>
  <c r="L3182" i="3"/>
  <c r="V3181" i="3"/>
  <c r="R3181" i="3"/>
  <c r="P3181" i="3"/>
  <c r="N3181" i="3"/>
  <c r="M3181" i="3"/>
  <c r="L3181" i="3"/>
  <c r="V3180" i="3"/>
  <c r="R3180" i="3"/>
  <c r="P3180" i="3"/>
  <c r="N3180" i="3"/>
  <c r="M3180" i="3"/>
  <c r="L3180" i="3"/>
  <c r="V3179" i="3"/>
  <c r="R3179" i="3"/>
  <c r="P3179" i="3"/>
  <c r="N3179" i="3"/>
  <c r="M3179" i="3"/>
  <c r="L3179" i="3"/>
  <c r="V3178" i="3"/>
  <c r="R3178" i="3"/>
  <c r="P3178" i="3"/>
  <c r="N3178" i="3"/>
  <c r="M3178" i="3"/>
  <c r="L3178" i="3"/>
  <c r="V3177" i="3"/>
  <c r="R3177" i="3"/>
  <c r="P3177" i="3"/>
  <c r="N3177" i="3"/>
  <c r="M3177" i="3"/>
  <c r="L3177" i="3"/>
  <c r="V3176" i="3"/>
  <c r="R3176" i="3"/>
  <c r="P3176" i="3"/>
  <c r="N3176" i="3"/>
  <c r="M3176" i="3"/>
  <c r="L3176" i="3"/>
  <c r="V3175" i="3"/>
  <c r="R3175" i="3"/>
  <c r="P3175" i="3"/>
  <c r="N3175" i="3"/>
  <c r="M3175" i="3"/>
  <c r="L3175" i="3"/>
  <c r="V3174" i="3"/>
  <c r="R3174" i="3"/>
  <c r="P3174" i="3"/>
  <c r="N3174" i="3"/>
  <c r="M3174" i="3"/>
  <c r="L3174" i="3"/>
  <c r="V3173" i="3"/>
  <c r="R3173" i="3"/>
  <c r="P3173" i="3"/>
  <c r="N3173" i="3"/>
  <c r="M3173" i="3"/>
  <c r="L3173" i="3"/>
  <c r="V3172" i="3"/>
  <c r="R3172" i="3"/>
  <c r="P3172" i="3"/>
  <c r="N3172" i="3"/>
  <c r="M3172" i="3"/>
  <c r="L3172" i="3"/>
  <c r="V3171" i="3"/>
  <c r="R3171" i="3"/>
  <c r="P3171" i="3"/>
  <c r="N3171" i="3"/>
  <c r="M3171" i="3"/>
  <c r="L3171" i="3"/>
  <c r="V3170" i="3"/>
  <c r="R3170" i="3"/>
  <c r="P3170" i="3"/>
  <c r="N3170" i="3"/>
  <c r="M3170" i="3"/>
  <c r="L3170" i="3"/>
  <c r="V3169" i="3"/>
  <c r="R3169" i="3"/>
  <c r="P3169" i="3"/>
  <c r="N3169" i="3"/>
  <c r="M3169" i="3"/>
  <c r="L3169" i="3"/>
  <c r="V3168" i="3"/>
  <c r="R3168" i="3"/>
  <c r="P3168" i="3"/>
  <c r="N3168" i="3"/>
  <c r="M3168" i="3"/>
  <c r="L3168" i="3"/>
  <c r="V3167" i="3"/>
  <c r="R3167" i="3"/>
  <c r="P3167" i="3"/>
  <c r="N3167" i="3"/>
  <c r="M3167" i="3"/>
  <c r="L3167" i="3"/>
  <c r="V3166" i="3"/>
  <c r="R3166" i="3"/>
  <c r="P3166" i="3"/>
  <c r="N3166" i="3"/>
  <c r="M3166" i="3"/>
  <c r="L3166" i="3"/>
  <c r="V3165" i="3"/>
  <c r="R3165" i="3"/>
  <c r="P3165" i="3"/>
  <c r="N3165" i="3"/>
  <c r="M3165" i="3"/>
  <c r="L3165" i="3"/>
  <c r="V3164" i="3"/>
  <c r="R3164" i="3"/>
  <c r="P3164" i="3"/>
  <c r="N3164" i="3"/>
  <c r="M3164" i="3"/>
  <c r="L3164" i="3"/>
  <c r="V3163" i="3"/>
  <c r="R3163" i="3"/>
  <c r="P3163" i="3"/>
  <c r="N3163" i="3"/>
  <c r="M3163" i="3"/>
  <c r="L3163" i="3"/>
  <c r="V3162" i="3"/>
  <c r="R3162" i="3"/>
  <c r="P3162" i="3"/>
  <c r="N3162" i="3"/>
  <c r="M3162" i="3"/>
  <c r="L3162" i="3"/>
  <c r="V3161" i="3"/>
  <c r="R3161" i="3"/>
  <c r="P3161" i="3"/>
  <c r="N3161" i="3"/>
  <c r="M3161" i="3"/>
  <c r="L3161" i="3"/>
  <c r="V3160" i="3"/>
  <c r="R3160" i="3"/>
  <c r="P3160" i="3"/>
  <c r="N3160" i="3"/>
  <c r="M3160" i="3"/>
  <c r="L3160" i="3"/>
  <c r="V3159" i="3"/>
  <c r="R3159" i="3"/>
  <c r="P3159" i="3"/>
  <c r="N3159" i="3"/>
  <c r="M3159" i="3"/>
  <c r="L3159" i="3"/>
  <c r="V3158" i="3"/>
  <c r="R3158" i="3"/>
  <c r="P3158" i="3"/>
  <c r="N3158" i="3"/>
  <c r="M3158" i="3"/>
  <c r="L3158" i="3"/>
  <c r="V3157" i="3"/>
  <c r="R3157" i="3"/>
  <c r="P3157" i="3"/>
  <c r="N3157" i="3"/>
  <c r="M3157" i="3"/>
  <c r="L3157" i="3"/>
  <c r="V3156" i="3"/>
  <c r="R3156" i="3"/>
  <c r="P3156" i="3"/>
  <c r="N3156" i="3"/>
  <c r="M3156" i="3"/>
  <c r="L3156" i="3"/>
  <c r="V3155" i="3"/>
  <c r="R3155" i="3"/>
  <c r="P3155" i="3"/>
  <c r="N3155" i="3"/>
  <c r="M3155" i="3"/>
  <c r="L3155" i="3"/>
  <c r="V3154" i="3"/>
  <c r="R3154" i="3"/>
  <c r="P3154" i="3"/>
  <c r="N3154" i="3"/>
  <c r="M3154" i="3"/>
  <c r="L3154" i="3"/>
  <c r="V3153" i="3"/>
  <c r="R3153" i="3"/>
  <c r="P3153" i="3"/>
  <c r="N3153" i="3"/>
  <c r="M3153" i="3"/>
  <c r="L3153" i="3"/>
  <c r="V3152" i="3"/>
  <c r="R3152" i="3"/>
  <c r="P3152" i="3"/>
  <c r="N3152" i="3"/>
  <c r="M3152" i="3"/>
  <c r="L3152" i="3"/>
  <c r="V3151" i="3"/>
  <c r="R3151" i="3"/>
  <c r="P3151" i="3"/>
  <c r="N3151" i="3"/>
  <c r="M3151" i="3"/>
  <c r="L3151" i="3"/>
  <c r="V3150" i="3"/>
  <c r="R3150" i="3"/>
  <c r="P3150" i="3"/>
  <c r="N3150" i="3"/>
  <c r="M3150" i="3"/>
  <c r="L3150" i="3"/>
  <c r="V3149" i="3"/>
  <c r="R3149" i="3"/>
  <c r="P3149" i="3"/>
  <c r="N3149" i="3"/>
  <c r="M3149" i="3"/>
  <c r="L3149" i="3"/>
  <c r="V3148" i="3"/>
  <c r="R3148" i="3"/>
  <c r="P3148" i="3"/>
  <c r="N3148" i="3"/>
  <c r="M3148" i="3"/>
  <c r="L3148" i="3"/>
  <c r="V3147" i="3"/>
  <c r="R3147" i="3"/>
  <c r="P3147" i="3"/>
  <c r="N3147" i="3"/>
  <c r="M3147" i="3"/>
  <c r="L3147" i="3"/>
  <c r="V3146" i="3"/>
  <c r="R3146" i="3"/>
  <c r="P3146" i="3"/>
  <c r="N3146" i="3"/>
  <c r="M3146" i="3"/>
  <c r="L3146" i="3"/>
  <c r="V3145" i="3"/>
  <c r="R3145" i="3"/>
  <c r="P3145" i="3"/>
  <c r="N3145" i="3"/>
  <c r="M3145" i="3"/>
  <c r="L3145" i="3"/>
  <c r="V3144" i="3"/>
  <c r="R3144" i="3"/>
  <c r="P3144" i="3"/>
  <c r="N3144" i="3"/>
  <c r="M3144" i="3"/>
  <c r="L3144" i="3"/>
  <c r="V3143" i="3"/>
  <c r="R3143" i="3"/>
  <c r="P3143" i="3"/>
  <c r="N3143" i="3"/>
  <c r="M3143" i="3"/>
  <c r="L3143" i="3"/>
  <c r="V3142" i="3"/>
  <c r="R3142" i="3"/>
  <c r="P3142" i="3"/>
  <c r="N3142" i="3"/>
  <c r="M3142" i="3"/>
  <c r="L3142" i="3"/>
  <c r="V3141" i="3"/>
  <c r="R3141" i="3"/>
  <c r="P3141" i="3"/>
  <c r="N3141" i="3"/>
  <c r="M3141" i="3"/>
  <c r="L3141" i="3"/>
  <c r="V3140" i="3"/>
  <c r="R3140" i="3"/>
  <c r="P3140" i="3"/>
  <c r="N3140" i="3"/>
  <c r="M3140" i="3"/>
  <c r="L3140" i="3"/>
  <c r="V3139" i="3"/>
  <c r="R3139" i="3"/>
  <c r="P3139" i="3"/>
  <c r="N3139" i="3"/>
  <c r="M3139" i="3"/>
  <c r="L3139" i="3"/>
  <c r="V3138" i="3"/>
  <c r="R3138" i="3"/>
  <c r="P3138" i="3"/>
  <c r="N3138" i="3"/>
  <c r="M3138" i="3"/>
  <c r="L3138" i="3"/>
  <c r="V3137" i="3"/>
  <c r="R3137" i="3"/>
  <c r="P3137" i="3"/>
  <c r="N3137" i="3"/>
  <c r="M3137" i="3"/>
  <c r="L3137" i="3"/>
  <c r="V3136" i="3"/>
  <c r="R3136" i="3"/>
  <c r="P3136" i="3"/>
  <c r="N3136" i="3"/>
  <c r="M3136" i="3"/>
  <c r="L3136" i="3"/>
  <c r="V3135" i="3"/>
  <c r="R3135" i="3"/>
  <c r="P3135" i="3"/>
  <c r="N3135" i="3"/>
  <c r="M3135" i="3"/>
  <c r="L3135" i="3"/>
  <c r="V3134" i="3"/>
  <c r="R3134" i="3"/>
  <c r="P3134" i="3"/>
  <c r="N3134" i="3"/>
  <c r="M3134" i="3"/>
  <c r="L3134" i="3"/>
  <c r="V3133" i="3"/>
  <c r="R3133" i="3"/>
  <c r="P3133" i="3"/>
  <c r="N3133" i="3"/>
  <c r="M3133" i="3"/>
  <c r="L3133" i="3"/>
  <c r="V3132" i="3"/>
  <c r="R3132" i="3"/>
  <c r="P3132" i="3"/>
  <c r="N3132" i="3"/>
  <c r="M3132" i="3"/>
  <c r="L3132" i="3"/>
  <c r="V3131" i="3"/>
  <c r="R3131" i="3"/>
  <c r="P3131" i="3"/>
  <c r="N3131" i="3"/>
  <c r="M3131" i="3"/>
  <c r="L3131" i="3"/>
  <c r="V3130" i="3"/>
  <c r="R3130" i="3"/>
  <c r="P3130" i="3"/>
  <c r="N3130" i="3"/>
  <c r="M3130" i="3"/>
  <c r="L3130" i="3"/>
  <c r="V3129" i="3"/>
  <c r="R3129" i="3"/>
  <c r="P3129" i="3"/>
  <c r="N3129" i="3"/>
  <c r="M3129" i="3"/>
  <c r="L3129" i="3"/>
  <c r="V3128" i="3"/>
  <c r="R3128" i="3"/>
  <c r="P3128" i="3"/>
  <c r="N3128" i="3"/>
  <c r="M3128" i="3"/>
  <c r="L3128" i="3"/>
  <c r="V3127" i="3"/>
  <c r="R3127" i="3"/>
  <c r="P3127" i="3"/>
  <c r="N3127" i="3"/>
  <c r="M3127" i="3"/>
  <c r="L3127" i="3"/>
  <c r="V3126" i="3"/>
  <c r="R3126" i="3"/>
  <c r="P3126" i="3"/>
  <c r="N3126" i="3"/>
  <c r="M3126" i="3"/>
  <c r="L3126" i="3"/>
  <c r="V3125" i="3"/>
  <c r="R3125" i="3"/>
  <c r="P3125" i="3"/>
  <c r="N3125" i="3"/>
  <c r="M3125" i="3"/>
  <c r="L3125" i="3"/>
  <c r="V3124" i="3"/>
  <c r="R3124" i="3"/>
  <c r="P3124" i="3"/>
  <c r="N3124" i="3"/>
  <c r="M3124" i="3"/>
  <c r="L3124" i="3"/>
  <c r="V3123" i="3"/>
  <c r="R3123" i="3"/>
  <c r="P3123" i="3"/>
  <c r="N3123" i="3"/>
  <c r="M3123" i="3"/>
  <c r="L3123" i="3"/>
  <c r="V3122" i="3"/>
  <c r="R3122" i="3"/>
  <c r="P3122" i="3"/>
  <c r="N3122" i="3"/>
  <c r="M3122" i="3"/>
  <c r="L3122" i="3"/>
  <c r="V3121" i="3"/>
  <c r="R3121" i="3"/>
  <c r="P3121" i="3"/>
  <c r="N3121" i="3"/>
  <c r="M3121" i="3"/>
  <c r="L3121" i="3"/>
  <c r="V3120" i="3"/>
  <c r="R3120" i="3"/>
  <c r="P3120" i="3"/>
  <c r="N3120" i="3"/>
  <c r="M3120" i="3"/>
  <c r="L3120" i="3"/>
  <c r="V3119" i="3"/>
  <c r="R3119" i="3"/>
  <c r="P3119" i="3"/>
  <c r="N3119" i="3"/>
  <c r="M3119" i="3"/>
  <c r="L3119" i="3"/>
  <c r="V3118" i="3"/>
  <c r="R3118" i="3"/>
  <c r="P3118" i="3"/>
  <c r="N3118" i="3"/>
  <c r="M3118" i="3"/>
  <c r="L3118" i="3"/>
  <c r="V3117" i="3"/>
  <c r="R3117" i="3"/>
  <c r="P3117" i="3"/>
  <c r="N3117" i="3"/>
  <c r="M3117" i="3"/>
  <c r="L3117" i="3"/>
  <c r="V3116" i="3"/>
  <c r="R3116" i="3"/>
  <c r="P3116" i="3"/>
  <c r="N3116" i="3"/>
  <c r="M3116" i="3"/>
  <c r="L3116" i="3"/>
  <c r="V3115" i="3"/>
  <c r="R3115" i="3"/>
  <c r="P3115" i="3"/>
  <c r="N3115" i="3"/>
  <c r="M3115" i="3"/>
  <c r="L3115" i="3"/>
  <c r="V3114" i="3"/>
  <c r="R3114" i="3"/>
  <c r="P3114" i="3"/>
  <c r="N3114" i="3"/>
  <c r="M3114" i="3"/>
  <c r="L3114" i="3"/>
  <c r="V3113" i="3"/>
  <c r="R3113" i="3"/>
  <c r="P3113" i="3"/>
  <c r="N3113" i="3"/>
  <c r="M3113" i="3"/>
  <c r="L3113" i="3"/>
  <c r="V3112" i="3"/>
  <c r="R3112" i="3"/>
  <c r="P3112" i="3"/>
  <c r="N3112" i="3"/>
  <c r="M3112" i="3"/>
  <c r="L3112" i="3"/>
  <c r="V3111" i="3"/>
  <c r="R3111" i="3"/>
  <c r="P3111" i="3"/>
  <c r="N3111" i="3"/>
  <c r="M3111" i="3"/>
  <c r="L3111" i="3"/>
  <c r="V3110" i="3"/>
  <c r="R3110" i="3"/>
  <c r="P3110" i="3"/>
  <c r="N3110" i="3"/>
  <c r="M3110" i="3"/>
  <c r="L3110" i="3"/>
  <c r="V3109" i="3"/>
  <c r="R3109" i="3"/>
  <c r="P3109" i="3"/>
  <c r="N3109" i="3"/>
  <c r="M3109" i="3"/>
  <c r="L3109" i="3"/>
  <c r="V3108" i="3"/>
  <c r="R3108" i="3"/>
  <c r="P3108" i="3"/>
  <c r="N3108" i="3"/>
  <c r="M3108" i="3"/>
  <c r="L3108" i="3"/>
  <c r="V3107" i="3"/>
  <c r="R3107" i="3"/>
  <c r="P3107" i="3"/>
  <c r="N3107" i="3"/>
  <c r="M3107" i="3"/>
  <c r="L3107" i="3"/>
  <c r="V3106" i="3"/>
  <c r="R3106" i="3"/>
  <c r="P3106" i="3"/>
  <c r="N3106" i="3"/>
  <c r="M3106" i="3"/>
  <c r="L3106" i="3"/>
  <c r="V3105" i="3"/>
  <c r="R3105" i="3"/>
  <c r="P3105" i="3"/>
  <c r="N3105" i="3"/>
  <c r="M3105" i="3"/>
  <c r="L3105" i="3"/>
  <c r="V3104" i="3"/>
  <c r="R3104" i="3"/>
  <c r="P3104" i="3"/>
  <c r="N3104" i="3"/>
  <c r="M3104" i="3"/>
  <c r="L3104" i="3"/>
  <c r="V3103" i="3"/>
  <c r="R3103" i="3"/>
  <c r="P3103" i="3"/>
  <c r="N3103" i="3"/>
  <c r="M3103" i="3"/>
  <c r="L3103" i="3"/>
  <c r="V3102" i="3"/>
  <c r="R3102" i="3"/>
  <c r="P3102" i="3"/>
  <c r="N3102" i="3"/>
  <c r="M3102" i="3"/>
  <c r="L3102" i="3"/>
  <c r="V3101" i="3"/>
  <c r="R3101" i="3"/>
  <c r="P3101" i="3"/>
  <c r="N3101" i="3"/>
  <c r="M3101" i="3"/>
  <c r="L3101" i="3"/>
  <c r="V3100" i="3"/>
  <c r="R3100" i="3"/>
  <c r="P3100" i="3"/>
  <c r="N3100" i="3"/>
  <c r="M3100" i="3"/>
  <c r="L3100" i="3"/>
  <c r="V3099" i="3"/>
  <c r="R3099" i="3"/>
  <c r="P3099" i="3"/>
  <c r="N3099" i="3"/>
  <c r="M3099" i="3"/>
  <c r="L3099" i="3"/>
  <c r="V3098" i="3"/>
  <c r="R3098" i="3"/>
  <c r="P3098" i="3"/>
  <c r="N3098" i="3"/>
  <c r="M3098" i="3"/>
  <c r="L3098" i="3"/>
  <c r="V3097" i="3"/>
  <c r="R3097" i="3"/>
  <c r="P3097" i="3"/>
  <c r="N3097" i="3"/>
  <c r="M3097" i="3"/>
  <c r="L3097" i="3"/>
  <c r="V3096" i="3"/>
  <c r="R3096" i="3"/>
  <c r="P3096" i="3"/>
  <c r="N3096" i="3"/>
  <c r="M3096" i="3"/>
  <c r="L3096" i="3"/>
  <c r="V3095" i="3"/>
  <c r="R3095" i="3"/>
  <c r="P3095" i="3"/>
  <c r="N3095" i="3"/>
  <c r="M3095" i="3"/>
  <c r="L3095" i="3"/>
  <c r="V3094" i="3"/>
  <c r="R3094" i="3"/>
  <c r="P3094" i="3"/>
  <c r="N3094" i="3"/>
  <c r="M3094" i="3"/>
  <c r="L3094" i="3"/>
  <c r="V3093" i="3"/>
  <c r="R3093" i="3"/>
  <c r="P3093" i="3"/>
  <c r="N3093" i="3"/>
  <c r="M3093" i="3"/>
  <c r="L3093" i="3"/>
  <c r="V3092" i="3"/>
  <c r="R3092" i="3"/>
  <c r="P3092" i="3"/>
  <c r="N3092" i="3"/>
  <c r="M3092" i="3"/>
  <c r="L3092" i="3"/>
  <c r="V3091" i="3"/>
  <c r="R3091" i="3"/>
  <c r="P3091" i="3"/>
  <c r="N3091" i="3"/>
  <c r="M3091" i="3"/>
  <c r="L3091" i="3"/>
  <c r="V3090" i="3"/>
  <c r="R3090" i="3"/>
  <c r="P3090" i="3"/>
  <c r="N3090" i="3"/>
  <c r="M3090" i="3"/>
  <c r="L3090" i="3"/>
  <c r="V3089" i="3"/>
  <c r="R3089" i="3"/>
  <c r="P3089" i="3"/>
  <c r="N3089" i="3"/>
  <c r="M3089" i="3"/>
  <c r="L3089" i="3"/>
  <c r="V3088" i="3"/>
  <c r="R3088" i="3"/>
  <c r="P3088" i="3"/>
  <c r="N3088" i="3"/>
  <c r="M3088" i="3"/>
  <c r="L3088" i="3"/>
  <c r="V3087" i="3"/>
  <c r="R3087" i="3"/>
  <c r="P3087" i="3"/>
  <c r="N3087" i="3"/>
  <c r="M3087" i="3"/>
  <c r="L3087" i="3"/>
  <c r="V3086" i="3"/>
  <c r="R3086" i="3"/>
  <c r="P3086" i="3"/>
  <c r="N3086" i="3"/>
  <c r="M3086" i="3"/>
  <c r="L3086" i="3"/>
  <c r="V3085" i="3"/>
  <c r="R3085" i="3"/>
  <c r="P3085" i="3"/>
  <c r="N3085" i="3"/>
  <c r="M3085" i="3"/>
  <c r="L3085" i="3"/>
  <c r="V3084" i="3"/>
  <c r="R3084" i="3"/>
  <c r="P3084" i="3"/>
  <c r="N3084" i="3"/>
  <c r="M3084" i="3"/>
  <c r="L3084" i="3"/>
  <c r="V3083" i="3"/>
  <c r="R3083" i="3"/>
  <c r="P3083" i="3"/>
  <c r="N3083" i="3"/>
  <c r="M3083" i="3"/>
  <c r="L3083" i="3"/>
  <c r="V3082" i="3"/>
  <c r="R3082" i="3"/>
  <c r="P3082" i="3"/>
  <c r="N3082" i="3"/>
  <c r="M3082" i="3"/>
  <c r="L3082" i="3"/>
  <c r="V3081" i="3"/>
  <c r="R3081" i="3"/>
  <c r="P3081" i="3"/>
  <c r="N3081" i="3"/>
  <c r="M3081" i="3"/>
  <c r="L3081" i="3"/>
  <c r="V3080" i="3"/>
  <c r="R3080" i="3"/>
  <c r="P3080" i="3"/>
  <c r="N3080" i="3"/>
  <c r="M3080" i="3"/>
  <c r="L3080" i="3"/>
  <c r="V3079" i="3"/>
  <c r="R3079" i="3"/>
  <c r="P3079" i="3"/>
  <c r="N3079" i="3"/>
  <c r="M3079" i="3"/>
  <c r="L3079" i="3"/>
  <c r="V3078" i="3"/>
  <c r="R3078" i="3"/>
  <c r="P3078" i="3"/>
  <c r="N3078" i="3"/>
  <c r="M3078" i="3"/>
  <c r="L3078" i="3"/>
  <c r="V3077" i="3"/>
  <c r="R3077" i="3"/>
  <c r="P3077" i="3"/>
  <c r="N3077" i="3"/>
  <c r="M3077" i="3"/>
  <c r="L3077" i="3"/>
  <c r="V3076" i="3"/>
  <c r="R3076" i="3"/>
  <c r="P3076" i="3"/>
  <c r="N3076" i="3"/>
  <c r="M3076" i="3"/>
  <c r="L3076" i="3"/>
  <c r="V3075" i="3"/>
  <c r="R3075" i="3"/>
  <c r="P3075" i="3"/>
  <c r="N3075" i="3"/>
  <c r="M3075" i="3"/>
  <c r="L3075" i="3"/>
  <c r="V3074" i="3"/>
  <c r="R3074" i="3"/>
  <c r="P3074" i="3"/>
  <c r="N3074" i="3"/>
  <c r="M3074" i="3"/>
  <c r="L3074" i="3"/>
  <c r="V3073" i="3"/>
  <c r="R3073" i="3"/>
  <c r="P3073" i="3"/>
  <c r="N3073" i="3"/>
  <c r="M3073" i="3"/>
  <c r="L3073" i="3"/>
  <c r="V3072" i="3"/>
  <c r="R3072" i="3"/>
  <c r="P3072" i="3"/>
  <c r="N3072" i="3"/>
  <c r="M3072" i="3"/>
  <c r="L3072" i="3"/>
  <c r="V3071" i="3"/>
  <c r="R3071" i="3"/>
  <c r="P3071" i="3"/>
  <c r="N3071" i="3"/>
  <c r="M3071" i="3"/>
  <c r="L3071" i="3"/>
  <c r="V3070" i="3"/>
  <c r="R3070" i="3"/>
  <c r="P3070" i="3"/>
  <c r="N3070" i="3"/>
  <c r="M3070" i="3"/>
  <c r="L3070" i="3"/>
  <c r="V3069" i="3"/>
  <c r="R3069" i="3"/>
  <c r="P3069" i="3"/>
  <c r="N3069" i="3"/>
  <c r="M3069" i="3"/>
  <c r="L3069" i="3"/>
  <c r="V3068" i="3"/>
  <c r="R3068" i="3"/>
  <c r="P3068" i="3"/>
  <c r="N3068" i="3"/>
  <c r="M3068" i="3"/>
  <c r="L3068" i="3"/>
  <c r="V3067" i="3"/>
  <c r="R3067" i="3"/>
  <c r="P3067" i="3"/>
  <c r="N3067" i="3"/>
  <c r="M3067" i="3"/>
  <c r="L3067" i="3"/>
  <c r="V3066" i="3"/>
  <c r="R3066" i="3"/>
  <c r="P3066" i="3"/>
  <c r="N3066" i="3"/>
  <c r="M3066" i="3"/>
  <c r="L3066" i="3"/>
  <c r="V3065" i="3"/>
  <c r="R3065" i="3"/>
  <c r="P3065" i="3"/>
  <c r="N3065" i="3"/>
  <c r="M3065" i="3"/>
  <c r="L3065" i="3"/>
  <c r="V3064" i="3"/>
  <c r="R3064" i="3"/>
  <c r="P3064" i="3"/>
  <c r="N3064" i="3"/>
  <c r="M3064" i="3"/>
  <c r="L3064" i="3"/>
  <c r="V3063" i="3"/>
  <c r="R3063" i="3"/>
  <c r="P3063" i="3"/>
  <c r="N3063" i="3"/>
  <c r="M3063" i="3"/>
  <c r="L3063" i="3"/>
  <c r="V3062" i="3"/>
  <c r="R3062" i="3"/>
  <c r="P3062" i="3"/>
  <c r="N3062" i="3"/>
  <c r="M3062" i="3"/>
  <c r="L3062" i="3"/>
  <c r="V3061" i="3"/>
  <c r="R3061" i="3"/>
  <c r="P3061" i="3"/>
  <c r="N3061" i="3"/>
  <c r="M3061" i="3"/>
  <c r="L3061" i="3"/>
  <c r="V3060" i="3"/>
  <c r="R3060" i="3"/>
  <c r="P3060" i="3"/>
  <c r="N3060" i="3"/>
  <c r="M3060" i="3"/>
  <c r="L3060" i="3"/>
  <c r="V3059" i="3"/>
  <c r="R3059" i="3"/>
  <c r="P3059" i="3"/>
  <c r="N3059" i="3"/>
  <c r="M3059" i="3"/>
  <c r="L3059" i="3"/>
  <c r="V3058" i="3"/>
  <c r="R3058" i="3"/>
  <c r="P3058" i="3"/>
  <c r="N3058" i="3"/>
  <c r="M3058" i="3"/>
  <c r="L3058" i="3"/>
  <c r="V3057" i="3"/>
  <c r="R3057" i="3"/>
  <c r="P3057" i="3"/>
  <c r="N3057" i="3"/>
  <c r="M3057" i="3"/>
  <c r="L3057" i="3"/>
  <c r="V3056" i="3"/>
  <c r="R3056" i="3"/>
  <c r="P3056" i="3"/>
  <c r="N3056" i="3"/>
  <c r="M3056" i="3"/>
  <c r="L3056" i="3"/>
  <c r="V3055" i="3"/>
  <c r="R3055" i="3"/>
  <c r="P3055" i="3"/>
  <c r="N3055" i="3"/>
  <c r="M3055" i="3"/>
  <c r="L3055" i="3"/>
  <c r="V3054" i="3"/>
  <c r="R3054" i="3"/>
  <c r="P3054" i="3"/>
  <c r="N3054" i="3"/>
  <c r="M3054" i="3"/>
  <c r="L3054" i="3"/>
  <c r="V3053" i="3"/>
  <c r="R3053" i="3"/>
  <c r="P3053" i="3"/>
  <c r="N3053" i="3"/>
  <c r="M3053" i="3"/>
  <c r="L3053" i="3"/>
  <c r="V3052" i="3"/>
  <c r="R3052" i="3"/>
  <c r="P3052" i="3"/>
  <c r="N3052" i="3"/>
  <c r="M3052" i="3"/>
  <c r="L3052" i="3"/>
  <c r="V3051" i="3"/>
  <c r="R3051" i="3"/>
  <c r="P3051" i="3"/>
  <c r="N3051" i="3"/>
  <c r="M3051" i="3"/>
  <c r="L3051" i="3"/>
  <c r="V3050" i="3"/>
  <c r="R3050" i="3"/>
  <c r="P3050" i="3"/>
  <c r="N3050" i="3"/>
  <c r="M3050" i="3"/>
  <c r="L3050" i="3"/>
  <c r="V3049" i="3"/>
  <c r="R3049" i="3"/>
  <c r="P3049" i="3"/>
  <c r="N3049" i="3"/>
  <c r="M3049" i="3"/>
  <c r="L3049" i="3"/>
  <c r="V3048" i="3"/>
  <c r="R3048" i="3"/>
  <c r="P3048" i="3"/>
  <c r="N3048" i="3"/>
  <c r="M3048" i="3"/>
  <c r="L3048" i="3"/>
  <c r="V3047" i="3"/>
  <c r="R3047" i="3"/>
  <c r="P3047" i="3"/>
  <c r="N3047" i="3"/>
  <c r="M3047" i="3"/>
  <c r="L3047" i="3"/>
  <c r="V3046" i="3"/>
  <c r="R3046" i="3"/>
  <c r="P3046" i="3"/>
  <c r="N3046" i="3"/>
  <c r="M3046" i="3"/>
  <c r="L3046" i="3"/>
  <c r="V3045" i="3"/>
  <c r="R3045" i="3"/>
  <c r="P3045" i="3"/>
  <c r="N3045" i="3"/>
  <c r="M3045" i="3"/>
  <c r="L3045" i="3"/>
  <c r="V3044" i="3"/>
  <c r="R3044" i="3"/>
  <c r="P3044" i="3"/>
  <c r="N3044" i="3"/>
  <c r="M3044" i="3"/>
  <c r="L3044" i="3"/>
  <c r="V3043" i="3"/>
  <c r="R3043" i="3"/>
  <c r="P3043" i="3"/>
  <c r="N3043" i="3"/>
  <c r="M3043" i="3"/>
  <c r="L3043" i="3"/>
  <c r="V3042" i="3"/>
  <c r="R3042" i="3"/>
  <c r="P3042" i="3"/>
  <c r="N3042" i="3"/>
  <c r="M3042" i="3"/>
  <c r="L3042" i="3"/>
  <c r="V3041" i="3"/>
  <c r="R3041" i="3"/>
  <c r="P3041" i="3"/>
  <c r="N3041" i="3"/>
  <c r="M3041" i="3"/>
  <c r="L3041" i="3"/>
  <c r="V3040" i="3"/>
  <c r="R3040" i="3"/>
  <c r="P3040" i="3"/>
  <c r="N3040" i="3"/>
  <c r="M3040" i="3"/>
  <c r="L3040" i="3"/>
  <c r="V3039" i="3"/>
  <c r="R3039" i="3"/>
  <c r="P3039" i="3"/>
  <c r="N3039" i="3"/>
  <c r="M3039" i="3"/>
  <c r="L3039" i="3"/>
  <c r="V3038" i="3"/>
  <c r="R3038" i="3"/>
  <c r="P3038" i="3"/>
  <c r="N3038" i="3"/>
  <c r="M3038" i="3"/>
  <c r="L3038" i="3"/>
  <c r="V3037" i="3"/>
  <c r="R3037" i="3"/>
  <c r="P3037" i="3"/>
  <c r="N3037" i="3"/>
  <c r="M3037" i="3"/>
  <c r="L3037" i="3"/>
  <c r="V3036" i="3"/>
  <c r="R3036" i="3"/>
  <c r="P3036" i="3"/>
  <c r="N3036" i="3"/>
  <c r="M3036" i="3"/>
  <c r="L3036" i="3"/>
  <c r="V3035" i="3"/>
  <c r="R3035" i="3"/>
  <c r="P3035" i="3"/>
  <c r="N3035" i="3"/>
  <c r="M3035" i="3"/>
  <c r="L3035" i="3"/>
  <c r="V3034" i="3"/>
  <c r="R3034" i="3"/>
  <c r="P3034" i="3"/>
  <c r="N3034" i="3"/>
  <c r="M3034" i="3"/>
  <c r="L3034" i="3"/>
  <c r="V3033" i="3"/>
  <c r="R3033" i="3"/>
  <c r="P3033" i="3"/>
  <c r="N3033" i="3"/>
  <c r="M3033" i="3"/>
  <c r="L3033" i="3"/>
  <c r="V3032" i="3"/>
  <c r="R3032" i="3"/>
  <c r="P3032" i="3"/>
  <c r="N3032" i="3"/>
  <c r="M3032" i="3"/>
  <c r="L3032" i="3"/>
  <c r="V3031" i="3"/>
  <c r="R3031" i="3"/>
  <c r="P3031" i="3"/>
  <c r="N3031" i="3"/>
  <c r="M3031" i="3"/>
  <c r="L3031" i="3"/>
  <c r="V3030" i="3"/>
  <c r="R3030" i="3"/>
  <c r="P3030" i="3"/>
  <c r="N3030" i="3"/>
  <c r="M3030" i="3"/>
  <c r="L3030" i="3"/>
  <c r="V3029" i="3"/>
  <c r="R3029" i="3"/>
  <c r="P3029" i="3"/>
  <c r="N3029" i="3"/>
  <c r="M3029" i="3"/>
  <c r="L3029" i="3"/>
  <c r="V3028" i="3"/>
  <c r="R3028" i="3"/>
  <c r="P3028" i="3"/>
  <c r="N3028" i="3"/>
  <c r="M3028" i="3"/>
  <c r="L3028" i="3"/>
  <c r="V3027" i="3"/>
  <c r="R3027" i="3"/>
  <c r="P3027" i="3"/>
  <c r="N3027" i="3"/>
  <c r="M3027" i="3"/>
  <c r="L3027" i="3"/>
  <c r="V3026" i="3"/>
  <c r="R3026" i="3"/>
  <c r="P3026" i="3"/>
  <c r="N3026" i="3"/>
  <c r="M3026" i="3"/>
  <c r="L3026" i="3"/>
  <c r="V3025" i="3"/>
  <c r="R3025" i="3"/>
  <c r="P3025" i="3"/>
  <c r="N3025" i="3"/>
  <c r="M3025" i="3"/>
  <c r="L3025" i="3"/>
  <c r="V3024" i="3"/>
  <c r="R3024" i="3"/>
  <c r="P3024" i="3"/>
  <c r="N3024" i="3"/>
  <c r="M3024" i="3"/>
  <c r="L3024" i="3"/>
  <c r="V3023" i="3"/>
  <c r="R3023" i="3"/>
  <c r="P3023" i="3"/>
  <c r="N3023" i="3"/>
  <c r="M3023" i="3"/>
  <c r="L3023" i="3"/>
  <c r="V3022" i="3"/>
  <c r="R3022" i="3"/>
  <c r="P3022" i="3"/>
  <c r="N3022" i="3"/>
  <c r="M3022" i="3"/>
  <c r="L3022" i="3"/>
  <c r="V3021" i="3"/>
  <c r="R3021" i="3"/>
  <c r="P3021" i="3"/>
  <c r="N3021" i="3"/>
  <c r="M3021" i="3"/>
  <c r="L3021" i="3"/>
  <c r="V3020" i="3"/>
  <c r="R3020" i="3"/>
  <c r="P3020" i="3"/>
  <c r="N3020" i="3"/>
  <c r="M3020" i="3"/>
  <c r="L3020" i="3"/>
  <c r="V3019" i="3"/>
  <c r="R3019" i="3"/>
  <c r="P3019" i="3"/>
  <c r="N3019" i="3"/>
  <c r="M3019" i="3"/>
  <c r="L3019" i="3"/>
  <c r="V3018" i="3"/>
  <c r="R3018" i="3"/>
  <c r="P3018" i="3"/>
  <c r="N3018" i="3"/>
  <c r="M3018" i="3"/>
  <c r="L3018" i="3"/>
  <c r="V3017" i="3"/>
  <c r="R3017" i="3"/>
  <c r="P3017" i="3"/>
  <c r="N3017" i="3"/>
  <c r="M3017" i="3"/>
  <c r="L3017" i="3"/>
  <c r="V3016" i="3"/>
  <c r="R3016" i="3"/>
  <c r="P3016" i="3"/>
  <c r="N3016" i="3"/>
  <c r="M3016" i="3"/>
  <c r="L3016" i="3"/>
  <c r="V3015" i="3"/>
  <c r="R3015" i="3"/>
  <c r="P3015" i="3"/>
  <c r="N3015" i="3"/>
  <c r="M3015" i="3"/>
  <c r="L3015" i="3"/>
  <c r="V3014" i="3"/>
  <c r="R3014" i="3"/>
  <c r="P3014" i="3"/>
  <c r="N3014" i="3"/>
  <c r="M3014" i="3"/>
  <c r="L3014" i="3"/>
  <c r="V3013" i="3"/>
  <c r="R3013" i="3"/>
  <c r="P3013" i="3"/>
  <c r="N3013" i="3"/>
  <c r="M3013" i="3"/>
  <c r="L3013" i="3"/>
  <c r="V3012" i="3"/>
  <c r="R3012" i="3"/>
  <c r="P3012" i="3"/>
  <c r="N3012" i="3"/>
  <c r="M3012" i="3"/>
  <c r="L3012" i="3"/>
  <c r="V3011" i="3"/>
  <c r="R3011" i="3"/>
  <c r="P3011" i="3"/>
  <c r="N3011" i="3"/>
  <c r="M3011" i="3"/>
  <c r="L3011" i="3"/>
  <c r="V3010" i="3"/>
  <c r="R3010" i="3"/>
  <c r="P3010" i="3"/>
  <c r="N3010" i="3"/>
  <c r="M3010" i="3"/>
  <c r="L3010" i="3"/>
  <c r="V3009" i="3"/>
  <c r="R3009" i="3"/>
  <c r="P3009" i="3"/>
  <c r="N3009" i="3"/>
  <c r="M3009" i="3"/>
  <c r="L3009" i="3"/>
  <c r="V3008" i="3"/>
  <c r="R3008" i="3"/>
  <c r="P3008" i="3"/>
  <c r="N3008" i="3"/>
  <c r="M3008" i="3"/>
  <c r="L3008" i="3"/>
  <c r="V3007" i="3"/>
  <c r="R3007" i="3"/>
  <c r="P3007" i="3"/>
  <c r="N3007" i="3"/>
  <c r="M3007" i="3"/>
  <c r="L3007" i="3"/>
  <c r="V3006" i="3"/>
  <c r="R3006" i="3"/>
  <c r="P3006" i="3"/>
  <c r="N3006" i="3"/>
  <c r="M3006" i="3"/>
  <c r="L3006" i="3"/>
  <c r="V3005" i="3"/>
  <c r="R3005" i="3"/>
  <c r="P3005" i="3"/>
  <c r="N3005" i="3"/>
  <c r="M3005" i="3"/>
  <c r="L3005" i="3"/>
  <c r="V3004" i="3"/>
  <c r="R3004" i="3"/>
  <c r="P3004" i="3"/>
  <c r="N3004" i="3"/>
  <c r="M3004" i="3"/>
  <c r="L3004" i="3"/>
  <c r="V3003" i="3"/>
  <c r="R3003" i="3"/>
  <c r="P3003" i="3"/>
  <c r="N3003" i="3"/>
  <c r="M3003" i="3"/>
  <c r="L3003" i="3"/>
  <c r="V3002" i="3"/>
  <c r="R3002" i="3"/>
  <c r="P3002" i="3"/>
  <c r="N3002" i="3"/>
  <c r="M3002" i="3"/>
  <c r="L3002" i="3"/>
  <c r="V3001" i="3"/>
  <c r="R3001" i="3"/>
  <c r="P3001" i="3"/>
  <c r="N3001" i="3"/>
  <c r="M3001" i="3"/>
  <c r="L3001" i="3"/>
  <c r="V3000" i="3"/>
  <c r="R3000" i="3"/>
  <c r="P3000" i="3"/>
  <c r="N3000" i="3"/>
  <c r="M3000" i="3"/>
  <c r="L3000" i="3"/>
  <c r="V2999" i="3"/>
  <c r="R2999" i="3"/>
  <c r="P2999" i="3"/>
  <c r="N2999" i="3"/>
  <c r="M2999" i="3"/>
  <c r="L2999" i="3"/>
  <c r="V2998" i="3"/>
  <c r="R2998" i="3"/>
  <c r="P2998" i="3"/>
  <c r="N2998" i="3"/>
  <c r="M2998" i="3"/>
  <c r="L2998" i="3"/>
  <c r="V2997" i="3"/>
  <c r="R2997" i="3"/>
  <c r="P2997" i="3"/>
  <c r="N2997" i="3"/>
  <c r="M2997" i="3"/>
  <c r="L2997" i="3"/>
  <c r="V2996" i="3"/>
  <c r="R2996" i="3"/>
  <c r="P2996" i="3"/>
  <c r="N2996" i="3"/>
  <c r="M2996" i="3"/>
  <c r="L2996" i="3"/>
  <c r="V2995" i="3"/>
  <c r="R2995" i="3"/>
  <c r="P2995" i="3"/>
  <c r="N2995" i="3"/>
  <c r="M2995" i="3"/>
  <c r="L2995" i="3"/>
  <c r="V2994" i="3"/>
  <c r="R2994" i="3"/>
  <c r="P2994" i="3"/>
  <c r="N2994" i="3"/>
  <c r="M2994" i="3"/>
  <c r="L2994" i="3"/>
  <c r="V2993" i="3"/>
  <c r="R2993" i="3"/>
  <c r="P2993" i="3"/>
  <c r="N2993" i="3"/>
  <c r="M2993" i="3"/>
  <c r="L2993" i="3"/>
  <c r="V2992" i="3"/>
  <c r="R2992" i="3"/>
  <c r="P2992" i="3"/>
  <c r="N2992" i="3"/>
  <c r="M2992" i="3"/>
  <c r="L2992" i="3"/>
  <c r="V2991" i="3"/>
  <c r="R2991" i="3"/>
  <c r="P2991" i="3"/>
  <c r="N2991" i="3"/>
  <c r="M2991" i="3"/>
  <c r="L2991" i="3"/>
  <c r="V2990" i="3"/>
  <c r="R2990" i="3"/>
  <c r="P2990" i="3"/>
  <c r="N2990" i="3"/>
  <c r="M2990" i="3"/>
  <c r="L2990" i="3"/>
  <c r="V2989" i="3"/>
  <c r="R2989" i="3"/>
  <c r="P2989" i="3"/>
  <c r="N2989" i="3"/>
  <c r="M2989" i="3"/>
  <c r="L2989" i="3"/>
  <c r="V2988" i="3"/>
  <c r="R2988" i="3"/>
  <c r="P2988" i="3"/>
  <c r="N2988" i="3"/>
  <c r="M2988" i="3"/>
  <c r="L2988" i="3"/>
  <c r="V2987" i="3"/>
  <c r="R2987" i="3"/>
  <c r="P2987" i="3"/>
  <c r="N2987" i="3"/>
  <c r="M2987" i="3"/>
  <c r="L2987" i="3"/>
  <c r="V2986" i="3"/>
  <c r="R2986" i="3"/>
  <c r="P2986" i="3"/>
  <c r="N2986" i="3"/>
  <c r="M2986" i="3"/>
  <c r="L2986" i="3"/>
  <c r="V2985" i="3"/>
  <c r="R2985" i="3"/>
  <c r="P2985" i="3"/>
  <c r="N2985" i="3"/>
  <c r="M2985" i="3"/>
  <c r="L2985" i="3"/>
  <c r="V2984" i="3"/>
  <c r="R2984" i="3"/>
  <c r="P2984" i="3"/>
  <c r="N2984" i="3"/>
  <c r="M2984" i="3"/>
  <c r="L2984" i="3"/>
  <c r="V2983" i="3"/>
  <c r="R2983" i="3"/>
  <c r="P2983" i="3"/>
  <c r="N2983" i="3"/>
  <c r="M2983" i="3"/>
  <c r="L2983" i="3"/>
  <c r="V2982" i="3"/>
  <c r="R2982" i="3"/>
  <c r="P2982" i="3"/>
  <c r="N2982" i="3"/>
  <c r="M2982" i="3"/>
  <c r="L2982" i="3"/>
  <c r="V2981" i="3"/>
  <c r="R2981" i="3"/>
  <c r="P2981" i="3"/>
  <c r="N2981" i="3"/>
  <c r="M2981" i="3"/>
  <c r="L2981" i="3"/>
  <c r="V2980" i="3"/>
  <c r="R2980" i="3"/>
  <c r="P2980" i="3"/>
  <c r="N2980" i="3"/>
  <c r="M2980" i="3"/>
  <c r="L2980" i="3"/>
  <c r="V2979" i="3"/>
  <c r="R2979" i="3"/>
  <c r="P2979" i="3"/>
  <c r="N2979" i="3"/>
  <c r="M2979" i="3"/>
  <c r="L2979" i="3"/>
  <c r="V2978" i="3"/>
  <c r="R2978" i="3"/>
  <c r="P2978" i="3"/>
  <c r="N2978" i="3"/>
  <c r="M2978" i="3"/>
  <c r="L2978" i="3"/>
  <c r="V2977" i="3"/>
  <c r="R2977" i="3"/>
  <c r="P2977" i="3"/>
  <c r="N2977" i="3"/>
  <c r="M2977" i="3"/>
  <c r="L2977" i="3"/>
  <c r="V2976" i="3"/>
  <c r="R2976" i="3"/>
  <c r="P2976" i="3"/>
  <c r="N2976" i="3"/>
  <c r="M2976" i="3"/>
  <c r="L2976" i="3"/>
  <c r="V2975" i="3"/>
  <c r="R2975" i="3"/>
  <c r="P2975" i="3"/>
  <c r="N2975" i="3"/>
  <c r="M2975" i="3"/>
  <c r="L2975" i="3"/>
  <c r="V2974" i="3"/>
  <c r="R2974" i="3"/>
  <c r="P2974" i="3"/>
  <c r="N2974" i="3"/>
  <c r="M2974" i="3"/>
  <c r="L2974" i="3"/>
  <c r="V2973" i="3"/>
  <c r="R2973" i="3"/>
  <c r="P2973" i="3"/>
  <c r="N2973" i="3"/>
  <c r="M2973" i="3"/>
  <c r="L2973" i="3"/>
  <c r="V2972" i="3"/>
  <c r="R2972" i="3"/>
  <c r="P2972" i="3"/>
  <c r="N2972" i="3"/>
  <c r="M2972" i="3"/>
  <c r="L2972" i="3"/>
  <c r="V2971" i="3"/>
  <c r="R2971" i="3"/>
  <c r="P2971" i="3"/>
  <c r="N2971" i="3"/>
  <c r="M2971" i="3"/>
  <c r="L2971" i="3"/>
  <c r="V2970" i="3"/>
  <c r="R2970" i="3"/>
  <c r="P2970" i="3"/>
  <c r="N2970" i="3"/>
  <c r="M2970" i="3"/>
  <c r="L2970" i="3"/>
  <c r="V2969" i="3"/>
  <c r="R2969" i="3"/>
  <c r="P2969" i="3"/>
  <c r="N2969" i="3"/>
  <c r="M2969" i="3"/>
  <c r="L2969" i="3"/>
  <c r="V2968" i="3"/>
  <c r="R2968" i="3"/>
  <c r="P2968" i="3"/>
  <c r="N2968" i="3"/>
  <c r="M2968" i="3"/>
  <c r="L2968" i="3"/>
  <c r="V2967" i="3"/>
  <c r="R2967" i="3"/>
  <c r="P2967" i="3"/>
  <c r="N2967" i="3"/>
  <c r="M2967" i="3"/>
  <c r="L2967" i="3"/>
  <c r="V2966" i="3"/>
  <c r="R2966" i="3"/>
  <c r="P2966" i="3"/>
  <c r="N2966" i="3"/>
  <c r="M2966" i="3"/>
  <c r="L2966" i="3"/>
  <c r="V2965" i="3"/>
  <c r="R2965" i="3"/>
  <c r="P2965" i="3"/>
  <c r="N2965" i="3"/>
  <c r="M2965" i="3"/>
  <c r="L2965" i="3"/>
  <c r="V2964" i="3"/>
  <c r="R2964" i="3"/>
  <c r="P2964" i="3"/>
  <c r="N2964" i="3"/>
  <c r="M2964" i="3"/>
  <c r="L2964" i="3"/>
  <c r="V2963" i="3"/>
  <c r="R2963" i="3"/>
  <c r="P2963" i="3"/>
  <c r="N2963" i="3"/>
  <c r="M2963" i="3"/>
  <c r="L2963" i="3"/>
  <c r="V2962" i="3"/>
  <c r="R2962" i="3"/>
  <c r="P2962" i="3"/>
  <c r="N2962" i="3"/>
  <c r="M2962" i="3"/>
  <c r="L2962" i="3"/>
  <c r="V2961" i="3"/>
  <c r="R2961" i="3"/>
  <c r="P2961" i="3"/>
  <c r="N2961" i="3"/>
  <c r="M2961" i="3"/>
  <c r="L2961" i="3"/>
  <c r="V2960" i="3"/>
  <c r="R2960" i="3"/>
  <c r="P2960" i="3"/>
  <c r="N2960" i="3"/>
  <c r="M2960" i="3"/>
  <c r="L2960" i="3"/>
  <c r="V2959" i="3"/>
  <c r="R2959" i="3"/>
  <c r="P2959" i="3"/>
  <c r="N2959" i="3"/>
  <c r="M2959" i="3"/>
  <c r="L2959" i="3"/>
  <c r="V2958" i="3"/>
  <c r="R2958" i="3"/>
  <c r="P2958" i="3"/>
  <c r="N2958" i="3"/>
  <c r="M2958" i="3"/>
  <c r="L2958" i="3"/>
  <c r="V2957" i="3"/>
  <c r="R2957" i="3"/>
  <c r="P2957" i="3"/>
  <c r="N2957" i="3"/>
  <c r="M2957" i="3"/>
  <c r="L2957" i="3"/>
  <c r="V2956" i="3"/>
  <c r="R2956" i="3"/>
  <c r="P2956" i="3"/>
  <c r="N2956" i="3"/>
  <c r="M2956" i="3"/>
  <c r="L2956" i="3"/>
  <c r="V2955" i="3"/>
  <c r="R2955" i="3"/>
  <c r="P2955" i="3"/>
  <c r="N2955" i="3"/>
  <c r="M2955" i="3"/>
  <c r="L2955" i="3"/>
  <c r="V2954" i="3"/>
  <c r="R2954" i="3"/>
  <c r="P2954" i="3"/>
  <c r="N2954" i="3"/>
  <c r="M2954" i="3"/>
  <c r="L2954" i="3"/>
  <c r="V2953" i="3"/>
  <c r="R2953" i="3"/>
  <c r="P2953" i="3"/>
  <c r="N2953" i="3"/>
  <c r="M2953" i="3"/>
  <c r="L2953" i="3"/>
  <c r="V2952" i="3"/>
  <c r="R2952" i="3"/>
  <c r="P2952" i="3"/>
  <c r="N2952" i="3"/>
  <c r="M2952" i="3"/>
  <c r="L2952" i="3"/>
  <c r="V2951" i="3"/>
  <c r="R2951" i="3"/>
  <c r="P2951" i="3"/>
  <c r="N2951" i="3"/>
  <c r="M2951" i="3"/>
  <c r="L2951" i="3"/>
  <c r="V2950" i="3"/>
  <c r="R2950" i="3"/>
  <c r="P2950" i="3"/>
  <c r="N2950" i="3"/>
  <c r="M2950" i="3"/>
  <c r="L2950" i="3"/>
  <c r="V2949" i="3"/>
  <c r="R2949" i="3"/>
  <c r="P2949" i="3"/>
  <c r="N2949" i="3"/>
  <c r="M2949" i="3"/>
  <c r="L2949" i="3"/>
  <c r="V2948" i="3"/>
  <c r="R2948" i="3"/>
  <c r="P2948" i="3"/>
  <c r="N2948" i="3"/>
  <c r="M2948" i="3"/>
  <c r="L2948" i="3"/>
  <c r="V2947" i="3"/>
  <c r="R2947" i="3"/>
  <c r="P2947" i="3"/>
  <c r="N2947" i="3"/>
  <c r="M2947" i="3"/>
  <c r="L2947" i="3"/>
  <c r="V2946" i="3"/>
  <c r="R2946" i="3"/>
  <c r="P2946" i="3"/>
  <c r="N2946" i="3"/>
  <c r="M2946" i="3"/>
  <c r="L2946" i="3"/>
  <c r="V2945" i="3"/>
  <c r="R2945" i="3"/>
  <c r="P2945" i="3"/>
  <c r="N2945" i="3"/>
  <c r="M2945" i="3"/>
  <c r="L2945" i="3"/>
  <c r="V2944" i="3"/>
  <c r="R2944" i="3"/>
  <c r="P2944" i="3"/>
  <c r="N2944" i="3"/>
  <c r="M2944" i="3"/>
  <c r="L2944" i="3"/>
  <c r="V2943" i="3"/>
  <c r="R2943" i="3"/>
  <c r="P2943" i="3"/>
  <c r="N2943" i="3"/>
  <c r="M2943" i="3"/>
  <c r="L2943" i="3"/>
  <c r="V2942" i="3"/>
  <c r="R2942" i="3"/>
  <c r="P2942" i="3"/>
  <c r="N2942" i="3"/>
  <c r="M2942" i="3"/>
  <c r="L2942" i="3"/>
  <c r="V2941" i="3"/>
  <c r="R2941" i="3"/>
  <c r="P2941" i="3"/>
  <c r="N2941" i="3"/>
  <c r="M2941" i="3"/>
  <c r="L2941" i="3"/>
  <c r="V2940" i="3"/>
  <c r="R2940" i="3"/>
  <c r="P2940" i="3"/>
  <c r="N2940" i="3"/>
  <c r="M2940" i="3"/>
  <c r="L2940" i="3"/>
  <c r="V2939" i="3"/>
  <c r="R2939" i="3"/>
  <c r="P2939" i="3"/>
  <c r="N2939" i="3"/>
  <c r="M2939" i="3"/>
  <c r="L2939" i="3"/>
  <c r="V2938" i="3"/>
  <c r="R2938" i="3"/>
  <c r="P2938" i="3"/>
  <c r="N2938" i="3"/>
  <c r="M2938" i="3"/>
  <c r="L2938" i="3"/>
  <c r="V2937" i="3"/>
  <c r="R2937" i="3"/>
  <c r="P2937" i="3"/>
  <c r="N2937" i="3"/>
  <c r="M2937" i="3"/>
  <c r="L2937" i="3"/>
  <c r="V2936" i="3"/>
  <c r="R2936" i="3"/>
  <c r="P2936" i="3"/>
  <c r="N2936" i="3"/>
  <c r="M2936" i="3"/>
  <c r="L2936" i="3"/>
  <c r="V2935" i="3"/>
  <c r="R2935" i="3"/>
  <c r="P2935" i="3"/>
  <c r="N2935" i="3"/>
  <c r="M2935" i="3"/>
  <c r="L2935" i="3"/>
  <c r="V2934" i="3"/>
  <c r="R2934" i="3"/>
  <c r="P2934" i="3"/>
  <c r="N2934" i="3"/>
  <c r="M2934" i="3"/>
  <c r="L2934" i="3"/>
  <c r="V2933" i="3"/>
  <c r="R2933" i="3"/>
  <c r="P2933" i="3"/>
  <c r="N2933" i="3"/>
  <c r="M2933" i="3"/>
  <c r="L2933" i="3"/>
  <c r="V2932" i="3"/>
  <c r="R2932" i="3"/>
  <c r="P2932" i="3"/>
  <c r="N2932" i="3"/>
  <c r="M2932" i="3"/>
  <c r="L2932" i="3"/>
  <c r="V2931" i="3"/>
  <c r="R2931" i="3"/>
  <c r="P2931" i="3"/>
  <c r="N2931" i="3"/>
  <c r="M2931" i="3"/>
  <c r="L2931" i="3"/>
  <c r="V2930" i="3"/>
  <c r="R2930" i="3"/>
  <c r="P2930" i="3"/>
  <c r="N2930" i="3"/>
  <c r="M2930" i="3"/>
  <c r="L2930" i="3"/>
  <c r="V2929" i="3"/>
  <c r="R2929" i="3"/>
  <c r="P2929" i="3"/>
  <c r="N2929" i="3"/>
  <c r="M2929" i="3"/>
  <c r="L2929" i="3"/>
  <c r="V2928" i="3"/>
  <c r="R2928" i="3"/>
  <c r="P2928" i="3"/>
  <c r="N2928" i="3"/>
  <c r="M2928" i="3"/>
  <c r="L2928" i="3"/>
  <c r="V2927" i="3"/>
  <c r="R2927" i="3"/>
  <c r="P2927" i="3"/>
  <c r="N2927" i="3"/>
  <c r="M2927" i="3"/>
  <c r="L2927" i="3"/>
  <c r="V2926" i="3"/>
  <c r="R2926" i="3"/>
  <c r="P2926" i="3"/>
  <c r="N2926" i="3"/>
  <c r="M2926" i="3"/>
  <c r="L2926" i="3"/>
  <c r="V2925" i="3"/>
  <c r="R2925" i="3"/>
  <c r="P2925" i="3"/>
  <c r="N2925" i="3"/>
  <c r="M2925" i="3"/>
  <c r="L2925" i="3"/>
  <c r="V2924" i="3"/>
  <c r="R2924" i="3"/>
  <c r="P2924" i="3"/>
  <c r="N2924" i="3"/>
  <c r="M2924" i="3"/>
  <c r="L2924" i="3"/>
  <c r="V2923" i="3"/>
  <c r="R2923" i="3"/>
  <c r="P2923" i="3"/>
  <c r="N2923" i="3"/>
  <c r="M2923" i="3"/>
  <c r="L2923" i="3"/>
  <c r="V2922" i="3"/>
  <c r="R2922" i="3"/>
  <c r="P2922" i="3"/>
  <c r="N2922" i="3"/>
  <c r="M2922" i="3"/>
  <c r="L2922" i="3"/>
  <c r="V2921" i="3"/>
  <c r="R2921" i="3"/>
  <c r="P2921" i="3"/>
  <c r="N2921" i="3"/>
  <c r="M2921" i="3"/>
  <c r="L2921" i="3"/>
  <c r="V2920" i="3"/>
  <c r="R2920" i="3"/>
  <c r="P2920" i="3"/>
  <c r="N2920" i="3"/>
  <c r="M2920" i="3"/>
  <c r="L2920" i="3"/>
  <c r="V2919" i="3"/>
  <c r="R2919" i="3"/>
  <c r="P2919" i="3"/>
  <c r="N2919" i="3"/>
  <c r="M2919" i="3"/>
  <c r="L2919" i="3"/>
  <c r="V2918" i="3"/>
  <c r="R2918" i="3"/>
  <c r="P2918" i="3"/>
  <c r="N2918" i="3"/>
  <c r="M2918" i="3"/>
  <c r="L2918" i="3"/>
  <c r="V2917" i="3"/>
  <c r="R2917" i="3"/>
  <c r="P2917" i="3"/>
  <c r="N2917" i="3"/>
  <c r="M2917" i="3"/>
  <c r="L2917" i="3"/>
  <c r="V2916" i="3"/>
  <c r="R2916" i="3"/>
  <c r="P2916" i="3"/>
  <c r="N2916" i="3"/>
  <c r="M2916" i="3"/>
  <c r="L2916" i="3"/>
  <c r="V2915" i="3"/>
  <c r="R2915" i="3"/>
  <c r="P2915" i="3"/>
  <c r="N2915" i="3"/>
  <c r="M2915" i="3"/>
  <c r="L2915" i="3"/>
  <c r="V2914" i="3"/>
  <c r="R2914" i="3"/>
  <c r="P2914" i="3"/>
  <c r="N2914" i="3"/>
  <c r="M2914" i="3"/>
  <c r="L2914" i="3"/>
  <c r="V2913" i="3"/>
  <c r="R2913" i="3"/>
  <c r="P2913" i="3"/>
  <c r="N2913" i="3"/>
  <c r="M2913" i="3"/>
  <c r="L2913" i="3"/>
  <c r="V2912" i="3"/>
  <c r="R2912" i="3"/>
  <c r="P2912" i="3"/>
  <c r="N2912" i="3"/>
  <c r="M2912" i="3"/>
  <c r="L2912" i="3"/>
  <c r="V2911" i="3"/>
  <c r="R2911" i="3"/>
  <c r="P2911" i="3"/>
  <c r="N2911" i="3"/>
  <c r="M2911" i="3"/>
  <c r="L2911" i="3"/>
  <c r="V2910" i="3"/>
  <c r="R2910" i="3"/>
  <c r="P2910" i="3"/>
  <c r="N2910" i="3"/>
  <c r="M2910" i="3"/>
  <c r="L2910" i="3"/>
  <c r="V2909" i="3"/>
  <c r="R2909" i="3"/>
  <c r="P2909" i="3"/>
  <c r="N2909" i="3"/>
  <c r="M2909" i="3"/>
  <c r="L2909" i="3"/>
  <c r="V2908" i="3"/>
  <c r="R2908" i="3"/>
  <c r="P2908" i="3"/>
  <c r="N2908" i="3"/>
  <c r="M2908" i="3"/>
  <c r="L2908" i="3"/>
  <c r="V2907" i="3"/>
  <c r="R2907" i="3"/>
  <c r="P2907" i="3"/>
  <c r="N2907" i="3"/>
  <c r="M2907" i="3"/>
  <c r="L2907" i="3"/>
  <c r="V2906" i="3"/>
  <c r="R2906" i="3"/>
  <c r="P2906" i="3"/>
  <c r="N2906" i="3"/>
  <c r="M2906" i="3"/>
  <c r="L2906" i="3"/>
  <c r="V2905" i="3"/>
  <c r="R2905" i="3"/>
  <c r="P2905" i="3"/>
  <c r="N2905" i="3"/>
  <c r="M2905" i="3"/>
  <c r="L2905" i="3"/>
  <c r="V2904" i="3"/>
  <c r="R2904" i="3"/>
  <c r="P2904" i="3"/>
  <c r="N2904" i="3"/>
  <c r="M2904" i="3"/>
  <c r="L2904" i="3"/>
  <c r="V2903" i="3"/>
  <c r="R2903" i="3"/>
  <c r="P2903" i="3"/>
  <c r="N2903" i="3"/>
  <c r="M2903" i="3"/>
  <c r="L2903" i="3"/>
  <c r="V2902" i="3"/>
  <c r="R2902" i="3"/>
  <c r="P2902" i="3"/>
  <c r="N2902" i="3"/>
  <c r="M2902" i="3"/>
  <c r="L2902" i="3"/>
  <c r="V2901" i="3"/>
  <c r="R2901" i="3"/>
  <c r="P2901" i="3"/>
  <c r="N2901" i="3"/>
  <c r="M2901" i="3"/>
  <c r="L2901" i="3"/>
  <c r="V2900" i="3"/>
  <c r="R2900" i="3"/>
  <c r="P2900" i="3"/>
  <c r="N2900" i="3"/>
  <c r="M2900" i="3"/>
  <c r="L2900" i="3"/>
  <c r="V2835" i="3"/>
  <c r="R2835" i="3"/>
  <c r="P2835" i="3"/>
  <c r="N2835" i="3"/>
  <c r="M2835" i="3"/>
  <c r="L2835" i="3"/>
  <c r="V2834" i="3"/>
  <c r="R2834" i="3"/>
  <c r="P2834" i="3"/>
  <c r="N2834" i="3"/>
  <c r="M2834" i="3"/>
  <c r="L2834" i="3"/>
  <c r="V2833" i="3"/>
  <c r="R2833" i="3"/>
  <c r="P2833" i="3"/>
  <c r="N2833" i="3"/>
  <c r="M2833" i="3"/>
  <c r="L2833" i="3"/>
  <c r="V2832" i="3"/>
  <c r="R2832" i="3"/>
  <c r="P2832" i="3"/>
  <c r="N2832" i="3"/>
  <c r="M2832" i="3"/>
  <c r="L2832" i="3"/>
  <c r="V2831" i="3"/>
  <c r="R2831" i="3"/>
  <c r="P2831" i="3"/>
  <c r="N2831" i="3"/>
  <c r="M2831" i="3"/>
  <c r="L2831" i="3"/>
  <c r="V2830" i="3"/>
  <c r="R2830" i="3"/>
  <c r="P2830" i="3"/>
  <c r="N2830" i="3"/>
  <c r="M2830" i="3"/>
  <c r="L2830" i="3"/>
  <c r="V2829" i="3"/>
  <c r="R2829" i="3"/>
  <c r="P2829" i="3"/>
  <c r="N2829" i="3"/>
  <c r="M2829" i="3"/>
  <c r="L2829" i="3"/>
  <c r="V2828" i="3"/>
  <c r="R2828" i="3"/>
  <c r="P2828" i="3"/>
  <c r="N2828" i="3"/>
  <c r="M2828" i="3"/>
  <c r="L2828" i="3"/>
  <c r="V2827" i="3"/>
  <c r="R2827" i="3"/>
  <c r="P2827" i="3"/>
  <c r="N2827" i="3"/>
  <c r="M2827" i="3"/>
  <c r="L2827" i="3"/>
  <c r="V2826" i="3"/>
  <c r="R2826" i="3"/>
  <c r="P2826" i="3"/>
  <c r="N2826" i="3"/>
  <c r="M2826" i="3"/>
  <c r="L2826" i="3"/>
  <c r="V2825" i="3"/>
  <c r="R2825" i="3"/>
  <c r="P2825" i="3"/>
  <c r="N2825" i="3"/>
  <c r="M2825" i="3"/>
  <c r="L2825" i="3"/>
  <c r="V2824" i="3"/>
  <c r="R2824" i="3"/>
  <c r="P2824" i="3"/>
  <c r="N2824" i="3"/>
  <c r="M2824" i="3"/>
  <c r="L2824" i="3"/>
  <c r="V2823" i="3"/>
  <c r="R2823" i="3"/>
  <c r="P2823" i="3"/>
  <c r="N2823" i="3"/>
  <c r="M2823" i="3"/>
  <c r="L2823" i="3"/>
  <c r="V2822" i="3"/>
  <c r="R2822" i="3"/>
  <c r="P2822" i="3"/>
  <c r="N2822" i="3"/>
  <c r="M2822" i="3"/>
  <c r="L2822" i="3"/>
  <c r="V2821" i="3"/>
  <c r="R2821" i="3"/>
  <c r="P2821" i="3"/>
  <c r="N2821" i="3"/>
  <c r="M2821" i="3"/>
  <c r="L2821" i="3"/>
  <c r="V2820" i="3"/>
  <c r="R2820" i="3"/>
  <c r="P2820" i="3"/>
  <c r="N2820" i="3"/>
  <c r="M2820" i="3"/>
  <c r="L2820" i="3"/>
  <c r="V2819" i="3"/>
  <c r="R2819" i="3"/>
  <c r="P2819" i="3"/>
  <c r="N2819" i="3"/>
  <c r="M2819" i="3"/>
  <c r="L2819" i="3"/>
  <c r="V2818" i="3"/>
  <c r="R2818" i="3"/>
  <c r="P2818" i="3"/>
  <c r="N2818" i="3"/>
  <c r="M2818" i="3"/>
  <c r="L2818" i="3"/>
  <c r="V2817" i="3"/>
  <c r="R2817" i="3"/>
  <c r="P2817" i="3"/>
  <c r="N2817" i="3"/>
  <c r="M2817" i="3"/>
  <c r="L2817" i="3"/>
  <c r="V2816" i="3"/>
  <c r="R2816" i="3"/>
  <c r="P2816" i="3"/>
  <c r="N2816" i="3"/>
  <c r="M2816" i="3"/>
  <c r="L2816" i="3"/>
  <c r="V2815" i="3"/>
  <c r="R2815" i="3"/>
  <c r="P2815" i="3"/>
  <c r="N2815" i="3"/>
  <c r="M2815" i="3"/>
  <c r="L2815" i="3"/>
  <c r="V2814" i="3"/>
  <c r="R2814" i="3"/>
  <c r="P2814" i="3"/>
  <c r="N2814" i="3"/>
  <c r="M2814" i="3"/>
  <c r="L2814" i="3"/>
  <c r="V2813" i="3"/>
  <c r="R2813" i="3"/>
  <c r="P2813" i="3"/>
  <c r="N2813" i="3"/>
  <c r="M2813" i="3"/>
  <c r="L2813" i="3"/>
  <c r="V2812" i="3"/>
  <c r="R2812" i="3"/>
  <c r="P2812" i="3"/>
  <c r="N2812" i="3"/>
  <c r="M2812" i="3"/>
  <c r="L2812" i="3"/>
  <c r="V2811" i="3"/>
  <c r="R2811" i="3"/>
  <c r="P2811" i="3"/>
  <c r="N2811" i="3"/>
  <c r="M2811" i="3"/>
  <c r="L2811" i="3"/>
  <c r="V2810" i="3"/>
  <c r="R2810" i="3"/>
  <c r="P2810" i="3"/>
  <c r="N2810" i="3"/>
  <c r="M2810" i="3"/>
  <c r="L2810" i="3"/>
  <c r="V2809" i="3"/>
  <c r="R2809" i="3"/>
  <c r="P2809" i="3"/>
  <c r="N2809" i="3"/>
  <c r="M2809" i="3"/>
  <c r="L2809" i="3"/>
  <c r="V2808" i="3"/>
  <c r="R2808" i="3"/>
  <c r="P2808" i="3"/>
  <c r="N2808" i="3"/>
  <c r="M2808" i="3"/>
  <c r="L2808" i="3"/>
  <c r="V2807" i="3"/>
  <c r="R2807" i="3"/>
  <c r="P2807" i="3"/>
  <c r="N2807" i="3"/>
  <c r="M2807" i="3"/>
  <c r="L2807" i="3"/>
  <c r="V2806" i="3"/>
  <c r="R2806" i="3"/>
  <c r="P2806" i="3"/>
  <c r="N2806" i="3"/>
  <c r="M2806" i="3"/>
  <c r="L2806" i="3"/>
  <c r="V2805" i="3"/>
  <c r="R2805" i="3"/>
  <c r="P2805" i="3"/>
  <c r="N2805" i="3"/>
  <c r="M2805" i="3"/>
  <c r="L2805" i="3"/>
  <c r="V2804" i="3"/>
  <c r="R2804" i="3"/>
  <c r="P2804" i="3"/>
  <c r="N2804" i="3"/>
  <c r="M2804" i="3"/>
  <c r="L2804" i="3"/>
  <c r="V2803" i="3"/>
  <c r="R2803" i="3"/>
  <c r="P2803" i="3"/>
  <c r="N2803" i="3"/>
  <c r="M2803" i="3"/>
  <c r="L2803" i="3"/>
  <c r="V2802" i="3"/>
  <c r="R2802" i="3"/>
  <c r="P2802" i="3"/>
  <c r="N2802" i="3"/>
  <c r="M2802" i="3"/>
  <c r="L2802" i="3"/>
  <c r="V2801" i="3"/>
  <c r="R2801" i="3"/>
  <c r="P2801" i="3"/>
  <c r="N2801" i="3"/>
  <c r="M2801" i="3"/>
  <c r="L2801" i="3"/>
  <c r="V2800" i="3"/>
  <c r="R2800" i="3"/>
  <c r="P2800" i="3"/>
  <c r="N2800" i="3"/>
  <c r="M2800" i="3"/>
  <c r="L2800" i="3"/>
  <c r="V2799" i="3"/>
  <c r="R2799" i="3"/>
  <c r="P2799" i="3"/>
  <c r="N2799" i="3"/>
  <c r="M2799" i="3"/>
  <c r="L2799" i="3"/>
  <c r="V2798" i="3"/>
  <c r="R2798" i="3"/>
  <c r="P2798" i="3"/>
  <c r="N2798" i="3"/>
  <c r="M2798" i="3"/>
  <c r="L2798" i="3"/>
  <c r="V2797" i="3"/>
  <c r="R2797" i="3"/>
  <c r="P2797" i="3"/>
  <c r="N2797" i="3"/>
  <c r="M2797" i="3"/>
  <c r="L2797" i="3"/>
  <c r="V2796" i="3"/>
  <c r="R2796" i="3"/>
  <c r="P2796" i="3"/>
  <c r="N2796" i="3"/>
  <c r="M2796" i="3"/>
  <c r="L2796" i="3"/>
  <c r="V2795" i="3"/>
  <c r="R2795" i="3"/>
  <c r="P2795" i="3"/>
  <c r="N2795" i="3"/>
  <c r="M2795" i="3"/>
  <c r="L2795" i="3"/>
  <c r="V2794" i="3"/>
  <c r="R2794" i="3"/>
  <c r="P2794" i="3"/>
  <c r="N2794" i="3"/>
  <c r="M2794" i="3"/>
  <c r="L2794" i="3"/>
  <c r="V2793" i="3"/>
  <c r="R2793" i="3"/>
  <c r="P2793" i="3"/>
  <c r="N2793" i="3"/>
  <c r="M2793" i="3"/>
  <c r="L2793" i="3"/>
  <c r="V2792" i="3"/>
  <c r="R2792" i="3"/>
  <c r="P2792" i="3"/>
  <c r="N2792" i="3"/>
  <c r="M2792" i="3"/>
  <c r="L2792" i="3"/>
  <c r="V2791" i="3"/>
  <c r="R2791" i="3"/>
  <c r="P2791" i="3"/>
  <c r="N2791" i="3"/>
  <c r="M2791" i="3"/>
  <c r="L2791" i="3"/>
  <c r="V2790" i="3"/>
  <c r="R2790" i="3"/>
  <c r="P2790" i="3"/>
  <c r="N2790" i="3"/>
  <c r="M2790" i="3"/>
  <c r="L2790" i="3"/>
  <c r="V2789" i="3"/>
  <c r="R2789" i="3"/>
  <c r="P2789" i="3"/>
  <c r="N2789" i="3"/>
  <c r="M2789" i="3"/>
  <c r="L2789" i="3"/>
  <c r="V2788" i="3"/>
  <c r="R2788" i="3"/>
  <c r="P2788" i="3"/>
  <c r="N2788" i="3"/>
  <c r="M2788" i="3"/>
  <c r="L2788" i="3"/>
  <c r="V2787" i="3"/>
  <c r="R2787" i="3"/>
  <c r="P2787" i="3"/>
  <c r="N2787" i="3"/>
  <c r="M2787" i="3"/>
  <c r="L2787" i="3"/>
  <c r="V2786" i="3"/>
  <c r="R2786" i="3"/>
  <c r="P2786" i="3"/>
  <c r="N2786" i="3"/>
  <c r="M2786" i="3"/>
  <c r="L2786" i="3"/>
  <c r="V2785" i="3"/>
  <c r="R2785" i="3"/>
  <c r="P2785" i="3"/>
  <c r="N2785" i="3"/>
  <c r="M2785" i="3"/>
  <c r="L2785" i="3"/>
  <c r="V2784" i="3"/>
  <c r="R2784" i="3"/>
  <c r="P2784" i="3"/>
  <c r="N2784" i="3"/>
  <c r="M2784" i="3"/>
  <c r="L2784" i="3"/>
  <c r="V2783" i="3"/>
  <c r="R2783" i="3"/>
  <c r="P2783" i="3"/>
  <c r="N2783" i="3"/>
  <c r="M2783" i="3"/>
  <c r="L2783" i="3"/>
  <c r="V2782" i="3"/>
  <c r="R2782" i="3"/>
  <c r="P2782" i="3"/>
  <c r="N2782" i="3"/>
  <c r="M2782" i="3"/>
  <c r="L2782" i="3"/>
  <c r="V2781" i="3"/>
  <c r="R2781" i="3"/>
  <c r="P2781" i="3"/>
  <c r="N2781" i="3"/>
  <c r="M2781" i="3"/>
  <c r="L2781" i="3"/>
  <c r="V2780" i="3"/>
  <c r="R2780" i="3"/>
  <c r="P2780" i="3"/>
  <c r="N2780" i="3"/>
  <c r="M2780" i="3"/>
  <c r="L2780" i="3"/>
  <c r="V2779" i="3"/>
  <c r="R2779" i="3"/>
  <c r="P2779" i="3"/>
  <c r="N2779" i="3"/>
  <c r="M2779" i="3"/>
  <c r="L2779" i="3"/>
  <c r="V2778" i="3"/>
  <c r="R2778" i="3"/>
  <c r="P2778" i="3"/>
  <c r="N2778" i="3"/>
  <c r="M2778" i="3"/>
  <c r="L2778" i="3"/>
  <c r="V2777" i="3"/>
  <c r="R2777" i="3"/>
  <c r="P2777" i="3"/>
  <c r="N2777" i="3"/>
  <c r="M2777" i="3"/>
  <c r="L2777" i="3"/>
  <c r="V2776" i="3"/>
  <c r="R2776" i="3"/>
  <c r="P2776" i="3"/>
  <c r="N2776" i="3"/>
  <c r="M2776" i="3"/>
  <c r="L2776" i="3"/>
  <c r="V2775" i="3"/>
  <c r="R2775" i="3"/>
  <c r="P2775" i="3"/>
  <c r="N2775" i="3"/>
  <c r="M2775" i="3"/>
  <c r="L2775" i="3"/>
  <c r="V2774" i="3"/>
  <c r="R2774" i="3"/>
  <c r="P2774" i="3"/>
  <c r="N2774" i="3"/>
  <c r="M2774" i="3"/>
  <c r="L2774" i="3"/>
  <c r="V2773" i="3"/>
  <c r="R2773" i="3"/>
  <c r="P2773" i="3"/>
  <c r="N2773" i="3"/>
  <c r="M2773" i="3"/>
  <c r="L2773" i="3"/>
  <c r="V2772" i="3"/>
  <c r="R2772" i="3"/>
  <c r="P2772" i="3"/>
  <c r="N2772" i="3"/>
  <c r="M2772" i="3"/>
  <c r="L2772" i="3"/>
  <c r="V2771" i="3"/>
  <c r="R2771" i="3"/>
  <c r="P2771" i="3"/>
  <c r="N2771" i="3"/>
  <c r="M2771" i="3"/>
  <c r="L2771" i="3"/>
  <c r="V2770" i="3"/>
  <c r="R2770" i="3"/>
  <c r="P2770" i="3"/>
  <c r="N2770" i="3"/>
  <c r="M2770" i="3"/>
  <c r="L2770" i="3"/>
  <c r="V2769" i="3"/>
  <c r="R2769" i="3"/>
  <c r="P2769" i="3"/>
  <c r="N2769" i="3"/>
  <c r="M2769" i="3"/>
  <c r="L2769" i="3"/>
  <c r="V2768" i="3"/>
  <c r="R2768" i="3"/>
  <c r="P2768" i="3"/>
  <c r="N2768" i="3"/>
  <c r="M2768" i="3"/>
  <c r="L2768" i="3"/>
  <c r="V2767" i="3"/>
  <c r="R2767" i="3"/>
  <c r="P2767" i="3"/>
  <c r="N2767" i="3"/>
  <c r="M2767" i="3"/>
  <c r="L2767" i="3"/>
  <c r="V2766" i="3"/>
  <c r="R2766" i="3"/>
  <c r="P2766" i="3"/>
  <c r="N2766" i="3"/>
  <c r="M2766" i="3"/>
  <c r="L2766" i="3"/>
  <c r="V2765" i="3"/>
  <c r="R2765" i="3"/>
  <c r="P2765" i="3"/>
  <c r="N2765" i="3"/>
  <c r="M2765" i="3"/>
  <c r="L2765" i="3"/>
  <c r="V2764" i="3"/>
  <c r="R2764" i="3"/>
  <c r="P2764" i="3"/>
  <c r="N2764" i="3"/>
  <c r="M2764" i="3"/>
  <c r="L2764" i="3"/>
  <c r="V2763" i="3"/>
  <c r="R2763" i="3"/>
  <c r="P2763" i="3"/>
  <c r="N2763" i="3"/>
  <c r="M2763" i="3"/>
  <c r="L2763" i="3"/>
  <c r="V2762" i="3"/>
  <c r="R2762" i="3"/>
  <c r="P2762" i="3"/>
  <c r="N2762" i="3"/>
  <c r="M2762" i="3"/>
  <c r="L2762" i="3"/>
  <c r="V2761" i="3"/>
  <c r="R2761" i="3"/>
  <c r="P2761" i="3"/>
  <c r="N2761" i="3"/>
  <c r="M2761" i="3"/>
  <c r="L2761" i="3"/>
  <c r="V2760" i="3"/>
  <c r="R2760" i="3"/>
  <c r="P2760" i="3"/>
  <c r="N2760" i="3"/>
  <c r="M2760" i="3"/>
  <c r="L2760" i="3"/>
  <c r="V2759" i="3"/>
  <c r="R2759" i="3"/>
  <c r="P2759" i="3"/>
  <c r="N2759" i="3"/>
  <c r="M2759" i="3"/>
  <c r="L2759" i="3"/>
  <c r="V2758" i="3"/>
  <c r="R2758" i="3"/>
  <c r="P2758" i="3"/>
  <c r="N2758" i="3"/>
  <c r="M2758" i="3"/>
  <c r="L2758" i="3"/>
  <c r="V2757" i="3"/>
  <c r="R2757" i="3"/>
  <c r="P2757" i="3"/>
  <c r="N2757" i="3"/>
  <c r="M2757" i="3"/>
  <c r="L2757" i="3"/>
  <c r="V2756" i="3"/>
  <c r="R2756" i="3"/>
  <c r="P2756" i="3"/>
  <c r="N2756" i="3"/>
  <c r="M2756" i="3"/>
  <c r="L2756" i="3"/>
  <c r="V2755" i="3"/>
  <c r="R2755" i="3"/>
  <c r="P2755" i="3"/>
  <c r="N2755" i="3"/>
  <c r="M2755" i="3"/>
  <c r="L2755" i="3"/>
  <c r="V2754" i="3"/>
  <c r="R2754" i="3"/>
  <c r="P2754" i="3"/>
  <c r="N2754" i="3"/>
  <c r="M2754" i="3"/>
  <c r="L2754" i="3"/>
  <c r="V2753" i="3"/>
  <c r="R2753" i="3"/>
  <c r="P2753" i="3"/>
  <c r="N2753" i="3"/>
  <c r="M2753" i="3"/>
  <c r="L2753" i="3"/>
  <c r="V2752" i="3"/>
  <c r="R2752" i="3"/>
  <c r="P2752" i="3"/>
  <c r="N2752" i="3"/>
  <c r="M2752" i="3"/>
  <c r="L2752" i="3"/>
  <c r="V2751" i="3"/>
  <c r="R2751" i="3"/>
  <c r="P2751" i="3"/>
  <c r="N2751" i="3"/>
  <c r="M2751" i="3"/>
  <c r="L2751" i="3"/>
  <c r="V2750" i="3"/>
  <c r="R2750" i="3"/>
  <c r="P2750" i="3"/>
  <c r="N2750" i="3"/>
  <c r="M2750" i="3"/>
  <c r="L2750" i="3"/>
  <c r="V2749" i="3"/>
  <c r="R2749" i="3"/>
  <c r="P2749" i="3"/>
  <c r="N2749" i="3"/>
  <c r="M2749" i="3"/>
  <c r="L2749" i="3"/>
  <c r="V2748" i="3"/>
  <c r="R2748" i="3"/>
  <c r="P2748" i="3"/>
  <c r="N2748" i="3"/>
  <c r="M2748" i="3"/>
  <c r="L2748" i="3"/>
  <c r="V2747" i="3"/>
  <c r="R2747" i="3"/>
  <c r="P2747" i="3"/>
  <c r="N2747" i="3"/>
  <c r="M2747" i="3"/>
  <c r="L2747" i="3"/>
  <c r="V2746" i="3"/>
  <c r="R2746" i="3"/>
  <c r="P2746" i="3"/>
  <c r="N2746" i="3"/>
  <c r="M2746" i="3"/>
  <c r="L2746" i="3"/>
  <c r="V2745" i="3"/>
  <c r="R2745" i="3"/>
  <c r="P2745" i="3"/>
  <c r="N2745" i="3"/>
  <c r="M2745" i="3"/>
  <c r="L2745" i="3"/>
  <c r="V2744" i="3"/>
  <c r="R2744" i="3"/>
  <c r="P2744" i="3"/>
  <c r="N2744" i="3"/>
  <c r="M2744" i="3"/>
  <c r="L2744" i="3"/>
  <c r="V2743" i="3"/>
  <c r="R2743" i="3"/>
  <c r="P2743" i="3"/>
  <c r="N2743" i="3"/>
  <c r="M2743" i="3"/>
  <c r="L2743" i="3"/>
  <c r="V2742" i="3"/>
  <c r="R2742" i="3"/>
  <c r="P2742" i="3"/>
  <c r="N2742" i="3"/>
  <c r="M2742" i="3"/>
  <c r="L2742" i="3"/>
  <c r="V2741" i="3"/>
  <c r="R2741" i="3"/>
  <c r="P2741" i="3"/>
  <c r="N2741" i="3"/>
  <c r="M2741" i="3"/>
  <c r="L2741" i="3"/>
  <c r="V2740" i="3"/>
  <c r="R2740" i="3"/>
  <c r="P2740" i="3"/>
  <c r="N2740" i="3"/>
  <c r="M2740" i="3"/>
  <c r="L2740" i="3"/>
  <c r="V2739" i="3"/>
  <c r="R2739" i="3"/>
  <c r="P2739" i="3"/>
  <c r="N2739" i="3"/>
  <c r="M2739" i="3"/>
  <c r="L2739" i="3"/>
  <c r="V2738" i="3"/>
  <c r="R2738" i="3"/>
  <c r="P2738" i="3"/>
  <c r="N2738" i="3"/>
  <c r="M2738" i="3"/>
  <c r="L2738" i="3"/>
  <c r="V2737" i="3"/>
  <c r="R2737" i="3"/>
  <c r="P2737" i="3"/>
  <c r="N2737" i="3"/>
  <c r="M2737" i="3"/>
  <c r="L2737" i="3"/>
  <c r="V2736" i="3"/>
  <c r="R2736" i="3"/>
  <c r="P2736" i="3"/>
  <c r="N2736" i="3"/>
  <c r="M2736" i="3"/>
  <c r="L2736" i="3"/>
  <c r="V2735" i="3"/>
  <c r="R2735" i="3"/>
  <c r="P2735" i="3"/>
  <c r="N2735" i="3"/>
  <c r="M2735" i="3"/>
  <c r="L2735" i="3"/>
  <c r="V2734" i="3"/>
  <c r="R2734" i="3"/>
  <c r="P2734" i="3"/>
  <c r="N2734" i="3"/>
  <c r="M2734" i="3"/>
  <c r="L2734" i="3"/>
  <c r="V2733" i="3"/>
  <c r="R2733" i="3"/>
  <c r="P2733" i="3"/>
  <c r="N2733" i="3"/>
  <c r="M2733" i="3"/>
  <c r="L2733" i="3"/>
  <c r="V2732" i="3"/>
  <c r="R2732" i="3"/>
  <c r="P2732" i="3"/>
  <c r="N2732" i="3"/>
  <c r="M2732" i="3"/>
  <c r="L2732" i="3"/>
  <c r="V2731" i="3"/>
  <c r="R2731" i="3"/>
  <c r="P2731" i="3"/>
  <c r="N2731" i="3"/>
  <c r="M2731" i="3"/>
  <c r="L2731" i="3"/>
  <c r="V2730" i="3"/>
  <c r="R2730" i="3"/>
  <c r="P2730" i="3"/>
  <c r="N2730" i="3"/>
  <c r="M2730" i="3"/>
  <c r="L2730" i="3"/>
  <c r="V2729" i="3"/>
  <c r="R2729" i="3"/>
  <c r="P2729" i="3"/>
  <c r="N2729" i="3"/>
  <c r="M2729" i="3"/>
  <c r="L2729" i="3"/>
  <c r="V2728" i="3"/>
  <c r="R2728" i="3"/>
  <c r="P2728" i="3"/>
  <c r="N2728" i="3"/>
  <c r="M2728" i="3"/>
  <c r="L2728" i="3"/>
  <c r="V2727" i="3"/>
  <c r="R2727" i="3"/>
  <c r="P2727" i="3"/>
  <c r="N2727" i="3"/>
  <c r="M2727" i="3"/>
  <c r="L2727" i="3"/>
  <c r="V2726" i="3"/>
  <c r="R2726" i="3"/>
  <c r="P2726" i="3"/>
  <c r="N2726" i="3"/>
  <c r="M2726" i="3"/>
  <c r="L2726" i="3"/>
  <c r="V2725" i="3"/>
  <c r="R2725" i="3"/>
  <c r="P2725" i="3"/>
  <c r="N2725" i="3"/>
  <c r="M2725" i="3"/>
  <c r="L2725" i="3"/>
  <c r="V2724" i="3"/>
  <c r="R2724" i="3"/>
  <c r="P2724" i="3"/>
  <c r="N2724" i="3"/>
  <c r="M2724" i="3"/>
  <c r="L2724" i="3"/>
  <c r="V2723" i="3"/>
  <c r="R2723" i="3"/>
  <c r="P2723" i="3"/>
  <c r="N2723" i="3"/>
  <c r="M2723" i="3"/>
  <c r="L2723" i="3"/>
  <c r="V2722" i="3"/>
  <c r="R2722" i="3"/>
  <c r="P2722" i="3"/>
  <c r="N2722" i="3"/>
  <c r="M2722" i="3"/>
  <c r="L2722" i="3"/>
  <c r="V2721" i="3"/>
  <c r="R2721" i="3"/>
  <c r="P2721" i="3"/>
  <c r="N2721" i="3"/>
  <c r="M2721" i="3"/>
  <c r="L2721" i="3"/>
  <c r="V2720" i="3"/>
  <c r="R2720" i="3"/>
  <c r="P2720" i="3"/>
  <c r="N2720" i="3"/>
  <c r="M2720" i="3"/>
  <c r="L2720" i="3"/>
  <c r="V2719" i="3"/>
  <c r="R2719" i="3"/>
  <c r="P2719" i="3"/>
  <c r="N2719" i="3"/>
  <c r="M2719" i="3"/>
  <c r="L2719" i="3"/>
  <c r="V2718" i="3"/>
  <c r="R2718" i="3"/>
  <c r="P2718" i="3"/>
  <c r="N2718" i="3"/>
  <c r="M2718" i="3"/>
  <c r="L2718" i="3"/>
  <c r="V2717" i="3"/>
  <c r="R2717" i="3"/>
  <c r="P2717" i="3"/>
  <c r="N2717" i="3"/>
  <c r="M2717" i="3"/>
  <c r="L2717" i="3"/>
  <c r="V2716" i="3"/>
  <c r="R2716" i="3"/>
  <c r="P2716" i="3"/>
  <c r="N2716" i="3"/>
  <c r="M2716" i="3"/>
  <c r="L2716" i="3"/>
  <c r="V2715" i="3"/>
  <c r="R2715" i="3"/>
  <c r="P2715" i="3"/>
  <c r="N2715" i="3"/>
  <c r="M2715" i="3"/>
  <c r="L2715" i="3"/>
  <c r="V2714" i="3"/>
  <c r="R2714" i="3"/>
  <c r="P2714" i="3"/>
  <c r="N2714" i="3"/>
  <c r="M2714" i="3"/>
  <c r="L2714" i="3"/>
  <c r="V2713" i="3"/>
  <c r="R2713" i="3"/>
  <c r="P2713" i="3"/>
  <c r="N2713" i="3"/>
  <c r="M2713" i="3"/>
  <c r="L2713" i="3"/>
  <c r="V2712" i="3"/>
  <c r="R2712" i="3"/>
  <c r="P2712" i="3"/>
  <c r="N2712" i="3"/>
  <c r="M2712" i="3"/>
  <c r="L2712" i="3"/>
  <c r="V2711" i="3"/>
  <c r="R2711" i="3"/>
  <c r="P2711" i="3"/>
  <c r="N2711" i="3"/>
  <c r="M2711" i="3"/>
  <c r="L2711" i="3"/>
  <c r="V2710" i="3"/>
  <c r="R2710" i="3"/>
  <c r="P2710" i="3"/>
  <c r="N2710" i="3"/>
  <c r="M2710" i="3"/>
  <c r="L2710" i="3"/>
  <c r="V2709" i="3"/>
  <c r="R2709" i="3"/>
  <c r="P2709" i="3"/>
  <c r="N2709" i="3"/>
  <c r="M2709" i="3"/>
  <c r="L2709" i="3"/>
  <c r="V2708" i="3"/>
  <c r="R2708" i="3"/>
  <c r="P2708" i="3"/>
  <c r="N2708" i="3"/>
  <c r="M2708" i="3"/>
  <c r="L2708" i="3"/>
  <c r="V2707" i="3"/>
  <c r="R2707" i="3"/>
  <c r="P2707" i="3"/>
  <c r="N2707" i="3"/>
  <c r="M2707" i="3"/>
  <c r="L2707" i="3"/>
  <c r="V2706" i="3"/>
  <c r="R2706" i="3"/>
  <c r="P2706" i="3"/>
  <c r="N2706" i="3"/>
  <c r="M2706" i="3"/>
  <c r="L2706" i="3"/>
  <c r="V2705" i="3"/>
  <c r="R2705" i="3"/>
  <c r="P2705" i="3"/>
  <c r="N2705" i="3"/>
  <c r="M2705" i="3"/>
  <c r="L2705" i="3"/>
  <c r="V2704" i="3"/>
  <c r="R2704" i="3"/>
  <c r="P2704" i="3"/>
  <c r="N2704" i="3"/>
  <c r="M2704" i="3"/>
  <c r="L2704" i="3"/>
  <c r="V2703" i="3"/>
  <c r="R2703" i="3"/>
  <c r="P2703" i="3"/>
  <c r="N2703" i="3"/>
  <c r="M2703" i="3"/>
  <c r="L2703" i="3"/>
  <c r="V2702" i="3"/>
  <c r="R2702" i="3"/>
  <c r="P2702" i="3"/>
  <c r="N2702" i="3"/>
  <c r="M2702" i="3"/>
  <c r="L2702" i="3"/>
  <c r="V2701" i="3"/>
  <c r="R2701" i="3"/>
  <c r="P2701" i="3"/>
  <c r="N2701" i="3"/>
  <c r="M2701" i="3"/>
  <c r="L2701" i="3"/>
  <c r="V2700" i="3"/>
  <c r="R2700" i="3"/>
  <c r="P2700" i="3"/>
  <c r="N2700" i="3"/>
  <c r="M2700" i="3"/>
  <c r="L2700" i="3"/>
  <c r="V2699" i="3"/>
  <c r="R2699" i="3"/>
  <c r="P2699" i="3"/>
  <c r="N2699" i="3"/>
  <c r="M2699" i="3"/>
  <c r="L2699" i="3"/>
  <c r="V2698" i="3"/>
  <c r="R2698" i="3"/>
  <c r="P2698" i="3"/>
  <c r="N2698" i="3"/>
  <c r="M2698" i="3"/>
  <c r="L2698" i="3"/>
  <c r="V2697" i="3"/>
  <c r="R2697" i="3"/>
  <c r="P2697" i="3"/>
  <c r="N2697" i="3"/>
  <c r="M2697" i="3"/>
  <c r="L2697" i="3"/>
  <c r="V2696" i="3"/>
  <c r="R2696" i="3"/>
  <c r="P2696" i="3"/>
  <c r="N2696" i="3"/>
  <c r="M2696" i="3"/>
  <c r="L2696" i="3"/>
  <c r="V2695" i="3"/>
  <c r="R2695" i="3"/>
  <c r="P2695" i="3"/>
  <c r="N2695" i="3"/>
  <c r="M2695" i="3"/>
  <c r="L2695" i="3"/>
  <c r="V2694" i="3"/>
  <c r="R2694" i="3"/>
  <c r="P2694" i="3"/>
  <c r="N2694" i="3"/>
  <c r="M2694" i="3"/>
  <c r="L2694" i="3"/>
  <c r="V2693" i="3"/>
  <c r="R2693" i="3"/>
  <c r="P2693" i="3"/>
  <c r="N2693" i="3"/>
  <c r="M2693" i="3"/>
  <c r="L2693" i="3"/>
  <c r="V2692" i="3"/>
  <c r="R2692" i="3"/>
  <c r="P2692" i="3"/>
  <c r="N2692" i="3"/>
  <c r="M2692" i="3"/>
  <c r="L2692" i="3"/>
  <c r="V2691" i="3"/>
  <c r="R2691" i="3"/>
  <c r="P2691" i="3"/>
  <c r="N2691" i="3"/>
  <c r="M2691" i="3"/>
  <c r="L2691" i="3"/>
  <c r="V2690" i="3"/>
  <c r="R2690" i="3"/>
  <c r="P2690" i="3"/>
  <c r="N2690" i="3"/>
  <c r="M2690" i="3"/>
  <c r="L2690" i="3"/>
  <c r="V2689" i="3"/>
  <c r="R2689" i="3"/>
  <c r="P2689" i="3"/>
  <c r="N2689" i="3"/>
  <c r="M2689" i="3"/>
  <c r="L2689" i="3"/>
  <c r="V2688" i="3"/>
  <c r="R2688" i="3"/>
  <c r="P2688" i="3"/>
  <c r="N2688" i="3"/>
  <c r="M2688" i="3"/>
  <c r="L2688" i="3"/>
  <c r="V2687" i="3"/>
  <c r="R2687" i="3"/>
  <c r="P2687" i="3"/>
  <c r="N2687" i="3"/>
  <c r="M2687" i="3"/>
  <c r="L2687" i="3"/>
  <c r="V2686" i="3"/>
  <c r="R2686" i="3"/>
  <c r="P2686" i="3"/>
  <c r="N2686" i="3"/>
  <c r="M2686" i="3"/>
  <c r="L2686" i="3"/>
  <c r="V2685" i="3"/>
  <c r="R2685" i="3"/>
  <c r="P2685" i="3"/>
  <c r="N2685" i="3"/>
  <c r="M2685" i="3"/>
  <c r="L2685" i="3"/>
  <c r="V2684" i="3"/>
  <c r="R2684" i="3"/>
  <c r="P2684" i="3"/>
  <c r="N2684" i="3"/>
  <c r="M2684" i="3"/>
  <c r="L2684" i="3"/>
  <c r="V2683" i="3"/>
  <c r="R2683" i="3"/>
  <c r="P2683" i="3"/>
  <c r="N2683" i="3"/>
  <c r="M2683" i="3"/>
  <c r="L2683" i="3"/>
  <c r="V2682" i="3"/>
  <c r="R2682" i="3"/>
  <c r="P2682" i="3"/>
  <c r="N2682" i="3"/>
  <c r="M2682" i="3"/>
  <c r="L2682" i="3"/>
  <c r="V2681" i="3"/>
  <c r="R2681" i="3"/>
  <c r="P2681" i="3"/>
  <c r="N2681" i="3"/>
  <c r="M2681" i="3"/>
  <c r="L2681" i="3"/>
  <c r="V2680" i="3"/>
  <c r="R2680" i="3"/>
  <c r="P2680" i="3"/>
  <c r="N2680" i="3"/>
  <c r="M2680" i="3"/>
  <c r="L2680" i="3"/>
  <c r="V2679" i="3"/>
  <c r="R2679" i="3"/>
  <c r="P2679" i="3"/>
  <c r="N2679" i="3"/>
  <c r="M2679" i="3"/>
  <c r="L2679" i="3"/>
  <c r="V2678" i="3"/>
  <c r="R2678" i="3"/>
  <c r="P2678" i="3"/>
  <c r="N2678" i="3"/>
  <c r="M2678" i="3"/>
  <c r="L2678" i="3"/>
  <c r="V2677" i="3"/>
  <c r="R2677" i="3"/>
  <c r="P2677" i="3"/>
  <c r="N2677" i="3"/>
  <c r="M2677" i="3"/>
  <c r="L2677" i="3"/>
  <c r="V2676" i="3"/>
  <c r="R2676" i="3"/>
  <c r="P2676" i="3"/>
  <c r="N2676" i="3"/>
  <c r="M2676" i="3"/>
  <c r="L2676" i="3"/>
  <c r="V2675" i="3"/>
  <c r="R2675" i="3"/>
  <c r="P2675" i="3"/>
  <c r="N2675" i="3"/>
  <c r="M2675" i="3"/>
  <c r="L2675" i="3"/>
  <c r="V2674" i="3"/>
  <c r="R2674" i="3"/>
  <c r="P2674" i="3"/>
  <c r="N2674" i="3"/>
  <c r="M2674" i="3"/>
  <c r="L2674" i="3"/>
  <c r="V2673" i="3"/>
  <c r="R2673" i="3"/>
  <c r="P2673" i="3"/>
  <c r="N2673" i="3"/>
  <c r="M2673" i="3"/>
  <c r="L2673" i="3"/>
  <c r="V2672" i="3"/>
  <c r="R2672" i="3"/>
  <c r="P2672" i="3"/>
  <c r="N2672" i="3"/>
  <c r="M2672" i="3"/>
  <c r="L2672" i="3"/>
  <c r="V2671" i="3"/>
  <c r="R2671" i="3"/>
  <c r="P2671" i="3"/>
  <c r="N2671" i="3"/>
  <c r="M2671" i="3"/>
  <c r="L2671" i="3"/>
  <c r="V2670" i="3"/>
  <c r="R2670" i="3"/>
  <c r="P2670" i="3"/>
  <c r="N2670" i="3"/>
  <c r="M2670" i="3"/>
  <c r="L2670" i="3"/>
  <c r="V2669" i="3"/>
  <c r="R2669" i="3"/>
  <c r="P2669" i="3"/>
  <c r="N2669" i="3"/>
  <c r="M2669" i="3"/>
  <c r="L2669" i="3"/>
  <c r="V2667" i="3"/>
  <c r="R2667" i="3"/>
  <c r="P2667" i="3"/>
  <c r="N2667" i="3"/>
  <c r="M2667" i="3"/>
  <c r="L2667" i="3"/>
  <c r="V2668" i="3"/>
  <c r="R2668" i="3"/>
  <c r="P2668" i="3"/>
  <c r="N2668" i="3"/>
  <c r="M2668" i="3"/>
  <c r="L2668" i="3"/>
  <c r="V2666" i="3"/>
  <c r="R2666" i="3"/>
  <c r="P2666" i="3"/>
  <c r="N2666" i="3"/>
  <c r="M2666" i="3"/>
  <c r="L2666" i="3"/>
  <c r="V2665" i="3"/>
  <c r="R2665" i="3"/>
  <c r="P2665" i="3"/>
  <c r="N2665" i="3"/>
  <c r="M2665" i="3"/>
  <c r="L2665" i="3"/>
  <c r="V2664" i="3"/>
  <c r="R2664" i="3"/>
  <c r="P2664" i="3"/>
  <c r="N2664" i="3"/>
  <c r="M2664" i="3"/>
  <c r="L2664" i="3"/>
  <c r="V2663" i="3"/>
  <c r="R2663" i="3"/>
  <c r="P2663" i="3"/>
  <c r="N2663" i="3"/>
  <c r="M2663" i="3"/>
  <c r="L2663" i="3"/>
  <c r="V2662" i="3"/>
  <c r="R2662" i="3"/>
  <c r="P2662" i="3"/>
  <c r="N2662" i="3"/>
  <c r="M2662" i="3"/>
  <c r="L2662" i="3"/>
  <c r="V2661" i="3"/>
  <c r="R2661" i="3"/>
  <c r="P2661" i="3"/>
  <c r="N2661" i="3"/>
  <c r="M2661" i="3"/>
  <c r="L2661" i="3"/>
  <c r="V2660" i="3"/>
  <c r="R2660" i="3"/>
  <c r="P2660" i="3"/>
  <c r="N2660" i="3"/>
  <c r="M2660" i="3"/>
  <c r="L2660" i="3"/>
  <c r="V2659" i="3"/>
  <c r="R2659" i="3"/>
  <c r="P2659" i="3"/>
  <c r="N2659" i="3"/>
  <c r="M2659" i="3"/>
  <c r="L2659" i="3"/>
  <c r="V2658" i="3"/>
  <c r="R2658" i="3"/>
  <c r="P2658" i="3"/>
  <c r="N2658" i="3"/>
  <c r="M2658" i="3"/>
  <c r="L2658" i="3"/>
  <c r="V2657" i="3"/>
  <c r="R2657" i="3"/>
  <c r="P2657" i="3"/>
  <c r="N2657" i="3"/>
  <c r="M2657" i="3"/>
  <c r="L2657" i="3"/>
  <c r="V2656" i="3"/>
  <c r="R2656" i="3"/>
  <c r="P2656" i="3"/>
  <c r="N2656" i="3"/>
  <c r="M2656" i="3"/>
  <c r="L2656" i="3"/>
  <c r="V2655" i="3"/>
  <c r="R2655" i="3"/>
  <c r="P2655" i="3"/>
  <c r="N2655" i="3"/>
  <c r="M2655" i="3"/>
  <c r="L2655" i="3"/>
  <c r="V2654" i="3"/>
  <c r="R2654" i="3"/>
  <c r="P2654" i="3"/>
  <c r="N2654" i="3"/>
  <c r="M2654" i="3"/>
  <c r="L2654" i="3"/>
  <c r="V2653" i="3"/>
  <c r="R2653" i="3"/>
  <c r="P2653" i="3"/>
  <c r="N2653" i="3"/>
  <c r="M2653" i="3"/>
  <c r="L2653" i="3"/>
  <c r="V2652" i="3"/>
  <c r="R2652" i="3"/>
  <c r="P2652" i="3"/>
  <c r="N2652" i="3"/>
  <c r="M2652" i="3"/>
  <c r="L2652" i="3"/>
  <c r="V2651" i="3"/>
  <c r="R2651" i="3"/>
  <c r="P2651" i="3"/>
  <c r="N2651" i="3"/>
  <c r="M2651" i="3"/>
  <c r="L2651" i="3"/>
  <c r="V2650" i="3"/>
  <c r="R2650" i="3"/>
  <c r="P2650" i="3"/>
  <c r="N2650" i="3"/>
  <c r="M2650" i="3"/>
  <c r="L2650" i="3"/>
  <c r="V2649" i="3"/>
  <c r="R2649" i="3"/>
  <c r="P2649" i="3"/>
  <c r="N2649" i="3"/>
  <c r="M2649" i="3"/>
  <c r="L2649" i="3"/>
  <c r="V2648" i="3"/>
  <c r="R2648" i="3"/>
  <c r="P2648" i="3"/>
  <c r="N2648" i="3"/>
  <c r="M2648" i="3"/>
  <c r="L2648" i="3"/>
  <c r="V2647" i="3"/>
  <c r="R2647" i="3"/>
  <c r="P2647" i="3"/>
  <c r="N2647" i="3"/>
  <c r="M2647" i="3"/>
  <c r="L2647" i="3"/>
  <c r="R2646" i="3"/>
  <c r="P2646" i="3"/>
  <c r="N2646" i="3"/>
  <c r="M2646" i="3"/>
  <c r="L2646" i="3"/>
  <c r="R2645" i="3"/>
  <c r="P2645" i="3"/>
  <c r="N2645" i="3"/>
  <c r="M2645" i="3"/>
  <c r="L2645" i="3"/>
  <c r="V2644" i="3"/>
  <c r="R2644" i="3"/>
  <c r="P2644" i="3"/>
  <c r="N2644" i="3"/>
  <c r="M2644" i="3"/>
  <c r="L2644" i="3"/>
  <c r="V2643" i="3"/>
  <c r="R2643" i="3"/>
  <c r="P2643" i="3"/>
  <c r="N2643" i="3"/>
  <c r="M2643" i="3"/>
  <c r="L2643" i="3"/>
  <c r="V2642" i="3"/>
  <c r="R2642" i="3"/>
  <c r="P2642" i="3"/>
  <c r="N2642" i="3"/>
  <c r="M2642" i="3"/>
  <c r="L2642" i="3"/>
  <c r="V2641" i="3"/>
  <c r="R2641" i="3"/>
  <c r="P2641" i="3"/>
  <c r="N2641" i="3"/>
  <c r="M2641" i="3"/>
  <c r="L2641" i="3"/>
  <c r="V2640" i="3"/>
  <c r="R2640" i="3"/>
  <c r="P2640" i="3"/>
  <c r="N2640" i="3"/>
  <c r="M2640" i="3"/>
  <c r="L2640" i="3"/>
  <c r="V2639" i="3"/>
  <c r="R2639" i="3"/>
  <c r="P2639" i="3"/>
  <c r="N2639" i="3"/>
  <c r="M2639" i="3"/>
  <c r="L2639" i="3"/>
  <c r="V2638" i="3"/>
  <c r="R2638" i="3"/>
  <c r="P2638" i="3"/>
  <c r="N2638" i="3"/>
  <c r="M2638" i="3"/>
  <c r="L2638" i="3"/>
  <c r="V2637" i="3"/>
  <c r="R2637" i="3"/>
  <c r="P2637" i="3"/>
  <c r="N2637" i="3"/>
  <c r="M2637" i="3"/>
  <c r="L2637" i="3"/>
  <c r="V2636" i="3"/>
  <c r="R2636" i="3"/>
  <c r="P2636" i="3"/>
  <c r="N2636" i="3"/>
  <c r="M2636" i="3"/>
  <c r="L2636" i="3"/>
  <c r="V2635" i="3"/>
  <c r="R2635" i="3"/>
  <c r="P2635" i="3"/>
  <c r="N2635" i="3"/>
  <c r="M2635" i="3"/>
  <c r="L2635" i="3"/>
  <c r="V2634" i="3"/>
  <c r="R2634" i="3"/>
  <c r="P2634" i="3"/>
  <c r="N2634" i="3"/>
  <c r="M2634" i="3"/>
  <c r="L2634" i="3"/>
  <c r="V2633" i="3"/>
  <c r="R2633" i="3"/>
  <c r="P2633" i="3"/>
  <c r="N2633" i="3"/>
  <c r="M2633" i="3"/>
  <c r="L2633" i="3"/>
  <c r="V2632" i="3"/>
  <c r="R2632" i="3"/>
  <c r="P2632" i="3"/>
  <c r="N2632" i="3"/>
  <c r="M2632" i="3"/>
  <c r="L2632" i="3"/>
  <c r="V2631" i="3"/>
  <c r="R2631" i="3"/>
  <c r="P2631" i="3"/>
  <c r="N2631" i="3"/>
  <c r="M2631" i="3"/>
  <c r="L2631" i="3"/>
  <c r="V2630" i="3"/>
  <c r="R2630" i="3"/>
  <c r="P2630" i="3"/>
  <c r="N2630" i="3"/>
  <c r="M2630" i="3"/>
  <c r="L2630" i="3"/>
  <c r="V2629" i="3"/>
  <c r="R2629" i="3"/>
  <c r="P2629" i="3"/>
  <c r="N2629" i="3"/>
  <c r="M2629" i="3"/>
  <c r="L2629" i="3"/>
  <c r="V2628" i="3"/>
  <c r="R2628" i="3"/>
  <c r="P2628" i="3"/>
  <c r="N2628" i="3"/>
  <c r="M2628" i="3"/>
  <c r="L2628" i="3"/>
  <c r="V2627" i="3"/>
  <c r="R2627" i="3"/>
  <c r="P2627" i="3"/>
  <c r="N2627" i="3"/>
  <c r="M2627" i="3"/>
  <c r="L2627" i="3"/>
  <c r="V2626" i="3"/>
  <c r="R2626" i="3"/>
  <c r="P2626" i="3"/>
  <c r="N2626" i="3"/>
  <c r="M2626" i="3"/>
  <c r="L2626" i="3"/>
  <c r="V2625" i="3"/>
  <c r="R2625" i="3"/>
  <c r="P2625" i="3"/>
  <c r="N2625" i="3"/>
  <c r="M2625" i="3"/>
  <c r="L2625" i="3"/>
  <c r="V2624" i="3"/>
  <c r="R2624" i="3"/>
  <c r="P2624" i="3"/>
  <c r="N2624" i="3"/>
  <c r="M2624" i="3"/>
  <c r="L2624" i="3"/>
  <c r="V2623" i="3"/>
  <c r="R2623" i="3"/>
  <c r="P2623" i="3"/>
  <c r="N2623" i="3"/>
  <c r="M2623" i="3"/>
  <c r="L2623" i="3"/>
  <c r="V2622" i="3"/>
  <c r="R2622" i="3"/>
  <c r="P2622" i="3"/>
  <c r="N2622" i="3"/>
  <c r="M2622" i="3"/>
  <c r="L2622" i="3"/>
  <c r="V2621" i="3"/>
  <c r="R2621" i="3"/>
  <c r="P2621" i="3"/>
  <c r="N2621" i="3"/>
  <c r="M2621" i="3"/>
  <c r="L2621" i="3"/>
  <c r="V2620" i="3"/>
  <c r="R2620" i="3"/>
  <c r="P2620" i="3"/>
  <c r="N2620" i="3"/>
  <c r="M2620" i="3"/>
  <c r="L2620" i="3"/>
  <c r="V2619" i="3"/>
  <c r="R2619" i="3"/>
  <c r="P2619" i="3"/>
  <c r="N2619" i="3"/>
  <c r="M2619" i="3"/>
  <c r="L2619" i="3"/>
  <c r="V2618" i="3"/>
  <c r="R2618" i="3"/>
  <c r="P2618" i="3"/>
  <c r="N2618" i="3"/>
  <c r="M2618" i="3"/>
  <c r="L2618" i="3"/>
  <c r="V2617" i="3"/>
  <c r="R2617" i="3"/>
  <c r="P2617" i="3"/>
  <c r="N2617" i="3"/>
  <c r="M2617" i="3"/>
  <c r="L2617" i="3"/>
  <c r="V2616" i="3"/>
  <c r="R2616" i="3"/>
  <c r="P2616" i="3"/>
  <c r="N2616" i="3"/>
  <c r="M2616" i="3"/>
  <c r="L2616" i="3"/>
  <c r="V2615" i="3"/>
  <c r="R2615" i="3"/>
  <c r="P2615" i="3"/>
  <c r="N2615" i="3"/>
  <c r="M2615" i="3"/>
  <c r="L2615" i="3"/>
  <c r="V2614" i="3"/>
  <c r="R2614" i="3"/>
  <c r="P2614" i="3"/>
  <c r="N2614" i="3"/>
  <c r="M2614" i="3"/>
  <c r="L2614" i="3"/>
  <c r="V2613" i="3"/>
  <c r="R2613" i="3"/>
  <c r="P2613" i="3"/>
  <c r="N2613" i="3"/>
  <c r="M2613" i="3"/>
  <c r="L2613" i="3"/>
  <c r="V2612" i="3"/>
  <c r="R2612" i="3"/>
  <c r="P2612" i="3"/>
  <c r="N2612" i="3"/>
  <c r="M2612" i="3"/>
  <c r="L2612" i="3"/>
  <c r="V2611" i="3"/>
  <c r="R2611" i="3"/>
  <c r="P2611" i="3"/>
  <c r="N2611" i="3"/>
  <c r="M2611" i="3"/>
  <c r="L2611" i="3"/>
  <c r="V2610" i="3"/>
  <c r="R2610" i="3"/>
  <c r="P2610" i="3"/>
  <c r="N2610" i="3"/>
  <c r="M2610" i="3"/>
  <c r="L2610" i="3"/>
  <c r="V2609" i="3"/>
  <c r="R2609" i="3"/>
  <c r="P2609" i="3"/>
  <c r="N2609" i="3"/>
  <c r="M2609" i="3"/>
  <c r="L2609" i="3"/>
  <c r="V2608" i="3"/>
  <c r="R2608" i="3"/>
  <c r="P2608" i="3"/>
  <c r="N2608" i="3"/>
  <c r="M2608" i="3"/>
  <c r="L2608" i="3"/>
  <c r="V2607" i="3"/>
  <c r="R2607" i="3"/>
  <c r="P2607" i="3"/>
  <c r="N2607" i="3"/>
  <c r="M2607" i="3"/>
  <c r="L2607" i="3"/>
  <c r="V2606" i="3"/>
  <c r="R2606" i="3"/>
  <c r="P2606" i="3"/>
  <c r="N2606" i="3"/>
  <c r="M2606" i="3"/>
  <c r="L2606" i="3"/>
  <c r="V2605" i="3"/>
  <c r="R2605" i="3"/>
  <c r="P2605" i="3"/>
  <c r="N2605" i="3"/>
  <c r="M2605" i="3"/>
  <c r="L2605" i="3"/>
  <c r="V2604" i="3"/>
  <c r="R2604" i="3"/>
  <c r="P2604" i="3"/>
  <c r="N2604" i="3"/>
  <c r="M2604" i="3"/>
  <c r="L2604" i="3"/>
  <c r="V2603" i="3"/>
  <c r="R2603" i="3"/>
  <c r="P2603" i="3"/>
  <c r="N2603" i="3"/>
  <c r="M2603" i="3"/>
  <c r="L2603" i="3"/>
  <c r="V2602" i="3"/>
  <c r="R2602" i="3"/>
  <c r="P2602" i="3"/>
  <c r="N2602" i="3"/>
  <c r="M2602" i="3"/>
  <c r="L2602" i="3"/>
  <c r="V2601" i="3"/>
  <c r="R2601" i="3"/>
  <c r="P2601" i="3"/>
  <c r="N2601" i="3"/>
  <c r="M2601" i="3"/>
  <c r="L2601" i="3"/>
  <c r="V2600" i="3"/>
  <c r="R2600" i="3"/>
  <c r="P2600" i="3"/>
  <c r="N2600" i="3"/>
  <c r="M2600" i="3"/>
  <c r="L2600" i="3"/>
  <c r="V2599" i="3"/>
  <c r="R2599" i="3"/>
  <c r="P2599" i="3"/>
  <c r="N2599" i="3"/>
  <c r="M2599" i="3"/>
  <c r="L2599" i="3"/>
  <c r="V2598" i="3"/>
  <c r="R2598" i="3"/>
  <c r="P2598" i="3"/>
  <c r="N2598" i="3"/>
  <c r="M2598" i="3"/>
  <c r="L2598" i="3"/>
  <c r="V2597" i="3"/>
  <c r="R2597" i="3"/>
  <c r="P2597" i="3"/>
  <c r="N2597" i="3"/>
  <c r="M2597" i="3"/>
  <c r="L2597" i="3"/>
  <c r="V2596" i="3"/>
  <c r="R2596" i="3"/>
  <c r="P2596" i="3"/>
  <c r="N2596" i="3"/>
  <c r="M2596" i="3"/>
  <c r="L2596" i="3"/>
  <c r="V2595" i="3"/>
  <c r="R2595" i="3"/>
  <c r="P2595" i="3"/>
  <c r="N2595" i="3"/>
  <c r="M2595" i="3"/>
  <c r="L2595" i="3"/>
  <c r="V2594" i="3"/>
  <c r="R2594" i="3"/>
  <c r="P2594" i="3"/>
  <c r="N2594" i="3"/>
  <c r="M2594" i="3"/>
  <c r="L2594" i="3"/>
  <c r="V2593" i="3"/>
  <c r="R2593" i="3"/>
  <c r="P2593" i="3"/>
  <c r="N2593" i="3"/>
  <c r="M2593" i="3"/>
  <c r="L2593" i="3"/>
  <c r="V2592" i="3"/>
  <c r="R2592" i="3"/>
  <c r="P2592" i="3"/>
  <c r="N2592" i="3"/>
  <c r="M2592" i="3"/>
  <c r="L2592" i="3"/>
  <c r="V2591" i="3"/>
  <c r="R2591" i="3"/>
  <c r="P2591" i="3"/>
  <c r="N2591" i="3"/>
  <c r="M2591" i="3"/>
  <c r="L2591" i="3"/>
  <c r="V2590" i="3"/>
  <c r="R2590" i="3"/>
  <c r="P2590" i="3"/>
  <c r="N2590" i="3"/>
  <c r="M2590" i="3"/>
  <c r="L2590" i="3"/>
  <c r="V2589" i="3"/>
  <c r="R2589" i="3"/>
  <c r="P2589" i="3"/>
  <c r="N2589" i="3"/>
  <c r="M2589" i="3"/>
  <c r="L2589" i="3"/>
  <c r="V2588" i="3"/>
  <c r="R2588" i="3"/>
  <c r="P2588" i="3"/>
  <c r="N2588" i="3"/>
  <c r="M2588" i="3"/>
  <c r="L2588" i="3"/>
  <c r="V2587" i="3"/>
  <c r="R2587" i="3"/>
  <c r="P2587" i="3"/>
  <c r="N2587" i="3"/>
  <c r="M2587" i="3"/>
  <c r="L2587" i="3"/>
  <c r="V2586" i="3"/>
  <c r="R2586" i="3"/>
  <c r="P2586" i="3"/>
  <c r="N2586" i="3"/>
  <c r="M2586" i="3"/>
  <c r="L2586" i="3"/>
  <c r="V2585" i="3"/>
  <c r="R2585" i="3"/>
  <c r="P2585" i="3"/>
  <c r="N2585" i="3"/>
  <c r="M2585" i="3"/>
  <c r="L2585" i="3"/>
  <c r="V2584" i="3"/>
  <c r="R2584" i="3"/>
  <c r="P2584" i="3"/>
  <c r="N2584" i="3"/>
  <c r="M2584" i="3"/>
  <c r="L2584" i="3"/>
  <c r="V2583" i="3"/>
  <c r="R2583" i="3"/>
  <c r="P2583" i="3"/>
  <c r="N2583" i="3"/>
  <c r="M2583" i="3"/>
  <c r="L2583" i="3"/>
  <c r="V2582" i="3"/>
  <c r="R2582" i="3"/>
  <c r="P2582" i="3"/>
  <c r="N2582" i="3"/>
  <c r="M2582" i="3"/>
  <c r="L2582" i="3"/>
  <c r="V2581" i="3"/>
  <c r="R2581" i="3"/>
  <c r="P2581" i="3"/>
  <c r="N2581" i="3"/>
  <c r="M2581" i="3"/>
  <c r="L2581" i="3"/>
  <c r="V2580" i="3"/>
  <c r="R2580" i="3"/>
  <c r="P2580" i="3"/>
  <c r="N2580" i="3"/>
  <c r="M2580" i="3"/>
  <c r="L2580" i="3"/>
  <c r="V2579" i="3"/>
  <c r="R2579" i="3"/>
  <c r="P2579" i="3"/>
  <c r="N2579" i="3"/>
  <c r="M2579" i="3"/>
  <c r="L2579" i="3"/>
  <c r="V2578" i="3"/>
  <c r="R2578" i="3"/>
  <c r="P2578" i="3"/>
  <c r="N2578" i="3"/>
  <c r="M2578" i="3"/>
  <c r="L2578" i="3"/>
  <c r="V2577" i="3"/>
  <c r="R2577" i="3"/>
  <c r="P2577" i="3"/>
  <c r="N2577" i="3"/>
  <c r="M2577" i="3"/>
  <c r="L2577" i="3"/>
  <c r="V2576" i="3"/>
  <c r="R2576" i="3"/>
  <c r="P2576" i="3"/>
  <c r="N2576" i="3"/>
  <c r="M2576" i="3"/>
  <c r="L2576" i="3"/>
  <c r="V2575" i="3"/>
  <c r="R2575" i="3"/>
  <c r="P2575" i="3"/>
  <c r="N2575" i="3"/>
  <c r="M2575" i="3"/>
  <c r="L2575" i="3"/>
  <c r="V2574" i="3"/>
  <c r="R2574" i="3"/>
  <c r="P2574" i="3"/>
  <c r="N2574" i="3"/>
  <c r="M2574" i="3"/>
  <c r="L2574" i="3"/>
  <c r="V2573" i="3"/>
  <c r="R2573" i="3"/>
  <c r="P2573" i="3"/>
  <c r="N2573" i="3"/>
  <c r="M2573" i="3"/>
  <c r="L2573" i="3"/>
  <c r="V2572" i="3"/>
  <c r="R2572" i="3"/>
  <c r="P2572" i="3"/>
  <c r="N2572" i="3"/>
  <c r="M2572" i="3"/>
  <c r="L2572" i="3"/>
  <c r="V2571" i="3"/>
  <c r="R2571" i="3"/>
  <c r="P2571" i="3"/>
  <c r="N2571" i="3"/>
  <c r="M2571" i="3"/>
  <c r="L2571" i="3"/>
  <c r="V2570" i="3"/>
  <c r="R2570" i="3"/>
  <c r="P2570" i="3"/>
  <c r="N2570" i="3"/>
  <c r="M2570" i="3"/>
  <c r="L2570" i="3"/>
  <c r="V2569" i="3"/>
  <c r="R2569" i="3"/>
  <c r="P2569" i="3"/>
  <c r="N2569" i="3"/>
  <c r="M2569" i="3"/>
  <c r="L2569" i="3"/>
  <c r="V2568" i="3"/>
  <c r="R2568" i="3"/>
  <c r="P2568" i="3"/>
  <c r="N2568" i="3"/>
  <c r="M2568" i="3"/>
  <c r="L2568" i="3"/>
  <c r="V2567" i="3"/>
  <c r="R2567" i="3"/>
  <c r="P2567" i="3"/>
  <c r="N2567" i="3"/>
  <c r="M2567" i="3"/>
  <c r="L2567" i="3"/>
  <c r="V2566" i="3"/>
  <c r="R2566" i="3"/>
  <c r="P2566" i="3"/>
  <c r="N2566" i="3"/>
  <c r="M2566" i="3"/>
  <c r="L2566" i="3"/>
  <c r="V2565" i="3"/>
  <c r="R2565" i="3"/>
  <c r="P2565" i="3"/>
  <c r="N2565" i="3"/>
  <c r="M2565" i="3"/>
  <c r="L2565" i="3"/>
  <c r="V2564" i="3"/>
  <c r="R2564" i="3"/>
  <c r="P2564" i="3"/>
  <c r="N2564" i="3"/>
  <c r="M2564" i="3"/>
  <c r="L2564" i="3"/>
  <c r="V2563" i="3"/>
  <c r="R2563" i="3"/>
  <c r="P2563" i="3"/>
  <c r="N2563" i="3"/>
  <c r="M2563" i="3"/>
  <c r="L2563" i="3"/>
  <c r="V2562" i="3"/>
  <c r="R2562" i="3"/>
  <c r="P2562" i="3"/>
  <c r="N2562" i="3"/>
  <c r="M2562" i="3"/>
  <c r="L2562" i="3"/>
  <c r="V2561" i="3"/>
  <c r="R2561" i="3"/>
  <c r="P2561" i="3"/>
  <c r="N2561" i="3"/>
  <c r="M2561" i="3"/>
  <c r="L2561" i="3"/>
  <c r="V2560" i="3"/>
  <c r="R2560" i="3"/>
  <c r="P2560" i="3"/>
  <c r="N2560" i="3"/>
  <c r="M2560" i="3"/>
  <c r="L2560" i="3"/>
  <c r="V2559" i="3"/>
  <c r="R2559" i="3"/>
  <c r="P2559" i="3"/>
  <c r="N2559" i="3"/>
  <c r="M2559" i="3"/>
  <c r="L2559" i="3"/>
  <c r="V2558" i="3"/>
  <c r="R2558" i="3"/>
  <c r="P2558" i="3"/>
  <c r="N2558" i="3"/>
  <c r="M2558" i="3"/>
  <c r="L2558" i="3"/>
  <c r="V2557" i="3"/>
  <c r="R2557" i="3"/>
  <c r="P2557" i="3"/>
  <c r="N2557" i="3"/>
  <c r="M2557" i="3"/>
  <c r="L2557" i="3"/>
  <c r="V2556" i="3"/>
  <c r="R2556" i="3"/>
  <c r="P2556" i="3"/>
  <c r="N2556" i="3"/>
  <c r="M2556" i="3"/>
  <c r="L2556" i="3"/>
  <c r="V2555" i="3"/>
  <c r="R2555" i="3"/>
  <c r="P2555" i="3"/>
  <c r="N2555" i="3"/>
  <c r="M2555" i="3"/>
  <c r="L2555" i="3"/>
  <c r="V2554" i="3"/>
  <c r="R2554" i="3"/>
  <c r="P2554" i="3"/>
  <c r="N2554" i="3"/>
  <c r="M2554" i="3"/>
  <c r="L2554" i="3"/>
  <c r="V2553" i="3"/>
  <c r="R2553" i="3"/>
  <c r="P2553" i="3"/>
  <c r="N2553" i="3"/>
  <c r="M2553" i="3"/>
  <c r="L2553" i="3"/>
  <c r="V2552" i="3"/>
  <c r="R2552" i="3"/>
  <c r="P2552" i="3"/>
  <c r="N2552" i="3"/>
  <c r="M2552" i="3"/>
  <c r="L2552" i="3"/>
  <c r="V2551" i="3"/>
  <c r="R2551" i="3"/>
  <c r="P2551" i="3"/>
  <c r="N2551" i="3"/>
  <c r="M2551" i="3"/>
  <c r="L2551" i="3"/>
  <c r="V2550" i="3"/>
  <c r="R2550" i="3"/>
  <c r="P2550" i="3"/>
  <c r="N2550" i="3"/>
  <c r="M2550" i="3"/>
  <c r="L2550" i="3"/>
  <c r="V2549" i="3"/>
  <c r="R2549" i="3"/>
  <c r="P2549" i="3"/>
  <c r="N2549" i="3"/>
  <c r="M2549" i="3"/>
  <c r="L2549" i="3"/>
  <c r="V2548" i="3"/>
  <c r="R2548" i="3"/>
  <c r="P2548" i="3"/>
  <c r="N2548" i="3"/>
  <c r="M2548" i="3"/>
  <c r="L2548" i="3"/>
  <c r="V2547" i="3"/>
  <c r="R2547" i="3"/>
  <c r="P2547" i="3"/>
  <c r="N2547" i="3"/>
  <c r="M2547" i="3"/>
  <c r="L2547" i="3"/>
  <c r="V2546" i="3"/>
  <c r="R2546" i="3"/>
  <c r="P2546" i="3"/>
  <c r="N2546" i="3"/>
  <c r="M2546" i="3"/>
  <c r="L2546" i="3"/>
  <c r="V2545" i="3"/>
  <c r="R2545" i="3"/>
  <c r="P2545" i="3"/>
  <c r="N2545" i="3"/>
  <c r="M2545" i="3"/>
  <c r="L2545" i="3"/>
  <c r="V2544" i="3"/>
  <c r="R2544" i="3"/>
  <c r="P2544" i="3"/>
  <c r="N2544" i="3"/>
  <c r="M2544" i="3"/>
  <c r="L2544" i="3"/>
  <c r="V2543" i="3"/>
  <c r="R2543" i="3"/>
  <c r="P2543" i="3"/>
  <c r="N2543" i="3"/>
  <c r="M2543" i="3"/>
  <c r="L2543" i="3"/>
  <c r="V2542" i="3"/>
  <c r="R2542" i="3"/>
  <c r="P2542" i="3"/>
  <c r="N2542" i="3"/>
  <c r="M2542" i="3"/>
  <c r="L2542" i="3"/>
  <c r="V2541" i="3"/>
  <c r="R2541" i="3"/>
  <c r="P2541" i="3"/>
  <c r="N2541" i="3"/>
  <c r="M2541" i="3"/>
  <c r="L2541" i="3"/>
  <c r="V2540" i="3"/>
  <c r="R2540" i="3"/>
  <c r="P2540" i="3"/>
  <c r="N2540" i="3"/>
  <c r="M2540" i="3"/>
  <c r="L2540" i="3"/>
  <c r="V2539" i="3"/>
  <c r="R2539" i="3"/>
  <c r="P2539" i="3"/>
  <c r="N2539" i="3"/>
  <c r="M2539" i="3"/>
  <c r="L2539" i="3"/>
  <c r="V2538" i="3"/>
  <c r="R2538" i="3"/>
  <c r="P2538" i="3"/>
  <c r="N2538" i="3"/>
  <c r="M2538" i="3"/>
  <c r="L2538" i="3"/>
  <c r="V2537" i="3"/>
  <c r="R2537" i="3"/>
  <c r="P2537" i="3"/>
  <c r="N2537" i="3"/>
  <c r="M2537" i="3"/>
  <c r="L2537" i="3"/>
  <c r="V2536" i="3"/>
  <c r="R2536" i="3"/>
  <c r="P2536" i="3"/>
  <c r="N2536" i="3"/>
  <c r="M2536" i="3"/>
  <c r="L2536" i="3"/>
  <c r="V2535" i="3"/>
  <c r="R2535" i="3"/>
  <c r="P2535" i="3"/>
  <c r="N2535" i="3"/>
  <c r="M2535" i="3"/>
  <c r="L2535" i="3"/>
  <c r="V2534" i="3"/>
  <c r="R2534" i="3"/>
  <c r="P2534" i="3"/>
  <c r="N2534" i="3"/>
  <c r="M2534" i="3"/>
  <c r="L2534" i="3"/>
  <c r="V2533" i="3"/>
  <c r="R2533" i="3"/>
  <c r="P2533" i="3"/>
  <c r="N2533" i="3"/>
  <c r="M2533" i="3"/>
  <c r="L2533" i="3"/>
  <c r="V2532" i="3"/>
  <c r="R2532" i="3"/>
  <c r="P2532" i="3"/>
  <c r="N2532" i="3"/>
  <c r="M2532" i="3"/>
  <c r="L2532" i="3"/>
  <c r="V2531" i="3"/>
  <c r="R2531" i="3"/>
  <c r="P2531" i="3"/>
  <c r="N2531" i="3"/>
  <c r="M2531" i="3"/>
  <c r="L2531" i="3"/>
  <c r="V2530" i="3"/>
  <c r="R2530" i="3"/>
  <c r="P2530" i="3"/>
  <c r="N2530" i="3"/>
  <c r="M2530" i="3"/>
  <c r="L2530" i="3"/>
  <c r="V2529" i="3"/>
  <c r="R2529" i="3"/>
  <c r="P2529" i="3"/>
  <c r="N2529" i="3"/>
  <c r="M2529" i="3"/>
  <c r="L2529" i="3"/>
  <c r="V2528" i="3"/>
  <c r="R2528" i="3"/>
  <c r="P2528" i="3"/>
  <c r="N2528" i="3"/>
  <c r="M2528" i="3"/>
  <c r="L2528" i="3"/>
  <c r="V2527" i="3"/>
  <c r="R2527" i="3"/>
  <c r="P2527" i="3"/>
  <c r="N2527" i="3"/>
  <c r="M2527" i="3"/>
  <c r="L2527" i="3"/>
  <c r="V2526" i="3"/>
  <c r="R2526" i="3"/>
  <c r="P2526" i="3"/>
  <c r="N2526" i="3"/>
  <c r="M2526" i="3"/>
  <c r="L2526" i="3"/>
  <c r="V2525" i="3"/>
  <c r="R2525" i="3"/>
  <c r="P2525" i="3"/>
  <c r="N2525" i="3"/>
  <c r="M2525" i="3"/>
  <c r="L2525" i="3"/>
  <c r="V2524" i="3"/>
  <c r="R2524" i="3"/>
  <c r="P2524" i="3"/>
  <c r="N2524" i="3"/>
  <c r="M2524" i="3"/>
  <c r="L2524" i="3"/>
  <c r="V2523" i="3"/>
  <c r="R2523" i="3"/>
  <c r="P2523" i="3"/>
  <c r="N2523" i="3"/>
  <c r="M2523" i="3"/>
  <c r="L2523" i="3"/>
  <c r="V2522" i="3"/>
  <c r="R2522" i="3"/>
  <c r="P2522" i="3"/>
  <c r="N2522" i="3"/>
  <c r="M2522" i="3"/>
  <c r="L2522" i="3"/>
  <c r="V2521" i="3"/>
  <c r="R2521" i="3"/>
  <c r="P2521" i="3"/>
  <c r="N2521" i="3"/>
  <c r="M2521" i="3"/>
  <c r="L2521" i="3"/>
  <c r="V2520" i="3"/>
  <c r="R2520" i="3"/>
  <c r="P2520" i="3"/>
  <c r="N2520" i="3"/>
  <c r="M2520" i="3"/>
  <c r="L2520" i="3"/>
  <c r="V2519" i="3"/>
  <c r="R2519" i="3"/>
  <c r="P2519" i="3"/>
  <c r="N2519" i="3"/>
  <c r="M2519" i="3"/>
  <c r="L2519" i="3"/>
  <c r="V2518" i="3"/>
  <c r="R2518" i="3"/>
  <c r="P2518" i="3"/>
  <c r="N2518" i="3"/>
  <c r="M2518" i="3"/>
  <c r="L2518" i="3"/>
  <c r="V2517" i="3"/>
  <c r="R2517" i="3"/>
  <c r="P2517" i="3"/>
  <c r="N2517" i="3"/>
  <c r="M2517" i="3"/>
  <c r="L2517" i="3"/>
  <c r="V2516" i="3"/>
  <c r="R2516" i="3"/>
  <c r="P2516" i="3"/>
  <c r="N2516" i="3"/>
  <c r="M2516" i="3"/>
  <c r="L2516" i="3"/>
  <c r="V2515" i="3"/>
  <c r="R2515" i="3"/>
  <c r="P2515" i="3"/>
  <c r="N2515" i="3"/>
  <c r="M2515" i="3"/>
  <c r="L2515" i="3"/>
  <c r="V2514" i="3"/>
  <c r="R2514" i="3"/>
  <c r="P2514" i="3"/>
  <c r="N2514" i="3"/>
  <c r="M2514" i="3"/>
  <c r="L2514" i="3"/>
  <c r="V2513" i="3"/>
  <c r="R2513" i="3"/>
  <c r="P2513" i="3"/>
  <c r="N2513" i="3"/>
  <c r="M2513" i="3"/>
  <c r="L2513" i="3"/>
  <c r="V2512" i="3"/>
  <c r="R2512" i="3"/>
  <c r="P2512" i="3"/>
  <c r="N2512" i="3"/>
  <c r="M2512" i="3"/>
  <c r="L2512" i="3"/>
  <c r="V2511" i="3"/>
  <c r="R2511" i="3"/>
  <c r="P2511" i="3"/>
  <c r="N2511" i="3"/>
  <c r="M2511" i="3"/>
  <c r="L2511" i="3"/>
  <c r="V2510" i="3"/>
  <c r="R2510" i="3"/>
  <c r="P2510" i="3"/>
  <c r="N2510" i="3"/>
  <c r="M2510" i="3"/>
  <c r="L2510" i="3"/>
  <c r="V2509" i="3"/>
  <c r="R2509" i="3"/>
  <c r="P2509" i="3"/>
  <c r="N2509" i="3"/>
  <c r="M2509" i="3"/>
  <c r="L2509" i="3"/>
  <c r="V2508" i="3"/>
  <c r="R2508" i="3"/>
  <c r="P2508" i="3"/>
  <c r="N2508" i="3"/>
  <c r="M2508" i="3"/>
  <c r="L2508" i="3"/>
  <c r="V2507" i="3"/>
  <c r="R2507" i="3"/>
  <c r="P2507" i="3"/>
  <c r="N2507" i="3"/>
  <c r="M2507" i="3"/>
  <c r="L2507" i="3"/>
  <c r="V2506" i="3"/>
  <c r="R2506" i="3"/>
  <c r="P2506" i="3"/>
  <c r="N2506" i="3"/>
  <c r="M2506" i="3"/>
  <c r="L2506" i="3"/>
  <c r="V2505" i="3"/>
  <c r="R2505" i="3"/>
  <c r="P2505" i="3"/>
  <c r="N2505" i="3"/>
  <c r="M2505" i="3"/>
  <c r="L2505" i="3"/>
  <c r="V2504" i="3"/>
  <c r="R2504" i="3"/>
  <c r="P2504" i="3"/>
  <c r="N2504" i="3"/>
  <c r="M2504" i="3"/>
  <c r="L2504" i="3"/>
  <c r="V2503" i="3"/>
  <c r="R2503" i="3"/>
  <c r="P2503" i="3"/>
  <c r="N2503" i="3"/>
  <c r="M2503" i="3"/>
  <c r="L2503" i="3"/>
  <c r="V2502" i="3"/>
  <c r="R2502" i="3"/>
  <c r="P2502" i="3"/>
  <c r="N2502" i="3"/>
  <c r="M2502" i="3"/>
  <c r="L2502" i="3"/>
  <c r="V2501" i="3"/>
  <c r="R2501" i="3"/>
  <c r="P2501" i="3"/>
  <c r="N2501" i="3"/>
  <c r="M2501" i="3"/>
  <c r="L2501" i="3"/>
  <c r="V2500" i="3"/>
  <c r="R2500" i="3"/>
  <c r="P2500" i="3"/>
  <c r="N2500" i="3"/>
  <c r="M2500" i="3"/>
  <c r="L2500" i="3"/>
  <c r="V2499" i="3"/>
  <c r="R2499" i="3"/>
  <c r="P2499" i="3"/>
  <c r="N2499" i="3"/>
  <c r="M2499" i="3"/>
  <c r="L2499" i="3"/>
  <c r="V2498" i="3"/>
  <c r="R2498" i="3"/>
  <c r="P2498" i="3"/>
  <c r="N2498" i="3"/>
  <c r="M2498" i="3"/>
  <c r="L2498" i="3"/>
  <c r="V2497" i="3"/>
  <c r="R2497" i="3"/>
  <c r="P2497" i="3"/>
  <c r="N2497" i="3"/>
  <c r="M2497" i="3"/>
  <c r="L2497" i="3"/>
  <c r="V2496" i="3"/>
  <c r="R2496" i="3"/>
  <c r="P2496" i="3"/>
  <c r="N2496" i="3"/>
  <c r="M2496" i="3"/>
  <c r="L2496" i="3"/>
  <c r="V2495" i="3"/>
  <c r="R2495" i="3"/>
  <c r="P2495" i="3"/>
  <c r="N2495" i="3"/>
  <c r="M2495" i="3"/>
  <c r="L2495" i="3"/>
  <c r="V2494" i="3"/>
  <c r="R2494" i="3"/>
  <c r="P2494" i="3"/>
  <c r="N2494" i="3"/>
  <c r="M2494" i="3"/>
  <c r="L2494" i="3"/>
  <c r="V2493" i="3"/>
  <c r="R2493" i="3"/>
  <c r="P2493" i="3"/>
  <c r="N2493" i="3"/>
  <c r="M2493" i="3"/>
  <c r="L2493" i="3"/>
  <c r="V2492" i="3"/>
  <c r="R2492" i="3"/>
  <c r="P2492" i="3"/>
  <c r="N2492" i="3"/>
  <c r="M2492" i="3"/>
  <c r="L2492" i="3"/>
  <c r="V2491" i="3"/>
  <c r="R2491" i="3"/>
  <c r="P2491" i="3"/>
  <c r="N2491" i="3"/>
  <c r="M2491" i="3"/>
  <c r="L2491" i="3"/>
  <c r="V2490" i="3"/>
  <c r="R2490" i="3"/>
  <c r="P2490" i="3"/>
  <c r="N2490" i="3"/>
  <c r="M2490" i="3"/>
  <c r="L2490" i="3"/>
  <c r="V2489" i="3"/>
  <c r="R2489" i="3"/>
  <c r="P2489" i="3"/>
  <c r="N2489" i="3"/>
  <c r="M2489" i="3"/>
  <c r="L2489" i="3"/>
  <c r="V2488" i="3"/>
  <c r="R2488" i="3"/>
  <c r="P2488" i="3"/>
  <c r="N2488" i="3"/>
  <c r="M2488" i="3"/>
  <c r="L2488" i="3"/>
  <c r="V2487" i="3"/>
  <c r="R2487" i="3"/>
  <c r="P2487" i="3"/>
  <c r="N2487" i="3"/>
  <c r="M2487" i="3"/>
  <c r="L2487" i="3"/>
  <c r="V2486" i="3"/>
  <c r="R2486" i="3"/>
  <c r="P2486" i="3"/>
  <c r="N2486" i="3"/>
  <c r="M2486" i="3"/>
  <c r="L2486" i="3"/>
  <c r="V2485" i="3"/>
  <c r="R2485" i="3"/>
  <c r="P2485" i="3"/>
  <c r="N2485" i="3"/>
  <c r="M2485" i="3"/>
  <c r="L2485" i="3"/>
  <c r="V2484" i="3"/>
  <c r="R2484" i="3"/>
  <c r="P2484" i="3"/>
  <c r="N2484" i="3"/>
  <c r="M2484" i="3"/>
  <c r="L2484" i="3"/>
  <c r="V2483" i="3"/>
  <c r="R2483" i="3"/>
  <c r="P2483" i="3"/>
  <c r="N2483" i="3"/>
  <c r="M2483" i="3"/>
  <c r="L2483" i="3"/>
  <c r="V2482" i="3"/>
  <c r="R2482" i="3"/>
  <c r="P2482" i="3"/>
  <c r="N2482" i="3"/>
  <c r="M2482" i="3"/>
  <c r="L2482" i="3"/>
  <c r="V2481" i="3"/>
  <c r="R2481" i="3"/>
  <c r="P2481" i="3"/>
  <c r="N2481" i="3"/>
  <c r="M2481" i="3"/>
  <c r="L2481" i="3"/>
  <c r="V2480" i="3"/>
  <c r="R2480" i="3"/>
  <c r="P2480" i="3"/>
  <c r="N2480" i="3"/>
  <c r="M2480" i="3"/>
  <c r="L2480" i="3"/>
  <c r="V2479" i="3"/>
  <c r="R2479" i="3"/>
  <c r="P2479" i="3"/>
  <c r="N2479" i="3"/>
  <c r="M2479" i="3"/>
  <c r="L2479" i="3"/>
  <c r="V2478" i="3"/>
  <c r="R2478" i="3"/>
  <c r="P2478" i="3"/>
  <c r="N2478" i="3"/>
  <c r="M2478" i="3"/>
  <c r="L2478" i="3"/>
  <c r="V2477" i="3"/>
  <c r="R2477" i="3"/>
  <c r="P2477" i="3"/>
  <c r="N2477" i="3"/>
  <c r="M2477" i="3"/>
  <c r="L2477" i="3"/>
  <c r="V2476" i="3"/>
  <c r="R2476" i="3"/>
  <c r="P2476" i="3"/>
  <c r="N2476" i="3"/>
  <c r="M2476" i="3"/>
  <c r="L2476" i="3"/>
  <c r="V2475" i="3"/>
  <c r="R2475" i="3"/>
  <c r="P2475" i="3"/>
  <c r="N2475" i="3"/>
  <c r="M2475" i="3"/>
  <c r="L2475" i="3"/>
  <c r="V2474" i="3"/>
  <c r="R2474" i="3"/>
  <c r="P2474" i="3"/>
  <c r="N2474" i="3"/>
  <c r="M2474" i="3"/>
  <c r="L2474" i="3"/>
  <c r="V2473" i="3"/>
  <c r="R2473" i="3"/>
  <c r="P2473" i="3"/>
  <c r="N2473" i="3"/>
  <c r="M2473" i="3"/>
  <c r="L2473" i="3"/>
  <c r="V2472" i="3"/>
  <c r="R2472" i="3"/>
  <c r="P2472" i="3"/>
  <c r="N2472" i="3"/>
  <c r="M2472" i="3"/>
  <c r="L2472" i="3"/>
  <c r="V2471" i="3"/>
  <c r="R2471" i="3"/>
  <c r="P2471" i="3"/>
  <c r="N2471" i="3"/>
  <c r="M2471" i="3"/>
  <c r="L2471" i="3"/>
  <c r="V2470" i="3"/>
  <c r="R2470" i="3"/>
  <c r="P2470" i="3"/>
  <c r="N2470" i="3"/>
  <c r="M2470" i="3"/>
  <c r="L2470" i="3"/>
  <c r="V2469" i="3"/>
  <c r="R2469" i="3"/>
  <c r="P2469" i="3"/>
  <c r="N2469" i="3"/>
  <c r="M2469" i="3"/>
  <c r="L2469" i="3"/>
  <c r="V2468" i="3"/>
  <c r="R2468" i="3"/>
  <c r="P2468" i="3"/>
  <c r="N2468" i="3"/>
  <c r="M2468" i="3"/>
  <c r="L2468" i="3"/>
  <c r="V2467" i="3"/>
  <c r="R2467" i="3"/>
  <c r="P2467" i="3"/>
  <c r="N2467" i="3"/>
  <c r="M2467" i="3"/>
  <c r="L2467" i="3"/>
  <c r="V2466" i="3"/>
  <c r="R2466" i="3"/>
  <c r="P2466" i="3"/>
  <c r="N2466" i="3"/>
  <c r="M2466" i="3"/>
  <c r="L2466" i="3"/>
  <c r="V2465" i="3"/>
  <c r="R2465" i="3"/>
  <c r="P2465" i="3"/>
  <c r="N2465" i="3"/>
  <c r="M2465" i="3"/>
  <c r="L2465" i="3"/>
  <c r="V2464" i="3"/>
  <c r="R2464" i="3"/>
  <c r="P2464" i="3"/>
  <c r="N2464" i="3"/>
  <c r="M2464" i="3"/>
  <c r="L2464" i="3"/>
  <c r="V2463" i="3"/>
  <c r="R2463" i="3"/>
  <c r="P2463" i="3"/>
  <c r="N2463" i="3"/>
  <c r="M2463" i="3"/>
  <c r="L2463" i="3"/>
  <c r="V2462" i="3"/>
  <c r="R2462" i="3"/>
  <c r="P2462" i="3"/>
  <c r="N2462" i="3"/>
  <c r="M2462" i="3"/>
  <c r="L2462" i="3"/>
  <c r="V2461" i="3"/>
  <c r="R2461" i="3"/>
  <c r="P2461" i="3"/>
  <c r="N2461" i="3"/>
  <c r="M2461" i="3"/>
  <c r="L2461" i="3"/>
  <c r="V2460" i="3"/>
  <c r="R2460" i="3"/>
  <c r="P2460" i="3"/>
  <c r="N2460" i="3"/>
  <c r="M2460" i="3"/>
  <c r="L2460" i="3"/>
  <c r="V2459" i="3"/>
  <c r="R2459" i="3"/>
  <c r="P2459" i="3"/>
  <c r="N2459" i="3"/>
  <c r="M2459" i="3"/>
  <c r="L2459" i="3"/>
  <c r="V2458" i="3"/>
  <c r="R2458" i="3"/>
  <c r="P2458" i="3"/>
  <c r="N2458" i="3"/>
  <c r="M2458" i="3"/>
  <c r="L2458" i="3"/>
  <c r="V2457" i="3"/>
  <c r="R2457" i="3"/>
  <c r="P2457" i="3"/>
  <c r="N2457" i="3"/>
  <c r="M2457" i="3"/>
  <c r="L2457" i="3"/>
  <c r="V2456" i="3"/>
  <c r="R2456" i="3"/>
  <c r="P2456" i="3"/>
  <c r="N2456" i="3"/>
  <c r="M2456" i="3"/>
  <c r="L2456" i="3"/>
  <c r="V2455" i="3"/>
  <c r="R2455" i="3"/>
  <c r="P2455" i="3"/>
  <c r="N2455" i="3"/>
  <c r="M2455" i="3"/>
  <c r="L2455" i="3"/>
  <c r="V2454" i="3"/>
  <c r="R2454" i="3"/>
  <c r="P2454" i="3"/>
  <c r="N2454" i="3"/>
  <c r="M2454" i="3"/>
  <c r="L2454" i="3"/>
  <c r="V2453" i="3"/>
  <c r="R2453" i="3"/>
  <c r="P2453" i="3"/>
  <c r="N2453" i="3"/>
  <c r="M2453" i="3"/>
  <c r="L2453" i="3"/>
  <c r="V2452" i="3"/>
  <c r="R2452" i="3"/>
  <c r="P2452" i="3"/>
  <c r="N2452" i="3"/>
  <c r="M2452" i="3"/>
  <c r="L2452" i="3"/>
  <c r="V2451" i="3"/>
  <c r="R2451" i="3"/>
  <c r="P2451" i="3"/>
  <c r="N2451" i="3"/>
  <c r="M2451" i="3"/>
  <c r="L2451" i="3"/>
  <c r="V2450" i="3"/>
  <c r="R2450" i="3"/>
  <c r="P2450" i="3"/>
  <c r="N2450" i="3"/>
  <c r="M2450" i="3"/>
  <c r="L2450" i="3"/>
  <c r="V2449" i="3"/>
  <c r="R2449" i="3"/>
  <c r="P2449" i="3"/>
  <c r="N2449" i="3"/>
  <c r="M2449" i="3"/>
  <c r="L2449" i="3"/>
  <c r="V2448" i="3"/>
  <c r="R2448" i="3"/>
  <c r="P2448" i="3"/>
  <c r="N2448" i="3"/>
  <c r="M2448" i="3"/>
  <c r="L2448" i="3"/>
  <c r="V2447" i="3"/>
  <c r="R2447" i="3"/>
  <c r="P2447" i="3"/>
  <c r="N2447" i="3"/>
  <c r="M2447" i="3"/>
  <c r="L2447" i="3"/>
  <c r="V2446" i="3"/>
  <c r="R2446" i="3"/>
  <c r="P2446" i="3"/>
  <c r="N2446" i="3"/>
  <c r="M2446" i="3"/>
  <c r="L2446" i="3"/>
  <c r="V2445" i="3"/>
  <c r="R2445" i="3"/>
  <c r="P2445" i="3"/>
  <c r="N2445" i="3"/>
  <c r="M2445" i="3"/>
  <c r="L2445" i="3"/>
  <c r="V2444" i="3"/>
  <c r="R2444" i="3"/>
  <c r="P2444" i="3"/>
  <c r="N2444" i="3"/>
  <c r="M2444" i="3"/>
  <c r="L2444" i="3"/>
  <c r="V2443" i="3"/>
  <c r="R2443" i="3"/>
  <c r="P2443" i="3"/>
  <c r="N2443" i="3"/>
  <c r="M2443" i="3"/>
  <c r="L2443" i="3"/>
  <c r="V2442" i="3"/>
  <c r="R2442" i="3"/>
  <c r="P2442" i="3"/>
  <c r="N2442" i="3"/>
  <c r="M2442" i="3"/>
  <c r="L2442" i="3"/>
  <c r="V2441" i="3"/>
  <c r="R2441" i="3"/>
  <c r="P2441" i="3"/>
  <c r="N2441" i="3"/>
  <c r="M2441" i="3"/>
  <c r="L2441" i="3"/>
  <c r="V2440" i="3"/>
  <c r="R2440" i="3"/>
  <c r="P2440" i="3"/>
  <c r="N2440" i="3"/>
  <c r="M2440" i="3"/>
  <c r="L2440" i="3"/>
  <c r="V2439" i="3"/>
  <c r="R2439" i="3"/>
  <c r="P2439" i="3"/>
  <c r="N2439" i="3"/>
  <c r="M2439" i="3"/>
  <c r="L2439" i="3"/>
  <c r="V2438" i="3"/>
  <c r="R2438" i="3"/>
  <c r="P2438" i="3"/>
  <c r="N2438" i="3"/>
  <c r="M2438" i="3"/>
  <c r="L2438" i="3"/>
  <c r="V2437" i="3"/>
  <c r="R2437" i="3"/>
  <c r="P2437" i="3"/>
  <c r="N2437" i="3"/>
  <c r="M2437" i="3"/>
  <c r="L2437" i="3"/>
  <c r="V2436" i="3"/>
  <c r="R2436" i="3"/>
  <c r="P2436" i="3"/>
  <c r="N2436" i="3"/>
  <c r="M2436" i="3"/>
  <c r="L2436" i="3"/>
  <c r="V2435" i="3"/>
  <c r="R2435" i="3"/>
  <c r="P2435" i="3"/>
  <c r="N2435" i="3"/>
  <c r="M2435" i="3"/>
  <c r="L2435" i="3"/>
  <c r="V2434" i="3"/>
  <c r="R2434" i="3"/>
  <c r="P2434" i="3"/>
  <c r="N2434" i="3"/>
  <c r="M2434" i="3"/>
  <c r="L2434" i="3"/>
  <c r="V2433" i="3"/>
  <c r="R2433" i="3"/>
  <c r="P2433" i="3"/>
  <c r="N2433" i="3"/>
  <c r="M2433" i="3"/>
  <c r="L2433" i="3"/>
  <c r="V2432" i="3"/>
  <c r="R2432" i="3"/>
  <c r="P2432" i="3"/>
  <c r="N2432" i="3"/>
  <c r="M2432" i="3"/>
  <c r="L2432" i="3"/>
  <c r="V2431" i="3"/>
  <c r="R2431" i="3"/>
  <c r="P2431" i="3"/>
  <c r="N2431" i="3"/>
  <c r="M2431" i="3"/>
  <c r="L2431" i="3"/>
  <c r="V2430" i="3"/>
  <c r="R2430" i="3"/>
  <c r="P2430" i="3"/>
  <c r="N2430" i="3"/>
  <c r="M2430" i="3"/>
  <c r="L2430" i="3"/>
  <c r="V2429" i="3"/>
  <c r="R2429" i="3"/>
  <c r="P2429" i="3"/>
  <c r="N2429" i="3"/>
  <c r="M2429" i="3"/>
  <c r="L2429" i="3"/>
  <c r="V2428" i="3"/>
  <c r="R2428" i="3"/>
  <c r="P2428" i="3"/>
  <c r="N2428" i="3"/>
  <c r="M2428" i="3"/>
  <c r="L2428" i="3"/>
  <c r="V2427" i="3"/>
  <c r="R2427" i="3"/>
  <c r="P2427" i="3"/>
  <c r="N2427" i="3"/>
  <c r="M2427" i="3"/>
  <c r="L2427" i="3"/>
  <c r="V2426" i="3"/>
  <c r="R2426" i="3"/>
  <c r="P2426" i="3"/>
  <c r="N2426" i="3"/>
  <c r="M2426" i="3"/>
  <c r="L2426" i="3"/>
  <c r="V2425" i="3"/>
  <c r="R2425" i="3"/>
  <c r="P2425" i="3"/>
  <c r="N2425" i="3"/>
  <c r="M2425" i="3"/>
  <c r="L2425" i="3"/>
  <c r="V2424" i="3"/>
  <c r="R2424" i="3"/>
  <c r="P2424" i="3"/>
  <c r="N2424" i="3"/>
  <c r="M2424" i="3"/>
  <c r="L2424" i="3"/>
  <c r="V2423" i="3"/>
  <c r="R2423" i="3"/>
  <c r="P2423" i="3"/>
  <c r="N2423" i="3"/>
  <c r="M2423" i="3"/>
  <c r="L2423" i="3"/>
  <c r="V2422" i="3"/>
  <c r="R2422" i="3"/>
  <c r="P2422" i="3"/>
  <c r="N2422" i="3"/>
  <c r="M2422" i="3"/>
  <c r="L2422" i="3"/>
  <c r="V2421" i="3"/>
  <c r="R2421" i="3"/>
  <c r="P2421" i="3"/>
  <c r="N2421" i="3"/>
  <c r="M2421" i="3"/>
  <c r="L2421" i="3"/>
  <c r="V2420" i="3"/>
  <c r="R2420" i="3"/>
  <c r="P2420" i="3"/>
  <c r="N2420" i="3"/>
  <c r="M2420" i="3"/>
  <c r="L2420" i="3"/>
  <c r="V2419" i="3"/>
  <c r="R2419" i="3"/>
  <c r="P2419" i="3"/>
  <c r="N2419" i="3"/>
  <c r="M2419" i="3"/>
  <c r="L2419" i="3"/>
  <c r="V2418" i="3"/>
  <c r="R2418" i="3"/>
  <c r="P2418" i="3"/>
  <c r="N2418" i="3"/>
  <c r="M2418" i="3"/>
  <c r="L2418" i="3"/>
  <c r="V2417" i="3"/>
  <c r="R2417" i="3"/>
  <c r="P2417" i="3"/>
  <c r="N2417" i="3"/>
  <c r="M2417" i="3"/>
  <c r="L2417" i="3"/>
  <c r="V2416" i="3"/>
  <c r="R2416" i="3"/>
  <c r="P2416" i="3"/>
  <c r="N2416" i="3"/>
  <c r="M2416" i="3"/>
  <c r="L2416" i="3"/>
  <c r="V2398" i="3"/>
  <c r="R2398" i="3"/>
  <c r="P2398" i="3"/>
  <c r="N2398" i="3"/>
  <c r="M2398" i="3"/>
  <c r="L2398" i="3"/>
  <c r="V2397" i="3"/>
  <c r="R2397" i="3"/>
  <c r="P2397" i="3"/>
  <c r="N2397" i="3"/>
  <c r="M2397" i="3"/>
  <c r="L2397" i="3"/>
  <c r="V2396" i="3"/>
  <c r="R2396" i="3"/>
  <c r="P2396" i="3"/>
  <c r="N2396" i="3"/>
  <c r="M2396" i="3"/>
  <c r="L2396" i="3"/>
  <c r="V2395" i="3"/>
  <c r="R2395" i="3"/>
  <c r="P2395" i="3"/>
  <c r="N2395" i="3"/>
  <c r="M2395" i="3"/>
  <c r="L2395" i="3"/>
  <c r="V2394" i="3"/>
  <c r="R2394" i="3"/>
  <c r="P2394" i="3"/>
  <c r="N2394" i="3"/>
  <c r="M2394" i="3"/>
  <c r="L2394" i="3"/>
  <c r="V2393" i="3"/>
  <c r="R2393" i="3"/>
  <c r="P2393" i="3"/>
  <c r="N2393" i="3"/>
  <c r="M2393" i="3"/>
  <c r="L2393" i="3"/>
  <c r="V2392" i="3"/>
  <c r="R2392" i="3"/>
  <c r="P2392" i="3"/>
  <c r="N2392" i="3"/>
  <c r="M2392" i="3"/>
  <c r="L2392" i="3"/>
  <c r="V2391" i="3"/>
  <c r="R2391" i="3"/>
  <c r="P2391" i="3"/>
  <c r="N2391" i="3"/>
  <c r="M2391" i="3"/>
  <c r="L2391" i="3"/>
  <c r="V2390" i="3"/>
  <c r="R2390" i="3"/>
  <c r="P2390" i="3"/>
  <c r="N2390" i="3"/>
  <c r="M2390" i="3"/>
  <c r="L2390" i="3"/>
  <c r="V2389" i="3"/>
  <c r="R2389" i="3"/>
  <c r="P2389" i="3"/>
  <c r="N2389" i="3"/>
  <c r="M2389" i="3"/>
  <c r="L2389" i="3"/>
  <c r="V2388" i="3"/>
  <c r="R2388" i="3"/>
  <c r="P2388" i="3"/>
  <c r="N2388" i="3"/>
  <c r="M2388" i="3"/>
  <c r="L2388" i="3"/>
  <c r="V2387" i="3"/>
  <c r="R2387" i="3"/>
  <c r="P2387" i="3"/>
  <c r="N2387" i="3"/>
  <c r="M2387" i="3"/>
  <c r="L2387" i="3"/>
  <c r="V2386" i="3"/>
  <c r="R2386" i="3"/>
  <c r="P2386" i="3"/>
  <c r="N2386" i="3"/>
  <c r="M2386" i="3"/>
  <c r="L2386" i="3"/>
  <c r="V2385" i="3"/>
  <c r="R2385" i="3"/>
  <c r="P2385" i="3"/>
  <c r="N2385" i="3"/>
  <c r="M2385" i="3"/>
  <c r="L2385" i="3"/>
  <c r="V2384" i="3"/>
  <c r="R2384" i="3"/>
  <c r="P2384" i="3"/>
  <c r="N2384" i="3"/>
  <c r="M2384" i="3"/>
  <c r="L2384" i="3"/>
  <c r="V2383" i="3"/>
  <c r="R2383" i="3"/>
  <c r="P2383" i="3"/>
  <c r="N2383" i="3"/>
  <c r="M2383" i="3"/>
  <c r="L2383" i="3"/>
  <c r="V2382" i="3"/>
  <c r="R2382" i="3"/>
  <c r="P2382" i="3"/>
  <c r="N2382" i="3"/>
  <c r="M2382" i="3"/>
  <c r="L2382" i="3"/>
  <c r="V2381" i="3"/>
  <c r="R2381" i="3"/>
  <c r="P2381" i="3"/>
  <c r="N2381" i="3"/>
  <c r="M2381" i="3"/>
  <c r="L2381" i="3"/>
  <c r="V2380" i="3"/>
  <c r="R2380" i="3"/>
  <c r="P2380" i="3"/>
  <c r="N2380" i="3"/>
  <c r="M2380" i="3"/>
  <c r="L2380" i="3"/>
  <c r="V2379" i="3"/>
  <c r="R2379" i="3"/>
  <c r="P2379" i="3"/>
  <c r="N2379" i="3"/>
  <c r="M2379" i="3"/>
  <c r="L2379" i="3"/>
  <c r="V2378" i="3"/>
  <c r="R2378" i="3"/>
  <c r="P2378" i="3"/>
  <c r="N2378" i="3"/>
  <c r="M2378" i="3"/>
  <c r="L2378" i="3"/>
  <c r="V2377" i="3"/>
  <c r="R2377" i="3"/>
  <c r="P2377" i="3"/>
  <c r="N2377" i="3"/>
  <c r="M2377" i="3"/>
  <c r="L2377" i="3"/>
  <c r="V2376" i="3"/>
  <c r="R2376" i="3"/>
  <c r="P2376" i="3"/>
  <c r="N2376" i="3"/>
  <c r="M2376" i="3"/>
  <c r="L2376" i="3"/>
  <c r="V2375" i="3"/>
  <c r="R2375" i="3"/>
  <c r="P2375" i="3"/>
  <c r="N2375" i="3"/>
  <c r="M2375" i="3"/>
  <c r="L2375" i="3"/>
  <c r="V2374" i="3"/>
  <c r="R2374" i="3"/>
  <c r="P2374" i="3"/>
  <c r="N2374" i="3"/>
  <c r="M2374" i="3"/>
  <c r="L2374" i="3"/>
  <c r="V2373" i="3"/>
  <c r="R2373" i="3"/>
  <c r="P2373" i="3"/>
  <c r="N2373" i="3"/>
  <c r="M2373" i="3"/>
  <c r="L2373" i="3"/>
  <c r="V2372" i="3"/>
  <c r="R2372" i="3"/>
  <c r="P2372" i="3"/>
  <c r="N2372" i="3"/>
  <c r="M2372" i="3"/>
  <c r="L2372" i="3"/>
  <c r="V2371" i="3"/>
  <c r="R2371" i="3"/>
  <c r="P2371" i="3"/>
  <c r="N2371" i="3"/>
  <c r="M2371" i="3"/>
  <c r="L2371" i="3"/>
  <c r="V2370" i="3"/>
  <c r="R2370" i="3"/>
  <c r="P2370" i="3"/>
  <c r="N2370" i="3"/>
  <c r="M2370" i="3"/>
  <c r="L2370" i="3"/>
  <c r="V2369" i="3"/>
  <c r="R2369" i="3"/>
  <c r="P2369" i="3"/>
  <c r="N2369" i="3"/>
  <c r="M2369" i="3"/>
  <c r="L2369" i="3"/>
  <c r="V2368" i="3"/>
  <c r="R2368" i="3"/>
  <c r="P2368" i="3"/>
  <c r="N2368" i="3"/>
  <c r="M2368" i="3"/>
  <c r="L2368" i="3"/>
  <c r="V2367" i="3"/>
  <c r="R2367" i="3"/>
  <c r="P2367" i="3"/>
  <c r="N2367" i="3"/>
  <c r="M2367" i="3"/>
  <c r="L2367" i="3"/>
  <c r="V2366" i="3"/>
  <c r="R2366" i="3"/>
  <c r="P2366" i="3"/>
  <c r="N2366" i="3"/>
  <c r="M2366" i="3"/>
  <c r="L2366" i="3"/>
  <c r="V2365" i="3"/>
  <c r="R2365" i="3"/>
  <c r="P2365" i="3"/>
  <c r="N2365" i="3"/>
  <c r="M2365" i="3"/>
  <c r="L2365" i="3"/>
  <c r="V2364" i="3"/>
  <c r="R2364" i="3"/>
  <c r="P2364" i="3"/>
  <c r="N2364" i="3"/>
  <c r="M2364" i="3"/>
  <c r="L2364" i="3"/>
  <c r="V2363" i="3"/>
  <c r="R2363" i="3"/>
  <c r="P2363" i="3"/>
  <c r="N2363" i="3"/>
  <c r="M2363" i="3"/>
  <c r="L2363" i="3"/>
  <c r="V2362" i="3"/>
  <c r="R2362" i="3"/>
  <c r="P2362" i="3"/>
  <c r="N2362" i="3"/>
  <c r="M2362" i="3"/>
  <c r="L2362" i="3"/>
  <c r="V2361" i="3"/>
  <c r="R2361" i="3"/>
  <c r="P2361" i="3"/>
  <c r="N2361" i="3"/>
  <c r="M2361" i="3"/>
  <c r="L2361" i="3"/>
  <c r="V2360" i="3"/>
  <c r="R2360" i="3"/>
  <c r="P2360" i="3"/>
  <c r="N2360" i="3"/>
  <c r="M2360" i="3"/>
  <c r="L2360" i="3"/>
  <c r="V2359" i="3"/>
  <c r="R2359" i="3"/>
  <c r="P2359" i="3"/>
  <c r="N2359" i="3"/>
  <c r="M2359" i="3"/>
  <c r="L2359" i="3"/>
  <c r="V2358" i="3"/>
  <c r="R2358" i="3"/>
  <c r="P2358" i="3"/>
  <c r="N2358" i="3"/>
  <c r="M2358" i="3"/>
  <c r="L2358" i="3"/>
  <c r="V2357" i="3"/>
  <c r="R2357" i="3"/>
  <c r="P2357" i="3"/>
  <c r="N2357" i="3"/>
  <c r="M2357" i="3"/>
  <c r="L2357" i="3"/>
  <c r="V2356" i="3"/>
  <c r="R2356" i="3"/>
  <c r="P2356" i="3"/>
  <c r="N2356" i="3"/>
  <c r="M2356" i="3"/>
  <c r="L2356" i="3"/>
  <c r="V2355" i="3"/>
  <c r="R2355" i="3"/>
  <c r="P2355" i="3"/>
  <c r="N2355" i="3"/>
  <c r="M2355" i="3"/>
  <c r="L2355" i="3"/>
  <c r="V2354" i="3"/>
  <c r="R2354" i="3"/>
  <c r="P2354" i="3"/>
  <c r="N2354" i="3"/>
  <c r="M2354" i="3"/>
  <c r="L2354" i="3"/>
  <c r="V2353" i="3"/>
  <c r="R2353" i="3"/>
  <c r="P2353" i="3"/>
  <c r="N2353" i="3"/>
  <c r="M2353" i="3"/>
  <c r="L2353" i="3"/>
  <c r="V2352" i="3"/>
  <c r="R2352" i="3"/>
  <c r="P2352" i="3"/>
  <c r="N2352" i="3"/>
  <c r="M2352" i="3"/>
  <c r="L2352" i="3"/>
  <c r="V2351" i="3"/>
  <c r="R2351" i="3"/>
  <c r="P2351" i="3"/>
  <c r="N2351" i="3"/>
  <c r="M2351" i="3"/>
  <c r="L2351" i="3"/>
  <c r="V2350" i="3"/>
  <c r="R2350" i="3"/>
  <c r="P2350" i="3"/>
  <c r="N2350" i="3"/>
  <c r="M2350" i="3"/>
  <c r="L2350" i="3"/>
  <c r="V2349" i="3"/>
  <c r="R2349" i="3"/>
  <c r="P2349" i="3"/>
  <c r="N2349" i="3"/>
  <c r="M2349" i="3"/>
  <c r="L2349" i="3"/>
  <c r="V2348" i="3"/>
  <c r="R2348" i="3"/>
  <c r="P2348" i="3"/>
  <c r="N2348" i="3"/>
  <c r="M2348" i="3"/>
  <c r="L2348" i="3"/>
  <c r="V2347" i="3"/>
  <c r="R2347" i="3"/>
  <c r="P2347" i="3"/>
  <c r="N2347" i="3"/>
  <c r="M2347" i="3"/>
  <c r="L2347" i="3"/>
  <c r="V2346" i="3"/>
  <c r="R2346" i="3"/>
  <c r="P2346" i="3"/>
  <c r="N2346" i="3"/>
  <c r="M2346" i="3"/>
  <c r="L2346" i="3"/>
  <c r="V2345" i="3"/>
  <c r="R2345" i="3"/>
  <c r="P2345" i="3"/>
  <c r="N2345" i="3"/>
  <c r="M2345" i="3"/>
  <c r="L2345" i="3"/>
  <c r="V2344" i="3"/>
  <c r="R2344" i="3"/>
  <c r="P2344" i="3"/>
  <c r="N2344" i="3"/>
  <c r="M2344" i="3"/>
  <c r="L2344" i="3"/>
  <c r="V2343" i="3"/>
  <c r="R2343" i="3"/>
  <c r="P2343" i="3"/>
  <c r="N2343" i="3"/>
  <c r="M2343" i="3"/>
  <c r="L2343" i="3"/>
  <c r="V2342" i="3"/>
  <c r="R2342" i="3"/>
  <c r="P2342" i="3"/>
  <c r="N2342" i="3"/>
  <c r="M2342" i="3"/>
  <c r="L2342" i="3"/>
  <c r="V2341" i="3"/>
  <c r="R2341" i="3"/>
  <c r="P2341" i="3"/>
  <c r="N2341" i="3"/>
  <c r="M2341" i="3"/>
  <c r="L2341" i="3"/>
  <c r="V2340" i="3"/>
  <c r="R2340" i="3"/>
  <c r="P2340" i="3"/>
  <c r="N2340" i="3"/>
  <c r="M2340" i="3"/>
  <c r="L2340" i="3"/>
  <c r="V2339" i="3"/>
  <c r="R2339" i="3"/>
  <c r="P2339" i="3"/>
  <c r="N2339" i="3"/>
  <c r="M2339" i="3"/>
  <c r="L2339" i="3"/>
  <c r="V2338" i="3"/>
  <c r="R2338" i="3"/>
  <c r="P2338" i="3"/>
  <c r="N2338" i="3"/>
  <c r="M2338" i="3"/>
  <c r="L2338" i="3"/>
  <c r="V2337" i="3"/>
  <c r="R2337" i="3"/>
  <c r="P2337" i="3"/>
  <c r="N2337" i="3"/>
  <c r="M2337" i="3"/>
  <c r="L2337" i="3"/>
  <c r="V2336" i="3"/>
  <c r="R2336" i="3"/>
  <c r="P2336" i="3"/>
  <c r="N2336" i="3"/>
  <c r="M2336" i="3"/>
  <c r="L2336" i="3"/>
  <c r="V2335" i="3"/>
  <c r="R2335" i="3"/>
  <c r="P2335" i="3"/>
  <c r="N2335" i="3"/>
  <c r="M2335" i="3"/>
  <c r="L2335" i="3"/>
  <c r="V2334" i="3"/>
  <c r="R2334" i="3"/>
  <c r="P2334" i="3"/>
  <c r="N2334" i="3"/>
  <c r="M2334" i="3"/>
  <c r="L2334" i="3"/>
  <c r="V2333" i="3"/>
  <c r="R2333" i="3"/>
  <c r="P2333" i="3"/>
  <c r="N2333" i="3"/>
  <c r="M2333" i="3"/>
  <c r="L2333" i="3"/>
  <c r="V2332" i="3"/>
  <c r="R2332" i="3"/>
  <c r="P2332" i="3"/>
  <c r="N2332" i="3"/>
  <c r="M2332" i="3"/>
  <c r="L2332" i="3"/>
  <c r="V2331" i="3"/>
  <c r="R2331" i="3"/>
  <c r="P2331" i="3"/>
  <c r="N2331" i="3"/>
  <c r="M2331" i="3"/>
  <c r="L2331" i="3"/>
  <c r="V2330" i="3"/>
  <c r="R2330" i="3"/>
  <c r="P2330" i="3"/>
  <c r="N2330" i="3"/>
  <c r="M2330" i="3"/>
  <c r="L2330" i="3"/>
  <c r="V2329" i="3"/>
  <c r="R2329" i="3"/>
  <c r="P2329" i="3"/>
  <c r="N2329" i="3"/>
  <c r="M2329" i="3"/>
  <c r="L2329" i="3"/>
  <c r="V2328" i="3"/>
  <c r="R2328" i="3"/>
  <c r="P2328" i="3"/>
  <c r="N2328" i="3"/>
  <c r="M2328" i="3"/>
  <c r="L2328" i="3"/>
  <c r="V2327" i="3"/>
  <c r="R2327" i="3"/>
  <c r="P2327" i="3"/>
  <c r="N2327" i="3"/>
  <c r="M2327" i="3"/>
  <c r="L2327" i="3"/>
  <c r="V2326" i="3"/>
  <c r="R2326" i="3"/>
  <c r="P2326" i="3"/>
  <c r="N2326" i="3"/>
  <c r="M2326" i="3"/>
  <c r="L2326" i="3"/>
  <c r="V2325" i="3"/>
  <c r="R2325" i="3"/>
  <c r="P2325" i="3"/>
  <c r="N2325" i="3"/>
  <c r="M2325" i="3"/>
  <c r="L2325" i="3"/>
  <c r="V2324" i="3"/>
  <c r="R2324" i="3"/>
  <c r="P2324" i="3"/>
  <c r="N2324" i="3"/>
  <c r="M2324" i="3"/>
  <c r="L2324" i="3"/>
  <c r="V2323" i="3"/>
  <c r="R2323" i="3"/>
  <c r="P2323" i="3"/>
  <c r="N2323" i="3"/>
  <c r="M2323" i="3"/>
  <c r="L2323" i="3"/>
  <c r="V2322" i="3"/>
  <c r="R2322" i="3"/>
  <c r="P2322" i="3"/>
  <c r="N2322" i="3"/>
  <c r="M2322" i="3"/>
  <c r="L2322" i="3"/>
  <c r="V2321" i="3"/>
  <c r="R2321" i="3"/>
  <c r="P2321" i="3"/>
  <c r="N2321" i="3"/>
  <c r="M2321" i="3"/>
  <c r="L2321" i="3"/>
  <c r="V2320" i="3"/>
  <c r="R2320" i="3"/>
  <c r="P2320" i="3"/>
  <c r="N2320" i="3"/>
  <c r="M2320" i="3"/>
  <c r="L2320" i="3"/>
  <c r="V2319" i="3"/>
  <c r="R2319" i="3"/>
  <c r="P2319" i="3"/>
  <c r="N2319" i="3"/>
  <c r="M2319" i="3"/>
  <c r="L2319" i="3"/>
  <c r="V2318" i="3"/>
  <c r="R2318" i="3"/>
  <c r="P2318" i="3"/>
  <c r="N2318" i="3"/>
  <c r="M2318" i="3"/>
  <c r="L2318" i="3"/>
  <c r="V2317" i="3"/>
  <c r="R2317" i="3"/>
  <c r="P2317" i="3"/>
  <c r="N2317" i="3"/>
  <c r="M2317" i="3"/>
  <c r="L2317" i="3"/>
  <c r="R2316" i="3"/>
  <c r="P2316" i="3"/>
  <c r="N2316" i="3"/>
  <c r="M2316" i="3"/>
  <c r="L2316" i="3"/>
  <c r="V2298" i="3"/>
  <c r="R2298" i="3"/>
  <c r="P2298" i="3"/>
  <c r="N2298" i="3"/>
  <c r="M2298" i="3"/>
  <c r="L2298" i="3"/>
  <c r="V2297" i="3"/>
  <c r="R2297" i="3"/>
  <c r="P2297" i="3"/>
  <c r="N2297" i="3"/>
  <c r="M2297" i="3"/>
  <c r="L2297" i="3"/>
  <c r="V2296" i="3"/>
  <c r="R2296" i="3"/>
  <c r="P2296" i="3"/>
  <c r="N2296" i="3"/>
  <c r="M2296" i="3"/>
  <c r="L2296" i="3"/>
  <c r="V2295" i="3"/>
  <c r="R2295" i="3"/>
  <c r="P2295" i="3"/>
  <c r="N2295" i="3"/>
  <c r="M2295" i="3"/>
  <c r="L2295" i="3"/>
  <c r="V2294" i="3"/>
  <c r="R2294" i="3"/>
  <c r="P2294" i="3"/>
  <c r="N2294" i="3"/>
  <c r="M2294" i="3"/>
  <c r="L2294" i="3"/>
  <c r="V2293" i="3"/>
  <c r="R2293" i="3"/>
  <c r="P2293" i="3"/>
  <c r="N2293" i="3"/>
  <c r="M2293" i="3"/>
  <c r="L2293" i="3"/>
  <c r="V2292" i="3"/>
  <c r="R2292" i="3"/>
  <c r="P2292" i="3"/>
  <c r="N2292" i="3"/>
  <c r="M2292" i="3"/>
  <c r="L2292" i="3"/>
  <c r="V2291" i="3"/>
  <c r="R2291" i="3"/>
  <c r="P2291" i="3"/>
  <c r="N2291" i="3"/>
  <c r="M2291" i="3"/>
  <c r="L2291" i="3"/>
  <c r="V2290" i="3"/>
  <c r="R2290" i="3"/>
  <c r="P2290" i="3"/>
  <c r="N2290" i="3"/>
  <c r="M2290" i="3"/>
  <c r="L2290" i="3"/>
  <c r="V2289" i="3"/>
  <c r="R2289" i="3"/>
  <c r="P2289" i="3"/>
  <c r="N2289" i="3"/>
  <c r="M2289" i="3"/>
  <c r="L2289" i="3"/>
  <c r="V2288" i="3"/>
  <c r="R2288" i="3"/>
  <c r="P2288" i="3"/>
  <c r="N2288" i="3"/>
  <c r="M2288" i="3"/>
  <c r="L2288" i="3"/>
  <c r="V2287" i="3"/>
  <c r="R2287" i="3"/>
  <c r="P2287" i="3"/>
  <c r="N2287" i="3"/>
  <c r="M2287" i="3"/>
  <c r="L2287" i="3"/>
  <c r="V2286" i="3"/>
  <c r="R2286" i="3"/>
  <c r="P2286" i="3"/>
  <c r="N2286" i="3"/>
  <c r="M2286" i="3"/>
  <c r="L2286" i="3"/>
  <c r="V2285" i="3"/>
  <c r="R2285" i="3"/>
  <c r="P2285" i="3"/>
  <c r="N2285" i="3"/>
  <c r="M2285" i="3"/>
  <c r="L2285" i="3"/>
  <c r="V2284" i="3"/>
  <c r="R2284" i="3"/>
  <c r="P2284" i="3"/>
  <c r="N2284" i="3"/>
  <c r="M2284" i="3"/>
  <c r="L2284" i="3"/>
  <c r="V2283" i="3"/>
  <c r="R2283" i="3"/>
  <c r="P2283" i="3"/>
  <c r="N2283" i="3"/>
  <c r="M2283" i="3"/>
  <c r="L2283" i="3"/>
  <c r="V2282" i="3"/>
  <c r="R2282" i="3"/>
  <c r="P2282" i="3"/>
  <c r="N2282" i="3"/>
  <c r="M2282" i="3"/>
  <c r="L2282" i="3"/>
  <c r="V2281" i="3"/>
  <c r="R2281" i="3"/>
  <c r="P2281" i="3"/>
  <c r="N2281" i="3"/>
  <c r="M2281" i="3"/>
  <c r="L2281" i="3"/>
  <c r="V2280" i="3"/>
  <c r="R2280" i="3"/>
  <c r="P2280" i="3"/>
  <c r="N2280" i="3"/>
  <c r="M2280" i="3"/>
  <c r="L2280" i="3"/>
  <c r="V2279" i="3"/>
  <c r="R2279" i="3"/>
  <c r="P2279" i="3"/>
  <c r="N2279" i="3"/>
  <c r="M2279" i="3"/>
  <c r="L2279" i="3"/>
  <c r="V2278" i="3"/>
  <c r="R2278" i="3"/>
  <c r="P2278" i="3"/>
  <c r="N2278" i="3"/>
  <c r="M2278" i="3"/>
  <c r="L2278" i="3"/>
  <c r="V2277" i="3"/>
  <c r="R2277" i="3"/>
  <c r="P2277" i="3"/>
  <c r="N2277" i="3"/>
  <c r="M2277" i="3"/>
  <c r="L2277" i="3"/>
  <c r="V2276" i="3"/>
  <c r="R2276" i="3"/>
  <c r="P2276" i="3"/>
  <c r="N2276" i="3"/>
  <c r="M2276" i="3"/>
  <c r="L2276" i="3"/>
  <c r="V2275" i="3"/>
  <c r="R2275" i="3"/>
  <c r="P2275" i="3"/>
  <c r="N2275" i="3"/>
  <c r="M2275" i="3"/>
  <c r="L2275" i="3"/>
  <c r="V2274" i="3"/>
  <c r="R2274" i="3"/>
  <c r="P2274" i="3"/>
  <c r="N2274" i="3"/>
  <c r="M2274" i="3"/>
  <c r="L2274" i="3"/>
  <c r="V2273" i="3"/>
  <c r="R2273" i="3"/>
  <c r="P2273" i="3"/>
  <c r="N2273" i="3"/>
  <c r="M2273" i="3"/>
  <c r="L2273" i="3"/>
  <c r="V2272" i="3"/>
  <c r="R2272" i="3"/>
  <c r="P2272" i="3"/>
  <c r="N2272" i="3"/>
  <c r="M2272" i="3"/>
  <c r="L2272" i="3"/>
  <c r="V2271" i="3"/>
  <c r="R2271" i="3"/>
  <c r="P2271" i="3"/>
  <c r="N2271" i="3"/>
  <c r="M2271" i="3"/>
  <c r="L2271" i="3"/>
  <c r="V2270" i="3"/>
  <c r="R2270" i="3"/>
  <c r="P2270" i="3"/>
  <c r="N2270" i="3"/>
  <c r="M2270" i="3"/>
  <c r="L2270" i="3"/>
  <c r="V2269" i="3"/>
  <c r="R2269" i="3"/>
  <c r="P2269" i="3"/>
  <c r="N2269" i="3"/>
  <c r="M2269" i="3"/>
  <c r="L2269" i="3"/>
  <c r="V2268" i="3"/>
  <c r="R2268" i="3"/>
  <c r="P2268" i="3"/>
  <c r="N2268" i="3"/>
  <c r="M2268" i="3"/>
  <c r="L2268" i="3"/>
  <c r="V2267" i="3"/>
  <c r="R2267" i="3"/>
  <c r="P2267" i="3"/>
  <c r="N2267" i="3"/>
  <c r="M2267" i="3"/>
  <c r="L2267" i="3"/>
  <c r="V2266" i="3"/>
  <c r="R2266" i="3"/>
  <c r="P2266" i="3"/>
  <c r="N2266" i="3"/>
  <c r="M2266" i="3"/>
  <c r="L2266" i="3"/>
  <c r="V2265" i="3"/>
  <c r="R2265" i="3"/>
  <c r="P2265" i="3"/>
  <c r="N2265" i="3"/>
  <c r="M2265" i="3"/>
  <c r="L2265" i="3"/>
  <c r="V2264" i="3"/>
  <c r="R2264" i="3"/>
  <c r="P2264" i="3"/>
  <c r="N2264" i="3"/>
  <c r="M2264" i="3"/>
  <c r="L2264" i="3"/>
  <c r="V2263" i="3"/>
  <c r="R2263" i="3"/>
  <c r="P2263" i="3"/>
  <c r="N2263" i="3"/>
  <c r="M2263" i="3"/>
  <c r="L2263" i="3"/>
  <c r="V2262" i="3"/>
  <c r="R2262" i="3"/>
  <c r="P2262" i="3"/>
  <c r="N2262" i="3"/>
  <c r="M2262" i="3"/>
  <c r="L2262" i="3"/>
  <c r="V2261" i="3"/>
  <c r="R2261" i="3"/>
  <c r="P2261" i="3"/>
  <c r="N2261" i="3"/>
  <c r="M2261" i="3"/>
  <c r="L2261" i="3"/>
  <c r="V2260" i="3"/>
  <c r="R2260" i="3"/>
  <c r="P2260" i="3"/>
  <c r="N2260" i="3"/>
  <c r="M2260" i="3"/>
  <c r="L2260" i="3"/>
  <c r="V2259" i="3"/>
  <c r="R2259" i="3"/>
  <c r="P2259" i="3"/>
  <c r="N2259" i="3"/>
  <c r="M2259" i="3"/>
  <c r="L2259" i="3"/>
  <c r="V2258" i="3"/>
  <c r="R2258" i="3"/>
  <c r="P2258" i="3"/>
  <c r="N2258" i="3"/>
  <c r="M2258" i="3"/>
  <c r="L2258" i="3"/>
  <c r="V2257" i="3"/>
  <c r="R2257" i="3"/>
  <c r="P2257" i="3"/>
  <c r="N2257" i="3"/>
  <c r="M2257" i="3"/>
  <c r="L2257" i="3"/>
  <c r="V2256" i="3"/>
  <c r="R2256" i="3"/>
  <c r="P2256" i="3"/>
  <c r="N2256" i="3"/>
  <c r="M2256" i="3"/>
  <c r="L2256" i="3"/>
  <c r="V2255" i="3"/>
  <c r="R2255" i="3"/>
  <c r="P2255" i="3"/>
  <c r="N2255" i="3"/>
  <c r="M2255" i="3"/>
  <c r="L2255" i="3"/>
  <c r="V2254" i="3"/>
  <c r="R2254" i="3"/>
  <c r="P2254" i="3"/>
  <c r="N2254" i="3"/>
  <c r="M2254" i="3"/>
  <c r="L2254" i="3"/>
  <c r="V2253" i="3"/>
  <c r="R2253" i="3"/>
  <c r="P2253" i="3"/>
  <c r="N2253" i="3"/>
  <c r="M2253" i="3"/>
  <c r="L2253" i="3"/>
  <c r="V2252" i="3"/>
  <c r="R2252" i="3"/>
  <c r="P2252" i="3"/>
  <c r="N2252" i="3"/>
  <c r="M2252" i="3"/>
  <c r="L2252" i="3"/>
  <c r="V2251" i="3"/>
  <c r="R2251" i="3"/>
  <c r="P2251" i="3"/>
  <c r="N2251" i="3"/>
  <c r="M2251" i="3"/>
  <c r="L2251" i="3"/>
  <c r="V2250" i="3"/>
  <c r="R2250" i="3"/>
  <c r="P2250" i="3"/>
  <c r="N2250" i="3"/>
  <c r="M2250" i="3"/>
  <c r="L2250" i="3"/>
  <c r="V2249" i="3"/>
  <c r="R2249" i="3"/>
  <c r="P2249" i="3"/>
  <c r="N2249" i="3"/>
  <c r="M2249" i="3"/>
  <c r="L2249" i="3"/>
  <c r="V2248" i="3"/>
  <c r="R2248" i="3"/>
  <c r="P2248" i="3"/>
  <c r="N2248" i="3"/>
  <c r="M2248" i="3"/>
  <c r="L2248" i="3"/>
  <c r="V2247" i="3"/>
  <c r="R2247" i="3"/>
  <c r="P2247" i="3"/>
  <c r="N2247" i="3"/>
  <c r="M2247" i="3"/>
  <c r="L2247" i="3"/>
  <c r="V2246" i="3"/>
  <c r="R2246" i="3"/>
  <c r="P2246" i="3"/>
  <c r="N2246" i="3"/>
  <c r="M2246" i="3"/>
  <c r="L2246" i="3"/>
  <c r="V2245" i="3"/>
  <c r="R2245" i="3"/>
  <c r="P2245" i="3"/>
  <c r="N2245" i="3"/>
  <c r="M2245" i="3"/>
  <c r="L2245" i="3"/>
  <c r="V2244" i="3"/>
  <c r="R2244" i="3"/>
  <c r="P2244" i="3"/>
  <c r="N2244" i="3"/>
  <c r="M2244" i="3"/>
  <c r="L2244" i="3"/>
  <c r="V2243" i="3"/>
  <c r="R2243" i="3"/>
  <c r="P2243" i="3"/>
  <c r="N2243" i="3"/>
  <c r="M2243" i="3"/>
  <c r="L2243" i="3"/>
  <c r="V2242" i="3"/>
  <c r="R2242" i="3"/>
  <c r="P2242" i="3"/>
  <c r="N2242" i="3"/>
  <c r="M2242" i="3"/>
  <c r="L2242" i="3"/>
  <c r="V2241" i="3"/>
  <c r="R2241" i="3"/>
  <c r="P2241" i="3"/>
  <c r="N2241" i="3"/>
  <c r="M2241" i="3"/>
  <c r="L2241" i="3"/>
  <c r="V2240" i="3"/>
  <c r="R2240" i="3"/>
  <c r="P2240" i="3"/>
  <c r="N2240" i="3"/>
  <c r="M2240" i="3"/>
  <c r="L2240" i="3"/>
  <c r="V2239" i="3"/>
  <c r="R2239" i="3"/>
  <c r="P2239" i="3"/>
  <c r="N2239" i="3"/>
  <c r="M2239" i="3"/>
  <c r="L2239" i="3"/>
  <c r="V2238" i="3"/>
  <c r="R2238" i="3"/>
  <c r="P2238" i="3"/>
  <c r="N2238" i="3"/>
  <c r="M2238" i="3"/>
  <c r="L2238" i="3"/>
  <c r="V2237" i="3"/>
  <c r="R2237" i="3"/>
  <c r="P2237" i="3"/>
  <c r="N2237" i="3"/>
  <c r="M2237" i="3"/>
  <c r="L2237" i="3"/>
  <c r="V2236" i="3"/>
  <c r="R2236" i="3"/>
  <c r="P2236" i="3"/>
  <c r="N2236" i="3"/>
  <c r="M2236" i="3"/>
  <c r="L2236" i="3"/>
  <c r="V2176" i="3"/>
  <c r="R2176" i="3"/>
  <c r="P2176" i="3"/>
  <c r="N2176" i="3"/>
  <c r="M2176" i="3"/>
  <c r="L2176" i="3"/>
  <c r="V2175" i="3"/>
  <c r="R2175" i="3"/>
  <c r="P2175" i="3"/>
  <c r="N2175" i="3"/>
  <c r="M2175" i="3"/>
  <c r="L2175" i="3"/>
  <c r="V2174" i="3"/>
  <c r="R2174" i="3"/>
  <c r="P2174" i="3"/>
  <c r="N2174" i="3"/>
  <c r="M2174" i="3"/>
  <c r="L2174" i="3"/>
  <c r="V2173" i="3"/>
  <c r="R2173" i="3"/>
  <c r="P2173" i="3"/>
  <c r="N2173" i="3"/>
  <c r="M2173" i="3"/>
  <c r="L2173" i="3"/>
  <c r="V2172" i="3"/>
  <c r="R2172" i="3"/>
  <c r="P2172" i="3"/>
  <c r="N2172" i="3"/>
  <c r="M2172" i="3"/>
  <c r="L2172" i="3"/>
  <c r="V2171" i="3"/>
  <c r="R2171" i="3"/>
  <c r="P2171" i="3"/>
  <c r="N2171" i="3"/>
  <c r="M2171" i="3"/>
  <c r="L2171" i="3"/>
  <c r="V2170" i="3"/>
  <c r="R2170" i="3"/>
  <c r="P2170" i="3"/>
  <c r="N2170" i="3"/>
  <c r="M2170" i="3"/>
  <c r="L2170" i="3"/>
  <c r="V2169" i="3"/>
  <c r="R2169" i="3"/>
  <c r="P2169" i="3"/>
  <c r="N2169" i="3"/>
  <c r="M2169" i="3"/>
  <c r="L2169" i="3"/>
  <c r="V2168" i="3"/>
  <c r="R2168" i="3"/>
  <c r="P2168" i="3"/>
  <c r="N2168" i="3"/>
  <c r="M2168" i="3"/>
  <c r="L2168" i="3"/>
  <c r="V2167" i="3"/>
  <c r="R2167" i="3"/>
  <c r="P2167" i="3"/>
  <c r="N2167" i="3"/>
  <c r="M2167" i="3"/>
  <c r="L2167" i="3"/>
  <c r="V2166" i="3"/>
  <c r="R2166" i="3"/>
  <c r="P2166" i="3"/>
  <c r="N2166" i="3"/>
  <c r="M2166" i="3"/>
  <c r="L2166" i="3"/>
  <c r="V2165" i="3"/>
  <c r="R2165" i="3"/>
  <c r="P2165" i="3"/>
  <c r="N2165" i="3"/>
  <c r="M2165" i="3"/>
  <c r="L2165" i="3"/>
  <c r="V2164" i="3"/>
  <c r="R2164" i="3"/>
  <c r="P2164" i="3"/>
  <c r="N2164" i="3"/>
  <c r="M2164" i="3"/>
  <c r="L2164" i="3"/>
  <c r="V2163" i="3"/>
  <c r="R2163" i="3"/>
  <c r="P2163" i="3"/>
  <c r="N2163" i="3"/>
  <c r="M2163" i="3"/>
  <c r="L2163" i="3"/>
  <c r="V2162" i="3"/>
  <c r="R2162" i="3"/>
  <c r="P2162" i="3"/>
  <c r="N2162" i="3"/>
  <c r="M2162" i="3"/>
  <c r="L2162" i="3"/>
  <c r="V2161" i="3"/>
  <c r="R2161" i="3"/>
  <c r="P2161" i="3"/>
  <c r="N2161" i="3"/>
  <c r="M2161" i="3"/>
  <c r="L2161" i="3"/>
  <c r="V2160" i="3"/>
  <c r="R2160" i="3"/>
  <c r="P2160" i="3"/>
  <c r="N2160" i="3"/>
  <c r="M2160" i="3"/>
  <c r="L2160" i="3"/>
  <c r="V2159" i="3"/>
  <c r="R2159" i="3"/>
  <c r="P2159" i="3"/>
  <c r="N2159" i="3"/>
  <c r="M2159" i="3"/>
  <c r="L2159" i="3"/>
  <c r="V2158" i="3"/>
  <c r="R2158" i="3"/>
  <c r="P2158" i="3"/>
  <c r="N2158" i="3"/>
  <c r="M2158" i="3"/>
  <c r="L2158" i="3"/>
  <c r="V2157" i="3"/>
  <c r="R2157" i="3"/>
  <c r="P2157" i="3"/>
  <c r="N2157" i="3"/>
  <c r="M2157" i="3"/>
  <c r="L2157" i="3"/>
  <c r="V2156" i="3"/>
  <c r="R2156" i="3"/>
  <c r="P2156" i="3"/>
  <c r="N2156" i="3"/>
  <c r="M2156" i="3"/>
  <c r="L2156" i="3"/>
  <c r="V2155" i="3"/>
  <c r="R2155" i="3"/>
  <c r="P2155" i="3"/>
  <c r="N2155" i="3"/>
  <c r="M2155" i="3"/>
  <c r="L2155" i="3"/>
  <c r="V2154" i="3"/>
  <c r="R2154" i="3"/>
  <c r="P2154" i="3"/>
  <c r="N2154" i="3"/>
  <c r="M2154" i="3"/>
  <c r="L2154" i="3"/>
  <c r="V2153" i="3"/>
  <c r="R2153" i="3"/>
  <c r="P2153" i="3"/>
  <c r="N2153" i="3"/>
  <c r="M2153" i="3"/>
  <c r="L2153" i="3"/>
  <c r="V2152" i="3"/>
  <c r="R2152" i="3"/>
  <c r="P2152" i="3"/>
  <c r="N2152" i="3"/>
  <c r="M2152" i="3"/>
  <c r="L2152" i="3"/>
  <c r="V2151" i="3"/>
  <c r="R2151" i="3"/>
  <c r="P2151" i="3"/>
  <c r="N2151" i="3"/>
  <c r="M2151" i="3"/>
  <c r="L2151" i="3"/>
  <c r="V2150" i="3"/>
  <c r="R2150" i="3"/>
  <c r="P2150" i="3"/>
  <c r="N2150" i="3"/>
  <c r="M2150" i="3"/>
  <c r="L2150" i="3"/>
  <c r="V2149" i="3"/>
  <c r="R2149" i="3"/>
  <c r="P2149" i="3"/>
  <c r="N2149" i="3"/>
  <c r="M2149" i="3"/>
  <c r="L2149" i="3"/>
  <c r="V2148" i="3"/>
  <c r="R2148" i="3"/>
  <c r="P2148" i="3"/>
  <c r="N2148" i="3"/>
  <c r="M2148" i="3"/>
  <c r="L2148" i="3"/>
  <c r="V2147" i="3"/>
  <c r="R2147" i="3"/>
  <c r="P2147" i="3"/>
  <c r="N2147" i="3"/>
  <c r="M2147" i="3"/>
  <c r="L2147" i="3"/>
  <c r="V2146" i="3"/>
  <c r="R2146" i="3"/>
  <c r="P2146" i="3"/>
  <c r="N2146" i="3"/>
  <c r="M2146" i="3"/>
  <c r="L2146" i="3"/>
  <c r="V998" i="3"/>
  <c r="R998" i="3"/>
  <c r="P998" i="3"/>
  <c r="N998" i="3"/>
  <c r="M998" i="3"/>
  <c r="L998" i="3"/>
  <c r="V997" i="3"/>
  <c r="R997" i="3"/>
  <c r="P997" i="3"/>
  <c r="N997" i="3"/>
  <c r="M997" i="3"/>
  <c r="L997" i="3"/>
  <c r="V996" i="3"/>
  <c r="R996" i="3"/>
  <c r="P996" i="3"/>
  <c r="N996" i="3"/>
  <c r="M996" i="3"/>
  <c r="L996" i="3"/>
  <c r="V995" i="3"/>
  <c r="R995" i="3"/>
  <c r="P995" i="3"/>
  <c r="N995" i="3"/>
  <c r="M995" i="3"/>
  <c r="L995" i="3"/>
  <c r="V994" i="3"/>
  <c r="R994" i="3"/>
  <c r="P994" i="3"/>
  <c r="N994" i="3"/>
  <c r="M994" i="3"/>
  <c r="L994" i="3"/>
  <c r="V993" i="3"/>
  <c r="R993" i="3"/>
  <c r="P993" i="3"/>
  <c r="N993" i="3"/>
  <c r="M993" i="3"/>
  <c r="L993" i="3"/>
  <c r="V992" i="3"/>
  <c r="R992" i="3"/>
  <c r="P992" i="3"/>
  <c r="N992" i="3"/>
  <c r="M992" i="3"/>
  <c r="L992" i="3"/>
  <c r="V991" i="3"/>
  <c r="R991" i="3"/>
  <c r="P991" i="3"/>
  <c r="N991" i="3"/>
  <c r="M991" i="3"/>
  <c r="L991" i="3"/>
  <c r="V990" i="3"/>
  <c r="R990" i="3"/>
  <c r="P990" i="3"/>
  <c r="N990" i="3"/>
  <c r="M990" i="3"/>
  <c r="L990" i="3"/>
  <c r="V989" i="3"/>
  <c r="R989" i="3"/>
  <c r="P989" i="3"/>
  <c r="N989" i="3"/>
  <c r="M989" i="3"/>
  <c r="L989" i="3"/>
  <c r="V988" i="3"/>
  <c r="R988" i="3"/>
  <c r="P988" i="3"/>
  <c r="N988" i="3"/>
  <c r="M988" i="3"/>
  <c r="L988" i="3"/>
  <c r="V987" i="3"/>
  <c r="R987" i="3"/>
  <c r="P987" i="3"/>
  <c r="N987" i="3"/>
  <c r="M987" i="3"/>
  <c r="L987" i="3"/>
  <c r="V986" i="3"/>
  <c r="R986" i="3"/>
  <c r="P986" i="3"/>
  <c r="N986" i="3"/>
  <c r="M986" i="3"/>
  <c r="L986" i="3"/>
  <c r="V985" i="3"/>
  <c r="R985" i="3"/>
  <c r="P985" i="3"/>
  <c r="N985" i="3"/>
  <c r="M985" i="3"/>
  <c r="L985" i="3"/>
  <c r="V984" i="3"/>
  <c r="R984" i="3"/>
  <c r="P984" i="3"/>
  <c r="N984" i="3"/>
  <c r="M984" i="3"/>
  <c r="L984" i="3"/>
  <c r="V983" i="3"/>
  <c r="R983" i="3"/>
  <c r="P983" i="3"/>
  <c r="N983" i="3"/>
  <c r="M983" i="3"/>
  <c r="L983" i="3"/>
  <c r="V982" i="3"/>
  <c r="R982" i="3"/>
  <c r="P982" i="3"/>
  <c r="N982" i="3"/>
  <c r="M982" i="3"/>
  <c r="L982" i="3"/>
  <c r="V981" i="3"/>
  <c r="R981" i="3"/>
  <c r="P981" i="3"/>
  <c r="N981" i="3"/>
  <c r="M981" i="3"/>
  <c r="L981" i="3"/>
  <c r="V980" i="3"/>
  <c r="R980" i="3"/>
  <c r="P980" i="3"/>
  <c r="N980" i="3"/>
  <c r="M980" i="3"/>
  <c r="L980" i="3"/>
  <c r="V979" i="3"/>
  <c r="R979" i="3"/>
  <c r="P979" i="3"/>
  <c r="N979" i="3"/>
  <c r="M979" i="3"/>
  <c r="L979" i="3"/>
  <c r="V978" i="3"/>
  <c r="R978" i="3"/>
  <c r="P978" i="3"/>
  <c r="N978" i="3"/>
  <c r="M978" i="3"/>
  <c r="L978" i="3"/>
  <c r="V977" i="3"/>
  <c r="R977" i="3"/>
  <c r="P977" i="3"/>
  <c r="N977" i="3"/>
  <c r="M977" i="3"/>
  <c r="L977" i="3"/>
  <c r="V976" i="3"/>
  <c r="R976" i="3"/>
  <c r="P976" i="3"/>
  <c r="N976" i="3"/>
  <c r="M976" i="3"/>
  <c r="L976" i="3"/>
  <c r="V975" i="3"/>
  <c r="R975" i="3"/>
  <c r="P975" i="3"/>
  <c r="N975" i="3"/>
  <c r="M975" i="3"/>
  <c r="L975" i="3"/>
  <c r="V974" i="3"/>
  <c r="R974" i="3"/>
  <c r="P974" i="3"/>
  <c r="N974" i="3"/>
  <c r="M974" i="3"/>
  <c r="L974" i="3"/>
  <c r="V973" i="3"/>
  <c r="R973" i="3"/>
  <c r="P973" i="3"/>
  <c r="N973" i="3"/>
  <c r="M973" i="3"/>
  <c r="L973" i="3"/>
  <c r="V972" i="3"/>
  <c r="R972" i="3"/>
  <c r="P972" i="3"/>
  <c r="N972" i="3"/>
  <c r="M972" i="3"/>
  <c r="L972" i="3"/>
  <c r="V971" i="3"/>
  <c r="R971" i="3"/>
  <c r="P971" i="3"/>
  <c r="N971" i="3"/>
  <c r="M971" i="3"/>
  <c r="L971" i="3"/>
  <c r="V970" i="3"/>
  <c r="R970" i="3"/>
  <c r="P970" i="3"/>
  <c r="N970" i="3"/>
  <c r="M970" i="3"/>
  <c r="L970" i="3"/>
  <c r="V969" i="3"/>
  <c r="R969" i="3"/>
  <c r="P969" i="3"/>
  <c r="N969" i="3"/>
  <c r="M969" i="3"/>
  <c r="L969" i="3"/>
  <c r="V968" i="3"/>
  <c r="R968" i="3"/>
  <c r="P968" i="3"/>
  <c r="N968" i="3"/>
  <c r="M968" i="3"/>
  <c r="L968" i="3"/>
  <c r="V967" i="3"/>
  <c r="R967" i="3"/>
  <c r="P967" i="3"/>
  <c r="N967" i="3"/>
  <c r="M967" i="3"/>
  <c r="L967" i="3"/>
  <c r="V966" i="3"/>
  <c r="R966" i="3"/>
  <c r="P966" i="3"/>
  <c r="N966" i="3"/>
  <c r="M966" i="3"/>
  <c r="L966" i="3"/>
  <c r="V965" i="3"/>
  <c r="R965" i="3"/>
  <c r="P965" i="3"/>
  <c r="N965" i="3"/>
  <c r="M965" i="3"/>
  <c r="L965" i="3"/>
  <c r="V964" i="3"/>
  <c r="R964" i="3"/>
  <c r="P964" i="3"/>
  <c r="N964" i="3"/>
  <c r="M964" i="3"/>
  <c r="L964" i="3"/>
  <c r="V963" i="3"/>
  <c r="R963" i="3"/>
  <c r="P963" i="3"/>
  <c r="N963" i="3"/>
  <c r="M963" i="3"/>
  <c r="L963" i="3"/>
  <c r="V962" i="3"/>
  <c r="R962" i="3"/>
  <c r="P962" i="3"/>
  <c r="N962" i="3"/>
  <c r="M962" i="3"/>
  <c r="L962" i="3"/>
  <c r="V961" i="3"/>
  <c r="R961" i="3"/>
  <c r="P961" i="3"/>
  <c r="N961" i="3"/>
  <c r="M961" i="3"/>
  <c r="L961" i="3"/>
  <c r="V960" i="3"/>
  <c r="R960" i="3"/>
  <c r="P960" i="3"/>
  <c r="N960" i="3"/>
  <c r="M960" i="3"/>
  <c r="L960" i="3"/>
  <c r="V959" i="3"/>
  <c r="R959" i="3"/>
  <c r="P959" i="3"/>
  <c r="N959" i="3"/>
  <c r="M959" i="3"/>
  <c r="L959" i="3"/>
  <c r="V958" i="3"/>
  <c r="R958" i="3"/>
  <c r="P958" i="3"/>
  <c r="N958" i="3"/>
  <c r="M958" i="3"/>
  <c r="L958" i="3"/>
  <c r="V957" i="3"/>
  <c r="R957" i="3"/>
  <c r="P957" i="3"/>
  <c r="N957" i="3"/>
  <c r="M957" i="3"/>
  <c r="L957" i="3"/>
  <c r="V956" i="3"/>
  <c r="R956" i="3"/>
  <c r="P956" i="3"/>
  <c r="N956" i="3"/>
  <c r="M956" i="3"/>
  <c r="L956" i="3"/>
  <c r="V955" i="3"/>
  <c r="R955" i="3"/>
  <c r="P955" i="3"/>
  <c r="N955" i="3"/>
  <c r="M955" i="3"/>
  <c r="L955" i="3"/>
  <c r="V954" i="3"/>
  <c r="R954" i="3"/>
  <c r="P954" i="3"/>
  <c r="N954" i="3"/>
  <c r="M954" i="3"/>
  <c r="L954" i="3"/>
  <c r="V953" i="3"/>
  <c r="R953" i="3"/>
  <c r="P953" i="3"/>
  <c r="N953" i="3"/>
  <c r="M953" i="3"/>
  <c r="L953" i="3"/>
  <c r="V952" i="3"/>
  <c r="R952" i="3"/>
  <c r="P952" i="3"/>
  <c r="N952" i="3"/>
  <c r="M952" i="3"/>
  <c r="L952" i="3"/>
  <c r="V951" i="3"/>
  <c r="R951" i="3"/>
  <c r="P951" i="3"/>
  <c r="N951" i="3"/>
  <c r="M951" i="3"/>
  <c r="L951" i="3"/>
  <c r="V950" i="3"/>
  <c r="R950" i="3"/>
  <c r="P950" i="3"/>
  <c r="N950" i="3"/>
  <c r="M950" i="3"/>
  <c r="L950" i="3"/>
  <c r="V949" i="3"/>
  <c r="R949" i="3"/>
  <c r="P949" i="3"/>
  <c r="N949" i="3"/>
  <c r="M949" i="3"/>
  <c r="L949" i="3"/>
  <c r="V948" i="3"/>
  <c r="R948" i="3"/>
  <c r="P948" i="3"/>
  <c r="N948" i="3"/>
  <c r="M948" i="3"/>
  <c r="L948" i="3"/>
  <c r="V947" i="3"/>
  <c r="R947" i="3"/>
  <c r="P947" i="3"/>
  <c r="N947" i="3"/>
  <c r="M947" i="3"/>
  <c r="L947" i="3"/>
  <c r="V946" i="3"/>
  <c r="R946" i="3"/>
  <c r="P946" i="3"/>
  <c r="N946" i="3"/>
  <c r="M946" i="3"/>
  <c r="L946" i="3"/>
  <c r="V945" i="3"/>
  <c r="R945" i="3"/>
  <c r="P945" i="3"/>
  <c r="N945" i="3"/>
  <c r="M945" i="3"/>
  <c r="L945" i="3"/>
  <c r="V944" i="3"/>
  <c r="R944" i="3"/>
  <c r="P944" i="3"/>
  <c r="N944" i="3"/>
  <c r="M944" i="3"/>
  <c r="L944" i="3"/>
  <c r="V943" i="3"/>
  <c r="R943" i="3"/>
  <c r="P943" i="3"/>
  <c r="N943" i="3"/>
  <c r="M943" i="3"/>
  <c r="L943" i="3"/>
  <c r="V942" i="3"/>
  <c r="R942" i="3"/>
  <c r="P942" i="3"/>
  <c r="N942" i="3"/>
  <c r="M942" i="3"/>
  <c r="L942" i="3"/>
  <c r="V941" i="3"/>
  <c r="R941" i="3"/>
  <c r="P941" i="3"/>
  <c r="N941" i="3"/>
  <c r="M941" i="3"/>
  <c r="L941" i="3"/>
  <c r="V940" i="3"/>
  <c r="R940" i="3"/>
  <c r="P940" i="3"/>
  <c r="N940" i="3"/>
  <c r="M940" i="3"/>
  <c r="L940" i="3"/>
  <c r="V939" i="3"/>
  <c r="R939" i="3"/>
  <c r="P939" i="3"/>
  <c r="N939" i="3"/>
  <c r="M939" i="3"/>
  <c r="L939" i="3"/>
  <c r="V938" i="3"/>
  <c r="R938" i="3"/>
  <c r="P938" i="3"/>
  <c r="N938" i="3"/>
  <c r="M938" i="3"/>
  <c r="L938" i="3"/>
  <c r="V937" i="3"/>
  <c r="R937" i="3"/>
  <c r="P937" i="3"/>
  <c r="N937" i="3"/>
  <c r="M937" i="3"/>
  <c r="L937" i="3"/>
  <c r="V936" i="3"/>
  <c r="R936" i="3"/>
  <c r="P936" i="3"/>
  <c r="N936" i="3"/>
  <c r="M936" i="3"/>
  <c r="L936" i="3"/>
  <c r="V935" i="3"/>
  <c r="R935" i="3"/>
  <c r="P935" i="3"/>
  <c r="N935" i="3"/>
  <c r="M935" i="3"/>
  <c r="L935" i="3"/>
  <c r="V934" i="3"/>
  <c r="R934" i="3"/>
  <c r="P934" i="3"/>
  <c r="N934" i="3"/>
  <c r="M934" i="3"/>
  <c r="L934" i="3"/>
  <c r="V933" i="3"/>
  <c r="R933" i="3"/>
  <c r="P933" i="3"/>
  <c r="N933" i="3"/>
  <c r="M933" i="3"/>
  <c r="L933" i="3"/>
  <c r="V932" i="3"/>
  <c r="R932" i="3"/>
  <c r="P932" i="3"/>
  <c r="N932" i="3"/>
  <c r="M932" i="3"/>
  <c r="L932" i="3"/>
  <c r="V931" i="3"/>
  <c r="R931" i="3"/>
  <c r="P931" i="3"/>
  <c r="N931" i="3"/>
  <c r="M931" i="3"/>
  <c r="L931" i="3"/>
  <c r="V930" i="3"/>
  <c r="R930" i="3"/>
  <c r="P930" i="3"/>
  <c r="N930" i="3"/>
  <c r="M930" i="3"/>
  <c r="L930" i="3"/>
  <c r="V929" i="3"/>
  <c r="R929" i="3"/>
  <c r="P929" i="3"/>
  <c r="N929" i="3"/>
  <c r="M929" i="3"/>
  <c r="L929" i="3"/>
  <c r="V928" i="3"/>
  <c r="R928" i="3"/>
  <c r="P928" i="3"/>
  <c r="N928" i="3"/>
  <c r="M928" i="3"/>
  <c r="L928" i="3"/>
  <c r="V927" i="3"/>
  <c r="R927" i="3"/>
  <c r="P927" i="3"/>
  <c r="N927" i="3"/>
  <c r="M927" i="3"/>
  <c r="L927" i="3"/>
  <c r="V926" i="3"/>
  <c r="R926" i="3"/>
  <c r="P926" i="3"/>
  <c r="N926" i="3"/>
  <c r="M926" i="3"/>
  <c r="L926" i="3"/>
  <c r="V925" i="3"/>
  <c r="R925" i="3"/>
  <c r="P925" i="3"/>
  <c r="N925" i="3"/>
  <c r="M925" i="3"/>
  <c r="L925" i="3"/>
  <c r="V924" i="3"/>
  <c r="R924" i="3"/>
  <c r="P924" i="3"/>
  <c r="N924" i="3"/>
  <c r="M924" i="3"/>
  <c r="L924" i="3"/>
  <c r="V923" i="3"/>
  <c r="R923" i="3"/>
  <c r="P923" i="3"/>
  <c r="N923" i="3"/>
  <c r="M923" i="3"/>
  <c r="L923" i="3"/>
  <c r="V922" i="3"/>
  <c r="R922" i="3"/>
  <c r="P922" i="3"/>
  <c r="N922" i="3"/>
  <c r="M922" i="3"/>
  <c r="L922" i="3"/>
  <c r="V921" i="3"/>
  <c r="R921" i="3"/>
  <c r="P921" i="3"/>
  <c r="N921" i="3"/>
  <c r="M921" i="3"/>
  <c r="L921" i="3"/>
  <c r="V920" i="3"/>
  <c r="R920" i="3"/>
  <c r="P920" i="3"/>
  <c r="N920" i="3"/>
  <c r="M920" i="3"/>
  <c r="L920" i="3"/>
  <c r="V919" i="3"/>
  <c r="R919" i="3"/>
  <c r="P919" i="3"/>
  <c r="N919" i="3"/>
  <c r="M919" i="3"/>
  <c r="L919" i="3"/>
  <c r="V918" i="3"/>
  <c r="R918" i="3"/>
  <c r="P918" i="3"/>
  <c r="N918" i="3"/>
  <c r="M918" i="3"/>
  <c r="L918" i="3"/>
  <c r="V917" i="3"/>
  <c r="R917" i="3"/>
  <c r="P917" i="3"/>
  <c r="N917" i="3"/>
  <c r="M917" i="3"/>
  <c r="L917" i="3"/>
  <c r="V916" i="3"/>
  <c r="R916" i="3"/>
  <c r="P916" i="3"/>
  <c r="N916" i="3"/>
  <c r="M916" i="3"/>
  <c r="L916" i="3"/>
  <c r="V915" i="3"/>
  <c r="R915" i="3"/>
  <c r="P915" i="3"/>
  <c r="N915" i="3"/>
  <c r="M915" i="3"/>
  <c r="L915" i="3"/>
  <c r="V914" i="3"/>
  <c r="R914" i="3"/>
  <c r="P914" i="3"/>
  <c r="N914" i="3"/>
  <c r="M914" i="3"/>
  <c r="L914" i="3"/>
  <c r="V913" i="3"/>
  <c r="R913" i="3"/>
  <c r="P913" i="3"/>
  <c r="N913" i="3"/>
  <c r="M913" i="3"/>
  <c r="L913" i="3"/>
  <c r="V912" i="3"/>
  <c r="R912" i="3"/>
  <c r="P912" i="3"/>
  <c r="N912" i="3"/>
  <c r="M912" i="3"/>
  <c r="L912" i="3"/>
  <c r="V911" i="3"/>
  <c r="R911" i="3"/>
  <c r="P911" i="3"/>
  <c r="N911" i="3"/>
  <c r="M911" i="3"/>
  <c r="L911" i="3"/>
  <c r="V910" i="3"/>
  <c r="R910" i="3"/>
  <c r="P910" i="3"/>
  <c r="N910" i="3"/>
  <c r="M910" i="3"/>
  <c r="L910" i="3"/>
  <c r="V909" i="3"/>
  <c r="R909" i="3"/>
  <c r="P909" i="3"/>
  <c r="N909" i="3"/>
  <c r="M909" i="3"/>
  <c r="L909" i="3"/>
  <c r="V908" i="3"/>
  <c r="R908" i="3"/>
  <c r="P908" i="3"/>
  <c r="N908" i="3"/>
  <c r="M908" i="3"/>
  <c r="L908" i="3"/>
  <c r="V907" i="3"/>
  <c r="R907" i="3"/>
  <c r="P907" i="3"/>
  <c r="N907" i="3"/>
  <c r="M907" i="3"/>
  <c r="L907" i="3"/>
  <c r="V906" i="3"/>
  <c r="R906" i="3"/>
  <c r="P906" i="3"/>
  <c r="N906" i="3"/>
  <c r="M906" i="3"/>
  <c r="L906" i="3"/>
  <c r="V905" i="3"/>
  <c r="R905" i="3"/>
  <c r="P905" i="3"/>
  <c r="N905" i="3"/>
  <c r="M905" i="3"/>
  <c r="L905" i="3"/>
  <c r="V904" i="3"/>
  <c r="R904" i="3"/>
  <c r="P904" i="3"/>
  <c r="N904" i="3"/>
  <c r="M904" i="3"/>
  <c r="L904" i="3"/>
  <c r="V903" i="3"/>
  <c r="R903" i="3"/>
  <c r="P903" i="3"/>
  <c r="N903" i="3"/>
  <c r="M903" i="3"/>
  <c r="L903" i="3"/>
  <c r="V902" i="3"/>
  <c r="R902" i="3"/>
  <c r="P902" i="3"/>
  <c r="N902" i="3"/>
  <c r="M902" i="3"/>
  <c r="L902" i="3"/>
  <c r="V901" i="3"/>
  <c r="R901" i="3"/>
  <c r="P901" i="3"/>
  <c r="N901" i="3"/>
  <c r="M901" i="3"/>
  <c r="L901" i="3"/>
  <c r="V900" i="3"/>
  <c r="R900" i="3"/>
  <c r="P900" i="3"/>
  <c r="N900" i="3"/>
  <c r="M900" i="3"/>
  <c r="L900" i="3"/>
  <c r="V899" i="3"/>
  <c r="R899" i="3"/>
  <c r="P899" i="3"/>
  <c r="N899" i="3"/>
  <c r="M899" i="3"/>
  <c r="L899" i="3"/>
  <c r="V898" i="3"/>
  <c r="R898" i="3"/>
  <c r="P898" i="3"/>
  <c r="N898" i="3"/>
  <c r="M898" i="3"/>
  <c r="L898" i="3"/>
  <c r="V897" i="3"/>
  <c r="R897" i="3"/>
  <c r="P897" i="3"/>
  <c r="N897" i="3"/>
  <c r="M897" i="3"/>
  <c r="L897" i="3"/>
  <c r="V896" i="3"/>
  <c r="R896" i="3"/>
  <c r="P896" i="3"/>
  <c r="N896" i="3"/>
  <c r="M896" i="3"/>
  <c r="L896" i="3"/>
  <c r="V895" i="3"/>
  <c r="R895" i="3"/>
  <c r="P895" i="3"/>
  <c r="N895" i="3"/>
  <c r="M895" i="3"/>
  <c r="L895" i="3"/>
  <c r="V894" i="3"/>
  <c r="R894" i="3"/>
  <c r="P894" i="3"/>
  <c r="N894" i="3"/>
  <c r="M894" i="3"/>
  <c r="L894" i="3"/>
  <c r="V893" i="3"/>
  <c r="R893" i="3"/>
  <c r="P893" i="3"/>
  <c r="N893" i="3"/>
  <c r="M893" i="3"/>
  <c r="L893" i="3"/>
  <c r="V892" i="3"/>
  <c r="R892" i="3"/>
  <c r="P892" i="3"/>
  <c r="N892" i="3"/>
  <c r="M892" i="3"/>
  <c r="L892" i="3"/>
  <c r="V891" i="3"/>
  <c r="R891" i="3"/>
  <c r="P891" i="3"/>
  <c r="N891" i="3"/>
  <c r="M891" i="3"/>
  <c r="L891" i="3"/>
  <c r="V890" i="3"/>
  <c r="R890" i="3"/>
  <c r="P890" i="3"/>
  <c r="N890" i="3"/>
  <c r="M890" i="3"/>
  <c r="L890" i="3"/>
  <c r="V889" i="3"/>
  <c r="R889" i="3"/>
  <c r="P889" i="3"/>
  <c r="N889" i="3"/>
  <c r="M889" i="3"/>
  <c r="L889" i="3"/>
  <c r="V888" i="3"/>
  <c r="R888" i="3"/>
  <c r="P888" i="3"/>
  <c r="N888" i="3"/>
  <c r="M888" i="3"/>
  <c r="L888" i="3"/>
  <c r="V887" i="3"/>
  <c r="R887" i="3"/>
  <c r="P887" i="3"/>
  <c r="N887" i="3"/>
  <c r="M887" i="3"/>
  <c r="L887" i="3"/>
  <c r="V886" i="3"/>
  <c r="R886" i="3"/>
  <c r="P886" i="3"/>
  <c r="N886" i="3"/>
  <c r="M886" i="3"/>
  <c r="L886" i="3"/>
  <c r="V885" i="3"/>
  <c r="R885" i="3"/>
  <c r="P885" i="3"/>
  <c r="N885" i="3"/>
  <c r="M885" i="3"/>
  <c r="L885" i="3"/>
  <c r="V884" i="3"/>
  <c r="R884" i="3"/>
  <c r="P884" i="3"/>
  <c r="N884" i="3"/>
  <c r="M884" i="3"/>
  <c r="L884" i="3"/>
  <c r="V883" i="3"/>
  <c r="R883" i="3"/>
  <c r="P883" i="3"/>
  <c r="N883" i="3"/>
  <c r="M883" i="3"/>
  <c r="L883" i="3"/>
  <c r="V882" i="3"/>
  <c r="R882" i="3"/>
  <c r="P882" i="3"/>
  <c r="N882" i="3"/>
  <c r="M882" i="3"/>
  <c r="L882" i="3"/>
  <c r="V881" i="3"/>
  <c r="R881" i="3"/>
  <c r="P881" i="3"/>
  <c r="N881" i="3"/>
  <c r="M881" i="3"/>
  <c r="L881" i="3"/>
  <c r="V880" i="3"/>
  <c r="R880" i="3"/>
  <c r="P880" i="3"/>
  <c r="N880" i="3"/>
  <c r="M880" i="3"/>
  <c r="L880" i="3"/>
  <c r="V879" i="3"/>
  <c r="R879" i="3"/>
  <c r="P879" i="3"/>
  <c r="N879" i="3"/>
  <c r="M879" i="3"/>
  <c r="L879" i="3"/>
  <c r="V878" i="3"/>
  <c r="R878" i="3"/>
  <c r="P878" i="3"/>
  <c r="N878" i="3"/>
  <c r="M878" i="3"/>
  <c r="L878" i="3"/>
  <c r="V877" i="3"/>
  <c r="R877" i="3"/>
  <c r="P877" i="3"/>
  <c r="N877" i="3"/>
  <c r="M877" i="3"/>
  <c r="L877" i="3"/>
  <c r="V876" i="3"/>
  <c r="R876" i="3"/>
  <c r="P876" i="3"/>
  <c r="N876" i="3"/>
  <c r="M876" i="3"/>
  <c r="L876" i="3"/>
  <c r="V875" i="3"/>
  <c r="R875" i="3"/>
  <c r="P875" i="3"/>
  <c r="N875" i="3"/>
  <c r="M875" i="3"/>
  <c r="L875" i="3"/>
  <c r="V874" i="3"/>
  <c r="R874" i="3"/>
  <c r="P874" i="3"/>
  <c r="N874" i="3"/>
  <c r="M874" i="3"/>
  <c r="L874" i="3"/>
  <c r="V873" i="3"/>
  <c r="R873" i="3"/>
  <c r="P873" i="3"/>
  <c r="N873" i="3"/>
  <c r="M873" i="3"/>
  <c r="L873" i="3"/>
  <c r="V872" i="3"/>
  <c r="R872" i="3"/>
  <c r="P872" i="3"/>
  <c r="N872" i="3"/>
  <c r="M872" i="3"/>
  <c r="L872" i="3"/>
  <c r="V871" i="3"/>
  <c r="R871" i="3"/>
  <c r="P871" i="3"/>
  <c r="N871" i="3"/>
  <c r="M871" i="3"/>
  <c r="L871" i="3"/>
  <c r="V870" i="3"/>
  <c r="R870" i="3"/>
  <c r="P870" i="3"/>
  <c r="N870" i="3"/>
  <c r="M870" i="3"/>
  <c r="L870" i="3"/>
  <c r="V869" i="3"/>
  <c r="R869" i="3"/>
  <c r="P869" i="3"/>
  <c r="N869" i="3"/>
  <c r="M869" i="3"/>
  <c r="L869" i="3"/>
  <c r="V868" i="3"/>
  <c r="R868" i="3"/>
  <c r="P868" i="3"/>
  <c r="N868" i="3"/>
  <c r="M868" i="3"/>
  <c r="L868" i="3"/>
  <c r="V867" i="3"/>
  <c r="R867" i="3"/>
  <c r="P867" i="3"/>
  <c r="N867" i="3"/>
  <c r="M867" i="3"/>
  <c r="L867" i="3"/>
  <c r="V866" i="3"/>
  <c r="R866" i="3"/>
  <c r="P866" i="3"/>
  <c r="N866" i="3"/>
  <c r="M866" i="3"/>
  <c r="L866" i="3"/>
  <c r="V865" i="3"/>
  <c r="R865" i="3"/>
  <c r="P865" i="3"/>
  <c r="N865" i="3"/>
  <c r="M865" i="3"/>
  <c r="L865" i="3"/>
  <c r="V864" i="3"/>
  <c r="R864" i="3"/>
  <c r="P864" i="3"/>
  <c r="N864" i="3"/>
  <c r="M864" i="3"/>
  <c r="L864" i="3"/>
  <c r="V863" i="3"/>
  <c r="R863" i="3"/>
  <c r="P863" i="3"/>
  <c r="N863" i="3"/>
  <c r="M863" i="3"/>
  <c r="L863" i="3"/>
  <c r="V862" i="3"/>
  <c r="R862" i="3"/>
  <c r="P862" i="3"/>
  <c r="N862" i="3"/>
  <c r="M862" i="3"/>
  <c r="L862" i="3"/>
  <c r="V861" i="3"/>
  <c r="R861" i="3"/>
  <c r="P861" i="3"/>
  <c r="N861" i="3"/>
  <c r="M861" i="3"/>
  <c r="L861" i="3"/>
  <c r="V860" i="3"/>
  <c r="R860" i="3"/>
  <c r="P860" i="3"/>
  <c r="N860" i="3"/>
  <c r="M860" i="3"/>
  <c r="L860" i="3"/>
  <c r="V859" i="3"/>
  <c r="R859" i="3"/>
  <c r="P859" i="3"/>
  <c r="N859" i="3"/>
  <c r="M859" i="3"/>
  <c r="L859" i="3"/>
  <c r="V858" i="3"/>
  <c r="R858" i="3"/>
  <c r="P858" i="3"/>
  <c r="N858" i="3"/>
  <c r="M858" i="3"/>
  <c r="L858" i="3"/>
  <c r="V857" i="3"/>
  <c r="R857" i="3"/>
  <c r="P857" i="3"/>
  <c r="N857" i="3"/>
  <c r="M857" i="3"/>
  <c r="L857" i="3"/>
  <c r="V856" i="3"/>
  <c r="R856" i="3"/>
  <c r="P856" i="3"/>
  <c r="N856" i="3"/>
  <c r="M856" i="3"/>
  <c r="L856" i="3"/>
  <c r="V855" i="3"/>
  <c r="R855" i="3"/>
  <c r="P855" i="3"/>
  <c r="N855" i="3"/>
  <c r="M855" i="3"/>
  <c r="L855" i="3"/>
  <c r="V854" i="3"/>
  <c r="R854" i="3"/>
  <c r="P854" i="3"/>
  <c r="N854" i="3"/>
  <c r="M854" i="3"/>
  <c r="L854" i="3"/>
  <c r="V853" i="3"/>
  <c r="R853" i="3"/>
  <c r="P853" i="3"/>
  <c r="N853" i="3"/>
  <c r="M853" i="3"/>
  <c r="L853" i="3"/>
  <c r="V852" i="3"/>
  <c r="R852" i="3"/>
  <c r="P852" i="3"/>
  <c r="N852" i="3"/>
  <c r="M852" i="3"/>
  <c r="L852" i="3"/>
  <c r="V851" i="3"/>
  <c r="R851" i="3"/>
  <c r="P851" i="3"/>
  <c r="N851" i="3"/>
  <c r="M851" i="3"/>
  <c r="L851" i="3"/>
  <c r="V850" i="3"/>
  <c r="R850" i="3"/>
  <c r="P850" i="3"/>
  <c r="N850" i="3"/>
  <c r="M850" i="3"/>
  <c r="L850" i="3"/>
  <c r="V849" i="3"/>
  <c r="R849" i="3"/>
  <c r="P849" i="3"/>
  <c r="N849" i="3"/>
  <c r="M849" i="3"/>
  <c r="L849" i="3"/>
  <c r="V848" i="3"/>
  <c r="R848" i="3"/>
  <c r="P848" i="3"/>
  <c r="N848" i="3"/>
  <c r="M848" i="3"/>
  <c r="L848" i="3"/>
  <c r="V847" i="3"/>
  <c r="R847" i="3"/>
  <c r="P847" i="3"/>
  <c r="N847" i="3"/>
  <c r="M847" i="3"/>
  <c r="L847" i="3"/>
  <c r="V846" i="3"/>
  <c r="R846" i="3"/>
  <c r="P846" i="3"/>
  <c r="N846" i="3"/>
  <c r="M846" i="3"/>
  <c r="L846" i="3"/>
  <c r="V845" i="3"/>
  <c r="R845" i="3"/>
  <c r="P845" i="3"/>
  <c r="N845" i="3"/>
  <c r="M845" i="3"/>
  <c r="L845" i="3"/>
  <c r="V844" i="3"/>
  <c r="R844" i="3"/>
  <c r="P844" i="3"/>
  <c r="N844" i="3"/>
  <c r="M844" i="3"/>
  <c r="L844" i="3"/>
  <c r="V843" i="3"/>
  <c r="R843" i="3"/>
  <c r="P843" i="3"/>
  <c r="N843" i="3"/>
  <c r="M843" i="3"/>
  <c r="L843" i="3"/>
  <c r="V10" i="3"/>
  <c r="R10" i="3"/>
  <c r="P10" i="3"/>
  <c r="N10" i="3"/>
  <c r="M10" i="3"/>
  <c r="L10" i="3"/>
  <c r="V9" i="3"/>
  <c r="R9" i="3"/>
  <c r="P9" i="3"/>
  <c r="N9" i="3"/>
  <c r="M9" i="3"/>
  <c r="L9" i="3"/>
  <c r="V8" i="3"/>
  <c r="R8" i="3"/>
  <c r="P8" i="3"/>
  <c r="N8" i="3"/>
  <c r="M8" i="3"/>
  <c r="L8" i="3"/>
  <c r="V7" i="3"/>
  <c r="R7" i="3"/>
  <c r="P7" i="3"/>
  <c r="N7" i="3"/>
  <c r="M7" i="3"/>
  <c r="L7" i="3"/>
  <c r="V6" i="3"/>
  <c r="R6" i="3"/>
  <c r="P6" i="3"/>
  <c r="N6" i="3"/>
  <c r="M6" i="3"/>
  <c r="L6" i="3"/>
  <c r="V5" i="3"/>
  <c r="R5" i="3"/>
  <c r="P5" i="3"/>
  <c r="N5" i="3"/>
  <c r="M5" i="3"/>
  <c r="L5" i="3"/>
  <c r="V4" i="3"/>
  <c r="R4" i="3"/>
  <c r="P4" i="3"/>
  <c r="N4" i="3"/>
  <c r="M4" i="3"/>
  <c r="L4" i="3"/>
  <c r="V3" i="3"/>
  <c r="R3" i="3"/>
  <c r="P3" i="3"/>
  <c r="N3" i="3"/>
  <c r="M3" i="3"/>
  <c r="L3" i="3"/>
  <c r="S2" i="3"/>
  <c r="T2" i="3" s="1"/>
  <c r="P2" i="3"/>
  <c r="N2" i="3"/>
  <c r="M2" i="3"/>
  <c r="L2" i="3"/>
  <c r="L58" i="8" l="1"/>
  <c r="K65" i="8"/>
  <c r="Q65" i="8" s="1"/>
  <c r="K58" i="8"/>
  <c r="Q58" i="8" s="1"/>
  <c r="L65" i="8"/>
  <c r="M65" i="8"/>
  <c r="M58" i="8"/>
  <c r="N65" i="8"/>
  <c r="O65" i="8"/>
  <c r="O58" i="8"/>
  <c r="P65" i="8"/>
  <c r="P58" i="8"/>
  <c r="N58" i="8"/>
  <c r="S846" i="3"/>
  <c r="T846" i="3" s="1"/>
  <c r="S848" i="3"/>
  <c r="T848" i="3" s="1"/>
  <c r="S854" i="3"/>
  <c r="T854" i="3" s="1"/>
  <c r="S856" i="3"/>
  <c r="T856" i="3" s="1"/>
  <c r="S858" i="3"/>
  <c r="T858" i="3" s="1"/>
  <c r="S862" i="3"/>
  <c r="T862" i="3" s="1"/>
  <c r="S864" i="3"/>
  <c r="T864" i="3" s="1"/>
  <c r="S866" i="3"/>
  <c r="T866" i="3" s="1"/>
  <c r="S868" i="3"/>
  <c r="T868" i="3" s="1"/>
  <c r="S870" i="3"/>
  <c r="T870" i="3" s="1"/>
  <c r="S872" i="3"/>
  <c r="T872" i="3" s="1"/>
  <c r="S874" i="3"/>
  <c r="T874" i="3" s="1"/>
  <c r="S876" i="3"/>
  <c r="T876" i="3" s="1"/>
  <c r="S878" i="3"/>
  <c r="T878" i="3" s="1"/>
  <c r="S880" i="3"/>
  <c r="T880" i="3" s="1"/>
  <c r="S882" i="3"/>
  <c r="T882" i="3" s="1"/>
  <c r="S886" i="3"/>
  <c r="T886" i="3" s="1"/>
  <c r="S888" i="3"/>
  <c r="T888" i="3" s="1"/>
  <c r="S890" i="3"/>
  <c r="T890" i="3" s="1"/>
  <c r="S892" i="3"/>
  <c r="T892" i="3" s="1"/>
  <c r="S896" i="3"/>
  <c r="T896" i="3" s="1"/>
  <c r="S900" i="3"/>
  <c r="T900" i="3" s="1"/>
  <c r="S902" i="3"/>
  <c r="T902" i="3" s="1"/>
  <c r="S904" i="3"/>
  <c r="T904" i="3" s="1"/>
  <c r="S906" i="3"/>
  <c r="T906" i="3" s="1"/>
  <c r="S908" i="3"/>
  <c r="T908" i="3" s="1"/>
  <c r="S928" i="3"/>
  <c r="T928" i="3" s="1"/>
  <c r="S930" i="3"/>
  <c r="T930" i="3" s="1"/>
  <c r="S940" i="3"/>
  <c r="T940" i="3" s="1"/>
  <c r="S942" i="3"/>
  <c r="T942" i="3" s="1"/>
  <c r="S952" i="3"/>
  <c r="T952" i="3" s="1"/>
  <c r="S954" i="3"/>
  <c r="T954" i="3" s="1"/>
  <c r="S956" i="3"/>
  <c r="T956" i="3" s="1"/>
  <c r="S958" i="3"/>
  <c r="T958" i="3" s="1"/>
  <c r="S960" i="3"/>
  <c r="T960" i="3" s="1"/>
  <c r="S962" i="3"/>
  <c r="T962" i="3" s="1"/>
  <c r="S964" i="3"/>
  <c r="T964" i="3" s="1"/>
  <c r="S966" i="3"/>
  <c r="T966" i="3" s="1"/>
  <c r="S968" i="3"/>
  <c r="T968" i="3" s="1"/>
  <c r="S972" i="3"/>
  <c r="T972" i="3" s="1"/>
  <c r="S988" i="3"/>
  <c r="T988" i="3" s="1"/>
  <c r="S2153" i="3"/>
  <c r="T2153" i="3" s="1"/>
  <c r="S2155" i="3"/>
  <c r="T2155" i="3" s="1"/>
  <c r="S2157" i="3"/>
  <c r="T2157" i="3" s="1"/>
  <c r="S2159" i="3"/>
  <c r="T2159" i="3" s="1"/>
  <c r="S2165" i="3"/>
  <c r="T2165" i="3" s="1"/>
  <c r="S2167" i="3"/>
  <c r="T2167" i="3" s="1"/>
  <c r="S2173" i="3"/>
  <c r="T2173" i="3" s="1"/>
  <c r="S2175" i="3"/>
  <c r="T2175" i="3" s="1"/>
  <c r="S2238" i="3"/>
  <c r="T2238" i="3" s="1"/>
  <c r="S2240" i="3"/>
  <c r="T2240" i="3" s="1"/>
  <c r="S2244" i="3"/>
  <c r="T2244" i="3" s="1"/>
  <c r="S2260" i="3"/>
  <c r="T2260" i="3" s="1"/>
  <c r="S2264" i="3"/>
  <c r="T2264" i="3" s="1"/>
  <c r="S2266" i="3"/>
  <c r="T2266" i="3" s="1"/>
  <c r="S2268" i="3"/>
  <c r="T2268" i="3" s="1"/>
  <c r="S2270" i="3"/>
  <c r="T2270" i="3" s="1"/>
  <c r="S2290" i="3"/>
  <c r="T2290" i="3" s="1"/>
  <c r="S2292" i="3"/>
  <c r="T2292" i="3" s="1"/>
  <c r="S2294" i="3"/>
  <c r="T2294" i="3" s="1"/>
  <c r="S2296" i="3"/>
  <c r="T2296" i="3" s="1"/>
  <c r="S2298" i="3"/>
  <c r="T2298" i="3" s="1"/>
  <c r="S3606" i="3"/>
  <c r="T3606" i="3" s="1"/>
  <c r="S3610" i="3"/>
  <c r="T3610" i="3" s="1"/>
  <c r="S3614" i="3"/>
  <c r="T3614" i="3" s="1"/>
  <c r="S3616" i="3"/>
  <c r="T3616" i="3" s="1"/>
  <c r="S3618" i="3"/>
  <c r="T3618" i="3" s="1"/>
  <c r="S3620" i="3"/>
  <c r="T3620" i="3" s="1"/>
  <c r="S3622" i="3"/>
  <c r="T3622" i="3" s="1"/>
  <c r="S3624" i="3"/>
  <c r="T3624" i="3" s="1"/>
  <c r="S3626" i="3"/>
  <c r="T3626" i="3" s="1"/>
  <c r="S3630" i="3"/>
  <c r="T3630" i="3" s="1"/>
  <c r="S3632" i="3"/>
  <c r="T3632" i="3" s="1"/>
  <c r="S3636" i="3"/>
  <c r="T3636" i="3" s="1"/>
  <c r="S3638" i="3"/>
  <c r="T3638" i="3" s="1"/>
  <c r="S3640" i="3"/>
  <c r="T3640" i="3" s="1"/>
  <c r="S3644" i="3"/>
  <c r="T3644" i="3" s="1"/>
  <c r="S3648" i="3"/>
  <c r="T3648" i="3" s="1"/>
  <c r="S3650" i="3"/>
  <c r="T3650" i="3" s="1"/>
  <c r="S3652" i="3"/>
  <c r="T3652" i="3" s="1"/>
  <c r="S3656" i="3"/>
  <c r="T3656" i="3" s="1"/>
  <c r="S3658" i="3"/>
  <c r="T3658" i="3" s="1"/>
  <c r="S3662" i="3"/>
  <c r="T3662" i="3" s="1"/>
  <c r="S3666" i="3"/>
  <c r="T3666" i="3" s="1"/>
  <c r="S3668" i="3"/>
  <c r="T3668" i="3" s="1"/>
  <c r="S3674" i="3"/>
  <c r="T3674" i="3" s="1"/>
  <c r="S3678" i="3"/>
  <c r="T3678" i="3" s="1"/>
  <c r="S3680" i="3"/>
  <c r="T3680" i="3" s="1"/>
  <c r="S3682" i="3"/>
  <c r="T3682" i="3" s="1"/>
  <c r="S3684" i="3"/>
  <c r="T3684" i="3" s="1"/>
  <c r="S3686" i="3"/>
  <c r="T3686" i="3" s="1"/>
  <c r="S3688" i="3"/>
  <c r="T3688" i="3" s="1"/>
  <c r="S3694" i="3"/>
  <c r="T3694" i="3" s="1"/>
  <c r="S3696" i="3"/>
  <c r="T3696" i="3" s="1"/>
  <c r="S3698" i="3"/>
  <c r="T3698" i="3" s="1"/>
  <c r="S3702" i="3"/>
  <c r="T3702" i="3" s="1"/>
  <c r="S3725" i="3"/>
  <c r="T3725" i="3" s="1"/>
  <c r="S3733" i="3"/>
  <c r="T3733" i="3" s="1"/>
  <c r="S3739" i="3"/>
  <c r="T3739" i="3" s="1"/>
  <c r="S3747" i="3"/>
  <c r="T3747" i="3" s="1"/>
  <c r="S3749" i="3"/>
  <c r="T3749" i="3" s="1"/>
  <c r="S3753" i="3"/>
  <c r="T3753" i="3" s="1"/>
  <c r="S3755" i="3"/>
  <c r="T3755" i="3" s="1"/>
  <c r="S3761" i="3"/>
  <c r="T3761" i="3" s="1"/>
  <c r="S3763" i="3"/>
  <c r="T3763" i="3" s="1"/>
  <c r="S3767" i="3"/>
  <c r="T3767" i="3" s="1"/>
  <c r="S3769" i="3"/>
  <c r="T3769" i="3" s="1"/>
  <c r="S3771" i="3"/>
  <c r="T3771" i="3" s="1"/>
  <c r="S3773" i="3"/>
  <c r="T3773" i="3" s="1"/>
  <c r="S3777" i="3"/>
  <c r="T3777" i="3" s="1"/>
  <c r="S3781" i="3"/>
  <c r="T3781" i="3" s="1"/>
  <c r="S3783" i="3"/>
  <c r="T3783" i="3" s="1"/>
  <c r="S3785" i="3"/>
  <c r="T3785" i="3" s="1"/>
  <c r="S3787" i="3"/>
  <c r="T3787" i="3" s="1"/>
  <c r="S3789" i="3"/>
  <c r="T3789" i="3" s="1"/>
  <c r="S3793" i="3"/>
  <c r="T3793" i="3" s="1"/>
  <c r="S3795" i="3"/>
  <c r="T3795" i="3" s="1"/>
  <c r="S3797" i="3"/>
  <c r="T3797" i="3" s="1"/>
  <c r="S3799" i="3"/>
  <c r="T3799" i="3" s="1"/>
  <c r="S3801" i="3"/>
  <c r="T3801" i="3" s="1"/>
  <c r="S3803" i="3"/>
  <c r="T3803" i="3" s="1"/>
  <c r="S3807" i="3"/>
  <c r="T3807" i="3" s="1"/>
  <c r="S3809" i="3"/>
  <c r="T3809" i="3" s="1"/>
  <c r="S3813" i="3"/>
  <c r="T3813" i="3" s="1"/>
  <c r="S3815" i="3"/>
  <c r="T3815" i="3" s="1"/>
  <c r="S3817" i="3"/>
  <c r="T3817" i="3" s="1"/>
  <c r="S3819" i="3"/>
  <c r="T3819" i="3" s="1"/>
  <c r="S3823" i="3"/>
  <c r="T3823" i="3" s="1"/>
  <c r="S3825" i="3"/>
  <c r="T3825" i="3" s="1"/>
  <c r="S3827" i="3"/>
  <c r="T3827" i="3" s="1"/>
  <c r="S3828" i="3"/>
  <c r="T3828" i="3" s="1"/>
  <c r="S3836" i="3"/>
  <c r="T3836" i="3" s="1"/>
  <c r="S3840" i="3"/>
  <c r="T3840" i="3" s="1"/>
  <c r="S3842" i="3"/>
  <c r="T3842" i="3" s="1"/>
  <c r="S3846" i="3"/>
  <c r="T3846" i="3" s="1"/>
  <c r="S3848" i="3"/>
  <c r="T3848" i="3" s="1"/>
  <c r="S3855" i="3"/>
  <c r="T3855" i="3" s="1"/>
  <c r="S3888" i="3"/>
  <c r="T3888" i="3" s="1"/>
  <c r="S3892" i="3"/>
  <c r="T3892" i="3" s="1"/>
  <c r="S3896" i="3"/>
  <c r="T3896" i="3" s="1"/>
  <c r="S3898" i="3"/>
  <c r="T3898" i="3" s="1"/>
  <c r="S3902" i="3"/>
  <c r="T3902" i="3" s="1"/>
  <c r="S3906" i="3"/>
  <c r="T3906" i="3" s="1"/>
  <c r="S3910" i="3"/>
  <c r="T3910" i="3" s="1"/>
  <c r="S3912" i="3"/>
  <c r="T3912" i="3" s="1"/>
  <c r="S3914" i="3"/>
  <c r="T3914" i="3" s="1"/>
  <c r="S3916" i="3"/>
  <c r="T3916" i="3" s="1"/>
  <c r="S3918" i="3"/>
  <c r="T3918" i="3" s="1"/>
  <c r="S3922" i="3"/>
  <c r="T3922" i="3" s="1"/>
  <c r="S3924" i="3"/>
  <c r="T3924" i="3" s="1"/>
  <c r="S3926" i="3"/>
  <c r="T3926" i="3" s="1"/>
  <c r="S3930" i="3"/>
  <c r="T3930" i="3" s="1"/>
  <c r="S3934" i="3"/>
  <c r="T3934" i="3" s="1"/>
  <c r="S3936" i="3"/>
  <c r="T3936" i="3" s="1"/>
  <c r="S3938" i="3"/>
  <c r="T3938" i="3" s="1"/>
  <c r="S3942" i="3"/>
  <c r="T3942" i="3" s="1"/>
  <c r="S3946" i="3"/>
  <c r="T3946" i="3" s="1"/>
  <c r="S3948" i="3"/>
  <c r="T3948" i="3" s="1"/>
  <c r="S3950" i="3"/>
  <c r="T3950" i="3" s="1"/>
  <c r="S3952" i="3"/>
  <c r="T3952" i="3" s="1"/>
  <c r="S3954" i="3"/>
  <c r="T3954" i="3" s="1"/>
  <c r="S3979" i="3"/>
  <c r="T3979" i="3" s="1"/>
  <c r="S3983" i="3"/>
  <c r="T3983" i="3" s="1"/>
  <c r="S3985" i="3"/>
  <c r="T3985" i="3" s="1"/>
  <c r="S3987" i="3"/>
  <c r="T3987" i="3" s="1"/>
  <c r="S3989" i="3"/>
  <c r="T3989" i="3" s="1"/>
  <c r="S3993" i="3"/>
  <c r="T3993" i="3" s="1"/>
  <c r="S3997" i="3"/>
  <c r="T3997" i="3" s="1"/>
  <c r="S3999" i="3"/>
  <c r="T3999" i="3" s="1"/>
  <c r="S4003" i="3"/>
  <c r="T4003" i="3" s="1"/>
  <c r="S4005" i="3"/>
  <c r="T4005" i="3" s="1"/>
  <c r="S4007" i="3"/>
  <c r="T4007" i="3" s="1"/>
  <c r="S4009" i="3"/>
  <c r="T4009" i="3" s="1"/>
  <c r="S4011" i="3"/>
  <c r="T4011" i="3" s="1"/>
  <c r="S4013" i="3"/>
  <c r="T4013" i="3" s="1"/>
  <c r="S4015" i="3"/>
  <c r="T4015" i="3" s="1"/>
  <c r="S4019" i="3"/>
  <c r="T4019" i="3" s="1"/>
  <c r="S4021" i="3"/>
  <c r="T4021" i="3" s="1"/>
  <c r="S4023" i="3"/>
  <c r="T4023" i="3" s="1"/>
  <c r="S4025" i="3"/>
  <c r="T4025" i="3" s="1"/>
  <c r="S4029" i="3"/>
  <c r="T4029" i="3" s="1"/>
  <c r="S4031" i="3"/>
  <c r="T4031" i="3" s="1"/>
  <c r="S4033" i="3"/>
  <c r="T4033" i="3" s="1"/>
  <c r="S4035" i="3"/>
  <c r="T4035" i="3" s="1"/>
  <c r="S4039" i="3"/>
  <c r="T4039" i="3" s="1"/>
  <c r="S4041" i="3"/>
  <c r="T4041" i="3" s="1"/>
  <c r="S4043" i="3"/>
  <c r="T4043" i="3" s="1"/>
  <c r="S4045" i="3"/>
  <c r="T4045" i="3" s="1"/>
  <c r="S4077" i="3"/>
  <c r="T4077" i="3" s="1"/>
  <c r="S4182" i="3"/>
  <c r="T4182" i="3" s="1"/>
  <c r="S4186" i="3"/>
  <c r="T4186" i="3" s="1"/>
  <c r="S4188" i="3"/>
  <c r="T4188" i="3" s="1"/>
  <c r="S4190" i="3"/>
  <c r="T4190" i="3" s="1"/>
  <c r="S4192" i="3"/>
  <c r="T4192" i="3" s="1"/>
  <c r="S4196" i="3"/>
  <c r="T4196" i="3" s="1"/>
  <c r="S4198" i="3"/>
  <c r="T4198" i="3" s="1"/>
  <c r="S4200" i="3"/>
  <c r="T4200" i="3" s="1"/>
  <c r="S4202" i="3"/>
  <c r="T4202" i="3" s="1"/>
  <c r="S4205" i="3"/>
  <c r="T4205" i="3" s="1"/>
  <c r="S4208" i="3"/>
  <c r="T4208" i="3" s="1"/>
  <c r="S4212" i="3"/>
  <c r="T4212" i="3" s="1"/>
  <c r="S4216" i="3"/>
  <c r="T4216" i="3" s="1"/>
  <c r="S4220" i="3"/>
  <c r="T4220" i="3" s="1"/>
  <c r="S4224" i="3"/>
  <c r="T4224" i="3" s="1"/>
  <c r="S4226" i="3"/>
  <c r="T4226" i="3" s="1"/>
  <c r="S4228" i="3"/>
  <c r="T4228" i="3" s="1"/>
  <c r="S4230" i="3"/>
  <c r="T4230" i="3" s="1"/>
  <c r="S4238" i="3"/>
  <c r="T4238" i="3" s="1"/>
  <c r="S4242" i="3"/>
  <c r="T4242" i="3" s="1"/>
  <c r="S4244" i="3"/>
  <c r="T4244" i="3" s="1"/>
  <c r="S4246" i="3"/>
  <c r="T4246" i="3" s="1"/>
  <c r="S4252" i="3"/>
  <c r="T4252" i="3" s="1"/>
  <c r="S4254" i="3"/>
  <c r="T4254" i="3" s="1"/>
  <c r="S4264" i="3"/>
  <c r="T4264" i="3" s="1"/>
  <c r="S4266" i="3"/>
  <c r="T4266" i="3" s="1"/>
  <c r="S4268" i="3"/>
  <c r="T4268" i="3" s="1"/>
  <c r="S4272" i="3"/>
  <c r="T4272" i="3" s="1"/>
  <c r="S4274" i="3"/>
  <c r="T4274" i="3" s="1"/>
  <c r="S4278" i="3"/>
  <c r="T4278" i="3" s="1"/>
  <c r="S4282" i="3"/>
  <c r="T4282" i="3" s="1"/>
  <c r="S4284" i="3"/>
  <c r="T4284" i="3" s="1"/>
  <c r="S4288" i="3"/>
  <c r="T4288" i="3" s="1"/>
  <c r="S4290" i="3"/>
  <c r="T4290" i="3" s="1"/>
  <c r="S4294" i="3"/>
  <c r="T4294" i="3" s="1"/>
  <c r="S4296" i="3"/>
  <c r="T4296" i="3" s="1"/>
  <c r="S4298" i="3"/>
  <c r="T4298" i="3" s="1"/>
  <c r="S4306" i="3"/>
  <c r="T4306" i="3" s="1"/>
  <c r="S4310" i="3"/>
  <c r="T4310" i="3" s="1"/>
  <c r="S4312" i="3"/>
  <c r="T4312" i="3" s="1"/>
  <c r="S4316" i="3"/>
  <c r="T4316" i="3" s="1"/>
  <c r="S4318" i="3"/>
  <c r="T4318" i="3" s="1"/>
  <c r="S4320" i="3"/>
  <c r="T4320" i="3" s="1"/>
  <c r="S4322" i="3"/>
  <c r="T4322" i="3" s="1"/>
  <c r="S4326" i="3"/>
  <c r="T4326" i="3" s="1"/>
  <c r="S4330" i="3"/>
  <c r="T4330" i="3" s="1"/>
  <c r="S4336" i="3"/>
  <c r="T4336" i="3" s="1"/>
  <c r="S4340" i="3"/>
  <c r="T4340" i="3" s="1"/>
  <c r="S4342" i="3"/>
  <c r="T4342" i="3" s="1"/>
  <c r="S4344" i="3"/>
  <c r="T4344" i="3" s="1"/>
  <c r="S4346" i="3"/>
  <c r="T4346" i="3" s="1"/>
  <c r="S4348" i="3"/>
  <c r="T4348" i="3" s="1"/>
  <c r="S4350" i="3"/>
  <c r="T4350" i="3" s="1"/>
  <c r="S4352" i="3"/>
  <c r="T4352" i="3" s="1"/>
  <c r="S4354" i="3"/>
  <c r="T4354" i="3" s="1"/>
  <c r="S4356" i="3"/>
  <c r="T4356" i="3" s="1"/>
  <c r="S4358" i="3"/>
  <c r="T4358" i="3" s="1"/>
  <c r="S4362" i="3"/>
  <c r="T4362" i="3" s="1"/>
  <c r="S4364" i="3"/>
  <c r="T4364" i="3" s="1"/>
  <c r="S4366" i="3"/>
  <c r="T4366" i="3" s="1"/>
  <c r="S4368" i="3"/>
  <c r="T4368" i="3" s="1"/>
  <c r="S4370" i="3"/>
  <c r="T4370" i="3" s="1"/>
  <c r="S4372" i="3"/>
  <c r="T4372" i="3" s="1"/>
  <c r="S4374" i="3"/>
  <c r="T4374" i="3" s="1"/>
  <c r="S4376" i="3"/>
  <c r="T4376" i="3" s="1"/>
  <c r="S4380" i="3"/>
  <c r="T4380" i="3" s="1"/>
  <c r="S4386" i="3"/>
  <c r="T4386" i="3" s="1"/>
  <c r="S4390" i="3"/>
  <c r="T4390" i="3" s="1"/>
  <c r="S4396" i="3"/>
  <c r="T4396" i="3" s="1"/>
  <c r="S4404" i="3"/>
  <c r="T4404" i="3" s="1"/>
  <c r="S4406" i="3"/>
  <c r="T4406" i="3" s="1"/>
  <c r="S4408" i="3"/>
  <c r="T4408" i="3" s="1"/>
  <c r="S4410" i="3"/>
  <c r="T4410" i="3" s="1"/>
  <c r="S4412" i="3"/>
  <c r="T4412" i="3" s="1"/>
  <c r="S4414" i="3"/>
  <c r="T4414" i="3" s="1"/>
  <c r="S4416" i="3"/>
  <c r="T4416" i="3" s="1"/>
  <c r="S4418" i="3"/>
  <c r="T4418" i="3" s="1"/>
  <c r="S4422" i="3"/>
  <c r="T4422" i="3" s="1"/>
  <c r="S4424" i="3"/>
  <c r="T4424" i="3" s="1"/>
  <c r="S4426" i="3"/>
  <c r="T4426" i="3" s="1"/>
  <c r="S4430" i="3"/>
  <c r="T4430" i="3" s="1"/>
  <c r="S4432" i="3"/>
  <c r="T4432" i="3" s="1"/>
  <c r="S4434" i="3"/>
  <c r="T4434" i="3" s="1"/>
  <c r="S4438" i="3"/>
  <c r="T4438" i="3" s="1"/>
  <c r="S4442" i="3"/>
  <c r="T4442" i="3" s="1"/>
  <c r="S4446" i="3"/>
  <c r="T4446" i="3" s="1"/>
  <c r="S4448" i="3"/>
  <c r="T4448" i="3" s="1"/>
  <c r="S4450" i="3"/>
  <c r="T4450" i="3" s="1"/>
  <c r="S4452" i="3"/>
  <c r="T4452" i="3" s="1"/>
  <c r="S4454" i="3"/>
  <c r="T4454" i="3" s="1"/>
  <c r="S4456" i="3"/>
  <c r="T4456" i="3" s="1"/>
  <c r="S4458" i="3"/>
  <c r="T4458" i="3" s="1"/>
  <c r="S4462" i="3"/>
  <c r="T4462" i="3" s="1"/>
  <c r="S4466" i="3"/>
  <c r="T4466" i="3" s="1"/>
  <c r="S4468" i="3"/>
  <c r="T4468" i="3" s="1"/>
  <c r="S4472" i="3"/>
  <c r="T4472" i="3" s="1"/>
  <c r="S4474" i="3"/>
  <c r="T4474" i="3" s="1"/>
  <c r="S4478" i="3"/>
  <c r="T4478" i="3" s="1"/>
  <c r="S4484" i="3"/>
  <c r="T4484" i="3" s="1"/>
  <c r="S4486" i="3"/>
  <c r="T4486" i="3" s="1"/>
  <c r="S4488" i="3"/>
  <c r="T4488" i="3" s="1"/>
  <c r="S4492" i="3"/>
  <c r="T4492" i="3" s="1"/>
  <c r="S4494" i="3"/>
  <c r="T4494" i="3" s="1"/>
  <c r="S4496" i="3"/>
  <c r="T4496" i="3" s="1"/>
  <c r="S4502" i="3"/>
  <c r="T4502" i="3" s="1"/>
  <c r="S4506" i="3"/>
  <c r="T4506" i="3" s="1"/>
  <c r="S4508" i="3"/>
  <c r="T4508" i="3" s="1"/>
  <c r="S4514" i="3"/>
  <c r="T4514" i="3" s="1"/>
  <c r="S4516" i="3"/>
  <c r="T4516" i="3" s="1"/>
  <c r="S4518" i="3"/>
  <c r="T4518" i="3" s="1"/>
  <c r="S4522" i="3"/>
  <c r="T4522" i="3" s="1"/>
  <c r="S4526" i="3"/>
  <c r="T4526" i="3" s="1"/>
  <c r="S4530" i="3"/>
  <c r="T4530" i="3" s="1"/>
  <c r="S4532" i="3"/>
  <c r="T4532" i="3" s="1"/>
  <c r="S4534" i="3"/>
  <c r="T4534" i="3" s="1"/>
  <c r="S4549" i="3"/>
  <c r="T4549" i="3" s="1"/>
  <c r="S4553" i="3"/>
  <c r="T4553" i="3" s="1"/>
  <c r="S4555" i="3"/>
  <c r="T4555" i="3" s="1"/>
  <c r="S4557" i="3"/>
  <c r="T4557" i="3" s="1"/>
  <c r="S4559" i="3"/>
  <c r="T4559" i="3" s="1"/>
  <c r="S4563" i="3"/>
  <c r="T4563" i="3" s="1"/>
  <c r="S4565" i="3"/>
  <c r="T4565" i="3" s="1"/>
  <c r="S4567" i="3"/>
  <c r="T4567" i="3" s="1"/>
  <c r="S4573" i="3"/>
  <c r="T4573" i="3" s="1"/>
  <c r="S4581" i="3"/>
  <c r="T4581" i="3" s="1"/>
  <c r="S4583" i="3"/>
  <c r="T4583" i="3" s="1"/>
  <c r="S4587" i="3"/>
  <c r="T4587" i="3" s="1"/>
  <c r="S4591" i="3"/>
  <c r="T4591" i="3" s="1"/>
  <c r="S4593" i="3"/>
  <c r="T4593" i="3" s="1"/>
  <c r="S4595" i="3"/>
  <c r="T4595" i="3" s="1"/>
  <c r="S4597" i="3"/>
  <c r="T4597" i="3" s="1"/>
  <c r="S4599" i="3"/>
  <c r="T4599" i="3" s="1"/>
  <c r="S4601" i="3"/>
  <c r="T4601" i="3" s="1"/>
  <c r="S4605" i="3"/>
  <c r="T4605" i="3" s="1"/>
  <c r="S4607" i="3"/>
  <c r="T4607" i="3" s="1"/>
  <c r="S4609" i="3"/>
  <c r="T4609" i="3" s="1"/>
  <c r="S4613" i="3"/>
  <c r="T4613" i="3" s="1"/>
  <c r="S4615" i="3"/>
  <c r="T4615" i="3" s="1"/>
  <c r="S4617" i="3"/>
  <c r="T4617" i="3" s="1"/>
  <c r="S4621" i="3"/>
  <c r="T4621" i="3" s="1"/>
  <c r="S4625" i="3"/>
  <c r="T4625" i="3" s="1"/>
  <c r="S4627" i="3"/>
  <c r="T4627" i="3" s="1"/>
  <c r="S4629" i="3"/>
  <c r="T4629" i="3" s="1"/>
  <c r="S4631" i="3"/>
  <c r="T4631" i="3" s="1"/>
  <c r="S4637" i="3"/>
  <c r="T4637" i="3" s="1"/>
  <c r="S4641" i="3"/>
  <c r="T4641" i="3" s="1"/>
  <c r="S4647" i="3"/>
  <c r="T4647" i="3" s="1"/>
  <c r="S4649" i="3"/>
  <c r="T4649" i="3" s="1"/>
  <c r="S4744" i="3"/>
  <c r="T4744" i="3" s="1"/>
  <c r="S4748" i="3"/>
  <c r="T4748" i="3" s="1"/>
  <c r="S4750" i="3"/>
  <c r="T4750" i="3" s="1"/>
  <c r="S4752" i="3"/>
  <c r="T4752" i="3" s="1"/>
  <c r="S4754" i="3"/>
  <c r="T4754" i="3" s="1"/>
  <c r="S4802" i="3"/>
  <c r="T4802" i="3" s="1"/>
  <c r="S4806" i="3"/>
  <c r="T4806" i="3" s="1"/>
  <c r="S4810" i="3"/>
  <c r="T4810" i="3" s="1"/>
  <c r="S4814" i="3"/>
  <c r="T4814" i="3" s="1"/>
  <c r="S4818" i="3"/>
  <c r="T4818" i="3" s="1"/>
  <c r="S4822" i="3"/>
  <c r="T4822" i="3" s="1"/>
  <c r="S4826" i="3"/>
  <c r="T4826" i="3" s="1"/>
  <c r="S4830" i="3"/>
  <c r="T4830" i="3" s="1"/>
  <c r="S4834" i="3"/>
  <c r="T4834" i="3" s="1"/>
  <c r="S4838" i="3"/>
  <c r="T4838" i="3" s="1"/>
  <c r="S4842" i="3"/>
  <c r="T4842" i="3" s="1"/>
  <c r="S4844" i="3"/>
  <c r="T4844" i="3" s="1"/>
  <c r="S4846" i="3"/>
  <c r="T4846" i="3" s="1"/>
  <c r="S4852" i="3"/>
  <c r="T4852" i="3" s="1"/>
  <c r="S4856" i="3"/>
  <c r="T4856" i="3" s="1"/>
  <c r="S4858" i="3"/>
  <c r="T4858" i="3" s="1"/>
  <c r="S4862" i="3"/>
  <c r="T4862" i="3" s="1"/>
  <c r="S4866" i="3"/>
  <c r="T4866" i="3" s="1"/>
  <c r="S4870" i="3"/>
  <c r="T4870" i="3" s="1"/>
  <c r="S4872" i="3"/>
  <c r="T4872" i="3" s="1"/>
  <c r="S4876" i="3"/>
  <c r="T4876" i="3" s="1"/>
  <c r="S4878" i="3"/>
  <c r="T4878" i="3" s="1"/>
  <c r="S4882" i="3"/>
  <c r="T4882" i="3" s="1"/>
  <c r="S4892" i="3"/>
  <c r="T4892" i="3" s="1"/>
  <c r="S4896" i="3"/>
  <c r="T4896" i="3" s="1"/>
  <c r="S4898" i="3"/>
  <c r="T4898" i="3" s="1"/>
  <c r="S4904" i="3"/>
  <c r="T4904" i="3" s="1"/>
  <c r="S4908" i="3"/>
  <c r="T4908" i="3" s="1"/>
  <c r="S4920" i="3"/>
  <c r="T4920" i="3" s="1"/>
  <c r="S4924" i="3"/>
  <c r="T4924" i="3" s="1"/>
  <c r="S4926" i="3"/>
  <c r="T4926" i="3" s="1"/>
  <c r="S4928" i="3"/>
  <c r="T4928" i="3" s="1"/>
  <c r="S4930" i="3"/>
  <c r="T4930" i="3" s="1"/>
  <c r="S4946" i="3"/>
  <c r="T4946" i="3" s="1"/>
  <c r="S4952" i="3"/>
  <c r="T4952" i="3" s="1"/>
  <c r="S4954" i="3"/>
  <c r="T4954" i="3" s="1"/>
  <c r="S4956" i="3"/>
  <c r="T4956" i="3" s="1"/>
  <c r="S4958" i="3"/>
  <c r="T4958" i="3" s="1"/>
  <c r="S4960" i="3"/>
  <c r="T4960" i="3" s="1"/>
  <c r="S4978" i="3"/>
  <c r="T4978" i="3" s="1"/>
  <c r="S4980" i="3"/>
  <c r="T4980" i="3" s="1"/>
  <c r="S4982" i="3"/>
  <c r="T4982" i="3" s="1"/>
  <c r="S4984" i="3"/>
  <c r="T4984" i="3" s="1"/>
  <c r="S4986" i="3"/>
  <c r="T4986" i="3" s="1"/>
  <c r="S4988" i="3"/>
  <c r="T4988" i="3" s="1"/>
  <c r="S4990" i="3"/>
  <c r="T4990" i="3" s="1"/>
  <c r="S4992" i="3"/>
  <c r="T4992" i="3" s="1"/>
  <c r="S4994" i="3"/>
  <c r="T4994" i="3" s="1"/>
  <c r="S5000" i="3"/>
  <c r="T5000" i="3" s="1"/>
  <c r="S5002" i="3"/>
  <c r="T5002" i="3" s="1"/>
  <c r="S5008" i="3"/>
  <c r="T5008" i="3" s="1"/>
  <c r="S5012" i="3"/>
  <c r="T5012" i="3" s="1"/>
  <c r="S5014" i="3"/>
  <c r="T5014" i="3" s="1"/>
  <c r="S5016" i="3"/>
  <c r="T5016" i="3" s="1"/>
  <c r="S5018" i="3"/>
  <c r="T5018" i="3" s="1"/>
  <c r="S5020" i="3"/>
  <c r="T5020" i="3" s="1"/>
  <c r="S5024" i="3"/>
  <c r="T5024" i="3" s="1"/>
  <c r="S5026" i="3"/>
  <c r="T5026" i="3" s="1"/>
  <c r="S5030" i="3"/>
  <c r="T5030" i="3" s="1"/>
  <c r="S5034" i="3"/>
  <c r="T5034" i="3" s="1"/>
  <c r="S5040" i="3"/>
  <c r="T5040" i="3" s="1"/>
  <c r="S5052" i="3"/>
  <c r="T5052" i="3" s="1"/>
  <c r="S5054" i="3"/>
  <c r="T5054" i="3" s="1"/>
  <c r="S5056" i="3"/>
  <c r="T5056" i="3" s="1"/>
  <c r="S5058" i="3"/>
  <c r="T5058" i="3" s="1"/>
  <c r="S5060" i="3"/>
  <c r="T5060" i="3" s="1"/>
  <c r="S5354" i="3"/>
  <c r="T5354" i="3" s="1"/>
  <c r="S5356" i="3"/>
  <c r="T5356" i="3" s="1"/>
  <c r="S5358" i="3"/>
  <c r="T5358" i="3" s="1"/>
  <c r="S5360" i="3"/>
  <c r="T5360" i="3" s="1"/>
  <c r="S5363" i="3"/>
  <c r="T5363" i="3" s="1"/>
  <c r="S5364" i="3"/>
  <c r="T5364" i="3" s="1"/>
  <c r="S5366" i="3"/>
  <c r="T5366" i="3" s="1"/>
  <c r="S5368" i="3"/>
  <c r="T5368" i="3" s="1"/>
  <c r="S844" i="3"/>
  <c r="T844" i="3" s="1"/>
  <c r="S850" i="3"/>
  <c r="T850" i="3" s="1"/>
  <c r="S852" i="3"/>
  <c r="T852" i="3" s="1"/>
  <c r="S860" i="3"/>
  <c r="T860" i="3" s="1"/>
  <c r="S884" i="3"/>
  <c r="T884" i="3" s="1"/>
  <c r="S894" i="3"/>
  <c r="T894" i="3" s="1"/>
  <c r="S898" i="3"/>
  <c r="T898" i="3" s="1"/>
  <c r="S910" i="3"/>
  <c r="T910" i="3" s="1"/>
  <c r="S912" i="3"/>
  <c r="T912" i="3" s="1"/>
  <c r="S914" i="3"/>
  <c r="T914" i="3" s="1"/>
  <c r="S916" i="3"/>
  <c r="T916" i="3" s="1"/>
  <c r="S918" i="3"/>
  <c r="T918" i="3" s="1"/>
  <c r="S920" i="3"/>
  <c r="T920" i="3" s="1"/>
  <c r="S922" i="3"/>
  <c r="T922" i="3" s="1"/>
  <c r="S924" i="3"/>
  <c r="T924" i="3" s="1"/>
  <c r="S926" i="3"/>
  <c r="T926" i="3" s="1"/>
  <c r="S932" i="3"/>
  <c r="T932" i="3" s="1"/>
  <c r="S934" i="3"/>
  <c r="T934" i="3" s="1"/>
  <c r="S936" i="3"/>
  <c r="T936" i="3" s="1"/>
  <c r="S938" i="3"/>
  <c r="T938" i="3" s="1"/>
  <c r="S944" i="3"/>
  <c r="T944" i="3" s="1"/>
  <c r="S946" i="3"/>
  <c r="T946" i="3" s="1"/>
  <c r="S948" i="3"/>
  <c r="T948" i="3" s="1"/>
  <c r="S950" i="3"/>
  <c r="T950" i="3" s="1"/>
  <c r="S970" i="3"/>
  <c r="T970" i="3" s="1"/>
  <c r="S974" i="3"/>
  <c r="T974" i="3" s="1"/>
  <c r="S976" i="3"/>
  <c r="T976" i="3" s="1"/>
  <c r="S978" i="3"/>
  <c r="T978" i="3" s="1"/>
  <c r="S980" i="3"/>
  <c r="T980" i="3" s="1"/>
  <c r="S982" i="3"/>
  <c r="T982" i="3" s="1"/>
  <c r="S984" i="3"/>
  <c r="T984" i="3" s="1"/>
  <c r="S986" i="3"/>
  <c r="T986" i="3" s="1"/>
  <c r="S990" i="3"/>
  <c r="T990" i="3" s="1"/>
  <c r="S992" i="3"/>
  <c r="T992" i="3" s="1"/>
  <c r="S994" i="3"/>
  <c r="T994" i="3" s="1"/>
  <c r="S996" i="3"/>
  <c r="T996" i="3" s="1"/>
  <c r="S998" i="3"/>
  <c r="T998" i="3" s="1"/>
  <c r="S2147" i="3"/>
  <c r="T2147" i="3" s="1"/>
  <c r="S2149" i="3"/>
  <c r="T2149" i="3" s="1"/>
  <c r="S2151" i="3"/>
  <c r="T2151" i="3" s="1"/>
  <c r="S2161" i="3"/>
  <c r="T2161" i="3" s="1"/>
  <c r="S2163" i="3"/>
  <c r="T2163" i="3" s="1"/>
  <c r="S2169" i="3"/>
  <c r="T2169" i="3" s="1"/>
  <c r="S2171" i="3"/>
  <c r="T2171" i="3" s="1"/>
  <c r="S2236" i="3"/>
  <c r="T2236" i="3" s="1"/>
  <c r="S2242" i="3"/>
  <c r="T2242" i="3" s="1"/>
  <c r="S2246" i="3"/>
  <c r="T2246" i="3" s="1"/>
  <c r="S2248" i="3"/>
  <c r="T2248" i="3" s="1"/>
  <c r="S2250" i="3"/>
  <c r="T2250" i="3" s="1"/>
  <c r="S2252" i="3"/>
  <c r="T2252" i="3" s="1"/>
  <c r="S2254" i="3"/>
  <c r="T2254" i="3" s="1"/>
  <c r="S2256" i="3"/>
  <c r="T2256" i="3" s="1"/>
  <c r="S2258" i="3"/>
  <c r="T2258" i="3" s="1"/>
  <c r="S2262" i="3"/>
  <c r="T2262" i="3" s="1"/>
  <c r="S2272" i="3"/>
  <c r="T2272" i="3" s="1"/>
  <c r="S2274" i="3"/>
  <c r="T2274" i="3" s="1"/>
  <c r="S2276" i="3"/>
  <c r="T2276" i="3" s="1"/>
  <c r="S2278" i="3"/>
  <c r="T2278" i="3" s="1"/>
  <c r="S2280" i="3"/>
  <c r="T2280" i="3" s="1"/>
  <c r="S2282" i="3"/>
  <c r="T2282" i="3" s="1"/>
  <c r="S2284" i="3"/>
  <c r="T2284" i="3" s="1"/>
  <c r="S2286" i="3"/>
  <c r="T2286" i="3" s="1"/>
  <c r="S2288" i="3"/>
  <c r="T2288" i="3" s="1"/>
  <c r="S3608" i="3"/>
  <c r="T3608" i="3" s="1"/>
  <c r="S3612" i="3"/>
  <c r="T3612" i="3" s="1"/>
  <c r="S3628" i="3"/>
  <c r="T3628" i="3" s="1"/>
  <c r="S3634" i="3"/>
  <c r="T3634" i="3" s="1"/>
  <c r="S3642" i="3"/>
  <c r="T3642" i="3" s="1"/>
  <c r="S3646" i="3"/>
  <c r="T3646" i="3" s="1"/>
  <c r="S3654" i="3"/>
  <c r="T3654" i="3" s="1"/>
  <c r="S3660" i="3"/>
  <c r="T3660" i="3" s="1"/>
  <c r="S3664" i="3"/>
  <c r="T3664" i="3" s="1"/>
  <c r="S3670" i="3"/>
  <c r="T3670" i="3" s="1"/>
  <c r="S3672" i="3"/>
  <c r="T3672" i="3" s="1"/>
  <c r="S3676" i="3"/>
  <c r="T3676" i="3" s="1"/>
  <c r="S3690" i="3"/>
  <c r="T3690" i="3" s="1"/>
  <c r="S3692" i="3"/>
  <c r="T3692" i="3" s="1"/>
  <c r="S3700" i="3"/>
  <c r="T3700" i="3" s="1"/>
  <c r="S3727" i="3"/>
  <c r="T3727" i="3" s="1"/>
  <c r="S3729" i="3"/>
  <c r="T3729" i="3" s="1"/>
  <c r="S3731" i="3"/>
  <c r="T3731" i="3" s="1"/>
  <c r="S3735" i="3"/>
  <c r="T3735" i="3" s="1"/>
  <c r="S3737" i="3"/>
  <c r="T3737" i="3" s="1"/>
  <c r="S3741" i="3"/>
  <c r="T3741" i="3" s="1"/>
  <c r="S3743" i="3"/>
  <c r="T3743" i="3" s="1"/>
  <c r="S3745" i="3"/>
  <c r="T3745" i="3" s="1"/>
  <c r="S3751" i="3"/>
  <c r="T3751" i="3" s="1"/>
  <c r="S3757" i="3"/>
  <c r="T3757" i="3" s="1"/>
  <c r="S3759" i="3"/>
  <c r="T3759" i="3" s="1"/>
  <c r="S3765" i="3"/>
  <c r="T3765" i="3" s="1"/>
  <c r="S3775" i="3"/>
  <c r="T3775" i="3" s="1"/>
  <c r="S3779" i="3"/>
  <c r="T3779" i="3" s="1"/>
  <c r="S3791" i="3"/>
  <c r="T3791" i="3" s="1"/>
  <c r="S3805" i="3"/>
  <c r="T3805" i="3" s="1"/>
  <c r="S3811" i="3"/>
  <c r="T3811" i="3" s="1"/>
  <c r="S3821" i="3"/>
  <c r="T3821" i="3" s="1"/>
  <c r="S3830" i="3"/>
  <c r="T3830" i="3" s="1"/>
  <c r="S3832" i="3"/>
  <c r="T3832" i="3" s="1"/>
  <c r="S3834" i="3"/>
  <c r="T3834" i="3" s="1"/>
  <c r="S3838" i="3"/>
  <c r="T3838" i="3" s="1"/>
  <c r="S3844" i="3"/>
  <c r="T3844" i="3" s="1"/>
  <c r="S3850" i="3"/>
  <c r="T3850" i="3" s="1"/>
  <c r="S3852" i="3"/>
  <c r="T3852" i="3" s="1"/>
  <c r="S3886" i="3"/>
  <c r="T3886" i="3" s="1"/>
  <c r="S3890" i="3"/>
  <c r="T3890" i="3" s="1"/>
  <c r="S3894" i="3"/>
  <c r="T3894" i="3" s="1"/>
  <c r="S3900" i="3"/>
  <c r="T3900" i="3" s="1"/>
  <c r="S3904" i="3"/>
  <c r="T3904" i="3" s="1"/>
  <c r="S3908" i="3"/>
  <c r="T3908" i="3" s="1"/>
  <c r="S3920" i="3"/>
  <c r="T3920" i="3" s="1"/>
  <c r="S3928" i="3"/>
  <c r="T3928" i="3" s="1"/>
  <c r="S3932" i="3"/>
  <c r="T3932" i="3" s="1"/>
  <c r="S3940" i="3"/>
  <c r="T3940" i="3" s="1"/>
  <c r="S3944" i="3"/>
  <c r="T3944" i="3" s="1"/>
  <c r="S3977" i="3"/>
  <c r="T3977" i="3" s="1"/>
  <c r="S3981" i="3"/>
  <c r="T3981" i="3" s="1"/>
  <c r="S3991" i="3"/>
  <c r="T3991" i="3" s="1"/>
  <c r="S3995" i="3"/>
  <c r="T3995" i="3" s="1"/>
  <c r="S4001" i="3"/>
  <c r="T4001" i="3" s="1"/>
  <c r="S4017" i="3"/>
  <c r="T4017" i="3" s="1"/>
  <c r="S4027" i="3"/>
  <c r="T4027" i="3" s="1"/>
  <c r="S4037" i="3"/>
  <c r="T4037" i="3" s="1"/>
  <c r="S4047" i="3"/>
  <c r="T4047" i="3" s="1"/>
  <c r="S4049" i="3"/>
  <c r="T4049" i="3" s="1"/>
  <c r="S4051" i="3"/>
  <c r="T4051" i="3" s="1"/>
  <c r="S4053" i="3"/>
  <c r="T4053" i="3" s="1"/>
  <c r="S4180" i="3"/>
  <c r="T4180" i="3" s="1"/>
  <c r="S4184" i="3"/>
  <c r="T4184" i="3" s="1"/>
  <c r="S4194" i="3"/>
  <c r="T4194" i="3" s="1"/>
  <c r="S4204" i="3"/>
  <c r="T4204" i="3" s="1"/>
  <c r="S4210" i="3"/>
  <c r="T4210" i="3" s="1"/>
  <c r="S4214" i="3"/>
  <c r="T4214" i="3" s="1"/>
  <c r="S4218" i="3"/>
  <c r="T4218" i="3" s="1"/>
  <c r="S4222" i="3"/>
  <c r="T4222" i="3" s="1"/>
  <c r="S4232" i="3"/>
  <c r="T4232" i="3" s="1"/>
  <c r="S4234" i="3"/>
  <c r="T4234" i="3" s="1"/>
  <c r="S4236" i="3"/>
  <c r="T4236" i="3" s="1"/>
  <c r="S4240" i="3"/>
  <c r="T4240" i="3" s="1"/>
  <c r="S4248" i="3"/>
  <c r="T4248" i="3" s="1"/>
  <c r="S4250" i="3"/>
  <c r="T4250" i="3" s="1"/>
  <c r="S4256" i="3"/>
  <c r="T4256" i="3" s="1"/>
  <c r="S4258" i="3"/>
  <c r="T4258" i="3" s="1"/>
  <c r="S4260" i="3"/>
  <c r="T4260" i="3" s="1"/>
  <c r="S4262" i="3"/>
  <c r="T4262" i="3" s="1"/>
  <c r="S4270" i="3"/>
  <c r="T4270" i="3" s="1"/>
  <c r="S4276" i="3"/>
  <c r="T4276" i="3" s="1"/>
  <c r="S4280" i="3"/>
  <c r="T4280" i="3" s="1"/>
  <c r="S4286" i="3"/>
  <c r="T4286" i="3" s="1"/>
  <c r="S4292" i="3"/>
  <c r="T4292" i="3" s="1"/>
  <c r="S4300" i="3"/>
  <c r="T4300" i="3" s="1"/>
  <c r="S4302" i="3"/>
  <c r="T4302" i="3" s="1"/>
  <c r="S4304" i="3"/>
  <c r="T4304" i="3" s="1"/>
  <c r="S4308" i="3"/>
  <c r="T4308" i="3" s="1"/>
  <c r="S4314" i="3"/>
  <c r="T4314" i="3" s="1"/>
  <c r="S4324" i="3"/>
  <c r="T4324" i="3" s="1"/>
  <c r="S4328" i="3"/>
  <c r="T4328" i="3" s="1"/>
  <c r="S4332" i="3"/>
  <c r="T4332" i="3" s="1"/>
  <c r="S4334" i="3"/>
  <c r="T4334" i="3" s="1"/>
  <c r="S4338" i="3"/>
  <c r="T4338" i="3" s="1"/>
  <c r="S4360" i="3"/>
  <c r="T4360" i="3" s="1"/>
  <c r="S4378" i="3"/>
  <c r="T4378" i="3" s="1"/>
  <c r="S4382" i="3"/>
  <c r="T4382" i="3" s="1"/>
  <c r="S4384" i="3"/>
  <c r="T4384" i="3" s="1"/>
  <c r="S4388" i="3"/>
  <c r="T4388" i="3" s="1"/>
  <c r="S4392" i="3"/>
  <c r="T4392" i="3" s="1"/>
  <c r="S4394" i="3"/>
  <c r="T4394" i="3" s="1"/>
  <c r="S4398" i="3"/>
  <c r="T4398" i="3" s="1"/>
  <c r="S4400" i="3"/>
  <c r="T4400" i="3" s="1"/>
  <c r="S4402" i="3"/>
  <c r="T4402" i="3" s="1"/>
  <c r="S4420" i="3"/>
  <c r="T4420" i="3" s="1"/>
  <c r="S4428" i="3"/>
  <c r="T4428" i="3" s="1"/>
  <c r="S4436" i="3"/>
  <c r="T4436" i="3" s="1"/>
  <c r="S4440" i="3"/>
  <c r="T4440" i="3" s="1"/>
  <c r="S4444" i="3"/>
  <c r="T4444" i="3" s="1"/>
  <c r="S4460" i="3"/>
  <c r="T4460" i="3" s="1"/>
  <c r="S4464" i="3"/>
  <c r="T4464" i="3" s="1"/>
  <c r="S4470" i="3"/>
  <c r="T4470" i="3" s="1"/>
  <c r="S4476" i="3"/>
  <c r="T4476" i="3" s="1"/>
  <c r="S4480" i="3"/>
  <c r="T4480" i="3" s="1"/>
  <c r="S4482" i="3"/>
  <c r="T4482" i="3" s="1"/>
  <c r="S4490" i="3"/>
  <c r="T4490" i="3" s="1"/>
  <c r="S4498" i="3"/>
  <c r="T4498" i="3" s="1"/>
  <c r="S4500" i="3"/>
  <c r="T4500" i="3" s="1"/>
  <c r="S4504" i="3"/>
  <c r="T4504" i="3" s="1"/>
  <c r="S4510" i="3"/>
  <c r="T4510" i="3" s="1"/>
  <c r="S4512" i="3"/>
  <c r="T4512" i="3" s="1"/>
  <c r="S4520" i="3"/>
  <c r="T4520" i="3" s="1"/>
  <c r="S4524" i="3"/>
  <c r="T4524" i="3" s="1"/>
  <c r="S4528" i="3"/>
  <c r="T4528" i="3" s="1"/>
  <c r="S4551" i="3"/>
  <c r="T4551" i="3" s="1"/>
  <c r="S4561" i="3"/>
  <c r="T4561" i="3" s="1"/>
  <c r="S4569" i="3"/>
  <c r="T4569" i="3" s="1"/>
  <c r="S4571" i="3"/>
  <c r="T4571" i="3" s="1"/>
  <c r="S4575" i="3"/>
  <c r="T4575" i="3" s="1"/>
  <c r="S4577" i="3"/>
  <c r="T4577" i="3" s="1"/>
  <c r="S4579" i="3"/>
  <c r="T4579" i="3" s="1"/>
  <c r="S4585" i="3"/>
  <c r="T4585" i="3" s="1"/>
  <c r="S4589" i="3"/>
  <c r="T4589" i="3" s="1"/>
  <c r="S4603" i="3"/>
  <c r="T4603" i="3" s="1"/>
  <c r="S4611" i="3"/>
  <c r="T4611" i="3" s="1"/>
  <c r="S4619" i="3"/>
  <c r="T4619" i="3" s="1"/>
  <c r="S4623" i="3"/>
  <c r="T4623" i="3" s="1"/>
  <c r="S4633" i="3"/>
  <c r="T4633" i="3" s="1"/>
  <c r="S4635" i="3"/>
  <c r="T4635" i="3" s="1"/>
  <c r="S4639" i="3"/>
  <c r="T4639" i="3" s="1"/>
  <c r="S4643" i="3"/>
  <c r="T4643" i="3" s="1"/>
  <c r="S4645" i="3"/>
  <c r="T4645" i="3" s="1"/>
  <c r="S4651" i="3"/>
  <c r="T4651" i="3" s="1"/>
  <c r="S4742" i="3"/>
  <c r="T4742" i="3" s="1"/>
  <c r="S4746" i="3"/>
  <c r="T4746" i="3" s="1"/>
  <c r="S4756" i="3"/>
  <c r="T4756" i="3" s="1"/>
  <c r="S4758" i="3"/>
  <c r="T4758" i="3" s="1"/>
  <c r="S4760" i="3"/>
  <c r="T4760" i="3" s="1"/>
  <c r="S4762" i="3"/>
  <c r="T4762" i="3" s="1"/>
  <c r="S4764" i="3"/>
  <c r="T4764" i="3" s="1"/>
  <c r="S4766" i="3"/>
  <c r="T4766" i="3" s="1"/>
  <c r="S4768" i="3"/>
  <c r="T4768" i="3" s="1"/>
  <c r="S4770" i="3"/>
  <c r="T4770" i="3" s="1"/>
  <c r="S4772" i="3"/>
  <c r="T4772" i="3" s="1"/>
  <c r="S4774" i="3"/>
  <c r="T4774" i="3" s="1"/>
  <c r="S4776" i="3"/>
  <c r="T4776" i="3" s="1"/>
  <c r="S4778" i="3"/>
  <c r="T4778" i="3" s="1"/>
  <c r="S4780" i="3"/>
  <c r="T4780" i="3" s="1"/>
  <c r="S4782" i="3"/>
  <c r="T4782" i="3" s="1"/>
  <c r="S4784" i="3"/>
  <c r="T4784" i="3" s="1"/>
  <c r="S4786" i="3"/>
  <c r="T4786" i="3" s="1"/>
  <c r="S4788" i="3"/>
  <c r="T4788" i="3" s="1"/>
  <c r="S4790" i="3"/>
  <c r="T4790" i="3" s="1"/>
  <c r="S4792" i="3"/>
  <c r="T4792" i="3" s="1"/>
  <c r="S4794" i="3"/>
  <c r="T4794" i="3" s="1"/>
  <c r="S4796" i="3"/>
  <c r="T4796" i="3" s="1"/>
  <c r="S4798" i="3"/>
  <c r="T4798" i="3" s="1"/>
  <c r="S4800" i="3"/>
  <c r="T4800" i="3" s="1"/>
  <c r="S4804" i="3"/>
  <c r="T4804" i="3" s="1"/>
  <c r="S4808" i="3"/>
  <c r="T4808" i="3" s="1"/>
  <c r="S4812" i="3"/>
  <c r="T4812" i="3" s="1"/>
  <c r="S4816" i="3"/>
  <c r="T4816" i="3" s="1"/>
  <c r="S4820" i="3"/>
  <c r="T4820" i="3" s="1"/>
  <c r="S4824" i="3"/>
  <c r="T4824" i="3" s="1"/>
  <c r="S4828" i="3"/>
  <c r="T4828" i="3" s="1"/>
  <c r="S4832" i="3"/>
  <c r="T4832" i="3" s="1"/>
  <c r="S4836" i="3"/>
  <c r="T4836" i="3" s="1"/>
  <c r="S4840" i="3"/>
  <c r="T4840" i="3" s="1"/>
  <c r="S4848" i="3"/>
  <c r="T4848" i="3" s="1"/>
  <c r="S4850" i="3"/>
  <c r="T4850" i="3" s="1"/>
  <c r="S4853" i="3"/>
  <c r="T4853" i="3" s="1"/>
  <c r="S4860" i="3"/>
  <c r="T4860" i="3" s="1"/>
  <c r="S4864" i="3"/>
  <c r="T4864" i="3" s="1"/>
  <c r="S4868" i="3"/>
  <c r="T4868" i="3" s="1"/>
  <c r="S4874" i="3"/>
  <c r="T4874" i="3" s="1"/>
  <c r="S4880" i="3"/>
  <c r="T4880" i="3" s="1"/>
  <c r="S4884" i="3"/>
  <c r="T4884" i="3" s="1"/>
  <c r="S4886" i="3"/>
  <c r="T4886" i="3" s="1"/>
  <c r="S4888" i="3"/>
  <c r="T4888" i="3" s="1"/>
  <c r="S4890" i="3"/>
  <c r="T4890" i="3" s="1"/>
  <c r="S4894" i="3"/>
  <c r="T4894" i="3" s="1"/>
  <c r="S4900" i="3"/>
  <c r="T4900" i="3" s="1"/>
  <c r="S4902" i="3"/>
  <c r="T4902" i="3" s="1"/>
  <c r="S4906" i="3"/>
  <c r="T4906" i="3" s="1"/>
  <c r="S4910" i="3"/>
  <c r="T4910" i="3" s="1"/>
  <c r="S4912" i="3"/>
  <c r="T4912" i="3" s="1"/>
  <c r="S4914" i="3"/>
  <c r="T4914" i="3" s="1"/>
  <c r="S4916" i="3"/>
  <c r="T4916" i="3" s="1"/>
  <c r="S4918" i="3"/>
  <c r="T4918" i="3" s="1"/>
  <c r="S4922" i="3"/>
  <c r="T4922" i="3" s="1"/>
  <c r="S4932" i="3"/>
  <c r="T4932" i="3" s="1"/>
  <c r="S4934" i="3"/>
  <c r="T4934" i="3" s="1"/>
  <c r="S4936" i="3"/>
  <c r="T4936" i="3" s="1"/>
  <c r="S4938" i="3"/>
  <c r="T4938" i="3" s="1"/>
  <c r="S4940" i="3"/>
  <c r="T4940" i="3" s="1"/>
  <c r="S4942" i="3"/>
  <c r="T4942" i="3" s="1"/>
  <c r="S4943" i="3"/>
  <c r="T4943" i="3" s="1"/>
  <c r="S4948" i="3"/>
  <c r="T4948" i="3" s="1"/>
  <c r="S4950" i="3"/>
  <c r="T4950" i="3" s="1"/>
  <c r="S4962" i="3"/>
  <c r="T4962" i="3" s="1"/>
  <c r="S4964" i="3"/>
  <c r="T4964" i="3" s="1"/>
  <c r="S4966" i="3"/>
  <c r="T4966" i="3" s="1"/>
  <c r="S4968" i="3"/>
  <c r="T4968" i="3" s="1"/>
  <c r="S4970" i="3"/>
  <c r="T4970" i="3" s="1"/>
  <c r="S4973" i="3"/>
  <c r="T4973" i="3" s="1"/>
  <c r="S4974" i="3"/>
  <c r="T4974" i="3" s="1"/>
  <c r="S4976" i="3"/>
  <c r="T4976" i="3" s="1"/>
  <c r="S4996" i="3"/>
  <c r="T4996" i="3" s="1"/>
  <c r="S4998" i="3"/>
  <c r="T4998" i="3" s="1"/>
  <c r="S5004" i="3"/>
  <c r="T5004" i="3" s="1"/>
  <c r="S5006" i="3"/>
  <c r="T5006" i="3" s="1"/>
  <c r="S5010" i="3"/>
  <c r="T5010" i="3" s="1"/>
  <c r="S5022" i="3"/>
  <c r="T5022" i="3" s="1"/>
  <c r="S5028" i="3"/>
  <c r="T5028" i="3" s="1"/>
  <c r="S5032" i="3"/>
  <c r="T5032" i="3" s="1"/>
  <c r="S5036" i="3"/>
  <c r="T5036" i="3" s="1"/>
  <c r="S5038" i="3"/>
  <c r="T5038" i="3" s="1"/>
  <c r="S5042" i="3"/>
  <c r="T5042" i="3" s="1"/>
  <c r="S5044" i="3"/>
  <c r="T5044" i="3" s="1"/>
  <c r="S5046" i="3"/>
  <c r="T5046" i="3" s="1"/>
  <c r="S5048" i="3"/>
  <c r="T5048" i="3" s="1"/>
  <c r="S5050" i="3"/>
  <c r="T5050" i="3" s="1"/>
  <c r="S5370" i="3"/>
  <c r="T5370" i="3" s="1"/>
  <c r="S5372" i="3"/>
  <c r="T5372" i="3" s="1"/>
  <c r="S5376" i="3"/>
  <c r="T5376" i="3" s="1"/>
  <c r="S5380" i="3"/>
  <c r="T5380" i="3" s="1"/>
  <c r="S5382" i="3"/>
  <c r="T5382" i="3" s="1"/>
  <c r="S5587" i="3"/>
  <c r="T5587" i="3" s="1"/>
  <c r="S5591" i="3"/>
  <c r="T5591" i="3" s="1"/>
  <c r="S5603" i="3"/>
  <c r="T5603" i="3" s="1"/>
  <c r="S5613" i="3"/>
  <c r="T5613" i="3" s="1"/>
  <c r="S5617" i="3"/>
  <c r="T5617" i="3" s="1"/>
  <c r="S5621" i="3"/>
  <c r="T5621" i="3" s="1"/>
  <c r="S5625" i="3"/>
  <c r="T5625" i="3" s="1"/>
  <c r="S5629" i="3"/>
  <c r="T5629" i="3" s="1"/>
  <c r="S5633" i="3"/>
  <c r="T5633" i="3" s="1"/>
  <c r="S5637" i="3"/>
  <c r="T5637" i="3" s="1"/>
  <c r="S5645" i="3"/>
  <c r="T5645" i="3" s="1"/>
  <c r="S5649" i="3"/>
  <c r="T5649" i="3" s="1"/>
  <c r="S5653" i="3"/>
  <c r="T5653" i="3" s="1"/>
  <c r="S5661" i="3"/>
  <c r="T5661" i="3" s="1"/>
  <c r="S5665" i="3"/>
  <c r="T5665" i="3" s="1"/>
  <c r="S5669" i="3"/>
  <c r="T5669" i="3" s="1"/>
  <c r="S5673" i="3"/>
  <c r="T5673" i="3" s="1"/>
  <c r="S5730" i="3"/>
  <c r="T5730" i="3" s="1"/>
  <c r="S5740" i="3"/>
  <c r="T5740" i="3" s="1"/>
  <c r="S5746" i="3"/>
  <c r="T5746" i="3" s="1"/>
  <c r="S5750" i="3"/>
  <c r="T5750" i="3" s="1"/>
  <c r="S5754" i="3"/>
  <c r="T5754" i="3" s="1"/>
  <c r="S5758" i="3"/>
  <c r="T5758" i="3" s="1"/>
  <c r="S5774" i="3"/>
  <c r="T5774" i="3" s="1"/>
  <c r="S5778" i="3"/>
  <c r="T5778" i="3" s="1"/>
  <c r="S5805" i="3"/>
  <c r="T5805" i="3" s="1"/>
  <c r="S5809" i="3"/>
  <c r="T5809" i="3" s="1"/>
  <c r="S5817" i="3"/>
  <c r="T5817" i="3" s="1"/>
  <c r="S5821" i="3"/>
  <c r="T5821" i="3" s="1"/>
  <c r="S5825" i="3"/>
  <c r="T5825" i="3" s="1"/>
  <c r="S5829" i="3"/>
  <c r="T5829" i="3" s="1"/>
  <c r="S5833" i="3"/>
  <c r="T5833" i="3" s="1"/>
  <c r="S5837" i="3"/>
  <c r="T5837" i="3" s="1"/>
  <c r="S5841" i="3"/>
  <c r="T5841" i="3" s="1"/>
  <c r="S5845" i="3"/>
  <c r="T5845" i="3" s="1"/>
  <c r="S5849" i="3"/>
  <c r="T5849" i="3" s="1"/>
  <c r="S5853" i="3"/>
  <c r="T5853" i="3" s="1"/>
  <c r="S5865" i="3"/>
  <c r="T5865" i="3" s="1"/>
  <c r="S5873" i="3"/>
  <c r="T5873" i="3" s="1"/>
  <c r="S5877" i="3"/>
  <c r="T5877" i="3" s="1"/>
  <c r="S5881" i="3"/>
  <c r="T5881" i="3" s="1"/>
  <c r="S5885" i="3"/>
  <c r="T5885" i="3" s="1"/>
  <c r="S5889" i="3"/>
  <c r="T5889" i="3" s="1"/>
  <c r="S5893" i="3"/>
  <c r="T5893" i="3" s="1"/>
  <c r="S5897" i="3"/>
  <c r="T5897" i="3" s="1"/>
  <c r="S5913" i="3"/>
  <c r="T5913" i="3" s="1"/>
  <c r="S5929" i="3"/>
  <c r="T5929" i="3" s="1"/>
  <c r="S5933" i="3"/>
  <c r="T5933" i="3" s="1"/>
  <c r="S5937" i="3"/>
  <c r="T5937" i="3" s="1"/>
  <c r="S5941" i="3"/>
  <c r="T5941" i="3" s="1"/>
  <c r="S5945" i="3"/>
  <c r="T5945" i="3" s="1"/>
  <c r="S5949" i="3"/>
  <c r="T5949" i="3" s="1"/>
  <c r="S5953" i="3"/>
  <c r="T5953" i="3" s="1"/>
  <c r="S5957" i="3"/>
  <c r="T5957" i="3" s="1"/>
  <c r="S5961" i="3"/>
  <c r="T5961" i="3" s="1"/>
  <c r="S5969" i="3"/>
  <c r="T5969" i="3" s="1"/>
  <c r="S5977" i="3"/>
  <c r="T5977" i="3" s="1"/>
  <c r="S5981" i="3"/>
  <c r="T5981" i="3" s="1"/>
  <c r="S5985" i="3"/>
  <c r="T5985" i="3" s="1"/>
  <c r="S5987" i="3"/>
  <c r="T5987" i="3" s="1"/>
  <c r="S5991" i="3"/>
  <c r="T5991" i="3" s="1"/>
  <c r="S5995" i="3"/>
  <c r="T5995" i="3" s="1"/>
  <c r="S5999" i="3"/>
  <c r="T5999" i="3" s="1"/>
  <c r="S6003" i="3"/>
  <c r="T6003" i="3" s="1"/>
  <c r="S6007" i="3"/>
  <c r="T6007" i="3" s="1"/>
  <c r="S6015" i="3"/>
  <c r="T6015" i="3" s="1"/>
  <c r="S6019" i="3"/>
  <c r="T6019" i="3" s="1"/>
  <c r="S6027" i="3"/>
  <c r="T6027" i="3" s="1"/>
  <c r="S6031" i="3"/>
  <c r="T6031" i="3" s="1"/>
  <c r="S6035" i="3"/>
  <c r="T6035" i="3" s="1"/>
  <c r="S6039" i="3"/>
  <c r="T6039" i="3" s="1"/>
  <c r="S6043" i="3"/>
  <c r="T6043" i="3" s="1"/>
  <c r="S6047" i="3"/>
  <c r="T6047" i="3" s="1"/>
  <c r="S6055" i="3"/>
  <c r="T6055" i="3" s="1"/>
  <c r="S6059" i="3"/>
  <c r="T6059" i="3" s="1"/>
  <c r="S6063" i="3"/>
  <c r="T6063" i="3" s="1"/>
  <c r="S6071" i="3"/>
  <c r="T6071" i="3" s="1"/>
  <c r="S6083" i="3"/>
  <c r="T6083" i="3" s="1"/>
  <c r="S6093" i="3"/>
  <c r="T6093" i="3" s="1"/>
  <c r="S6097" i="3"/>
  <c r="T6097" i="3" s="1"/>
  <c r="S6109" i="3"/>
  <c r="T6109" i="3" s="1"/>
  <c r="S6113" i="3"/>
  <c r="T6113" i="3" s="1"/>
  <c r="S6117" i="3"/>
  <c r="T6117" i="3" s="1"/>
  <c r="S6121" i="3"/>
  <c r="T6121" i="3" s="1"/>
  <c r="S6129" i="3"/>
  <c r="T6129" i="3" s="1"/>
  <c r="S6133" i="3"/>
  <c r="T6133" i="3" s="1"/>
  <c r="S6137" i="3"/>
  <c r="T6137" i="3" s="1"/>
  <c r="S6243" i="3"/>
  <c r="T6243" i="3" s="1"/>
  <c r="S6251" i="3"/>
  <c r="T6251" i="3" s="1"/>
  <c r="S6255" i="3"/>
  <c r="T6255" i="3" s="1"/>
  <c r="S6263" i="3"/>
  <c r="T6263" i="3" s="1"/>
  <c r="S6275" i="3"/>
  <c r="T6275" i="3" s="1"/>
  <c r="S6279" i="3"/>
  <c r="T6279" i="3" s="1"/>
  <c r="S6283" i="3"/>
  <c r="T6283" i="3" s="1"/>
  <c r="S6287" i="3"/>
  <c r="T6287" i="3" s="1"/>
  <c r="S6291" i="3"/>
  <c r="T6291" i="3" s="1"/>
  <c r="S6295" i="3"/>
  <c r="T6295" i="3" s="1"/>
  <c r="S6311" i="3"/>
  <c r="T6311" i="3" s="1"/>
  <c r="S6315" i="3"/>
  <c r="T6315" i="3" s="1"/>
  <c r="S6323" i="3"/>
  <c r="T6323" i="3" s="1"/>
  <c r="S6327" i="3"/>
  <c r="T6327" i="3" s="1"/>
  <c r="S6331" i="3"/>
  <c r="T6331" i="3" s="1"/>
  <c r="S6335" i="3"/>
  <c r="T6335" i="3" s="1"/>
  <c r="S6339" i="3"/>
  <c r="T6339" i="3" s="1"/>
  <c r="S6343" i="3"/>
  <c r="T6343" i="3" s="1"/>
  <c r="S6347" i="3"/>
  <c r="T6347" i="3" s="1"/>
  <c r="S6351" i="3"/>
  <c r="T6351" i="3" s="1"/>
  <c r="S6355" i="3"/>
  <c r="T6355" i="3" s="1"/>
  <c r="S6359" i="3"/>
  <c r="T6359" i="3" s="1"/>
  <c r="S6367" i="3"/>
  <c r="T6367" i="3" s="1"/>
  <c r="S6371" i="3"/>
  <c r="T6371" i="3" s="1"/>
  <c r="S6375" i="3"/>
  <c r="T6375" i="3" s="1"/>
  <c r="S6383" i="3"/>
  <c r="T6383" i="3" s="1"/>
  <c r="S6387" i="3"/>
  <c r="T6387" i="3" s="1"/>
  <c r="S6391" i="3"/>
  <c r="T6391" i="3" s="1"/>
  <c r="S6399" i="3"/>
  <c r="T6399" i="3" s="1"/>
  <c r="S6407" i="3"/>
  <c r="T6407" i="3" s="1"/>
  <c r="S6411" i="3"/>
  <c r="T6411" i="3" s="1"/>
  <c r="S6415" i="3"/>
  <c r="T6415" i="3" s="1"/>
  <c r="S6419" i="3"/>
  <c r="T6419" i="3" s="1"/>
  <c r="S843" i="3"/>
  <c r="T843" i="3" s="1"/>
  <c r="S847" i="3"/>
  <c r="T847" i="3" s="1"/>
  <c r="S849" i="3"/>
  <c r="T849" i="3" s="1"/>
  <c r="S855" i="3"/>
  <c r="T855" i="3" s="1"/>
  <c r="S857" i="3"/>
  <c r="T857" i="3" s="1"/>
  <c r="S859" i="3"/>
  <c r="T859" i="3" s="1"/>
  <c r="S863" i="3"/>
  <c r="T863" i="3" s="1"/>
  <c r="S867" i="3"/>
  <c r="T867" i="3" s="1"/>
  <c r="S871" i="3"/>
  <c r="T871" i="3" s="1"/>
  <c r="S875" i="3"/>
  <c r="T875" i="3" s="1"/>
  <c r="S879" i="3"/>
  <c r="T879" i="3" s="1"/>
  <c r="S883" i="3"/>
  <c r="T883" i="3" s="1"/>
  <c r="S885" i="3"/>
  <c r="T885" i="3" s="1"/>
  <c r="S889" i="3"/>
  <c r="T889" i="3" s="1"/>
  <c r="S893" i="3"/>
  <c r="T893" i="3" s="1"/>
  <c r="S897" i="3"/>
  <c r="T897" i="3" s="1"/>
  <c r="S899" i="3"/>
  <c r="T899" i="3" s="1"/>
  <c r="S903" i="3"/>
  <c r="T903" i="3" s="1"/>
  <c r="S907" i="3"/>
  <c r="T907" i="3" s="1"/>
  <c r="S911" i="3"/>
  <c r="T911" i="3" s="1"/>
  <c r="S915" i="3"/>
  <c r="T915" i="3" s="1"/>
  <c r="S919" i="3"/>
  <c r="T919" i="3" s="1"/>
  <c r="S923" i="3"/>
  <c r="T923" i="3" s="1"/>
  <c r="S927" i="3"/>
  <c r="T927" i="3" s="1"/>
  <c r="S931" i="3"/>
  <c r="T931" i="3" s="1"/>
  <c r="S933" i="3"/>
  <c r="T933" i="3" s="1"/>
  <c r="S937" i="3"/>
  <c r="T937" i="3" s="1"/>
  <c r="S941" i="3"/>
  <c r="T941" i="3" s="1"/>
  <c r="S945" i="3"/>
  <c r="T945" i="3" s="1"/>
  <c r="S949" i="3"/>
  <c r="T949" i="3" s="1"/>
  <c r="S953" i="3"/>
  <c r="T953" i="3" s="1"/>
  <c r="S957" i="3"/>
  <c r="T957" i="3" s="1"/>
  <c r="S959" i="3"/>
  <c r="T959" i="3" s="1"/>
  <c r="S961" i="3"/>
  <c r="T961" i="3" s="1"/>
  <c r="S967" i="3"/>
  <c r="T967" i="3" s="1"/>
  <c r="S969" i="3"/>
  <c r="T969" i="3" s="1"/>
  <c r="S973" i="3"/>
  <c r="T973" i="3" s="1"/>
  <c r="S977" i="3"/>
  <c r="T977" i="3" s="1"/>
  <c r="S981" i="3"/>
  <c r="T981" i="3" s="1"/>
  <c r="S985" i="3"/>
  <c r="T985" i="3" s="1"/>
  <c r="S989" i="3"/>
  <c r="T989" i="3" s="1"/>
  <c r="S993" i="3"/>
  <c r="T993" i="3" s="1"/>
  <c r="S995" i="3"/>
  <c r="T995" i="3" s="1"/>
  <c r="S997" i="3"/>
  <c r="T997" i="3" s="1"/>
  <c r="S2148" i="3"/>
  <c r="T2148" i="3" s="1"/>
  <c r="S2150" i="3"/>
  <c r="T2150" i="3" s="1"/>
  <c r="S2154" i="3"/>
  <c r="T2154" i="3" s="1"/>
  <c r="S2158" i="3"/>
  <c r="T2158" i="3" s="1"/>
  <c r="S2162" i="3"/>
  <c r="T2162" i="3" s="1"/>
  <c r="S2164" i="3"/>
  <c r="T2164" i="3" s="1"/>
  <c r="S2170" i="3"/>
  <c r="T2170" i="3" s="1"/>
  <c r="S2174" i="3"/>
  <c r="T2174" i="3" s="1"/>
  <c r="S2176" i="3"/>
  <c r="T2176" i="3" s="1"/>
  <c r="S2239" i="3"/>
  <c r="T2239" i="3" s="1"/>
  <c r="S2241" i="3"/>
  <c r="T2241" i="3" s="1"/>
  <c r="S2247" i="3"/>
  <c r="T2247" i="3" s="1"/>
  <c r="S2251" i="3"/>
  <c r="T2251" i="3" s="1"/>
  <c r="S2255" i="3"/>
  <c r="T2255" i="3" s="1"/>
  <c r="S2257" i="3"/>
  <c r="T2257" i="3" s="1"/>
  <c r="S2261" i="3"/>
  <c r="T2261" i="3" s="1"/>
  <c r="S2263" i="3"/>
  <c r="T2263" i="3" s="1"/>
  <c r="S2267" i="3"/>
  <c r="T2267" i="3" s="1"/>
  <c r="S2271" i="3"/>
  <c r="T2271" i="3" s="1"/>
  <c r="S2273" i="3"/>
  <c r="T2273" i="3" s="1"/>
  <c r="S2275" i="3"/>
  <c r="T2275" i="3" s="1"/>
  <c r="S2281" i="3"/>
  <c r="T2281" i="3" s="1"/>
  <c r="S2283" i="3"/>
  <c r="T2283" i="3" s="1"/>
  <c r="S2285" i="3"/>
  <c r="T2285" i="3" s="1"/>
  <c r="S2287" i="3"/>
  <c r="T2287" i="3" s="1"/>
  <c r="S3607" i="3"/>
  <c r="T3607" i="3" s="1"/>
  <c r="S3613" i="3"/>
  <c r="T3613" i="3" s="1"/>
  <c r="S3617" i="3"/>
  <c r="T3617" i="3" s="1"/>
  <c r="S3619" i="3"/>
  <c r="T3619" i="3" s="1"/>
  <c r="S3623" i="3"/>
  <c r="T3623" i="3" s="1"/>
  <c r="S3627" i="3"/>
  <c r="T3627" i="3" s="1"/>
  <c r="S3631" i="3"/>
  <c r="T3631" i="3" s="1"/>
  <c r="S3633" i="3"/>
  <c r="T3633" i="3" s="1"/>
  <c r="S3637" i="3"/>
  <c r="T3637" i="3" s="1"/>
  <c r="S3639" i="3"/>
  <c r="T3639" i="3" s="1"/>
  <c r="S3643" i="3"/>
  <c r="T3643" i="3" s="1"/>
  <c r="S3647" i="3"/>
  <c r="T3647" i="3" s="1"/>
  <c r="S3651" i="3"/>
  <c r="T3651" i="3" s="1"/>
  <c r="S3655" i="3"/>
  <c r="T3655" i="3" s="1"/>
  <c r="S3657" i="3"/>
  <c r="T3657" i="3" s="1"/>
  <c r="S3659" i="3"/>
  <c r="T3659" i="3" s="1"/>
  <c r="S3663" i="3"/>
  <c r="T3663" i="3" s="1"/>
  <c r="S3665" i="3"/>
  <c r="T3665" i="3" s="1"/>
  <c r="S3671" i="3"/>
  <c r="T3671" i="3" s="1"/>
  <c r="S3673" i="3"/>
  <c r="T3673" i="3" s="1"/>
  <c r="S3683" i="3"/>
  <c r="T3683" i="3" s="1"/>
  <c r="S3685" i="3"/>
  <c r="T3685" i="3" s="1"/>
  <c r="S3691" i="3"/>
  <c r="T3691" i="3" s="1"/>
  <c r="S3693" i="3"/>
  <c r="T3693" i="3" s="1"/>
  <c r="S3701" i="3"/>
  <c r="T3701" i="3" s="1"/>
  <c r="S3726" i="3"/>
  <c r="T3726" i="3" s="1"/>
  <c r="S3730" i="3"/>
  <c r="T3730" i="3" s="1"/>
  <c r="S3736" i="3"/>
  <c r="T3736" i="3" s="1"/>
  <c r="S3738" i="3"/>
  <c r="T3738" i="3" s="1"/>
  <c r="S3740" i="3"/>
  <c r="T3740" i="3" s="1"/>
  <c r="S3744" i="3"/>
  <c r="T3744" i="3" s="1"/>
  <c r="S3750" i="3"/>
  <c r="T3750" i="3" s="1"/>
  <c r="S3756" i="3"/>
  <c r="T3756" i="3" s="1"/>
  <c r="S3760" i="3"/>
  <c r="T3760" i="3" s="1"/>
  <c r="S3762" i="3"/>
  <c r="T3762" i="3" s="1"/>
  <c r="S3764" i="3"/>
  <c r="T3764" i="3" s="1"/>
  <c r="S3776" i="3"/>
  <c r="T3776" i="3" s="1"/>
  <c r="S3780" i="3"/>
  <c r="T3780" i="3" s="1"/>
  <c r="S3784" i="3"/>
  <c r="T3784" i="3" s="1"/>
  <c r="S3788" i="3"/>
  <c r="T3788" i="3" s="1"/>
  <c r="S3792" i="3"/>
  <c r="T3792" i="3" s="1"/>
  <c r="S3796" i="3"/>
  <c r="T3796" i="3" s="1"/>
  <c r="S3800" i="3"/>
  <c r="T3800" i="3" s="1"/>
  <c r="S3808" i="3"/>
  <c r="T3808" i="3" s="1"/>
  <c r="S3814" i="3"/>
  <c r="T3814" i="3" s="1"/>
  <c r="S3820" i="3"/>
  <c r="T3820" i="3" s="1"/>
  <c r="S3824" i="3"/>
  <c r="T3824" i="3" s="1"/>
  <c r="S3826" i="3"/>
  <c r="T3826" i="3" s="1"/>
  <c r="S3831" i="3"/>
  <c r="T3831" i="3" s="1"/>
  <c r="S3841" i="3"/>
  <c r="T3841" i="3" s="1"/>
  <c r="S3843" i="3"/>
  <c r="T3843" i="3" s="1"/>
  <c r="S3847" i="3"/>
  <c r="T3847" i="3" s="1"/>
  <c r="S3851" i="3"/>
  <c r="T3851" i="3" s="1"/>
  <c r="S3853" i="3"/>
  <c r="T3853" i="3" s="1"/>
  <c r="S3887" i="3"/>
  <c r="T3887" i="3" s="1"/>
  <c r="S3907" i="3"/>
  <c r="T3907" i="3" s="1"/>
  <c r="S3911" i="3"/>
  <c r="T3911" i="3" s="1"/>
  <c r="S3915" i="3"/>
  <c r="T3915" i="3" s="1"/>
  <c r="S3919" i="3"/>
  <c r="T3919" i="3" s="1"/>
  <c r="S3921" i="3"/>
  <c r="T3921" i="3" s="1"/>
  <c r="S3925" i="3"/>
  <c r="T3925" i="3" s="1"/>
  <c r="S3929" i="3"/>
  <c r="T3929" i="3" s="1"/>
  <c r="S3931" i="3"/>
  <c r="T3931" i="3" s="1"/>
  <c r="S3933" i="3"/>
  <c r="T3933" i="3" s="1"/>
  <c r="S3937" i="3"/>
  <c r="T3937" i="3" s="1"/>
  <c r="S3939" i="3"/>
  <c r="T3939" i="3" s="1"/>
  <c r="S3941" i="3"/>
  <c r="T3941" i="3" s="1"/>
  <c r="S3943" i="3"/>
  <c r="T3943" i="3" s="1"/>
  <c r="S3949" i="3"/>
  <c r="T3949" i="3" s="1"/>
  <c r="S3951" i="3"/>
  <c r="T3951" i="3" s="1"/>
  <c r="S3953" i="3"/>
  <c r="T3953" i="3" s="1"/>
  <c r="S3955" i="3"/>
  <c r="T3955" i="3" s="1"/>
  <c r="S3978" i="3"/>
  <c r="T3978" i="3" s="1"/>
  <c r="S3980" i="3"/>
  <c r="T3980" i="3" s="1"/>
  <c r="S3984" i="3"/>
  <c r="T3984" i="3" s="1"/>
  <c r="S3992" i="3"/>
  <c r="T3992" i="3" s="1"/>
  <c r="S3996" i="3"/>
  <c r="T3996" i="3" s="1"/>
  <c r="S4000" i="3"/>
  <c r="T4000" i="3" s="1"/>
  <c r="S4002" i="3"/>
  <c r="T4002" i="3" s="1"/>
  <c r="S4006" i="3"/>
  <c r="T4006" i="3" s="1"/>
  <c r="S4014" i="3"/>
  <c r="T4014" i="3" s="1"/>
  <c r="S4018" i="3"/>
  <c r="T4018" i="3" s="1"/>
  <c r="S4020" i="3"/>
  <c r="T4020" i="3" s="1"/>
  <c r="S4022" i="3"/>
  <c r="T4022" i="3" s="1"/>
  <c r="S4026" i="3"/>
  <c r="T4026" i="3" s="1"/>
  <c r="S4028" i="3"/>
  <c r="T4028" i="3" s="1"/>
  <c r="S4032" i="3"/>
  <c r="T4032" i="3" s="1"/>
  <c r="S4034" i="3"/>
  <c r="T4034" i="3" s="1"/>
  <c r="S4038" i="3"/>
  <c r="T4038" i="3" s="1"/>
  <c r="S4046" i="3"/>
  <c r="T4046" i="3" s="1"/>
  <c r="S4048" i="3"/>
  <c r="T4048" i="3" s="1"/>
  <c r="S4050" i="3"/>
  <c r="T4050" i="3" s="1"/>
  <c r="S4181" i="3"/>
  <c r="T4181" i="3" s="1"/>
  <c r="S4185" i="3"/>
  <c r="T4185" i="3" s="1"/>
  <c r="S4187" i="3"/>
  <c r="T4187" i="3" s="1"/>
  <c r="S4189" i="3"/>
  <c r="T4189" i="3" s="1"/>
  <c r="S4191" i="3"/>
  <c r="T4191" i="3" s="1"/>
  <c r="S4193" i="3"/>
  <c r="T4193" i="3" s="1"/>
  <c r="S4197" i="3"/>
  <c r="T4197" i="3" s="1"/>
  <c r="S4203" i="3"/>
  <c r="T4203" i="3" s="1"/>
  <c r="S4206" i="3"/>
  <c r="T4206" i="3" s="1"/>
  <c r="S4215" i="3"/>
  <c r="T4215" i="3" s="1"/>
  <c r="S4219" i="3"/>
  <c r="T4219" i="3" s="1"/>
  <c r="S4221" i="3"/>
  <c r="T4221" i="3" s="1"/>
  <c r="S4223" i="3"/>
  <c r="T4223" i="3" s="1"/>
  <c r="S4233" i="3"/>
  <c r="T4233" i="3" s="1"/>
  <c r="S4237" i="3"/>
  <c r="T4237" i="3" s="1"/>
  <c r="S4239" i="3"/>
  <c r="T4239" i="3" s="1"/>
  <c r="S4241" i="3"/>
  <c r="T4241" i="3" s="1"/>
  <c r="S4243" i="3"/>
  <c r="T4243" i="3" s="1"/>
  <c r="S4267" i="3"/>
  <c r="T4267" i="3" s="1"/>
  <c r="S4271" i="3"/>
  <c r="T4271" i="3" s="1"/>
  <c r="S4275" i="3"/>
  <c r="T4275" i="3" s="1"/>
  <c r="S4279" i="3"/>
  <c r="T4279" i="3" s="1"/>
  <c r="S4281" i="3"/>
  <c r="T4281" i="3" s="1"/>
  <c r="S4285" i="3"/>
  <c r="T4285" i="3" s="1"/>
  <c r="S4289" i="3"/>
  <c r="T4289" i="3" s="1"/>
  <c r="S4291" i="3"/>
  <c r="T4291" i="3" s="1"/>
  <c r="S4297" i="3"/>
  <c r="T4297" i="3" s="1"/>
  <c r="S4301" i="3"/>
  <c r="T4301" i="3" s="1"/>
  <c r="S4305" i="3"/>
  <c r="T4305" i="3" s="1"/>
  <c r="S4309" i="3"/>
  <c r="T4309" i="3" s="1"/>
  <c r="S4315" i="3"/>
  <c r="T4315" i="3" s="1"/>
  <c r="S4317" i="3"/>
  <c r="T4317" i="3" s="1"/>
  <c r="S4329" i="3"/>
  <c r="T4329" i="3" s="1"/>
  <c r="S4331" i="3"/>
  <c r="T4331" i="3" s="1"/>
  <c r="S4335" i="3"/>
  <c r="T4335" i="3" s="1"/>
  <c r="S4337" i="3"/>
  <c r="T4337" i="3" s="1"/>
  <c r="S4343" i="3"/>
  <c r="T4343" i="3" s="1"/>
  <c r="S4345" i="3"/>
  <c r="T4345" i="3" s="1"/>
  <c r="S4353" i="3"/>
  <c r="T4353" i="3" s="1"/>
  <c r="S4357" i="3"/>
  <c r="T4357" i="3" s="1"/>
  <c r="S4361" i="3"/>
  <c r="T4361" i="3" s="1"/>
  <c r="S4365" i="3"/>
  <c r="T4365" i="3" s="1"/>
  <c r="S4367" i="3"/>
  <c r="T4367" i="3" s="1"/>
  <c r="S4371" i="3"/>
  <c r="T4371" i="3" s="1"/>
  <c r="S4375" i="3"/>
  <c r="T4375" i="3" s="1"/>
  <c r="S4381" i="3"/>
  <c r="T4381" i="3" s="1"/>
  <c r="S4387" i="3"/>
  <c r="T4387" i="3" s="1"/>
  <c r="S4389" i="3"/>
  <c r="T4389" i="3" s="1"/>
  <c r="S4391" i="3"/>
  <c r="T4391" i="3" s="1"/>
  <c r="S4393" i="3"/>
  <c r="T4393" i="3" s="1"/>
  <c r="S4397" i="3"/>
  <c r="T4397" i="3" s="1"/>
  <c r="S4399" i="3"/>
  <c r="T4399" i="3" s="1"/>
  <c r="S4403" i="3"/>
  <c r="T4403" i="3" s="1"/>
  <c r="S4405" i="3"/>
  <c r="T4405" i="3" s="1"/>
  <c r="S4407" i="3"/>
  <c r="T4407" i="3" s="1"/>
  <c r="S4417" i="3"/>
  <c r="T4417" i="3" s="1"/>
  <c r="S4419" i="3"/>
  <c r="T4419" i="3" s="1"/>
  <c r="S4421" i="3"/>
  <c r="T4421" i="3" s="1"/>
  <c r="S4427" i="3"/>
  <c r="T4427" i="3" s="1"/>
  <c r="S4431" i="3"/>
  <c r="T4431" i="3" s="1"/>
  <c r="S4443" i="3"/>
  <c r="T4443" i="3" s="1"/>
  <c r="S4447" i="3"/>
  <c r="T4447" i="3" s="1"/>
  <c r="S4451" i="3"/>
  <c r="T4451" i="3" s="1"/>
  <c r="S4455" i="3"/>
  <c r="T4455" i="3" s="1"/>
  <c r="S4463" i="3"/>
  <c r="T4463" i="3" s="1"/>
  <c r="S4467" i="3"/>
  <c r="T4467" i="3" s="1"/>
  <c r="S4475" i="3"/>
  <c r="T4475" i="3" s="1"/>
  <c r="S4485" i="3"/>
  <c r="T4485" i="3" s="1"/>
  <c r="S4493" i="3"/>
  <c r="T4493" i="3" s="1"/>
  <c r="S4499" i="3"/>
  <c r="T4499" i="3" s="1"/>
  <c r="S4503" i="3"/>
  <c r="T4503" i="3" s="1"/>
  <c r="S4507" i="3"/>
  <c r="T4507" i="3" s="1"/>
  <c r="S4513" i="3"/>
  <c r="T4513" i="3" s="1"/>
  <c r="S4515" i="3"/>
  <c r="T4515" i="3" s="1"/>
  <c r="S4521" i="3"/>
  <c r="T4521" i="3" s="1"/>
  <c r="S4529" i="3"/>
  <c r="T4529" i="3" s="1"/>
  <c r="S4535" i="3"/>
  <c r="T4535" i="3" s="1"/>
  <c r="S4548" i="3"/>
  <c r="T4548" i="3" s="1"/>
  <c r="S4552" i="3"/>
  <c r="T4552" i="3" s="1"/>
  <c r="S4556" i="3"/>
  <c r="T4556" i="3" s="1"/>
  <c r="S4566" i="3"/>
  <c r="T4566" i="3" s="1"/>
  <c r="S4576" i="3"/>
  <c r="T4576" i="3" s="1"/>
  <c r="S4580" i="3"/>
  <c r="T4580" i="3" s="1"/>
  <c r="S4584" i="3"/>
  <c r="T4584" i="3" s="1"/>
  <c r="S4588" i="3"/>
  <c r="T4588" i="3" s="1"/>
  <c r="S4592" i="3"/>
  <c r="T4592" i="3" s="1"/>
  <c r="S4602" i="3"/>
  <c r="T4602" i="3" s="1"/>
  <c r="S4606" i="3"/>
  <c r="T4606" i="3" s="1"/>
  <c r="S4612" i="3"/>
  <c r="T4612" i="3" s="1"/>
  <c r="S4616" i="3"/>
  <c r="T4616" i="3" s="1"/>
  <c r="S4620" i="3"/>
  <c r="T4620" i="3" s="1"/>
  <c r="S4626" i="3"/>
  <c r="T4626" i="3" s="1"/>
  <c r="S4628" i="3"/>
  <c r="T4628" i="3" s="1"/>
  <c r="S4630" i="3"/>
  <c r="T4630" i="3" s="1"/>
  <c r="S4632" i="3"/>
  <c r="T4632" i="3" s="1"/>
  <c r="S4636" i="3"/>
  <c r="T4636" i="3" s="1"/>
  <c r="S4642" i="3"/>
  <c r="T4642" i="3" s="1"/>
  <c r="S4646" i="3"/>
  <c r="T4646" i="3" s="1"/>
  <c r="S4652" i="3"/>
  <c r="T4652" i="3" s="1"/>
  <c r="S4755" i="3"/>
  <c r="T4755" i="3" s="1"/>
  <c r="S4761" i="3"/>
  <c r="T4761" i="3" s="1"/>
  <c r="S4765" i="3"/>
  <c r="T4765" i="3" s="1"/>
  <c r="S4769" i="3"/>
  <c r="T4769" i="3" s="1"/>
  <c r="S4773" i="3"/>
  <c r="T4773" i="3" s="1"/>
  <c r="S4777" i="3"/>
  <c r="T4777" i="3" s="1"/>
  <c r="S4781" i="3"/>
  <c r="T4781" i="3" s="1"/>
  <c r="S4785" i="3"/>
  <c r="T4785" i="3" s="1"/>
  <c r="S4789" i="3"/>
  <c r="T4789" i="3" s="1"/>
  <c r="S4793" i="3"/>
  <c r="T4793" i="3" s="1"/>
  <c r="S4797" i="3"/>
  <c r="T4797" i="3" s="1"/>
  <c r="S4801" i="3"/>
  <c r="T4801" i="3" s="1"/>
  <c r="S4805" i="3"/>
  <c r="T4805" i="3" s="1"/>
  <c r="S4809" i="3"/>
  <c r="T4809" i="3" s="1"/>
  <c r="S4811" i="3"/>
  <c r="T4811" i="3" s="1"/>
  <c r="S4815" i="3"/>
  <c r="T4815" i="3" s="1"/>
  <c r="S4819" i="3"/>
  <c r="T4819" i="3" s="1"/>
  <c r="S4825" i="3"/>
  <c r="T4825" i="3" s="1"/>
  <c r="S4829" i="3"/>
  <c r="T4829" i="3" s="1"/>
  <c r="S4833" i="3"/>
  <c r="T4833" i="3" s="1"/>
  <c r="S4837" i="3"/>
  <c r="T4837" i="3" s="1"/>
  <c r="S4841" i="3"/>
  <c r="T4841" i="3" s="1"/>
  <c r="S4845" i="3"/>
  <c r="T4845" i="3" s="1"/>
  <c r="S4849" i="3"/>
  <c r="T4849" i="3" s="1"/>
  <c r="S4854" i="3"/>
  <c r="T4854" i="3" s="1"/>
  <c r="S4857" i="3"/>
  <c r="T4857" i="3" s="1"/>
  <c r="S4861" i="3"/>
  <c r="T4861" i="3" s="1"/>
  <c r="S4865" i="3"/>
  <c r="T4865" i="3" s="1"/>
  <c r="S4871" i="3"/>
  <c r="T4871" i="3" s="1"/>
  <c r="S4873" i="3"/>
  <c r="T4873" i="3" s="1"/>
  <c r="S4879" i="3"/>
  <c r="T4879" i="3" s="1"/>
  <c r="S4881" i="3"/>
  <c r="T4881" i="3" s="1"/>
  <c r="S4" i="3"/>
  <c r="T4" i="3" s="1"/>
  <c r="S6" i="3"/>
  <c r="T6" i="3" s="1"/>
  <c r="S8" i="3"/>
  <c r="T8" i="3" s="1"/>
  <c r="S10" i="3"/>
  <c r="T10" i="3" s="1"/>
  <c r="S2317" i="3"/>
  <c r="T2317" i="3" s="1"/>
  <c r="S2319" i="3"/>
  <c r="T2319" i="3" s="1"/>
  <c r="S2321" i="3"/>
  <c r="T2321" i="3" s="1"/>
  <c r="S2323" i="3"/>
  <c r="T2323" i="3" s="1"/>
  <c r="S2325" i="3"/>
  <c r="T2325" i="3" s="1"/>
  <c r="S2327" i="3"/>
  <c r="T2327" i="3" s="1"/>
  <c r="S2329" i="3"/>
  <c r="T2329" i="3" s="1"/>
  <c r="S2331" i="3"/>
  <c r="T2331" i="3" s="1"/>
  <c r="S2333" i="3"/>
  <c r="T2333" i="3" s="1"/>
  <c r="S2335" i="3"/>
  <c r="T2335" i="3" s="1"/>
  <c r="S2337" i="3"/>
  <c r="T2337" i="3" s="1"/>
  <c r="S2339" i="3"/>
  <c r="T2339" i="3" s="1"/>
  <c r="S2341" i="3"/>
  <c r="T2341" i="3" s="1"/>
  <c r="S2343" i="3"/>
  <c r="T2343" i="3" s="1"/>
  <c r="S2345" i="3"/>
  <c r="T2345" i="3" s="1"/>
  <c r="S2347" i="3"/>
  <c r="T2347" i="3" s="1"/>
  <c r="S2349" i="3"/>
  <c r="T2349" i="3" s="1"/>
  <c r="S2351" i="3"/>
  <c r="T2351" i="3" s="1"/>
  <c r="S2353" i="3"/>
  <c r="T2353" i="3" s="1"/>
  <c r="S2355" i="3"/>
  <c r="T2355" i="3" s="1"/>
  <c r="S2357" i="3"/>
  <c r="T2357" i="3" s="1"/>
  <c r="S2359" i="3"/>
  <c r="T2359" i="3" s="1"/>
  <c r="S2361" i="3"/>
  <c r="T2361" i="3" s="1"/>
  <c r="S2363" i="3"/>
  <c r="T2363" i="3" s="1"/>
  <c r="S2365" i="3"/>
  <c r="T2365" i="3" s="1"/>
  <c r="S2367" i="3"/>
  <c r="T2367" i="3" s="1"/>
  <c r="S2369" i="3"/>
  <c r="T2369" i="3" s="1"/>
  <c r="S2371" i="3"/>
  <c r="T2371" i="3" s="1"/>
  <c r="S2373" i="3"/>
  <c r="T2373" i="3" s="1"/>
  <c r="S2375" i="3"/>
  <c r="T2375" i="3" s="1"/>
  <c r="S2377" i="3"/>
  <c r="T2377" i="3" s="1"/>
  <c r="S2379" i="3"/>
  <c r="T2379" i="3" s="1"/>
  <c r="S2381" i="3"/>
  <c r="T2381" i="3" s="1"/>
  <c r="S2383" i="3"/>
  <c r="T2383" i="3" s="1"/>
  <c r="S2385" i="3"/>
  <c r="T2385" i="3" s="1"/>
  <c r="S2387" i="3"/>
  <c r="T2387" i="3" s="1"/>
  <c r="S2389" i="3"/>
  <c r="T2389" i="3" s="1"/>
  <c r="S2391" i="3"/>
  <c r="T2391" i="3" s="1"/>
  <c r="S2393" i="3"/>
  <c r="T2393" i="3" s="1"/>
  <c r="S2395" i="3"/>
  <c r="T2395" i="3" s="1"/>
  <c r="S2397" i="3"/>
  <c r="T2397" i="3" s="1"/>
  <c r="S2416" i="3"/>
  <c r="T2416" i="3" s="1"/>
  <c r="S2418" i="3"/>
  <c r="T2418" i="3" s="1"/>
  <c r="S2420" i="3"/>
  <c r="T2420" i="3" s="1"/>
  <c r="S2422" i="3"/>
  <c r="T2422" i="3" s="1"/>
  <c r="S2424" i="3"/>
  <c r="T2424" i="3" s="1"/>
  <c r="S2426" i="3"/>
  <c r="T2426" i="3" s="1"/>
  <c r="S2428" i="3"/>
  <c r="T2428" i="3" s="1"/>
  <c r="S2430" i="3"/>
  <c r="T2430" i="3" s="1"/>
  <c r="S2432" i="3"/>
  <c r="T2432" i="3" s="1"/>
  <c r="S2434" i="3"/>
  <c r="T2434" i="3" s="1"/>
  <c r="S2436" i="3"/>
  <c r="T2436" i="3" s="1"/>
  <c r="S2438" i="3"/>
  <c r="T2438" i="3" s="1"/>
  <c r="S2440" i="3"/>
  <c r="T2440" i="3" s="1"/>
  <c r="S2442" i="3"/>
  <c r="T2442" i="3" s="1"/>
  <c r="S2444" i="3"/>
  <c r="T2444" i="3" s="1"/>
  <c r="S2446" i="3"/>
  <c r="T2446" i="3" s="1"/>
  <c r="S2448" i="3"/>
  <c r="T2448" i="3" s="1"/>
  <c r="S2450" i="3"/>
  <c r="T2450" i="3" s="1"/>
  <c r="S2452" i="3"/>
  <c r="T2452" i="3" s="1"/>
  <c r="S2454" i="3"/>
  <c r="T2454" i="3" s="1"/>
  <c r="S2456" i="3"/>
  <c r="T2456" i="3" s="1"/>
  <c r="S2458" i="3"/>
  <c r="T2458" i="3" s="1"/>
  <c r="S2460" i="3"/>
  <c r="T2460" i="3" s="1"/>
  <c r="S2462" i="3"/>
  <c r="T2462" i="3" s="1"/>
  <c r="S2464" i="3"/>
  <c r="T2464" i="3" s="1"/>
  <c r="S2466" i="3"/>
  <c r="T2466" i="3" s="1"/>
  <c r="S2468" i="3"/>
  <c r="T2468" i="3" s="1"/>
  <c r="S2470" i="3"/>
  <c r="T2470" i="3" s="1"/>
  <c r="S2472" i="3"/>
  <c r="T2472" i="3" s="1"/>
  <c r="S2474" i="3"/>
  <c r="T2474" i="3" s="1"/>
  <c r="S2476" i="3"/>
  <c r="T2476" i="3" s="1"/>
  <c r="S2479" i="3"/>
  <c r="T2479" i="3" s="1"/>
  <c r="S2481" i="3"/>
  <c r="T2481" i="3" s="1"/>
  <c r="S2483" i="3"/>
  <c r="T2483" i="3" s="1"/>
  <c r="S2485" i="3"/>
  <c r="T2485" i="3" s="1"/>
  <c r="S2487" i="3"/>
  <c r="T2487" i="3" s="1"/>
  <c r="S2489" i="3"/>
  <c r="T2489" i="3" s="1"/>
  <c r="S2491" i="3"/>
  <c r="T2491" i="3" s="1"/>
  <c r="S2493" i="3"/>
  <c r="T2493" i="3" s="1"/>
  <c r="S2495" i="3"/>
  <c r="T2495" i="3" s="1"/>
  <c r="S2497" i="3"/>
  <c r="T2497" i="3" s="1"/>
  <c r="S2499" i="3"/>
  <c r="T2499" i="3" s="1"/>
  <c r="S2501" i="3"/>
  <c r="T2501" i="3" s="1"/>
  <c r="S2503" i="3"/>
  <c r="T2503" i="3" s="1"/>
  <c r="S2505" i="3"/>
  <c r="T2505" i="3" s="1"/>
  <c r="S2507" i="3"/>
  <c r="T2507" i="3" s="1"/>
  <c r="S2509" i="3"/>
  <c r="T2509" i="3" s="1"/>
  <c r="S2511" i="3"/>
  <c r="T2511" i="3" s="1"/>
  <c r="S2513" i="3"/>
  <c r="T2513" i="3" s="1"/>
  <c r="S2515" i="3"/>
  <c r="T2515" i="3" s="1"/>
  <c r="S2517" i="3"/>
  <c r="T2517" i="3" s="1"/>
  <c r="S2519" i="3"/>
  <c r="T2519" i="3" s="1"/>
  <c r="S2521" i="3"/>
  <c r="T2521" i="3" s="1"/>
  <c r="S2523" i="3"/>
  <c r="T2523" i="3" s="1"/>
  <c r="S2525" i="3"/>
  <c r="T2525" i="3" s="1"/>
  <c r="S2527" i="3"/>
  <c r="T2527" i="3" s="1"/>
  <c r="S2529" i="3"/>
  <c r="T2529" i="3" s="1"/>
  <c r="S2531" i="3"/>
  <c r="T2531" i="3" s="1"/>
  <c r="S2533" i="3"/>
  <c r="T2533" i="3" s="1"/>
  <c r="S2535" i="3"/>
  <c r="T2535" i="3" s="1"/>
  <c r="S2537" i="3"/>
  <c r="T2537" i="3" s="1"/>
  <c r="S2539" i="3"/>
  <c r="T2539" i="3" s="1"/>
  <c r="S2541" i="3"/>
  <c r="T2541" i="3" s="1"/>
  <c r="S2543" i="3"/>
  <c r="T2543" i="3" s="1"/>
  <c r="S2545" i="3"/>
  <c r="T2545" i="3" s="1"/>
  <c r="S2547" i="3"/>
  <c r="T2547" i="3" s="1"/>
  <c r="S2549" i="3"/>
  <c r="T2549" i="3" s="1"/>
  <c r="S2551" i="3"/>
  <c r="T2551" i="3" s="1"/>
  <c r="S2553" i="3"/>
  <c r="T2553" i="3" s="1"/>
  <c r="S2555" i="3"/>
  <c r="T2555" i="3" s="1"/>
  <c r="S2557" i="3"/>
  <c r="T2557" i="3" s="1"/>
  <c r="S2559" i="3"/>
  <c r="T2559" i="3" s="1"/>
  <c r="S2561" i="3"/>
  <c r="T2561" i="3" s="1"/>
  <c r="S2563" i="3"/>
  <c r="T2563" i="3" s="1"/>
  <c r="S2565" i="3"/>
  <c r="T2565" i="3" s="1"/>
  <c r="S2567" i="3"/>
  <c r="T2567" i="3" s="1"/>
  <c r="S2569" i="3"/>
  <c r="T2569" i="3" s="1"/>
  <c r="S2571" i="3"/>
  <c r="T2571" i="3" s="1"/>
  <c r="S2573" i="3"/>
  <c r="T2573" i="3" s="1"/>
  <c r="S2575" i="3"/>
  <c r="T2575" i="3" s="1"/>
  <c r="S2577" i="3"/>
  <c r="T2577" i="3" s="1"/>
  <c r="S2579" i="3"/>
  <c r="T2579" i="3" s="1"/>
  <c r="S2581" i="3"/>
  <c r="T2581" i="3" s="1"/>
  <c r="S2583" i="3"/>
  <c r="T2583" i="3" s="1"/>
  <c r="S2585" i="3"/>
  <c r="T2585" i="3" s="1"/>
  <c r="S2587" i="3"/>
  <c r="T2587" i="3" s="1"/>
  <c r="S2589" i="3"/>
  <c r="T2589" i="3" s="1"/>
  <c r="S2591" i="3"/>
  <c r="T2591" i="3" s="1"/>
  <c r="S2593" i="3"/>
  <c r="T2593" i="3" s="1"/>
  <c r="S2595" i="3"/>
  <c r="T2595" i="3" s="1"/>
  <c r="S2597" i="3"/>
  <c r="T2597" i="3" s="1"/>
  <c r="S2599" i="3"/>
  <c r="T2599" i="3" s="1"/>
  <c r="S2601" i="3"/>
  <c r="T2601" i="3" s="1"/>
  <c r="S2603" i="3"/>
  <c r="T2603" i="3" s="1"/>
  <c r="S2605" i="3"/>
  <c r="T2605" i="3" s="1"/>
  <c r="S2607" i="3"/>
  <c r="T2607" i="3" s="1"/>
  <c r="S2609" i="3"/>
  <c r="T2609" i="3" s="1"/>
  <c r="S2611" i="3"/>
  <c r="T2611" i="3" s="1"/>
  <c r="S2613" i="3"/>
  <c r="T2613" i="3" s="1"/>
  <c r="S2616" i="3"/>
  <c r="T2616" i="3" s="1"/>
  <c r="S2618" i="3"/>
  <c r="T2618" i="3" s="1"/>
  <c r="S2620" i="3"/>
  <c r="T2620" i="3" s="1"/>
  <c r="S2622" i="3"/>
  <c r="T2622" i="3" s="1"/>
  <c r="S2624" i="3"/>
  <c r="T2624" i="3" s="1"/>
  <c r="S2626" i="3"/>
  <c r="T2626" i="3" s="1"/>
  <c r="S2628" i="3"/>
  <c r="T2628" i="3" s="1"/>
  <c r="S2630" i="3"/>
  <c r="T2630" i="3" s="1"/>
  <c r="S2632" i="3"/>
  <c r="T2632" i="3" s="1"/>
  <c r="S2634" i="3"/>
  <c r="T2634" i="3" s="1"/>
  <c r="S2636" i="3"/>
  <c r="T2636" i="3" s="1"/>
  <c r="S2638" i="3"/>
  <c r="T2638" i="3" s="1"/>
  <c r="S2640" i="3"/>
  <c r="T2640" i="3" s="1"/>
  <c r="S2642" i="3"/>
  <c r="T2642" i="3" s="1"/>
  <c r="S2644" i="3"/>
  <c r="T2644" i="3" s="1"/>
  <c r="S2647" i="3"/>
  <c r="T2647" i="3" s="1"/>
  <c r="S2649" i="3"/>
  <c r="T2649" i="3" s="1"/>
  <c r="S2651" i="3"/>
  <c r="T2651" i="3" s="1"/>
  <c r="S2653" i="3"/>
  <c r="T2653" i="3" s="1"/>
  <c r="S2655" i="3"/>
  <c r="T2655" i="3" s="1"/>
  <c r="S2657" i="3"/>
  <c r="T2657" i="3" s="1"/>
  <c r="S2659" i="3"/>
  <c r="T2659" i="3" s="1"/>
  <c r="S2661" i="3"/>
  <c r="T2661" i="3" s="1"/>
  <c r="S2663" i="3"/>
  <c r="T2663" i="3" s="1"/>
  <c r="S2665" i="3"/>
  <c r="T2665" i="3" s="1"/>
  <c r="S2668" i="3"/>
  <c r="T2668" i="3" s="1"/>
  <c r="S2669" i="3"/>
  <c r="T2669" i="3" s="1"/>
  <c r="S2671" i="3"/>
  <c r="T2671" i="3" s="1"/>
  <c r="S2673" i="3"/>
  <c r="T2673" i="3" s="1"/>
  <c r="S2675" i="3"/>
  <c r="T2675" i="3" s="1"/>
  <c r="S2677" i="3"/>
  <c r="T2677" i="3" s="1"/>
  <c r="S2679" i="3"/>
  <c r="T2679" i="3" s="1"/>
  <c r="S2681" i="3"/>
  <c r="T2681" i="3" s="1"/>
  <c r="S2683" i="3"/>
  <c r="T2683" i="3" s="1"/>
  <c r="S2685" i="3"/>
  <c r="T2685" i="3" s="1"/>
  <c r="S2687" i="3"/>
  <c r="T2687" i="3" s="1"/>
  <c r="S2689" i="3"/>
  <c r="T2689" i="3" s="1"/>
  <c r="S2691" i="3"/>
  <c r="T2691" i="3" s="1"/>
  <c r="S2693" i="3"/>
  <c r="T2693" i="3" s="1"/>
  <c r="S2695" i="3"/>
  <c r="T2695" i="3" s="1"/>
  <c r="S2697" i="3"/>
  <c r="T2697" i="3" s="1"/>
  <c r="S2699" i="3"/>
  <c r="T2699" i="3" s="1"/>
  <c r="S2701" i="3"/>
  <c r="T2701" i="3" s="1"/>
  <c r="S2703" i="3"/>
  <c r="T2703" i="3" s="1"/>
  <c r="S2705" i="3"/>
  <c r="T2705" i="3" s="1"/>
  <c r="S2707" i="3"/>
  <c r="T2707" i="3" s="1"/>
  <c r="S2709" i="3"/>
  <c r="T2709" i="3" s="1"/>
  <c r="S2711" i="3"/>
  <c r="T2711" i="3" s="1"/>
  <c r="S2713" i="3"/>
  <c r="T2713" i="3" s="1"/>
  <c r="S2715" i="3"/>
  <c r="T2715" i="3" s="1"/>
  <c r="S2717" i="3"/>
  <c r="T2717" i="3" s="1"/>
  <c r="S2719" i="3"/>
  <c r="T2719" i="3" s="1"/>
  <c r="S2721" i="3"/>
  <c r="T2721" i="3" s="1"/>
  <c r="S2723" i="3"/>
  <c r="T2723" i="3" s="1"/>
  <c r="S2725" i="3"/>
  <c r="T2725" i="3" s="1"/>
  <c r="S2727" i="3"/>
  <c r="T2727" i="3" s="1"/>
  <c r="S2729" i="3"/>
  <c r="T2729" i="3" s="1"/>
  <c r="S2731" i="3"/>
  <c r="T2731" i="3" s="1"/>
  <c r="S2733" i="3"/>
  <c r="T2733" i="3" s="1"/>
  <c r="S2735" i="3"/>
  <c r="T2735" i="3" s="1"/>
  <c r="S2737" i="3"/>
  <c r="T2737" i="3" s="1"/>
  <c r="S2739" i="3"/>
  <c r="T2739" i="3" s="1"/>
  <c r="S2741" i="3"/>
  <c r="T2741" i="3" s="1"/>
  <c r="S2743" i="3"/>
  <c r="T2743" i="3" s="1"/>
  <c r="S2745" i="3"/>
  <c r="T2745" i="3" s="1"/>
  <c r="S2747" i="3"/>
  <c r="T2747" i="3" s="1"/>
  <c r="S2749" i="3"/>
  <c r="T2749" i="3" s="1"/>
  <c r="S2751" i="3"/>
  <c r="T2751" i="3" s="1"/>
  <c r="S2753" i="3"/>
  <c r="T2753" i="3" s="1"/>
  <c r="S2755" i="3"/>
  <c r="T2755" i="3" s="1"/>
  <c r="S2757" i="3"/>
  <c r="T2757" i="3" s="1"/>
  <c r="S2759" i="3"/>
  <c r="T2759" i="3" s="1"/>
  <c r="S2761" i="3"/>
  <c r="T2761" i="3" s="1"/>
  <c r="S2763" i="3"/>
  <c r="T2763" i="3" s="1"/>
  <c r="S2765" i="3"/>
  <c r="T2765" i="3" s="1"/>
  <c r="S2767" i="3"/>
  <c r="T2767" i="3" s="1"/>
  <c r="S2769" i="3"/>
  <c r="T2769" i="3" s="1"/>
  <c r="S2771" i="3"/>
  <c r="T2771" i="3" s="1"/>
  <c r="S2773" i="3"/>
  <c r="T2773" i="3" s="1"/>
  <c r="S2775" i="3"/>
  <c r="T2775" i="3" s="1"/>
  <c r="S2777" i="3"/>
  <c r="T2777" i="3" s="1"/>
  <c r="S2779" i="3"/>
  <c r="T2779" i="3" s="1"/>
  <c r="S2781" i="3"/>
  <c r="T2781" i="3" s="1"/>
  <c r="S2783" i="3"/>
  <c r="T2783" i="3" s="1"/>
  <c r="S2785" i="3"/>
  <c r="T2785" i="3" s="1"/>
  <c r="S2787" i="3"/>
  <c r="T2787" i="3" s="1"/>
  <c r="S2789" i="3"/>
  <c r="T2789" i="3" s="1"/>
  <c r="S2791" i="3"/>
  <c r="T2791" i="3" s="1"/>
  <c r="S2793" i="3"/>
  <c r="T2793" i="3" s="1"/>
  <c r="S2795" i="3"/>
  <c r="T2795" i="3" s="1"/>
  <c r="S2797" i="3"/>
  <c r="T2797" i="3" s="1"/>
  <c r="S2799" i="3"/>
  <c r="T2799" i="3" s="1"/>
  <c r="S2801" i="3"/>
  <c r="T2801" i="3" s="1"/>
  <c r="S2803" i="3"/>
  <c r="T2803" i="3" s="1"/>
  <c r="S2805" i="3"/>
  <c r="T2805" i="3" s="1"/>
  <c r="S2807" i="3"/>
  <c r="T2807" i="3" s="1"/>
  <c r="S2809" i="3"/>
  <c r="T2809" i="3" s="1"/>
  <c r="S2811" i="3"/>
  <c r="T2811" i="3" s="1"/>
  <c r="S2813" i="3"/>
  <c r="T2813" i="3" s="1"/>
  <c r="S2815" i="3"/>
  <c r="T2815" i="3" s="1"/>
  <c r="S2817" i="3"/>
  <c r="T2817" i="3" s="1"/>
  <c r="S2819" i="3"/>
  <c r="T2819" i="3" s="1"/>
  <c r="S2821" i="3"/>
  <c r="T2821" i="3" s="1"/>
  <c r="S2823" i="3"/>
  <c r="T2823" i="3" s="1"/>
  <c r="S2825" i="3"/>
  <c r="T2825" i="3" s="1"/>
  <c r="S2827" i="3"/>
  <c r="T2827" i="3" s="1"/>
  <c r="S2829" i="3"/>
  <c r="T2829" i="3" s="1"/>
  <c r="S2831" i="3"/>
  <c r="T2831" i="3" s="1"/>
  <c r="S2833" i="3"/>
  <c r="T2833" i="3" s="1"/>
  <c r="S2835" i="3"/>
  <c r="T2835" i="3" s="1"/>
  <c r="S2901" i="3"/>
  <c r="T2901" i="3" s="1"/>
  <c r="S2903" i="3"/>
  <c r="T2903" i="3" s="1"/>
  <c r="S2905" i="3"/>
  <c r="T2905" i="3" s="1"/>
  <c r="S2907" i="3"/>
  <c r="T2907" i="3" s="1"/>
  <c r="S2909" i="3"/>
  <c r="T2909" i="3" s="1"/>
  <c r="S2911" i="3"/>
  <c r="T2911" i="3" s="1"/>
  <c r="S2913" i="3"/>
  <c r="T2913" i="3" s="1"/>
  <c r="S2915" i="3"/>
  <c r="T2915" i="3" s="1"/>
  <c r="S2917" i="3"/>
  <c r="T2917" i="3" s="1"/>
  <c r="S2919" i="3"/>
  <c r="T2919" i="3" s="1"/>
  <c r="S2921" i="3"/>
  <c r="T2921" i="3" s="1"/>
  <c r="S2923" i="3"/>
  <c r="T2923" i="3" s="1"/>
  <c r="S2925" i="3"/>
  <c r="T2925" i="3" s="1"/>
  <c r="S2927" i="3"/>
  <c r="T2927" i="3" s="1"/>
  <c r="S2929" i="3"/>
  <c r="T2929" i="3" s="1"/>
  <c r="S2931" i="3"/>
  <c r="T2931" i="3" s="1"/>
  <c r="S2933" i="3"/>
  <c r="T2933" i="3" s="1"/>
  <c r="S2935" i="3"/>
  <c r="T2935" i="3" s="1"/>
  <c r="S2937" i="3"/>
  <c r="T2937" i="3" s="1"/>
  <c r="S2939" i="3"/>
  <c r="T2939" i="3" s="1"/>
  <c r="S2941" i="3"/>
  <c r="T2941" i="3" s="1"/>
  <c r="S2943" i="3"/>
  <c r="T2943" i="3" s="1"/>
  <c r="S2945" i="3"/>
  <c r="T2945" i="3" s="1"/>
  <c r="S2947" i="3"/>
  <c r="T2947" i="3" s="1"/>
  <c r="S2949" i="3"/>
  <c r="T2949" i="3" s="1"/>
  <c r="S2951" i="3"/>
  <c r="T2951" i="3" s="1"/>
  <c r="S2953" i="3"/>
  <c r="T2953" i="3" s="1"/>
  <c r="S2955" i="3"/>
  <c r="T2955" i="3" s="1"/>
  <c r="S2957" i="3"/>
  <c r="T2957" i="3" s="1"/>
  <c r="S2959" i="3"/>
  <c r="T2959" i="3" s="1"/>
  <c r="S2961" i="3"/>
  <c r="T2961" i="3" s="1"/>
  <c r="S2963" i="3"/>
  <c r="T2963" i="3" s="1"/>
  <c r="S2965" i="3"/>
  <c r="T2965" i="3" s="1"/>
  <c r="S2967" i="3"/>
  <c r="T2967" i="3" s="1"/>
  <c r="S2969" i="3"/>
  <c r="T2969" i="3" s="1"/>
  <c r="S2971" i="3"/>
  <c r="T2971" i="3" s="1"/>
  <c r="S2973" i="3"/>
  <c r="T2973" i="3" s="1"/>
  <c r="S2975" i="3"/>
  <c r="T2975" i="3" s="1"/>
  <c r="S2977" i="3"/>
  <c r="T2977" i="3" s="1"/>
  <c r="S2979" i="3"/>
  <c r="T2979" i="3" s="1"/>
  <c r="S2981" i="3"/>
  <c r="T2981" i="3" s="1"/>
  <c r="S2983" i="3"/>
  <c r="T2983" i="3" s="1"/>
  <c r="S2985" i="3"/>
  <c r="T2985" i="3" s="1"/>
  <c r="S2987" i="3"/>
  <c r="T2987" i="3" s="1"/>
  <c r="S2989" i="3"/>
  <c r="T2989" i="3" s="1"/>
  <c r="S2991" i="3"/>
  <c r="T2991" i="3" s="1"/>
  <c r="S2993" i="3"/>
  <c r="T2993" i="3" s="1"/>
  <c r="S2995" i="3"/>
  <c r="T2995" i="3" s="1"/>
  <c r="S2997" i="3"/>
  <c r="T2997" i="3" s="1"/>
  <c r="S2999" i="3"/>
  <c r="T2999" i="3" s="1"/>
  <c r="S3001" i="3"/>
  <c r="T3001" i="3" s="1"/>
  <c r="S3003" i="3"/>
  <c r="T3003" i="3" s="1"/>
  <c r="S3005" i="3"/>
  <c r="T3005" i="3" s="1"/>
  <c r="S3007" i="3"/>
  <c r="T3007" i="3" s="1"/>
  <c r="S3009" i="3"/>
  <c r="T3009" i="3" s="1"/>
  <c r="S3011" i="3"/>
  <c r="T3011" i="3" s="1"/>
  <c r="S3013" i="3"/>
  <c r="T3013" i="3" s="1"/>
  <c r="S3015" i="3"/>
  <c r="T3015" i="3" s="1"/>
  <c r="S3017" i="3"/>
  <c r="T3017" i="3" s="1"/>
  <c r="S3019" i="3"/>
  <c r="T3019" i="3" s="1"/>
  <c r="S3021" i="3"/>
  <c r="T3021" i="3" s="1"/>
  <c r="S3023" i="3"/>
  <c r="T3023" i="3" s="1"/>
  <c r="S3025" i="3"/>
  <c r="T3025" i="3" s="1"/>
  <c r="S3027" i="3"/>
  <c r="T3027" i="3" s="1"/>
  <c r="S3029" i="3"/>
  <c r="T3029" i="3" s="1"/>
  <c r="S3031" i="3"/>
  <c r="T3031" i="3" s="1"/>
  <c r="S3033" i="3"/>
  <c r="T3033" i="3" s="1"/>
  <c r="S3035" i="3"/>
  <c r="T3035" i="3" s="1"/>
  <c r="S3037" i="3"/>
  <c r="T3037" i="3" s="1"/>
  <c r="S3039" i="3"/>
  <c r="T3039" i="3" s="1"/>
  <c r="S3041" i="3"/>
  <c r="T3041" i="3" s="1"/>
  <c r="S3043" i="3"/>
  <c r="T3043" i="3" s="1"/>
  <c r="S3045" i="3"/>
  <c r="T3045" i="3" s="1"/>
  <c r="S3047" i="3"/>
  <c r="T3047" i="3" s="1"/>
  <c r="S3049" i="3"/>
  <c r="T3049" i="3" s="1"/>
  <c r="S3051" i="3"/>
  <c r="T3051" i="3" s="1"/>
  <c r="S3053" i="3"/>
  <c r="T3053" i="3" s="1"/>
  <c r="S3055" i="3"/>
  <c r="T3055" i="3" s="1"/>
  <c r="S3057" i="3"/>
  <c r="T3057" i="3" s="1"/>
  <c r="S3059" i="3"/>
  <c r="T3059" i="3" s="1"/>
  <c r="S3061" i="3"/>
  <c r="T3061" i="3" s="1"/>
  <c r="S3063" i="3"/>
  <c r="T3063" i="3" s="1"/>
  <c r="S3065" i="3"/>
  <c r="T3065" i="3" s="1"/>
  <c r="S3067" i="3"/>
  <c r="T3067" i="3" s="1"/>
  <c r="S3069" i="3"/>
  <c r="T3069" i="3" s="1"/>
  <c r="S3071" i="3"/>
  <c r="T3071" i="3" s="1"/>
  <c r="S3073" i="3"/>
  <c r="T3073" i="3" s="1"/>
  <c r="S3075" i="3"/>
  <c r="T3075" i="3" s="1"/>
  <c r="S3077" i="3"/>
  <c r="T3077" i="3" s="1"/>
  <c r="S3079" i="3"/>
  <c r="T3079" i="3" s="1"/>
  <c r="S3081" i="3"/>
  <c r="T3081" i="3" s="1"/>
  <c r="S3083" i="3"/>
  <c r="T3083" i="3" s="1"/>
  <c r="S3085" i="3"/>
  <c r="T3085" i="3" s="1"/>
  <c r="S3087" i="3"/>
  <c r="T3087" i="3" s="1"/>
  <c r="S3089" i="3"/>
  <c r="T3089" i="3" s="1"/>
  <c r="S3091" i="3"/>
  <c r="T3091" i="3" s="1"/>
  <c r="S3093" i="3"/>
  <c r="T3093" i="3" s="1"/>
  <c r="S3095" i="3"/>
  <c r="T3095" i="3" s="1"/>
  <c r="S3097" i="3"/>
  <c r="T3097" i="3" s="1"/>
  <c r="S3099" i="3"/>
  <c r="T3099" i="3" s="1"/>
  <c r="S3101" i="3"/>
  <c r="T3101" i="3" s="1"/>
  <c r="S3103" i="3"/>
  <c r="T3103" i="3" s="1"/>
  <c r="S3105" i="3"/>
  <c r="T3105" i="3" s="1"/>
  <c r="S3107" i="3"/>
  <c r="T3107" i="3" s="1"/>
  <c r="S3109" i="3"/>
  <c r="T3109" i="3" s="1"/>
  <c r="S3111" i="3"/>
  <c r="T3111" i="3" s="1"/>
  <c r="S3113" i="3"/>
  <c r="T3113" i="3" s="1"/>
  <c r="S3115" i="3"/>
  <c r="T3115" i="3" s="1"/>
  <c r="S3117" i="3"/>
  <c r="T3117" i="3" s="1"/>
  <c r="S3119" i="3"/>
  <c r="T3119" i="3" s="1"/>
  <c r="S3121" i="3"/>
  <c r="T3121" i="3" s="1"/>
  <c r="S3123" i="3"/>
  <c r="T3123" i="3" s="1"/>
  <c r="S3125" i="3"/>
  <c r="T3125" i="3" s="1"/>
  <c r="S3127" i="3"/>
  <c r="T3127" i="3" s="1"/>
  <c r="S3129" i="3"/>
  <c r="T3129" i="3" s="1"/>
  <c r="S3131" i="3"/>
  <c r="T3131" i="3" s="1"/>
  <c r="S3133" i="3"/>
  <c r="T3133" i="3" s="1"/>
  <c r="S3135" i="3"/>
  <c r="T3135" i="3" s="1"/>
  <c r="S3137" i="3"/>
  <c r="T3137" i="3" s="1"/>
  <c r="S3139" i="3"/>
  <c r="T3139" i="3" s="1"/>
  <c r="S3141" i="3"/>
  <c r="T3141" i="3" s="1"/>
  <c r="S3143" i="3"/>
  <c r="T3143" i="3" s="1"/>
  <c r="S3145" i="3"/>
  <c r="T3145" i="3" s="1"/>
  <c r="S3147" i="3"/>
  <c r="T3147" i="3" s="1"/>
  <c r="S3149" i="3"/>
  <c r="T3149" i="3" s="1"/>
  <c r="S3151" i="3"/>
  <c r="T3151" i="3" s="1"/>
  <c r="S3153" i="3"/>
  <c r="T3153" i="3" s="1"/>
  <c r="S3155" i="3"/>
  <c r="T3155" i="3" s="1"/>
  <c r="S3157" i="3"/>
  <c r="T3157" i="3" s="1"/>
  <c r="S3159" i="3"/>
  <c r="T3159" i="3" s="1"/>
  <c r="S3161" i="3"/>
  <c r="T3161" i="3" s="1"/>
  <c r="S3163" i="3"/>
  <c r="T3163" i="3" s="1"/>
  <c r="S3165" i="3"/>
  <c r="T3165" i="3" s="1"/>
  <c r="S3167" i="3"/>
  <c r="T3167" i="3" s="1"/>
  <c r="S3169" i="3"/>
  <c r="T3169" i="3" s="1"/>
  <c r="S3171" i="3"/>
  <c r="T3171" i="3" s="1"/>
  <c r="S3173" i="3"/>
  <c r="T3173" i="3" s="1"/>
  <c r="S3175" i="3"/>
  <c r="T3175" i="3" s="1"/>
  <c r="S3177" i="3"/>
  <c r="T3177" i="3" s="1"/>
  <c r="S3179" i="3"/>
  <c r="T3179" i="3" s="1"/>
  <c r="S3181" i="3"/>
  <c r="T3181" i="3" s="1"/>
  <c r="S3183" i="3"/>
  <c r="T3183" i="3" s="1"/>
  <c r="S3185" i="3"/>
  <c r="T3185" i="3" s="1"/>
  <c r="S3187" i="3"/>
  <c r="T3187" i="3" s="1"/>
  <c r="S3189" i="3"/>
  <c r="T3189" i="3" s="1"/>
  <c r="S3191" i="3"/>
  <c r="T3191" i="3" s="1"/>
  <c r="S3193" i="3"/>
  <c r="T3193" i="3" s="1"/>
  <c r="S3195" i="3"/>
  <c r="T3195" i="3" s="1"/>
  <c r="S3197" i="3"/>
  <c r="T3197" i="3" s="1"/>
  <c r="S3199" i="3"/>
  <c r="T3199" i="3" s="1"/>
  <c r="S3201" i="3"/>
  <c r="T3201" i="3" s="1"/>
  <c r="S3203" i="3"/>
  <c r="T3203" i="3" s="1"/>
  <c r="S3205" i="3"/>
  <c r="T3205" i="3" s="1"/>
  <c r="S3207" i="3"/>
  <c r="T3207" i="3" s="1"/>
  <c r="S3209" i="3"/>
  <c r="T3209" i="3" s="1"/>
  <c r="S3211" i="3"/>
  <c r="T3211" i="3" s="1"/>
  <c r="S3213" i="3"/>
  <c r="T3213" i="3" s="1"/>
  <c r="S3215" i="3"/>
  <c r="T3215" i="3" s="1"/>
  <c r="S3217" i="3"/>
  <c r="T3217" i="3" s="1"/>
  <c r="S3219" i="3"/>
  <c r="T3219" i="3" s="1"/>
  <c r="S3221" i="3"/>
  <c r="T3221" i="3" s="1"/>
  <c r="S3223" i="3"/>
  <c r="T3223" i="3" s="1"/>
  <c r="S3225" i="3"/>
  <c r="T3225" i="3" s="1"/>
  <c r="S3227" i="3"/>
  <c r="T3227" i="3" s="1"/>
  <c r="S3229" i="3"/>
  <c r="T3229" i="3" s="1"/>
  <c r="S3231" i="3"/>
  <c r="T3231" i="3" s="1"/>
  <c r="S3233" i="3"/>
  <c r="T3233" i="3" s="1"/>
  <c r="S3235" i="3"/>
  <c r="T3235" i="3" s="1"/>
  <c r="S3237" i="3"/>
  <c r="T3237" i="3" s="1"/>
  <c r="S3239" i="3"/>
  <c r="T3239" i="3" s="1"/>
  <c r="S3241" i="3"/>
  <c r="T3241" i="3" s="1"/>
  <c r="S3243" i="3"/>
  <c r="T3243" i="3" s="1"/>
  <c r="S3245" i="3"/>
  <c r="T3245" i="3" s="1"/>
  <c r="S3247" i="3"/>
  <c r="T3247" i="3" s="1"/>
  <c r="S3249" i="3"/>
  <c r="T3249" i="3" s="1"/>
  <c r="S3251" i="3"/>
  <c r="T3251" i="3" s="1"/>
  <c r="S3253" i="3"/>
  <c r="T3253" i="3" s="1"/>
  <c r="S3255" i="3"/>
  <c r="T3255" i="3" s="1"/>
  <c r="S3257" i="3"/>
  <c r="T3257" i="3" s="1"/>
  <c r="S3259" i="3"/>
  <c r="T3259" i="3" s="1"/>
  <c r="S3261" i="3"/>
  <c r="T3261" i="3" s="1"/>
  <c r="S3263" i="3"/>
  <c r="T3263" i="3" s="1"/>
  <c r="S3265" i="3"/>
  <c r="T3265" i="3" s="1"/>
  <c r="S3267" i="3"/>
  <c r="T3267" i="3" s="1"/>
  <c r="S3269" i="3"/>
  <c r="T3269" i="3" s="1"/>
  <c r="S3271" i="3"/>
  <c r="T3271" i="3" s="1"/>
  <c r="S3273" i="3"/>
  <c r="T3273" i="3" s="1"/>
  <c r="S3275" i="3"/>
  <c r="T3275" i="3" s="1"/>
  <c r="S3277" i="3"/>
  <c r="T3277" i="3" s="1"/>
  <c r="S3279" i="3"/>
  <c r="T3279" i="3" s="1"/>
  <c r="S3281" i="3"/>
  <c r="T3281" i="3" s="1"/>
  <c r="S3283" i="3"/>
  <c r="T3283" i="3" s="1"/>
  <c r="S3285" i="3"/>
  <c r="T3285" i="3" s="1"/>
  <c r="S3287" i="3"/>
  <c r="T3287" i="3" s="1"/>
  <c r="S3289" i="3"/>
  <c r="T3289" i="3" s="1"/>
  <c r="S3291" i="3"/>
  <c r="T3291" i="3" s="1"/>
  <c r="S3293" i="3"/>
  <c r="T3293" i="3" s="1"/>
  <c r="S3295" i="3"/>
  <c r="T3295" i="3" s="1"/>
  <c r="S3297" i="3"/>
  <c r="T3297" i="3" s="1"/>
  <c r="S3299" i="3"/>
  <c r="T3299" i="3" s="1"/>
  <c r="S3301" i="3"/>
  <c r="T3301" i="3" s="1"/>
  <c r="S3303" i="3"/>
  <c r="T3303" i="3" s="1"/>
  <c r="S3305" i="3"/>
  <c r="T3305" i="3" s="1"/>
  <c r="S3307" i="3"/>
  <c r="T3307" i="3" s="1"/>
  <c r="S3309" i="3"/>
  <c r="T3309" i="3" s="1"/>
  <c r="S3311" i="3"/>
  <c r="T3311" i="3" s="1"/>
  <c r="S3313" i="3"/>
  <c r="T3313" i="3" s="1"/>
  <c r="S3315" i="3"/>
  <c r="T3315" i="3" s="1"/>
  <c r="S3317" i="3"/>
  <c r="T3317" i="3" s="1"/>
  <c r="S3319" i="3"/>
  <c r="T3319" i="3" s="1"/>
  <c r="S3321" i="3"/>
  <c r="T3321" i="3" s="1"/>
  <c r="S3323" i="3"/>
  <c r="T3323" i="3" s="1"/>
  <c r="S3325" i="3"/>
  <c r="T3325" i="3" s="1"/>
  <c r="S3327" i="3"/>
  <c r="T3327" i="3" s="1"/>
  <c r="S3329" i="3"/>
  <c r="T3329" i="3" s="1"/>
  <c r="S3331" i="3"/>
  <c r="T3331" i="3" s="1"/>
  <c r="S3333" i="3"/>
  <c r="T3333" i="3" s="1"/>
  <c r="S3335" i="3"/>
  <c r="T3335" i="3" s="1"/>
  <c r="S3337" i="3"/>
  <c r="T3337" i="3" s="1"/>
  <c r="S3339" i="3"/>
  <c r="T3339" i="3" s="1"/>
  <c r="S3341" i="3"/>
  <c r="T3341" i="3" s="1"/>
  <c r="S3343" i="3"/>
  <c r="T3343" i="3" s="1"/>
  <c r="S3345" i="3"/>
  <c r="T3345" i="3" s="1"/>
  <c r="S3347" i="3"/>
  <c r="T3347" i="3" s="1"/>
  <c r="S3349" i="3"/>
  <c r="T3349" i="3" s="1"/>
  <c r="S3351" i="3"/>
  <c r="T3351" i="3" s="1"/>
  <c r="S3353" i="3"/>
  <c r="T3353" i="3" s="1"/>
  <c r="S3355" i="3"/>
  <c r="T3355" i="3" s="1"/>
  <c r="S3357" i="3"/>
  <c r="T3357" i="3" s="1"/>
  <c r="S3359" i="3"/>
  <c r="T3359" i="3" s="1"/>
  <c r="S3361" i="3"/>
  <c r="T3361" i="3" s="1"/>
  <c r="S3363" i="3"/>
  <c r="T3363" i="3" s="1"/>
  <c r="S3365" i="3"/>
  <c r="T3365" i="3" s="1"/>
  <c r="S3367" i="3"/>
  <c r="T3367" i="3" s="1"/>
  <c r="S3369" i="3"/>
  <c r="T3369" i="3" s="1"/>
  <c r="S3371" i="3"/>
  <c r="T3371" i="3" s="1"/>
  <c r="S3373" i="3"/>
  <c r="T3373" i="3" s="1"/>
  <c r="S3375" i="3"/>
  <c r="T3375" i="3" s="1"/>
  <c r="S3377" i="3"/>
  <c r="T3377" i="3" s="1"/>
  <c r="S3379" i="3"/>
  <c r="T3379" i="3" s="1"/>
  <c r="S3381" i="3"/>
  <c r="T3381" i="3" s="1"/>
  <c r="S3383" i="3"/>
  <c r="T3383" i="3" s="1"/>
  <c r="S3503" i="3"/>
  <c r="T3503" i="3" s="1"/>
  <c r="S3505" i="3"/>
  <c r="T3505" i="3" s="1"/>
  <c r="S3507" i="3"/>
  <c r="T3507" i="3" s="1"/>
  <c r="S3509" i="3"/>
  <c r="T3509" i="3" s="1"/>
  <c r="S3511" i="3"/>
  <c r="T3511" i="3" s="1"/>
  <c r="S3513" i="3"/>
  <c r="T3513" i="3" s="1"/>
  <c r="S3515" i="3"/>
  <c r="T3515" i="3" s="1"/>
  <c r="S3517" i="3"/>
  <c r="T3517" i="3" s="1"/>
  <c r="S3519" i="3"/>
  <c r="T3519" i="3" s="1"/>
  <c r="S3521" i="3"/>
  <c r="T3521" i="3" s="1"/>
  <c r="S3523" i="3"/>
  <c r="T3523" i="3" s="1"/>
  <c r="S3525" i="3"/>
  <c r="T3525" i="3" s="1"/>
  <c r="S3527" i="3"/>
  <c r="T3527" i="3" s="1"/>
  <c r="S3529" i="3"/>
  <c r="T3529" i="3" s="1"/>
  <c r="S3531" i="3"/>
  <c r="T3531" i="3" s="1"/>
  <c r="S3533" i="3"/>
  <c r="T3533" i="3" s="1"/>
  <c r="S3535" i="3"/>
  <c r="T3535" i="3" s="1"/>
  <c r="S3537" i="3"/>
  <c r="T3537" i="3" s="1"/>
  <c r="S3539" i="3"/>
  <c r="T3539" i="3" s="1"/>
  <c r="S3541" i="3"/>
  <c r="T3541" i="3" s="1"/>
  <c r="S3543" i="3"/>
  <c r="T3543" i="3" s="1"/>
  <c r="S3545" i="3"/>
  <c r="T3545" i="3" s="1"/>
  <c r="S3547" i="3"/>
  <c r="T3547" i="3" s="1"/>
  <c r="S3549" i="3"/>
  <c r="T3549" i="3" s="1"/>
  <c r="S3561" i="3"/>
  <c r="T3561" i="3" s="1"/>
  <c r="S3563" i="3"/>
  <c r="T3563" i="3" s="1"/>
  <c r="S3565" i="3"/>
  <c r="T3565" i="3" s="1"/>
  <c r="S3567" i="3"/>
  <c r="T3567" i="3" s="1"/>
  <c r="S3569" i="3"/>
  <c r="T3569" i="3" s="1"/>
  <c r="S3571" i="3"/>
  <c r="T3571" i="3" s="1"/>
  <c r="S3573" i="3"/>
  <c r="T3573" i="3" s="1"/>
  <c r="S3575" i="3"/>
  <c r="T3575" i="3" s="1"/>
  <c r="S3577" i="3"/>
  <c r="T3577" i="3" s="1"/>
  <c r="S3579" i="3"/>
  <c r="T3579" i="3" s="1"/>
  <c r="S3581" i="3"/>
  <c r="T3581" i="3" s="1"/>
  <c r="S3583" i="3"/>
  <c r="T3583" i="3" s="1"/>
  <c r="S3585" i="3"/>
  <c r="T3585" i="3" s="1"/>
  <c r="S3587" i="3"/>
  <c r="T3587" i="3" s="1"/>
  <c r="S3589" i="3"/>
  <c r="T3589" i="3" s="1"/>
  <c r="S3591" i="3"/>
  <c r="T3591" i="3" s="1"/>
  <c r="S3593" i="3"/>
  <c r="T3593" i="3" s="1"/>
  <c r="S3595" i="3"/>
  <c r="T3595" i="3" s="1"/>
  <c r="S3597" i="3"/>
  <c r="T3597" i="3" s="1"/>
  <c r="S3599" i="3"/>
  <c r="T3599" i="3" s="1"/>
  <c r="S3601" i="3"/>
  <c r="T3601" i="3" s="1"/>
  <c r="S3603" i="3"/>
  <c r="T3603" i="3" s="1"/>
  <c r="S3605" i="3"/>
  <c r="T3605" i="3" s="1"/>
  <c r="S4079" i="3"/>
  <c r="T4079" i="3" s="1"/>
  <c r="S4081" i="3"/>
  <c r="T4081" i="3" s="1"/>
  <c r="S4083" i="3"/>
  <c r="T4083" i="3" s="1"/>
  <c r="S4085" i="3"/>
  <c r="T4085" i="3" s="1"/>
  <c r="S4087" i="3"/>
  <c r="T4087" i="3" s="1"/>
  <c r="S4089" i="3"/>
  <c r="T4089" i="3" s="1"/>
  <c r="S4091" i="3"/>
  <c r="T4091" i="3" s="1"/>
  <c r="S4093" i="3"/>
  <c r="T4093" i="3" s="1"/>
  <c r="S4095" i="3"/>
  <c r="T4095" i="3" s="1"/>
  <c r="S4097" i="3"/>
  <c r="T4097" i="3" s="1"/>
  <c r="S4099" i="3"/>
  <c r="T4099" i="3" s="1"/>
  <c r="S4101" i="3"/>
  <c r="T4101" i="3" s="1"/>
  <c r="S4103" i="3"/>
  <c r="T4103" i="3" s="1"/>
  <c r="S4105" i="3"/>
  <c r="T4105" i="3" s="1"/>
  <c r="S4107" i="3"/>
  <c r="T4107" i="3" s="1"/>
  <c r="S4109" i="3"/>
  <c r="T4109" i="3" s="1"/>
  <c r="S4111" i="3"/>
  <c r="T4111" i="3" s="1"/>
  <c r="S4113" i="3"/>
  <c r="T4113" i="3" s="1"/>
  <c r="S4115" i="3"/>
  <c r="T4115" i="3" s="1"/>
  <c r="S4117" i="3"/>
  <c r="T4117" i="3" s="1"/>
  <c r="S4119" i="3"/>
  <c r="T4119" i="3" s="1"/>
  <c r="S4121" i="3"/>
  <c r="T4121" i="3" s="1"/>
  <c r="S4123" i="3"/>
  <c r="T4123" i="3" s="1"/>
  <c r="S4125" i="3"/>
  <c r="T4125" i="3" s="1"/>
  <c r="S4127" i="3"/>
  <c r="T4127" i="3" s="1"/>
  <c r="S4129" i="3"/>
  <c r="T4129" i="3" s="1"/>
  <c r="S4131" i="3"/>
  <c r="T4131" i="3" s="1"/>
  <c r="S4133" i="3"/>
  <c r="T4133" i="3" s="1"/>
  <c r="S4135" i="3"/>
  <c r="T4135" i="3" s="1"/>
  <c r="S4137" i="3"/>
  <c r="T4137" i="3" s="1"/>
  <c r="S4139" i="3"/>
  <c r="T4139" i="3" s="1"/>
  <c r="S4141" i="3"/>
  <c r="T4141" i="3" s="1"/>
  <c r="S4143" i="3"/>
  <c r="T4143" i="3" s="1"/>
  <c r="S4145" i="3"/>
  <c r="T4145" i="3" s="1"/>
  <c r="S4147" i="3"/>
  <c r="T4147" i="3" s="1"/>
  <c r="S4149" i="3"/>
  <c r="T4149" i="3" s="1"/>
  <c r="S4151" i="3"/>
  <c r="T4151" i="3" s="1"/>
  <c r="S4153" i="3"/>
  <c r="T4153" i="3" s="1"/>
  <c r="S4155" i="3"/>
  <c r="T4155" i="3" s="1"/>
  <c r="S4157" i="3"/>
  <c r="T4157" i="3" s="1"/>
  <c r="S4159" i="3"/>
  <c r="T4159" i="3" s="1"/>
  <c r="S4161" i="3"/>
  <c r="T4161" i="3" s="1"/>
  <c r="S4163" i="3"/>
  <c r="T4163" i="3" s="1"/>
  <c r="S4165" i="3"/>
  <c r="T4165" i="3" s="1"/>
  <c r="S4167" i="3"/>
  <c r="T4167" i="3" s="1"/>
  <c r="S4169" i="3"/>
  <c r="T4169" i="3" s="1"/>
  <c r="S4171" i="3"/>
  <c r="T4171" i="3" s="1"/>
  <c r="S4173" i="3"/>
  <c r="T4173" i="3" s="1"/>
  <c r="S4175" i="3"/>
  <c r="T4175" i="3" s="1"/>
  <c r="S4177" i="3"/>
  <c r="T4177" i="3" s="1"/>
  <c r="S4179" i="3"/>
  <c r="T4179" i="3" s="1"/>
  <c r="S4536" i="3"/>
  <c r="T4536" i="3" s="1"/>
  <c r="S4538" i="3"/>
  <c r="T4538" i="3" s="1"/>
  <c r="S4540" i="3"/>
  <c r="T4540" i="3" s="1"/>
  <c r="S4542" i="3"/>
  <c r="T4542" i="3" s="1"/>
  <c r="S4544" i="3"/>
  <c r="T4544" i="3" s="1"/>
  <c r="S4546" i="3"/>
  <c r="T4546" i="3" s="1"/>
  <c r="S5061" i="3"/>
  <c r="T5061" i="3" s="1"/>
  <c r="S5063" i="3"/>
  <c r="T5063" i="3" s="1"/>
  <c r="S5065" i="3"/>
  <c r="T5065" i="3" s="1"/>
  <c r="S5067" i="3"/>
  <c r="T5067" i="3" s="1"/>
  <c r="S5069" i="3"/>
  <c r="T5069" i="3" s="1"/>
  <c r="S5071" i="3"/>
  <c r="T5071" i="3" s="1"/>
  <c r="S5073" i="3"/>
  <c r="T5073" i="3" s="1"/>
  <c r="S5075" i="3"/>
  <c r="T5075" i="3" s="1"/>
  <c r="S5077" i="3"/>
  <c r="T5077" i="3" s="1"/>
  <c r="S5079" i="3"/>
  <c r="T5079" i="3" s="1"/>
  <c r="S5081" i="3"/>
  <c r="T5081" i="3" s="1"/>
  <c r="S5083" i="3"/>
  <c r="T5083" i="3" s="1"/>
  <c r="S5085" i="3"/>
  <c r="T5085" i="3" s="1"/>
  <c r="S5087" i="3"/>
  <c r="T5087" i="3" s="1"/>
  <c r="S5089" i="3"/>
  <c r="T5089" i="3" s="1"/>
  <c r="S5091" i="3"/>
  <c r="T5091" i="3" s="1"/>
  <c r="S5093" i="3"/>
  <c r="T5093" i="3" s="1"/>
  <c r="S5095" i="3"/>
  <c r="T5095" i="3" s="1"/>
  <c r="S5097" i="3"/>
  <c r="T5097" i="3" s="1"/>
  <c r="S5099" i="3"/>
  <c r="T5099" i="3" s="1"/>
  <c r="S5101" i="3"/>
  <c r="T5101" i="3" s="1"/>
  <c r="S5103" i="3"/>
  <c r="T5103" i="3" s="1"/>
  <c r="S5105" i="3"/>
  <c r="T5105" i="3" s="1"/>
  <c r="S5107" i="3"/>
  <c r="T5107" i="3" s="1"/>
  <c r="S5109" i="3"/>
  <c r="T5109" i="3" s="1"/>
  <c r="S5111" i="3"/>
  <c r="T5111" i="3" s="1"/>
  <c r="S5113" i="3"/>
  <c r="T5113" i="3" s="1"/>
  <c r="S5115" i="3"/>
  <c r="T5115" i="3" s="1"/>
  <c r="S5117" i="3"/>
  <c r="T5117" i="3" s="1"/>
  <c r="S5119" i="3"/>
  <c r="T5119" i="3" s="1"/>
  <c r="S5121" i="3"/>
  <c r="T5121" i="3" s="1"/>
  <c r="S5123" i="3"/>
  <c r="T5123" i="3" s="1"/>
  <c r="S5125" i="3"/>
  <c r="T5125" i="3" s="1"/>
  <c r="S5127" i="3"/>
  <c r="T5127" i="3" s="1"/>
  <c r="S5129" i="3"/>
  <c r="T5129" i="3" s="1"/>
  <c r="S5131" i="3"/>
  <c r="T5131" i="3" s="1"/>
  <c r="S5133" i="3"/>
  <c r="T5133" i="3" s="1"/>
  <c r="S5135" i="3"/>
  <c r="T5135" i="3" s="1"/>
  <c r="S5137" i="3"/>
  <c r="T5137" i="3" s="1"/>
  <c r="S5139" i="3"/>
  <c r="T5139" i="3" s="1"/>
  <c r="S5141" i="3"/>
  <c r="T5141" i="3" s="1"/>
  <c r="S5143" i="3"/>
  <c r="T5143" i="3" s="1"/>
  <c r="S5145" i="3"/>
  <c r="T5145" i="3" s="1"/>
  <c r="S5147" i="3"/>
  <c r="T5147" i="3" s="1"/>
  <c r="S5149" i="3"/>
  <c r="T5149" i="3" s="1"/>
  <c r="S5151" i="3"/>
  <c r="T5151" i="3" s="1"/>
  <c r="S5153" i="3"/>
  <c r="T5153" i="3" s="1"/>
  <c r="S5155" i="3"/>
  <c r="T5155" i="3" s="1"/>
  <c r="S5157" i="3"/>
  <c r="T5157" i="3" s="1"/>
  <c r="S5159" i="3"/>
  <c r="T5159" i="3" s="1"/>
  <c r="S5161" i="3"/>
  <c r="T5161" i="3" s="1"/>
  <c r="S5163" i="3"/>
  <c r="T5163" i="3" s="1"/>
  <c r="S5165" i="3"/>
  <c r="T5165" i="3" s="1"/>
  <c r="S5167" i="3"/>
  <c r="T5167" i="3" s="1"/>
  <c r="S5169" i="3"/>
  <c r="T5169" i="3" s="1"/>
  <c r="S5171" i="3"/>
  <c r="T5171" i="3" s="1"/>
  <c r="S5173" i="3"/>
  <c r="T5173" i="3" s="1"/>
  <c r="S5175" i="3"/>
  <c r="T5175" i="3" s="1"/>
  <c r="S5177" i="3"/>
  <c r="T5177" i="3" s="1"/>
  <c r="S5179" i="3"/>
  <c r="T5179" i="3" s="1"/>
  <c r="S5181" i="3"/>
  <c r="T5181" i="3" s="1"/>
  <c r="S5183" i="3"/>
  <c r="T5183" i="3" s="1"/>
  <c r="S5185" i="3"/>
  <c r="T5185" i="3" s="1"/>
  <c r="S5187" i="3"/>
  <c r="T5187" i="3" s="1"/>
  <c r="S5189" i="3"/>
  <c r="T5189" i="3" s="1"/>
  <c r="S5191" i="3"/>
  <c r="T5191" i="3" s="1"/>
  <c r="S5193" i="3"/>
  <c r="T5193" i="3" s="1"/>
  <c r="S5195" i="3"/>
  <c r="T5195" i="3" s="1"/>
  <c r="S5197" i="3"/>
  <c r="T5197" i="3" s="1"/>
  <c r="S5199" i="3"/>
  <c r="T5199" i="3" s="1"/>
  <c r="S5201" i="3"/>
  <c r="T5201" i="3" s="1"/>
  <c r="S5203" i="3"/>
  <c r="T5203" i="3" s="1"/>
  <c r="S5205" i="3"/>
  <c r="T5205" i="3" s="1"/>
  <c r="S5207" i="3"/>
  <c r="T5207" i="3" s="1"/>
  <c r="S5209" i="3"/>
  <c r="T5209" i="3" s="1"/>
  <c r="S5211" i="3"/>
  <c r="T5211" i="3" s="1"/>
  <c r="S5213" i="3"/>
  <c r="T5213" i="3" s="1"/>
  <c r="S5215" i="3"/>
  <c r="T5215" i="3" s="1"/>
  <c r="S5217" i="3"/>
  <c r="T5217" i="3" s="1"/>
  <c r="S5219" i="3"/>
  <c r="T5219" i="3" s="1"/>
  <c r="S5221" i="3"/>
  <c r="T5221" i="3" s="1"/>
  <c r="S5223" i="3"/>
  <c r="T5223" i="3" s="1"/>
  <c r="S5225" i="3"/>
  <c r="T5225" i="3" s="1"/>
  <c r="S5227" i="3"/>
  <c r="T5227" i="3" s="1"/>
  <c r="S5229" i="3"/>
  <c r="T5229" i="3" s="1"/>
  <c r="S5231" i="3"/>
  <c r="T5231" i="3" s="1"/>
  <c r="S5233" i="3"/>
  <c r="T5233" i="3" s="1"/>
  <c r="S5235" i="3"/>
  <c r="T5235" i="3" s="1"/>
  <c r="S5237" i="3"/>
  <c r="T5237" i="3" s="1"/>
  <c r="S5239" i="3"/>
  <c r="T5239" i="3" s="1"/>
  <c r="S5241" i="3"/>
  <c r="T5241" i="3" s="1"/>
  <c r="S5243" i="3"/>
  <c r="T5243" i="3" s="1"/>
  <c r="S5245" i="3"/>
  <c r="T5245" i="3" s="1"/>
  <c r="S5247" i="3"/>
  <c r="T5247" i="3" s="1"/>
  <c r="S5249" i="3"/>
  <c r="T5249" i="3" s="1"/>
  <c r="S5251" i="3"/>
  <c r="T5251" i="3" s="1"/>
  <c r="S5253" i="3"/>
  <c r="T5253" i="3" s="1"/>
  <c r="S5255" i="3"/>
  <c r="T5255" i="3" s="1"/>
  <c r="S5257" i="3"/>
  <c r="T5257" i="3" s="1"/>
  <c r="S5259" i="3"/>
  <c r="T5259" i="3" s="1"/>
  <c r="S5261" i="3"/>
  <c r="T5261" i="3" s="1"/>
  <c r="S5263" i="3"/>
  <c r="T5263" i="3" s="1"/>
  <c r="S5265" i="3"/>
  <c r="T5265" i="3" s="1"/>
  <c r="S5267" i="3"/>
  <c r="T5267" i="3" s="1"/>
  <c r="S5269" i="3"/>
  <c r="T5269" i="3" s="1"/>
  <c r="S5271" i="3"/>
  <c r="T5271" i="3" s="1"/>
  <c r="S5273" i="3"/>
  <c r="T5273" i="3" s="1"/>
  <c r="S5275" i="3"/>
  <c r="T5275" i="3" s="1"/>
  <c r="S5277" i="3"/>
  <c r="T5277" i="3" s="1"/>
  <c r="S5279" i="3"/>
  <c r="T5279" i="3" s="1"/>
  <c r="S5281" i="3"/>
  <c r="T5281" i="3" s="1"/>
  <c r="S5283" i="3"/>
  <c r="T5283" i="3" s="1"/>
  <c r="S5285" i="3"/>
  <c r="T5285" i="3" s="1"/>
  <c r="S5287" i="3"/>
  <c r="T5287" i="3" s="1"/>
  <c r="S5289" i="3"/>
  <c r="T5289" i="3" s="1"/>
  <c r="S5291" i="3"/>
  <c r="T5291" i="3" s="1"/>
  <c r="S5293" i="3"/>
  <c r="T5293" i="3" s="1"/>
  <c r="S5295" i="3"/>
  <c r="T5295" i="3" s="1"/>
  <c r="S5297" i="3"/>
  <c r="T5297" i="3" s="1"/>
  <c r="S5299" i="3"/>
  <c r="T5299" i="3" s="1"/>
  <c r="S5301" i="3"/>
  <c r="T5301" i="3" s="1"/>
  <c r="S5303" i="3"/>
  <c r="T5303" i="3" s="1"/>
  <c r="S5305" i="3"/>
  <c r="T5305" i="3" s="1"/>
  <c r="S5307" i="3"/>
  <c r="T5307" i="3" s="1"/>
  <c r="S5309" i="3"/>
  <c r="T5309" i="3" s="1"/>
  <c r="S5311" i="3"/>
  <c r="T5311" i="3" s="1"/>
  <c r="S5313" i="3"/>
  <c r="T5313" i="3" s="1"/>
  <c r="S5315" i="3"/>
  <c r="T5315" i="3" s="1"/>
  <c r="S5317" i="3"/>
  <c r="T5317" i="3" s="1"/>
  <c r="S5319" i="3"/>
  <c r="T5319" i="3" s="1"/>
  <c r="S5321" i="3"/>
  <c r="T5321" i="3" s="1"/>
  <c r="S5323" i="3"/>
  <c r="T5323" i="3" s="1"/>
  <c r="S5325" i="3"/>
  <c r="T5325" i="3" s="1"/>
  <c r="S5327" i="3"/>
  <c r="T5327" i="3" s="1"/>
  <c r="S5329" i="3"/>
  <c r="T5329" i="3" s="1"/>
  <c r="S5331" i="3"/>
  <c r="T5331" i="3" s="1"/>
  <c r="S5333" i="3"/>
  <c r="T5333" i="3" s="1"/>
  <c r="S5335" i="3"/>
  <c r="T5335" i="3" s="1"/>
  <c r="S5337" i="3"/>
  <c r="T5337" i="3" s="1"/>
  <c r="S5339" i="3"/>
  <c r="T5339" i="3" s="1"/>
  <c r="S5341" i="3"/>
  <c r="T5341" i="3" s="1"/>
  <c r="S5343" i="3"/>
  <c r="T5343" i="3" s="1"/>
  <c r="S5345" i="3"/>
  <c r="T5345" i="3" s="1"/>
  <c r="S5347" i="3"/>
  <c r="T5347" i="3" s="1"/>
  <c r="S5349" i="3"/>
  <c r="T5349" i="3" s="1"/>
  <c r="S5351" i="3"/>
  <c r="T5351" i="3" s="1"/>
  <c r="S5353" i="3"/>
  <c r="T5353" i="3" s="1"/>
  <c r="S5384" i="3"/>
  <c r="T5384" i="3" s="1"/>
  <c r="S5386" i="3"/>
  <c r="T5386" i="3" s="1"/>
  <c r="S5388" i="3"/>
  <c r="T5388" i="3" s="1"/>
  <c r="S5390" i="3"/>
  <c r="T5390" i="3" s="1"/>
  <c r="S5392" i="3"/>
  <c r="T5392" i="3" s="1"/>
  <c r="S5394" i="3"/>
  <c r="T5394" i="3" s="1"/>
  <c r="S5396" i="3"/>
  <c r="T5396" i="3" s="1"/>
  <c r="S5398" i="3"/>
  <c r="T5398" i="3" s="1"/>
  <c r="S5400" i="3"/>
  <c r="T5400" i="3" s="1"/>
  <c r="S5402" i="3"/>
  <c r="T5402" i="3" s="1"/>
  <c r="S5404" i="3"/>
  <c r="T5404" i="3" s="1"/>
  <c r="S5406" i="3"/>
  <c r="T5406" i="3" s="1"/>
  <c r="S5408" i="3"/>
  <c r="T5408" i="3" s="1"/>
  <c r="S5410" i="3"/>
  <c r="T5410" i="3" s="1"/>
  <c r="S5412" i="3"/>
  <c r="T5412" i="3" s="1"/>
  <c r="S5414" i="3"/>
  <c r="T5414" i="3" s="1"/>
  <c r="S5416" i="3"/>
  <c r="T5416" i="3" s="1"/>
  <c r="S5418" i="3"/>
  <c r="T5418" i="3" s="1"/>
  <c r="S5420" i="3"/>
  <c r="T5420" i="3" s="1"/>
  <c r="S5422" i="3"/>
  <c r="T5422" i="3" s="1"/>
  <c r="S5424" i="3"/>
  <c r="T5424" i="3" s="1"/>
  <c r="S5426" i="3"/>
  <c r="T5426" i="3" s="1"/>
  <c r="S5428" i="3"/>
  <c r="T5428" i="3" s="1"/>
  <c r="S5430" i="3"/>
  <c r="T5430" i="3" s="1"/>
  <c r="S5432" i="3"/>
  <c r="T5432" i="3" s="1"/>
  <c r="S5434" i="3"/>
  <c r="T5434" i="3" s="1"/>
  <c r="S5436" i="3"/>
  <c r="T5436" i="3" s="1"/>
  <c r="S5438" i="3"/>
  <c r="T5438" i="3" s="1"/>
  <c r="S5440" i="3"/>
  <c r="T5440" i="3" s="1"/>
  <c r="S5442" i="3"/>
  <c r="T5442" i="3" s="1"/>
  <c r="S5444" i="3"/>
  <c r="T5444" i="3" s="1"/>
  <c r="S5446" i="3"/>
  <c r="T5446" i="3" s="1"/>
  <c r="S5448" i="3"/>
  <c r="T5448" i="3" s="1"/>
  <c r="S5450" i="3"/>
  <c r="T5450" i="3" s="1"/>
  <c r="S5452" i="3"/>
  <c r="T5452" i="3" s="1"/>
  <c r="S5454" i="3"/>
  <c r="T5454" i="3" s="1"/>
  <c r="S5456" i="3"/>
  <c r="T5456" i="3" s="1"/>
  <c r="S5458" i="3"/>
  <c r="T5458" i="3" s="1"/>
  <c r="S5460" i="3"/>
  <c r="T5460" i="3" s="1"/>
  <c r="S5462" i="3"/>
  <c r="T5462" i="3" s="1"/>
  <c r="S5464" i="3"/>
  <c r="T5464" i="3" s="1"/>
  <c r="S5466" i="3"/>
  <c r="T5466" i="3" s="1"/>
  <c r="S5468" i="3"/>
  <c r="T5468" i="3" s="1"/>
  <c r="S5470" i="3"/>
  <c r="T5470" i="3" s="1"/>
  <c r="S5472" i="3"/>
  <c r="T5472" i="3" s="1"/>
  <c r="S5474" i="3"/>
  <c r="T5474" i="3" s="1"/>
  <c r="S5476" i="3"/>
  <c r="T5476" i="3" s="1"/>
  <c r="S5478" i="3"/>
  <c r="T5478" i="3" s="1"/>
  <c r="S5480" i="3"/>
  <c r="T5480" i="3" s="1"/>
  <c r="S5482" i="3"/>
  <c r="T5482" i="3" s="1"/>
  <c r="S5484" i="3"/>
  <c r="T5484" i="3" s="1"/>
  <c r="S5486" i="3"/>
  <c r="T5486" i="3" s="1"/>
  <c r="S5488" i="3"/>
  <c r="T5488" i="3" s="1"/>
  <c r="S5490" i="3"/>
  <c r="T5490" i="3" s="1"/>
  <c r="S5492" i="3"/>
  <c r="T5492" i="3" s="1"/>
  <c r="S5494" i="3"/>
  <c r="T5494" i="3" s="1"/>
  <c r="S5496" i="3"/>
  <c r="T5496" i="3" s="1"/>
  <c r="S5498" i="3"/>
  <c r="T5498" i="3" s="1"/>
  <c r="S5500" i="3"/>
  <c r="T5500" i="3" s="1"/>
  <c r="S5502" i="3"/>
  <c r="T5502" i="3" s="1"/>
  <c r="S5504" i="3"/>
  <c r="T5504" i="3" s="1"/>
  <c r="S5506" i="3"/>
  <c r="T5506" i="3" s="1"/>
  <c r="S5508" i="3"/>
  <c r="T5508" i="3" s="1"/>
  <c r="S5510" i="3"/>
  <c r="T5510" i="3" s="1"/>
  <c r="S5512" i="3"/>
  <c r="T5512" i="3" s="1"/>
  <c r="S5514" i="3"/>
  <c r="T5514" i="3" s="1"/>
  <c r="S5516" i="3"/>
  <c r="T5516" i="3" s="1"/>
  <c r="S5518" i="3"/>
  <c r="T5518" i="3" s="1"/>
  <c r="S5520" i="3"/>
  <c r="T5520" i="3" s="1"/>
  <c r="S5522" i="3"/>
  <c r="T5522" i="3" s="1"/>
  <c r="S5524" i="3"/>
  <c r="T5524" i="3" s="1"/>
  <c r="S5526" i="3"/>
  <c r="T5526" i="3" s="1"/>
  <c r="S5528" i="3"/>
  <c r="T5528" i="3" s="1"/>
  <c r="S5530" i="3"/>
  <c r="T5530" i="3" s="1"/>
  <c r="S5532" i="3"/>
  <c r="T5532" i="3" s="1"/>
  <c r="S5534" i="3"/>
  <c r="T5534" i="3" s="1"/>
  <c r="S5536" i="3"/>
  <c r="T5536" i="3" s="1"/>
  <c r="S5538" i="3"/>
  <c r="T5538" i="3" s="1"/>
  <c r="S5540" i="3"/>
  <c r="T5540" i="3" s="1"/>
  <c r="S5542" i="3"/>
  <c r="T5542" i="3" s="1"/>
  <c r="S5544" i="3"/>
  <c r="T5544" i="3" s="1"/>
  <c r="S5546" i="3"/>
  <c r="T5546" i="3" s="1"/>
  <c r="S5548" i="3"/>
  <c r="T5548" i="3" s="1"/>
  <c r="S5550" i="3"/>
  <c r="T5550" i="3" s="1"/>
  <c r="S5552" i="3"/>
  <c r="T5552" i="3" s="1"/>
  <c r="S5554" i="3"/>
  <c r="T5554" i="3" s="1"/>
  <c r="S5556" i="3"/>
  <c r="T5556" i="3" s="1"/>
  <c r="S5558" i="3"/>
  <c r="T5558" i="3" s="1"/>
  <c r="S5560" i="3"/>
  <c r="T5560" i="3" s="1"/>
  <c r="S5562" i="3"/>
  <c r="T5562" i="3" s="1"/>
  <c r="S5564" i="3"/>
  <c r="T5564" i="3" s="1"/>
  <c r="S5566" i="3"/>
  <c r="T5566" i="3" s="1"/>
  <c r="S5568" i="3"/>
  <c r="T5568" i="3" s="1"/>
  <c r="S5570" i="3"/>
  <c r="T5570" i="3" s="1"/>
  <c r="S5572" i="3"/>
  <c r="T5572" i="3" s="1"/>
  <c r="S5786" i="3"/>
  <c r="T5786" i="3" s="1"/>
  <c r="S5788" i="3"/>
  <c r="T5788" i="3" s="1"/>
  <c r="S5790" i="3"/>
  <c r="T5790" i="3" s="1"/>
  <c r="S5792" i="3"/>
  <c r="T5792" i="3" s="1"/>
  <c r="S5794" i="3"/>
  <c r="T5794" i="3" s="1"/>
  <c r="S5796" i="3"/>
  <c r="T5796" i="3" s="1"/>
  <c r="S5798" i="3"/>
  <c r="T5798" i="3" s="1"/>
  <c r="S5800" i="3"/>
  <c r="T5800" i="3" s="1"/>
  <c r="S5802" i="3"/>
  <c r="T5802" i="3" s="1"/>
  <c r="S6145" i="3"/>
  <c r="T6145" i="3" s="1"/>
  <c r="S6147" i="3"/>
  <c r="T6147" i="3" s="1"/>
  <c r="S6149" i="3"/>
  <c r="T6149" i="3" s="1"/>
  <c r="S6151" i="3"/>
  <c r="T6151" i="3" s="1"/>
  <c r="S6153" i="3"/>
  <c r="T6153" i="3" s="1"/>
  <c r="S6155" i="3"/>
  <c r="T6155" i="3" s="1"/>
  <c r="S6157" i="3"/>
  <c r="T6157" i="3" s="1"/>
  <c r="S6159" i="3"/>
  <c r="T6159" i="3" s="1"/>
  <c r="S6222" i="3"/>
  <c r="T6222" i="3" s="1"/>
  <c r="S6224" i="3"/>
  <c r="T6224" i="3" s="1"/>
  <c r="S6226" i="3"/>
  <c r="T6226" i="3" s="1"/>
  <c r="S6228" i="3"/>
  <c r="T6228" i="3" s="1"/>
  <c r="S6230" i="3"/>
  <c r="T6230" i="3" s="1"/>
  <c r="S6232" i="3"/>
  <c r="T6232" i="3" s="1"/>
  <c r="S6234" i="3"/>
  <c r="T6234" i="3" s="1"/>
  <c r="S6236" i="3"/>
  <c r="T6236" i="3" s="1"/>
  <c r="S6238" i="3"/>
  <c r="T6238" i="3" s="1"/>
  <c r="S6240" i="3"/>
  <c r="T6240" i="3" s="1"/>
  <c r="S5374" i="3"/>
  <c r="T5374" i="3" s="1"/>
  <c r="S5575" i="3"/>
  <c r="T5575" i="3" s="1"/>
  <c r="S5579" i="3"/>
  <c r="T5579" i="3" s="1"/>
  <c r="S5581" i="3"/>
  <c r="T5581" i="3" s="1"/>
  <c r="S5583" i="3"/>
  <c r="T5583" i="3" s="1"/>
  <c r="S5589" i="3"/>
  <c r="T5589" i="3" s="1"/>
  <c r="S5593" i="3"/>
  <c r="T5593" i="3" s="1"/>
  <c r="S5595" i="3"/>
  <c r="T5595" i="3" s="1"/>
  <c r="S5599" i="3"/>
  <c r="T5599" i="3" s="1"/>
  <c r="S5605" i="3"/>
  <c r="T5605" i="3" s="1"/>
  <c r="S5607" i="3"/>
  <c r="T5607" i="3" s="1"/>
  <c r="S5609" i="3"/>
  <c r="T5609" i="3" s="1"/>
  <c r="S5623" i="3"/>
  <c r="T5623" i="3" s="1"/>
  <c r="S5627" i="3"/>
  <c r="T5627" i="3" s="1"/>
  <c r="S5641" i="3"/>
  <c r="T5641" i="3" s="1"/>
  <c r="S5655" i="3"/>
  <c r="T5655" i="3" s="1"/>
  <c r="S5657" i="3"/>
  <c r="T5657" i="3" s="1"/>
  <c r="S5671" i="3"/>
  <c r="T5671" i="3" s="1"/>
  <c r="S5732" i="3"/>
  <c r="T5732" i="3" s="1"/>
  <c r="S5734" i="3"/>
  <c r="T5734" i="3" s="1"/>
  <c r="S5736" i="3"/>
  <c r="T5736" i="3" s="1"/>
  <c r="S5738" i="3"/>
  <c r="T5738" i="3" s="1"/>
  <c r="S5742" i="3"/>
  <c r="T5742" i="3" s="1"/>
  <c r="S5756" i="3"/>
  <c r="T5756" i="3" s="1"/>
  <c r="S5762" i="3"/>
  <c r="T5762" i="3" s="1"/>
  <c r="S5766" i="3"/>
  <c r="T5766" i="3" s="1"/>
  <c r="S5768" i="3"/>
  <c r="T5768" i="3" s="1"/>
  <c r="S5770" i="3"/>
  <c r="T5770" i="3" s="1"/>
  <c r="S5776" i="3"/>
  <c r="T5776" i="3" s="1"/>
  <c r="S5782" i="3"/>
  <c r="T5782" i="3" s="1"/>
  <c r="S5811" i="3"/>
  <c r="T5811" i="3" s="1"/>
  <c r="S5813" i="3"/>
  <c r="T5813" i="3" s="1"/>
  <c r="S5815" i="3"/>
  <c r="T5815" i="3" s="1"/>
  <c r="S5819" i="3"/>
  <c r="T5819" i="3" s="1"/>
  <c r="S5823" i="3"/>
  <c r="T5823" i="3" s="1"/>
  <c r="S5827" i="3"/>
  <c r="T5827" i="3" s="1"/>
  <c r="S5835" i="3"/>
  <c r="T5835" i="3" s="1"/>
  <c r="S5857" i="3"/>
  <c r="T5857" i="3" s="1"/>
  <c r="S5859" i="3"/>
  <c r="T5859" i="3" s="1"/>
  <c r="S5861" i="3"/>
  <c r="T5861" i="3" s="1"/>
  <c r="S5863" i="3"/>
  <c r="T5863" i="3" s="1"/>
  <c r="S5867" i="3"/>
  <c r="T5867" i="3" s="1"/>
  <c r="S5869" i="3"/>
  <c r="T5869" i="3" s="1"/>
  <c r="S5901" i="3"/>
  <c r="T5901" i="3" s="1"/>
  <c r="S5905" i="3"/>
  <c r="T5905" i="3" s="1"/>
  <c r="S5907" i="3"/>
  <c r="T5907" i="3" s="1"/>
  <c r="S5909" i="3"/>
  <c r="T5909" i="3" s="1"/>
  <c r="S5917" i="3"/>
  <c r="T5917" i="3" s="1"/>
  <c r="S5921" i="3"/>
  <c r="T5921" i="3" s="1"/>
  <c r="S5925" i="3"/>
  <c r="T5925" i="3" s="1"/>
  <c r="S5947" i="3"/>
  <c r="T5947" i="3" s="1"/>
  <c r="S5955" i="3"/>
  <c r="T5955" i="3" s="1"/>
  <c r="S5965" i="3"/>
  <c r="T5965" i="3" s="1"/>
  <c r="S5973" i="3"/>
  <c r="T5973" i="3" s="1"/>
  <c r="S5979" i="3"/>
  <c r="T5979" i="3" s="1"/>
  <c r="S6001" i="3"/>
  <c r="T6001" i="3" s="1"/>
  <c r="S6005" i="3"/>
  <c r="T6005" i="3" s="1"/>
  <c r="S6009" i="3"/>
  <c r="T6009" i="3" s="1"/>
  <c r="S6011" i="3"/>
  <c r="T6011" i="3" s="1"/>
  <c r="S6013" i="3"/>
  <c r="T6013" i="3" s="1"/>
  <c r="S6017" i="3"/>
  <c r="T6017" i="3" s="1"/>
  <c r="S6021" i="3"/>
  <c r="T6021" i="3" s="1"/>
  <c r="S6023" i="3"/>
  <c r="T6023" i="3" s="1"/>
  <c r="S6033" i="3"/>
  <c r="T6033" i="3" s="1"/>
  <c r="S6041" i="3"/>
  <c r="T6041" i="3" s="1"/>
  <c r="S6051" i="3"/>
  <c r="T6051" i="3" s="1"/>
  <c r="S6067" i="3"/>
  <c r="T6067" i="3" s="1"/>
  <c r="S6075" i="3"/>
  <c r="T6075" i="3" s="1"/>
  <c r="S6077" i="3"/>
  <c r="T6077" i="3" s="1"/>
  <c r="S6079" i="3"/>
  <c r="T6079" i="3" s="1"/>
  <c r="S6081" i="3"/>
  <c r="T6081" i="3" s="1"/>
  <c r="S6085" i="3"/>
  <c r="T6085" i="3" s="1"/>
  <c r="S6089" i="3"/>
  <c r="T6089" i="3" s="1"/>
  <c r="S6091" i="3"/>
  <c r="T6091" i="3" s="1"/>
  <c r="S6101" i="3"/>
  <c r="T6101" i="3" s="1"/>
  <c r="S6103" i="3"/>
  <c r="T6103" i="3" s="1"/>
  <c r="S6105" i="3"/>
  <c r="T6105" i="3" s="1"/>
  <c r="S6107" i="3"/>
  <c r="T6107" i="3" s="1"/>
  <c r="S6111" i="3"/>
  <c r="T6111" i="3" s="1"/>
  <c r="S6115" i="3"/>
  <c r="T6115" i="3" s="1"/>
  <c r="S6119" i="3"/>
  <c r="T6119" i="3" s="1"/>
  <c r="S6123" i="3"/>
  <c r="T6123" i="3" s="1"/>
  <c r="S6125" i="3"/>
  <c r="T6125" i="3" s="1"/>
  <c r="S6127" i="3"/>
  <c r="T6127" i="3" s="1"/>
  <c r="S6139" i="3"/>
  <c r="T6139" i="3" s="1"/>
  <c r="S6141" i="3"/>
  <c r="T6141" i="3" s="1"/>
  <c r="S6241" i="3"/>
  <c r="T6241" i="3" s="1"/>
  <c r="S6245" i="3"/>
  <c r="T6245" i="3" s="1"/>
  <c r="S6247" i="3"/>
  <c r="T6247" i="3" s="1"/>
  <c r="S6259" i="3"/>
  <c r="T6259" i="3" s="1"/>
  <c r="S6267" i="3"/>
  <c r="T6267" i="3" s="1"/>
  <c r="S6271" i="3"/>
  <c r="T6271" i="3" s="1"/>
  <c r="S6299" i="3"/>
  <c r="T6299" i="3" s="1"/>
  <c r="S6303" i="3"/>
  <c r="T6303" i="3" s="1"/>
  <c r="S6305" i="3"/>
  <c r="T6305" i="3" s="1"/>
  <c r="S6307" i="3"/>
  <c r="T6307" i="3" s="1"/>
  <c r="S6309" i="3"/>
  <c r="T6309" i="3" s="1"/>
  <c r="S6317" i="3"/>
  <c r="T6317" i="3" s="1"/>
  <c r="S6319" i="3"/>
  <c r="T6319" i="3" s="1"/>
  <c r="S6321" i="3"/>
  <c r="T6321" i="3" s="1"/>
  <c r="S6345" i="3"/>
  <c r="T6345" i="3" s="1"/>
  <c r="S6353" i="3"/>
  <c r="T6353" i="3" s="1"/>
  <c r="S6363" i="3"/>
  <c r="T6363" i="3" s="1"/>
  <c r="S6379" i="3"/>
  <c r="T6379" i="3" s="1"/>
  <c r="S6388" i="3"/>
  <c r="T6388" i="3" s="1"/>
  <c r="S6395" i="3"/>
  <c r="T6395" i="3" s="1"/>
  <c r="S6403" i="3"/>
  <c r="T6403" i="3" s="1"/>
  <c r="S5" i="3"/>
  <c r="T5" i="3" s="1"/>
  <c r="S7" i="3"/>
  <c r="T7" i="3" s="1"/>
  <c r="S9" i="3"/>
  <c r="T9" i="3" s="1"/>
  <c r="S2318" i="3"/>
  <c r="T2318" i="3" s="1"/>
  <c r="S2320" i="3"/>
  <c r="T2320" i="3" s="1"/>
  <c r="S2322" i="3"/>
  <c r="T2322" i="3" s="1"/>
  <c r="S2324" i="3"/>
  <c r="T2324" i="3" s="1"/>
  <c r="S2326" i="3"/>
  <c r="T2326" i="3" s="1"/>
  <c r="S2328" i="3"/>
  <c r="T2328" i="3" s="1"/>
  <c r="S2330" i="3"/>
  <c r="T2330" i="3" s="1"/>
  <c r="S2332" i="3"/>
  <c r="T2332" i="3" s="1"/>
  <c r="S2334" i="3"/>
  <c r="T2334" i="3" s="1"/>
  <c r="S2336" i="3"/>
  <c r="T2336" i="3" s="1"/>
  <c r="S2338" i="3"/>
  <c r="T2338" i="3" s="1"/>
  <c r="S2340" i="3"/>
  <c r="T2340" i="3" s="1"/>
  <c r="S2342" i="3"/>
  <c r="T2342" i="3" s="1"/>
  <c r="S2344" i="3"/>
  <c r="T2344" i="3" s="1"/>
  <c r="S2346" i="3"/>
  <c r="T2346" i="3" s="1"/>
  <c r="S2348" i="3"/>
  <c r="T2348" i="3" s="1"/>
  <c r="S2350" i="3"/>
  <c r="T2350" i="3" s="1"/>
  <c r="S2352" i="3"/>
  <c r="T2352" i="3" s="1"/>
  <c r="S2354" i="3"/>
  <c r="T2354" i="3" s="1"/>
  <c r="S2356" i="3"/>
  <c r="T2356" i="3" s="1"/>
  <c r="S2358" i="3"/>
  <c r="T2358" i="3" s="1"/>
  <c r="S2360" i="3"/>
  <c r="T2360" i="3" s="1"/>
  <c r="S2362" i="3"/>
  <c r="T2362" i="3" s="1"/>
  <c r="S2364" i="3"/>
  <c r="T2364" i="3" s="1"/>
  <c r="S2366" i="3"/>
  <c r="T2366" i="3" s="1"/>
  <c r="S2368" i="3"/>
  <c r="T2368" i="3" s="1"/>
  <c r="S2370" i="3"/>
  <c r="T2370" i="3" s="1"/>
  <c r="S2372" i="3"/>
  <c r="T2372" i="3" s="1"/>
  <c r="S2374" i="3"/>
  <c r="T2374" i="3" s="1"/>
  <c r="S2376" i="3"/>
  <c r="T2376" i="3" s="1"/>
  <c r="S2378" i="3"/>
  <c r="T2378" i="3" s="1"/>
  <c r="S2380" i="3"/>
  <c r="T2380" i="3" s="1"/>
  <c r="S2382" i="3"/>
  <c r="T2382" i="3" s="1"/>
  <c r="S2384" i="3"/>
  <c r="T2384" i="3" s="1"/>
  <c r="S2386" i="3"/>
  <c r="T2386" i="3" s="1"/>
  <c r="S2388" i="3"/>
  <c r="T2388" i="3" s="1"/>
  <c r="S2390" i="3"/>
  <c r="T2390" i="3" s="1"/>
  <c r="S2392" i="3"/>
  <c r="T2392" i="3" s="1"/>
  <c r="S2394" i="3"/>
  <c r="T2394" i="3" s="1"/>
  <c r="S2396" i="3"/>
  <c r="T2396" i="3" s="1"/>
  <c r="S2398" i="3"/>
  <c r="T2398" i="3" s="1"/>
  <c r="S2417" i="3"/>
  <c r="T2417" i="3" s="1"/>
  <c r="S2419" i="3"/>
  <c r="T2419" i="3" s="1"/>
  <c r="S2421" i="3"/>
  <c r="T2421" i="3" s="1"/>
  <c r="S2423" i="3"/>
  <c r="T2423" i="3" s="1"/>
  <c r="S2425" i="3"/>
  <c r="T2425" i="3" s="1"/>
  <c r="S2427" i="3"/>
  <c r="T2427" i="3" s="1"/>
  <c r="S2429" i="3"/>
  <c r="T2429" i="3" s="1"/>
  <c r="S2431" i="3"/>
  <c r="T2431" i="3" s="1"/>
  <c r="S2433" i="3"/>
  <c r="T2433" i="3" s="1"/>
  <c r="S2435" i="3"/>
  <c r="T2435" i="3" s="1"/>
  <c r="S2437" i="3"/>
  <c r="T2437" i="3" s="1"/>
  <c r="S2439" i="3"/>
  <c r="T2439" i="3" s="1"/>
  <c r="S2441" i="3"/>
  <c r="T2441" i="3" s="1"/>
  <c r="S2443" i="3"/>
  <c r="T2443" i="3" s="1"/>
  <c r="S2445" i="3"/>
  <c r="T2445" i="3" s="1"/>
  <c r="S2447" i="3"/>
  <c r="T2447" i="3" s="1"/>
  <c r="S2449" i="3"/>
  <c r="T2449" i="3" s="1"/>
  <c r="S2451" i="3"/>
  <c r="T2451" i="3" s="1"/>
  <c r="S2453" i="3"/>
  <c r="T2453" i="3" s="1"/>
  <c r="S2455" i="3"/>
  <c r="T2455" i="3" s="1"/>
  <c r="S2457" i="3"/>
  <c r="T2457" i="3" s="1"/>
  <c r="S2459" i="3"/>
  <c r="T2459" i="3" s="1"/>
  <c r="S2461" i="3"/>
  <c r="T2461" i="3" s="1"/>
  <c r="S2463" i="3"/>
  <c r="T2463" i="3" s="1"/>
  <c r="S2465" i="3"/>
  <c r="T2465" i="3" s="1"/>
  <c r="S2467" i="3"/>
  <c r="T2467" i="3" s="1"/>
  <c r="S2469" i="3"/>
  <c r="T2469" i="3" s="1"/>
  <c r="S2471" i="3"/>
  <c r="T2471" i="3" s="1"/>
  <c r="S2473" i="3"/>
  <c r="T2473" i="3" s="1"/>
  <c r="S2475" i="3"/>
  <c r="T2475" i="3" s="1"/>
  <c r="S2477" i="3"/>
  <c r="T2477" i="3" s="1"/>
  <c r="S2478" i="3"/>
  <c r="T2478" i="3" s="1"/>
  <c r="S2480" i="3"/>
  <c r="T2480" i="3" s="1"/>
  <c r="S2482" i="3"/>
  <c r="T2482" i="3" s="1"/>
  <c r="S2484" i="3"/>
  <c r="T2484" i="3" s="1"/>
  <c r="S2486" i="3"/>
  <c r="T2486" i="3" s="1"/>
  <c r="S2488" i="3"/>
  <c r="T2488" i="3" s="1"/>
  <c r="S2490" i="3"/>
  <c r="T2490" i="3" s="1"/>
  <c r="S2492" i="3"/>
  <c r="T2492" i="3" s="1"/>
  <c r="S2494" i="3"/>
  <c r="T2494" i="3" s="1"/>
  <c r="S2496" i="3"/>
  <c r="T2496" i="3" s="1"/>
  <c r="S2498" i="3"/>
  <c r="T2498" i="3" s="1"/>
  <c r="S2500" i="3"/>
  <c r="T2500" i="3" s="1"/>
  <c r="S2502" i="3"/>
  <c r="T2502" i="3" s="1"/>
  <c r="S2504" i="3"/>
  <c r="T2504" i="3" s="1"/>
  <c r="S2506" i="3"/>
  <c r="T2506" i="3" s="1"/>
  <c r="S2508" i="3"/>
  <c r="T2508" i="3" s="1"/>
  <c r="S2510" i="3"/>
  <c r="T2510" i="3" s="1"/>
  <c r="S2512" i="3"/>
  <c r="T2512" i="3" s="1"/>
  <c r="S2514" i="3"/>
  <c r="T2514" i="3" s="1"/>
  <c r="S2516" i="3"/>
  <c r="T2516" i="3" s="1"/>
  <c r="S2518" i="3"/>
  <c r="T2518" i="3" s="1"/>
  <c r="S2520" i="3"/>
  <c r="T2520" i="3" s="1"/>
  <c r="S2522" i="3"/>
  <c r="T2522" i="3" s="1"/>
  <c r="S2524" i="3"/>
  <c r="T2524" i="3" s="1"/>
  <c r="S2526" i="3"/>
  <c r="T2526" i="3" s="1"/>
  <c r="S2528" i="3"/>
  <c r="T2528" i="3" s="1"/>
  <c r="S2530" i="3"/>
  <c r="T2530" i="3" s="1"/>
  <c r="S2532" i="3"/>
  <c r="T2532" i="3" s="1"/>
  <c r="S2534" i="3"/>
  <c r="T2534" i="3" s="1"/>
  <c r="S2536" i="3"/>
  <c r="T2536" i="3" s="1"/>
  <c r="S2538" i="3"/>
  <c r="T2538" i="3" s="1"/>
  <c r="S2540" i="3"/>
  <c r="T2540" i="3" s="1"/>
  <c r="S2542" i="3"/>
  <c r="T2542" i="3" s="1"/>
  <c r="S2544" i="3"/>
  <c r="T2544" i="3" s="1"/>
  <c r="S2546" i="3"/>
  <c r="T2546" i="3" s="1"/>
  <c r="S2548" i="3"/>
  <c r="T2548" i="3" s="1"/>
  <c r="S2550" i="3"/>
  <c r="T2550" i="3" s="1"/>
  <c r="S2552" i="3"/>
  <c r="T2552" i="3" s="1"/>
  <c r="S2554" i="3"/>
  <c r="T2554" i="3" s="1"/>
  <c r="S2556" i="3"/>
  <c r="T2556" i="3" s="1"/>
  <c r="S2558" i="3"/>
  <c r="T2558" i="3" s="1"/>
  <c r="S2560" i="3"/>
  <c r="T2560" i="3" s="1"/>
  <c r="S2562" i="3"/>
  <c r="T2562" i="3" s="1"/>
  <c r="S2564" i="3"/>
  <c r="T2564" i="3" s="1"/>
  <c r="S2566" i="3"/>
  <c r="T2566" i="3" s="1"/>
  <c r="S2568" i="3"/>
  <c r="T2568" i="3" s="1"/>
  <c r="S2570" i="3"/>
  <c r="T2570" i="3" s="1"/>
  <c r="S2572" i="3"/>
  <c r="T2572" i="3" s="1"/>
  <c r="S2574" i="3"/>
  <c r="T2574" i="3" s="1"/>
  <c r="S2576" i="3"/>
  <c r="T2576" i="3" s="1"/>
  <c r="S2578" i="3"/>
  <c r="T2578" i="3" s="1"/>
  <c r="S2580" i="3"/>
  <c r="T2580" i="3" s="1"/>
  <c r="S2582" i="3"/>
  <c r="T2582" i="3" s="1"/>
  <c r="S2584" i="3"/>
  <c r="T2584" i="3" s="1"/>
  <c r="S2586" i="3"/>
  <c r="T2586" i="3" s="1"/>
  <c r="S2588" i="3"/>
  <c r="T2588" i="3" s="1"/>
  <c r="S2590" i="3"/>
  <c r="T2590" i="3" s="1"/>
  <c r="S2592" i="3"/>
  <c r="T2592" i="3" s="1"/>
  <c r="S2594" i="3"/>
  <c r="T2594" i="3" s="1"/>
  <c r="S2596" i="3"/>
  <c r="T2596" i="3" s="1"/>
  <c r="S2598" i="3"/>
  <c r="T2598" i="3" s="1"/>
  <c r="S2600" i="3"/>
  <c r="T2600" i="3" s="1"/>
  <c r="S2602" i="3"/>
  <c r="T2602" i="3" s="1"/>
  <c r="S2604" i="3"/>
  <c r="T2604" i="3" s="1"/>
  <c r="S2606" i="3"/>
  <c r="T2606" i="3" s="1"/>
  <c r="S2608" i="3"/>
  <c r="T2608" i="3" s="1"/>
  <c r="S2610" i="3"/>
  <c r="T2610" i="3" s="1"/>
  <c r="S2612" i="3"/>
  <c r="T2612" i="3" s="1"/>
  <c r="S2614" i="3"/>
  <c r="T2614" i="3" s="1"/>
  <c r="S2615" i="3"/>
  <c r="T2615" i="3" s="1"/>
  <c r="S2617" i="3"/>
  <c r="T2617" i="3" s="1"/>
  <c r="S2619" i="3"/>
  <c r="T2619" i="3" s="1"/>
  <c r="S2621" i="3"/>
  <c r="T2621" i="3" s="1"/>
  <c r="S2623" i="3"/>
  <c r="T2623" i="3" s="1"/>
  <c r="S2625" i="3"/>
  <c r="T2625" i="3" s="1"/>
  <c r="S2627" i="3"/>
  <c r="T2627" i="3" s="1"/>
  <c r="S2629" i="3"/>
  <c r="T2629" i="3" s="1"/>
  <c r="S2631" i="3"/>
  <c r="T2631" i="3" s="1"/>
  <c r="S2633" i="3"/>
  <c r="T2633" i="3" s="1"/>
  <c r="S2635" i="3"/>
  <c r="T2635" i="3" s="1"/>
  <c r="S2637" i="3"/>
  <c r="T2637" i="3" s="1"/>
  <c r="S2639" i="3"/>
  <c r="T2639" i="3" s="1"/>
  <c r="S2641" i="3"/>
  <c r="T2641" i="3" s="1"/>
  <c r="S2643" i="3"/>
  <c r="T2643" i="3" s="1"/>
  <c r="S2645" i="3"/>
  <c r="T2645" i="3" s="1"/>
  <c r="S2648" i="3"/>
  <c r="T2648" i="3" s="1"/>
  <c r="S2650" i="3"/>
  <c r="T2650" i="3" s="1"/>
  <c r="S2652" i="3"/>
  <c r="T2652" i="3" s="1"/>
  <c r="S2654" i="3"/>
  <c r="T2654" i="3" s="1"/>
  <c r="S2656" i="3"/>
  <c r="T2656" i="3" s="1"/>
  <c r="S2658" i="3"/>
  <c r="T2658" i="3" s="1"/>
  <c r="S2660" i="3"/>
  <c r="T2660" i="3" s="1"/>
  <c r="S2662" i="3"/>
  <c r="T2662" i="3" s="1"/>
  <c r="S2664" i="3"/>
  <c r="T2664" i="3" s="1"/>
  <c r="S2666" i="3"/>
  <c r="T2666" i="3" s="1"/>
  <c r="S2667" i="3"/>
  <c r="T2667" i="3" s="1"/>
  <c r="S2670" i="3"/>
  <c r="T2670" i="3" s="1"/>
  <c r="S2672" i="3"/>
  <c r="T2672" i="3" s="1"/>
  <c r="S2674" i="3"/>
  <c r="T2674" i="3" s="1"/>
  <c r="S2676" i="3"/>
  <c r="T2676" i="3" s="1"/>
  <c r="S2678" i="3"/>
  <c r="T2678" i="3" s="1"/>
  <c r="S2680" i="3"/>
  <c r="T2680" i="3" s="1"/>
  <c r="S2682" i="3"/>
  <c r="T2682" i="3" s="1"/>
  <c r="S2684" i="3"/>
  <c r="T2684" i="3" s="1"/>
  <c r="S2686" i="3"/>
  <c r="T2686" i="3" s="1"/>
  <c r="S2688" i="3"/>
  <c r="T2688" i="3" s="1"/>
  <c r="S2690" i="3"/>
  <c r="T2690" i="3" s="1"/>
  <c r="S2692" i="3"/>
  <c r="T2692" i="3" s="1"/>
  <c r="S2694" i="3"/>
  <c r="T2694" i="3" s="1"/>
  <c r="S2696" i="3"/>
  <c r="T2696" i="3" s="1"/>
  <c r="S2698" i="3"/>
  <c r="T2698" i="3" s="1"/>
  <c r="S2700" i="3"/>
  <c r="T2700" i="3" s="1"/>
  <c r="S2702" i="3"/>
  <c r="T2702" i="3" s="1"/>
  <c r="S2704" i="3"/>
  <c r="T2704" i="3" s="1"/>
  <c r="S2706" i="3"/>
  <c r="T2706" i="3" s="1"/>
  <c r="S2708" i="3"/>
  <c r="T2708" i="3" s="1"/>
  <c r="S2710" i="3"/>
  <c r="T2710" i="3" s="1"/>
  <c r="S2712" i="3"/>
  <c r="T2712" i="3" s="1"/>
  <c r="S2714" i="3"/>
  <c r="T2714" i="3" s="1"/>
  <c r="S2716" i="3"/>
  <c r="T2716" i="3" s="1"/>
  <c r="S2718" i="3"/>
  <c r="T2718" i="3" s="1"/>
  <c r="S2720" i="3"/>
  <c r="T2720" i="3" s="1"/>
  <c r="S2722" i="3"/>
  <c r="T2722" i="3" s="1"/>
  <c r="S2724" i="3"/>
  <c r="T2724" i="3" s="1"/>
  <c r="S2726" i="3"/>
  <c r="T2726" i="3" s="1"/>
  <c r="S2728" i="3"/>
  <c r="T2728" i="3" s="1"/>
  <c r="S2730" i="3"/>
  <c r="T2730" i="3" s="1"/>
  <c r="S2732" i="3"/>
  <c r="T2732" i="3" s="1"/>
  <c r="S2734" i="3"/>
  <c r="T2734" i="3" s="1"/>
  <c r="S2736" i="3"/>
  <c r="T2736" i="3" s="1"/>
  <c r="S2738" i="3"/>
  <c r="T2738" i="3" s="1"/>
  <c r="S2740" i="3"/>
  <c r="T2740" i="3" s="1"/>
  <c r="S2742" i="3"/>
  <c r="T2742" i="3" s="1"/>
  <c r="S2744" i="3"/>
  <c r="T2744" i="3" s="1"/>
  <c r="S2746" i="3"/>
  <c r="T2746" i="3" s="1"/>
  <c r="S2748" i="3"/>
  <c r="T2748" i="3" s="1"/>
  <c r="S2750" i="3"/>
  <c r="T2750" i="3" s="1"/>
  <c r="S2752" i="3"/>
  <c r="T2752" i="3" s="1"/>
  <c r="S2754" i="3"/>
  <c r="T2754" i="3" s="1"/>
  <c r="S2756" i="3"/>
  <c r="T2756" i="3" s="1"/>
  <c r="S2758" i="3"/>
  <c r="T2758" i="3" s="1"/>
  <c r="S2760" i="3"/>
  <c r="T2760" i="3" s="1"/>
  <c r="S2762" i="3"/>
  <c r="T2762" i="3" s="1"/>
  <c r="S2764" i="3"/>
  <c r="T2764" i="3" s="1"/>
  <c r="S2766" i="3"/>
  <c r="T2766" i="3" s="1"/>
  <c r="S2768" i="3"/>
  <c r="T2768" i="3" s="1"/>
  <c r="S2770" i="3"/>
  <c r="T2770" i="3" s="1"/>
  <c r="S2772" i="3"/>
  <c r="T2772" i="3" s="1"/>
  <c r="S2774" i="3"/>
  <c r="T2774" i="3" s="1"/>
  <c r="S2776" i="3"/>
  <c r="T2776" i="3" s="1"/>
  <c r="S2778" i="3"/>
  <c r="T2778" i="3" s="1"/>
  <c r="S2780" i="3"/>
  <c r="T2780" i="3" s="1"/>
  <c r="S2782" i="3"/>
  <c r="T2782" i="3" s="1"/>
  <c r="S2784" i="3"/>
  <c r="T2784" i="3" s="1"/>
  <c r="S2786" i="3"/>
  <c r="T2786" i="3" s="1"/>
  <c r="S2788" i="3"/>
  <c r="T2788" i="3" s="1"/>
  <c r="S2790" i="3"/>
  <c r="T2790" i="3" s="1"/>
  <c r="S2792" i="3"/>
  <c r="T2792" i="3" s="1"/>
  <c r="S2794" i="3"/>
  <c r="T2794" i="3" s="1"/>
  <c r="S2796" i="3"/>
  <c r="T2796" i="3" s="1"/>
  <c r="S2798" i="3"/>
  <c r="T2798" i="3" s="1"/>
  <c r="S2800" i="3"/>
  <c r="T2800" i="3" s="1"/>
  <c r="S2802" i="3"/>
  <c r="T2802" i="3" s="1"/>
  <c r="S2804" i="3"/>
  <c r="T2804" i="3" s="1"/>
  <c r="S2806" i="3"/>
  <c r="T2806" i="3" s="1"/>
  <c r="S2808" i="3"/>
  <c r="T2808" i="3" s="1"/>
  <c r="S2810" i="3"/>
  <c r="T2810" i="3" s="1"/>
  <c r="S2812" i="3"/>
  <c r="T2812" i="3" s="1"/>
  <c r="S2814" i="3"/>
  <c r="T2814" i="3" s="1"/>
  <c r="S2816" i="3"/>
  <c r="T2816" i="3" s="1"/>
  <c r="S2818" i="3"/>
  <c r="T2818" i="3" s="1"/>
  <c r="S2820" i="3"/>
  <c r="T2820" i="3" s="1"/>
  <c r="S2822" i="3"/>
  <c r="T2822" i="3" s="1"/>
  <c r="S2824" i="3"/>
  <c r="T2824" i="3" s="1"/>
  <c r="S2826" i="3"/>
  <c r="T2826" i="3" s="1"/>
  <c r="S2828" i="3"/>
  <c r="T2828" i="3" s="1"/>
  <c r="S2830" i="3"/>
  <c r="T2830" i="3" s="1"/>
  <c r="S2832" i="3"/>
  <c r="T2832" i="3" s="1"/>
  <c r="S2834" i="3"/>
  <c r="T2834" i="3" s="1"/>
  <c r="S2900" i="3"/>
  <c r="T2900" i="3" s="1"/>
  <c r="S2902" i="3"/>
  <c r="T2902" i="3" s="1"/>
  <c r="S2904" i="3"/>
  <c r="T2904" i="3" s="1"/>
  <c r="S2906" i="3"/>
  <c r="T2906" i="3" s="1"/>
  <c r="S2908" i="3"/>
  <c r="T2908" i="3" s="1"/>
  <c r="S2910" i="3"/>
  <c r="T2910" i="3" s="1"/>
  <c r="S2912" i="3"/>
  <c r="T2912" i="3" s="1"/>
  <c r="S2914" i="3"/>
  <c r="T2914" i="3" s="1"/>
  <c r="S2916" i="3"/>
  <c r="T2916" i="3" s="1"/>
  <c r="S2918" i="3"/>
  <c r="T2918" i="3" s="1"/>
  <c r="S2920" i="3"/>
  <c r="T2920" i="3" s="1"/>
  <c r="S2922" i="3"/>
  <c r="T2922" i="3" s="1"/>
  <c r="S2924" i="3"/>
  <c r="T2924" i="3" s="1"/>
  <c r="S2926" i="3"/>
  <c r="T2926" i="3" s="1"/>
  <c r="S2928" i="3"/>
  <c r="T2928" i="3" s="1"/>
  <c r="S2930" i="3"/>
  <c r="T2930" i="3" s="1"/>
  <c r="S2932" i="3"/>
  <c r="T2932" i="3" s="1"/>
  <c r="S2934" i="3"/>
  <c r="T2934" i="3" s="1"/>
  <c r="S2936" i="3"/>
  <c r="T2936" i="3" s="1"/>
  <c r="S2938" i="3"/>
  <c r="T2938" i="3" s="1"/>
  <c r="S2940" i="3"/>
  <c r="T2940" i="3" s="1"/>
  <c r="S2942" i="3"/>
  <c r="T2942" i="3" s="1"/>
  <c r="S2944" i="3"/>
  <c r="T2944" i="3" s="1"/>
  <c r="S2946" i="3"/>
  <c r="T2946" i="3" s="1"/>
  <c r="S2948" i="3"/>
  <c r="T2948" i="3" s="1"/>
  <c r="S2950" i="3"/>
  <c r="T2950" i="3" s="1"/>
  <c r="S2952" i="3"/>
  <c r="T2952" i="3" s="1"/>
  <c r="S2954" i="3"/>
  <c r="T2954" i="3" s="1"/>
  <c r="S2956" i="3"/>
  <c r="T2956" i="3" s="1"/>
  <c r="S2958" i="3"/>
  <c r="T2958" i="3" s="1"/>
  <c r="S2960" i="3"/>
  <c r="T2960" i="3" s="1"/>
  <c r="S2962" i="3"/>
  <c r="T2962" i="3" s="1"/>
  <c r="S2964" i="3"/>
  <c r="T2964" i="3" s="1"/>
  <c r="S2966" i="3"/>
  <c r="T2966" i="3" s="1"/>
  <c r="S2968" i="3"/>
  <c r="T2968" i="3" s="1"/>
  <c r="S2970" i="3"/>
  <c r="T2970" i="3" s="1"/>
  <c r="S2972" i="3"/>
  <c r="T2972" i="3" s="1"/>
  <c r="S2974" i="3"/>
  <c r="T2974" i="3" s="1"/>
  <c r="S2976" i="3"/>
  <c r="T2976" i="3" s="1"/>
  <c r="S2978" i="3"/>
  <c r="T2978" i="3" s="1"/>
  <c r="S2980" i="3"/>
  <c r="T2980" i="3" s="1"/>
  <c r="S2982" i="3"/>
  <c r="T2982" i="3" s="1"/>
  <c r="S2984" i="3"/>
  <c r="T2984" i="3" s="1"/>
  <c r="S2986" i="3"/>
  <c r="T2986" i="3" s="1"/>
  <c r="S2988" i="3"/>
  <c r="T2988" i="3" s="1"/>
  <c r="S2990" i="3"/>
  <c r="T2990" i="3" s="1"/>
  <c r="S2992" i="3"/>
  <c r="T2992" i="3" s="1"/>
  <c r="S2994" i="3"/>
  <c r="T2994" i="3" s="1"/>
  <c r="S2996" i="3"/>
  <c r="T2996" i="3" s="1"/>
  <c r="S2998" i="3"/>
  <c r="T2998" i="3" s="1"/>
  <c r="S3000" i="3"/>
  <c r="T3000" i="3" s="1"/>
  <c r="S3002" i="3"/>
  <c r="T3002" i="3" s="1"/>
  <c r="S3004" i="3"/>
  <c r="T3004" i="3" s="1"/>
  <c r="S3006" i="3"/>
  <c r="T3006" i="3" s="1"/>
  <c r="S3008" i="3"/>
  <c r="T3008" i="3" s="1"/>
  <c r="S3010" i="3"/>
  <c r="T3010" i="3" s="1"/>
  <c r="S3012" i="3"/>
  <c r="T3012" i="3" s="1"/>
  <c r="S3014" i="3"/>
  <c r="T3014" i="3" s="1"/>
  <c r="S3016" i="3"/>
  <c r="T3016" i="3" s="1"/>
  <c r="S3018" i="3"/>
  <c r="T3018" i="3" s="1"/>
  <c r="S3020" i="3"/>
  <c r="T3020" i="3" s="1"/>
  <c r="S3022" i="3"/>
  <c r="T3022" i="3" s="1"/>
  <c r="S3024" i="3"/>
  <c r="T3024" i="3" s="1"/>
  <c r="S3026" i="3"/>
  <c r="T3026" i="3" s="1"/>
  <c r="S3028" i="3"/>
  <c r="T3028" i="3" s="1"/>
  <c r="S3030" i="3"/>
  <c r="T3030" i="3" s="1"/>
  <c r="S3032" i="3"/>
  <c r="T3032" i="3" s="1"/>
  <c r="S3034" i="3"/>
  <c r="T3034" i="3" s="1"/>
  <c r="S3036" i="3"/>
  <c r="T3036" i="3" s="1"/>
  <c r="S3038" i="3"/>
  <c r="T3038" i="3" s="1"/>
  <c r="S3040" i="3"/>
  <c r="T3040" i="3" s="1"/>
  <c r="S3042" i="3"/>
  <c r="T3042" i="3" s="1"/>
  <c r="S3044" i="3"/>
  <c r="T3044" i="3" s="1"/>
  <c r="S3046" i="3"/>
  <c r="T3046" i="3" s="1"/>
  <c r="S3048" i="3"/>
  <c r="T3048" i="3" s="1"/>
  <c r="S3050" i="3"/>
  <c r="T3050" i="3" s="1"/>
  <c r="S3052" i="3"/>
  <c r="T3052" i="3" s="1"/>
  <c r="S3054" i="3"/>
  <c r="T3054" i="3" s="1"/>
  <c r="S3056" i="3"/>
  <c r="T3056" i="3" s="1"/>
  <c r="S3058" i="3"/>
  <c r="T3058" i="3" s="1"/>
  <c r="S3060" i="3"/>
  <c r="T3060" i="3" s="1"/>
  <c r="S3062" i="3"/>
  <c r="T3062" i="3" s="1"/>
  <c r="S3064" i="3"/>
  <c r="T3064" i="3" s="1"/>
  <c r="S3066" i="3"/>
  <c r="T3066" i="3" s="1"/>
  <c r="S3068" i="3"/>
  <c r="T3068" i="3" s="1"/>
  <c r="S3070" i="3"/>
  <c r="T3070" i="3" s="1"/>
  <c r="S3072" i="3"/>
  <c r="T3072" i="3" s="1"/>
  <c r="S3074" i="3"/>
  <c r="T3074" i="3" s="1"/>
  <c r="S3076" i="3"/>
  <c r="T3076" i="3" s="1"/>
  <c r="S3078" i="3"/>
  <c r="T3078" i="3" s="1"/>
  <c r="S3080" i="3"/>
  <c r="T3080" i="3" s="1"/>
  <c r="S3082" i="3"/>
  <c r="T3082" i="3" s="1"/>
  <c r="S3084" i="3"/>
  <c r="T3084" i="3" s="1"/>
  <c r="S3086" i="3"/>
  <c r="T3086" i="3" s="1"/>
  <c r="S3088" i="3"/>
  <c r="T3088" i="3" s="1"/>
  <c r="S3090" i="3"/>
  <c r="T3090" i="3" s="1"/>
  <c r="S3092" i="3"/>
  <c r="T3092" i="3" s="1"/>
  <c r="S3094" i="3"/>
  <c r="T3094" i="3" s="1"/>
  <c r="S3096" i="3"/>
  <c r="T3096" i="3" s="1"/>
  <c r="S3098" i="3"/>
  <c r="T3098" i="3" s="1"/>
  <c r="S3100" i="3"/>
  <c r="T3100" i="3" s="1"/>
  <c r="S3102" i="3"/>
  <c r="T3102" i="3" s="1"/>
  <c r="S3104" i="3"/>
  <c r="T3104" i="3" s="1"/>
  <c r="S3106" i="3"/>
  <c r="T3106" i="3" s="1"/>
  <c r="S3108" i="3"/>
  <c r="T3108" i="3" s="1"/>
  <c r="S3110" i="3"/>
  <c r="T3110" i="3" s="1"/>
  <c r="S3112" i="3"/>
  <c r="T3112" i="3" s="1"/>
  <c r="S3114" i="3"/>
  <c r="T3114" i="3" s="1"/>
  <c r="S3116" i="3"/>
  <c r="T3116" i="3" s="1"/>
  <c r="S3118" i="3"/>
  <c r="T3118" i="3" s="1"/>
  <c r="S3120" i="3"/>
  <c r="T3120" i="3" s="1"/>
  <c r="S3122" i="3"/>
  <c r="T3122" i="3" s="1"/>
  <c r="S3124" i="3"/>
  <c r="T3124" i="3" s="1"/>
  <c r="S3126" i="3"/>
  <c r="T3126" i="3" s="1"/>
  <c r="S3128" i="3"/>
  <c r="T3128" i="3" s="1"/>
  <c r="S3130" i="3"/>
  <c r="T3130" i="3" s="1"/>
  <c r="S3132" i="3"/>
  <c r="T3132" i="3" s="1"/>
  <c r="S3134" i="3"/>
  <c r="T3134" i="3" s="1"/>
  <c r="S3136" i="3"/>
  <c r="T3136" i="3" s="1"/>
  <c r="S3138" i="3"/>
  <c r="T3138" i="3" s="1"/>
  <c r="S3140" i="3"/>
  <c r="T3140" i="3" s="1"/>
  <c r="S3142" i="3"/>
  <c r="T3142" i="3" s="1"/>
  <c r="S3144" i="3"/>
  <c r="T3144" i="3" s="1"/>
  <c r="S3146" i="3"/>
  <c r="T3146" i="3" s="1"/>
  <c r="S3148" i="3"/>
  <c r="T3148" i="3" s="1"/>
  <c r="S3150" i="3"/>
  <c r="T3150" i="3" s="1"/>
  <c r="S3152" i="3"/>
  <c r="T3152" i="3" s="1"/>
  <c r="S3154" i="3"/>
  <c r="T3154" i="3" s="1"/>
  <c r="S3156" i="3"/>
  <c r="T3156" i="3" s="1"/>
  <c r="S3158" i="3"/>
  <c r="T3158" i="3" s="1"/>
  <c r="S3160" i="3"/>
  <c r="T3160" i="3" s="1"/>
  <c r="S3162" i="3"/>
  <c r="T3162" i="3" s="1"/>
  <c r="S3164" i="3"/>
  <c r="T3164" i="3" s="1"/>
  <c r="S3166" i="3"/>
  <c r="T3166" i="3" s="1"/>
  <c r="S3168" i="3"/>
  <c r="T3168" i="3" s="1"/>
  <c r="S3170" i="3"/>
  <c r="T3170" i="3" s="1"/>
  <c r="S3172" i="3"/>
  <c r="T3172" i="3" s="1"/>
  <c r="S3174" i="3"/>
  <c r="T3174" i="3" s="1"/>
  <c r="S3176" i="3"/>
  <c r="T3176" i="3" s="1"/>
  <c r="S3178" i="3"/>
  <c r="T3178" i="3" s="1"/>
  <c r="S3180" i="3"/>
  <c r="T3180" i="3" s="1"/>
  <c r="S3182" i="3"/>
  <c r="T3182" i="3" s="1"/>
  <c r="S3184" i="3"/>
  <c r="T3184" i="3" s="1"/>
  <c r="S3186" i="3"/>
  <c r="T3186" i="3" s="1"/>
  <c r="S3188" i="3"/>
  <c r="T3188" i="3" s="1"/>
  <c r="S3190" i="3"/>
  <c r="T3190" i="3" s="1"/>
  <c r="S3192" i="3"/>
  <c r="T3192" i="3" s="1"/>
  <c r="S3194" i="3"/>
  <c r="T3194" i="3" s="1"/>
  <c r="S3196" i="3"/>
  <c r="T3196" i="3" s="1"/>
  <c r="S3198" i="3"/>
  <c r="T3198" i="3" s="1"/>
  <c r="S3200" i="3"/>
  <c r="T3200" i="3" s="1"/>
  <c r="S3202" i="3"/>
  <c r="T3202" i="3" s="1"/>
  <c r="S3204" i="3"/>
  <c r="T3204" i="3" s="1"/>
  <c r="S3206" i="3"/>
  <c r="T3206" i="3" s="1"/>
  <c r="S3208" i="3"/>
  <c r="T3208" i="3" s="1"/>
  <c r="S3210" i="3"/>
  <c r="T3210" i="3" s="1"/>
  <c r="S3212" i="3"/>
  <c r="T3212" i="3" s="1"/>
  <c r="S3214" i="3"/>
  <c r="T3214" i="3" s="1"/>
  <c r="S3216" i="3"/>
  <c r="T3216" i="3" s="1"/>
  <c r="S3218" i="3"/>
  <c r="T3218" i="3" s="1"/>
  <c r="S3220" i="3"/>
  <c r="T3220" i="3" s="1"/>
  <c r="S3222" i="3"/>
  <c r="T3222" i="3" s="1"/>
  <c r="S3224" i="3"/>
  <c r="T3224" i="3" s="1"/>
  <c r="S3226" i="3"/>
  <c r="T3226" i="3" s="1"/>
  <c r="S3228" i="3"/>
  <c r="T3228" i="3" s="1"/>
  <c r="S3230" i="3"/>
  <c r="T3230" i="3" s="1"/>
  <c r="S3232" i="3"/>
  <c r="T3232" i="3" s="1"/>
  <c r="S3234" i="3"/>
  <c r="T3234" i="3" s="1"/>
  <c r="S3236" i="3"/>
  <c r="T3236" i="3" s="1"/>
  <c r="S3238" i="3"/>
  <c r="T3238" i="3" s="1"/>
  <c r="S3240" i="3"/>
  <c r="T3240" i="3" s="1"/>
  <c r="S3242" i="3"/>
  <c r="T3242" i="3" s="1"/>
  <c r="S3244" i="3"/>
  <c r="T3244" i="3" s="1"/>
  <c r="S3246" i="3"/>
  <c r="T3246" i="3" s="1"/>
  <c r="S3248" i="3"/>
  <c r="T3248" i="3" s="1"/>
  <c r="S3250" i="3"/>
  <c r="T3250" i="3" s="1"/>
  <c r="S3252" i="3"/>
  <c r="T3252" i="3" s="1"/>
  <c r="S3254" i="3"/>
  <c r="T3254" i="3" s="1"/>
  <c r="S3256" i="3"/>
  <c r="T3256" i="3" s="1"/>
  <c r="S3258" i="3"/>
  <c r="T3258" i="3" s="1"/>
  <c r="S3260" i="3"/>
  <c r="T3260" i="3" s="1"/>
  <c r="S3262" i="3"/>
  <c r="T3262" i="3" s="1"/>
  <c r="S3264" i="3"/>
  <c r="T3264" i="3" s="1"/>
  <c r="S3266" i="3"/>
  <c r="T3266" i="3" s="1"/>
  <c r="S3268" i="3"/>
  <c r="T3268" i="3" s="1"/>
  <c r="S3270" i="3"/>
  <c r="T3270" i="3" s="1"/>
  <c r="S3272" i="3"/>
  <c r="T3272" i="3" s="1"/>
  <c r="S3274" i="3"/>
  <c r="T3274" i="3" s="1"/>
  <c r="S3276" i="3"/>
  <c r="T3276" i="3" s="1"/>
  <c r="S3278" i="3"/>
  <c r="T3278" i="3" s="1"/>
  <c r="S3280" i="3"/>
  <c r="T3280" i="3" s="1"/>
  <c r="S3282" i="3"/>
  <c r="T3282" i="3" s="1"/>
  <c r="S3284" i="3"/>
  <c r="T3284" i="3" s="1"/>
  <c r="S3286" i="3"/>
  <c r="T3286" i="3" s="1"/>
  <c r="S3288" i="3"/>
  <c r="T3288" i="3" s="1"/>
  <c r="S3290" i="3"/>
  <c r="T3290" i="3" s="1"/>
  <c r="S3292" i="3"/>
  <c r="T3292" i="3" s="1"/>
  <c r="S3294" i="3"/>
  <c r="T3294" i="3" s="1"/>
  <c r="S3296" i="3"/>
  <c r="T3296" i="3" s="1"/>
  <c r="S3298" i="3"/>
  <c r="T3298" i="3" s="1"/>
  <c r="S3300" i="3"/>
  <c r="T3300" i="3" s="1"/>
  <c r="S3302" i="3"/>
  <c r="T3302" i="3" s="1"/>
  <c r="S3304" i="3"/>
  <c r="T3304" i="3" s="1"/>
  <c r="S3306" i="3"/>
  <c r="T3306" i="3" s="1"/>
  <c r="S3308" i="3"/>
  <c r="T3308" i="3" s="1"/>
  <c r="S3310" i="3"/>
  <c r="T3310" i="3" s="1"/>
  <c r="S3312" i="3"/>
  <c r="T3312" i="3" s="1"/>
  <c r="S3314" i="3"/>
  <c r="T3314" i="3" s="1"/>
  <c r="S3316" i="3"/>
  <c r="T3316" i="3" s="1"/>
  <c r="S3318" i="3"/>
  <c r="T3318" i="3" s="1"/>
  <c r="S3320" i="3"/>
  <c r="T3320" i="3" s="1"/>
  <c r="S3322" i="3"/>
  <c r="T3322" i="3" s="1"/>
  <c r="S3324" i="3"/>
  <c r="T3324" i="3" s="1"/>
  <c r="S3326" i="3"/>
  <c r="T3326" i="3" s="1"/>
  <c r="S3328" i="3"/>
  <c r="T3328" i="3" s="1"/>
  <c r="S3330" i="3"/>
  <c r="T3330" i="3" s="1"/>
  <c r="S3332" i="3"/>
  <c r="T3332" i="3" s="1"/>
  <c r="S3334" i="3"/>
  <c r="T3334" i="3" s="1"/>
  <c r="S3336" i="3"/>
  <c r="T3336" i="3" s="1"/>
  <c r="S3338" i="3"/>
  <c r="T3338" i="3" s="1"/>
  <c r="S3340" i="3"/>
  <c r="T3340" i="3" s="1"/>
  <c r="S3342" i="3"/>
  <c r="T3342" i="3" s="1"/>
  <c r="S3344" i="3"/>
  <c r="T3344" i="3" s="1"/>
  <c r="S3346" i="3"/>
  <c r="T3346" i="3" s="1"/>
  <c r="S3348" i="3"/>
  <c r="T3348" i="3" s="1"/>
  <c r="S3350" i="3"/>
  <c r="T3350" i="3" s="1"/>
  <c r="S3352" i="3"/>
  <c r="T3352" i="3" s="1"/>
  <c r="S3354" i="3"/>
  <c r="T3354" i="3" s="1"/>
  <c r="S3356" i="3"/>
  <c r="T3356" i="3" s="1"/>
  <c r="S3358" i="3"/>
  <c r="T3358" i="3" s="1"/>
  <c r="S3360" i="3"/>
  <c r="T3360" i="3" s="1"/>
  <c r="S3362" i="3"/>
  <c r="T3362" i="3" s="1"/>
  <c r="S3364" i="3"/>
  <c r="T3364" i="3" s="1"/>
  <c r="S3366" i="3"/>
  <c r="T3366" i="3" s="1"/>
  <c r="S3368" i="3"/>
  <c r="T3368" i="3" s="1"/>
  <c r="S3370" i="3"/>
  <c r="T3370" i="3" s="1"/>
  <c r="S3372" i="3"/>
  <c r="T3372" i="3" s="1"/>
  <c r="S3374" i="3"/>
  <c r="T3374" i="3" s="1"/>
  <c r="S3376" i="3"/>
  <c r="T3376" i="3" s="1"/>
  <c r="S3378" i="3"/>
  <c r="T3378" i="3" s="1"/>
  <c r="S3380" i="3"/>
  <c r="T3380" i="3" s="1"/>
  <c r="S3382" i="3"/>
  <c r="T3382" i="3" s="1"/>
  <c r="S3502" i="3"/>
  <c r="T3502" i="3" s="1"/>
  <c r="S3504" i="3"/>
  <c r="T3504" i="3" s="1"/>
  <c r="S3506" i="3"/>
  <c r="T3506" i="3" s="1"/>
  <c r="S3508" i="3"/>
  <c r="T3508" i="3" s="1"/>
  <c r="S3510" i="3"/>
  <c r="T3510" i="3" s="1"/>
  <c r="S3512" i="3"/>
  <c r="T3512" i="3" s="1"/>
  <c r="S3514" i="3"/>
  <c r="T3514" i="3" s="1"/>
  <c r="S3516" i="3"/>
  <c r="T3516" i="3" s="1"/>
  <c r="S3518" i="3"/>
  <c r="T3518" i="3" s="1"/>
  <c r="S3520" i="3"/>
  <c r="T3520" i="3" s="1"/>
  <c r="S3522" i="3"/>
  <c r="T3522" i="3" s="1"/>
  <c r="S3524" i="3"/>
  <c r="T3524" i="3" s="1"/>
  <c r="S3526" i="3"/>
  <c r="T3526" i="3" s="1"/>
  <c r="S3528" i="3"/>
  <c r="T3528" i="3" s="1"/>
  <c r="S3530" i="3"/>
  <c r="T3530" i="3" s="1"/>
  <c r="S3532" i="3"/>
  <c r="T3532" i="3" s="1"/>
  <c r="S3534" i="3"/>
  <c r="T3534" i="3" s="1"/>
  <c r="S3536" i="3"/>
  <c r="T3536" i="3" s="1"/>
  <c r="S3538" i="3"/>
  <c r="T3538" i="3" s="1"/>
  <c r="S3540" i="3"/>
  <c r="T3540" i="3" s="1"/>
  <c r="S3542" i="3"/>
  <c r="T3542" i="3" s="1"/>
  <c r="S3544" i="3"/>
  <c r="T3544" i="3" s="1"/>
  <c r="S3546" i="3"/>
  <c r="T3546" i="3" s="1"/>
  <c r="S3548" i="3"/>
  <c r="T3548" i="3" s="1"/>
  <c r="S3560" i="3"/>
  <c r="T3560" i="3" s="1"/>
  <c r="S3562" i="3"/>
  <c r="T3562" i="3" s="1"/>
  <c r="S3564" i="3"/>
  <c r="T3564" i="3" s="1"/>
  <c r="S3566" i="3"/>
  <c r="T3566" i="3" s="1"/>
  <c r="S3568" i="3"/>
  <c r="T3568" i="3" s="1"/>
  <c r="S3570" i="3"/>
  <c r="T3570" i="3" s="1"/>
  <c r="S3572" i="3"/>
  <c r="T3572" i="3" s="1"/>
  <c r="S3574" i="3"/>
  <c r="T3574" i="3" s="1"/>
  <c r="S3576" i="3"/>
  <c r="T3576" i="3" s="1"/>
  <c r="S3578" i="3"/>
  <c r="T3578" i="3" s="1"/>
  <c r="S3580" i="3"/>
  <c r="T3580" i="3" s="1"/>
  <c r="S3582" i="3"/>
  <c r="T3582" i="3" s="1"/>
  <c r="S3584" i="3"/>
  <c r="T3584" i="3" s="1"/>
  <c r="S3586" i="3"/>
  <c r="T3586" i="3" s="1"/>
  <c r="S3588" i="3"/>
  <c r="T3588" i="3" s="1"/>
  <c r="S3590" i="3"/>
  <c r="T3590" i="3" s="1"/>
  <c r="S3592" i="3"/>
  <c r="T3592" i="3" s="1"/>
  <c r="S3594" i="3"/>
  <c r="T3594" i="3" s="1"/>
  <c r="S3596" i="3"/>
  <c r="T3596" i="3" s="1"/>
  <c r="S3598" i="3"/>
  <c r="T3598" i="3" s="1"/>
  <c r="S3600" i="3"/>
  <c r="T3600" i="3" s="1"/>
  <c r="S3602" i="3"/>
  <c r="T3602" i="3" s="1"/>
  <c r="S3604" i="3"/>
  <c r="T3604" i="3" s="1"/>
  <c r="S4078" i="3"/>
  <c r="T4078" i="3" s="1"/>
  <c r="S4080" i="3"/>
  <c r="T4080" i="3" s="1"/>
  <c r="S4082" i="3"/>
  <c r="T4082" i="3" s="1"/>
  <c r="S4084" i="3"/>
  <c r="T4084" i="3" s="1"/>
  <c r="S4086" i="3"/>
  <c r="T4086" i="3" s="1"/>
  <c r="S4088" i="3"/>
  <c r="T4088" i="3" s="1"/>
  <c r="S4090" i="3"/>
  <c r="T4090" i="3" s="1"/>
  <c r="S4092" i="3"/>
  <c r="T4092" i="3" s="1"/>
  <c r="S4094" i="3"/>
  <c r="T4094" i="3" s="1"/>
  <c r="S4096" i="3"/>
  <c r="T4096" i="3" s="1"/>
  <c r="S4098" i="3"/>
  <c r="T4098" i="3" s="1"/>
  <c r="S4100" i="3"/>
  <c r="T4100" i="3" s="1"/>
  <c r="S4102" i="3"/>
  <c r="T4102" i="3" s="1"/>
  <c r="S4104" i="3"/>
  <c r="T4104" i="3" s="1"/>
  <c r="S4106" i="3"/>
  <c r="T4106" i="3" s="1"/>
  <c r="S4108" i="3"/>
  <c r="T4108" i="3" s="1"/>
  <c r="S4110" i="3"/>
  <c r="T4110" i="3" s="1"/>
  <c r="S4112" i="3"/>
  <c r="T4112" i="3" s="1"/>
  <c r="S4114" i="3"/>
  <c r="T4114" i="3" s="1"/>
  <c r="S4116" i="3"/>
  <c r="T4116" i="3" s="1"/>
  <c r="S4118" i="3"/>
  <c r="T4118" i="3" s="1"/>
  <c r="S4120" i="3"/>
  <c r="T4120" i="3" s="1"/>
  <c r="S4122" i="3"/>
  <c r="T4122" i="3" s="1"/>
  <c r="S4124" i="3"/>
  <c r="T4124" i="3" s="1"/>
  <c r="S4126" i="3"/>
  <c r="T4126" i="3" s="1"/>
  <c r="S4128" i="3"/>
  <c r="T4128" i="3" s="1"/>
  <c r="S4130" i="3"/>
  <c r="T4130" i="3" s="1"/>
  <c r="S4132" i="3"/>
  <c r="T4132" i="3" s="1"/>
  <c r="S4134" i="3"/>
  <c r="T4134" i="3" s="1"/>
  <c r="S4136" i="3"/>
  <c r="T4136" i="3" s="1"/>
  <c r="S4138" i="3"/>
  <c r="T4138" i="3" s="1"/>
  <c r="S4140" i="3"/>
  <c r="T4140" i="3" s="1"/>
  <c r="S4142" i="3"/>
  <c r="T4142" i="3" s="1"/>
  <c r="S4144" i="3"/>
  <c r="T4144" i="3" s="1"/>
  <c r="S4146" i="3"/>
  <c r="T4146" i="3" s="1"/>
  <c r="S4148" i="3"/>
  <c r="T4148" i="3" s="1"/>
  <c r="S4150" i="3"/>
  <c r="T4150" i="3" s="1"/>
  <c r="S4152" i="3"/>
  <c r="T4152" i="3" s="1"/>
  <c r="S4154" i="3"/>
  <c r="T4154" i="3" s="1"/>
  <c r="S4156" i="3"/>
  <c r="T4156" i="3" s="1"/>
  <c r="S4158" i="3"/>
  <c r="T4158" i="3" s="1"/>
  <c r="S4160" i="3"/>
  <c r="T4160" i="3" s="1"/>
  <c r="S4162" i="3"/>
  <c r="T4162" i="3" s="1"/>
  <c r="S4164" i="3"/>
  <c r="T4164" i="3" s="1"/>
  <c r="S4166" i="3"/>
  <c r="T4166" i="3" s="1"/>
  <c r="S4168" i="3"/>
  <c r="T4168" i="3" s="1"/>
  <c r="S4170" i="3"/>
  <c r="T4170" i="3" s="1"/>
  <c r="S4172" i="3"/>
  <c r="T4172" i="3" s="1"/>
  <c r="S4174" i="3"/>
  <c r="T4174" i="3" s="1"/>
  <c r="S4176" i="3"/>
  <c r="T4176" i="3" s="1"/>
  <c r="S4178" i="3"/>
  <c r="T4178" i="3" s="1"/>
  <c r="S4537" i="3"/>
  <c r="T4537" i="3" s="1"/>
  <c r="S4539" i="3"/>
  <c r="T4539" i="3" s="1"/>
  <c r="S4541" i="3"/>
  <c r="T4541" i="3" s="1"/>
  <c r="S4543" i="3"/>
  <c r="T4543" i="3" s="1"/>
  <c r="S4545" i="3"/>
  <c r="T4545" i="3" s="1"/>
  <c r="S4547" i="3"/>
  <c r="T4547" i="3" s="1"/>
  <c r="S5062" i="3"/>
  <c r="T5062" i="3" s="1"/>
  <c r="S5064" i="3"/>
  <c r="T5064" i="3" s="1"/>
  <c r="S5066" i="3"/>
  <c r="T5066" i="3" s="1"/>
  <c r="S5068" i="3"/>
  <c r="T5068" i="3" s="1"/>
  <c r="S5070" i="3"/>
  <c r="T5070" i="3" s="1"/>
  <c r="S5072" i="3"/>
  <c r="T5072" i="3" s="1"/>
  <c r="S5074" i="3"/>
  <c r="T5074" i="3" s="1"/>
  <c r="S5076" i="3"/>
  <c r="T5076" i="3" s="1"/>
  <c r="S5078" i="3"/>
  <c r="T5078" i="3" s="1"/>
  <c r="S5080" i="3"/>
  <c r="T5080" i="3" s="1"/>
  <c r="S5082" i="3"/>
  <c r="T5082" i="3" s="1"/>
  <c r="S5084" i="3"/>
  <c r="T5084" i="3" s="1"/>
  <c r="S5086" i="3"/>
  <c r="T5086" i="3" s="1"/>
  <c r="S5088" i="3"/>
  <c r="T5088" i="3" s="1"/>
  <c r="S5090" i="3"/>
  <c r="T5090" i="3" s="1"/>
  <c r="S5092" i="3"/>
  <c r="T5092" i="3" s="1"/>
  <c r="S5094" i="3"/>
  <c r="T5094" i="3" s="1"/>
  <c r="S5096" i="3"/>
  <c r="T5096" i="3" s="1"/>
  <c r="S5098" i="3"/>
  <c r="T5098" i="3" s="1"/>
  <c r="S5100" i="3"/>
  <c r="T5100" i="3" s="1"/>
  <c r="S5102" i="3"/>
  <c r="T5102" i="3" s="1"/>
  <c r="S5104" i="3"/>
  <c r="T5104" i="3" s="1"/>
  <c r="S5106" i="3"/>
  <c r="T5106" i="3" s="1"/>
  <c r="S5108" i="3"/>
  <c r="T5108" i="3" s="1"/>
  <c r="S5110" i="3"/>
  <c r="T5110" i="3" s="1"/>
  <c r="S5112" i="3"/>
  <c r="T5112" i="3" s="1"/>
  <c r="S5114" i="3"/>
  <c r="T5114" i="3" s="1"/>
  <c r="S5116" i="3"/>
  <c r="T5116" i="3" s="1"/>
  <c r="S5118" i="3"/>
  <c r="T5118" i="3" s="1"/>
  <c r="S5120" i="3"/>
  <c r="T5120" i="3" s="1"/>
  <c r="S5122" i="3"/>
  <c r="T5122" i="3" s="1"/>
  <c r="S5124" i="3"/>
  <c r="T5124" i="3" s="1"/>
  <c r="S5126" i="3"/>
  <c r="T5126" i="3" s="1"/>
  <c r="S5128" i="3"/>
  <c r="T5128" i="3" s="1"/>
  <c r="S5130" i="3"/>
  <c r="T5130" i="3" s="1"/>
  <c r="S5132" i="3"/>
  <c r="T5132" i="3" s="1"/>
  <c r="S5134" i="3"/>
  <c r="T5134" i="3" s="1"/>
  <c r="S5136" i="3"/>
  <c r="T5136" i="3" s="1"/>
  <c r="S5138" i="3"/>
  <c r="T5138" i="3" s="1"/>
  <c r="S5140" i="3"/>
  <c r="T5140" i="3" s="1"/>
  <c r="S5142" i="3"/>
  <c r="T5142" i="3" s="1"/>
  <c r="S5144" i="3"/>
  <c r="T5144" i="3" s="1"/>
  <c r="S5146" i="3"/>
  <c r="T5146" i="3" s="1"/>
  <c r="S5148" i="3"/>
  <c r="T5148" i="3" s="1"/>
  <c r="S5150" i="3"/>
  <c r="T5150" i="3" s="1"/>
  <c r="S5152" i="3"/>
  <c r="T5152" i="3" s="1"/>
  <c r="S5154" i="3"/>
  <c r="T5154" i="3" s="1"/>
  <c r="S5156" i="3"/>
  <c r="T5156" i="3" s="1"/>
  <c r="S5158" i="3"/>
  <c r="T5158" i="3" s="1"/>
  <c r="S5160" i="3"/>
  <c r="T5160" i="3" s="1"/>
  <c r="S5162" i="3"/>
  <c r="T5162" i="3" s="1"/>
  <c r="S5164" i="3"/>
  <c r="T5164" i="3" s="1"/>
  <c r="S5166" i="3"/>
  <c r="T5166" i="3" s="1"/>
  <c r="S5168" i="3"/>
  <c r="T5168" i="3" s="1"/>
  <c r="S5170" i="3"/>
  <c r="T5170" i="3" s="1"/>
  <c r="S5172" i="3"/>
  <c r="T5172" i="3" s="1"/>
  <c r="S5174" i="3"/>
  <c r="T5174" i="3" s="1"/>
  <c r="S5176" i="3"/>
  <c r="T5176" i="3" s="1"/>
  <c r="S5178" i="3"/>
  <c r="T5178" i="3" s="1"/>
  <c r="S5180" i="3"/>
  <c r="T5180" i="3" s="1"/>
  <c r="S5182" i="3"/>
  <c r="T5182" i="3" s="1"/>
  <c r="S5184" i="3"/>
  <c r="T5184" i="3" s="1"/>
  <c r="S5186" i="3"/>
  <c r="T5186" i="3" s="1"/>
  <c r="S5188" i="3"/>
  <c r="T5188" i="3" s="1"/>
  <c r="S5190" i="3"/>
  <c r="T5190" i="3" s="1"/>
  <c r="S5192" i="3"/>
  <c r="T5192" i="3" s="1"/>
  <c r="S5194" i="3"/>
  <c r="T5194" i="3" s="1"/>
  <c r="S5196" i="3"/>
  <c r="T5196" i="3" s="1"/>
  <c r="S5198" i="3"/>
  <c r="T5198" i="3" s="1"/>
  <c r="S5200" i="3"/>
  <c r="T5200" i="3" s="1"/>
  <c r="S5202" i="3"/>
  <c r="T5202" i="3" s="1"/>
  <c r="S5204" i="3"/>
  <c r="T5204" i="3" s="1"/>
  <c r="S5206" i="3"/>
  <c r="T5206" i="3" s="1"/>
  <c r="S5208" i="3"/>
  <c r="T5208" i="3" s="1"/>
  <c r="S5210" i="3"/>
  <c r="T5210" i="3" s="1"/>
  <c r="S5212" i="3"/>
  <c r="T5212" i="3" s="1"/>
  <c r="S5214" i="3"/>
  <c r="T5214" i="3" s="1"/>
  <c r="S5216" i="3"/>
  <c r="T5216" i="3" s="1"/>
  <c r="S5218" i="3"/>
  <c r="T5218" i="3" s="1"/>
  <c r="S5220" i="3"/>
  <c r="T5220" i="3" s="1"/>
  <c r="S5222" i="3"/>
  <c r="T5222" i="3" s="1"/>
  <c r="S5224" i="3"/>
  <c r="T5224" i="3" s="1"/>
  <c r="S5226" i="3"/>
  <c r="T5226" i="3" s="1"/>
  <c r="S5228" i="3"/>
  <c r="T5228" i="3" s="1"/>
  <c r="S5230" i="3"/>
  <c r="T5230" i="3" s="1"/>
  <c r="S5232" i="3"/>
  <c r="T5232" i="3" s="1"/>
  <c r="S5234" i="3"/>
  <c r="T5234" i="3" s="1"/>
  <c r="S5236" i="3"/>
  <c r="T5236" i="3" s="1"/>
  <c r="S5238" i="3"/>
  <c r="T5238" i="3" s="1"/>
  <c r="S5240" i="3"/>
  <c r="T5240" i="3" s="1"/>
  <c r="S5242" i="3"/>
  <c r="T5242" i="3" s="1"/>
  <c r="S5244" i="3"/>
  <c r="T5244" i="3" s="1"/>
  <c r="S5246" i="3"/>
  <c r="T5246" i="3" s="1"/>
  <c r="S5248" i="3"/>
  <c r="T5248" i="3" s="1"/>
  <c r="S5250" i="3"/>
  <c r="T5250" i="3" s="1"/>
  <c r="S5252" i="3"/>
  <c r="T5252" i="3" s="1"/>
  <c r="S5254" i="3"/>
  <c r="T5254" i="3" s="1"/>
  <c r="S5256" i="3"/>
  <c r="T5256" i="3" s="1"/>
  <c r="S5258" i="3"/>
  <c r="T5258" i="3" s="1"/>
  <c r="S5260" i="3"/>
  <c r="T5260" i="3" s="1"/>
  <c r="S5262" i="3"/>
  <c r="T5262" i="3" s="1"/>
  <c r="S5264" i="3"/>
  <c r="T5264" i="3" s="1"/>
  <c r="S5266" i="3"/>
  <c r="T5266" i="3" s="1"/>
  <c r="S5268" i="3"/>
  <c r="T5268" i="3" s="1"/>
  <c r="S5270" i="3"/>
  <c r="T5270" i="3" s="1"/>
  <c r="S5272" i="3"/>
  <c r="T5272" i="3" s="1"/>
  <c r="S5274" i="3"/>
  <c r="T5274" i="3" s="1"/>
  <c r="S5276" i="3"/>
  <c r="T5276" i="3" s="1"/>
  <c r="S5278" i="3"/>
  <c r="T5278" i="3" s="1"/>
  <c r="S5280" i="3"/>
  <c r="T5280" i="3" s="1"/>
  <c r="S5282" i="3"/>
  <c r="T5282" i="3" s="1"/>
  <c r="S5284" i="3"/>
  <c r="T5284" i="3" s="1"/>
  <c r="S5286" i="3"/>
  <c r="T5286" i="3" s="1"/>
  <c r="S5288" i="3"/>
  <c r="T5288" i="3" s="1"/>
  <c r="S5290" i="3"/>
  <c r="T5290" i="3" s="1"/>
  <c r="S5292" i="3"/>
  <c r="T5292" i="3" s="1"/>
  <c r="S5294" i="3"/>
  <c r="T5294" i="3" s="1"/>
  <c r="S5296" i="3"/>
  <c r="T5296" i="3" s="1"/>
  <c r="S5298" i="3"/>
  <c r="T5298" i="3" s="1"/>
  <c r="S5300" i="3"/>
  <c r="T5300" i="3" s="1"/>
  <c r="S5302" i="3"/>
  <c r="T5302" i="3" s="1"/>
  <c r="S5304" i="3"/>
  <c r="T5304" i="3" s="1"/>
  <c r="S5306" i="3"/>
  <c r="T5306" i="3" s="1"/>
  <c r="S5308" i="3"/>
  <c r="T5308" i="3" s="1"/>
  <c r="S5310" i="3"/>
  <c r="T5310" i="3" s="1"/>
  <c r="S5312" i="3"/>
  <c r="T5312" i="3" s="1"/>
  <c r="S5314" i="3"/>
  <c r="T5314" i="3" s="1"/>
  <c r="S5316" i="3"/>
  <c r="T5316" i="3" s="1"/>
  <c r="S5318" i="3"/>
  <c r="T5318" i="3" s="1"/>
  <c r="S5320" i="3"/>
  <c r="T5320" i="3" s="1"/>
  <c r="S5322" i="3"/>
  <c r="T5322" i="3" s="1"/>
  <c r="S5324" i="3"/>
  <c r="T5324" i="3" s="1"/>
  <c r="S5326" i="3"/>
  <c r="T5326" i="3" s="1"/>
  <c r="S5328" i="3"/>
  <c r="T5328" i="3" s="1"/>
  <c r="S5330" i="3"/>
  <c r="T5330" i="3" s="1"/>
  <c r="S5332" i="3"/>
  <c r="T5332" i="3" s="1"/>
  <c r="S5334" i="3"/>
  <c r="T5334" i="3" s="1"/>
  <c r="S5336" i="3"/>
  <c r="T5336" i="3" s="1"/>
  <c r="S5338" i="3"/>
  <c r="T5338" i="3" s="1"/>
  <c r="S5340" i="3"/>
  <c r="T5340" i="3" s="1"/>
  <c r="S5342" i="3"/>
  <c r="T5342" i="3" s="1"/>
  <c r="S5344" i="3"/>
  <c r="T5344" i="3" s="1"/>
  <c r="S5346" i="3"/>
  <c r="T5346" i="3" s="1"/>
  <c r="S5348" i="3"/>
  <c r="T5348" i="3" s="1"/>
  <c r="S5350" i="3"/>
  <c r="T5350" i="3" s="1"/>
  <c r="S5352" i="3"/>
  <c r="T5352" i="3" s="1"/>
  <c r="S5385" i="3"/>
  <c r="T5385" i="3" s="1"/>
  <c r="S5387" i="3"/>
  <c r="T5387" i="3" s="1"/>
  <c r="S5389" i="3"/>
  <c r="T5389" i="3" s="1"/>
  <c r="S5391" i="3"/>
  <c r="T5391" i="3" s="1"/>
  <c r="S5393" i="3"/>
  <c r="T5393" i="3" s="1"/>
  <c r="S5395" i="3"/>
  <c r="T5395" i="3" s="1"/>
  <c r="S5397" i="3"/>
  <c r="T5397" i="3" s="1"/>
  <c r="S5399" i="3"/>
  <c r="T5399" i="3" s="1"/>
  <c r="S5401" i="3"/>
  <c r="T5401" i="3" s="1"/>
  <c r="S5403" i="3"/>
  <c r="T5403" i="3" s="1"/>
  <c r="S5405" i="3"/>
  <c r="T5405" i="3" s="1"/>
  <c r="S5407" i="3"/>
  <c r="T5407" i="3" s="1"/>
  <c r="S5409" i="3"/>
  <c r="T5409" i="3" s="1"/>
  <c r="S5411" i="3"/>
  <c r="T5411" i="3" s="1"/>
  <c r="S5413" i="3"/>
  <c r="T5413" i="3" s="1"/>
  <c r="S5415" i="3"/>
  <c r="T5415" i="3" s="1"/>
  <c r="S5417" i="3"/>
  <c r="T5417" i="3" s="1"/>
  <c r="S5419" i="3"/>
  <c r="T5419" i="3" s="1"/>
  <c r="S5421" i="3"/>
  <c r="T5421" i="3" s="1"/>
  <c r="S5423" i="3"/>
  <c r="T5423" i="3" s="1"/>
  <c r="S5425" i="3"/>
  <c r="T5425" i="3" s="1"/>
  <c r="S5427" i="3"/>
  <c r="T5427" i="3" s="1"/>
  <c r="S5429" i="3"/>
  <c r="T5429" i="3" s="1"/>
  <c r="S5431" i="3"/>
  <c r="T5431" i="3" s="1"/>
  <c r="S5433" i="3"/>
  <c r="T5433" i="3" s="1"/>
  <c r="S5435" i="3"/>
  <c r="T5435" i="3" s="1"/>
  <c r="S5437" i="3"/>
  <c r="T5437" i="3" s="1"/>
  <c r="S5439" i="3"/>
  <c r="T5439" i="3" s="1"/>
  <c r="S5441" i="3"/>
  <c r="T5441" i="3" s="1"/>
  <c r="S5443" i="3"/>
  <c r="T5443" i="3" s="1"/>
  <c r="S5445" i="3"/>
  <c r="T5445" i="3" s="1"/>
  <c r="S5447" i="3"/>
  <c r="T5447" i="3" s="1"/>
  <c r="S5449" i="3"/>
  <c r="T5449" i="3" s="1"/>
  <c r="S5451" i="3"/>
  <c r="T5451" i="3" s="1"/>
  <c r="S5453" i="3"/>
  <c r="T5453" i="3" s="1"/>
  <c r="S5455" i="3"/>
  <c r="T5455" i="3" s="1"/>
  <c r="S5457" i="3"/>
  <c r="T5457" i="3" s="1"/>
  <c r="S5459" i="3"/>
  <c r="T5459" i="3" s="1"/>
  <c r="S5461" i="3"/>
  <c r="T5461" i="3" s="1"/>
  <c r="S5463" i="3"/>
  <c r="T5463" i="3" s="1"/>
  <c r="S5465" i="3"/>
  <c r="T5465" i="3" s="1"/>
  <c r="S5467" i="3"/>
  <c r="T5467" i="3" s="1"/>
  <c r="S5469" i="3"/>
  <c r="T5469" i="3" s="1"/>
  <c r="S5471" i="3"/>
  <c r="T5471" i="3" s="1"/>
  <c r="S5473" i="3"/>
  <c r="T5473" i="3" s="1"/>
  <c r="S5475" i="3"/>
  <c r="T5475" i="3" s="1"/>
  <c r="S5477" i="3"/>
  <c r="T5477" i="3" s="1"/>
  <c r="S5479" i="3"/>
  <c r="T5479" i="3" s="1"/>
  <c r="S5481" i="3"/>
  <c r="T5481" i="3" s="1"/>
  <c r="S5483" i="3"/>
  <c r="T5483" i="3" s="1"/>
  <c r="S5485" i="3"/>
  <c r="T5485" i="3" s="1"/>
  <c r="S5487" i="3"/>
  <c r="T5487" i="3" s="1"/>
  <c r="S5489" i="3"/>
  <c r="T5489" i="3" s="1"/>
  <c r="S5491" i="3"/>
  <c r="T5491" i="3" s="1"/>
  <c r="S5493" i="3"/>
  <c r="T5493" i="3" s="1"/>
  <c r="S5495" i="3"/>
  <c r="T5495" i="3" s="1"/>
  <c r="S5497" i="3"/>
  <c r="T5497" i="3" s="1"/>
  <c r="S5499" i="3"/>
  <c r="T5499" i="3" s="1"/>
  <c r="S5501" i="3"/>
  <c r="T5501" i="3" s="1"/>
  <c r="S5503" i="3"/>
  <c r="T5503" i="3" s="1"/>
  <c r="S5505" i="3"/>
  <c r="T5505" i="3" s="1"/>
  <c r="S5507" i="3"/>
  <c r="T5507" i="3" s="1"/>
  <c r="S5509" i="3"/>
  <c r="T5509" i="3" s="1"/>
  <c r="S5511" i="3"/>
  <c r="T5511" i="3" s="1"/>
  <c r="S5513" i="3"/>
  <c r="T5513" i="3" s="1"/>
  <c r="S5515" i="3"/>
  <c r="T5515" i="3" s="1"/>
  <c r="S5517" i="3"/>
  <c r="T5517" i="3" s="1"/>
  <c r="S5519" i="3"/>
  <c r="T5519" i="3" s="1"/>
  <c r="S5521" i="3"/>
  <c r="T5521" i="3" s="1"/>
  <c r="S5523" i="3"/>
  <c r="T5523" i="3" s="1"/>
  <c r="S5525" i="3"/>
  <c r="T5525" i="3" s="1"/>
  <c r="S5527" i="3"/>
  <c r="T5527" i="3" s="1"/>
  <c r="S5529" i="3"/>
  <c r="T5529" i="3" s="1"/>
  <c r="S5531" i="3"/>
  <c r="T5531" i="3" s="1"/>
  <c r="S5533" i="3"/>
  <c r="T5533" i="3" s="1"/>
  <c r="S5535" i="3"/>
  <c r="T5535" i="3" s="1"/>
  <c r="S5537" i="3"/>
  <c r="T5537" i="3" s="1"/>
  <c r="S5539" i="3"/>
  <c r="T5539" i="3" s="1"/>
  <c r="S5541" i="3"/>
  <c r="T5541" i="3" s="1"/>
  <c r="S5543" i="3"/>
  <c r="T5543" i="3" s="1"/>
  <c r="S5545" i="3"/>
  <c r="T5545" i="3" s="1"/>
  <c r="S5547" i="3"/>
  <c r="T5547" i="3" s="1"/>
  <c r="S5549" i="3"/>
  <c r="T5549" i="3" s="1"/>
  <c r="S5551" i="3"/>
  <c r="T5551" i="3" s="1"/>
  <c r="S5553" i="3"/>
  <c r="T5553" i="3" s="1"/>
  <c r="S5555" i="3"/>
  <c r="T5555" i="3" s="1"/>
  <c r="S5557" i="3"/>
  <c r="T5557" i="3" s="1"/>
  <c r="S5559" i="3"/>
  <c r="T5559" i="3" s="1"/>
  <c r="S5561" i="3"/>
  <c r="T5561" i="3" s="1"/>
  <c r="S5563" i="3"/>
  <c r="T5563" i="3" s="1"/>
  <c r="S5565" i="3"/>
  <c r="T5565" i="3" s="1"/>
  <c r="S5567" i="3"/>
  <c r="T5567" i="3" s="1"/>
  <c r="S5569" i="3"/>
  <c r="T5569" i="3" s="1"/>
  <c r="S5571" i="3"/>
  <c r="T5571" i="3" s="1"/>
  <c r="S5573" i="3"/>
  <c r="T5573" i="3" s="1"/>
  <c r="S5787" i="3"/>
  <c r="T5787" i="3" s="1"/>
  <c r="S5789" i="3"/>
  <c r="T5789" i="3" s="1"/>
  <c r="S5791" i="3"/>
  <c r="T5791" i="3" s="1"/>
  <c r="S5793" i="3"/>
  <c r="T5793" i="3" s="1"/>
  <c r="S5795" i="3"/>
  <c r="T5795" i="3" s="1"/>
  <c r="S5797" i="3"/>
  <c r="T5797" i="3" s="1"/>
  <c r="S5799" i="3"/>
  <c r="T5799" i="3" s="1"/>
  <c r="S5801" i="3"/>
  <c r="T5801" i="3" s="1"/>
  <c r="S6146" i="3"/>
  <c r="T6146" i="3" s="1"/>
  <c r="S6148" i="3"/>
  <c r="T6148" i="3" s="1"/>
  <c r="S6150" i="3"/>
  <c r="T6150" i="3" s="1"/>
  <c r="S6152" i="3"/>
  <c r="T6152" i="3" s="1"/>
  <c r="S6154" i="3"/>
  <c r="T6154" i="3" s="1"/>
  <c r="S6156" i="3"/>
  <c r="T6156" i="3" s="1"/>
  <c r="S6158" i="3"/>
  <c r="T6158" i="3" s="1"/>
  <c r="S6221" i="3"/>
  <c r="T6221" i="3" s="1"/>
  <c r="S6223" i="3"/>
  <c r="T6223" i="3" s="1"/>
  <c r="S6225" i="3"/>
  <c r="T6225" i="3" s="1"/>
  <c r="S6227" i="3"/>
  <c r="T6227" i="3" s="1"/>
  <c r="S6229" i="3"/>
  <c r="T6229" i="3" s="1"/>
  <c r="S6231" i="3"/>
  <c r="T6231" i="3" s="1"/>
  <c r="S6233" i="3"/>
  <c r="T6233" i="3" s="1"/>
  <c r="S6235" i="3"/>
  <c r="T6235" i="3" s="1"/>
  <c r="S6237" i="3"/>
  <c r="T6237" i="3" s="1"/>
  <c r="S6239" i="3"/>
  <c r="T6239" i="3" s="1"/>
  <c r="S5378" i="3"/>
  <c r="T5378" i="3" s="1"/>
  <c r="S5577" i="3"/>
  <c r="T5577" i="3" s="1"/>
  <c r="S5585" i="3"/>
  <c r="T5585" i="3" s="1"/>
  <c r="S5597" i="3"/>
  <c r="T5597" i="3" s="1"/>
  <c r="S5601" i="3"/>
  <c r="T5601" i="3" s="1"/>
  <c r="S5611" i="3"/>
  <c r="T5611" i="3" s="1"/>
  <c r="S5615" i="3"/>
  <c r="T5615" i="3" s="1"/>
  <c r="S5619" i="3"/>
  <c r="T5619" i="3" s="1"/>
  <c r="S5631" i="3"/>
  <c r="T5631" i="3" s="1"/>
  <c r="S5635" i="3"/>
  <c r="T5635" i="3" s="1"/>
  <c r="S5639" i="3"/>
  <c r="T5639" i="3" s="1"/>
  <c r="S5643" i="3"/>
  <c r="T5643" i="3" s="1"/>
  <c r="S5647" i="3"/>
  <c r="T5647" i="3" s="1"/>
  <c r="S5651" i="3"/>
  <c r="T5651" i="3" s="1"/>
  <c r="S5659" i="3"/>
  <c r="T5659" i="3" s="1"/>
  <c r="S5663" i="3"/>
  <c r="T5663" i="3" s="1"/>
  <c r="S5667" i="3"/>
  <c r="T5667" i="3" s="1"/>
  <c r="S5675" i="3"/>
  <c r="T5675" i="3" s="1"/>
  <c r="S5744" i="3"/>
  <c r="T5744" i="3" s="1"/>
  <c r="S5748" i="3"/>
  <c r="T5748" i="3" s="1"/>
  <c r="S5752" i="3"/>
  <c r="T5752" i="3" s="1"/>
  <c r="S5760" i="3"/>
  <c r="T5760" i="3" s="1"/>
  <c r="S5764" i="3"/>
  <c r="T5764" i="3" s="1"/>
  <c r="S5772" i="3"/>
  <c r="T5772" i="3" s="1"/>
  <c r="S5780" i="3"/>
  <c r="T5780" i="3" s="1"/>
  <c r="S5784" i="3"/>
  <c r="T5784" i="3" s="1"/>
  <c r="S5803" i="3"/>
  <c r="T5803" i="3" s="1"/>
  <c r="S5807" i="3"/>
  <c r="T5807" i="3" s="1"/>
  <c r="S5831" i="3"/>
  <c r="T5831" i="3" s="1"/>
  <c r="S5839" i="3"/>
  <c r="T5839" i="3" s="1"/>
  <c r="S5843" i="3"/>
  <c r="T5843" i="3" s="1"/>
  <c r="S5847" i="3"/>
  <c r="T5847" i="3" s="1"/>
  <c r="S5851" i="3"/>
  <c r="T5851" i="3" s="1"/>
  <c r="S5855" i="3"/>
  <c r="T5855" i="3" s="1"/>
  <c r="S5871" i="3"/>
  <c r="T5871" i="3" s="1"/>
  <c r="S5875" i="3"/>
  <c r="T5875" i="3" s="1"/>
  <c r="S5879" i="3"/>
  <c r="T5879" i="3" s="1"/>
  <c r="S5883" i="3"/>
  <c r="T5883" i="3" s="1"/>
  <c r="S5887" i="3"/>
  <c r="T5887" i="3" s="1"/>
  <c r="S5891" i="3"/>
  <c r="T5891" i="3" s="1"/>
  <c r="S5895" i="3"/>
  <c r="T5895" i="3" s="1"/>
  <c r="S5899" i="3"/>
  <c r="T5899" i="3" s="1"/>
  <c r="S5903" i="3"/>
  <c r="T5903" i="3" s="1"/>
  <c r="S5911" i="3"/>
  <c r="T5911" i="3" s="1"/>
  <c r="S5915" i="3"/>
  <c r="T5915" i="3" s="1"/>
  <c r="S5919" i="3"/>
  <c r="T5919" i="3" s="1"/>
  <c r="S5923" i="3"/>
  <c r="T5923" i="3" s="1"/>
  <c r="S5927" i="3"/>
  <c r="T5927" i="3" s="1"/>
  <c r="S5931" i="3"/>
  <c r="T5931" i="3" s="1"/>
  <c r="S5935" i="3"/>
  <c r="T5935" i="3" s="1"/>
  <c r="S5939" i="3"/>
  <c r="T5939" i="3" s="1"/>
  <c r="S5943" i="3"/>
  <c r="T5943" i="3" s="1"/>
  <c r="S5951" i="3"/>
  <c r="T5951" i="3" s="1"/>
  <c r="S5959" i="3"/>
  <c r="T5959" i="3" s="1"/>
  <c r="S5963" i="3"/>
  <c r="T5963" i="3" s="1"/>
  <c r="S5967" i="3"/>
  <c r="T5967" i="3" s="1"/>
  <c r="S5971" i="3"/>
  <c r="T5971" i="3" s="1"/>
  <c r="S5975" i="3"/>
  <c r="T5975" i="3" s="1"/>
  <c r="S5983" i="3"/>
  <c r="T5983" i="3" s="1"/>
  <c r="S5989" i="3"/>
  <c r="T5989" i="3" s="1"/>
  <c r="S5993" i="3"/>
  <c r="T5993" i="3" s="1"/>
  <c r="S5997" i="3"/>
  <c r="T5997" i="3" s="1"/>
  <c r="S6025" i="3"/>
  <c r="T6025" i="3" s="1"/>
  <c r="S6029" i="3"/>
  <c r="T6029" i="3" s="1"/>
  <c r="S6037" i="3"/>
  <c r="T6037" i="3" s="1"/>
  <c r="S6045" i="3"/>
  <c r="T6045" i="3" s="1"/>
  <c r="S6049" i="3"/>
  <c r="T6049" i="3" s="1"/>
  <c r="S6053" i="3"/>
  <c r="T6053" i="3" s="1"/>
  <c r="S6057" i="3"/>
  <c r="T6057" i="3" s="1"/>
  <c r="S6061" i="3"/>
  <c r="T6061" i="3" s="1"/>
  <c r="S6065" i="3"/>
  <c r="T6065" i="3" s="1"/>
  <c r="S6069" i="3"/>
  <c r="T6069" i="3" s="1"/>
  <c r="S6073" i="3"/>
  <c r="T6073" i="3" s="1"/>
  <c r="S6087" i="3"/>
  <c r="T6087" i="3" s="1"/>
  <c r="S6095" i="3"/>
  <c r="T6095" i="3" s="1"/>
  <c r="S6099" i="3"/>
  <c r="T6099" i="3" s="1"/>
  <c r="S6131" i="3"/>
  <c r="T6131" i="3" s="1"/>
  <c r="S6135" i="3"/>
  <c r="T6135" i="3" s="1"/>
  <c r="S6143" i="3"/>
  <c r="T6143" i="3" s="1"/>
  <c r="S6249" i="3"/>
  <c r="T6249" i="3" s="1"/>
  <c r="S6253" i="3"/>
  <c r="T6253" i="3" s="1"/>
  <c r="S6257" i="3"/>
  <c r="T6257" i="3" s="1"/>
  <c r="S6261" i="3"/>
  <c r="T6261" i="3" s="1"/>
  <c r="S6265" i="3"/>
  <c r="T6265" i="3" s="1"/>
  <c r="S6269" i="3"/>
  <c r="T6269" i="3" s="1"/>
  <c r="S6273" i="3"/>
  <c r="T6273" i="3" s="1"/>
  <c r="S6277" i="3"/>
  <c r="T6277" i="3" s="1"/>
  <c r="S6281" i="3"/>
  <c r="T6281" i="3" s="1"/>
  <c r="S6285" i="3"/>
  <c r="T6285" i="3" s="1"/>
  <c r="S6289" i="3"/>
  <c r="T6289" i="3" s="1"/>
  <c r="S6293" i="3"/>
  <c r="T6293" i="3" s="1"/>
  <c r="S6297" i="3"/>
  <c r="T6297" i="3" s="1"/>
  <c r="S6301" i="3"/>
  <c r="T6301" i="3" s="1"/>
  <c r="S6313" i="3"/>
  <c r="T6313" i="3" s="1"/>
  <c r="S6325" i="3"/>
  <c r="T6325" i="3" s="1"/>
  <c r="S6329" i="3"/>
  <c r="T6329" i="3" s="1"/>
  <c r="S6333" i="3"/>
  <c r="T6333" i="3" s="1"/>
  <c r="S6337" i="3"/>
  <c r="T6337" i="3" s="1"/>
  <c r="S6341" i="3"/>
  <c r="T6341" i="3" s="1"/>
  <c r="S6349" i="3"/>
  <c r="T6349" i="3" s="1"/>
  <c r="S6357" i="3"/>
  <c r="T6357" i="3" s="1"/>
  <c r="S6361" i="3"/>
  <c r="T6361" i="3" s="1"/>
  <c r="S6365" i="3"/>
  <c r="T6365" i="3" s="1"/>
  <c r="S6369" i="3"/>
  <c r="T6369" i="3" s="1"/>
  <c r="S6373" i="3"/>
  <c r="T6373" i="3" s="1"/>
  <c r="S6377" i="3"/>
  <c r="T6377" i="3" s="1"/>
  <c r="S6381" i="3"/>
  <c r="T6381" i="3" s="1"/>
  <c r="S6385" i="3"/>
  <c r="T6385" i="3" s="1"/>
  <c r="S6393" i="3"/>
  <c r="T6393" i="3" s="1"/>
  <c r="S6397" i="3"/>
  <c r="T6397" i="3" s="1"/>
  <c r="S6401" i="3"/>
  <c r="T6401" i="3" s="1"/>
  <c r="S6405" i="3"/>
  <c r="T6405" i="3" s="1"/>
  <c r="S6409" i="3"/>
  <c r="T6409" i="3" s="1"/>
  <c r="S6413" i="3"/>
  <c r="T6413" i="3" s="1"/>
  <c r="S6417" i="3"/>
  <c r="T6417" i="3" s="1"/>
  <c r="S6421" i="3"/>
  <c r="T6421" i="3" s="1"/>
  <c r="S845" i="3"/>
  <c r="T845" i="3" s="1"/>
  <c r="S851" i="3"/>
  <c r="T851" i="3" s="1"/>
  <c r="S853" i="3"/>
  <c r="T853" i="3" s="1"/>
  <c r="S861" i="3"/>
  <c r="T861" i="3" s="1"/>
  <c r="S865" i="3"/>
  <c r="T865" i="3" s="1"/>
  <c r="S869" i="3"/>
  <c r="T869" i="3" s="1"/>
  <c r="S873" i="3"/>
  <c r="T873" i="3" s="1"/>
  <c r="S877" i="3"/>
  <c r="T877" i="3" s="1"/>
  <c r="S881" i="3"/>
  <c r="T881" i="3" s="1"/>
  <c r="S887" i="3"/>
  <c r="T887" i="3" s="1"/>
  <c r="S891" i="3"/>
  <c r="T891" i="3" s="1"/>
  <c r="S895" i="3"/>
  <c r="T895" i="3" s="1"/>
  <c r="S901" i="3"/>
  <c r="T901" i="3" s="1"/>
  <c r="S905" i="3"/>
  <c r="T905" i="3" s="1"/>
  <c r="S909" i="3"/>
  <c r="T909" i="3" s="1"/>
  <c r="S913" i="3"/>
  <c r="T913" i="3" s="1"/>
  <c r="S917" i="3"/>
  <c r="T917" i="3" s="1"/>
  <c r="S921" i="3"/>
  <c r="T921" i="3" s="1"/>
  <c r="S925" i="3"/>
  <c r="T925" i="3" s="1"/>
  <c r="S929" i="3"/>
  <c r="T929" i="3" s="1"/>
  <c r="S935" i="3"/>
  <c r="T935" i="3" s="1"/>
  <c r="S939" i="3"/>
  <c r="T939" i="3" s="1"/>
  <c r="S943" i="3"/>
  <c r="T943" i="3" s="1"/>
  <c r="S947" i="3"/>
  <c r="T947" i="3" s="1"/>
  <c r="S951" i="3"/>
  <c r="T951" i="3" s="1"/>
  <c r="S955" i="3"/>
  <c r="T955" i="3" s="1"/>
  <c r="S963" i="3"/>
  <c r="T963" i="3" s="1"/>
  <c r="S965" i="3"/>
  <c r="T965" i="3" s="1"/>
  <c r="S971" i="3"/>
  <c r="T971" i="3" s="1"/>
  <c r="S975" i="3"/>
  <c r="T975" i="3" s="1"/>
  <c r="S979" i="3"/>
  <c r="T979" i="3" s="1"/>
  <c r="S983" i="3"/>
  <c r="T983" i="3" s="1"/>
  <c r="S987" i="3"/>
  <c r="T987" i="3" s="1"/>
  <c r="S991" i="3"/>
  <c r="T991" i="3" s="1"/>
  <c r="S2146" i="3"/>
  <c r="T2146" i="3" s="1"/>
  <c r="S2152" i="3"/>
  <c r="T2152" i="3" s="1"/>
  <c r="S2156" i="3"/>
  <c r="T2156" i="3" s="1"/>
  <c r="S2160" i="3"/>
  <c r="T2160" i="3" s="1"/>
  <c r="S2166" i="3"/>
  <c r="T2166" i="3" s="1"/>
  <c r="S2168" i="3"/>
  <c r="T2168" i="3" s="1"/>
  <c r="S2172" i="3"/>
  <c r="T2172" i="3" s="1"/>
  <c r="S2237" i="3"/>
  <c r="T2237" i="3" s="1"/>
  <c r="S2243" i="3"/>
  <c r="T2243" i="3" s="1"/>
  <c r="S2245" i="3"/>
  <c r="T2245" i="3" s="1"/>
  <c r="S2249" i="3"/>
  <c r="T2249" i="3" s="1"/>
  <c r="S2253" i="3"/>
  <c r="T2253" i="3" s="1"/>
  <c r="S2259" i="3"/>
  <c r="T2259" i="3" s="1"/>
  <c r="S2265" i="3"/>
  <c r="T2265" i="3" s="1"/>
  <c r="S2269" i="3"/>
  <c r="T2269" i="3" s="1"/>
  <c r="S2277" i="3"/>
  <c r="T2277" i="3" s="1"/>
  <c r="S2279" i="3"/>
  <c r="T2279" i="3" s="1"/>
  <c r="S2289" i="3"/>
  <c r="T2289" i="3" s="1"/>
  <c r="S2291" i="3"/>
  <c r="T2291" i="3" s="1"/>
  <c r="S2293" i="3"/>
  <c r="T2293" i="3" s="1"/>
  <c r="S2295" i="3"/>
  <c r="T2295" i="3" s="1"/>
  <c r="S2297" i="3"/>
  <c r="T2297" i="3" s="1"/>
  <c r="S2316" i="3"/>
  <c r="T2316" i="3" s="1"/>
  <c r="S2646" i="3"/>
  <c r="T2646" i="3" s="1"/>
  <c r="S3609" i="3"/>
  <c r="T3609" i="3" s="1"/>
  <c r="S3611" i="3"/>
  <c r="T3611" i="3" s="1"/>
  <c r="S3615" i="3"/>
  <c r="T3615" i="3" s="1"/>
  <c r="S3621" i="3"/>
  <c r="T3621" i="3" s="1"/>
  <c r="S3625" i="3"/>
  <c r="T3625" i="3" s="1"/>
  <c r="S3629" i="3"/>
  <c r="T3629" i="3" s="1"/>
  <c r="S3635" i="3"/>
  <c r="T3635" i="3" s="1"/>
  <c r="S3641" i="3"/>
  <c r="T3641" i="3" s="1"/>
  <c r="S3645" i="3"/>
  <c r="T3645" i="3" s="1"/>
  <c r="S3649" i="3"/>
  <c r="T3649" i="3" s="1"/>
  <c r="S3653" i="3"/>
  <c r="T3653" i="3" s="1"/>
  <c r="S3661" i="3"/>
  <c r="T3661" i="3" s="1"/>
  <c r="S3667" i="3"/>
  <c r="T3667" i="3" s="1"/>
  <c r="S3669" i="3"/>
  <c r="T3669" i="3" s="1"/>
  <c r="S3675" i="3"/>
  <c r="T3675" i="3" s="1"/>
  <c r="S3677" i="3"/>
  <c r="T3677" i="3" s="1"/>
  <c r="S3679" i="3"/>
  <c r="T3679" i="3" s="1"/>
  <c r="S3681" i="3"/>
  <c r="T3681" i="3" s="1"/>
  <c r="S3687" i="3"/>
  <c r="T3687" i="3" s="1"/>
  <c r="S3689" i="3"/>
  <c r="T3689" i="3" s="1"/>
  <c r="S3695" i="3"/>
  <c r="T3695" i="3" s="1"/>
  <c r="S3697" i="3"/>
  <c r="T3697" i="3" s="1"/>
  <c r="S3699" i="3"/>
  <c r="T3699" i="3" s="1"/>
  <c r="S3703" i="3"/>
  <c r="T3703" i="3" s="1"/>
  <c r="S3728" i="3"/>
  <c r="T3728" i="3" s="1"/>
  <c r="S3732" i="3"/>
  <c r="T3732" i="3" s="1"/>
  <c r="S3734" i="3"/>
  <c r="T3734" i="3" s="1"/>
  <c r="S3742" i="3"/>
  <c r="T3742" i="3" s="1"/>
  <c r="S3746" i="3"/>
  <c r="T3746" i="3" s="1"/>
  <c r="S3748" i="3"/>
  <c r="T3748" i="3" s="1"/>
  <c r="S3752" i="3"/>
  <c r="T3752" i="3" s="1"/>
  <c r="S3754" i="3"/>
  <c r="T3754" i="3" s="1"/>
  <c r="S3758" i="3"/>
  <c r="T3758" i="3" s="1"/>
  <c r="S3766" i="3"/>
  <c r="T3766" i="3" s="1"/>
  <c r="S3768" i="3"/>
  <c r="T3768" i="3" s="1"/>
  <c r="S3770" i="3"/>
  <c r="T3770" i="3" s="1"/>
  <c r="S3772" i="3"/>
  <c r="T3772" i="3" s="1"/>
  <c r="S3774" i="3"/>
  <c r="T3774" i="3" s="1"/>
  <c r="S3778" i="3"/>
  <c r="T3778" i="3" s="1"/>
  <c r="S3782" i="3"/>
  <c r="T3782" i="3" s="1"/>
  <c r="S3786" i="3"/>
  <c r="T3786" i="3" s="1"/>
  <c r="S3790" i="3"/>
  <c r="T3790" i="3" s="1"/>
  <c r="S3794" i="3"/>
  <c r="T3794" i="3" s="1"/>
  <c r="S3798" i="3"/>
  <c r="T3798" i="3" s="1"/>
  <c r="S3802" i="3"/>
  <c r="T3802" i="3" s="1"/>
  <c r="S3804" i="3"/>
  <c r="T3804" i="3" s="1"/>
  <c r="S3806" i="3"/>
  <c r="T3806" i="3" s="1"/>
  <c r="S3810" i="3"/>
  <c r="T3810" i="3" s="1"/>
  <c r="S3812" i="3"/>
  <c r="T3812" i="3" s="1"/>
  <c r="S3816" i="3"/>
  <c r="T3816" i="3" s="1"/>
  <c r="S3818" i="3"/>
  <c r="T3818" i="3" s="1"/>
  <c r="S3822" i="3"/>
  <c r="T3822" i="3" s="1"/>
  <c r="S3829" i="3"/>
  <c r="T3829" i="3" s="1"/>
  <c r="S3833" i="3"/>
  <c r="T3833" i="3" s="1"/>
  <c r="S3835" i="3"/>
  <c r="T3835" i="3" s="1"/>
  <c r="S3837" i="3"/>
  <c r="T3837" i="3" s="1"/>
  <c r="S3839" i="3"/>
  <c r="T3839" i="3" s="1"/>
  <c r="S3845" i="3"/>
  <c r="T3845" i="3" s="1"/>
  <c r="S3849" i="3"/>
  <c r="T3849" i="3" s="1"/>
  <c r="S3885" i="3"/>
  <c r="T3885" i="3" s="1"/>
  <c r="S3889" i="3"/>
  <c r="T3889" i="3" s="1"/>
  <c r="S3891" i="3"/>
  <c r="T3891" i="3" s="1"/>
  <c r="S3893" i="3"/>
  <c r="T3893" i="3" s="1"/>
  <c r="S3895" i="3"/>
  <c r="T3895" i="3" s="1"/>
  <c r="S3897" i="3"/>
  <c r="T3897" i="3" s="1"/>
  <c r="S3899" i="3"/>
  <c r="T3899" i="3" s="1"/>
  <c r="S3901" i="3"/>
  <c r="T3901" i="3" s="1"/>
  <c r="S3903" i="3"/>
  <c r="T3903" i="3" s="1"/>
  <c r="S3905" i="3"/>
  <c r="T3905" i="3" s="1"/>
  <c r="S3909" i="3"/>
  <c r="T3909" i="3" s="1"/>
  <c r="S3913" i="3"/>
  <c r="T3913" i="3" s="1"/>
  <c r="S3917" i="3"/>
  <c r="T3917" i="3" s="1"/>
  <c r="S3923" i="3"/>
  <c r="T3923" i="3" s="1"/>
  <c r="S3927" i="3"/>
  <c r="T3927" i="3" s="1"/>
  <c r="S3935" i="3"/>
  <c r="T3935" i="3" s="1"/>
  <c r="S3945" i="3"/>
  <c r="T3945" i="3" s="1"/>
  <c r="S3947" i="3"/>
  <c r="T3947" i="3" s="1"/>
  <c r="S3982" i="3"/>
  <c r="T3982" i="3" s="1"/>
  <c r="S3986" i="3"/>
  <c r="T3986" i="3" s="1"/>
  <c r="S3988" i="3"/>
  <c r="T3988" i="3" s="1"/>
  <c r="S3990" i="3"/>
  <c r="T3990" i="3" s="1"/>
  <c r="S3994" i="3"/>
  <c r="T3994" i="3" s="1"/>
  <c r="S3998" i="3"/>
  <c r="T3998" i="3" s="1"/>
  <c r="S4004" i="3"/>
  <c r="T4004" i="3" s="1"/>
  <c r="S4008" i="3"/>
  <c r="T4008" i="3" s="1"/>
  <c r="S4010" i="3"/>
  <c r="T4010" i="3" s="1"/>
  <c r="S4012" i="3"/>
  <c r="T4012" i="3" s="1"/>
  <c r="S4016" i="3"/>
  <c r="T4016" i="3" s="1"/>
  <c r="S4024" i="3"/>
  <c r="T4024" i="3" s="1"/>
  <c r="S4030" i="3"/>
  <c r="T4030" i="3" s="1"/>
  <c r="S4036" i="3"/>
  <c r="T4036" i="3" s="1"/>
  <c r="S4040" i="3"/>
  <c r="T4040" i="3" s="1"/>
  <c r="S4042" i="3"/>
  <c r="T4042" i="3" s="1"/>
  <c r="S4044" i="3"/>
  <c r="T4044" i="3" s="1"/>
  <c r="S4052" i="3"/>
  <c r="T4052" i="3" s="1"/>
  <c r="S4054" i="3"/>
  <c r="T4054" i="3" s="1"/>
  <c r="S4183" i="3"/>
  <c r="T4183" i="3" s="1"/>
  <c r="S4195" i="3"/>
  <c r="T4195" i="3" s="1"/>
  <c r="S4199" i="3"/>
  <c r="T4199" i="3" s="1"/>
  <c r="S4201" i="3"/>
  <c r="T4201" i="3" s="1"/>
  <c r="S4207" i="3"/>
  <c r="T4207" i="3" s="1"/>
  <c r="S4209" i="3"/>
  <c r="T4209" i="3" s="1"/>
  <c r="S4211" i="3"/>
  <c r="T4211" i="3" s="1"/>
  <c r="S4213" i="3"/>
  <c r="T4213" i="3" s="1"/>
  <c r="S4217" i="3"/>
  <c r="T4217" i="3" s="1"/>
  <c r="S4225" i="3"/>
  <c r="T4225" i="3" s="1"/>
  <c r="S4227" i="3"/>
  <c r="T4227" i="3" s="1"/>
  <c r="S4229" i="3"/>
  <c r="T4229" i="3" s="1"/>
  <c r="S4231" i="3"/>
  <c r="T4231" i="3" s="1"/>
  <c r="S4235" i="3"/>
  <c r="T4235" i="3" s="1"/>
  <c r="S4245" i="3"/>
  <c r="T4245" i="3" s="1"/>
  <c r="S4247" i="3"/>
  <c r="T4247" i="3" s="1"/>
  <c r="S4249" i="3"/>
  <c r="T4249" i="3" s="1"/>
  <c r="S4251" i="3"/>
  <c r="T4251" i="3" s="1"/>
  <c r="S4253" i="3"/>
  <c r="T4253" i="3" s="1"/>
  <c r="S4255" i="3"/>
  <c r="T4255" i="3" s="1"/>
  <c r="S4257" i="3"/>
  <c r="T4257" i="3" s="1"/>
  <c r="S4259" i="3"/>
  <c r="T4259" i="3" s="1"/>
  <c r="S4261" i="3"/>
  <c r="T4261" i="3" s="1"/>
  <c r="S4263" i="3"/>
  <c r="T4263" i="3" s="1"/>
  <c r="S4265" i="3"/>
  <c r="T4265" i="3" s="1"/>
  <c r="S4269" i="3"/>
  <c r="T4269" i="3" s="1"/>
  <c r="S4273" i="3"/>
  <c r="T4273" i="3" s="1"/>
  <c r="S4277" i="3"/>
  <c r="T4277" i="3" s="1"/>
  <c r="S4283" i="3"/>
  <c r="T4283" i="3" s="1"/>
  <c r="S4287" i="3"/>
  <c r="T4287" i="3" s="1"/>
  <c r="S4293" i="3"/>
  <c r="T4293" i="3" s="1"/>
  <c r="S4295" i="3"/>
  <c r="T4295" i="3" s="1"/>
  <c r="S4299" i="3"/>
  <c r="T4299" i="3" s="1"/>
  <c r="S4303" i="3"/>
  <c r="T4303" i="3" s="1"/>
  <c r="S4307" i="3"/>
  <c r="T4307" i="3" s="1"/>
  <c r="S4311" i="3"/>
  <c r="T4311" i="3" s="1"/>
  <c r="S4313" i="3"/>
  <c r="T4313" i="3" s="1"/>
  <c r="S4319" i="3"/>
  <c r="T4319" i="3" s="1"/>
  <c r="S4321" i="3"/>
  <c r="T4321" i="3" s="1"/>
  <c r="S4323" i="3"/>
  <c r="T4323" i="3" s="1"/>
  <c r="S4325" i="3"/>
  <c r="T4325" i="3" s="1"/>
  <c r="S4327" i="3"/>
  <c r="T4327" i="3" s="1"/>
  <c r="S4333" i="3"/>
  <c r="T4333" i="3" s="1"/>
  <c r="S4339" i="3"/>
  <c r="T4339" i="3" s="1"/>
  <c r="S4341" i="3"/>
  <c r="T4341" i="3" s="1"/>
  <c r="S4347" i="3"/>
  <c r="T4347" i="3" s="1"/>
  <c r="S4349" i="3"/>
  <c r="T4349" i="3" s="1"/>
  <c r="S4351" i="3"/>
  <c r="T4351" i="3" s="1"/>
  <c r="S4355" i="3"/>
  <c r="T4355" i="3" s="1"/>
  <c r="S4359" i="3"/>
  <c r="T4359" i="3" s="1"/>
  <c r="S4363" i="3"/>
  <c r="T4363" i="3" s="1"/>
  <c r="S4369" i="3"/>
  <c r="T4369" i="3" s="1"/>
  <c r="S4373" i="3"/>
  <c r="T4373" i="3" s="1"/>
  <c r="S4377" i="3"/>
  <c r="T4377" i="3" s="1"/>
  <c r="S4379" i="3"/>
  <c r="T4379" i="3" s="1"/>
  <c r="S4383" i="3"/>
  <c r="T4383" i="3" s="1"/>
  <c r="S4385" i="3"/>
  <c r="T4385" i="3" s="1"/>
  <c r="S4395" i="3"/>
  <c r="T4395" i="3" s="1"/>
  <c r="S4401" i="3"/>
  <c r="T4401" i="3" s="1"/>
  <c r="S4409" i="3"/>
  <c r="T4409" i="3" s="1"/>
  <c r="S4411" i="3"/>
  <c r="T4411" i="3" s="1"/>
  <c r="S4413" i="3"/>
  <c r="T4413" i="3" s="1"/>
  <c r="S4415" i="3"/>
  <c r="T4415" i="3" s="1"/>
  <c r="S4423" i="3"/>
  <c r="T4423" i="3" s="1"/>
  <c r="S4425" i="3"/>
  <c r="T4425" i="3" s="1"/>
  <c r="S4429" i="3"/>
  <c r="T4429" i="3" s="1"/>
  <c r="S4433" i="3"/>
  <c r="T4433" i="3" s="1"/>
  <c r="S4435" i="3"/>
  <c r="T4435" i="3" s="1"/>
  <c r="S4437" i="3"/>
  <c r="T4437" i="3" s="1"/>
  <c r="S4439" i="3"/>
  <c r="T4439" i="3" s="1"/>
  <c r="S4441" i="3"/>
  <c r="T4441" i="3" s="1"/>
  <c r="S4445" i="3"/>
  <c r="T4445" i="3" s="1"/>
  <c r="S4449" i="3"/>
  <c r="T4449" i="3" s="1"/>
  <c r="S4453" i="3"/>
  <c r="T4453" i="3" s="1"/>
  <c r="S4457" i="3"/>
  <c r="T4457" i="3" s="1"/>
  <c r="S4459" i="3"/>
  <c r="T4459" i="3" s="1"/>
  <c r="S4461" i="3"/>
  <c r="T4461" i="3" s="1"/>
  <c r="S4465" i="3"/>
  <c r="T4465" i="3" s="1"/>
  <c r="S4469" i="3"/>
  <c r="T4469" i="3" s="1"/>
  <c r="S4471" i="3"/>
  <c r="T4471" i="3" s="1"/>
  <c r="S4473" i="3"/>
  <c r="T4473" i="3" s="1"/>
  <c r="S4477" i="3"/>
  <c r="T4477" i="3" s="1"/>
  <c r="S4479" i="3"/>
  <c r="T4479" i="3" s="1"/>
  <c r="S4481" i="3"/>
  <c r="T4481" i="3" s="1"/>
  <c r="S4483" i="3"/>
  <c r="T4483" i="3" s="1"/>
  <c r="S4487" i="3"/>
  <c r="T4487" i="3" s="1"/>
  <c r="S4489" i="3"/>
  <c r="T4489" i="3" s="1"/>
  <c r="S4491" i="3"/>
  <c r="T4491" i="3" s="1"/>
  <c r="S4495" i="3"/>
  <c r="T4495" i="3" s="1"/>
  <c r="S4497" i="3"/>
  <c r="T4497" i="3" s="1"/>
  <c r="S4501" i="3"/>
  <c r="T4501" i="3" s="1"/>
  <c r="S4505" i="3"/>
  <c r="T4505" i="3" s="1"/>
  <c r="S4509" i="3"/>
  <c r="T4509" i="3" s="1"/>
  <c r="S4511" i="3"/>
  <c r="T4511" i="3" s="1"/>
  <c r="S4517" i="3"/>
  <c r="T4517" i="3" s="1"/>
  <c r="S4519" i="3"/>
  <c r="T4519" i="3" s="1"/>
  <c r="S4523" i="3"/>
  <c r="T4523" i="3" s="1"/>
  <c r="S4525" i="3"/>
  <c r="T4525" i="3" s="1"/>
  <c r="S4527" i="3"/>
  <c r="T4527" i="3" s="1"/>
  <c r="S4531" i="3"/>
  <c r="T4531" i="3" s="1"/>
  <c r="S4533" i="3"/>
  <c r="T4533" i="3" s="1"/>
  <c r="S4550" i="3"/>
  <c r="T4550" i="3" s="1"/>
  <c r="S4554" i="3"/>
  <c r="T4554" i="3" s="1"/>
  <c r="S4558" i="3"/>
  <c r="T4558" i="3" s="1"/>
  <c r="S4560" i="3"/>
  <c r="T4560" i="3" s="1"/>
  <c r="S4562" i="3"/>
  <c r="T4562" i="3" s="1"/>
  <c r="S4564" i="3"/>
  <c r="T4564" i="3" s="1"/>
  <c r="S4568" i="3"/>
  <c r="T4568" i="3" s="1"/>
  <c r="S4570" i="3"/>
  <c r="T4570" i="3" s="1"/>
  <c r="S4572" i="3"/>
  <c r="T4572" i="3" s="1"/>
  <c r="S4574" i="3"/>
  <c r="T4574" i="3" s="1"/>
  <c r="S4578" i="3"/>
  <c r="T4578" i="3" s="1"/>
  <c r="S4582" i="3"/>
  <c r="T4582" i="3" s="1"/>
  <c r="S4586" i="3"/>
  <c r="T4586" i="3" s="1"/>
  <c r="S4590" i="3"/>
  <c r="T4590" i="3" s="1"/>
  <c r="S4594" i="3"/>
  <c r="T4594" i="3" s="1"/>
  <c r="S4596" i="3"/>
  <c r="T4596" i="3" s="1"/>
  <c r="S4598" i="3"/>
  <c r="T4598" i="3" s="1"/>
  <c r="S4600" i="3"/>
  <c r="T4600" i="3" s="1"/>
  <c r="S4604" i="3"/>
  <c r="T4604" i="3" s="1"/>
  <c r="S4608" i="3"/>
  <c r="T4608" i="3" s="1"/>
  <c r="S4610" i="3"/>
  <c r="T4610" i="3" s="1"/>
  <c r="S4614" i="3"/>
  <c r="T4614" i="3" s="1"/>
  <c r="S4618" i="3"/>
  <c r="T4618" i="3" s="1"/>
  <c r="S4622" i="3"/>
  <c r="T4622" i="3" s="1"/>
  <c r="S4624" i="3"/>
  <c r="T4624" i="3" s="1"/>
  <c r="S4634" i="3"/>
  <c r="T4634" i="3" s="1"/>
  <c r="S4638" i="3"/>
  <c r="T4638" i="3" s="1"/>
  <c r="S4640" i="3"/>
  <c r="T4640" i="3" s="1"/>
  <c r="S4644" i="3"/>
  <c r="T4644" i="3" s="1"/>
  <c r="S4648" i="3"/>
  <c r="T4648" i="3" s="1"/>
  <c r="S4650" i="3"/>
  <c r="T4650" i="3" s="1"/>
  <c r="S4743" i="3"/>
  <c r="T4743" i="3" s="1"/>
  <c r="S4745" i="3"/>
  <c r="T4745" i="3" s="1"/>
  <c r="S4747" i="3"/>
  <c r="T4747" i="3" s="1"/>
  <c r="S4749" i="3"/>
  <c r="T4749" i="3" s="1"/>
  <c r="S4751" i="3"/>
  <c r="T4751" i="3" s="1"/>
  <c r="S4753" i="3"/>
  <c r="T4753" i="3" s="1"/>
  <c r="S4757" i="3"/>
  <c r="T4757" i="3" s="1"/>
  <c r="S4759" i="3"/>
  <c r="T4759" i="3" s="1"/>
  <c r="S4763" i="3"/>
  <c r="T4763" i="3" s="1"/>
  <c r="S4767" i="3"/>
  <c r="T4767" i="3" s="1"/>
  <c r="S4771" i="3"/>
  <c r="T4771" i="3" s="1"/>
  <c r="S4775" i="3"/>
  <c r="T4775" i="3" s="1"/>
  <c r="S4779" i="3"/>
  <c r="T4779" i="3" s="1"/>
  <c r="S4783" i="3"/>
  <c r="T4783" i="3" s="1"/>
  <c r="S4787" i="3"/>
  <c r="T4787" i="3" s="1"/>
  <c r="S4791" i="3"/>
  <c r="T4791" i="3" s="1"/>
  <c r="S4795" i="3"/>
  <c r="T4795" i="3" s="1"/>
  <c r="S4799" i="3"/>
  <c r="T4799" i="3" s="1"/>
  <c r="S4803" i="3"/>
  <c r="T4803" i="3" s="1"/>
  <c r="S4807" i="3"/>
  <c r="T4807" i="3" s="1"/>
  <c r="S4813" i="3"/>
  <c r="T4813" i="3" s="1"/>
  <c r="S4817" i="3"/>
  <c r="T4817" i="3" s="1"/>
  <c r="S4821" i="3"/>
  <c r="T4821" i="3" s="1"/>
  <c r="S4823" i="3"/>
  <c r="T4823" i="3" s="1"/>
  <c r="S4827" i="3"/>
  <c r="T4827" i="3" s="1"/>
  <c r="S4831" i="3"/>
  <c r="T4831" i="3" s="1"/>
  <c r="S4835" i="3"/>
  <c r="T4835" i="3" s="1"/>
  <c r="S4839" i="3"/>
  <c r="T4839" i="3" s="1"/>
  <c r="S4843" i="3"/>
  <c r="T4843" i="3" s="1"/>
  <c r="S4847" i="3"/>
  <c r="T4847" i="3" s="1"/>
  <c r="S4851" i="3"/>
  <c r="T4851" i="3" s="1"/>
  <c r="S4855" i="3"/>
  <c r="T4855" i="3" s="1"/>
  <c r="S4859" i="3"/>
  <c r="T4859" i="3" s="1"/>
  <c r="S4863" i="3"/>
  <c r="T4863" i="3" s="1"/>
  <c r="S4867" i="3"/>
  <c r="T4867" i="3" s="1"/>
  <c r="S4869" i="3"/>
  <c r="T4869" i="3" s="1"/>
  <c r="S4875" i="3"/>
  <c r="T4875" i="3" s="1"/>
  <c r="S4877" i="3"/>
  <c r="T4877" i="3" s="1"/>
  <c r="S4883" i="3"/>
  <c r="T4883" i="3" s="1"/>
  <c r="S4885" i="3"/>
  <c r="T4885" i="3" s="1"/>
  <c r="S4887" i="3"/>
  <c r="T4887" i="3" s="1"/>
  <c r="S4889" i="3"/>
  <c r="T4889" i="3" s="1"/>
  <c r="S4891" i="3"/>
  <c r="T4891" i="3" s="1"/>
  <c r="S4893" i="3"/>
  <c r="T4893" i="3" s="1"/>
  <c r="S4895" i="3"/>
  <c r="T4895" i="3" s="1"/>
  <c r="S4897" i="3"/>
  <c r="T4897" i="3" s="1"/>
  <c r="S4899" i="3"/>
  <c r="T4899" i="3" s="1"/>
  <c r="S4901" i="3"/>
  <c r="T4901" i="3" s="1"/>
  <c r="S4903" i="3"/>
  <c r="T4903" i="3" s="1"/>
  <c r="S4905" i="3"/>
  <c r="T4905" i="3" s="1"/>
  <c r="S4907" i="3"/>
  <c r="T4907" i="3" s="1"/>
  <c r="S4909" i="3"/>
  <c r="T4909" i="3" s="1"/>
  <c r="S4911" i="3"/>
  <c r="T4911" i="3" s="1"/>
  <c r="S4913" i="3"/>
  <c r="T4913" i="3" s="1"/>
  <c r="S4915" i="3"/>
  <c r="T4915" i="3" s="1"/>
  <c r="S4917" i="3"/>
  <c r="T4917" i="3" s="1"/>
  <c r="S4919" i="3"/>
  <c r="T4919" i="3" s="1"/>
  <c r="S4921" i="3"/>
  <c r="T4921" i="3" s="1"/>
  <c r="S4923" i="3"/>
  <c r="T4923" i="3" s="1"/>
  <c r="S4925" i="3"/>
  <c r="T4925" i="3" s="1"/>
  <c r="S4927" i="3"/>
  <c r="T4927" i="3" s="1"/>
  <c r="S4929" i="3"/>
  <c r="T4929" i="3" s="1"/>
  <c r="S4931" i="3"/>
  <c r="T4931" i="3" s="1"/>
  <c r="S4933" i="3"/>
  <c r="T4933" i="3" s="1"/>
  <c r="S4935" i="3"/>
  <c r="T4935" i="3" s="1"/>
  <c r="S4937" i="3"/>
  <c r="T4937" i="3" s="1"/>
  <c r="S4939" i="3"/>
  <c r="T4939" i="3" s="1"/>
  <c r="S4941" i="3"/>
  <c r="T4941" i="3" s="1"/>
  <c r="S4944" i="3"/>
  <c r="T4944" i="3" s="1"/>
  <c r="S4945" i="3"/>
  <c r="T4945" i="3" s="1"/>
  <c r="S4947" i="3"/>
  <c r="T4947" i="3" s="1"/>
  <c r="S4949" i="3"/>
  <c r="T4949" i="3" s="1"/>
  <c r="S4951" i="3"/>
  <c r="T4951" i="3" s="1"/>
  <c r="S4953" i="3"/>
  <c r="T4953" i="3" s="1"/>
  <c r="S4955" i="3"/>
  <c r="T4955" i="3" s="1"/>
  <c r="S4957" i="3"/>
  <c r="T4957" i="3" s="1"/>
  <c r="S4959" i="3"/>
  <c r="T4959" i="3" s="1"/>
  <c r="S4961" i="3"/>
  <c r="T4961" i="3" s="1"/>
  <c r="S4963" i="3"/>
  <c r="T4963" i="3" s="1"/>
  <c r="S4965" i="3"/>
  <c r="T4965" i="3" s="1"/>
  <c r="S4967" i="3"/>
  <c r="T4967" i="3" s="1"/>
  <c r="S4969" i="3"/>
  <c r="T4969" i="3" s="1"/>
  <c r="S4971" i="3"/>
  <c r="T4971" i="3" s="1"/>
  <c r="S4972" i="3"/>
  <c r="T4972" i="3" s="1"/>
  <c r="S4975" i="3"/>
  <c r="T4975" i="3" s="1"/>
  <c r="S4977" i="3"/>
  <c r="T4977" i="3" s="1"/>
  <c r="S4979" i="3"/>
  <c r="T4979" i="3" s="1"/>
  <c r="S4981" i="3"/>
  <c r="T4981" i="3" s="1"/>
  <c r="S4983" i="3"/>
  <c r="T4983" i="3" s="1"/>
  <c r="S4985" i="3"/>
  <c r="T4985" i="3" s="1"/>
  <c r="S4987" i="3"/>
  <c r="T4987" i="3" s="1"/>
  <c r="S4989" i="3"/>
  <c r="T4989" i="3" s="1"/>
  <c r="S4991" i="3"/>
  <c r="T4991" i="3" s="1"/>
  <c r="S4993" i="3"/>
  <c r="T4993" i="3" s="1"/>
  <c r="S4995" i="3"/>
  <c r="T4995" i="3" s="1"/>
  <c r="S4997" i="3"/>
  <c r="T4997" i="3" s="1"/>
  <c r="S4999" i="3"/>
  <c r="T4999" i="3" s="1"/>
  <c r="S5001" i="3"/>
  <c r="T5001" i="3" s="1"/>
  <c r="S5003" i="3"/>
  <c r="T5003" i="3" s="1"/>
  <c r="S5005" i="3"/>
  <c r="T5005" i="3" s="1"/>
  <c r="S5007" i="3"/>
  <c r="T5007" i="3" s="1"/>
  <c r="S5009" i="3"/>
  <c r="T5009" i="3" s="1"/>
  <c r="S5011" i="3"/>
  <c r="T5011" i="3" s="1"/>
  <c r="S5013" i="3"/>
  <c r="T5013" i="3" s="1"/>
  <c r="S5015" i="3"/>
  <c r="T5015" i="3" s="1"/>
  <c r="S5017" i="3"/>
  <c r="T5017" i="3" s="1"/>
  <c r="S5019" i="3"/>
  <c r="T5019" i="3" s="1"/>
  <c r="S5021" i="3"/>
  <c r="T5021" i="3" s="1"/>
  <c r="S5023" i="3"/>
  <c r="T5023" i="3" s="1"/>
  <c r="S5025" i="3"/>
  <c r="T5025" i="3" s="1"/>
  <c r="S5027" i="3"/>
  <c r="T5027" i="3" s="1"/>
  <c r="S5029" i="3"/>
  <c r="T5029" i="3" s="1"/>
  <c r="S5031" i="3"/>
  <c r="T5031" i="3" s="1"/>
  <c r="S5033" i="3"/>
  <c r="T5033" i="3" s="1"/>
  <c r="S5035" i="3"/>
  <c r="T5035" i="3" s="1"/>
  <c r="S5037" i="3"/>
  <c r="T5037" i="3" s="1"/>
  <c r="S5039" i="3"/>
  <c r="T5039" i="3" s="1"/>
  <c r="S5041" i="3"/>
  <c r="T5041" i="3" s="1"/>
  <c r="S5043" i="3"/>
  <c r="T5043" i="3" s="1"/>
  <c r="S5045" i="3"/>
  <c r="T5045" i="3" s="1"/>
  <c r="S5047" i="3"/>
  <c r="T5047" i="3" s="1"/>
  <c r="S5049" i="3"/>
  <c r="T5049" i="3" s="1"/>
  <c r="S5051" i="3"/>
  <c r="T5051" i="3" s="1"/>
  <c r="S5053" i="3"/>
  <c r="T5053" i="3" s="1"/>
  <c r="S5055" i="3"/>
  <c r="T5055" i="3" s="1"/>
  <c r="S5057" i="3"/>
  <c r="T5057" i="3" s="1"/>
  <c r="S5059" i="3"/>
  <c r="T5059" i="3" s="1"/>
  <c r="S5355" i="3"/>
  <c r="T5355" i="3" s="1"/>
  <c r="S5357" i="3"/>
  <c r="T5357" i="3" s="1"/>
  <c r="S5359" i="3"/>
  <c r="T5359" i="3" s="1"/>
  <c r="S5361" i="3"/>
  <c r="T5361" i="3" s="1"/>
  <c r="S5362" i="3"/>
  <c r="T5362" i="3" s="1"/>
  <c r="S5365" i="3"/>
  <c r="T5365" i="3" s="1"/>
  <c r="S5367" i="3"/>
  <c r="T5367" i="3" s="1"/>
  <c r="S5369" i="3"/>
  <c r="T5369" i="3" s="1"/>
  <c r="S5371" i="3"/>
  <c r="T5371" i="3" s="1"/>
  <c r="S5373" i="3"/>
  <c r="T5373" i="3" s="1"/>
  <c r="S5375" i="3"/>
  <c r="T5375" i="3" s="1"/>
  <c r="S5377" i="3"/>
  <c r="T5377" i="3" s="1"/>
  <c r="S5379" i="3"/>
  <c r="T5379" i="3" s="1"/>
  <c r="S5381" i="3"/>
  <c r="T5381" i="3" s="1"/>
  <c r="S5383" i="3"/>
  <c r="T5383" i="3" s="1"/>
  <c r="S5574" i="3"/>
  <c r="T5574" i="3" s="1"/>
  <c r="S5576" i="3"/>
  <c r="T5576" i="3" s="1"/>
  <c r="S5578" i="3"/>
  <c r="T5578" i="3" s="1"/>
  <c r="S5580" i="3"/>
  <c r="T5580" i="3" s="1"/>
  <c r="S5582" i="3"/>
  <c r="T5582" i="3" s="1"/>
  <c r="S5584" i="3"/>
  <c r="T5584" i="3" s="1"/>
  <c r="S5586" i="3"/>
  <c r="T5586" i="3" s="1"/>
  <c r="S5588" i="3"/>
  <c r="T5588" i="3" s="1"/>
  <c r="S5590" i="3"/>
  <c r="T5590" i="3" s="1"/>
  <c r="S5592" i="3"/>
  <c r="T5592" i="3" s="1"/>
  <c r="S5594" i="3"/>
  <c r="T5594" i="3" s="1"/>
  <c r="S5596" i="3"/>
  <c r="T5596" i="3" s="1"/>
  <c r="S5598" i="3"/>
  <c r="T5598" i="3" s="1"/>
  <c r="S5600" i="3"/>
  <c r="T5600" i="3" s="1"/>
  <c r="S5602" i="3"/>
  <c r="T5602" i="3" s="1"/>
  <c r="S5604" i="3"/>
  <c r="T5604" i="3" s="1"/>
  <c r="S5606" i="3"/>
  <c r="T5606" i="3" s="1"/>
  <c r="S5608" i="3"/>
  <c r="T5608" i="3" s="1"/>
  <c r="S5610" i="3"/>
  <c r="T5610" i="3" s="1"/>
  <c r="S5612" i="3"/>
  <c r="T5612" i="3" s="1"/>
  <c r="S5614" i="3"/>
  <c r="T5614" i="3" s="1"/>
  <c r="S5616" i="3"/>
  <c r="T5616" i="3" s="1"/>
  <c r="S5618" i="3"/>
  <c r="T5618" i="3" s="1"/>
  <c r="S5620" i="3"/>
  <c r="T5620" i="3" s="1"/>
  <c r="S5622" i="3"/>
  <c r="T5622" i="3" s="1"/>
  <c r="S5624" i="3"/>
  <c r="T5624" i="3" s="1"/>
  <c r="S5626" i="3"/>
  <c r="T5626" i="3" s="1"/>
  <c r="S5628" i="3"/>
  <c r="T5628" i="3" s="1"/>
  <c r="S5630" i="3"/>
  <c r="T5630" i="3" s="1"/>
  <c r="S5632" i="3"/>
  <c r="T5632" i="3" s="1"/>
  <c r="S5634" i="3"/>
  <c r="T5634" i="3" s="1"/>
  <c r="S5636" i="3"/>
  <c r="T5636" i="3" s="1"/>
  <c r="S5638" i="3"/>
  <c r="T5638" i="3" s="1"/>
  <c r="S5640" i="3"/>
  <c r="T5640" i="3" s="1"/>
  <c r="S5642" i="3"/>
  <c r="T5642" i="3" s="1"/>
  <c r="S5644" i="3"/>
  <c r="T5644" i="3" s="1"/>
  <c r="S5646" i="3"/>
  <c r="T5646" i="3" s="1"/>
  <c r="S5648" i="3"/>
  <c r="T5648" i="3" s="1"/>
  <c r="S5650" i="3"/>
  <c r="T5650" i="3" s="1"/>
  <c r="S5652" i="3"/>
  <c r="T5652" i="3" s="1"/>
  <c r="S5654" i="3"/>
  <c r="T5654" i="3" s="1"/>
  <c r="S5656" i="3"/>
  <c r="T5656" i="3" s="1"/>
  <c r="S5658" i="3"/>
  <c r="T5658" i="3" s="1"/>
  <c r="S5660" i="3"/>
  <c r="T5660" i="3" s="1"/>
  <c r="S5662" i="3"/>
  <c r="T5662" i="3" s="1"/>
  <c r="S5664" i="3"/>
  <c r="T5664" i="3" s="1"/>
  <c r="S5666" i="3"/>
  <c r="T5666" i="3" s="1"/>
  <c r="S5668" i="3"/>
  <c r="T5668" i="3" s="1"/>
  <c r="S5670" i="3"/>
  <c r="T5670" i="3" s="1"/>
  <c r="S5672" i="3"/>
  <c r="T5672" i="3" s="1"/>
  <c r="S5674" i="3"/>
  <c r="T5674" i="3" s="1"/>
  <c r="S5677" i="3"/>
  <c r="T5677" i="3" s="1"/>
  <c r="S5729" i="3"/>
  <c r="T5729" i="3" s="1"/>
  <c r="S5731" i="3"/>
  <c r="T5731" i="3" s="1"/>
  <c r="S5733" i="3"/>
  <c r="T5733" i="3" s="1"/>
  <c r="S5735" i="3"/>
  <c r="T5735" i="3" s="1"/>
  <c r="S5737" i="3"/>
  <c r="T5737" i="3" s="1"/>
  <c r="S5739" i="3"/>
  <c r="T5739" i="3" s="1"/>
  <c r="S5741" i="3"/>
  <c r="T5741" i="3" s="1"/>
  <c r="S5743" i="3"/>
  <c r="T5743" i="3" s="1"/>
  <c r="S5745" i="3"/>
  <c r="T5745" i="3" s="1"/>
  <c r="S5747" i="3"/>
  <c r="T5747" i="3" s="1"/>
  <c r="S5749" i="3"/>
  <c r="T5749" i="3" s="1"/>
  <c r="S5751" i="3"/>
  <c r="T5751" i="3" s="1"/>
  <c r="S5753" i="3"/>
  <c r="T5753" i="3" s="1"/>
  <c r="S5755" i="3"/>
  <c r="T5755" i="3" s="1"/>
  <c r="S5757" i="3"/>
  <c r="T5757" i="3" s="1"/>
  <c r="S5759" i="3"/>
  <c r="T5759" i="3" s="1"/>
  <c r="S5761" i="3"/>
  <c r="T5761" i="3" s="1"/>
  <c r="S5763" i="3"/>
  <c r="T5763" i="3" s="1"/>
  <c r="S5765" i="3"/>
  <c r="T5765" i="3" s="1"/>
  <c r="S5767" i="3"/>
  <c r="T5767" i="3" s="1"/>
  <c r="S5769" i="3"/>
  <c r="T5769" i="3" s="1"/>
  <c r="S5771" i="3"/>
  <c r="T5771" i="3" s="1"/>
  <c r="S5773" i="3"/>
  <c r="T5773" i="3" s="1"/>
  <c r="S5775" i="3"/>
  <c r="T5775" i="3" s="1"/>
  <c r="S5777" i="3"/>
  <c r="T5777" i="3" s="1"/>
  <c r="S5779" i="3"/>
  <c r="T5779" i="3" s="1"/>
  <c r="S5781" i="3"/>
  <c r="T5781" i="3" s="1"/>
  <c r="S5783" i="3"/>
  <c r="T5783" i="3" s="1"/>
  <c r="S5785" i="3"/>
  <c r="T5785" i="3" s="1"/>
  <c r="S5804" i="3"/>
  <c r="T5804" i="3" s="1"/>
  <c r="S5806" i="3"/>
  <c r="T5806" i="3" s="1"/>
  <c r="S5808" i="3"/>
  <c r="T5808" i="3" s="1"/>
  <c r="S5810" i="3"/>
  <c r="T5810" i="3" s="1"/>
  <c r="S5812" i="3"/>
  <c r="T5812" i="3" s="1"/>
  <c r="S5814" i="3"/>
  <c r="T5814" i="3" s="1"/>
  <c r="S5816" i="3"/>
  <c r="T5816" i="3" s="1"/>
  <c r="S5818" i="3"/>
  <c r="T5818" i="3" s="1"/>
  <c r="S5820" i="3"/>
  <c r="T5820" i="3" s="1"/>
  <c r="S5822" i="3"/>
  <c r="T5822" i="3" s="1"/>
  <c r="S5824" i="3"/>
  <c r="T5824" i="3" s="1"/>
  <c r="S5826" i="3"/>
  <c r="T5826" i="3" s="1"/>
  <c r="S5828" i="3"/>
  <c r="T5828" i="3" s="1"/>
  <c r="S5830" i="3"/>
  <c r="T5830" i="3" s="1"/>
  <c r="S5832" i="3"/>
  <c r="T5832" i="3" s="1"/>
  <c r="S5834" i="3"/>
  <c r="T5834" i="3" s="1"/>
  <c r="S5836" i="3"/>
  <c r="T5836" i="3" s="1"/>
  <c r="S5838" i="3"/>
  <c r="T5838" i="3" s="1"/>
  <c r="S5840" i="3"/>
  <c r="T5840" i="3" s="1"/>
  <c r="S5842" i="3"/>
  <c r="T5842" i="3" s="1"/>
  <c r="S5844" i="3"/>
  <c r="T5844" i="3" s="1"/>
  <c r="S5846" i="3"/>
  <c r="T5846" i="3" s="1"/>
  <c r="S5848" i="3"/>
  <c r="T5848" i="3" s="1"/>
  <c r="S5850" i="3"/>
  <c r="T5850" i="3" s="1"/>
  <c r="S5852" i="3"/>
  <c r="T5852" i="3" s="1"/>
  <c r="S5854" i="3"/>
  <c r="T5854" i="3" s="1"/>
  <c r="S5856" i="3"/>
  <c r="T5856" i="3" s="1"/>
  <c r="S5858" i="3"/>
  <c r="T5858" i="3" s="1"/>
  <c r="S5860" i="3"/>
  <c r="T5860" i="3" s="1"/>
  <c r="S5862" i="3"/>
  <c r="T5862" i="3" s="1"/>
  <c r="S5864" i="3"/>
  <c r="T5864" i="3" s="1"/>
  <c r="S5866" i="3"/>
  <c r="T5866" i="3" s="1"/>
  <c r="S5868" i="3"/>
  <c r="T5868" i="3" s="1"/>
  <c r="S5870" i="3"/>
  <c r="T5870" i="3" s="1"/>
  <c r="S5872" i="3"/>
  <c r="T5872" i="3" s="1"/>
  <c r="S5874" i="3"/>
  <c r="T5874" i="3" s="1"/>
  <c r="S5876" i="3"/>
  <c r="T5876" i="3" s="1"/>
  <c r="S5878" i="3"/>
  <c r="T5878" i="3" s="1"/>
  <c r="S5880" i="3"/>
  <c r="T5880" i="3" s="1"/>
  <c r="S5882" i="3"/>
  <c r="T5882" i="3" s="1"/>
  <c r="S5884" i="3"/>
  <c r="T5884" i="3" s="1"/>
  <c r="S5886" i="3"/>
  <c r="T5886" i="3" s="1"/>
  <c r="S5888" i="3"/>
  <c r="T5888" i="3" s="1"/>
  <c r="S5890" i="3"/>
  <c r="T5890" i="3" s="1"/>
  <c r="S5892" i="3"/>
  <c r="T5892" i="3" s="1"/>
  <c r="S5894" i="3"/>
  <c r="T5894" i="3" s="1"/>
  <c r="S5896" i="3"/>
  <c r="T5896" i="3" s="1"/>
  <c r="S5898" i="3"/>
  <c r="T5898" i="3" s="1"/>
  <c r="S5900" i="3"/>
  <c r="T5900" i="3" s="1"/>
  <c r="S5902" i="3"/>
  <c r="T5902" i="3" s="1"/>
  <c r="S5904" i="3"/>
  <c r="T5904" i="3" s="1"/>
  <c r="S5906" i="3"/>
  <c r="T5906" i="3" s="1"/>
  <c r="S5908" i="3"/>
  <c r="T5908" i="3" s="1"/>
  <c r="S5910" i="3"/>
  <c r="T5910" i="3" s="1"/>
  <c r="S5912" i="3"/>
  <c r="T5912" i="3" s="1"/>
  <c r="S5914" i="3"/>
  <c r="T5914" i="3" s="1"/>
  <c r="S5916" i="3"/>
  <c r="T5916" i="3" s="1"/>
  <c r="S5918" i="3"/>
  <c r="T5918" i="3" s="1"/>
  <c r="S5920" i="3"/>
  <c r="T5920" i="3" s="1"/>
  <c r="S5922" i="3"/>
  <c r="T5922" i="3" s="1"/>
  <c r="S5924" i="3"/>
  <c r="T5924" i="3" s="1"/>
  <c r="S5926" i="3"/>
  <c r="T5926" i="3" s="1"/>
  <c r="S5928" i="3"/>
  <c r="T5928" i="3" s="1"/>
  <c r="S5930" i="3"/>
  <c r="T5930" i="3" s="1"/>
  <c r="S5932" i="3"/>
  <c r="T5932" i="3" s="1"/>
  <c r="S5934" i="3"/>
  <c r="T5934" i="3" s="1"/>
  <c r="S5936" i="3"/>
  <c r="T5936" i="3" s="1"/>
  <c r="S5938" i="3"/>
  <c r="T5938" i="3" s="1"/>
  <c r="S5940" i="3"/>
  <c r="T5940" i="3" s="1"/>
  <c r="S5942" i="3"/>
  <c r="T5942" i="3" s="1"/>
  <c r="S5944" i="3"/>
  <c r="T5944" i="3" s="1"/>
  <c r="S5946" i="3"/>
  <c r="T5946" i="3" s="1"/>
  <c r="S5948" i="3"/>
  <c r="T5948" i="3" s="1"/>
  <c r="S5950" i="3"/>
  <c r="T5950" i="3" s="1"/>
  <c r="S5952" i="3"/>
  <c r="T5952" i="3" s="1"/>
  <c r="S5954" i="3"/>
  <c r="T5954" i="3" s="1"/>
  <c r="S5956" i="3"/>
  <c r="T5956" i="3" s="1"/>
  <c r="S5958" i="3"/>
  <c r="T5958" i="3" s="1"/>
  <c r="S5960" i="3"/>
  <c r="T5960" i="3" s="1"/>
  <c r="S5962" i="3"/>
  <c r="T5962" i="3" s="1"/>
  <c r="S5964" i="3"/>
  <c r="T5964" i="3" s="1"/>
  <c r="S5966" i="3"/>
  <c r="T5966" i="3" s="1"/>
  <c r="S5968" i="3"/>
  <c r="T5968" i="3" s="1"/>
  <c r="S5970" i="3"/>
  <c r="T5970" i="3" s="1"/>
  <c r="S5972" i="3"/>
  <c r="T5972" i="3" s="1"/>
  <c r="S5974" i="3"/>
  <c r="T5974" i="3" s="1"/>
  <c r="S5976" i="3"/>
  <c r="T5976" i="3" s="1"/>
  <c r="S5978" i="3"/>
  <c r="T5978" i="3" s="1"/>
  <c r="S5980" i="3"/>
  <c r="T5980" i="3" s="1"/>
  <c r="S5982" i="3"/>
  <c r="T5982" i="3" s="1"/>
  <c r="S5984" i="3"/>
  <c r="T5984" i="3" s="1"/>
  <c r="S5986" i="3"/>
  <c r="T5986" i="3" s="1"/>
  <c r="S5988" i="3"/>
  <c r="T5988" i="3" s="1"/>
  <c r="S5990" i="3"/>
  <c r="T5990" i="3" s="1"/>
  <c r="S5992" i="3"/>
  <c r="T5992" i="3" s="1"/>
  <c r="S5994" i="3"/>
  <c r="T5994" i="3" s="1"/>
  <c r="S5996" i="3"/>
  <c r="T5996" i="3" s="1"/>
  <c r="S5998" i="3"/>
  <c r="T5998" i="3" s="1"/>
  <c r="S6000" i="3"/>
  <c r="T6000" i="3" s="1"/>
  <c r="S6002" i="3"/>
  <c r="T6002" i="3" s="1"/>
  <c r="S6004" i="3"/>
  <c r="T6004" i="3" s="1"/>
  <c r="S6006" i="3"/>
  <c r="T6006" i="3" s="1"/>
  <c r="S6008" i="3"/>
  <c r="T6008" i="3" s="1"/>
  <c r="S6010" i="3"/>
  <c r="T6010" i="3" s="1"/>
  <c r="S6012" i="3"/>
  <c r="T6012" i="3" s="1"/>
  <c r="S6014" i="3"/>
  <c r="T6014" i="3" s="1"/>
  <c r="S6016" i="3"/>
  <c r="T6016" i="3" s="1"/>
  <c r="S6018" i="3"/>
  <c r="T6018" i="3" s="1"/>
  <c r="S6020" i="3"/>
  <c r="T6020" i="3" s="1"/>
  <c r="S6022" i="3"/>
  <c r="T6022" i="3" s="1"/>
  <c r="S6024" i="3"/>
  <c r="T6024" i="3" s="1"/>
  <c r="S6026" i="3"/>
  <c r="T6026" i="3" s="1"/>
  <c r="S6028" i="3"/>
  <c r="T6028" i="3" s="1"/>
  <c r="S6030" i="3"/>
  <c r="T6030" i="3" s="1"/>
  <c r="S6032" i="3"/>
  <c r="T6032" i="3" s="1"/>
  <c r="S6034" i="3"/>
  <c r="T6034" i="3" s="1"/>
  <c r="S6036" i="3"/>
  <c r="T6036" i="3" s="1"/>
  <c r="S6038" i="3"/>
  <c r="T6038" i="3" s="1"/>
  <c r="S6040" i="3"/>
  <c r="T6040" i="3" s="1"/>
  <c r="S6042" i="3"/>
  <c r="T6042" i="3" s="1"/>
  <c r="S6044" i="3"/>
  <c r="T6044" i="3" s="1"/>
  <c r="S6046" i="3"/>
  <c r="T6046" i="3" s="1"/>
  <c r="S6048" i="3"/>
  <c r="T6048" i="3" s="1"/>
  <c r="S6050" i="3"/>
  <c r="T6050" i="3" s="1"/>
  <c r="S6052" i="3"/>
  <c r="T6052" i="3" s="1"/>
  <c r="S6054" i="3"/>
  <c r="T6054" i="3" s="1"/>
  <c r="S6056" i="3"/>
  <c r="T6056" i="3" s="1"/>
  <c r="S6058" i="3"/>
  <c r="T6058" i="3" s="1"/>
  <c r="S6060" i="3"/>
  <c r="T6060" i="3" s="1"/>
  <c r="S6062" i="3"/>
  <c r="T6062" i="3" s="1"/>
  <c r="S6064" i="3"/>
  <c r="T6064" i="3" s="1"/>
  <c r="S6066" i="3"/>
  <c r="T6066" i="3" s="1"/>
  <c r="S6068" i="3"/>
  <c r="T6068" i="3" s="1"/>
  <c r="S6070" i="3"/>
  <c r="T6070" i="3" s="1"/>
  <c r="S6072" i="3"/>
  <c r="T6072" i="3" s="1"/>
  <c r="S6074" i="3"/>
  <c r="T6074" i="3" s="1"/>
  <c r="S6076" i="3"/>
  <c r="T6076" i="3" s="1"/>
  <c r="S6078" i="3"/>
  <c r="T6078" i="3" s="1"/>
  <c r="S6080" i="3"/>
  <c r="T6080" i="3" s="1"/>
  <c r="S6082" i="3"/>
  <c r="T6082" i="3" s="1"/>
  <c r="S6084" i="3"/>
  <c r="T6084" i="3" s="1"/>
  <c r="S6086" i="3"/>
  <c r="T6086" i="3" s="1"/>
  <c r="S6088" i="3"/>
  <c r="T6088" i="3" s="1"/>
  <c r="S6090" i="3"/>
  <c r="T6090" i="3" s="1"/>
  <c r="S6092" i="3"/>
  <c r="T6092" i="3" s="1"/>
  <c r="S6094" i="3"/>
  <c r="T6094" i="3" s="1"/>
  <c r="S6096" i="3"/>
  <c r="T6096" i="3" s="1"/>
  <c r="S6098" i="3"/>
  <c r="T6098" i="3" s="1"/>
  <c r="S6100" i="3"/>
  <c r="T6100" i="3" s="1"/>
  <c r="S6102" i="3"/>
  <c r="T6102" i="3" s="1"/>
  <c r="S6104" i="3"/>
  <c r="T6104" i="3" s="1"/>
  <c r="S6106" i="3"/>
  <c r="T6106" i="3" s="1"/>
  <c r="S6108" i="3"/>
  <c r="T6108" i="3" s="1"/>
  <c r="S6110" i="3"/>
  <c r="T6110" i="3" s="1"/>
  <c r="S6112" i="3"/>
  <c r="T6112" i="3" s="1"/>
  <c r="S6114" i="3"/>
  <c r="T6114" i="3" s="1"/>
  <c r="S6116" i="3"/>
  <c r="T6116" i="3" s="1"/>
  <c r="S6118" i="3"/>
  <c r="T6118" i="3" s="1"/>
  <c r="S6120" i="3"/>
  <c r="T6120" i="3" s="1"/>
  <c r="S6122" i="3"/>
  <c r="T6122" i="3" s="1"/>
  <c r="S6124" i="3"/>
  <c r="T6124" i="3" s="1"/>
  <c r="S6126" i="3"/>
  <c r="T6126" i="3" s="1"/>
  <c r="S6128" i="3"/>
  <c r="T6128" i="3" s="1"/>
  <c r="S6130" i="3"/>
  <c r="T6130" i="3" s="1"/>
  <c r="S6132" i="3"/>
  <c r="T6132" i="3" s="1"/>
  <c r="S6134" i="3"/>
  <c r="T6134" i="3" s="1"/>
  <c r="S6136" i="3"/>
  <c r="T6136" i="3" s="1"/>
  <c r="S6138" i="3"/>
  <c r="T6138" i="3" s="1"/>
  <c r="S6140" i="3"/>
  <c r="T6140" i="3" s="1"/>
  <c r="S6142" i="3"/>
  <c r="T6142" i="3" s="1"/>
  <c r="S6144" i="3"/>
  <c r="T6144" i="3" s="1"/>
  <c r="S6242" i="3"/>
  <c r="T6242" i="3" s="1"/>
  <c r="S6244" i="3"/>
  <c r="T6244" i="3" s="1"/>
  <c r="S6246" i="3"/>
  <c r="T6246" i="3" s="1"/>
  <c r="S6248" i="3"/>
  <c r="T6248" i="3" s="1"/>
  <c r="S6250" i="3"/>
  <c r="T6250" i="3" s="1"/>
  <c r="S6252" i="3"/>
  <c r="T6252" i="3" s="1"/>
  <c r="S6254" i="3"/>
  <c r="T6254" i="3" s="1"/>
  <c r="S6256" i="3"/>
  <c r="T6256" i="3" s="1"/>
  <c r="S6258" i="3"/>
  <c r="T6258" i="3" s="1"/>
  <c r="S6260" i="3"/>
  <c r="T6260" i="3" s="1"/>
  <c r="S6262" i="3"/>
  <c r="T6262" i="3" s="1"/>
  <c r="S6264" i="3"/>
  <c r="T6264" i="3" s="1"/>
  <c r="S6266" i="3"/>
  <c r="T6266" i="3" s="1"/>
  <c r="S6268" i="3"/>
  <c r="T6268" i="3" s="1"/>
  <c r="S6270" i="3"/>
  <c r="T6270" i="3" s="1"/>
  <c r="S6272" i="3"/>
  <c r="T6272" i="3" s="1"/>
  <c r="S6274" i="3"/>
  <c r="T6274" i="3" s="1"/>
  <c r="S6276" i="3"/>
  <c r="T6276" i="3" s="1"/>
  <c r="S6278" i="3"/>
  <c r="T6278" i="3" s="1"/>
  <c r="S6280" i="3"/>
  <c r="T6280" i="3" s="1"/>
  <c r="S6282" i="3"/>
  <c r="T6282" i="3" s="1"/>
  <c r="S6284" i="3"/>
  <c r="T6284" i="3" s="1"/>
  <c r="S6286" i="3"/>
  <c r="T6286" i="3" s="1"/>
  <c r="S6288" i="3"/>
  <c r="T6288" i="3" s="1"/>
  <c r="S6290" i="3"/>
  <c r="T6290" i="3" s="1"/>
  <c r="S6292" i="3"/>
  <c r="T6292" i="3" s="1"/>
  <c r="S6294" i="3"/>
  <c r="T6294" i="3" s="1"/>
  <c r="S6296" i="3"/>
  <c r="T6296" i="3" s="1"/>
  <c r="S6298" i="3"/>
  <c r="T6298" i="3" s="1"/>
  <c r="S6300" i="3"/>
  <c r="T6300" i="3" s="1"/>
  <c r="S6302" i="3"/>
  <c r="T6302" i="3" s="1"/>
  <c r="S6304" i="3"/>
  <c r="T6304" i="3" s="1"/>
  <c r="S6306" i="3"/>
  <c r="T6306" i="3" s="1"/>
  <c r="S6308" i="3"/>
  <c r="T6308" i="3" s="1"/>
  <c r="S6310" i="3"/>
  <c r="T6310" i="3" s="1"/>
  <c r="S6312" i="3"/>
  <c r="T6312" i="3" s="1"/>
  <c r="S6314" i="3"/>
  <c r="T6314" i="3" s="1"/>
  <c r="S6316" i="3"/>
  <c r="T6316" i="3" s="1"/>
  <c r="S6318" i="3"/>
  <c r="T6318" i="3" s="1"/>
  <c r="S6320" i="3"/>
  <c r="T6320" i="3" s="1"/>
  <c r="S6322" i="3"/>
  <c r="T6322" i="3" s="1"/>
  <c r="S6324" i="3"/>
  <c r="T6324" i="3" s="1"/>
  <c r="S6326" i="3"/>
  <c r="T6326" i="3" s="1"/>
  <c r="S6328" i="3"/>
  <c r="T6328" i="3" s="1"/>
  <c r="S6330" i="3"/>
  <c r="T6330" i="3" s="1"/>
  <c r="S6332" i="3"/>
  <c r="T6332" i="3" s="1"/>
  <c r="S6334" i="3"/>
  <c r="T6334" i="3" s="1"/>
  <c r="S6336" i="3"/>
  <c r="T6336" i="3" s="1"/>
  <c r="S6338" i="3"/>
  <c r="T6338" i="3" s="1"/>
  <c r="S6340" i="3"/>
  <c r="T6340" i="3" s="1"/>
  <c r="S6342" i="3"/>
  <c r="T6342" i="3" s="1"/>
  <c r="S6344" i="3"/>
  <c r="T6344" i="3" s="1"/>
  <c r="S6346" i="3"/>
  <c r="T6346" i="3" s="1"/>
  <c r="S6348" i="3"/>
  <c r="T6348" i="3" s="1"/>
  <c r="S6350" i="3"/>
  <c r="T6350" i="3" s="1"/>
  <c r="S6352" i="3"/>
  <c r="T6352" i="3" s="1"/>
  <c r="S6354" i="3"/>
  <c r="T6354" i="3" s="1"/>
  <c r="S6356" i="3"/>
  <c r="T6356" i="3" s="1"/>
  <c r="S6358" i="3"/>
  <c r="T6358" i="3" s="1"/>
  <c r="S6360" i="3"/>
  <c r="T6360" i="3" s="1"/>
  <c r="S6362" i="3"/>
  <c r="T6362" i="3" s="1"/>
  <c r="S6364" i="3"/>
  <c r="T6364" i="3" s="1"/>
  <c r="S6366" i="3"/>
  <c r="T6366" i="3" s="1"/>
  <c r="S6368" i="3"/>
  <c r="T6368" i="3" s="1"/>
  <c r="S6370" i="3"/>
  <c r="T6370" i="3" s="1"/>
  <c r="S6372" i="3"/>
  <c r="T6372" i="3" s="1"/>
  <c r="S6374" i="3"/>
  <c r="T6374" i="3" s="1"/>
  <c r="S6376" i="3"/>
  <c r="T6376" i="3" s="1"/>
  <c r="S6378" i="3"/>
  <c r="T6378" i="3" s="1"/>
  <c r="S6380" i="3"/>
  <c r="T6380" i="3" s="1"/>
  <c r="S6382" i="3"/>
  <c r="T6382" i="3" s="1"/>
  <c r="S6384" i="3"/>
  <c r="T6384" i="3" s="1"/>
  <c r="S6386" i="3"/>
  <c r="T6386" i="3" s="1"/>
  <c r="S6389" i="3"/>
  <c r="T6389" i="3" s="1"/>
  <c r="S6390" i="3"/>
  <c r="T6390" i="3" s="1"/>
  <c r="S6392" i="3"/>
  <c r="T6392" i="3" s="1"/>
  <c r="S6394" i="3"/>
  <c r="T6394" i="3" s="1"/>
  <c r="S6396" i="3"/>
  <c r="T6396" i="3" s="1"/>
  <c r="S6398" i="3"/>
  <c r="T6398" i="3" s="1"/>
  <c r="S6400" i="3"/>
  <c r="T6400" i="3" s="1"/>
  <c r="S6402" i="3"/>
  <c r="T6402" i="3" s="1"/>
  <c r="S6404" i="3"/>
  <c r="T6404" i="3" s="1"/>
  <c r="S6406" i="3"/>
  <c r="T6406" i="3" s="1"/>
  <c r="S6408" i="3"/>
  <c r="T6408" i="3" s="1"/>
  <c r="S6410" i="3"/>
  <c r="T6410" i="3" s="1"/>
  <c r="S6412" i="3"/>
  <c r="T6412" i="3" s="1"/>
  <c r="S6414" i="3"/>
  <c r="T6414" i="3" s="1"/>
  <c r="S6416" i="3"/>
  <c r="T6416" i="3" s="1"/>
  <c r="S6418" i="3"/>
  <c r="T6418" i="3" s="1"/>
  <c r="S6420" i="3"/>
  <c r="T6420" i="3" s="1"/>
  <c r="C43" i="11"/>
  <c r="K43" i="11" s="1"/>
  <c r="V2646" i="3"/>
  <c r="V4547" i="3"/>
  <c r="V6240" i="3"/>
  <c r="V5383" i="3"/>
  <c r="V5802" i="3"/>
  <c r="I31" i="4"/>
  <c r="V4077" i="3"/>
  <c r="S3" i="3"/>
  <c r="T3" i="3" s="1"/>
  <c r="D33" i="4"/>
  <c r="G32" i="4"/>
  <c r="H32" i="4"/>
  <c r="S4" i="8"/>
  <c r="V9" i="12"/>
  <c r="C4" i="11"/>
  <c r="K4" i="11" s="1"/>
  <c r="AB33" i="12"/>
  <c r="AA33" i="12"/>
  <c r="AC33" i="12"/>
  <c r="AD33" i="12"/>
  <c r="AE33" i="12"/>
  <c r="V33" i="12"/>
  <c r="U33" i="12"/>
  <c r="Y33" i="12"/>
  <c r="W33" i="12"/>
  <c r="X33" i="12"/>
  <c r="V2316" i="3"/>
  <c r="V6144" i="3"/>
  <c r="V4179" i="3"/>
  <c r="V5573" i="3"/>
  <c r="V2645" i="3"/>
  <c r="V5785" i="3"/>
  <c r="V3605" i="3"/>
  <c r="V5353" i="3"/>
  <c r="V2" i="3"/>
  <c r="V4535" i="3"/>
  <c r="K32" i="12"/>
  <c r="L32" i="12"/>
  <c r="M32" i="12"/>
  <c r="J32" i="12"/>
  <c r="L29" i="12"/>
  <c r="M29" i="12"/>
  <c r="J29" i="12"/>
  <c r="K29" i="12"/>
  <c r="L28" i="12"/>
  <c r="M28" i="12"/>
  <c r="J28" i="12"/>
  <c r="K28" i="12"/>
  <c r="J27" i="12"/>
  <c r="L27" i="12"/>
  <c r="M27" i="12"/>
  <c r="K27" i="12"/>
  <c r="J26" i="12"/>
  <c r="L26" i="12"/>
  <c r="M26" i="12"/>
  <c r="K26" i="12"/>
  <c r="M22" i="12"/>
  <c r="M23" i="12"/>
  <c r="K19" i="12"/>
  <c r="M19" i="12"/>
  <c r="J19" i="12"/>
  <c r="L19" i="12"/>
  <c r="L18" i="12"/>
  <c r="M18" i="12"/>
  <c r="J18" i="12"/>
  <c r="K18" i="12"/>
  <c r="M17" i="12"/>
  <c r="J17" i="12"/>
  <c r="L17" i="12"/>
  <c r="K17" i="12"/>
  <c r="L16" i="12"/>
  <c r="J16" i="12"/>
  <c r="M16" i="12"/>
  <c r="K16" i="12"/>
  <c r="J13" i="12"/>
  <c r="L13" i="12"/>
  <c r="K13" i="12"/>
  <c r="M13" i="12"/>
  <c r="L12" i="12"/>
  <c r="K12" i="12"/>
  <c r="M12" i="12"/>
  <c r="K11" i="12"/>
  <c r="M11" i="12"/>
  <c r="L11" i="12"/>
  <c r="P9" i="12"/>
  <c r="J9" i="12"/>
  <c r="AB9" i="12"/>
  <c r="E9" i="12"/>
  <c r="C5" i="11" s="1"/>
  <c r="W14" i="13"/>
  <c r="W15" i="13" s="1"/>
  <c r="W16" i="13" s="1"/>
  <c r="W17" i="13" s="1"/>
  <c r="U65" i="8" l="1"/>
  <c r="V65" i="8"/>
  <c r="X65" i="8"/>
  <c r="T65" i="8"/>
  <c r="S65" i="8"/>
  <c r="Y65" i="8" s="1"/>
  <c r="U58" i="8"/>
  <c r="W65" i="8"/>
  <c r="V58" i="8"/>
  <c r="S58" i="8"/>
  <c r="Y58" i="8" s="1"/>
  <c r="T58" i="8"/>
  <c r="X58" i="8"/>
  <c r="W58" i="8"/>
  <c r="K5" i="11"/>
  <c r="C10" i="11"/>
  <c r="K10" i="11" s="1"/>
  <c r="C9" i="11"/>
  <c r="K9" i="11" s="1"/>
  <c r="C48" i="11"/>
  <c r="K48" i="11" s="1"/>
  <c r="I32" i="4"/>
  <c r="H33" i="4"/>
  <c r="D34" i="4"/>
  <c r="G33" i="4"/>
  <c r="AA4" i="8"/>
  <c r="F9" i="12"/>
  <c r="C6" i="11" s="1"/>
  <c r="K6" i="11" s="1"/>
  <c r="W9" i="12"/>
  <c r="Q9" i="12"/>
  <c r="K9" i="12"/>
  <c r="AC9" i="12"/>
  <c r="AD58" i="8" l="1"/>
  <c r="AB65" i="8"/>
  <c r="AE58" i="8"/>
  <c r="AF58" i="8"/>
  <c r="AC58" i="8"/>
  <c r="AC65" i="8"/>
  <c r="AE65" i="8"/>
  <c r="AA65" i="8"/>
  <c r="AG65" i="8" s="1"/>
  <c r="AB58" i="8"/>
  <c r="AA58" i="8"/>
  <c r="AG58" i="8" s="1"/>
  <c r="AD65" i="8"/>
  <c r="AF65" i="8"/>
  <c r="C53" i="11"/>
  <c r="K53" i="11" s="1"/>
  <c r="C15" i="11"/>
  <c r="K15" i="11" s="1"/>
  <c r="C14" i="11"/>
  <c r="K14" i="11" s="1"/>
  <c r="I33" i="4"/>
  <c r="G34" i="4"/>
  <c r="D35" i="4"/>
  <c r="H34" i="4"/>
  <c r="AI4" i="8"/>
  <c r="D16" i="13"/>
  <c r="C11" i="11"/>
  <c r="K11" i="11" s="1"/>
  <c r="G9" i="12"/>
  <c r="C7" i="11" s="1"/>
  <c r="K7" i="11" s="1"/>
  <c r="AD9" i="12"/>
  <c r="X9" i="12"/>
  <c r="R9" i="12"/>
  <c r="L9" i="12"/>
  <c r="AO22" i="8"/>
  <c r="AO15" i="8"/>
  <c r="AO8" i="8"/>
  <c r="AG12" i="8"/>
  <c r="AO106" i="8"/>
  <c r="AO99" i="8"/>
  <c r="AO92" i="8"/>
  <c r="AO85" i="8"/>
  <c r="AO78" i="8"/>
  <c r="AO71" i="8"/>
  <c r="AO50" i="8"/>
  <c r="AO43" i="8"/>
  <c r="AO36" i="8"/>
  <c r="AO29" i="8"/>
  <c r="AO14" i="8"/>
  <c r="AO21" i="8" s="1"/>
  <c r="AO28" i="8" s="1"/>
  <c r="AO35" i="8" s="1"/>
  <c r="AO42" i="8" s="1"/>
  <c r="AO49" i="8" s="1"/>
  <c r="AN14" i="8"/>
  <c r="AN21" i="8" s="1"/>
  <c r="AN28" i="8" s="1"/>
  <c r="AN35" i="8" s="1"/>
  <c r="AN42" i="8" s="1"/>
  <c r="AN49" i="8" s="1"/>
  <c r="AM14" i="8"/>
  <c r="AM21" i="8" s="1"/>
  <c r="AL14" i="8"/>
  <c r="AL21" i="8" s="1"/>
  <c r="AK14" i="8"/>
  <c r="AJ14" i="8"/>
  <c r="AJ21" i="8" s="1"/>
  <c r="AI14" i="8"/>
  <c r="S16" i="13"/>
  <c r="AI58" i="8" l="1"/>
  <c r="AO58" i="8" s="1"/>
  <c r="AK65" i="8"/>
  <c r="AJ65" i="8"/>
  <c r="AL65" i="8"/>
  <c r="AN58" i="8"/>
  <c r="AK58" i="8"/>
  <c r="AN65" i="8"/>
  <c r="AI65" i="8"/>
  <c r="AO65" i="8" s="1"/>
  <c r="AM65" i="8"/>
  <c r="AM58" i="8"/>
  <c r="AL58" i="8"/>
  <c r="AJ58" i="8"/>
  <c r="AO56" i="8"/>
  <c r="AO63" i="8" s="1"/>
  <c r="AO70" i="8" s="1"/>
  <c r="AO77" i="8" s="1"/>
  <c r="AO84" i="8" s="1"/>
  <c r="AO91" i="8" s="1"/>
  <c r="AO98" i="8" s="1"/>
  <c r="AO105" i="8" s="1"/>
  <c r="AN56" i="8"/>
  <c r="AN63" i="8" s="1"/>
  <c r="AN70" i="8" s="1"/>
  <c r="AN77" i="8" s="1"/>
  <c r="AN84" i="8" s="1"/>
  <c r="AN91" i="8" s="1"/>
  <c r="AN98" i="8" s="1"/>
  <c r="AN105" i="8" s="1"/>
  <c r="C20" i="11"/>
  <c r="K20" i="11" s="1"/>
  <c r="C16" i="11"/>
  <c r="K16" i="11" s="1"/>
  <c r="C19" i="11"/>
  <c r="K19" i="11" s="1"/>
  <c r="C58" i="11"/>
  <c r="K58" i="11" s="1"/>
  <c r="I34" i="4"/>
  <c r="H35" i="4"/>
  <c r="G35" i="4"/>
  <c r="D36" i="4"/>
  <c r="K16" i="13"/>
  <c r="C12" i="11"/>
  <c r="K12" i="11" s="1"/>
  <c r="D24" i="13"/>
  <c r="K24" i="13" s="1"/>
  <c r="M20" i="10"/>
  <c r="M9" i="12"/>
  <c r="AE9" i="12"/>
  <c r="Y9" i="12"/>
  <c r="S9" i="12"/>
  <c r="D17" i="13"/>
  <c r="AG5" i="8"/>
  <c r="AM28" i="8"/>
  <c r="AI21" i="8"/>
  <c r="AK21" i="8"/>
  <c r="AJ28" i="8"/>
  <c r="AL28" i="8"/>
  <c r="B34" i="12"/>
  <c r="B30" i="12"/>
  <c r="R30" i="12" s="1"/>
  <c r="C14" i="12"/>
  <c r="B20" i="12"/>
  <c r="B24" i="12"/>
  <c r="G24" i="12" s="1"/>
  <c r="AG106" i="8"/>
  <c r="Y106" i="8"/>
  <c r="Q106" i="8"/>
  <c r="I106" i="8"/>
  <c r="AG99" i="8"/>
  <c r="Y99" i="8"/>
  <c r="Q99" i="8"/>
  <c r="AG92" i="8"/>
  <c r="Y92" i="8"/>
  <c r="Q92" i="8"/>
  <c r="I92" i="8"/>
  <c r="AG85" i="8"/>
  <c r="Y85" i="8"/>
  <c r="Q85" i="8"/>
  <c r="I85" i="8"/>
  <c r="AG78" i="8"/>
  <c r="Y78" i="8"/>
  <c r="Q78" i="8"/>
  <c r="I78" i="8"/>
  <c r="AG71" i="8"/>
  <c r="Y71" i="8"/>
  <c r="Q71" i="8"/>
  <c r="I71" i="8"/>
  <c r="AG50" i="8"/>
  <c r="Y50" i="8"/>
  <c r="Q50" i="8"/>
  <c r="I50" i="8"/>
  <c r="AG43" i="8"/>
  <c r="Y43" i="8"/>
  <c r="Q43" i="8"/>
  <c r="I43" i="8"/>
  <c r="AG36" i="8"/>
  <c r="Y36" i="8"/>
  <c r="Q36" i="8"/>
  <c r="I36" i="8"/>
  <c r="AG29" i="8"/>
  <c r="Y29" i="8"/>
  <c r="Q22" i="8"/>
  <c r="I22" i="8"/>
  <c r="AG15" i="8"/>
  <c r="AG14" i="8"/>
  <c r="AF14" i="8"/>
  <c r="AE14" i="8"/>
  <c r="AD14" i="8"/>
  <c r="AC14" i="8"/>
  <c r="AB14" i="8"/>
  <c r="AA14" i="8"/>
  <c r="Y15" i="8"/>
  <c r="Y14" i="8"/>
  <c r="X14" i="8"/>
  <c r="W14" i="8"/>
  <c r="V14" i="8"/>
  <c r="U14" i="8"/>
  <c r="T14" i="8"/>
  <c r="S14" i="8"/>
  <c r="Q15" i="8"/>
  <c r="Q14" i="8"/>
  <c r="P14" i="8"/>
  <c r="O14" i="8"/>
  <c r="N14" i="8"/>
  <c r="M14" i="8"/>
  <c r="L14" i="8"/>
  <c r="K14" i="8"/>
  <c r="AG8" i="8"/>
  <c r="Y8" i="8"/>
  <c r="Q8" i="8"/>
  <c r="O17" i="13"/>
  <c r="O16" i="13"/>
  <c r="M16" i="13"/>
  <c r="Q20" i="12" l="1"/>
  <c r="B36" i="12"/>
  <c r="C17" i="11"/>
  <c r="K17" i="11" s="1"/>
  <c r="C63" i="11"/>
  <c r="K63" i="11" s="1"/>
  <c r="C21" i="11"/>
  <c r="K21" i="11" s="1"/>
  <c r="C24" i="11"/>
  <c r="K24" i="11" s="1"/>
  <c r="C25" i="11"/>
  <c r="K25" i="11" s="1"/>
  <c r="I35" i="4"/>
  <c r="D37" i="4"/>
  <c r="G36" i="4"/>
  <c r="H36" i="4"/>
  <c r="R20" i="12"/>
  <c r="S20" i="12"/>
  <c r="S24" i="12"/>
  <c r="M24" i="12" s="1"/>
  <c r="R24" i="12"/>
  <c r="Q24" i="12"/>
  <c r="Q34" i="12"/>
  <c r="S34" i="12"/>
  <c r="R34" i="12"/>
  <c r="S30" i="12"/>
  <c r="Q30" i="12"/>
  <c r="D32" i="13"/>
  <c r="D40" i="13" s="1"/>
  <c r="H43" i="8"/>
  <c r="H22" i="8"/>
  <c r="H50" i="8"/>
  <c r="AN8" i="8"/>
  <c r="AF8" i="8"/>
  <c r="P8" i="8"/>
  <c r="X8" i="8"/>
  <c r="H8" i="8"/>
  <c r="H36" i="8"/>
  <c r="H29" i="8"/>
  <c r="P15" i="8"/>
  <c r="AF15" i="8"/>
  <c r="H15" i="8"/>
  <c r="AN15" i="8"/>
  <c r="X15" i="8"/>
  <c r="O24" i="12"/>
  <c r="O30" i="12"/>
  <c r="P20" i="12"/>
  <c r="P30" i="12"/>
  <c r="P24" i="12"/>
  <c r="Q14" i="12"/>
  <c r="S14" i="12"/>
  <c r="R14" i="12"/>
  <c r="P14" i="12"/>
  <c r="O14" i="12"/>
  <c r="I14" i="12" s="1"/>
  <c r="O20" i="12"/>
  <c r="O34" i="12"/>
  <c r="P34" i="12"/>
  <c r="K17" i="13"/>
  <c r="C34" i="12"/>
  <c r="D34" i="12"/>
  <c r="E34" i="12"/>
  <c r="G34" i="12"/>
  <c r="D14" i="12"/>
  <c r="F30" i="12"/>
  <c r="F20" i="12"/>
  <c r="E14" i="12"/>
  <c r="G30" i="12"/>
  <c r="F34" i="12"/>
  <c r="F14" i="12"/>
  <c r="F24" i="12"/>
  <c r="AJ35" i="8"/>
  <c r="AK28" i="8"/>
  <c r="AM35" i="8"/>
  <c r="AL35" i="8"/>
  <c r="AI28" i="8"/>
  <c r="G14" i="12"/>
  <c r="D24" i="12"/>
  <c r="D20" i="12"/>
  <c r="D30" i="12"/>
  <c r="G20" i="12"/>
  <c r="E30" i="12"/>
  <c r="E20" i="12"/>
  <c r="K20" i="12" s="1"/>
  <c r="C20" i="12"/>
  <c r="C30" i="12"/>
  <c r="C24" i="12"/>
  <c r="E24" i="12"/>
  <c r="M17" i="13"/>
  <c r="S17" i="13"/>
  <c r="C36" i="12" l="1"/>
  <c r="G36" i="12"/>
  <c r="D36" i="12"/>
  <c r="E36" i="12"/>
  <c r="F36" i="12"/>
  <c r="C29" i="11"/>
  <c r="K29" i="11" s="1"/>
  <c r="C30" i="11"/>
  <c r="K30" i="11" s="1"/>
  <c r="C26" i="11"/>
  <c r="K26" i="11" s="1"/>
  <c r="C22" i="11"/>
  <c r="K22" i="11" s="1"/>
  <c r="I36" i="4"/>
  <c r="H37" i="4"/>
  <c r="D38" i="4"/>
  <c r="G37" i="4"/>
  <c r="M30" i="12"/>
  <c r="D48" i="13"/>
  <c r="D56" i="13" s="1"/>
  <c r="K40" i="13"/>
  <c r="K32" i="13"/>
  <c r="K24" i="12"/>
  <c r="I30" i="12"/>
  <c r="M20" i="12"/>
  <c r="J20" i="12"/>
  <c r="L24" i="12"/>
  <c r="K30" i="12"/>
  <c r="I24" i="12"/>
  <c r="M34" i="12"/>
  <c r="K34" i="12"/>
  <c r="K14" i="12"/>
  <c r="J30" i="12"/>
  <c r="J24" i="12"/>
  <c r="L14" i="12"/>
  <c r="L20" i="12"/>
  <c r="J14" i="12"/>
  <c r="I34" i="12"/>
  <c r="M14" i="12"/>
  <c r="L30" i="12"/>
  <c r="J34" i="12"/>
  <c r="L34" i="12"/>
  <c r="I20" i="12"/>
  <c r="G37" i="12"/>
  <c r="AI35" i="8"/>
  <c r="AL42" i="8"/>
  <c r="AM42" i="8"/>
  <c r="AK35" i="8"/>
  <c r="AJ42" i="8"/>
  <c r="A107" i="13"/>
  <c r="O56" i="13"/>
  <c r="I36" i="12" l="1"/>
  <c r="K36" i="12"/>
  <c r="Q36" i="12" s="1"/>
  <c r="M36" i="12"/>
  <c r="S36" i="12" s="1"/>
  <c r="L36" i="12"/>
  <c r="R36" i="12" s="1"/>
  <c r="J36" i="12"/>
  <c r="P36" i="12" s="1"/>
  <c r="C31" i="11"/>
  <c r="K31" i="11" s="1"/>
  <c r="C27" i="11"/>
  <c r="K27" i="11" s="1"/>
  <c r="C35" i="11"/>
  <c r="K35" i="11" s="1"/>
  <c r="C34" i="11"/>
  <c r="K34" i="11" s="1"/>
  <c r="I37" i="4"/>
  <c r="G38" i="4"/>
  <c r="D39" i="4"/>
  <c r="H38" i="4"/>
  <c r="K48" i="13"/>
  <c r="D64" i="13"/>
  <c r="D72" i="13" s="1"/>
  <c r="K56" i="13"/>
  <c r="AJ49" i="8"/>
  <c r="AJ56" i="8" s="1"/>
  <c r="AJ63" i="8" s="1"/>
  <c r="AK42" i="8"/>
  <c r="AM49" i="8"/>
  <c r="AM56" i="8" s="1"/>
  <c r="AM63" i="8" s="1"/>
  <c r="AL49" i="8"/>
  <c r="AL56" i="8" s="1"/>
  <c r="AL63" i="8" s="1"/>
  <c r="AI42" i="8"/>
  <c r="M56" i="13"/>
  <c r="M64" i="13"/>
  <c r="S64" i="13"/>
  <c r="O64" i="13"/>
  <c r="S56" i="13"/>
  <c r="C39" i="11" l="1"/>
  <c r="K39" i="11" s="1"/>
  <c r="C36" i="11"/>
  <c r="K36" i="11" s="1"/>
  <c r="C40" i="11"/>
  <c r="K40" i="11" s="1"/>
  <c r="C32" i="11"/>
  <c r="K32" i="11" s="1"/>
  <c r="I38" i="4"/>
  <c r="H39" i="4"/>
  <c r="G39" i="4"/>
  <c r="D40" i="4"/>
  <c r="K64" i="13"/>
  <c r="AI49" i="8"/>
  <c r="AI56" i="8" s="1"/>
  <c r="AI63" i="8" s="1"/>
  <c r="AK49" i="8"/>
  <c r="AK56" i="8" s="1"/>
  <c r="AK63" i="8" s="1"/>
  <c r="C37" i="11" l="1"/>
  <c r="K37" i="11" s="1"/>
  <c r="C41" i="11"/>
  <c r="K41" i="11" s="1"/>
  <c r="C45" i="11"/>
  <c r="K45" i="11" s="1"/>
  <c r="C44" i="11"/>
  <c r="K44" i="11" s="1"/>
  <c r="I39" i="4"/>
  <c r="D41" i="4"/>
  <c r="G40" i="4"/>
  <c r="H40" i="4"/>
  <c r="AJ70" i="8"/>
  <c r="AM70" i="8"/>
  <c r="AL70" i="8"/>
  <c r="C49" i="11" l="1"/>
  <c r="K49" i="11" s="1"/>
  <c r="C46" i="11"/>
  <c r="K46" i="11" s="1"/>
  <c r="C50" i="11"/>
  <c r="K50" i="11" s="1"/>
  <c r="C42" i="11"/>
  <c r="K42" i="11" s="1"/>
  <c r="I40" i="4"/>
  <c r="H41" i="4"/>
  <c r="D42" i="4"/>
  <c r="G41" i="4"/>
  <c r="AK70" i="8"/>
  <c r="AI70" i="8"/>
  <c r="C55" i="11" l="1"/>
  <c r="K55" i="11" s="1"/>
  <c r="C54" i="11"/>
  <c r="K54" i="11" s="1"/>
  <c r="C47" i="11"/>
  <c r="K47" i="11" s="1"/>
  <c r="C51" i="11"/>
  <c r="K51" i="11" s="1"/>
  <c r="I41" i="4"/>
  <c r="G42" i="4"/>
  <c r="D43" i="4"/>
  <c r="H42" i="4"/>
  <c r="C56" i="11" l="1"/>
  <c r="K56" i="11" s="1"/>
  <c r="C59" i="11"/>
  <c r="K59" i="11" s="1"/>
  <c r="C52" i="11"/>
  <c r="K52" i="11" s="1"/>
  <c r="C60" i="11"/>
  <c r="K60" i="11" s="1"/>
  <c r="I42" i="4"/>
  <c r="H43" i="4"/>
  <c r="G43" i="4"/>
  <c r="D44" i="4"/>
  <c r="C65" i="11" l="1"/>
  <c r="K65" i="11" s="1"/>
  <c r="C64" i="11"/>
  <c r="K64" i="11" s="1"/>
  <c r="C57" i="11"/>
  <c r="K57" i="11" s="1"/>
  <c r="C61" i="11"/>
  <c r="K61" i="11" s="1"/>
  <c r="I43" i="4"/>
  <c r="D45" i="4"/>
  <c r="G44" i="4"/>
  <c r="H44" i="4"/>
  <c r="C66" i="11" l="1"/>
  <c r="K66" i="11" s="1"/>
  <c r="C62" i="11"/>
  <c r="K62" i="11" s="1"/>
  <c r="K72" i="13"/>
  <c r="D80" i="13"/>
  <c r="I44" i="4"/>
  <c r="H45" i="4"/>
  <c r="D46" i="4"/>
  <c r="G45" i="4"/>
  <c r="C67" i="11" l="1"/>
  <c r="K67" i="11" s="1"/>
  <c r="K80" i="13"/>
  <c r="D88" i="13"/>
  <c r="I45" i="4"/>
  <c r="G46" i="4"/>
  <c r="D47" i="4"/>
  <c r="H46" i="4"/>
  <c r="AL77" i="8"/>
  <c r="AM77" i="8"/>
  <c r="AJ77" i="8"/>
  <c r="I46" i="4" l="1"/>
  <c r="K88" i="13"/>
  <c r="D96" i="13"/>
  <c r="H47" i="4"/>
  <c r="G47" i="4"/>
  <c r="D48" i="4"/>
  <c r="AJ84" i="8"/>
  <c r="AI77" i="8"/>
  <c r="AM84" i="8"/>
  <c r="AK77" i="8"/>
  <c r="AL84" i="8"/>
  <c r="K96" i="13" l="1"/>
  <c r="D104" i="13"/>
  <c r="I47" i="4"/>
  <c r="D49" i="4"/>
  <c r="G48" i="4"/>
  <c r="H48" i="4"/>
  <c r="AL91" i="8"/>
  <c r="AK84" i="8"/>
  <c r="AM91" i="8"/>
  <c r="AI84" i="8"/>
  <c r="AJ91" i="8"/>
  <c r="K104" i="13" l="1"/>
  <c r="I48" i="4"/>
  <c r="H49" i="4"/>
  <c r="D50" i="4"/>
  <c r="G49" i="4"/>
  <c r="AJ98" i="8"/>
  <c r="AI91" i="8"/>
  <c r="AM98" i="8"/>
  <c r="AL98" i="8"/>
  <c r="AK91" i="8"/>
  <c r="A59" i="13"/>
  <c r="I49" i="4" l="1"/>
  <c r="G50" i="4"/>
  <c r="D51" i="4"/>
  <c r="H50" i="4"/>
  <c r="D112" i="13"/>
  <c r="K112" i="13" s="1"/>
  <c r="AM105" i="8"/>
  <c r="AK98" i="8"/>
  <c r="AL105" i="8"/>
  <c r="AI98" i="8"/>
  <c r="AJ105" i="8"/>
  <c r="A51" i="13"/>
  <c r="I50" i="4" l="1"/>
  <c r="H51" i="4"/>
  <c r="G51" i="4"/>
  <c r="D52" i="4"/>
  <c r="AI105" i="8"/>
  <c r="AK105" i="8"/>
  <c r="A43" i="13"/>
  <c r="I51" i="4" l="1"/>
  <c r="D53" i="4"/>
  <c r="G52" i="4"/>
  <c r="H52" i="4"/>
  <c r="A35" i="13"/>
  <c r="I52" i="4" l="1"/>
  <c r="H53" i="4"/>
  <c r="D54" i="4"/>
  <c r="G53" i="4"/>
  <c r="A27" i="13"/>
  <c r="I53" i="4" l="1"/>
  <c r="G54" i="4"/>
  <c r="D55" i="4"/>
  <c r="H54" i="4"/>
  <c r="W21" i="13"/>
  <c r="I54" i="4" l="1"/>
  <c r="H55" i="4"/>
  <c r="G55" i="4"/>
  <c r="D56" i="4"/>
  <c r="W29" i="13"/>
  <c r="W22" i="13"/>
  <c r="W23" i="13" s="1"/>
  <c r="W24" i="13" s="1"/>
  <c r="A19" i="13"/>
  <c r="D15" i="13"/>
  <c r="D14" i="13"/>
  <c r="D12" i="13"/>
  <c r="D20" i="13" s="1"/>
  <c r="D28" i="13" s="1"/>
  <c r="D36" i="13" s="1"/>
  <c r="D44" i="13" s="1"/>
  <c r="D52" i="13" s="1"/>
  <c r="D60" i="13" s="1"/>
  <c r="D68" i="13" s="1"/>
  <c r="K21" i="8"/>
  <c r="AG22" i="8"/>
  <c r="AG21" i="8"/>
  <c r="AG28" i="8" s="1"/>
  <c r="AG35" i="8" s="1"/>
  <c r="AG42" i="8" s="1"/>
  <c r="AG49" i="8" s="1"/>
  <c r="AF21" i="8"/>
  <c r="AF28" i="8" s="1"/>
  <c r="AF35" i="8" s="1"/>
  <c r="AF42" i="8" s="1"/>
  <c r="AF49" i="8" s="1"/>
  <c r="AE21" i="8"/>
  <c r="AD21" i="8"/>
  <c r="AD28" i="8" s="1"/>
  <c r="AC21" i="8"/>
  <c r="AB21" i="8"/>
  <c r="AB28" i="8" s="1"/>
  <c r="AA21" i="8"/>
  <c r="Y12" i="8"/>
  <c r="Y5" i="8"/>
  <c r="A11" i="13"/>
  <c r="Y22" i="8"/>
  <c r="Y21" i="8"/>
  <c r="Y28" i="8" s="1"/>
  <c r="Y35" i="8" s="1"/>
  <c r="Y42" i="8" s="1"/>
  <c r="Y49" i="8" s="1"/>
  <c r="X21" i="8"/>
  <c r="X28" i="8" s="1"/>
  <c r="X35" i="8" s="1"/>
  <c r="X42" i="8" s="1"/>
  <c r="X49" i="8" s="1"/>
  <c r="W21" i="8"/>
  <c r="V21" i="8"/>
  <c r="V28" i="8" s="1"/>
  <c r="V35" i="8" s="1"/>
  <c r="V42" i="8" s="1"/>
  <c r="V49" i="8" s="1"/>
  <c r="U21" i="8"/>
  <c r="T21" i="8"/>
  <c r="T28" i="8" s="1"/>
  <c r="T35" i="8" s="1"/>
  <c r="T42" i="8" s="1"/>
  <c r="T49" i="8" s="1"/>
  <c r="S21" i="8"/>
  <c r="K47" i="8"/>
  <c r="K40" i="8"/>
  <c r="K33" i="8"/>
  <c r="K26" i="8"/>
  <c r="K19" i="8"/>
  <c r="Q29" i="8"/>
  <c r="Q21" i="8"/>
  <c r="Q28" i="8" s="1"/>
  <c r="Q35" i="8" s="1"/>
  <c r="Q42" i="8" s="1"/>
  <c r="Q49" i="8" s="1"/>
  <c r="P21" i="8"/>
  <c r="P28" i="8" s="1"/>
  <c r="P35" i="8" s="1"/>
  <c r="P42" i="8" s="1"/>
  <c r="P49" i="8" s="1"/>
  <c r="O21" i="8"/>
  <c r="M21" i="8"/>
  <c r="C103" i="8"/>
  <c r="C96" i="8"/>
  <c r="C89" i="8"/>
  <c r="C82" i="8"/>
  <c r="I29" i="8"/>
  <c r="J36" i="13" s="1"/>
  <c r="J20" i="13"/>
  <c r="I8" i="8"/>
  <c r="C75" i="8"/>
  <c r="C68" i="8"/>
  <c r="J52" i="13"/>
  <c r="J44" i="13"/>
  <c r="D14" i="8"/>
  <c r="D21" i="8" s="1"/>
  <c r="D28" i="8" s="1"/>
  <c r="D35" i="8" s="1"/>
  <c r="D42" i="8" s="1"/>
  <c r="D49" i="8" s="1"/>
  <c r="E14" i="8"/>
  <c r="E21" i="8" s="1"/>
  <c r="F14" i="8"/>
  <c r="F21" i="8" s="1"/>
  <c r="G14" i="8"/>
  <c r="G21" i="8" s="1"/>
  <c r="G28" i="8" s="1"/>
  <c r="G35" i="8" s="1"/>
  <c r="G42" i="8" s="1"/>
  <c r="G49" i="8" s="1"/>
  <c r="H14" i="8"/>
  <c r="H21" i="8" s="1"/>
  <c r="H28" i="8" s="1"/>
  <c r="H35" i="8" s="1"/>
  <c r="H42" i="8" s="1"/>
  <c r="H49" i="8" s="1"/>
  <c r="I14" i="8"/>
  <c r="I21" i="8" s="1"/>
  <c r="I28" i="8" s="1"/>
  <c r="I35" i="8" s="1"/>
  <c r="I42" i="8" s="1"/>
  <c r="I49" i="8" s="1"/>
  <c r="C14" i="8"/>
  <c r="A15" i="8"/>
  <c r="A22" i="8" s="1"/>
  <c r="A29" i="8" s="1"/>
  <c r="A36" i="8" s="1"/>
  <c r="A43" i="8" s="1"/>
  <c r="A50" i="8" s="1"/>
  <c r="A16" i="8"/>
  <c r="A23" i="8" s="1"/>
  <c r="A30" i="8" s="1"/>
  <c r="A37" i="8" s="1"/>
  <c r="A44" i="8" s="1"/>
  <c r="A51" i="8" s="1"/>
  <c r="A14" i="8"/>
  <c r="BQ4" i="9"/>
  <c r="BS27" i="9"/>
  <c r="BR27" i="9"/>
  <c r="BQ27" i="9"/>
  <c r="BP27" i="9"/>
  <c r="BO27" i="9"/>
  <c r="BN27" i="9"/>
  <c r="BM27" i="9"/>
  <c r="BL27" i="9"/>
  <c r="BK27" i="9"/>
  <c r="BU27" i="9"/>
  <c r="BS26" i="9"/>
  <c r="BR26" i="9"/>
  <c r="BQ26" i="9"/>
  <c r="BP26" i="9"/>
  <c r="BO26" i="9"/>
  <c r="BR25" i="9"/>
  <c r="BP25" i="9"/>
  <c r="BS23" i="9"/>
  <c r="BR23" i="9"/>
  <c r="BQ23" i="9"/>
  <c r="BP23" i="9"/>
  <c r="BO23" i="9"/>
  <c r="BN23" i="9"/>
  <c r="BM23" i="9"/>
  <c r="BL23" i="9"/>
  <c r="BK23" i="9"/>
  <c r="BJ23" i="9"/>
  <c r="BU23" i="9" s="1"/>
  <c r="BS22" i="9"/>
  <c r="BR22" i="9"/>
  <c r="BQ22" i="9"/>
  <c r="BP22" i="9"/>
  <c r="BO22" i="9"/>
  <c r="BS21" i="9"/>
  <c r="BR21" i="9"/>
  <c r="BQ21" i="9"/>
  <c r="BP21" i="9"/>
  <c r="BO21" i="9"/>
  <c r="BS20" i="9"/>
  <c r="BR20" i="9"/>
  <c r="BQ20" i="9"/>
  <c r="BP20" i="9"/>
  <c r="BO20" i="9"/>
  <c r="BS19" i="9"/>
  <c r="BR19" i="9"/>
  <c r="BQ19" i="9"/>
  <c r="BP19" i="9"/>
  <c r="BO19" i="9"/>
  <c r="BR17" i="9"/>
  <c r="BP17" i="9"/>
  <c r="BN17" i="9"/>
  <c r="BM17" i="9"/>
  <c r="BL17" i="9"/>
  <c r="BR16" i="9"/>
  <c r="BP16" i="9"/>
  <c r="BS15" i="9"/>
  <c r="BR15" i="9"/>
  <c r="BQ15" i="9"/>
  <c r="BP15" i="9"/>
  <c r="BO15" i="9"/>
  <c r="BS13" i="9"/>
  <c r="BR13" i="9"/>
  <c r="BQ13" i="9"/>
  <c r="BO13" i="9"/>
  <c r="BN13" i="9"/>
  <c r="BM13" i="9"/>
  <c r="BL13" i="9"/>
  <c r="BK13" i="9"/>
  <c r="BS12" i="9"/>
  <c r="BR12" i="9"/>
  <c r="BQ12" i="9"/>
  <c r="BP12" i="9"/>
  <c r="BO12" i="9"/>
  <c r="BS11" i="9"/>
  <c r="BR11" i="9"/>
  <c r="BQ11" i="9"/>
  <c r="BP11" i="9"/>
  <c r="BO11" i="9"/>
  <c r="BS10" i="9"/>
  <c r="BR10" i="9"/>
  <c r="BQ10" i="9"/>
  <c r="BP10" i="9"/>
  <c r="BO10" i="9"/>
  <c r="BS8" i="9"/>
  <c r="BQ8" i="9"/>
  <c r="BO8" i="9"/>
  <c r="BK8" i="9"/>
  <c r="BS7" i="9"/>
  <c r="BR7" i="9"/>
  <c r="BQ7" i="9"/>
  <c r="BP7" i="9"/>
  <c r="BO7" i="9"/>
  <c r="BS6" i="9"/>
  <c r="BR6" i="9"/>
  <c r="BQ6" i="9"/>
  <c r="BP6" i="9"/>
  <c r="BO6" i="9"/>
  <c r="BS5" i="9"/>
  <c r="BR5" i="9"/>
  <c r="BQ5" i="9"/>
  <c r="BP5" i="9"/>
  <c r="BO5" i="9"/>
  <c r="BS4" i="9"/>
  <c r="BR4" i="9"/>
  <c r="BP4" i="9"/>
  <c r="BG27" i="9"/>
  <c r="BF27" i="9"/>
  <c r="BE27" i="9"/>
  <c r="BD27" i="9"/>
  <c r="BC27" i="9"/>
  <c r="BG25" i="9"/>
  <c r="BF25" i="9"/>
  <c r="BE25" i="9"/>
  <c r="BD25" i="9"/>
  <c r="BC25" i="9"/>
  <c r="BG23" i="9"/>
  <c r="BF23" i="9"/>
  <c r="BE23" i="9"/>
  <c r="BD23" i="9"/>
  <c r="BC23" i="9"/>
  <c r="BB23" i="9"/>
  <c r="BA23" i="9"/>
  <c r="AZ23" i="9"/>
  <c r="AY23" i="9"/>
  <c r="AX23" i="9"/>
  <c r="BX23" i="9" s="1"/>
  <c r="BG22" i="9"/>
  <c r="BF22" i="9"/>
  <c r="BE22" i="9"/>
  <c r="BD22" i="9"/>
  <c r="BC22" i="9"/>
  <c r="BG21" i="9"/>
  <c r="BF21" i="9"/>
  <c r="BE21" i="9"/>
  <c r="BD21" i="9"/>
  <c r="BC21" i="9"/>
  <c r="BG20" i="9"/>
  <c r="BF20" i="9"/>
  <c r="BE20" i="9"/>
  <c r="BD20" i="9"/>
  <c r="BC20" i="9"/>
  <c r="BG19" i="9"/>
  <c r="BF19" i="9"/>
  <c r="BE19" i="9"/>
  <c r="BD19" i="9"/>
  <c r="BC19" i="9"/>
  <c r="BG17" i="9"/>
  <c r="BF17" i="9"/>
  <c r="BE17" i="9"/>
  <c r="BD17" i="9"/>
  <c r="BC17" i="9"/>
  <c r="BB17" i="9"/>
  <c r="BA17" i="9"/>
  <c r="AZ17" i="9"/>
  <c r="AY17" i="9"/>
  <c r="AX17" i="9"/>
  <c r="BX17" i="9" s="1"/>
  <c r="BG16" i="9"/>
  <c r="BF16" i="9"/>
  <c r="BE16" i="9"/>
  <c r="BD16" i="9"/>
  <c r="BC16" i="9"/>
  <c r="BG15" i="9"/>
  <c r="BF15" i="9"/>
  <c r="BE15" i="9"/>
  <c r="BD15" i="9"/>
  <c r="BC15" i="9"/>
  <c r="BG13" i="9"/>
  <c r="BF13" i="9"/>
  <c r="BE13" i="9"/>
  <c r="BD13" i="9"/>
  <c r="BC13" i="9"/>
  <c r="BB13" i="9"/>
  <c r="BA13" i="9"/>
  <c r="AZ13" i="9"/>
  <c r="AY13" i="9"/>
  <c r="AX13" i="9"/>
  <c r="BX13" i="9" s="1"/>
  <c r="BG12" i="9"/>
  <c r="BF12" i="9"/>
  <c r="BE12" i="9"/>
  <c r="BD12" i="9"/>
  <c r="BC12" i="9"/>
  <c r="BG11" i="9"/>
  <c r="BF11" i="9"/>
  <c r="BE11" i="9"/>
  <c r="BD11" i="9"/>
  <c r="BC11" i="9"/>
  <c r="BG10" i="9"/>
  <c r="BF10" i="9"/>
  <c r="BE10" i="9"/>
  <c r="BD10" i="9"/>
  <c r="BC10" i="9"/>
  <c r="BG8" i="9"/>
  <c r="BF8" i="9"/>
  <c r="BE8" i="9"/>
  <c r="BD8" i="9"/>
  <c r="BC8" i="9"/>
  <c r="BB8" i="9"/>
  <c r="BA8" i="9"/>
  <c r="AZ8" i="9"/>
  <c r="AY8" i="9"/>
  <c r="AX8" i="9"/>
  <c r="BX8" i="9" s="1"/>
  <c r="BG7" i="9"/>
  <c r="BF7" i="9"/>
  <c r="BE7" i="9"/>
  <c r="BD7" i="9"/>
  <c r="BG6" i="9"/>
  <c r="BF6" i="9"/>
  <c r="BE6" i="9"/>
  <c r="BD6" i="9"/>
  <c r="BG5" i="9"/>
  <c r="BF5" i="9"/>
  <c r="BE5" i="9"/>
  <c r="BD5" i="9"/>
  <c r="BG4" i="9"/>
  <c r="BF4" i="9"/>
  <c r="BE4" i="9"/>
  <c r="BD4" i="9"/>
  <c r="Q5" i="8"/>
  <c r="Q12" i="8"/>
  <c r="AO12" i="8"/>
  <c r="I26" i="8"/>
  <c r="I33" i="8"/>
  <c r="I40" i="8"/>
  <c r="I47" i="8"/>
  <c r="I12" i="8"/>
  <c r="I19" i="8"/>
  <c r="I5" i="8"/>
  <c r="M14" i="13"/>
  <c r="S24" i="13"/>
  <c r="M24" i="13"/>
  <c r="S15" i="13"/>
  <c r="S14" i="13"/>
  <c r="O24" i="13"/>
  <c r="M15" i="13"/>
  <c r="O14" i="13"/>
  <c r="Y56" i="8" l="1"/>
  <c r="Y63" i="8" s="1"/>
  <c r="Y70" i="8" s="1"/>
  <c r="Y77" i="8" s="1"/>
  <c r="Y84" i="8" s="1"/>
  <c r="Y91" i="8" s="1"/>
  <c r="Y98" i="8" s="1"/>
  <c r="Y105" i="8" s="1"/>
  <c r="T56" i="8"/>
  <c r="T63" i="8" s="1"/>
  <c r="T70" i="8" s="1"/>
  <c r="T77" i="8" s="1"/>
  <c r="T84" i="8" s="1"/>
  <c r="T91" i="8" s="1"/>
  <c r="T98" i="8" s="1"/>
  <c r="T105" i="8" s="1"/>
  <c r="I56" i="8"/>
  <c r="I63" i="8" s="1"/>
  <c r="I70" i="8" s="1"/>
  <c r="I77" i="8" s="1"/>
  <c r="I84" i="8" s="1"/>
  <c r="I91" i="8" s="1"/>
  <c r="I98" i="8" s="1"/>
  <c r="I105" i="8" s="1"/>
  <c r="G56" i="8"/>
  <c r="G63" i="8" s="1"/>
  <c r="G70" i="8" s="1"/>
  <c r="G77" i="8" s="1"/>
  <c r="G84" i="8" s="1"/>
  <c r="G91" i="8" s="1"/>
  <c r="G98" i="8" s="1"/>
  <c r="G105" i="8" s="1"/>
  <c r="X56" i="8"/>
  <c r="X63" i="8" s="1"/>
  <c r="X70" i="8" s="1"/>
  <c r="X77" i="8" s="1"/>
  <c r="X84" i="8" s="1"/>
  <c r="X91" i="8" s="1"/>
  <c r="X98" i="8" s="1"/>
  <c r="X105" i="8" s="1"/>
  <c r="AF56" i="8"/>
  <c r="AF63" i="8" s="1"/>
  <c r="AF70" i="8" s="1"/>
  <c r="AF77" i="8" s="1"/>
  <c r="AF84" i="8" s="1"/>
  <c r="AF91" i="8" s="1"/>
  <c r="AF98" i="8" s="1"/>
  <c r="AF105" i="8" s="1"/>
  <c r="P56" i="8"/>
  <c r="P63" i="8" s="1"/>
  <c r="P70" i="8" s="1"/>
  <c r="P77" i="8" s="1"/>
  <c r="P84" i="8" s="1"/>
  <c r="P91" i="8" s="1"/>
  <c r="P98" i="8" s="1"/>
  <c r="P105" i="8" s="1"/>
  <c r="H56" i="8"/>
  <c r="H63" i="8" s="1"/>
  <c r="H70" i="8" s="1"/>
  <c r="H77" i="8" s="1"/>
  <c r="H84" i="8" s="1"/>
  <c r="H91" i="8" s="1"/>
  <c r="H98" i="8" s="1"/>
  <c r="H105" i="8" s="1"/>
  <c r="D56" i="8"/>
  <c r="D63" i="8" s="1"/>
  <c r="D70" i="8" s="1"/>
  <c r="D77" i="8" s="1"/>
  <c r="D84" i="8" s="1"/>
  <c r="D91" i="8" s="1"/>
  <c r="D98" i="8" s="1"/>
  <c r="D105" i="8" s="1"/>
  <c r="Q56" i="8"/>
  <c r="Q63" i="8" s="1"/>
  <c r="Q70" i="8" s="1"/>
  <c r="Q77" i="8" s="1"/>
  <c r="Q84" i="8" s="1"/>
  <c r="Q91" i="8" s="1"/>
  <c r="Q98" i="8" s="1"/>
  <c r="Q105" i="8" s="1"/>
  <c r="V56" i="8"/>
  <c r="V63" i="8" s="1"/>
  <c r="V70" i="8" s="1"/>
  <c r="V77" i="8" s="1"/>
  <c r="V84" i="8" s="1"/>
  <c r="V91" i="8" s="1"/>
  <c r="V98" i="8" s="1"/>
  <c r="V105" i="8" s="1"/>
  <c r="A57" i="8"/>
  <c r="A64" i="8" s="1"/>
  <c r="A71" i="8" s="1"/>
  <c r="A78" i="8" s="1"/>
  <c r="A85" i="8" s="1"/>
  <c r="A92" i="8" s="1"/>
  <c r="A99" i="8" s="1"/>
  <c r="A106" i="8" s="1"/>
  <c r="A58" i="8"/>
  <c r="A65" i="8" s="1"/>
  <c r="A72" i="8" s="1"/>
  <c r="A79" i="8" s="1"/>
  <c r="A86" i="8" s="1"/>
  <c r="A93" i="8" s="1"/>
  <c r="A100" i="8" s="1"/>
  <c r="A107" i="8" s="1"/>
  <c r="AG56" i="8"/>
  <c r="AG63" i="8" s="1"/>
  <c r="AG70" i="8" s="1"/>
  <c r="AG77" i="8" s="1"/>
  <c r="AG84" i="8" s="1"/>
  <c r="AG91" i="8" s="1"/>
  <c r="AG98" i="8" s="1"/>
  <c r="AG105" i="8" s="1"/>
  <c r="BU28" i="9"/>
  <c r="D76" i="13"/>
  <c r="D84" i="13" s="1"/>
  <c r="D92" i="13" s="1"/>
  <c r="D100" i="13" s="1"/>
  <c r="D108" i="13" s="1"/>
  <c r="A21" i="8"/>
  <c r="A28" i="8" s="1"/>
  <c r="A35" i="8" s="1"/>
  <c r="A42" i="8" s="1"/>
  <c r="A49" i="8" s="1"/>
  <c r="I55" i="4"/>
  <c r="D57" i="4"/>
  <c r="G56" i="4"/>
  <c r="H56" i="4"/>
  <c r="N29" i="8"/>
  <c r="L29" i="8"/>
  <c r="K29" i="8"/>
  <c r="O29" i="8"/>
  <c r="M29" i="8"/>
  <c r="P29" i="8"/>
  <c r="L50" i="8"/>
  <c r="K50" i="8"/>
  <c r="O50" i="8"/>
  <c r="N50" i="8"/>
  <c r="M50" i="8"/>
  <c r="P50" i="8"/>
  <c r="N36" i="8"/>
  <c r="L36" i="8"/>
  <c r="K36" i="8"/>
  <c r="M36" i="8"/>
  <c r="O36" i="8"/>
  <c r="P36" i="8"/>
  <c r="S19" i="8"/>
  <c r="Y19" i="8" s="1"/>
  <c r="L22" i="8"/>
  <c r="K22" i="8"/>
  <c r="M22" i="8"/>
  <c r="O22" i="8"/>
  <c r="N22" i="8"/>
  <c r="P22" i="8"/>
  <c r="L43" i="8"/>
  <c r="N43" i="8"/>
  <c r="M43" i="8"/>
  <c r="O43" i="8"/>
  <c r="K43" i="8"/>
  <c r="P43" i="8"/>
  <c r="D78" i="8"/>
  <c r="F76" i="13" s="1"/>
  <c r="G78" i="8"/>
  <c r="I76" i="13" s="1"/>
  <c r="F78" i="8"/>
  <c r="H76" i="13" s="1"/>
  <c r="C78" i="8"/>
  <c r="E76" i="13" s="1"/>
  <c r="E78" i="8"/>
  <c r="G76" i="13" s="1"/>
  <c r="H78" i="8"/>
  <c r="J76" i="13" s="1"/>
  <c r="F99" i="8"/>
  <c r="H100" i="13" s="1"/>
  <c r="E99" i="8"/>
  <c r="G100" i="13" s="1"/>
  <c r="G99" i="8"/>
  <c r="I100" i="13" s="1"/>
  <c r="D99" i="8"/>
  <c r="F100" i="13" s="1"/>
  <c r="C99" i="8"/>
  <c r="E100" i="13" s="1"/>
  <c r="H99" i="8"/>
  <c r="J100" i="13" s="1"/>
  <c r="G92" i="8"/>
  <c r="I92" i="13" s="1"/>
  <c r="D92" i="8"/>
  <c r="F92" i="13" s="1"/>
  <c r="E92" i="8"/>
  <c r="G92" i="13" s="1"/>
  <c r="C92" i="8"/>
  <c r="E92" i="13" s="1"/>
  <c r="F92" i="8"/>
  <c r="H92" i="13" s="1"/>
  <c r="H92" i="8"/>
  <c r="J92" i="13" s="1"/>
  <c r="F106" i="8"/>
  <c r="H108" i="13" s="1"/>
  <c r="C106" i="8"/>
  <c r="E108" i="13" s="1"/>
  <c r="D106" i="8"/>
  <c r="G106" i="8"/>
  <c r="H106" i="8"/>
  <c r="J108" i="13" s="1"/>
  <c r="E106" i="8"/>
  <c r="G71" i="8"/>
  <c r="I68" i="13" s="1"/>
  <c r="E71" i="8"/>
  <c r="G68" i="13" s="1"/>
  <c r="C71" i="8"/>
  <c r="E68" i="13" s="1"/>
  <c r="D71" i="8"/>
  <c r="F68" i="13" s="1"/>
  <c r="F71" i="8"/>
  <c r="H68" i="13" s="1"/>
  <c r="H71" i="8"/>
  <c r="J68" i="13" s="1"/>
  <c r="C85" i="8"/>
  <c r="E84" i="13" s="1"/>
  <c r="F85" i="8"/>
  <c r="H84" i="13" s="1"/>
  <c r="E85" i="8"/>
  <c r="G84" i="13" s="1"/>
  <c r="D85" i="8"/>
  <c r="F84" i="13" s="1"/>
  <c r="G85" i="8"/>
  <c r="I84" i="13" s="1"/>
  <c r="H85" i="8"/>
  <c r="J84" i="13" s="1"/>
  <c r="K14" i="13"/>
  <c r="BU8" i="9"/>
  <c r="BU13" i="9"/>
  <c r="Q26" i="8"/>
  <c r="Q40" i="8"/>
  <c r="S26" i="8"/>
  <c r="S40" i="8"/>
  <c r="W25" i="13"/>
  <c r="AO5" i="8"/>
  <c r="BU17" i="9"/>
  <c r="Q19" i="8"/>
  <c r="Q33" i="8"/>
  <c r="Q47" i="8"/>
  <c r="S33" i="8"/>
  <c r="S47" i="8"/>
  <c r="W37" i="13"/>
  <c r="W30" i="13"/>
  <c r="W31" i="13" s="1"/>
  <c r="W32" i="13" s="1"/>
  <c r="I82" i="8"/>
  <c r="I103" i="8"/>
  <c r="I75" i="8"/>
  <c r="I96" i="8"/>
  <c r="I89" i="8"/>
  <c r="I68" i="8"/>
  <c r="D23" i="13"/>
  <c r="D31" i="13" s="1"/>
  <c r="K15" i="13"/>
  <c r="D13" i="13"/>
  <c r="F28" i="8"/>
  <c r="F36" i="13" s="1"/>
  <c r="E28" i="8"/>
  <c r="G36" i="13" s="1"/>
  <c r="E52" i="13"/>
  <c r="H36" i="13"/>
  <c r="H28" i="13"/>
  <c r="F28" i="13"/>
  <c r="I12" i="13"/>
  <c r="G12" i="13"/>
  <c r="E12" i="13"/>
  <c r="H20" i="13"/>
  <c r="F20" i="13"/>
  <c r="H60" i="13"/>
  <c r="E36" i="13"/>
  <c r="G28" i="13"/>
  <c r="E28" i="13"/>
  <c r="H12" i="13"/>
  <c r="F12" i="13"/>
  <c r="G20" i="13"/>
  <c r="E20" i="13"/>
  <c r="E60" i="13"/>
  <c r="H52" i="13"/>
  <c r="E44" i="13"/>
  <c r="H44" i="13"/>
  <c r="C21" i="8"/>
  <c r="I20" i="13"/>
  <c r="C20" i="13" s="1"/>
  <c r="C21" i="13" s="1"/>
  <c r="J60" i="13"/>
  <c r="K75" i="8"/>
  <c r="K89" i="8"/>
  <c r="K103" i="8"/>
  <c r="K68" i="8"/>
  <c r="K82" i="8"/>
  <c r="K96" i="8"/>
  <c r="D25" i="13"/>
  <c r="D22" i="13"/>
  <c r="AA28" i="8"/>
  <c r="AC28" i="8"/>
  <c r="AE28" i="8"/>
  <c r="AB35" i="8"/>
  <c r="AD35" i="8"/>
  <c r="S28" i="8"/>
  <c r="U28" i="8"/>
  <c r="W28" i="8"/>
  <c r="K28" i="8"/>
  <c r="M28" i="8"/>
  <c r="O28" i="8"/>
  <c r="L21" i="8"/>
  <c r="N21" i="8"/>
  <c r="BT13" i="9"/>
  <c r="BT15" i="9"/>
  <c r="BT4" i="9"/>
  <c r="BT6" i="9"/>
  <c r="BT11" i="9"/>
  <c r="BT19" i="9"/>
  <c r="BT21" i="9"/>
  <c r="BT10" i="9"/>
  <c r="BT5" i="9"/>
  <c r="BT16" i="9"/>
  <c r="BT20" i="9"/>
  <c r="BT22" i="9"/>
  <c r="BT25" i="9"/>
  <c r="G103" i="8"/>
  <c r="E103" i="8"/>
  <c r="BT27" i="9"/>
  <c r="BT23" i="9"/>
  <c r="BT12" i="9"/>
  <c r="BT8" i="9"/>
  <c r="BT7" i="9"/>
  <c r="BP13" i="9"/>
  <c r="BR8" i="9"/>
  <c r="BP8" i="9"/>
  <c r="J28" i="13"/>
  <c r="J12" i="13"/>
  <c r="BS25" i="9"/>
  <c r="BS17" i="9"/>
  <c r="BO25" i="9"/>
  <c r="BQ25" i="9"/>
  <c r="BO16" i="9"/>
  <c r="BQ16" i="9"/>
  <c r="BS16" i="9"/>
  <c r="BK17" i="9"/>
  <c r="BT17" i="9" s="1"/>
  <c r="BO17" i="9"/>
  <c r="BQ17" i="9"/>
  <c r="O13" i="13"/>
  <c r="O15" i="13"/>
  <c r="M23" i="13"/>
  <c r="M25" i="13"/>
  <c r="S32" i="13"/>
  <c r="S22" i="13"/>
  <c r="M13" i="13"/>
  <c r="A56" i="8" l="1"/>
  <c r="A63" i="8" s="1"/>
  <c r="A70" i="8" s="1"/>
  <c r="A77" i="8" s="1"/>
  <c r="A84" i="8" s="1"/>
  <c r="A91" i="8" s="1"/>
  <c r="A98" i="8" s="1"/>
  <c r="A105" i="8" s="1"/>
  <c r="BT28" i="9"/>
  <c r="X36" i="12" s="1"/>
  <c r="C100" i="13"/>
  <c r="C101" i="13" s="1"/>
  <c r="AA19" i="8"/>
  <c r="AC22" i="8" s="1"/>
  <c r="C76" i="13"/>
  <c r="C77" i="13" s="1"/>
  <c r="C92" i="13"/>
  <c r="C93" i="13" s="1"/>
  <c r="C68" i="13"/>
  <c r="C69" i="13" s="1"/>
  <c r="C84" i="13"/>
  <c r="C85" i="13" s="1"/>
  <c r="I56" i="4"/>
  <c r="H57" i="4"/>
  <c r="D58" i="4"/>
  <c r="G57" i="4"/>
  <c r="T36" i="8"/>
  <c r="V36" i="8"/>
  <c r="S36" i="8"/>
  <c r="U36" i="8"/>
  <c r="W36" i="8"/>
  <c r="X36" i="8"/>
  <c r="T43" i="8"/>
  <c r="U43" i="8"/>
  <c r="W43" i="8"/>
  <c r="V43" i="8"/>
  <c r="S43" i="8"/>
  <c r="X43" i="8"/>
  <c r="AA22" i="8"/>
  <c r="W22" i="8"/>
  <c r="T22" i="8"/>
  <c r="S22" i="8"/>
  <c r="V22" i="8"/>
  <c r="U22" i="8"/>
  <c r="X22" i="8"/>
  <c r="S29" i="8"/>
  <c r="T29" i="8"/>
  <c r="W29" i="8"/>
  <c r="V29" i="8"/>
  <c r="U29" i="8"/>
  <c r="X29" i="8"/>
  <c r="W50" i="8"/>
  <c r="T50" i="8"/>
  <c r="U50" i="8"/>
  <c r="S50" i="8"/>
  <c r="V50" i="8"/>
  <c r="X50" i="8"/>
  <c r="N99" i="8"/>
  <c r="K99" i="8"/>
  <c r="O99" i="8"/>
  <c r="M99" i="8"/>
  <c r="L99" i="8"/>
  <c r="P99" i="8"/>
  <c r="K106" i="8"/>
  <c r="O106" i="8"/>
  <c r="L106" i="8"/>
  <c r="N106" i="8"/>
  <c r="M106" i="8"/>
  <c r="P106" i="8"/>
  <c r="N85" i="8"/>
  <c r="M85" i="8"/>
  <c r="K85" i="8"/>
  <c r="L85" i="8"/>
  <c r="O85" i="8"/>
  <c r="P85" i="8"/>
  <c r="K92" i="8"/>
  <c r="M92" i="8"/>
  <c r="L92" i="8"/>
  <c r="N92" i="8"/>
  <c r="O92" i="8"/>
  <c r="P92" i="8"/>
  <c r="L71" i="8"/>
  <c r="M71" i="8"/>
  <c r="K71" i="8"/>
  <c r="O71" i="8"/>
  <c r="N71" i="8"/>
  <c r="P71" i="8"/>
  <c r="O78" i="8"/>
  <c r="K78" i="8"/>
  <c r="N78" i="8"/>
  <c r="L78" i="8"/>
  <c r="M78" i="8"/>
  <c r="P78" i="8"/>
  <c r="AA17" i="12"/>
  <c r="G33" i="8" s="1"/>
  <c r="AA16" i="12"/>
  <c r="G26" i="8" s="1"/>
  <c r="AA18" i="12"/>
  <c r="G40" i="8" s="1"/>
  <c r="AA19" i="12"/>
  <c r="G47" i="8" s="1"/>
  <c r="AE18" i="12"/>
  <c r="AD16" i="12"/>
  <c r="AC19" i="12"/>
  <c r="W47" i="8" s="1"/>
  <c r="AC17" i="12"/>
  <c r="W33" i="8" s="1"/>
  <c r="AB19" i="12"/>
  <c r="O47" i="8" s="1"/>
  <c r="AD19" i="12"/>
  <c r="AC18" i="12"/>
  <c r="W40" i="8" s="1"/>
  <c r="AE19" i="12"/>
  <c r="AE17" i="12"/>
  <c r="AB17" i="12"/>
  <c r="O33" i="8" s="1"/>
  <c r="AB16" i="12"/>
  <c r="O26" i="8" s="1"/>
  <c r="AE16" i="12"/>
  <c r="AD18" i="12"/>
  <c r="AB18" i="12"/>
  <c r="O40" i="8" s="1"/>
  <c r="AD17" i="12"/>
  <c r="AC16" i="12"/>
  <c r="W26" i="8" s="1"/>
  <c r="AA20" i="12"/>
  <c r="U17" i="12"/>
  <c r="E33" i="8" s="1"/>
  <c r="U16" i="12"/>
  <c r="U19" i="12"/>
  <c r="U18" i="12"/>
  <c r="Y19" i="12"/>
  <c r="X18" i="12"/>
  <c r="Y17" i="12"/>
  <c r="V17" i="12"/>
  <c r="V16" i="12"/>
  <c r="M26" i="8" s="1"/>
  <c r="X19" i="12"/>
  <c r="W18" i="12"/>
  <c r="Y16" i="12"/>
  <c r="X17" i="12"/>
  <c r="W17" i="12"/>
  <c r="W16" i="12"/>
  <c r="D20" i="11" s="1"/>
  <c r="I20" i="11" s="1"/>
  <c r="W19" i="12"/>
  <c r="V19" i="12"/>
  <c r="M47" i="8" s="1"/>
  <c r="Y18" i="12"/>
  <c r="D32" i="11" s="1"/>
  <c r="V18" i="12"/>
  <c r="X16" i="12"/>
  <c r="AA22" i="12"/>
  <c r="G54" i="8" s="1"/>
  <c r="AA23" i="12"/>
  <c r="G61" i="8" s="1"/>
  <c r="AB22" i="12"/>
  <c r="O54" i="8" s="1"/>
  <c r="AB23" i="12"/>
  <c r="O61" i="8" s="1"/>
  <c r="AC23" i="12"/>
  <c r="W61" i="8" s="1"/>
  <c r="AC22" i="12"/>
  <c r="W54" i="8" s="1"/>
  <c r="AD23" i="12"/>
  <c r="AE61" i="8" s="1"/>
  <c r="AD22" i="12"/>
  <c r="AE54" i="8" s="1"/>
  <c r="AE22" i="12"/>
  <c r="AM54" i="8" s="1"/>
  <c r="AE23" i="12"/>
  <c r="AM61" i="8" s="1"/>
  <c r="AA11" i="12"/>
  <c r="G5" i="8" s="1"/>
  <c r="AA13" i="12"/>
  <c r="G19" i="8" s="1"/>
  <c r="AA12" i="12"/>
  <c r="G12" i="8" s="1"/>
  <c r="AB12" i="12"/>
  <c r="AB11" i="12"/>
  <c r="AD12" i="12"/>
  <c r="AC12" i="12"/>
  <c r="AD11" i="12"/>
  <c r="AE13" i="12"/>
  <c r="AC13" i="12"/>
  <c r="W19" i="8" s="1"/>
  <c r="AB13" i="12"/>
  <c r="O19" i="8" s="1"/>
  <c r="AD13" i="12"/>
  <c r="AC11" i="12"/>
  <c r="AE11" i="12"/>
  <c r="AE12" i="12"/>
  <c r="U28" i="12"/>
  <c r="U29" i="12"/>
  <c r="U27" i="12"/>
  <c r="U26" i="12"/>
  <c r="W29" i="12"/>
  <c r="V27" i="12"/>
  <c r="V26" i="12"/>
  <c r="Y26" i="12"/>
  <c r="X27" i="12"/>
  <c r="X26" i="12"/>
  <c r="W28" i="12"/>
  <c r="X29" i="12"/>
  <c r="V29" i="12"/>
  <c r="Y28" i="12"/>
  <c r="V28" i="12"/>
  <c r="Y27" i="12"/>
  <c r="Y29" i="12"/>
  <c r="X28" i="12"/>
  <c r="W27" i="12"/>
  <c r="W26" i="12"/>
  <c r="U23" i="12"/>
  <c r="E61" i="8" s="1"/>
  <c r="V22" i="12"/>
  <c r="M54" i="8" s="1"/>
  <c r="U22" i="12"/>
  <c r="E54" i="8" s="1"/>
  <c r="V23" i="12"/>
  <c r="M61" i="8" s="1"/>
  <c r="W22" i="12"/>
  <c r="U54" i="8" s="1"/>
  <c r="W23" i="12"/>
  <c r="U61" i="8" s="1"/>
  <c r="X23" i="12"/>
  <c r="AC61" i="8" s="1"/>
  <c r="X22" i="12"/>
  <c r="AC54" i="8" s="1"/>
  <c r="Y23" i="12"/>
  <c r="AK61" i="8" s="1"/>
  <c r="Y22" i="12"/>
  <c r="AK54" i="8" s="1"/>
  <c r="U13" i="12"/>
  <c r="D13" i="11" s="1"/>
  <c r="I13" i="11" s="1"/>
  <c r="U11" i="12"/>
  <c r="D3" i="11" s="1"/>
  <c r="U12" i="12"/>
  <c r="V11" i="12"/>
  <c r="V12" i="12"/>
  <c r="W13" i="12"/>
  <c r="Y11" i="12"/>
  <c r="D7" i="11" s="1"/>
  <c r="V13" i="12"/>
  <c r="X13" i="12"/>
  <c r="Y13" i="12"/>
  <c r="D17" i="11" s="1"/>
  <c r="I17" i="11" s="1"/>
  <c r="Y12" i="12"/>
  <c r="X11" i="12"/>
  <c r="X12" i="12"/>
  <c r="W12" i="12"/>
  <c r="W11" i="12"/>
  <c r="AA32" i="12"/>
  <c r="G96" i="8" s="1"/>
  <c r="AE32" i="12"/>
  <c r="AC32" i="12"/>
  <c r="AD32" i="12"/>
  <c r="AB32" i="12"/>
  <c r="O96" i="8" s="1"/>
  <c r="U32" i="12"/>
  <c r="W32" i="12"/>
  <c r="X32" i="12"/>
  <c r="V32" i="12"/>
  <c r="Y32" i="12"/>
  <c r="AA29" i="12"/>
  <c r="G89" i="8" s="1"/>
  <c r="AA27" i="12"/>
  <c r="G75" i="8" s="1"/>
  <c r="AA26" i="12"/>
  <c r="G68" i="8" s="1"/>
  <c r="AA28" i="12"/>
  <c r="G82" i="8" s="1"/>
  <c r="AD29" i="12"/>
  <c r="AD28" i="12"/>
  <c r="AB28" i="12"/>
  <c r="O82" i="8" s="1"/>
  <c r="AE26" i="12"/>
  <c r="AE28" i="12"/>
  <c r="AB26" i="12"/>
  <c r="O68" i="8" s="1"/>
  <c r="AB29" i="12"/>
  <c r="O89" i="8" s="1"/>
  <c r="AC29" i="12"/>
  <c r="AD27" i="12"/>
  <c r="AE27" i="12"/>
  <c r="AC27" i="12"/>
  <c r="AC26" i="12"/>
  <c r="AE29" i="12"/>
  <c r="AB27" i="12"/>
  <c r="O75" i="8" s="1"/>
  <c r="AD26" i="12"/>
  <c r="AC28" i="12"/>
  <c r="K25" i="13"/>
  <c r="K23" i="13"/>
  <c r="AB34" i="12"/>
  <c r="AD34" i="12"/>
  <c r="AC34" i="12"/>
  <c r="V34" i="12"/>
  <c r="AA34" i="12"/>
  <c r="W34" i="12"/>
  <c r="Y34" i="12"/>
  <c r="U34" i="12"/>
  <c r="X34" i="12"/>
  <c r="AE34" i="12"/>
  <c r="AB20" i="12"/>
  <c r="U20" i="12"/>
  <c r="Y20" i="12"/>
  <c r="V20" i="12"/>
  <c r="AE20" i="12"/>
  <c r="AD14" i="12"/>
  <c r="AC14" i="12"/>
  <c r="AA14" i="12"/>
  <c r="W33" i="13"/>
  <c r="X24" i="12"/>
  <c r="W24" i="12"/>
  <c r="Y26" i="8"/>
  <c r="AA26" i="8"/>
  <c r="U14" i="12"/>
  <c r="X14" i="12"/>
  <c r="W14" i="12"/>
  <c r="AD24" i="12"/>
  <c r="AC24" i="12"/>
  <c r="Y33" i="8"/>
  <c r="AA33" i="8"/>
  <c r="AD20" i="12"/>
  <c r="AC20" i="12"/>
  <c r="AD30" i="12"/>
  <c r="AC30" i="12"/>
  <c r="W45" i="13"/>
  <c r="W38" i="13"/>
  <c r="W39" i="13" s="1"/>
  <c r="W40" i="13" s="1"/>
  <c r="Y47" i="8"/>
  <c r="AA47" i="8"/>
  <c r="X30" i="12"/>
  <c r="W30" i="12"/>
  <c r="Y40" i="8"/>
  <c r="AA40" i="8"/>
  <c r="X20" i="12"/>
  <c r="W20" i="12"/>
  <c r="Q89" i="8"/>
  <c r="O103" i="8"/>
  <c r="M103" i="8"/>
  <c r="Q103" i="8"/>
  <c r="Q68" i="8"/>
  <c r="Q82" i="8"/>
  <c r="Q96" i="8"/>
  <c r="Q75" i="8"/>
  <c r="K13" i="13"/>
  <c r="D21" i="13"/>
  <c r="F35" i="8"/>
  <c r="E35" i="8"/>
  <c r="C28" i="8"/>
  <c r="I28" i="13"/>
  <c r="C28" i="13" s="1"/>
  <c r="C29" i="13" s="1"/>
  <c r="D30" i="13"/>
  <c r="K22" i="13"/>
  <c r="S96" i="8"/>
  <c r="S68" i="8"/>
  <c r="S89" i="8"/>
  <c r="D33" i="13"/>
  <c r="S82" i="8"/>
  <c r="S103" i="8"/>
  <c r="S75" i="8"/>
  <c r="K31" i="13"/>
  <c r="D39" i="13"/>
  <c r="C12" i="13"/>
  <c r="C13" i="13" s="1"/>
  <c r="AD42" i="8"/>
  <c r="AB42" i="8"/>
  <c r="AE35" i="8"/>
  <c r="AC35" i="8"/>
  <c r="AA35" i="8"/>
  <c r="W35" i="8"/>
  <c r="U35" i="8"/>
  <c r="S35" i="8"/>
  <c r="N28" i="8"/>
  <c r="M35" i="8"/>
  <c r="L28" i="8"/>
  <c r="O35" i="8"/>
  <c r="K35" i="8"/>
  <c r="AE30" i="12"/>
  <c r="AA30" i="12"/>
  <c r="AB30" i="12"/>
  <c r="Y30" i="12"/>
  <c r="V30" i="12"/>
  <c r="U30" i="12"/>
  <c r="AA24" i="12"/>
  <c r="AE24" i="12"/>
  <c r="AB24" i="12"/>
  <c r="V24" i="12"/>
  <c r="U24" i="12"/>
  <c r="Y24" i="12"/>
  <c r="Y14" i="12"/>
  <c r="V14" i="12"/>
  <c r="AB14" i="12"/>
  <c r="AE14" i="12"/>
  <c r="Q56" i="13"/>
  <c r="S31" i="13"/>
  <c r="Q32" i="13"/>
  <c r="O22" i="13"/>
  <c r="M31" i="13"/>
  <c r="U32" i="13"/>
  <c r="U16" i="13"/>
  <c r="Q25" i="13"/>
  <c r="Q22" i="13"/>
  <c r="U31" i="13"/>
  <c r="U15" i="13"/>
  <c r="U22" i="13"/>
  <c r="O31" i="13"/>
  <c r="O33" i="13"/>
  <c r="M22" i="13"/>
  <c r="S23" i="13"/>
  <c r="U14" i="13"/>
  <c r="Q14" i="13"/>
  <c r="U39" i="13"/>
  <c r="M33" i="13"/>
  <c r="U25" i="13"/>
  <c r="S30" i="13"/>
  <c r="U13" i="13"/>
  <c r="U23" i="13"/>
  <c r="U56" i="13"/>
  <c r="Q31" i="13"/>
  <c r="O30" i="13"/>
  <c r="O21" i="13"/>
  <c r="S40" i="13"/>
  <c r="Q33" i="13"/>
  <c r="U33" i="13"/>
  <c r="S25" i="13"/>
  <c r="Q64" i="13"/>
  <c r="U24" i="13"/>
  <c r="O25" i="13"/>
  <c r="U64" i="13"/>
  <c r="Q24" i="13"/>
  <c r="Q23" i="13"/>
  <c r="Q17" i="13"/>
  <c r="Q15" i="13"/>
  <c r="Q13" i="13"/>
  <c r="M21" i="13"/>
  <c r="Q40" i="13"/>
  <c r="Q30" i="13"/>
  <c r="Q16" i="13"/>
  <c r="S13" i="13"/>
  <c r="O32" i="13"/>
  <c r="O23" i="13"/>
  <c r="M32" i="13"/>
  <c r="U17" i="13"/>
  <c r="AF22" i="8" l="1"/>
  <c r="AE22" i="8"/>
  <c r="AI19" i="8"/>
  <c r="AI22" i="8" s="1"/>
  <c r="AG19" i="8"/>
  <c r="D53" i="11"/>
  <c r="I53" i="11" s="1"/>
  <c r="D57" i="11"/>
  <c r="I57" i="11" s="1"/>
  <c r="D37" i="11"/>
  <c r="I37" i="11" s="1"/>
  <c r="D44" i="11"/>
  <c r="I44" i="11" s="1"/>
  <c r="D36" i="11"/>
  <c r="I36" i="11" s="1"/>
  <c r="D22" i="11"/>
  <c r="I22" i="11" s="1"/>
  <c r="D67" i="11"/>
  <c r="I67" i="11" s="1"/>
  <c r="D42" i="11"/>
  <c r="I42" i="11" s="1"/>
  <c r="D27" i="11"/>
  <c r="I27" i="11" s="1"/>
  <c r="D62" i="11"/>
  <c r="I62" i="11" s="1"/>
  <c r="D47" i="11"/>
  <c r="I47" i="11" s="1"/>
  <c r="D45" i="11"/>
  <c r="I45" i="11" s="1"/>
  <c r="D52" i="11"/>
  <c r="I52" i="11" s="1"/>
  <c r="AB22" i="8"/>
  <c r="AD22" i="8"/>
  <c r="I57" i="4"/>
  <c r="I32" i="11"/>
  <c r="G58" i="4"/>
  <c r="D59" i="4"/>
  <c r="H58" i="4"/>
  <c r="AB43" i="8"/>
  <c r="AC43" i="8"/>
  <c r="AE43" i="8"/>
  <c r="AA43" i="8"/>
  <c r="AD43" i="8"/>
  <c r="AF43" i="8"/>
  <c r="AB50" i="8"/>
  <c r="AA50" i="8"/>
  <c r="AC50" i="8"/>
  <c r="AE50" i="8"/>
  <c r="AD50" i="8"/>
  <c r="AF50" i="8"/>
  <c r="AA36" i="8"/>
  <c r="AD36" i="8"/>
  <c r="AE36" i="8"/>
  <c r="AB36" i="8"/>
  <c r="AC36" i="8"/>
  <c r="AF36" i="8"/>
  <c r="AC33" i="8"/>
  <c r="AK22" i="8"/>
  <c r="AA29" i="8"/>
  <c r="AE29" i="8"/>
  <c r="AB29" i="8"/>
  <c r="AD29" i="8"/>
  <c r="AC29" i="8"/>
  <c r="AF29" i="8"/>
  <c r="D65" i="11"/>
  <c r="I65" i="11" s="1"/>
  <c r="D28" i="11"/>
  <c r="I28" i="11" s="1"/>
  <c r="D31" i="11"/>
  <c r="I31" i="11" s="1"/>
  <c r="D26" i="11"/>
  <c r="I26" i="11" s="1"/>
  <c r="D23" i="11"/>
  <c r="I23" i="11" s="1"/>
  <c r="D61" i="11"/>
  <c r="I61" i="11" s="1"/>
  <c r="D54" i="11"/>
  <c r="I54" i="11" s="1"/>
  <c r="D56" i="11"/>
  <c r="I56" i="11" s="1"/>
  <c r="D59" i="11"/>
  <c r="I59" i="11" s="1"/>
  <c r="D11" i="11"/>
  <c r="I11" i="11" s="1"/>
  <c r="D6" i="11"/>
  <c r="F6" i="11" s="1"/>
  <c r="D51" i="11"/>
  <c r="I51" i="11" s="1"/>
  <c r="D50" i="11"/>
  <c r="I50" i="11" s="1"/>
  <c r="D10" i="11"/>
  <c r="I10" i="11" s="1"/>
  <c r="D39" i="11"/>
  <c r="I39" i="11" s="1"/>
  <c r="D4" i="11"/>
  <c r="E4" i="11" s="1"/>
  <c r="D60" i="11"/>
  <c r="I60" i="11" s="1"/>
  <c r="D40" i="11"/>
  <c r="I40" i="11" s="1"/>
  <c r="D63" i="11"/>
  <c r="I63" i="11" s="1"/>
  <c r="D43" i="11"/>
  <c r="I43" i="11" s="1"/>
  <c r="D30" i="11"/>
  <c r="I30" i="11" s="1"/>
  <c r="D25" i="11"/>
  <c r="I25" i="11" s="1"/>
  <c r="D64" i="11"/>
  <c r="I64" i="11" s="1"/>
  <c r="D35" i="11"/>
  <c r="I35" i="11" s="1"/>
  <c r="X30" i="8" s="1"/>
  <c r="D48" i="11"/>
  <c r="I48" i="11" s="1"/>
  <c r="D19" i="11"/>
  <c r="I19" i="11" s="1"/>
  <c r="D66" i="11"/>
  <c r="I66" i="11" s="1"/>
  <c r="D46" i="11"/>
  <c r="I46" i="11" s="1"/>
  <c r="D33" i="11"/>
  <c r="I33" i="11" s="1"/>
  <c r="D24" i="11"/>
  <c r="I24" i="11" s="1"/>
  <c r="D14" i="11"/>
  <c r="I14" i="11" s="1"/>
  <c r="P23" i="8" s="1"/>
  <c r="D21" i="11"/>
  <c r="I21" i="11" s="1"/>
  <c r="D29" i="11"/>
  <c r="I29" i="11" s="1"/>
  <c r="D18" i="11"/>
  <c r="I18" i="11" s="1"/>
  <c r="D5" i="11"/>
  <c r="E5" i="11" s="1"/>
  <c r="D8" i="11"/>
  <c r="I8" i="11" s="1"/>
  <c r="H16" i="8" s="1"/>
  <c r="D55" i="11"/>
  <c r="I55" i="11" s="1"/>
  <c r="D58" i="11"/>
  <c r="I58" i="11" s="1"/>
  <c r="D49" i="11"/>
  <c r="I49" i="11" s="1"/>
  <c r="D41" i="11"/>
  <c r="I41" i="11" s="1"/>
  <c r="D34" i="11"/>
  <c r="I34" i="11" s="1"/>
  <c r="D38" i="11"/>
  <c r="I38" i="11" s="1"/>
  <c r="T78" i="8"/>
  <c r="W78" i="8"/>
  <c r="V78" i="8"/>
  <c r="S78" i="8"/>
  <c r="U78" i="8"/>
  <c r="X78" i="8"/>
  <c r="T106" i="8"/>
  <c r="W106" i="8"/>
  <c r="V106" i="8"/>
  <c r="S106" i="8"/>
  <c r="X106" i="8"/>
  <c r="U106" i="8"/>
  <c r="V99" i="8"/>
  <c r="S99" i="8"/>
  <c r="T99" i="8"/>
  <c r="W99" i="8"/>
  <c r="U99" i="8"/>
  <c r="X99" i="8"/>
  <c r="W92" i="8"/>
  <c r="V92" i="8"/>
  <c r="U92" i="8"/>
  <c r="S92" i="8"/>
  <c r="T92" i="8"/>
  <c r="X92" i="8"/>
  <c r="W85" i="8"/>
  <c r="S85" i="8"/>
  <c r="V85" i="8"/>
  <c r="U85" i="8"/>
  <c r="T85" i="8"/>
  <c r="X85" i="8"/>
  <c r="S71" i="8"/>
  <c r="W71" i="8"/>
  <c r="U71" i="8"/>
  <c r="T71" i="8"/>
  <c r="V71" i="8"/>
  <c r="X71" i="8"/>
  <c r="E26" i="8"/>
  <c r="U19" i="8"/>
  <c r="D15" i="11"/>
  <c r="I15" i="11" s="1"/>
  <c r="E5" i="8"/>
  <c r="M68" i="8"/>
  <c r="E40" i="8"/>
  <c r="AC19" i="8"/>
  <c r="D16" i="11"/>
  <c r="I16" i="11" s="1"/>
  <c r="M12" i="8"/>
  <c r="D9" i="11"/>
  <c r="I9" i="11" s="1"/>
  <c r="E19" i="8"/>
  <c r="E75" i="8"/>
  <c r="AK12" i="8"/>
  <c r="D12" i="11"/>
  <c r="I12" i="11" s="1"/>
  <c r="H7" i="11"/>
  <c r="F7" i="11"/>
  <c r="I7" i="11"/>
  <c r="E7" i="11"/>
  <c r="G7" i="11"/>
  <c r="U26" i="8"/>
  <c r="M89" i="8"/>
  <c r="M82" i="8"/>
  <c r="E82" i="8"/>
  <c r="U40" i="8"/>
  <c r="M40" i="8"/>
  <c r="E89" i="8"/>
  <c r="E12" i="8"/>
  <c r="AK19" i="8"/>
  <c r="U47" i="8"/>
  <c r="M33" i="8"/>
  <c r="U33" i="8"/>
  <c r="E68" i="8"/>
  <c r="E47" i="8"/>
  <c r="C23" i="8"/>
  <c r="H13" i="11"/>
  <c r="G23" i="8" s="1"/>
  <c r="H23" i="8"/>
  <c r="F13" i="11"/>
  <c r="E23" i="8" s="1"/>
  <c r="G13" i="11"/>
  <c r="F23" i="8" s="1"/>
  <c r="E13" i="11"/>
  <c r="D23" i="8" s="1"/>
  <c r="W36" i="12"/>
  <c r="E96" i="8"/>
  <c r="AD36" i="12"/>
  <c r="AE36" i="12"/>
  <c r="AA36" i="12"/>
  <c r="AB36" i="12"/>
  <c r="AC36" i="12"/>
  <c r="Y36" i="12"/>
  <c r="M19" i="8"/>
  <c r="M5" i="8"/>
  <c r="M96" i="8"/>
  <c r="M75" i="8"/>
  <c r="AE19" i="8"/>
  <c r="H32" i="11"/>
  <c r="E32" i="11"/>
  <c r="F32" i="11"/>
  <c r="G32" i="11"/>
  <c r="AI23" i="8"/>
  <c r="H17" i="11"/>
  <c r="AM23" i="8" s="1"/>
  <c r="F17" i="11"/>
  <c r="AK23" i="8" s="1"/>
  <c r="G17" i="11"/>
  <c r="AL23" i="8" s="1"/>
  <c r="AN23" i="8"/>
  <c r="E17" i="11"/>
  <c r="AJ23" i="8" s="1"/>
  <c r="V36" i="12"/>
  <c r="U36" i="12"/>
  <c r="AC26" i="8"/>
  <c r="AG47" i="8"/>
  <c r="AC47" i="8"/>
  <c r="AI47" i="8"/>
  <c r="AE47" i="8"/>
  <c r="W53" i="13"/>
  <c r="W46" i="13"/>
  <c r="W47" i="13" s="1"/>
  <c r="AE40" i="8"/>
  <c r="AI33" i="8"/>
  <c r="AG33" i="8"/>
  <c r="U12" i="8"/>
  <c r="AC5" i="8"/>
  <c r="U5" i="8"/>
  <c r="AG26" i="8"/>
  <c r="AI26" i="8"/>
  <c r="AE26" i="8"/>
  <c r="O12" i="8"/>
  <c r="AM19" i="8"/>
  <c r="W12" i="8"/>
  <c r="AE5" i="8"/>
  <c r="AO19" i="8"/>
  <c r="AC40" i="8"/>
  <c r="AI40" i="8"/>
  <c r="AG40" i="8"/>
  <c r="W41" i="13"/>
  <c r="AE33" i="8"/>
  <c r="AC12" i="8"/>
  <c r="AM5" i="8"/>
  <c r="W5" i="8"/>
  <c r="O5" i="8"/>
  <c r="AM12" i="8"/>
  <c r="AE12" i="8"/>
  <c r="Y103" i="8"/>
  <c r="W103" i="8"/>
  <c r="U103" i="8"/>
  <c r="Y75" i="8"/>
  <c r="U75" i="8"/>
  <c r="W75" i="8"/>
  <c r="W96" i="8"/>
  <c r="U96" i="8"/>
  <c r="Y96" i="8"/>
  <c r="AK5" i="8"/>
  <c r="Y68" i="8"/>
  <c r="U68" i="8"/>
  <c r="W68" i="8"/>
  <c r="W89" i="8"/>
  <c r="Y89" i="8"/>
  <c r="U89" i="8"/>
  <c r="U82" i="8"/>
  <c r="W82" i="8"/>
  <c r="Y82" i="8"/>
  <c r="K39" i="13"/>
  <c r="D29" i="13"/>
  <c r="K21" i="13"/>
  <c r="F42" i="8"/>
  <c r="F44" i="13"/>
  <c r="E42" i="8"/>
  <c r="G44" i="13"/>
  <c r="C35" i="8"/>
  <c r="I36" i="13"/>
  <c r="C36" i="13" s="1"/>
  <c r="C37" i="13" s="1"/>
  <c r="K33" i="13"/>
  <c r="D41" i="13"/>
  <c r="AA89" i="8"/>
  <c r="K30" i="13"/>
  <c r="D38" i="13"/>
  <c r="D47" i="13"/>
  <c r="AA75" i="8"/>
  <c r="AA103" i="8"/>
  <c r="AA82" i="8"/>
  <c r="AA68" i="8"/>
  <c r="AA96" i="8"/>
  <c r="AA42" i="8"/>
  <c r="AC42" i="8"/>
  <c r="AE42" i="8"/>
  <c r="AB49" i="8"/>
  <c r="AB56" i="8" s="1"/>
  <c r="AB63" i="8" s="1"/>
  <c r="AD49" i="8"/>
  <c r="AD56" i="8" s="1"/>
  <c r="AD63" i="8" s="1"/>
  <c r="S42" i="8"/>
  <c r="U42" i="8"/>
  <c r="W42" i="8"/>
  <c r="K42" i="8"/>
  <c r="L35" i="8"/>
  <c r="N35" i="8"/>
  <c r="O42" i="8"/>
  <c r="M42" i="8"/>
  <c r="U30" i="13"/>
  <c r="M29" i="13"/>
  <c r="Q39" i="13"/>
  <c r="Q21" i="13"/>
  <c r="U21" i="13"/>
  <c r="M40" i="13"/>
  <c r="S21" i="13"/>
  <c r="Q29" i="13"/>
  <c r="S39" i="13"/>
  <c r="Q38" i="13"/>
  <c r="S41" i="13"/>
  <c r="M39" i="13"/>
  <c r="Q41" i="13"/>
  <c r="M30" i="13"/>
  <c r="M47" i="13"/>
  <c r="U29" i="13"/>
  <c r="O39" i="13"/>
  <c r="S33" i="13"/>
  <c r="O47" i="13"/>
  <c r="O40" i="13"/>
  <c r="U40" i="13"/>
  <c r="F53" i="11" l="1"/>
  <c r="AN22" i="8"/>
  <c r="AL22" i="8"/>
  <c r="AM22" i="8"/>
  <c r="AJ22" i="8"/>
  <c r="E53" i="11"/>
  <c r="G53" i="11"/>
  <c r="H53" i="11"/>
  <c r="H79" i="8"/>
  <c r="P86" i="8"/>
  <c r="P93" i="8"/>
  <c r="X100" i="8"/>
  <c r="K107" i="8"/>
  <c r="P107" i="8"/>
  <c r="F57" i="11"/>
  <c r="H57" i="11"/>
  <c r="E57" i="11"/>
  <c r="G57" i="11"/>
  <c r="F44" i="11"/>
  <c r="H45" i="11"/>
  <c r="G44" i="11"/>
  <c r="E37" i="11"/>
  <c r="AJ51" i="8" s="1"/>
  <c r="AI51" i="8"/>
  <c r="H37" i="11"/>
  <c r="AM51" i="8" s="1"/>
  <c r="F37" i="11"/>
  <c r="AK51" i="8" s="1"/>
  <c r="G37" i="11"/>
  <c r="AL51" i="8" s="1"/>
  <c r="E27" i="11"/>
  <c r="AJ37" i="8" s="1"/>
  <c r="AI30" i="8"/>
  <c r="H44" i="11"/>
  <c r="E44" i="11"/>
  <c r="E67" i="11"/>
  <c r="G67" i="11"/>
  <c r="H67" i="11"/>
  <c r="F67" i="11"/>
  <c r="E22" i="11"/>
  <c r="AJ30" i="8" s="1"/>
  <c r="G22" i="11"/>
  <c r="AL30" i="8" s="1"/>
  <c r="F22" i="11"/>
  <c r="AK30" i="8" s="1"/>
  <c r="H22" i="11"/>
  <c r="AM30" i="8" s="1"/>
  <c r="H42" i="11"/>
  <c r="F42" i="11"/>
  <c r="E45" i="11"/>
  <c r="G42" i="11"/>
  <c r="F45" i="11"/>
  <c r="E42" i="11"/>
  <c r="G45" i="11"/>
  <c r="E62" i="11"/>
  <c r="AI37" i="8"/>
  <c r="H27" i="11"/>
  <c r="AM37" i="8" s="1"/>
  <c r="H62" i="11"/>
  <c r="G27" i="11"/>
  <c r="AL37" i="8" s="1"/>
  <c r="F27" i="11"/>
  <c r="AK37" i="8" s="1"/>
  <c r="F52" i="11"/>
  <c r="G52" i="11"/>
  <c r="G62" i="11"/>
  <c r="H52" i="11"/>
  <c r="F62" i="11"/>
  <c r="F47" i="11"/>
  <c r="E52" i="11"/>
  <c r="E47" i="11"/>
  <c r="H47" i="11"/>
  <c r="G47" i="11"/>
  <c r="S107" i="8"/>
  <c r="H44" i="8"/>
  <c r="AM33" i="8"/>
  <c r="AN44" i="8"/>
  <c r="P100" i="8"/>
  <c r="K93" i="8"/>
  <c r="P30" i="8"/>
  <c r="K86" i="8"/>
  <c r="S44" i="8"/>
  <c r="S100" i="8"/>
  <c r="K44" i="8"/>
  <c r="H37" i="8"/>
  <c r="P79" i="8"/>
  <c r="X44" i="8"/>
  <c r="X86" i="8"/>
  <c r="X93" i="8"/>
  <c r="P44" i="8"/>
  <c r="X107" i="8"/>
  <c r="P51" i="8"/>
  <c r="H51" i="8"/>
  <c r="H72" i="8"/>
  <c r="P37" i="8"/>
  <c r="X79" i="8"/>
  <c r="C107" i="8"/>
  <c r="X37" i="8"/>
  <c r="X72" i="8"/>
  <c r="AK44" i="8"/>
  <c r="X51" i="8"/>
  <c r="H93" i="8"/>
  <c r="H30" i="8"/>
  <c r="P72" i="8"/>
  <c r="I58" i="4"/>
  <c r="H59" i="4"/>
  <c r="G59" i="4"/>
  <c r="D60" i="4"/>
  <c r="I3" i="11"/>
  <c r="H9" i="8" s="1"/>
  <c r="H3" i="11"/>
  <c r="G9" i="8" s="1"/>
  <c r="AJ44" i="8"/>
  <c r="AM40" i="8"/>
  <c r="AK43" i="8"/>
  <c r="AJ43" i="8"/>
  <c r="AM43" i="8"/>
  <c r="AL43" i="8"/>
  <c r="AI43" i="8"/>
  <c r="AN43" i="8"/>
  <c r="AL36" i="8"/>
  <c r="AI36" i="8"/>
  <c r="AK36" i="8"/>
  <c r="AJ36" i="8"/>
  <c r="AM36" i="8"/>
  <c r="AN36" i="8"/>
  <c r="AM44" i="8"/>
  <c r="AN51" i="8"/>
  <c r="AN37" i="8"/>
  <c r="AK33" i="8"/>
  <c r="F65" i="11"/>
  <c r="AI44" i="8"/>
  <c r="AL44" i="8"/>
  <c r="AK26" i="8"/>
  <c r="AM29" i="8"/>
  <c r="AI29" i="8"/>
  <c r="AJ29" i="8"/>
  <c r="AL29" i="8"/>
  <c r="AK29" i="8"/>
  <c r="AN29" i="8"/>
  <c r="AK47" i="8"/>
  <c r="AM50" i="8"/>
  <c r="AK50" i="8"/>
  <c r="AJ50" i="8"/>
  <c r="AL50" i="8"/>
  <c r="AI50" i="8"/>
  <c r="AN50" i="8"/>
  <c r="AN30" i="8"/>
  <c r="H65" i="11"/>
  <c r="S72" i="8"/>
  <c r="E65" i="11"/>
  <c r="G65" i="11"/>
  <c r="S79" i="8"/>
  <c r="C93" i="8"/>
  <c r="G23" i="11"/>
  <c r="E23" i="11"/>
  <c r="H23" i="11"/>
  <c r="F23" i="11"/>
  <c r="C37" i="8"/>
  <c r="H54" i="11"/>
  <c r="F40" i="11"/>
  <c r="E54" i="11"/>
  <c r="H55" i="11"/>
  <c r="F54" i="11"/>
  <c r="G54" i="11"/>
  <c r="G6" i="11"/>
  <c r="AD9" i="8" s="1"/>
  <c r="E43" i="11"/>
  <c r="F48" i="11"/>
  <c r="I4" i="11"/>
  <c r="P9" i="8" s="1"/>
  <c r="I6" i="11"/>
  <c r="H6" i="11"/>
  <c r="AE9" i="8" s="1"/>
  <c r="E6" i="11"/>
  <c r="AB9" i="8" s="1"/>
  <c r="H50" i="11"/>
  <c r="G60" i="11"/>
  <c r="E40" i="11"/>
  <c r="K100" i="8"/>
  <c r="C86" i="8"/>
  <c r="S37" i="8"/>
  <c r="H39" i="11"/>
  <c r="C79" i="8"/>
  <c r="G40" i="11"/>
  <c r="E38" i="11"/>
  <c r="H40" i="11"/>
  <c r="F8" i="11"/>
  <c r="E16" i="8" s="1"/>
  <c r="G21" i="13" s="1"/>
  <c r="S51" i="8"/>
  <c r="F50" i="11"/>
  <c r="F39" i="11"/>
  <c r="E50" i="11"/>
  <c r="F5" i="11"/>
  <c r="U9" i="8" s="1"/>
  <c r="G15" i="13" s="1"/>
  <c r="E14" i="11"/>
  <c r="L23" i="8" s="1"/>
  <c r="G39" i="11"/>
  <c r="G50" i="11"/>
  <c r="G5" i="11"/>
  <c r="V9" i="8" s="1"/>
  <c r="H4" i="11"/>
  <c r="O9" i="8" s="1"/>
  <c r="S86" i="8"/>
  <c r="F43" i="11"/>
  <c r="C30" i="8"/>
  <c r="S30" i="8"/>
  <c r="K37" i="8"/>
  <c r="E39" i="11"/>
  <c r="E63" i="11"/>
  <c r="H43" i="11"/>
  <c r="H38" i="11"/>
  <c r="G48" i="11"/>
  <c r="H35" i="11"/>
  <c r="E29" i="11"/>
  <c r="E64" i="11"/>
  <c r="H48" i="11"/>
  <c r="I5" i="11"/>
  <c r="X9" i="8" s="1"/>
  <c r="G4" i="11"/>
  <c r="N9" i="8" s="1"/>
  <c r="F4" i="11"/>
  <c r="M9" i="8" s="1"/>
  <c r="H8" i="11"/>
  <c r="G16" i="8" s="1"/>
  <c r="I21" i="13" s="1"/>
  <c r="G43" i="11"/>
  <c r="C44" i="8"/>
  <c r="C51" i="8"/>
  <c r="E48" i="11"/>
  <c r="H5" i="11"/>
  <c r="W9" i="8" s="1"/>
  <c r="I15" i="13" s="1"/>
  <c r="F60" i="11"/>
  <c r="H60" i="11"/>
  <c r="G64" i="11"/>
  <c r="G8" i="11"/>
  <c r="F16" i="8" s="1"/>
  <c r="H21" i="13" s="1"/>
  <c r="K72" i="8"/>
  <c r="K30" i="8"/>
  <c r="F29" i="11"/>
  <c r="E60" i="11"/>
  <c r="E8" i="11"/>
  <c r="D16" i="8" s="1"/>
  <c r="F64" i="11"/>
  <c r="M107" i="8" s="1"/>
  <c r="G49" i="11"/>
  <c r="K23" i="8"/>
  <c r="H14" i="11"/>
  <c r="O23" i="8" s="1"/>
  <c r="H49" i="11"/>
  <c r="H33" i="11"/>
  <c r="E35" i="11"/>
  <c r="F19" i="11"/>
  <c r="F14" i="11"/>
  <c r="M23" i="8" s="1"/>
  <c r="E49" i="11"/>
  <c r="K51" i="8"/>
  <c r="F33" i="11"/>
  <c r="F35" i="11"/>
  <c r="H63" i="11"/>
  <c r="C72" i="8"/>
  <c r="G63" i="11"/>
  <c r="F63" i="11"/>
  <c r="G14" i="11"/>
  <c r="N23" i="8" s="1"/>
  <c r="F38" i="11"/>
  <c r="G38" i="11"/>
  <c r="F34" i="11"/>
  <c r="F49" i="11"/>
  <c r="G33" i="11"/>
  <c r="E33" i="11"/>
  <c r="G35" i="11"/>
  <c r="H25" i="11"/>
  <c r="H29" i="11"/>
  <c r="G29" i="11"/>
  <c r="S93" i="8"/>
  <c r="C16" i="8"/>
  <c r="K79" i="8"/>
  <c r="H64" i="11"/>
  <c r="O107" i="8" s="1"/>
  <c r="G34" i="11"/>
  <c r="E34" i="11"/>
  <c r="E24" i="11"/>
  <c r="H34" i="11"/>
  <c r="AD99" i="8"/>
  <c r="AE99" i="8"/>
  <c r="AC99" i="8"/>
  <c r="AA99" i="8"/>
  <c r="AB99" i="8"/>
  <c r="AF99" i="8"/>
  <c r="AB106" i="8"/>
  <c r="AA106" i="8"/>
  <c r="AD106" i="8"/>
  <c r="AE106" i="8"/>
  <c r="AC106" i="8"/>
  <c r="AF106" i="8"/>
  <c r="AF107" i="8"/>
  <c r="AA107" i="8"/>
  <c r="AA71" i="8"/>
  <c r="AC71" i="8"/>
  <c r="AE71" i="8"/>
  <c r="AB71" i="8"/>
  <c r="AD71" i="8"/>
  <c r="AF71" i="8"/>
  <c r="AD78" i="8"/>
  <c r="AA78" i="8"/>
  <c r="AE78" i="8"/>
  <c r="AB78" i="8"/>
  <c r="AC78" i="8"/>
  <c r="AF78" i="8"/>
  <c r="AE85" i="8"/>
  <c r="AC85" i="8"/>
  <c r="AA85" i="8"/>
  <c r="AD85" i="8"/>
  <c r="AB85" i="8"/>
  <c r="AF85" i="8"/>
  <c r="AE92" i="8"/>
  <c r="AB92" i="8"/>
  <c r="AC92" i="8"/>
  <c r="AD92" i="8"/>
  <c r="AA92" i="8"/>
  <c r="AF92" i="8"/>
  <c r="H24" i="11"/>
  <c r="H58" i="11"/>
  <c r="E58" i="11"/>
  <c r="F30" i="11"/>
  <c r="F58" i="11"/>
  <c r="G58" i="11"/>
  <c r="E55" i="11"/>
  <c r="G55" i="11"/>
  <c r="F55" i="11"/>
  <c r="F59" i="11"/>
  <c r="E18" i="11"/>
  <c r="G18" i="11"/>
  <c r="E59" i="11"/>
  <c r="G24" i="11"/>
  <c r="H59" i="11"/>
  <c r="F18" i="11"/>
  <c r="H18" i="11"/>
  <c r="F24" i="11"/>
  <c r="G20" i="11"/>
  <c r="H30" i="11"/>
  <c r="G59" i="11"/>
  <c r="F25" i="11"/>
  <c r="G25" i="11"/>
  <c r="E25" i="11"/>
  <c r="F20" i="11"/>
  <c r="E30" i="11"/>
  <c r="F28" i="11"/>
  <c r="E20" i="11"/>
  <c r="G30" i="11"/>
  <c r="H20" i="11"/>
  <c r="G19" i="11"/>
  <c r="E19" i="11"/>
  <c r="H19" i="11"/>
  <c r="E28" i="11"/>
  <c r="G28" i="11"/>
  <c r="H28" i="11"/>
  <c r="H46" i="11"/>
  <c r="F46" i="11"/>
  <c r="G46" i="11"/>
  <c r="E46" i="11"/>
  <c r="AF44" i="8"/>
  <c r="AA44" i="8"/>
  <c r="E51" i="11"/>
  <c r="AA51" i="8"/>
  <c r="AF51" i="8"/>
  <c r="H51" i="11"/>
  <c r="F51" i="11"/>
  <c r="G51" i="11"/>
  <c r="AF37" i="8"/>
  <c r="H41" i="11"/>
  <c r="G41" i="11"/>
  <c r="F41" i="11"/>
  <c r="E41" i="11"/>
  <c r="AA37" i="8"/>
  <c r="AF30" i="8"/>
  <c r="G36" i="11"/>
  <c r="H36" i="11"/>
  <c r="F36" i="11"/>
  <c r="E36" i="11"/>
  <c r="AA30" i="8"/>
  <c r="AF93" i="8"/>
  <c r="AA93" i="8"/>
  <c r="X23" i="8"/>
  <c r="F15" i="11"/>
  <c r="U23" i="8" s="1"/>
  <c r="G31" i="13" s="1"/>
  <c r="H15" i="11"/>
  <c r="W23" i="8" s="1"/>
  <c r="I31" i="13" s="1"/>
  <c r="G15" i="11"/>
  <c r="V23" i="8" s="1"/>
  <c r="H31" i="13" s="1"/>
  <c r="E15" i="11"/>
  <c r="T23" i="8" s="1"/>
  <c r="F31" i="13" s="1"/>
  <c r="S23" i="8"/>
  <c r="H10" i="11"/>
  <c r="W16" i="8" s="1"/>
  <c r="E10" i="11"/>
  <c r="T16" i="8" s="1"/>
  <c r="G10" i="11"/>
  <c r="V16" i="8" s="1"/>
  <c r="F10" i="11"/>
  <c r="U16" i="8" s="1"/>
  <c r="X16" i="8"/>
  <c r="S16" i="8"/>
  <c r="AF72" i="8"/>
  <c r="J72" i="13" s="1"/>
  <c r="F66" i="11"/>
  <c r="G66" i="11"/>
  <c r="E66" i="11"/>
  <c r="H66" i="11"/>
  <c r="AA72" i="8"/>
  <c r="AF79" i="8"/>
  <c r="AA79" i="8"/>
  <c r="H12" i="11"/>
  <c r="AM16" i="8" s="1"/>
  <c r="I25" i="13" s="1"/>
  <c r="AI16" i="8"/>
  <c r="AN16" i="8"/>
  <c r="G12" i="11"/>
  <c r="AL16" i="8" s="1"/>
  <c r="H25" i="13" s="1"/>
  <c r="E12" i="11"/>
  <c r="AJ16" i="8" s="1"/>
  <c r="F25" i="13" s="1"/>
  <c r="F12" i="11"/>
  <c r="AK16" i="8" s="1"/>
  <c r="G25" i="13" s="1"/>
  <c r="E11" i="11"/>
  <c r="F11" i="11"/>
  <c r="H11" i="11"/>
  <c r="AE16" i="8" s="1"/>
  <c r="AA16" i="8"/>
  <c r="G11" i="11"/>
  <c r="AD16" i="8" s="1"/>
  <c r="J17" i="11"/>
  <c r="L17" i="11" s="1"/>
  <c r="S9" i="8"/>
  <c r="T9" i="8"/>
  <c r="AA9" i="8"/>
  <c r="AC9" i="8"/>
  <c r="AF86" i="8"/>
  <c r="AA86" i="8"/>
  <c r="L9" i="8"/>
  <c r="K9" i="8"/>
  <c r="G61" i="11"/>
  <c r="E61" i="11"/>
  <c r="H61" i="11"/>
  <c r="F61" i="11"/>
  <c r="K16" i="8"/>
  <c r="P16" i="8"/>
  <c r="E9" i="11"/>
  <c r="L16" i="8" s="1"/>
  <c r="G9" i="11"/>
  <c r="N16" i="8" s="1"/>
  <c r="H9" i="11"/>
  <c r="O16" i="8" s="1"/>
  <c r="F9" i="11"/>
  <c r="M16" i="8" s="1"/>
  <c r="H26" i="11"/>
  <c r="E26" i="11"/>
  <c r="G26" i="11"/>
  <c r="F26" i="11"/>
  <c r="H56" i="11"/>
  <c r="F56" i="11"/>
  <c r="E56" i="11"/>
  <c r="G56" i="11"/>
  <c r="E21" i="11"/>
  <c r="G21" i="11"/>
  <c r="H21" i="11"/>
  <c r="F21" i="11"/>
  <c r="E3" i="11"/>
  <c r="D9" i="8" s="1"/>
  <c r="G3" i="11"/>
  <c r="F9" i="8" s="1"/>
  <c r="H13" i="13" s="1"/>
  <c r="C9" i="8"/>
  <c r="F3" i="11"/>
  <c r="E9" i="8" s="1"/>
  <c r="AF100" i="8"/>
  <c r="AA100" i="8"/>
  <c r="J32" i="11"/>
  <c r="L32" i="11" s="1"/>
  <c r="AJ9" i="8"/>
  <c r="AI9" i="8"/>
  <c r="AN9" i="8"/>
  <c r="AK9" i="8"/>
  <c r="G17" i="13" s="1"/>
  <c r="AM9" i="8"/>
  <c r="I17" i="13" s="1"/>
  <c r="AL9" i="8"/>
  <c r="H17" i="13" s="1"/>
  <c r="H100" i="8"/>
  <c r="C100" i="8"/>
  <c r="J13" i="11"/>
  <c r="L13" i="11" s="1"/>
  <c r="H16" i="11"/>
  <c r="AE23" i="8" s="1"/>
  <c r="AF23" i="8"/>
  <c r="F16" i="11"/>
  <c r="AC23" i="8" s="1"/>
  <c r="G16" i="11"/>
  <c r="AD23" i="8" s="1"/>
  <c r="AA23" i="8"/>
  <c r="E16" i="11"/>
  <c r="AB23" i="8" s="1"/>
  <c r="F32" i="13" s="1"/>
  <c r="G31" i="11"/>
  <c r="E31" i="11"/>
  <c r="H31" i="11"/>
  <c r="F31" i="11"/>
  <c r="AM26" i="8"/>
  <c r="AO40" i="8"/>
  <c r="AK40" i="8"/>
  <c r="AO33" i="8"/>
  <c r="AM47" i="8"/>
  <c r="W49" i="13"/>
  <c r="W48" i="13"/>
  <c r="G33" i="13"/>
  <c r="H33" i="13"/>
  <c r="I33" i="13"/>
  <c r="AO26" i="8"/>
  <c r="W61" i="13"/>
  <c r="W54" i="13"/>
  <c r="W55" i="13" s="1"/>
  <c r="W57" i="13" s="1"/>
  <c r="AO47" i="8"/>
  <c r="AG96" i="8"/>
  <c r="AC96" i="8"/>
  <c r="AE96" i="8"/>
  <c r="AC75" i="8"/>
  <c r="AG75" i="8"/>
  <c r="AE75" i="8"/>
  <c r="AG103" i="8"/>
  <c r="AE103" i="8"/>
  <c r="AC103" i="8"/>
  <c r="AC82" i="8"/>
  <c r="AG82" i="8"/>
  <c r="AE82" i="8"/>
  <c r="AE89" i="8"/>
  <c r="AC89" i="8"/>
  <c r="AG89" i="8"/>
  <c r="AC68" i="8"/>
  <c r="AE68" i="8"/>
  <c r="AG68" i="8"/>
  <c r="K47" i="13"/>
  <c r="K38" i="13"/>
  <c r="K41" i="13"/>
  <c r="AI96" i="8"/>
  <c r="AI68" i="8"/>
  <c r="AI82" i="8"/>
  <c r="AI103" i="8"/>
  <c r="AI75" i="8"/>
  <c r="AI89" i="8"/>
  <c r="H29" i="13"/>
  <c r="F29" i="13"/>
  <c r="G29" i="13"/>
  <c r="I29" i="13"/>
  <c r="K29" i="13"/>
  <c r="D37" i="13"/>
  <c r="F49" i="8"/>
  <c r="F56" i="8" s="1"/>
  <c r="F63" i="8" s="1"/>
  <c r="F52" i="13"/>
  <c r="E49" i="8"/>
  <c r="E56" i="8" s="1"/>
  <c r="E63" i="8" s="1"/>
  <c r="G52" i="13"/>
  <c r="C42" i="8"/>
  <c r="I44" i="13"/>
  <c r="C44" i="13" s="1"/>
  <c r="C45" i="13" s="1"/>
  <c r="D55" i="13"/>
  <c r="D46" i="13"/>
  <c r="D49" i="13"/>
  <c r="AE49" i="8"/>
  <c r="AE56" i="8" s="1"/>
  <c r="AE63" i="8" s="1"/>
  <c r="AA49" i="8"/>
  <c r="AA56" i="8" s="1"/>
  <c r="AA63" i="8" s="1"/>
  <c r="AC49" i="8"/>
  <c r="AC56" i="8" s="1"/>
  <c r="AC63" i="8" s="1"/>
  <c r="U49" i="8"/>
  <c r="U56" i="8" s="1"/>
  <c r="U63" i="8" s="1"/>
  <c r="W49" i="8"/>
  <c r="W56" i="8" s="1"/>
  <c r="W63" i="8" s="1"/>
  <c r="S49" i="8"/>
  <c r="S56" i="8" s="1"/>
  <c r="S63" i="8" s="1"/>
  <c r="O49" i="8"/>
  <c r="O56" i="8" s="1"/>
  <c r="O63" i="8" s="1"/>
  <c r="L42" i="8"/>
  <c r="M49" i="8"/>
  <c r="M56" i="8" s="1"/>
  <c r="M63" i="8" s="1"/>
  <c r="N42" i="8"/>
  <c r="K49" i="8"/>
  <c r="K56" i="8" s="1"/>
  <c r="K63" i="8" s="1"/>
  <c r="O55" i="13"/>
  <c r="O48" i="13"/>
  <c r="O41" i="13"/>
  <c r="S29" i="13"/>
  <c r="O49" i="13"/>
  <c r="M41" i="13"/>
  <c r="S38" i="13"/>
  <c r="Q55" i="13"/>
  <c r="O29" i="13"/>
  <c r="S49" i="13"/>
  <c r="Q47" i="13"/>
  <c r="S48" i="13"/>
  <c r="M38" i="13"/>
  <c r="M48" i="13"/>
  <c r="S46" i="13"/>
  <c r="O46" i="13"/>
  <c r="Q49" i="13"/>
  <c r="S47" i="13"/>
  <c r="U37" i="13"/>
  <c r="U38" i="13"/>
  <c r="M49" i="13"/>
  <c r="U47" i="13"/>
  <c r="U49" i="13"/>
  <c r="U41" i="13"/>
  <c r="O38" i="13"/>
  <c r="L93" i="8" l="1"/>
  <c r="D79" i="8"/>
  <c r="E72" i="13"/>
  <c r="J104" i="13"/>
  <c r="E88" i="13"/>
  <c r="J80" i="13"/>
  <c r="J96" i="13"/>
  <c r="J88" i="13"/>
  <c r="E104" i="13"/>
  <c r="E80" i="13"/>
  <c r="E96" i="13"/>
  <c r="J53" i="11"/>
  <c r="L53" i="11" s="1"/>
  <c r="F79" i="8"/>
  <c r="E79" i="8"/>
  <c r="V93" i="8"/>
  <c r="U100" i="8"/>
  <c r="L107" i="8"/>
  <c r="AD107" i="8"/>
  <c r="N93" i="8"/>
  <c r="G79" i="8"/>
  <c r="W100" i="8"/>
  <c r="T93" i="8"/>
  <c r="W93" i="8"/>
  <c r="N107" i="8"/>
  <c r="AJ79" i="8"/>
  <c r="J57" i="11"/>
  <c r="L57" i="11" s="1"/>
  <c r="J37" i="11"/>
  <c r="L37" i="11" s="1"/>
  <c r="J44" i="11"/>
  <c r="L44" i="11" s="1"/>
  <c r="AL93" i="8"/>
  <c r="J67" i="11"/>
  <c r="L67" i="11" s="1"/>
  <c r="J22" i="11"/>
  <c r="L22" i="11" s="1"/>
  <c r="AM100" i="8"/>
  <c r="J45" i="11"/>
  <c r="L45" i="11" s="1"/>
  <c r="J42" i="11"/>
  <c r="L42" i="11" s="1"/>
  <c r="AJ72" i="8"/>
  <c r="J27" i="11"/>
  <c r="L27" i="11" s="1"/>
  <c r="J52" i="11"/>
  <c r="L52" i="11" s="1"/>
  <c r="AL86" i="8"/>
  <c r="J47" i="11"/>
  <c r="L47" i="11" s="1"/>
  <c r="J62" i="11"/>
  <c r="L62" i="11" s="1"/>
  <c r="D100" i="8"/>
  <c r="G72" i="8"/>
  <c r="F72" i="8"/>
  <c r="O79" i="8"/>
  <c r="E100" i="8"/>
  <c r="M79" i="8"/>
  <c r="G100" i="8"/>
  <c r="AE72" i="8"/>
  <c r="L79" i="8"/>
  <c r="D37" i="8"/>
  <c r="U93" i="8"/>
  <c r="F100" i="8"/>
  <c r="AB100" i="8"/>
  <c r="E72" i="8"/>
  <c r="AC100" i="8"/>
  <c r="AC86" i="8"/>
  <c r="AD72" i="8"/>
  <c r="AC51" i="8"/>
  <c r="O72" i="8"/>
  <c r="M51" i="8"/>
  <c r="AD100" i="8"/>
  <c r="AE100" i="8"/>
  <c r="AB72" i="8"/>
  <c r="AD51" i="8"/>
  <c r="H64" i="13" s="1"/>
  <c r="E37" i="8"/>
  <c r="G37" i="8"/>
  <c r="AC72" i="8"/>
  <c r="F37" i="8"/>
  <c r="N79" i="8"/>
  <c r="AB86" i="8"/>
  <c r="AE86" i="8"/>
  <c r="AB79" i="8"/>
  <c r="AB93" i="8"/>
  <c r="AC30" i="8"/>
  <c r="AD37" i="8"/>
  <c r="H48" i="13" s="1"/>
  <c r="AD44" i="8"/>
  <c r="H56" i="13" s="1"/>
  <c r="N30" i="8"/>
  <c r="H38" i="13" s="1"/>
  <c r="F30" i="8"/>
  <c r="H37" i="13" s="1"/>
  <c r="T30" i="8"/>
  <c r="F39" i="13" s="1"/>
  <c r="L37" i="8"/>
  <c r="F46" i="13" s="1"/>
  <c r="E51" i="8"/>
  <c r="V79" i="8"/>
  <c r="T72" i="8"/>
  <c r="U72" i="8"/>
  <c r="T44" i="8"/>
  <c r="F55" i="13" s="1"/>
  <c r="M86" i="8"/>
  <c r="M44" i="8"/>
  <c r="O86" i="8"/>
  <c r="O44" i="8"/>
  <c r="N86" i="8"/>
  <c r="W44" i="8"/>
  <c r="I55" i="13" s="1"/>
  <c r="AD79" i="8"/>
  <c r="AC93" i="8"/>
  <c r="AD93" i="8"/>
  <c r="AE30" i="8"/>
  <c r="I40" i="13" s="1"/>
  <c r="AE37" i="8"/>
  <c r="I48" i="13" s="1"/>
  <c r="AB51" i="8"/>
  <c r="AC44" i="8"/>
  <c r="G56" i="13" s="1"/>
  <c r="AB107" i="8"/>
  <c r="O30" i="8"/>
  <c r="I38" i="13" s="1"/>
  <c r="L51" i="8"/>
  <c r="G30" i="8"/>
  <c r="I37" i="13" s="1"/>
  <c r="N51" i="8"/>
  <c r="G51" i="8"/>
  <c r="G44" i="8"/>
  <c r="E44" i="8"/>
  <c r="V51" i="8"/>
  <c r="T51" i="8"/>
  <c r="E86" i="8"/>
  <c r="E107" i="8"/>
  <c r="F86" i="8"/>
  <c r="F107" i="8"/>
  <c r="D86" i="8"/>
  <c r="D107" i="8"/>
  <c r="N100" i="8"/>
  <c r="T37" i="8"/>
  <c r="F47" i="13" s="1"/>
  <c r="D44" i="8"/>
  <c r="U37" i="8"/>
  <c r="G47" i="13" s="1"/>
  <c r="E93" i="8"/>
  <c r="T79" i="8"/>
  <c r="T100" i="8"/>
  <c r="O93" i="8"/>
  <c r="N44" i="8"/>
  <c r="V100" i="8"/>
  <c r="AD86" i="8"/>
  <c r="AC79" i="8"/>
  <c r="AE93" i="8"/>
  <c r="AD30" i="8"/>
  <c r="AB37" i="8"/>
  <c r="F48" i="13" s="1"/>
  <c r="AE51" i="8"/>
  <c r="AE44" i="8"/>
  <c r="I56" i="13" s="1"/>
  <c r="AE107" i="8"/>
  <c r="V30" i="8"/>
  <c r="H39" i="13" s="1"/>
  <c r="M30" i="8"/>
  <c r="G38" i="13" s="1"/>
  <c r="U30" i="8"/>
  <c r="G39" i="13" s="1"/>
  <c r="O51" i="8"/>
  <c r="M72" i="8"/>
  <c r="N72" i="8"/>
  <c r="F44" i="8"/>
  <c r="U86" i="8"/>
  <c r="U107" i="8"/>
  <c r="W30" i="8"/>
  <c r="I39" i="13" s="1"/>
  <c r="W86" i="8"/>
  <c r="W107" i="8"/>
  <c r="V86" i="8"/>
  <c r="V107" i="8"/>
  <c r="N37" i="8"/>
  <c r="H46" i="13" s="1"/>
  <c r="M37" i="8"/>
  <c r="G46" i="13" s="1"/>
  <c r="G86" i="8"/>
  <c r="G107" i="8"/>
  <c r="M100" i="8"/>
  <c r="L100" i="8"/>
  <c r="O100" i="8"/>
  <c r="G93" i="8"/>
  <c r="D93" i="8"/>
  <c r="W72" i="8"/>
  <c r="U44" i="8"/>
  <c r="G55" i="13" s="1"/>
  <c r="L86" i="8"/>
  <c r="M93" i="8"/>
  <c r="H86" i="8"/>
  <c r="H107" i="8"/>
  <c r="AE79" i="8"/>
  <c r="AB30" i="8"/>
  <c r="AC37" i="8"/>
  <c r="G48" i="13" s="1"/>
  <c r="AB44" i="8"/>
  <c r="F56" i="13" s="1"/>
  <c r="AC107" i="8"/>
  <c r="L30" i="8"/>
  <c r="F38" i="13" s="1"/>
  <c r="D30" i="8"/>
  <c r="F37" i="13" s="1"/>
  <c r="E30" i="8"/>
  <c r="G37" i="13" s="1"/>
  <c r="D51" i="8"/>
  <c r="T86" i="8"/>
  <c r="T107" i="8"/>
  <c r="L72" i="8"/>
  <c r="F51" i="8"/>
  <c r="D72" i="8"/>
  <c r="U51" i="8"/>
  <c r="W37" i="8"/>
  <c r="I47" i="13" s="1"/>
  <c r="V37" i="8"/>
  <c r="H47" i="13" s="1"/>
  <c r="O37" i="8"/>
  <c r="I46" i="13" s="1"/>
  <c r="W51" i="8"/>
  <c r="F93" i="8"/>
  <c r="W79" i="8"/>
  <c r="V72" i="8"/>
  <c r="U79" i="8"/>
  <c r="V44" i="8"/>
  <c r="H55" i="13" s="1"/>
  <c r="L44" i="8"/>
  <c r="I59" i="4"/>
  <c r="D61" i="4"/>
  <c r="G60" i="4"/>
  <c r="H60" i="4"/>
  <c r="I41" i="13"/>
  <c r="AM93" i="8"/>
  <c r="AK93" i="8"/>
  <c r="J65" i="11"/>
  <c r="L65" i="11" s="1"/>
  <c r="J23" i="11"/>
  <c r="L23" i="11" s="1"/>
  <c r="J29" i="11"/>
  <c r="L29" i="11" s="1"/>
  <c r="J54" i="11"/>
  <c r="L54" i="11" s="1"/>
  <c r="J60" i="11"/>
  <c r="L60" i="11" s="1"/>
  <c r="J8" i="11"/>
  <c r="L8" i="11" s="1"/>
  <c r="J14" i="11"/>
  <c r="L14" i="11" s="1"/>
  <c r="I16" i="8"/>
  <c r="J40" i="11"/>
  <c r="L40" i="11" s="1"/>
  <c r="J39" i="11"/>
  <c r="L39" i="11" s="1"/>
  <c r="J35" i="11"/>
  <c r="L35" i="11" s="1"/>
  <c r="J38" i="11"/>
  <c r="L38" i="11" s="1"/>
  <c r="J48" i="11"/>
  <c r="L48" i="11" s="1"/>
  <c r="J43" i="11"/>
  <c r="L43" i="11" s="1"/>
  <c r="J34" i="11"/>
  <c r="L34" i="11" s="1"/>
  <c r="J50" i="11"/>
  <c r="L50" i="11" s="1"/>
  <c r="J64" i="11"/>
  <c r="L64" i="11" s="1"/>
  <c r="J63" i="11"/>
  <c r="L63" i="11" s="1"/>
  <c r="J49" i="11"/>
  <c r="L49" i="11" s="1"/>
  <c r="J33" i="11"/>
  <c r="L33" i="11" s="1"/>
  <c r="AK100" i="8"/>
  <c r="AM72" i="8"/>
  <c r="AK86" i="8"/>
  <c r="AL100" i="8"/>
  <c r="AJ93" i="8"/>
  <c r="AL78" i="8"/>
  <c r="AJ78" i="8"/>
  <c r="AM78" i="8"/>
  <c r="AI78" i="8"/>
  <c r="AK78" i="8"/>
  <c r="AN78" i="8"/>
  <c r="AN79" i="8"/>
  <c r="AI79" i="8"/>
  <c r="AK71" i="8"/>
  <c r="AI71" i="8"/>
  <c r="AJ71" i="8"/>
  <c r="AM71" i="8"/>
  <c r="AL71" i="8"/>
  <c r="AN71" i="8"/>
  <c r="AN72" i="8"/>
  <c r="AI72" i="8"/>
  <c r="AM86" i="8"/>
  <c r="AK79" i="8"/>
  <c r="AM79" i="8"/>
  <c r="AL79" i="8"/>
  <c r="AL106" i="8"/>
  <c r="AI106" i="8"/>
  <c r="AM106" i="8"/>
  <c r="AJ106" i="8"/>
  <c r="AK106" i="8"/>
  <c r="AN106" i="8"/>
  <c r="AI107" i="8"/>
  <c r="AN107" i="8"/>
  <c r="AJ107" i="8"/>
  <c r="AL107" i="8"/>
  <c r="AK107" i="8"/>
  <c r="AM107" i="8"/>
  <c r="AL99" i="8"/>
  <c r="AK99" i="8"/>
  <c r="AJ99" i="8"/>
  <c r="AM99" i="8"/>
  <c r="AI99" i="8"/>
  <c r="AN99" i="8"/>
  <c r="AN100" i="8"/>
  <c r="AI100" i="8"/>
  <c r="AJ92" i="8"/>
  <c r="AK92" i="8"/>
  <c r="AI92" i="8"/>
  <c r="AM92" i="8"/>
  <c r="AL92" i="8"/>
  <c r="AN92" i="8"/>
  <c r="AI93" i="8"/>
  <c r="AN93" i="8"/>
  <c r="AI85" i="8"/>
  <c r="AK85" i="8"/>
  <c r="AL85" i="8"/>
  <c r="AJ85" i="8"/>
  <c r="AM85" i="8"/>
  <c r="AN85" i="8"/>
  <c r="AN86" i="8"/>
  <c r="AI86" i="8"/>
  <c r="AL72" i="8"/>
  <c r="AJ86" i="8"/>
  <c r="AJ100" i="8"/>
  <c r="AK72" i="8"/>
  <c r="AC16" i="8"/>
  <c r="G24" i="13" s="1"/>
  <c r="AF9" i="8"/>
  <c r="AF16" i="8"/>
  <c r="AB16" i="8"/>
  <c r="F24" i="13" s="1"/>
  <c r="J58" i="11"/>
  <c r="L58" i="11" s="1"/>
  <c r="J55" i="11"/>
  <c r="L55" i="11" s="1"/>
  <c r="J59" i="11"/>
  <c r="L59" i="11" s="1"/>
  <c r="J18" i="11"/>
  <c r="L18" i="11" s="1"/>
  <c r="J24" i="11"/>
  <c r="L24" i="11" s="1"/>
  <c r="J25" i="11"/>
  <c r="L25" i="11" s="1"/>
  <c r="J30" i="11"/>
  <c r="L30" i="11" s="1"/>
  <c r="J20" i="11"/>
  <c r="L20" i="11" s="1"/>
  <c r="J28" i="11"/>
  <c r="L28" i="11" s="1"/>
  <c r="J19" i="11"/>
  <c r="L19" i="11" s="1"/>
  <c r="J36" i="11"/>
  <c r="L36" i="11" s="1"/>
  <c r="J31" i="11"/>
  <c r="L31" i="11" s="1"/>
  <c r="J16" i="11"/>
  <c r="L16" i="11" s="1"/>
  <c r="J56" i="11"/>
  <c r="L56" i="11" s="1"/>
  <c r="J41" i="11"/>
  <c r="L41" i="11" s="1"/>
  <c r="J51" i="11"/>
  <c r="L51" i="11" s="1"/>
  <c r="J46" i="11"/>
  <c r="L46" i="11" s="1"/>
  <c r="J7" i="11"/>
  <c r="L7" i="11" s="1"/>
  <c r="J5" i="11"/>
  <c r="L5" i="11" s="1"/>
  <c r="J3" i="11"/>
  <c r="L3" i="11" s="1"/>
  <c r="J61" i="11"/>
  <c r="L61" i="11" s="1"/>
  <c r="J4" i="11"/>
  <c r="L4" i="11" s="1"/>
  <c r="J6" i="11"/>
  <c r="L6" i="11" s="1"/>
  <c r="J10" i="11"/>
  <c r="L10" i="11" s="1"/>
  <c r="J9" i="11"/>
  <c r="L9" i="11" s="1"/>
  <c r="J21" i="11"/>
  <c r="L21" i="11" s="1"/>
  <c r="J26" i="11"/>
  <c r="L26" i="11" s="1"/>
  <c r="J11" i="11"/>
  <c r="L11" i="11" s="1"/>
  <c r="J12" i="11"/>
  <c r="L12" i="11" s="1"/>
  <c r="J66" i="11"/>
  <c r="L66" i="11" s="1"/>
  <c r="J15" i="11"/>
  <c r="L15" i="11" s="1"/>
  <c r="F13" i="13"/>
  <c r="H15" i="13"/>
  <c r="I22" i="13"/>
  <c r="G22" i="13"/>
  <c r="F15" i="13"/>
  <c r="H16" i="13"/>
  <c r="H22" i="13"/>
  <c r="F22" i="13"/>
  <c r="I24" i="13"/>
  <c r="H24" i="13"/>
  <c r="H23" i="13"/>
  <c r="I23" i="13"/>
  <c r="F14" i="13"/>
  <c r="F30" i="13"/>
  <c r="F21" i="13"/>
  <c r="I32" i="13"/>
  <c r="I16" i="13"/>
  <c r="I30" i="13"/>
  <c r="F23" i="13"/>
  <c r="G23" i="13"/>
  <c r="F16" i="13"/>
  <c r="I14" i="13"/>
  <c r="G14" i="13"/>
  <c r="H32" i="13"/>
  <c r="H30" i="13"/>
  <c r="G13" i="13"/>
  <c r="G32" i="13"/>
  <c r="G16" i="13"/>
  <c r="H14" i="13"/>
  <c r="G30" i="13"/>
  <c r="I13" i="13"/>
  <c r="AG23" i="8"/>
  <c r="G41" i="13"/>
  <c r="J47" i="13"/>
  <c r="AO44" i="8"/>
  <c r="W62" i="13"/>
  <c r="W63" i="13" s="1"/>
  <c r="W65" i="13" s="1"/>
  <c r="F33" i="13"/>
  <c r="E32" i="13"/>
  <c r="AO37" i="8"/>
  <c r="F17" i="13"/>
  <c r="E38" i="13"/>
  <c r="E39" i="13"/>
  <c r="J38" i="13"/>
  <c r="AK89" i="8"/>
  <c r="AM89" i="8"/>
  <c r="AO89" i="8"/>
  <c r="AK96" i="8"/>
  <c r="AM96" i="8"/>
  <c r="AO96" i="8"/>
  <c r="AO103" i="8"/>
  <c r="AM103" i="8"/>
  <c r="AK103" i="8"/>
  <c r="AK82" i="8"/>
  <c r="AM82" i="8"/>
  <c r="AO82" i="8"/>
  <c r="AK75" i="8"/>
  <c r="AM75" i="8"/>
  <c r="AO75" i="8"/>
  <c r="AM68" i="8"/>
  <c r="AK68" i="8"/>
  <c r="AO68" i="8"/>
  <c r="K55" i="13"/>
  <c r="K46" i="13"/>
  <c r="E46" i="13"/>
  <c r="K49" i="13"/>
  <c r="H49" i="13"/>
  <c r="I49" i="13"/>
  <c r="F49" i="13"/>
  <c r="G49" i="13"/>
  <c r="K37" i="13"/>
  <c r="E37" i="13"/>
  <c r="E31" i="13"/>
  <c r="E29" i="13"/>
  <c r="D45" i="13"/>
  <c r="F60" i="13"/>
  <c r="G60" i="13"/>
  <c r="C49" i="8"/>
  <c r="C56" i="8" s="1"/>
  <c r="C63" i="8" s="1"/>
  <c r="I52" i="13"/>
  <c r="C52" i="13" s="1"/>
  <c r="C53" i="13" s="1"/>
  <c r="D57" i="13"/>
  <c r="D54" i="13"/>
  <c r="D63" i="13"/>
  <c r="D71" i="13" s="1"/>
  <c r="AD70" i="8"/>
  <c r="AB70" i="8"/>
  <c r="N49" i="8"/>
  <c r="N56" i="8" s="1"/>
  <c r="N63" i="8" s="1"/>
  <c r="L49" i="8"/>
  <c r="L56" i="8" s="1"/>
  <c r="L63" i="8" s="1"/>
  <c r="O37" i="13"/>
  <c r="M37" i="13"/>
  <c r="Q45" i="13"/>
  <c r="Q37" i="13"/>
  <c r="O54" i="13"/>
  <c r="S37" i="13"/>
  <c r="U48" i="13"/>
  <c r="Q46" i="13"/>
  <c r="U45" i="13"/>
  <c r="S55" i="13"/>
  <c r="M55" i="13"/>
  <c r="M57" i="13"/>
  <c r="Q48" i="13"/>
  <c r="U46" i="13"/>
  <c r="M46" i="13"/>
  <c r="U55" i="13"/>
  <c r="G104" i="13" l="1"/>
  <c r="I80" i="13"/>
  <c r="I104" i="13"/>
  <c r="G96" i="13"/>
  <c r="H96" i="13"/>
  <c r="F80" i="13"/>
  <c r="G72" i="13"/>
  <c r="I88" i="13"/>
  <c r="I96" i="13"/>
  <c r="F88" i="13"/>
  <c r="F104" i="13"/>
  <c r="F72" i="13"/>
  <c r="H104" i="13"/>
  <c r="H72" i="13"/>
  <c r="H80" i="13"/>
  <c r="G88" i="13"/>
  <c r="I72" i="13"/>
  <c r="G80" i="13"/>
  <c r="F96" i="13"/>
  <c r="H88" i="13"/>
  <c r="Q30" i="8"/>
  <c r="Y44" i="8"/>
  <c r="I30" i="8"/>
  <c r="Y37" i="8"/>
  <c r="Q37" i="8"/>
  <c r="I60" i="4"/>
  <c r="H61" i="4"/>
  <c r="D62" i="4"/>
  <c r="G61" i="4"/>
  <c r="J46" i="13"/>
  <c r="I64" i="13"/>
  <c r="E15" i="13"/>
  <c r="AO51" i="8"/>
  <c r="E13" i="13"/>
  <c r="Y51" i="8"/>
  <c r="E21" i="13"/>
  <c r="E48" i="13"/>
  <c r="E23" i="13"/>
  <c r="E47" i="13"/>
  <c r="F41" i="13"/>
  <c r="F40" i="13"/>
  <c r="E14" i="13"/>
  <c r="G40" i="13"/>
  <c r="F64" i="13"/>
  <c r="E30" i="13"/>
  <c r="H41" i="13"/>
  <c r="H40" i="13"/>
  <c r="J49" i="13"/>
  <c r="E49" i="13"/>
  <c r="E55" i="13"/>
  <c r="Q44" i="8"/>
  <c r="E17" i="13"/>
  <c r="E56" i="13"/>
  <c r="J56" i="13"/>
  <c r="E16" i="13"/>
  <c r="J16" i="13"/>
  <c r="E33" i="13"/>
  <c r="J32" i="13"/>
  <c r="G64" i="13"/>
  <c r="Q9" i="8"/>
  <c r="AG30" i="8"/>
  <c r="AG37" i="8"/>
  <c r="J48" i="13"/>
  <c r="Y30" i="8"/>
  <c r="J39" i="13"/>
  <c r="I9" i="8"/>
  <c r="E24" i="13"/>
  <c r="J25" i="13"/>
  <c r="E25" i="13"/>
  <c r="Q23" i="8"/>
  <c r="J30" i="13"/>
  <c r="E22" i="13"/>
  <c r="J37" i="13"/>
  <c r="K63" i="13"/>
  <c r="H63" i="13"/>
  <c r="G63" i="13"/>
  <c r="F63" i="13"/>
  <c r="I63" i="13"/>
  <c r="K57" i="13"/>
  <c r="I57" i="13"/>
  <c r="E57" i="13"/>
  <c r="F57" i="13"/>
  <c r="J57" i="13"/>
  <c r="G57" i="13"/>
  <c r="H57" i="13"/>
  <c r="K54" i="13"/>
  <c r="H54" i="13"/>
  <c r="G54" i="13"/>
  <c r="F54" i="13"/>
  <c r="I54" i="13"/>
  <c r="K45" i="13"/>
  <c r="H45" i="13"/>
  <c r="I45" i="13"/>
  <c r="E45" i="13"/>
  <c r="J45" i="13"/>
  <c r="G45" i="13"/>
  <c r="F45" i="13"/>
  <c r="D53" i="13"/>
  <c r="I37" i="8"/>
  <c r="F70" i="8"/>
  <c r="E70" i="8"/>
  <c r="I51" i="8"/>
  <c r="I60" i="13"/>
  <c r="C60" i="13" s="1"/>
  <c r="C61" i="13" s="1"/>
  <c r="D62" i="13"/>
  <c r="D70" i="13" s="1"/>
  <c r="D65" i="13"/>
  <c r="D73" i="13" s="1"/>
  <c r="AA70" i="8"/>
  <c r="AE70" i="8"/>
  <c r="AC70" i="8"/>
  <c r="S70" i="8"/>
  <c r="U70" i="8"/>
  <c r="W70" i="8"/>
  <c r="M70" i="8"/>
  <c r="O70" i="8"/>
  <c r="K70" i="8"/>
  <c r="S45" i="13"/>
  <c r="S63" i="13"/>
  <c r="O63" i="13"/>
  <c r="O45" i="13"/>
  <c r="Q62" i="13"/>
  <c r="M54" i="13"/>
  <c r="S57" i="13"/>
  <c r="M53" i="13"/>
  <c r="M45" i="13"/>
  <c r="S54" i="13"/>
  <c r="O57" i="13"/>
  <c r="U57" i="13"/>
  <c r="Q57" i="13"/>
  <c r="S53" i="13"/>
  <c r="U53" i="13"/>
  <c r="O53" i="13"/>
  <c r="Q63" i="13"/>
  <c r="M63" i="13"/>
  <c r="Q65" i="13"/>
  <c r="U63" i="13"/>
  <c r="U54" i="13"/>
  <c r="Q54" i="13"/>
  <c r="I61" i="4" l="1"/>
  <c r="G62" i="4"/>
  <c r="D63" i="4"/>
  <c r="H62" i="4"/>
  <c r="E63" i="13"/>
  <c r="J15" i="13"/>
  <c r="J23" i="13"/>
  <c r="J21" i="13"/>
  <c r="J40" i="13"/>
  <c r="E40" i="13"/>
  <c r="J55" i="13"/>
  <c r="J14" i="13"/>
  <c r="E41" i="13"/>
  <c r="E54" i="13"/>
  <c r="J54" i="13"/>
  <c r="J13" i="13"/>
  <c r="AG9" i="8"/>
  <c r="AG44" i="8"/>
  <c r="AO30" i="8"/>
  <c r="Q51" i="8"/>
  <c r="E64" i="13"/>
  <c r="AO23" i="8"/>
  <c r="J33" i="13"/>
  <c r="AO9" i="8"/>
  <c r="J17" i="13"/>
  <c r="Q16" i="8"/>
  <c r="J22" i="13"/>
  <c r="AG16" i="8"/>
  <c r="J24" i="13"/>
  <c r="AO16" i="8"/>
  <c r="I23" i="8"/>
  <c r="J29" i="13"/>
  <c r="Y23" i="8"/>
  <c r="J31" i="13"/>
  <c r="K62" i="13"/>
  <c r="H62" i="13"/>
  <c r="G62" i="13"/>
  <c r="F62" i="13"/>
  <c r="I62" i="13"/>
  <c r="K65" i="13"/>
  <c r="H65" i="13"/>
  <c r="I65" i="13"/>
  <c r="E65" i="13"/>
  <c r="J65" i="13"/>
  <c r="F65" i="13"/>
  <c r="G65" i="13"/>
  <c r="K53" i="13"/>
  <c r="H53" i="13"/>
  <c r="I53" i="13"/>
  <c r="E53" i="13"/>
  <c r="J53" i="13"/>
  <c r="G53" i="13"/>
  <c r="F53" i="13"/>
  <c r="Y9" i="8"/>
  <c r="Y16" i="8"/>
  <c r="D61" i="13"/>
  <c r="D69" i="13" s="1"/>
  <c r="C70" i="8"/>
  <c r="I44" i="8"/>
  <c r="L70" i="8"/>
  <c r="N70" i="8"/>
  <c r="Q53" i="13"/>
  <c r="O65" i="13"/>
  <c r="M65" i="13"/>
  <c r="S65" i="13"/>
  <c r="U62" i="13"/>
  <c r="U61" i="13"/>
  <c r="O61" i="13"/>
  <c r="S62" i="13"/>
  <c r="U65" i="13"/>
  <c r="M62" i="13"/>
  <c r="O62" i="13"/>
  <c r="I62" i="4" l="1"/>
  <c r="H63" i="4"/>
  <c r="G63" i="4"/>
  <c r="D64" i="4"/>
  <c r="J41" i="13"/>
  <c r="J64" i="13"/>
  <c r="J63" i="13"/>
  <c r="E62" i="13"/>
  <c r="J62" i="13"/>
  <c r="AG51" i="8"/>
  <c r="AO107" i="8"/>
  <c r="AO93" i="8"/>
  <c r="K61" i="13"/>
  <c r="H61" i="13"/>
  <c r="I61" i="13"/>
  <c r="E61" i="13"/>
  <c r="J61" i="13"/>
  <c r="G61" i="13"/>
  <c r="F61" i="13"/>
  <c r="S61" i="13"/>
  <c r="Q61" i="13"/>
  <c r="M61" i="13"/>
  <c r="I63" i="4" l="1"/>
  <c r="D65" i="4"/>
  <c r="G64" i="4"/>
  <c r="H64" i="4"/>
  <c r="AO100" i="8"/>
  <c r="AO72" i="8"/>
  <c r="AO86" i="8"/>
  <c r="AO79" i="8"/>
  <c r="I64" i="4" l="1"/>
  <c r="H65" i="4"/>
  <c r="D66" i="4"/>
  <c r="G65" i="4"/>
  <c r="I65" i="4" l="1"/>
  <c r="G66" i="4"/>
  <c r="D67" i="4"/>
  <c r="H66" i="4"/>
  <c r="AD77" i="8"/>
  <c r="AB77" i="8"/>
  <c r="K71" i="13" l="1"/>
  <c r="D79" i="13"/>
  <c r="J71" i="13"/>
  <c r="H71" i="13"/>
  <c r="E71" i="13"/>
  <c r="I71" i="13"/>
  <c r="F71" i="13"/>
  <c r="G71" i="13"/>
  <c r="I66" i="4"/>
  <c r="H67" i="4"/>
  <c r="G67" i="4"/>
  <c r="D68" i="4"/>
  <c r="W70" i="13"/>
  <c r="W77" i="13"/>
  <c r="F77" i="8"/>
  <c r="E77" i="8"/>
  <c r="AB84" i="8"/>
  <c r="AD84" i="8"/>
  <c r="AC77" i="8"/>
  <c r="AE77" i="8"/>
  <c r="AA77" i="8"/>
  <c r="U77" i="8"/>
  <c r="S77" i="8"/>
  <c r="W77" i="8"/>
  <c r="M77" i="8"/>
  <c r="K77" i="8"/>
  <c r="O77" i="8"/>
  <c r="U70" i="13"/>
  <c r="Q70" i="13"/>
  <c r="S70" i="13"/>
  <c r="M70" i="13"/>
  <c r="I67" i="4" l="1"/>
  <c r="K73" i="13"/>
  <c r="D81" i="13"/>
  <c r="F73" i="13"/>
  <c r="G73" i="13"/>
  <c r="J73" i="13"/>
  <c r="E73" i="13"/>
  <c r="H73" i="13"/>
  <c r="I73" i="13"/>
  <c r="K79" i="13"/>
  <c r="D87" i="13"/>
  <c r="J79" i="13"/>
  <c r="F79" i="13"/>
  <c r="H79" i="13"/>
  <c r="G79" i="13"/>
  <c r="I79" i="13"/>
  <c r="E79" i="13"/>
  <c r="K70" i="13"/>
  <c r="D78" i="13"/>
  <c r="J70" i="13"/>
  <c r="E70" i="13"/>
  <c r="F70" i="13"/>
  <c r="H70" i="13"/>
  <c r="I70" i="13"/>
  <c r="G70" i="13"/>
  <c r="W71" i="13"/>
  <c r="W72" i="13" s="1"/>
  <c r="D69" i="4"/>
  <c r="G68" i="4"/>
  <c r="H68" i="4"/>
  <c r="Y72" i="8"/>
  <c r="W78" i="13"/>
  <c r="W85" i="13"/>
  <c r="I72" i="8"/>
  <c r="F84" i="8"/>
  <c r="E84" i="8"/>
  <c r="C77" i="8"/>
  <c r="AA84" i="8"/>
  <c r="AC84" i="8"/>
  <c r="AD91" i="8"/>
  <c r="AE84" i="8"/>
  <c r="AB91" i="8"/>
  <c r="W84" i="8"/>
  <c r="S84" i="8"/>
  <c r="U84" i="8"/>
  <c r="O84" i="8"/>
  <c r="K84" i="8"/>
  <c r="N77" i="8"/>
  <c r="M84" i="8"/>
  <c r="L77" i="8"/>
  <c r="M69" i="13"/>
  <c r="O69" i="13"/>
  <c r="U78" i="13"/>
  <c r="S69" i="13"/>
  <c r="Q69" i="13"/>
  <c r="O70" i="13"/>
  <c r="U72" i="13"/>
  <c r="U69" i="13"/>
  <c r="M72" i="13"/>
  <c r="Q71" i="13"/>
  <c r="K78" i="13" l="1"/>
  <c r="D86" i="13"/>
  <c r="J78" i="13"/>
  <c r="I78" i="13"/>
  <c r="E78" i="13"/>
  <c r="F78" i="13"/>
  <c r="G78" i="13"/>
  <c r="H78" i="13"/>
  <c r="K87" i="13"/>
  <c r="D95" i="13"/>
  <c r="J87" i="13"/>
  <c r="I87" i="13"/>
  <c r="G87" i="13"/>
  <c r="H87" i="13"/>
  <c r="E87" i="13"/>
  <c r="F87" i="13"/>
  <c r="K81" i="13"/>
  <c r="D89" i="13"/>
  <c r="F81" i="13"/>
  <c r="I81" i="13"/>
  <c r="H81" i="13"/>
  <c r="J81" i="13"/>
  <c r="E81" i="13"/>
  <c r="G81" i="13"/>
  <c r="K69" i="13"/>
  <c r="D77" i="13"/>
  <c r="J69" i="13"/>
  <c r="H69" i="13"/>
  <c r="F69" i="13"/>
  <c r="I69" i="13"/>
  <c r="E69" i="13"/>
  <c r="G69" i="13"/>
  <c r="W79" i="13"/>
  <c r="W80" i="13" s="1"/>
  <c r="W73" i="13"/>
  <c r="I68" i="4"/>
  <c r="H69" i="4"/>
  <c r="D70" i="4"/>
  <c r="G69" i="4"/>
  <c r="Y79" i="8"/>
  <c r="W86" i="13"/>
  <c r="W93" i="13"/>
  <c r="Q72" i="8"/>
  <c r="I79" i="8"/>
  <c r="F91" i="8"/>
  <c r="E91" i="8"/>
  <c r="C84" i="8"/>
  <c r="AB98" i="8"/>
  <c r="AD98" i="8"/>
  <c r="AA91" i="8"/>
  <c r="AE91" i="8"/>
  <c r="AC91" i="8"/>
  <c r="S91" i="8"/>
  <c r="U91" i="8"/>
  <c r="W91" i="8"/>
  <c r="L84" i="8"/>
  <c r="M91" i="8"/>
  <c r="N84" i="8"/>
  <c r="K91" i="8"/>
  <c r="O91" i="8"/>
  <c r="M79" i="13"/>
  <c r="O80" i="13"/>
  <c r="Q77" i="13"/>
  <c r="M77" i="13"/>
  <c r="M80" i="13"/>
  <c r="M78" i="13"/>
  <c r="U71" i="13"/>
  <c r="U77" i="13"/>
  <c r="S80" i="13"/>
  <c r="M73" i="13"/>
  <c r="Q72" i="13"/>
  <c r="Q80" i="13"/>
  <c r="O78" i="13"/>
  <c r="U73" i="13"/>
  <c r="S72" i="13"/>
  <c r="O71" i="13"/>
  <c r="S86" i="13"/>
  <c r="U80" i="13"/>
  <c r="Q78" i="13"/>
  <c r="S78" i="13"/>
  <c r="S77" i="13"/>
  <c r="O77" i="13"/>
  <c r="O72" i="13"/>
  <c r="O86" i="13"/>
  <c r="U79" i="13"/>
  <c r="S71" i="13"/>
  <c r="S79" i="13"/>
  <c r="O73" i="13"/>
  <c r="Q73" i="13"/>
  <c r="Q79" i="13"/>
  <c r="M71" i="13"/>
  <c r="I69" i="4" l="1"/>
  <c r="K77" i="13"/>
  <c r="D85" i="13"/>
  <c r="J77" i="13"/>
  <c r="E77" i="13"/>
  <c r="G77" i="13"/>
  <c r="F77" i="13"/>
  <c r="H77" i="13"/>
  <c r="I77" i="13"/>
  <c r="K89" i="13"/>
  <c r="D97" i="13"/>
  <c r="H89" i="13"/>
  <c r="F89" i="13"/>
  <c r="I89" i="13"/>
  <c r="G89" i="13"/>
  <c r="E89" i="13"/>
  <c r="J89" i="13"/>
  <c r="K95" i="13"/>
  <c r="D103" i="13"/>
  <c r="J95" i="13"/>
  <c r="I95" i="13"/>
  <c r="F95" i="13"/>
  <c r="E95" i="13"/>
  <c r="G95" i="13"/>
  <c r="H95" i="13"/>
  <c r="K86" i="13"/>
  <c r="D94" i="13"/>
  <c r="G86" i="13"/>
  <c r="H86" i="13"/>
  <c r="E86" i="13"/>
  <c r="I86" i="13"/>
  <c r="J86" i="13"/>
  <c r="F86" i="13"/>
  <c r="W87" i="13"/>
  <c r="W88" i="13" s="1"/>
  <c r="W81" i="13"/>
  <c r="G70" i="4"/>
  <c r="D71" i="4"/>
  <c r="H70" i="4"/>
  <c r="Q79" i="8"/>
  <c r="Y86" i="8"/>
  <c r="AG72" i="8"/>
  <c r="W101" i="13"/>
  <c r="W109" i="13" s="1"/>
  <c r="W94" i="13"/>
  <c r="I86" i="8"/>
  <c r="F98" i="8"/>
  <c r="E98" i="8"/>
  <c r="C91" i="8"/>
  <c r="AC98" i="8"/>
  <c r="AA98" i="8"/>
  <c r="AD105" i="8"/>
  <c r="AE98" i="8"/>
  <c r="AB105" i="8"/>
  <c r="W98" i="8"/>
  <c r="U98" i="8"/>
  <c r="S98" i="8"/>
  <c r="O98" i="8"/>
  <c r="K98" i="8"/>
  <c r="N91" i="8"/>
  <c r="M98" i="8"/>
  <c r="L91" i="8"/>
  <c r="M88" i="13"/>
  <c r="S73" i="13"/>
  <c r="M81" i="13"/>
  <c r="U88" i="13"/>
  <c r="M87" i="13"/>
  <c r="O85" i="13"/>
  <c r="Q88" i="13"/>
  <c r="U87" i="13"/>
  <c r="S85" i="13"/>
  <c r="Q85" i="13"/>
  <c r="S88" i="13"/>
  <c r="O81" i="13"/>
  <c r="Q81" i="13"/>
  <c r="Q86" i="13"/>
  <c r="U85" i="13"/>
  <c r="U86" i="13"/>
  <c r="O79" i="13"/>
  <c r="M86" i="13"/>
  <c r="Q94" i="13"/>
  <c r="S81" i="13"/>
  <c r="S87" i="13"/>
  <c r="S94" i="13"/>
  <c r="O88" i="13"/>
  <c r="U81" i="13"/>
  <c r="I70" i="4" l="1"/>
  <c r="K94" i="13"/>
  <c r="D102" i="13"/>
  <c r="J94" i="13"/>
  <c r="E94" i="13"/>
  <c r="H94" i="13"/>
  <c r="I94" i="13"/>
  <c r="F94" i="13"/>
  <c r="G94" i="13"/>
  <c r="K103" i="13"/>
  <c r="H103" i="13"/>
  <c r="E103" i="13"/>
  <c r="F103" i="13"/>
  <c r="G103" i="13"/>
  <c r="J103" i="13"/>
  <c r="I103" i="13"/>
  <c r="K97" i="13"/>
  <c r="D105" i="13"/>
  <c r="H97" i="13"/>
  <c r="J97" i="13"/>
  <c r="G97" i="13"/>
  <c r="I97" i="13"/>
  <c r="E97" i="13"/>
  <c r="F97" i="13"/>
  <c r="K85" i="13"/>
  <c r="D93" i="13"/>
  <c r="J85" i="13"/>
  <c r="G85" i="13"/>
  <c r="H85" i="13"/>
  <c r="E85" i="13"/>
  <c r="I85" i="13"/>
  <c r="F85" i="13"/>
  <c r="W95" i="13"/>
  <c r="W96" i="13" s="1"/>
  <c r="W89" i="13"/>
  <c r="H71" i="4"/>
  <c r="G71" i="4"/>
  <c r="D72" i="4"/>
  <c r="Y93" i="8"/>
  <c r="Q86" i="8"/>
  <c r="H112" i="13"/>
  <c r="W102" i="13"/>
  <c r="W110" i="13"/>
  <c r="W111" i="13" s="1"/>
  <c r="W112" i="13" s="1"/>
  <c r="AG79" i="8"/>
  <c r="I93" i="8"/>
  <c r="F105" i="8"/>
  <c r="E105" i="8"/>
  <c r="C98" i="8"/>
  <c r="AC105" i="8"/>
  <c r="AE105" i="8"/>
  <c r="AA105" i="8"/>
  <c r="U105" i="8"/>
  <c r="S105" i="8"/>
  <c r="W105" i="8"/>
  <c r="L98" i="8"/>
  <c r="M105" i="8"/>
  <c r="N98" i="8"/>
  <c r="K105" i="8"/>
  <c r="O105" i="8"/>
  <c r="O87" i="13"/>
  <c r="Q89" i="13"/>
  <c r="U94" i="13"/>
  <c r="S102" i="13"/>
  <c r="M94" i="13"/>
  <c r="O94" i="13"/>
  <c r="Q95" i="13"/>
  <c r="U96" i="13"/>
  <c r="O96" i="13"/>
  <c r="S112" i="13"/>
  <c r="U95" i="13"/>
  <c r="Q87" i="13"/>
  <c r="Q93" i="13"/>
  <c r="Q96" i="13"/>
  <c r="Q112" i="13"/>
  <c r="O95" i="13"/>
  <c r="M96" i="13"/>
  <c r="M85" i="13"/>
  <c r="S95" i="13"/>
  <c r="O89" i="13"/>
  <c r="S96" i="13"/>
  <c r="W113" i="13" l="1"/>
  <c r="K102" i="13"/>
  <c r="J102" i="13"/>
  <c r="G102" i="13"/>
  <c r="F102" i="13"/>
  <c r="H102" i="13"/>
  <c r="E102" i="13"/>
  <c r="I102" i="13"/>
  <c r="K93" i="13"/>
  <c r="D101" i="13"/>
  <c r="J93" i="13"/>
  <c r="E93" i="13"/>
  <c r="I93" i="13"/>
  <c r="G93" i="13"/>
  <c r="H93" i="13"/>
  <c r="F93" i="13"/>
  <c r="K105" i="13"/>
  <c r="I105" i="13"/>
  <c r="G105" i="13"/>
  <c r="H105" i="13"/>
  <c r="J105" i="13"/>
  <c r="F105" i="13"/>
  <c r="E105" i="13"/>
  <c r="W103" i="13"/>
  <c r="W104" i="13" s="1"/>
  <c r="W97" i="13"/>
  <c r="I71" i="4"/>
  <c r="D73" i="4"/>
  <c r="G72" i="4"/>
  <c r="H72" i="4"/>
  <c r="Q93" i="8"/>
  <c r="AG93" i="8"/>
  <c r="AG86" i="8"/>
  <c r="I112" i="13"/>
  <c r="G112" i="13"/>
  <c r="G108" i="13"/>
  <c r="F108" i="13"/>
  <c r="F112" i="13"/>
  <c r="Y100" i="8"/>
  <c r="I100" i="8"/>
  <c r="C105" i="8"/>
  <c r="D111" i="13"/>
  <c r="N105" i="8"/>
  <c r="L105" i="8"/>
  <c r="M95" i="13"/>
  <c r="O102" i="13"/>
  <c r="M101" i="13"/>
  <c r="O112" i="13"/>
  <c r="U111" i="13"/>
  <c r="S101" i="13"/>
  <c r="O93" i="13"/>
  <c r="Q97" i="13"/>
  <c r="M111" i="13"/>
  <c r="Q104" i="13"/>
  <c r="U93" i="13"/>
  <c r="U89" i="13"/>
  <c r="M102" i="13"/>
  <c r="M89" i="13"/>
  <c r="M112" i="13"/>
  <c r="O101" i="13"/>
  <c r="U102" i="13"/>
  <c r="S111" i="13"/>
  <c r="Q111" i="13"/>
  <c r="Q102" i="13"/>
  <c r="M93" i="13"/>
  <c r="S89" i="13"/>
  <c r="S93" i="13"/>
  <c r="U112" i="13"/>
  <c r="W105" i="13" l="1"/>
  <c r="I72" i="4"/>
  <c r="K101" i="13"/>
  <c r="F101" i="13"/>
  <c r="I101" i="13"/>
  <c r="G101" i="13"/>
  <c r="J101" i="13"/>
  <c r="H101" i="13"/>
  <c r="E101" i="13"/>
  <c r="H73" i="4"/>
  <c r="D74" i="4"/>
  <c r="G73" i="4"/>
  <c r="E112" i="13"/>
  <c r="Y107" i="8"/>
  <c r="Q100" i="8"/>
  <c r="AG100" i="8"/>
  <c r="K111" i="13"/>
  <c r="G111" i="13"/>
  <c r="I111" i="13"/>
  <c r="F111" i="13"/>
  <c r="H111" i="13"/>
  <c r="I108" i="13"/>
  <c r="C108" i="13" s="1"/>
  <c r="C109" i="13" s="1"/>
  <c r="D110" i="13"/>
  <c r="D113" i="13"/>
  <c r="U97" i="13"/>
  <c r="U104" i="13"/>
  <c r="S110" i="13"/>
  <c r="O103" i="13"/>
  <c r="S105" i="13"/>
  <c r="Q101" i="13"/>
  <c r="M97" i="13"/>
  <c r="U101" i="13"/>
  <c r="U103" i="13"/>
  <c r="O104" i="13"/>
  <c r="Q103" i="13"/>
  <c r="M103" i="13"/>
  <c r="Q110" i="13"/>
  <c r="O97" i="13"/>
  <c r="M110" i="13"/>
  <c r="M104" i="13"/>
  <c r="M105" i="13"/>
  <c r="S97" i="13"/>
  <c r="O111" i="13"/>
  <c r="U110" i="13"/>
  <c r="S103" i="13"/>
  <c r="S104" i="13"/>
  <c r="M113" i="13"/>
  <c r="O110" i="13"/>
  <c r="I73" i="4" l="1"/>
  <c r="G74" i="4"/>
  <c r="D75" i="4"/>
  <c r="D76" i="4" s="1"/>
  <c r="H74" i="4"/>
  <c r="J112" i="13"/>
  <c r="E111" i="13"/>
  <c r="J111" i="13"/>
  <c r="K113" i="13"/>
  <c r="H113" i="13"/>
  <c r="I113" i="13"/>
  <c r="G113" i="13"/>
  <c r="F113" i="13"/>
  <c r="E113" i="13"/>
  <c r="J113" i="13"/>
  <c r="E110" i="13"/>
  <c r="K110" i="13"/>
  <c r="I110" i="13"/>
  <c r="H110" i="13"/>
  <c r="G110" i="13"/>
  <c r="F110" i="13"/>
  <c r="D109" i="13"/>
  <c r="U105" i="13"/>
  <c r="O109" i="13"/>
  <c r="Q105" i="13"/>
  <c r="U109" i="13"/>
  <c r="U113" i="13"/>
  <c r="O105" i="13"/>
  <c r="M109" i="13"/>
  <c r="S113" i="13"/>
  <c r="Q113" i="13"/>
  <c r="O113" i="13"/>
  <c r="D77" i="4" l="1"/>
  <c r="H76" i="4"/>
  <c r="G76" i="4"/>
  <c r="I74" i="4"/>
  <c r="H75" i="4"/>
  <c r="G75" i="4"/>
  <c r="AG107" i="8"/>
  <c r="J110" i="13"/>
  <c r="K109" i="13"/>
  <c r="G109" i="13"/>
  <c r="H109" i="13"/>
  <c r="F109" i="13"/>
  <c r="I109" i="13"/>
  <c r="E109" i="13"/>
  <c r="Q109" i="13"/>
  <c r="S109" i="13"/>
  <c r="I76" i="4" l="1"/>
  <c r="D78" i="4"/>
  <c r="H77" i="4"/>
  <c r="G77" i="4"/>
  <c r="I75" i="4"/>
  <c r="Q107" i="8"/>
  <c r="I107" i="8"/>
  <c r="J109" i="13"/>
  <c r="I77" i="4" l="1"/>
  <c r="D79" i="4"/>
  <c r="H78" i="4"/>
  <c r="G78" i="4"/>
  <c r="O36" i="12"/>
  <c r="I78" i="4" l="1"/>
  <c r="D80" i="4"/>
  <c r="H79" i="4"/>
  <c r="G79" i="4"/>
  <c r="I79" i="4" l="1"/>
  <c r="H80" i="4"/>
  <c r="D81" i="4"/>
  <c r="G80" i="4"/>
  <c r="H81" i="4" l="1"/>
  <c r="D82" i="4"/>
  <c r="G81" i="4"/>
  <c r="I80" i="4"/>
  <c r="I81" i="4" l="1"/>
  <c r="H82" i="4"/>
  <c r="G82" i="4"/>
  <c r="D83" i="4"/>
  <c r="I82" i="4" l="1"/>
  <c r="H83" i="4"/>
  <c r="D84" i="4"/>
  <c r="G83" i="4"/>
  <c r="I83" i="4" l="1"/>
  <c r="G84" i="4"/>
  <c r="H84" i="4"/>
  <c r="D85" i="4"/>
  <c r="I84" i="4" l="1"/>
  <c r="G85" i="4"/>
  <c r="D86" i="4"/>
  <c r="H85" i="4"/>
  <c r="I85" i="4" l="1"/>
  <c r="G86" i="4"/>
  <c r="D87" i="4"/>
  <c r="H86" i="4"/>
  <c r="D88" i="4" l="1"/>
  <c r="H87" i="4"/>
  <c r="G87" i="4"/>
  <c r="I86" i="4"/>
  <c r="I87" i="4" l="1"/>
  <c r="G88" i="4"/>
  <c r="H88" i="4"/>
  <c r="D89" i="4"/>
  <c r="G89" i="4" l="1"/>
  <c r="H89" i="4"/>
  <c r="D90" i="4"/>
  <c r="I88" i="4"/>
  <c r="I89" i="4" l="1"/>
  <c r="H90" i="4"/>
  <c r="D91" i="4"/>
  <c r="G90" i="4"/>
  <c r="H91" i="4" l="1"/>
  <c r="G91" i="4"/>
  <c r="D92" i="4"/>
  <c r="I90" i="4"/>
  <c r="I91" i="4" l="1"/>
  <c r="D93" i="4"/>
  <c r="H92" i="4"/>
  <c r="G92" i="4"/>
  <c r="I92" i="4" l="1"/>
  <c r="G93" i="4"/>
  <c r="H93" i="4"/>
  <c r="D94" i="4"/>
  <c r="I93" i="4" l="1"/>
  <c r="D95" i="4"/>
  <c r="G94" i="4"/>
  <c r="H94" i="4"/>
  <c r="I94" i="4" l="1"/>
  <c r="G95" i="4"/>
  <c r="D96" i="4"/>
  <c r="H95" i="4"/>
  <c r="I95" i="4" l="1"/>
  <c r="H96" i="4"/>
  <c r="G96" i="4"/>
  <c r="D97" i="4"/>
  <c r="I96" i="4" l="1"/>
  <c r="G97" i="4"/>
  <c r="H97" i="4"/>
  <c r="D98" i="4"/>
  <c r="I97" i="4" l="1"/>
  <c r="G98" i="4"/>
  <c r="D99" i="4"/>
  <c r="H98" i="4"/>
  <c r="I98" i="4" l="1"/>
  <c r="H99" i="4"/>
  <c r="G99" i="4"/>
  <c r="D100" i="4"/>
  <c r="G100" i="4" l="1"/>
  <c r="H100" i="4"/>
  <c r="D101" i="4"/>
  <c r="I99" i="4"/>
  <c r="I100" i="4" l="1"/>
  <c r="H101" i="4"/>
  <c r="D102" i="4"/>
  <c r="G101" i="4"/>
  <c r="I101" i="4" l="1"/>
  <c r="H102" i="4"/>
  <c r="G102" i="4"/>
  <c r="D103" i="4"/>
  <c r="I102" i="4" l="1"/>
  <c r="D104" i="4"/>
  <c r="H103" i="4"/>
  <c r="G103" i="4"/>
  <c r="I103" i="4" l="1"/>
  <c r="D105" i="4"/>
  <c r="G104" i="4"/>
  <c r="H104" i="4"/>
  <c r="G105" i="4" l="1"/>
  <c r="H105" i="4"/>
  <c r="D106" i="4"/>
  <c r="I104" i="4"/>
  <c r="I105" i="4" l="1"/>
  <c r="G106" i="4"/>
  <c r="H106" i="4"/>
  <c r="D107" i="4"/>
  <c r="I106" i="4" l="1"/>
  <c r="H107" i="4"/>
  <c r="G107" i="4"/>
  <c r="D108" i="4"/>
  <c r="G108" i="4" l="1"/>
  <c r="H108" i="4"/>
  <c r="D109" i="4"/>
  <c r="I107" i="4"/>
  <c r="I108" i="4" l="1"/>
  <c r="H109" i="4"/>
  <c r="D110" i="4"/>
  <c r="G109" i="4"/>
  <c r="I109" i="4" l="1"/>
  <c r="D111" i="4"/>
  <c r="G110" i="4"/>
  <c r="H110" i="4"/>
  <c r="I110" i="4" l="1"/>
  <c r="G111" i="4"/>
  <c r="D112" i="4"/>
  <c r="H111" i="4"/>
  <c r="H112" i="4" l="1"/>
  <c r="G112" i="4"/>
  <c r="D113" i="4"/>
  <c r="I111" i="4"/>
  <c r="D114" i="4" l="1"/>
  <c r="H113" i="4"/>
  <c r="G113" i="4"/>
  <c r="I112" i="4"/>
  <c r="I113" i="4" l="1"/>
  <c r="H114" i="4"/>
  <c r="D115" i="4"/>
  <c r="G114" i="4"/>
  <c r="I114" i="4" l="1"/>
  <c r="H115" i="4"/>
  <c r="D116" i="4"/>
  <c r="G115" i="4"/>
  <c r="I115" i="4" l="1"/>
  <c r="H116" i="4"/>
  <c r="G116" i="4"/>
  <c r="D117" i="4"/>
  <c r="I116" i="4" l="1"/>
  <c r="H117" i="4"/>
  <c r="G117" i="4"/>
  <c r="D118" i="4"/>
  <c r="I117" i="4" l="1"/>
  <c r="H118" i="4"/>
  <c r="D119" i="4"/>
  <c r="G118" i="4"/>
  <c r="I118" i="4" l="1"/>
  <c r="G119" i="4"/>
  <c r="D120" i="4"/>
  <c r="H119" i="4"/>
  <c r="I119" i="4" l="1"/>
  <c r="D121" i="4"/>
  <c r="H120" i="4"/>
  <c r="G120" i="4"/>
  <c r="I120" i="4" l="1"/>
  <c r="H121" i="4"/>
  <c r="G121" i="4"/>
  <c r="D122" i="4"/>
  <c r="I121" i="4" l="1"/>
  <c r="D123" i="4"/>
  <c r="G122" i="4"/>
  <c r="H122" i="4"/>
  <c r="I122" i="4" l="1"/>
  <c r="G123" i="4"/>
  <c r="D124" i="4"/>
  <c r="H123" i="4"/>
  <c r="H124" i="4" l="1"/>
  <c r="D125" i="4"/>
  <c r="G124" i="4"/>
  <c r="I123" i="4"/>
  <c r="I124" i="4" l="1"/>
  <c r="G125" i="4"/>
  <c r="D126" i="4"/>
  <c r="H125" i="4"/>
  <c r="I125" i="4" l="1"/>
  <c r="H126" i="4"/>
  <c r="G126" i="4"/>
  <c r="D127" i="4"/>
  <c r="I126" i="4" l="1"/>
  <c r="D128" i="4"/>
  <c r="H127" i="4"/>
  <c r="G127" i="4"/>
  <c r="I127" i="4" l="1"/>
  <c r="H128" i="4"/>
  <c r="G128" i="4"/>
  <c r="D129" i="4"/>
  <c r="D130" i="4" s="1"/>
  <c r="G130" i="4" l="1"/>
  <c r="H130" i="4"/>
  <c r="D131" i="4"/>
  <c r="I128" i="4"/>
  <c r="G129" i="4"/>
  <c r="H129" i="4"/>
  <c r="I130" i="4" l="1"/>
  <c r="D132" i="4"/>
  <c r="H131" i="4"/>
  <c r="G131" i="4"/>
  <c r="I129" i="4"/>
  <c r="I131" i="4" l="1"/>
  <c r="H132" i="4"/>
  <c r="G132" i="4"/>
  <c r="D133" i="4"/>
  <c r="I132" i="4" l="1"/>
  <c r="G133" i="4"/>
  <c r="H133" i="4"/>
  <c r="D134" i="4"/>
  <c r="D135" i="4" l="1"/>
  <c r="G134" i="4"/>
  <c r="H134" i="4"/>
  <c r="I133" i="4"/>
  <c r="I134" i="4" l="1"/>
  <c r="H135" i="4"/>
  <c r="G135" i="4"/>
  <c r="D136" i="4"/>
  <c r="I135" i="4" l="1"/>
  <c r="G136" i="4"/>
  <c r="D137" i="4"/>
  <c r="H136" i="4"/>
  <c r="I136" i="4" l="1"/>
  <c r="D138" i="4"/>
  <c r="G137" i="4"/>
  <c r="H137" i="4"/>
  <c r="I137" i="4" l="1"/>
  <c r="H138" i="4"/>
  <c r="G138" i="4"/>
  <c r="D139" i="4"/>
  <c r="I138" i="4" l="1"/>
  <c r="G139" i="4"/>
  <c r="D140" i="4"/>
  <c r="H139" i="4"/>
  <c r="I139" i="4" l="1"/>
  <c r="G140" i="4"/>
  <c r="H140" i="4"/>
  <c r="D141" i="4"/>
  <c r="I140" i="4" l="1"/>
  <c r="D142" i="4"/>
  <c r="G141" i="4"/>
  <c r="H141" i="4"/>
  <c r="I141" i="4" l="1"/>
  <c r="H142" i="4"/>
  <c r="G142" i="4"/>
  <c r="D143" i="4"/>
  <c r="I142" i="4" l="1"/>
  <c r="D144" i="4"/>
  <c r="H143" i="4"/>
  <c r="G143" i="4"/>
  <c r="I143" i="4" l="1"/>
  <c r="G144" i="4"/>
  <c r="H144" i="4"/>
  <c r="D145" i="4"/>
  <c r="I144" i="4" l="1"/>
  <c r="D146" i="4"/>
  <c r="H145" i="4"/>
  <c r="G145" i="4"/>
  <c r="I145" i="4" l="1"/>
  <c r="D147" i="4"/>
  <c r="G146" i="4"/>
  <c r="H146" i="4"/>
  <c r="I146" i="4" l="1"/>
  <c r="D148" i="4"/>
  <c r="H147" i="4"/>
  <c r="G147" i="4"/>
  <c r="I147" i="4" l="1"/>
  <c r="G148" i="4"/>
  <c r="H148" i="4"/>
  <c r="D149" i="4"/>
  <c r="I148" i="4" l="1"/>
  <c r="D150" i="4"/>
  <c r="H149" i="4"/>
  <c r="G149" i="4"/>
  <c r="I149" i="4" l="1"/>
  <c r="D151" i="4"/>
  <c r="H150" i="4"/>
  <c r="G150" i="4"/>
  <c r="I150" i="4" l="1"/>
  <c r="D152" i="4"/>
  <c r="G151" i="4"/>
  <c r="H151" i="4"/>
  <c r="I151" i="4" l="1"/>
  <c r="H152" i="4"/>
  <c r="G152" i="4"/>
  <c r="D153" i="4"/>
  <c r="I152" i="4" l="1"/>
  <c r="G153" i="4"/>
  <c r="H153" i="4"/>
  <c r="D154" i="4"/>
  <c r="D155" i="4" l="1"/>
  <c r="H154" i="4"/>
  <c r="G154" i="4"/>
  <c r="I153" i="4"/>
  <c r="I154" i="4" l="1"/>
  <c r="H155" i="4"/>
  <c r="G155" i="4"/>
  <c r="D156" i="4"/>
  <c r="I155" i="4" l="1"/>
  <c r="D157" i="4"/>
  <c r="G156" i="4"/>
  <c r="H156" i="4"/>
  <c r="I156" i="4" l="1"/>
  <c r="G157" i="4"/>
  <c r="H157" i="4"/>
  <c r="D158" i="4"/>
  <c r="I157" i="4" l="1"/>
  <c r="D159" i="4"/>
  <c r="H158" i="4"/>
  <c r="G158" i="4"/>
  <c r="I158" i="4" l="1"/>
  <c r="G159" i="4"/>
  <c r="H159" i="4"/>
  <c r="D160" i="4"/>
  <c r="I159" i="4" l="1"/>
  <c r="G160" i="4"/>
  <c r="D161" i="4"/>
  <c r="H160" i="4"/>
  <c r="I160" i="4" l="1"/>
  <c r="G161" i="4"/>
  <c r="D162" i="4"/>
  <c r="H161" i="4"/>
  <c r="H162" i="4" l="1"/>
  <c r="D163" i="4"/>
  <c r="G162" i="4"/>
  <c r="I161" i="4"/>
  <c r="I162" i="4" l="1"/>
  <c r="H163" i="4"/>
  <c r="G163" i="4"/>
  <c r="D164" i="4"/>
  <c r="I163" i="4" l="1"/>
  <c r="H164" i="4"/>
  <c r="G164" i="4"/>
  <c r="D165" i="4"/>
  <c r="I164" i="4" l="1"/>
  <c r="G165" i="4"/>
  <c r="D166" i="4"/>
  <c r="H165" i="4"/>
  <c r="G166" i="4" l="1"/>
  <c r="D167" i="4"/>
  <c r="H166" i="4"/>
  <c r="I165" i="4"/>
  <c r="I166" i="4" l="1"/>
  <c r="H167" i="4"/>
  <c r="G167" i="4"/>
  <c r="D168" i="4"/>
  <c r="I167" i="4" l="1"/>
  <c r="G168" i="4"/>
  <c r="H168" i="4"/>
  <c r="D169" i="4"/>
  <c r="I168" i="4" l="1"/>
  <c r="H169" i="4"/>
  <c r="D170" i="4"/>
  <c r="G169" i="4"/>
  <c r="I169" i="4" l="1"/>
  <c r="G170" i="4"/>
  <c r="H170" i="4"/>
  <c r="D171" i="4"/>
  <c r="I170" i="4" l="1"/>
  <c r="H171" i="4"/>
  <c r="G171" i="4"/>
  <c r="D172" i="4"/>
  <c r="I171" i="4" l="1"/>
  <c r="H172" i="4"/>
  <c r="D173" i="4"/>
  <c r="G172" i="4"/>
  <c r="I172" i="4" l="1"/>
  <c r="D174" i="4"/>
  <c r="G173" i="4"/>
  <c r="H173" i="4"/>
  <c r="G174" i="4" l="1"/>
  <c r="H174" i="4"/>
  <c r="D175" i="4"/>
  <c r="I173" i="4"/>
  <c r="D176" i="4" l="1"/>
  <c r="H175" i="4"/>
  <c r="G175" i="4"/>
  <c r="I174" i="4"/>
  <c r="I175" i="4" l="1"/>
  <c r="H176" i="4"/>
  <c r="G176" i="4"/>
  <c r="D177" i="4"/>
  <c r="G177" i="4" l="1"/>
  <c r="D178" i="4"/>
  <c r="H177" i="4"/>
  <c r="I176" i="4"/>
  <c r="I177" i="4" l="1"/>
  <c r="G178" i="4"/>
  <c r="H178" i="4"/>
  <c r="D179" i="4"/>
  <c r="I178" i="4" l="1"/>
  <c r="G179" i="4"/>
  <c r="H179" i="4"/>
  <c r="D180" i="4"/>
  <c r="I179" i="4" l="1"/>
  <c r="H180" i="4"/>
  <c r="G180" i="4"/>
  <c r="D181" i="4"/>
  <c r="D182" i="4" l="1"/>
  <c r="G181" i="4"/>
  <c r="H181" i="4"/>
  <c r="I180" i="4"/>
  <c r="G182" i="4" l="1"/>
  <c r="H182" i="4"/>
  <c r="D183" i="4"/>
  <c r="I181" i="4"/>
  <c r="I182" i="4" l="1"/>
  <c r="H183" i="4"/>
  <c r="G183" i="4"/>
  <c r="D184" i="4"/>
  <c r="I183" i="4" l="1"/>
  <c r="D185" i="4"/>
  <c r="H184" i="4"/>
  <c r="G184" i="4"/>
  <c r="I184" i="4" l="1"/>
  <c r="G185" i="4"/>
  <c r="D186" i="4"/>
  <c r="D187" i="4" s="1"/>
  <c r="H185" i="4"/>
  <c r="D188" i="4" l="1"/>
  <c r="H187" i="4"/>
  <c r="G187" i="4"/>
  <c r="I185" i="4"/>
  <c r="G186" i="4"/>
  <c r="H186" i="4"/>
  <c r="I187" i="4" l="1"/>
  <c r="G188" i="4"/>
  <c r="D189" i="4"/>
  <c r="H188" i="4"/>
  <c r="I186" i="4"/>
  <c r="H189" i="4" l="1"/>
  <c r="D190" i="4"/>
  <c r="G189" i="4"/>
  <c r="I188" i="4"/>
  <c r="I189" i="4" l="1"/>
  <c r="H190" i="4"/>
  <c r="D191" i="4"/>
  <c r="G190" i="4"/>
  <c r="I190" i="4" l="1"/>
  <c r="D192" i="4"/>
  <c r="H191" i="4"/>
  <c r="G191" i="4"/>
  <c r="I191" i="4" l="1"/>
  <c r="G192" i="4"/>
  <c r="H192" i="4"/>
  <c r="D193" i="4"/>
  <c r="I192" i="4" l="1"/>
  <c r="G193" i="4"/>
  <c r="H193" i="4"/>
  <c r="D194" i="4"/>
  <c r="H194" i="4" l="1"/>
  <c r="G194" i="4"/>
  <c r="D195" i="4"/>
  <c r="I193" i="4"/>
  <c r="I194" i="4" l="1"/>
  <c r="D196" i="4"/>
  <c r="H195" i="4"/>
  <c r="G195" i="4"/>
  <c r="I195" i="4" l="1"/>
  <c r="G196" i="4"/>
  <c r="D197" i="4"/>
  <c r="H196" i="4"/>
  <c r="G197" i="4" l="1"/>
  <c r="H197" i="4"/>
  <c r="D198" i="4"/>
  <c r="I196" i="4"/>
  <c r="I197" i="4" l="1"/>
  <c r="G198" i="4"/>
  <c r="D199" i="4"/>
  <c r="H198" i="4"/>
  <c r="D200" i="4" l="1"/>
  <c r="H199" i="4"/>
  <c r="G199" i="4"/>
  <c r="I198" i="4"/>
  <c r="I199" i="4" l="1"/>
  <c r="G200" i="4"/>
  <c r="H200" i="4"/>
  <c r="D201" i="4"/>
  <c r="I200" i="4" l="1"/>
  <c r="H201" i="4"/>
  <c r="G201" i="4"/>
  <c r="D202" i="4"/>
  <c r="H202" i="4" l="1"/>
  <c r="D203" i="4"/>
  <c r="G202" i="4"/>
  <c r="I201" i="4"/>
  <c r="I202" i="4" l="1"/>
  <c r="D204" i="4"/>
  <c r="H203" i="4"/>
  <c r="G203" i="4"/>
  <c r="I203" i="4" l="1"/>
  <c r="D205" i="4"/>
  <c r="H204" i="4"/>
  <c r="G204" i="4"/>
  <c r="I204" i="4" l="1"/>
  <c r="G205" i="4"/>
  <c r="D206" i="4"/>
  <c r="H205" i="4"/>
  <c r="D207" i="4" l="1"/>
  <c r="G206" i="4"/>
  <c r="H206" i="4"/>
  <c r="I205" i="4"/>
  <c r="I206" i="4" l="1"/>
  <c r="D208" i="4"/>
  <c r="H207" i="4"/>
  <c r="G207" i="4"/>
  <c r="I207" i="4" l="1"/>
  <c r="D209" i="4"/>
  <c r="H208" i="4"/>
  <c r="G208" i="4"/>
  <c r="I208" i="4" l="1"/>
  <c r="D210" i="4"/>
  <c r="H209" i="4"/>
  <c r="G209" i="4"/>
  <c r="I209" i="4" l="1"/>
  <c r="D211" i="4"/>
  <c r="H210" i="4"/>
  <c r="G210" i="4"/>
  <c r="I210" i="4" l="1"/>
  <c r="G211" i="4"/>
  <c r="H211" i="4"/>
  <c r="D212" i="4"/>
  <c r="I211" i="4" l="1"/>
  <c r="H212" i="4"/>
  <c r="G212" i="4"/>
  <c r="D213" i="4"/>
  <c r="I212" i="4" l="1"/>
  <c r="H213" i="4"/>
  <c r="D214" i="4"/>
  <c r="G213" i="4"/>
  <c r="I213" i="4" l="1"/>
  <c r="D215" i="4"/>
  <c r="H214" i="4"/>
  <c r="G214" i="4"/>
  <c r="I214" i="4" l="1"/>
  <c r="H215" i="4"/>
  <c r="G215" i="4"/>
  <c r="D216" i="4"/>
  <c r="D217" i="4" l="1"/>
  <c r="G216" i="4"/>
  <c r="H216" i="4"/>
  <c r="I215" i="4"/>
  <c r="I216" i="4" l="1"/>
  <c r="G217" i="4"/>
  <c r="H217" i="4"/>
  <c r="D218" i="4"/>
  <c r="I217" i="4" l="1"/>
  <c r="G218" i="4"/>
  <c r="H218" i="4"/>
  <c r="D219" i="4"/>
  <c r="I218" i="4" l="1"/>
  <c r="G219" i="4"/>
  <c r="H219" i="4"/>
  <c r="D220" i="4"/>
  <c r="I219" i="4" l="1"/>
  <c r="H220" i="4"/>
  <c r="D221" i="4"/>
  <c r="G220" i="4"/>
  <c r="I220" i="4" l="1"/>
  <c r="D222" i="4"/>
  <c r="G221" i="4"/>
  <c r="H221" i="4"/>
  <c r="I221" i="4" l="1"/>
  <c r="G222" i="4"/>
  <c r="H222" i="4"/>
  <c r="D223" i="4"/>
  <c r="D224" i="4" l="1"/>
  <c r="G223" i="4"/>
  <c r="H223" i="4"/>
  <c r="I222" i="4"/>
  <c r="I223" i="4" l="1"/>
  <c r="G224" i="4"/>
  <c r="H224" i="4"/>
  <c r="D225" i="4"/>
  <c r="H225" i="4" l="1"/>
  <c r="D226" i="4"/>
  <c r="G225" i="4"/>
  <c r="I224" i="4"/>
  <c r="I225" i="4" l="1"/>
  <c r="D227" i="4"/>
  <c r="G226" i="4"/>
  <c r="H226" i="4"/>
  <c r="I226" i="4" l="1"/>
  <c r="D228" i="4"/>
  <c r="G227" i="4"/>
  <c r="H227" i="4"/>
  <c r="I227" i="4" l="1"/>
  <c r="G228" i="4"/>
  <c r="D229" i="4"/>
  <c r="H228" i="4"/>
  <c r="D230" i="4" l="1"/>
  <c r="H229" i="4"/>
  <c r="G229" i="4"/>
  <c r="I228" i="4"/>
  <c r="I229" i="4" l="1"/>
  <c r="H230" i="4"/>
  <c r="D231" i="4"/>
  <c r="G230" i="4"/>
  <c r="I230" i="4" l="1"/>
  <c r="H231" i="4"/>
  <c r="G231" i="4"/>
  <c r="D232" i="4"/>
  <c r="I231" i="4" l="1"/>
  <c r="H232" i="4"/>
  <c r="D233" i="4"/>
  <c r="G232" i="4"/>
  <c r="I232" i="4" l="1"/>
  <c r="G233" i="4"/>
  <c r="H233" i="4"/>
  <c r="D234" i="4"/>
  <c r="I233" i="4" l="1"/>
  <c r="G234" i="4"/>
  <c r="H234" i="4"/>
  <c r="D235" i="4"/>
  <c r="D236" i="4" l="1"/>
  <c r="H235" i="4"/>
  <c r="G235" i="4"/>
  <c r="I234" i="4"/>
  <c r="I235" i="4" l="1"/>
  <c r="H236" i="4"/>
  <c r="G236" i="4"/>
  <c r="D237" i="4"/>
  <c r="I236" i="4" l="1"/>
  <c r="H237" i="4"/>
  <c r="D238" i="4"/>
  <c r="G237" i="4"/>
  <c r="I237" i="4" l="1"/>
  <c r="G238" i="4"/>
  <c r="H238" i="4"/>
  <c r="D239" i="4"/>
  <c r="I238" i="4" l="1"/>
  <c r="H239" i="4"/>
  <c r="G239" i="4"/>
  <c r="D240" i="4"/>
  <c r="I239" i="4" l="1"/>
  <c r="G240" i="4"/>
  <c r="D241" i="4"/>
  <c r="H240" i="4"/>
  <c r="H241" i="4" l="1"/>
  <c r="G241" i="4"/>
  <c r="D242" i="4"/>
  <c r="I240" i="4"/>
  <c r="I241" i="4" l="1"/>
  <c r="G242" i="4"/>
  <c r="D243" i="4"/>
  <c r="H242" i="4"/>
  <c r="D244" i="4" l="1"/>
  <c r="G243" i="4"/>
  <c r="H243" i="4"/>
  <c r="I242" i="4"/>
  <c r="I243" i="4" l="1"/>
  <c r="D245" i="4"/>
  <c r="H244" i="4"/>
  <c r="G244" i="4"/>
  <c r="I244" i="4" l="1"/>
  <c r="D246" i="4"/>
  <c r="G245" i="4"/>
  <c r="H245" i="4"/>
  <c r="H246" i="4" l="1"/>
  <c r="G246" i="4"/>
  <c r="D247" i="4"/>
  <c r="I245" i="4"/>
  <c r="I246" i="4" l="1"/>
  <c r="G247" i="4"/>
  <c r="D248" i="4"/>
  <c r="H247" i="4"/>
  <c r="H248" i="4" l="1"/>
  <c r="G248" i="4"/>
  <c r="D249" i="4"/>
  <c r="I247" i="4"/>
  <c r="I248" i="4" l="1"/>
  <c r="G249" i="4"/>
  <c r="H249" i="4"/>
  <c r="D250" i="4"/>
  <c r="H250" i="4" l="1"/>
  <c r="G250" i="4"/>
  <c r="D251" i="4"/>
  <c r="I249" i="4"/>
  <c r="I250" i="4" l="1"/>
  <c r="D252" i="4"/>
  <c r="G251" i="4"/>
  <c r="H251" i="4"/>
  <c r="I251" i="4" l="1"/>
  <c r="G252" i="4"/>
  <c r="D253" i="4"/>
  <c r="H252" i="4"/>
  <c r="G253" i="4" l="1"/>
  <c r="H253" i="4"/>
  <c r="D254" i="4"/>
  <c r="I252" i="4"/>
  <c r="I253" i="4" l="1"/>
  <c r="G254" i="4"/>
  <c r="D255" i="4"/>
  <c r="H254" i="4"/>
  <c r="D256" i="4" l="1"/>
  <c r="H255" i="4"/>
  <c r="G255" i="4"/>
  <c r="I254" i="4"/>
  <c r="I255" i="4" l="1"/>
  <c r="D257" i="4"/>
  <c r="H256" i="4"/>
  <c r="G256" i="4"/>
  <c r="I256" i="4" l="1"/>
  <c r="D258" i="4"/>
  <c r="G257" i="4"/>
  <c r="H257" i="4"/>
  <c r="I257" i="4" l="1"/>
  <c r="H258" i="4"/>
  <c r="G258" i="4"/>
  <c r="D259" i="4"/>
  <c r="I258" i="4" l="1"/>
  <c r="G259" i="4"/>
  <c r="H259" i="4"/>
  <c r="D260" i="4"/>
  <c r="I259" i="4" l="1"/>
  <c r="G260" i="4"/>
  <c r="D261" i="4"/>
  <c r="H260" i="4"/>
  <c r="G261" i="4" l="1"/>
  <c r="D262" i="4"/>
  <c r="H261" i="4"/>
  <c r="I260" i="4"/>
  <c r="D263" i="4" l="1"/>
  <c r="G262" i="4"/>
  <c r="H262" i="4"/>
  <c r="I261" i="4"/>
  <c r="I262" i="4" l="1"/>
  <c r="H263" i="4"/>
  <c r="G263" i="4"/>
  <c r="D264" i="4"/>
  <c r="I263" i="4" l="1"/>
  <c r="H264" i="4"/>
  <c r="G264" i="4"/>
  <c r="D265" i="4"/>
  <c r="I264" i="4" l="1"/>
  <c r="H265" i="4"/>
  <c r="D266" i="4"/>
  <c r="G265" i="4"/>
  <c r="I265" i="4" l="1"/>
  <c r="G266" i="4"/>
  <c r="D267" i="4"/>
  <c r="H266" i="4"/>
  <c r="G267" i="4" l="1"/>
  <c r="H267" i="4"/>
  <c r="D268" i="4"/>
  <c r="I266" i="4"/>
  <c r="H268" i="4" l="1"/>
  <c r="D269" i="4"/>
  <c r="G268" i="4"/>
  <c r="I267" i="4"/>
  <c r="I268" i="4" l="1"/>
  <c r="D270" i="4"/>
  <c r="H269" i="4"/>
  <c r="G269" i="4"/>
  <c r="I269" i="4" l="1"/>
  <c r="D271" i="4"/>
  <c r="H270" i="4"/>
  <c r="G270" i="4"/>
  <c r="I270" i="4" l="1"/>
  <c r="D272" i="4"/>
  <c r="G271" i="4"/>
  <c r="H271" i="4"/>
  <c r="I271" i="4" l="1"/>
  <c r="G272" i="4"/>
  <c r="D273" i="4"/>
  <c r="H272" i="4"/>
  <c r="I272" i="4" l="1"/>
  <c r="H273" i="4"/>
  <c r="G273" i="4"/>
  <c r="D274" i="4"/>
  <c r="I273" i="4" l="1"/>
  <c r="H274" i="4"/>
  <c r="D275" i="4"/>
  <c r="G274" i="4"/>
  <c r="I274" i="4" l="1"/>
  <c r="G275" i="4"/>
  <c r="H275" i="4"/>
  <c r="D276" i="4"/>
  <c r="I275" i="4" l="1"/>
  <c r="G276" i="4"/>
  <c r="D277" i="4"/>
  <c r="H276" i="4"/>
  <c r="G277" i="4" l="1"/>
  <c r="D278" i="4"/>
  <c r="H277" i="4"/>
  <c r="I276" i="4"/>
  <c r="H278" i="4" l="1"/>
  <c r="G278" i="4"/>
  <c r="D279" i="4"/>
  <c r="I277" i="4"/>
  <c r="I278" i="4" l="1"/>
  <c r="D280" i="4"/>
  <c r="G279" i="4"/>
  <c r="H279" i="4"/>
  <c r="I279" i="4" l="1"/>
  <c r="D281" i="4"/>
  <c r="G280" i="4"/>
  <c r="H280" i="4"/>
  <c r="I280" i="4" l="1"/>
  <c r="H281" i="4"/>
  <c r="D282" i="4"/>
  <c r="G281" i="4"/>
  <c r="I281" i="4" l="1"/>
  <c r="D283" i="4"/>
  <c r="G282" i="4"/>
  <c r="H282" i="4"/>
  <c r="I282" i="4" l="1"/>
  <c r="H283" i="4"/>
  <c r="D284" i="4"/>
  <c r="G283" i="4"/>
  <c r="I283" i="4" l="1"/>
  <c r="G284" i="4"/>
  <c r="D285" i="4"/>
  <c r="H284" i="4"/>
  <c r="H285" i="4" l="1"/>
  <c r="D286" i="4"/>
  <c r="G285" i="4"/>
  <c r="I284" i="4"/>
  <c r="I285" i="4" l="1"/>
  <c r="H286" i="4"/>
  <c r="D287" i="4"/>
  <c r="G286" i="4"/>
  <c r="I286" i="4" l="1"/>
  <c r="G287" i="4"/>
  <c r="D288" i="4"/>
  <c r="H287" i="4"/>
  <c r="G288" i="4" l="1"/>
  <c r="H288" i="4"/>
  <c r="D289" i="4"/>
  <c r="I287" i="4"/>
  <c r="I288" i="4" l="1"/>
  <c r="D290" i="4"/>
  <c r="H289" i="4"/>
  <c r="G289" i="4"/>
  <c r="I289" i="4" l="1"/>
  <c r="D291" i="4"/>
  <c r="H290" i="4"/>
  <c r="G290" i="4"/>
  <c r="I290" i="4" l="1"/>
  <c r="H291" i="4"/>
  <c r="G291" i="4"/>
  <c r="D292" i="4"/>
  <c r="I291" i="4" l="1"/>
  <c r="G292" i="4"/>
  <c r="H292" i="4"/>
  <c r="D293" i="4"/>
  <c r="I292" i="4" l="1"/>
  <c r="D294" i="4"/>
  <c r="G293" i="4"/>
  <c r="H293" i="4"/>
  <c r="I293" i="4" l="1"/>
  <c r="H294" i="4"/>
  <c r="D295" i="4"/>
  <c r="G294" i="4"/>
  <c r="I294" i="4" l="1"/>
  <c r="H295" i="4"/>
  <c r="G295" i="4"/>
  <c r="D296" i="4"/>
  <c r="I295" i="4" l="1"/>
  <c r="D297" i="4"/>
  <c r="H296" i="4"/>
  <c r="G296" i="4"/>
  <c r="I296" i="4" l="1"/>
  <c r="D298" i="4"/>
  <c r="G297" i="4"/>
  <c r="H297" i="4"/>
  <c r="I297" i="4" l="1"/>
  <c r="G298" i="4"/>
  <c r="D299" i="4"/>
  <c r="H298" i="4"/>
  <c r="I298" i="4" l="1"/>
  <c r="G299" i="4"/>
  <c r="D300" i="4"/>
  <c r="H299" i="4"/>
  <c r="H300" i="4" l="1"/>
  <c r="D301" i="4"/>
  <c r="D302" i="4" s="1"/>
  <c r="G300" i="4"/>
  <c r="I299" i="4"/>
  <c r="I300" i="4" l="1"/>
  <c r="H302" i="4"/>
  <c r="D303" i="4"/>
  <c r="G302" i="4"/>
  <c r="H301" i="4"/>
  <c r="G301" i="4"/>
  <c r="I302" i="4" l="1"/>
  <c r="I301" i="4"/>
  <c r="G303" i="4"/>
  <c r="D304" i="4"/>
  <c r="H303" i="4"/>
  <c r="H304" i="4" l="1"/>
  <c r="D305" i="4"/>
  <c r="G304" i="4"/>
  <c r="I303" i="4"/>
  <c r="I304" i="4" l="1"/>
  <c r="G305" i="4"/>
  <c r="H305" i="4"/>
  <c r="D306" i="4"/>
  <c r="D307" i="4" l="1"/>
  <c r="H306" i="4"/>
  <c r="G306" i="4"/>
  <c r="I305" i="4"/>
  <c r="I306" i="4" l="1"/>
  <c r="G307" i="4"/>
  <c r="D308" i="4"/>
  <c r="H307" i="4"/>
  <c r="H308" i="4" l="1"/>
  <c r="G308" i="4"/>
  <c r="D309" i="4"/>
  <c r="I307" i="4"/>
  <c r="I308" i="4" l="1"/>
  <c r="H309" i="4"/>
  <c r="G309" i="4"/>
  <c r="D310" i="4"/>
  <c r="G310" i="4" l="1"/>
  <c r="H310" i="4"/>
  <c r="D311" i="4"/>
  <c r="I309" i="4"/>
  <c r="I310" i="4" l="1"/>
  <c r="H311" i="4"/>
  <c r="D312" i="4"/>
  <c r="G311" i="4"/>
  <c r="I311" i="4" l="1"/>
  <c r="G312" i="4"/>
  <c r="H312" i="4"/>
  <c r="D313" i="4"/>
  <c r="I312" i="4" l="1"/>
  <c r="D314" i="4"/>
  <c r="H313" i="4"/>
  <c r="G313" i="4"/>
  <c r="I313" i="4" l="1"/>
  <c r="H314" i="4"/>
  <c r="D315" i="4"/>
  <c r="G314" i="4"/>
  <c r="I314" i="4" l="1"/>
  <c r="H315" i="4"/>
  <c r="D316" i="4"/>
  <c r="G315" i="4"/>
  <c r="I315" i="4" l="1"/>
  <c r="D317" i="4"/>
  <c r="H316" i="4"/>
  <c r="G316" i="4"/>
  <c r="I316" i="4" l="1"/>
  <c r="D318" i="4"/>
  <c r="G317" i="4"/>
  <c r="H317" i="4"/>
  <c r="I317" i="4" l="1"/>
  <c r="G318" i="4"/>
  <c r="H318" i="4"/>
  <c r="D319" i="4"/>
  <c r="I318" i="4" l="1"/>
  <c r="H319" i="4"/>
  <c r="D320" i="4"/>
  <c r="G319" i="4"/>
  <c r="I319" i="4" l="1"/>
  <c r="H320" i="4"/>
  <c r="D321" i="4"/>
  <c r="G320" i="4"/>
  <c r="I320" i="4" l="1"/>
  <c r="H321" i="4"/>
  <c r="D322" i="4"/>
  <c r="G321" i="4"/>
  <c r="I321" i="4" l="1"/>
  <c r="D323" i="4"/>
  <c r="G322" i="4"/>
  <c r="H322" i="4"/>
  <c r="I322" i="4" l="1"/>
  <c r="G323" i="4"/>
  <c r="D324" i="4"/>
  <c r="H323" i="4"/>
  <c r="I323" i="4" l="1"/>
  <c r="H324" i="4"/>
  <c r="G324" i="4"/>
  <c r="D325" i="4"/>
  <c r="H325" i="4" l="1"/>
  <c r="G325" i="4"/>
  <c r="D326" i="4"/>
  <c r="I324" i="4"/>
  <c r="I325" i="4" l="1"/>
  <c r="D327" i="4"/>
  <c r="G326" i="4"/>
  <c r="H326" i="4"/>
  <c r="I326" i="4" l="1"/>
  <c r="D328" i="4"/>
  <c r="G327" i="4"/>
  <c r="H327" i="4"/>
  <c r="I327" i="4" l="1"/>
  <c r="G328" i="4"/>
  <c r="D329" i="4"/>
  <c r="H328" i="4"/>
  <c r="I328" i="4" l="1"/>
  <c r="G329" i="4"/>
  <c r="D330" i="4"/>
  <c r="H329" i="4"/>
  <c r="G330" i="4" l="1"/>
  <c r="D331" i="4"/>
  <c r="H330" i="4"/>
  <c r="I329" i="4"/>
  <c r="H331" i="4" l="1"/>
  <c r="D332" i="4"/>
  <c r="G331" i="4"/>
  <c r="I330" i="4"/>
  <c r="I331" i="4" l="1"/>
  <c r="G332" i="4"/>
  <c r="D333" i="4"/>
  <c r="H332" i="4"/>
  <c r="D334" i="4" l="1"/>
  <c r="G333" i="4"/>
  <c r="H333" i="4"/>
  <c r="I332" i="4"/>
  <c r="I333" i="4" l="1"/>
  <c r="D335" i="4"/>
  <c r="G334" i="4"/>
  <c r="H334" i="4"/>
  <c r="I334" i="4" l="1"/>
  <c r="G335" i="4"/>
  <c r="H335" i="4"/>
  <c r="D336" i="4"/>
  <c r="H336" i="4" l="1"/>
  <c r="D337" i="4"/>
  <c r="G336" i="4"/>
  <c r="I335" i="4"/>
  <c r="I336" i="4" l="1"/>
  <c r="H337" i="4"/>
  <c r="D338" i="4"/>
  <c r="G337" i="4"/>
  <c r="I337" i="4" l="1"/>
  <c r="H338" i="4"/>
  <c r="G338" i="4"/>
  <c r="D339" i="4"/>
  <c r="I338" i="4" l="1"/>
  <c r="G339" i="4"/>
  <c r="D340" i="4"/>
  <c r="H339" i="4"/>
  <c r="D341" i="4" l="1"/>
  <c r="G340" i="4"/>
  <c r="H340" i="4"/>
  <c r="I339" i="4"/>
  <c r="D342" i="4" l="1"/>
  <c r="G341" i="4"/>
  <c r="H341" i="4"/>
  <c r="I340" i="4"/>
  <c r="I341" i="4" l="1"/>
  <c r="D343" i="4"/>
  <c r="H342" i="4"/>
  <c r="G342" i="4"/>
  <c r="I342" i="4" l="1"/>
  <c r="D344" i="4"/>
  <c r="H343" i="4"/>
  <c r="G343" i="4"/>
  <c r="I343" i="4" l="1"/>
  <c r="H344" i="4"/>
  <c r="G344" i="4"/>
  <c r="D345" i="4"/>
  <c r="I344" i="4" l="1"/>
  <c r="D346" i="4"/>
  <c r="G345" i="4"/>
  <c r="H345" i="4"/>
  <c r="I345" i="4" l="1"/>
  <c r="G346" i="4"/>
  <c r="H346" i="4"/>
  <c r="D347" i="4"/>
  <c r="I346" i="4" l="1"/>
  <c r="G347" i="4"/>
  <c r="H347" i="4"/>
  <c r="D348" i="4"/>
  <c r="I347" i="4" l="1"/>
  <c r="G348" i="4"/>
  <c r="H348" i="4"/>
  <c r="D349" i="4"/>
  <c r="G349" i="4" l="1"/>
  <c r="D350" i="4"/>
  <c r="H349" i="4"/>
  <c r="I348" i="4"/>
  <c r="I349" i="4" l="1"/>
  <c r="H350" i="4"/>
  <c r="G350" i="4"/>
  <c r="D351" i="4"/>
  <c r="D352" i="4" s="1"/>
  <c r="I350" i="4" l="1"/>
  <c r="G352" i="4"/>
  <c r="H352" i="4"/>
  <c r="D353" i="4"/>
  <c r="H351" i="4"/>
  <c r="G351" i="4"/>
  <c r="I352" i="4" l="1"/>
  <c r="G353" i="4"/>
  <c r="H353" i="4"/>
  <c r="D354" i="4"/>
  <c r="I351" i="4"/>
  <c r="I353" i="4" l="1"/>
  <c r="D355" i="4"/>
  <c r="H354" i="4"/>
  <c r="G354" i="4"/>
  <c r="I354" i="4" l="1"/>
  <c r="H355" i="4"/>
  <c r="G355" i="4"/>
  <c r="D356" i="4"/>
  <c r="D357" i="4" l="1"/>
  <c r="H356" i="4"/>
  <c r="G356" i="4"/>
  <c r="I355" i="4"/>
  <c r="I356" i="4" l="1"/>
  <c r="G357" i="4"/>
  <c r="D358" i="4"/>
  <c r="H357" i="4"/>
  <c r="I357" i="4" l="1"/>
  <c r="H358" i="4"/>
  <c r="G358" i="4"/>
  <c r="D359" i="4"/>
  <c r="H359" i="4" l="1"/>
  <c r="G359" i="4"/>
  <c r="D360" i="4"/>
  <c r="I358" i="4"/>
  <c r="I359" i="4" l="1"/>
  <c r="H360" i="4"/>
  <c r="D361" i="4"/>
  <c r="G360" i="4"/>
  <c r="I360" i="4" l="1"/>
  <c r="H361" i="4"/>
  <c r="G361" i="4"/>
  <c r="D362" i="4"/>
  <c r="I361" i="4" l="1"/>
  <c r="G362" i="4"/>
  <c r="D363" i="4"/>
  <c r="H362" i="4"/>
  <c r="H363" i="4" l="1"/>
  <c r="D364" i="4"/>
  <c r="G363" i="4"/>
  <c r="I362" i="4"/>
  <c r="I363" i="4" l="1"/>
  <c r="G364" i="4"/>
  <c r="D365" i="4"/>
  <c r="H364" i="4"/>
  <c r="D366" i="4" l="1"/>
  <c r="G365" i="4"/>
  <c r="H365" i="4"/>
  <c r="I364" i="4"/>
  <c r="I365" i="4" l="1"/>
  <c r="H366" i="4"/>
  <c r="D367" i="4"/>
  <c r="G366" i="4"/>
  <c r="I366" i="4" l="1"/>
  <c r="G367" i="4"/>
  <c r="H367" i="4"/>
  <c r="D368" i="4"/>
  <c r="I367" i="4" l="1"/>
  <c r="D369" i="4"/>
  <c r="G368" i="4"/>
  <c r="H368" i="4"/>
  <c r="I368" i="4" l="1"/>
  <c r="D370" i="4"/>
  <c r="G369" i="4"/>
  <c r="H369" i="4"/>
  <c r="I369" i="4" l="1"/>
  <c r="H370" i="4"/>
  <c r="D371" i="4"/>
  <c r="G370" i="4"/>
  <c r="I370" i="4" l="1"/>
  <c r="D372" i="4"/>
  <c r="H371" i="4"/>
  <c r="G371" i="4"/>
  <c r="I371" i="4" l="1"/>
  <c r="G372" i="4"/>
  <c r="H372" i="4"/>
  <c r="D373" i="4"/>
  <c r="I372" i="4" l="1"/>
  <c r="D374" i="4"/>
  <c r="H373" i="4"/>
  <c r="G373" i="4"/>
  <c r="I373" i="4" l="1"/>
  <c r="H374" i="4"/>
  <c r="G374" i="4"/>
  <c r="D375" i="4"/>
  <c r="I374" i="4" l="1"/>
  <c r="G375" i="4"/>
  <c r="D376" i="4"/>
  <c r="H375" i="4"/>
  <c r="H376" i="4" l="1"/>
  <c r="D377" i="4"/>
  <c r="G376" i="4"/>
  <c r="I375" i="4"/>
  <c r="I376" i="4" l="1"/>
  <c r="H377" i="4"/>
  <c r="G377" i="4"/>
  <c r="D378" i="4"/>
  <c r="I377" i="4" l="1"/>
  <c r="D379" i="4"/>
  <c r="G378" i="4"/>
  <c r="H378" i="4"/>
  <c r="I378" i="4" l="1"/>
  <c r="D380" i="4"/>
  <c r="H379" i="4"/>
  <c r="G379" i="4"/>
  <c r="I379" i="4" l="1"/>
  <c r="H380" i="4"/>
  <c r="D381" i="4"/>
  <c r="G380" i="4"/>
  <c r="I380" i="4" l="1"/>
  <c r="D382" i="4"/>
  <c r="G381" i="4"/>
  <c r="H381" i="4"/>
  <c r="I381" i="4" l="1"/>
  <c r="H382" i="4"/>
  <c r="G382" i="4"/>
  <c r="D383" i="4"/>
  <c r="I382" i="4" l="1"/>
  <c r="H383" i="4"/>
  <c r="G383" i="4"/>
  <c r="D384" i="4"/>
  <c r="I383" i="4" l="1"/>
  <c r="G384" i="4"/>
  <c r="H384" i="4"/>
  <c r="D385" i="4"/>
  <c r="I384" i="4" l="1"/>
  <c r="D386" i="4"/>
  <c r="H385" i="4"/>
  <c r="G385" i="4"/>
  <c r="I385" i="4" l="1"/>
  <c r="D387" i="4"/>
  <c r="G386" i="4"/>
  <c r="H386" i="4"/>
  <c r="I386" i="4" l="1"/>
  <c r="D388" i="4"/>
  <c r="H387" i="4"/>
  <c r="G387" i="4"/>
  <c r="I387" i="4" l="1"/>
  <c r="H388" i="4"/>
  <c r="G388" i="4"/>
  <c r="D389" i="4"/>
  <c r="I388" i="4" l="1"/>
  <c r="D390" i="4"/>
  <c r="H389" i="4"/>
  <c r="G389" i="4"/>
  <c r="I389" i="4" l="1"/>
  <c r="H390" i="4"/>
  <c r="D391" i="4"/>
  <c r="G390" i="4"/>
  <c r="I390" i="4" l="1"/>
  <c r="G391" i="4"/>
  <c r="H391" i="4"/>
  <c r="D392" i="4"/>
  <c r="D393" i="4" l="1"/>
  <c r="G392" i="4"/>
  <c r="H392" i="4"/>
  <c r="I391" i="4"/>
  <c r="I392" i="4" l="1"/>
  <c r="D394" i="4"/>
  <c r="H393" i="4"/>
  <c r="G393" i="4"/>
  <c r="I393" i="4" l="1"/>
  <c r="H394" i="4"/>
  <c r="D395" i="4"/>
  <c r="G394" i="4"/>
  <c r="I394" i="4" l="1"/>
  <c r="D396" i="4"/>
  <c r="G395" i="4"/>
  <c r="H395" i="4"/>
  <c r="I395" i="4" l="1"/>
  <c r="D397" i="4"/>
  <c r="H396" i="4"/>
  <c r="G396" i="4"/>
  <c r="I396" i="4" l="1"/>
  <c r="D398" i="4"/>
  <c r="G397" i="4"/>
  <c r="H397" i="4"/>
  <c r="I397" i="4" l="1"/>
  <c r="H398" i="4"/>
  <c r="G398" i="4"/>
  <c r="D399" i="4"/>
  <c r="I398" i="4" l="1"/>
  <c r="G399" i="4"/>
  <c r="H399" i="4"/>
  <c r="D400" i="4"/>
  <c r="I399" i="4" l="1"/>
  <c r="G400" i="4"/>
  <c r="D401" i="4"/>
  <c r="H400" i="4"/>
  <c r="D402" i="4" l="1"/>
  <c r="G401" i="4"/>
  <c r="H401" i="4"/>
  <c r="I400" i="4"/>
  <c r="I401" i="4" l="1"/>
  <c r="D403" i="4"/>
  <c r="H402" i="4"/>
  <c r="G402" i="4"/>
  <c r="I402" i="4" l="1"/>
  <c r="G403" i="4"/>
  <c r="D404" i="4"/>
  <c r="H403" i="4"/>
  <c r="I403" i="4" l="1"/>
  <c r="H404" i="4"/>
  <c r="D405" i="4"/>
  <c r="G404" i="4"/>
  <c r="I404" i="4" l="1"/>
  <c r="H405" i="4"/>
  <c r="G405" i="4"/>
  <c r="D406" i="4"/>
  <c r="I405" i="4" l="1"/>
  <c r="D407" i="4"/>
  <c r="G406" i="4"/>
  <c r="H406" i="4"/>
  <c r="I406" i="4" l="1"/>
  <c r="D408" i="4"/>
  <c r="G407" i="4"/>
  <c r="H407" i="4"/>
  <c r="I407" i="4" l="1"/>
  <c r="D409" i="4"/>
  <c r="H408" i="4"/>
  <c r="G408" i="4"/>
  <c r="I408" i="4" l="1"/>
  <c r="H409" i="4"/>
  <c r="G409" i="4"/>
  <c r="D410" i="4"/>
  <c r="I409" i="4" l="1"/>
  <c r="D411" i="4"/>
  <c r="H410" i="4"/>
  <c r="G410" i="4"/>
  <c r="I410" i="4" l="1"/>
  <c r="D412" i="4"/>
  <c r="H411" i="4"/>
  <c r="G411" i="4"/>
  <c r="I411" i="4" l="1"/>
  <c r="G412" i="4"/>
  <c r="H412" i="4"/>
  <c r="D413" i="4"/>
  <c r="I412" i="4" l="1"/>
  <c r="G413" i="4"/>
  <c r="H413" i="4"/>
  <c r="D414" i="4"/>
  <c r="I413" i="4" l="1"/>
  <c r="D415" i="4"/>
  <c r="H414" i="4"/>
  <c r="G414" i="4"/>
  <c r="I414" i="4" l="1"/>
  <c r="G415" i="4"/>
  <c r="D416" i="4"/>
  <c r="H415" i="4"/>
  <c r="I415" i="4" l="1"/>
  <c r="G416" i="4"/>
  <c r="H416" i="4"/>
  <c r="D417" i="4"/>
  <c r="H417" i="4" l="1"/>
  <c r="G417" i="4"/>
  <c r="D418" i="4"/>
  <c r="I416" i="4"/>
  <c r="I417" i="4" l="1"/>
  <c r="G418" i="4"/>
  <c r="D419" i="4"/>
  <c r="H418" i="4"/>
  <c r="D420" i="4" l="1"/>
  <c r="G419" i="4"/>
  <c r="H419" i="4"/>
  <c r="I418" i="4"/>
  <c r="I419" i="4" l="1"/>
  <c r="H420" i="4"/>
  <c r="G420" i="4"/>
  <c r="D421" i="4"/>
  <c r="I420" i="4" l="1"/>
  <c r="G421" i="4"/>
  <c r="H421" i="4"/>
  <c r="D422" i="4"/>
  <c r="I421" i="4" l="1"/>
  <c r="D423" i="4"/>
  <c r="H422" i="4"/>
  <c r="G422" i="4"/>
  <c r="I422" i="4" l="1"/>
  <c r="G423" i="4"/>
  <c r="H423" i="4"/>
  <c r="D424" i="4"/>
  <c r="H424" i="4" l="1"/>
  <c r="G424" i="4"/>
  <c r="D425" i="4"/>
  <c r="I423" i="4"/>
  <c r="I424" i="4" l="1"/>
  <c r="G425" i="4"/>
  <c r="D426" i="4"/>
  <c r="H425" i="4"/>
  <c r="G426" i="4" l="1"/>
  <c r="D427" i="4"/>
  <c r="H426" i="4"/>
  <c r="I425" i="4"/>
  <c r="G427" i="4" l="1"/>
  <c r="H427" i="4"/>
  <c r="D428" i="4"/>
  <c r="I426" i="4"/>
  <c r="G428" i="4" l="1"/>
  <c r="H428" i="4"/>
  <c r="D429" i="4"/>
  <c r="I427" i="4"/>
  <c r="D430" i="4" l="1"/>
  <c r="H429" i="4"/>
  <c r="G429" i="4"/>
  <c r="I428" i="4"/>
  <c r="I429" i="4" l="1"/>
  <c r="G430" i="4"/>
  <c r="D431" i="4"/>
  <c r="H430" i="4"/>
  <c r="H431" i="4" l="1"/>
  <c r="D432" i="4"/>
  <c r="G431" i="4"/>
  <c r="I430" i="4"/>
  <c r="I431" i="4" l="1"/>
  <c r="G432" i="4"/>
  <c r="D433" i="4"/>
  <c r="H432" i="4"/>
  <c r="D434" i="4" l="1"/>
  <c r="H433" i="4"/>
  <c r="G433" i="4"/>
  <c r="I432" i="4"/>
  <c r="I433" i="4" l="1"/>
  <c r="D435" i="4"/>
  <c r="G434" i="4"/>
  <c r="H434" i="4"/>
  <c r="H435" i="4" l="1"/>
  <c r="G435" i="4"/>
  <c r="D436" i="4"/>
  <c r="I434" i="4"/>
  <c r="I435" i="4" l="1"/>
  <c r="H436" i="4"/>
  <c r="D437" i="4"/>
  <c r="G436" i="4"/>
  <c r="I436" i="4" l="1"/>
  <c r="G437" i="4"/>
  <c r="H437" i="4"/>
  <c r="D438" i="4"/>
  <c r="G438" i="4" l="1"/>
  <c r="D439" i="4"/>
  <c r="H438" i="4"/>
  <c r="I437" i="4"/>
  <c r="D440" i="4" l="1"/>
  <c r="G439" i="4"/>
  <c r="H439" i="4"/>
  <c r="I438" i="4"/>
  <c r="I439" i="4" l="1"/>
  <c r="G440" i="4"/>
  <c r="D441" i="4"/>
  <c r="H440" i="4"/>
  <c r="I440" i="4" l="1"/>
  <c r="D442" i="4"/>
  <c r="G441" i="4"/>
  <c r="H441" i="4"/>
  <c r="I441" i="4" l="1"/>
  <c r="G442" i="4"/>
  <c r="H442" i="4"/>
  <c r="D443" i="4"/>
  <c r="D444" i="4" l="1"/>
  <c r="G443" i="4"/>
  <c r="H443" i="4"/>
  <c r="I442" i="4"/>
  <c r="I443" i="4" l="1"/>
  <c r="H444" i="4"/>
  <c r="G444" i="4"/>
  <c r="D445" i="4"/>
  <c r="I444" i="4" l="1"/>
  <c r="D446" i="4"/>
  <c r="G445" i="4"/>
  <c r="H445" i="4"/>
  <c r="I445" i="4" l="1"/>
  <c r="D447" i="4"/>
  <c r="G446" i="4"/>
  <c r="H446" i="4"/>
  <c r="I446" i="4" l="1"/>
  <c r="H447" i="4"/>
  <c r="G447" i="4"/>
  <c r="D448" i="4"/>
  <c r="I447" i="4" l="1"/>
  <c r="D449" i="4"/>
  <c r="H448" i="4"/>
  <c r="G448" i="4"/>
  <c r="I448" i="4" l="1"/>
  <c r="G449" i="4"/>
  <c r="D450" i="4"/>
  <c r="H449" i="4"/>
  <c r="H450" i="4" l="1"/>
  <c r="G450" i="4"/>
  <c r="D451" i="4"/>
  <c r="I449" i="4"/>
  <c r="I450" i="4" l="1"/>
  <c r="G451" i="4"/>
  <c r="D452" i="4"/>
  <c r="H451" i="4"/>
  <c r="H452" i="4" l="1"/>
  <c r="D453" i="4"/>
  <c r="G452" i="4"/>
  <c r="I451" i="4"/>
  <c r="I452" i="4" l="1"/>
  <c r="D454" i="4"/>
  <c r="H453" i="4"/>
  <c r="G453" i="4"/>
  <c r="I453" i="4" l="1"/>
  <c r="G454" i="4"/>
  <c r="H454" i="4"/>
  <c r="D455" i="4"/>
  <c r="H455" i="4" l="1"/>
  <c r="D456" i="4"/>
  <c r="G455" i="4"/>
  <c r="I454" i="4"/>
  <c r="I455" i="4" l="1"/>
  <c r="D457" i="4"/>
  <c r="H456" i="4"/>
  <c r="G456" i="4"/>
  <c r="I456" i="4" l="1"/>
  <c r="H457" i="4"/>
  <c r="D458" i="4"/>
  <c r="G457" i="4"/>
  <c r="I457" i="4" l="1"/>
  <c r="H458" i="4"/>
  <c r="G458" i="4"/>
  <c r="D459" i="4"/>
  <c r="I458" i="4" l="1"/>
  <c r="H459" i="4"/>
  <c r="D460" i="4"/>
  <c r="G459" i="4"/>
  <c r="I459" i="4" l="1"/>
  <c r="D461" i="4"/>
  <c r="H460" i="4"/>
  <c r="G460" i="4"/>
  <c r="I460" i="4" l="1"/>
  <c r="G461" i="4"/>
  <c r="D462" i="4"/>
  <c r="H461" i="4"/>
  <c r="I461" i="4" l="1"/>
  <c r="H462" i="4"/>
  <c r="D463" i="4"/>
  <c r="G462" i="4"/>
  <c r="I462" i="4" l="1"/>
  <c r="D464" i="4"/>
  <c r="G463" i="4"/>
  <c r="H463" i="4"/>
  <c r="I463" i="4" l="1"/>
  <c r="D465" i="4"/>
  <c r="H464" i="4"/>
  <c r="G464" i="4"/>
  <c r="I464" i="4" l="1"/>
  <c r="D466" i="4"/>
  <c r="G465" i="4"/>
  <c r="H465" i="4"/>
  <c r="I465" i="4" l="1"/>
  <c r="H466" i="4"/>
  <c r="D467" i="4"/>
  <c r="G466" i="4"/>
  <c r="I466" i="4" l="1"/>
  <c r="G467" i="4"/>
  <c r="H467" i="4"/>
  <c r="D468" i="4"/>
  <c r="I467" i="4" l="1"/>
  <c r="D469" i="4"/>
  <c r="G468" i="4"/>
  <c r="H468" i="4"/>
  <c r="D470" i="4" l="1"/>
  <c r="G469" i="4"/>
  <c r="H469" i="4"/>
  <c r="I468" i="4"/>
  <c r="I469" i="4" l="1"/>
  <c r="G470" i="4"/>
  <c r="H470" i="4"/>
  <c r="D471" i="4"/>
  <c r="I470" i="4" l="1"/>
  <c r="G471" i="4"/>
  <c r="H471" i="4"/>
  <c r="D472" i="4"/>
  <c r="G472" i="4" l="1"/>
  <c r="D473" i="4"/>
  <c r="H472" i="4"/>
  <c r="I471" i="4"/>
  <c r="G473" i="4" l="1"/>
  <c r="H473" i="4"/>
  <c r="D474" i="4"/>
  <c r="I472" i="4"/>
  <c r="I473" i="4" l="1"/>
  <c r="D475" i="4"/>
  <c r="G474" i="4"/>
  <c r="H474" i="4"/>
  <c r="I474" i="4" l="1"/>
  <c r="D476" i="4"/>
  <c r="G475" i="4"/>
  <c r="H475" i="4"/>
  <c r="I475" i="4" l="1"/>
  <c r="D477" i="4"/>
  <c r="G476" i="4"/>
  <c r="H476" i="4"/>
  <c r="I476" i="4" l="1"/>
  <c r="H477" i="4"/>
  <c r="D478" i="4"/>
  <c r="G477" i="4"/>
  <c r="I477" i="4" l="1"/>
  <c r="D479" i="4"/>
  <c r="G478" i="4"/>
  <c r="H478" i="4"/>
  <c r="I478" i="4" l="1"/>
  <c r="H479" i="4"/>
  <c r="G479" i="4"/>
  <c r="D480" i="4"/>
  <c r="I479" i="4" l="1"/>
  <c r="D481" i="4"/>
  <c r="H480" i="4"/>
  <c r="G480" i="4"/>
  <c r="I480" i="4" l="1"/>
  <c r="G481" i="4"/>
  <c r="H481" i="4"/>
  <c r="D482" i="4"/>
  <c r="I481" i="4" l="1"/>
  <c r="G482" i="4"/>
  <c r="D483" i="4"/>
  <c r="H482" i="4"/>
  <c r="I482" i="4" l="1"/>
  <c r="H483" i="4"/>
  <c r="G483" i="4"/>
  <c r="D484" i="4"/>
  <c r="I483" i="4" l="1"/>
  <c r="D485" i="4"/>
  <c r="G484" i="4"/>
  <c r="H484" i="4"/>
  <c r="I484" i="4" l="1"/>
  <c r="D486" i="4"/>
  <c r="G485" i="4"/>
  <c r="H485" i="4"/>
  <c r="I485" i="4" l="1"/>
  <c r="H486" i="4"/>
  <c r="G486" i="4"/>
  <c r="D487" i="4"/>
  <c r="I486" i="4" l="1"/>
  <c r="G487" i="4"/>
  <c r="D488" i="4"/>
  <c r="H487" i="4"/>
  <c r="I487" i="4" l="1"/>
  <c r="H488" i="4"/>
  <c r="G488" i="4"/>
  <c r="D489" i="4"/>
  <c r="I488" i="4" l="1"/>
  <c r="G489" i="4"/>
  <c r="D490" i="4"/>
  <c r="H489" i="4"/>
  <c r="G490" i="4" l="1"/>
  <c r="H490" i="4"/>
  <c r="D491" i="4"/>
  <c r="I489" i="4"/>
  <c r="I490" i="4" l="1"/>
  <c r="H491" i="4"/>
  <c r="G491" i="4"/>
  <c r="D492" i="4"/>
  <c r="I491" i="4" l="1"/>
  <c r="H492" i="4"/>
  <c r="G492" i="4"/>
  <c r="D493" i="4"/>
  <c r="I492" i="4" l="1"/>
  <c r="G493" i="4"/>
  <c r="D494" i="4"/>
  <c r="H493" i="4"/>
  <c r="G494" i="4" l="1"/>
  <c r="H494" i="4"/>
  <c r="D495" i="4"/>
  <c r="I493" i="4"/>
  <c r="H495" i="4" l="1"/>
  <c r="G495" i="4"/>
  <c r="D496" i="4"/>
  <c r="I494" i="4"/>
  <c r="I495" i="4" l="1"/>
  <c r="H496" i="4"/>
  <c r="D497" i="4"/>
  <c r="G496" i="4"/>
  <c r="I496" i="4" l="1"/>
  <c r="G497" i="4"/>
  <c r="D498" i="4"/>
  <c r="H497" i="4"/>
  <c r="I497" i="4" l="1"/>
  <c r="G498" i="4"/>
  <c r="H498" i="4"/>
  <c r="D499" i="4"/>
  <c r="H499" i="4" l="1"/>
  <c r="G499" i="4"/>
  <c r="D500" i="4"/>
  <c r="I498" i="4"/>
  <c r="I499" i="4" l="1"/>
  <c r="D501" i="4"/>
  <c r="H500" i="4"/>
  <c r="G500" i="4"/>
  <c r="I500" i="4" l="1"/>
  <c r="D502" i="4"/>
  <c r="H501" i="4"/>
  <c r="G501" i="4"/>
  <c r="I501" i="4" l="1"/>
  <c r="D503" i="4"/>
  <c r="H502" i="4"/>
  <c r="G502" i="4"/>
  <c r="I502" i="4" l="1"/>
  <c r="G503" i="4"/>
  <c r="H503" i="4"/>
  <c r="D504" i="4"/>
  <c r="D505" i="4" l="1"/>
  <c r="G504" i="4"/>
  <c r="H504" i="4"/>
  <c r="I503" i="4"/>
  <c r="I504" i="4" l="1"/>
  <c r="G505" i="4"/>
  <c r="H505" i="4"/>
  <c r="D506" i="4"/>
  <c r="H506" i="4" l="1"/>
  <c r="D507" i="4"/>
  <c r="G506" i="4"/>
  <c r="I505" i="4"/>
  <c r="I506" i="4" l="1"/>
  <c r="G507" i="4"/>
  <c r="D508" i="4"/>
  <c r="H507" i="4"/>
  <c r="I507" i="4" l="1"/>
  <c r="H508" i="4"/>
  <c r="D509" i="4"/>
  <c r="G508" i="4"/>
  <c r="I508" i="4" l="1"/>
  <c r="G509" i="4"/>
  <c r="D510" i="4"/>
  <c r="H509" i="4"/>
  <c r="I509" i="4" l="1"/>
  <c r="D511" i="4"/>
  <c r="H510" i="4"/>
  <c r="G510" i="4"/>
  <c r="I510" i="4" l="1"/>
  <c r="H511" i="4"/>
  <c r="D512" i="4"/>
  <c r="G511" i="4"/>
  <c r="I511" i="4" l="1"/>
  <c r="G512" i="4"/>
  <c r="D513" i="4"/>
  <c r="H512" i="4"/>
  <c r="I512" i="4" l="1"/>
  <c r="H513" i="4"/>
  <c r="G513" i="4"/>
  <c r="D514" i="4"/>
  <c r="I513" i="4" l="1"/>
  <c r="D515" i="4"/>
  <c r="G514" i="4"/>
  <c r="H514" i="4"/>
  <c r="I514" i="4" l="1"/>
  <c r="H515" i="4"/>
  <c r="D516" i="4"/>
  <c r="G515" i="4"/>
  <c r="I515" i="4" l="1"/>
  <c r="G516" i="4"/>
  <c r="H516" i="4"/>
  <c r="D517" i="4"/>
  <c r="G517" i="4" l="1"/>
  <c r="H517" i="4"/>
  <c r="D518" i="4"/>
  <c r="I516" i="4"/>
  <c r="G518" i="4" l="1"/>
  <c r="H518" i="4"/>
  <c r="D519" i="4"/>
  <c r="I517" i="4"/>
  <c r="I518" i="4" l="1"/>
  <c r="H519" i="4"/>
  <c r="G519" i="4"/>
  <c r="D520" i="4"/>
  <c r="I519" i="4" l="1"/>
  <c r="H520" i="4"/>
  <c r="G520" i="4"/>
  <c r="D521" i="4"/>
  <c r="I520" i="4" l="1"/>
  <c r="D522" i="4"/>
  <c r="G521" i="4"/>
  <c r="H521" i="4"/>
  <c r="I521" i="4" l="1"/>
  <c r="G522" i="4"/>
  <c r="H522" i="4"/>
  <c r="D523" i="4"/>
  <c r="I522" i="4" l="1"/>
  <c r="H523" i="4"/>
  <c r="D524" i="4"/>
  <c r="G523" i="4"/>
  <c r="I523" i="4" l="1"/>
  <c r="D525" i="4"/>
  <c r="H524" i="4"/>
  <c r="G524" i="4"/>
  <c r="I524" i="4" l="1"/>
  <c r="H525" i="4"/>
  <c r="G525" i="4"/>
  <c r="D526" i="4"/>
  <c r="I525" i="4" l="1"/>
  <c r="G526" i="4"/>
  <c r="D527" i="4"/>
  <c r="H526" i="4"/>
  <c r="I526" i="4" l="1"/>
  <c r="H527" i="4"/>
  <c r="G527" i="4"/>
  <c r="D528" i="4"/>
  <c r="I527" i="4" l="1"/>
  <c r="G528" i="4"/>
  <c r="D529" i="4"/>
  <c r="H528" i="4"/>
  <c r="I528" i="4" l="1"/>
  <c r="G529" i="4"/>
  <c r="H529" i="4"/>
  <c r="D530" i="4"/>
  <c r="G530" i="4" l="1"/>
  <c r="H530" i="4"/>
  <c r="D531" i="4"/>
  <c r="I529" i="4"/>
  <c r="I530" i="4" l="1"/>
  <c r="G531" i="4"/>
  <c r="D532" i="4"/>
  <c r="H531" i="4"/>
  <c r="H532" i="4" l="1"/>
  <c r="D533" i="4"/>
  <c r="G532" i="4"/>
  <c r="I531" i="4"/>
  <c r="I532" i="4" l="1"/>
  <c r="D534" i="4"/>
  <c r="H533" i="4"/>
  <c r="G533" i="4"/>
  <c r="I533" i="4" l="1"/>
  <c r="G534" i="4"/>
  <c r="H534" i="4"/>
  <c r="D535" i="4"/>
  <c r="G535" i="4" l="1"/>
  <c r="H535" i="4"/>
  <c r="D536" i="4"/>
  <c r="I534" i="4"/>
  <c r="I535" i="4" l="1"/>
  <c r="G536" i="4"/>
  <c r="D537" i="4"/>
  <c r="H536" i="4"/>
  <c r="I536" i="4" l="1"/>
  <c r="D538" i="4"/>
  <c r="G537" i="4"/>
  <c r="H537" i="4"/>
  <c r="H538" i="4" l="1"/>
  <c r="G538" i="4"/>
  <c r="D539" i="4"/>
  <c r="I537" i="4"/>
  <c r="I538" i="4" l="1"/>
  <c r="H539" i="4"/>
  <c r="D540" i="4"/>
  <c r="G539" i="4"/>
  <c r="I539" i="4" l="1"/>
  <c r="D541" i="4"/>
  <c r="G540" i="4"/>
  <c r="H540" i="4"/>
  <c r="I540" i="4" l="1"/>
  <c r="G541" i="4"/>
  <c r="D542" i="4"/>
  <c r="H541" i="4"/>
  <c r="I541" i="4" l="1"/>
  <c r="H542" i="4"/>
  <c r="D543" i="4"/>
  <c r="G542" i="4"/>
  <c r="I542" i="4" l="1"/>
  <c r="G543" i="4"/>
  <c r="D544" i="4"/>
  <c r="H543" i="4"/>
  <c r="H544" i="4" l="1"/>
  <c r="G544" i="4"/>
  <c r="D545" i="4"/>
  <c r="I543" i="4"/>
  <c r="I544" i="4" l="1"/>
  <c r="H545" i="4"/>
  <c r="D546" i="4"/>
  <c r="G545" i="4"/>
  <c r="I545" i="4" l="1"/>
  <c r="D547" i="4"/>
  <c r="G546" i="4"/>
  <c r="H546" i="4"/>
  <c r="H547" i="4" l="1"/>
  <c r="G547" i="4"/>
  <c r="D548" i="4"/>
  <c r="I546" i="4"/>
  <c r="I547" i="4" l="1"/>
  <c r="H548" i="4"/>
  <c r="G548" i="4"/>
  <c r="D549" i="4"/>
  <c r="I548" i="4" l="1"/>
  <c r="H549" i="4"/>
  <c r="D550" i="4"/>
  <c r="G549" i="4"/>
  <c r="I549" i="4" l="1"/>
  <c r="D551" i="4"/>
  <c r="G550" i="4"/>
  <c r="H550" i="4"/>
  <c r="I550" i="4" l="1"/>
  <c r="H551" i="4"/>
  <c r="G551" i="4"/>
  <c r="D552" i="4"/>
  <c r="I551" i="4" l="1"/>
  <c r="D553" i="4"/>
  <c r="H552" i="4"/>
  <c r="G552" i="4"/>
  <c r="I552" i="4" l="1"/>
  <c r="G553" i="4"/>
  <c r="H553" i="4"/>
  <c r="D554" i="4"/>
  <c r="D555" i="4" l="1"/>
  <c r="H554" i="4"/>
  <c r="G554" i="4"/>
  <c r="I553" i="4"/>
  <c r="I554" i="4" l="1"/>
  <c r="D556" i="4"/>
  <c r="H555" i="4"/>
  <c r="G555" i="4"/>
  <c r="I555" i="4" l="1"/>
  <c r="D557" i="4"/>
  <c r="G556" i="4"/>
  <c r="H556" i="4"/>
  <c r="I556" i="4" l="1"/>
  <c r="G557" i="4"/>
  <c r="D558" i="4"/>
  <c r="H557" i="4"/>
  <c r="D559" i="4" l="1"/>
  <c r="G558" i="4"/>
  <c r="H558" i="4"/>
  <c r="I557" i="4"/>
  <c r="I558" i="4" l="1"/>
  <c r="G559" i="4"/>
  <c r="D560" i="4"/>
  <c r="H559" i="4"/>
  <c r="G560" i="4" l="1"/>
  <c r="H560" i="4"/>
  <c r="D561" i="4"/>
  <c r="I559" i="4"/>
  <c r="I560" i="4" l="1"/>
  <c r="D562" i="4"/>
  <c r="G561" i="4"/>
  <c r="H561" i="4"/>
  <c r="I561" i="4" l="1"/>
  <c r="H562" i="4"/>
  <c r="D563" i="4"/>
  <c r="G562" i="4"/>
  <c r="I562" i="4" l="1"/>
  <c r="G563" i="4"/>
  <c r="H563" i="4"/>
  <c r="D564" i="4"/>
  <c r="I563" i="4" l="1"/>
  <c r="H564" i="4"/>
  <c r="G564" i="4"/>
  <c r="D565" i="4"/>
  <c r="I564" i="4" l="1"/>
  <c r="G565" i="4"/>
  <c r="D566" i="4"/>
  <c r="H565" i="4"/>
  <c r="H566" i="4" l="1"/>
  <c r="G566" i="4"/>
  <c r="D567" i="4"/>
  <c r="I565" i="4"/>
  <c r="I566" i="4" l="1"/>
  <c r="D568" i="4"/>
  <c r="H567" i="4"/>
  <c r="G567" i="4"/>
  <c r="I567" i="4" l="1"/>
  <c r="D569" i="4"/>
  <c r="H568" i="4"/>
  <c r="G568" i="4"/>
  <c r="I568" i="4" l="1"/>
  <c r="H569" i="4"/>
  <c r="D570" i="4"/>
  <c r="G569" i="4"/>
  <c r="I569" i="4" l="1"/>
  <c r="D571" i="4"/>
  <c r="H570" i="4"/>
  <c r="G570" i="4"/>
  <c r="I570" i="4" l="1"/>
  <c r="D572" i="4"/>
  <c r="G571" i="4"/>
  <c r="H571" i="4"/>
  <c r="I571" i="4" l="1"/>
  <c r="D573" i="4"/>
  <c r="H572" i="4"/>
  <c r="G572" i="4"/>
  <c r="I572" i="4" l="1"/>
  <c r="D574" i="4"/>
  <c r="H573" i="4"/>
  <c r="G573" i="4"/>
  <c r="I573" i="4" l="1"/>
  <c r="G574" i="4"/>
  <c r="D575" i="4"/>
  <c r="H574" i="4"/>
  <c r="I574" i="4" l="1"/>
  <c r="D576" i="4"/>
  <c r="G575" i="4"/>
  <c r="H575" i="4"/>
  <c r="I575" i="4" l="1"/>
  <c r="D577" i="4"/>
  <c r="G576" i="4"/>
  <c r="H576" i="4"/>
  <c r="I576" i="4" l="1"/>
  <c r="D578" i="4"/>
  <c r="H577" i="4"/>
  <c r="G577" i="4"/>
  <c r="I577" i="4" l="1"/>
  <c r="H578" i="4"/>
  <c r="D579" i="4"/>
  <c r="G578" i="4"/>
  <c r="I578" i="4" l="1"/>
  <c r="G579" i="4"/>
  <c r="D580" i="4"/>
  <c r="H579" i="4"/>
  <c r="I579" i="4" l="1"/>
  <c r="D581" i="4"/>
  <c r="G580" i="4"/>
  <c r="H580" i="4"/>
  <c r="H581" i="4" l="1"/>
  <c r="D582" i="4"/>
  <c r="G581" i="4"/>
  <c r="I580" i="4"/>
  <c r="I581" i="4" l="1"/>
  <c r="G582" i="4"/>
  <c r="H582" i="4"/>
  <c r="D583" i="4"/>
  <c r="I582" i="4" l="1"/>
  <c r="H583" i="4"/>
  <c r="G583" i="4"/>
  <c r="D584" i="4"/>
  <c r="I583" i="4" l="1"/>
  <c r="H584" i="4"/>
  <c r="G584" i="4"/>
  <c r="D585" i="4"/>
  <c r="I584" i="4" l="1"/>
  <c r="D586" i="4"/>
  <c r="H585" i="4"/>
  <c r="G585" i="4"/>
  <c r="I585" i="4" l="1"/>
  <c r="H586" i="4"/>
  <c r="D587" i="4"/>
  <c r="G586" i="4"/>
  <c r="I586" i="4" l="1"/>
  <c r="D588" i="4"/>
  <c r="G587" i="4"/>
  <c r="H587" i="4"/>
  <c r="I587" i="4" l="1"/>
  <c r="G588" i="4"/>
  <c r="D589" i="4"/>
  <c r="H588" i="4"/>
  <c r="I588" i="4" l="1"/>
  <c r="G589" i="4"/>
  <c r="H589" i="4"/>
  <c r="D590" i="4"/>
  <c r="I589" i="4" l="1"/>
  <c r="H590" i="4"/>
  <c r="D591" i="4"/>
  <c r="G590" i="4"/>
  <c r="I590" i="4" l="1"/>
  <c r="D592" i="4"/>
  <c r="G591" i="4"/>
  <c r="H591" i="4"/>
  <c r="I591" i="4" l="1"/>
  <c r="D593" i="4"/>
  <c r="H592" i="4"/>
  <c r="G592" i="4"/>
  <c r="I592" i="4" l="1"/>
  <c r="G593" i="4"/>
  <c r="H593" i="4"/>
  <c r="D594" i="4"/>
  <c r="I593" i="4" l="1"/>
  <c r="H594" i="4"/>
  <c r="D595" i="4"/>
  <c r="G594" i="4"/>
  <c r="I594" i="4" l="1"/>
  <c r="H595" i="4"/>
  <c r="D596" i="4"/>
  <c r="G595" i="4"/>
  <c r="I595" i="4" l="1"/>
  <c r="G596" i="4"/>
  <c r="H596" i="4"/>
  <c r="D597" i="4"/>
  <c r="D598" i="4" s="1"/>
  <c r="D599" i="4" l="1"/>
  <c r="G598" i="4"/>
  <c r="H598" i="4"/>
  <c r="I596" i="4"/>
  <c r="H597" i="4"/>
  <c r="G597" i="4"/>
  <c r="I597" i="4" l="1"/>
  <c r="I598" i="4"/>
  <c r="H599" i="4"/>
  <c r="D600" i="4"/>
  <c r="G599" i="4"/>
  <c r="I599" i="4" l="1"/>
  <c r="D601" i="4"/>
  <c r="H600" i="4"/>
  <c r="G600" i="4"/>
  <c r="I600" i="4" l="1"/>
  <c r="H601" i="4"/>
  <c r="D602" i="4"/>
  <c r="G601" i="4"/>
  <c r="I601" i="4" l="1"/>
  <c r="D603" i="4"/>
  <c r="G602" i="4"/>
  <c r="H602" i="4"/>
  <c r="I602" i="4" l="1"/>
  <c r="D604" i="4"/>
  <c r="G603" i="4"/>
  <c r="H603" i="4"/>
  <c r="I603" i="4" l="1"/>
  <c r="D605" i="4"/>
  <c r="H604" i="4"/>
  <c r="G604" i="4"/>
  <c r="I604" i="4" l="1"/>
  <c r="G605" i="4"/>
  <c r="D606" i="4"/>
  <c r="H605" i="4"/>
  <c r="I605" i="4" l="1"/>
  <c r="G606" i="4"/>
  <c r="D607" i="4"/>
  <c r="H606" i="4"/>
  <c r="D608" i="4" l="1"/>
  <c r="G607" i="4"/>
  <c r="H607" i="4"/>
  <c r="I606" i="4"/>
  <c r="I607" i="4" l="1"/>
  <c r="H608" i="4"/>
  <c r="G608" i="4"/>
  <c r="D609" i="4"/>
  <c r="I608" i="4" l="1"/>
  <c r="H609" i="4"/>
  <c r="D610" i="4"/>
  <c r="G609" i="4"/>
  <c r="I609" i="4" l="1"/>
  <c r="D611" i="4"/>
  <c r="H610" i="4"/>
  <c r="G610" i="4"/>
  <c r="I610" i="4" l="1"/>
  <c r="H611" i="4"/>
  <c r="G611" i="4"/>
  <c r="D612" i="4"/>
  <c r="I611" i="4" l="1"/>
  <c r="D613" i="4"/>
  <c r="G612" i="4"/>
  <c r="H612" i="4"/>
  <c r="I612" i="4" l="1"/>
  <c r="H613" i="4"/>
  <c r="G613" i="4"/>
  <c r="D614" i="4"/>
  <c r="I613" i="4" l="1"/>
  <c r="H614" i="4"/>
  <c r="D615" i="4"/>
  <c r="G614" i="4"/>
  <c r="I614" i="4" l="1"/>
  <c r="H615" i="4"/>
  <c r="D616" i="4"/>
  <c r="G615" i="4"/>
  <c r="I615" i="4" l="1"/>
  <c r="D617" i="4"/>
  <c r="H616" i="4"/>
  <c r="G616" i="4"/>
  <c r="I616" i="4" l="1"/>
  <c r="H617" i="4"/>
  <c r="G617" i="4"/>
  <c r="D618" i="4"/>
  <c r="I617" i="4" l="1"/>
  <c r="H618" i="4"/>
  <c r="G618" i="4"/>
  <c r="D619" i="4"/>
  <c r="I618" i="4" l="1"/>
  <c r="D620" i="4"/>
  <c r="H619" i="4"/>
  <c r="G619" i="4"/>
  <c r="I619" i="4" l="1"/>
  <c r="H620" i="4"/>
  <c r="G620" i="4"/>
  <c r="D621" i="4"/>
  <c r="I620" i="4" l="1"/>
  <c r="G621" i="4"/>
  <c r="H621" i="4"/>
  <c r="D622" i="4"/>
  <c r="G622" i="4" l="1"/>
  <c r="D623" i="4"/>
  <c r="H622" i="4"/>
  <c r="I621" i="4"/>
  <c r="H623" i="4" l="1"/>
  <c r="D624" i="4"/>
  <c r="G623" i="4"/>
  <c r="I622" i="4"/>
  <c r="I623" i="4" l="1"/>
  <c r="G624" i="4"/>
  <c r="H624" i="4"/>
  <c r="D625" i="4"/>
  <c r="H625" i="4" l="1"/>
  <c r="D626" i="4"/>
  <c r="G625" i="4"/>
  <c r="I624" i="4"/>
  <c r="I625" i="4" l="1"/>
  <c r="G626" i="4"/>
  <c r="H626" i="4"/>
  <c r="D627" i="4"/>
  <c r="D628" i="4" l="1"/>
  <c r="H627" i="4"/>
  <c r="G627" i="4"/>
  <c r="I626" i="4"/>
  <c r="I627" i="4" l="1"/>
  <c r="H628" i="4"/>
  <c r="D629" i="4"/>
  <c r="G628" i="4"/>
  <c r="I628" i="4" l="1"/>
  <c r="G629" i="4"/>
  <c r="D630" i="4"/>
  <c r="H629" i="4"/>
  <c r="D631" i="4" l="1"/>
  <c r="G630" i="4"/>
  <c r="H630" i="4"/>
  <c r="I629" i="4"/>
  <c r="I630" i="4" l="1"/>
  <c r="D632" i="4"/>
  <c r="G631" i="4"/>
  <c r="H631" i="4"/>
  <c r="I631" i="4" l="1"/>
  <c r="G632" i="4"/>
  <c r="D633" i="4"/>
  <c r="H632" i="4"/>
  <c r="H633" i="4" l="1"/>
  <c r="D634" i="4"/>
  <c r="G633" i="4"/>
  <c r="I632" i="4"/>
  <c r="I633" i="4" l="1"/>
  <c r="D635" i="4"/>
  <c r="G634" i="4"/>
  <c r="H634" i="4"/>
  <c r="I634" i="4" l="1"/>
  <c r="H635" i="4"/>
  <c r="G635" i="4"/>
  <c r="D636" i="4"/>
  <c r="I635" i="4" l="1"/>
  <c r="H636" i="4"/>
  <c r="G636" i="4"/>
  <c r="D637" i="4"/>
  <c r="I636" i="4" l="1"/>
  <c r="H637" i="4"/>
  <c r="D638" i="4"/>
  <c r="G637" i="4"/>
  <c r="I637" i="4" l="1"/>
  <c r="H638" i="4"/>
  <c r="D639" i="4"/>
  <c r="G638" i="4"/>
  <c r="I638" i="4" l="1"/>
  <c r="D640" i="4"/>
  <c r="H639" i="4"/>
  <c r="G639" i="4"/>
  <c r="I639" i="4" l="1"/>
  <c r="H640" i="4"/>
  <c r="G640" i="4"/>
  <c r="D641" i="4"/>
  <c r="D642" i="4" s="1"/>
  <c r="I640" i="4" l="1"/>
  <c r="D643" i="4"/>
  <c r="G642" i="4"/>
  <c r="H642" i="4"/>
  <c r="H641" i="4"/>
  <c r="G641" i="4"/>
  <c r="I641" i="4" l="1"/>
  <c r="I642" i="4"/>
  <c r="G643" i="4"/>
  <c r="D644" i="4"/>
  <c r="H643" i="4"/>
  <c r="I643" i="4" l="1"/>
  <c r="D645" i="4"/>
  <c r="H644" i="4"/>
  <c r="G644" i="4"/>
  <c r="I644" i="4" l="1"/>
  <c r="D646" i="4"/>
  <c r="H645" i="4"/>
  <c r="G645" i="4"/>
  <c r="I645" i="4" l="1"/>
  <c r="D647" i="4"/>
  <c r="G646" i="4"/>
  <c r="H646" i="4"/>
  <c r="I646" i="4" l="1"/>
  <c r="H647" i="4"/>
  <c r="D648" i="4"/>
  <c r="G647" i="4"/>
  <c r="I647" i="4" l="1"/>
  <c r="H648" i="4"/>
  <c r="D649" i="4"/>
  <c r="G648" i="4"/>
  <c r="I648" i="4" l="1"/>
  <c r="H649" i="4"/>
  <c r="D650" i="4"/>
  <c r="G649" i="4"/>
  <c r="I649" i="4" l="1"/>
  <c r="D651" i="4"/>
  <c r="G650" i="4"/>
  <c r="H650" i="4"/>
  <c r="I650" i="4" l="1"/>
  <c r="H651" i="4"/>
  <c r="D652" i="4"/>
  <c r="G651" i="4"/>
  <c r="I651" i="4" l="1"/>
  <c r="D653" i="4"/>
  <c r="H652" i="4"/>
  <c r="G652" i="4"/>
  <c r="I652" i="4" l="1"/>
  <c r="H653" i="4"/>
  <c r="D654" i="4"/>
  <c r="G653" i="4"/>
  <c r="I653" i="4" l="1"/>
  <c r="G654" i="4"/>
  <c r="D655" i="4"/>
  <c r="H654" i="4"/>
  <c r="D656" i="4" l="1"/>
  <c r="H655" i="4"/>
  <c r="G655" i="4"/>
  <c r="I654" i="4"/>
  <c r="I655" i="4" l="1"/>
  <c r="D657" i="4"/>
  <c r="G656" i="4"/>
  <c r="H656" i="4"/>
  <c r="I656" i="4" l="1"/>
  <c r="D658" i="4"/>
  <c r="H657" i="4"/>
  <c r="G657" i="4"/>
  <c r="I657" i="4" l="1"/>
  <c r="H658" i="4"/>
  <c r="G658" i="4"/>
  <c r="D659" i="4"/>
  <c r="I658" i="4" l="1"/>
  <c r="H659" i="4"/>
  <c r="D660" i="4"/>
  <c r="G659" i="4"/>
  <c r="I659" i="4" l="1"/>
  <c r="G660" i="4"/>
  <c r="D661" i="4"/>
  <c r="H660" i="4"/>
  <c r="H661" i="4" l="1"/>
  <c r="G661" i="4"/>
  <c r="D662" i="4"/>
  <c r="I660" i="4"/>
  <c r="I661" i="4" l="1"/>
  <c r="H662" i="4"/>
  <c r="G662" i="4"/>
  <c r="D663" i="4"/>
  <c r="I662" i="4" l="1"/>
  <c r="D664" i="4"/>
  <c r="G663" i="4"/>
  <c r="H663" i="4"/>
  <c r="I663" i="4" l="1"/>
  <c r="G664" i="4"/>
  <c r="H664" i="4"/>
  <c r="D665" i="4"/>
  <c r="I664" i="4" l="1"/>
  <c r="G665" i="4"/>
  <c r="D666" i="4"/>
  <c r="H665" i="4"/>
  <c r="D667" i="4" l="1"/>
  <c r="G666" i="4"/>
  <c r="H666" i="4"/>
  <c r="I665" i="4"/>
  <c r="I666" i="4" l="1"/>
  <c r="D668" i="4"/>
  <c r="G667" i="4"/>
  <c r="H667" i="4"/>
  <c r="I667" i="4" l="1"/>
  <c r="G668" i="4"/>
  <c r="H668" i="4"/>
  <c r="D669" i="4"/>
  <c r="G669" i="4" l="1"/>
  <c r="H669" i="4"/>
  <c r="D670" i="4"/>
  <c r="I668" i="4"/>
  <c r="I669" i="4" l="1"/>
  <c r="D671" i="4"/>
  <c r="G670" i="4"/>
  <c r="H670" i="4"/>
  <c r="I670" i="4" l="1"/>
  <c r="D672" i="4"/>
  <c r="H671" i="4"/>
  <c r="G671" i="4"/>
  <c r="I671" i="4" l="1"/>
  <c r="H672" i="4"/>
  <c r="G672" i="4"/>
  <c r="D673" i="4"/>
  <c r="I672" i="4" l="1"/>
  <c r="G673" i="4"/>
  <c r="D674" i="4"/>
  <c r="H673" i="4"/>
  <c r="D675" i="4" l="1"/>
  <c r="H674" i="4"/>
  <c r="G674" i="4"/>
  <c r="I673" i="4"/>
  <c r="I674" i="4" l="1"/>
  <c r="H675" i="4"/>
  <c r="G675" i="4"/>
  <c r="D676" i="4"/>
  <c r="I675" i="4" l="1"/>
  <c r="D677" i="4"/>
  <c r="G676" i="4"/>
  <c r="H676" i="4"/>
  <c r="I676" i="4" l="1"/>
  <c r="G677" i="4"/>
  <c r="H677" i="4"/>
  <c r="D678" i="4"/>
  <c r="D679" i="4" l="1"/>
  <c r="G678" i="4"/>
  <c r="H678" i="4"/>
  <c r="I677" i="4"/>
  <c r="I678" i="4" l="1"/>
  <c r="H679" i="4"/>
  <c r="D680" i="4"/>
  <c r="G679" i="4"/>
  <c r="D681" i="4" l="1"/>
  <c r="H680" i="4"/>
  <c r="G680" i="4"/>
  <c r="I679" i="4"/>
  <c r="I680" i="4" l="1"/>
  <c r="G681" i="4"/>
  <c r="H681" i="4"/>
  <c r="D682" i="4"/>
  <c r="I681" i="4" l="1"/>
  <c r="G682" i="4"/>
  <c r="D683" i="4"/>
  <c r="H682" i="4"/>
  <c r="D684" i="4" l="1"/>
  <c r="G683" i="4"/>
  <c r="H683" i="4"/>
  <c r="I682" i="4"/>
  <c r="I683" i="4" l="1"/>
  <c r="D685" i="4"/>
  <c r="H684" i="4"/>
  <c r="G684" i="4"/>
  <c r="I684" i="4" l="1"/>
  <c r="H685" i="4"/>
  <c r="G685" i="4"/>
  <c r="D686" i="4"/>
  <c r="I685" i="4" l="1"/>
  <c r="G686" i="4"/>
  <c r="H686" i="4"/>
  <c r="D687" i="4"/>
  <c r="I686" i="4" l="1"/>
  <c r="H687" i="4"/>
  <c r="D688" i="4"/>
  <c r="G687" i="4"/>
  <c r="I687" i="4" l="1"/>
  <c r="H688" i="4"/>
  <c r="G688" i="4"/>
  <c r="D689" i="4"/>
  <c r="I688" i="4" l="1"/>
  <c r="D690" i="4"/>
  <c r="H689" i="4"/>
  <c r="G689" i="4"/>
  <c r="I689" i="4" l="1"/>
  <c r="G690" i="4"/>
  <c r="H690" i="4"/>
  <c r="D691" i="4"/>
  <c r="D692" i="4" l="1"/>
  <c r="G691" i="4"/>
  <c r="H691" i="4"/>
  <c r="I690" i="4"/>
  <c r="I691" i="4" l="1"/>
  <c r="G692" i="4"/>
  <c r="D693" i="4"/>
  <c r="H692" i="4"/>
  <c r="I692" i="4" l="1"/>
  <c r="H693" i="4"/>
  <c r="G693" i="4"/>
  <c r="D694" i="4"/>
  <c r="I693" i="4" l="1"/>
  <c r="H694" i="4"/>
  <c r="G694" i="4"/>
  <c r="D695" i="4"/>
  <c r="I694" i="4" l="1"/>
  <c r="H695" i="4"/>
  <c r="D696" i="4"/>
  <c r="G695" i="4"/>
  <c r="I695" i="4" l="1"/>
  <c r="G696" i="4"/>
  <c r="D697" i="4"/>
  <c r="H696" i="4"/>
  <c r="H697" i="4" l="1"/>
  <c r="G697" i="4"/>
  <c r="D698" i="4"/>
  <c r="I696" i="4"/>
  <c r="I697" i="4" l="1"/>
  <c r="H698" i="4"/>
  <c r="G698" i="4"/>
  <c r="D699" i="4"/>
  <c r="I698" i="4" l="1"/>
  <c r="G699" i="4"/>
  <c r="D700" i="4"/>
  <c r="H699" i="4"/>
  <c r="D701" i="4" l="1"/>
  <c r="H700" i="4"/>
  <c r="G700" i="4"/>
  <c r="I699" i="4"/>
  <c r="I700" i="4" l="1"/>
  <c r="H701" i="4"/>
  <c r="D702" i="4"/>
  <c r="G701" i="4"/>
  <c r="I701" i="4" l="1"/>
  <c r="D703" i="4"/>
  <c r="G702" i="4"/>
  <c r="H702" i="4"/>
  <c r="I702" i="4" l="1"/>
  <c r="D704" i="4"/>
  <c r="H703" i="4"/>
  <c r="G703" i="4"/>
  <c r="I703" i="4" l="1"/>
  <c r="G704" i="4"/>
  <c r="D705" i="4"/>
  <c r="H704" i="4"/>
  <c r="D706" i="4" l="1"/>
  <c r="G705" i="4"/>
  <c r="H705" i="4"/>
  <c r="I704" i="4"/>
  <c r="I705" i="4" l="1"/>
  <c r="G706" i="4"/>
  <c r="H706" i="4"/>
  <c r="D707" i="4"/>
  <c r="H707" i="4" l="1"/>
  <c r="G707" i="4"/>
  <c r="D708" i="4"/>
  <c r="I706" i="4"/>
  <c r="I707" i="4" l="1"/>
  <c r="G708" i="4"/>
  <c r="H708" i="4"/>
  <c r="D709" i="4"/>
  <c r="D710" i="4" l="1"/>
  <c r="H709" i="4"/>
  <c r="G709" i="4"/>
  <c r="I708" i="4"/>
  <c r="I709" i="4" l="1"/>
  <c r="H710" i="4"/>
  <c r="G710" i="4"/>
  <c r="D711" i="4"/>
  <c r="I710" i="4" l="1"/>
  <c r="D712" i="4"/>
  <c r="H711" i="4"/>
  <c r="G711" i="4"/>
  <c r="I711" i="4" l="1"/>
  <c r="H712" i="4"/>
  <c r="D713" i="4"/>
  <c r="G712" i="4"/>
  <c r="I712" i="4" l="1"/>
  <c r="G713" i="4"/>
  <c r="H713" i="4"/>
  <c r="D714" i="4"/>
  <c r="I713" i="4" l="1"/>
  <c r="G714" i="4"/>
  <c r="H714" i="4"/>
  <c r="D715" i="4"/>
  <c r="I714" i="4" l="1"/>
  <c r="D716" i="4"/>
  <c r="H715" i="4"/>
  <c r="G715" i="4"/>
  <c r="I715" i="4" l="1"/>
  <c r="G716" i="4"/>
  <c r="H716" i="4"/>
  <c r="D717" i="4"/>
  <c r="I716" i="4" l="1"/>
  <c r="D718" i="4"/>
  <c r="H717" i="4"/>
  <c r="G717" i="4"/>
  <c r="I717" i="4" l="1"/>
  <c r="H718" i="4"/>
  <c r="G718" i="4"/>
  <c r="D719" i="4"/>
  <c r="I718" i="4" l="1"/>
  <c r="H719" i="4"/>
  <c r="D720" i="4"/>
  <c r="G719" i="4"/>
  <c r="I719" i="4" l="1"/>
  <c r="D721" i="4"/>
  <c r="H720" i="4"/>
  <c r="G720" i="4"/>
  <c r="I720" i="4" l="1"/>
  <c r="H721" i="4"/>
  <c r="G721" i="4"/>
  <c r="D722" i="4"/>
  <c r="I721" i="4" l="1"/>
  <c r="G722" i="4"/>
  <c r="H722" i="4"/>
  <c r="D723" i="4"/>
  <c r="I722" i="4" l="1"/>
  <c r="D724" i="4"/>
  <c r="G723" i="4"/>
  <c r="H723" i="4"/>
  <c r="I723" i="4" l="1"/>
  <c r="D725" i="4"/>
  <c r="G724" i="4"/>
  <c r="H724" i="4"/>
  <c r="I724" i="4" l="1"/>
  <c r="H725" i="4"/>
  <c r="G725" i="4"/>
  <c r="D726" i="4"/>
  <c r="I725" i="4" l="1"/>
  <c r="H726" i="4"/>
  <c r="G726" i="4"/>
  <c r="D727" i="4"/>
  <c r="I726" i="4" l="1"/>
  <c r="D728" i="4"/>
  <c r="H727" i="4"/>
  <c r="G727" i="4"/>
  <c r="I727" i="4" l="1"/>
  <c r="G728" i="4"/>
  <c r="H728" i="4"/>
  <c r="D729" i="4"/>
  <c r="I728" i="4" l="1"/>
  <c r="H729" i="4"/>
  <c r="G729" i="4"/>
  <c r="D730" i="4"/>
  <c r="I729" i="4" l="1"/>
  <c r="H730" i="4"/>
  <c r="D731" i="4"/>
  <c r="G730" i="4"/>
  <c r="I730" i="4" l="1"/>
  <c r="D732" i="4"/>
  <c r="H731" i="4"/>
  <c r="G731" i="4"/>
  <c r="I731" i="4" l="1"/>
  <c r="H732" i="4"/>
  <c r="D733" i="4"/>
  <c r="G732" i="4"/>
  <c r="I732" i="4" l="1"/>
  <c r="H733" i="4"/>
  <c r="G733" i="4"/>
  <c r="D734" i="4"/>
  <c r="D735" i="4" s="1"/>
  <c r="I733" i="4" l="1"/>
  <c r="D736" i="4"/>
  <c r="G735" i="4"/>
  <c r="H735" i="4"/>
  <c r="H734" i="4"/>
  <c r="G734" i="4"/>
  <c r="I734" i="4" l="1"/>
  <c r="I735" i="4"/>
  <c r="G736" i="4"/>
  <c r="D737" i="4"/>
  <c r="H736" i="4"/>
  <c r="I736" i="4" l="1"/>
  <c r="G737" i="4"/>
  <c r="H737" i="4"/>
  <c r="D738" i="4"/>
  <c r="H738" i="4" l="1"/>
  <c r="G738" i="4"/>
  <c r="D739" i="4"/>
  <c r="I737" i="4"/>
  <c r="I738" i="4" l="1"/>
  <c r="H739" i="4"/>
  <c r="D740" i="4"/>
  <c r="G739" i="4"/>
  <c r="I739" i="4" l="1"/>
  <c r="G740" i="4"/>
  <c r="D741" i="4"/>
  <c r="H740" i="4"/>
  <c r="H741" i="4" l="1"/>
  <c r="D742" i="4"/>
  <c r="G741" i="4"/>
  <c r="I740" i="4"/>
  <c r="I741" i="4" l="1"/>
  <c r="G742" i="4"/>
  <c r="D743" i="4"/>
  <c r="H742" i="4"/>
  <c r="I742" i="4" l="1"/>
  <c r="H743" i="4"/>
  <c r="G743" i="4"/>
  <c r="D744" i="4"/>
  <c r="I743" i="4" l="1"/>
  <c r="D745" i="4"/>
  <c r="H744" i="4"/>
  <c r="G744" i="4"/>
  <c r="I744" i="4" l="1"/>
  <c r="H745" i="4"/>
  <c r="G745" i="4"/>
  <c r="D746" i="4"/>
  <c r="I745" i="4" l="1"/>
  <c r="D747" i="4"/>
  <c r="G746" i="4"/>
  <c r="H746" i="4"/>
  <c r="I746" i="4" l="1"/>
  <c r="G747" i="4"/>
  <c r="H747" i="4"/>
  <c r="D748" i="4"/>
  <c r="D749" i="4" l="1"/>
  <c r="H748" i="4"/>
  <c r="G748" i="4"/>
  <c r="I747" i="4"/>
  <c r="I748" i="4" l="1"/>
  <c r="H749" i="4"/>
  <c r="G749" i="4"/>
  <c r="D750" i="4"/>
  <c r="I749" i="4" l="1"/>
  <c r="G750" i="4"/>
  <c r="D751" i="4"/>
  <c r="H750" i="4"/>
  <c r="D752" i="4" l="1"/>
  <c r="G751" i="4"/>
  <c r="H751" i="4"/>
  <c r="I750" i="4"/>
  <c r="I751" i="4" l="1"/>
  <c r="D753" i="4"/>
  <c r="H752" i="4"/>
  <c r="G752" i="4"/>
  <c r="I752" i="4" l="1"/>
  <c r="G753" i="4"/>
  <c r="D754" i="4"/>
  <c r="H753" i="4"/>
  <c r="I753" i="4" l="1"/>
  <c r="D755" i="4"/>
  <c r="H754" i="4"/>
  <c r="G754" i="4"/>
  <c r="I754" i="4" l="1"/>
  <c r="G755" i="4"/>
  <c r="H755" i="4"/>
  <c r="D756" i="4"/>
  <c r="D757" i="4" l="1"/>
  <c r="G756" i="4"/>
  <c r="H756" i="4"/>
  <c r="I755" i="4"/>
  <c r="I756" i="4" l="1"/>
  <c r="H757" i="4"/>
  <c r="G757" i="4"/>
  <c r="D758" i="4"/>
  <c r="I757" i="4" l="1"/>
  <c r="G758" i="4"/>
  <c r="D759" i="4"/>
  <c r="H758" i="4"/>
  <c r="D760" i="4" l="1"/>
  <c r="H759" i="4"/>
  <c r="G759" i="4"/>
  <c r="I758" i="4"/>
  <c r="I759" i="4" l="1"/>
  <c r="D761" i="4"/>
  <c r="D762" i="4" s="1"/>
  <c r="H760" i="4"/>
  <c r="G760" i="4"/>
  <c r="I760" i="4" l="1"/>
  <c r="G762" i="4"/>
  <c r="H762" i="4"/>
  <c r="D763" i="4"/>
  <c r="G761" i="4"/>
  <c r="H761" i="4"/>
  <c r="I762" i="4" l="1"/>
  <c r="D764" i="4"/>
  <c r="H763" i="4"/>
  <c r="G763" i="4"/>
  <c r="I761" i="4"/>
  <c r="I763" i="4" l="1"/>
  <c r="G764" i="4"/>
  <c r="H764" i="4"/>
  <c r="D765" i="4"/>
  <c r="I764" i="4" l="1"/>
  <c r="G765" i="4"/>
  <c r="D766" i="4"/>
  <c r="H765" i="4"/>
  <c r="D767" i="4" l="1"/>
  <c r="G766" i="4"/>
  <c r="H766" i="4"/>
  <c r="I765" i="4"/>
  <c r="I766" i="4" l="1"/>
  <c r="H767" i="4"/>
  <c r="D768" i="4"/>
  <c r="G767" i="4"/>
  <c r="I767" i="4" l="1"/>
  <c r="H768" i="4"/>
  <c r="D769" i="4"/>
  <c r="G768" i="4"/>
  <c r="I768" i="4" l="1"/>
  <c r="H769" i="4"/>
  <c r="D770" i="4"/>
  <c r="G769" i="4"/>
  <c r="I769" i="4" l="1"/>
  <c r="H770" i="4"/>
  <c r="G770" i="4"/>
  <c r="D771" i="4"/>
  <c r="I770" i="4" l="1"/>
  <c r="G771" i="4"/>
  <c r="H771" i="4"/>
  <c r="D772" i="4"/>
  <c r="I771" i="4" l="1"/>
  <c r="G772" i="4"/>
  <c r="H772" i="4"/>
  <c r="D773" i="4"/>
  <c r="I772" i="4" l="1"/>
  <c r="G773" i="4"/>
  <c r="H773" i="4"/>
  <c r="D774" i="4"/>
  <c r="I773" i="4" l="1"/>
  <c r="D775" i="4"/>
  <c r="G774" i="4"/>
  <c r="H774" i="4"/>
  <c r="I774" i="4" l="1"/>
  <c r="G775" i="4"/>
  <c r="D776" i="4"/>
  <c r="H775" i="4"/>
  <c r="I775" i="4" l="1"/>
  <c r="G776" i="4"/>
  <c r="D777" i="4"/>
  <c r="H776" i="4"/>
  <c r="H777" i="4" l="1"/>
  <c r="D778" i="4"/>
  <c r="G777" i="4"/>
  <c r="I776" i="4"/>
  <c r="I777" i="4" l="1"/>
  <c r="D779" i="4"/>
  <c r="H778" i="4"/>
  <c r="G778" i="4"/>
  <c r="I778" i="4" l="1"/>
  <c r="G779" i="4"/>
  <c r="D780" i="4"/>
  <c r="H779" i="4"/>
  <c r="H780" i="4" l="1"/>
  <c r="G780" i="4"/>
  <c r="D781" i="4"/>
  <c r="I779" i="4"/>
  <c r="I780" i="4" l="1"/>
  <c r="D782" i="4"/>
  <c r="G781" i="4"/>
  <c r="H781" i="4"/>
  <c r="I781" i="4" l="1"/>
  <c r="G782" i="4"/>
  <c r="H782" i="4"/>
  <c r="D783" i="4"/>
  <c r="I782" i="4" l="1"/>
  <c r="H783" i="4"/>
  <c r="G783" i="4"/>
  <c r="D784" i="4"/>
  <c r="I783" i="4" l="1"/>
  <c r="D785" i="4"/>
  <c r="H784" i="4"/>
  <c r="G784" i="4"/>
  <c r="I784" i="4" l="1"/>
  <c r="G785" i="4"/>
  <c r="D786" i="4"/>
  <c r="H785" i="4"/>
  <c r="D787" i="4" l="1"/>
  <c r="G786" i="4"/>
  <c r="H786" i="4"/>
  <c r="I785" i="4"/>
  <c r="I786" i="4" l="1"/>
  <c r="H787" i="4"/>
  <c r="G787" i="4"/>
  <c r="D788" i="4"/>
  <c r="I787" i="4" l="1"/>
  <c r="G788" i="4"/>
  <c r="D789" i="4"/>
  <c r="H788" i="4"/>
  <c r="G789" i="4" l="1"/>
  <c r="H789" i="4"/>
  <c r="D790" i="4"/>
  <c r="I788" i="4"/>
  <c r="I789" i="4" l="1"/>
  <c r="H790" i="4"/>
  <c r="G790" i="4"/>
  <c r="D791" i="4"/>
  <c r="I790" i="4" l="1"/>
  <c r="G791" i="4"/>
  <c r="D792" i="4"/>
  <c r="H791" i="4"/>
  <c r="H792" i="4" l="1"/>
  <c r="D793" i="4"/>
  <c r="G792" i="4"/>
  <c r="I791" i="4"/>
  <c r="I792" i="4" l="1"/>
  <c r="D794" i="4"/>
  <c r="G793" i="4"/>
  <c r="H793" i="4"/>
  <c r="I793" i="4" l="1"/>
  <c r="H794" i="4"/>
  <c r="G794" i="4"/>
  <c r="D795" i="4"/>
  <c r="I794" i="4" l="1"/>
  <c r="D796" i="4"/>
  <c r="H795" i="4"/>
  <c r="G795" i="4"/>
  <c r="I795" i="4" l="1"/>
  <c r="H796" i="4"/>
  <c r="G796" i="4"/>
  <c r="D797" i="4"/>
  <c r="I796" i="4" l="1"/>
  <c r="D798" i="4"/>
  <c r="G797" i="4"/>
  <c r="H797" i="4"/>
  <c r="I797" i="4" l="1"/>
  <c r="D799" i="4"/>
  <c r="G798" i="4"/>
  <c r="H798" i="4"/>
  <c r="I798" i="4" l="1"/>
  <c r="D800" i="4"/>
  <c r="G799" i="4"/>
  <c r="H799" i="4"/>
  <c r="I799" i="4" l="1"/>
  <c r="G800" i="4"/>
  <c r="D801" i="4"/>
  <c r="H800" i="4"/>
  <c r="I800" i="4" l="1"/>
  <c r="D802" i="4"/>
  <c r="G801" i="4"/>
  <c r="H801" i="4"/>
  <c r="I801" i="4" l="1"/>
  <c r="G802" i="4"/>
  <c r="H802" i="4"/>
  <c r="D803" i="4"/>
  <c r="H803" i="4" l="1"/>
  <c r="G803" i="4"/>
  <c r="D804" i="4"/>
  <c r="I802" i="4"/>
  <c r="I803" i="4" l="1"/>
  <c r="G804" i="4"/>
  <c r="H804" i="4"/>
  <c r="D805" i="4"/>
  <c r="I804" i="4" l="1"/>
  <c r="H805" i="4"/>
  <c r="G805" i="4"/>
  <c r="D806" i="4"/>
  <c r="I805" i="4" l="1"/>
  <c r="D807" i="4"/>
  <c r="H806" i="4"/>
  <c r="G806" i="4"/>
  <c r="I806" i="4" l="1"/>
  <c r="H807" i="4"/>
  <c r="D808" i="4"/>
  <c r="G807" i="4"/>
  <c r="I807" i="4" l="1"/>
  <c r="D809" i="4"/>
  <c r="G808" i="4"/>
  <c r="H808" i="4"/>
  <c r="I808" i="4" l="1"/>
  <c r="G809" i="4"/>
  <c r="D810" i="4"/>
  <c r="H809" i="4"/>
  <c r="I809" i="4" l="1"/>
  <c r="H810" i="4"/>
  <c r="D811" i="4"/>
  <c r="G810" i="4"/>
  <c r="I810" i="4" l="1"/>
  <c r="D812" i="4"/>
  <c r="H811" i="4"/>
  <c r="G811" i="4"/>
  <c r="I811" i="4" l="1"/>
  <c r="D813" i="4"/>
  <c r="G812" i="4"/>
  <c r="H812" i="4"/>
  <c r="I812" i="4" l="1"/>
  <c r="G813" i="4"/>
  <c r="H813" i="4"/>
  <c r="D814" i="4"/>
  <c r="H814" i="4" l="1"/>
  <c r="G814" i="4"/>
  <c r="D815" i="4"/>
  <c r="I813" i="4"/>
  <c r="I814" i="4" l="1"/>
  <c r="G815" i="4"/>
  <c r="D816" i="4"/>
  <c r="H815" i="4"/>
  <c r="G816" i="4" l="1"/>
  <c r="D817" i="4"/>
  <c r="H816" i="4"/>
  <c r="I815" i="4"/>
  <c r="G817" i="4" l="1"/>
  <c r="D818" i="4"/>
  <c r="H817" i="4"/>
  <c r="I816" i="4"/>
  <c r="G818" i="4" l="1"/>
  <c r="H818" i="4"/>
  <c r="D819" i="4"/>
  <c r="I817" i="4"/>
  <c r="I818" i="4" l="1"/>
  <c r="G819" i="4"/>
  <c r="D820" i="4"/>
  <c r="H819" i="4"/>
  <c r="G820" i="4" l="1"/>
  <c r="H820" i="4"/>
  <c r="D821" i="4"/>
  <c r="I819" i="4"/>
  <c r="H821" i="4" l="1"/>
  <c r="G821" i="4"/>
  <c r="D822" i="4"/>
  <c r="I820" i="4"/>
  <c r="I821" i="4" l="1"/>
  <c r="H822" i="4"/>
  <c r="D823" i="4"/>
  <c r="G822" i="4"/>
  <c r="I822" i="4" l="1"/>
  <c r="H823" i="4"/>
  <c r="G823" i="4"/>
  <c r="D824" i="4"/>
  <c r="I823" i="4" l="1"/>
  <c r="D825" i="4"/>
  <c r="G824" i="4"/>
  <c r="H824" i="4"/>
  <c r="I824" i="4" l="1"/>
  <c r="G825" i="4"/>
  <c r="D826" i="4"/>
  <c r="H825" i="4"/>
  <c r="I825" i="4" l="1"/>
  <c r="H826" i="4"/>
  <c r="G826" i="4"/>
  <c r="D827" i="4"/>
  <c r="I826" i="4" l="1"/>
  <c r="H827" i="4"/>
  <c r="D828" i="4"/>
  <c r="G827" i="4"/>
  <c r="I827" i="4" l="1"/>
  <c r="D829" i="4"/>
  <c r="H828" i="4"/>
  <c r="G828" i="4"/>
  <c r="I828" i="4" l="1"/>
  <c r="D830" i="4"/>
  <c r="G829" i="4"/>
  <c r="H829" i="4"/>
  <c r="I829" i="4" l="1"/>
  <c r="H830" i="4"/>
  <c r="G830" i="4"/>
  <c r="D831" i="4"/>
  <c r="I830" i="4" l="1"/>
  <c r="H831" i="4"/>
  <c r="D832" i="4"/>
  <c r="G831" i="4"/>
  <c r="I831" i="4" l="1"/>
  <c r="D833" i="4"/>
  <c r="G832" i="4"/>
  <c r="H832" i="4"/>
  <c r="I832" i="4" l="1"/>
  <c r="D834" i="4"/>
  <c r="G833" i="4"/>
  <c r="H833" i="4"/>
  <c r="I833" i="4" l="1"/>
  <c r="D835" i="4"/>
  <c r="H834" i="4"/>
  <c r="G834" i="4"/>
  <c r="I834" i="4" l="1"/>
  <c r="G835" i="4"/>
  <c r="D836" i="4"/>
  <c r="H835" i="4"/>
  <c r="D837" i="4" l="1"/>
  <c r="G836" i="4"/>
  <c r="H836" i="4"/>
  <c r="I835" i="4"/>
  <c r="I836" i="4" l="1"/>
  <c r="D838" i="4"/>
  <c r="H837" i="4"/>
  <c r="G837" i="4"/>
  <c r="H838" i="4" l="1"/>
  <c r="G838" i="4"/>
  <c r="D839" i="4"/>
  <c r="I837" i="4"/>
  <c r="I838" i="4" l="1"/>
  <c r="D840" i="4"/>
  <c r="H839" i="4"/>
  <c r="G839" i="4"/>
  <c r="I839" i="4" l="1"/>
  <c r="H840" i="4"/>
  <c r="D841" i="4"/>
  <c r="G840" i="4"/>
  <c r="I840" i="4" l="1"/>
  <c r="H841" i="4"/>
  <c r="G841" i="4"/>
  <c r="D842" i="4"/>
  <c r="I841" i="4" l="1"/>
  <c r="D843" i="4"/>
  <c r="H842" i="4"/>
  <c r="G842" i="4"/>
  <c r="I842" i="4" l="1"/>
  <c r="D844" i="4"/>
  <c r="G843" i="4"/>
  <c r="H843" i="4"/>
  <c r="I843" i="4" l="1"/>
  <c r="G844" i="4"/>
  <c r="D845" i="4"/>
  <c r="H844" i="4"/>
  <c r="I844" i="4" l="1"/>
  <c r="H845" i="4"/>
  <c r="G845" i="4"/>
  <c r="D846" i="4"/>
  <c r="I845" i="4" l="1"/>
  <c r="D847" i="4"/>
  <c r="H846" i="4"/>
  <c r="G846" i="4"/>
  <c r="I846" i="4" l="1"/>
  <c r="H847" i="4"/>
  <c r="G847" i="4"/>
  <c r="D848" i="4"/>
  <c r="I847" i="4" l="1"/>
  <c r="G848" i="4"/>
  <c r="H848" i="4"/>
  <c r="D849" i="4"/>
  <c r="I848" i="4" l="1"/>
  <c r="G849" i="4"/>
  <c r="H849" i="4"/>
  <c r="D850" i="4"/>
  <c r="I849" i="4" l="1"/>
  <c r="D851" i="4"/>
  <c r="G850" i="4"/>
  <c r="H850" i="4"/>
  <c r="I850" i="4" l="1"/>
  <c r="H851" i="4"/>
  <c r="D852" i="4"/>
  <c r="G851" i="4"/>
  <c r="I851" i="4" l="1"/>
  <c r="G852" i="4"/>
  <c r="H852" i="4"/>
  <c r="D853" i="4"/>
  <c r="G853" i="4" l="1"/>
  <c r="D854" i="4"/>
  <c r="H853" i="4"/>
  <c r="I852" i="4"/>
  <c r="D855" i="4" l="1"/>
  <c r="G854" i="4"/>
  <c r="H854" i="4"/>
  <c r="I853" i="4"/>
  <c r="I854" i="4" l="1"/>
  <c r="G855" i="4"/>
  <c r="D856" i="4"/>
  <c r="H855" i="4"/>
  <c r="I855" i="4" l="1"/>
  <c r="G856" i="4"/>
  <c r="D857" i="4"/>
  <c r="H856" i="4"/>
  <c r="G857" i="4" l="1"/>
  <c r="D858" i="4"/>
  <c r="D859" i="4" s="1"/>
  <c r="H857" i="4"/>
  <c r="I856" i="4"/>
  <c r="G859" i="4" l="1"/>
  <c r="D860" i="4"/>
  <c r="H859" i="4"/>
  <c r="G858" i="4"/>
  <c r="H858" i="4"/>
  <c r="I857" i="4"/>
  <c r="H860" i="4" l="1"/>
  <c r="G860" i="4"/>
  <c r="D861" i="4"/>
  <c r="I859" i="4"/>
  <c r="I858" i="4"/>
  <c r="I860" i="4" l="1"/>
  <c r="G861" i="4"/>
  <c r="D862" i="4"/>
  <c r="H861" i="4"/>
  <c r="G862" i="4" l="1"/>
  <c r="H862" i="4"/>
  <c r="D863" i="4"/>
  <c r="I861" i="4"/>
  <c r="I862" i="4" l="1"/>
  <c r="D864" i="4"/>
  <c r="G863" i="4"/>
  <c r="H863" i="4"/>
  <c r="I863" i="4" l="1"/>
  <c r="G864" i="4"/>
  <c r="D865" i="4"/>
  <c r="H864" i="4"/>
  <c r="I864" i="4" l="1"/>
  <c r="H865" i="4"/>
  <c r="G865" i="4"/>
  <c r="D866" i="4"/>
  <c r="I865" i="4" l="1"/>
  <c r="D867" i="4"/>
  <c r="G866" i="4"/>
  <c r="H866" i="4"/>
  <c r="I866" i="4" l="1"/>
  <c r="H867" i="4"/>
  <c r="G867" i="4"/>
  <c r="D868" i="4"/>
  <c r="I867" i="4" l="1"/>
  <c r="H868" i="4"/>
  <c r="D869" i="4"/>
  <c r="G868" i="4"/>
  <c r="I868" i="4" l="1"/>
  <c r="G869" i="4"/>
  <c r="D870" i="4"/>
  <c r="H869" i="4"/>
  <c r="H870" i="4" l="1"/>
  <c r="D871" i="4"/>
  <c r="G870" i="4"/>
  <c r="I869" i="4"/>
  <c r="I870" i="4" l="1"/>
  <c r="D872" i="4"/>
  <c r="G871" i="4"/>
  <c r="H871" i="4"/>
  <c r="I871" i="4" l="1"/>
  <c r="H872" i="4"/>
  <c r="G872" i="4"/>
  <c r="D873" i="4"/>
  <c r="I872" i="4" l="1"/>
  <c r="H873" i="4"/>
  <c r="G873" i="4"/>
  <c r="D874" i="4"/>
  <c r="I873" i="4" l="1"/>
  <c r="G874" i="4"/>
  <c r="D875" i="4"/>
  <c r="H874" i="4"/>
  <c r="H875" i="4" l="1"/>
  <c r="D876" i="4"/>
  <c r="G875" i="4"/>
  <c r="I874" i="4"/>
  <c r="D877" i="4" l="1"/>
  <c r="G876" i="4"/>
  <c r="H876" i="4"/>
  <c r="I875" i="4"/>
  <c r="I876" i="4" l="1"/>
  <c r="H877" i="4"/>
  <c r="G877" i="4"/>
  <c r="D878" i="4"/>
  <c r="I877" i="4" l="1"/>
  <c r="G878" i="4"/>
  <c r="D879" i="4"/>
  <c r="H878" i="4"/>
  <c r="H879" i="4" l="1"/>
  <c r="D880" i="4"/>
  <c r="G879" i="4"/>
  <c r="I878" i="4"/>
  <c r="I879" i="4" l="1"/>
  <c r="D881" i="4"/>
  <c r="H880" i="4"/>
  <c r="G880" i="4"/>
  <c r="I880" i="4" l="1"/>
  <c r="H881" i="4"/>
  <c r="D882" i="4"/>
  <c r="G881" i="4"/>
  <c r="I881" i="4" l="1"/>
  <c r="G882" i="4"/>
  <c r="D883" i="4"/>
  <c r="H882" i="4"/>
  <c r="H883" i="4" l="1"/>
  <c r="G883" i="4"/>
  <c r="D884" i="4"/>
  <c r="I882" i="4"/>
  <c r="I883" i="4" l="1"/>
  <c r="G884" i="4"/>
  <c r="D885" i="4"/>
  <c r="H884" i="4"/>
  <c r="H885" i="4" l="1"/>
  <c r="D886" i="4"/>
  <c r="G885" i="4"/>
  <c r="I884" i="4"/>
  <c r="I885" i="4" l="1"/>
  <c r="G886" i="4"/>
  <c r="H886" i="4"/>
  <c r="D887" i="4"/>
  <c r="I886" i="4" l="1"/>
  <c r="G887" i="4"/>
  <c r="H887" i="4"/>
  <c r="D888" i="4"/>
  <c r="G888" i="4" l="1"/>
  <c r="D889" i="4"/>
  <c r="H888" i="4"/>
  <c r="I887" i="4"/>
  <c r="H889" i="4" l="1"/>
  <c r="D890" i="4"/>
  <c r="G889" i="4"/>
  <c r="I888" i="4"/>
  <c r="I889" i="4" l="1"/>
  <c r="D891" i="4"/>
  <c r="G890" i="4"/>
  <c r="H890" i="4"/>
  <c r="I890" i="4" l="1"/>
  <c r="H891" i="4"/>
  <c r="D892" i="4"/>
  <c r="G891" i="4"/>
  <c r="I891" i="4" l="1"/>
  <c r="H892" i="4"/>
  <c r="G892" i="4"/>
  <c r="D893" i="4"/>
  <c r="I892" i="4" l="1"/>
  <c r="G893" i="4"/>
  <c r="H893" i="4"/>
  <c r="D894" i="4"/>
  <c r="G894" i="4" l="1"/>
  <c r="D895" i="4"/>
  <c r="H894" i="4"/>
  <c r="I893" i="4"/>
  <c r="G895" i="4" l="1"/>
  <c r="D896" i="4"/>
  <c r="H895" i="4"/>
  <c r="I894" i="4"/>
  <c r="D897" i="4" l="1"/>
  <c r="H896" i="4"/>
  <c r="G896" i="4"/>
  <c r="I895" i="4"/>
  <c r="I896" i="4" l="1"/>
  <c r="D898" i="4"/>
  <c r="D899" i="4" s="1"/>
  <c r="G897" i="4"/>
  <c r="H897" i="4"/>
  <c r="I897" i="4" l="1"/>
  <c r="D900" i="4"/>
  <c r="H899" i="4"/>
  <c r="G899" i="4"/>
  <c r="H898" i="4"/>
  <c r="G898" i="4"/>
  <c r="I898" i="4" l="1"/>
  <c r="I899" i="4"/>
  <c r="G900" i="4"/>
  <c r="H900" i="4"/>
  <c r="D901" i="4"/>
  <c r="H901" i="4" l="1"/>
  <c r="G901" i="4"/>
  <c r="D902" i="4"/>
  <c r="I900" i="4"/>
  <c r="I901" i="4" l="1"/>
  <c r="H902" i="4"/>
  <c r="G902" i="4"/>
  <c r="D903" i="4"/>
  <c r="I902" i="4" l="1"/>
  <c r="D904" i="4"/>
  <c r="G903" i="4"/>
  <c r="H903" i="4"/>
  <c r="I903" i="4" l="1"/>
  <c r="D905" i="4"/>
  <c r="G904" i="4"/>
  <c r="H904" i="4"/>
  <c r="I904" i="4" l="1"/>
  <c r="H905" i="4"/>
  <c r="D906" i="4"/>
  <c r="G905" i="4"/>
  <c r="I905" i="4" l="1"/>
  <c r="H906" i="4"/>
  <c r="G906" i="4"/>
  <c r="D907" i="4"/>
  <c r="I906" i="4" l="1"/>
  <c r="D908" i="4"/>
  <c r="H907" i="4"/>
  <c r="G907" i="4"/>
  <c r="I907" i="4" l="1"/>
  <c r="D909" i="4"/>
  <c r="G908" i="4"/>
  <c r="H908" i="4"/>
  <c r="I908" i="4" l="1"/>
  <c r="D910" i="4"/>
  <c r="H909" i="4"/>
  <c r="G909" i="4"/>
  <c r="I909" i="4" l="1"/>
  <c r="G910" i="4"/>
  <c r="D911" i="4"/>
  <c r="H910" i="4"/>
  <c r="I910" i="4" l="1"/>
  <c r="D912" i="4"/>
  <c r="G911" i="4"/>
  <c r="H911" i="4"/>
  <c r="I911" i="4" l="1"/>
  <c r="D913" i="4"/>
  <c r="G912" i="4"/>
  <c r="H912" i="4"/>
  <c r="I912" i="4" l="1"/>
  <c r="H913" i="4"/>
  <c r="D914" i="4"/>
  <c r="G913" i="4"/>
  <c r="I913" i="4" l="1"/>
  <c r="G914" i="4"/>
  <c r="D915" i="4"/>
  <c r="H914" i="4"/>
  <c r="I914" i="4" l="1"/>
  <c r="G915" i="4"/>
  <c r="D916" i="4"/>
  <c r="H915" i="4"/>
  <c r="D917" i="4" l="1"/>
  <c r="G916" i="4"/>
  <c r="H916" i="4"/>
  <c r="I915" i="4"/>
  <c r="I916" i="4" l="1"/>
  <c r="G917" i="4"/>
  <c r="H917" i="4"/>
  <c r="D918" i="4"/>
  <c r="D919" i="4" l="1"/>
  <c r="G918" i="4"/>
  <c r="H918" i="4"/>
  <c r="I917" i="4"/>
  <c r="I918" i="4" l="1"/>
  <c r="G919" i="4"/>
  <c r="D920" i="4"/>
  <c r="H919" i="4"/>
  <c r="G920" i="4" l="1"/>
  <c r="H920" i="4"/>
  <c r="D921" i="4"/>
  <c r="I919" i="4"/>
  <c r="H921" i="4" l="1"/>
  <c r="G921" i="4"/>
  <c r="D922" i="4"/>
  <c r="I920" i="4"/>
  <c r="I921" i="4" l="1"/>
  <c r="G922" i="4"/>
  <c r="D923" i="4"/>
  <c r="H922" i="4"/>
  <c r="D924" i="4" l="1"/>
  <c r="G923" i="4"/>
  <c r="H923" i="4"/>
  <c r="I922" i="4"/>
  <c r="I923" i="4" l="1"/>
  <c r="D925" i="4"/>
  <c r="H924" i="4"/>
  <c r="G924" i="4"/>
  <c r="I924" i="4" l="1"/>
  <c r="D926" i="4"/>
  <c r="G925" i="4"/>
  <c r="H925" i="4"/>
  <c r="I925" i="4" l="1"/>
  <c r="D927" i="4"/>
  <c r="G926" i="4"/>
  <c r="H926" i="4"/>
  <c r="I926" i="4" l="1"/>
  <c r="H927" i="4"/>
  <c r="D928" i="4"/>
  <c r="G927" i="4"/>
  <c r="I927" i="4" l="1"/>
  <c r="H928" i="4"/>
  <c r="G928" i="4"/>
  <c r="D929" i="4"/>
  <c r="I928" i="4" l="1"/>
  <c r="D930" i="4"/>
  <c r="G929" i="4"/>
  <c r="H929" i="4"/>
  <c r="I929" i="4" l="1"/>
  <c r="G930" i="4"/>
  <c r="H930" i="4"/>
  <c r="D931" i="4"/>
  <c r="G931" i="4" l="1"/>
  <c r="D932" i="4"/>
  <c r="H931" i="4"/>
  <c r="I930" i="4"/>
  <c r="H932" i="4" l="1"/>
  <c r="G932" i="4"/>
  <c r="D933" i="4"/>
  <c r="I931" i="4"/>
  <c r="I932" i="4" l="1"/>
  <c r="D934" i="4"/>
  <c r="H933" i="4"/>
  <c r="G933" i="4"/>
  <c r="I933" i="4" l="1"/>
  <c r="G934" i="4"/>
  <c r="H934" i="4"/>
  <c r="D935" i="4"/>
  <c r="D936" i="4" l="1"/>
  <c r="H935" i="4"/>
  <c r="G935" i="4"/>
  <c r="I934" i="4"/>
  <c r="I935" i="4" l="1"/>
  <c r="H936" i="4"/>
  <c r="G936" i="4"/>
  <c r="D937" i="4"/>
  <c r="I936" i="4" l="1"/>
  <c r="H937" i="4"/>
  <c r="D938" i="4"/>
  <c r="G937" i="4"/>
  <c r="I937" i="4" l="1"/>
  <c r="G938" i="4"/>
  <c r="H938" i="4"/>
  <c r="D939" i="4"/>
  <c r="I938" i="4" l="1"/>
  <c r="H939" i="4"/>
  <c r="G939" i="4"/>
  <c r="D940" i="4"/>
  <c r="I939" i="4" l="1"/>
  <c r="H940" i="4"/>
  <c r="G940" i="4"/>
  <c r="D941" i="4"/>
  <c r="G941" i="4" l="1"/>
  <c r="D942" i="4"/>
  <c r="H941" i="4"/>
  <c r="I940" i="4"/>
  <c r="I941" i="4" l="1"/>
  <c r="H942" i="4"/>
  <c r="G942" i="4"/>
  <c r="D943" i="4"/>
  <c r="H943" i="4" l="1"/>
  <c r="D944" i="4"/>
  <c r="G943" i="4"/>
  <c r="I942" i="4"/>
  <c r="I943" i="4" l="1"/>
  <c r="G944" i="4"/>
  <c r="H944" i="4"/>
  <c r="D945" i="4"/>
  <c r="D946" i="4" l="1"/>
  <c r="G945" i="4"/>
  <c r="H945" i="4"/>
  <c r="I944" i="4"/>
  <c r="I945" i="4" l="1"/>
  <c r="H946" i="4"/>
  <c r="G946" i="4"/>
  <c r="D947" i="4"/>
  <c r="I946" i="4" l="1"/>
  <c r="H947" i="4"/>
  <c r="G947" i="4"/>
  <c r="D948" i="4"/>
  <c r="I947" i="4" l="1"/>
  <c r="G948" i="4"/>
  <c r="H948" i="4"/>
  <c r="D949" i="4"/>
  <c r="D950" i="4" l="1"/>
  <c r="H949" i="4"/>
  <c r="G949" i="4"/>
  <c r="I948" i="4"/>
  <c r="I949" i="4" l="1"/>
  <c r="D951" i="4"/>
  <c r="H950" i="4"/>
  <c r="G950" i="4"/>
  <c r="I950" i="4" l="1"/>
  <c r="H951" i="4"/>
  <c r="G951" i="4"/>
  <c r="D952" i="4"/>
  <c r="I951" i="4" l="1"/>
  <c r="D953" i="4"/>
  <c r="G952" i="4"/>
  <c r="H952" i="4"/>
  <c r="I952" i="4" l="1"/>
  <c r="G953" i="4"/>
  <c r="H953" i="4"/>
  <c r="D954" i="4"/>
  <c r="G954" i="4" l="1"/>
  <c r="D955" i="4"/>
  <c r="H954" i="4"/>
  <c r="I953" i="4"/>
  <c r="H955" i="4" l="1"/>
  <c r="G955" i="4"/>
  <c r="D956" i="4"/>
  <c r="I954" i="4"/>
  <c r="I955" i="4" l="1"/>
  <c r="G956" i="4"/>
  <c r="D957" i="4"/>
  <c r="H956" i="4"/>
  <c r="H957" i="4" l="1"/>
  <c r="D958" i="4"/>
  <c r="D959" i="4" s="1"/>
  <c r="G957" i="4"/>
  <c r="I956" i="4"/>
  <c r="I957" i="4" l="1"/>
  <c r="G959" i="4"/>
  <c r="D960" i="4"/>
  <c r="H959" i="4"/>
  <c r="H958" i="4"/>
  <c r="G958" i="4"/>
  <c r="I958" i="4" l="1"/>
  <c r="G960" i="4"/>
  <c r="H960" i="4"/>
  <c r="I959" i="4"/>
  <c r="I960" i="4" l="1"/>
</calcChain>
</file>

<file path=xl/sharedStrings.xml><?xml version="1.0" encoding="utf-8"?>
<sst xmlns="http://schemas.openxmlformats.org/spreadsheetml/2006/main" count="26837" uniqueCount="4987">
  <si>
    <t>UnitName</t>
  </si>
  <si>
    <t>EventType</t>
  </si>
  <si>
    <t>Unit Type</t>
  </si>
  <si>
    <t>EventNo</t>
  </si>
  <si>
    <t>EventStart</t>
  </si>
  <si>
    <t>EventEnd</t>
  </si>
  <si>
    <t>Duration_Hrs</t>
  </si>
  <si>
    <t>Equiv. Hours</t>
  </si>
  <si>
    <t>MWH Lost</t>
  </si>
  <si>
    <t>GAC</t>
  </si>
  <si>
    <t>GMC</t>
  </si>
  <si>
    <t>NMC</t>
  </si>
  <si>
    <t>Derate</t>
  </si>
  <si>
    <t>Cause</t>
  </si>
  <si>
    <t>eventDescription</t>
  </si>
  <si>
    <t>U1</t>
  </si>
  <si>
    <t>GR3</t>
  </si>
  <si>
    <t>D1</t>
  </si>
  <si>
    <t>SF</t>
  </si>
  <si>
    <t>TC1</t>
  </si>
  <si>
    <t>MO</t>
  </si>
  <si>
    <t>BR1</t>
  </si>
  <si>
    <t>BR2</t>
  </si>
  <si>
    <t>MC1</t>
  </si>
  <si>
    <t>GH4</t>
  </si>
  <si>
    <t>MC4</t>
  </si>
  <si>
    <t>GH1</t>
  </si>
  <si>
    <t>GH2</t>
  </si>
  <si>
    <t>BR3</t>
  </si>
  <si>
    <t>MC3</t>
  </si>
  <si>
    <t>GH3</t>
  </si>
  <si>
    <t>F540Condenser Tube Leak</t>
  </si>
  <si>
    <t>PD</t>
  </si>
  <si>
    <t>U2</t>
  </si>
  <si>
    <t>GR4</t>
  </si>
  <si>
    <t>MC2</t>
  </si>
  <si>
    <t>F420Low Drum Level Trip - Operator Error</t>
  </si>
  <si>
    <t>U3</t>
  </si>
  <si>
    <t>PO</t>
  </si>
  <si>
    <t>F320Air Heater Wash</t>
  </si>
  <si>
    <t>F660High Back Pressure</t>
  </si>
  <si>
    <t>F170High Silica</t>
  </si>
  <si>
    <t>F540Condenser tube leak</t>
  </si>
  <si>
    <t>D2</t>
  </si>
  <si>
    <t>F820Low Drum Level Trip</t>
  </si>
  <si>
    <t>F820High Drum Level Trip</t>
  </si>
  <si>
    <t>FW00Wet Coal Issues</t>
  </si>
  <si>
    <t>D3</t>
  </si>
  <si>
    <t>F590Planned 4 Week Outage</t>
  </si>
  <si>
    <t>F540Condenser Tube Leak Repair</t>
  </si>
  <si>
    <t>F420High Drum Level Trip - Operator Error</t>
  </si>
  <si>
    <t>F320Boiler Deslag - First Reheater</t>
  </si>
  <si>
    <t>F3204B Air Heater - High Differential, Dirty</t>
  </si>
  <si>
    <t>F540Boiler Tube Leak - First Reheater</t>
  </si>
  <si>
    <t>F320Air Heaters - Wash</t>
  </si>
  <si>
    <t>F540Condenser Tube Leaks</t>
  </si>
  <si>
    <t>F590Planned One Week Outage</t>
  </si>
  <si>
    <t>F590Planned 1 Week Outage</t>
  </si>
  <si>
    <t>F540Deaerator Heater - Leak Repair</t>
  </si>
  <si>
    <t>F540Boiler Tube Leak - Economizer, Reduced Boiler Pressure</t>
  </si>
  <si>
    <t>Reactive and capability testing</t>
  </si>
  <si>
    <t>F540FGD Reactant Feed Line - Leak</t>
  </si>
  <si>
    <t>F170High silica</t>
  </si>
  <si>
    <t>F1201D Coal Mill - Foreign Metal in Mill</t>
  </si>
  <si>
    <t>F400Low Drum Level Trip</t>
  </si>
  <si>
    <t>F590Planned 2 Week Outage</t>
  </si>
  <si>
    <t>F320Air heater wash</t>
  </si>
  <si>
    <t>Pulverizer System Puff</t>
  </si>
  <si>
    <t>F5901D Coal Mill - Inspection</t>
  </si>
  <si>
    <t>TC2</t>
  </si>
  <si>
    <t>F0901A Coal Feeder - Calibration &amp; Mill Inspection</t>
  </si>
  <si>
    <t>F540Boiler Tube Leak - Waterwall</t>
  </si>
  <si>
    <t>FW004D Coal Feeder - Wet Coal</t>
  </si>
  <si>
    <t>Row Labels</t>
  </si>
  <si>
    <t>Grand Total</t>
  </si>
  <si>
    <t>Count of Derate</t>
  </si>
  <si>
    <t>(Multiple Items)</t>
  </si>
  <si>
    <t>Brown.1</t>
  </si>
  <si>
    <t>CauseCode</t>
  </si>
  <si>
    <t>NC</t>
  </si>
  <si>
    <t>Tuning boiler controls</t>
  </si>
  <si>
    <t>Deslag boiler</t>
  </si>
  <si>
    <t>Low load RATA testing</t>
  </si>
  <si>
    <t>ME</t>
  </si>
  <si>
    <t>F170High Silica @ Start Up</t>
  </si>
  <si>
    <t>F170High Silica @ Warm Start Up</t>
  </si>
  <si>
    <t>F170High Silica @ Hot Start Up</t>
  </si>
  <si>
    <t>F170High Silica @ Very Hot Start Up</t>
  </si>
  <si>
    <t>F170High Silica @ Cold Start Up</t>
  </si>
  <si>
    <t>FW001C Coal Feeder - Wet Coal</t>
  </si>
  <si>
    <t>FW001D Coal Feeder - Wet Coal</t>
  </si>
  <si>
    <t>FW00Wet Coal</t>
  </si>
  <si>
    <t>FW002C Coal Feeder - Wet Coal</t>
  </si>
  <si>
    <t>FW002B Coal Feeder - Wet Coal</t>
  </si>
  <si>
    <t>F590Planned Outage</t>
  </si>
  <si>
    <t>FW004D Coal Feeder - Plugged, Wet Coal</t>
  </si>
  <si>
    <t xml:space="preserve">F800The Turbine OEM limit on steam flow was at the max allowable for the unit so load </t>
  </si>
  <si>
    <t>Year</t>
  </si>
  <si>
    <t>Event Category</t>
  </si>
  <si>
    <t>Station Name</t>
  </si>
  <si>
    <t>Brown</t>
  </si>
  <si>
    <t>Ghent</t>
  </si>
  <si>
    <t>Green River</t>
  </si>
  <si>
    <t>Mill Creek</t>
  </si>
  <si>
    <t>Trimble</t>
  </si>
  <si>
    <t>D4</t>
  </si>
  <si>
    <t>F5301B Coal Mill Inspection</t>
  </si>
  <si>
    <t>F5303B Coal Mill - Inspection</t>
  </si>
  <si>
    <t>F0901D Coal Feeder - Calibration &amp; Mill Inspection</t>
  </si>
  <si>
    <t>F0903C Coal Feeder - Calibration</t>
  </si>
  <si>
    <t>F0903B Coal Feeder - Calibration</t>
  </si>
  <si>
    <t>F0902A Coal Feeder - Calibration &amp; Mill Inspection</t>
  </si>
  <si>
    <t>F0902D Coal Feeder - Calibration &amp; Mill Inspection</t>
  </si>
  <si>
    <t>F0902C Coal Feeder - Calibration &amp; Mill Inspection</t>
  </si>
  <si>
    <t>F5304B Coal Mill - Inspection</t>
  </si>
  <si>
    <t>F5304C Coal Mill - Inspection</t>
  </si>
  <si>
    <t>F0904D Coal Feeder - Calibration</t>
  </si>
  <si>
    <t>F5302A Coal Mill - Inspection</t>
  </si>
  <si>
    <t>F5901A Coal Mill - Adjust Rollers</t>
  </si>
  <si>
    <t>F5901D Coal Mill Maintenance</t>
  </si>
  <si>
    <t>F5302D Coal Mill - Inspection</t>
  </si>
  <si>
    <t>PE</t>
  </si>
  <si>
    <t>F5901D Coal Mill - Adjust Rollers</t>
  </si>
  <si>
    <t>F5902D Coal Mill - Roller Adjustment</t>
  </si>
  <si>
    <t>LG&amp;E &amp; KU</t>
  </si>
  <si>
    <t>REGULATED GENERATION</t>
  </si>
  <si>
    <t>CAPACITY WEIGHTED EFOR HISTORY, BENCHMARKS, and TARGETS</t>
  </si>
  <si>
    <t>EFOR TARGETS</t>
  </si>
  <si>
    <t>STATION</t>
  </si>
  <si>
    <t>BROWN</t>
  </si>
  <si>
    <t>GHENT</t>
  </si>
  <si>
    <t>GREEN RIVER</t>
  </si>
  <si>
    <t>MILL CREEK</t>
  </si>
  <si>
    <t>TRIMBLE CO.</t>
  </si>
  <si>
    <r>
      <t>LGE/KU</t>
    </r>
    <r>
      <rPr>
        <sz val="12"/>
        <rFont val="Arial"/>
        <family val="2"/>
      </rPr>
      <t xml:space="preserve"> (coal only)</t>
    </r>
  </si>
  <si>
    <t>EUOR TARGETS</t>
  </si>
  <si>
    <t>MOR</t>
  </si>
  <si>
    <t>FOR</t>
  </si>
  <si>
    <t>EFOR</t>
  </si>
  <si>
    <t>Units</t>
  </si>
  <si>
    <t>EUOR</t>
  </si>
  <si>
    <t>GH Sta.</t>
  </si>
  <si>
    <t>BR Sta.</t>
  </si>
  <si>
    <t>GR Sta.</t>
  </si>
  <si>
    <t>MC Sta.</t>
  </si>
  <si>
    <t>TC Sta.</t>
  </si>
  <si>
    <t>BLOCK:</t>
  </si>
  <si>
    <t>Tot Unit</t>
  </si>
  <si>
    <t>State Capacity (I)</t>
  </si>
  <si>
    <t xml:space="preserve"> </t>
  </si>
  <si>
    <t>GADS Yr Availability: GADS only (C)</t>
  </si>
  <si>
    <t>Coal Units</t>
  </si>
  <si>
    <t>Max Capacity (MW)</t>
  </si>
  <si>
    <t>Brown.2</t>
  </si>
  <si>
    <t>Brown.3</t>
  </si>
  <si>
    <t>Ghent.1</t>
  </si>
  <si>
    <t>Ghent.2</t>
  </si>
  <si>
    <t>Ghent.3</t>
  </si>
  <si>
    <t>Ghent.4</t>
  </si>
  <si>
    <t>Green.River.3</t>
  </si>
  <si>
    <t>Green.River.4</t>
  </si>
  <si>
    <t>Mill.Creek.1</t>
  </si>
  <si>
    <t>Mill.Creek.2</t>
  </si>
  <si>
    <t>Mill.Creek.3</t>
  </si>
  <si>
    <t>Mill.Creek.4</t>
  </si>
  <si>
    <t>Trimble.County.1</t>
  </si>
  <si>
    <t>Trimble.County.2</t>
  </si>
  <si>
    <t>FOH</t>
  </si>
  <si>
    <t>EFDH</t>
  </si>
  <si>
    <t>MOH</t>
  </si>
  <si>
    <t>Act SH</t>
  </si>
  <si>
    <t>NDC</t>
  </si>
  <si>
    <t>Small Units (&lt;150)</t>
  </si>
  <si>
    <t>Medium Units (&lt;360)</t>
  </si>
  <si>
    <t>MOR TARGETS</t>
  </si>
  <si>
    <t>FOR TARGETS</t>
  </si>
  <si>
    <t>EFDR</t>
  </si>
  <si>
    <t>EFDH/FOH</t>
  </si>
  <si>
    <t>Avg SH</t>
  </si>
  <si>
    <t>EFDR TARGETS</t>
  </si>
  <si>
    <t>Calculated Availablity for Unit Blocks in PROSYM</t>
  </si>
  <si>
    <t>FOR:</t>
  </si>
  <si>
    <t>MOR:</t>
  </si>
  <si>
    <t>!</t>
  </si>
  <si>
    <t>Stations Section</t>
  </si>
  <si>
    <t>Statecaps</t>
  </si>
  <si>
    <t>Stateavail</t>
  </si>
  <si>
    <t>! EUOR=</t>
  </si>
  <si>
    <t>EFOR=</t>
  </si>
  <si>
    <t>FOR=</t>
  </si>
  <si>
    <t>MOR=</t>
  </si>
  <si>
    <t>EFDR=</t>
  </si>
  <si>
    <t>!********************************************************************************************************************************************************************************************************************************************************************************</t>
  </si>
  <si>
    <t>Formulas</t>
  </si>
  <si>
    <t>FOR =</t>
  </si>
  <si>
    <t>FOH + SH</t>
  </si>
  <si>
    <t>MOR =</t>
  </si>
  <si>
    <t>MOH + SH</t>
  </si>
  <si>
    <t>FOH: Forced Outage Hours</t>
  </si>
  <si>
    <t>SH: Service Hours</t>
  </si>
  <si>
    <t>MOH: Maintenance Outage Hours</t>
  </si>
  <si>
    <t>U1 ,U2 ,U3 ,SF</t>
  </si>
  <si>
    <t>U4, MO</t>
  </si>
  <si>
    <t>EFOR =</t>
  </si>
  <si>
    <t>FOH + EFDH</t>
  </si>
  <si>
    <t>FOH + MOH</t>
  </si>
  <si>
    <t>FOH + MOH+ SH</t>
  </si>
  <si>
    <t>U1 ,U2 ,U3 ,SF, U4, MO</t>
  </si>
  <si>
    <t>GADS Event Code</t>
  </si>
  <si>
    <t>EUOR =</t>
  </si>
  <si>
    <t>FOH + EFDH + MOH</t>
  </si>
  <si>
    <t>EFDR =</t>
  </si>
  <si>
    <t>SH</t>
  </si>
  <si>
    <t>FOR:  Forced Outage Rate</t>
  </si>
  <si>
    <t>MOR:  Maintenance Outage Rate</t>
  </si>
  <si>
    <t>EFOR:  Equivalent Forced Outage Rate</t>
  </si>
  <si>
    <t>EFDR:  Equivalent Forced Derate Rate</t>
  </si>
  <si>
    <t>TFOR:  Total Forced Outage Rate</t>
  </si>
  <si>
    <t>EUOR:  Equivalent Unit Outage Rate</t>
  </si>
  <si>
    <t>EFDH:  Equivalent Forced Derate Hours</t>
  </si>
  <si>
    <t xml:space="preserve">TFOR: FOR + MOR = </t>
  </si>
  <si>
    <t>U1 ,U2 ,U3 ,SF, D1, D2, D3, D4</t>
  </si>
  <si>
    <t>U1 ,U2 ,U3 ,SF, D1, D2, D3, D4, U4, MO</t>
  </si>
  <si>
    <t>D1, D2, D3, D4</t>
  </si>
  <si>
    <t>Large Units (&gt;360)</t>
  </si>
  <si>
    <t>Min Capacity</t>
  </si>
  <si>
    <t>EFDR:</t>
  </si>
  <si>
    <t>Max Derate</t>
  </si>
  <si>
    <t>Igniters</t>
  </si>
  <si>
    <t>Burners</t>
  </si>
  <si>
    <t>Lightning</t>
  </si>
  <si>
    <t xml:space="preserve">SH tube leak </t>
  </si>
  <si>
    <t>SO3 mitigation</t>
  </si>
  <si>
    <t xml:space="preserve">3-1 BCWP out of service </t>
  </si>
  <si>
    <t>F5901A Coal Mill - Roller Adjustment</t>
  </si>
  <si>
    <t>F5401C Coal Mill - Coal Leak</t>
  </si>
  <si>
    <t>FW001C &amp; 1D Coal Feeders - Wet Coal</t>
  </si>
  <si>
    <t>F0901C Coal Feeder - Calibration</t>
  </si>
  <si>
    <t>F320Boiler Slag - First Reheater</t>
  </si>
  <si>
    <t>F5901A Coal Mill - Inspection &amp; Roller Adjustment</t>
  </si>
  <si>
    <t>F5901A Coal Mill - Tempering Air Damper Repair</t>
  </si>
  <si>
    <t>F400Air Flow Issues</t>
  </si>
  <si>
    <t>F820Condenser Vacuum Trip</t>
  </si>
  <si>
    <t>F590Planned 8 Week Outage</t>
  </si>
  <si>
    <t>F8203D Coal Feeder - Trip</t>
  </si>
  <si>
    <t>F320Air Heater - High Differential</t>
  </si>
  <si>
    <t>F0903C Coal Feeder - Calibration &amp; Mill Inspection</t>
  </si>
  <si>
    <t>F3204A Cooling Tower Pump - Backflush</t>
  </si>
  <si>
    <t>F400Steam Flow Issue</t>
  </si>
  <si>
    <t>F590Sootblower Regulator - Repack</t>
  </si>
  <si>
    <t>F790RATA Testing</t>
  </si>
  <si>
    <t>F0904B Coal Feeder - Calibration</t>
  </si>
  <si>
    <t>F5304A Coal Mill - Inspection</t>
  </si>
  <si>
    <t>F0904A Coal Feeder - Calibration</t>
  </si>
  <si>
    <t>F540Boiler Tube Leak - First Superheater</t>
  </si>
  <si>
    <t>F5904E Coal Mill - Clean Pitot Tubes</t>
  </si>
  <si>
    <t>F530Coal Burners - Inspection</t>
  </si>
  <si>
    <t>FA00TC-1 was on line and ramping up. The load was held down some due to silica from th</t>
  </si>
  <si>
    <t>SCR NOx Other ammonia system problems</t>
  </si>
  <si>
    <t>(All)</t>
  </si>
  <si>
    <t>Derate_RND</t>
  </si>
  <si>
    <t>Sum of Duration_Hrs</t>
  </si>
  <si>
    <t>Size</t>
  </si>
  <si>
    <t>Total</t>
  </si>
  <si>
    <t>MWAvail</t>
  </si>
  <si>
    <t>UnitNo</t>
  </si>
  <si>
    <t>Bin</t>
  </si>
  <si>
    <t>Hours</t>
  </si>
  <si>
    <t>Sum of Hours</t>
  </si>
  <si>
    <t>b1</t>
  </si>
  <si>
    <t>b2</t>
  </si>
  <si>
    <t>b3</t>
  </si>
  <si>
    <t>b4</t>
  </si>
  <si>
    <t>b5</t>
  </si>
  <si>
    <t>Y</t>
  </si>
  <si>
    <t>Max</t>
  </si>
  <si>
    <t>Total Hours</t>
  </si>
  <si>
    <t>Derate Occurance %</t>
  </si>
  <si>
    <t>Xs</t>
  </si>
  <si>
    <t>Checking</t>
  </si>
  <si>
    <t>Prosym Format</t>
  </si>
  <si>
    <t>X</t>
  </si>
  <si>
    <r>
      <t>a3</t>
    </r>
    <r>
      <rPr>
        <sz val="11"/>
        <color theme="1"/>
        <rFont val="Calibri"/>
        <family val="2"/>
        <scheme val="minor"/>
      </rPr>
      <t/>
    </r>
  </si>
  <si>
    <r>
      <t>a4</t>
    </r>
    <r>
      <rPr>
        <sz val="11"/>
        <color theme="1"/>
        <rFont val="Calibri"/>
        <family val="2"/>
        <scheme val="minor"/>
      </rPr>
      <t/>
    </r>
  </si>
  <si>
    <r>
      <t>a5</t>
    </r>
    <r>
      <rPr>
        <sz val="11"/>
        <color theme="1"/>
        <rFont val="Calibri"/>
        <family val="2"/>
        <scheme val="minor"/>
      </rPr>
      <t/>
    </r>
  </si>
  <si>
    <t xml:space="preserve">1-3 mill feeder plugged </t>
  </si>
  <si>
    <t xml:space="preserve">1-2 mill pyrite fire </t>
  </si>
  <si>
    <t>1-2 mill primary air fan out of balance 6417365</t>
  </si>
  <si>
    <t>1-2 mill race replacement 6414494</t>
  </si>
  <si>
    <t xml:space="preserve">1-2 mill race replacement </t>
  </si>
  <si>
    <t>F1201-1 Mill Feeder plugged.</t>
  </si>
  <si>
    <t>F5301-3 &amp; 1-4 Mill Inspections</t>
  </si>
  <si>
    <t>1-2 mill race replacement</t>
  </si>
  <si>
    <t xml:space="preserve">Inspect 1-1 mill </t>
  </si>
  <si>
    <t xml:space="preserve">1-3 mill PA fan OB bearing cooling water line leaking </t>
  </si>
  <si>
    <t xml:space="preserve">1-2 mill race replacement  </t>
  </si>
  <si>
    <t xml:space="preserve">Repair 1-4 mill primary air fan oil leak </t>
  </si>
  <si>
    <t>Valve test for #5 govenor valve</t>
  </si>
  <si>
    <t>1-1 mill feeder plugged</t>
  </si>
  <si>
    <t>Other stack or exhaust emissions testing - fossil</t>
  </si>
  <si>
    <t xml:space="preserve">Off line for mercury testing on Brown 3 </t>
  </si>
  <si>
    <t>Replace inlet and outlet FGD expansion joints</t>
  </si>
  <si>
    <t>Hot air dampers to mills not operating properly preventing opening or closing of the d</t>
  </si>
  <si>
    <t>Wet coal in 1-1 mill</t>
  </si>
  <si>
    <t>Deslag unit</t>
  </si>
  <si>
    <t>Investigate problem with 1-3 mill primary air fan IB bearing high temperature 6439585</t>
  </si>
  <si>
    <t xml:space="preserve">Planned outage for boiler inspection and general maintenance </t>
  </si>
  <si>
    <t>1-1 FD Fan motor failure</t>
  </si>
  <si>
    <t>1-1 FD Fan motor failure 6445741</t>
  </si>
  <si>
    <t>Replace 1-1 mill broken pitot tube 6448568</t>
  </si>
  <si>
    <t>Repair 1-3 mill primary air fan IB bearing oil leak 6452730</t>
  </si>
  <si>
    <t>Seal oil system vacuum tank level control float valve not closing properly causing hig</t>
  </si>
  <si>
    <t>1-1 and 1-2 mill inspections</t>
  </si>
  <si>
    <t>1-3 mill inspection. Replaced broken spring bolt.</t>
  </si>
  <si>
    <t>1-4 Mill Inspection</t>
  </si>
  <si>
    <t>Enlarge 1-2 mill oil flow orfice 6466979</t>
  </si>
  <si>
    <t>Wet coal in 1-3 mill</t>
  </si>
  <si>
    <t>Left side throttle valve not giving closed limit on weekly valve test. Removed unit to</t>
  </si>
  <si>
    <t>Investigate noise in 2-2 mill pyrite section 6408932</t>
  </si>
  <si>
    <t>Rheostat contacts arching 6410703</t>
  </si>
  <si>
    <t>2-1 mill feeder calibration 6410999</t>
  </si>
  <si>
    <t xml:space="preserve">2-4 mill feeder plugged-wet coal </t>
  </si>
  <si>
    <t xml:space="preserve">Feedwater system upset causing the HP heater extractions to close. </t>
  </si>
  <si>
    <t>Align 2-4 mill motor 6412985</t>
  </si>
  <si>
    <t>Inspect 2-2 BFP OB bearing noise 6415235</t>
  </si>
  <si>
    <t>2-2 BFP thrust shoes damaged 6415235</t>
  </si>
  <si>
    <t xml:space="preserve">2-2 mill south roll not deflecting </t>
  </si>
  <si>
    <t>Replace 2-2 mill south roll 6415610</t>
  </si>
  <si>
    <t>2-2 mill south roll not deflecting 6415809</t>
  </si>
  <si>
    <t>Set rolls on U2 mills 6365821</t>
  </si>
  <si>
    <t>F9202-1 BFP thrust bearing wiped</t>
  </si>
  <si>
    <t>Coal transport conveyor tripper failed to start with coal bunker levels low 6420328</t>
  </si>
  <si>
    <t xml:space="preserve">2-1 feeder belt replacement </t>
  </si>
  <si>
    <t xml:space="preserve">2-1 mill feeder calibration </t>
  </si>
  <si>
    <t>Testing RH stop valves</t>
  </si>
  <si>
    <t xml:space="preserve">F490Ground in 2-2 BFP motor caused Aux Trans Trip relay to activate.  </t>
  </si>
  <si>
    <t xml:space="preserve">F4902-2 BFP motor grounded out and can not be run. </t>
  </si>
  <si>
    <t>Roll A &amp; C phase CT circuits on overall diff relays.</t>
  </si>
  <si>
    <t xml:space="preserve">Set boiler main steam safeties </t>
  </si>
  <si>
    <t xml:space="preserve">Replace 2-1 mill motor bearing </t>
  </si>
  <si>
    <t>2-4 mill feeder plugged</t>
  </si>
  <si>
    <t>2-4 mill coal feed problems</t>
  </si>
  <si>
    <t xml:space="preserve">2-4 mill coal feed problems </t>
  </si>
  <si>
    <t>2-3 mill vibration</t>
  </si>
  <si>
    <t>2-3 mill vibration 6436028</t>
  </si>
  <si>
    <t>Elevated vibration in 2-3 mill grinding section  6438408</t>
  </si>
  <si>
    <t>2-3 mill south roll replacement due to broken spring bolt 6440220</t>
  </si>
  <si>
    <t>Exccedance of Particulate Matter target limit</t>
  </si>
  <si>
    <t>Replace 2-3 mill west roll 6441769</t>
  </si>
  <si>
    <t>2-1 mill loading up, need rolls set</t>
  </si>
  <si>
    <t>2-1 mill loading up need rolls set 6442054</t>
  </si>
  <si>
    <t>Replace broken roll in 2-1 mill 6444295</t>
  </si>
  <si>
    <t>Replace broken roll in 2-1 mill and replace pyrite scrapper in 2-2 mill</t>
  </si>
  <si>
    <t>Replace pyrite scrapper in 2-2 mill 6444295</t>
  </si>
  <si>
    <t>2-4 mill vibration in grinding section</t>
  </si>
  <si>
    <t>2-4 mill vibration in grinding section 6452128</t>
  </si>
  <si>
    <t>Replace 2-4 mill feeder belt 6447918</t>
  </si>
  <si>
    <t>2-2 mill feeder speed very erratic 6458266</t>
  </si>
  <si>
    <t xml:space="preserve">Turbine reheat/intercept valve test to troubleshoot problems with limits not reaching </t>
  </si>
  <si>
    <t>Turbine trip while conducting reheat/intercept valve testing 6423407</t>
  </si>
  <si>
    <t>Waterwall tube leak  6467216</t>
  </si>
  <si>
    <t xml:space="preserve">Investigate possible fire in burner windbox.  </t>
  </si>
  <si>
    <t>Inspect 2-4 mill motor coupling  6468780</t>
  </si>
  <si>
    <t>Replace 2-4 mill motor bearings 6417202</t>
  </si>
  <si>
    <t>2-2 BFP warming line leaking at the connection to the discharge line.  6470031</t>
  </si>
  <si>
    <t xml:space="preserve">Balance 2-4 mill exhauster </t>
  </si>
  <si>
    <t>Suspected leak in RH section  6410136</t>
  </si>
  <si>
    <t>3-2 BFP IB pmp bearing temp hi 6410884</t>
  </si>
  <si>
    <t>Mid load SCR testing</t>
  </si>
  <si>
    <t xml:space="preserve">Replace 3-5 mill feeder belt &amp; roller 6412801 </t>
  </si>
  <si>
    <t>3-3 mill thrust bearing failure</t>
  </si>
  <si>
    <t>SCR mid load testing</t>
  </si>
  <si>
    <t>SCR low load testing</t>
  </si>
  <si>
    <t>3-3 mill thrust bearing failure 6412940</t>
  </si>
  <si>
    <t>3-1 BFPT LP stm stp vlv not opening 6414641</t>
  </si>
  <si>
    <t>3-1 mill pre outage inspection 6415483</t>
  </si>
  <si>
    <t>Testing Hot Water Recirc. system @ minimum loading</t>
  </si>
  <si>
    <t>3-4 mill pre-out insp in conj with HWRS testing. 6415487 The Hot Water Recirc. testing</t>
  </si>
  <si>
    <t>Hot Water Recirc. testing at mid load</t>
  </si>
  <si>
    <t>3-5 mill preoutage inspection 6415488</t>
  </si>
  <si>
    <t>Set rolls 3-2 &amp; 3-3 mills</t>
  </si>
  <si>
    <t>Inspect Air Heater sootblowers 6408251</t>
  </si>
  <si>
    <t>3-3 mill radial seal damage</t>
  </si>
  <si>
    <t>3-3 mill radial seal damage 6421955</t>
  </si>
  <si>
    <t xml:space="preserve">Modify boiler blowdown tank discharge piping </t>
  </si>
  <si>
    <t>3-3 mill radial seal replacement 6421955</t>
  </si>
  <si>
    <t>3-3 mill motor ground</t>
  </si>
  <si>
    <t xml:space="preserve">Request loading to 330 mw after boiler trip to establish temperatures for SCR ammonia </t>
  </si>
  <si>
    <t>3-3 mill motor ground 6423841</t>
  </si>
  <si>
    <t>Hot Water Recirculating System testing</t>
  </si>
  <si>
    <t xml:space="preserve">3-3 mill motor alignment check </t>
  </si>
  <si>
    <t xml:space="preserve">Check 3-1 BFPT vibration </t>
  </si>
  <si>
    <t>Planned spring outage for boiler inspection &amp; repairs and Replacing inlet and outlet F</t>
  </si>
  <si>
    <t>Air Heater sootblowing air compressors safeties failure</t>
  </si>
  <si>
    <t xml:space="preserve">Oil guns tripped resulting in boiler MFT </t>
  </si>
  <si>
    <t xml:space="preserve">PF pipe structural steel damaged </t>
  </si>
  <si>
    <t>3-1 BFP rebuild 6430239</t>
  </si>
  <si>
    <t>Removed 3-1 BFP to inspect due to high IB &amp; OB bearing temperatures. Pump seized after</t>
  </si>
  <si>
    <t>3-1 BFP extremely high temperature on OB bearing 6430239</t>
  </si>
  <si>
    <t>3-1 BFP extremely high temperature on OB bearing</t>
  </si>
  <si>
    <t>Investigate and repair oil leak on 3-1 BFPT OB turbine bearing 6438098</t>
  </si>
  <si>
    <t>Investigate elevated injection water temperature on 3-2 BFP OB pump gland 6441283</t>
  </si>
  <si>
    <t>Replace 3-3C and 3-4C burner nozzles 6444537</t>
  </si>
  <si>
    <t>Rebuild 3-2 BFP due to failed pump bearings 6441283</t>
  </si>
  <si>
    <t>3-3 Feeder tripped, unknown reason 6448510</t>
  </si>
  <si>
    <t>3-3 Feeder tripped, unknown reason  6448510</t>
  </si>
  <si>
    <t>Found 3-3 mill pyrite section door open  6451908</t>
  </si>
  <si>
    <t>Replace 3-2 mill feeder tail roller 6448484</t>
  </si>
  <si>
    <t>3-4 mill tripped, unknown reason. 6452825</t>
  </si>
  <si>
    <t>Oil leak on 3-2 BFP IB bearing 6458871</t>
  </si>
  <si>
    <t>Oil leak on 3-2 BFP IB bearing and replace 3-1D burner line elbow 6458871</t>
  </si>
  <si>
    <t>Replace 3-1D burner line elbow 6452707</t>
  </si>
  <si>
    <t>3-2 mill exhauster bearing vibration high</t>
  </si>
  <si>
    <t xml:space="preserve">3F-2 HP Heater tube leak </t>
  </si>
  <si>
    <t>Inspect 3-1 BFP balance line orfice sizing 6468481</t>
  </si>
  <si>
    <t>3-1 BFP LP &amp; HP stop valves would not open  6468667</t>
  </si>
  <si>
    <t>Modify 3-2 BFP balance line orfice 6468481</t>
  </si>
  <si>
    <t>Inspect 3-2 BFP OB pump bearing and oil piping  6468481</t>
  </si>
  <si>
    <t xml:space="preserve">3F-2 HP heater tube leak  </t>
  </si>
  <si>
    <t xml:space="preserve">Boiler trip from loss of 3-2 mill feeder  </t>
  </si>
  <si>
    <t xml:space="preserve">3F-2 HP heater tube leak </t>
  </si>
  <si>
    <t>3F-2 HP heater tube leak</t>
  </si>
  <si>
    <t>F790Full load testing</t>
  </si>
  <si>
    <t>Load Reduction #11-3 BCWP off due to blown seal.  Unit limited to 90% capacity.</t>
  </si>
  <si>
    <t xml:space="preserve">F540Outage #11-3 BCWP had blown seals.  Tried to remove the pump, but valves were </t>
  </si>
  <si>
    <t>Outage #2The unit had been firing for start up for just under 2 hours and it was n</t>
  </si>
  <si>
    <t>Load Reduction #21-2 ID fan VFD tripped and would not start.</t>
  </si>
  <si>
    <t>Load Reduction #3Turbine performance due to copper deposits.</t>
  </si>
  <si>
    <t>Load Reduction #41-2 Feeder tripped due to wet coal.</t>
  </si>
  <si>
    <t>F540Load Reduction #5Load was reduced to repair a LPSW leak on H2 cooler.</t>
  </si>
  <si>
    <t>Load Reduction #61-1 BFP tripped due to control oil issues.</t>
  </si>
  <si>
    <t>Load Reduction #71-2 Feeder tripped due to wet coal plugging the chute.</t>
  </si>
  <si>
    <t xml:space="preserve">Load Reduction #81-5 Mill had a noise in the grinding section.  Took the mill off </t>
  </si>
  <si>
    <t xml:space="preserve">F380Outage #3A water wall tube leak developed on 9 1/3 floor, northeast corner of </t>
  </si>
  <si>
    <t>Load Reduction #9Load reduced due to turbine degradation.</t>
  </si>
  <si>
    <t>F540Load Reduction #10U1 tube leak suspected water cooled spacer tube.</t>
  </si>
  <si>
    <t>F380Outage #4Unit had been running with tube leak in boiler that could be heard bu</t>
  </si>
  <si>
    <t>F590Outage #5Unit had been off line due to a reheat pendant tube leak.  Afterlea</t>
  </si>
  <si>
    <t xml:space="preserve">Outage #6The unit had come on line from the Spring Planned Outage at 13:47 with a </t>
  </si>
  <si>
    <t xml:space="preserve">Load Reduction #11U1 Boiler silica was high after the Spring Outage.  This caused </t>
  </si>
  <si>
    <t>Load Reduction #121-6 Mill was removed from service to inspect due to noise.</t>
  </si>
  <si>
    <t>Load Reduction #131-5 Mill was out of service due to noise in the grinding section</t>
  </si>
  <si>
    <t>Load Reduction #141-6 Mill pyrite scraper broke.</t>
  </si>
  <si>
    <t>Load Reduction #151-1 ID fan trippped due to VFD control problems.</t>
  </si>
  <si>
    <t>Load Reduction #161-1 ID fan trippped due to VFD control problems.</t>
  </si>
  <si>
    <t>Load Reduction #171-1 ID fan VFD C phase input CT failed.</t>
  </si>
  <si>
    <t>Load Reduction #181-6 mill pyrite scraper broke off.</t>
  </si>
  <si>
    <t>F060Load Reduction #191-1 Mill pyrite scraper broke.</t>
  </si>
  <si>
    <t>Load Reduction #201-1 ID fan VFD high temperature alarm.  Dropped load to help red</t>
  </si>
  <si>
    <t>F590Load Reduction #211-5 Mill was removed from service for west journal replaceme</t>
  </si>
  <si>
    <t>Station Service Power Distribution System - General</t>
  </si>
  <si>
    <t>Load Reduction #12-6 Mill out of service to retorque race.</t>
  </si>
  <si>
    <t>Load Reduction #32-4 Mill tripped for no apparent reason.</t>
  </si>
  <si>
    <t>Load Reduction #42-2 BFP oil seal leaking oil had to take pump off to reseat seal.</t>
  </si>
  <si>
    <t>Load Reduction #52-1 Feeder tripped due to frozen coal.</t>
  </si>
  <si>
    <t>F540Outage #1The unit was running with a hydrogen leak in the generator.  The leak</t>
  </si>
  <si>
    <t xml:space="preserve">Load Reduction #6Unit 2 was derated after start up due to reduced pressure caused </t>
  </si>
  <si>
    <t xml:space="preserve">Load Reduction #7Unit 2 was derated after start up due to reduced pressure caused </t>
  </si>
  <si>
    <t>Load Reduction #8Unit 2 was derated due to HP heater level control issues.</t>
  </si>
  <si>
    <t>Load Reduction #9Unit 2 was derated due to 3 feedwater heaters being out of servic</t>
  </si>
  <si>
    <t>Load Reduction #10Unit 2 was derated due to HP heater level controls.</t>
  </si>
  <si>
    <t>F540Outage #2A water wall tube leak developed on 8th floor SE corner of the boiler</t>
  </si>
  <si>
    <t>Load Reduction #112-1 BCWP safety leaking.  Dropped load to get safety to reseat.</t>
  </si>
  <si>
    <t xml:space="preserve">Load Reduction #122-1 BCWP safety leaking.  Dropped load to 400 MWs to get safety </t>
  </si>
  <si>
    <t>Load Reductiom #132-2 BFP started slinging oil from IB seal.  Had to drop load and</t>
  </si>
  <si>
    <t xml:space="preserve">Load Reduction #142-2 BFP IB bearing started leaking oil.  Had to remove the pump </t>
  </si>
  <si>
    <t>Load Reduction #152-2 Mill pyrite scraper broke off.</t>
  </si>
  <si>
    <t>Load Reduction #162-2 ID fan tripped on false vibration indication</t>
  </si>
  <si>
    <t xml:space="preserve">F380Outage #3Unit 2 has been running with a water wall tube leak for over a week. </t>
  </si>
  <si>
    <t>Load Reduction #17Took High Pressure heaters out of service to check for leaks.</t>
  </si>
  <si>
    <t>Load Reduction #182-2 Mill pyrite scraper broke off.</t>
  </si>
  <si>
    <t xml:space="preserve">Load Reduction #192-4 Mill vane wheel and pyrite scraper broke.  </t>
  </si>
  <si>
    <t>Load Reduction #20Relay in 2-2 Mill 4KV breaker failed causing the mill to trip.</t>
  </si>
  <si>
    <t>Load Reduction #212-4 Mill was removed for inspection.</t>
  </si>
  <si>
    <t>Load Reduction #222-4 mill out of service.  Pyrite scrapers broken off.</t>
  </si>
  <si>
    <t>Load Reduction #232-1 Mill feeder motor failed.</t>
  </si>
  <si>
    <t>Load Reduction #242-5 Mill air flow went to minimum causing mill to load up.</t>
  </si>
  <si>
    <t>Load Reduction #252-2 Mill journal locked up.</t>
  </si>
  <si>
    <t>F590Outage #4Removed the unit from service to perform the annual Planned Outage.</t>
  </si>
  <si>
    <t>Load Reduction #26Silica levels were high in the boiler after the unit returned to</t>
  </si>
  <si>
    <t>F590Load Reduction #272-4 Mill is out of service to rebuild the gear box.</t>
  </si>
  <si>
    <t>F590Load Reduction #282-4 Mill is out of service to rebuild the gear box.</t>
  </si>
  <si>
    <t xml:space="preserve">F790Outage #5A new Main Turbine Mechanical Overspeed trip mechanism was installed </t>
  </si>
  <si>
    <t xml:space="preserve">Load Reduction #292-4 Mill gear box rebuild derate continued following the Unit 2 </t>
  </si>
  <si>
    <t>Load Reduction #302-2 mill seal air hose leaking.</t>
  </si>
  <si>
    <t>Load Reduction #312-4 mill out of service to re-torque mill race after outage repa</t>
  </si>
  <si>
    <t>Load Reduction #32Sorbent injection blower system tripped causing high emissions a</t>
  </si>
  <si>
    <t>Load Reduction #332-2 Mill journal locked up.  Parts of the journal broke the pyri</t>
  </si>
  <si>
    <t>Load Reduction #342-1 ID fan tripped when the coolant water pumps swapped.</t>
  </si>
  <si>
    <t>F590Load Reduction #352-2 Mill was out of service to replace a ceramic roll.</t>
  </si>
  <si>
    <t>Load Reduction #362-1 ID fan tripped for unknown reasons.</t>
  </si>
  <si>
    <t>Load Reduction #372-1 ID fan tripped when the coolant water pumps showed not avail</t>
  </si>
  <si>
    <t xml:space="preserve">Load Reduction #382-6 Mill 'C' burner fire.  The mill was removed from service to </t>
  </si>
  <si>
    <t>F850Outage #1Unit 3 3-2 ID fan inboard fan bearing vibration was high and increasi</t>
  </si>
  <si>
    <t>Load Reduction #13-2 ID fan outboard bearing temperature spiked.  Operators droppe</t>
  </si>
  <si>
    <t>Load Reduction #23-2 ID outboard bearing temperature spiked.</t>
  </si>
  <si>
    <t>Load Reduction #3ID fan inlet duct pressure limit was exceeded due to air heater p</t>
  </si>
  <si>
    <t>F320Outage #2Unit had been running high differential on Air Heaters.  Removed unit</t>
  </si>
  <si>
    <t>Load Reduction #5High ID fan amps.</t>
  </si>
  <si>
    <t>F540Outage #33-2 ID fan was running with a fan internal oil leak on the OB fan bea</t>
  </si>
  <si>
    <t>Load Reduction #6Lost 3-3 mill.</t>
  </si>
  <si>
    <t>Load Reduction #7U3 ID fan inlet duct in high alarm due to air heater pluggage.</t>
  </si>
  <si>
    <t xml:space="preserve">Load Reduction #8ID Fan inlet duct in high alarm.  Derate changed from 514 to 520 </t>
  </si>
  <si>
    <t xml:space="preserve">Load Reduction #9ID Fan inlet duct in high alarm.  Derate changed from 520 to 514 </t>
  </si>
  <si>
    <t xml:space="preserve">Load Reduction #10ID Fan inlet duct in high alarm. </t>
  </si>
  <si>
    <t xml:space="preserve">Load Reduction #11ID Fan inlet duct in high alarm.  </t>
  </si>
  <si>
    <t>Load Reduction #12U3 ID fan inlet duct in high alarm.</t>
  </si>
  <si>
    <t>Load Reduction #13U3 ID fan inlet duct in high alarm.</t>
  </si>
  <si>
    <t>Load Reduction #14U3 ID fan inlet duct in high alarm.</t>
  </si>
  <si>
    <t>Load Reduction #15U3 ID fan inlet duct in high alarm.</t>
  </si>
  <si>
    <t>Load Reduction #17U3 ID fan inlet duct in high alarm.</t>
  </si>
  <si>
    <t>Load Reduction #18U3 ID fan inlet duct in high alarm.</t>
  </si>
  <si>
    <t>Load Reduction #19U3 ID fan inlet duct in high alarm.</t>
  </si>
  <si>
    <t>Load Reduction #20U3 ID fan inlet duct in high alarm.</t>
  </si>
  <si>
    <t>Load Reduction #21U3 ID fan inlet duct in high alarm.</t>
  </si>
  <si>
    <t>F320Outage #4Air heater differentials have been increasing over the past weeks.  R</t>
  </si>
  <si>
    <t xml:space="preserve">F060Outage #53-2 Air heater blower was not traveling correctly.  Disconnected its </t>
  </si>
  <si>
    <t>Load Reduction #22Turbine performance.</t>
  </si>
  <si>
    <t>Load Reduction #23Turbine performance.</t>
  </si>
  <si>
    <t>Load Reduction #243-1 ID Fan inlet duct pressure became high.</t>
  </si>
  <si>
    <t>Load Reduction #25Turbine performance.</t>
  </si>
  <si>
    <t>Load Reduction #26Turbine degredation due to copper desposits.  Also, 3-2 ID fan m</t>
  </si>
  <si>
    <t>Load Reduction #27Turbine degredation due to copper desposits.  Also, 3-2 ID fan m</t>
  </si>
  <si>
    <t>Load Reduction #283-3 PA Fan inlet vane linkage broke.</t>
  </si>
  <si>
    <t>Load Reduction #29The unit derated due to turbine degredation.</t>
  </si>
  <si>
    <t>Outage #1Both unit ID fans were having spikes on bearing temperatures on fan beari</t>
  </si>
  <si>
    <t>Load Reduction #14-2 ID fan OOS due to rotor replacement.</t>
  </si>
  <si>
    <t>Load Reduction #24-2 ID fan OOS due to rotor replacement.</t>
  </si>
  <si>
    <t>Load Reduction #34-2 ID fan OOS due to rotor replacement.</t>
  </si>
  <si>
    <t>Load Reduction #44-2 ID fan OOS due to rotor replacement.</t>
  </si>
  <si>
    <t>Outage #2The unit had been running at a reduced load with the 4-2 ID fan out of se</t>
  </si>
  <si>
    <t>F850Outage #3The 4-2 ID fan could not be balanced during the Maint. Outage. Decide</t>
  </si>
  <si>
    <t>Load Reduction #54-2 ID fan off for to balance the fan rotor.</t>
  </si>
  <si>
    <t>F850Outage #4The unit was running with a derate due to 4-2 ID fan being out of ser</t>
  </si>
  <si>
    <t>Load Reduction #6Unit 4 load was reduced to repair a tube leak in 4G HP heater.</t>
  </si>
  <si>
    <t>F540Outage #5The unit was running with a tube leak in 4-2 auxiliary condenser leak</t>
  </si>
  <si>
    <t>Load Reduction #74-2 Air heater sector plate broke.</t>
  </si>
  <si>
    <t>F050Outage #64-2 Air heater had a hard radial rub.  Unit was operating with 4-2 ga</t>
  </si>
  <si>
    <t>Load Reduction #84-5 Mill pyrite chute plugged.  Removed the mill from service lon</t>
  </si>
  <si>
    <t>Load Reduction #94-6 Mill was dumping pyrites.</t>
  </si>
  <si>
    <t>F320Load Reduction #10High differential on 4-2 air heater.</t>
  </si>
  <si>
    <t>F320Load Reduction #11High differential on 4-2 air heater.</t>
  </si>
  <si>
    <t xml:space="preserve">Load Reduction #12Condenser backpressure.  </t>
  </si>
  <si>
    <t xml:space="preserve">Load Reduction #13Condenser Backpressure.  </t>
  </si>
  <si>
    <t>Load Reduction #14Condenser backpressure.</t>
  </si>
  <si>
    <t>Load Reduction #15Condenser backpressure.</t>
  </si>
  <si>
    <t>Load Reduction #174-1 feeder coal flow switch.</t>
  </si>
  <si>
    <t>Load Reduction #18Condenser backpressure.</t>
  </si>
  <si>
    <t>Load Reduction #194-1 feeder coal flow switch.</t>
  </si>
  <si>
    <t>Load Reduction #20High condenser back pressure.</t>
  </si>
  <si>
    <t>Load Reduction #21Main turbine #2 stop valve stuck in mid travel during test.</t>
  </si>
  <si>
    <t>Outage #8Servo failed on main steam stop valve #2 causing valves to close on turbi</t>
  </si>
  <si>
    <t>Load Reduction #22U4 AH differentials are running high causing ID fan duct pressur</t>
  </si>
  <si>
    <t>Load Reduction #23U4 AH differentials were running high causing ID fan duct pressu</t>
  </si>
  <si>
    <t>F320Outage #9The unit was running with high differential on the air heaters.  Remo</t>
  </si>
  <si>
    <t>Load Reduction #24The boiler windbox door was found open after the outage.  Droppe</t>
  </si>
  <si>
    <t>Load Reduction #25Ignitor oil trip valve would not open.</t>
  </si>
  <si>
    <t>F540Outage #10The unit was running with an external water wall tube leak on the bo</t>
  </si>
  <si>
    <t>Load Reduction #26The upper west superheat spray valve would not open due to the s</t>
  </si>
  <si>
    <t>Load Reduction #274-6 Feeder tripped due to pluggage.</t>
  </si>
  <si>
    <t>Load Reduction #284-2 ID fan tripped due to vibration probe failure.</t>
  </si>
  <si>
    <t>Load Reduction #294-1 ID fan tripped due to stall warning during boiler upset.</t>
  </si>
  <si>
    <t>RATA Testing</t>
  </si>
  <si>
    <t>F5901A Coal Mill - Inspection &amp; Adjust Rollers</t>
  </si>
  <si>
    <t>F170High Silica @ Warm Srart Up</t>
  </si>
  <si>
    <t>F5301C Coal Mill - Inspection</t>
  </si>
  <si>
    <t>F0901B Coal Feeder - Calibration &amp; Mill Inspection</t>
  </si>
  <si>
    <t>F0901C Coal Feeder - Calibration &amp; Mill Inspection</t>
  </si>
  <si>
    <t>F5901A Coal Mill - Adjusted Rollers</t>
  </si>
  <si>
    <t>FW001B Coal Feeder - Wet Coal Issues</t>
  </si>
  <si>
    <t>F1201A Coal Feeder - Rock on Belt</t>
  </si>
  <si>
    <t>FW00Wet Coal - Plugged Feeder</t>
  </si>
  <si>
    <t>FW00Wet Coal - Feeder Issues</t>
  </si>
  <si>
    <t>F0701C4 Coal Burner - Fire &amp; Windbox Damage</t>
  </si>
  <si>
    <t>F530Coal Burners - Inspections</t>
  </si>
  <si>
    <t>FW001C Coal Feeder - Plugged, Wet Coal</t>
  </si>
  <si>
    <t>F5901B Coal Mill Primary Air Fan - Repair Damper</t>
  </si>
  <si>
    <t>F5901A Circulating Water Pump - Discharge Valve Issue</t>
  </si>
  <si>
    <t>F5901A Coal Feeder - Repair Cleanout Conveyor</t>
  </si>
  <si>
    <t>F8501B SDRS Booster Fan - High Vibration</t>
  </si>
  <si>
    <t>F0101D Coal Feeder - Belt Alignment</t>
  </si>
  <si>
    <t>F3201B SDRS Booster Fan - Wash due to Vibration Issue</t>
  </si>
  <si>
    <t>F7901A Coal Mill - Air Flow Test</t>
  </si>
  <si>
    <t>F7901B Coal Mill - Air Flow Test</t>
  </si>
  <si>
    <t>F7901D Coal Mill - Air Flow Test</t>
  </si>
  <si>
    <t>F5901A Coal Feeder Motor - Replace</t>
  </si>
  <si>
    <t>F5901A Coal Feeder Motor - Replace, Gas Guns in Service</t>
  </si>
  <si>
    <t>F5901A Coal Feeder Motor - Wiring Issues, Gas Guns in Service</t>
  </si>
  <si>
    <t>F5901A Coal Feeder Motor - Wiring Issues</t>
  </si>
  <si>
    <t>F0101A &amp; 1B Coal Feeders - Belt Alignment</t>
  </si>
  <si>
    <t>F5901D Coal Mill - Repair Holes in Pant Leg Duct</t>
  </si>
  <si>
    <t>F420Lost Vacuum - 1B Circulating Water Pump Trip, Operator Error</t>
  </si>
  <si>
    <t>F4001C Coal Mill - Exhauster Discharge Damper Issue</t>
  </si>
  <si>
    <t>FE00SO2 Limit - Reactant Feed Valve Plugged</t>
  </si>
  <si>
    <t>F320Boiler Deslag - First Reheat</t>
  </si>
  <si>
    <t>F400ID Fans Maxed Out - High Amps</t>
  </si>
  <si>
    <t>F320Boiler Slag Buildup - First Reheater</t>
  </si>
  <si>
    <t>F5901D Coal Mill - Roller Adjustment</t>
  </si>
  <si>
    <t>F5901D Coal Mill - Replaced Roller</t>
  </si>
  <si>
    <t>F590Turbine Overhaul Extension</t>
  </si>
  <si>
    <t>F430Bus Tie Failure 4501 - Generator Lockout</t>
  </si>
  <si>
    <t>F660Low Drum Level</t>
  </si>
  <si>
    <t>F850#5 Bearing Vibration</t>
  </si>
  <si>
    <t>F170High Silica (Variable Derate)</t>
  </si>
  <si>
    <t>F850#5 Bearing vibration</t>
  </si>
  <si>
    <t>F5901A Coal Mill - Replace Breaker</t>
  </si>
  <si>
    <t>F5401B Coal Mill - B4 Coal Conduit Leak</t>
  </si>
  <si>
    <t>F5901C Coal Mill - Install Test Ports</t>
  </si>
  <si>
    <t>F5901C Coal Mill - Rearrange Distributors</t>
  </si>
  <si>
    <t>F4001B Coal Feeder - Stopped Running</t>
  </si>
  <si>
    <t>F5901C Coal Mill - Replace Riffles</t>
  </si>
  <si>
    <t>F4301B Coal Feeder - Tripping Out, Loose Wire on Tachometer</t>
  </si>
  <si>
    <t>F5901B Coal Mill - Replace Riffles</t>
  </si>
  <si>
    <t>F5901A Coal Mill - Replace Riffles</t>
  </si>
  <si>
    <t xml:space="preserve">F590High Pressure (HP) Feedwater Heater #6 - Replace Channel Side Safety Relief Valve </t>
  </si>
  <si>
    <t>F5902C Coal Mill - Adjust Rollers</t>
  </si>
  <si>
    <t>F5302C Coal Mill - Inspection, Adjust Rollers</t>
  </si>
  <si>
    <t>F5902B Coal Mill - Adjust Rollers</t>
  </si>
  <si>
    <t>F5302B Coal Mill - Inspection</t>
  </si>
  <si>
    <t>F5302C Coal Mill - Inspection</t>
  </si>
  <si>
    <t>F540Boiler Tube Leak - Primary tube failure occurred at the first tube (front to back)</t>
  </si>
  <si>
    <t>F0902A Coal Feeder - Calibration</t>
  </si>
  <si>
    <t>F7802B2 4KV Bus Breaker - Hot Spot</t>
  </si>
  <si>
    <t>F0902B Coal Feeder - Calibration</t>
  </si>
  <si>
    <t>F0902C Coal Feeder - Calibration Cancelled</t>
  </si>
  <si>
    <t>F0902C Coal Feeder - Calibration</t>
  </si>
  <si>
    <t>F0902D Coal Feeder - Calibration</t>
  </si>
  <si>
    <t>F5402B Cooling Tower Pump - Discharge Line Hatch Leak</t>
  </si>
  <si>
    <t>FW002D Coal Feeder - Plugged, Wet Coal</t>
  </si>
  <si>
    <t>F5902A Coal Feeder - Align Belt &amp; Repair Clean Out Conveyor</t>
  </si>
  <si>
    <t>F530Turbine #4 Control Valve - Low Voltage Differential Transmitter Issue</t>
  </si>
  <si>
    <t>F590Turbine #4 Control Valve - Repair Low Voltage Differential Transmitter Cable</t>
  </si>
  <si>
    <t>F5902D Coal Mill - Adjust Rollers</t>
  </si>
  <si>
    <t>F5902D Coal Mill - Exhauster Discharge Damper Repair</t>
  </si>
  <si>
    <t>F7902A Coal Mill - Air Flow Test</t>
  </si>
  <si>
    <t>F7902B,C &amp;D Coal Mills - Air Flow Test</t>
  </si>
  <si>
    <t>F5902A Coal Mill - Replace Solenoid on Exhauster Discharge Valve</t>
  </si>
  <si>
    <t>F5902A Coal Mill - Repair Breaker Racking Mechanism</t>
  </si>
  <si>
    <t>F570"B" BCP could not be placed in service due to lube oil pump not starting.</t>
  </si>
  <si>
    <t>F6602B Boiler Circulating Water Pump - Differential Trip</t>
  </si>
  <si>
    <t>F5902B Coal Mill - Repair Cone</t>
  </si>
  <si>
    <t>F590Deaerator Storage Tank - Replace Door Gasket</t>
  </si>
  <si>
    <t>F5902C Coal Mill - Clean Distributor</t>
  </si>
  <si>
    <t>F280Deaerator Heater - Crack in Shell, Steam Leak</t>
  </si>
  <si>
    <t>F720Reheat Spray Block Valve - Stuck Closed</t>
  </si>
  <si>
    <t>F4302D Coal Mill Exhauster - Gate Closed, Wiring Issue</t>
  </si>
  <si>
    <t>F540Boiler Tube Leak - Second Superheater</t>
  </si>
  <si>
    <t>F5902B Boiler Feed Pump - Breaker Repair</t>
  </si>
  <si>
    <t>F5902B Coal Mill Motor - Stator Temperature Indication, Thermocouple Repair</t>
  </si>
  <si>
    <t>F5902C Coal Mill Exhauster Fan Maintenance</t>
  </si>
  <si>
    <t>F820Loss of Fuel Trip - Rainwater in UPS (Un-interruptable Power Supply)</t>
  </si>
  <si>
    <t>F1202D Coal Feeder - Lost, Bunker Valve Plugged</t>
  </si>
  <si>
    <t>F5302B &amp; 2C Coal Mills - Inspect Exhausters</t>
  </si>
  <si>
    <t>F540Boiler Tube Leak - Economizer</t>
  </si>
  <si>
    <t>F590Reheat Spray System - Repair Air Supply Line to #2 Reheat Block Valve</t>
  </si>
  <si>
    <t>F590Sootblower Regulator - Repair</t>
  </si>
  <si>
    <t>F4003C Coal Mill - Low Primary Air Flow</t>
  </si>
  <si>
    <t>F5903B Coal Feeder - Replace Belt &amp; Inspect Hot Air Damper</t>
  </si>
  <si>
    <t>F1203A Coal Feeder - Rock on Belt</t>
  </si>
  <si>
    <t>F8203A Coal Feeder - Trip</t>
  </si>
  <si>
    <t>F0703B Coal Mill - Fire &amp; Inspection</t>
  </si>
  <si>
    <t>F5903D Coal Mill - Primary Air Fan Damper Inspection, Clean Pitot Tubes and Repair Coa</t>
  </si>
  <si>
    <t>F5303A Coal Mill Primary Air Fan - Damper Inspection</t>
  </si>
  <si>
    <t>F8203A Cooling Tower Pump - Trip, Water in E-Stop Button</t>
  </si>
  <si>
    <t>F400HPM Power Loss - Boiler Controls</t>
  </si>
  <si>
    <t>F1203C Coal Mill PA fan - cleaned pitot tubes.</t>
  </si>
  <si>
    <t>F7803D Mill Maintenance - checked stator temperature on PA Fan.</t>
  </si>
  <si>
    <t>F8203-1 Main Aux Transformer - Sudden Pressure Relay Trip</t>
  </si>
  <si>
    <t>F5903B Coal Mill - Repair Coal Leak</t>
  </si>
  <si>
    <t>F590Sootblower Regulator Repair</t>
  </si>
  <si>
    <t>F8203B Cooling Tower Pump - Trip</t>
  </si>
  <si>
    <t>F5303A Coal Mill - Inspection</t>
  </si>
  <si>
    <t>F0503A Coal Mill - Trouble with rollers</t>
  </si>
  <si>
    <t>F590Place blank in 3A-1 Recycle Pump Header</t>
  </si>
  <si>
    <t>F9203B Coal Mill Primary Air Fan - Inboard Bearing Wiped</t>
  </si>
  <si>
    <t>F590FGD 3A1 Recycle Pump - Removed Blank</t>
  </si>
  <si>
    <t>F590FGD 3A1 Recycle Pump - Installed Blank</t>
  </si>
  <si>
    <t>F4003D Primary Air Fan - Flow Issue</t>
  </si>
  <si>
    <t>F5903D Coal Mill - Clean Pitot Tubes &amp; Check Dampers</t>
  </si>
  <si>
    <t>F590Wallblowers R1 - R10 Removed Power</t>
  </si>
  <si>
    <t>F590FGD 3A1 Recycle Pump - Remove Blank</t>
  </si>
  <si>
    <t>F590FGD 3A1 Recycle Pump - Install Blank</t>
  </si>
  <si>
    <t>F8203A Induced Draft Fan - Suction Pressure High Trip</t>
  </si>
  <si>
    <t>F090SCR Dampers - Calibrate</t>
  </si>
  <si>
    <t>F7803A1 &amp; 3B3 recycle pumps not available - SO2 compliance</t>
  </si>
  <si>
    <t>F590Removed Blank from 3A1 recycle pump</t>
  </si>
  <si>
    <t>F820Tripped during Turbine Overspeed Test</t>
  </si>
  <si>
    <t>F540Turbine Driven Boiler Feed Pump - EHC Leak at High Pressure Stop Valve o-ring</t>
  </si>
  <si>
    <t>F0903A Coal Feeder - Calibration &amp; Mill Inspection</t>
  </si>
  <si>
    <t>F0903B Coal Feeder - Calibration Cancelled</t>
  </si>
  <si>
    <t>F0903B Coal Feeder - Calibration &amp; Clean Out Lower Bunker Valve</t>
  </si>
  <si>
    <t>F0903D Coal Feeder - Calibration</t>
  </si>
  <si>
    <t>F1203A Coal Mill - Foreign Object in Mill</t>
  </si>
  <si>
    <t>F5904C Coal Mill - Primary Air Fan Discharge Damper Repair</t>
  </si>
  <si>
    <t>FW004D Coal Mill - Wet Coal Issues</t>
  </si>
  <si>
    <t>F820Turbine Control Valve Test - Trip</t>
  </si>
  <si>
    <t>F5904B Coal Mill Primary Air Fan - Replace Inboard Bearing</t>
  </si>
  <si>
    <t>FW004E Coal Feeder - Wet Coal</t>
  </si>
  <si>
    <t>F540Rectifier - Repair Cooling Water Leak</t>
  </si>
  <si>
    <t>F5904B Coal Mill Primary Air Fan - Damper Repair</t>
  </si>
  <si>
    <t>F820Generator - Stator Coolant System Low Flow Trip</t>
  </si>
  <si>
    <t>F5904A2 Coal Burner - Blanked Burner</t>
  </si>
  <si>
    <t>F5904C7 Coal Burner - Blanked Burner</t>
  </si>
  <si>
    <t>F5904A Coal Feeder - Adjust Belt</t>
  </si>
  <si>
    <t>F820Loss of all FD &amp; ID Fans; 4B2 breaker trip</t>
  </si>
  <si>
    <t>F460Low Drum Level</t>
  </si>
  <si>
    <t>F820Particulate Matter Exceedance Alarm</t>
  </si>
  <si>
    <t>F820Particulate Matter Exceedance</t>
  </si>
  <si>
    <t>F400Max Steam Flow</t>
  </si>
  <si>
    <t>F520FGD Recycle Pumps - False Trip Indication</t>
  </si>
  <si>
    <t>F5904A Coal Mill - Breaker Issue</t>
  </si>
  <si>
    <t>F590Turbine Driven Boiler Feed Pump - Replace Suction Flow Transmitter</t>
  </si>
  <si>
    <t>F400Particulate Matter Issue</t>
  </si>
  <si>
    <t>F430Generator Lock-Out: Broken Wire on Current Transformer</t>
  </si>
  <si>
    <t>F780Turbine - Force Cool</t>
  </si>
  <si>
    <t>F920Generator - #8 Bearing Wiped</t>
  </si>
  <si>
    <t>F540Generator - Hydrogen Seal Leak</t>
  </si>
  <si>
    <t>F430Generator C Phase Current Transformer - Wiring Issue</t>
  </si>
  <si>
    <t>F400Max Steam Flow Issue</t>
  </si>
  <si>
    <t>F320Boiler Deslag - First Reheater4C Coal Mill - Clean Bowl Differential Reference L</t>
  </si>
  <si>
    <t>F540Generator Hydrogen Leak</t>
  </si>
  <si>
    <t>F590FGD Module - Cleaning</t>
  </si>
  <si>
    <t>F540Generator Hydrogen Leak - Bushing Box Drain</t>
  </si>
  <si>
    <t>F590Turbine Driven Boiler Feed Pump - Replace Suction Relief Valve</t>
  </si>
  <si>
    <t>F5904C Hotwell Pump Motor - Replace Outboard Bearing Sightglass</t>
  </si>
  <si>
    <t>F8204KV Bus Under Voltage Trip</t>
  </si>
  <si>
    <t>F4004B &amp; 4C Coal Feeders Trip - Low PA Flow</t>
  </si>
  <si>
    <t>F5904E Coal Feeder - Replace Load Cell</t>
  </si>
  <si>
    <t>F5904D Igniters - Replace Solenoid</t>
  </si>
  <si>
    <t>F790Sudden Load Rejection during Turbine Reheat/Intercept Valve Test</t>
  </si>
  <si>
    <t>F400Max Feedwater Flow</t>
  </si>
  <si>
    <t>F430Current Transformer - Wiring Issues</t>
  </si>
  <si>
    <t>F5304C Coal Mill - Inspection, Bowl Seal Leak</t>
  </si>
  <si>
    <t>F5904B Coal Mill - Breaker Issue, Racking Mechanism</t>
  </si>
  <si>
    <t>F5904KV Bus - Section 4B1 Repair</t>
  </si>
  <si>
    <t xml:space="preserve">F540The unit was removed from service to repair the lower slope boiler tube leak. The </t>
  </si>
  <si>
    <t>F790This de-rate was for testing of control valves. This is a weekly test of the contr</t>
  </si>
  <si>
    <t>F540The unit tripped off when we were removing the unit from service for boiler tube r</t>
  </si>
  <si>
    <t>F540This outage was to replace the tube panels on the East side of the lower slope. Th</t>
  </si>
  <si>
    <t>FR00TC1 coal mill A had a fire and D coal mill was unavailable and required a unit de-</t>
  </si>
  <si>
    <t>F820TC1 had the 1C coal feeder belt track north tripped the feeder.  Maintenance repla</t>
  </si>
  <si>
    <t>F780The 1D burner was getting hot, removed mill and inspected for cause</t>
  </si>
  <si>
    <t xml:space="preserve">FR00A mill fire caused derate.  Unable to put A mill back on after washing it out due </t>
  </si>
  <si>
    <t>F540Condenser tube leaks found in LP 1A1 condenser.  15 tubes plugged and unit returne</t>
  </si>
  <si>
    <t xml:space="preserve">FA00Unit was online and ramping.  Held on silica restriction.  Followed the condenser </t>
  </si>
  <si>
    <t>FR00A coal caught fire and resulted in unit derate to 480 MW</t>
  </si>
  <si>
    <t xml:space="preserve">F820Unit 1 A coal mill feeder tripped causing the A mill to be tripped resulting in a </t>
  </si>
  <si>
    <t>F8201B3 coal burner had a fire which ended up tripping the B coal mill.  Derate requir</t>
  </si>
  <si>
    <t>F700At 0106 there was an event at the switchyard. The 4542 A-phase coupling capacitor/</t>
  </si>
  <si>
    <t>FC00Unit 1 was derated to 300MW for deslag of the boiler.  This derate was also used t</t>
  </si>
  <si>
    <t>FR00Unit 1 had the B coal mill on fire and was taken offline and load reduced to 500MW</t>
  </si>
  <si>
    <t>FR00Unit 1 was increased to 520MW while the previous work was being conducted on the B</t>
  </si>
  <si>
    <t xml:space="preserve">F780The generator field temperature indication began reading high and came into alarm </t>
  </si>
  <si>
    <t>F780Generator field temperature remained high.  Unit was reduced another 20MW bringing</t>
  </si>
  <si>
    <t>FS00U1 was reduced to 250 MW for a planned de-slag of the boiler.</t>
  </si>
  <si>
    <t>F690The 1A TDBFP valve would not operate properly and was taken out of service to inve</t>
  </si>
  <si>
    <t>F180The D mill on Unit 1 lit off and required the mill to be shut down in order for th</t>
  </si>
  <si>
    <t xml:space="preserve">F060The solenoid on the 1F coal mill broke causing the derate.  The solenoid grounded </t>
  </si>
  <si>
    <t>F060Operations was able to increase unit load by 10MW (up to 520MW) after F Mill was r</t>
  </si>
  <si>
    <t>F540Removed the 1B Coal Mill from service and carded for inspection after water backed</t>
  </si>
  <si>
    <t>FS00Unit was derated to 350MW to perform a deslag.  Unit load was readily available sh</t>
  </si>
  <si>
    <t>F540Variable derate moving into forced outage due to SH-9 drain line leak</t>
  </si>
  <si>
    <t>F540Forced outage due to SH-9 drain line leak, repairs were completed and changed into</t>
  </si>
  <si>
    <t>F320Maintenance outage in order to perform an air heater wash after the forced outage.</t>
  </si>
  <si>
    <t>F700Problems with breaker MOD 4511. One phase shorted out, switched to reserve. Lowere</t>
  </si>
  <si>
    <t>F610The unit was derated to 525 MW to allow TDBFP swapping so I/E could make logic cha</t>
  </si>
  <si>
    <t>F590There was an issue with the TDBFP-A recirc valve when bringing the unit to full lo</t>
  </si>
  <si>
    <t>FR001B Coal mill fire required mill swap, however the O/S mill, Mill 1A, had issues ge</t>
  </si>
  <si>
    <t>F530Planned de-rate (non-curtailing) to inspect turbine valves (490 MW)</t>
  </si>
  <si>
    <t>F5401A TDBFP has had an oil leak.  The derate was to attempt to repair the valve. A ne</t>
  </si>
  <si>
    <t>F820TC1 began having exciter field voltage issues going HI and LOW.  Megavars were als</t>
  </si>
  <si>
    <t>FA00Unit was on-line and ramping and hold was placed for silica</t>
  </si>
  <si>
    <t>F790Completed a valve test on unit one turbine valves to ensure working order.  #3 and</t>
  </si>
  <si>
    <t>F780Unit 1 B Coal Mill came in at high temperature. More information in following even</t>
  </si>
  <si>
    <t>F780TC1 B Coal mill continued to increase in temperature and load was reduced further.</t>
  </si>
  <si>
    <t>FR00TC1 B Coal mill caught fire as temperatures continued to rise.  C Mill was brought</t>
  </si>
  <si>
    <t xml:space="preserve">F790Performed weekly valve test over the weekend.  </t>
  </si>
  <si>
    <t>F820When attempting to isolate the north hydrastep which was leaking and in need of re</t>
  </si>
  <si>
    <t>FA00Following the MFT and before returning to full-load the unit was placed on a silic</t>
  </si>
  <si>
    <t>F5401A TDBFP suction header annubar found leaking.  Repaired with pump O/S and returne</t>
  </si>
  <si>
    <t>F790Weekly valve test conducted over weekend.  Non-curtailing load drop to 500MW to co</t>
  </si>
  <si>
    <t>F790Weekly valve test for Unit 1.</t>
  </si>
  <si>
    <t>F590Planned maintenance to repair 1A TDBFP.</t>
  </si>
  <si>
    <t xml:space="preserve">F530Variable de-rate to come offline for a condenser inspection due to potential tube </t>
  </si>
  <si>
    <t>F540Outage for a condenser inspection for potential tube leak as well as meter mainten</t>
  </si>
  <si>
    <t>FA00Silica hold following outage.</t>
  </si>
  <si>
    <t>Generator Voltage Supply System</t>
  </si>
  <si>
    <t>F820Generator phase angle trip</t>
  </si>
  <si>
    <t>FA00Silica hold following unit trip</t>
  </si>
  <si>
    <t>FA00Derate due to silica conditions for water chemistry.</t>
  </si>
  <si>
    <t>F780The # 7 and 8 LP Turbine bearings failed just after the unit returned from planned</t>
  </si>
  <si>
    <t>F780The unit is on line and ramping up. The mills are not with-in temp. limits so we a</t>
  </si>
  <si>
    <t>F780The "2C" and "2F" Mills would not start due to temp. limits and limit switch issue</t>
  </si>
  <si>
    <t>F780The "2C" Mill would not start due to temp. limits and limit switch issues. I/E and</t>
  </si>
  <si>
    <t>FE00The ammonia system for the unit was not controlling and the load had to be reduced</t>
  </si>
  <si>
    <t>F790This planned de-rate was to allow testing on the "2F" burners by Doosan and Bechte</t>
  </si>
  <si>
    <t>F460The oil guns were causing a delay on increasing load, The oil guns would not light</t>
  </si>
  <si>
    <t xml:space="preserve">FE00The ammonia pumps would not stay running, causing an emissions issue on the unit. </t>
  </si>
  <si>
    <t xml:space="preserve">FW00The unit was limited due to issues related to wet coal the hot air dampers on the </t>
  </si>
  <si>
    <t>FE00SO2 emission issues required a derate to avoid being out of compliance</t>
  </si>
  <si>
    <t>FE00The SO2 emissions allowed for a slight increase in load, but SO2 was still causing</t>
  </si>
  <si>
    <t>FE00SO2 issues returned and required a derate for compliance</t>
  </si>
  <si>
    <t>FS00TC2 was derated in order to perform the weekly planned deslag of the boiler as rec</t>
  </si>
  <si>
    <t>FS00TC2 was ramped up in load to complete the weekly deslag of the boiler as recommend</t>
  </si>
  <si>
    <t xml:space="preserve">F660TC2 was reduced 25MW due to the ID Fan suction pressure low and running near trip </t>
  </si>
  <si>
    <t>FE00The 2A dilution air fan trip due to a plugged suction filter on the fan.  This res</t>
  </si>
  <si>
    <t>FE00Further derate to 425MW due to 2A dilution air fan trip and subsequent issues resu</t>
  </si>
  <si>
    <t>FE00Load was increased to 650MW as control was returned.  Further affect of to 2A dilu</t>
  </si>
  <si>
    <t>FW00TC2 expeirenced issues with wet coal which reduced load to 800MW for a short durat</t>
  </si>
  <si>
    <t>F820The 2D coal mill tripped with support fuel in. C Mill was put back in service to r</t>
  </si>
  <si>
    <t>F700At 0106 we had a switchyard event. The 4542 A phase coupling capacitor/wave trap l</t>
  </si>
  <si>
    <t xml:space="preserve">F820Following the cascade of equipment trips from the switchyard event, the FD and ID </t>
  </si>
  <si>
    <t>F820During ramping the feedwater flow became low and resulted in an MFT.</t>
  </si>
  <si>
    <t>F820During ramping the main steam temperature became low and caused a turbine trip.  T</t>
  </si>
  <si>
    <t>F660The baghouse differential pressure was running high while the baghouse was running</t>
  </si>
  <si>
    <t>F540Unit 2 came offline for a tube leak in the south most panel of the platen superhea</t>
  </si>
  <si>
    <t>F540After the tube leak outage, a Reheat Safety valve was found to be leaking through.</t>
  </si>
  <si>
    <t>F540Following the derate, the decision was made to remove TC2 from service to investig</t>
  </si>
  <si>
    <t xml:space="preserve">F610With 2-HR-PSV-915 being plugged, steam flow must be reduced since a safety is out </t>
  </si>
  <si>
    <t xml:space="preserve">F820While unloading an ammonia truck for U1, the transmitter being used (out of the 3 </t>
  </si>
  <si>
    <t>F820Complete details attributed to this derate are explained in Event No. 37.  Further</t>
  </si>
  <si>
    <t xml:space="preserve">FE00Due to the ammonia system being out of service (event 37 and 38), NOx issues were </t>
  </si>
  <si>
    <t>FE00Unit load was increased to 498MW as NOx limits began to come under control and ris</t>
  </si>
  <si>
    <t>F790Unit derate of 498 was maintained to conduct the low load RATA testing.  This test</t>
  </si>
  <si>
    <t>F790Load was increased to 625MW to conduct the final stage of RATA testing which was m</t>
  </si>
  <si>
    <t>F610Unit load was returned to 750MW following the completion of the RATA testing.  Thi</t>
  </si>
  <si>
    <t>F660Differential pressure on the air heater began to rise and load was reduced while i</t>
  </si>
  <si>
    <t>F780The C coal mill burner temperature alarm came in due to high temperature indicatio</t>
  </si>
  <si>
    <t xml:space="preserve">F660The air heater differential remained high after 2C mill was removed from service. </t>
  </si>
  <si>
    <t>F660The air heater differential remained high so further unit derate was required.  Lo</t>
  </si>
  <si>
    <t>FF00With the air heater differential remaining an issue and increasing, the decision t</t>
  </si>
  <si>
    <t>F820The emergency seal oil pump failed and caused the pump to fail.  Issue was a burnt</t>
  </si>
  <si>
    <t>F070The seal oil pump trip was due to a burned over current relay (as explained in eve</t>
  </si>
  <si>
    <t>F610Unit load was returned to 750MW following the return from the emergency seal oil p</t>
  </si>
  <si>
    <t>FW00Wet coal issues for Unit 2 required a de-rate.  During this time there was also an</t>
  </si>
  <si>
    <t>FW00Continued wet coal issues required further de-rate</t>
  </si>
  <si>
    <t>FW00Continued wet coal required further de-rate.  Still seeing issues with the Air Hea</t>
  </si>
  <si>
    <t>F400Unit 2 began experiences continued boiler swings after the wet coal issue was reso</t>
  </si>
  <si>
    <t>F400Continued experiencing boiler swings and reduced load further to attempt to mitiga</t>
  </si>
  <si>
    <t>F400Continued experiencing boiler swings but increased load slightly to test out boile</t>
  </si>
  <si>
    <t xml:space="preserve">F400Boiler swings still occurring and load had to be reduced further to regain boiler </t>
  </si>
  <si>
    <t>F400Load was able to be increased to 500 MW with boiler swings no longer being an issu</t>
  </si>
  <si>
    <t>F400The boiler swings were unable to be controlled further.  Unit was taken offline an</t>
  </si>
  <si>
    <t xml:space="preserve">FE00The Unit 2 outage was planned for complete modifications to the A, B, C, D, and E </t>
  </si>
  <si>
    <t>F180The original scope of the PO was completed, but additional scope identified with t</t>
  </si>
  <si>
    <t>F780Turbine shell expansion indication was not reading so we held the unit start-up un</t>
  </si>
  <si>
    <t>F870Generator lock-out occurred when flashing the field on (pulled fires out of the bo</t>
  </si>
  <si>
    <t xml:space="preserve">F830Had to place the bolts back on the Generator Pot fuse links. We were able to hold </t>
  </si>
  <si>
    <t>F420Operator failed to change over from MK VI to DCS</t>
  </si>
  <si>
    <t>F540Leak in tube weld near spiral balance header.</t>
  </si>
  <si>
    <t>F790Post outage tuning per Doosan request.  Hold at 400 MW for testing and tuning of b</t>
  </si>
  <si>
    <t>F790Further tuning at a variable de-rate following 400 MW hold increasing to 550 MW ov</t>
  </si>
  <si>
    <t>FE00Derate hold at 550MW is due to CEM particulate matter indication.  This believed t</t>
  </si>
  <si>
    <t>FE00Derate hold at 660MW is due to CEM particulate matter indication.  This believed t</t>
  </si>
  <si>
    <t>FE00Derate hold at 690MW is due to CEM particulate matter indication.  This believed t</t>
  </si>
  <si>
    <t>FE00Derate hold at 710MW is due to CEM particulate matter indication.  This believed t</t>
  </si>
  <si>
    <t>F5408A high pressure feedwater had the indicator level flange leaking.  Reduced load t</t>
  </si>
  <si>
    <t>F5408A high pressure FWH had a leaking flange on the indication level and was repaired</t>
  </si>
  <si>
    <t>F660Fan stall issues using original fan stall ring, I/E regularly cleaned ports and ch</t>
  </si>
  <si>
    <t>F660Changed from original stall ring instrumentation to newly installed fan stall ring</t>
  </si>
  <si>
    <t xml:space="preserve">FE00During the fan stall ring change-out, load level required ammonia injection to be </t>
  </si>
  <si>
    <t xml:space="preserve">FE00During boiler tuning, spikes in CO brought the unit close to the exceedance limit </t>
  </si>
  <si>
    <t>FE00High particulate readings required load derate.</t>
  </si>
  <si>
    <t>FS00Weekly deslag for Unit 2 based on OEM recommendations for cleaning the boiler.</t>
  </si>
  <si>
    <t>FS00Weekly deslag planned for Unit 2 based on OEM recommendations</t>
  </si>
  <si>
    <t>FE00High particulates required a de-rate to avoid exceeding limits.</t>
  </si>
  <si>
    <t>Generator Neutral Grounding Equipment</t>
  </si>
  <si>
    <t xml:space="preserve">Wet coal in 1-3 mill </t>
  </si>
  <si>
    <t>Turbine Gov. valve &amp; burner line maintenance 6476754 6470986</t>
  </si>
  <si>
    <t>Replace #6 governor valve control actuator 6484436</t>
  </si>
  <si>
    <t>1-2 Mill bunker fire</t>
  </si>
  <si>
    <t xml:space="preserve">SH tube leak W.O. #6487766 </t>
  </si>
  <si>
    <t xml:space="preserve">Combustion air flow at maximum limit </t>
  </si>
  <si>
    <t>1-1 BFP Motor failure 6494431</t>
  </si>
  <si>
    <t xml:space="preserve">1-1 BFP Motor failure </t>
  </si>
  <si>
    <t>Check Gen H2 Cooler for leak due to moist in sight glass. 6502387</t>
  </si>
  <si>
    <t xml:space="preserve">Repair FGD inlet duct expansion joint </t>
  </si>
  <si>
    <t xml:space="preserve">1-1 Mill full of coal tripped on startup </t>
  </si>
  <si>
    <t xml:space="preserve">Replace #4 governor valve servo 6510732  </t>
  </si>
  <si>
    <t>Replace 1-3 mill pitot tube assembly 6513440</t>
  </si>
  <si>
    <t>Inspect 1-1 &amp; 1-3 mills</t>
  </si>
  <si>
    <t>Inspect 1-2 &amp; 1-4 mills</t>
  </si>
  <si>
    <t>1-3 mil primary air fan housing leak repair - 6529878</t>
  </si>
  <si>
    <t>1-1 &amp; 1-4 mill inspection</t>
  </si>
  <si>
    <t>1-3 mill inspection</t>
  </si>
  <si>
    <t>Repair leaking cooler hose 1-1 FD Fan 6547051</t>
  </si>
  <si>
    <t>1-2 mill inspection 6534494</t>
  </si>
  <si>
    <t>1-3 mill pyrite fire 6548834</t>
  </si>
  <si>
    <t>1-4 mill tripped due to air flow issues 6552310</t>
  </si>
  <si>
    <t>1-4 mill air flow erratic 6552310</t>
  </si>
  <si>
    <t>Limited by coal quality</t>
  </si>
  <si>
    <t xml:space="preserve">Wet coal in 1-3 mill causing pluggage </t>
  </si>
  <si>
    <t>Boiler slagging causing air flow issues</t>
  </si>
  <si>
    <t xml:space="preserve">Boiler slagging causing air flow issues and pluggage </t>
  </si>
  <si>
    <t xml:space="preserve">Turbine trip on loss of condenser vacuum </t>
  </si>
  <si>
    <t xml:space="preserve">Clean coal from 1-2 mill after unit MFT </t>
  </si>
  <si>
    <t xml:space="preserve">Poor coal quality. Problems feeding and low BTU </t>
  </si>
  <si>
    <t>Clean coal bunkers for outage 1-1 bunker empty 6497431</t>
  </si>
  <si>
    <t>Clean coal bunkers for outage 1-1 &amp; 1-2 bunkers empty 6497394</t>
  </si>
  <si>
    <t>Planned outage. Various inspections, Performed annual boiler assessment, Performed loc</t>
  </si>
  <si>
    <t>1-2 mill pyrite door failed to open 6565658</t>
  </si>
  <si>
    <t xml:space="preserve">1-3 mill pyrite door failed to close  6565658 </t>
  </si>
  <si>
    <t>Boiler trip due to low drum level which occured after losing 2  mills.</t>
  </si>
  <si>
    <t xml:space="preserve">Turbine trip due to low condenser vacuum </t>
  </si>
  <si>
    <t>Wet coal plugging from bunker to feeder.</t>
  </si>
  <si>
    <t>Deslag boiler.</t>
  </si>
  <si>
    <t>1-3C burner shutoff gate not opening. 6566429</t>
  </si>
  <si>
    <t>1-3 BFP mechanical seal leak 6567750</t>
  </si>
  <si>
    <t>ID Fan trip due to high vibration 6568246</t>
  </si>
  <si>
    <t>1-2 mill broken race 6568288</t>
  </si>
  <si>
    <t>Set boiler saftey valves</t>
  </si>
  <si>
    <t>Repair 1-2 mill primary air fan bearing water leak. 6570276</t>
  </si>
  <si>
    <t xml:space="preserve">1-2 mill coal bunker pluggage. </t>
  </si>
  <si>
    <t>1-3 mill race replacement</t>
  </si>
  <si>
    <t>Inspect 1-2 CWP coupling</t>
  </si>
  <si>
    <t>1-4 mill feeder controls failed</t>
  </si>
  <si>
    <t>Generator tripped while investigating stator temp issue 6477753</t>
  </si>
  <si>
    <t>Inspect precipitators for ground 6481210</t>
  </si>
  <si>
    <t>Replace 2-1 BFP mechanical seals. Insp. 2-4 mill gearbox  6481606 6473659</t>
  </si>
  <si>
    <t xml:space="preserve">Change oil in 2-1 CWP OB bearing </t>
  </si>
  <si>
    <t>2-1 Mill pre outage inspection</t>
  </si>
  <si>
    <t>2-2 Mill pre outage inspection</t>
  </si>
  <si>
    <t>2-3 Mill pre outage inspection</t>
  </si>
  <si>
    <t>2-4 Mill pre outage inspection</t>
  </si>
  <si>
    <t>2-1C &amp; 2-1D precipitators out of service 6488094</t>
  </si>
  <si>
    <t xml:space="preserve">PM testing for BR3. Unable to startup unit during testing due to common stack. </t>
  </si>
  <si>
    <t>HP heater inlet valve packing failure 6492643</t>
  </si>
  <si>
    <t>Inspect 2-3 mill exhauster coupling 6502142</t>
  </si>
  <si>
    <t>Replace 2-1 mill west roll cover 6504209</t>
  </si>
  <si>
    <t>2-4 mill duct work explosion clean up &amp; repair 6506580 6506586</t>
  </si>
  <si>
    <t>2-4 mill duct work explosion damage</t>
  </si>
  <si>
    <t>2-4 mill duct work explosion damage 6506586</t>
  </si>
  <si>
    <t xml:space="preserve">Planned outage </t>
  </si>
  <si>
    <t>2-2 BFP rebuild 6510580</t>
  </si>
  <si>
    <t>Set boiler safeties</t>
  </si>
  <si>
    <t>2-2 BFP OB bearing temperature high 6521569</t>
  </si>
  <si>
    <t>Replace 2-2 BFP balance line stop valve 6521569</t>
  </si>
  <si>
    <t>2-4 mill broken spring bolt 6522662</t>
  </si>
  <si>
    <t>RATA testing to the bypass stack</t>
  </si>
  <si>
    <t>Replace 2-3 mill broken spring bolt 6522613</t>
  </si>
  <si>
    <t>Inspect 2-3 mill gearbox - 6529384</t>
  </si>
  <si>
    <t xml:space="preserve">Repair 2-2 mill broken spring bolt - 6532683 </t>
  </si>
  <si>
    <t xml:space="preserve">Inspect 2-3 mill concerning thrust bearing issue </t>
  </si>
  <si>
    <t xml:space="preserve">2-4 mill west door broken spring bolt </t>
  </si>
  <si>
    <t>2-4 hot air damper not making limit  6543271</t>
  </si>
  <si>
    <t>2-2 mill shaft broken</t>
  </si>
  <si>
    <t>Broken coal mill shaft 2-2 mill 6543464</t>
  </si>
  <si>
    <t>Broken shaft 2-2 mill 6543464</t>
  </si>
  <si>
    <t>Repair 2-2 BFP drain valve 6532228</t>
  </si>
  <si>
    <t>Repair condenser tube leak and other misc. issues 6522386</t>
  </si>
  <si>
    <t xml:space="preserve">2-2 BFP OB bearing hot 6546733 </t>
  </si>
  <si>
    <t xml:space="preserve">Broken shaft 2-2 mill 6543464 </t>
  </si>
  <si>
    <t>Precipitator fields out of service and tube leak repair 6546848</t>
  </si>
  <si>
    <t>2-2 BFP oil leak 6546733</t>
  </si>
  <si>
    <t>2-3 mill thrust bearing replacement 6529384</t>
  </si>
  <si>
    <t>Tube leak in boiler penthouse area. 6550561</t>
  </si>
  <si>
    <t>2-2 mill burner line temperature high</t>
  </si>
  <si>
    <t xml:space="preserve">2-2 mill burner line temperature high </t>
  </si>
  <si>
    <t xml:space="preserve">Inspect 2-1A burner line for pluggage </t>
  </si>
  <si>
    <t>Tube leak in boiler SH section - 6563627</t>
  </si>
  <si>
    <t>2-2 BFP auxiliary oil pump start failure -6564035</t>
  </si>
  <si>
    <t>2-4 mill hot damper not opening 6564036</t>
  </si>
  <si>
    <t>2-4 mill vibrating and running rough 6566773</t>
  </si>
  <si>
    <t>2-2 mill roll vibrating</t>
  </si>
  <si>
    <t>2-2 mill vibration and air flow problems 6569852</t>
  </si>
  <si>
    <t>GSU cooling fans blown fuse.  6571527</t>
  </si>
  <si>
    <t>2-4 mill feeder tripped and would not restart 6575091</t>
  </si>
  <si>
    <t>Inspection for possible metal in 2-3 mill</t>
  </si>
  <si>
    <t>2-3 mill failed to start 6575372</t>
  </si>
  <si>
    <t>Repair bottom ash hopper inside doors 6536640 &amp; 6536645</t>
  </si>
  <si>
    <t>2-1 ID Fan tachometer problems 6577705</t>
  </si>
  <si>
    <t xml:space="preserve">2-2 mill cold air damper won't operate 6581093 </t>
  </si>
  <si>
    <t>2-4 mill broken spring bolt  6581258</t>
  </si>
  <si>
    <t>2-4 mill broken spring bolt 6581258 -</t>
  </si>
  <si>
    <t xml:space="preserve">Repair 2-4 mill CO probe leak </t>
  </si>
  <si>
    <t>MFT due furn overpress from 3-2 ID Fan trip. 6474832 6474835</t>
  </si>
  <si>
    <t>3-2 ID Fan motor trip caused a boiler MFT. Further investigation found 3-1 ID Fan inle</t>
  </si>
  <si>
    <t>3-1 mill motor failed due to ground  6475403</t>
  </si>
  <si>
    <t>3F-2 HP Heater head leaking</t>
  </si>
  <si>
    <t>Install blank 3-3C burner line 6475717</t>
  </si>
  <si>
    <t xml:space="preserve">3F-2 HP Heater head leaking </t>
  </si>
  <si>
    <t>3-3 mill west roll vibration  6476725</t>
  </si>
  <si>
    <t>Check 3-3 mill rolls for vibration 6476725</t>
  </si>
  <si>
    <t>3F-2 HP heater head leaking</t>
  </si>
  <si>
    <t>Swap 3-2 BFP TO cooler, suspected leak</t>
  </si>
  <si>
    <t>3F-2 HP heater head leaking 6475012</t>
  </si>
  <si>
    <t>3-2 ID Fan Hi amps and in alarm</t>
  </si>
  <si>
    <t>Radiant RH tube leak 6477271</t>
  </si>
  <si>
    <t>3-2 mill motor high IB bearing temperature 6478807</t>
  </si>
  <si>
    <t>Annual generator reactive testing</t>
  </si>
  <si>
    <t xml:space="preserve">Radiant RH Tube leak W.O. #6484253 </t>
  </si>
  <si>
    <t>3-2 Mill feeder repeated tripping 6486882</t>
  </si>
  <si>
    <t>3-2 BFP OB bearing oil leak 6487203</t>
  </si>
  <si>
    <t>3-1 Mill riffle inspection</t>
  </si>
  <si>
    <t>3-1 mill riffle inspection</t>
  </si>
  <si>
    <t>3-1 MIl riffle inspection</t>
  </si>
  <si>
    <t>3-1 Mill riffle inspection 6485947</t>
  </si>
  <si>
    <t>Load limitation with 3-1 BCWP outage</t>
  </si>
  <si>
    <t>3-2 Mill riffle inspection 6485947</t>
  </si>
  <si>
    <t>3-2 ID Fan trip. Expansion joint failure</t>
  </si>
  <si>
    <t xml:space="preserve">Replace 3-2 ID Fan Expansion joint &amp; 3-1 BCWP </t>
  </si>
  <si>
    <t>3-2 mill riffle inspection</t>
  </si>
  <si>
    <t>3-5 mill failed to start 6491823</t>
  </si>
  <si>
    <t>3-2 mill riffle inspection 6485947</t>
  </si>
  <si>
    <t xml:space="preserve">3-2 BFP failed to start </t>
  </si>
  <si>
    <t xml:space="preserve">Full load PM testing </t>
  </si>
  <si>
    <t>3-3 mill roll replacement 6491820</t>
  </si>
  <si>
    <t>3-2  BFP bearings inspections 6492556</t>
  </si>
  <si>
    <t xml:space="preserve">3-2 BFP excessive vibration </t>
  </si>
  <si>
    <t>3-4 feeder controls erratic 6497316</t>
  </si>
  <si>
    <t>3-2 BFP excessive vibration</t>
  </si>
  <si>
    <t xml:space="preserve">3-2 BFP out of service due to excessive vibration </t>
  </si>
  <si>
    <t xml:space="preserve">3-2 BFP out of service due to excessive vibration  </t>
  </si>
  <si>
    <t>Replace coal burners  6493752</t>
  </si>
  <si>
    <t>3-2 BFP out of service due to excessive vibration   6493703</t>
  </si>
  <si>
    <t>GSU high temperature indication 6505727</t>
  </si>
  <si>
    <t>3-2 BFP out of service due to excessive vibration</t>
  </si>
  <si>
    <t>High load RATA testing 6508515</t>
  </si>
  <si>
    <t>3G-1 HP heater level controller erratic  6510138</t>
  </si>
  <si>
    <t>3-1  mill exhauster bearing vibration 6511418</t>
  </si>
  <si>
    <t>3-1 mill exhauster bearing vibration  6511418</t>
  </si>
  <si>
    <t xml:space="preserve">Unit tripped while investigating problem with vibration probes </t>
  </si>
  <si>
    <t>Replace 3-3 BCWP 6516186</t>
  </si>
  <si>
    <t>Waterwall tube leak 6518081</t>
  </si>
  <si>
    <t>Adjust 3-3 mill riffle elements, change oil in 3-2 mill motor brg. 6485947</t>
  </si>
  <si>
    <t>Adjust 3-3 mill riffle elements 6485947</t>
  </si>
  <si>
    <t>Adjust 3-3 mill riffle elements  6485947</t>
  </si>
  <si>
    <t>Replace 3-2 mill motor 6520265</t>
  </si>
  <si>
    <t>Adjust 3-5 mill riffle elements 6485947</t>
  </si>
  <si>
    <t>Waterwall tube leaks on C and D corners 6524142</t>
  </si>
  <si>
    <t>Adjust 3-4 mill riffle elements - 6485947</t>
  </si>
  <si>
    <t>Adjust 3-4 mill riffle elements 6485947</t>
  </si>
  <si>
    <t>Replace 3-1 BCWP - 6524483</t>
  </si>
  <si>
    <t xml:space="preserve">Adjust 3-4 mill riffle elements 6485947 </t>
  </si>
  <si>
    <t xml:space="preserve">3-5 Mill puff causing D corner burner damage and associated boiler tube leak.  </t>
  </si>
  <si>
    <t xml:space="preserve">Collecting 3-2 BFP vibration data </t>
  </si>
  <si>
    <t>3-2 BFPT LP governor valve indication 6545010</t>
  </si>
  <si>
    <t xml:space="preserve">Combustion tuning 6544234 </t>
  </si>
  <si>
    <t>3-2 BFP LP gov. servo problems 6546920</t>
  </si>
  <si>
    <t>3-1 mill broken spring bolt 6550819</t>
  </si>
  <si>
    <t>RATA testing at 425 mw.</t>
  </si>
  <si>
    <t xml:space="preserve">Boiler trip due to BCWP differential pressure </t>
  </si>
  <si>
    <t xml:space="preserve">3-5 mill explosion </t>
  </si>
  <si>
    <t xml:space="preserve">3-5 mill explosion, damage inspection and repair </t>
  </si>
  <si>
    <t xml:space="preserve">3-5 mill post explosion calibrations and inspections </t>
  </si>
  <si>
    <t xml:space="preserve">High exhauster to furnance pressure due to 3-5D burner out of service. </t>
  </si>
  <si>
    <t xml:space="preserve">3-3 mill exhauster bearing high vibration </t>
  </si>
  <si>
    <t xml:space="preserve">3-5A burner line coal leak </t>
  </si>
  <si>
    <t xml:space="preserve">Planned spring outage Installed new terminal tubes &amp; assemblies in radiant reheat </t>
  </si>
  <si>
    <t xml:space="preserve">Lower waterwall tube leak found during startup </t>
  </si>
  <si>
    <t>Sample line from steam drum leaking 6566287</t>
  </si>
  <si>
    <t>High silica from startup</t>
  </si>
  <si>
    <t>Setting mill rolls</t>
  </si>
  <si>
    <t xml:space="preserve">Possible leak on SW mud drum door 6566407 </t>
  </si>
  <si>
    <t>Set boiler safety valves</t>
  </si>
  <si>
    <t>Clean HWRC pump strainers 6567942</t>
  </si>
  <si>
    <t>3-1 BFP EHC low pressure governor oil leak 6571636</t>
  </si>
  <si>
    <t>Inspect 3-2 BFP coupling 6568444</t>
  </si>
  <si>
    <t xml:space="preserve">Inspect 3-1 FD Fan coupling 6576497 </t>
  </si>
  <si>
    <t>3-F2 HP heater leak</t>
  </si>
  <si>
    <t xml:space="preserve">Repair 3-F2 HP heater tube leak 6576933 </t>
  </si>
  <si>
    <t>Loose wire on ground neutral transformer 6579166</t>
  </si>
  <si>
    <t>"A" Auxiliary Transformer A phase bushing failure 6579361</t>
  </si>
  <si>
    <t xml:space="preserve">High silica after unit startup </t>
  </si>
  <si>
    <t>Waterwall tube leak at C corner upper burner level 6579764</t>
  </si>
  <si>
    <t>Load Reduction #22U1 Mill bowl differentials were running high causing the mills t</t>
  </si>
  <si>
    <t>Load Reduction #231-3 Mill pyrite scraper broke off.</t>
  </si>
  <si>
    <t>Load Reduction #241-3 Mill vane wheel came loose and broke off pyrite scrapers.</t>
  </si>
  <si>
    <t>Load Reduction #251-3 Mill off for inspection due to noise in grinding section.</t>
  </si>
  <si>
    <t>Load Reduction #261-2 Feeder plugged in throat section causing 1-2 mill to trip.</t>
  </si>
  <si>
    <t>Load Reductions #27U1 Water wall tube leak.  Reduced pressure to reduce loss of wa</t>
  </si>
  <si>
    <t>F540Outage #7Unit 1 came off line at 0753 to repair a water wall tube leak.</t>
  </si>
  <si>
    <t>Load Reduction #281-2 Mill vane wheel came loose and broke pyrite scrapers off.</t>
  </si>
  <si>
    <t>Load Reduction #291-2 Mill developed noise in the grinding section.  Removed the m</t>
  </si>
  <si>
    <t>Load Reduction #301-6 Feeder head roll bearing went out causing belt to misalign.</t>
  </si>
  <si>
    <t>Load Reduction #311-2 Mill pyrite scraper broke.</t>
  </si>
  <si>
    <t>Load Reduction #32U1 LPSW strainers plugged due to debris.  Dropped load due to tu</t>
  </si>
  <si>
    <t>Load Reduction #331-1 Mill north journal locked up.  Removed the mill from service f</t>
  </si>
  <si>
    <t>Load Reduction #341-6 Mill pyrite scraper broken off.</t>
  </si>
  <si>
    <t>F060Load Reduction #351-6 Mill off to repair a pyrite scraper.</t>
  </si>
  <si>
    <t>F850Load Reduction #361-2 Mill off for inspection.  High exhauster vibration.</t>
  </si>
  <si>
    <t>F850Load Reduction #371-3 Mill off for inspection.  Journal vibration.</t>
  </si>
  <si>
    <t>Load Reduction #381-6 Mill pyrite scraper broke off.</t>
  </si>
  <si>
    <t>Load Reduction #39Unit was limited to 200 MWs due to wet ash hopper slag pluggage.</t>
  </si>
  <si>
    <t>FS00Outage #9The unit had been reduced on load due to slag buildup on the east wal</t>
  </si>
  <si>
    <t>Load Reduction #40Unit was limited to 240 MWs due to wet ash hopper slag pluggage.</t>
  </si>
  <si>
    <t>Outage #10Unit 1 developed a very large tube leak in the upper furnace arch that w</t>
  </si>
  <si>
    <t>Load Reduction #411-3 Mill vanewheel and pyrite scraper broke off.</t>
  </si>
  <si>
    <t>Load Reduction #421-2 ID fan tripped due to loss of VFD drive.</t>
  </si>
  <si>
    <t>Load Reduction #431-2 ID fan tripped due to loss of coolant level on VFD drive.  1</t>
  </si>
  <si>
    <t>Load Reduction #441-4 Feeder belt needs replaced.</t>
  </si>
  <si>
    <t xml:space="preserve">Load Reduction #451-6 Mill pyrite scrapers broke off.  </t>
  </si>
  <si>
    <t>Load Reduction #461J Conveyor motor went out, couldn't keep silos full.  Dropped l</t>
  </si>
  <si>
    <t>Load Reduction #47H2SO4 came in alarm.  Had to drop load to clear.</t>
  </si>
  <si>
    <t>Outage #11Gland Steam Exhauster developed a tube leak which requires a unit outage</t>
  </si>
  <si>
    <t>Load Reduction #11-6 Feeder plugged due to wet coal and this tripped the mill.</t>
  </si>
  <si>
    <t>Load Reduction #21-6 Mill off to inspect and clean air flow transmitters.</t>
  </si>
  <si>
    <t>Load Reduction #31-1 Mill journal replacement.</t>
  </si>
  <si>
    <t>Load Reduction #41-6 Mill off to inspect grinding section.</t>
  </si>
  <si>
    <t>Load Reduction #51-4 Feeder belt was torn when cleanout conveyor failed.</t>
  </si>
  <si>
    <t>F540Outage #1Unit 1 had been running with a tube leak, located around IK #6, for s</t>
  </si>
  <si>
    <t>Load Reduction #6Metal hung in 1-4 mill feeder.</t>
  </si>
  <si>
    <t>Load Reduction #71-4 Feeder belt bound up.</t>
  </si>
  <si>
    <t>Load Reduction #81-4 Mill off to replace feeder discharge pipe pluggage detector.</t>
  </si>
  <si>
    <t>Load Reduction #9U1 H2SO4 was high.  Dropped load to keep it in compliance.</t>
  </si>
  <si>
    <t>Load Reduction #101-6 Mill off to inspect grinding section.</t>
  </si>
  <si>
    <t>Load Reduction #111-2 Mill off to inspect grinding section.</t>
  </si>
  <si>
    <t>F370Outage #2A leak was detected in Reheater pendant section of the boiler.  Dispa</t>
  </si>
  <si>
    <t>Load Reduction #121-1 Mill off to inspect grinding section.</t>
  </si>
  <si>
    <t>Load Reduction #131-3 Mill had noise in the pyrite section.  Removed the mill to i</t>
  </si>
  <si>
    <t>Load Reduction  #141-3 Feeder belt failed. Removed from service to replace belt.</t>
  </si>
  <si>
    <t xml:space="preserve">Outage #3Water water tube leak blew out on the upper slope of the boiler about 15 </t>
  </si>
  <si>
    <t>Load Reduction  #151-3 Mill out of service to inspect pyrite section.</t>
  </si>
  <si>
    <t xml:space="preserve">F590Outage #4Unit 1 scheduled for a Planned Spring Outage.  Removed the unit from </t>
  </si>
  <si>
    <t>Load Reduction #16U1 Silica derate due to start up.</t>
  </si>
  <si>
    <t>Load Reduction #17U1 Silica derate due to start up.</t>
  </si>
  <si>
    <t>Load Reduction #181-4 Mill feeder gate inspection to check for obstruction.</t>
  </si>
  <si>
    <t>Load Reduction #191-4 Feeder breaker keeps tripping out.</t>
  </si>
  <si>
    <t xml:space="preserve">Load Reduction #20Precipitator electrical work due to TR sets shorting out during </t>
  </si>
  <si>
    <t>Load Reduction #21Multiple injection probes plugged.  Reduced load to keep H2SO4 w</t>
  </si>
  <si>
    <t>Load Reduction #22Multiple injection probes plugged.  Reduced load to keep H2SO4 w</t>
  </si>
  <si>
    <t>Load Reduction #231-1 Mill gear box vertical shaft broke.  Removed the mill from s</t>
  </si>
  <si>
    <t>Load Reduction #241-1 Mill gear box vertical shaft broke.  Removed the mill from s</t>
  </si>
  <si>
    <t>F910Outage #5Unit 1 was running with a small water wall boiler tube leak.  Loading</t>
  </si>
  <si>
    <t>Load Reduction #25Boiler drum pressure was reduced due to silica.</t>
  </si>
  <si>
    <t>Load Reduction #26GH1 H2SO4 was high.  Dropped load to keep within the set limits.</t>
  </si>
  <si>
    <t>Load Reduction #39U2 Boiler tube leak in the front superheat pendant area.  Reduce</t>
  </si>
  <si>
    <t>F540Outage #6Unit was running with tube leak in upper furnace area above upper slo</t>
  </si>
  <si>
    <t>Load Reduction #40Unit 2 was derated due to boiler drum silica being high.  Drum p</t>
  </si>
  <si>
    <t>Load Reduction #422-6 C burner fire.  Removed the mill from service.</t>
  </si>
  <si>
    <t>F530Load Reduction #432-3 Mill was off for inspection of pyrite scrapers.</t>
  </si>
  <si>
    <t>Load Reduction #442-5 Mill was off for inspection due to a noise in the pyrite sec</t>
  </si>
  <si>
    <t>Load Reduction #452-2 BFP off to replace suction safety.</t>
  </si>
  <si>
    <t>Load Reduction #46Boiler water wall leak on 7 2/3 at IR 75.  Reduced pressure unti</t>
  </si>
  <si>
    <t>F540Outage #7A leak developed in rear water wall tube on 7 1/2 level at IR #75.  D</t>
  </si>
  <si>
    <t>F540Outage #8While starting back up after the previous event with a water wall lea</t>
  </si>
  <si>
    <t>Load Reduction #472-2 BFP low pressure stop valve controls failed.</t>
  </si>
  <si>
    <t>Load Reduction #482-4 Mill off to inspect grinding section.</t>
  </si>
  <si>
    <t>Load Reduction #492-5 Mill is out of service for a planned overhaul of the mill ge</t>
  </si>
  <si>
    <t>Load Reduction #502-2 Mill off for inspection.  Found south roll down on race.</t>
  </si>
  <si>
    <t>Load Reduction #51U2 GSU developed an oil leak caused by excessive nitrogen blanke</t>
  </si>
  <si>
    <t>F060Load Reduction #522-4 Mill race clamping ring broke.</t>
  </si>
  <si>
    <t>F540Outage #9Steam was coming out of the penthouse on top of the boiler.  The pent</t>
  </si>
  <si>
    <t>F590Load Reduction #532-5 Pulverizer is out of service for an overhaul.</t>
  </si>
  <si>
    <t>Load Reduction #542-3 Mill had a fire in the pyrite section.  Removed the mill fro</t>
  </si>
  <si>
    <t>F590Load Reduction #552-3 Mill out of service to replace the dust plate in the pyr</t>
  </si>
  <si>
    <t>Load Reduction #562-4 Mill off for inspection due to loud noise in grinding sectio</t>
  </si>
  <si>
    <t>Load Reduction #572-2 Mill was out of service to inspect the grinding section.</t>
  </si>
  <si>
    <t>Load Reduction #582-4 Mill off for inspection due to fire on D burner line.</t>
  </si>
  <si>
    <t>Load Reduction #592-2 Mill out of service to inspect.  Found bad journal.</t>
  </si>
  <si>
    <t>Load Reduction #60Dropped load to deslag the boiler and to catch up on ash.</t>
  </si>
  <si>
    <t>F610Load Reduction #61Unit limited to 420 MWs due to FGD "A" electrical feed isola</t>
  </si>
  <si>
    <t>F610Load Reduction #62Unit limited to 420 MWs due to FGD "B" electrical feed isola</t>
  </si>
  <si>
    <t>Load Reduction #632-2 Mill is out of service due to south journal locking up.</t>
  </si>
  <si>
    <t>Load Reduction #641J Conveyor motor went out, couldn't keep silos full.  Dropped l</t>
  </si>
  <si>
    <t>Outage #11GH2 tripped off line due to loss of power feed to the U2 FGD.</t>
  </si>
  <si>
    <t>Load Reduction #652-4 Feeder belt developed a rip.</t>
  </si>
  <si>
    <t>Load Reduction #1Lost SO3 mitigation system.  Air pressure / injection causing H2S</t>
  </si>
  <si>
    <t xml:space="preserve">Load Reduction #22-6 Mill off to inspect and repair spring can shaft.  </t>
  </si>
  <si>
    <t>Load Reduction #3H2SO4 in high alarm.  Dropped load to investigate.  Blower for ou</t>
  </si>
  <si>
    <t>Load Reduction #42-6 Mill off for gear box inspection.</t>
  </si>
  <si>
    <t>Load Reduction #52-6 Mill off due to fire in the pyrite line.</t>
  </si>
  <si>
    <t>Load Reduction #62-1 Mill not grinding, took off for inspection.</t>
  </si>
  <si>
    <t>Load Reduction #72-2 Mill was removed from service to inspect due to high differen</t>
  </si>
  <si>
    <t>Load Reduction #82-5 Mill off to replace pyrite scraper.</t>
  </si>
  <si>
    <t>Load Reduction #92-6 Mill off to inspect grinding section and classifiers.</t>
  </si>
  <si>
    <t>Load Reduction #102-1 Feeder control issue.</t>
  </si>
  <si>
    <t>Load Reduction #11Removed 2-4 Mill from service for journal issue.</t>
  </si>
  <si>
    <t>Load Reduction #122-6 Feeder off to replace the belt.</t>
  </si>
  <si>
    <t>Load Reduction #132-6 Mill off to inspect the grinding section.</t>
  </si>
  <si>
    <t>Load Reduction #14Load was reduced due to a fire in 2-1 Mill.</t>
  </si>
  <si>
    <t>Load Reduction #152-4 Mill out of service for scheduled overhaul.</t>
  </si>
  <si>
    <t>F590Outage #1Unit 2 scheduled for Planned Spring Outage.  Removed the unit from se</t>
  </si>
  <si>
    <t>Load Reduction #162-4 Mill out of service for overhaul.</t>
  </si>
  <si>
    <t>Load Reduction #17Boiler water chemistry - high silica during start up.</t>
  </si>
  <si>
    <t>Load Reduction #18Unit 2 was derated due to wet ash system pluggage.</t>
  </si>
  <si>
    <t>Load Reduction #19U2 Wet ash crusher failed and ash was building up.</t>
  </si>
  <si>
    <t>Load Reduction #20U2 Wet ash crusher failed and ash was building up.  The overload</t>
  </si>
  <si>
    <t>Load Reduction #21U2 Bearing water pump motors went to ground.  Lost cooling mediu</t>
  </si>
  <si>
    <t>Load Reduction #222-3 Mill burner fire. Tripped the mill.</t>
  </si>
  <si>
    <t>Load Reduction #232-4 Feeder tripped due to wet coal plugging feeder discharge thr</t>
  </si>
  <si>
    <t>Load Reduction #242-4 Mill off to inspect the pyrite section.</t>
  </si>
  <si>
    <t>Load Reduction #25Unit 2 deslag of boiler.</t>
  </si>
  <si>
    <t>Load Reduction #262-6 Mill sensing line broke causing coal to leak out.</t>
  </si>
  <si>
    <t>F720Outage #2Unit 3 flue gas outlet damper at combined stack with Unit 2 was stick</t>
  </si>
  <si>
    <t>Load Reduction #272-1 Mill was removed from service to remove metal from pyrite se</t>
  </si>
  <si>
    <t>Outage #3Lightning strike triped U2 FGD electric feed, ID fans tripped.  Transform</t>
  </si>
  <si>
    <t>Load Reduction #282-4 BCWP seal blew.  The pump was removed from service.</t>
  </si>
  <si>
    <t>Load Reduction #292-4 BCWP is out of service due to a blown seal.Note:  This i</t>
  </si>
  <si>
    <t>Load Reduction #302-2 ID Fan tripped on high vibration.</t>
  </si>
  <si>
    <t>Load Reduction #31Unit load was reduced to remove LPSW from service in order to re</t>
  </si>
  <si>
    <t>Load Reduction #322-6 Mill off for inspection.  Not grinding and making noise.</t>
  </si>
  <si>
    <t>Load Reduction #332-1 ID Fan off for VFD coolant leak repair.</t>
  </si>
  <si>
    <t>Load Reduction #342-5 Mill had a fire in the grinding section.  Took off mill to i</t>
  </si>
  <si>
    <t>Load Reduction #352-6 Mill off due to "A" burner temp high.</t>
  </si>
  <si>
    <t>Load Reduction #362-1 ID fan off to repair coolant leak on the VFD.</t>
  </si>
  <si>
    <t>Load Reduction #372-1 BFP tripped due to loss of vacuum on auxiliary condenser.</t>
  </si>
  <si>
    <t>Load Reduction #382-5 Mill off to inspect a noise in the pyrite section.</t>
  </si>
  <si>
    <t>Load Reduction #30The unit derated due to turbine degredation.</t>
  </si>
  <si>
    <t>Load Reduction #313-6 Feeder tripped.</t>
  </si>
  <si>
    <t>Load Reduction #32The unit is derated due to turbine performance.</t>
  </si>
  <si>
    <t>F540Load Reduction #33HP Heaters are out of service for leak repair.</t>
  </si>
  <si>
    <t>Load Reduction #34Turbine performance due to copper deposits.</t>
  </si>
  <si>
    <t>Load Reduction #35U3 ID Fans reached maximum limit.</t>
  </si>
  <si>
    <t>Load Reduction #36ID Fan limited by duct pressure.</t>
  </si>
  <si>
    <t>Load Reduction #37Load is reduced due to Turbine performance.</t>
  </si>
  <si>
    <t>Load Reduction #38Turbine performance.</t>
  </si>
  <si>
    <t>Load Reduction #39Turbine performance.  ID fan running at limit.</t>
  </si>
  <si>
    <t>Load Reduction #403-1 CWP was removed from service to repair the pressure gauge.</t>
  </si>
  <si>
    <t>Outage #6While running the Main Turbine Front Standard Oil Trip Test, the Main Tur</t>
  </si>
  <si>
    <t>Load Reduction #41Turbine performance.  ID fan limit.</t>
  </si>
  <si>
    <t xml:space="preserve">Load Reduction #42H2 SO4 excursion.  </t>
  </si>
  <si>
    <t>Load Reduction #43H2 SO4 excursion.</t>
  </si>
  <si>
    <t>Load Reduction #44H2 SO4 excursion.</t>
  </si>
  <si>
    <t>Load Reduction #453-2 ID fan inboard bearing wiped.</t>
  </si>
  <si>
    <t>F920Outage #73-2 ID fan had wiped its fan bearings on 10/8/13.  Removed the fan fr</t>
  </si>
  <si>
    <t>Outage #8Unit 3 was starting up after the 3-2 ID fan OB bearing replacement and ba</t>
  </si>
  <si>
    <t>Load Reduction #46Turbine performance due to copper deposits.</t>
  </si>
  <si>
    <t>Load Reduction #473-2 ID fan amps are running high due to 3-1 fan running in manua</t>
  </si>
  <si>
    <t>Outage #9Removed the unit from service for its 2013 Planned Fall Outage.</t>
  </si>
  <si>
    <t>F920Outage #10The unit was firing to start up.  Turbine differential was running t</t>
  </si>
  <si>
    <t>Outage #11The unit had come on line with Turbine HP differential running high.  Di</t>
  </si>
  <si>
    <t>Load Reduction #48During start up of the unit, silica became high.</t>
  </si>
  <si>
    <t>Load Reduction #49Unit was limited to 200 MWs to get H2 SO4 emissions under contro</t>
  </si>
  <si>
    <t>Load Reduction #54U3 H2SO4 was above limit.  Had to drop load to get it under cont</t>
  </si>
  <si>
    <t>Load Reduction #50Unit was limited to 500 MWs to get H2SO4 emissions under control</t>
  </si>
  <si>
    <t>Load Reduction #51Unit was limited to 515 MWs to get H2SO4 emissions under control</t>
  </si>
  <si>
    <t>Load Reduction #52H2SO4 within limit.</t>
  </si>
  <si>
    <t>F920Load Reduction #533-1 ID fan off to replace the IB motor bearing.</t>
  </si>
  <si>
    <t>Load Reduction #55U3 H2SO4 was above limit.  Had to drop load to get it under cont</t>
  </si>
  <si>
    <t>Load Reduction #56U3 H2SO4 was above limit.  Had to drop load to get it under cont</t>
  </si>
  <si>
    <t>F920Outage #123-1 ID fan OB fan bearing metal temperature was rising.  Tripped the</t>
  </si>
  <si>
    <t>Load Reduction #573-1 ID fan out of service due to OB ban bearing issues.</t>
  </si>
  <si>
    <t xml:space="preserve">F920Outage #13The unit had been running without the 3-1 ID fan due to a failed OB </t>
  </si>
  <si>
    <t>Outage #14During weekly Control Valve test, the #1 Control Valve would not open ba</t>
  </si>
  <si>
    <t>Outage #15Unit 3 had been running with a suspected Condenser tube leak.  Scheduled</t>
  </si>
  <si>
    <t xml:space="preserve">Load Reduction #58Following start up of Unit 3, silica was high.  Reduced load to </t>
  </si>
  <si>
    <t>Load Reduction #593-4 Feeder belt was cut by metal.  Removed the feeder from servi</t>
  </si>
  <si>
    <t>Load Reduction #60Keeping H2S04 within limit.</t>
  </si>
  <si>
    <t xml:space="preserve">F850Outage #13-2 ID fan tripped on high vibration on OB fan bearing.  This caused </t>
  </si>
  <si>
    <t>Load Reduction #1Unit running with 3-2 ID fan out of service.</t>
  </si>
  <si>
    <t>F920Outage #2Unit 3 had been derated to minimum load due to 3-2 ID Fan tripping on</t>
  </si>
  <si>
    <t>Outage #3During the previous event, the unit had been rolled up to synchronise spe</t>
  </si>
  <si>
    <t xml:space="preserve">Load Reduction #2Load was reduced when 3-1 ID Fan blade position feedback failed, </t>
  </si>
  <si>
    <t>Load Reduction #3Derate was reported as a coal quality issue.  Actually, we were b</t>
  </si>
  <si>
    <t>Outage #4Unit 3 was taken off line after developing a boiler tube leak in the Prim</t>
  </si>
  <si>
    <t>Load Reduction #4Unit 3 was derated during startup when 3-2 ID Fan OB bearing fail</t>
  </si>
  <si>
    <t>F920Outage #5Unit 3 was taken off line to replace 3-2 ID Fan OB bearing.</t>
  </si>
  <si>
    <t xml:space="preserve">Load Reduction #53-2 ID Fan IB bearing running 9+ mils vibration.  OB fan bearing </t>
  </si>
  <si>
    <t>F920Outage #6Unit 3 has been running with 3-2 ID Fan OB Fan bearing having periodi</t>
  </si>
  <si>
    <t xml:space="preserve">Load Reduction #63-2B SO3 injection blower pressure sensing line came off causing </t>
  </si>
  <si>
    <t>Load Reduction #7Reduced load to keep H2SO4 within limit.</t>
  </si>
  <si>
    <t>Load Reduction #8Reduced load to keep H2SO4 within limit.</t>
  </si>
  <si>
    <t>Load Reduction #9Reduced load to keep H2SO4 within limit.</t>
  </si>
  <si>
    <t xml:space="preserve">Load Reduction #10Reduced load to keep H2SO4 within limit.  </t>
  </si>
  <si>
    <t>Load Reduction #11KBR electrical tie-in for Bag House and ID fan.</t>
  </si>
  <si>
    <t>Load Reduction #12ID Fans out the top. Reduced load to swap mills.</t>
  </si>
  <si>
    <t>Load Reduction #13H2SO4 out of limit for probe pluggage.</t>
  </si>
  <si>
    <t xml:space="preserve">Load Reduction #14FD fans were topping out.  </t>
  </si>
  <si>
    <t>Load Reduction #15Reduced load to keep H2SO4 within limit.</t>
  </si>
  <si>
    <t>Load Reductions #163-3 Feeder controls.</t>
  </si>
  <si>
    <t>Load Reduction #17Keeping H2SO4 within limit.  Working on sorbent blower.</t>
  </si>
  <si>
    <t>Load Reduction  #18Keeping H2SO4 within limit.  Low level on Silo feeding outlet i</t>
  </si>
  <si>
    <t>Load Reduction #19H2SO4 running high due to outlet injection probe pluggage.  Redu</t>
  </si>
  <si>
    <t>Load Reduction #20Keeping H2S04 within limit.  Outlet injection lines plugged.</t>
  </si>
  <si>
    <t>Load Reduction #21Keeping H2SO4 within limit.  3-2B Blow through valve drive chain</t>
  </si>
  <si>
    <t xml:space="preserve">Load Reduction #22Keeping H2S04 within limit.  3-2 Blow through drive chain valve </t>
  </si>
  <si>
    <t>Load Reduction #23FD fans out the top.</t>
  </si>
  <si>
    <t>Load Reduction #24FD Fans out the top.</t>
  </si>
  <si>
    <t>Load Reduction  #253-5 Mill fire.</t>
  </si>
  <si>
    <t>Load Reduction  #26Keeping H2SO4 within limits, ID Fan Injection Outlets plugged.</t>
  </si>
  <si>
    <t>Load Reduction  #27FD Fan Limit, 3-1 FD Fan Inlet Vane needs attention.</t>
  </si>
  <si>
    <t>Load Reduction  #28Keeping H2SO3 within limit.  ID Fan Outlet Injection plugged.</t>
  </si>
  <si>
    <t>Load Reduction  #29FD Fan Limit, 3-1 ID Fan Vane needs attention.</t>
  </si>
  <si>
    <t>Load Reduction #30Keeping H2SO4 within limit. ID Fan Outlet Injection plugged.</t>
  </si>
  <si>
    <t>Load Reduction  #31Keeping H2SO4 within limit.  ID Faan Outlet Injection plugged.</t>
  </si>
  <si>
    <t>Load Reduction  #32Keeping H2So4 within limit. 3-2B Drop Through Rotary valve driv</t>
  </si>
  <si>
    <t>Load Reduction  #33FD Fan limit, 3-1 FD Fan Inlet Vane needs attention.</t>
  </si>
  <si>
    <t>Load Reduction #343-5 Mill fire in top of the mill.</t>
  </si>
  <si>
    <t>Load Reduction #35Reduced load to keep H2SO4 within limit.  Inlet probes were plug</t>
  </si>
  <si>
    <t>Load Reduction #36Precision to set drum safeties.</t>
  </si>
  <si>
    <t>F590Outage #7Unit 3 was scheduled for a Planned Spring Outage.  Removed the unit f</t>
  </si>
  <si>
    <t>F590Outage #8Planned outage work was not complete by the end of the Planned Outage</t>
  </si>
  <si>
    <t>Outage #9While trying to synchronize the unit after the Sping Outage the Generator</t>
  </si>
  <si>
    <t>Load Reduction #37Boiler silica was high following startup of Unit 3 following the</t>
  </si>
  <si>
    <t>Load Reduction #38U3 Coal feeders tripping, problems with motion monitors.  Instru</t>
  </si>
  <si>
    <t>Load Reduction #39Unit 3 started up with 3-1A ID fan unavailable due to motor vibr</t>
  </si>
  <si>
    <t>Load Reduction #403-2A ID fan tripped when inlet damper limit switch indicated clo</t>
  </si>
  <si>
    <t>Load Reduction #41Unit 3 started up with 3-1A ID fan unavailable due to motor vibr</t>
  </si>
  <si>
    <t>Load Reduction #423-1 BFP would not reset, latch mechanism would not stay latched.</t>
  </si>
  <si>
    <t>Load Reduction #433-2 A ID fan VFD cell failed causing fan to trip.</t>
  </si>
  <si>
    <t>Load Reduction #443-1 FD fan shut off damper drive linkage rod broke.</t>
  </si>
  <si>
    <t>F610Outage #10Economizer section had been added during Spring Planned outage to re</t>
  </si>
  <si>
    <t>Load Reduction #45Ignitor fuel oil pressure regulator controller started to fail.</t>
  </si>
  <si>
    <t>Load Reduction #46Ignitor fuel oil pressure regulator controller failed.  Unable t</t>
  </si>
  <si>
    <t>Load Reduction #47Dropped load to check stroke of the new economizer valve that wa</t>
  </si>
  <si>
    <t>Load Reduction #48Unable to make full load because of low RH and SH steam temperat</t>
  </si>
  <si>
    <t>Load Reduction #49Unable to make full load because 3-3 and 3-5 Recycle Pumps tripp</t>
  </si>
  <si>
    <t>Load Reduction #503-2A ID Fan cooling system leaking.</t>
  </si>
  <si>
    <t>Load Reduction #513-2A ID Fan cooling system leaks.</t>
  </si>
  <si>
    <t xml:space="preserve">Outage #11Cooling tower south distribution line failed at cell #4-1.  Removed the </t>
  </si>
  <si>
    <t>F850Load Reduction #304-2 ID fan off to replace IB bearing.</t>
  </si>
  <si>
    <t>Load Reduction #31High boiler exist gas temperature.</t>
  </si>
  <si>
    <t>F540Outage #12A leak developed in the Low Temperature Superheater HRA on 8th floor</t>
  </si>
  <si>
    <t>F590Outage #13Unit 4 was removed from service to perform Planned Fall Outage maint</t>
  </si>
  <si>
    <t>Load Reduction #32Boiler silica was high after unit start up causing pressure to b</t>
  </si>
  <si>
    <t>Load Reduction #334-1 Circulating water pump is out of service due to the motor be</t>
  </si>
  <si>
    <t>Outage #14A tube leak was located in the Economizer section of the boiler.  Remove</t>
  </si>
  <si>
    <t>F430Outage #15When starting up after the previous tube leak event, the Generator V</t>
  </si>
  <si>
    <t xml:space="preserve">Load Reduction #34Back pressure is running high due to 4-1 Circulating Water Pump </t>
  </si>
  <si>
    <t>Load Reduction #35H2 SO4 problems.  Dropped load to stay under limit.</t>
  </si>
  <si>
    <t>Load Reduction #364-1 ID fan tripped due to high vibration.</t>
  </si>
  <si>
    <t>Outage #16While wiring up the new reserve feed watt hour meter a current transform</t>
  </si>
  <si>
    <t>Load Reduction #37H2 SO4 problems.  Dropped load to stay under limit.</t>
  </si>
  <si>
    <t>Load Reduction #38Load was reduced when ash holding systems became full.</t>
  </si>
  <si>
    <t>Load Reduction #39H2 SO4 problems.  Dropped load to stay under limit.</t>
  </si>
  <si>
    <t>Load Reduction #40SCR inlet temperature limit.</t>
  </si>
  <si>
    <t xml:space="preserve">Load Reduction #41H2S04 was running high.  The unit is running 2 top mills due to </t>
  </si>
  <si>
    <t>Load Reduction #424-4 Mill tripped, loss of flame.</t>
  </si>
  <si>
    <t>F850Outage #17Unit 4 had been running with 4-2 ID fan vibration getting worse.  Se</t>
  </si>
  <si>
    <t>Outage #18Unit 4 had just come on line from the previous event when it had mixed i</t>
  </si>
  <si>
    <t>Load Reduction #43Load was reduced due to a fire in 4-4 mill.</t>
  </si>
  <si>
    <t>F540Outage #19Unit 4 developed a tube leak on 8 2/3 floor on the south side of the</t>
  </si>
  <si>
    <t xml:space="preserve">F540Outage #1Unit 4 developed a tube leak on 8 2/3 floor on the south side of the </t>
  </si>
  <si>
    <t>Load Reduction #14-4 Feeder tripped.</t>
  </si>
  <si>
    <t>Load Reduction #3Reduced load to keep H2SO4 within limit.</t>
  </si>
  <si>
    <t xml:space="preserve">Load Reduction #4Planned derate to inspect 4-2 BFP leak.  Derate was planned with </t>
  </si>
  <si>
    <t>Outage #24-6 Mill Feeder coal inlet plugged causing controls to see this feeder as</t>
  </si>
  <si>
    <t>Load Reduction #5Boiler exit gas was high due to both top mills being in service w</t>
  </si>
  <si>
    <t>Load Reduction #6Temporary lime silo plugged at mixer.</t>
  </si>
  <si>
    <t>Load Reduction #7Temporary lime silo plugged at mixer.</t>
  </si>
  <si>
    <t>Load Reduction #8HP heaters are out of service to repair a tube leak in 'G' HP hea</t>
  </si>
  <si>
    <t>Load Reduction #9Turbine performance due to copper deposition.</t>
  </si>
  <si>
    <t>Load Reduction #10Needed to deslag the boiler, drum level deviation was excessive.</t>
  </si>
  <si>
    <t>Load Reduction #11Boiler exist gas temps were high.  Planned derate for deslag.</t>
  </si>
  <si>
    <t xml:space="preserve">Load Reduction #12Boiler exit gas temps running high.  Able to get back to 512 MW </t>
  </si>
  <si>
    <t>Load Reduction #13Boiler exit gas temps running high.  Planned derate for deslag.</t>
  </si>
  <si>
    <t>Outage #3Unit 4 is running with furnace pressure control on only the 4-2 ID Fan du</t>
  </si>
  <si>
    <t xml:space="preserve">Load Reduction #14FGD Limestone Slurry Header plugged.  </t>
  </si>
  <si>
    <t>Load Reduction #15FGD Limestone Slurry Header plugged.</t>
  </si>
  <si>
    <t>Load Reduction #16FGD Limestone Slurry Header plugged.</t>
  </si>
  <si>
    <t>F590Outage #4The unit was running with multiple issues.  Dispatch aligned a window</t>
  </si>
  <si>
    <t xml:space="preserve">F850Outage #5While firing the boiler from the previous event, it was noticed that </t>
  </si>
  <si>
    <t>F830Load Reduction #17Dropped load to keep boiler exist gas under limit.</t>
  </si>
  <si>
    <t>Load Reduction #18Boiler exit gas temperatures were high so load was reduced.  Agg</t>
  </si>
  <si>
    <t xml:space="preserve">Load Reduction #194-2 ID fan hydraulic leak was causing tank reservoir to need to </t>
  </si>
  <si>
    <t xml:space="preserve">F540Outage #6Unit 4 was running with 4-2 ID Fan hydraulic leak on the blade pitch </t>
  </si>
  <si>
    <t xml:space="preserve">Load Reduction #20SO3 Mitigation Instrument Air Compressor failed causing loss of </t>
  </si>
  <si>
    <t xml:space="preserve">Load Reduction #21U4 H2SO4 was high.  Electrical feed tripped out and Dry Sorbent </t>
  </si>
  <si>
    <t>Load Reduction #224-4 Mill fire in pyrite section.</t>
  </si>
  <si>
    <t>F790VAR Testing</t>
  </si>
  <si>
    <t>F5301C Coal Mill - Inspect Distributors &amp; Burner Inspection</t>
  </si>
  <si>
    <t>F120Reactant Feed Valve - Plugged</t>
  </si>
  <si>
    <t>F5901B Coal Feeder Motor - Repaired Mashed Wire</t>
  </si>
  <si>
    <t>F540Turbine #4 Control Valve - EHC Leak</t>
  </si>
  <si>
    <t>F4001B Coal Feeder - Tripping Out</t>
  </si>
  <si>
    <t>F790Full Load Capability Test</t>
  </si>
  <si>
    <t>F5901A Boiler Feed Pump Lube Oil Pump - Replace Switch</t>
  </si>
  <si>
    <t>F0901B Coal Feeder - Calibration &amp; Mill Riffles Replaced</t>
  </si>
  <si>
    <t>F430C Coal Conveyor - Wiring Issue</t>
  </si>
  <si>
    <t>F5301C3 Coal Burner - Inspected &amp; Cleaned</t>
  </si>
  <si>
    <t>F5901B Coal Feeder - Replace Power Supply Board</t>
  </si>
  <si>
    <t>F5301C3 Coal Burner - Inspection &amp; Clean Out</t>
  </si>
  <si>
    <t>F5901B Coal Feeder - Variable Frequency Drive Issue</t>
  </si>
  <si>
    <t>F5901A &amp; 1B Coal Feeders - Swap Variable Frequency Drives</t>
  </si>
  <si>
    <t>F5901A Coal Feeder - Variable Frequency Drive Issue</t>
  </si>
  <si>
    <t>F4101D Coal Feeder - Replace Relays</t>
  </si>
  <si>
    <t>F6601B FGD Booster Fan Trip - Low Lube Oil Pressure</t>
  </si>
  <si>
    <t>F6601B FGD Booster Fan - Low Lube Oil Pressure</t>
  </si>
  <si>
    <t>F5901B Coal Mill - Change Oil in Gearbox</t>
  </si>
  <si>
    <t>F540Turbine Crossover - Piping Leak Repair</t>
  </si>
  <si>
    <t>FW001D Coal Feeder - Wet Coal Issue</t>
  </si>
  <si>
    <t>FW00Boiler Trip - High Drum Level Trip due to Wet Coal Issues</t>
  </si>
  <si>
    <t>F5301D Coal Mill - Inspection, Metal in Scraper Section</t>
  </si>
  <si>
    <t>F5901D Coal Mill - Scraper Repairs</t>
  </si>
  <si>
    <t>F5301B Coal Mill - Inspection &amp; Exhauster Balanced</t>
  </si>
  <si>
    <t>F5901A Coal Feeder - Clean Out Conveyor Repair</t>
  </si>
  <si>
    <t>F5901D Coal Feeder - Replace Power Cord</t>
  </si>
  <si>
    <t>F790Full Load RATA Testing.</t>
  </si>
  <si>
    <t>F790Full Load RATA Testing</t>
  </si>
  <si>
    <t>F0501B Coal Mill - Roller Locked up</t>
  </si>
  <si>
    <t>F0501B Coal Mill - Replace Roller</t>
  </si>
  <si>
    <t>F590Set Safeties - Reheater</t>
  </si>
  <si>
    <t>F8201D Coal Feeder Tripped</t>
  </si>
  <si>
    <t>F8201D Coal Feeder, Continuous Tripping (x25)</t>
  </si>
  <si>
    <t>F5901D Coal Feeder - Replace VFD (variable frequency drive)</t>
  </si>
  <si>
    <t>F660High Back Pressure - Condenser Pluggage</t>
  </si>
  <si>
    <t>F5901D Coal Feeder - Trip Issue Repair</t>
  </si>
  <si>
    <t>F790Burners &amp; Igniters - Tuning</t>
  </si>
  <si>
    <t>F8301D Coal Feeder - Trip</t>
  </si>
  <si>
    <t>F4001D Coal Feeder - Troubleshooting Trip Issue</t>
  </si>
  <si>
    <t>F4301D Coal Feeder - Installing New Wiring</t>
  </si>
  <si>
    <t>F5901D Coal Feeder - Replace Speed Pick Up Cable</t>
  </si>
  <si>
    <t>F320Condenser - Clean Water Boxes</t>
  </si>
  <si>
    <t>F5301D Coal Feeder - Inspection</t>
  </si>
  <si>
    <t>F8201D Coal Feeder Motor - Starter Trip</t>
  </si>
  <si>
    <t>F5301B Coal Mill - Inspect Exhauster Discharge Gate</t>
  </si>
  <si>
    <t>F8201D Coal Feeder - Trip</t>
  </si>
  <si>
    <t>F5901D Coal Feeder - Replaced Circuit Board</t>
  </si>
  <si>
    <t>F320Condenser - Cleaned Water Boxes</t>
  </si>
  <si>
    <t>F460Start-up Failure - Water in UPS Cabinet</t>
  </si>
  <si>
    <t>F8501B Mill Exhauster Vent - High Vibration in bearings</t>
  </si>
  <si>
    <t>FW001D Coal Feeder - Plugged, Frozen/Wet Coal</t>
  </si>
  <si>
    <t>F5301D Coal Mill &amp; Feeder - Inspection</t>
  </si>
  <si>
    <t>F5301A Coal Mill - Inspection</t>
  </si>
  <si>
    <t>F130Turbine #2 Control Valve - Would Not Open during Valve Test</t>
  </si>
  <si>
    <t>F820High Drum Level Trip due to Turbine #2 Control Valve Issue, Replaced Fast Acting S</t>
  </si>
  <si>
    <t>FW001D Coal Feeder - Plugged, Frozen Coal</t>
  </si>
  <si>
    <t>F130Turbine #2 Control Valve - Stuck Closed</t>
  </si>
  <si>
    <t>F320Boiler Deslag - First Reheater.  Full load available if needed.</t>
  </si>
  <si>
    <t>F5901C Coal Feeder - Repair Discharge Flapper</t>
  </si>
  <si>
    <t>F320Boiler Deslag - First ReheaterFull Load Available as Needed</t>
  </si>
  <si>
    <t>F3201A Air Heater - High Differential</t>
  </si>
  <si>
    <t>F790Particulate Matter Testing</t>
  </si>
  <si>
    <t>F3201A Air heater - High Differential</t>
  </si>
  <si>
    <t>F5901C Coal Feeder - Replace Clean Out Conveyor Gearbox</t>
  </si>
  <si>
    <t>F5901C Coal Feeder - Replace Clean Out Conveyor GearboxGas Guns in Service</t>
  </si>
  <si>
    <t>F590Turbine #2 &amp; #3 Control Valves - Cleaned Servovalves</t>
  </si>
  <si>
    <t>F790Capability Test - Full Load</t>
  </si>
  <si>
    <t>F5901A Coal Mill - Adjust Rollers &amp; Mill Inspection1B Coal Feeder - Replace Integrat</t>
  </si>
  <si>
    <t>F5901D Coal Feeder - Repair Skirt</t>
  </si>
  <si>
    <t>F7801B Mill - 1B4 Coal Burner High Temperature</t>
  </si>
  <si>
    <t>F1201C Coal Feeder - Clean Out Conveyor Plugged</t>
  </si>
  <si>
    <t>FW001A &amp; 1D Coal Feeders - Wet Coal</t>
  </si>
  <si>
    <t>F820Boiler Trip - Wet Coal Issues</t>
  </si>
  <si>
    <t>FW001B &amp; 1C Coal Feeders - Wet Coal</t>
  </si>
  <si>
    <t>F870B Bus Undervoltage - Blown Fuse</t>
  </si>
  <si>
    <t>F820Turbine Trip - Unknown Reason</t>
  </si>
  <si>
    <t>F5901A Coal Mill - Repair Cone @ Bowl</t>
  </si>
  <si>
    <t>F5901A Coal Feeder - Replace Clean Out Conveyor Shear Pin</t>
  </si>
  <si>
    <t>F720Turbine #1 Main Stop Valve - Fast Acting Solenoid Would Not Open During Valve Test</t>
  </si>
  <si>
    <t>F5901A Coal Feeder - Repair Clean Out Conveyor Gearbox</t>
  </si>
  <si>
    <t>F820High Drum Level Trip - Turbine Controls</t>
  </si>
  <si>
    <t>F5901A Coal Feeder - Calibration &amp; Mill Roller Adjustment</t>
  </si>
  <si>
    <t>F790Generator Reactive Power Capability Test</t>
  </si>
  <si>
    <t>F4301A Booster Fan Motor Lead - Replace Lugs</t>
  </si>
  <si>
    <t>F540FGD "A" Reactant Feed Supply Line - Leak</t>
  </si>
  <si>
    <t>F1201D Coal Feeder - Plugged</t>
  </si>
  <si>
    <t>F400Turbine Controls Issue</t>
  </si>
  <si>
    <t>F8201A Coal Feeder - Keeps Tripping, electrical issue</t>
  </si>
  <si>
    <t>F8201A Coal Feeder - keeps tripping, electrical issue</t>
  </si>
  <si>
    <t>F590Turbine Valve Maintenace - Transferred Valves</t>
  </si>
  <si>
    <t>F1201B Coal Feeder - Plugged</t>
  </si>
  <si>
    <t>F790RATA Test - Full Load</t>
  </si>
  <si>
    <t>F5901B Coal Mill - Replace Roller</t>
  </si>
  <si>
    <t>F0901C Coal Feeder - Calibrate</t>
  </si>
  <si>
    <t>F820High Drum Level Trip due to Control Logic Issue</t>
  </si>
  <si>
    <t>F5902A,C &amp; D Coal Mills - Adjusted Rollers</t>
  </si>
  <si>
    <t>F320FGD Booster Fans - Wash &amp; Balance</t>
  </si>
  <si>
    <t>F5302C Coal Mill - Inspect Journal</t>
  </si>
  <si>
    <t>F5902C Coal Mill - Cancel Journal Replacement, Crane Issue</t>
  </si>
  <si>
    <t>F5902C Coal Mill - Replace Journal</t>
  </si>
  <si>
    <t>F3202C Coal Mill Exhauster - High Differential, Cleaned</t>
  </si>
  <si>
    <t>F3202D Coal Mill - Clean Out Classifiers</t>
  </si>
  <si>
    <t>F3202C Coal Mill - Clean Classifiers</t>
  </si>
  <si>
    <t>F5902B Coal Mill - Repair Bowl Differential Reference Line</t>
  </si>
  <si>
    <t>F8202C8 Wallblower - 480V Feed Trip</t>
  </si>
  <si>
    <t>F1202C Coal Feeder - Removed Foreign Material</t>
  </si>
  <si>
    <t>F3202D Coal Mill - Clean Classifiers</t>
  </si>
  <si>
    <t>F590FGD Module and Duct Leak Repairs</t>
  </si>
  <si>
    <t>F420Drum Level Issue - Operator Error</t>
  </si>
  <si>
    <t>F540Reduced Boiler Pressure - Boiler Tube Leak Waterwall</t>
  </si>
  <si>
    <t>F5902C Coal Mill - Inspect &amp; Clean Distributors</t>
  </si>
  <si>
    <t>F660Boiler Control - Pressure Swing</t>
  </si>
  <si>
    <t>F0902D Coal Feeder - Calibration &amp; Mill Rollers Adjustment</t>
  </si>
  <si>
    <t>F170High Silica/Wet Coal Issues</t>
  </si>
  <si>
    <t>F1202A Coal Feeder - Rock on Belt</t>
  </si>
  <si>
    <t>F540Generator - Hydrogen Leak Repair</t>
  </si>
  <si>
    <t>F5902C Coal Mill - Replace Roller and Adjust All Rollers</t>
  </si>
  <si>
    <t>F5902A Coal Mill - Exhauster Damper Linkage Repair</t>
  </si>
  <si>
    <t>F790Mid Load RATA Testing.  Full load available if needed.</t>
  </si>
  <si>
    <t>F590Deaerator Heater - Repair Shell Steam Leak</t>
  </si>
  <si>
    <t>F070Windbox Fire - C/D  #2 Corner</t>
  </si>
  <si>
    <t>F5302A Mill - Burners Inspection</t>
  </si>
  <si>
    <t>FW00High Silica and Wet Coal - 2A Coal Mill Feeder</t>
  </si>
  <si>
    <t>FW00High Silica and Wet Coal Issues - 2A, 2B and 2C Coal Mill Feeders</t>
  </si>
  <si>
    <t>F060High Silica / 2B Coal Mill Feeder Clean Out Conveyor Repairs</t>
  </si>
  <si>
    <t>F170Maintenance Outage - Boiler Chemistry</t>
  </si>
  <si>
    <t>F820Water in UPS Cabinet</t>
  </si>
  <si>
    <t>F5902B Coal Feeder - Replace Belt</t>
  </si>
  <si>
    <t>F7202B Coal Feeder - Belt Slipping</t>
  </si>
  <si>
    <t>FW002A Coal Feeder - Plugged, Frozen/Wet Coal</t>
  </si>
  <si>
    <t>F320Boiler Deslag - First Reheater.  Full load available in needed.</t>
  </si>
  <si>
    <t>FW002B Coal Feeder - Plugged, Frozen Coal</t>
  </si>
  <si>
    <t>F4502D Coal Mill - Explosion, Ductwork Repair</t>
  </si>
  <si>
    <t>F5902D Coal Mill - Ductwork Repair</t>
  </si>
  <si>
    <t>F400Feedwater Flow Issue</t>
  </si>
  <si>
    <t>F5902D Coal Mill - Adjust Rollers &amp; Inspection</t>
  </si>
  <si>
    <t>FW002A Coal Feeder - Wet Coal</t>
  </si>
  <si>
    <t>F790Particulate Matter Testing - Full Load</t>
  </si>
  <si>
    <t>F400Gas Igniter Issues</t>
  </si>
  <si>
    <t>F1202B Coal Feeder - Plugged, Foreign Material</t>
  </si>
  <si>
    <t>F4002B Induced Draft Fan - Run Back</t>
  </si>
  <si>
    <t>F5902C Coal Mill - Bowl Differential Reference Line Repair</t>
  </si>
  <si>
    <t>F320Boiler Deslag - First ReheaterFull Load available as Needed</t>
  </si>
  <si>
    <t>F1202D Coal Mill - D2 Coal Conduit Plugged</t>
  </si>
  <si>
    <t>F790Coal Mill Air Flow Testing</t>
  </si>
  <si>
    <t>F5902A Coal Mill - Classifier Adjustment</t>
  </si>
  <si>
    <t>F5902B Coal Mill - Adjusted Riffles</t>
  </si>
  <si>
    <t>F8202B Condenser Vacuum Pump - Trip due to Motor Control Center (MCC) Leads to Breaker</t>
  </si>
  <si>
    <t>F8202B Condenser Vacuum Pump - Trip Due to Motor Control Center (MCC) Leads to Breaker</t>
  </si>
  <si>
    <t>F400Feedwater Master Issue</t>
  </si>
  <si>
    <t>F5902D Coal Mill - Adjusted Riffles</t>
  </si>
  <si>
    <t>F5902A Coal Mill - Adjusted Riffles</t>
  </si>
  <si>
    <t>F5902A Coal Mill - Roller Adjustment &amp; Air Flow Test</t>
  </si>
  <si>
    <t>F5902B Boiler Feed Pump - Injection Water Line Leak Repair</t>
  </si>
  <si>
    <t>F5902C Coal Mill - Replace North Roller Door Assembly</t>
  </si>
  <si>
    <t>F0402C Coal Mill - Balance Exhauster</t>
  </si>
  <si>
    <t>F5402B3 Burner - Coal Leak</t>
  </si>
  <si>
    <t>F400Forced Draft Fans - Maxed Out</t>
  </si>
  <si>
    <t>F5903C Coal Mill - Install Duct Port</t>
  </si>
  <si>
    <t>F7803C3 Coal Burner - Inspection, High Temperature</t>
  </si>
  <si>
    <t>F590Boiler Feed Pump Turbine Driven - Mechanical Overspeed Trip Solenoid Stuck</t>
  </si>
  <si>
    <t>F5303B10 Coal Burner - Inspection</t>
  </si>
  <si>
    <t>F5903C8 Coal Burner - Blank Installed</t>
  </si>
  <si>
    <t>F660High Back Pressure due to 3G &amp; 3H Cooling Tower Fans being out of service</t>
  </si>
  <si>
    <t>F8203A2 4KV Bus Undervoltage Trip</t>
  </si>
  <si>
    <t>F5903B Coal Mill - Replace Primary Air Fan Venturi</t>
  </si>
  <si>
    <t>F660High Back Pressure due to 3A Cooling Tower Pump Motor Out of Service</t>
  </si>
  <si>
    <t>F5903D1 Coal Burner - Igniter Issue</t>
  </si>
  <si>
    <t>F5903A Coal Mill - Replace Venturi</t>
  </si>
  <si>
    <t>F5903C Coal Mill - Replace Venturi</t>
  </si>
  <si>
    <t>F120FGD Reactant Feed Line Plugged</t>
  </si>
  <si>
    <t>F5903D Coal Mill - Replace Venturi</t>
  </si>
  <si>
    <t>F540Turbine Crossover - Expansion Joint Failure</t>
  </si>
  <si>
    <t>F920Turbine Driven Boiler Feed Pump - Low Pressure Journal Bearing Wiped</t>
  </si>
  <si>
    <t>F1203A Mill - Silo Plugged</t>
  </si>
  <si>
    <t>F5903B Coal Mill - Gearbox Low Oil</t>
  </si>
  <si>
    <t>F5903D Mill - Burner Taps Repair</t>
  </si>
  <si>
    <t>F4003C Coal Mill - Alarm Logic Issue</t>
  </si>
  <si>
    <t>F7803A Mill - A2 &amp; A3 Burners High Temperature</t>
  </si>
  <si>
    <t>F7803A Mill - A2 Burner High Temperature</t>
  </si>
  <si>
    <t>F5303A Mill Primary Air Fan - Inspect Dampers</t>
  </si>
  <si>
    <t>F5303A Mill Primary Air Fan - Inspection Cancelled</t>
  </si>
  <si>
    <t>F7803A Mill - 3A3 Coal Burner High Temperature</t>
  </si>
  <si>
    <t>F5303A Mill Primary Air Fan - Inspection</t>
  </si>
  <si>
    <t>F5903A Mill - Inspect Coal Pipe Orifices</t>
  </si>
  <si>
    <t>F5903A Coal Mill - Adjust Coal Pipe Orifices</t>
  </si>
  <si>
    <t>F5903B Mill - Lower Bunker Valve Repair</t>
  </si>
  <si>
    <t>F4003C Coal Mill - Breaker Issue</t>
  </si>
  <si>
    <t>F7803A Mill - 3A10 Burner High Temperature Trip</t>
  </si>
  <si>
    <t>F1303A Mill - 3A10 Burner Blank Installed             3A6 Burner Blank Removed</t>
  </si>
  <si>
    <t>F7803C Mill - 3C4 Burner High Temperature Trip</t>
  </si>
  <si>
    <t>F7803C Mill - 3C4 Burner High Temperature</t>
  </si>
  <si>
    <t>F790Full Load - Burner Tuning</t>
  </si>
  <si>
    <t>F6303A Mill - 3A1 &amp; 3A5 Burners Removed Blanks</t>
  </si>
  <si>
    <t>F7803A Mill - 3A3 Burner High Temperature</t>
  </si>
  <si>
    <t>F5903C Coal Mill - Pyrite Hopper Repairs</t>
  </si>
  <si>
    <t>F7803D Mill - 3D1 Burner High Temperature</t>
  </si>
  <si>
    <t>F7803A Mill - 3A1 &amp; 3A9 Burners High Temperature</t>
  </si>
  <si>
    <t xml:space="preserve">F1303A Mill - 3A1 Burner Installed Blank            3A5 Burner Removed Blank </t>
  </si>
  <si>
    <t>F5903A Coal Mill - Breaker Issue</t>
  </si>
  <si>
    <t>F5303A Mill - 3A8 Burner Inspection</t>
  </si>
  <si>
    <t>F170High Silica/3C Mill Breaker Issue</t>
  </si>
  <si>
    <t>F5903C Coal Mill - Replace Pyrite Jet Pulsion</t>
  </si>
  <si>
    <t>F7803B Mill - 3B7 Burner High Temperature</t>
  </si>
  <si>
    <t>F7803A Mill - 3A2 Burner High Temperature</t>
  </si>
  <si>
    <t>F8303C Mill - Burner High Temperature Trip3D Mill - Coal Feeder Trip</t>
  </si>
  <si>
    <t>F7803A Mill - 3A8 Burner High Temperature &amp; High Silica</t>
  </si>
  <si>
    <t>F1303C Mill - 3C4 Burner Installed Blank &amp; High Silica</t>
  </si>
  <si>
    <t>F7803D Mill - 3D4 Burner High Temperature</t>
  </si>
  <si>
    <t>F7803B Mill - 3B9 Burner High Temperature</t>
  </si>
  <si>
    <t>F0103D Coal Mill Feeder - Belt off track</t>
  </si>
  <si>
    <t>F4003C and 3D Coal Mill Failed to start</t>
  </si>
  <si>
    <t>F7803A Mill - 3A9 Burner high temperature</t>
  </si>
  <si>
    <t>F7803A and 3D Mill - 3D2 Burner High Temperature</t>
  </si>
  <si>
    <t>F540Condenser Tube Leak Repairs</t>
  </si>
  <si>
    <t>F7803A Mill - Burners High Temperature</t>
  </si>
  <si>
    <t>F790Full Load Winter Capability Test</t>
  </si>
  <si>
    <t>F790Mid Flow RATA Test</t>
  </si>
  <si>
    <t>F5903C Mill - Coal Burner Logic Change</t>
  </si>
  <si>
    <t>F7903C Mill - Coal Burner Logic Testing</t>
  </si>
  <si>
    <t>F790Full Load RATA Test</t>
  </si>
  <si>
    <t>F7803D Mill - 3D7 Coal Burner High Temperature</t>
  </si>
  <si>
    <t xml:space="preserve">F5903B Mill - Coal Burner Logic Change </t>
  </si>
  <si>
    <t>F7803C Mill - 3C3 Coal Burner High Temperature</t>
  </si>
  <si>
    <t>F5903A &amp; 3D Mills - Coal Burner Logic Change Over</t>
  </si>
  <si>
    <t>F5903C Coal Mill Motor - Failed to Start, Breaker Issue</t>
  </si>
  <si>
    <t>F7803D Mill - 3D10 Coal Burner High Temperature</t>
  </si>
  <si>
    <t>F7803C Mill - 3C2 Coal Burner High Temperature</t>
  </si>
  <si>
    <t>F7803B Mill - 3B6 Coal Burner High Temperature</t>
  </si>
  <si>
    <t>F5903C Coal Feeder - Replace Speed Sensor</t>
  </si>
  <si>
    <t>F7803C Mill - 3C10 Coal Burner High Temperature</t>
  </si>
  <si>
    <t>F5903C Primary Air Fan Housing InspectionRepair Suction Box &amp; Hot Air Damper Linkage</t>
  </si>
  <si>
    <t>F7803D Mill - 3D4 Coal Burner High Temperature</t>
  </si>
  <si>
    <t>F7803C Mill - 3C1 &amp; 3C3 Coal Burners High Temperature</t>
  </si>
  <si>
    <t>F7803A Mill - 3A4 Coal Burner High Temperature</t>
  </si>
  <si>
    <t>F590FGD Demister Wash Line - Relocation</t>
  </si>
  <si>
    <t>F7803D Mill - 3D1 Coal Burner High Temperature</t>
  </si>
  <si>
    <t>F7803D Mill - 3D1 Coal Burner High Temperature3B Mill - 3B7 Coal Burner Fire</t>
  </si>
  <si>
    <t>F7803D Mill - 3D2 Coal Burner High Temperature</t>
  </si>
  <si>
    <t>F5903C Coal Mill Pyrite Hopper - Replace Top Gate</t>
  </si>
  <si>
    <t>F590Sootblower Regulator - Rebuilt</t>
  </si>
  <si>
    <t>F590FGD Mist Eliminator - Wash Line Tie In</t>
  </si>
  <si>
    <t>F5903C Primary Air Fan Outboard Bearing - High Temperature, Changed Oil</t>
  </si>
  <si>
    <t>F4003D Coal Mill - 3D2 Lighter Could Not Get in Service</t>
  </si>
  <si>
    <t>F8503A Induced Draft Fan - Outboard Bearing High Vibration</t>
  </si>
  <si>
    <t>FW003C Coal Feeder - Plugged, Wet Coal</t>
  </si>
  <si>
    <t>F5303D Coal Mill - Fire, Inspection</t>
  </si>
  <si>
    <t>F5903C Coal Feeder - Replaced Shear Pin on Clean Out Conveyor</t>
  </si>
  <si>
    <t>F8503A Induced Draft Fan - Outboard Bearing High Vibration &amp; Air Flow Issue</t>
  </si>
  <si>
    <t>F7803A Mill - 3A1 Coal Burner High Temperature</t>
  </si>
  <si>
    <t>F400Turbine Driven Boiler Feed Pump - Surging, Control Issue</t>
  </si>
  <si>
    <t>F130Turbine Driven Boiler Feed Pump - High Pressure Steam Supply Isolation</t>
  </si>
  <si>
    <t>F3203A &amp; 3B Induced Draft Fans - Clean &amp; Balance</t>
  </si>
  <si>
    <t>F400Turbine Driven Boiler Feed Pump - Swinging, Control Valve Issue</t>
  </si>
  <si>
    <t>F790Turbine Driven Boiler Feed Pump - Testing</t>
  </si>
  <si>
    <t>F5903C Coal Feeder - Breaker Issue, Water in Cabinet</t>
  </si>
  <si>
    <t>F5903C Mill Primary Air Fan - Maintenance Cancelled</t>
  </si>
  <si>
    <t>F5903C Coal Feeder - Breaker Trip Button Issue</t>
  </si>
  <si>
    <t>F5903C Coal Mill - Primary Air Fan Outboard Bearing Replaced Oil</t>
  </si>
  <si>
    <t>F1203A Cooling Tower Pump - Backflush</t>
  </si>
  <si>
    <t>F420High Furnace Pressure Trip - Operator Error</t>
  </si>
  <si>
    <t>F5903C Coal Mill Primary Air Fan - Changed Oil in Outboard Bearing</t>
  </si>
  <si>
    <t>F590Superheat Spray Regulator - Replace Bonnet Gasket</t>
  </si>
  <si>
    <t>F5903C Coal Mill - Primary Air Fan Bearing Changed Oil</t>
  </si>
  <si>
    <t>F7803C Coal Mill - 3C3 Burner High Temperature</t>
  </si>
  <si>
    <t>F5903B Coal Mill - Replaced Motor Overload Relay</t>
  </si>
  <si>
    <t>F540Boiler Tube Leak - Economizer Inlet</t>
  </si>
  <si>
    <t>F400Boiler Swing</t>
  </si>
  <si>
    <t>F7803C Coal Mill - 3C1 Burner High Temperature</t>
  </si>
  <si>
    <t>F400Unit Trip - 2% Load Set Timer Issues</t>
  </si>
  <si>
    <t>F0904C Coal Feeder - Calibration</t>
  </si>
  <si>
    <t>F5904E Coal Mill PA Fan - Repair Discharge Damper Linkage</t>
  </si>
  <si>
    <t>F4004E Coal Mill - 4E6 Igniter Issue</t>
  </si>
  <si>
    <t>F5904A Coal Mill - Seal Air Line Plugged</t>
  </si>
  <si>
    <t>F3204B, D &amp; E Coal Mill Primary Air Fans - Clean Pitot Tubes</t>
  </si>
  <si>
    <t>F4004A Coal Mill Primary Air Fan - Flow Issue</t>
  </si>
  <si>
    <t>F5904A Coal Mill - Replace Rollers</t>
  </si>
  <si>
    <t>F4904B, D &amp; E Coal Mills - Loss Lube Oil Pumps, 480V Feed to MCC (Motor Control Center</t>
  </si>
  <si>
    <t>F5904B1 FGD Wet-Dry Interface Ductwork Repair</t>
  </si>
  <si>
    <t>F540Exciter Rectifier - Cooling Water Line Leak</t>
  </si>
  <si>
    <t>F5904B Coal Feeder - Replace Cabinet Display Panel</t>
  </si>
  <si>
    <t>F4104A Precipitator Power Supply - Lost Feed Breaker</t>
  </si>
  <si>
    <t>F820Forced Draft Fans Trip due to Induced Draft Fan Speed Signal Loss</t>
  </si>
  <si>
    <t>F5304A Coal Mill - Inspect Wear Plates</t>
  </si>
  <si>
    <t>F5904C Coal Mill - Replace Scraper</t>
  </si>
  <si>
    <t>F5904D Coal Mill - 4D9 Gas Igniter Maintenance</t>
  </si>
  <si>
    <t>F850Turbine Exciter #9 Bearing - Vibration</t>
  </si>
  <si>
    <t>F850Turbine Exciter Bearing #9 Vibration - Balance ShotClosed Cooling Water System L</t>
  </si>
  <si>
    <t>F540Boiler Tube Leak - First Reheater and Main Steam Safety Repairs</t>
  </si>
  <si>
    <t>F4904A Coal Mill - Breaker Issues</t>
  </si>
  <si>
    <t>F320Particulate Matter Alarm</t>
  </si>
  <si>
    <t>F5504C Coal Mill PA Fan Damper Loose</t>
  </si>
  <si>
    <t>F4004C1 Scanner Issues, not reading</t>
  </si>
  <si>
    <t>F400Maximum Steam Flow Issue</t>
  </si>
  <si>
    <t>F4004E Coal Mill - Igniter Issue</t>
  </si>
  <si>
    <t>F790RATA Testing Full Load</t>
  </si>
  <si>
    <t>F7804C7 Coal Burner - High Temperature</t>
  </si>
  <si>
    <t>F790RATA Testing Mid Load</t>
  </si>
  <si>
    <t>F790RATA Testing - Full Load</t>
  </si>
  <si>
    <t>F5904A Coal Mill Primary Air Fan - Motor Bearing Low Oil</t>
  </si>
  <si>
    <t>F400Heater 2B Low Pressure Feedwater Heater - High Level</t>
  </si>
  <si>
    <t>F4004A Mill - 4A2 Igniter Issue</t>
  </si>
  <si>
    <t>F5904A Mill - 4A2 Igniter Replaced Actuator</t>
  </si>
  <si>
    <t>F320Boiler Deslag - First Reheater, Overheating Prevention</t>
  </si>
  <si>
    <t>F5402B Low Pressure Feedwater Heater - Leak</t>
  </si>
  <si>
    <t>F5402B Low Pressure Feedwater Heater - LeakBypassed Heaters 1A,1B, 2A &amp; 2B</t>
  </si>
  <si>
    <t>F540#2B Low Pressure Feedwater Heater - LeakBypassed Heaters 1A,1B, 2A &amp; 2B</t>
  </si>
  <si>
    <t>F590#2B Low Pressure Feedwater Heater - Leak Repairs</t>
  </si>
  <si>
    <t>F400Max Steam Flow Issues</t>
  </si>
  <si>
    <t>F660High Back Pressure/Max Steam Flow Issues</t>
  </si>
  <si>
    <t>F8504B Cooling Tower Pump Vibrations/High Back Pressure</t>
  </si>
  <si>
    <t>F5904B Cooling Tower Pump</t>
  </si>
  <si>
    <t>F430Generator Lock out - Broken Wire on Current Transformer</t>
  </si>
  <si>
    <t>FW004B Coal Silo - Plugged, Wet Coal</t>
  </si>
  <si>
    <t>F7804C Mill - 4C7 &amp; 4C9 Burners High Temperature</t>
  </si>
  <si>
    <t>F400Turbine Control Valves - EHC Issue</t>
  </si>
  <si>
    <t>F4004C Mill - Gas Igniter Issue</t>
  </si>
  <si>
    <t>F4004B &amp; 4C Mills - Gas Igniter Issues</t>
  </si>
  <si>
    <t>F7204C Mill - Gas Vent Valve Stuck Open</t>
  </si>
  <si>
    <t>F5304B Mill - Coal Burners Inspection</t>
  </si>
  <si>
    <t>F5904A Coal Feeder - VFD Beck Drive Bad Card</t>
  </si>
  <si>
    <t>F0704B Mill - Fire, 4B1 Burner Blanked Off</t>
  </si>
  <si>
    <t>F790SCR Flow Test @ Full Load</t>
  </si>
  <si>
    <t>F790SCR Flow Test - Full Load</t>
  </si>
  <si>
    <t>F5904E Coal Mill - Primary Air Fan Flow Issues</t>
  </si>
  <si>
    <t>F7804B Mill - 4B3 Coal Burner High Temperature4C Coal Mill - Inspection</t>
  </si>
  <si>
    <t>F5904B Coal Mill - Swing Valve &amp; Ignitor Gas Valve Issues</t>
  </si>
  <si>
    <t>F4004C Coal Feeder - Microprocessor Issue</t>
  </si>
  <si>
    <t>F720Turbine Overspeed Test - Linkage Stuck</t>
  </si>
  <si>
    <t>F3404A Economizer Outlet Damper - Failed to Open Completely</t>
  </si>
  <si>
    <t>F4304C Coal Feeder - Loose Connection @ Control Board</t>
  </si>
  <si>
    <t>F7804B Mill - 4B7 Coal Burner High Temperature</t>
  </si>
  <si>
    <t>F590Sootblower Regulator - Repair Positioner</t>
  </si>
  <si>
    <t>F400Low Drum Level</t>
  </si>
  <si>
    <t>F5904E Coal Mill - Pitot Tube Cleaning4C Coal Mill - Air Tap Cleaninng</t>
  </si>
  <si>
    <t>F1204E Coal Mill - Excessive PyritesCooling Tower Chemistry - Brominate</t>
  </si>
  <si>
    <t>F5904B Coal Mill - Replace Pyrite Scrapper</t>
  </si>
  <si>
    <t>F5904B Coal Mill - Replace Pyrite Scrapper (Gas Guns In)</t>
  </si>
  <si>
    <t>F5904A Coal Mill - Repair A5 Conduit Coal Sample Port</t>
  </si>
  <si>
    <t>F400Turbine EHC Control Issue - Primary Air Fan Flow</t>
  </si>
  <si>
    <t>F400Turbine EHC Control Issue - Lost All Feeders</t>
  </si>
  <si>
    <t>F400Turbine Driven Boiler Feed Pump - Feed Water Flow Issue</t>
  </si>
  <si>
    <t>F0904C Coal Feeder - Calibration4C Coal Mill - Classifiers Blade Brackets Correction</t>
  </si>
  <si>
    <t>F5304C Raw Coal Conduit to Mill - Inspection</t>
  </si>
  <si>
    <t>F1204C Coal Mill - Classifier Plugged</t>
  </si>
  <si>
    <t>F1204C Coal Mill - Classifier Plugged ( Gas In)</t>
  </si>
  <si>
    <t>F660High Back Pressure - Cooling Tower Fan Issues</t>
  </si>
  <si>
    <t>F320Boiler Deslag - First Reheater Full Load Available as Needed</t>
  </si>
  <si>
    <t>F7804B Mill - 4B6 Coal Burner High Temperature</t>
  </si>
  <si>
    <t>F5904B Mill - 4B6 Coal Burner Install Blank</t>
  </si>
  <si>
    <t>F5904A Coal Mill - Clean Pitot Tubes &amp; Repair Swing Valves</t>
  </si>
  <si>
    <t>F5904B Coal Mill Motor Stator Temperature - RTD Change Out</t>
  </si>
  <si>
    <t>F590Turbine Driven Boiler Feed Pump - Replace Suction Safety</t>
  </si>
  <si>
    <t>F1204B Coal Feeder - Plugged Foreign Material</t>
  </si>
  <si>
    <t>F5904A Coal Mill - Bowl Differential Transmitter Repair</t>
  </si>
  <si>
    <t>F320Condenser - Clean Water Box Tubesheets</t>
  </si>
  <si>
    <t>F530Burner Inspection/Maintenance</t>
  </si>
  <si>
    <t>F590FGD Maintenance - Attempt to Install blank in 4A1 Recycle Pump</t>
  </si>
  <si>
    <t>F660Boiler Pressure Swing</t>
  </si>
  <si>
    <t>F5304E Coal Mill - PA Fan Inspection</t>
  </si>
  <si>
    <t>F130FGD 4A1 Recycle Pump - Installed Blank</t>
  </si>
  <si>
    <t>F130FGD 4A1 Recycle Pump - Adjusted Blank</t>
  </si>
  <si>
    <t>F130FGD 4A1 Recycle Pump - Relocated Blank</t>
  </si>
  <si>
    <t>F5904A Coal Mill - Swing Valve Issue</t>
  </si>
  <si>
    <t>F130Feedwater Heaters #1 thru #4 - Bypassed</t>
  </si>
  <si>
    <t>F130Feedwater Heaters #1 thru 4 - Bypassed</t>
  </si>
  <si>
    <t>FA00Boiler chemistry has a silica issue requiring a derate to the boiler.</t>
  </si>
  <si>
    <t>FA00Boiler water chemistry has silica issues requiring derate.</t>
  </si>
  <si>
    <t>F540Suspected condenser tube leak from silica issues in condenser lead to this mainten</t>
  </si>
  <si>
    <t>FA00Silica-hold following outage.</t>
  </si>
  <si>
    <t>F070U1 B coal mill had a fire.  When attempting to put the A/B oil gun in service ther</t>
  </si>
  <si>
    <t>F660E coal mill began having air flow issues.</t>
  </si>
  <si>
    <t>F780E coal mill continued to have air flow issues.  With mill temperature continuing t</t>
  </si>
  <si>
    <t>F590Planned derate to perform maintenance on 1A TDBFP in order to attempt possible sol</t>
  </si>
  <si>
    <t>F790Planned derate to perform testing on Bolier Feed Pump piping hangers with Generati</t>
  </si>
  <si>
    <t>F790Planned derate to run required VAR testing on the generator electrical supply syst</t>
  </si>
  <si>
    <t>FS00Planned deslag of the boiler to prepare for coal test burn operation.  Unit was av</t>
  </si>
  <si>
    <t>F540Water coil airheater leaks were repaired and required a maintenance derate to corr</t>
  </si>
  <si>
    <t>F790Fuel testing being conducted is causing the unit to run with high O2 putting a lim</t>
  </si>
  <si>
    <t>F590Planned derate going into the outage to purge coal silos.</t>
  </si>
  <si>
    <t>F590Planned outage for boiler overhaul.  Details of boiler tube work and of other majo</t>
  </si>
  <si>
    <t>F150The power to the A and B sootblowers was tripped, potential cause was from the boi</t>
  </si>
  <si>
    <t>F540Tube failure was found after the start up failure.  Leak was at the upper arch, 8t</t>
  </si>
  <si>
    <t>FA00TC1 was online and ramping.  The load was held down some due to silica from the un</t>
  </si>
  <si>
    <t>FA00Boiler chemistry, specifically silica, was causing start-up issues and unit derate</t>
  </si>
  <si>
    <t>FA00Unit was online and ramping following a chemistry issue, and load was held down fo</t>
  </si>
  <si>
    <t>FA00Silica in the boiler water chemistry did not get to acceptable levels and derate r</t>
  </si>
  <si>
    <t>F830Coal fire outside of boiler, #2 corner, C-D elevation of the burner windbox.  Came</t>
  </si>
  <si>
    <t>FA00Unit on-line and ramping.  Load held down some due to silica from the unit outage.</t>
  </si>
  <si>
    <t>F170Scrubber chemistry, low solids due to over dilution was the main driver of the der</t>
  </si>
  <si>
    <t xml:space="preserve">FA00Boiler chemistry issues continue. Silica in the boiler water not meeting required </t>
  </si>
  <si>
    <t>F410A hard wired, DCS input for the coal feeders read "no coal on feeder" for 1 second</t>
  </si>
  <si>
    <t>F660With Unit 2 coming online following a weekend outage, TC1 is being locked into low</t>
  </si>
  <si>
    <t>FA00Silica continued to run high requiring unit derate to avoid additional issues/dama</t>
  </si>
  <si>
    <t>F540Due to the continued high silica, a condenser tube leak was suspect.  The decision</t>
  </si>
  <si>
    <t xml:space="preserve">F830The suspected condenser tube leak from the continued high silica readings brought </t>
  </si>
  <si>
    <t>F040The A ID fan required balancing and was completed during this maintenance outage p</t>
  </si>
  <si>
    <t>F870There were issues with the generator terminal voltage feedback.  Two issues were f</t>
  </si>
  <si>
    <t>FA00Following return from outage, silica remained high and required continued blow dow</t>
  </si>
  <si>
    <t>FA00Silica remained high, but was decreasing with blow down.</t>
  </si>
  <si>
    <t>FA00Silica nearing acceptable levels, last derated needed before full load possible.</t>
  </si>
  <si>
    <t>F540During start-up, BFP's began getting taxed and couldn't keep load up.  This was tr</t>
  </si>
  <si>
    <t>F780Derate due to fires in the 1D and 1E coal mills.</t>
  </si>
  <si>
    <t>F780Derate due to fires in the 1B, 1D, and 1E coal mills.</t>
  </si>
  <si>
    <t>F780Derate due to fires in the 1F coal mill.</t>
  </si>
  <si>
    <t>F780Derate due to fires in the 1A and 1E coal mills.</t>
  </si>
  <si>
    <t>F780The 1D Mill caught fire and was taken out of service to investigate in the mill an</t>
  </si>
  <si>
    <t>F780The 1B mill caught fire requiring unit derate.</t>
  </si>
  <si>
    <t>F790Completed a valve test on unit one turbine valves to ensure working order.  Unit a</t>
  </si>
  <si>
    <t>F780TC1 1B Coal mill fire caused derate on unit.</t>
  </si>
  <si>
    <t>F790Conducted testing on the U1 Ammonia Injection system.  Clean Combustion &amp; Energy w</t>
  </si>
  <si>
    <t>F790Continued testing on the U1 Ammonia Injection system.  Clean Combustion &amp; Energy w</t>
  </si>
  <si>
    <t>F780TC1 1A and 1B Coal mill fires caused derate on unit.</t>
  </si>
  <si>
    <t>F460Oil gun failure caused unit derate.</t>
  </si>
  <si>
    <t xml:space="preserve">F540Boiler tube leak was located in the penthouse at the waterwall stub that extended </t>
  </si>
  <si>
    <t>F780Derate due to fires on A and D coal mills requiring derate due to running with 4 m</t>
  </si>
  <si>
    <t>F780Derate due to fires in the B and D coal mills.</t>
  </si>
  <si>
    <t>F780Derate due to fire in the D coal mill.</t>
  </si>
  <si>
    <t>F790Holding load over 525 MW for air heater slip testing to be conducted.</t>
  </si>
  <si>
    <t>F790Holding load over 525 MW to conduct air heater slip testing.</t>
  </si>
  <si>
    <t>F790Holding the unit above 525 MW's for Air Heater Slip Testing to be conducted.  Unit</t>
  </si>
  <si>
    <t>F790Holding load above 525 MW's for ammonia slip testing for the air heaters.  Unit av</t>
  </si>
  <si>
    <t>F780Derate due to fires in the D coal mill and the E coal mill was unavailable for a m</t>
  </si>
  <si>
    <t>F780Derate required due to A &amp; B coal mill fires.</t>
  </si>
  <si>
    <t>F540The SH Spray control valve was leaking and required a unit derate to accomplish th</t>
  </si>
  <si>
    <t xml:space="preserve">F790A 525 MW minimum limit was set on the unit to accomplish air heater slip testing. </t>
  </si>
  <si>
    <t>F060Reactant supply C Limestone conveyor belt broke and issues with running backup con</t>
  </si>
  <si>
    <t>F820During load drop, operator error in valve closing caused the TDBFP main extraction</t>
  </si>
  <si>
    <t>F780Unit derate due to two coal mill issues:  1E mill had a fire that needed to be put</t>
  </si>
  <si>
    <t>F780Derate due to fire in the 1B Coal Mill.</t>
  </si>
  <si>
    <t>F540Leak in the deaerator heater head was discovered.  Unit was taken offline to repai</t>
  </si>
  <si>
    <t>F780Fires in the 1A and 1B coal mills required unit derate.</t>
  </si>
  <si>
    <t>F780Additional fire in the 1C mill following 1A and 1B mill fires required further der</t>
  </si>
  <si>
    <t>F780Additional fire in the 1D mill after fires in the 1A, 1B, and 1C mills required ad</t>
  </si>
  <si>
    <t>F780Some of the mills were returned to service.  However, unit derate was still necess</t>
  </si>
  <si>
    <t>F790Weekly valve check on the unit,  Unit available to return to full load if required</t>
  </si>
  <si>
    <t>FF00Unit was running and good for full load but with a 525 MW limit set for ammonia sl</t>
  </si>
  <si>
    <t>F790Unit was running and requested full load production to allow for the full-load tes</t>
  </si>
  <si>
    <t>FF00Unit was running &amp; good for full load with a 525 MW limit set for ammonia slip mit</t>
  </si>
  <si>
    <t>FF00Unit was running and good for full load with a 525 MW limit set for ammonia slip m</t>
  </si>
  <si>
    <t>F790Unit running and good for full load, this non-curtailing event was for the complet</t>
  </si>
  <si>
    <t>F780Derate on TC1 to 500 MW's due to D coal mill fire.  Additional issue with the E co</t>
  </si>
  <si>
    <t>F780Derate required due to fire on the 1D coal mill.</t>
  </si>
  <si>
    <t>F780Derate required due to high temperature on the 1B coal mill.</t>
  </si>
  <si>
    <t>F790Test run at full load to maintain high temperatures for unit testing.</t>
  </si>
  <si>
    <t>F790Non-curtailing derate for a planned, weekly valve check.  Unit was available to re</t>
  </si>
  <si>
    <t xml:space="preserve">F820The VFD on the 1B ID fan sent a false alarm due to a low-low cooling supply alarm </t>
  </si>
  <si>
    <t>F780TC1 D coal mill had a fire and required a derate.</t>
  </si>
  <si>
    <t>F060TC1 D coal mill breaker had an issue requiring replacement.</t>
  </si>
  <si>
    <t>F400The 1D Mill discharge valve was behaving erratically affecting mill control.</t>
  </si>
  <si>
    <t>F7801B mill fire required unit derate until OOS mill could be started</t>
  </si>
  <si>
    <t>F4001D mill discharge valve was operating erratically affecting mill control.</t>
  </si>
  <si>
    <t>F4001D coal mill discharge valve was operating erratically affecting mill control.  Ad</t>
  </si>
  <si>
    <t>F820The 1A TDBFP had an emergency governor trip removing it from service.</t>
  </si>
  <si>
    <t>F540The 1A TDBFP had an oil leak which required removal from service to repair.</t>
  </si>
  <si>
    <t>F780TC1 B Coal Mill had a fire and required removal from service and unit derate.</t>
  </si>
  <si>
    <t xml:space="preserve">FS00Non-curtailing derate was placed on the unit to complete a planned boiler deslag. </t>
  </si>
  <si>
    <t xml:space="preserve">F540TC1 boiler tube leak on 12th landing.  The waterwall tube was located on the left </t>
  </si>
  <si>
    <t>F8501B ID Fan Bearing vibrations required unit derate to keep vibrations within limits</t>
  </si>
  <si>
    <t xml:space="preserve">F790TC1 had a non-curtailing event for the weekly valve test.  The unit was available </t>
  </si>
  <si>
    <t xml:space="preserve">F060Derate was required to make necessary repairs to the ash pit hopper doors after a </t>
  </si>
  <si>
    <t>F400Derate was required due to AB oil gun issues related to B coal mill issues.</t>
  </si>
  <si>
    <t>F780Derate required when E Coal Mill tripped after it lit off.</t>
  </si>
  <si>
    <t>F780Load raised to 479MW, but derate was still due to E Coal Mill trip.</t>
  </si>
  <si>
    <t>F820Derate to 370MW due to mill runback caused by mill issues/trips.</t>
  </si>
  <si>
    <t>F820Derate to 480MW due to mill runback caused by mill issues/trips.</t>
  </si>
  <si>
    <t>F780Derate required due to 1B coal mill fire</t>
  </si>
  <si>
    <t>F780Mill fires required unit derate.</t>
  </si>
  <si>
    <t>F780Mill fires required unit derate to 450MW.</t>
  </si>
  <si>
    <t xml:space="preserve">F8501B ID fan vibrations are high requiring unit derate to keep the vibrations within </t>
  </si>
  <si>
    <t>F780Derate was required after 1B Coal mill became unavailable due to a fire and the 1D</t>
  </si>
  <si>
    <t>F820The "A" cooling tower pump tripped, the unit went into a runback which in turn tri</t>
  </si>
  <si>
    <t>F820Following the initial run back on the unit from the cooling tower pump trip and su</t>
  </si>
  <si>
    <t>F7801B coal mill caught fire and the 1A and 1D mills were unavailable requiring unit d</t>
  </si>
  <si>
    <t>F850Unit derated an additional 25 MW due to various mill issues during this period.  A</t>
  </si>
  <si>
    <t>F320TC1 required a maintenance outage to conduct an air heater wash due to increased d</t>
  </si>
  <si>
    <t>FA00This non-curtailing derate was due to a silica hold on the unit until boiler water</t>
  </si>
  <si>
    <t>F790Testing of the TC1 SCR was conducted to compare inlet/outlet/CEMS data for SCR NOx</t>
  </si>
  <si>
    <t>F540Derate was required on TC1 to 525MW due to a coal leak on the 1E mill.  The 1C Mil</t>
  </si>
  <si>
    <t>F640Derate to 530MW is required on TC1 due to high air flow on the unit from excess st</t>
  </si>
  <si>
    <t>F790Non-curtailing derate to 485MW for a weekly valve check on the unit.  Unit was rea</t>
  </si>
  <si>
    <t>F870Derate to 530MW due to high amps on the ID Fans.</t>
  </si>
  <si>
    <t>FS00TC1 had a planned maintenance derate to conduct a boiler deslag on the furnace.</t>
  </si>
  <si>
    <t>F090Unit was not derated, but load was controlled to allow for O2 probe calibration.</t>
  </si>
  <si>
    <t>F410Planned maintenance derate to allow I/E to work on the valve controls for the Rehe</t>
  </si>
  <si>
    <t>F130Derate to 525 required due to 1A and 1E coal mill having blanked burners.</t>
  </si>
  <si>
    <t xml:space="preserve">F820During a lube oil pump swap for the 1A ID Fan, the second lube oil pump failed to </t>
  </si>
  <si>
    <t>F130Derate to 525MW was required due to 1A and 1E coal mills still having burners blan</t>
  </si>
  <si>
    <t xml:space="preserve">F820While pullling pyrites on the 1E coal mill, a failed pyrite valve resulted in the </t>
  </si>
  <si>
    <t>F130Derate of 525MW is required due to 1A and 1E coal mill having burners blanked off.</t>
  </si>
  <si>
    <t>F540Derate to 375MW required to allow maintenance to repair a leak on the SCR water co</t>
  </si>
  <si>
    <t>F7801D coal mill caught fire and was removed from service causing load to drop to 375M</t>
  </si>
  <si>
    <t>F820A thermowell on the TC1 Main Steam line failed at a weld and caused a steam leak o</t>
  </si>
  <si>
    <t>F540Derate required on the unit when the 1A coal conduit began leaking.</t>
  </si>
  <si>
    <t>FE00SO2 emissions running high, derate initiated to avoid exceedance of daily limit.</t>
  </si>
  <si>
    <t>F660Fabric fitler differential pressure ran high requiring derate.</t>
  </si>
  <si>
    <t>FE00Particulates ran at a higher rate, derate initiated to avoid exceedance of daily l</t>
  </si>
  <si>
    <t>F790Tuning of the SCR by Doosan was scheduled and required a low removal rate in order</t>
  </si>
  <si>
    <t>FS00This load reduction was for weekly boiler de-slag. The load could have been return</t>
  </si>
  <si>
    <t xml:space="preserve">F660The load drop was due to high steam flow &gt;5150KPPH. This was due to having the 7A </t>
  </si>
  <si>
    <t>F790Non-curtailing event to perform unit heat rate and capability test.</t>
  </si>
  <si>
    <t>F820The 2C Recycle Pump tripped due to high temperature (203 degF).  Placed it back in</t>
  </si>
  <si>
    <t>FS00Non-curtailing derate to execute OEM recommended weekly boiler deslag on TC2.  Ful</t>
  </si>
  <si>
    <t>FE00High CO readings required a derate to avoid exceedances.</t>
  </si>
  <si>
    <t>F8202A coal mill tripped due to loss of sufficient PA flow.  Derate required, then swa</t>
  </si>
  <si>
    <t>FS00Weekly OEM suggested derate for boiler deslag.  Unit available for full load if re</t>
  </si>
  <si>
    <t>FS00Weekly boiler deslag for cleaning of the furnace based on OEM recommendations.  Ab</t>
  </si>
  <si>
    <t>F540Planned derate to conduct maintenance on the 8A HP FW Heater due to bypass valve n</t>
  </si>
  <si>
    <t>FS00Weekly boiler deslag as recommended by boiler OEM.  Deslag was performed at 450 MW</t>
  </si>
  <si>
    <t>FE00Derate due to CO spike.</t>
  </si>
  <si>
    <t>FE00CO emission issues continued with the unit and required derate.</t>
  </si>
  <si>
    <t>F660ID Fan stall alarms required derate to avoid unit trip.</t>
  </si>
  <si>
    <t xml:space="preserve">FE00Emissions issues involving CO levels following the low suction pressure on the ID </t>
  </si>
  <si>
    <t>FS00Non-curtailing event to conduct boiler deslag as recommended by OEM at 450 MW.  Un</t>
  </si>
  <si>
    <t>FE00Continued CO issues along with FD Fan issues required derate to 680 MW.</t>
  </si>
  <si>
    <t>F8202B Mill Feeder tripped requiring derate.</t>
  </si>
  <si>
    <t>F060Following the mill trip, it was found that the feeder for the 2B mill was damaged.</t>
  </si>
  <si>
    <t xml:space="preserve">FS00Planned weekly boiler deslag as recommended by OEM.  Unit available for full load </t>
  </si>
  <si>
    <t>F660Derate required due to AH Differntial increase due to suspected pluggage.  Air hea</t>
  </si>
  <si>
    <t>F660Derate required due to FD Fan stall.  Air heater wash planned for weekend outage.</t>
  </si>
  <si>
    <t xml:space="preserve">F660Derate required due to FD Fan stall. </t>
  </si>
  <si>
    <t xml:space="preserve">F660Derate required due to FD Fan stall.  </t>
  </si>
  <si>
    <t>F660FD Fan stall runback alarms started coming in and the F/D Fans went into a run bac</t>
  </si>
  <si>
    <t xml:space="preserve">FF00Maintenance outage to perform AH wash.  Additional maintenance work for repairing </t>
  </si>
  <si>
    <t>F400Unit derate was due to air flow issues for the burners from the FD fans.  Root cau</t>
  </si>
  <si>
    <t>FS00Boiler deslag conducted at 450 MW based on OEM recommendations.  Unit available to</t>
  </si>
  <si>
    <t>F8202F Coal mill tripped due to "Feeder discharge plugged".  Fixed issues and returned</t>
  </si>
  <si>
    <t>F060The level trasmitter on the Submerged Scraper Conveyor failed and water level drop</t>
  </si>
  <si>
    <t>F820Derate was due to loss of 2D coal mill.  The Coal Mill trip required putting the b</t>
  </si>
  <si>
    <t>F540Both electromatic relief valves are isolated on Unit 2 due to leaking gaskets.  St</t>
  </si>
  <si>
    <t>FE00Excess CO emissions required a derate to keep the Unit from experiencing an exceda</t>
  </si>
  <si>
    <t>FS00OEM recommended deslag of the boiler.  Unit available to return to full load if di</t>
  </si>
  <si>
    <t>FS00Non-curtailing derate for Boiler OEM recommended deslag.  Unit available if requir</t>
  </si>
  <si>
    <t xml:space="preserve">F8202B Ammonia Pump tripped and ammonia flow lost to unit.  Had to derate due to loss </t>
  </si>
  <si>
    <t xml:space="preserve">FS00Non-curtailing derate for Boiler OEM recommended deslag.  Unit available for full </t>
  </si>
  <si>
    <t>FE00CO Emission issues due to O2 trim setting issues returning from deslag.</t>
  </si>
  <si>
    <t xml:space="preserve">FS00Non-curtailing derate for OEM recommended weekly deslag.  Unit available for full </t>
  </si>
  <si>
    <t>F820High hotwell level transmitter readings caused the unit to MFT following end of un</t>
  </si>
  <si>
    <t>F460Start-up failure was caused by loss of instrument air pressure due to use of tempo</t>
  </si>
  <si>
    <t>F820Ammonia pumps tripped causing loss of ammonia feed requiring derate until pumps co</t>
  </si>
  <si>
    <t>F540System over pressure caused the SH Safeties to lift, began leaking through.  Had t</t>
  </si>
  <si>
    <t>F590Precision was brought in to reset the Main Steam safety valves, which required der</t>
  </si>
  <si>
    <t>F690The #3 Safety on the south side of unit 2 will not lift.  Derate taken to decrease</t>
  </si>
  <si>
    <t>F690The #3 Safety on the south side of unit 2 will not lift.  Able to increase load fr</t>
  </si>
  <si>
    <t>FS00Non-curtailing derate for Boiler OEM recommended weekly deslag.  Unit available to</t>
  </si>
  <si>
    <t xml:space="preserve">F690The #3 Safety on the south side of unit 2 will not lift.  Unit derate is required </t>
  </si>
  <si>
    <t>F590Various safety valves on Unit 2 required maintenance.  Superheat safety valve woul</t>
  </si>
  <si>
    <t>F830The TC2 7B FW Bypass valve packing began leaking during operation of the valve.  U</t>
  </si>
  <si>
    <t>FE00During start-up and ramping, there was a delay in introducing ammonia.  Additional</t>
  </si>
  <si>
    <t>FE00Derate necessary to ensure no NOx exceedance.  See event 179 for additional detail</t>
  </si>
  <si>
    <t>FE00Unit 2 combustion issues created high CO requiring derate to minimize exceedance.</t>
  </si>
  <si>
    <t>FE00Elevated CO required unit derate to avoid an exceedance.</t>
  </si>
  <si>
    <t>FS00Planned non curtailing derate to conduct OEM recommended boiler deslag.  Unit avai</t>
  </si>
  <si>
    <t>F820An ammonia pump on TC2 tripped.  Unit had to be derated in order to avoid a NOx ex</t>
  </si>
  <si>
    <t>F320TC2 Air heater pressure differential rose to too high of a level and required a ma</t>
  </si>
  <si>
    <t>F820Submerged scraper conveyor failure and broken components brought the unit offline.</t>
  </si>
  <si>
    <t>F820MFT due to feedwater. The unit was in a swing due to a Turbine control hold and wh</t>
  </si>
  <si>
    <t>FE00High CO emissions required derate to avoid an exceedance on CO.</t>
  </si>
  <si>
    <t>F400Mill operational issues and erratic behavior caused unit derate until issues could</t>
  </si>
  <si>
    <t>F5407A feedwater head leaks required unit derate to isolate heater in order to allow m</t>
  </si>
  <si>
    <t>F660The load drop was due to high steam flow and feedrates from having 7A HP heater ou</t>
  </si>
  <si>
    <t xml:space="preserve">F5407A FWH is out of service due to a heater head leak and unit derate required until </t>
  </si>
  <si>
    <t>FS00Non-curtailing derate due to boiler OEM recommended deslag, unit available to retu</t>
  </si>
  <si>
    <t>FS00Non-curtailing derate at 561MW for boiler OEM recommended weekly deslag.  Unit ava</t>
  </si>
  <si>
    <t>FE00The bags in the baghouse are deteriorating and the holes in the bags allow particu</t>
  </si>
  <si>
    <t>FE00High particulate matter readings required derate to avoid an exceedance.</t>
  </si>
  <si>
    <t>FS00Non-curtailing derate to conduct boiler OEM recommended deslag.  Unit available to</t>
  </si>
  <si>
    <t>FE00High particulate readings required unit derate to avoid an exceedance from emissio</t>
  </si>
  <si>
    <t>FE00High NOx readings required unit derate to avoid exceedance.  Mill configuration ma</t>
  </si>
  <si>
    <t>FS00Non-curtailing derate at 561 MW to conduct boiler OEM recommended deslag.  Unit av</t>
  </si>
  <si>
    <t>FS00Non-curtailing derate at 550 MW to conduct boiler OEM recommended deslag.  Unit av</t>
  </si>
  <si>
    <t>F400The 2D mill was performing poorly and was taken off-line to investigate.  Some mil</t>
  </si>
  <si>
    <t xml:space="preserve">F660Derate required on the unit due to ID fan stall alarms.  Required derate to avoid </t>
  </si>
  <si>
    <t>F610TC2 began the planned outage for the replacement of all 30 burners.  This effort i</t>
  </si>
  <si>
    <t>F610Planned outage extension on the burner modifications due to delays in comissioning</t>
  </si>
  <si>
    <t>F820Forced outage due to excessive feedwater flow which caused the unit trip.  High fe</t>
  </si>
  <si>
    <t>F820TC2 unit trip was from high steam temperature at the turbine due to inadequate sup</t>
  </si>
  <si>
    <t>F790TC2 is being held at 430MW for combustion testing and tuning following the install</t>
  </si>
  <si>
    <t>F820TC2 tripped offline when the instrument air dryer de-pressurized.</t>
  </si>
  <si>
    <t>F850During restart, following the forced outage, the 2A ID Fan OB vibration came in al</t>
  </si>
  <si>
    <t>F520TC2 was derated to 724MW due to the 7A feedwater heater level transmitter going ba</t>
  </si>
  <si>
    <t>F790Planned derate to conduct boiler tuning following installation of 30 new burners o</t>
  </si>
  <si>
    <t>FS00Non-curtailing derate for the boiler OEM recommended deslag.  Unit was available t</t>
  </si>
  <si>
    <t>FE00During a tank swap while free flowing ammonia to the TC2 SCR, a check valve closed</t>
  </si>
  <si>
    <t>FS00TC2 was experiencing heavy slagging and required a unit derate to allow for some u</t>
  </si>
  <si>
    <t>F460Unplanned derate due to loss of B mill oil gun when trying to put the B mill in se</t>
  </si>
  <si>
    <t>FE00Derate required to try to avoid environmental exceedences due to high CO during co</t>
  </si>
  <si>
    <t>FS00Non-curtailing derate to conduct boiler OEM recommended deslag.  Unit available if</t>
  </si>
  <si>
    <t>FE00Derate required on the unit to avoid environmental exceedance due to high CO emiss</t>
  </si>
  <si>
    <t>FE00Planned unit derate to allow combustion tuning to continue and avoid environmental</t>
  </si>
  <si>
    <t>F400There were operating issues with the 2D and 2C oil guns as well as the 2D mill tha</t>
  </si>
  <si>
    <t xml:space="preserve">FS00Planned unit derate to conduct boiler OEM recommended deslag.  Unit was available </t>
  </si>
  <si>
    <t xml:space="preserve">F820When attempting to return unit to full load following planned deslag, the B2 fuel </t>
  </si>
  <si>
    <t>F830The unit was taken offline due to EHC system and turbine valve issues.</t>
  </si>
  <si>
    <t>Brown 1</t>
  </si>
  <si>
    <t>Brown 2</t>
  </si>
  <si>
    <t>Brown 3</t>
  </si>
  <si>
    <t>Ghent 1</t>
  </si>
  <si>
    <t>Ghent 2</t>
  </si>
  <si>
    <t>Ghent 3</t>
  </si>
  <si>
    <t>Ghent 4</t>
  </si>
  <si>
    <t>Green River 3</t>
  </si>
  <si>
    <t>Green River 4</t>
  </si>
  <si>
    <t>Mill Creek 1</t>
  </si>
  <si>
    <t>Mill Creek 2</t>
  </si>
  <si>
    <t>Mill Creek 3</t>
  </si>
  <si>
    <t>Mill Creek 4</t>
  </si>
  <si>
    <t>Net</t>
  </si>
  <si>
    <t>Gross</t>
  </si>
  <si>
    <t>Winter</t>
  </si>
  <si>
    <t>Summer</t>
  </si>
  <si>
    <t>Plant Name</t>
  </si>
  <si>
    <t>Month</t>
  </si>
  <si>
    <t>Minimum</t>
  </si>
  <si>
    <t>Pulverizer mills</t>
  </si>
  <si>
    <t>Opacity (fossil)</t>
  </si>
  <si>
    <t>Pulverizer inspection</t>
  </si>
  <si>
    <t>Primary air flow instrumentation</t>
  </si>
  <si>
    <t>Other pulverizer problems</t>
  </si>
  <si>
    <t>Electrostatic precipitator problems</t>
  </si>
  <si>
    <t>Other induced draft fan problems</t>
  </si>
  <si>
    <t>Primary air fan</t>
  </si>
  <si>
    <t>Other slag and ash removal problems A</t>
  </si>
  <si>
    <t>Main stop valve testing</t>
  </si>
  <si>
    <t>Pulverized fuel and air piping (from pulverizer to wind box)</t>
  </si>
  <si>
    <t>Pulverizer motors and drives</t>
  </si>
  <si>
    <t>Pulverizer feeders</t>
  </si>
  <si>
    <t>Pulverizer control systems (temperature and pressure)</t>
  </si>
  <si>
    <t>Second superheater A</t>
  </si>
  <si>
    <t>Electrostatic precipitator field out of service</t>
  </si>
  <si>
    <t>Main stop valves</t>
  </si>
  <si>
    <t>Feedwater pump</t>
  </si>
  <si>
    <t>Feedwater pump local controls</t>
  </si>
  <si>
    <t>Control valves</t>
  </si>
  <si>
    <t>Pulverizer pyrite removal system</t>
  </si>
  <si>
    <t>CEMS Certification and Recertification</t>
  </si>
  <si>
    <t>Pulverizer fires</t>
  </si>
  <si>
    <t>Induced draft fan controls</t>
  </si>
  <si>
    <t>Induced draft fans</t>
  </si>
  <si>
    <t>Economizer B</t>
  </si>
  <si>
    <t>Foreign object in Pulverizers mill</t>
  </si>
  <si>
    <t>Unit auxiliaries transformer</t>
  </si>
  <si>
    <t>Boiler Inspections - scheduled or routine</t>
  </si>
  <si>
    <t>Burner instruments and controls (except light-off)</t>
  </si>
  <si>
    <t>Operator error</t>
  </si>
  <si>
    <t>Poor quality natural gas fuel</t>
  </si>
  <si>
    <t>Bunker flow problems</t>
  </si>
  <si>
    <t>Pulverizer feeder motor</t>
  </si>
  <si>
    <t>Other boiler instrumentation and control problems</t>
  </si>
  <si>
    <t>First superheater B</t>
  </si>
  <si>
    <t>Waterwall (Furnace wall) A</t>
  </si>
  <si>
    <t>Intercept valves</t>
  </si>
  <si>
    <t>Seal oil system and seals A</t>
  </si>
  <si>
    <t>Induced draft fan motors and drives</t>
  </si>
  <si>
    <t>Wet coal</t>
  </si>
  <si>
    <t>Other tube slagging or fouling</t>
  </si>
  <si>
    <t>Other primary air fan problems</t>
  </si>
  <si>
    <t>Generator metering devices</t>
  </si>
  <si>
    <t>Generator voltage control</t>
  </si>
  <si>
    <t>Hydraulic system pipes and valves</t>
  </si>
  <si>
    <t>Turbine supervisory system (use codes 4290 to 4299 for hydraulic oil)</t>
  </si>
  <si>
    <t>Other miscellaneous boiler air and gas system problems</t>
  </si>
  <si>
    <t>Maintenance personnel error</t>
  </si>
  <si>
    <t>Generator main leads</t>
  </si>
  <si>
    <t>Emergency generator trip devices</t>
  </si>
  <si>
    <t>Light-off (igniter) systems (including fuel supply)</t>
  </si>
  <si>
    <t>Burner management system</t>
  </si>
  <si>
    <t>Reheat stop valves</t>
  </si>
  <si>
    <t>Combustion/steam condition controls (report local controls --- burners</t>
  </si>
  <si>
    <t>Minor boiler overhaul (less than 720 hours) (use for non-specific overhaul only; see page B-1)</t>
  </si>
  <si>
    <t>Lube oil system valves and piping</t>
  </si>
  <si>
    <t>Flue gas expansion joints</t>
  </si>
  <si>
    <t>Turbine trip devices (including instruments)</t>
  </si>
  <si>
    <t>Control valve testing</t>
  </si>
  <si>
    <t>HP heater head leaks</t>
  </si>
  <si>
    <t>Bunker fires</t>
  </si>
  <si>
    <t>Vibration of the turbine generator unit that cannot be attributed to a specific cause such as bearings or blades (use this code for balance moves)</t>
  </si>
  <si>
    <t>Particulate stack emissions (fossil)</t>
  </si>
  <si>
    <t>Miscellaneous turbine piping</t>
  </si>
  <si>
    <t>Primary air duct and dampers</t>
  </si>
  <si>
    <t>Boiler screen</t>
  </si>
  <si>
    <t>Inspection B</t>
  </si>
  <si>
    <t>Loss of vacuum not attributable to a particular component such as air ejectors or valves; or</t>
  </si>
  <si>
    <t>Other stack or exhaust emissions (fossil)</t>
  </si>
  <si>
    <t>Feedwater controls (report local controls --- feedwater pump</t>
  </si>
  <si>
    <t>Ducting A</t>
  </si>
  <si>
    <t>Waterwall (Furnace wall) B</t>
  </si>
  <si>
    <t>Primary air fan drives</t>
  </si>
  <si>
    <t>Forced draft fan motors</t>
  </si>
  <si>
    <t>Feedwater pump drive - motor</t>
  </si>
  <si>
    <t>Generator casing</t>
  </si>
  <si>
    <t>Forced draft fans</t>
  </si>
  <si>
    <t>First superheater A</t>
  </si>
  <si>
    <t>Other fuel quality problems</t>
  </si>
  <si>
    <t>Other coal fuel supply problems up through bunkers</t>
  </si>
  <si>
    <t>Oil burner piping and valves</t>
  </si>
  <si>
    <t>Circulating water pumps</t>
  </si>
  <si>
    <t>Other burner problems</t>
  </si>
  <si>
    <t>Lost 1-2 mill due to burner gate issues</t>
  </si>
  <si>
    <t>1-4 mill feeder VFD problem 6585589</t>
  </si>
  <si>
    <t xml:space="preserve">1-3 Feeder </t>
  </si>
  <si>
    <t>F060Broken spring bolts on #3 and #5 turbine governor valves. 6587251</t>
  </si>
  <si>
    <t xml:space="preserve">1-2 mill feeder inlet gate restricting coal feed. 6589203 </t>
  </si>
  <si>
    <t>1-1 &amp; 1-2 mill inspections</t>
  </si>
  <si>
    <t>Feedwater piping and supports</t>
  </si>
  <si>
    <t>Repair leaking SH spray stop valve 6589205</t>
  </si>
  <si>
    <t>Problems with 1-1 &amp; 1-4 mill igniters. 6596529</t>
  </si>
  <si>
    <t>F320Loss of flame scanners on 1-1 mill igniters.</t>
  </si>
  <si>
    <t>Generator over excitation trip 6596671</t>
  </si>
  <si>
    <t>Inspection of 1-1 and 1-3 mills</t>
  </si>
  <si>
    <t>Inspection of 1-2 and 1-4 mills</t>
  </si>
  <si>
    <t>Refractory and insulation</t>
  </si>
  <si>
    <t>F310Missing refractory is boiler back pass causing air in leakage.</t>
  </si>
  <si>
    <t>FE00ESP Brakers all left open without operator notification</t>
  </si>
  <si>
    <t>Waterwall tube leak 6607681</t>
  </si>
  <si>
    <t xml:space="preserve">#1 governor valve erratic operation </t>
  </si>
  <si>
    <t xml:space="preserve">Boiler trip due to low combustion air </t>
  </si>
  <si>
    <t>Hydrowash deslag of boiler</t>
  </si>
  <si>
    <t xml:space="preserve">Hydrowash deslag of boiler </t>
  </si>
  <si>
    <t xml:space="preserve">1-4 mill broken spring bolt </t>
  </si>
  <si>
    <t xml:space="preserve">Wet coal </t>
  </si>
  <si>
    <t xml:space="preserve">1-4 mill broken spring bolt  </t>
  </si>
  <si>
    <t xml:space="preserve">1-3 mill failed to start </t>
  </si>
  <si>
    <t>Inspect 1-1 &amp; 1-4 mills</t>
  </si>
  <si>
    <t>Inspect 1-2 &amp; 1-3 mills</t>
  </si>
  <si>
    <t xml:space="preserve">Repair expansion joint on combined duct to the FGD </t>
  </si>
  <si>
    <t>Boiler air flow erratic, having deviation alarms</t>
  </si>
  <si>
    <t>Major turbine overhaul (720 hrs or longer) (use for non-specific overhaul only; see page B-1)</t>
  </si>
  <si>
    <t xml:space="preserve">Planned outage for turbine overhaul </t>
  </si>
  <si>
    <t>1-2 mill failed to start</t>
  </si>
  <si>
    <t>Other miscellaneous steam turbine problems</t>
  </si>
  <si>
    <t>Balance shot for vibration after returning from major outage</t>
  </si>
  <si>
    <t>Turbine performance testing (use code 9999 for total unit performance testing)</t>
  </si>
  <si>
    <t xml:space="preserve">Turbine trip due to high vibration </t>
  </si>
  <si>
    <t>Other hydrogen system problems</t>
  </si>
  <si>
    <t xml:space="preserve">Investigate and repair generator H2 leak </t>
  </si>
  <si>
    <t>Platen superheater</t>
  </si>
  <si>
    <t xml:space="preserve">Replace Unit 1 &amp; 2 combined duct expansion joint </t>
  </si>
  <si>
    <t xml:space="preserve">Electrical feed for fuel oil pumps cut during building demolition </t>
  </si>
  <si>
    <t>Switchyard circuit breakers - external</t>
  </si>
  <si>
    <t>Main transformer</t>
  </si>
  <si>
    <t>F590Planned outage</t>
  </si>
  <si>
    <t>Other switchyard equipment - external</t>
  </si>
  <si>
    <t>Contractor error</t>
  </si>
  <si>
    <t>Other boiler tube leaks</t>
  </si>
  <si>
    <t>Condensate valves</t>
  </si>
  <si>
    <t>Other low pressure turbine problems</t>
  </si>
  <si>
    <t>Condensate/hotwell pumps</t>
  </si>
  <si>
    <t>High pressure heater tube leaks</t>
  </si>
  <si>
    <t>Pulverizer system coal leaks (other than pulverizers</t>
  </si>
  <si>
    <t>Pulverizer skidding</t>
  </si>
  <si>
    <t>Other DCS problems</t>
  </si>
  <si>
    <t>Other LP heater - general</t>
  </si>
  <si>
    <t>Other exciter problems</t>
  </si>
  <si>
    <t>Feedwater chemistry (not specific to condenser</t>
  </si>
  <si>
    <t>Feedwater pump drive motor - variable speed</t>
  </si>
  <si>
    <t>Boiler</t>
  </si>
  <si>
    <t>Feedwater pump/drive lube oil system</t>
  </si>
  <si>
    <t>Condensate system controls and instrumentation (not hotwell level</t>
  </si>
  <si>
    <t>SO2 stack emissions (fossil)</t>
  </si>
  <si>
    <t>Second superheater B</t>
  </si>
  <si>
    <t>AC Conductors and buses</t>
  </si>
  <si>
    <t>Boiler performance testing (use code 9999 for total unit performance testing)</t>
  </si>
  <si>
    <t>Feedwater pump coupling and drive shaft</t>
  </si>
  <si>
    <t>Desuperheater/attemperator valves</t>
  </si>
  <si>
    <t>Induced draft fan speed changer</t>
  </si>
  <si>
    <t>Exciter field rheostat</t>
  </si>
  <si>
    <t>Condenser tube leaks</t>
  </si>
  <si>
    <t>Other miscellaneous condensate system problems</t>
  </si>
  <si>
    <t>Other hydraulic system problems</t>
  </si>
  <si>
    <t>Bottom ash hoppers (including gates)</t>
  </si>
  <si>
    <t>Other feedwater valves</t>
  </si>
  <si>
    <t>Pulverizer feeder coal scales</t>
  </si>
  <si>
    <t>Coal conveyors and feeders</t>
  </si>
  <si>
    <t>Boiler safety valve test</t>
  </si>
  <si>
    <t>Reheat/intercept valve testing</t>
  </si>
  <si>
    <t>Burner wind box fires</t>
  </si>
  <si>
    <t>Other generator controls and metering problems</t>
  </si>
  <si>
    <t>Drum relief/safety valves (Single drum only)</t>
  </si>
  <si>
    <t>Pulverizer lube oil system</t>
  </si>
  <si>
    <t xml:space="preserve">Changed oil in 2-2 pulverizer  6585722 </t>
  </si>
  <si>
    <t>480-volt circuit breakers</t>
  </si>
  <si>
    <t>Isolate 2A 480 volt switchgear for breaker replacement 6590315</t>
  </si>
  <si>
    <t>Loss of drum level initiated boiler MFT 6598460</t>
  </si>
  <si>
    <t xml:space="preserve">Turbine trip during roll up while starting up unit </t>
  </si>
  <si>
    <t>Loss of drum level initiated boiler MFT SEE EVENT 42</t>
  </si>
  <si>
    <t xml:space="preserve">Turbine tripped while synchronizing unit to grid with Main Field Bkr. closed </t>
  </si>
  <si>
    <t>Generator output breaker</t>
  </si>
  <si>
    <t>OCB not closing when synchronizing unit to grid. 6598633</t>
  </si>
  <si>
    <t>OCB not closing when synchronizing unit to grid. SEE EVENT 46</t>
  </si>
  <si>
    <t>Repair 2-2 ID Fan speed changer linkage  6599725</t>
  </si>
  <si>
    <t>2-4A burner line fire at boiler</t>
  </si>
  <si>
    <t>2-2 mill inspection</t>
  </si>
  <si>
    <t>Check 2-2 mill roll eccentrics 6612069</t>
  </si>
  <si>
    <t>Minor turbine overhaul (less than 720 hrs.) (use for non-specific overhaul only; see page B-1)</t>
  </si>
  <si>
    <t xml:space="preserve">Planned outage for turbine valve maint. </t>
  </si>
  <si>
    <t>2-1 ID Fan Vibration Inspection</t>
  </si>
  <si>
    <t xml:space="preserve">Investigate and repair hydrogen leak and eccentricity issues </t>
  </si>
  <si>
    <t xml:space="preserve">2-4 mill south roll replacement </t>
  </si>
  <si>
    <t xml:space="preserve">2-2 mill coal feeder pipe disconnected </t>
  </si>
  <si>
    <t>Inspect ofr possible metal in mill</t>
  </si>
  <si>
    <t xml:space="preserve">Condensate Throttling regulator erratic operation causing boiler trip </t>
  </si>
  <si>
    <t>2-3 Mill south roll not deflecting</t>
  </si>
  <si>
    <t>2-4 mill hot air gate not opening</t>
  </si>
  <si>
    <t>2-3 mill feeder plugged due to wet coal</t>
  </si>
  <si>
    <t>2-3 mill feeder plugged causing boiler MFT</t>
  </si>
  <si>
    <t>Investigating generator protective realy trip</t>
  </si>
  <si>
    <t>Transmission maintenance in south substation</t>
  </si>
  <si>
    <t xml:space="preserve">2-4 mill coal feeder inlet gate blockage  </t>
  </si>
  <si>
    <t>Boiler recirculation pumps - motors</t>
  </si>
  <si>
    <t>Feedwater pump drive - steam turbine</t>
  </si>
  <si>
    <t>Cooling tower fans</t>
  </si>
  <si>
    <t>Other feedwater pump problems</t>
  </si>
  <si>
    <t>Deaerator (including level control)</t>
  </si>
  <si>
    <t>4160-volt conductors and buses</t>
  </si>
  <si>
    <t>AC Circuit breakers</t>
  </si>
  <si>
    <t>Second reheater B</t>
  </si>
  <si>
    <t>Pulverizer mill classifiers</t>
  </si>
  <si>
    <t>4160-volt circuit breakers</t>
  </si>
  <si>
    <t>Hydrogen cooling system piping and valves</t>
  </si>
  <si>
    <t>Service water strainer</t>
  </si>
  <si>
    <t>Service water valves</t>
  </si>
  <si>
    <t>Feedwater pump suction screens</t>
  </si>
  <si>
    <t>Boiler recirculation piping including downcomers</t>
  </si>
  <si>
    <t>Boiler recirculation pumps</t>
  </si>
  <si>
    <t>Condensate/hotwell pump motor</t>
  </si>
  <si>
    <t>Major boiler overhaul (720 hours or longer) (use for non-specific overhaul only; see page B-1)</t>
  </si>
  <si>
    <t>First reheater A</t>
  </si>
  <si>
    <t>Circulating water pump motors</t>
  </si>
  <si>
    <t>Vacuum pumps</t>
  </si>
  <si>
    <t>Other feedwater problems downstream of feedwater regulating valve (use codes 3401 to 3499 for remainder of feedwater system)</t>
  </si>
  <si>
    <t>Flue gas ducts (except recirculation)</t>
  </si>
  <si>
    <t>Forced draft fan controls</t>
  </si>
  <si>
    <t>Air heater fouling (regenerative)</t>
  </si>
  <si>
    <t>Other boiler recirculation problems</t>
  </si>
  <si>
    <t>Other SCR NOx problems</t>
  </si>
  <si>
    <t>Other feedwater system problems</t>
  </si>
  <si>
    <t>SCR NOx Control system</t>
  </si>
  <si>
    <t>Air heater soot blowers</t>
  </si>
  <si>
    <t>Boiler drains system</t>
  </si>
  <si>
    <t>Soot blowers - air (see code 3844 for air delivery system)</t>
  </si>
  <si>
    <t>Boiler supports and structures (use code 1320 for tube supports)</t>
  </si>
  <si>
    <t xml:space="preserve">Repair 3F-2 HP heater tube leak and replace 3-3 BCWP </t>
  </si>
  <si>
    <t>Feedwater pump drive - local controls</t>
  </si>
  <si>
    <t>Heater level control</t>
  </si>
  <si>
    <t>Drums and drum internals (single drum only)</t>
  </si>
  <si>
    <t>Transmission employee tripped West Cliff substation feed to unit 3 6585768</t>
  </si>
  <si>
    <t>Other cooling tower problems</t>
  </si>
  <si>
    <t>3-2 Cooloing tower cell damage 6589856</t>
  </si>
  <si>
    <t>3-2 CWP discharge valve not fully open. 3-1 CWP unavailable 6591462</t>
  </si>
  <si>
    <t>3-1 BFP turbine bearing replacement 6590040</t>
  </si>
  <si>
    <t>3-1 BFP IB pump bearing high temperature</t>
  </si>
  <si>
    <t>Clean 3-1 BFP lube oil cuno filters 6595168</t>
  </si>
  <si>
    <t xml:space="preserve">3-2 BFP vibration check </t>
  </si>
  <si>
    <t xml:space="preserve">Collecting vibration data for 3-2 BFP </t>
  </si>
  <si>
    <t xml:space="preserve">Inspect AH sootblowers  </t>
  </si>
  <si>
    <t>Lube oil coolers A</t>
  </si>
  <si>
    <t>3-1 Turbine Oil cooler leak. 6606790</t>
  </si>
  <si>
    <t>Replace 3A Aux. transformer buss 6598348</t>
  </si>
  <si>
    <t xml:space="preserve">3F-2 HP heater leak </t>
  </si>
  <si>
    <t>3F-2 HP heater leak 6617285</t>
  </si>
  <si>
    <t>3F-2 HP heater leak and full load RATA testing 6617059</t>
  </si>
  <si>
    <t>Low load RATA testing 6617059</t>
  </si>
  <si>
    <t>3F-2 HP heater leak   6617285</t>
  </si>
  <si>
    <t>Repair 3F-2 HP heater leak 6617285</t>
  </si>
  <si>
    <t>3F-2 heater level controller replacement 6620029</t>
  </si>
  <si>
    <t>Reheat tube leak 6622981</t>
  </si>
  <si>
    <t>SCR NOx Plugging</t>
  </si>
  <si>
    <t xml:space="preserve">Clean and inspect SCR  </t>
  </si>
  <si>
    <t xml:space="preserve">Boiler trip while swapping out mills to empty coal bunkers </t>
  </si>
  <si>
    <t>Repair 3-4 mill oil filtration valve 6640989</t>
  </si>
  <si>
    <t>Exciter cooler piping leak</t>
  </si>
  <si>
    <t xml:space="preserve">Pin hole leak in main steam drain line prior to isolation valve.  </t>
  </si>
  <si>
    <t>Water from 3-1 mil pyrite tank leaking back into mill</t>
  </si>
  <si>
    <t>Generator vibration (excluding vibration due to failed bearing and other components)</t>
  </si>
  <si>
    <t>#7 generator/exciter bearing vibration</t>
  </si>
  <si>
    <t xml:space="preserve">FR00Unit 3 coal bunker fires in 3-4 and partially in 3-5 bunker </t>
  </si>
  <si>
    <t xml:space="preserve">3-5 Mill CO issues  </t>
  </si>
  <si>
    <t>Inspect 3-5 mill for cause of high CO readings</t>
  </si>
  <si>
    <t xml:space="preserve">Leak in main steam drain line 6660146 </t>
  </si>
  <si>
    <t>SCR NOxCatalyst</t>
  </si>
  <si>
    <t>Replace SCR catalyst</t>
  </si>
  <si>
    <t xml:space="preserve">High silica </t>
  </si>
  <si>
    <t>F590Steam leak on low pressure steam chest to the 3-1BFP</t>
  </si>
  <si>
    <t>SCR ammonia injection tuning at 350 mw</t>
  </si>
  <si>
    <t>SCR ammonia injection tuning at180 mw</t>
  </si>
  <si>
    <t xml:space="preserve">3-2 CWP trip leading to turbine trip </t>
  </si>
  <si>
    <t>Switchyard system protection devices - external</t>
  </si>
  <si>
    <t>Other fire protection system problems</t>
  </si>
  <si>
    <t>Generator current and potential transformers</t>
  </si>
  <si>
    <t>Other cooling system problems</t>
  </si>
  <si>
    <t>Other miscellaneous generator problems</t>
  </si>
  <si>
    <t>Steam Turbine Control System - hardware problems (including card failure)</t>
  </si>
  <si>
    <t>Mist eliminators/demisters and washdown</t>
  </si>
  <si>
    <t>Operation at reduced power to avoid slagging or fouling except waterwalls (furnace walls) (use codes 1100 to 1190 to report power reductions for slag accumulation or slag removal)</t>
  </si>
  <si>
    <t>Flue gas recirculating fan</t>
  </si>
  <si>
    <t>Scrubber booster I.D. fan (fan specific to the scrubber)</t>
  </si>
  <si>
    <t>Other precipitator problems</t>
  </si>
  <si>
    <t>Hot well level controls</t>
  </si>
  <si>
    <t>Slurry transfer pumps and motors B</t>
  </si>
  <si>
    <t>Forced draft fan drives (other than motor)</t>
  </si>
  <si>
    <t>Pulverizer exhauster fan (for indirect firing)</t>
  </si>
  <si>
    <t>Condenser tube and water box cleaning (including circulating water flow reversal)</t>
  </si>
  <si>
    <t>Reagent feed piping</t>
  </si>
  <si>
    <t>Circulating water valves</t>
  </si>
  <si>
    <t>Bearings C</t>
  </si>
  <si>
    <t>Scrubber recycle (liquid) pump motors</t>
  </si>
  <si>
    <t>Miscellaneous electrical failures</t>
  </si>
  <si>
    <t>Scrubber/absorber tower or module</t>
  </si>
  <si>
    <t>Total unit performance testing (use appropriate codes for individual component testing)</t>
  </si>
  <si>
    <t>Piping A</t>
  </si>
  <si>
    <t>Boiler water condition (not feedwater water quality)</t>
  </si>
  <si>
    <t>Other scrubber problems</t>
  </si>
  <si>
    <t>Other miscellaneous wet scrubber problems</t>
  </si>
  <si>
    <t>Other turbine instrument and control problems</t>
  </si>
  <si>
    <t>Scrubber recycle (liquid) pumps</t>
  </si>
  <si>
    <t>Transmission line (connected to powerhouse switchyard to 1st Substation)</t>
  </si>
  <si>
    <t>Rotor windings (including damper windings and fan blades on hydro units)</t>
  </si>
  <si>
    <t>NERC Reliability Standards requirements</t>
  </si>
  <si>
    <t>Other 4160-volt problems</t>
  </si>
  <si>
    <t>Chemical feed storage</t>
  </si>
  <si>
    <t>First reheater B</t>
  </si>
  <si>
    <t>Electrostatic precipitator fouling</t>
  </si>
  <si>
    <t>Soot blowers - steam</t>
  </si>
  <si>
    <t>Bearings E</t>
  </si>
  <si>
    <t>12kV circuit breakers</t>
  </si>
  <si>
    <t>Generator bearings and lube oil system (including thrust bearings on hydro units)</t>
  </si>
  <si>
    <t>Induced draft fan motors - variable speed</t>
  </si>
  <si>
    <t>Reaction tanks including agitators</t>
  </si>
  <si>
    <t>Storage silos/hoppers</t>
  </si>
  <si>
    <t>Other high pressure heater problems (see condensate system for LP and IP heater codes)</t>
  </si>
  <si>
    <t>Bunker gates</t>
  </si>
  <si>
    <t>Air heater (regenerative)</t>
  </si>
  <si>
    <t>Air heater (tubular)</t>
  </si>
  <si>
    <t>Other turbine valves</t>
  </si>
  <si>
    <t>Miscellaneous mechanical failures</t>
  </si>
  <si>
    <t>External reheater link tubing</t>
  </si>
  <si>
    <t>Heater drain valves</t>
  </si>
  <si>
    <t>Transmission system problems other than catastrophes (do not include switchyard problems in this category; see codes 3600 to 3629)</t>
  </si>
  <si>
    <t>Pulverizer coal leak (pulverizers only)</t>
  </si>
  <si>
    <t>Induced draft fan lubrication systems</t>
  </si>
  <si>
    <t>Other high pressure turbine problems</t>
  </si>
  <si>
    <t>DC instrument power battery chargers</t>
  </si>
  <si>
    <t>Automatic turbine control systems - digital control and monitoring</t>
  </si>
  <si>
    <t>Other air supply problems</t>
  </si>
  <si>
    <t>Ashpit trouble</t>
  </si>
  <si>
    <t>IP Extraction steam valves</t>
  </si>
  <si>
    <t>Other miscellaneous piping system problems</t>
  </si>
  <si>
    <t>Coal crushers including motors</t>
  </si>
  <si>
    <t>Circulating water piping</t>
  </si>
  <si>
    <t>Bottom ash piping and valves</t>
  </si>
  <si>
    <t>Hydrogen coolers</t>
  </si>
  <si>
    <t>Fly ash Removal System (not precipitators</t>
  </si>
  <si>
    <t>Low grindability</t>
  </si>
  <si>
    <t>Bottom ash systems (wet or dry)</t>
  </si>
  <si>
    <t>Other safety problems</t>
  </si>
  <si>
    <t>480-volt conductors and buses</t>
  </si>
  <si>
    <t>Other voltage system breakers</t>
  </si>
  <si>
    <t>Gland seal system</t>
  </si>
  <si>
    <t>Load Reduction #271-1 Mill was tripped due to loss of electrical feed 1E causing a</t>
  </si>
  <si>
    <t>Load Reduction #281-1 Feeder tripped the overloads on the breaker.</t>
  </si>
  <si>
    <t>Load Reduction #291-1 Feeder tripped the overloads on the breaker.</t>
  </si>
  <si>
    <t>Load Reduction #301-4 Mill was off to inspect pyrite section.</t>
  </si>
  <si>
    <t>Load Reduction #311-4 Mill had a grinding issue.  Took the mill off to inspect.</t>
  </si>
  <si>
    <t>Load Reduction #321-2 Mill had a noise in the pyrite section.  Took the mill off t</t>
  </si>
  <si>
    <t>Load Reduction #331-3 Mill was off for inspection due to noise in the grinding sec</t>
  </si>
  <si>
    <t>Load Reduction #341-2 Mill off to inspect pyrite section.</t>
  </si>
  <si>
    <t xml:space="preserve">Load Reduction #351-3 Mill off for noise in the pyrite section of the mill.  </t>
  </si>
  <si>
    <t>Load Reduction #36Unit 1 was derated due to H2SO4 injection system not working pro</t>
  </si>
  <si>
    <t>Load Reduction #371-2 ID fan inlet vanes stuck at 75% and wouldn't move.</t>
  </si>
  <si>
    <t>Load Reduction #38Boiler slag was very heavy causing air flow issues.</t>
  </si>
  <si>
    <t>Load Reduction #39Boiler slag was very heavy causing air flow issues.</t>
  </si>
  <si>
    <t>Load Reduction #401-3 Mill off to inspect for noise in grinding section.</t>
  </si>
  <si>
    <t>Load Reduction #41Dropped load to keep H2S04 within limit.  Ethernet switch failed</t>
  </si>
  <si>
    <t xml:space="preserve">Load Reduction #421-4 Feeder head roll lagging was coming loose.  </t>
  </si>
  <si>
    <t>Load Reduction #431-6 Mill off to inspect pyrite section of mill.</t>
  </si>
  <si>
    <t>Load Reduction #44The unit was derated due to mill grinding and air flow issues du</t>
  </si>
  <si>
    <t xml:space="preserve">Load Reduction #451-5 Feeder was tripping out.  Found a ceramic tile wedged under </t>
  </si>
  <si>
    <t>Load Reduction #461-1 Feeder tripped with the VFD module failed.</t>
  </si>
  <si>
    <t>Load Reduction #471-1 Feeder tripped and wouldn't restart.</t>
  </si>
  <si>
    <t>Load Reduction #481-2 Mill pyrite scraper broke off.</t>
  </si>
  <si>
    <t xml:space="preserve">Load Reduction #49Unit 1 was derated to 460 MWs to replace 1-2 feeder belt.  Belt </t>
  </si>
  <si>
    <t>Load Reduction #50Unit 1 was derated to 460 MWs to inspect 1-4 mill grinding secti</t>
  </si>
  <si>
    <t>Load Reduction #511-4 Mill out of service to hot set rolls on the mill due to high</t>
  </si>
  <si>
    <t xml:space="preserve">Load Reduction #521-4 Mill out of service to trim the vane wheel due to high bowl </t>
  </si>
  <si>
    <t>Load Reduction #531-6 Mill off to install a new type of scraper (spring loaded).</t>
  </si>
  <si>
    <t xml:space="preserve">Load Reduction #54Unit 1 was limited due to H2SO4 running high.  Load was reduced </t>
  </si>
  <si>
    <t>Load Reduction #55U1 Boiler was plugged up with slag.  Cycled load to thermal shoc</t>
  </si>
  <si>
    <t>Load Reduction #561-3 Mill was off to inspect pyrite section.  Found the vane whee</t>
  </si>
  <si>
    <t>Load Reduction #571-4 Mill off to inspect the pyrite section.</t>
  </si>
  <si>
    <t>Load Reduction #58U1 Boiler slag was heavy.  Dropped load to deslag.</t>
  </si>
  <si>
    <t>Load Reduction #59Unit 1 was brought down to clean up slag on the RH pendants.</t>
  </si>
  <si>
    <t>Load Reduction #60Unit 1 is being cycled up and down to clean up slag on the RH pe</t>
  </si>
  <si>
    <t>Load Reduction #611-6 Mill motor making noise.  Shipping motor out for inspection.</t>
  </si>
  <si>
    <t xml:space="preserve">Load Reduction #62The unit is being cycled up and down to clean up slag on the RH </t>
  </si>
  <si>
    <t>Load Reduction #631-1 and 1-3 Feeders tripped during deslag of boiler.  This cause</t>
  </si>
  <si>
    <t>FS00Load Reduction #64Boiler slag was heavy.  The unit was scheduled for a deslag.</t>
  </si>
  <si>
    <t>Load Reduction #65Slag was building up on nose arch.  Dropped load to get a better</t>
  </si>
  <si>
    <t>Load Reduction #661-4 Mill off to inspect grinding section.</t>
  </si>
  <si>
    <t>Load Reduction #671-4 Feeder tripped.  Investigated and found cooling fan bad in b</t>
  </si>
  <si>
    <t>Load Reduction #68Unit 1 dropped load for a planned deslag due to slag build up on</t>
  </si>
  <si>
    <t>Load Reduction #691-4 Feeder tripped when the power supply got hot.</t>
  </si>
  <si>
    <t xml:space="preserve">F540Outage #6Unit 1 had been running with two water wall tube leaks.  Removed the </t>
  </si>
  <si>
    <t>Load Reduction #70Unit 1 was derated due to boiler chemistry; silica was high.</t>
  </si>
  <si>
    <t>Outage #7Reheat pendant tube ruptured a few feet out from the east side of the boi</t>
  </si>
  <si>
    <t>Load Reduction #71High boiler drum silica after start up.</t>
  </si>
  <si>
    <t>Load Reduction #1Removed 1-3 Mill from service to secure a vane wheel segment.</t>
  </si>
  <si>
    <t xml:space="preserve">Load Reduction #2Removed 1-2 Mill from service to inspect exhauster for vibration </t>
  </si>
  <si>
    <t xml:space="preserve">Load Reduction #31-3 Mill was off to inspect the pyrite section for noise.  Found </t>
  </si>
  <si>
    <t>Load Reduction #41-4 Mill off to inspect noise in pyrite section.  Found vane whee</t>
  </si>
  <si>
    <t>Load reduction #5GH1 load reduced to 200 MWs to switch the DSI outlet injection from</t>
  </si>
  <si>
    <t>Load Reduction #61-3 mill has noise in pyrite section, removed mill to inspect.</t>
  </si>
  <si>
    <t>Load Reduction #71-3 Mill off to inspect noise in the grinding section.  The vanew</t>
  </si>
  <si>
    <t>Load Reduction #81-3 Mill off to inspect noise in the grinding section.  Found van</t>
  </si>
  <si>
    <t xml:space="preserve">Load Reduction #91-2 and 1-4 Feeders tripped due to 005 error code (high voltage) </t>
  </si>
  <si>
    <t>Load Reduction #101-1 Feeder belt came apart at the splice.</t>
  </si>
  <si>
    <t xml:space="preserve">Load Reduction #111-3 Mill was off to replace hardware in the vanewheel sections. </t>
  </si>
  <si>
    <t>Outage #1Boiler had been running several weeks with tube leak in upper furnace and</t>
  </si>
  <si>
    <t>Load Reduction #12GH! was derated due to boiler chemistry after start-up (silica);</t>
  </si>
  <si>
    <t>F590Outage #2Removed the unit form service for the Planned Spring Outage.  Major w</t>
  </si>
  <si>
    <t>Load Reduction #13Unit 1 was derated due to boiler chemistry (high silica) after s</t>
  </si>
  <si>
    <t>Reheat steam relief/safety valves</t>
  </si>
  <si>
    <t>Load Reduction #14Unit 1 was already derated for high silica.  Had to reduce the l</t>
  </si>
  <si>
    <t xml:space="preserve">Load Reduction #15Operations suspected ID Fan Inlet pressure was near trip point. </t>
  </si>
  <si>
    <t>Outage #3The unit developed a leak on the Main Turbine Governor Valve #1 EH fittin</t>
  </si>
  <si>
    <t>Load Reduction #16High boiler drum silica after taking the unit off to repair an E</t>
  </si>
  <si>
    <t xml:space="preserve">F590Outage #4The unit was running with fine mesh screens in the Turbine after the </t>
  </si>
  <si>
    <t>Load Reduction #171-1A ID Fan was off for hardware change out.</t>
  </si>
  <si>
    <t>F040Outage #5Unit 1 was removed from service to place a balance weight in the HP s</t>
  </si>
  <si>
    <t>Load Reduction #18Mid load SAMs testing, unit off control.</t>
  </si>
  <si>
    <t>Load Reduction #19Low load SAMs testing, unit off control.</t>
  </si>
  <si>
    <t>Load Reduction #201-1B ID fan was off to change out a cell and to troubleshoot har</t>
  </si>
  <si>
    <t>Load Reduction #211-5 Mill off to repair damaged feeder belt.</t>
  </si>
  <si>
    <t>Plant modifications strictly for compliance with new or changed regulatory requirements (scrubbers</t>
  </si>
  <si>
    <t>DCS - logic problems</t>
  </si>
  <si>
    <t>Pulverizer overhaul</t>
  </si>
  <si>
    <t>Burner wind boxes and dampers</t>
  </si>
  <si>
    <t>LP heater tube leaks</t>
  </si>
  <si>
    <t>Frozen coal</t>
  </si>
  <si>
    <t>Boiler recirculation valves</t>
  </si>
  <si>
    <t>Closed cooling water pumps</t>
  </si>
  <si>
    <t>Flue gas dampers (except recirculation)</t>
  </si>
  <si>
    <t>Load Reduction #392-3 Mill off to inspect the grinding section and calibrate the f</t>
  </si>
  <si>
    <t>Load Reduction #402-5 Mill pyrite scraper broke.</t>
  </si>
  <si>
    <t>Load Reduction #412-5 Mill off to replace a pyrite scraper that had broken off.</t>
  </si>
  <si>
    <t>Outage #4While pulling the breaker for 2-1 BFPT High Pressure Oil Control Fluid Pu</t>
  </si>
  <si>
    <t>Load Reduction #42The unit was limited on drum pressure due to boiler chemistry af</t>
  </si>
  <si>
    <t>Load Reduction #432-1 Mill out of service to inspect grinding section.  Mill had p</t>
  </si>
  <si>
    <t>Load Reduction #442-1 Feeder would not start.  Electrical and Instrument shops che</t>
  </si>
  <si>
    <t>Other voltage system conductors and buses</t>
  </si>
  <si>
    <t>Load Reduction #45Unit 2 was limited due to North Bus outage to tie in for the new</t>
  </si>
  <si>
    <t>Load Reduction #462-3 Mill was off to inspect grinding section after high temperat</t>
  </si>
  <si>
    <t>Load Reduction #472-5 Mill had grinding issues.  Took mill off to inspect.</t>
  </si>
  <si>
    <t>Load Reduction #482-Mill off to inspect grinding section for vibration.</t>
  </si>
  <si>
    <t>Load Reduction #492-5 Mill off to inspect grinding section for vibration.</t>
  </si>
  <si>
    <t>Load Reduction #502-3 Mill off for inspection due to noise in pyrite section.</t>
  </si>
  <si>
    <t>Load Reduction #512-3 Feeder was out of service to replace the belt and inspect th</t>
  </si>
  <si>
    <t>Load Reduction #522-5 Mill off to repair coal leak.</t>
  </si>
  <si>
    <t>Load Reduction #532-5 Mill off to inspect for noise in the pyrite section.</t>
  </si>
  <si>
    <t>Load Reduction #542-2 Mill had a coal leak.  Took mill off to repair.</t>
  </si>
  <si>
    <t>Load Reduction #55Removed 2-3 mill from service to repair coal leak.</t>
  </si>
  <si>
    <t>Load Reduction #56GH2 H2S04 was running high.  Dropped load to keep in compliance.</t>
  </si>
  <si>
    <t>Load Reduction #57Dropped load to keep H2S04 within limit.</t>
  </si>
  <si>
    <t>Load Reduction #58Dropped load to keep H2S04 within limit.  Four of 6 inlet inject</t>
  </si>
  <si>
    <t>Load Reduction #59Removed 2-2 Mill from service due to metal in the grinding secti</t>
  </si>
  <si>
    <t>Load Reduction #60Removed 2-2 Mill from service to replace the east journal.  This</t>
  </si>
  <si>
    <t>Load Reduction #61Unit 2 was derated due to changing out primary air control trans</t>
  </si>
  <si>
    <t>Load Reduction #62Unit is limited due to H2SO4 emission being high.  Outlet inject</t>
  </si>
  <si>
    <t>Load Reduction #63Planned overhaul on 2-6 mill.</t>
  </si>
  <si>
    <t>Outage #5Unit 2 came off line to tie in the new auxiliary sump lines for KBR.</t>
  </si>
  <si>
    <t>Load Reduction #64Boiler drum pressure was limited due to high silica.</t>
  </si>
  <si>
    <t>Load Reduction #652-4 Mill pyrite chute plugged.  Took mill off to inspect the pyr</t>
  </si>
  <si>
    <t>Load Reduction #66Planned overhaul on 2-6 Mill.</t>
  </si>
  <si>
    <t>Load Reduction #672-4 Mill off to inspect grinding section due to mill dumping coa</t>
  </si>
  <si>
    <t>Load Reduction #682-6 A Burner line was leaking at flange next to the boiler.  Too</t>
  </si>
  <si>
    <t>Outage #6Unit 2 tripped off line when a fuse blew in the Generator Hydrogen cabine</t>
  </si>
  <si>
    <t>Load Reduction #692-4 Mill off due to high burner temperature on 'C' burner.</t>
  </si>
  <si>
    <t>Load Reduction #702-4 Mill off due to coal leak on 'C' burner next to windbox.</t>
  </si>
  <si>
    <t>Load Reduction #712-4 Mill coal leak at 'C' burner flange, same leak as previously</t>
  </si>
  <si>
    <t>Load Reduction #722-6 Feeder off to replace and calibrate the belt.</t>
  </si>
  <si>
    <t>Load Reduction #732-5 Mill off to replace a pyrite scraper.</t>
  </si>
  <si>
    <t>Load Reduction #742-5 Mill off to adjust the pyrite scraper.</t>
  </si>
  <si>
    <t>Load Reduction #752-6 Mill off to retorque race after overhaul.</t>
  </si>
  <si>
    <t>Load Reduction #762-5 Mill off to replace broken pyrite scraper.</t>
  </si>
  <si>
    <t>Load Reduction #772-5 Mill off to replace broken pryite scraper.</t>
  </si>
  <si>
    <t>Load Reduction #782-5 Mill off to inspect grinding section.  Found east journal ba</t>
  </si>
  <si>
    <t>Load Reduction #79Unit 2 was limited due to substation work.  South 345 KV bus out</t>
  </si>
  <si>
    <t>Load Reduction #802-4 Mill was off to replace the pyrite scraper.</t>
  </si>
  <si>
    <t>Load Reduction #812-4 Mill off due to high burner temperature on "A" burner line.</t>
  </si>
  <si>
    <t>Load Reduction #822-5 Mill was off to replace the pyrite scraper.</t>
  </si>
  <si>
    <t xml:space="preserve">F540Outage #7Unit 2 had been running with a leak in the East Side Superheat spray </t>
  </si>
  <si>
    <t xml:space="preserve">Load Reduction #832-5 Mill off to replace pyrite scraper and inspect mill. </t>
  </si>
  <si>
    <t xml:space="preserve">Load Reduction #842-4 Mill off for inspection.  </t>
  </si>
  <si>
    <t>Load Reduction #852-5 Mill off for inspection.</t>
  </si>
  <si>
    <t>Load Reduction #862-5 Mill journal failed.</t>
  </si>
  <si>
    <t>Load Reduction #872-6 Mill off to inspect noise in pyrite section.</t>
  </si>
  <si>
    <t>Load Reduction #882-5 Mill off to repair coal leaks.  Burner line gaskets leaking.</t>
  </si>
  <si>
    <t>Load Reduction #892-2 ID fan VFD tripped due to loss of power supply.</t>
  </si>
  <si>
    <t>Load Reduction #902-6 Mill off to inspect the pyrite section.</t>
  </si>
  <si>
    <t xml:space="preserve">Load Reduction #912-6 Mill off to inspect 'A' burner line due to getting hot. </t>
  </si>
  <si>
    <t>FS00Load Reduction #92Unit 2 was derated for a planned boiler deslag.</t>
  </si>
  <si>
    <t>Load Reduction #93Removed 2-5 Mill from service to repair a coal leak.</t>
  </si>
  <si>
    <t>Load Reduction #94Removed 2-5 Mill from service to repair a coal leak.</t>
  </si>
  <si>
    <t>Load Reduction #952-3 Feeder tripped.</t>
  </si>
  <si>
    <t>Load Reduction #962-6 Mill was off to inspect the pyrite and grinding sections due</t>
  </si>
  <si>
    <t>Load Reduction #12-3 Mill discharge temperature was high.  Took mill off to inspec</t>
  </si>
  <si>
    <t>Load Reduction #22-4 Mill had a loud noise in the grinding section.  Found a bad j</t>
  </si>
  <si>
    <t>Load Reduction #32-3 Mill had a fire in the grinding section.  Mill off to inspect</t>
  </si>
  <si>
    <t>Load Reduction #42-4 Mill was off to inspect noise coming from the grinding sectio</t>
  </si>
  <si>
    <t>Outage #1Unit Auxiliary Transformer 2A tripped on differential on 'B' and 'C' phas</t>
  </si>
  <si>
    <t>Outage #2During the previous event of the UAT-2 differential, the Main Turbine wen</t>
  </si>
  <si>
    <t>Load Reduction #52-6 Mill off to inspect noise in the pyrite section.  Pyrite scra</t>
  </si>
  <si>
    <t>Load Reduction #62-6 Mill off to inspect for mill vibration.</t>
  </si>
  <si>
    <t>Load Reduction #72-6 Mill off to inspect for the cause of noise in the grinding se</t>
  </si>
  <si>
    <t>Load Reduction #82-6 Mill off due to C burner line fire next to boiler.</t>
  </si>
  <si>
    <t>Unit was limited to Reserve Aux. transformer loading being too high. GH2 is on reserve</t>
  </si>
  <si>
    <t>F580Outage #3Unit had been running on Reserve power since a fault took the unit of</t>
  </si>
  <si>
    <t>Outage #4While unit was raising load from just coming back on line from previous e</t>
  </si>
  <si>
    <t xml:space="preserve">Load Reduction #102-2 Mill burner shut off air supply solenoid failed causing BSO </t>
  </si>
  <si>
    <t>Load Reduction #112-2 BFP IB oil seal started slinging oil.  Found oil temperature</t>
  </si>
  <si>
    <t>Load Reduction #122-2 BFP inboard oil seal started slinging oil.  Found oil pressu</t>
  </si>
  <si>
    <t>Load Reduction #132-5 Mill off to unplug the pyrite chute.</t>
  </si>
  <si>
    <t>Load Reduction #142-2 Mill off to inspect due to noise in the grinding section.</t>
  </si>
  <si>
    <t>Load Reduction #152-3 Feeder off to inspect for noise in tail roll area.</t>
  </si>
  <si>
    <t>Load Reduction #162-1 Mill off to inspect due to not grinding when placing in serv</t>
  </si>
  <si>
    <t>Load Reduction #172-1 Feeder was off to inspect for pluggage.</t>
  </si>
  <si>
    <t>Outage #5Removed the unit from service for the Planned Spring Outage.</t>
  </si>
  <si>
    <t>Load Reduction #18Boiler chemistry was out of range after unit start up.  Silica w</t>
  </si>
  <si>
    <t>Load Reduction #192-2 Boiler feed pump started leaking oil from the seal.  Removed</t>
  </si>
  <si>
    <t>Load Reduction #202-4 Mill off to inspect due to a noise in the grinding section.</t>
  </si>
  <si>
    <t>Load Reduction #212-4 Mill off to inspect north journal due to low mill amps.</t>
  </si>
  <si>
    <t>Load Reduction #22Unit load was dropped due to loss of power to the 4KV Coal Handl</t>
  </si>
  <si>
    <t>Load Reduction #232-3 Mill is out of service for inspection.</t>
  </si>
  <si>
    <t>Load Reduction #242-3 Mill off for limit on burner shut off gate.</t>
  </si>
  <si>
    <t>Load Reduction #252-1 BFP would not reset after testing.  HP stop valve limit issu</t>
  </si>
  <si>
    <t xml:space="preserve">Load Reduction #26Checking cables on 4KV feed to CHB.  Load was reduced to remove </t>
  </si>
  <si>
    <t>Load Reduction #272-4 Mill was off to inspect for noise in the pyrite section.</t>
  </si>
  <si>
    <t>Load Reduction #282-6C Burner line high temperature increased at a fast rate.  Ope</t>
  </si>
  <si>
    <t>Load Reduction #29Operations took 2-6 Mill out of service after attempts to stop t</t>
  </si>
  <si>
    <t>F540Outage #6Unit 2 was removed from service to replace the 2-3 BCWP.  The mechani</t>
  </si>
  <si>
    <t>Load Reduction #302-3 Mill off to inspect and repair classifier section.</t>
  </si>
  <si>
    <t xml:space="preserve">Load Reduction #312-6 Mill "D" BSO came off the open limit and tripped the mill.  </t>
  </si>
  <si>
    <t>Switchyard system protection devices - (not outside management control)</t>
  </si>
  <si>
    <t>Hydraulic system filters</t>
  </si>
  <si>
    <t>Hydrogen seals</t>
  </si>
  <si>
    <t>Desuperheater/attemperator piping</t>
  </si>
  <si>
    <t>Differential expansion</t>
  </si>
  <si>
    <t>Economizer piping</t>
  </si>
  <si>
    <t>Load Reduction #523-2 BFPT tripped.</t>
  </si>
  <si>
    <t>Load Reduction #53G High Pressure heater tube leak.</t>
  </si>
  <si>
    <t>Load Reduction #543-1B ID Fan tripped on loss of lube oil reservoir level indicati</t>
  </si>
  <si>
    <t>Load Reduction #553-1B ID Fan discharge damper hung up while at about 5% open.</t>
  </si>
  <si>
    <t>Load Reduction #563-1 ID Fan out of service for VFD coolant system repairs.</t>
  </si>
  <si>
    <t>Load Reduction #573-1 ID Fan OOS for VFD coolant system repairs.</t>
  </si>
  <si>
    <t>Load Reduction #58G HP heater normal drain regulator failed.</t>
  </si>
  <si>
    <t>Load Reduction #593-1A ID Fan OOS for VFD coolant system repairs.</t>
  </si>
  <si>
    <t>Load Reduction #603-2A ID Fan OOS for VFD coolant system repairs and to check moto</t>
  </si>
  <si>
    <t>Load Reduction #613-2 BFPT tripped on high vibration when 3-4 mill loaded up and s</t>
  </si>
  <si>
    <t>Load Reduction #62Unit 3 was limited due to North Bus outage to tie in for the new</t>
  </si>
  <si>
    <t>Load Reduction #63Removed U3 HP Heater from service to replace 3F heater level con</t>
  </si>
  <si>
    <t>Load Reduction #64Removed 3-2A ID fan from service to remove motor bearing hemp se</t>
  </si>
  <si>
    <t>Load Reduction #653-2 BFPT tripped.  No problem found.  Will troubleshoot and chec</t>
  </si>
  <si>
    <t xml:space="preserve">Load Reduction #663-2A ID Fan tripped on high vibration and controls of remaining </t>
  </si>
  <si>
    <t>Load Reduction #673-1 Mill tripped due to control card failure.</t>
  </si>
  <si>
    <t>Load Reduction #68Turbine copper deposition and low steam temperatures after desla</t>
  </si>
  <si>
    <t>Load Reduction #69Turbine copper deposition and low steam temperatures after desla</t>
  </si>
  <si>
    <t>Load Reduction #70Took 3-2A IDF out of service to address vibration issue.  Change</t>
  </si>
  <si>
    <t>Load Reduction #71The unit was derated due to mill grinding and air flow issues du</t>
  </si>
  <si>
    <t>Load Reduction #72The unit was derated due to mill grinding and air flow issues du</t>
  </si>
  <si>
    <t>Load Reduction #733-2B ID Fan VFD tripped.</t>
  </si>
  <si>
    <t>Outage #11The unit tripped off line due to low drum level.  This was caused by 3-2</t>
  </si>
  <si>
    <t>F540Outage #12Unit 3 was running with leaks in the 3-2 Air Preheating Coil.  Remov</t>
  </si>
  <si>
    <t>Load Reduction #743-2 BFPT tripped on vibration when taking 3-5 Mill out of servic</t>
  </si>
  <si>
    <t>Load Reduction #753-2 BFPT tripped on vibration when 3-4 Mill experienced grinding</t>
  </si>
  <si>
    <t>Load Reduction #763-1 BFPT tripped on loss of vacuum.  Vacuum sensing line at pres</t>
  </si>
  <si>
    <t>Load Reduction #773-1 BFPT tripped on loss of vacuum.  Vacuum sensing line at pres</t>
  </si>
  <si>
    <t>F540Outage #13Unit 3 had been running with a leak in the backpass of the boiler, b</t>
  </si>
  <si>
    <t>Load Reduction #783-2 Mill tripped on loss of flame.  Unit ran back (2 feeders off</t>
  </si>
  <si>
    <t>Load Reduction #13-2A and B ID fans tripped on IDF inlet pressure (2 out of 3 PT's</t>
  </si>
  <si>
    <t>Ash disposal problems</t>
  </si>
  <si>
    <t>Load Reduction #2U3 Wet ash line froze at ABS/ATB1 valve station.</t>
  </si>
  <si>
    <t xml:space="preserve">Outage #1Unit 3 was running with leaking on the Air Heater seals that was causing </t>
  </si>
  <si>
    <t>F060Outage #2Unit 3 was removed from service to repair air heater seals.  When the</t>
  </si>
  <si>
    <t>Load Reduction #3AH Sootblower steam supply line ruptured.  Dropped boiler pressur</t>
  </si>
  <si>
    <t>Load Reduction #43-1A ID fan was removed from service while dropping boiler pressu</t>
  </si>
  <si>
    <t>Load Reduction #53-2 BFPT servo valve failed.</t>
  </si>
  <si>
    <t>Load Reduction #63-2 BFPT servo failed.</t>
  </si>
  <si>
    <t>Load Reduction #73-3 Feeder tripped; plugged outlet due to wet coal.</t>
  </si>
  <si>
    <t>Load Reduction #8Load reduced for boiler deslag.</t>
  </si>
  <si>
    <t>Load Reduction #9Load reduced for boiler deslag.</t>
  </si>
  <si>
    <t>Load Reduction #10Turbine copper deposition.</t>
  </si>
  <si>
    <t>Load Reduction #11U3 Boiler tripped due to low PA duct pressure.</t>
  </si>
  <si>
    <t>Load Reduction #12Unable to make summer high rate because of turbine copper deposi</t>
  </si>
  <si>
    <t>Load Reduction #133-1 Feeder tripped when the feeder belt splice failed.</t>
  </si>
  <si>
    <t>Load Reduction #14Unable to make summer high rate because of turbine copper deposi</t>
  </si>
  <si>
    <t>Outage #3Air Heater seals are leaking badly on the unit causing large swings in th</t>
  </si>
  <si>
    <t>Load Reduction #15Unable to make summer high rate because of turbine copper deposi</t>
  </si>
  <si>
    <t>F060Outage #4Air heater seals are leaking badly causing large swings in furnace an</t>
  </si>
  <si>
    <t>Load Reduction #16The unit was limited due to high boiler drum silica following st</t>
  </si>
  <si>
    <t>Load Reduction #173-1 Feeder tripped for no apparent reason.</t>
  </si>
  <si>
    <t>F540Outage #5Unit 3 was removed from service after peak with an economizer tube le</t>
  </si>
  <si>
    <t>Outage #6A tube leak could be heard, but location could not be detected in the upp</t>
  </si>
  <si>
    <t>F540Outage #7Small tube leak could be heard, but location could not be detected in</t>
  </si>
  <si>
    <t>Crossover or under piping</t>
  </si>
  <si>
    <t>Turbine overspeed trip test</t>
  </si>
  <si>
    <t>Controls and instrumentation B</t>
  </si>
  <si>
    <t>Load Reduction #23High boiler exit gas temperature.</t>
  </si>
  <si>
    <t>Load Reduction #24Boiler exist gas was high.  Ran RH steam temperature lower to co</t>
  </si>
  <si>
    <t>Load Reduction #25H2SO4 temporary injection (SCR outlet) plugged.  Dropped load to</t>
  </si>
  <si>
    <t>Load Reduction #26H2SO4 temporary injection (SCR outlet) plugged.  Dropped load to</t>
  </si>
  <si>
    <t>F120Outage #7FGD Absorber Tower Mist Eliminators showing high differential.  Remov</t>
  </si>
  <si>
    <t>Load Reduction #274-3 Feeder plugged between feeder gate and feeder.</t>
  </si>
  <si>
    <t>Load Reduction #28Unit 4 was limited due to North Bus outage to tie in for the new</t>
  </si>
  <si>
    <t>Load Reduction #29A fire in 4-4 Mill damaged the 'D' burner line.  The unit was de</t>
  </si>
  <si>
    <t xml:space="preserve">Load Reduction #304-5 Mill had metal in grinding section causing poor performance </t>
  </si>
  <si>
    <t>Load Reduction #31Dropped load to keep boiler exit gas temp within limit.</t>
  </si>
  <si>
    <t>Load Reduction #32Unit 4 was being limited due to H2SO4 monitor being out of servi</t>
  </si>
  <si>
    <t>Load Reduction #33Unit 4 was limited due to H2SO4 monitor being out of service and</t>
  </si>
  <si>
    <t>Load Reduction #34Unit 4 was limited due to H2SO4 monitor being out of service and</t>
  </si>
  <si>
    <t>Load Reduction #354-1 ID fan tripped.  OB fan vibration transducer failed.</t>
  </si>
  <si>
    <t>Load Reduction #36High boiler exit gas temperature.</t>
  </si>
  <si>
    <t>Load Reduction #374-2A auxiliary condensate pump tripped due to breaker issues.</t>
  </si>
  <si>
    <t>F120Outage #8Unit 4 had been running with differential across the FGD Mist Elimina</t>
  </si>
  <si>
    <t>Outage #9Water wall tube blew out in boiler causing furnace to trip on high furnac</t>
  </si>
  <si>
    <t>Outage #10While starting 4-4 mill soon after Unit 4 start up, a furnace pressure e</t>
  </si>
  <si>
    <t>Outage #11A water wall tube leak ruptured causing the furnace to trip on high furn</t>
  </si>
  <si>
    <t>F540Outage #12Conditions started showing signs of a bad Condenser tube leak.  Remo</t>
  </si>
  <si>
    <t>F380Outage #13The unit had been running with a Superheat tube leak, but the unit w</t>
  </si>
  <si>
    <t>Load Reduction #38U4 Derated due to high boiler drum silica after a Condenser CW t</t>
  </si>
  <si>
    <t>Load Reduction #39Unit 4 was derated due to a suspected condenser tube leak in the</t>
  </si>
  <si>
    <t>Outage #14Unit 4 was running with a suspected condenser tube leak in 4-2 auxiliary</t>
  </si>
  <si>
    <t>Outage #15Unit 4 tripped with a suspected condenser tube leak in 4-2 Auxiliary Con</t>
  </si>
  <si>
    <t>Load Reduction #40Unit 4 was derated due to high boiler drum silica after the unit</t>
  </si>
  <si>
    <t>Load Reduction #41H2SO4 temporary injection (SCR Outlet) OOS.  Equipment shut down</t>
  </si>
  <si>
    <t xml:space="preserve">Load Reduction #42Turbine degradation due to copper deposits. </t>
  </si>
  <si>
    <t>Load Reduction #43Load reduced due to turbine degradation.</t>
  </si>
  <si>
    <t>F590Outage #16Unit 4 came off line on a Planned Fall Outage.  Outage work includes</t>
  </si>
  <si>
    <t>Outage #17After start up of U4 after major overhaul on the turbine, the turbine wa</t>
  </si>
  <si>
    <t>Outage #18After start up of U4 after major overhaul on the turbine, the turbine wa</t>
  </si>
  <si>
    <t>Outage #19After start up of U4 after major overhaul on the turbine, the turbine wa</t>
  </si>
  <si>
    <t>Load Reduction #44High boiler drum silica on start up after Fall Outage.</t>
  </si>
  <si>
    <t>Outage #20Packing blew out on the flue economizer inlet valve causing a tremendous</t>
  </si>
  <si>
    <t>Load Reduction #45Unit runback and 4-1 and 4-5 mills tripped after 4-2 BFPT trippe</t>
  </si>
  <si>
    <t>Load Reduction #46Boiler drum silica was high on start up after Fall Outage.</t>
  </si>
  <si>
    <t>Load Reduction #47Low pressure heater extractions tripped.  'C' heater normal drai</t>
  </si>
  <si>
    <t>Load Reduction #484-2 FD fan inlet vane control card failed.  4-2 FD fan inlet won</t>
  </si>
  <si>
    <t>Outage #21U4 Boiler tripped on low furnace pressure while working on 4-2 FD fan in</t>
  </si>
  <si>
    <t>Load Reduction #49High boiler drum silica on start up after Fall Outage.</t>
  </si>
  <si>
    <t xml:space="preserve">Load Reduction #50FD fan master was indicating 100%.  </t>
  </si>
  <si>
    <t xml:space="preserve">Load Reduction #51HP Heaters are out of service for level control investigation.  </t>
  </si>
  <si>
    <t>Outage #22U4 Boiler tripped on "Low Furnace Pressure" when the 4-2A and 4-2B ID fa</t>
  </si>
  <si>
    <t>AC Protection devices</t>
  </si>
  <si>
    <t>Load Reduction #52Unit 4 was requested to stay at a steady state load while reserv</t>
  </si>
  <si>
    <t>Load Reduction #53U4 HP heaters were out of service for level control investigatio</t>
  </si>
  <si>
    <t>F590Outage #23Scheduled Unit 4 to come off line to repair several items on the uni</t>
  </si>
  <si>
    <t xml:space="preserve">Load Reduction #54HP Heaters were out of service for level control investigation. </t>
  </si>
  <si>
    <t>Load Reduction #554-2 Coal Feeder would not start on load increase.  PA flow was &gt;</t>
  </si>
  <si>
    <t>Load Reduction #56Sorbent Inject Silo Loss in Weight hoppers plugged.  Dropped loa</t>
  </si>
  <si>
    <t xml:space="preserve">Load Reduction #1Sorbent injection system to SCR Outlet ducts plugged, dropped load </t>
  </si>
  <si>
    <t>Load Reduction #2Derated unit to deslag U4 burner eyebrows.  Thompson to water bla</t>
  </si>
  <si>
    <t>Outage #1Unit 4 was showing signs of a Condenser tube leak.  Removed the unit from</t>
  </si>
  <si>
    <t>Water side cleaning (acid cleaning)</t>
  </si>
  <si>
    <t>Outage #2While filling the boiler for startup from the previous Maintenance event,</t>
  </si>
  <si>
    <t>Outage #3After Unit 4 had just come back on line and while placing mills in servic</t>
  </si>
  <si>
    <t>F540Outage #4Boiler developed leak in Economizer section of the boiler.  Removed u</t>
  </si>
  <si>
    <t>Load Reduction #3Need to deslag U4.  4-3 &amp; 4-5 Burners have large eyebrows. Thomps</t>
  </si>
  <si>
    <t>Load Reduction #4Need to deslag U4.  4-3 &amp; 4-5 Burners have large eyebrows. Thomps</t>
  </si>
  <si>
    <t>FS00Load Reduction #5Dropped load to deslag boiler due to SH stem temperatures sag</t>
  </si>
  <si>
    <t>SCR NOx Injection grid piping/valves</t>
  </si>
  <si>
    <t>Load Reduction #6KBR installed new sorbent injection lines and valves.</t>
  </si>
  <si>
    <t>Load Reduction #7Kept load reduced to 200 MW to keep H2S04 within limit after sorb</t>
  </si>
  <si>
    <t>Load Reduction #8Unit was unable to make full load after sorbent injection mainten</t>
  </si>
  <si>
    <t>Load Reduction #9Boiler upset due to wet coal.  Mill ran back on loss of flame.</t>
  </si>
  <si>
    <t>Load Reduction #10Boiler deslag.</t>
  </si>
  <si>
    <t>Load Reduction #11Condenser CW leak; variable load according to silica \ drum pres</t>
  </si>
  <si>
    <t xml:space="preserve">Outage #5Unit 4 was experiencing signs of a bad condenser leak.  Removed the unit </t>
  </si>
  <si>
    <t>Load Reduction #12Unit start up after outage to repair a condenser tube leak;  Var</t>
  </si>
  <si>
    <t>Load Reduction #13Unable to make full load due to ID fan VFD amp limitations due t</t>
  </si>
  <si>
    <t>Load Reduction #14Unable to make full load due to ID fan VFD amp limitations due t</t>
  </si>
  <si>
    <t>Load Reduction #15Load Reduced to deslag the boiler.</t>
  </si>
  <si>
    <t>Load Reduction #16Suspected condenser CW leak.  Variable load according to silica/</t>
  </si>
  <si>
    <t>F060Outage #6Air Heater seals were leaking badly causing large swings in the furna</t>
  </si>
  <si>
    <t>Load Reduction #17Boiler drum silica was high after air heater seal outage.  Varia</t>
  </si>
  <si>
    <t>F790Load Reduction #18Mid-load SAM test.</t>
  </si>
  <si>
    <t>Load Reduction #194-1A ID Fan VFD tripped when drive controls lost communication w</t>
  </si>
  <si>
    <t>F790Load Reduction #20Low-load SAM test.</t>
  </si>
  <si>
    <t xml:space="preserve">Load Reduction #214-2A, then 4-1B ID fan VFDs tripped when drive controls faulted </t>
  </si>
  <si>
    <t>Operating procedure error</t>
  </si>
  <si>
    <t>Primary air fan lube oil system</t>
  </si>
  <si>
    <t>NOx analyzer problems</t>
  </si>
  <si>
    <t>Feedwater regulating (boiler level control) valve</t>
  </si>
  <si>
    <t>Other desuperheater/attemperator problems</t>
  </si>
  <si>
    <t>Air leakage (for losses not attributable to previously noted equipment related codes)</t>
  </si>
  <si>
    <t>Ash handling system and hoppers</t>
  </si>
  <si>
    <t>Other miscellaneous external problems</t>
  </si>
  <si>
    <t>Primary air heater fouling</t>
  </si>
  <si>
    <t>Emission monitors (other than CEMS) A</t>
  </si>
  <si>
    <t>Other lube oil system problems</t>
  </si>
  <si>
    <t>Scrubber booster I.D. fan vibration (fan specific to the scrubber)</t>
  </si>
  <si>
    <t>Testing A</t>
  </si>
  <si>
    <t>Hot well</t>
  </si>
  <si>
    <t>Mill slurry tanks supply problems</t>
  </si>
  <si>
    <t>Liquid cooling system</t>
  </si>
  <si>
    <t>Soot blower controls</t>
  </si>
  <si>
    <t>F790Capability Test - Max Fire/Max Load</t>
  </si>
  <si>
    <t>Economizer A</t>
  </si>
  <si>
    <t>F320Economizer Wash</t>
  </si>
  <si>
    <t>F7801C3 Burner - High Temperature</t>
  </si>
  <si>
    <t>F690#1 Turbine Control Valve stuck closed</t>
  </si>
  <si>
    <t>F790SO3 Test - Full Load</t>
  </si>
  <si>
    <t>F5901A Coal Feeder - Reset Microprocessor, gas in</t>
  </si>
  <si>
    <t>F830Turbine Manual Trip</t>
  </si>
  <si>
    <t>F5401B Coal Mill - Repair 1B4 Coal Conduit Leak</t>
  </si>
  <si>
    <t>F790Full Load - Heat Rate Test</t>
  </si>
  <si>
    <t>F790Heat Rate Test @ 235 MW</t>
  </si>
  <si>
    <t>F790Heat Rate Test @ 285 MW</t>
  </si>
  <si>
    <t>Baghouse systems</t>
  </si>
  <si>
    <t>F590Construction Project Transmission Line Clearance - Install PAC (Powder Activated C</t>
  </si>
  <si>
    <t>F5901A Coal Feeder - Replace Microprocessor</t>
  </si>
  <si>
    <t>F820High Drum Level Trip - Lost 1D Coal Feeder</t>
  </si>
  <si>
    <t>F1201B Coal Feeder - Plugged, Foreign Material</t>
  </si>
  <si>
    <t>F1201A Coal Mill - Foreign Material in Pyrite Chute</t>
  </si>
  <si>
    <t>F320Boiler Deslag - First Reheater, Full Load Available as Needed</t>
  </si>
  <si>
    <t>F7801A Circulating Water Pump - Upper Guide Bearing High Temperature</t>
  </si>
  <si>
    <t>F5401A Circulating Water Pump Motor - Cooler Leak Repair</t>
  </si>
  <si>
    <t>F6301A Circulating Water Pump - Put in Service</t>
  </si>
  <si>
    <t>F1201C Coal Feeder - Foreign Metal in Chute</t>
  </si>
  <si>
    <t>F5901C Coal Mill - Adjusted Rollers</t>
  </si>
  <si>
    <t>F0901D Coal Feeder - Calibration</t>
  </si>
  <si>
    <t>F7801B Air Heater Guide Bearing - High Temperature due to Low Oil Flow</t>
  </si>
  <si>
    <t>F5901B Induced Draft Fan - Beck Drive Issues</t>
  </si>
  <si>
    <t>F7801B Coal Mill - 1B1 Burner High Temperature</t>
  </si>
  <si>
    <t>F5901B Induced Draft Fan - Replace Beck Drive, Gas In Service</t>
  </si>
  <si>
    <t>F5901B Induced Draft Fan - Beck Drive Calibration Adjustment</t>
  </si>
  <si>
    <t>F4001B Induced Draft Fan - Beck Drive Maxed</t>
  </si>
  <si>
    <t>F0901B Induced Draft Fan - Beck Drive Calibrated</t>
  </si>
  <si>
    <t>F320Boiler Pluggage - First Reheater Slag</t>
  </si>
  <si>
    <t>F320Boiler Deslag - First Reheater, Gas In Service, Full Load Available as Needed</t>
  </si>
  <si>
    <t>F720Turbine #1 Control Valve - Stuck Closed</t>
  </si>
  <si>
    <t>F400Turbine Control Valves - Position Indication Feedback</t>
  </si>
  <si>
    <t>F1201D Coal Feeder - Rock on Belt</t>
  </si>
  <si>
    <t>F5301D Coal Mill - Inspect Hot Air Damper</t>
  </si>
  <si>
    <t>F590Deaerator Heater - Leak Repair</t>
  </si>
  <si>
    <t>F5901C Coal Mill Exhauster - Clean</t>
  </si>
  <si>
    <t>FX00FGD Ductwork - Zachry Making Lift</t>
  </si>
  <si>
    <t>F540Deaerator Heater Leak</t>
  </si>
  <si>
    <t>F790Winter full load capability test</t>
  </si>
  <si>
    <t>F170High silica at hot start up</t>
  </si>
  <si>
    <t>F5901D Feeder - Replaced belt</t>
  </si>
  <si>
    <t>F5401A Booster Fan - service water leak</t>
  </si>
  <si>
    <t>Other miscellaneous operational environmental limits (fossil and nuclear)</t>
  </si>
  <si>
    <t>F790MATS Testing - Full Load</t>
  </si>
  <si>
    <t>F5901B1 Recycle Pump - Oil Change</t>
  </si>
  <si>
    <t>F590Recycle pump issues</t>
  </si>
  <si>
    <t>F590Recycle Pump Issues</t>
  </si>
  <si>
    <t>F590Reactant Feed Line Repair</t>
  </si>
  <si>
    <t>F590Recycle Pump issues</t>
  </si>
  <si>
    <t>F120B Mill Coal Feeder Pluggage</t>
  </si>
  <si>
    <t>F120B,C,D Mill Coal Feeders Plugged</t>
  </si>
  <si>
    <t>F590FGD 1B1 Recycle Pump - Belts Burnt Off</t>
  </si>
  <si>
    <t>F5901D Coal Feeder - Belt Tracking Issue</t>
  </si>
  <si>
    <t>F540FGD 1B3 Recycle Pump - Seal Leaking</t>
  </si>
  <si>
    <t>F060FGD 1B3 Recycle Pump - Bearing Issue</t>
  </si>
  <si>
    <t>Major overhaul C</t>
  </si>
  <si>
    <t>F080Air pre-heater baskets</t>
  </si>
  <si>
    <t>F170High Silica at cold start</t>
  </si>
  <si>
    <t>F890Generator Stator manual drain weld</t>
  </si>
  <si>
    <t>F170High Silica @ start-up</t>
  </si>
  <si>
    <t>F790Baghouse Testing</t>
  </si>
  <si>
    <t>F890Generator stator manual drain weld</t>
  </si>
  <si>
    <t>F170High silica @  hot start-up</t>
  </si>
  <si>
    <t>F790Baghouse testing</t>
  </si>
  <si>
    <t>F5901A Mill Maintenance</t>
  </si>
  <si>
    <t>F540Economizer recirc line repair</t>
  </si>
  <si>
    <t>F170High Silica @ hot start</t>
  </si>
  <si>
    <t>F5901B Coal Mill</t>
  </si>
  <si>
    <t>F790Boiler tuning</t>
  </si>
  <si>
    <t>F790Full Load testing</t>
  </si>
  <si>
    <t>F590B Mill roller maintenance</t>
  </si>
  <si>
    <t>F720#2 Reheat intercept valve stuck</t>
  </si>
  <si>
    <t>F790Low load testing.  Full load available if load dispatch needed it.</t>
  </si>
  <si>
    <t>F660Pressure swing bringing mill online</t>
  </si>
  <si>
    <t>F170High silica @ very hot start</t>
  </si>
  <si>
    <t>F790Full Load Testing</t>
  </si>
  <si>
    <t>F5901B Coal Mill roller</t>
  </si>
  <si>
    <t>F590Coal Mill Maintenance</t>
  </si>
  <si>
    <t>F790Low Load RATA Testing - Load available if needed</t>
  </si>
  <si>
    <t>F790Mid Load RATA Testing - Load available if needed</t>
  </si>
  <si>
    <t>F5901B Coal Mill Maintenance</t>
  </si>
  <si>
    <t>F5901A Coal Mill</t>
  </si>
  <si>
    <t>F5901D Coal Mill General Maintenance</t>
  </si>
  <si>
    <t>F5901D Coal Mill - Adjusted Rollers</t>
  </si>
  <si>
    <t>F5901B Coal Mill - Adjusted Roller</t>
  </si>
  <si>
    <t>Cooling tower booster pump</t>
  </si>
  <si>
    <t>Cooling tower booster motor</t>
  </si>
  <si>
    <t>Other reheat steam problems</t>
  </si>
  <si>
    <t>F5902A Coal Mill - Overhaul</t>
  </si>
  <si>
    <t>F790Boiler Tuning.  Full load if load dispatch needed it.</t>
  </si>
  <si>
    <t>F790Combustion Testing</t>
  </si>
  <si>
    <t>F5902A Boiler Feed Pump - Flow Transmitter Issue</t>
  </si>
  <si>
    <t>F5402B Main Transformer - Oil Leak</t>
  </si>
  <si>
    <t>F5902B Main Transformer - Replace Oil Pump</t>
  </si>
  <si>
    <t>F4402D Coal Mill - Puff, Lost C &amp; D Coal Feeders</t>
  </si>
  <si>
    <t>F4402D Coal Mill - Puff, Repairs</t>
  </si>
  <si>
    <t>F5402A Coal Mill - Discharge Conduit Leak Repair</t>
  </si>
  <si>
    <t>F5902B Coal Mill - Repaired Cooling Water Line</t>
  </si>
  <si>
    <t>F5902B Coal Mill Exhauster - Flushed Oil</t>
  </si>
  <si>
    <t>F5902C Coal Mill - Exhauster Bearing Oil Change</t>
  </si>
  <si>
    <t>F590MC 4532 - Relay Work</t>
  </si>
  <si>
    <t>F5902D Coal Mill - Exhauster Inspection</t>
  </si>
  <si>
    <t>F790RATA Test - Mid Load @ 220 MW</t>
  </si>
  <si>
    <t>F590MC 4502 Breaker Maintenance - Closed In</t>
  </si>
  <si>
    <t>F5902B Boiler Feed Pump - Replace Lube Oil Filter</t>
  </si>
  <si>
    <t>F5902B Coal Mill - Replaced Scraper</t>
  </si>
  <si>
    <t>F1202D Coal Feeder - Chute Plugged with Rock</t>
  </si>
  <si>
    <t>F5902A Coal Mill Motor - Replace Breaker</t>
  </si>
  <si>
    <t>F590FGD Expansion Joint Repair/ Boiler Deslag</t>
  </si>
  <si>
    <t>F400Relay &amp; Switchyard Issues - Problem Synchronizing</t>
  </si>
  <si>
    <t>FX00FGD Ductwork - Zachry making lift</t>
  </si>
  <si>
    <t>F700Main Transformer A Phase</t>
  </si>
  <si>
    <t>F700Main Transformer Replacement</t>
  </si>
  <si>
    <t>F400Generator Field - Voltage Regulator Issues</t>
  </si>
  <si>
    <t>F540Generator Bushing Box - Hydrogen Leak Repair</t>
  </si>
  <si>
    <t>F400Voltage Regulator Issue</t>
  </si>
  <si>
    <t>FS00Deslag 1st Reheat</t>
  </si>
  <si>
    <t>F1202D Coal Feeder Plugged</t>
  </si>
  <si>
    <t>F590Planned 8 week Outage</t>
  </si>
  <si>
    <t>F170High Silica @ Cold Start</t>
  </si>
  <si>
    <t>F590Turbine overspeed trip test</t>
  </si>
  <si>
    <t>F540#7 Bearing turbine oil leak</t>
  </si>
  <si>
    <t>F540# 7 Bearing turbine oil leak</t>
  </si>
  <si>
    <t>F5902 B phase Main Transformer - Filter and clean the oil</t>
  </si>
  <si>
    <t>F170High silica @ Warm Start-up</t>
  </si>
  <si>
    <t>F5302A Mill Inspection</t>
  </si>
  <si>
    <t>F5902A mill breaker - replace</t>
  </si>
  <si>
    <t>F790FGD and Baghouse testing</t>
  </si>
  <si>
    <t>F5902C coal mill roller adjustment</t>
  </si>
  <si>
    <t>F5902D coal mill roller adjustment</t>
  </si>
  <si>
    <t>F530WFGD Inspection</t>
  </si>
  <si>
    <t>F170High silica @ Hot Start</t>
  </si>
  <si>
    <t>F590Loss of clearwell pumps</t>
  </si>
  <si>
    <t>F5902B Feeder issues</t>
  </si>
  <si>
    <t>F5902B feeder issues</t>
  </si>
  <si>
    <t>F790WFGD and Baghouse testing</t>
  </si>
  <si>
    <t>F5302B Feeder Inspection</t>
  </si>
  <si>
    <t>F790Low load testing - load available if needed</t>
  </si>
  <si>
    <t>F5902A Coal Mill maintenance</t>
  </si>
  <si>
    <t>F5902A Coal Mill</t>
  </si>
  <si>
    <t>Other forced draft fan problems</t>
  </si>
  <si>
    <t>Cooling tower fill damage</t>
  </si>
  <si>
    <t>F820Master Fuel Trip</t>
  </si>
  <si>
    <t>F690Low Drum Level - TDBFP Recirc Valve Issues</t>
  </si>
  <si>
    <t>F530C Coal Mill PA Fan Inspection</t>
  </si>
  <si>
    <t>F790Full Load SO3 Testing</t>
  </si>
  <si>
    <t>F5303A Coal Mill Maintenance - Inspection and Feeder Calibration</t>
  </si>
  <si>
    <t>F5303B Coal Mill Maintenance - Inspection and Feeder Calibration</t>
  </si>
  <si>
    <t>F5303D Coal Mill Maintenance - Inspection and Feeder Calibration</t>
  </si>
  <si>
    <t>F5303C Coal Mill Maintenance - Inspection and Feeder Calibration</t>
  </si>
  <si>
    <t>F7803C8 Burner - High Temperature</t>
  </si>
  <si>
    <t>F7803D10 Burner High Temperature</t>
  </si>
  <si>
    <t>F5903C Coal Mill - Inspect Primary Air Fan Dampers</t>
  </si>
  <si>
    <t>F790Reactive Power Capability Test - Full Load</t>
  </si>
  <si>
    <t>F660High Back Pressure - 3A Cooling Tower Fan Trip</t>
  </si>
  <si>
    <t>F5903B Coal Mill - Repair Seal Air Line</t>
  </si>
  <si>
    <t>F820High Furnace Vacuum Trip - 3B Forced Draft Fan Inlet Damper Stuck</t>
  </si>
  <si>
    <t>F5903C Coal Mill &amp; Primary Air Fan - Inspection</t>
  </si>
  <si>
    <t>F400Particulate Matter Monitor - Faulty Readings</t>
  </si>
  <si>
    <t>F5903C Coal Mill PA Fan - Replace Amp Reading Transducer</t>
  </si>
  <si>
    <t>F5903A Coal Mill - Clean Lube Oil Pump Motor</t>
  </si>
  <si>
    <t>F790RATA Test - Mid Load @ 310 MW</t>
  </si>
  <si>
    <t>F8203D Coal Mill - Tripped</t>
  </si>
  <si>
    <t>F7803D Coal Mill - 3D7 Burner High Temperature</t>
  </si>
  <si>
    <t>F5903D Coal Mill - Primary Air Fan Trip, Replaced Light Resistor</t>
  </si>
  <si>
    <t>F7803B Coal Mill - 3B7 Burner High Temperature</t>
  </si>
  <si>
    <t>F8203D Coal Mill - Primary Air Fan Trip</t>
  </si>
  <si>
    <t>F820Turbine Master Trip</t>
  </si>
  <si>
    <t>F170High Silica/Recycle Pump Trip - Reaction Tank Low Level</t>
  </si>
  <si>
    <t>F130FGD 3A1 Recycle Pump - Installed Blank</t>
  </si>
  <si>
    <t>F5303D Coal Mill - 3D5 Burner Inspection</t>
  </si>
  <si>
    <t>F1203D Coal Mill - 3D5 Conduit Plugged, Installing Blank at Burner</t>
  </si>
  <si>
    <t>F6303D Coal Mill - 3D5 Burner Removed Blank after Conduit Cleaned Out</t>
  </si>
  <si>
    <t>F7803D Coal Mill - 3D10 Burner High Temperature</t>
  </si>
  <si>
    <t>F5403C Coal Mill - Raw Coal Conduit Leak</t>
  </si>
  <si>
    <t>F5903D Coal Mill Primary Air Fan - Breaker Issue</t>
  </si>
  <si>
    <t>F5903D Coal Feeder - Replace Door Gasket</t>
  </si>
  <si>
    <t>F7803C Coal Mill - 3C8 Burner High Temperature</t>
  </si>
  <si>
    <t>F5903D Coal Mill Primary Air Fan - Breaker Issues</t>
  </si>
  <si>
    <t>F5903D Coal Mill Primary Air Fan - Replaced Breaker</t>
  </si>
  <si>
    <t>F790Particulate Matter Test - Full Load</t>
  </si>
  <si>
    <t>F790Particulate Matter Test @ Full Load</t>
  </si>
  <si>
    <t>F590FGD Reactive Feed Return Line - Broken, Demo Issue</t>
  </si>
  <si>
    <t>F7803D Coal Mill - 3D6 &amp; 3D7 Burner High Temperature - blanked</t>
  </si>
  <si>
    <t>F790SCR Tuniing - Full Load</t>
  </si>
  <si>
    <t>F1203C Coal Feeder - Plugged in Silo</t>
  </si>
  <si>
    <t>F480Particulate Matter Issue - Frozen Air Lines</t>
  </si>
  <si>
    <t>F1203B Mill coal feeder conduit plugged</t>
  </si>
  <si>
    <t>F0903A mill feeder planned calibration</t>
  </si>
  <si>
    <t>F0903B Mill feeder planned calibration and mill inspection</t>
  </si>
  <si>
    <t>F790Winter Full Load Capability Test</t>
  </si>
  <si>
    <t>F0903D Feeder - Calibration and mill inspection</t>
  </si>
  <si>
    <t>F7803B Coal Mill - 3B6 Burner High Temperature</t>
  </si>
  <si>
    <t>F4003A coal feeder.  Feeder kept tripping.</t>
  </si>
  <si>
    <t>FE00PM Compliance - Fly Ash Hoppers Full</t>
  </si>
  <si>
    <t>FE00PM Compliance - Fly Ash Hoppers full</t>
  </si>
  <si>
    <t>F540Condenser leak</t>
  </si>
  <si>
    <t>F7803D Coal Mill - High Burner Temp</t>
  </si>
  <si>
    <t>F5703C Mill PA Fan - Oil Change</t>
  </si>
  <si>
    <t>F7803D Mill - High Burner Temp</t>
  </si>
  <si>
    <t>F7803B Mill - High Burner Temp</t>
  </si>
  <si>
    <t>F540ID Fan Runback</t>
  </si>
  <si>
    <t>F7803D Mill Burner Temps</t>
  </si>
  <si>
    <t>F590Cleaned chevrons</t>
  </si>
  <si>
    <t>F170High Silica @ Warm Start</t>
  </si>
  <si>
    <t>F8503A ID Fan Vibration</t>
  </si>
  <si>
    <t>F7803D Mill Burner Temp</t>
  </si>
  <si>
    <t>F5903B Coal Mill Feeder hatch repair</t>
  </si>
  <si>
    <t>FR003C Coal Mill Burner - Coal smoldering</t>
  </si>
  <si>
    <t>F7803C Coal Mill PA Fan Bearing Temp</t>
  </si>
  <si>
    <t>F7803C Coal Mill Primary Air Fan Bearing Temp</t>
  </si>
  <si>
    <t>FC003A ID Fan Cleaning</t>
  </si>
  <si>
    <t>F170High Silica @ Hot Start</t>
  </si>
  <si>
    <t>F7803D Mill - High Burner Temps</t>
  </si>
  <si>
    <t>F400Igniter issues</t>
  </si>
  <si>
    <t>F7803D Mill Burner Temperature</t>
  </si>
  <si>
    <t>F320Air Pre heater wash</t>
  </si>
  <si>
    <t>F170High silica at Warm Start-up</t>
  </si>
  <si>
    <t>F7803D Coal Mill Burner Temps</t>
  </si>
  <si>
    <t>F660High backpressure</t>
  </si>
  <si>
    <t>F400Max steam flow</t>
  </si>
  <si>
    <t>FR003A-2 Main Aux. breaker fire</t>
  </si>
  <si>
    <t>F420Sequential trip</t>
  </si>
  <si>
    <t>F5903A - 2 Main Aux Breaker work</t>
  </si>
  <si>
    <t>F5903A-2 Main Aux Breaker work</t>
  </si>
  <si>
    <t>F5903A Cooling Tower pump</t>
  </si>
  <si>
    <t>Mechanical precipitator problems</t>
  </si>
  <si>
    <t>F590"A" Side precipitator hopper full</t>
  </si>
  <si>
    <t>F3203A Precipitator - Clean Hopper</t>
  </si>
  <si>
    <t>F400Induced Draft Fans - Maxed Out</t>
  </si>
  <si>
    <t>F520Feedwater Flow - ExcessiveBlowdown Valve - Not Completely Closed</t>
  </si>
  <si>
    <t>F0904E Coal Feeder - Calibration &amp; Primary Air Fan Damper Repair</t>
  </si>
  <si>
    <t>F7804B4 Burner Tip - High Temperature</t>
  </si>
  <si>
    <t>F7204C PA Fan - Hot Air Damper not operating</t>
  </si>
  <si>
    <t>F660LP Heater 1&amp;2A and 1&amp;2B Bypassed - High Level</t>
  </si>
  <si>
    <t>F540LP Heater 2A Leak Repair</t>
  </si>
  <si>
    <t>F420Low Drum Level</t>
  </si>
  <si>
    <t>F400#2 Turbine Control Valve - Turbine EHC system</t>
  </si>
  <si>
    <t>F540Boiler Tube Leak - Lower Slope Waterwall</t>
  </si>
  <si>
    <t>F820Low Drum Level Trip - Boiler Feed Pump Low Pressure Steam Supply Check Valve Stuck</t>
  </si>
  <si>
    <t>F820Low Drum Level Trip - Turbine Driven Boiler Feed Pump Issues</t>
  </si>
  <si>
    <t>F1204B Coal Feeder - Coal Under Belt</t>
  </si>
  <si>
    <t>F590SO2 Compliance - 4A1 &amp; 4B2 Recycle Pumps Out of Service</t>
  </si>
  <si>
    <t>F150Feedwater Flow Maxed Out</t>
  </si>
  <si>
    <t>F7804B Coal Mill - 4B4 Burner High Temperature</t>
  </si>
  <si>
    <t>F5904D Coal Mill - Replace Breaker Housing Switch</t>
  </si>
  <si>
    <t>F320Particulate Matter Limitation - Cleaned Probes</t>
  </si>
  <si>
    <t>F5904B Induced Draft Fan - Replace Beck Drive Motor</t>
  </si>
  <si>
    <t>F8204B Coal Feeder - Trip</t>
  </si>
  <si>
    <t>F5904D Cooling Tower Fan - Maintenance4A Coal Mill PA Fan - Repair Discharge Duct</t>
  </si>
  <si>
    <t>F8204A Condenser Vacuum Pump - Trip, Breaker Overheated</t>
  </si>
  <si>
    <t>F7804C Coal Mill - 4C2 Burner High Temperature</t>
  </si>
  <si>
    <t>F7804A Coal Mill - 4A2 Burner High Temperature</t>
  </si>
  <si>
    <t>F7904E Coal Mill - Clean Air Test</t>
  </si>
  <si>
    <t>F6604A Air Heater - High Differential</t>
  </si>
  <si>
    <t>F790MAT Testing - Full Load</t>
  </si>
  <si>
    <t>F5904B Induced Draft Fan - Beck Drive Issue</t>
  </si>
  <si>
    <t>F780Reheat Spray Issue - High Temperature</t>
  </si>
  <si>
    <t>Other hot reheat steam valves (not including turbine stop or intercept valves)</t>
  </si>
  <si>
    <t>F780Reheat Spray Issue - High Temperature, Block Valve Closed</t>
  </si>
  <si>
    <t>Other AC instrument power problems</t>
  </si>
  <si>
    <t>F430Electrical Wiring - Burnt Wiring in Cable Tray</t>
  </si>
  <si>
    <t>F820Low Drum Level Trip - Boiler Pressure Swing</t>
  </si>
  <si>
    <t>F590Planned 10 Week Outage</t>
  </si>
  <si>
    <t>F790FGD Testing</t>
  </si>
  <si>
    <t>F850Turbine #3 Bearing - High Vibration</t>
  </si>
  <si>
    <t>F850Generator - Balance Shot</t>
  </si>
  <si>
    <t>F400Turbine Driven Boiler Feed Pump - Control Issue</t>
  </si>
  <si>
    <t>F8204A Induced Draft Fan - Trip</t>
  </si>
  <si>
    <t>F170High Silica/ Condensate Valve Sticking</t>
  </si>
  <si>
    <t>F5404A Coal Mill Maintenance - Coal Conduit Leaks</t>
  </si>
  <si>
    <t>F4004A PA Fan 4kV Breaker issues</t>
  </si>
  <si>
    <t>F7804B Coal Mill Fire</t>
  </si>
  <si>
    <t>F8204B Coal Mill Feeder Trip</t>
  </si>
  <si>
    <t>F7804B Coal Mill PA Duct - Hot Spot</t>
  </si>
  <si>
    <t>F5304B Coal Mill Inspection</t>
  </si>
  <si>
    <t>F5404A Coal Mill - 4A3 Coal Conduit Leak</t>
  </si>
  <si>
    <t>F4004C Feeder - Fuse block issue</t>
  </si>
  <si>
    <t>F0604A PA Fan 4kV breaker racking mechanism</t>
  </si>
  <si>
    <t>F5404A Coal Mill Leak</t>
  </si>
  <si>
    <t>F5904A Coal Feeder - Replaced Power Supply Board</t>
  </si>
  <si>
    <t>F790Combustion Tuning - Full Load Test</t>
  </si>
  <si>
    <t>F790FGD  Performance Testing - Full Load</t>
  </si>
  <si>
    <t>F790FGD Performance Testing - Full Load</t>
  </si>
  <si>
    <t>F820Induced Draft Fan Suction Pressure Trip</t>
  </si>
  <si>
    <t>F540Turbine Left Intercept Valve - EHC Leak</t>
  </si>
  <si>
    <t>F790FGD Performance Testing</t>
  </si>
  <si>
    <t>F820Turbine Reheat/Intercept Valve Check - Trip</t>
  </si>
  <si>
    <t>F790FGD Pulse Jet Fabric Filter (PJFF) - Control Efficiency Test at Full Load</t>
  </si>
  <si>
    <t>F590Main Steam, Reheat &amp; Superheat Safeties - Set</t>
  </si>
  <si>
    <t>F790FGD PJFF - Control Efficiency Test at Full Load</t>
  </si>
  <si>
    <t>F790FGD PJFF - Pressure Drop Test at Full Load</t>
  </si>
  <si>
    <t>F790RATA Testing - Low Load @ 290 MW</t>
  </si>
  <si>
    <t>F790RATA Testing - Mid Load @ 390 MW</t>
  </si>
  <si>
    <t>F530Baghouse inspection</t>
  </si>
  <si>
    <t>F170High silica at warm start-up</t>
  </si>
  <si>
    <t>F790Baghouse testing at Full Load</t>
  </si>
  <si>
    <t>F790Baghouse - Testing at Full Load</t>
  </si>
  <si>
    <t>F790Boiler tuning - Full load available if needed.</t>
  </si>
  <si>
    <t>F590Heater 5 Drain valve regulator issue</t>
  </si>
  <si>
    <t>F790Burner testing</t>
  </si>
  <si>
    <t>F790FGD Power Consumption Test @ Full Load</t>
  </si>
  <si>
    <t>F5904D Coal Mill Primary Air Fan Inboard Bearing - Replaced Shaft Seal</t>
  </si>
  <si>
    <t>F5904A Coal Mill Primary Air Fan - Breaker Issue</t>
  </si>
  <si>
    <t>F790Burner Tuning @ Full Load</t>
  </si>
  <si>
    <t>F790PM and RATA - Full Load Test</t>
  </si>
  <si>
    <t>F790Winter Capability Test - Full Load</t>
  </si>
  <si>
    <t>F6604B Air Heater Differential Pressure</t>
  </si>
  <si>
    <t>F660Air heater high differential pressure - B side</t>
  </si>
  <si>
    <t>F170High Silica @ Very Hot Start</t>
  </si>
  <si>
    <t>F7804A Mill Burner Temp</t>
  </si>
  <si>
    <t>F7804D Mill Burner Temp</t>
  </si>
  <si>
    <t>F8204A Induced Draft Fan - Tripped</t>
  </si>
  <si>
    <t>F590ID Fan VFD Cooling Water - Changed filters</t>
  </si>
  <si>
    <t>FW00Wet coal</t>
  </si>
  <si>
    <t>F0904E Coal Mill Feeder Calibration</t>
  </si>
  <si>
    <t>F6604A air heater pressure differential</t>
  </si>
  <si>
    <t>F820ID fan sunction pressure trip</t>
  </si>
  <si>
    <t>F820High drum level trip</t>
  </si>
  <si>
    <t>F6604A Air heater pressure differential</t>
  </si>
  <si>
    <t>F170High Silica at Cold Start</t>
  </si>
  <si>
    <t>Instrument air dryers</t>
  </si>
  <si>
    <t>Other closed cooling water system problems A</t>
  </si>
  <si>
    <t>Exciter transformer</t>
  </si>
  <si>
    <t>SCR NOx Reactor</t>
  </si>
  <si>
    <t>Fireside cleaning (which requires a full outage) Use code 1200 for cleanings that cause deratings.</t>
  </si>
  <si>
    <t>Air heater (heat pipe</t>
  </si>
  <si>
    <t>Pipe hangers</t>
  </si>
  <si>
    <t>Other air heater fouling (heat pipe</t>
  </si>
  <si>
    <t>FS00Non-curtailing derate to conduct a boiler deslag on the unit. Unit was available t</t>
  </si>
  <si>
    <t>F790Non-curtailing derate to conduct a valve test on the unit. Unit was available to r</t>
  </si>
  <si>
    <t>F790Derate required to conduct testing on control valves.</t>
  </si>
  <si>
    <t>F820During the control valve testing and while changing out a servo filter, the unit w</t>
  </si>
  <si>
    <t>F820While ramping the unit from the initial forced outage, one of the turbine driven b</t>
  </si>
  <si>
    <t>F540Maintenance outage to inspect for an expected boiler tube leak in the penthouse. N</t>
  </si>
  <si>
    <t>FA00Derate at 430MW due to silica levels in the feedwater chemistry.</t>
  </si>
  <si>
    <t>FA00Non-curtailing derate at 530MW due to silica levels in the feedwater chemistry.</t>
  </si>
  <si>
    <t>F790Non-curtailing full load test on the turbine control valves.</t>
  </si>
  <si>
    <t>F720During a past control valve test, the #4 CV on TC1 stuck open twice.  This mainten</t>
  </si>
  <si>
    <t>F540Maintenance derate to repair the Reheat Spray Line reference line.</t>
  </si>
  <si>
    <t>F790Non-curtailing event to conduct VAR testing.  Unit was at full load but removed fr</t>
  </si>
  <si>
    <t>FS00Non-curtailing derate to conduct planned boiler deslag.  Unit was available to ret</t>
  </si>
  <si>
    <t>F790Non-curtailing derate to conduct heat rate test on the unit.  Unit was removed fro</t>
  </si>
  <si>
    <t>F400A malfunctioning pyrite disposal valve caused water to backup into the mill requir</t>
  </si>
  <si>
    <t>F120B Mill issues requiring isolation for cleaning of duct work and I/E to clear instr</t>
  </si>
  <si>
    <t>F780B Coal mill caught fire.  Removed from service to clear out mill.</t>
  </si>
  <si>
    <t>F780Fires in the A and B mills required derate for mill isolation and clear out.</t>
  </si>
  <si>
    <t xml:space="preserve">F640Derate on the unit due to ID fans experiencing high amps.  Load was reduced until </t>
  </si>
  <si>
    <t>F690Derate was placed on the unit due to #3 CV not operating correctly.  Troubleshooti</t>
  </si>
  <si>
    <t>F690Derate on the unit to troubleshoot #3 CV which was sticking during unit operation.</t>
  </si>
  <si>
    <t>F690TC1 was taken off line for maintenance and inspection of the #3 CV which would not</t>
  </si>
  <si>
    <t>F660Unit was derated due to unit pressure swings from sootblower maintenance being con</t>
  </si>
  <si>
    <t>F780Unit derate was due to a C Coal Mill burner fire.  Took mill out of service then p</t>
  </si>
  <si>
    <t>F780Unit derated due to two mills unavailable and limit on third mill:  1E mill out of</t>
  </si>
  <si>
    <t xml:space="preserve">FS00Non-curtailing derate on the unit to conduct a planned unit deslag.  The unit was </t>
  </si>
  <si>
    <t xml:space="preserve">F790Non-curtailing derate to conduct the planned, weekly valve test on the unit.  The </t>
  </si>
  <si>
    <t>F400Derate placed on unit to 517MW due to air flow issues on the A, C, and D coal mill</t>
  </si>
  <si>
    <t>FR00TC1 was taken offline due to a fire at the A3 burner windbox area.  Severe damager</t>
  </si>
  <si>
    <t>FR00Unit was derated when the C mill had a fire in the C2 burner in the insulation and</t>
  </si>
  <si>
    <t>FR00Following the return from the derate due to the C mill burner fire, the unit was a</t>
  </si>
  <si>
    <t>F820TC1 tripped due to a feedwater and steam flow mismatch which resulted because of a</t>
  </si>
  <si>
    <t>F400The #3 control valve was drifting closed requiring a unit derate.</t>
  </si>
  <si>
    <t>F400The #3 control valve continued drifting closed and required a slightly further der</t>
  </si>
  <si>
    <t>F400The unit was taken offline to work on the #3 control valve which was found to have</t>
  </si>
  <si>
    <t>F130The 1A TDBFP discharge valve won't open requiring a unit derate.</t>
  </si>
  <si>
    <t>F820The 1B TDBFP malfunctioned during the emergency governor test.</t>
  </si>
  <si>
    <t>F540Leak on the 1D coal mill hydraulic system caused a unit derate to 520MW.</t>
  </si>
  <si>
    <t>F540A leak on the 1B turbine driven boiler feed pump suction line caused a unit derate</t>
  </si>
  <si>
    <t>F820Unit 1 went on a forced outage after the 1B ID fan tripped.  The trip on the ID fa</t>
  </si>
  <si>
    <t>F870TC1 is believe to have tripped due to the 1B FD fan having a power supply issue to</t>
  </si>
  <si>
    <t xml:space="preserve">F790Non-curtailing event on the unit to conduct PM testing, requirements for the test </t>
  </si>
  <si>
    <t>F820TC1 MFT due to the BCP suction valves showing closed which was due to a DCS proces</t>
  </si>
  <si>
    <t>FR00Derate due to removal of the A coal mill from service as a result of the corner fi</t>
  </si>
  <si>
    <t>FR00Following the burner fire the decision was made to remove the unit from service wh</t>
  </si>
  <si>
    <t>F660Unit 2 using Unit 1 steam during Unit 2 start-up.</t>
  </si>
  <si>
    <t>F870Coal Pulverizer motor current increased above the high limit, forcing a derate.</t>
  </si>
  <si>
    <t>F870Coal pulverizer motor current increased above the high limit, forcing a derate.</t>
  </si>
  <si>
    <t>F790Derate to conduct turbine bypass control valve testing.  Unit was available for fu</t>
  </si>
  <si>
    <t>FW00Derate due to 1A mill fire.  Mill was taken out of service, cleaned out, and inspe</t>
  </si>
  <si>
    <t>F400During mill swaps the mills experienced some high mill amps requiring a unit derat</t>
  </si>
  <si>
    <t>FR00The 1D coal mill had a temperature spike which brought the mill offline.  Inspecti</t>
  </si>
  <si>
    <t>F790Non-curtailing event holding unit at full load to conduct RATA testing.</t>
  </si>
  <si>
    <t>F790Variable load planned derate to conduct control valve testing and tuning on the un</t>
  </si>
  <si>
    <t xml:space="preserve">F790Derate to conduct governor trip test on the TDBFP's for TC1.  All tests completed </t>
  </si>
  <si>
    <t>F790Derate for heat rate testing on the unit.</t>
  </si>
  <si>
    <t>F540Derate to repair leak in SH spray line, but job was cancelled due to load requirem</t>
  </si>
  <si>
    <t xml:space="preserve">FR00Derate due to fire in 1B coal mill.  Mill taken out of service for inspection and </t>
  </si>
  <si>
    <t>FR00Derate while bringing mill on-line following removal of 1B mill from service after</t>
  </si>
  <si>
    <t>F540Planned maintenance derate to repair leak on SH spray line.</t>
  </si>
  <si>
    <t>FF00Differential pressure across the AH increased and required a derate in order to ke</t>
  </si>
  <si>
    <t>FR00Unit derated due to 1D coal mill fire.  D mill taken offline and out of service fo</t>
  </si>
  <si>
    <t>FR00Derate due to fire in 1B coal mill.  Coal mill was removed from service for inspec</t>
  </si>
  <si>
    <t>FR00The 1D coal mill had elevated temperatures and the mill was tripped.  Inspection f</t>
  </si>
  <si>
    <t>FR00Unit derated due to D coal mill fire.</t>
  </si>
  <si>
    <t>F400Unit derated due to B and D coal mills unavailable.  Trouble shooting causes of mi</t>
  </si>
  <si>
    <t>F400Unit derated to 510 due to 1B and 1D coal mill unavailable for troubleshooting err</t>
  </si>
  <si>
    <t>F400Unit is derated due to unknown issues causing the 1B and 1D mills to operate errat</t>
  </si>
  <si>
    <t>FW00Unit was further derated due to wet coal affecting mill performance.  1B and 1D mi</t>
  </si>
  <si>
    <t xml:space="preserve">FF00Differential pressure across the AH is elevated and requires a derate in order to </t>
  </si>
  <si>
    <t>F400Unit derated due to1B and 1D coal mill unavailable for troubleshooting erratic ope</t>
  </si>
  <si>
    <t>F400Unit derated due to 1B and 1D coal mill unavailable for troubleshooting erratic op</t>
  </si>
  <si>
    <t>FR00Derate due to fire in the 1A coal mill with 1B and 1D mill unavailable for trouble</t>
  </si>
  <si>
    <t>FW00Derate required due to wet coal causing mills to have elevated amps.</t>
  </si>
  <si>
    <t>F820The 1F coal mill feeder tripped causing the unit derate.  Inspection found no issu</t>
  </si>
  <si>
    <t xml:space="preserve">F0601F coal mill had a plug which blew out of the primary air duct which needed to be </t>
  </si>
  <si>
    <t xml:space="preserve">F780F4 burner came in alarm with high temperature reading.  F coal mill was taken out </t>
  </si>
  <si>
    <t>F790Testing was done on the 1B TDBFP prior to the planned maintenance outage which req</t>
  </si>
  <si>
    <t>FF00Unit was taken out of service to conduct air heater wash on the unit.  Other addit</t>
  </si>
  <si>
    <t xml:space="preserve">F610Derate during unit ramping while 1B TDBFP was not available while the trip device </t>
  </si>
  <si>
    <t>F590Derate to allow for 1C coal mill burner maintenance with other mills unavailable f</t>
  </si>
  <si>
    <t>F700The 1C coal mill needed a card replaced and the 1B coal mill had an electrical hol</t>
  </si>
  <si>
    <t xml:space="preserve">F700The 1C coal mill had electrical issues requiring maintenance response and put TC1 </t>
  </si>
  <si>
    <t>FW00Due to wet coal we de-rated the unit to allow us to clean out the coal feeders and</t>
  </si>
  <si>
    <t>F400The 1C coal mill tripped requiring a unit derate.  Reset of the breaker brought th</t>
  </si>
  <si>
    <t>FW00C coal mill feeder needed to be cleaned off from wet coal issues.  Unit derated wh</t>
  </si>
  <si>
    <t>FR00D coal mill lit off and put the unit in run back.  Unit derated until C mill could</t>
  </si>
  <si>
    <t>FS00Planned, non-curtailing derate to conduct boiler deslag.  Unit was available to re</t>
  </si>
  <si>
    <t>FR00Derate on the unit due to fire in the 1A coal mill.  1C coal mill was put in servi</t>
  </si>
  <si>
    <t>F490The 1F coal feeder tripped due to clean out conveyor going to ground.  I/E swapped</t>
  </si>
  <si>
    <t>Boiler drum gage glasses/level indicator</t>
  </si>
  <si>
    <t>F420During maintenance on the the intercept control valves, both control valves were s</t>
  </si>
  <si>
    <t>FA00Silica hold on TC1 until boiler water chemistry returned to normal.</t>
  </si>
  <si>
    <t>F5901D Coal Mill lube oil pump changeout.</t>
  </si>
  <si>
    <t>F4001A coal mill ran back to minimum and was removed from service, S/M inspected the m</t>
  </si>
  <si>
    <t>F400Unit had issues with 1A, 1C, and 1D mills that required derate to inspect issues.</t>
  </si>
  <si>
    <t xml:space="preserve">F590Trip solenoid replacement for the 1A TDBFP which required derate to take the pump </t>
  </si>
  <si>
    <t>F660TC1 A and F Mills not functioning.A Mill: Excessive rumbling caused the equipm</t>
  </si>
  <si>
    <t>NOx stack emissions (fossil)</t>
  </si>
  <si>
    <t>CO stack emissions</t>
  </si>
  <si>
    <t>Ash disposal problem</t>
  </si>
  <si>
    <t>SCR NOx Ammonia tanks</t>
  </si>
  <si>
    <t>Bottom ash rotary (drag chain type) conveyor and motor</t>
  </si>
  <si>
    <t>Exhaust hood and spray controls</t>
  </si>
  <si>
    <t>F780Turbine temperature control issues caused the reheat temperature to elevate and re</t>
  </si>
  <si>
    <t>F400Startup failure due to Mark VI controls on the turbine valves not working properly</t>
  </si>
  <si>
    <t>FE00High CO emissions on the unit required a derate to avoid environmental exceedances</t>
  </si>
  <si>
    <t>F790Derate to conduct coal mill testing by Doosan.</t>
  </si>
  <si>
    <t>F540Derate to locate suspected tube leaks on LP FWH 3 and 4.  Leaks found at gaskets o</t>
  </si>
  <si>
    <t>FS00Non-curtailing derate to conduct boiler OEM recommended weekly deslag.  Unit avail</t>
  </si>
  <si>
    <t>F790TC2 was at full load for VAR testing, non-curtailing event.</t>
  </si>
  <si>
    <t>F82014kV switch gear failed causing unit trip.  The failure was from a plugged AC unit</t>
  </si>
  <si>
    <t>F790To continue testing and tuning of the new burners a mill swap was necessary and re</t>
  </si>
  <si>
    <t>F820Derate to 625MW due to loss of B coal mill.</t>
  </si>
  <si>
    <t xml:space="preserve">FS00Non-curtailing derate to deslag the boiler.  Unit was available to return to full </t>
  </si>
  <si>
    <t>F820Derate to 620MW due to loss of B coal mill.</t>
  </si>
  <si>
    <t>FS00Non-curtailing derate to 449MW to conduct boiler OEM recommended deslag of the boi</t>
  </si>
  <si>
    <t>F820During control valve testing, the master trip block in the EHC system had a soleno</t>
  </si>
  <si>
    <t>FE00SO2 emissions were increasing and potential exceedance was avoided by derating the</t>
  </si>
  <si>
    <t>FS00Non-curtailing derate to conduct OEM recommended boiler deslag.  Unit was availabl</t>
  </si>
  <si>
    <t>F790During the capability testing of the new set of burners, a ramp rate test was sche</t>
  </si>
  <si>
    <t xml:space="preserve">F8202C Mill feeder trip due to discharge valve limit switch.  Mill clearout conducted </t>
  </si>
  <si>
    <t xml:space="preserve">FS00Non-curtailing derate to conduct boiler OEM recommended deslag on the unit.  Unit </t>
  </si>
  <si>
    <t xml:space="preserve">F540Unit on forced outage due to tube leak.  Screen tube failure lead to 7 other tube </t>
  </si>
  <si>
    <t>F790Non-curtailing, variable derate to conduct unit ramp testing for new capability te</t>
  </si>
  <si>
    <t>F540Derate on the unit due to a packing leak on a feedwater bypass valve.</t>
  </si>
  <si>
    <t>F540Packing leak on feedwater start-up bypass valve required unit to be taken off-line</t>
  </si>
  <si>
    <t>FS00Non-curtailing derate to conduct boiler OEM recommended unit deslag.  The unit was</t>
  </si>
  <si>
    <t xml:space="preserve">F540TC2 was taken offline for a maintenance outage to repair a leak in the economizer </t>
  </si>
  <si>
    <t>F540The unit was derated to 669MW due to a lube oil leak on the 2B mill.  Additionally</t>
  </si>
  <si>
    <t>F400During a mill swap air flow issues arose so to avoid a fan stall, operations put a</t>
  </si>
  <si>
    <t xml:space="preserve">FR00TC2 was derated to 669MW due to a fire in the 2E coal mill.  Additionally, a leak </t>
  </si>
  <si>
    <t>FS00Non-curtailing derate to conduct boiler OEM recommended unit deslag.  Unit was ava</t>
  </si>
  <si>
    <t>F790Non-curtailing derate to conduct a turbine follow ramp test on the unit.  Unit was</t>
  </si>
  <si>
    <t xml:space="preserve">FS00Non-curtailing derate to conduct boiler deslag.  Unit was available for full load </t>
  </si>
  <si>
    <t>F790Non-curtailing derate to conduct turbine bypass control valve testing.  Unit was a</t>
  </si>
  <si>
    <t>F790Planned derate to conduct unit performance testing following upgrade of combustion</t>
  </si>
  <si>
    <t>F790Derate to conduct unit performance testing following upgrade of combustion system.</t>
  </si>
  <si>
    <t>F790Planned derate to allow performance testing of new combustion system by Doosan.</t>
  </si>
  <si>
    <t>FS00Non-curtailing derate to conduct boiler OEM recommended deslag.  Unit was availabl</t>
  </si>
  <si>
    <t>F790Unit was on a planned, variable derate to conduct ramp testing on the unit for the</t>
  </si>
  <si>
    <t>F790Planned derate to conduct ramp testing on the unit following the boiler combustion</t>
  </si>
  <si>
    <t>F790Conducted planned ramp test on the unit.</t>
  </si>
  <si>
    <t>FS00Non-curtailing unit derate to conduct boiler OEM recommended unit deslag.  Unit wa</t>
  </si>
  <si>
    <t>F400Issues with the C-row oil guns caused a unit derate until issues could be resolved</t>
  </si>
  <si>
    <t>FS00Non-curtailing derate to conduct boiler deslag. Unit was available to return to fu</t>
  </si>
  <si>
    <t>FS00Non-curtailing derate on the unit to conduct boiler deslag.  Unit available to ret</t>
  </si>
  <si>
    <t>FS00Derate to conduct boiler deslag.  Unit was available to return to full load if req</t>
  </si>
  <si>
    <t>F830Issues with the C1 oil gun during start-up caused a unit derate until an alternate</t>
  </si>
  <si>
    <t>F540Planned derate to repair head leak on 8A FW heater.</t>
  </si>
  <si>
    <t>F540While attempting to isolate the 8A heater for repair, the 8A heater bypass valve p</t>
  </si>
  <si>
    <t>F0602E Coal Mill clean out conveyor issues.</t>
  </si>
  <si>
    <t>F660Feedwater flow limit during mill swap.</t>
  </si>
  <si>
    <t xml:space="preserve">FS00Unit derate to conduct boiler OEM recommended unit deslag.  Unit was available to </t>
  </si>
  <si>
    <t>F540Unit came offline due to a boiler tube leak on the Superheater Platen tube, Elemen</t>
  </si>
  <si>
    <t xml:space="preserve">F790Planned derate to conduct ramp test in preperation for AGC mode. </t>
  </si>
  <si>
    <t>F540Unit was derated due to HP turbine bypass valve leak through.  Due to HP turbine b</t>
  </si>
  <si>
    <t>F540Due to the HP turbine bypass valve leak through, the unit required a further derat</t>
  </si>
  <si>
    <t xml:space="preserve">F540Unit was derated 20MW due to HP turbine bypass valve leak through.  This required </t>
  </si>
  <si>
    <t xml:space="preserve">FS00Non-curtailing derate to conduct boiler OEM recommended deslag of the unit.  Load </t>
  </si>
  <si>
    <t>FS00Non-curtailing derate to conduct boiler OEM recommended boiler deslag.  Unit was a</t>
  </si>
  <si>
    <t xml:space="preserve">FS00Non-curtailing derate to conducte boiler OEM recommended weekly deslag.  Unit was </t>
  </si>
  <si>
    <t>FS00Non-curtailing derate to conduct boiler OEM recommended weekly deslag.  Unit was a</t>
  </si>
  <si>
    <t>FS00Non-curtailing derate to conduct boiler deslag.  Unit was available to return to f</t>
  </si>
  <si>
    <t>F790Planned derate to conduct safety valve test in preparation of upcoming planned uni</t>
  </si>
  <si>
    <t>F690Unit is derated due to reheat safety valve that will not lift, which was discovere</t>
  </si>
  <si>
    <t>FS00Non-curtailing derate to conduct weekly boiler deslag.  Unit was available to retu</t>
  </si>
  <si>
    <t>F820The unit was derated when the 2C coal mill tripped from feeder issues.  The 2E mil</t>
  </si>
  <si>
    <t>F590Planned outage extension due to igniter issues.</t>
  </si>
  <si>
    <t>F570The 2A and 2B TDBFPs had lube oil trip off while still on turning gear, and the TD</t>
  </si>
  <si>
    <t>F400DCS control issues required a manual unit MFT.  MW setpoint increased to 180 and w</t>
  </si>
  <si>
    <t>F570Unit was able to be raised by 10 MW by increasing MDBFP performance.  The 2A and 2</t>
  </si>
  <si>
    <t>F570Continued issues with TDBFP.</t>
  </si>
  <si>
    <t>F570Continued issues with 2A TDBFP.</t>
  </si>
  <si>
    <t>F540Cold Reheat valve CRH 2-CR-CV-054A has a gasket leak</t>
  </si>
  <si>
    <t>F820Continued issues with 2A TDBFP.</t>
  </si>
  <si>
    <t>F610Planned derate for logic changes in the 2B TDBFP controls.</t>
  </si>
  <si>
    <t>F610Continued work on the 2B TDBFP logic changes.</t>
  </si>
  <si>
    <t>Feedwater Booster Pump Drive - Steam Turbine</t>
  </si>
  <si>
    <t>F610Control logic maintenance on 2B TDBFP.</t>
  </si>
  <si>
    <t>F820While switching operation from MDBFP's to TDBFP's, the TDBFP's are designed to ram</t>
  </si>
  <si>
    <t>F8202A TDBFP out of service due to controls up-grade and testing so load reduced while</t>
  </si>
  <si>
    <t>F540The 6A HP Feedwater heater had tube leaks and unit required derate while heater is</t>
  </si>
  <si>
    <t>F060A bolt sheared on the 2A control valve hydraulic manifold which resulted in unit t</t>
  </si>
  <si>
    <t>F810Maintenance outage to replace a primary air duct expansion joint which had failed,</t>
  </si>
  <si>
    <t>F790Derate required to conduct testing of the turbine driven boiler feed pump modified</t>
  </si>
  <si>
    <t xml:space="preserve">F540The 8A HP feedwater heater bypass valve was leaking and we had to remove the unit </t>
  </si>
  <si>
    <t>F460Unit MFT due to loss of D2 oil gun, causing 2D coal mill to trip off.  Due to this</t>
  </si>
  <si>
    <t>F8202A TDBFP out of service for maintenance and testing following past issues with lub</t>
  </si>
  <si>
    <t>F610Planned unit derate to conduct turbine driven boiler feed pump turbine from recent</t>
  </si>
  <si>
    <t>F610Following the planned turbine driven boiler feed pump testing from recent controls</t>
  </si>
  <si>
    <t xml:space="preserve">FS00Non-curtailing derate to conduct boiler deslag.  Unit available to return to full </t>
  </si>
  <si>
    <t>F520One of two pressure transmitters for the A ID fan inlet measurement failed and the</t>
  </si>
  <si>
    <t>F590Planned derate to set the safeties on the steam lines.</t>
  </si>
  <si>
    <t>FS00Deslag of TC2. Unit was available to return to full load if requested by dispatch.</t>
  </si>
  <si>
    <t>Plant Name in Unit Rating sheet</t>
  </si>
  <si>
    <t>EUOR Target</t>
  </si>
  <si>
    <t>Calculated EUOR</t>
  </si>
  <si>
    <t>Difference</t>
  </si>
  <si>
    <t>Main steam relief/safety valves off superheater</t>
  </si>
  <si>
    <t xml:space="preserve">Replace generator H2 seals  </t>
  </si>
  <si>
    <t>1-2 mill feeder controller failed</t>
  </si>
  <si>
    <t xml:space="preserve">Repair generator H2 leak </t>
  </si>
  <si>
    <t xml:space="preserve">Noise in 1-4 Mill </t>
  </si>
  <si>
    <t>Lube oil vapor extractor replacement</t>
  </si>
  <si>
    <t>Install mercury monitoring probe in duct</t>
  </si>
  <si>
    <t xml:space="preserve">Install mercury monitoring probe in duct </t>
  </si>
  <si>
    <t>Dampers other than bypass</t>
  </si>
  <si>
    <t>Inspect unit 1 &amp; 2 isolation damper at FGD inlet</t>
  </si>
  <si>
    <t>EH fluid leaks on #1, #3 &amp; #5 govenor valves. #3 &amp; #5 isolated.</t>
  </si>
  <si>
    <t>1-4 mill coal bunker empty</t>
  </si>
  <si>
    <t>Repair EH fluid leaks on #1, #3 &amp; #5 govenor valves. #3 &amp; #5 isolated.</t>
  </si>
  <si>
    <t>EH Fluid leak on #3 turbine govenor valve</t>
  </si>
  <si>
    <t xml:space="preserve">Vacuum out 1-1 mill due to coal gate leaking thru. </t>
  </si>
  <si>
    <t>Replace Unit 2 ID Fan discharge expansion joint to the FGD</t>
  </si>
  <si>
    <t xml:space="preserve">Turbine valve and minor boiler spring outage </t>
  </si>
  <si>
    <t>1-4 mill feeder will not start</t>
  </si>
  <si>
    <t>EHC leak on #5 gov. valve causing fire around turbine casing</t>
  </si>
  <si>
    <t>Low Load RATA testing</t>
  </si>
  <si>
    <t>1-4 pulverizer will not start</t>
  </si>
  <si>
    <t>Mercury testing</t>
  </si>
  <si>
    <t>1-1 Mill Inspection</t>
  </si>
  <si>
    <t>Mill Inspections</t>
  </si>
  <si>
    <t>Conducting load vs flow test for new monitoring probe</t>
  </si>
  <si>
    <t>2-4 mill hot gate failed to open</t>
  </si>
  <si>
    <t>2-2 BFP recirc. valve not closing</t>
  </si>
  <si>
    <t>Excessive noise and vibration in 2-4 mill</t>
  </si>
  <si>
    <t>Repalce Unit 1/2 combined duct expansion join</t>
  </si>
  <si>
    <t>Repair 2-1 BFP balance line leak</t>
  </si>
  <si>
    <t xml:space="preserve">At 2 mill, had a high bowl DP which initiated a boiler rundown </t>
  </si>
  <si>
    <t>Misc. boiler repairs along with CCRT system tie in.</t>
  </si>
  <si>
    <t>Other coal processing system problems</t>
  </si>
  <si>
    <t>Flop gate limit for crushers malfunction causing crusher to be inoperable</t>
  </si>
  <si>
    <t>2-4 mill feeder temperature start permissive not met</t>
  </si>
  <si>
    <t>Repair leaks on 2-2 side of air preheating coils</t>
  </si>
  <si>
    <t>Inspect 2-1 precipitators for grounds</t>
  </si>
  <si>
    <t>Inspect for precip. ground and repair small waterwall tube above bottom ash hopper #67</t>
  </si>
  <si>
    <t>Inspect precipitator</t>
  </si>
  <si>
    <t>Repair air preheating coil leaks</t>
  </si>
  <si>
    <t xml:space="preserve">Annual spring outage for boiler and misc. repairs </t>
  </si>
  <si>
    <t>2-1 BFP recirc. valve will not close</t>
  </si>
  <si>
    <t>Investigate 2-1 ID Fan vibration</t>
  </si>
  <si>
    <t>Investigate liquid in 2-1 mill exhauster section</t>
  </si>
  <si>
    <t>2-1 ID Fan vibration</t>
  </si>
  <si>
    <t>2-1 ID Fan Vibration</t>
  </si>
  <si>
    <t>RATA testing</t>
  </si>
  <si>
    <t>Replace main steam drains &amp; repair boiler WW tube leak</t>
  </si>
  <si>
    <t>Inspect suspect tube for possible leak</t>
  </si>
  <si>
    <t>APC system drain valve malfunction causing colis to purge. Lost DA tank level which le</t>
  </si>
  <si>
    <t>Main steam piping up to turbine stop valves</t>
  </si>
  <si>
    <t xml:space="preserve">Lower water wall tube leak above ash hopper </t>
  </si>
  <si>
    <t>Repair oil leak on 3-1 BFP piping</t>
  </si>
  <si>
    <t>Repair oil leak on 3-3 mill</t>
  </si>
  <si>
    <t>Inspect 3-2 BFP circulating water lines</t>
  </si>
  <si>
    <t>3F-2 HP heater leak</t>
  </si>
  <si>
    <t xml:space="preserve">3F-2 HP heater leak repair </t>
  </si>
  <si>
    <t>Boiler MFT after loosing 3-3 mill feeder multiple times</t>
  </si>
  <si>
    <t xml:space="preserve">Replace 3-3 BCWP </t>
  </si>
  <si>
    <t xml:space="preserve">3-4 feeder plugged due to wet coal </t>
  </si>
  <si>
    <t>3-3 &amp; 3-4 feeders plugged due to wet coal</t>
  </si>
  <si>
    <t>3-2 &amp; 3-3 fedders plugged due to wet coal</t>
  </si>
  <si>
    <t>Replace 3-2 mill motor</t>
  </si>
  <si>
    <t>Boiler trip due to wet coal</t>
  </si>
  <si>
    <t xml:space="preserve">Unit trip due to wet coal </t>
  </si>
  <si>
    <t>Startup failure due to wet coal conditions</t>
  </si>
  <si>
    <t>Wet coal causing mill feeder issues</t>
  </si>
  <si>
    <t>Suction valve at fuel oil tank left in closed position</t>
  </si>
  <si>
    <t>3-2 feeder belt replaced due to damage from foregin metal in feeder.</t>
  </si>
  <si>
    <t>3-1 BFP LP stop valve control problems</t>
  </si>
  <si>
    <t>3-1 BFP governor valve control problems</t>
  </si>
  <si>
    <t>3-1 BFP LP/HP governor controls not responding</t>
  </si>
  <si>
    <t>3-1 BFP steam leak at LP steam line connection</t>
  </si>
  <si>
    <t>Duct Gas RATA testing</t>
  </si>
  <si>
    <t>Duct low flow RATA testing</t>
  </si>
  <si>
    <t>3-4 mill burner line fire</t>
  </si>
  <si>
    <t xml:space="preserve">Inspect 3-2 mill motor coupling </t>
  </si>
  <si>
    <t>Replace 3-2 mill motor to mill coupling</t>
  </si>
  <si>
    <t>Suspect fire in 3-4D burner line</t>
  </si>
  <si>
    <t>Pre-outage inspection of bottom ash hopper by Skanska</t>
  </si>
  <si>
    <t>Inspect 3-1C burner nozzle</t>
  </si>
  <si>
    <t>3-5 mill coal bunker empty</t>
  </si>
  <si>
    <t>Repair 3-2 mill exhauster coupling</t>
  </si>
  <si>
    <t>Replace boiler corners and connect to PJFF</t>
  </si>
  <si>
    <t>Inspect 3-2 BFP for damage due to excessive balance line pressure</t>
  </si>
  <si>
    <t>Repair DA level transmitter</t>
  </si>
  <si>
    <t>Trouble with rolling off 3-1 BFP</t>
  </si>
  <si>
    <t>Combustion /Steam condition instrumentation (not local controls)</t>
  </si>
  <si>
    <t>Boiler MFT due to loss of 3-3 mill feeder</t>
  </si>
  <si>
    <t>3-5 mill feeder motor failed</t>
  </si>
  <si>
    <t>Boiler trip due to loss of mill feeder</t>
  </si>
  <si>
    <t>3-1 &amp; 3-5 mill feeder motors failed</t>
  </si>
  <si>
    <t>3-1 mill feeder failed</t>
  </si>
  <si>
    <t>Low load FGD water flow test</t>
  </si>
  <si>
    <t>Mid load FGD water flow test</t>
  </si>
  <si>
    <t>Calibrating main turbine governor valves</t>
  </si>
  <si>
    <t>Repair 3-5 mill pyrite scrapper</t>
  </si>
  <si>
    <t>PJFF low load testing</t>
  </si>
  <si>
    <t>Ash Hopper Maint</t>
  </si>
  <si>
    <t>3-1 ID Fan trip due to vibration</t>
  </si>
  <si>
    <t>Repair leak on turbine left side throttle valve</t>
  </si>
  <si>
    <t>3-1 ID Fan high vibration</t>
  </si>
  <si>
    <t>Replace 3-4 feeder belt</t>
  </si>
  <si>
    <t xml:space="preserve">3-1 ID Fan vibration </t>
  </si>
  <si>
    <t>Inspect 3-1 ID Fan due for vibration issues</t>
  </si>
  <si>
    <t>3-2 BFP vibration</t>
  </si>
  <si>
    <t xml:space="preserve">Repair 3-5 mill pyrite scrapper </t>
  </si>
  <si>
    <t>PJFF inlet duct inspection</t>
  </si>
  <si>
    <t>Error in managing feedwater system during unit startup</t>
  </si>
  <si>
    <t xml:space="preserve">Add additional layer of SCR catalyst and perform minor boiler repairs </t>
  </si>
  <si>
    <t>Stack damper and linkage</t>
  </si>
  <si>
    <t>U3 FGD shutoff damper motor failed</t>
  </si>
  <si>
    <t>Lower mud drum header gasket blown</t>
  </si>
  <si>
    <t>SCR ammonia mid load tuning</t>
  </si>
  <si>
    <t>SCR ammonia min load tuning</t>
  </si>
  <si>
    <t xml:space="preserve">Repair 3-2 BFP drain line leak </t>
  </si>
  <si>
    <t>Lower WW leak in dead air space above bottom ash hopper</t>
  </si>
  <si>
    <t>No coal 3-5 bunker</t>
  </si>
  <si>
    <t>3-2 Pulverizer Inspection</t>
  </si>
  <si>
    <t>F820Boiler MFT while switching out mills</t>
  </si>
  <si>
    <t>Continued.  MFT while switching out mills</t>
  </si>
  <si>
    <t xml:space="preserve">Vacuum coal out of mills after MFT </t>
  </si>
  <si>
    <t xml:space="preserve">Replaced 2-2 mill motor due to bearing failure. </t>
  </si>
  <si>
    <t>Auxiliary generators</t>
  </si>
  <si>
    <t>Other cold reheat steam valves (not including turbine stop or intercept valves)</t>
  </si>
  <si>
    <t>Load Reduction #221-2 Mill off to inspect.  Mill could not make temperature.</t>
  </si>
  <si>
    <t>Load Reduction #23Boiler drum pressure was reduced to set drum and main steam line</t>
  </si>
  <si>
    <t>Load Reduction #241-1 Feeder plugged with wet coal.</t>
  </si>
  <si>
    <t>Load Reduction #251-2A ID fan off to replace motor outboard "X" vibration probe.</t>
  </si>
  <si>
    <t>Load Reduction #261-5 Feeder off to change out the weigh span roll.</t>
  </si>
  <si>
    <t>Load Reduction #271-5 Feeder PLC control board went out.</t>
  </si>
  <si>
    <t>Load Reduction #281-1 Mill off for inspection.  Mill had high bowl DP and ran back</t>
  </si>
  <si>
    <t>Load Reduction #291-2 Mill off for inspection.  Mill had noise in pyrite section.</t>
  </si>
  <si>
    <t>Outage #6PJFF inlet pressure reached tripping point and tripped one set of ID fans</t>
  </si>
  <si>
    <t>Load Reduction #301-6 Mill off due to mill explosion after restart of mill.</t>
  </si>
  <si>
    <t xml:space="preserve">Load Reduction #311-1B ID fan tripped due to VFD coolant conductivity transmitter </t>
  </si>
  <si>
    <t>Load Reduction #321-6 Mill explosion derate continued after 1-1B ID fan was return</t>
  </si>
  <si>
    <t>Load Reduction #331-2 Mill 'D' burner line became hot.  Removed mill from service.</t>
  </si>
  <si>
    <t>Load Reduction #34Dropping drum pressure due to tube leak in the Primary Superheat</t>
  </si>
  <si>
    <t>Outage #7Tube leak was heard in backpass of boiler around the Primary Superheat in</t>
  </si>
  <si>
    <t>Load Reduction #351-4 Mill was off to inspect after mill puff.</t>
  </si>
  <si>
    <t>Load Reduction #361-3 Mill off for inspection due to noise in mill.</t>
  </si>
  <si>
    <t>Other main steam valves (including vent and drain valves but not including the turbine stop valves) A</t>
  </si>
  <si>
    <t xml:space="preserve">Outage #8A leak developed in the Main Steam line drain S9.  Removed the unit from </t>
  </si>
  <si>
    <t>Load Reduction #371-2 Mill tripped due to air flow issues.  Cleaned the mill and r</t>
  </si>
  <si>
    <t>Load Reduction #381-2 Mill off to inspect hot and cold air dampers, as well as air</t>
  </si>
  <si>
    <t>F380Outage #9Unit 1 developed what appeared to be a leak in the Primary Superheate</t>
  </si>
  <si>
    <t>F910Outage #10Unit 1 developed a tube leak in the Economizer section of the boiler</t>
  </si>
  <si>
    <t>Load Reduction #391-3 Mill north journal locked up.</t>
  </si>
  <si>
    <t>F540Outage #11Unit 1 was running with a water wall tube leak.  Removed the unit fo</t>
  </si>
  <si>
    <t>F790Load Reduction #40Ghent 1 had a planned derate for SAMs emission testing.</t>
  </si>
  <si>
    <t>F540Outage #12Unit 1 was running with a Radiant Reheat tube leak.  The unit remove</t>
  </si>
  <si>
    <t>Outage #13GH1 generator breaker 165-716 manual disconnect failed, which caused the</t>
  </si>
  <si>
    <t>Outage #14GH1 tripped off line due to high generator hydrogen gas temperature.</t>
  </si>
  <si>
    <t>Load Reduction #41Removed 1-2 mill from service to adjust a pyrite scraper.</t>
  </si>
  <si>
    <t>Outage #15Unit 1 was removed from service to repair a failed bus bar on the 165-70</t>
  </si>
  <si>
    <t>Load Reduction #421-6 Feeder belt broke.</t>
  </si>
  <si>
    <t>Load Reduction #43Operations removed 1-1 BFPT from service long enough for Instrum</t>
  </si>
  <si>
    <t>Load Reduction #44Operations removed 1-1 BFPT from service long enough for Instrum</t>
  </si>
  <si>
    <t>F540Load Reduction #45Unit 1 hydrogen cooler gauge line leak.</t>
  </si>
  <si>
    <t>F060Load Reduction #461-4 Mill was removed from service to replace a journal.</t>
  </si>
  <si>
    <t>F590Load Reduction #11-2B ID fan VFD had a bad PLC and flow meter.</t>
  </si>
  <si>
    <t>Load Reduction #21-6 Mill feeder clean out conveyor coupling key came out.</t>
  </si>
  <si>
    <t>Outage #1GH1 was removed from service due to loss of ID fans causing MFT.  ID fans</t>
  </si>
  <si>
    <t>Load Reduction #31-6 Mill "B" burner line caught fire.</t>
  </si>
  <si>
    <t>Load Reduction #41-4 Mill "C" burner fire.</t>
  </si>
  <si>
    <t>Load Reduction #51-4 Mill "C" burner fire.</t>
  </si>
  <si>
    <t>F830Outage #2Unit 1 was removed from service due to a reheat tube leak at the IK #</t>
  </si>
  <si>
    <t xml:space="preserve">F830Outage #3Unit 1 was removed from service due to reheat tube leak at the IK #6 </t>
  </si>
  <si>
    <t>Outage #4GH1 Forced Outage was changed from a Reheat tube leak, once repairs were</t>
  </si>
  <si>
    <t>Load Reduction #61-1 Mill was removed from service for noise in pyrite section.</t>
  </si>
  <si>
    <t>Outage #5Unit 1 was removed from service due to a Reheat tube leak at the IK #6 ar</t>
  </si>
  <si>
    <t>F590Outage #7Unit 1 was changed from a Reserve to a Planned Outage for Reheat tube</t>
  </si>
  <si>
    <t xml:space="preserve">Outage #8Unit 1 tripped due to loss of boiler fire.  </t>
  </si>
  <si>
    <t>Load Reduction #71-3 Mill feeder card was bad, couldn't calibrate feeder.</t>
  </si>
  <si>
    <t>F620Load Reduction #81-2 Mill was making noise.</t>
  </si>
  <si>
    <t>F620Load Reduction #91-2 Mill was making noise.</t>
  </si>
  <si>
    <t>Load Reduction #101-2 Mill exhauster bearing change out.</t>
  </si>
  <si>
    <t>Load Reduction #111-2 Mill exhauster bearing change out.</t>
  </si>
  <si>
    <t>Load Reduction #121-4 Mill coal feeder belt broke.</t>
  </si>
  <si>
    <t>F590Load Reduction #131-6 Mill planned derate to trim vane wheel, torque race, and</t>
  </si>
  <si>
    <t>F320Load Reduction #14Cleaned 1-4 mill air flow probes.</t>
  </si>
  <si>
    <t>F830Load Reduction #151-3 Mill feeder belt broke.</t>
  </si>
  <si>
    <t>F590Outage #9U1 was removed from service to repair a leaking SH spray valve.  Also</t>
  </si>
  <si>
    <t xml:space="preserve">Outage #11Unit 1 tripped due to loss of 1-1 main condenser vacuum pump seal water </t>
  </si>
  <si>
    <t>Outage #12Unit 1 tripped off line due to boiler swing causing a low differential p</t>
  </si>
  <si>
    <t>F830Load Reduction #161-2 Mill feeder plugged causing feeder to trip.</t>
  </si>
  <si>
    <t>F590Load Reduction #17U1 Main turbine valve curve adjustment.</t>
  </si>
  <si>
    <t xml:space="preserve">F830Load Reduction #18"B" Limestone slurry loop went out of service when LSP lost </t>
  </si>
  <si>
    <t>F790Load Reduction #19U1 Stack RATA testing.</t>
  </si>
  <si>
    <t>F790Load Reduction #20Low load RATA test.</t>
  </si>
  <si>
    <t>F830Load Reduction #211-2 Mill feeder pipe plugged.</t>
  </si>
  <si>
    <t>F820Load Reduction #221-2 Mill feeder pipe plugged.  1-1 Mill was off an could not</t>
  </si>
  <si>
    <t>F830Load Reduction #231-2 Mill feeder pipe plugged tripping the feeder.</t>
  </si>
  <si>
    <t>F830Load Reduction #241-2 Mill feeder pipe plugged tripping the feeder.</t>
  </si>
  <si>
    <t>F930Load Reduction #25Planned derate on U1 for 1-2 coal feeder pipe repair.</t>
  </si>
  <si>
    <t>F930Outage #13Unit 1 was removed from service for expansion joint repair.</t>
  </si>
  <si>
    <t>Load Reduction #322-4 Mill off to inspect due to mill fineness being poor.</t>
  </si>
  <si>
    <t>Load Reduction #332-3 Feeder head roll bearing failed.</t>
  </si>
  <si>
    <t>Load Reduction #342-6 Mill off for inspection due to noise in grinding section.</t>
  </si>
  <si>
    <t>Load Reduction #35Removed 2-6 Mill from service after receiving indications of a b</t>
  </si>
  <si>
    <t>Load Reduction #362-4 Mill off due to low amps.  Inspected and found the feeder pi</t>
  </si>
  <si>
    <t>Load Reduction #372-4C Burner line was plugged with coal that had settled out when</t>
  </si>
  <si>
    <t>Load Reduction #382-6 Mill off to remove the blank from 2-6 'C' burner line.</t>
  </si>
  <si>
    <t>Load Reduction #392-3 Feeder was off to repair the belt splice and calibrate the f</t>
  </si>
  <si>
    <t>Load Reduction #402-4 Mill was off due to noise in the pyrite section.</t>
  </si>
  <si>
    <t>Load Reduction #412-2 BFP inboard pump bearing was leaking oil.  Dropped load to g</t>
  </si>
  <si>
    <t>Load Reduction #422-1 ID fan tripped due to loss of 480V feed to fan.</t>
  </si>
  <si>
    <t>Load Reduction #432E MCC fire limited the ability to get coal to U2 due to CHB iso</t>
  </si>
  <si>
    <t>Load Reduction #442-4 Mill off to repair a coal leak on the spring can.</t>
  </si>
  <si>
    <t>Load Reduction #452-3 Feeder off due to metal in feeder.</t>
  </si>
  <si>
    <t>Outage #8Unit 2 developed a water wall tube leak.  Removed the unit from service f</t>
  </si>
  <si>
    <t xml:space="preserve">Load Reduction #462-2 Mill off to replace bolts in the top of the mill that holds </t>
  </si>
  <si>
    <t xml:space="preserve">Load Reduction #472-5 Mill stopped grinding coal.  Removed from service and found </t>
  </si>
  <si>
    <t>Load Reduction #482-6 Mill had a knocking noise in the pyrite section.  Removed fr</t>
  </si>
  <si>
    <t xml:space="preserve">Load Reduction #492-4 Mill feeder belt tore and 2-6 mill journal locked up.  Both </t>
  </si>
  <si>
    <t>Load Reduction #502-4 Mill feeder belt was broken and out of service for replaceme</t>
  </si>
  <si>
    <t>F370Outage #9Unit 2 developed a water wall tube leak on 7 1/2 floor, south side of</t>
  </si>
  <si>
    <t>Load Reduction #512-5 Mill vertical shaft broke.</t>
  </si>
  <si>
    <t>F610Outage #10Unit 2 was scheduled for a Planned Fall Outage to do general mainten</t>
  </si>
  <si>
    <t>Load Reduction #522-6 Mill was removed from service to repair pyrite scrapers.</t>
  </si>
  <si>
    <t xml:space="preserve">Load Reduction #53U2 FGDA 4KV reserve breaker failed.  Dropped load until FGD 4KV </t>
  </si>
  <si>
    <t>Load Reduction #542-2 BFP was removed from service long enough to backflush the su</t>
  </si>
  <si>
    <t>Load Reduction #552-2 Mill burner shut off valve came off the open limit and tripp</t>
  </si>
  <si>
    <t xml:space="preserve">Load Reduction #12-1 Mill was making loud noise. </t>
  </si>
  <si>
    <t>Load Reduction #22-2 Mill "D" burner caught fire.  Blanked burner line off.</t>
  </si>
  <si>
    <t xml:space="preserve">Outage #1Unit 2 Primary air fan catastrophic failure of fan and motor.  </t>
  </si>
  <si>
    <t>Load Reduction #32-1 Mill was removed from service because of a knocking noise com</t>
  </si>
  <si>
    <t>Load Reduction #42-5 Mill burner shut off actuator arm came off causing it to come</t>
  </si>
  <si>
    <t>Load Reduction #5High burner temperature on 2-5B mill burner.</t>
  </si>
  <si>
    <t>Load Reduction #62-2 ID fan tripped due to the VFD HVAC compressor going to ground</t>
  </si>
  <si>
    <t>Load Reduction #7ID and FD fan cross trips were not disabled during the starting o</t>
  </si>
  <si>
    <t>Load Reduction #82-5 Mill was off for south journal replacement.</t>
  </si>
  <si>
    <t>Load Reduction #92-1 ID fan VFD had a coolant leak.</t>
  </si>
  <si>
    <t>Load Reduction #102-6C Burner fire.</t>
  </si>
  <si>
    <t>Load Reduction #11Mill performance problems.  2-2 and 2-6 had burners out.</t>
  </si>
  <si>
    <t>Load Reduction #122-2 Mill feeder plugged.</t>
  </si>
  <si>
    <t>Load Reduction #132-2 Mill feeder plugged.</t>
  </si>
  <si>
    <t>Load Reduction #14Load reduced to remove blank from 2-3 PA Fan.</t>
  </si>
  <si>
    <t>F590Load Reduction #15Load was reduced to replace 2-3 feeder belt.</t>
  </si>
  <si>
    <t>F830Load Reduction #16Boiler chemistry.</t>
  </si>
  <si>
    <t>F060Load Reduction #172-6 Mill north journal replacement.</t>
  </si>
  <si>
    <t>F540Outage #2Unit 2 was removed from service to repair a 2-1 Main Condenser tube l</t>
  </si>
  <si>
    <t>F590Load Reduction #182-2 BFP out of service to rebuild the recirculation valve.</t>
  </si>
  <si>
    <t>Load Reduction #19Boiler FD fans maxed out.  Not enough air flow. Air flow issue.</t>
  </si>
  <si>
    <t>Load Reduction #20Boiler FD fans maxed out.  Not enough air flow.  Air flow issue.</t>
  </si>
  <si>
    <t>Load Reduction #222-3 Mill north journal failed.</t>
  </si>
  <si>
    <t>F830Load Reduction #23FD fans were maxed out.</t>
  </si>
  <si>
    <t>F590Load Reduction #242-1 BFPT EBOP switch repair and servo replacement.</t>
  </si>
  <si>
    <t>F590Load Reduction #252-1 BFPT EBOP switch repair and servo replacement.</t>
  </si>
  <si>
    <t>Other main steam system problems</t>
  </si>
  <si>
    <t>Load Reduction #183-1 BFPT expansion joint failed.</t>
  </si>
  <si>
    <t>Load Reduction #193-3 Feeder tripped for no apparent reason.  Motor overloads trip</t>
  </si>
  <si>
    <t>Outage #8Primary Superheater developed a tube leak that required the unit to be re</t>
  </si>
  <si>
    <t>Load Reduction #203-1 BFP off to troubleshoot latching issues.</t>
  </si>
  <si>
    <t>Load Reduction #213-1 FD fan inlet vane stopped operating.  Controls locked out wh</t>
  </si>
  <si>
    <t>Outage #10Unit 3 developed a tube leak in the Economizer section of the Boiler.  R</t>
  </si>
  <si>
    <t>Outage #11Unit 3 developed a leak in the Main Steam line drain line just before th</t>
  </si>
  <si>
    <t xml:space="preserve">F930Load Reduction #223-1 FD fan inlet vane drive unit failed.  Had to gag damper </t>
  </si>
  <si>
    <t>F590Outage #12Unit 3 scheduled for Fall Planned Outage to do general maintenance a</t>
  </si>
  <si>
    <t>F540Outage #13Unit 3 was removed form service to repair a tube leak in the partiti</t>
  </si>
  <si>
    <t>Load Reduction #233-3 and 3-4 Mill worm gear packing failed.  3-4 Mill caught fire</t>
  </si>
  <si>
    <t>Load Reduction #243-3 Mill had blown fuses not allowing the feeder to go above min</t>
  </si>
  <si>
    <t>Load Reduction #13-5 Feeder speed sensor failed.  Unable to get feeder above 50%.</t>
  </si>
  <si>
    <t xml:space="preserve">F540Outage #1Unit 3 was removed from service to repair a finishing superheat tube </t>
  </si>
  <si>
    <t>Outage #2Unit 3 was removed from service due to generator bus duct overheating.</t>
  </si>
  <si>
    <t>F540Outage #4Unit 3 Reserve Outage was changed to a Maintenance Outage to repair a</t>
  </si>
  <si>
    <t>F830Load Reduction #2Load reduced to deslag the Finishing SH section of the boiler</t>
  </si>
  <si>
    <t>F540Outage #6Unit 3 came off line to repair expansion joint damage.</t>
  </si>
  <si>
    <t>Load Reduction #33-4 Mill was making noise in the grinding and pyrite section.  Th</t>
  </si>
  <si>
    <t>Load Reduction #43-4 Mill was removed from service when the PA flow indication wen</t>
  </si>
  <si>
    <t>Load Reduction #53-3 Feeder calibration.</t>
  </si>
  <si>
    <t xml:space="preserve">F590Outage #7Unit 3 was removed from service to replace the ID fan discharge duct </t>
  </si>
  <si>
    <t>FA00Load Reduction #6Following unit start up the load was reduced due to high boil</t>
  </si>
  <si>
    <t>Load Reduction #73-2A ID fan tripped due to a control problem.  The fan tripped wh</t>
  </si>
  <si>
    <t>Hydraulic system coolers</t>
  </si>
  <si>
    <t>F830Load Reduction #8Unit 3 was derated to investigate an H2 cooler leaks, 1 coole</t>
  </si>
  <si>
    <t>F830Outage #8Unit 3 was removed from service to investigate an H2 cooler leak.</t>
  </si>
  <si>
    <t>F540Outage #9The unit was removed from service on a Forced outage for an H2 cooler</t>
  </si>
  <si>
    <t xml:space="preserve">F830Outage #10Unit 3 was removed from service when an EH leak was detected at the </t>
  </si>
  <si>
    <t>F540Outage #11Unit 3 generator could not be put in service due to a generator grou</t>
  </si>
  <si>
    <t>Load Reduction #9Unit 3 was derated to investigate an H2 cooler leaks, 1 cooler at</t>
  </si>
  <si>
    <t>Load Reduction #224-1B ID fan off to reset the bypassed cell in the VFD.</t>
  </si>
  <si>
    <t>Outage #7Main Turbine thrust bearing showed movement about the trip point tripping</t>
  </si>
  <si>
    <t>Load Reduction #23Dropped load for 4-1 AH outlet duct expansion joint repair.</t>
  </si>
  <si>
    <t>Load Reduction #24Boiler swing.  FD fans out the top, and furnace pressure was get</t>
  </si>
  <si>
    <t>Load Reduction #25Dropped load to swap out mills.  FD fans were running out the to</t>
  </si>
  <si>
    <t>Load Reduction #264-1A ID fan VFD developed a coolant leak in the transformer.</t>
  </si>
  <si>
    <t xml:space="preserve">F540Outage #8Air Heater seals continuing to get worse.  Removed unit from service </t>
  </si>
  <si>
    <t>Load Reduction #27Unit start up after outage to repair air heater seals:  Variable</t>
  </si>
  <si>
    <t>Load Reduction #28Unit start up after outage to repair air heater seals:  Variable</t>
  </si>
  <si>
    <t>Outage #9Adjustments were being made to HP heater level controls and the HP heater</t>
  </si>
  <si>
    <t>Load Reduction #29Boiler excursion due to putting HP heater extraction steam in se</t>
  </si>
  <si>
    <t>Load Reduction #30Boiler excursion due to HP heaters tripping.</t>
  </si>
  <si>
    <t xml:space="preserve">Load Reduction #31Boiler tripped; feeders went &lt;40% during load drop.  Derate was </t>
  </si>
  <si>
    <t>Load Reduction #32Turbine copper deposition.  Derate started after going from summ</t>
  </si>
  <si>
    <t>Load Reduction #33Load reduced due to turbine copper deposition.</t>
  </si>
  <si>
    <t xml:space="preserve">Load Reduction #34Gypsum Farm electrical outage (lost power due to 138 substation </t>
  </si>
  <si>
    <t xml:space="preserve">Load Reduction #35Gypsum Farm electrical outage (lost power due to 138 substation </t>
  </si>
  <si>
    <t>FF00Outage #11Unit 4 was removed from service to repair Air Heater seals.</t>
  </si>
  <si>
    <t>Load Reduction #36Load reduced due to turbine copper deposition.</t>
  </si>
  <si>
    <t>Load Reduction #37Unit 4 was limited due to boiler chemistry after startup.</t>
  </si>
  <si>
    <t>Load Reduction #38Unit 4 is limited due to copper build up on the turbine blades.</t>
  </si>
  <si>
    <t>Load Reduction #1Unit 4 is limited due to copper build up on the turbine blades.</t>
  </si>
  <si>
    <t>Load Reduction #2Took Unit down to 1 BFP for tuner to check and make adjustments t</t>
  </si>
  <si>
    <t xml:space="preserve">Load Reduction #3Maintenance found a roll stationary liner had broken off and was </t>
  </si>
  <si>
    <t>Load Reduction #44-1 Feeder motion monitor and 4-5 mill BSO limit switch bracket b</t>
  </si>
  <si>
    <t>Load Reduction #5Unit 4 is limited due to copper build up on the turbine blades.</t>
  </si>
  <si>
    <t>Outage #1Unit 4 came off line due to a leak in the economizer.</t>
  </si>
  <si>
    <t>Load Reduction #6Load reduced due to Turbine copper deposition. Derate started aft</t>
  </si>
  <si>
    <t>F590Outage #2Unit removed from service for the Planned Spring Outage.</t>
  </si>
  <si>
    <t xml:space="preserve">Load Reduction #7B, C, and D LP heaters tripped while making level adjustment.  B </t>
  </si>
  <si>
    <t>Load Reduction #8B, C, and D LP heaters tripped on shell side level.  B and C heat</t>
  </si>
  <si>
    <t>F530Outage #3Unit 4 was removed from line to inspect the air heaters.</t>
  </si>
  <si>
    <t>Load Reduction #94-4 Feeder calibration.</t>
  </si>
  <si>
    <t>F700Load Reduction #104-1B ID fan tripped.</t>
  </si>
  <si>
    <t>F550Load Reduction #114-1B ID fan tripped.</t>
  </si>
  <si>
    <t>Load Reduction #124-6 Feeder clean out conveyor failed.</t>
  </si>
  <si>
    <t>Load Reduction #134-6 Feeder belt was torn by foreign metal.</t>
  </si>
  <si>
    <t>F320Boiler Deslag - Load available as needed</t>
  </si>
  <si>
    <t>F790Full load PM testing</t>
  </si>
  <si>
    <t>F170High silica @ warm start</t>
  </si>
  <si>
    <t>F790Full Load Testing - Air heater</t>
  </si>
  <si>
    <t>F790Summer Full Load Capability Test</t>
  </si>
  <si>
    <t>F5901D Mill Adjust Rollers</t>
  </si>
  <si>
    <t>F790Mercury Air Toxic Standard (MATS) Testing</t>
  </si>
  <si>
    <t>F7001B Coal Feeder - Replaced Action Pack Relay</t>
  </si>
  <si>
    <t>F8201B Coal Feeder - Electrical Issues, keeps tripping. Investigating cause.</t>
  </si>
  <si>
    <t>F8201B Coal Feeder - Electrical Issues, Tripping</t>
  </si>
  <si>
    <t>FW001D Coal Mill - Wet Coal</t>
  </si>
  <si>
    <t>F720Turbine #2 Reheat Stop Valve - Stuck Closed from Valve Test</t>
  </si>
  <si>
    <t>F590Turbine Reheat Stop Valves - Remove Screens/Baskets</t>
  </si>
  <si>
    <t>F400Generator Lockout - Protective Relays</t>
  </si>
  <si>
    <t>F590FGD Demister Wash Maintenance</t>
  </si>
  <si>
    <t>F790Coal Mill Testing &amp; NOx Readings for Baghouse</t>
  </si>
  <si>
    <t>F0901A Coal Mill - Calibrate</t>
  </si>
  <si>
    <t>F590Reheat Spray Regulator - Repair Line Leak</t>
  </si>
  <si>
    <t>F790Mercury Testing</t>
  </si>
  <si>
    <t>F490Generator Lockout</t>
  </si>
  <si>
    <t>F5901D Coal Feeder clean out conveyor maintenance</t>
  </si>
  <si>
    <t>F8301 B and D mills breaker trip.</t>
  </si>
  <si>
    <t>F790Full load Mercury testing</t>
  </si>
  <si>
    <t>F010G1 Tripper out of alignment</t>
  </si>
  <si>
    <t>F3301D Coal mill hot air gate would not stay closed</t>
  </si>
  <si>
    <t>F790Condenser air in leakage check</t>
  </si>
  <si>
    <t>F590FGD maintenance - replace oriface plates in hydrocylone system</t>
  </si>
  <si>
    <t>F170HIgh Silica</t>
  </si>
  <si>
    <t>F790Full Load Testing off AGC</t>
  </si>
  <si>
    <t>F820Drum level trip</t>
  </si>
  <si>
    <t>F5901D Mill scraper maintenance</t>
  </si>
  <si>
    <t>F720RH Intercept valve sticking closed</t>
  </si>
  <si>
    <t>F790Full load RATA testing</t>
  </si>
  <si>
    <t>F790Mid load RATA testing</t>
  </si>
  <si>
    <t>F590A mill high burner temps due to air flow issue</t>
  </si>
  <si>
    <t>F790Full Load RATA testing</t>
  </si>
  <si>
    <t>F790Alstom getting readings from the boiler, needed steady load</t>
  </si>
  <si>
    <t>F5301B feeder inspection and calibration</t>
  </si>
  <si>
    <t>F5301C Mill feeder inspection and calibration</t>
  </si>
  <si>
    <t>F8201B Feeder tripped at low load</t>
  </si>
  <si>
    <t>F7801A Mill burner temps</t>
  </si>
  <si>
    <t>F5901A &amp; 1B Coal Feeder motor swap.</t>
  </si>
  <si>
    <t>F790Full Load winter capability testing</t>
  </si>
  <si>
    <t>F0901A mill feeder calibration</t>
  </si>
  <si>
    <t>F8201A Mill feeder tripped</t>
  </si>
  <si>
    <t>F170High silica @ hot start</t>
  </si>
  <si>
    <t>F790Boiler exit gas temperature testing</t>
  </si>
  <si>
    <t>F790Full load PM/RRA Testing</t>
  </si>
  <si>
    <t>F7801B4 Mill burner temps high.</t>
  </si>
  <si>
    <t>F5301D Mill inspect scraper and hot air gate.</t>
  </si>
  <si>
    <t>F5901D Mill maintenance, replace solenoid on hot air gate</t>
  </si>
  <si>
    <t>Balance of plant overhaul/outage</t>
  </si>
  <si>
    <t>F170High silica @ cold start</t>
  </si>
  <si>
    <t>F170High silica @ cold start-up</t>
  </si>
  <si>
    <t>F790Full load testing prior to Nalco feed</t>
  </si>
  <si>
    <t>F7901A Mill clean air flow testing</t>
  </si>
  <si>
    <t>F7901B Mill clean air flow testing</t>
  </si>
  <si>
    <t>F790Air flow testing</t>
  </si>
  <si>
    <t>F790Hg compliance testing</t>
  </si>
  <si>
    <t>F790Low load air flow testing</t>
  </si>
  <si>
    <t>F540Coal leak on mill exhauster</t>
  </si>
  <si>
    <t>F5301D Mill had rocks under the roller</t>
  </si>
  <si>
    <t>F5901D Mill roller adjustment</t>
  </si>
  <si>
    <t>F5901A BCP maintenance</t>
  </si>
  <si>
    <t>F5901A BCP troublehsoot isolation problems</t>
  </si>
  <si>
    <t>F5301A Mill Inspection</t>
  </si>
  <si>
    <t>F0901B feeder calibration</t>
  </si>
  <si>
    <t>F0901C Feeder Calibration &amp; Inspection</t>
  </si>
  <si>
    <t>F0901D Feeder Calibration &amp; Inspection</t>
  </si>
  <si>
    <t>F5901A BCWP Motor</t>
  </si>
  <si>
    <t>F720RH Valve would not open</t>
  </si>
  <si>
    <t>F1201C Mill out of service due to wet coal. (Sprinkler Issue)</t>
  </si>
  <si>
    <t>F750High flue gas temps</t>
  </si>
  <si>
    <t>F1201A air heater support bearing running hot</t>
  </si>
  <si>
    <t>Crushers/mills</t>
  </si>
  <si>
    <t>F430Lost feed to limestone crusher, cant make slurry</t>
  </si>
  <si>
    <t>F590D Coal Mill Exhauster Damper Maintenance</t>
  </si>
  <si>
    <t>F5302B Coal Mill - Sand in the bowl</t>
  </si>
  <si>
    <t>F790Summer Full load Capability Test</t>
  </si>
  <si>
    <t>F5902C Coal Mill - Replaced Roller</t>
  </si>
  <si>
    <t>F5902B Boiler Feedwater Pump Warm Up Line - Repair Leak</t>
  </si>
  <si>
    <t>F590Turbine Reheat &amp; Main Stop Valves - Remove Screens/Baskets</t>
  </si>
  <si>
    <t>F5402A Induced Draft Fan - Oil Leak</t>
  </si>
  <si>
    <t>F1202B Coal Feeder - Plugged</t>
  </si>
  <si>
    <t>F1202B Coal Feeder - Plugged, Removed Foreign Metal</t>
  </si>
  <si>
    <t>F5902A Induced Draft Fan - Repair Oil Leaks</t>
  </si>
  <si>
    <t>F8202B Induced Draft Fan Trip - VFD Fault</t>
  </si>
  <si>
    <t>F5902C Coal Feeder - Cleanout Conveyor Gearbox Issue</t>
  </si>
  <si>
    <t>F5902C Coal Feeder Cleanout Conveyor - Replace Gearbox</t>
  </si>
  <si>
    <t>F1202B Coal Mill - Raw Coal Conduit Plugged with Foreign Metal</t>
  </si>
  <si>
    <t>F5902A Coal Feeder - Replace Cleanout Conveyor</t>
  </si>
  <si>
    <t>F590Superheater attemperator spray valve leak</t>
  </si>
  <si>
    <t>F5902A Mill Coal Feeder Cleanout will not run</t>
  </si>
  <si>
    <t>F5302A Mill Inpspection and adjust rollers</t>
  </si>
  <si>
    <t>F5302B mill inspection</t>
  </si>
  <si>
    <t>F5302C Mill Roller adjustment</t>
  </si>
  <si>
    <t>F5902D Coal Mill Roller adjustment</t>
  </si>
  <si>
    <t>F1202B Coal Bunker valve stuck</t>
  </si>
  <si>
    <t>F120Coal clogged in bunker chute</t>
  </si>
  <si>
    <t>F590G2 Tripper motor out</t>
  </si>
  <si>
    <t>F5902B coal feeder - I/E replaced micro switch</t>
  </si>
  <si>
    <t>F5302B Coal Mill Inspection</t>
  </si>
  <si>
    <t>F5902B Mill Maintenance</t>
  </si>
  <si>
    <t>F790Condenser air in-leakage check</t>
  </si>
  <si>
    <t>F6402B boiler circ. pump lube oil pump motor overloads</t>
  </si>
  <si>
    <t>F170High silica at very hot start</t>
  </si>
  <si>
    <t>F590FGD maintenance - replace orifaces in hydrocyclone system</t>
  </si>
  <si>
    <t>F060Loss of ID Fan Alarm - Blown Fuse in HPM</t>
  </si>
  <si>
    <t>F790Full Load Testing of AGC</t>
  </si>
  <si>
    <t>F5902D Feeder clean-out conveyor maintenance</t>
  </si>
  <si>
    <t>F5902C coal feeder clean out conveyor maintenance</t>
  </si>
  <si>
    <t>F5902A Coal feeder clean out conveyor maintenance</t>
  </si>
  <si>
    <t>F5902A coal feeder clean out conveyor maintenance</t>
  </si>
  <si>
    <t>F1202D Coal feeder no coal flow.</t>
  </si>
  <si>
    <t>F5902B Coal feeder maintenance</t>
  </si>
  <si>
    <t>F060Control Valve 3 valve stem broken</t>
  </si>
  <si>
    <t>F060Control valve #3 valve stem broken</t>
  </si>
  <si>
    <t>F060#3 control valve stem broken</t>
  </si>
  <si>
    <t>F790Full Load winter capability test</t>
  </si>
  <si>
    <t>F5902A coal feeder gearbox motor replaced</t>
  </si>
  <si>
    <t>F790Full load PM/RRA testing</t>
  </si>
  <si>
    <t>F5902D Mill pyrite hopper maintenance</t>
  </si>
  <si>
    <t>F790Full load MATS testing</t>
  </si>
  <si>
    <t>F7802A1 Burner temps</t>
  </si>
  <si>
    <t>F7902A mill clean air flow test</t>
  </si>
  <si>
    <t>F7902B mill clean air flow test</t>
  </si>
  <si>
    <t>F7802A1 burner temps</t>
  </si>
  <si>
    <t>F790Air flow testing low load</t>
  </si>
  <si>
    <t>F790Mid load air flow testing</t>
  </si>
  <si>
    <t>F790Full load air flow testing</t>
  </si>
  <si>
    <t>F0902A Feeder Calibration &amp; Inspection</t>
  </si>
  <si>
    <t>F6902A mill damper issues</t>
  </si>
  <si>
    <t>F0902B Mill inspection &amp; calibration</t>
  </si>
  <si>
    <t>F0902A Mill Maintenance</t>
  </si>
  <si>
    <t>F0902D Mill inspection &amp; calibration</t>
  </si>
  <si>
    <t>F8102C Coal Feeder Belt</t>
  </si>
  <si>
    <t>F8102C Coal Feeder Issue</t>
  </si>
  <si>
    <t>F090C Mill Inspection</t>
  </si>
  <si>
    <t>F820Lost 2A/B Feeders</t>
  </si>
  <si>
    <t>F1202C Mill Inspection</t>
  </si>
  <si>
    <t>F4902A MDBFP - motor</t>
  </si>
  <si>
    <t>F1202C Coal Mill Lost (Lack of coal flow from bunker)</t>
  </si>
  <si>
    <t>F320Precipitator Hoppers - Clean Out</t>
  </si>
  <si>
    <t>F820Cooling tower pump trip</t>
  </si>
  <si>
    <t>F170High silica @ Cold start</t>
  </si>
  <si>
    <t>Testing B</t>
  </si>
  <si>
    <t>F320Boiler deslag - Load available if needed</t>
  </si>
  <si>
    <t>F790Full load SCR testing</t>
  </si>
  <si>
    <t>F790Full load SCR Testing</t>
  </si>
  <si>
    <t>F5903A Superheater reg. valve flange replacement</t>
  </si>
  <si>
    <t>F820Oxidation air compressor trip - bad contact</t>
  </si>
  <si>
    <t>F320Precipitator hoppers - clean out</t>
  </si>
  <si>
    <t>F7803C PA Fan inboard bearing temp - bad bearing</t>
  </si>
  <si>
    <t>F120Reatant Feed Line - Pluggage on Regulator</t>
  </si>
  <si>
    <t>F400Boiler Air Flow Issues - Controls</t>
  </si>
  <si>
    <t>F4003D5 Igniter would not go in</t>
  </si>
  <si>
    <t>F4003D5 igniter work</t>
  </si>
  <si>
    <t>F1203D Coal Feeder - No coal flow at feeder intlet, coal flow issue</t>
  </si>
  <si>
    <t>F660High Backpressure</t>
  </si>
  <si>
    <t>F820Cooling Tower Fan Bus Trip</t>
  </si>
  <si>
    <t>F590Cooling Tower Fans D,F &amp; H Out of Service - Electrical Issues</t>
  </si>
  <si>
    <t>F660High Back Pressure - Cooling Tower H Fan VFD Fault</t>
  </si>
  <si>
    <t>F660High Back Pressure - Cooling Tower H Fan Out of Service</t>
  </si>
  <si>
    <t>F590Cooling Tower Fan H - Breaker Issue</t>
  </si>
  <si>
    <t>F5903C Coal Mill - Inspection &amp; Roller Repair</t>
  </si>
  <si>
    <t>F590Cooling Tower Fan H - Breaker Maintenance</t>
  </si>
  <si>
    <t>F5903B Coal Feeder - Repair Discharge Flood Flapper</t>
  </si>
  <si>
    <t>F590Cooling Tower H Fan - Switchgear Repair</t>
  </si>
  <si>
    <t>F7803D10 Coal Mill Burner - High Temperature</t>
  </si>
  <si>
    <t>F820Boiler Feed Pump Turbine Driven - Tripped, HMI Failure</t>
  </si>
  <si>
    <t>F5903C Coal Mill Primary Air Fan - Replace Inboard Bearing</t>
  </si>
  <si>
    <t>F540Boiler Tube Leak - Secondary Superheat</t>
  </si>
  <si>
    <t>F790RATA Test @ 300 MW</t>
  </si>
  <si>
    <t>F790RATA Test @ Full Load</t>
  </si>
  <si>
    <t>F8203D Coal Feeder -Trouble Alarm In, Would Not Start</t>
  </si>
  <si>
    <t>F1203C Bunker Valve - Cleaned Out</t>
  </si>
  <si>
    <t>F5903A Coal Feeder - Cleanout Conveyor Gearbox Broke</t>
  </si>
  <si>
    <t>F5903A Coal Feeder - Replace Cleanout Conveyor Gearbox</t>
  </si>
  <si>
    <t>F5903A Coal Mill Primary Air Fan - Breaker Issues</t>
  </si>
  <si>
    <t>F790CEM Testing</t>
  </si>
  <si>
    <t>F820Turbine Driven Boiler Feed Pump - Trip, Unexpected Reboot</t>
  </si>
  <si>
    <t>F5903D Coal Mill Overahaul</t>
  </si>
  <si>
    <t>F720TDBFP Recirc valve stuck</t>
  </si>
  <si>
    <t>F720TDBFP recirc valve stuck</t>
  </si>
  <si>
    <t>F5903D Coal Mill - Overhaul</t>
  </si>
  <si>
    <t>F0403D PA Fan Balance</t>
  </si>
  <si>
    <t>F7803C2 Burner temps</t>
  </si>
  <si>
    <t>F540Boiler tube leak - economizer</t>
  </si>
  <si>
    <t>F170High silica @ Warm Start</t>
  </si>
  <si>
    <t>F790SCR Flue gas testing</t>
  </si>
  <si>
    <t>F3403D1 ignitor would not go in</t>
  </si>
  <si>
    <t>F8503C Mill PA fan vibration</t>
  </si>
  <si>
    <t>F540PA Fan oil leak</t>
  </si>
  <si>
    <t>F790Coal fineness test</t>
  </si>
  <si>
    <t>Miscellaneous CEMS problems</t>
  </si>
  <si>
    <t>F400Blower trip in CEMS</t>
  </si>
  <si>
    <t>F0603C PA fan shaft broke</t>
  </si>
  <si>
    <t>Other oil and gas fuel supply problems (see codes 0360-0410 for burner problems)</t>
  </si>
  <si>
    <t>F1203D-1 Gas Gun/Gas Flow Valve Issues</t>
  </si>
  <si>
    <t>F0603C PA Fan shaft broke</t>
  </si>
  <si>
    <t>F5903C PA Fan oil change</t>
  </si>
  <si>
    <t>F5303A PA fan inspection</t>
  </si>
  <si>
    <t>F5303D PA Fan inspection</t>
  </si>
  <si>
    <t>FR003C PA Fan insulation fire</t>
  </si>
  <si>
    <t>F5303D PA fan damper inspection</t>
  </si>
  <si>
    <t>F5903C PA Fan maintenance</t>
  </si>
  <si>
    <t xml:space="preserve">F540Boiler tube leak </t>
  </si>
  <si>
    <t>F3403B Mill ignitor would not light</t>
  </si>
  <si>
    <t>F520Replace A6 swing valve proximity switch.</t>
  </si>
  <si>
    <t>F790Full load winter capability test</t>
  </si>
  <si>
    <t>F060Sprinlker head broke, water leaked into 3B Mill cabinet</t>
  </si>
  <si>
    <t>F7803A Mill burner temps</t>
  </si>
  <si>
    <t>F8503C Mill PA fan maintenance for vibration</t>
  </si>
  <si>
    <t>F850Balanced 3C PA Fan</t>
  </si>
  <si>
    <t>F540Boiler Tube Leak - Front SCW Hanger Tube</t>
  </si>
  <si>
    <t>F170High silica @ warm start-up</t>
  </si>
  <si>
    <t>F540EHC Leak on TDBFP valve</t>
  </si>
  <si>
    <t>FR00"A" Phase main transformer fire</t>
  </si>
  <si>
    <t>F7603A air heater guide bearing lube oil pump motor tripped</t>
  </si>
  <si>
    <t>F760Replaced 3A air heater guide bearing LOP motor</t>
  </si>
  <si>
    <t>FA00High silica @ Hot Start</t>
  </si>
  <si>
    <t>FA00High silica</t>
  </si>
  <si>
    <t>F790Pre outage full load MATS testing</t>
  </si>
  <si>
    <t>F590Planned 8 week outage Install new WFGD</t>
  </si>
  <si>
    <t>F430Relay on breaker took out ID fans</t>
  </si>
  <si>
    <t>F660ID Fan Index Trip</t>
  </si>
  <si>
    <t>F4303-D mill gas guns (3D7)</t>
  </si>
  <si>
    <t>F8103B ID Fan Expansion Joint Replacment</t>
  </si>
  <si>
    <t>F8503A ID Fan trip - high vibration</t>
  </si>
  <si>
    <t>F790Summer capability test</t>
  </si>
  <si>
    <t>F790Cooling Tower Test</t>
  </si>
  <si>
    <t>F1204A Conduit pluggage</t>
  </si>
  <si>
    <t xml:space="preserve">F790Sulfuric Acid Mist (SAM's) Testing </t>
  </si>
  <si>
    <t>Forced draft fan lubrication system</t>
  </si>
  <si>
    <t>F5904A Forced Draft Fan Lube Oil System - Alternate Filter</t>
  </si>
  <si>
    <t>Combined intercept valves</t>
  </si>
  <si>
    <t>F540Turbine #2 Reheat/Intercept Valve - EHC Leak</t>
  </si>
  <si>
    <t>F820High Drum Level Trip - Feedwater Heater Bypass</t>
  </si>
  <si>
    <t>F5904C &amp; 4E Coal Mills - Lighter Issues</t>
  </si>
  <si>
    <t>F8204D Coal Mill - Trip, Breaker Issue</t>
  </si>
  <si>
    <t>F540Boiler tube leak - waterwall</t>
  </si>
  <si>
    <t>F1204B Coal bunker valve stuck</t>
  </si>
  <si>
    <t>F790WFGD testing for Babcock Power</t>
  </si>
  <si>
    <t>FC00Boiler chemical clean</t>
  </si>
  <si>
    <t>F170High silica @ Cold Start</t>
  </si>
  <si>
    <t>F790FGD Low Load Testing</t>
  </si>
  <si>
    <t>F400Lost 4A and 4D Coal Mills - Electrical Trips</t>
  </si>
  <si>
    <t>F660Transfer Turbine Valves from Full Arc to Partial Arc</t>
  </si>
  <si>
    <t>F400Lost 4A and 4C Coal Mills - Electrical Trips</t>
  </si>
  <si>
    <t>F5304A Mill burner inspection</t>
  </si>
  <si>
    <t>F120E Mill feeder plugged</t>
  </si>
  <si>
    <t>F8204E Mill tripped with instantaneous targets on the A &amp; B Phases.</t>
  </si>
  <si>
    <t>F3404E mill hot air damper switch</t>
  </si>
  <si>
    <t>F780A Mill high burner temps</t>
  </si>
  <si>
    <t>F4004D PA Fan tripping out</t>
  </si>
  <si>
    <t xml:space="preserve">F820A mill lube oil pump motor trip </t>
  </si>
  <si>
    <t>F8204B ID fan trip on high stator temp.</t>
  </si>
  <si>
    <t>F5904D mill burner maintenance</t>
  </si>
  <si>
    <t>F7804C mill high burner temps</t>
  </si>
  <si>
    <t>F8204A and 4B Mill feeders tripped.</t>
  </si>
  <si>
    <t>F8204A ID fan inlet load index trip</t>
  </si>
  <si>
    <t>F790Full load windbox testing</t>
  </si>
  <si>
    <t>F540Boiler tube leak - superheat</t>
  </si>
  <si>
    <t>F690Make up to hotwell not operating</t>
  </si>
  <si>
    <t>F5904A mill not available, 4C PA fan not available</t>
  </si>
  <si>
    <t>F790SCR Catalyst tuning - TC1 was at full load while catalyst testing was occurring. T</t>
  </si>
  <si>
    <t>F530A and D mills have been having continuing problems, so they were taken offline for</t>
  </si>
  <si>
    <t>F790SCR testing is underway; during SCR testing, the unit is out of AGC mode.</t>
  </si>
  <si>
    <t>F790SCR Catalyst Tuning - Unit out of AGC mode for the duration of this time.</t>
  </si>
  <si>
    <t>Bunker feeder coal scales</t>
  </si>
  <si>
    <t>F1301A Mill was taken out of service due to excessive rumbling. 1D Mill was put in ser</t>
  </si>
  <si>
    <t>F790Unit 1 has taken a derate to 520 for performance testing.</t>
  </si>
  <si>
    <t>F790Non-curtailing event to conduct full load boiler performance testing.</t>
  </si>
  <si>
    <t>F540Maintenance outage to repair suspect condenser tube leak.  Large quantity (60+) of</t>
  </si>
  <si>
    <t>F400Unit come off on a forced outage due to erratic operation of the condensate contro</t>
  </si>
  <si>
    <t>F460Unit MFT due to oil igniter flameout.</t>
  </si>
  <si>
    <t>FA00Derate due to Silica restrictions in feedwater chemistry.</t>
  </si>
  <si>
    <t>F830Condenser tube leak caused the unit to enter into a forced outage.</t>
  </si>
  <si>
    <t>F540High Pressure Feedwater Heaters 5 and 6 are out of service. Feedwater Heater 6 was</t>
  </si>
  <si>
    <t>F790VAR testing was performed while Unit was good for full load. Unit was good for ful</t>
  </si>
  <si>
    <t>F830During a Main Stop Valve test the #2 Main Stop Valve successfully closed but would</t>
  </si>
  <si>
    <t>FA00Silica levels in water caused a derate until water cleanliness met acceptable leve</t>
  </si>
  <si>
    <t>F540Maintenance to repair packing leak on SH Spray valve.</t>
  </si>
  <si>
    <t>F540Further maintenance on SH Spray valve - Unit was taken from 400 to 300 for full va</t>
  </si>
  <si>
    <t>F540Continued maintenance on the SH spray valve.</t>
  </si>
  <si>
    <t>F660Unit was placed on a derate due to coal mill issues - differential pressure alarms</t>
  </si>
  <si>
    <t xml:space="preserve">F660B Mill taken out of service due to high DP and coal chute pluggage. Investigation </t>
  </si>
  <si>
    <t>F6601B Mill placed back in service - continued high DP problems across bowl. Inspectio</t>
  </si>
  <si>
    <t>F6601B Mill put in service at 45% feed rate due to the high bowl DP. Soon after, there</t>
  </si>
  <si>
    <t>F6601B Mill fire - taken out of service for cool down and cleaning.</t>
  </si>
  <si>
    <t xml:space="preserve">F790Non-curtailing derate for Main Steam Safety Valve testing. Unit was available for </t>
  </si>
  <si>
    <t xml:space="preserve">F660A Mill had a high DP level and the A Mill was amping out, causing the unit to run </t>
  </si>
  <si>
    <t>F660Continued problems with the TC1 coal mills.</t>
  </si>
  <si>
    <t>F590TC1 Fall 2015 Outage - planned outage involving baghouse tie-in and other maintena</t>
  </si>
  <si>
    <t>F590Planned Extension of the TC1 2015 Fall Outage.</t>
  </si>
  <si>
    <t>FA00Non-curtailing derate due to silica hold on the unit until the boiler water chemis</t>
  </si>
  <si>
    <t>F830Unit was taken offline due to a set of boiler tube leaks.</t>
  </si>
  <si>
    <t>F590Fires out to coat the new TC1 Baghouse bags.</t>
  </si>
  <si>
    <t>F790Non-curtailing event during testing of AGC.</t>
  </si>
  <si>
    <t>F400Derate due to 1C coal feeder runback.</t>
  </si>
  <si>
    <t>F820While testing the overspeed for the 1B TDBFP, the pump failed the test and tripped</t>
  </si>
  <si>
    <t>FW00Unit derate due to wet coal.</t>
  </si>
  <si>
    <t xml:space="preserve">F640The 1B Mill became overheated, requiring the plant to take it out of service. The </t>
  </si>
  <si>
    <t>F460The 1F Mill caught fire and was taken out of service. The 1D Mill was put in servi</t>
  </si>
  <si>
    <t>F4601B Mill caught fire, causing the equipment to be taken out of service.</t>
  </si>
  <si>
    <t>F1201C Coal Feeder had no coal on belt and came in with an alarm due to uneven coal fl</t>
  </si>
  <si>
    <t>F790Non-curtailing derate for control valve testing. The unit was available for full l</t>
  </si>
  <si>
    <t>F790Tuning of the TC1 control valves without sufficient notice to dispatch.</t>
  </si>
  <si>
    <t>F060The relays in the 1C Coal Mill Hydraulic Unit has failed to operate correctly, kee</t>
  </si>
  <si>
    <t>F060Testing of the TC1 Baghouse system was going on at this time to fix the Hydrated L</t>
  </si>
  <si>
    <t>F060Continued problems with the C and B Mills kept the unit on a derate.</t>
  </si>
  <si>
    <t>F060Testing was going on at this time to correct the ratio of Hydrated Lime to flyash.</t>
  </si>
  <si>
    <t>F790Non-curtailing testing of the unit to correct the ratio of Hydrated Lime to flyash</t>
  </si>
  <si>
    <t>F700Continued problems with the F and B Mills, combined with the loss of control power</t>
  </si>
  <si>
    <t>F790Non-Curtailing full load testing on the Unit due to the introduction of the new ba</t>
  </si>
  <si>
    <t>F790Non-Curtailing derate for full load testing on the Unit due to the introduction of</t>
  </si>
  <si>
    <t>F1201A Coal Mill tripped on feeder flooding. Derate while placing 1C Coal Mill in serv</t>
  </si>
  <si>
    <t>FR001F Coal Mill caught fire, placing the unit in a derated status.</t>
  </si>
  <si>
    <t>FR001B Mill was taken out of service due to a mill fire, placing the Unit in a derated</t>
  </si>
  <si>
    <t>FR001F Mill was lost while 1A and 1B Mill were already out of service. The Unit was pl</t>
  </si>
  <si>
    <t>FR001F Mill was placed back in service and 1A and 1B Mills were still out of service.</t>
  </si>
  <si>
    <t>FR001A and 1B Mills were still unavailable, placing the Unit on a derate.</t>
  </si>
  <si>
    <t>F790Performance testing on the SCR. Unit was available for full load if requested by d</t>
  </si>
  <si>
    <t>F3401B Reaction Tank level went into 'High-High' alarm range, and was brought down bef</t>
  </si>
  <si>
    <t xml:space="preserve">F790CEMS Performance testing while at full load. The unit was available for full load </t>
  </si>
  <si>
    <t>F780The B Burner began to overheat, and it was taken out of service. With the C Mill a</t>
  </si>
  <si>
    <t>F790Non-curtailing derate for Emissions testing. The unit was at full load during test</t>
  </si>
  <si>
    <t>F520A series of issues with 1A, 1C, and 1D coal feeder alarms showed a 'no coal on bel</t>
  </si>
  <si>
    <t>F520Continued problems with the coal feeder indication alarms. The 1C Feeder came in w</t>
  </si>
  <si>
    <t xml:space="preserve">F060The B1 FGD Module outlet damper chain broke, causing the damper to fall and close </t>
  </si>
  <si>
    <t>F210TC1 Feedwater Heater 6 was taken out of service for repairs on a corroded level sw</t>
  </si>
  <si>
    <t>F790Non-curtailing event for full load heat rate testing. The unit was available for f</t>
  </si>
  <si>
    <t>FW00Derate for operating with wet fuel.</t>
  </si>
  <si>
    <t>F820ID Fans tripped causing TC1 to MFT.</t>
  </si>
  <si>
    <t>F120F Coal Silo feeder plugged.</t>
  </si>
  <si>
    <t>F090F Coal Mill feeder was carded out for flow controls recalibration following the pl</t>
  </si>
  <si>
    <t>F650Due to existing high DP issues with the F Mill, and an emergent high DP problem wi</t>
  </si>
  <si>
    <t>F790Non-curtailing derate for testing of the scrubber system. The unit was available f</t>
  </si>
  <si>
    <t>F790Non-curtailing derate for steam flow testing. The unit was available for full load</t>
  </si>
  <si>
    <t>F660The unit was derated due to a loss of the 1A Mill.</t>
  </si>
  <si>
    <t>Steam Transfer to Other Unit</t>
  </si>
  <si>
    <t>F780Steam transfer for TC2 startup.</t>
  </si>
  <si>
    <t>F660The unit load was restricted to nameplate steaming capacity of the boiler.</t>
  </si>
  <si>
    <t>Auxiliary steam piping</t>
  </si>
  <si>
    <t>F540Maintenance outage to repair leaking steam supply to TC2.</t>
  </si>
  <si>
    <t>F7801A and 1B Coal Mills were taken out of service due to high temperature.</t>
  </si>
  <si>
    <t>F660ID Fan flow issues resulted in a derated unit status.</t>
  </si>
  <si>
    <t>F780Steam transfer to TC2.</t>
  </si>
  <si>
    <t>F7801F Coal Mill was taken out of service due to high temperature, resulting in a unit</t>
  </si>
  <si>
    <t>F790Non-curtailing event for Method 9 testing. The unit was at full load during this e</t>
  </si>
  <si>
    <t>F5401A ID Fan tripped due to a VFD transformer coolant leak.</t>
  </si>
  <si>
    <t>F590Planned outage for boiler inspection and necessary maintenance of the waterwall Am</t>
  </si>
  <si>
    <t>F820 Due to 2A TDBFP issues, MDBFP's must be started.</t>
  </si>
  <si>
    <t>F820TC2 was able to get back to a Gross Capacity of 781 MW but was unable to meet Net</t>
  </si>
  <si>
    <t>F820 Gross Capacity is able to be met, but Net Capacity is reduced be</t>
  </si>
  <si>
    <t xml:space="preserve">F790Maintenance Derate to conduct ramp testing on the unit to ensure proper operation </t>
  </si>
  <si>
    <t xml:space="preserve">FS00Non-Curtailing Unit Derate to conduct boiler deslag. Unit was available to return </t>
  </si>
  <si>
    <t>F3502B3 Elevation of the 2B Mill's coal piping began leaking. While it was being repai</t>
  </si>
  <si>
    <t>F790Unit was under performance testing during the duration of the derate. Over the 7 h</t>
  </si>
  <si>
    <t>FE00Unit began to experience elevated CO emissions.  A derate was taken to avoid an ex</t>
  </si>
  <si>
    <t xml:space="preserve">FS00Non-curtailing unit derate to conduct boiler deslag. Unit was available to return </t>
  </si>
  <si>
    <t xml:space="preserve">FS00Non-curtailing derate was taken to perform a boiler deslag. Unit was available to </t>
  </si>
  <si>
    <t>FS00Non-curtailing derate was taken to perform a boiler deslag. The unit was available</t>
  </si>
  <si>
    <t>F540Cold Reheat check valve was leaking at the valve packing - weekend maintenance out</t>
  </si>
  <si>
    <t>F820The Economizer Inlet Bypass Valve (191) had corroded terminals on the valve actuat</t>
  </si>
  <si>
    <t>F820After switching from Motor Drive Boiler Feed Pumps to TD's, 2B Turbine Drive Boile</t>
  </si>
  <si>
    <t>F820After 2B TDBFP was tripped, 2A Turbine Drive Boiler Feed Pump tripped due to contr</t>
  </si>
  <si>
    <t>F780In the process of ramping up, variable load and average is given.</t>
  </si>
  <si>
    <t>F540HP Heater 6A and 6B are having leaking problems - 6A has had a channel-side safety</t>
  </si>
  <si>
    <t>F540This derate is due to continued problems with the 6A and 6B heaters.</t>
  </si>
  <si>
    <t>F540HP Heaters 6A and 6B were put back in service but Heater 7A's safety is being repl</t>
  </si>
  <si>
    <t>FS00Non-curtailing derate for Unit Deslag. Unit was available for full load if request</t>
  </si>
  <si>
    <t xml:space="preserve">F5402C Mill Coal Conduit leak - this mill, along with 2D Mill (carded out) are out of </t>
  </si>
  <si>
    <t>F540Due to the same feedwater pressure 'excursion' that caused issues with the 6A&amp;B HP</t>
  </si>
  <si>
    <t>F540Continued problems with the HP 7 Heater.</t>
  </si>
  <si>
    <t>F540Repairs were being done on the 8A and 8B FWH safeties due to the earlier TC2 FW pr</t>
  </si>
  <si>
    <t>F540The deslag was finished and repairs continued on the 8A and 8B FWH safeties.</t>
  </si>
  <si>
    <t>F660Unit was put on derate during D Mill Bowl DP problems: first, the bowl DP alarm ca</t>
  </si>
  <si>
    <t xml:space="preserve">FS00Non-Curtailing derate for Unit to complete scheduled boiler tube deslag. Unit was </t>
  </si>
  <si>
    <t>F5402B Coal Mill tripped due to low oil level in resevoir - lube oil began leaking dur</t>
  </si>
  <si>
    <t>FS00Non-curtailing derate for scheduled boiler tube deslag. Unit was available for ful</t>
  </si>
  <si>
    <t>F0702D Mill began spitting fireflies and smoke out of the pyrite chute. Since TC2 need</t>
  </si>
  <si>
    <t>F540Load was dropped so a contractor could safely work on a feedwater valve packing le</t>
  </si>
  <si>
    <t>F520Problems with the 2E Coal Mill - false low flow alarms came in for both the lube o</t>
  </si>
  <si>
    <t>FS00Non-curtailing derate to perform routine boiler deslag. Unit was available to retu</t>
  </si>
  <si>
    <t>F1201B Mill tripped due to a low primary air fan alarm - the transmitter was plugged a</t>
  </si>
  <si>
    <t xml:space="preserve">FS00Non-curtailing derate for boiler deslag. The unit was available to return to full </t>
  </si>
  <si>
    <t>F340Planned Derate for sootblower maintenance items and boiler deslag.</t>
  </si>
  <si>
    <t>FS00Non-curtailing derate for boiler deslag. Unit was available for full load if reque</t>
  </si>
  <si>
    <t>F540Main Steam non-return MOV packing is blowing steam. Unit derated due to leak.</t>
  </si>
  <si>
    <t>F540Forced outage due to the packing leak in the Non-Return Main Steam MOV.</t>
  </si>
  <si>
    <t>F040While ramping and placing three mills in service, a logic problem caused the mills</t>
  </si>
  <si>
    <t xml:space="preserve">F820As unit was firing, oil guns were lost on the A Mill. This caused a trip on the A </t>
  </si>
  <si>
    <t>F820Despite the Feedwater Storage Vessel being at high level, the unit was calling for</t>
  </si>
  <si>
    <t>F660Due to low load of unit while ramping, there was problem transferring from MDBFP t</t>
  </si>
  <si>
    <t>F660Continued problems solving the feedwater issue. We were holding load down until we</t>
  </si>
  <si>
    <t>F340Switching of unit operating mode for wintertime operations caused a problem with t</t>
  </si>
  <si>
    <t>F660Due to caution against tripping the unit on low ID Inlet Duct pressure, a derate w</t>
  </si>
  <si>
    <t>FE00Unit was derated to stay within NOx limits - Ammonia Pump tripped and unit began t</t>
  </si>
  <si>
    <t>FE00Continued problems due to Ammonia Pump trip. Derate was in effect until NOx levels</t>
  </si>
  <si>
    <t xml:space="preserve">F780Operators reduced load by the above amount for a coal mill swap to allow room for </t>
  </si>
  <si>
    <t>FS00Unit was on a non-curtailing derate to perform a boiler deslag. The unit was avail</t>
  </si>
  <si>
    <t>F400The unit was derated while solving an extraction steam problem. During isolation o</t>
  </si>
  <si>
    <t>FS00Non-curtailing derate for unit deslag. The unit was available for full load if req</t>
  </si>
  <si>
    <t xml:space="preserve">F540Feedwater Bypass Valve BLS MOV 501 had a packing leak. Unit was on a derate until </t>
  </si>
  <si>
    <t>FS00Non-curtailing derate due to boiler deslag. Unit was available for full load if re</t>
  </si>
  <si>
    <t>FS00Non-curtailing derate for boiler deslag. The unit was available for full load if r</t>
  </si>
  <si>
    <t>F540Immediate derate due to dropping load for boiler tube leak repair. The capacity re</t>
  </si>
  <si>
    <t>F540Forced outage due to tube leak repair - two (2) tube leaks were found and repaired</t>
  </si>
  <si>
    <t>F850The Unit was placed in Boiler Follow + MW mode, which dropped the effective load o</t>
  </si>
  <si>
    <t>F820The unit lost the 2A TDBFP and then the 2F mill, starting a runback and then tripp</t>
  </si>
  <si>
    <t>F820Continued problems with the 2A TDBFP - tripped on low flow due to turbine blade is</t>
  </si>
  <si>
    <t>F060Due to broken steam turbine blade on 2A TDBFP, the MDBFP must be run to make load.</t>
  </si>
  <si>
    <t>FS00Non-curtailing derate for boiler deslag. Unit was available for full gross-capacit</t>
  </si>
  <si>
    <t>F060Continued problems with the 2A TDBFP turbine. The running of the MDBFP reduces net</t>
  </si>
  <si>
    <t>F060Continued problems with the 2A TDBFP.</t>
  </si>
  <si>
    <t>F8502A Forced Draft fan vibration caused unit to MFT.</t>
  </si>
  <si>
    <t>F060Repairs are still outstanding on 2A TDBFP, requiring the use of the MDBFP. This ca</t>
  </si>
  <si>
    <t>F060The 2A TDBFP is out of service, requiring the use of the MDBFP. The running of the</t>
  </si>
  <si>
    <t>F820The Radial Y Vibration probe on the TC 2A ID Fans was reading incorrectly, causing</t>
  </si>
  <si>
    <t xml:space="preserve">F540A leak in a main steam safety valve has reduced gross available capacity. </t>
  </si>
  <si>
    <t>F540Operating with temporary measures on the leaking safety relief valve to allow us t</t>
  </si>
  <si>
    <t xml:space="preserve">F060Regardless of the main steam safety being fixed, we are having continued problems </t>
  </si>
  <si>
    <t>F060Continued net derate due to the broken turbine blades on the 2A TDBFP, requiring t</t>
  </si>
  <si>
    <t xml:space="preserve">F540The 7A high pressure feedwater heater had to be removed from service to allow for </t>
  </si>
  <si>
    <t>F720D Coal Mill was running wthout coal on belt; the equipment was taken out of servic</t>
  </si>
  <si>
    <t>FS00Continuation of event 149 from 2015. This was a Non-Curtailing Derate for a unit d</t>
  </si>
  <si>
    <t>F660Problems with the 2B Hotwell Pumps placed the unit on a derate. Swapping pumps did</t>
  </si>
  <si>
    <t>PLC - upgrades</t>
  </si>
  <si>
    <t>F610Unit Control Mode was changed to view how the unit behaved in a boiler swing under</t>
  </si>
  <si>
    <t xml:space="preserve">F480Despite the pump operating normally, the 2B Cooling Tower Pump discharge pressure </t>
  </si>
  <si>
    <t>FW00Low fuel quality caused a unit derate.</t>
  </si>
  <si>
    <t>FW00Problems with fuel quality.</t>
  </si>
  <si>
    <t>FS00Non-curtailing derate for boiler deslag. The Unit was available for full load if r</t>
  </si>
  <si>
    <t>F660The unit load was dropped due to airflow issues when swapping mills. The Air Heate</t>
  </si>
  <si>
    <t>F540Unit was manually taken offline for a boiler tuble leak. The leak was located on t</t>
  </si>
  <si>
    <t>F790Pllanned derate for flux probe testing on the unit generator. The unit needed to b</t>
  </si>
  <si>
    <t>FS00Non-curtailing derate for deslag. The unit was available for full load if requeste</t>
  </si>
  <si>
    <t>FS00Non-curtailing derate for boiler delsag. Unit was available for full load if reque</t>
  </si>
  <si>
    <t>F660The unit load was dropped during a coal mill swap, due to restricted airflow to th</t>
  </si>
  <si>
    <t>F590Planned derate for setting the reheat safeties.</t>
  </si>
  <si>
    <t>F610Planned derate for safety valve setting.</t>
  </si>
  <si>
    <t xml:space="preserve">F610Planned derate for safey valve setting - the unit was placed in a further derated </t>
  </si>
  <si>
    <t>F660Planned derate to swap mills. Due to airflow issues with the air heater, load must</t>
  </si>
  <si>
    <t>F540Forced outage due to a boiler tube leak.</t>
  </si>
  <si>
    <t>F540As the boiler was coming back online from an outage due to a tube leak when anothe</t>
  </si>
  <si>
    <t>F660Swap from 2B Coal Mill to 2F Mill - due to airflow issues through Air Heater, load</t>
  </si>
  <si>
    <t>F660Load was dropped due to high Air Heater Differential Pressure.</t>
  </si>
  <si>
    <t>F540Boiler tube leak caused the unit to be taken offline.</t>
  </si>
  <si>
    <t>F590Spring 2016 Planned Outage - multiple scopes in progress.</t>
  </si>
  <si>
    <t>Automatic turbine control systems - electro-hydraulic - digital</t>
  </si>
  <si>
    <t>F540Adaptor plate in EHC system was not sealed properly, requiring additional maintena</t>
  </si>
  <si>
    <t>F340Loss of 2A-4 Flame Scanner.</t>
  </si>
  <si>
    <t>F780Unit was taken offline for high LP turbine bearing temperature. The Turbine crew c</t>
  </si>
  <si>
    <t>F870Generator protection relay trip.</t>
  </si>
  <si>
    <t>F540Derate due to three mills with coal leaks .</t>
  </si>
  <si>
    <t>F540Derate due to three mills with coal leaks.</t>
  </si>
  <si>
    <t>FE00Load derated due to high SO2 emissions.</t>
  </si>
  <si>
    <t>F540Unit taken offline to repair boiler drain leak.</t>
  </si>
  <si>
    <t>F540Unit taken offline due to problems with WESP flue gas and water containment.</t>
  </si>
  <si>
    <t>Derate (MW)</t>
  </si>
  <si>
    <t>X*a2</t>
  </si>
  <si>
    <t>X*a3</t>
  </si>
  <si>
    <t>X*a4</t>
  </si>
  <si>
    <t>X*a5</t>
  </si>
  <si>
    <t>1-Y= (1+a2+a3+a4+a5)*X+(FOR+MOR)</t>
  </si>
  <si>
    <t>Y=1- (1+a2+a3+a4+a5)*X-(FOR+MOR)</t>
  </si>
  <si>
    <t>EUOR=1-(b1*X+b2*a2*X+b3*a3*X+b4*a4*X+b5*a5*X+Y*Max)/Max</t>
  </si>
  <si>
    <t>Y=((1-EUOR)*Max-X*(b1+a2*b2+a3*b3+a4*b4+a5*b5))/Max</t>
  </si>
  <si>
    <t>Replace 1-1 mill heat slinger</t>
  </si>
  <si>
    <t>EHC oil leak on Throttle Valve</t>
  </si>
  <si>
    <t>Repair 1-3 BFP recirculating valve regulator</t>
  </si>
  <si>
    <t>1-1 mill inspection</t>
  </si>
  <si>
    <t>1-2 mill inspection</t>
  </si>
  <si>
    <t>1-4 mill inspection</t>
  </si>
  <si>
    <t>Inspect Brown 3 FGD shutoff damper</t>
  </si>
  <si>
    <t>Turbine trip on low vacuum due to loss of gland water</t>
  </si>
  <si>
    <t>Other expansion joints</t>
  </si>
  <si>
    <t>Repair FGD expansion joint</t>
  </si>
  <si>
    <t>Check for precipitator ground</t>
  </si>
  <si>
    <t>GCB control cabinet CT circuit loose connection</t>
  </si>
  <si>
    <t>F490Inspect 1-4 electrostatic precipitator</t>
  </si>
  <si>
    <t>FGD Duct inspection</t>
  </si>
  <si>
    <t>Annual outage for boiler inspection and misc repairs</t>
  </si>
  <si>
    <t xml:space="preserve">Continue with testing/repairs of GSU </t>
  </si>
  <si>
    <t>1-2 mill pyrite door stuck closed</t>
  </si>
  <si>
    <t>Conducting MOD-025 testing</t>
  </si>
  <si>
    <t>Induced draft fan dampers</t>
  </si>
  <si>
    <t>ID Fan outlet damper will not open</t>
  </si>
  <si>
    <t>Repair 2-3 mill north roll (not deflecting)</t>
  </si>
  <si>
    <t>Repair 2-2 mill broken spring bolt</t>
  </si>
  <si>
    <t>Frontwall steam drum terminal tube leak.</t>
  </si>
  <si>
    <t>Repair A boiler corner buckstay along with misc. repairs.</t>
  </si>
  <si>
    <t xml:space="preserve">REPAIR FGD EXPANSION JOINT </t>
  </si>
  <si>
    <t>2-3 mill exhauster distributor box coal leak</t>
  </si>
  <si>
    <t>Check for precipitator ground &amp; repair RH stop valve springs</t>
  </si>
  <si>
    <t>2-2 mill feeder controls failed</t>
  </si>
  <si>
    <t>2-2 BFP warming line leak</t>
  </si>
  <si>
    <t>Repair SH attemperator piping identified during inspection</t>
  </si>
  <si>
    <t>2-2 mill primary air damper drive failure</t>
  </si>
  <si>
    <t xml:space="preserve">2-3 Mill west door broken spring bolt </t>
  </si>
  <si>
    <t>Replace right side reheat stop valve actuator</t>
  </si>
  <si>
    <t xml:space="preserve">RATA testing </t>
  </si>
  <si>
    <t>Planned Outage with boiler inspection and duct expansion joint replacement</t>
  </si>
  <si>
    <t xml:space="preserve">2-1 BFP awaiting run form outage rebuild. </t>
  </si>
  <si>
    <t xml:space="preserve">2-2 BFP fluid coupling maximum output needs adjustment </t>
  </si>
  <si>
    <t xml:space="preserve">Setting boiler safties post outage </t>
  </si>
  <si>
    <t>Tube leak in penthouse area</t>
  </si>
  <si>
    <t>VAR testing</t>
  </si>
  <si>
    <t>2-1 mill feeder tachometer failure</t>
  </si>
  <si>
    <t>Inspect 3-2 Mill Pyreite Scraper</t>
  </si>
  <si>
    <t>Boiler MFT due to loss of coal flow to mill</t>
  </si>
  <si>
    <t>3-2 mill out for maintenance and 3-1 mill ran out of coal resulting in boiler MFT</t>
  </si>
  <si>
    <t xml:space="preserve">Reheat tube leak </t>
  </si>
  <si>
    <t>3-1 ID Fan expansion joint leak</t>
  </si>
  <si>
    <t>Both right and left side turbine RH Stop valves stuck closed during weekly testing</t>
  </si>
  <si>
    <t>Repair 3-1 mill pyrite scraper</t>
  </si>
  <si>
    <t>Main tranformer winding and oil temperatures in alarm</t>
  </si>
  <si>
    <t>Main Transformer winding and oil temperatires in alarm</t>
  </si>
  <si>
    <t>Heat Rate testing at various loads</t>
  </si>
  <si>
    <t>Testing operation of RH stop valves</t>
  </si>
  <si>
    <t>Replace 3-2 BFPT turning gear</t>
  </si>
  <si>
    <t>Replace 3-3 BCWP and 3-1 ID Fan oulet expansion joint</t>
  </si>
  <si>
    <t>3-2 BCWP discharge valve bypass line leak</t>
  </si>
  <si>
    <t>Left side RH Stop valve stuck closed on weekly test</t>
  </si>
  <si>
    <t>Waterwall leak from tube rupture</t>
  </si>
  <si>
    <t>Mid load RATA testing</t>
  </si>
  <si>
    <t>3-4 mill exhauster coupling broken</t>
  </si>
  <si>
    <t>Inspect and repair waterwall tubes related to tube failure in August. Event #59</t>
  </si>
  <si>
    <t>Exciter insulation damaged</t>
  </si>
  <si>
    <t>Blown fuses on metering and GCB circuits</t>
  </si>
  <si>
    <t>Balance adjustment to temporary static exciter</t>
  </si>
  <si>
    <t>Generator lockout due to lockout in temporary exciter circuits</t>
  </si>
  <si>
    <t>3-2 feeder will not start</t>
  </si>
  <si>
    <t>3-1 ID Fan trip on high vibration</t>
  </si>
  <si>
    <t>Rear water wall tube leak above ash hopper</t>
  </si>
  <si>
    <t>Balance 3-1 ID Fan due to vibration</t>
  </si>
  <si>
    <t>Fuel oil pumps (general)</t>
  </si>
  <si>
    <t>Boiler trip on loss of fuel oil pump</t>
  </si>
  <si>
    <t xml:space="preserve">Waterwall tube leak, "A" corner below conveyor level. </t>
  </si>
  <si>
    <t xml:space="preserve">Right RH stop valve stuck closed during valve check </t>
  </si>
  <si>
    <t>GCB opened by mistake when performing non related switching</t>
  </si>
  <si>
    <t>Planned outage with misc. tasks</t>
  </si>
  <si>
    <t xml:space="preserve">Perform balance move on #7 Exciter bearing </t>
  </si>
  <si>
    <t>Perform alignment on 3-2 BFP</t>
  </si>
  <si>
    <t>High silica</t>
  </si>
  <si>
    <t>High boiler feedwater silica</t>
  </si>
  <si>
    <t>Water leak inside exciter housing</t>
  </si>
  <si>
    <t xml:space="preserve">Perform balance move due to #7 exciter beraing vibration </t>
  </si>
  <si>
    <t>Noise in 3-3 mill pyrite section</t>
  </si>
  <si>
    <t>Set boiler safties post outage</t>
  </si>
  <si>
    <t>3-3 mill feeder tripped and would not restart</t>
  </si>
  <si>
    <t>Main transformer oil temperature high</t>
  </si>
  <si>
    <t>Noise in 3-2 mill pyrite area</t>
  </si>
  <si>
    <t xml:space="preserve">Repair 3-4 mill pyrtie scrapper </t>
  </si>
  <si>
    <t>Headers between tube bundles</t>
  </si>
  <si>
    <t>Blowdown system piping B</t>
  </si>
  <si>
    <t xml:space="preserve">F830Load Reduction #261-2 Condensate pump tripped.  Motor was tested and found it </t>
  </si>
  <si>
    <t>F060Load Reduction #271-1 Mill was removed from service to replace a journal.</t>
  </si>
  <si>
    <t>F060Load Reduction #281-5 Mill was removed from service to replace a journal.</t>
  </si>
  <si>
    <t>F060Load Reduction #291-5 Mill was removed from service to replace the feeder belt</t>
  </si>
  <si>
    <t>F120Load Reduction #30Planned derate to clean 1-3 and 1-5 Mill airflow pitot tubes</t>
  </si>
  <si>
    <t>F120Load Reduction #31Removed 1-2 and 1-4 mills from service to clean the air flow</t>
  </si>
  <si>
    <t>F700Load Reduction #321-1 BFPT would not re-latch.</t>
  </si>
  <si>
    <t>Load Reduction #33Removed 1-3 Mill from service due to noise in the pyrite system.</t>
  </si>
  <si>
    <t>Load Reduction #341-6 Mill journal spring can broke off.</t>
  </si>
  <si>
    <t xml:space="preserve">F540Outage #141-4 Boiler circulating water pump mechanical seal failed.  The unit </t>
  </si>
  <si>
    <t>Load Reduction #351-1 Circulating water pump was removed from service due to water</t>
  </si>
  <si>
    <t>F540Load Reduction #36U1 Main turbine #6 governor valve hydraulic actuator had a l</t>
  </si>
  <si>
    <t>F820Load Reduction #37Unit 1 was derated due to AH duct pressure maxing out, which</t>
  </si>
  <si>
    <t>F820Outage #15Unit 1 came off line due to a Primary Superheat tube leak.</t>
  </si>
  <si>
    <t>F540Load Reduction #38U1 was derated due to an EH leak on the Main Turbine #1 gove</t>
  </si>
  <si>
    <t xml:space="preserve">F540Load Reduction #39Unit 1 was derated due to an EH leak on the Main Turbine #1 </t>
  </si>
  <si>
    <t>F540Outage #16Unit 1 was removed from service due to an EH leak on the Main Turbin</t>
  </si>
  <si>
    <t>F930Outage #17Unit 1 was removed from service to replace O-rings on main turbine g</t>
  </si>
  <si>
    <t>Load Reduction #40Unit 1 was derated due to 1-3 mill feeder belt failure.  Belt wa</t>
  </si>
  <si>
    <t>Load Reduction #41Unit 1 was derated due to 1-1 mill feeder belt failure.  The bel</t>
  </si>
  <si>
    <t>Load Reduction #421-6 Mill feeder belt developed a rip.</t>
  </si>
  <si>
    <t>Load Reduction #431-3 Mill feeder plugged due to wet coal.</t>
  </si>
  <si>
    <t>Load Reduction #441-4 Mill feeder plugged due to wet coal.  Feeder belt ripped and</t>
  </si>
  <si>
    <t>Load Reduction #451-3 Mill feeder plugged due to wet coal.</t>
  </si>
  <si>
    <t xml:space="preserve">Load Reduction #461-3 Mill feeder plugged due to wet coal and not enough steam to </t>
  </si>
  <si>
    <t>Load Reduction #471-1 Mill feeder developed a hole in piping.</t>
  </si>
  <si>
    <t xml:space="preserve">Load Reduction #481-6 Feeder tail roll bearing failed and belt tracked off to one </t>
  </si>
  <si>
    <t>F540Load Reduction #491-3 Hydrogen cooler inlet leak.</t>
  </si>
  <si>
    <t>F810Load Reduction #501-1 Mill feeder had a tear in the feeder belt.</t>
  </si>
  <si>
    <t>Load Reduction #511-2 Feeder belt tore and needed to be replaced.</t>
  </si>
  <si>
    <t>Load Reduction #52#3 Hydrogen cooler LPSW return line developed a leak.</t>
  </si>
  <si>
    <t>Load Reduction #531-6 Mill feeder tripped causing the mill to trip.  Mill had to b</t>
  </si>
  <si>
    <t>Load Reduction #11-5 Mill feeder calibration and inspection.</t>
  </si>
  <si>
    <t>Outage #1The unit was removed from service to repair a water wall tube leak on "A"</t>
  </si>
  <si>
    <t xml:space="preserve">Load Reduction #21-1 BFPT control valve arm broke.  Unis is only good for 330 MWs </t>
  </si>
  <si>
    <t>F540Outage #2Unit 1 was removed from service to repair a water wall tube leak.</t>
  </si>
  <si>
    <t>Outage #3Unit 1 off line for a tube leak in the Low Temp SH section of the boiler.</t>
  </si>
  <si>
    <t>F540Outage #4Unit 1 removed from service to repair a leak in a radiant RH tube.</t>
  </si>
  <si>
    <t>F830Load Reduction #31-2 Mill feeder belt broke causing mill to trip.</t>
  </si>
  <si>
    <t>F540Outage #5Water wall tube leak on 'D' corner.</t>
  </si>
  <si>
    <t>Load Reduction #4Unit 1 Wet ash hopper slag bridged over.  High pressure washed th</t>
  </si>
  <si>
    <t xml:space="preserve">FS00Outage #6B-Side Wet Ash Hopper bridged over with slag.  Removed the unit from </t>
  </si>
  <si>
    <t>F590Load Reduction #5Unit 1 was derated for Precision to set safeties.</t>
  </si>
  <si>
    <t>F590Outage #7Unit 1 was removed from service for a Planned Outage.</t>
  </si>
  <si>
    <t xml:space="preserve">F530Load Reduction #6Removed 1-6 Mill from service to inspect and check exhauster </t>
  </si>
  <si>
    <t>F790Load Reduction #71-1 Boiler feed pump emergency bearing oil pump testing.</t>
  </si>
  <si>
    <t>F590Load Reduction #81-6 Feeder was removed from service to replace the control bo</t>
  </si>
  <si>
    <t>F090Load Reduction #9Load was reduced to stroke and calibrate the 1-5 governor val</t>
  </si>
  <si>
    <t>F830Load Reduction #101-1 Feeder plugged with wet coal.</t>
  </si>
  <si>
    <t>F830Load Reduction #111-6 Feeder clean out conveyor failed.</t>
  </si>
  <si>
    <t>Cooling tower fouling</t>
  </si>
  <si>
    <t>F590Outage #8Unit 1 was removed from service to clean the cooling tower screens.</t>
  </si>
  <si>
    <t>Load Reduction #121-6 Mill feeder belt wiper was in need of repair.</t>
  </si>
  <si>
    <t>F540Outage #9Unit was removed from service due to a Main Condenser tube leak.</t>
  </si>
  <si>
    <t>F540Outage #10GH1 was forced off line due to an economizer tube leak.</t>
  </si>
  <si>
    <t>Load Reduction #21Turbine performance.  Turbine copper deposition.</t>
  </si>
  <si>
    <t>F590Load Reduction #26OPS Took Mill 2-5 OOS to Unplug Pyrite Chute.  Plugged Chute</t>
  </si>
  <si>
    <t>Expansion joint</t>
  </si>
  <si>
    <t>Load Reduction #27Load was reduced due to high condenser backpressure.</t>
  </si>
  <si>
    <t>F540Outage #3The unit was removed from service to repair a main condenser expansio</t>
  </si>
  <si>
    <t>Load Reduction #28U2 Coal handling bus cable shorted out and tripped the feed brea</t>
  </si>
  <si>
    <t>Load Reduction #292-1 ID fan VFD tripped when coolant pump grounded out.</t>
  </si>
  <si>
    <t>F590Load Reduction #30Changing out servo on #4 control valve on main turbine.</t>
  </si>
  <si>
    <t>Load Reduction #312-1 Mill was removed from service to inspect due to noise.</t>
  </si>
  <si>
    <t>Load Reduction #32Loss of 2-2 ID fan due to coolant PLC going bad.</t>
  </si>
  <si>
    <t>Load Reduction #33Loss of 2-2 ID fan due to coolant PLC going bad and not controll</t>
  </si>
  <si>
    <t>Load Reduction #342-5 Mill had bad points and tripped when links were put back int</t>
  </si>
  <si>
    <t>F700Load Reduction #352-5 Mill burner shut off damper limit switches had wires tha</t>
  </si>
  <si>
    <t>F540Load Reduction #362-1 ID fan VFD coolant leak.  2-2 ID fan PLC change out.</t>
  </si>
  <si>
    <t>Load Reduction #372-2 Mill was making loud noise and was not performing.</t>
  </si>
  <si>
    <t>F590Outage #5Ghent 2 was removed from service for the Planned Fall Outage.</t>
  </si>
  <si>
    <t>F830Outage #6Unit 2 was forced off line to remove scaffold from 2-2 air heater.</t>
  </si>
  <si>
    <t>F590Outage #7Unit 2 was removed from service to reverse rotation of the Air Heater</t>
  </si>
  <si>
    <t>Load Reduction #382-2 Mill was making noise.  The mill was taken out of service an</t>
  </si>
  <si>
    <t>Load Reduction #392-1 Mill east journal failed due to bearings being wiped.</t>
  </si>
  <si>
    <t>Load Reduction #40Tripped 2-1 mill due to high temperature and pressure.</t>
  </si>
  <si>
    <t>F540Outage #1Unit 2 was removed from service to repair main condenser tube leaks.</t>
  </si>
  <si>
    <t>F830Load Reduction #1Boiler drum silica was high after coming back from a condense</t>
  </si>
  <si>
    <t>F830Load Reduction #22-3 Mill temperature spiked up.  Operator tripped mill causin</t>
  </si>
  <si>
    <t>F830Load Reduction #32-2 BFP seal injection OB seal water temperature controller f</t>
  </si>
  <si>
    <t>F860Outage #2U2 was removed from service to the 2-1 BCWP with spare.</t>
  </si>
  <si>
    <t xml:space="preserve">Load Reduction #4Unit 2 was derated due to high silica after start up of the unit </t>
  </si>
  <si>
    <t>F540Outage #3Unit 2 was removed from service to repair tube leaks in the aux and m</t>
  </si>
  <si>
    <t>F530Load Reduction #52-6 Mill was removed from service for a inspection.</t>
  </si>
  <si>
    <t xml:space="preserve">F530Load Reduction #62-3 Mill got hot and was removed from service to inspect for </t>
  </si>
  <si>
    <t>Load Reduction #72-3 Mill discharge temperate increased quickly.</t>
  </si>
  <si>
    <t>F540Outage #4Unit 2 was removed from service to repair a condenser tube leak.</t>
  </si>
  <si>
    <t>F540Outage #5The unit was forced off line due to a water wall tube leak.</t>
  </si>
  <si>
    <t>F540Outage #6GH2 was removed from service to repair a condenser tube leak.</t>
  </si>
  <si>
    <t>F830Load Reduction #8Load was reduced after start up of the unit due to high boile</t>
  </si>
  <si>
    <t xml:space="preserve">F590Load Reduction #92-5 Mill was removed from service to replace the primary air </t>
  </si>
  <si>
    <t>F590Load Reduction #10Planned derate to replace 2-2 BFPT vibration probe.</t>
  </si>
  <si>
    <t>F590Load Reduction #11Planned derate to replaced 2-2 Mill north journal.</t>
  </si>
  <si>
    <t>F830Outage #12Unit 3 was removed from service due to a boiler superheat tube leak.</t>
  </si>
  <si>
    <t xml:space="preserve">F590Load Reduction #103-2B ID fan was removed from service to reset the VFD.  Two </t>
  </si>
  <si>
    <t xml:space="preserve">F830Load Reduction #11U3 Boiler drum pressure was dropped until after peak due to </t>
  </si>
  <si>
    <t>F540Outage #13The unit was removed from service due to a Primary SH tube leak. The</t>
  </si>
  <si>
    <t>Load Reduction #12Operations removed 3-2 Mill from service when a coal leak develo</t>
  </si>
  <si>
    <t xml:space="preserve">F830Outage #14The unit was removed from service due to a boiler Primary Superheat </t>
  </si>
  <si>
    <t>Load Reduction #133-1A ID fan tripped when the lube oil reservoir temperature tran</t>
  </si>
  <si>
    <t>F830Outage #15U3 came off line with a Reheat tube leak.</t>
  </si>
  <si>
    <t>F540Outage #16U3 came off line on a Maintenance Outage due to a RH tube leak.</t>
  </si>
  <si>
    <t>Load Reduction #143-4 Mill was removed from service to inspect due to loud noise.</t>
  </si>
  <si>
    <t>Load Reduction #153-5 Mill upper radail bearing failed.  1-3 Mill was out of servi</t>
  </si>
  <si>
    <t>F590Outage #17Unit 3 Planned Fall Outage.</t>
  </si>
  <si>
    <t>F060Load Reduction #163-1 Feeder belt splice came apart.</t>
  </si>
  <si>
    <t>Load Reduction #173-4 Mill loaded up during start up.  Ops took the mill off and h</t>
  </si>
  <si>
    <t>F540Load Reduction #183-4B Burner line coal leak.  Removed mill from service to re</t>
  </si>
  <si>
    <t>F790Load Reduction #19Unit 3 was derated to perform SCR testing.</t>
  </si>
  <si>
    <t>F430Outage #3Generator exciter field ground detection issues resulted in a startup</t>
  </si>
  <si>
    <t>FA00Load Reduction #1Load was reduced due to high silica levels following start up</t>
  </si>
  <si>
    <t>F540Outage #4Unit 3 was forced off line due to a tube leak in the upper economizer</t>
  </si>
  <si>
    <t>F590Load Reduction #3  3-2 BFPT lockout solenoid change out.</t>
  </si>
  <si>
    <t xml:space="preserve">F350Load Reduction #144-2 Mill was OOS for CCR maintenance on pyrite system.  Ops </t>
  </si>
  <si>
    <t>F830Outage #4GH4 off line due to failure of the U4 cooling tower south distributio</t>
  </si>
  <si>
    <t>Load Reduction #15U4 lost High Pressure heaters causing the unit to derate.</t>
  </si>
  <si>
    <t>F540Outage #5Unit 4 was removed from service to repair a circulating water line le</t>
  </si>
  <si>
    <t xml:space="preserve">F540Load Reduction #16Removed HP heaters from service due to a leak on water side </t>
  </si>
  <si>
    <t>F540Outage #7Unit 4 was removed from service to repair a Circulating Water line le</t>
  </si>
  <si>
    <t>Load Reduction #17DSI was taken out of service.  The system was found to be plugge</t>
  </si>
  <si>
    <t>Load Reduction #18Not able to make Fall MW high (523).  Several CT's out of servic</t>
  </si>
  <si>
    <t>Load Reduction #194-1 A ID fan tripped while swapping lube oil filters.</t>
  </si>
  <si>
    <t>Load Reduction #20G-Heater shell side vent to condenser leak.</t>
  </si>
  <si>
    <t>Load Reduction #214-4C Ignitor wouldn't go in.</t>
  </si>
  <si>
    <t>Load Reduction #22Not able to make winter MW high (534).  Several CT's out of serv</t>
  </si>
  <si>
    <t>Load Reduction #23Not able to make winter MW high (534).  Several CT's out of serv</t>
  </si>
  <si>
    <t>Load Reduction #24Not able to make winter MW high (534).  Several CT's out of serv</t>
  </si>
  <si>
    <t>Load Reduction #1Not able to make winter MW high (534).  Several CT's out of servi</t>
  </si>
  <si>
    <t>Load Reduction #2Not able to make winter MW high due to turbine performance</t>
  </si>
  <si>
    <t>Load Reduction #3Not able to make winter MW high due to turbine performance.</t>
  </si>
  <si>
    <t xml:space="preserve">F830Load Reduction #44-5 Mill temperature was running high and tripped.  4-6 Mill </t>
  </si>
  <si>
    <t>Load Reduction #5Unit 4 is derated due to turbine performance.</t>
  </si>
  <si>
    <t>F540Load Reduction #6Unit load was reduced due to 4-2 Boiler Feed Pump Turbine hig</t>
  </si>
  <si>
    <t>F540Outage #1Unit 4 was forced off line due to 4-2 Boiler Feed Pump Turbine high p</t>
  </si>
  <si>
    <t>Load Reduction #7Not able to make full load due to turbine performance issues.</t>
  </si>
  <si>
    <t>Load Reduction #8Unable to make Spring MW high due to turbine performance issues.</t>
  </si>
  <si>
    <t>Load Reduction #9Unable to make Spring MW high due to turbine performance issues.</t>
  </si>
  <si>
    <t>Load Reduction #10Unable to make Spring MW high due to turbine performance issues.</t>
  </si>
  <si>
    <t>Load Reduction #11Unable to make Spring MW high due to turbine performance issues.</t>
  </si>
  <si>
    <t>Load Reduction #12Unable to make Spring MW high due to turbine performance issues.</t>
  </si>
  <si>
    <t>F790Load Reduction #13Reduced load to check main steam and drum safeties.</t>
  </si>
  <si>
    <t>F590Outage #2Unit 4 was removed from service for the Planned Spring Outage.</t>
  </si>
  <si>
    <t>Outage #3GH4 was removed from service due to a tube leak in the PSH area of the bo</t>
  </si>
  <si>
    <t>F700Load Reduction #144-2 Circulating water pump 4KV breaker tripped due to a shor</t>
  </si>
  <si>
    <t xml:space="preserve">F070Load Reductions #154-4 Mill lube oil pump MCC breaker coil went to ground and </t>
  </si>
  <si>
    <t>F540Boiler and condenser tube leaks repairs</t>
  </si>
  <si>
    <t>F540Boiler and condenser tube leaks (Boiler Tube Repair Time)</t>
  </si>
  <si>
    <t>F540High Silica</t>
  </si>
  <si>
    <t>F540Boiler Tube Leak - Reheat</t>
  </si>
  <si>
    <t>F790O2 Testing</t>
  </si>
  <si>
    <t>F540Repair EHC Leaks</t>
  </si>
  <si>
    <t>F3001D Coal Mill (Metal in mill)</t>
  </si>
  <si>
    <t>F820C Feeder Tripped</t>
  </si>
  <si>
    <t>F5901B Mill Inspection</t>
  </si>
  <si>
    <t>F790Heat Rate Testing</t>
  </si>
  <si>
    <t>F5901D Mill Inspection</t>
  </si>
  <si>
    <t>F590A Mill Inspection</t>
  </si>
  <si>
    <t>F7801A BFP Outboard bearing temp</t>
  </si>
  <si>
    <t>F8701A2 4kv bus-breaker would not close</t>
  </si>
  <si>
    <t>F7801A BFP Outboard Pump Bearing</t>
  </si>
  <si>
    <t>F1301A CWP Discharge Valve Stuck Closed</t>
  </si>
  <si>
    <t>F5901C Mill Maintinance</t>
  </si>
  <si>
    <t>F5901B Mill Maintenance</t>
  </si>
  <si>
    <t>F540Boiler Tube Leak</t>
  </si>
  <si>
    <t>F590'1B Mill Inspection and Feeder Calibration</t>
  </si>
  <si>
    <t xml:space="preserve">F540Condenser Tube Leak </t>
  </si>
  <si>
    <t>F170High Silica (Startup after a condenser tube leak)</t>
  </si>
  <si>
    <t>F5901B Feeder Maintenance</t>
  </si>
  <si>
    <t xml:space="preserve">F5401C Coal Leak </t>
  </si>
  <si>
    <t>F4001B Mill Feeder motor VFD replaced</t>
  </si>
  <si>
    <t>F5901B Coal Feeder Maintenance</t>
  </si>
  <si>
    <t>F5901A Coal Feeder Maintenance</t>
  </si>
  <si>
    <t>FS00Deslag</t>
  </si>
  <si>
    <t>F8201B Feeder tripping</t>
  </si>
  <si>
    <t>F5901B Feeder maintenance</t>
  </si>
  <si>
    <t>F5301C Feeder calibration and inspection</t>
  </si>
  <si>
    <t>F5901B Mill hot air gate and linkage</t>
  </si>
  <si>
    <t>F8201B Feeder Tripped</t>
  </si>
  <si>
    <t>F5901C &amp; 1D Mill Roller Adjustments</t>
  </si>
  <si>
    <t>Condenser tube fouling shell side</t>
  </si>
  <si>
    <t>FF00Condenser Fouled (High Back Pressure)</t>
  </si>
  <si>
    <t>F1201A Feeder Maintenance - Cleared debris blocking flow</t>
  </si>
  <si>
    <t xml:space="preserve">FF00Condenser Fouled - High Back Pressure </t>
  </si>
  <si>
    <t>FF00Condenser Fouled - Cleaned Tubesheets</t>
  </si>
  <si>
    <t>F3401C Feeder will not start</t>
  </si>
  <si>
    <t>F4401C Mill puffed</t>
  </si>
  <si>
    <t>F4401C Mill Puff (Event started in 2016)</t>
  </si>
  <si>
    <t>F4401C Coal Mill Puff &amp; 1A Feeder</t>
  </si>
  <si>
    <t xml:space="preserve">F4401C Mill Puff </t>
  </si>
  <si>
    <t>F170High Silica @ Warm start</t>
  </si>
  <si>
    <t>F790Low Load RATA - 215 MW</t>
  </si>
  <si>
    <t>F5901C Mill Maintenance</t>
  </si>
  <si>
    <t>F7801C Mill Burner Temperatures</t>
  </si>
  <si>
    <t xml:space="preserve">F5901D Mill Maintenance </t>
  </si>
  <si>
    <t>F540EHC Leak Repair (&amp; Condenser Dye Test)</t>
  </si>
  <si>
    <t>F5901D Mill Maintenance</t>
  </si>
  <si>
    <t>F660High Air Heater Differential (A Side)</t>
  </si>
  <si>
    <t xml:space="preserve">F660High Air Heater Differential (A Side) </t>
  </si>
  <si>
    <t>F820ID Fan Index Trip</t>
  </si>
  <si>
    <t>F660'High Air Heater Differential (A Side)</t>
  </si>
  <si>
    <t xml:space="preserve">F660Air Heater Wash </t>
  </si>
  <si>
    <t>F5901D Coal Mill Maintinance</t>
  </si>
  <si>
    <t>F590Removing BCWP an CWP from service</t>
  </si>
  <si>
    <t>F7201D Mill Hot Air Gate Issues (Sticking Open)</t>
  </si>
  <si>
    <t xml:space="preserve">F590Planned Outage - Spring 2017 </t>
  </si>
  <si>
    <t>F590Planned Outage - Spring 2017  (Extension)</t>
  </si>
  <si>
    <t>F820Drum Level Trip</t>
  </si>
  <si>
    <t>F660High Baghouse Differential</t>
  </si>
  <si>
    <t>F1201C Feeder Tripped (Foreign Material)</t>
  </si>
  <si>
    <t>F420'Loss of BCP's (Breaker Switching  Error)</t>
  </si>
  <si>
    <t>F170High Silica - Startup</t>
  </si>
  <si>
    <t>F5901C Coal Mill Maintenance</t>
  </si>
  <si>
    <t>F5901A Coal Mill Maintenance</t>
  </si>
  <si>
    <t>F590A Mill Maintenance</t>
  </si>
  <si>
    <t>F590C Mill Maintenance</t>
  </si>
  <si>
    <t>F790Heat Rate Testing (various loads)</t>
  </si>
  <si>
    <t>F590D Mill Maintenance</t>
  </si>
  <si>
    <t>F5902A Mill Maintenance</t>
  </si>
  <si>
    <t>F5302D Coal Mill Maintenance</t>
  </si>
  <si>
    <t>F540Boiler Leak Repair - Economizer</t>
  </si>
  <si>
    <t>FA00High Silica - After Startup</t>
  </si>
  <si>
    <t>F5902C Mill Maintenance</t>
  </si>
  <si>
    <t>F5902D Mill Maintenance</t>
  </si>
  <si>
    <t>F540Alterex Oil Cooler Gasket Leak - Exciter System</t>
  </si>
  <si>
    <t>F5902B Feeder Maintenance</t>
  </si>
  <si>
    <t>F540Cooling Tower Header Rupture</t>
  </si>
  <si>
    <t>F700Lost B Mill - Breaker Issue</t>
  </si>
  <si>
    <t xml:space="preserve">F590Planned Outage </t>
  </si>
  <si>
    <t>F170High silica at cold start-up</t>
  </si>
  <si>
    <t>F720#4 Control Valve Stuck Closed</t>
  </si>
  <si>
    <t>F540#4 Control Valve Stuck Closed (and WW repair)</t>
  </si>
  <si>
    <t>F790Full Load Capability Testing</t>
  </si>
  <si>
    <t>F7802A Air Heater Guide Bearing Tempeature</t>
  </si>
  <si>
    <t>F7802B Coal Mill Burner Tempeature (B4)</t>
  </si>
  <si>
    <t>F540Reheat spray line leak</t>
  </si>
  <si>
    <t>F660High Backpressure (Cond. Vac. Pump Operational Issue)</t>
  </si>
  <si>
    <t>F540RH spray line steam leak at weld</t>
  </si>
  <si>
    <t xml:space="preserve">F540Deaerator Heater Access Door Repair </t>
  </si>
  <si>
    <t>Maintenance procdure error</t>
  </si>
  <si>
    <t>FP002B BFP Unavailable (LOTO issue)</t>
  </si>
  <si>
    <t>F660Steam/Feedwater Flow Differential Running High</t>
  </si>
  <si>
    <t>F790Valve Testing</t>
  </si>
  <si>
    <t>F660HP Turbine Restriction (Under Investigation)</t>
  </si>
  <si>
    <t xml:space="preserve">F660HP Turbine Restriction </t>
  </si>
  <si>
    <t>F1202B Mill Feeder Maintenance</t>
  </si>
  <si>
    <t>F590B Mill Maint.</t>
  </si>
  <si>
    <t>F5903D PA Fan Oil Change</t>
  </si>
  <si>
    <t>F790IHR Testing</t>
  </si>
  <si>
    <t>F700D mill gas gun</t>
  </si>
  <si>
    <t>F790Unit Testing</t>
  </si>
  <si>
    <t>F5903A PA Fan Maintenance</t>
  </si>
  <si>
    <t>F790Mid Load RATA Testing</t>
  </si>
  <si>
    <t>F790Low Load RATA Testing</t>
  </si>
  <si>
    <t>F7803B Mill motor stator temperature indication</t>
  </si>
  <si>
    <t>F5903C Mill Maintenance - Change oil in PA fan and inspect feeder</t>
  </si>
  <si>
    <t>FP00Furnace Pressure Trip</t>
  </si>
  <si>
    <t>F520Could not get D6 igniter in &amp; Lost A Mill</t>
  </si>
  <si>
    <t>F790Boiler Tuning</t>
  </si>
  <si>
    <t>F820'3C Primary Air Fan Breaker</t>
  </si>
  <si>
    <t>F410'Loss of UPS &amp; Fire on 3A oxidation air compressor</t>
  </si>
  <si>
    <t>Other flue gas problems</t>
  </si>
  <si>
    <t xml:space="preserve">F0903B1 &amp; 3B2 O2 Prob Issues </t>
  </si>
  <si>
    <t>F5903B Mill PA fan air flow</t>
  </si>
  <si>
    <t>F8203A Mill and Feeder Trip</t>
  </si>
  <si>
    <t>F5903A Coal Mill Maintenance - Repaired Floor</t>
  </si>
  <si>
    <t xml:space="preserve">F490125v DC Issue - DCS Ground - Gave false HTR Flooding Indication, causing the HTRs </t>
  </si>
  <si>
    <t>F5903A Mill Maintenance</t>
  </si>
  <si>
    <t>F540TDFP Maintenance (Small steam leak at valve)</t>
  </si>
  <si>
    <t>F5903B Mill Maintenance</t>
  </si>
  <si>
    <t>F0903C Coal Feeder Calibration</t>
  </si>
  <si>
    <t xml:space="preserve">F5903D Mill Inspection </t>
  </si>
  <si>
    <t>F7803A Mill Burner Temps</t>
  </si>
  <si>
    <t>F1903A ID Fan Coolant</t>
  </si>
  <si>
    <t>F5903B Coal Mill Maintenance</t>
  </si>
  <si>
    <t>F4003A Mill PA fan dampers will not operate</t>
  </si>
  <si>
    <t>F7803A Mill burner temps too high, caused dampers to close</t>
  </si>
  <si>
    <t xml:space="preserve">F820Power Circuit Breaker Trip </t>
  </si>
  <si>
    <t>F1203A PA Fan Would Not Start (clogged sensing line)</t>
  </si>
  <si>
    <t>F820Feedwater Flow (Tripped during TDBFP Testing)</t>
  </si>
  <si>
    <t>F5903D Mill Maintenance</t>
  </si>
  <si>
    <t>F5903C Mill Maintenance</t>
  </si>
  <si>
    <t>F7903B Mill Maintenance</t>
  </si>
  <si>
    <t>F820Master Fuel Trip (Lost Flame Scanner)</t>
  </si>
  <si>
    <t>F590Scanner Tuning - Various Loads</t>
  </si>
  <si>
    <t>F530Planned Outage</t>
  </si>
  <si>
    <t>F7803A Coal Mill Fire</t>
  </si>
  <si>
    <t>F790Boiler Tuning - Various Loads</t>
  </si>
  <si>
    <t>F5903A Mill &amp; Feeder Maintenance</t>
  </si>
  <si>
    <t>F830Main Steam Non-Return Valve Packing Leak</t>
  </si>
  <si>
    <t>FF00Clean Water Coils &amp; Boiler Deslag</t>
  </si>
  <si>
    <t>F820High Drum Level (Lost B Mill)</t>
  </si>
  <si>
    <t>F820ID Fan Trip</t>
  </si>
  <si>
    <t>F7803C Mill Bearing Temperature Indication</t>
  </si>
  <si>
    <t>F0603A ID Fan Beck Drive Linkage</t>
  </si>
  <si>
    <t>F520Gas Gun Unavailable - Vent Line Issue</t>
  </si>
  <si>
    <t>F0603C Coal Mill</t>
  </si>
  <si>
    <t>F0603C Feeder Belt</t>
  </si>
  <si>
    <t>F490Lost two mills (A&amp;C) - Power to lube oil lost(Grounded 480V Transformer 4A1)</t>
  </si>
  <si>
    <t>FS00Boiler Deslag</t>
  </si>
  <si>
    <t xml:space="preserve">F830Boiler tube leak - superheater </t>
  </si>
  <si>
    <t xml:space="preserve">F820'Trip - Loss of Fuel </t>
  </si>
  <si>
    <t>F630'TDBFP Recirc Valve Stuck Open</t>
  </si>
  <si>
    <t xml:space="preserve">F590Planned Outage Extension </t>
  </si>
  <si>
    <t>F410A Mill Breaker</t>
  </si>
  <si>
    <t>F780C Mill PA Fan Bearing Temperature Spiked</t>
  </si>
  <si>
    <t>F120Air Fuel Flow Issues</t>
  </si>
  <si>
    <t xml:space="preserve">F790Set Safeties </t>
  </si>
  <si>
    <t>F430Dearator Level Transmitter</t>
  </si>
  <si>
    <t>F820Lost 4A/4B Mill feeders</t>
  </si>
  <si>
    <t>F720Air flow issues</t>
  </si>
  <si>
    <t>F5504E Feeder belt slipping</t>
  </si>
  <si>
    <t>F8204C Feeder Tripped</t>
  </si>
  <si>
    <t>F170High Silica From Statup</t>
  </si>
  <si>
    <t>F170High Silica From Startup</t>
  </si>
  <si>
    <t>F7903 Mill Testing - Boiler Tuning</t>
  </si>
  <si>
    <t>F790Mill Testing - Boiler Tuning</t>
  </si>
  <si>
    <t>F790Full Load Boiler Tuning</t>
  </si>
  <si>
    <t>F820Trip During Valve Testing (Under Investigation)</t>
  </si>
  <si>
    <t>F170Boiler Chemistry - High Silica After Startup</t>
  </si>
  <si>
    <t>F4104C PA Fan breaker issue &amp; 4D-10 igniter malfunctioning</t>
  </si>
  <si>
    <t>F170High Silica From Startup and Scanner Issues</t>
  </si>
  <si>
    <t xml:space="preserve">F820Generator Lockout Trip (Electrical Ground Indication) </t>
  </si>
  <si>
    <t>F790Turbine Valve Testing</t>
  </si>
  <si>
    <t xml:space="preserve">F820Trip During Valve Testing </t>
  </si>
  <si>
    <t>F820Drum Level Trip (During Main Stop Valve Testing)</t>
  </si>
  <si>
    <t>F610Reheat and Stop Valve Maintenance</t>
  </si>
  <si>
    <t xml:space="preserve">F820Generator Lockout Trip </t>
  </si>
  <si>
    <t>F540High Silica - Suspected Condenser Leak</t>
  </si>
  <si>
    <t>F520Coal Swing Valves</t>
  </si>
  <si>
    <t>F540High Silica - Condenser Leak</t>
  </si>
  <si>
    <t>F830Condenser Leak</t>
  </si>
  <si>
    <t>F540High Silica - Startup After Condenser Leak</t>
  </si>
  <si>
    <t>F540High Silica - Startup After Condenser Leak (A,E &amp; D Mill Issues)</t>
  </si>
  <si>
    <t>F540High Silica - Startup After Condenser Leak (A Mill Issue)</t>
  </si>
  <si>
    <t xml:space="preserve">F540High Silica - Startup After Condenser Leak </t>
  </si>
  <si>
    <t>FR001F Mill caught on fire and 1B Mill was put in service. 1B was taken out of service</t>
  </si>
  <si>
    <t xml:space="preserve">FR001F Mill caught on fire, after being cooled and put in service. 1C Mill was put in </t>
  </si>
  <si>
    <t>FR00The B Mill caught on fire, reducing the number of available coal mills and placing</t>
  </si>
  <si>
    <t>FR00The 1B mill caught fire which resulted in a unit derate while the equipment was un</t>
  </si>
  <si>
    <t>F060Main Steam Non-Return/Superheat Stop valve component failed and the valve has been</t>
  </si>
  <si>
    <t xml:space="preserve">F660No coal on the 1D Feeder, The 1D Coal Feeder lost coal on the feeder belt and had </t>
  </si>
  <si>
    <t>FR001C Coal Mill caught fire and was removed from service, resulting in a unit derate.</t>
  </si>
  <si>
    <t>FR001F Coal Mill was removed from service due to a mill fire, resulting in a unit dera</t>
  </si>
  <si>
    <t>FR001F Mill caught fire resulting in a unit derate.</t>
  </si>
  <si>
    <t>F780Water from a hydroveyor gasket leak caused the MCC suppling power to the Air Heate</t>
  </si>
  <si>
    <t>FR001F Mill caught on fire and was removed from service.</t>
  </si>
  <si>
    <t>F060Derate due to water spraying up the boiler slope due to a broken bottom ash jet pu</t>
  </si>
  <si>
    <t>FR00The 1B Coal Mill was taken out of service due to a mill fire.</t>
  </si>
  <si>
    <t>FR00The 1F Coal Mill was taken out of service due to a mill fire.</t>
  </si>
  <si>
    <t>Wet coal (not outside management control)</t>
  </si>
  <si>
    <t>FW00Derate due to wet fuel supply.</t>
  </si>
  <si>
    <t>FR00The 1B Mill caught fire, resulting in a derate.</t>
  </si>
  <si>
    <t>F170The #3 Main Steam Control valve's servo feedback was showing an incorrect value po</t>
  </si>
  <si>
    <t xml:space="preserve">F170Due to the issues with the #3 Main Steam Control valve servo (TC1 Event 83), load </t>
  </si>
  <si>
    <t xml:space="preserve">F340TC1 ID Fan communication module failed and did not switch over to the backup. The </t>
  </si>
  <si>
    <t>F790This Non-Curtailing event was for Incremental Heat Rate testing of the unit. The u</t>
  </si>
  <si>
    <t>F330A 120 VAC limit switch shorted and the circuit breaker remained closed. The distri</t>
  </si>
  <si>
    <t>F660Unit was placed on a derate due to the 1A Coal Mill being out of service. A faulty</t>
  </si>
  <si>
    <t>FR00The unit was placed on a derate when the 1F Coal Mill caught fire and was taken ou</t>
  </si>
  <si>
    <t xml:space="preserve">FV00The 1E Pulverizer was fed with a large concentration of pyrites and was unable to </t>
  </si>
  <si>
    <t>FR001F Coal Mill caught fire, resulting in a derate.</t>
  </si>
  <si>
    <t>FP00Due to issues controlling a coal feeder rate, the airflow to the boiler increased,</t>
  </si>
  <si>
    <t>F790Non-curtailing derate for scheduled unit Heat Rate testing. The unit was available</t>
  </si>
  <si>
    <t>F790Planned derate for scheduled unit Heat Rate testing.</t>
  </si>
  <si>
    <t>F790Non-curtailing event for a RATA test, an audit of the unit's CEMS monitors. The un</t>
  </si>
  <si>
    <t>F160The 1A PA Fan inlet vane damper drive had a faulty circuit board, which resulted i</t>
  </si>
  <si>
    <t>F590Planned Outage with multiple outage scopes, with a focus on TC1 ID Fan VFD work an</t>
  </si>
  <si>
    <t>F340A DCS Controller failed and rebooted while its backup was also out of service. The</t>
  </si>
  <si>
    <t>FR00The F4 Burner caught fire, resulting in the mill being taken out of service. The u</t>
  </si>
  <si>
    <t>F600A DCS card failed, resulting in a loss of I/O control of the ID fan system. The ca</t>
  </si>
  <si>
    <t>FR00The unit was derated when the B2 burner caught fire and we had to remove that mill</t>
  </si>
  <si>
    <t>FR00Load was further reduced due to burner fire until replacement mill could be placed</t>
  </si>
  <si>
    <t>F340The 1A Mill discharge valves closed, which required a shutdown of the mill. The un</t>
  </si>
  <si>
    <t>F5401A Mill had a coal leak at the conduit discharge valve. The unit was on a derate u</t>
  </si>
  <si>
    <t>F780The 1B Mill temperature became too high causing it to be taken out of service. Add</t>
  </si>
  <si>
    <t>F520The 1A ID Fan VFD tripped on low coolant flow. A flow transmitter was reading a ze</t>
  </si>
  <si>
    <t>FR00The unit was placed on a derate as a result of the 1B Mill catching fire.</t>
  </si>
  <si>
    <t>FR00The unit was placed on a derate due to a fire in the 1F Mill.</t>
  </si>
  <si>
    <t>Weigh feeders B</t>
  </si>
  <si>
    <t>F340The limestone rock silo had bolt failures, causing it to rest against the feeder a</t>
  </si>
  <si>
    <t xml:space="preserve">FR00The 1F Mill caught fire and was taken out of service. At this time, the 1B and 1D </t>
  </si>
  <si>
    <t>FR00The 1F Mill caught fire and was taken out of service. At this time the 1B and 1D M</t>
  </si>
  <si>
    <t>F790Non-curtailing event for HCl/SO3 removal level testing. The unit was available dur</t>
  </si>
  <si>
    <t>F790Non-curtailing event for HCl/SO3 removal levels testing. The testing did not effec</t>
  </si>
  <si>
    <t>FR00The 1F Mill caught fire and was taken out of service. At this time, the 1B Mill wa</t>
  </si>
  <si>
    <t>FR00The 1B Mill caught fire and was taken out of service. At this time, the 1F was als</t>
  </si>
  <si>
    <t>F490When placing a start on the AB oil guns, a ground fault went back to the Burner Ma</t>
  </si>
  <si>
    <t>F780The unit was placed on a derate when the 1E Mill temperature went high. The mill w</t>
  </si>
  <si>
    <t>FR00The unit was placed on a derate when the 1B Mill temperature went high and the mil</t>
  </si>
  <si>
    <t xml:space="preserve">FR00The unit was placed on a derate when the 1B Mill caught fire. It was removed from </t>
  </si>
  <si>
    <t>FR00The unit was placed on a derate when the 1F Mill had a fire in the seal ring heade</t>
  </si>
  <si>
    <t>F520The 1C Mill Feeder tripped due to the tachometer speed switch not operating correc</t>
  </si>
  <si>
    <t>F790Non-Curtailing Event for Unit Winter Capability testing. The unit was available fo</t>
  </si>
  <si>
    <t>FR00The unit was placed on a derate when the 1F Coal Mill caught fire. The 1F Mill was</t>
  </si>
  <si>
    <t>F780The unit was placed on a derate when the 1B Coal Mill caught fire. The 1B Mill was</t>
  </si>
  <si>
    <t>F780The unit was placed on a derate when the 1F Coal Mill caught fire. The 1F Mill was</t>
  </si>
  <si>
    <t>F690The 1B Coal Feeder belt was not moving. The 1B Mill was taken out of service and t</t>
  </si>
  <si>
    <t>F540Load was dropped on the unit to reduce heat in the boiler and therefore the need f</t>
  </si>
  <si>
    <t>F660The unit was deraed when arflow issues occured during a coal mill startup. Once th</t>
  </si>
  <si>
    <t>F780The unit was placed on a derate when the 1F Coal Mill caught fire. The 1BFMill was</t>
  </si>
  <si>
    <t>F590The unit was placed on a Planned Outage for multiple maintenance scopes. The criti</t>
  </si>
  <si>
    <t xml:space="preserve">F540The unit was taken offline and placed on a Forced Outage for repairs on a leaking </t>
  </si>
  <si>
    <t>F540The unit was placed on a Forced Outage for repairs to an identified tube leak.</t>
  </si>
  <si>
    <t>F300The unit was placed on a derate when the 1B Coal Feeder tripped due to debris on t</t>
  </si>
  <si>
    <t>F660The 1C and 1D Mills both experienced high bowl DP and load was dropped to accommod</t>
  </si>
  <si>
    <t xml:space="preserve">F780The unit was placed on a derate when the1D Mill temperature went high, and it was </t>
  </si>
  <si>
    <t>F790The unit was placed on a Planned Derate for SCR Catalyst testing at reduced loads.</t>
  </si>
  <si>
    <t>F780The unit was placed on a derate when the 1B Mill temperature went high, and was re</t>
  </si>
  <si>
    <t xml:space="preserve">F780The unit was placed on a derate when the 1B Mill temperature went high and the 1F </t>
  </si>
  <si>
    <t xml:space="preserve">F130The 1A Mill tripped due to the closing of the mill discharge valve. The valve was </t>
  </si>
  <si>
    <t>F790This event documents a Non-Curtailing event for SCR Catalyst testing at full load.</t>
  </si>
  <si>
    <t>F120Planned Derate for replacement of the servo block on the #2 Main Steam Stop Valve.</t>
  </si>
  <si>
    <t>F780The unit was placed on a derate when the 1B Mill caught on fire. The 1F Mill was t</t>
  </si>
  <si>
    <t>F540The unit was placed on a Maintenance Outage for a repairs on an identified tube le</t>
  </si>
  <si>
    <t xml:space="preserve">F780The unit was placed on a Derate due to elevated Closed Cooling Water temperature. </t>
  </si>
  <si>
    <t xml:space="preserve">F520The 1A ID Fan tripped on high Flue Gas temperature. The root cause appeared to be </t>
  </si>
  <si>
    <t>F540The unit was placed on a Planned Derate to address a leak on the B Superheat Spray</t>
  </si>
  <si>
    <t>F520The unit was placed on a Derate when the Generator Main Seal Oil Pumps tripped, re</t>
  </si>
  <si>
    <t>F540Maintenance Outage for the repair of an identified waterwall tube leak.</t>
  </si>
  <si>
    <t>FA00The unit was placed on a derate for silica levels in the condensate.</t>
  </si>
  <si>
    <t>F660Mill swap from 2B to 2D Coal Mills resulted in a unit derate.</t>
  </si>
  <si>
    <t>F660Problems with the 2D and 2C coal mills contributed to a derate while swapping mill</t>
  </si>
  <si>
    <t>FR00Both 2D and 2E coal mills were unavailable at this time due to fires.</t>
  </si>
  <si>
    <t>FR00Derate for continued problems with D Mill fires.</t>
  </si>
  <si>
    <t>FR00The unit was on a derated status due to the 2D Mill catching on fire.</t>
  </si>
  <si>
    <t>FR00Further derated status due to continued problems with the 2D Mill fire.</t>
  </si>
  <si>
    <t>F870High vibration levels on Turbine-Generator bearing #9  caused the unit to be place</t>
  </si>
  <si>
    <t xml:space="preserve">F870High vibration levels on Turbine-Generator bearing #9 caused the unit to be taken </t>
  </si>
  <si>
    <t>F870Unit continued to have problems with bearing #9 vibration and tripped on low steam</t>
  </si>
  <si>
    <t>F420Unit was unable to startup due to missing components, the secondary fuses were not</t>
  </si>
  <si>
    <t xml:space="preserve">F660The unit tripped due to low FW flow. </t>
  </si>
  <si>
    <t>FE00Unit load was held due to CO emission levels and O2 probe problems.</t>
  </si>
  <si>
    <t xml:space="preserve">F520The unit tripped due to a malfunctioned vibration sensor. The unit stayed offline </t>
  </si>
  <si>
    <t>F340A problem with the 2F Coal Mill classifiers caused an derate when trying to swap m</t>
  </si>
  <si>
    <t>FP00The unit came offline due to the loss of the 2A Main Air Heater drive motor during</t>
  </si>
  <si>
    <t>F340When transferring the 14kV 2B bus to the 2B Main Aux main breaker the 14kV 2B main</t>
  </si>
  <si>
    <t>F790Non-curtailing derate for SCR tuning during full load.</t>
  </si>
  <si>
    <t>F790Non-curtailing derate for unit heat rate testing.</t>
  </si>
  <si>
    <t>FS00Planned derate for boiler deslag.</t>
  </si>
  <si>
    <t>FS00The unit was placed on a Planned Derate for routine boiler deslag.</t>
  </si>
  <si>
    <t>FS00Planned Derate for routine boiler deslag and safety valve setting.</t>
  </si>
  <si>
    <t>F610Load was dropped due to a mill swap and temperature control on the unit. The spare</t>
  </si>
  <si>
    <t>F280Unit was placed on a planned derate to repair a cracked nipple connection on the 7</t>
  </si>
  <si>
    <t>FS00Unit was placed on a Planned Derate for a boiler deslag.</t>
  </si>
  <si>
    <t>FS00The unit was placed on a Planned Derate for a routine boiler deslag.</t>
  </si>
  <si>
    <t>F400A problem with the B Main Steam Control Vavle positioning feedback sensor caused a</t>
  </si>
  <si>
    <t>FS00The unit was placed on a planned derate for a scheduled boiler deslag.</t>
  </si>
  <si>
    <t>F160The unit was tripped when a plug on a Primary Air transmitter reference line vibra</t>
  </si>
  <si>
    <t>FS00The unit was placed on a planned derate for routine boiler deslag.</t>
  </si>
  <si>
    <t>F790Planned Derate for Incremental Heat Rate curve testing. During this time, a boiler</t>
  </si>
  <si>
    <t>F340The 2B Main Steam control valve had an additional LVDT fail, resulting in one of t</t>
  </si>
  <si>
    <t>F340Continued problems with the 2B Main Steam control valve  LVDT's. After jumpering t</t>
  </si>
  <si>
    <t>FS00Planned Derate for boiler deslag.</t>
  </si>
  <si>
    <t>F340The 2F Coal Mill breaker was not engaging and the unit was placed on a derate whil</t>
  </si>
  <si>
    <t>FS00The unit was on a Planned Derate for a routine boiler deslag.</t>
  </si>
  <si>
    <t xml:space="preserve">F520When coming back to normal operation from deslag, issues with the 2C and 2F Mills </t>
  </si>
  <si>
    <t>FS00Planned Derate for a routine boiler deslag.</t>
  </si>
  <si>
    <t>F860When coming back up to full load from the routine deslag, the third and final LVDT</t>
  </si>
  <si>
    <t>F400While coming back online, the Feedwater Discharge valve closed and the unit trippe</t>
  </si>
  <si>
    <t xml:space="preserve">F400Continued issues with feedwater flow as the unit was coming back online. The unit </t>
  </si>
  <si>
    <t xml:space="preserve">F340The unit was held at a derate while sorting through the past LVDT issues on the # </t>
  </si>
  <si>
    <t>FS00The unit was on a Planned Derate for routine boiler deslag.</t>
  </si>
  <si>
    <t>FS00Planned Derate for routine boiler deslag.</t>
  </si>
  <si>
    <t>FS00The unit was placed on a Planned Derate for routine boiler deslagging.</t>
  </si>
  <si>
    <t>F120The 2A Coal Mill Primary Air transmitter was plugged and caused the mill to trip o</t>
  </si>
  <si>
    <t xml:space="preserve">F780While the unit was still on a derate due to the Reactant Prep issues, the 2E Mill </t>
  </si>
  <si>
    <t>F120The unit was on a derate due to having only four of the six coal mills available f</t>
  </si>
  <si>
    <t>F660The unit was placed on a derate to keep the A FD Fan from reaching its stall point</t>
  </si>
  <si>
    <t>F660The unit was placed on a derate to swap coal mills. This was done due to airflow r</t>
  </si>
  <si>
    <t xml:space="preserve">F790Non-curtailing event for HCl/SO3 removal levels testing. The unit was derated due </t>
  </si>
  <si>
    <t>FC00The unit was placed on a Maintenance Outage for Air Heater washing to remedy the e</t>
  </si>
  <si>
    <t>F120The unit was placed on a derate when the 2F Mill needed to be taken out of service</t>
  </si>
  <si>
    <t>F790Non-curtailing event for a Unit Capability Test while the unit was available for f</t>
  </si>
  <si>
    <t xml:space="preserve">F340The 2C Mill began to have performance issues, and an additional mill was prepared </t>
  </si>
  <si>
    <t>F340The unit was placed on a derate due to faulty controls in the Submerged Scraper Co</t>
  </si>
  <si>
    <t>F340The unit was placed on a Forced Outage due to the previous event involving the Sub</t>
  </si>
  <si>
    <t>F540A water leak from the roof of the turbine building ran onto the TC2 Exciter Transf</t>
  </si>
  <si>
    <t>F590Planned 2017 Spring Outage for TC2 with multiple scopes in progress. A primary sco</t>
  </si>
  <si>
    <t>F790Planned Extension for testing on the newly installed Gas Igniter system.</t>
  </si>
  <si>
    <t>O2 analyzer problems</t>
  </si>
  <si>
    <t>F520The unit was placed on a derate when C0 readings were out of acceptable ranges. Th</t>
  </si>
  <si>
    <t>F790The unit was available for full load during a Non-Curtailing SCR testing event.</t>
  </si>
  <si>
    <t>FS00The unit was placed on a derate for boiler deslagging.</t>
  </si>
  <si>
    <t>F540The unit was placed on a Forced Outage for repairs to identified tube leaks.</t>
  </si>
  <si>
    <t>F400During startup, the Deaerator level went low and load was dropped until an accepta</t>
  </si>
  <si>
    <t>LP heater head leaks</t>
  </si>
  <si>
    <t>F540Load was dropped to isolate the 6A Heater head to address head bolt issues.</t>
  </si>
  <si>
    <t>F540The unit was placed on a derate due to low Deaerator level. The DA level was influ</t>
  </si>
  <si>
    <t>F850Due to high vibration levels in the outboard bearing of the 2A ID Fan, load was dr</t>
  </si>
  <si>
    <t>F520The A TDBFP tripped after receiving incorrect flow feedback from the DCS, tripping</t>
  </si>
  <si>
    <t>FV00The unit tripped when it experienced a loss of feedwater flow due to a trip on the</t>
  </si>
  <si>
    <t>F870The Generator Differential alarm came in and caused the unit to fail to start.</t>
  </si>
  <si>
    <t xml:space="preserve">FU00The A TDBFP was out of service during this timeframe. The unit ran with the MDBFP </t>
  </si>
  <si>
    <t xml:space="preserve">FV00During this timeframe, the A TDBFP was out of service. In addition, the MDBFP was </t>
  </si>
  <si>
    <t>F790The unit was placed on a Planned Derate for testing of the repaired 2A TDBFP.</t>
  </si>
  <si>
    <t>FS00Planned Derate for routine boiler deslagging.</t>
  </si>
  <si>
    <t>Faulty cable on trip circuit between generator control and OCB</t>
  </si>
  <si>
    <t>Faulty cable on trip circuit between genetator control and OCB</t>
  </si>
  <si>
    <t>Condenser tube fouling tube side</t>
  </si>
  <si>
    <t>Inspect condenser water boxes</t>
  </si>
  <si>
    <t>FX00Loss of Brown North transmission lines protective ralaying.</t>
  </si>
  <si>
    <t>Main turbine turning gear motor failure</t>
  </si>
  <si>
    <t>1-1 mill primary air fan IB bearing failed</t>
  </si>
  <si>
    <t>EHC fluid leak on left side throttle valve</t>
  </si>
  <si>
    <t>1-2 BFP 2300V breaker failure</t>
  </si>
  <si>
    <t>De-slag boiler</t>
  </si>
  <si>
    <t>High ash content</t>
  </si>
  <si>
    <t>Combustion &amp; slagging issues. Unit available for full load if needed.</t>
  </si>
  <si>
    <t xml:space="preserve">Inspect precipitator </t>
  </si>
  <si>
    <t>Waterwall tube leak east side</t>
  </si>
  <si>
    <t>Lube oil pump drive</t>
  </si>
  <si>
    <t xml:space="preserve">Turbine auxiliary oil pump motor locked up </t>
  </si>
  <si>
    <t>Hydraulic system pumps</t>
  </si>
  <si>
    <t xml:space="preserve">F340EH accumulator issue prevented turbine latching </t>
  </si>
  <si>
    <t xml:space="preserve">F540Boiler leak at mud drum header. Loss of drum level (Dry). </t>
  </si>
  <si>
    <t>Check main condenser for possible tube leak</t>
  </si>
  <si>
    <t>FX00Loss of protective relaying for Brown North transmission lines.</t>
  </si>
  <si>
    <t>2-2 circulating water pump bearing problem</t>
  </si>
  <si>
    <t>2-1 BFP failed to start</t>
  </si>
  <si>
    <t>Boiler trip due to upset when losing air preheating coils</t>
  </si>
  <si>
    <t>2B main feed brekaer inspection</t>
  </si>
  <si>
    <t>F0602-4 Mill had a broken roll.</t>
  </si>
  <si>
    <t>F830Lost power to scrubber facility</t>
  </si>
  <si>
    <t>F0602-3 mill feeder belt broken and needed repair.</t>
  </si>
  <si>
    <t>Broken pyrite scrapper 3-4 mill</t>
  </si>
  <si>
    <t>Broken pyrite scrapper 3-2 mill</t>
  </si>
  <si>
    <t>F7803-1 FD FAN MOTOR IB BEARING TEMP HIGH</t>
  </si>
  <si>
    <t>Repair potential RH leak</t>
  </si>
  <si>
    <t>BFPT gland steam desuperheater plugged. cannot control temperature</t>
  </si>
  <si>
    <t>F8203-1 Mill breaker would not close in fully/tripping back out.</t>
  </si>
  <si>
    <t>Replace 3-2 mill north door</t>
  </si>
  <si>
    <t>Economizer tube leak</t>
  </si>
  <si>
    <t>FX00loss of Brown North transmission lines protective relaying.</t>
  </si>
  <si>
    <t>3-2 BFP trip causing boiler upset</t>
  </si>
  <si>
    <t>Repair steam leak on 3-2 BFP</t>
  </si>
  <si>
    <t>F5403-2 BFP steam leak causing pump to trip</t>
  </si>
  <si>
    <t>Replace spray ring header in ash hopper</t>
  </si>
  <si>
    <t>Repair leaking joints on 3-1 BFP LP steam supply line</t>
  </si>
  <si>
    <t>Lost oil guns on unit startup</t>
  </si>
  <si>
    <t>3-3 mill broken vertical shaft</t>
  </si>
  <si>
    <t>H conveyor failure to start</t>
  </si>
  <si>
    <t>3-3 Pulv broken vertical shaft</t>
  </si>
  <si>
    <t>Boiler leak in lower waterwall above ash hopper</t>
  </si>
  <si>
    <t>Various leak repairs in reheat section of boiler</t>
  </si>
  <si>
    <t>Boiler trip while removing oil guns. Natural draft purge required</t>
  </si>
  <si>
    <t>3-2 air heater stopped rotating</t>
  </si>
  <si>
    <t>Circulating water piping fouling</t>
  </si>
  <si>
    <t>Clean 3-2 BFP CW lines</t>
  </si>
  <si>
    <t>Repair 3A cond heater tube leak</t>
  </si>
  <si>
    <t>Inspect 3-3 mill due to excessive vibration</t>
  </si>
  <si>
    <t>F820Generator lockout due to 60 fl vt fuse loss grnd neut. overcurrent 86u 3-1 86u 3-2</t>
  </si>
  <si>
    <t>Bad Potential transformer preventing sync</t>
  </si>
  <si>
    <t xml:space="preserve">F820Ground fault on 3-1 ID fan </t>
  </si>
  <si>
    <t xml:space="preserve">RATA Testing </t>
  </si>
  <si>
    <t xml:space="preserve">F790RATA testing </t>
  </si>
  <si>
    <t xml:space="preserve">F5903-2 Mill gear inspection </t>
  </si>
  <si>
    <t>Mechanical failures</t>
  </si>
  <si>
    <t>F130Turbine left side throttle valve closed on valve test and would not re open.</t>
  </si>
  <si>
    <t>Miscellaneous regulatory (this code is primarily intended for use with event contribution code 2 to indicate that a regulatory-related factor contributed to the primary cause of the event)</t>
  </si>
  <si>
    <t>F790BR3 MATS test (300 MW)</t>
  </si>
  <si>
    <t>FW00Wet coal causes feeder trip due to serve pluggage on 3-4 mill and resulted in a MF</t>
  </si>
  <si>
    <t>F540Outage #11Unit 1 was removed from service due to a reheat tube leak in the boi</t>
  </si>
  <si>
    <t>F540Outage #12Reheat boiler tube leak repairs extended beyond 7/10/17 @ 0000.</t>
  </si>
  <si>
    <t>Load Reduction #13Load was reduced due to having both LP heaters out of service.</t>
  </si>
  <si>
    <t>F040Load Reduction #141-2 Mill exhauster bearing replacement.</t>
  </si>
  <si>
    <t xml:space="preserve">F090Load Reduction #15Calibration of U1 feeders: 1-1, 1-2, -13 and 1-5.  </t>
  </si>
  <si>
    <t>F590Load Reduction #161-6 Mill was out of service to install the zero speed cover.</t>
  </si>
  <si>
    <t>F530Load Reduction #171-2 Mill was removed from service for an inspection due to k</t>
  </si>
  <si>
    <t>Load Reduction #191-6 Mill feeder belt shifted to one side and tripped the feeder.</t>
  </si>
  <si>
    <t>Load Reduction #201-5 Mill temperatures became high and 1-2 Mill was already out o</t>
  </si>
  <si>
    <t xml:space="preserve">Load Reduction #211-2 Mill is out of service due to a broken veritical shaft.  </t>
  </si>
  <si>
    <t>F540Outage #14The Reserve Outage was changed to a Maintenance Outage to repair con</t>
  </si>
  <si>
    <t>F090Load Reduction #221-1 BFP HP control valve out of calibration.</t>
  </si>
  <si>
    <t>Load Reduction #231-2 Feeder tach input alarm came in.  Electricians found a large</t>
  </si>
  <si>
    <t>F530Load Reduction #241-1 Mill was removed from service due to noise in pyrite sec</t>
  </si>
  <si>
    <t xml:space="preserve">F090Load Reduction #25Calibration of 1-6 feeder. </t>
  </si>
  <si>
    <t xml:space="preserve">F830Load Reduction #271-6 Feeder circut board Issues. </t>
  </si>
  <si>
    <t>Forced draft fan dampers</t>
  </si>
  <si>
    <t xml:space="preserve">F930Load Reduction #281-2 FD Fan inlet vane drive had a striped gear. </t>
  </si>
  <si>
    <t>F540Outage #16 GH1 was forced offline due to water wall tube leak on 4th elevation</t>
  </si>
  <si>
    <t xml:space="preserve">FS00Load Reduction #28Unit 1 had heavy slag build up around IK 6, </t>
  </si>
  <si>
    <t xml:space="preserve">FS00Load Reduction #29Unit 1 was derated due to boiler de-slag. </t>
  </si>
  <si>
    <t xml:space="preserve">F830Load Reduction #301-2 BFP vibration derated Unit 1. </t>
  </si>
  <si>
    <t xml:space="preserve">F830Load Reduction #311-3 Coal feeder plugged. </t>
  </si>
  <si>
    <t xml:space="preserve">F830Load Reduction #351-3 coal feeder plugged causing derate. </t>
  </si>
  <si>
    <t xml:space="preserve">FS00Load Reduction #32GH1 was derated due to boiler slagging. </t>
  </si>
  <si>
    <t xml:space="preserve">F830Load Reduction #331-3 coal mill feeder plugged. </t>
  </si>
  <si>
    <t>Load Reduction #341-1 and 1-4 mills were removed from service to remove metal from</t>
  </si>
  <si>
    <t>F830Load Reduction #361-4 mill feeder would not calibrate last night. Found belt t</t>
  </si>
  <si>
    <t>F830Load Reduction #1U-1 boiler deslag.</t>
  </si>
  <si>
    <t>F830Load Reduction #2U-1 planned deslag.</t>
  </si>
  <si>
    <t xml:space="preserve">F590Load Reduction #3Planned derate for 1-6 feeder repairs.  </t>
  </si>
  <si>
    <t xml:space="preserve">F830Load Reduction #4Slagging of the boiler in the wet ash pit.  </t>
  </si>
  <si>
    <t>F530Load Reduction #5Planned Derate for pre-outage mill inspection of 1-1 &amp; 1-6 mi</t>
  </si>
  <si>
    <t>F530Load Reduction #6Pre-outage mill inspections 1-2 &amp; 1-3.</t>
  </si>
  <si>
    <t>F530Load Reduction #7Pre-outage mill inspections 1-4 &amp; 1-5.</t>
  </si>
  <si>
    <t>F590Load Reduction #8Cleaned mill Peto tubes..</t>
  </si>
  <si>
    <t>F590Load Reduction #91-5 millhad a piece of concrete in the grinding section.</t>
  </si>
  <si>
    <t>F820Load Reduction #101-6 pulverizer loaded up when being placed in service.  Furn</t>
  </si>
  <si>
    <t>Outage #1Loss of ID fans due to furance pressure caused a flame out of the boiler.</t>
  </si>
  <si>
    <t>F820Load Reduction #11Loss of 3 ID fans.</t>
  </si>
  <si>
    <t xml:space="preserve">F820Load Reduction #121-1A ID fan out of service.  </t>
  </si>
  <si>
    <t>Outage #2Unit was removed from service due to a water wall leak on 7th floor.</t>
  </si>
  <si>
    <t>HP Extraction steam piping</t>
  </si>
  <si>
    <t>Outage #4Unit was placed on a forced outage due to a drain line broken off the ext</t>
  </si>
  <si>
    <t xml:space="preserve">F590Outage #6Unit 1 was moved from Reserve Shutdown and placed on Planned Outage. </t>
  </si>
  <si>
    <t xml:space="preserve">F590Outage #7 Unit 1 was placed on a Planned Outage extension.  </t>
  </si>
  <si>
    <t>Air supply duct expansion joints</t>
  </si>
  <si>
    <t>F540Load Reduction #13Reduced load to repair wind box leak on 6 1/2 floor D corner</t>
  </si>
  <si>
    <t>F530Load Reduction #141-1 coal mill maintenance inspection due to poor coal finene</t>
  </si>
  <si>
    <t>F590Load Reduction #151-1 BFPT EOP low pressure switch repair.</t>
  </si>
  <si>
    <t>Load Reduction #122-6C Burner line fire next to windbox.</t>
  </si>
  <si>
    <t>Load Reduction #132-1 ID Fan cooling pump tripped due to lightning strike.</t>
  </si>
  <si>
    <t>Load Reduction #142-2 BFPT won't reset due to a bad LVDT card in DCS.</t>
  </si>
  <si>
    <t>Load Reduction #152-2 Mill feeder had a piece of rebar stuck in the feeder belt.</t>
  </si>
  <si>
    <t>F590Load Reduction #16Removed and relocated air flow transmitter on 2-5 mill.</t>
  </si>
  <si>
    <t>F060Load Reduction #172-2 Mill feeder belt replacement.</t>
  </si>
  <si>
    <t>F090Load Reduction #182-1 Mill inspection and feeder calibration.</t>
  </si>
  <si>
    <t>Load Reduction #192-2 Mill was removed from service to remove a piece of metal fro</t>
  </si>
  <si>
    <t>F540Outage #9Reserve Outage changed to a Maintenance Outage to repair Condenser Tu</t>
  </si>
  <si>
    <t>Load Reduction #202-2 Mill was removed from service due to high amps and overheati</t>
  </si>
  <si>
    <t xml:space="preserve">Load Reduction #21Contractors erecting scaffolding knocked an oil line off on the </t>
  </si>
  <si>
    <t>F540Load Reduction #22Load was reduced due to WW Tube Leak on east wall.*Capac</t>
  </si>
  <si>
    <t>F540Outage # 11Water wall tube leak on east wall.</t>
  </si>
  <si>
    <t xml:space="preserve">Load Reduction # 232-2 ID Fan VFD trailer UPS went to ground tripping fan. </t>
  </si>
  <si>
    <t>F820Load Reduction # 242-2 ID Fan VFD trailer UPS went to ground tripping fan.</t>
  </si>
  <si>
    <t xml:space="preserve">F830Load Reduction #252-5 Coal Mill Journal issues. </t>
  </si>
  <si>
    <t xml:space="preserve">F830Load Reduction #262-5 Coal Mill Journal Issue inspection. </t>
  </si>
  <si>
    <t xml:space="preserve">F830Load Reduction #272-1 Mill feeder belt seperated. </t>
  </si>
  <si>
    <t>F590Outage #12GH2 was removed from service for a Planned Outage.</t>
  </si>
  <si>
    <t>F540Outage #13Unit 2 was forced off line due to F heater inlet valve packing leak.</t>
  </si>
  <si>
    <t xml:space="preserve">F830Load Reduction #282-5 Mill Feeder motor would not start. </t>
  </si>
  <si>
    <t xml:space="preserve">Load Reduction #29 2-5 Mill was removed from service to remove a piece of metal. </t>
  </si>
  <si>
    <t>F830Load Reduction #302-5 Coal mill burner line Cgot hot and tripped mill for inspec</t>
  </si>
  <si>
    <t>F830Load Reduction #312-2 mill has broken pyrite scrappers.  Noisy in pyrite secti</t>
  </si>
  <si>
    <t xml:space="preserve">F830Load Reduction #32Removed 2-1 pulverizer from service for inspection.  Washed </t>
  </si>
  <si>
    <t>F830Load Reduction #332-3 pulverizer loaded up and had very high discharge temp.</t>
  </si>
  <si>
    <t xml:space="preserve">F830Load Reduction #12-1 mill feeder plugging under knife gate causing no coal on </t>
  </si>
  <si>
    <t xml:space="preserve">F820Load Reduction #22-2 ID fan trip.  </t>
  </si>
  <si>
    <t xml:space="preserve">F830Load Reduction #32-2 BFPT would not reset after doing feed pump test.  </t>
  </si>
  <si>
    <t>F830Load Reduction #4Excessive knocking noise in the pyrite section of 2-6 mill.</t>
  </si>
  <si>
    <t>F590Load Reduction #52-5 coal feeder maintenance.</t>
  </si>
  <si>
    <t>F590Load Reduction #6Calibrate feeders 2-1, 2-2, 2-3.</t>
  </si>
  <si>
    <t>F590Load Reduction #7Feeder cals 2-4, 2-5, 2-6</t>
  </si>
  <si>
    <t xml:space="preserve">F590Load Reduction #8Took MCC out of service that had 2 mill feeders on it.  </t>
  </si>
  <si>
    <t>F590Load Reduction #92-3 mill inspection.</t>
  </si>
  <si>
    <t xml:space="preserve">F590Load Reduction #102-6 mill inspection.  </t>
  </si>
  <si>
    <t>F590Outage #1Unit was removed from service on a maintenance outage to repair front</t>
  </si>
  <si>
    <t>Load Reduction #112-3 mill issues.</t>
  </si>
  <si>
    <t>Load Reduction #122-3 mill issues</t>
  </si>
  <si>
    <t>FW00Load Reduction #13Wet coal keeping 5 mills from getting to 460 mw and 2-3 mill</t>
  </si>
  <si>
    <t>F590Load Reduction #142-3 mill issues.</t>
  </si>
  <si>
    <t>Load Reduction #152-3 mill out of service/wet coal issues.</t>
  </si>
  <si>
    <t>Outage #2Unit was removed from service to repair 2-3 mill hot air duct that was da</t>
  </si>
  <si>
    <t>Load Reduction #162-3 mill / #2 main steam stop valve.</t>
  </si>
  <si>
    <t>F590Load Reduction #172-3 mill issues</t>
  </si>
  <si>
    <t xml:space="preserve">F590Load Reduction #182-3 mill issues. </t>
  </si>
  <si>
    <t>F590Load Reduction #192-6 mill had a burner line leak.</t>
  </si>
  <si>
    <t>F590Load Reduction #20Metal in 2-5 coal mill.</t>
  </si>
  <si>
    <t>F820Load Reduction #21Loss of both IDs (2-1 &amp; 2-2) due to voltage drop.</t>
  </si>
  <si>
    <t>F060Load Reduction #222-6 mill feeder motor broken output shaft.</t>
  </si>
  <si>
    <t>F060Load Reduction #232-2 mill pyrite scraper failed and plugged the pyrite chute.</t>
  </si>
  <si>
    <t>Load Reduction #242-2 mill pyrite scraper broken and damage to pyrite section floo</t>
  </si>
  <si>
    <t>Load Reduction #2Load was reduced due to turbine copper depostion.</t>
  </si>
  <si>
    <t>Load Reduction #4Load was reduced due to high backpressure.</t>
  </si>
  <si>
    <t>Load Reduction #5Load was reduced due to turbine performance.</t>
  </si>
  <si>
    <t>Other miscellaneous condensing system problems</t>
  </si>
  <si>
    <t>Load Reduction #6Condensate pump problems.</t>
  </si>
  <si>
    <t>Load Reduction #7High backpressure due to ambient air temperatures.</t>
  </si>
  <si>
    <t>Load Reduction #8High backpressure due to ambient air temperatures.</t>
  </si>
  <si>
    <t>Load Reduction #9Load reduced due to copper deposition.</t>
  </si>
  <si>
    <t>F540Outage # 6Unit 3 was forced off line due to tube leak in the Finishing Superhe</t>
  </si>
  <si>
    <t>F550Load Reduction #103F HP heater emergency drain wasn't repsonding.</t>
  </si>
  <si>
    <t>F530Load Reduction #11 3-1 Mill was removed from service to remove a piece of metal.</t>
  </si>
  <si>
    <t>Load Reduction #123-4 Mill was removed from service to remove a piece of metal fro</t>
  </si>
  <si>
    <t>F590Outage #8 Unit 3 was removed from service for Planned Outage.</t>
  </si>
  <si>
    <t xml:space="preserve">F590Outage #9 GH3 Planned Outage extension. </t>
  </si>
  <si>
    <t xml:space="preserve">F540SUF Outage #11Drum door gasket leaking. </t>
  </si>
  <si>
    <t>F540Load Reduction #13Unit 3 was derated due to superheat tube leak.</t>
  </si>
  <si>
    <t>F540Outage #10 Unit 3 was forced off-line due to superheat tube leak.</t>
  </si>
  <si>
    <t>F820Load Reduction #14Unit 3 was derated due to loss of 3-1A ID fan.</t>
  </si>
  <si>
    <t>F830Load Reduction #1Planned boiler deslag.</t>
  </si>
  <si>
    <t>Outage #2Unit was placed on a miantenance outage to repair a cold RH safety that w</t>
  </si>
  <si>
    <t xml:space="preserve">F540Outage #4Unit was forced off line due to Circulating water bypass line leak. </t>
  </si>
  <si>
    <t>F520Load Reduction #23-2A I.D. fan tripped due to lube oil reservoir T/C and tempe</t>
  </si>
  <si>
    <t>Load Reduction #33-2 BFPT tripped on high vibration when starting 3-4 pulverizer t</t>
  </si>
  <si>
    <t>Outage #5Boiler tripped on low drum level due to the loss of 3-2 BFPT.  Unit was r</t>
  </si>
  <si>
    <t>Outage #4Unit 4 came off one due to a tube leak in the Primary Superheat section o</t>
  </si>
  <si>
    <t xml:space="preserve">F830Outage #5GH4 was brought off line due to a tube leak in the Superheat section </t>
  </si>
  <si>
    <t>F490Load Reduction #164-2 B ID fan A5 cell tripped the breaker.</t>
  </si>
  <si>
    <t>F490Load Reduction #174-2 B ID fan A5 cell tripped the breaker.</t>
  </si>
  <si>
    <t>Load Reduction #184-3 Mill was taken out of service to remove a piece of metal.</t>
  </si>
  <si>
    <t xml:space="preserve">F540Outage #6GH4 was Forced off line due to Circulating water line leak. </t>
  </si>
  <si>
    <t xml:space="preserve">FV00Outage # 7 GH 4 Forced off line due to vibration in generator lead box. </t>
  </si>
  <si>
    <t>F830Load Reduction #1Planned deslag.</t>
  </si>
  <si>
    <t>F590Outage #1</t>
  </si>
  <si>
    <t>F690Lost C Mill &amp; Igniter Issue On Other Mills</t>
  </si>
  <si>
    <t>F1201C Coal Silo Flow Issues</t>
  </si>
  <si>
    <t>Mercury Abatement Equipment</t>
  </si>
  <si>
    <t>F610FGD Controls - Nalco System Installation</t>
  </si>
  <si>
    <t>F8201C Feeder Trip - Variable Derate</t>
  </si>
  <si>
    <t>F5301C Mill and Feeder Inspection</t>
  </si>
  <si>
    <t>F5901C Coal Mill &amp; Feeder Maintenance</t>
  </si>
  <si>
    <t>F790Low Load VAR Testing</t>
  </si>
  <si>
    <t>F1201B Feeder Plugged</t>
  </si>
  <si>
    <t>F1201C Feeder Plugged</t>
  </si>
  <si>
    <t>F820Weekly Mechanical Over Speed Trip Test Malfunction</t>
  </si>
  <si>
    <t>F6601B BFP Tripped - Low Oil Pressure</t>
  </si>
  <si>
    <t xml:space="preserve">F1201B Coal Feeder - Debris Removal </t>
  </si>
  <si>
    <t>F7901C Air Flow Testing</t>
  </si>
  <si>
    <t>F8501B Coal Mill Vibration</t>
  </si>
  <si>
    <t>F8501B Coal Mill Vibration - Inspect and Cleanout Debris</t>
  </si>
  <si>
    <t>F5901B Coal Mill Maintenance - Vibration</t>
  </si>
  <si>
    <t>F790B BFP Low Oil Pressure Testing</t>
  </si>
  <si>
    <t xml:space="preserve">FS00Deslag </t>
  </si>
  <si>
    <t>F6601A Air Heater High DP</t>
  </si>
  <si>
    <t xml:space="preserve">F540External Boiler Tube Leak </t>
  </si>
  <si>
    <t>F5901D Feeder Maintinance (Setting Rollers)</t>
  </si>
  <si>
    <t>F790MOD 27 Testing - Out of AGC</t>
  </si>
  <si>
    <t>F1201C Coal Mill Feeder Plugged</t>
  </si>
  <si>
    <t>F1201D Coal Feeder - Foreign Material</t>
  </si>
  <si>
    <t>F930Limestone Slurry Levels</t>
  </si>
  <si>
    <t>F5901D Coal Mill - Foreign Material In Mill</t>
  </si>
  <si>
    <t>F5301B Coal Mill Off - Check Burners</t>
  </si>
  <si>
    <t>F1201D Coal Feeder Plugged - Wet Coal</t>
  </si>
  <si>
    <t>F1201B Coal Feeder Plugged - Wet Coal</t>
  </si>
  <si>
    <t>F3401B Coal Feeder Motor Start Alarm</t>
  </si>
  <si>
    <t xml:space="preserve">F590Planned Outage - Spring 2018 - 2 Weeks </t>
  </si>
  <si>
    <t xml:space="preserve">F590Planned Outage Extension - Spring 2018 </t>
  </si>
  <si>
    <t>F830Deaerator Door Leak</t>
  </si>
  <si>
    <t>F1201D Coal Feeder Plugged</t>
  </si>
  <si>
    <t>F0901A Coal Feeder Calibration</t>
  </si>
  <si>
    <t>F0901B Coal Feeder Calibration</t>
  </si>
  <si>
    <t>F0901C Coal Feeder Calibration</t>
  </si>
  <si>
    <t>F0901D Coal Feeder Calibration</t>
  </si>
  <si>
    <t>F8102A Feeder Belt</t>
  </si>
  <si>
    <t>F5202D Mill Maintenance - Bad PV on Hot Air Gate</t>
  </si>
  <si>
    <t xml:space="preserve">F660'HP Turbine Restriction </t>
  </si>
  <si>
    <t>F700'2A Main Transformer Cooling Fan &amp; Oil Pump - Replaced Breaker</t>
  </si>
  <si>
    <t xml:space="preserve">F820Tripped - Steam/Feedwater Flow </t>
  </si>
  <si>
    <t>F5202C Mill Feeder - No Coal Flow Indication Caused By Debris</t>
  </si>
  <si>
    <t>F660HP Turbine Restriction (Also Low Load VAR Testing)</t>
  </si>
  <si>
    <t>F660HP Turbine Restriction (OPEN)</t>
  </si>
  <si>
    <t>F820Loss of Flame - Debris in Coal Feeder</t>
  </si>
  <si>
    <t>F1202B Mill Plugged W/Debris &amp; C Mill Unavailable</t>
  </si>
  <si>
    <t>F660Reserve Shutdown (With 11MW Derate Due To HP Turbine) - D1 Hours</t>
  </si>
  <si>
    <t>F3402A Mill Hot Air Gate Damper</t>
  </si>
  <si>
    <t>F660HP Turbine Restriction</t>
  </si>
  <si>
    <t>F1202B Feeder - Coal Flow - Silo Pipe Plugged</t>
  </si>
  <si>
    <t>F5902D Coal Mill Maintenance</t>
  </si>
  <si>
    <t>F7802C Coal Mill - High Temperature</t>
  </si>
  <si>
    <t>F660HP Turbine Restriction (SPLITTING EVENT AT EOM, CARRIED TO EVENT 116)</t>
  </si>
  <si>
    <t>F660HP Turbine Restriction (SPLITTING EVENT AT EOM, CARRIED FROM EVENT 92)</t>
  </si>
  <si>
    <t>F790MOD 26 Testing - Out of AGC</t>
  </si>
  <si>
    <t>F5902B Mill Maintenance &amp; Feeder Calibration</t>
  </si>
  <si>
    <t>F660HP Turbine Restriction (YEAR END - CARRYING OVER TO EVENT 1-2018)</t>
  </si>
  <si>
    <t>F660HP Turbine Restriction (YEAR START - CARRYING OVER TO EVENT 121-2017)</t>
  </si>
  <si>
    <t>F660HP Turbine Restriction (ENDED AND STARTED EVENT 4)</t>
  </si>
  <si>
    <t>F8204KV Under Voltage - Lost Both Cooling Tower Pumps (Electrical)</t>
  </si>
  <si>
    <t>F5902A Coal Mill Maintenance</t>
  </si>
  <si>
    <t>F660HP Turbine Restriction (CLOSED FOR EOM, STARTED EVENT 12)</t>
  </si>
  <si>
    <t>F5902C Coal Feeder Inspection</t>
  </si>
  <si>
    <t>F5903B Mill Maintenance (Extension)</t>
  </si>
  <si>
    <t>F5203B Mill - Feeder Plugged Alarm</t>
  </si>
  <si>
    <t>F0603D Mill Maintenance - Tension Cable Broken</t>
  </si>
  <si>
    <t>F7003C Coal Feeder Won't Start - Water In Control Box</t>
  </si>
  <si>
    <t>F540Repair Packing On SH Spray Block Valve</t>
  </si>
  <si>
    <t>F6203C Mill Maint. &amp; 3A Coal Mill Inspection For Suspected Light Off During Purge</t>
  </si>
  <si>
    <t>F5303A Coal Mill Inspection For Suspected Light Off During Purge (Debris Found)</t>
  </si>
  <si>
    <t>F5903A Mill PA Fan Maintenance</t>
  </si>
  <si>
    <t>F660High Back Pressure - Low Circulating Water Flow</t>
  </si>
  <si>
    <t>F6603A CTP Removed From Service</t>
  </si>
  <si>
    <t>F5903B Feeder Belt Replacment</t>
  </si>
  <si>
    <t>F5903B Mill Maintenance - Change oil in rollers</t>
  </si>
  <si>
    <t>F5903D Mill Maintenance - Change oil in rollers</t>
  </si>
  <si>
    <t>F5203B Mill Gas Guns</t>
  </si>
  <si>
    <t>F5903D Coal Mill Unavailable (No call to dispatch)</t>
  </si>
  <si>
    <t>F6603B Mill Maintenance - Lube Oil Pump</t>
  </si>
  <si>
    <t>F1203C Coal Feeder - Wet Coal</t>
  </si>
  <si>
    <t>F610MC4 Controls Work</t>
  </si>
  <si>
    <t>F5903B PA Fan Maintenance</t>
  </si>
  <si>
    <t>F790Placing New Batteries in Service (Unit 4)</t>
  </si>
  <si>
    <t>F490Coal Supply To Bunker Issues - Conveyor</t>
  </si>
  <si>
    <t>F790MOD 36 Testing - Out of AGC</t>
  </si>
  <si>
    <t>F690Igniter Issues</t>
  </si>
  <si>
    <t>F8503B PA Fan Maintenance</t>
  </si>
  <si>
    <t>F8503B PA Fan Coupling Replacement</t>
  </si>
  <si>
    <t>F8103A Coal Feeder Belt Torn</t>
  </si>
  <si>
    <t>F8103A and 3C Coal Feeders Unavailable</t>
  </si>
  <si>
    <t>F7203C Coal Feeder Unavailable - Lower Bunker Valve</t>
  </si>
  <si>
    <t>F5903A Coal Feeder Bearing Replacement</t>
  </si>
  <si>
    <t>F5903A Coal Feeder Maintenance</t>
  </si>
  <si>
    <t>F5203B Coal Mill Swing Valve Indication</t>
  </si>
  <si>
    <t>F5903A Coal Mill Maintenance</t>
  </si>
  <si>
    <t>F5903C Coal Mill Maintenance</t>
  </si>
  <si>
    <t>F5903D Coal Mill Maintenance</t>
  </si>
  <si>
    <t>F0903D Coal Feeder Calibration</t>
  </si>
  <si>
    <t>F540High Silica - Condenser Tube Leak</t>
  </si>
  <si>
    <t>F540High Silica - Return From Condenser Leak (Variable Derate: Avg Load 298 MW)</t>
  </si>
  <si>
    <t>F660High Condenser Backpressure</t>
  </si>
  <si>
    <t xml:space="preserve">F830Boiler Tube Leak - Secondary Superheat </t>
  </si>
  <si>
    <t>F5203A ID Fan Indication Issue</t>
  </si>
  <si>
    <t>F7603D PA Fan Bearing Oil Temperature High</t>
  </si>
  <si>
    <t>F590Planned Outage - 4 Weeks - Spring 2018</t>
  </si>
  <si>
    <t>F5304D Mill Motor Bearing Inspection &amp; 4A Mill Maintenance</t>
  </si>
  <si>
    <t>F590Planned Outage - Fall 2017</t>
  </si>
  <si>
    <t xml:space="preserve">F590Planned Outage Extension - Fall 2017 </t>
  </si>
  <si>
    <t xml:space="preserve">F540Steam Leaks (Blowdown Tank &amp; Stop Valve Drain) </t>
  </si>
  <si>
    <t>Powerhouse switchyard (non generating unit equipment)</t>
  </si>
  <si>
    <t>F820Generator Protective Trip - Switchyard Work</t>
  </si>
  <si>
    <t>FA00High Silica From Startup</t>
  </si>
  <si>
    <t>F490Cooling Tower Fan Bus Issue</t>
  </si>
  <si>
    <t xml:space="preserve">F660FD Fan Maxed Out </t>
  </si>
  <si>
    <t>F6604A EHC Pump</t>
  </si>
  <si>
    <t>12kV transformers</t>
  </si>
  <si>
    <t>F4304A2 Main Aux Feed - Replaced Fuse Holder</t>
  </si>
  <si>
    <t>FS00Boiler Deslag - Top Mills Off</t>
  </si>
  <si>
    <t>F660ID Fan Suction Pressure</t>
  </si>
  <si>
    <t>F660Air Pre-Heater Wash</t>
  </si>
  <si>
    <t>F660Air Pre-Heater Wash (Extension)</t>
  </si>
  <si>
    <t>F660Air Flow (FD Fans Maxed Out)</t>
  </si>
  <si>
    <t xml:space="preserve">F660Clean Plugged WCAHs </t>
  </si>
  <si>
    <t>F5304A ID Fan VFD Cooling Water Pump Check</t>
  </si>
  <si>
    <t>F820Drum Level Trip - Low Level</t>
  </si>
  <si>
    <t>F5304B ID Fan VFD Cooling Water Pump Check</t>
  </si>
  <si>
    <t xml:space="preserve">F660Air Pre-Heater Wash </t>
  </si>
  <si>
    <t>F120Plugged Limestone Feed (SUF)</t>
  </si>
  <si>
    <t>F7804A CTP Maintenance</t>
  </si>
  <si>
    <t>F540The unit was placed on a Planned Derate to finish addressing a leak on the B Super</t>
  </si>
  <si>
    <t>F790The unit was placed on a Maintenance Derate for VAR testing. The unit was returned</t>
  </si>
  <si>
    <t>F570Issues with the 1D Mill lube oil filters caused the Mill to be taken out of servic</t>
  </si>
  <si>
    <t>F130Contractor personnel inadvertently closed the 1F Mill Primary Air damper, tripping</t>
  </si>
  <si>
    <t>F790TC1 was placed in a Non-Curtailing state for testing of SCR response to a new coal</t>
  </si>
  <si>
    <t xml:space="preserve">F790The unit was placed on a Non-Curtailing event during this timeframe for heat rate </t>
  </si>
  <si>
    <t>F790The unit was placed on a Non-Curtailing event for MATS testing at full load. The u</t>
  </si>
  <si>
    <t xml:space="preserve">F790The unit was placed on a Planned Derate for VAR testing. The unit was returned to </t>
  </si>
  <si>
    <t>F590Maintenance Derate for routine safety valve setting.</t>
  </si>
  <si>
    <t>F780The unit was placed on an unplanned derate when the 1B Mill experienced a mill fir</t>
  </si>
  <si>
    <t>F790The unit was placed on a Maintenance Derate for performance testing.</t>
  </si>
  <si>
    <t>F590Planned Outage for multiple scopes, main scope being a total turbine maintenance p</t>
  </si>
  <si>
    <t>F590The unit was placed on a Planned Outage to address bearing #1 vibration issues.</t>
  </si>
  <si>
    <t xml:space="preserve">F850The LP bearing vibrations were not with-in normal limits so the unit was returned </t>
  </si>
  <si>
    <t>FA00The unit was placed on an Unplanned Derate due to a boiler water silica restrictio</t>
  </si>
  <si>
    <t>Seal air system (air to pulverizers)</t>
  </si>
  <si>
    <t xml:space="preserve">F660While the unit was on a derate due to silica restriction, the 1C Mill tripped due </t>
  </si>
  <si>
    <t>FR00While the unit was derated due to silica restriction, the 1B Mill tripped due to h</t>
  </si>
  <si>
    <t>F120While the unit was derated due to a silica restriction, the hotwell pump screens w</t>
  </si>
  <si>
    <t>F660The unit was placed on an Unplanned Outage due to low tank level in the deaerator.</t>
  </si>
  <si>
    <t>F660The unit was taken offline to address high differential pressure across the screen</t>
  </si>
  <si>
    <t xml:space="preserve">F540The unit was placed on an Unplanned Outage after the main header for the blowdown </t>
  </si>
  <si>
    <t>Generator bearings</t>
  </si>
  <si>
    <t>F850The unit was placed on an Immediate Derate due to elevated vibration levels in Bea</t>
  </si>
  <si>
    <t>F660The unit was placed on an Immediate Dreate when the MDBFP lube oil filter was swap</t>
  </si>
  <si>
    <t>F790The unit was placed on a Non-Curtailing state for MATS testing at full load. The u</t>
  </si>
  <si>
    <t xml:space="preserve">F820The unit was placed on an Immediate Derate when a Feeder Breaker was tripped when </t>
  </si>
  <si>
    <t>F720The unit was placed on a Derate when the submerged scraper conveyor secondary chai</t>
  </si>
  <si>
    <t>FV00The unit was placed on a Maintenance Outage to correct bearing vibrations in the T</t>
  </si>
  <si>
    <t>F590The unit was placed on an unplanned derate for maintenance on the stator cooling s</t>
  </si>
  <si>
    <t>F790The unit was placed on a planned derate for Incremental Heat Rate Testing.</t>
  </si>
  <si>
    <t>F780As the unit was coming down for the Incremental Heat Rate test, the differential e</t>
  </si>
  <si>
    <t>F590The unit was placed on a Maintenance Outage for repairs to the stator cooling line</t>
  </si>
  <si>
    <t>F790The unit underwent Heat Rate Testing on a Non-Curtailing basis.</t>
  </si>
  <si>
    <t>F790The unit was placed on a Planned Derate for Incremental Heat Rate testing.</t>
  </si>
  <si>
    <t>FW00Wet coal caused an issue with pluggage on the 1F Coal Feeder.</t>
  </si>
  <si>
    <t>FW00Wet coal created an issue where mills are rotated in operation to allow for cleani</t>
  </si>
  <si>
    <t xml:space="preserve">FW00Wet coal created an issue with the 1A Mill, and was taken out of service, causing </t>
  </si>
  <si>
    <t>FW00Wet coal created airflow problems in the 1A Coal Mill, causing a derate.</t>
  </si>
  <si>
    <t>F660TC1 tripped on furnace pressure after a clinker caused boiler to pressurize.</t>
  </si>
  <si>
    <t>F540The unit was placed on a derate due to a leak on the 1A Coal Mill.</t>
  </si>
  <si>
    <t>FR00The unit was placed on an Immediate Derate when the 1D Mill caught fire and the 1A</t>
  </si>
  <si>
    <t>F540The unit was placed on an Unplanned Derate due to a coal conduit leak on the 1D Mi</t>
  </si>
  <si>
    <t xml:space="preserve">F060A Submerged Scraper Conveyor chain link broke and caused the unit to be placed on </t>
  </si>
  <si>
    <t>F540The unit was placed on a derate due to a leak in the 6A Feedwater Heater head. Loa</t>
  </si>
  <si>
    <t>FS00Maintenance Derate for routine boiler deslagging.</t>
  </si>
  <si>
    <t>F540The unit was placed on a Forced Outage after the boiler experienced a waterwall tu</t>
  </si>
  <si>
    <t>F340TC2 experienced an Immediate Derate when the 2A TDBFP recirc valve would not respo</t>
  </si>
  <si>
    <t>FS00The unit was placed on a Maintenance Derate for routine boiler deslagging.</t>
  </si>
  <si>
    <t>FS00Routine boiler deslagging.</t>
  </si>
  <si>
    <t>F540The TC2 Cooling Tower basin level came in low after a leak occurred in a makeup li</t>
  </si>
  <si>
    <t>F790TC2 was placed on a Planned Derate for annual heat rate testing. The unit was at v</t>
  </si>
  <si>
    <t>F340TC2 was placed on a derate when the 2A Coal Mill had problems during its startup s</t>
  </si>
  <si>
    <t xml:space="preserve">F540The unit was placed on a Forced Outage due to a leak found in the superheat spray </t>
  </si>
  <si>
    <t>FS00Maintenance Derate for routine boiler deslagging. The unit was returned to being a</t>
  </si>
  <si>
    <t>F520Due to a failure in an I/O card, the B, D, and F Mills tripped and the unit was pl</t>
  </si>
  <si>
    <t xml:space="preserve">FR00The unit was placed on a derate due to issues with the 2A Coal Mill. The unit was </t>
  </si>
  <si>
    <t>FS00Maintenance Derate for routine boiler delsagging.</t>
  </si>
  <si>
    <t>F340The unit was placed on a forced derate when the 2E Coal Mill motor failed to start</t>
  </si>
  <si>
    <t xml:space="preserve">F410The unit was placed on an Immediate Derate when the 6B normal drain relay failed. </t>
  </si>
  <si>
    <t>FS00The unit was placed on a Maintenance Derate for a routine boiler deslag.</t>
  </si>
  <si>
    <t>F660The unit was placed on an immediate derate when the 2D Coal Mill tripped due to er</t>
  </si>
  <si>
    <t>FS00The unit was placed on a Maintenance Derate to complete the routine boiler deslag.</t>
  </si>
  <si>
    <t>F520TC2 was placed on an immediate derate when the 2F Mill tripped due to a loss of co</t>
  </si>
  <si>
    <t>F660The unit was de-rated due to Condensate flow issues. The condensdate control valve</t>
  </si>
  <si>
    <t>Other fuel quality problems (not outside management control)</t>
  </si>
  <si>
    <t>F600The unit was placed on an Immediate Derate due to fuel quality issues.</t>
  </si>
  <si>
    <t>FE00Due to issues with the O2 probes, CO levels rose and load was dropped to accommoda</t>
  </si>
  <si>
    <t>FS00The unmti was placed on a Maintenance Derate for a routine boiler deslag.</t>
  </si>
  <si>
    <t xml:space="preserve">F660The unit was placed on an Immediate Derate due to steam flow issues caused by the </t>
  </si>
  <si>
    <t xml:space="preserve">F540The unit was placed on an Unplanned Outage due to multiple waterwall leaks, which </t>
  </si>
  <si>
    <t>F060Issues with the 2A TDBFP Recirculating Valve caused flow problems in the Feedwater</t>
  </si>
  <si>
    <t>F060In order to work on the 2A TDBFP Recirculating Valve, the MDBFP was brought into s</t>
  </si>
  <si>
    <t>F060The unit was placed on an Immediate Derate while the MDBFP was running, as this co</t>
  </si>
  <si>
    <t>F540The unit was placed on a Maintenance Outage for repairs on a leaking waterwall slo</t>
  </si>
  <si>
    <t>F540The unit was placed on a Forced Outage for repairs to a tube leak on the left wate</t>
  </si>
  <si>
    <t>FS00The unit was placed on a Maintenance Derate for a routine boiler deslagging.</t>
  </si>
  <si>
    <t xml:space="preserve">F340Unit 2 was derated because the 3C gas igniter would not light which prevented the </t>
  </si>
  <si>
    <t>FS00The unit was placed on a Maintenance Derate for the completion of routine boiler d</t>
  </si>
  <si>
    <t>F780The unit was placed on an unplanned derate due to ambient temperatures issues. The</t>
  </si>
  <si>
    <t>FW00The unit was placed on an Unplanned Derate due to wet coal supply.</t>
  </si>
  <si>
    <t xml:space="preserve">F660The unit was placed on a derate due to winter rating airflow issues during a mill </t>
  </si>
  <si>
    <t>FS00The unit was placed on a Maintenance Derate for routine boiler deslag.</t>
  </si>
  <si>
    <t>F610The unit was placed on a derate for issues with the fuel supply.</t>
  </si>
  <si>
    <t>FS00The unit was placed on a Maintenance Derate four a routine boiler deslag.</t>
  </si>
  <si>
    <t>F660The unit was placed on a derate due to winter rating airflow issues with the ID Fa</t>
  </si>
  <si>
    <t>F660The unit was placed on a planned derate due to winter rating airflow issues during</t>
  </si>
  <si>
    <t>F780The unit was placed on a derate due to winter rating ambient temperature issues.</t>
  </si>
  <si>
    <t>2019 Plan</t>
  </si>
  <si>
    <t xml:space="preserve">Utilizing KU/LGE  Historical GADS Data </t>
  </si>
  <si>
    <t>Trimble County 1</t>
  </si>
  <si>
    <t>Trimble County 2</t>
  </si>
  <si>
    <r>
      <t>a</t>
    </r>
    <r>
      <rPr>
        <vertAlign val="subscript"/>
        <sz val="11"/>
        <rFont val="Calibri"/>
        <family val="2"/>
        <scheme val="minor"/>
      </rPr>
      <t>2</t>
    </r>
  </si>
  <si>
    <t>! Target period  is 2018 - 2022</t>
  </si>
  <si>
    <t>! 2018 -2022 PROSYM Budget (Outage Rates / Availability Information)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</si>
</sst>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#,##0.0_);[Red]\(#,##0.0\)"/>
    <numFmt numFmtId="167" formatCode="#,##0.0"/>
    <numFmt numFmtId="168" formatCode="0.0000_)"/>
    <numFmt numFmtId="169" formatCode="_(* #,##0.0000_);_(* \(#,##0.0000\);_(* &quot;-&quot;??_);_(@_)"/>
    <numFmt numFmtId="170" formatCode="#,##0.0000_);\(#,##0.0000\)"/>
    <numFmt numFmtId="171" formatCode="0.000%"/>
    <numFmt numFmtId="172" formatCode="_(* #,##0.000_);_(* \(#,##0.000\);_(* &quot;-&quot;??_);_(@_)"/>
    <numFmt numFmtId="173" formatCode="#,##0.000000_);\(#,##0.000000\)"/>
    <numFmt numFmtId="174" formatCode="0.000000"/>
    <numFmt numFmtId="175" formatCode="0.000000%"/>
    <numFmt numFmtId="176" formatCode="0.0000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u/>
      <sz val="12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sz val="11"/>
      <name val="Arial"/>
      <family val="2"/>
    </font>
    <font>
      <sz val="10"/>
      <name val="Arial Narrow"/>
      <family val="2"/>
    </font>
    <font>
      <b/>
      <u/>
      <sz val="8"/>
      <name val="Bookman Old Style"/>
      <family val="1"/>
    </font>
    <font>
      <b/>
      <sz val="12"/>
      <name val="Bookman Old Style"/>
      <family val="1"/>
    </font>
    <font>
      <b/>
      <u/>
      <sz val="12"/>
      <name val="Bookman Old Style"/>
      <family val="1"/>
    </font>
    <font>
      <u/>
      <sz val="12"/>
      <name val="Bookman Old Style"/>
      <family val="1"/>
    </font>
    <font>
      <sz val="12"/>
      <name val="Bookman Old Style"/>
      <family val="1"/>
    </font>
    <font>
      <sz val="9"/>
      <name val="Arial"/>
      <family val="2"/>
    </font>
    <font>
      <sz val="10"/>
      <name val="Helv"/>
    </font>
    <font>
      <i/>
      <sz val="10"/>
      <name val="Helv"/>
    </font>
    <font>
      <b/>
      <i/>
      <sz val="10"/>
      <name val="Arial"/>
      <family val="2"/>
    </font>
    <font>
      <b/>
      <sz val="18"/>
      <name val="Arial"/>
      <family val="2"/>
    </font>
    <font>
      <b/>
      <i/>
      <u/>
      <sz val="10"/>
      <name val="Arial"/>
      <family val="2"/>
    </font>
    <font>
      <b/>
      <i/>
      <sz val="12"/>
      <name val="Arial"/>
      <family val="2"/>
    </font>
    <font>
      <b/>
      <i/>
      <sz val="20"/>
      <name val="Arial"/>
      <family val="2"/>
    </font>
    <font>
      <sz val="10"/>
      <name val="Arial Narrow"/>
      <family val="2"/>
    </font>
    <font>
      <sz val="8"/>
      <name val="Arial"/>
      <family val="2"/>
    </font>
    <font>
      <i/>
      <sz val="8"/>
      <name val="Arial"/>
      <family val="2"/>
    </font>
    <font>
      <sz val="8"/>
      <color theme="1"/>
      <name val="Arial"/>
      <family val="2"/>
    </font>
    <font>
      <sz val="7"/>
      <name val="Arial"/>
      <family val="2"/>
    </font>
    <font>
      <b/>
      <i/>
      <sz val="8"/>
      <color rgb="FFFF0000"/>
      <name val="Arial"/>
      <family val="2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 Narrow"/>
      <family val="2"/>
    </font>
    <font>
      <b/>
      <u val="double"/>
      <sz val="12"/>
      <name val="Arial"/>
      <family val="2"/>
    </font>
    <font>
      <sz val="12"/>
      <name val="Arial"/>
      <family val="2"/>
    </font>
    <font>
      <u val="singleAccounting"/>
      <sz val="12"/>
      <name val="Bookman Old Style"/>
      <family val="1"/>
    </font>
    <font>
      <sz val="16"/>
      <name val="Calibri"/>
      <family val="2"/>
      <scheme val="minor"/>
    </font>
    <font>
      <b/>
      <sz val="10"/>
      <name val="Cambria"/>
      <family val="1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Cambria"/>
      <family val="1"/>
    </font>
    <font>
      <vertAlign val="subscript"/>
      <sz val="11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</borders>
  <cellStyleXfs count="25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2" fillId="51" borderId="11" applyNumberFormat="0" applyAlignment="0" applyProtection="0"/>
    <xf numFmtId="0" fontId="22" fillId="51" borderId="11" applyNumberFormat="0" applyAlignment="0" applyProtection="0"/>
    <xf numFmtId="0" fontId="22" fillId="51" borderId="11" applyNumberFormat="0" applyAlignment="0" applyProtection="0"/>
    <xf numFmtId="0" fontId="22" fillId="51" borderId="11" applyNumberFormat="0" applyAlignment="0" applyProtection="0"/>
    <xf numFmtId="0" fontId="23" fillId="52" borderId="12" applyNumberFormat="0" applyAlignment="0" applyProtection="0"/>
    <xf numFmtId="0" fontId="23" fillId="52" borderId="12" applyNumberFormat="0" applyAlignment="0" applyProtection="0"/>
    <xf numFmtId="0" fontId="23" fillId="52" borderId="12" applyNumberFormat="0" applyAlignment="0" applyProtection="0"/>
    <xf numFmtId="0" fontId="23" fillId="52" borderId="12" applyNumberFormat="0" applyAlignment="0" applyProtection="0"/>
    <xf numFmtId="44" fontId="19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6" fillId="0" borderId="13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8" borderId="11" applyNumberFormat="0" applyAlignment="0" applyProtection="0"/>
    <xf numFmtId="0" fontId="29" fillId="38" borderId="11" applyNumberFormat="0" applyAlignment="0" applyProtection="0"/>
    <xf numFmtId="0" fontId="29" fillId="38" borderId="11" applyNumberFormat="0" applyAlignment="0" applyProtection="0"/>
    <xf numFmtId="0" fontId="29" fillId="38" borderId="11" applyNumberFormat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32" fillId="51" borderId="17" applyNumberFormat="0" applyAlignment="0" applyProtection="0"/>
    <xf numFmtId="0" fontId="32" fillId="51" borderId="17" applyNumberFormat="0" applyAlignment="0" applyProtection="0"/>
    <xf numFmtId="0" fontId="32" fillId="51" borderId="17" applyNumberFormat="0" applyAlignment="0" applyProtection="0"/>
    <xf numFmtId="0" fontId="32" fillId="51" borderId="17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9" fillId="54" borderId="10" applyNumberFormat="0" applyFont="0" applyAlignment="0" applyProtection="0"/>
    <xf numFmtId="0" fontId="1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36" fillId="0" borderId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56" fillId="0" borderId="0"/>
    <xf numFmtId="0" fontId="57" fillId="0" borderId="0"/>
    <xf numFmtId="0" fontId="46" fillId="0" borderId="0" applyFill="0" applyBorder="0" applyAlignment="0" applyProtection="0"/>
    <xf numFmtId="2" fontId="46" fillId="0" borderId="0" applyFill="0" applyBorder="0" applyAlignment="0" applyProtection="0"/>
    <xf numFmtId="0" fontId="5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3" fillId="0" borderId="0"/>
    <xf numFmtId="0" fontId="46" fillId="0" borderId="34" applyNumberFormat="0" applyFill="0" applyAlignment="0" applyProtection="0"/>
    <xf numFmtId="43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71" fillId="0" borderId="0"/>
    <xf numFmtId="0" fontId="19" fillId="0" borderId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19" fillId="0" borderId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73" fillId="0" borderId="0"/>
    <xf numFmtId="4" fontId="46" fillId="0" borderId="0" applyFill="0" applyBorder="0" applyAlignment="0" applyProtection="0"/>
    <xf numFmtId="10" fontId="46" fillId="0" borderId="0" applyFill="0" applyBorder="0" applyAlignment="0" applyProtection="0"/>
  </cellStyleXfs>
  <cellXfs count="214">
    <xf numFmtId="0" fontId="0" fillId="0" borderId="0" xfId="0"/>
    <xf numFmtId="3" fontId="0" fillId="0" borderId="0" xfId="0" applyNumberFormat="1"/>
    <xf numFmtId="0" fontId="0" fillId="0" borderId="0" xfId="0" applyFill="1"/>
    <xf numFmtId="0" fontId="37" fillId="0" borderId="0" xfId="226" applyFont="1" applyFill="1" applyBorder="1"/>
    <xf numFmtId="0" fontId="38" fillId="0" borderId="0" xfId="226" applyFont="1" applyFill="1" applyBorder="1"/>
    <xf numFmtId="0" fontId="38" fillId="0" borderId="0" xfId="226" applyFont="1" applyFill="1" applyBorder="1" applyAlignment="1">
      <alignment horizontal="center"/>
    </xf>
    <xf numFmtId="0" fontId="19" fillId="0" borderId="0" xfId="226" applyFont="1" applyFill="1" applyBorder="1"/>
    <xf numFmtId="0" fontId="19" fillId="0" borderId="0" xfId="226" applyFont="1" applyFill="1" applyBorder="1" applyAlignment="1">
      <alignment horizontal="center"/>
    </xf>
    <xf numFmtId="0" fontId="42" fillId="0" borderId="0" xfId="226" applyFont="1" applyFill="1" applyBorder="1" applyAlignment="1">
      <alignment horizontal="center"/>
    </xf>
    <xf numFmtId="0" fontId="41" fillId="0" borderId="0" xfId="226" applyFont="1" applyFill="1" applyBorder="1"/>
    <xf numFmtId="0" fontId="43" fillId="0" borderId="0" xfId="226" applyFont="1" applyFill="1" applyBorder="1"/>
    <xf numFmtId="0" fontId="44" fillId="0" borderId="0" xfId="226" applyFont="1" applyFill="1" applyBorder="1"/>
    <xf numFmtId="0" fontId="44" fillId="0" borderId="0" xfId="226" quotePrefix="1" applyFont="1" applyFill="1" applyBorder="1" applyAlignment="1">
      <alignment horizontal="left"/>
    </xf>
    <xf numFmtId="166" fontId="38" fillId="0" borderId="0" xfId="226" applyNumberFormat="1" applyFont="1" applyFill="1" applyBorder="1" applyAlignment="1">
      <alignment horizontal="center"/>
    </xf>
    <xf numFmtId="166" fontId="37" fillId="0" borderId="0" xfId="226" applyNumberFormat="1" applyFont="1" applyFill="1" applyBorder="1" applyAlignment="1">
      <alignment horizontal="center"/>
    </xf>
    <xf numFmtId="166" fontId="43" fillId="0" borderId="0" xfId="226" applyNumberFormat="1" applyFont="1" applyFill="1" applyBorder="1" applyAlignment="1">
      <alignment horizontal="center"/>
    </xf>
    <xf numFmtId="0" fontId="45" fillId="0" borderId="0" xfId="226" applyFont="1" applyFill="1" applyBorder="1"/>
    <xf numFmtId="0" fontId="40" fillId="0" borderId="0" xfId="226" applyFont="1" applyFill="1" applyBorder="1"/>
    <xf numFmtId="166" fontId="41" fillId="0" borderId="0" xfId="226" applyNumberFormat="1" applyFont="1" applyFill="1" applyBorder="1"/>
    <xf numFmtId="0" fontId="48" fillId="0" borderId="0" xfId="226" applyFont="1" applyFill="1" applyBorder="1"/>
    <xf numFmtId="167" fontId="19" fillId="0" borderId="0" xfId="226" applyNumberFormat="1" applyFont="1" applyFill="1" applyBorder="1"/>
    <xf numFmtId="166" fontId="19" fillId="0" borderId="22" xfId="226" applyNumberFormat="1" applyFont="1" applyFill="1" applyBorder="1" applyAlignment="1">
      <alignment horizontal="center"/>
    </xf>
    <xf numFmtId="0" fontId="47" fillId="0" borderId="24" xfId="226" quotePrefix="1" applyFont="1" applyFill="1" applyBorder="1" applyAlignment="1">
      <alignment horizontal="center"/>
    </xf>
    <xf numFmtId="0" fontId="0" fillId="0" borderId="0" xfId="0"/>
    <xf numFmtId="0" fontId="0" fillId="0" borderId="0" xfId="0" pivotButton="1"/>
    <xf numFmtId="0" fontId="0" fillId="0" borderId="0" xfId="0" applyNumberFormat="1"/>
    <xf numFmtId="0" fontId="54" fillId="0" borderId="33" xfId="229" applyFont="1" applyBorder="1" applyAlignment="1">
      <alignment horizontal="center"/>
    </xf>
    <xf numFmtId="0" fontId="53" fillId="0" borderId="33" xfId="229" applyFont="1" applyBorder="1" applyAlignment="1">
      <alignment horizontal="center"/>
    </xf>
    <xf numFmtId="0" fontId="19" fillId="0" borderId="0" xfId="230" applyFont="1" applyAlignment="1" applyProtection="1">
      <alignment horizontal="center"/>
    </xf>
    <xf numFmtId="164" fontId="55" fillId="0" borderId="0" xfId="223" applyNumberFormat="1" applyFont="1" applyFill="1" applyBorder="1" applyAlignment="1">
      <alignment horizontal="right"/>
    </xf>
    <xf numFmtId="3" fontId="50" fillId="0" borderId="32" xfId="228" applyNumberFormat="1" applyFont="1" applyBorder="1" applyAlignment="1">
      <alignment horizontal="center"/>
    </xf>
    <xf numFmtId="3" fontId="54" fillId="0" borderId="0" xfId="228" applyNumberFormat="1" applyFont="1" applyBorder="1"/>
    <xf numFmtId="3" fontId="53" fillId="0" borderId="0" xfId="228" applyNumberFormat="1" applyFont="1" applyBorder="1"/>
    <xf numFmtId="165" fontId="54" fillId="0" borderId="0" xfId="227" applyNumberFormat="1" applyFont="1" applyFill="1" applyBorder="1"/>
    <xf numFmtId="10" fontId="54" fillId="0" borderId="0" xfId="227" applyNumberFormat="1" applyFont="1" applyFill="1" applyBorder="1"/>
    <xf numFmtId="0" fontId="58" fillId="56" borderId="0" xfId="230" applyFont="1" applyFill="1" applyProtection="1"/>
    <xf numFmtId="0" fontId="43" fillId="56" borderId="0" xfId="230" applyFont="1" applyFill="1"/>
    <xf numFmtId="0" fontId="43" fillId="56" borderId="0" xfId="230" applyFont="1" applyFill="1" applyProtection="1"/>
    <xf numFmtId="0" fontId="60" fillId="56" borderId="0" xfId="230" applyFont="1" applyFill="1" applyAlignment="1" applyProtection="1">
      <alignment horizontal="center"/>
    </xf>
    <xf numFmtId="168" fontId="58" fillId="56" borderId="0" xfId="230" applyNumberFormat="1" applyFont="1" applyFill="1" applyAlignment="1" applyProtection="1">
      <alignment horizontal="center"/>
    </xf>
    <xf numFmtId="0" fontId="0" fillId="56" borderId="0" xfId="0" applyFill="1"/>
    <xf numFmtId="0" fontId="19" fillId="56" borderId="0" xfId="230" applyFont="1" applyFill="1" applyAlignment="1" applyProtection="1">
      <alignment horizontal="centerContinuous"/>
    </xf>
    <xf numFmtId="0" fontId="62" fillId="56" borderId="0" xfId="230" applyFont="1" applyFill="1" applyAlignment="1" applyProtection="1">
      <alignment horizontal="centerContinuous"/>
    </xf>
    <xf numFmtId="0" fontId="61" fillId="0" borderId="0" xfId="230" applyFont="1" applyProtection="1"/>
    <xf numFmtId="0" fontId="62" fillId="56" borderId="0" xfId="230" applyFont="1" applyFill="1" applyAlignment="1" applyProtection="1"/>
    <xf numFmtId="0" fontId="61" fillId="56" borderId="0" xfId="230" applyFont="1" applyFill="1" applyProtection="1"/>
    <xf numFmtId="0" fontId="58" fillId="57" borderId="0" xfId="230" applyFont="1" applyFill="1" applyProtection="1"/>
    <xf numFmtId="0" fontId="43" fillId="57" borderId="0" xfId="230" applyFont="1" applyFill="1"/>
    <xf numFmtId="0" fontId="54" fillId="0" borderId="33" xfId="229" applyFont="1" applyFill="1" applyBorder="1" applyAlignment="1">
      <alignment horizontal="center"/>
    </xf>
    <xf numFmtId="0" fontId="53" fillId="0" borderId="33" xfId="229" applyFont="1" applyFill="1" applyBorder="1" applyAlignment="1">
      <alignment horizontal="center"/>
    </xf>
    <xf numFmtId="0" fontId="51" fillId="0" borderId="33" xfId="229" applyFont="1" applyFill="1" applyBorder="1" applyAlignment="1">
      <alignment horizontal="center"/>
    </xf>
    <xf numFmtId="0" fontId="42" fillId="0" borderId="0" xfId="226" applyFont="1" applyFill="1" applyBorder="1" applyAlignment="1">
      <alignment horizontal="left"/>
    </xf>
    <xf numFmtId="0" fontId="19" fillId="0" borderId="0" xfId="226" applyFont="1" applyFill="1" applyBorder="1" applyAlignment="1">
      <alignment horizontal="left"/>
    </xf>
    <xf numFmtId="0" fontId="41" fillId="0" borderId="0" xfId="226" applyFont="1" applyFill="1" applyBorder="1" applyAlignment="1">
      <alignment horizontal="left"/>
    </xf>
    <xf numFmtId="0" fontId="45" fillId="0" borderId="0" xfId="226" applyFont="1" applyFill="1" applyBorder="1" applyAlignment="1">
      <alignment horizontal="left"/>
    </xf>
    <xf numFmtId="0" fontId="37" fillId="0" borderId="0" xfId="226" applyFont="1" applyFill="1" applyBorder="1" applyAlignment="1">
      <alignment horizontal="left" vertical="center"/>
    </xf>
    <xf numFmtId="0" fontId="65" fillId="56" borderId="0" xfId="230" applyFont="1" applyFill="1" applyProtection="1"/>
    <xf numFmtId="0" fontId="64" fillId="56" borderId="0" xfId="230" applyFont="1" applyFill="1" applyProtection="1"/>
    <xf numFmtId="0" fontId="58" fillId="0" borderId="0" xfId="230" applyFont="1" applyProtection="1"/>
    <xf numFmtId="0" fontId="64" fillId="0" borderId="0" xfId="226" quotePrefix="1" applyFont="1" applyFill="1" applyBorder="1" applyAlignment="1">
      <alignment horizontal="left"/>
    </xf>
    <xf numFmtId="0" fontId="64" fillId="0" borderId="0" xfId="226" applyFont="1" applyFill="1" applyBorder="1"/>
    <xf numFmtId="0" fontId="64" fillId="56" borderId="0" xfId="230" applyFont="1" applyFill="1" applyAlignment="1" applyProtection="1"/>
    <xf numFmtId="10" fontId="61" fillId="56" borderId="0" xfId="2" applyNumberFormat="1" applyFont="1" applyFill="1" applyProtection="1"/>
    <xf numFmtId="0" fontId="39" fillId="56" borderId="0" xfId="230" quotePrefix="1" applyFont="1" applyFill="1" applyAlignment="1" applyProtection="1">
      <alignment horizontal="right"/>
    </xf>
    <xf numFmtId="0" fontId="39" fillId="56" borderId="0" xfId="230" applyFont="1" applyFill="1" applyAlignment="1" applyProtection="1">
      <alignment horizontal="right"/>
    </xf>
    <xf numFmtId="0" fontId="39" fillId="56" borderId="23" xfId="230" quotePrefix="1" applyFont="1" applyFill="1" applyBorder="1" applyAlignment="1" applyProtection="1">
      <alignment horizontal="right"/>
    </xf>
    <xf numFmtId="0" fontId="66" fillId="56" borderId="0" xfId="0" applyFont="1" applyFill="1" applyAlignment="1">
      <alignment horizontal="center"/>
    </xf>
    <xf numFmtId="0" fontId="66" fillId="56" borderId="0" xfId="0" applyFont="1" applyFill="1"/>
    <xf numFmtId="165" fontId="66" fillId="56" borderId="0" xfId="2" applyNumberFormat="1" applyFont="1" applyFill="1"/>
    <xf numFmtId="9" fontId="66" fillId="56" borderId="0" xfId="2" applyFont="1" applyFill="1"/>
    <xf numFmtId="9" fontId="66" fillId="56" borderId="0" xfId="0" applyNumberFormat="1" applyFont="1" applyFill="1"/>
    <xf numFmtId="169" fontId="66" fillId="56" borderId="0" xfId="1" applyNumberFormat="1" applyFont="1" applyFill="1" applyAlignment="1">
      <alignment horizontal="center"/>
    </xf>
    <xf numFmtId="0" fontId="66" fillId="56" borderId="23" xfId="0" applyFont="1" applyFill="1" applyBorder="1"/>
    <xf numFmtId="0" fontId="67" fillId="56" borderId="0" xfId="230" applyFont="1" applyFill="1" applyProtection="1"/>
    <xf numFmtId="165" fontId="66" fillId="56" borderId="35" xfId="2" applyNumberFormat="1" applyFont="1" applyFill="1" applyBorder="1"/>
    <xf numFmtId="0" fontId="39" fillId="56" borderId="35" xfId="230" applyFont="1" applyFill="1" applyBorder="1" applyAlignment="1" applyProtection="1">
      <alignment horizontal="right"/>
    </xf>
    <xf numFmtId="0" fontId="68" fillId="56" borderId="0" xfId="230" applyFont="1" applyFill="1" applyProtection="1"/>
    <xf numFmtId="170" fontId="66" fillId="56" borderId="0" xfId="1" applyNumberFormat="1" applyFont="1" applyFill="1" applyAlignment="1">
      <alignment horizontal="center"/>
    </xf>
    <xf numFmtId="165" fontId="58" fillId="56" borderId="0" xfId="2" applyNumberFormat="1" applyFont="1" applyFill="1" applyAlignment="1" applyProtection="1">
      <alignment horizontal="center"/>
    </xf>
    <xf numFmtId="0" fontId="0" fillId="56" borderId="0" xfId="0" applyFill="1" applyAlignment="1">
      <alignment horizontal="right"/>
    </xf>
    <xf numFmtId="0" fontId="0" fillId="56" borderId="35" xfId="0" applyFill="1" applyBorder="1" applyAlignment="1">
      <alignment horizontal="center"/>
    </xf>
    <xf numFmtId="0" fontId="0" fillId="56" borderId="0" xfId="0" applyFill="1" applyAlignment="1">
      <alignment horizontal="center"/>
    </xf>
    <xf numFmtId="0" fontId="69" fillId="56" borderId="0" xfId="0" applyFont="1" applyFill="1" applyAlignment="1">
      <alignment horizontal="center"/>
    </xf>
    <xf numFmtId="170" fontId="66" fillId="56" borderId="35" xfId="1" applyNumberFormat="1" applyFont="1" applyFill="1" applyBorder="1" applyAlignment="1">
      <alignment horizontal="center"/>
    </xf>
    <xf numFmtId="10" fontId="0" fillId="0" borderId="0" xfId="2" applyNumberFormat="1" applyFont="1"/>
    <xf numFmtId="10" fontId="41" fillId="0" borderId="0" xfId="2" applyNumberFormat="1" applyFont="1" applyFill="1" applyBorder="1" applyAlignment="1">
      <alignment horizontal="center"/>
    </xf>
    <xf numFmtId="38" fontId="40" fillId="0" borderId="0" xfId="226" applyNumberFormat="1" applyFont="1" applyFill="1" applyBorder="1"/>
    <xf numFmtId="0" fontId="66" fillId="56" borderId="35" xfId="0" applyFont="1" applyFill="1" applyBorder="1"/>
    <xf numFmtId="169" fontId="66" fillId="56" borderId="35" xfId="1" applyNumberFormat="1" applyFont="1" applyFill="1" applyBorder="1" applyAlignment="1">
      <alignment horizontal="center"/>
    </xf>
    <xf numFmtId="0" fontId="70" fillId="56" borderId="0" xfId="0" applyFont="1" applyFill="1"/>
    <xf numFmtId="1" fontId="19" fillId="0" borderId="0" xfId="226" applyNumberFormat="1" applyFont="1" applyFill="1" applyBorder="1"/>
    <xf numFmtId="0" fontId="39" fillId="56" borderId="35" xfId="230" quotePrefix="1" applyFont="1" applyFill="1" applyBorder="1" applyAlignment="1" applyProtection="1">
      <alignment horizontal="right"/>
    </xf>
    <xf numFmtId="0" fontId="39" fillId="56" borderId="0" xfId="230" quotePrefix="1" applyFont="1" applyFill="1" applyBorder="1" applyAlignment="1" applyProtection="1">
      <alignment horizontal="right"/>
    </xf>
    <xf numFmtId="165" fontId="66" fillId="56" borderId="0" xfId="2" applyNumberFormat="1" applyFont="1" applyFill="1" applyBorder="1"/>
    <xf numFmtId="0" fontId="39" fillId="56" borderId="0" xfId="230" applyFont="1" applyFill="1" applyBorder="1" applyAlignment="1" applyProtection="1">
      <alignment horizontal="right"/>
    </xf>
    <xf numFmtId="10" fontId="66" fillId="56" borderId="0" xfId="2" applyNumberFormat="1" applyFont="1" applyFill="1"/>
    <xf numFmtId="164" fontId="0" fillId="0" borderId="0" xfId="0" applyNumberFormat="1"/>
    <xf numFmtId="0" fontId="39" fillId="0" borderId="0" xfId="230" applyFont="1" applyFill="1" applyBorder="1" applyProtection="1"/>
    <xf numFmtId="0" fontId="70" fillId="0" borderId="0" xfId="0" applyFont="1"/>
    <xf numFmtId="172" fontId="70" fillId="0" borderId="0" xfId="1" applyNumberFormat="1" applyFont="1"/>
    <xf numFmtId="1" fontId="66" fillId="56" borderId="0" xfId="0" applyNumberFormat="1" applyFont="1" applyFill="1" applyAlignment="1">
      <alignment horizontal="center"/>
    </xf>
    <xf numFmtId="164" fontId="70" fillId="0" borderId="0" xfId="1" applyNumberFormat="1" applyFont="1"/>
    <xf numFmtId="1" fontId="70" fillId="0" borderId="0" xfId="0" applyNumberFormat="1" applyFont="1"/>
    <xf numFmtId="0" fontId="0" fillId="0" borderId="0" xfId="0"/>
    <xf numFmtId="0" fontId="60" fillId="56" borderId="0" xfId="230" applyNumberFormat="1" applyFont="1" applyFill="1" applyAlignment="1" applyProtection="1">
      <alignment horizontal="center"/>
    </xf>
    <xf numFmtId="0" fontId="70" fillId="0" borderId="0" xfId="0" applyFont="1" applyFill="1"/>
    <xf numFmtId="169" fontId="0" fillId="56" borderId="0" xfId="0" applyNumberFormat="1" applyFill="1"/>
    <xf numFmtId="0" fontId="47" fillId="0" borderId="24" xfId="226" applyFont="1" applyFill="1" applyBorder="1" applyAlignment="1">
      <alignment horizontal="center"/>
    </xf>
    <xf numFmtId="165" fontId="19" fillId="0" borderId="25" xfId="2" applyNumberFormat="1" applyFont="1" applyFill="1" applyBorder="1" applyAlignment="1">
      <alignment horizontal="center"/>
    </xf>
    <xf numFmtId="165" fontId="41" fillId="0" borderId="25" xfId="2" applyNumberFormat="1" applyFont="1" applyFill="1" applyBorder="1" applyAlignment="1">
      <alignment horizontal="center"/>
    </xf>
    <xf numFmtId="165" fontId="45" fillId="0" borderId="25" xfId="2" applyNumberFormat="1" applyFont="1" applyFill="1" applyBorder="1" applyAlignment="1">
      <alignment horizontal="center"/>
    </xf>
    <xf numFmtId="165" fontId="72" fillId="0" borderId="29" xfId="2" applyNumberFormat="1" applyFont="1" applyFill="1" applyBorder="1" applyAlignment="1">
      <alignment horizontal="center"/>
    </xf>
    <xf numFmtId="165" fontId="72" fillId="0" borderId="30" xfId="2" applyNumberFormat="1" applyFont="1" applyFill="1" applyBorder="1" applyAlignment="1">
      <alignment horizontal="center"/>
    </xf>
    <xf numFmtId="165" fontId="72" fillId="0" borderId="31" xfId="2" applyNumberFormat="1" applyFont="1" applyFill="1" applyBorder="1" applyAlignment="1">
      <alignment horizontal="center"/>
    </xf>
    <xf numFmtId="166" fontId="19" fillId="0" borderId="25" xfId="226" applyNumberFormat="1" applyFont="1" applyFill="1" applyBorder="1" applyAlignment="1">
      <alignment horizontal="center"/>
    </xf>
    <xf numFmtId="165" fontId="48" fillId="0" borderId="25" xfId="2" applyNumberFormat="1" applyFont="1" applyFill="1" applyBorder="1" applyAlignment="1">
      <alignment horizontal="center"/>
    </xf>
    <xf numFmtId="170" fontId="0" fillId="56" borderId="0" xfId="0" applyNumberFormat="1" applyFill="1"/>
    <xf numFmtId="1" fontId="0" fillId="0" borderId="0" xfId="0" applyNumberFormat="1"/>
    <xf numFmtId="10" fontId="51" fillId="0" borderId="0" xfId="227" applyNumberFormat="1" applyFont="1" applyFill="1" applyBorder="1"/>
    <xf numFmtId="165" fontId="53" fillId="0" borderId="0" xfId="227" applyNumberFormat="1" applyFont="1" applyFill="1" applyBorder="1"/>
    <xf numFmtId="10" fontId="52" fillId="0" borderId="0" xfId="227" applyNumberFormat="1" applyFont="1" applyFill="1" applyBorder="1"/>
    <xf numFmtId="10" fontId="53" fillId="0" borderId="0" xfId="227" applyNumberFormat="1" applyFont="1" applyFill="1" applyBorder="1"/>
    <xf numFmtId="10" fontId="51" fillId="0" borderId="24" xfId="227" applyNumberFormat="1" applyFont="1" applyFill="1" applyBorder="1"/>
    <xf numFmtId="9" fontId="54" fillId="0" borderId="0" xfId="227" applyNumberFormat="1" applyFont="1" applyFill="1" applyBorder="1"/>
    <xf numFmtId="9" fontId="51" fillId="0" borderId="0" xfId="227" applyNumberFormat="1" applyFont="1" applyFill="1" applyBorder="1"/>
    <xf numFmtId="9" fontId="53" fillId="0" borderId="0" xfId="227" applyNumberFormat="1" applyFont="1" applyFill="1" applyBorder="1"/>
    <xf numFmtId="9" fontId="52" fillId="0" borderId="0" xfId="227" applyNumberFormat="1" applyFont="1" applyFill="1" applyBorder="1"/>
    <xf numFmtId="165" fontId="51" fillId="0" borderId="24" xfId="227" applyNumberFormat="1" applyFont="1" applyFill="1" applyBorder="1"/>
    <xf numFmtId="164" fontId="51" fillId="0" borderId="24" xfId="1" applyNumberFormat="1" applyFont="1" applyFill="1" applyBorder="1"/>
    <xf numFmtId="165" fontId="51" fillId="0" borderId="0" xfId="227" applyNumberFormat="1" applyFont="1" applyFill="1" applyBorder="1"/>
    <xf numFmtId="165" fontId="52" fillId="0" borderId="0" xfId="227" applyNumberFormat="1" applyFont="1" applyFill="1" applyBorder="1"/>
    <xf numFmtId="164" fontId="54" fillId="0" borderId="0" xfId="1" applyNumberFormat="1" applyFont="1" applyFill="1" applyBorder="1"/>
    <xf numFmtId="164" fontId="74" fillId="0" borderId="0" xfId="1" applyNumberFormat="1" applyFont="1" applyFill="1" applyBorder="1"/>
    <xf numFmtId="164" fontId="53" fillId="0" borderId="0" xfId="1" applyNumberFormat="1" applyFont="1" applyFill="1" applyBorder="1"/>
    <xf numFmtId="3" fontId="54" fillId="0" borderId="0" xfId="228" applyNumberFormat="1" applyFont="1" applyFill="1" applyBorder="1"/>
    <xf numFmtId="3" fontId="76" fillId="55" borderId="0" xfId="228" quotePrefix="1" applyNumberFormat="1" applyFont="1" applyFill="1" applyBorder="1" applyAlignment="1">
      <alignment horizontal="left"/>
    </xf>
    <xf numFmtId="10" fontId="76" fillId="55" borderId="0" xfId="2" quotePrefix="1" applyNumberFormat="1" applyFont="1" applyFill="1" applyBorder="1" applyAlignment="1">
      <alignment horizontal="center"/>
    </xf>
    <xf numFmtId="1" fontId="45" fillId="0" borderId="0" xfId="226" applyNumberFormat="1" applyFont="1" applyFill="1" applyBorder="1"/>
    <xf numFmtId="1" fontId="41" fillId="0" borderId="0" xfId="226" applyNumberFormat="1" applyFont="1" applyFill="1" applyBorder="1"/>
    <xf numFmtId="43" fontId="70" fillId="0" borderId="0" xfId="1" applyNumberFormat="1" applyFont="1"/>
    <xf numFmtId="10" fontId="43" fillId="56" borderId="0" xfId="2" applyNumberFormat="1" applyFont="1" applyFill="1" applyAlignment="1" applyProtection="1">
      <alignment horizontal="center"/>
    </xf>
    <xf numFmtId="10" fontId="43" fillId="0" borderId="0" xfId="2" applyNumberFormat="1" applyFont="1" applyFill="1" applyAlignment="1" applyProtection="1">
      <alignment horizontal="center"/>
    </xf>
    <xf numFmtId="0" fontId="43" fillId="56" borderId="0" xfId="230" applyFont="1" applyFill="1" applyAlignment="1">
      <alignment horizontal="center"/>
    </xf>
    <xf numFmtId="10" fontId="70" fillId="56" borderId="0" xfId="0" applyNumberFormat="1" applyFont="1" applyFill="1"/>
    <xf numFmtId="168" fontId="70" fillId="56" borderId="0" xfId="0" applyNumberFormat="1" applyFont="1" applyFill="1"/>
    <xf numFmtId="0" fontId="70" fillId="57" borderId="0" xfId="0" applyFont="1" applyFill="1"/>
    <xf numFmtId="3" fontId="43" fillId="56" borderId="0" xfId="230" applyNumberFormat="1" applyFont="1" applyFill="1" applyAlignment="1">
      <alignment horizontal="center"/>
    </xf>
    <xf numFmtId="43" fontId="0" fillId="56" borderId="0" xfId="0" applyNumberFormat="1" applyFill="1"/>
    <xf numFmtId="165" fontId="0" fillId="56" borderId="0" xfId="0" applyNumberFormat="1" applyFill="1"/>
    <xf numFmtId="10" fontId="0" fillId="56" borderId="0" xfId="0" applyNumberFormat="1" applyFill="1"/>
    <xf numFmtId="166" fontId="41" fillId="0" borderId="0" xfId="226" applyNumberFormat="1" applyFont="1" applyFill="1" applyBorder="1" applyAlignment="1">
      <alignment horizontal="center"/>
    </xf>
    <xf numFmtId="166" fontId="19" fillId="0" borderId="0" xfId="226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42" fillId="56" borderId="0" xfId="0" applyFont="1" applyFill="1" applyAlignment="1">
      <alignment horizontal="center"/>
    </xf>
    <xf numFmtId="22" fontId="42" fillId="56" borderId="0" xfId="0" applyNumberFormat="1" applyFont="1" applyFill="1" applyAlignment="1">
      <alignment horizontal="center"/>
    </xf>
    <xf numFmtId="43" fontId="42" fillId="56" borderId="0" xfId="1" applyFont="1" applyFill="1" applyAlignment="1">
      <alignment horizontal="center"/>
    </xf>
    <xf numFmtId="37" fontId="42" fillId="56" borderId="0" xfId="1" applyNumberFormat="1" applyFont="1" applyFill="1" applyAlignment="1">
      <alignment horizontal="center"/>
    </xf>
    <xf numFmtId="22" fontId="70" fillId="0" borderId="0" xfId="0" applyNumberFormat="1" applyFont="1"/>
    <xf numFmtId="43" fontId="70" fillId="0" borderId="0" xfId="1" applyFont="1" applyFill="1"/>
    <xf numFmtId="0" fontId="70" fillId="0" borderId="0" xfId="0" applyNumberFormat="1" applyFont="1" applyFill="1"/>
    <xf numFmtId="164" fontId="70" fillId="0" borderId="0" xfId="1" applyNumberFormat="1" applyFont="1" applyFill="1"/>
    <xf numFmtId="164" fontId="70" fillId="0" borderId="0" xfId="0" applyNumberFormat="1" applyFont="1" applyFill="1"/>
    <xf numFmtId="14" fontId="70" fillId="0" borderId="0" xfId="0" applyNumberFormat="1" applyFont="1"/>
    <xf numFmtId="43" fontId="70" fillId="0" borderId="0" xfId="0" applyNumberFormat="1" applyFont="1"/>
    <xf numFmtId="0" fontId="70" fillId="0" borderId="0" xfId="0" applyFont="1" applyAlignment="1">
      <alignment horizontal="center"/>
    </xf>
    <xf numFmtId="0" fontId="77" fillId="0" borderId="0" xfId="0" applyFont="1"/>
    <xf numFmtId="9" fontId="70" fillId="0" borderId="0" xfId="2" applyNumberFormat="1" applyFont="1" applyFill="1"/>
    <xf numFmtId="0" fontId="39" fillId="0" borderId="0" xfId="230" applyFont="1" applyBorder="1" applyProtection="1"/>
    <xf numFmtId="0" fontId="39" fillId="0" borderId="0" xfId="230" applyFont="1" applyProtection="1"/>
    <xf numFmtId="9" fontId="70" fillId="0" borderId="0" xfId="2" applyFont="1" applyFill="1"/>
    <xf numFmtId="9" fontId="70" fillId="0" borderId="0" xfId="2" applyFont="1"/>
    <xf numFmtId="10" fontId="70" fillId="0" borderId="0" xfId="2" applyNumberFormat="1" applyFont="1"/>
    <xf numFmtId="0" fontId="78" fillId="0" borderId="0" xfId="0" applyFont="1"/>
    <xf numFmtId="4" fontId="54" fillId="0" borderId="0" xfId="228" applyNumberFormat="1" applyFont="1" applyBorder="1"/>
    <xf numFmtId="4" fontId="53" fillId="0" borderId="0" xfId="228" applyNumberFormat="1" applyFont="1" applyBorder="1"/>
    <xf numFmtId="165" fontId="76" fillId="55" borderId="0" xfId="2" quotePrefix="1" applyNumberFormat="1" applyFont="1" applyFill="1" applyBorder="1" applyAlignment="1">
      <alignment horizontal="center"/>
    </xf>
    <xf numFmtId="164" fontId="79" fillId="55" borderId="0" xfId="1" quotePrefix="1" applyNumberFormat="1" applyFont="1" applyFill="1" applyBorder="1" applyAlignment="1">
      <alignment horizontal="center"/>
    </xf>
    <xf numFmtId="4" fontId="53" fillId="0" borderId="0" xfId="228" applyNumberFormat="1" applyFont="1" applyFill="1" applyBorder="1"/>
    <xf numFmtId="165" fontId="76" fillId="55" borderId="0" xfId="2" quotePrefix="1" applyNumberFormat="1" applyFont="1" applyFill="1" applyBorder="1" applyAlignment="1">
      <alignment horizontal="left"/>
    </xf>
    <xf numFmtId="165" fontId="76" fillId="58" borderId="0" xfId="2" quotePrefix="1" applyNumberFormat="1" applyFont="1" applyFill="1" applyBorder="1" applyAlignment="1">
      <alignment horizontal="center"/>
    </xf>
    <xf numFmtId="164" fontId="76" fillId="58" borderId="0" xfId="1" quotePrefix="1" applyNumberFormat="1" applyFont="1" applyFill="1" applyBorder="1" applyAlignment="1">
      <alignment horizontal="center"/>
    </xf>
    <xf numFmtId="3" fontId="70" fillId="0" borderId="0" xfId="0" applyNumberFormat="1" applyFont="1"/>
    <xf numFmtId="0" fontId="19" fillId="0" borderId="0" xfId="226" applyFont="1"/>
    <xf numFmtId="165" fontId="64" fillId="0" borderId="0" xfId="224" applyNumberFormat="1" applyFont="1" applyFill="1" applyBorder="1" applyAlignment="1">
      <alignment horizontal="center"/>
    </xf>
    <xf numFmtId="171" fontId="64" fillId="0" borderId="0" xfId="224" applyNumberFormat="1" applyFont="1" applyFill="1" applyBorder="1" applyAlignment="1">
      <alignment horizontal="center"/>
    </xf>
    <xf numFmtId="166" fontId="65" fillId="0" borderId="0" xfId="226" applyNumberFormat="1" applyFont="1" applyFill="1" applyBorder="1" applyAlignment="1">
      <alignment horizontal="center"/>
    </xf>
    <xf numFmtId="174" fontId="70" fillId="0" borderId="0" xfId="0" applyNumberFormat="1" applyFont="1"/>
    <xf numFmtId="0" fontId="70" fillId="0" borderId="0" xfId="0" pivotButton="1" applyFont="1"/>
    <xf numFmtId="174" fontId="70" fillId="0" borderId="0" xfId="1" applyNumberFormat="1" applyFont="1"/>
    <xf numFmtId="169" fontId="70" fillId="0" borderId="0" xfId="0" applyNumberFormat="1" applyFont="1"/>
    <xf numFmtId="43" fontId="70" fillId="0" borderId="0" xfId="1" applyFont="1"/>
    <xf numFmtId="173" fontId="70" fillId="0" borderId="0" xfId="1" applyNumberFormat="1" applyFont="1"/>
    <xf numFmtId="175" fontId="70" fillId="0" borderId="0" xfId="0" applyNumberFormat="1" applyFont="1"/>
    <xf numFmtId="176" fontId="70" fillId="0" borderId="0" xfId="0" applyNumberFormat="1" applyFont="1"/>
    <xf numFmtId="0" fontId="70" fillId="0" borderId="0" xfId="0" applyFont="1" applyAlignment="1">
      <alignment horizontal="center"/>
    </xf>
    <xf numFmtId="0" fontId="75" fillId="0" borderId="19" xfId="0" applyFont="1" applyBorder="1" applyAlignment="1">
      <alignment horizontal="center"/>
    </xf>
    <xf numFmtId="0" fontId="75" fillId="0" borderId="0" xfId="0" applyFont="1" applyAlignment="1">
      <alignment horizontal="center"/>
    </xf>
    <xf numFmtId="166" fontId="41" fillId="0" borderId="0" xfId="226" applyNumberFormat="1" applyFont="1" applyFill="1" applyBorder="1" applyAlignment="1">
      <alignment horizontal="center"/>
    </xf>
    <xf numFmtId="166" fontId="19" fillId="0" borderId="0" xfId="226" applyNumberFormat="1" applyFont="1" applyFill="1" applyBorder="1" applyAlignment="1">
      <alignment horizontal="center"/>
    </xf>
    <xf numFmtId="166" fontId="45" fillId="0" borderId="26" xfId="226" quotePrefix="1" applyNumberFormat="1" applyFont="1" applyFill="1" applyBorder="1" applyAlignment="1">
      <alignment horizontal="center"/>
    </xf>
    <xf numFmtId="166" fontId="45" fillId="0" borderId="27" xfId="226" quotePrefix="1" applyNumberFormat="1" applyFont="1" applyFill="1" applyBorder="1" applyAlignment="1">
      <alignment horizontal="center"/>
    </xf>
    <xf numFmtId="166" fontId="45" fillId="0" borderId="28" xfId="226" quotePrefix="1" applyNumberFormat="1" applyFont="1" applyFill="1" applyBorder="1" applyAlignment="1">
      <alignment horizontal="center"/>
    </xf>
    <xf numFmtId="166" fontId="45" fillId="0" borderId="20" xfId="226" applyNumberFormat="1" applyFont="1" applyFill="1" applyBorder="1" applyAlignment="1">
      <alignment horizontal="center"/>
    </xf>
    <xf numFmtId="166" fontId="45" fillId="0" borderId="23" xfId="226" applyNumberFormat="1" applyFont="1" applyFill="1" applyBorder="1" applyAlignment="1">
      <alignment horizontal="center"/>
    </xf>
    <xf numFmtId="166" fontId="45" fillId="0" borderId="35" xfId="226" applyNumberFormat="1" applyFont="1" applyFill="1" applyBorder="1" applyAlignment="1">
      <alignment horizontal="center"/>
    </xf>
    <xf numFmtId="166" fontId="45" fillId="0" borderId="21" xfId="226" applyNumberFormat="1" applyFont="1" applyFill="1" applyBorder="1" applyAlignment="1">
      <alignment horizontal="center"/>
    </xf>
    <xf numFmtId="0" fontId="38" fillId="0" borderId="26" xfId="226" quotePrefix="1" applyFont="1" applyFill="1" applyBorder="1" applyAlignment="1">
      <alignment horizontal="center"/>
    </xf>
    <xf numFmtId="0" fontId="38" fillId="0" borderId="27" xfId="226" quotePrefix="1" applyFont="1" applyFill="1" applyBorder="1" applyAlignment="1">
      <alignment horizontal="center"/>
    </xf>
    <xf numFmtId="0" fontId="38" fillId="0" borderId="28" xfId="226" quotePrefix="1" applyFont="1" applyFill="1" applyBorder="1" applyAlignment="1">
      <alignment horizontal="center"/>
    </xf>
    <xf numFmtId="0" fontId="64" fillId="56" borderId="0" xfId="230" quotePrefix="1" applyFont="1" applyFill="1" applyAlignment="1" applyProtection="1">
      <alignment horizontal="left"/>
    </xf>
    <xf numFmtId="0" fontId="64" fillId="56" borderId="0" xfId="230" applyFont="1" applyFill="1" applyAlignment="1" applyProtection="1">
      <alignment horizontal="center"/>
    </xf>
    <xf numFmtId="0" fontId="39" fillId="56" borderId="0" xfId="230" quotePrefix="1" applyFont="1" applyFill="1" applyAlignment="1" applyProtection="1">
      <alignment horizontal="left"/>
    </xf>
    <xf numFmtId="0" fontId="0" fillId="56" borderId="0" xfId="0" applyFill="1" applyAlignment="1">
      <alignment horizontal="left"/>
    </xf>
    <xf numFmtId="0" fontId="0" fillId="0" borderId="0" xfId="0" applyAlignment="1">
      <alignment horizontal="left"/>
    </xf>
  </cellXfs>
  <cellStyles count="254">
    <cellStyle name="20% - Accent1" xfId="21" builtinId="30" customBuiltin="1"/>
    <cellStyle name="20% - Accent1 2" xfId="46"/>
    <cellStyle name="20% - Accent1 2 2" xfId="47"/>
    <cellStyle name="20% - Accent1 3" xfId="48"/>
    <cellStyle name="20% - Accent1 4" xfId="45"/>
    <cellStyle name="20% - Accent2" xfId="25" builtinId="34" customBuiltin="1"/>
    <cellStyle name="20% - Accent2 2" xfId="50"/>
    <cellStyle name="20% - Accent2 2 2" xfId="51"/>
    <cellStyle name="20% - Accent2 3" xfId="52"/>
    <cellStyle name="20% - Accent2 4" xfId="49"/>
    <cellStyle name="20% - Accent3" xfId="29" builtinId="38" customBuiltin="1"/>
    <cellStyle name="20% - Accent3 2" xfId="54"/>
    <cellStyle name="20% - Accent3 2 2" xfId="55"/>
    <cellStyle name="20% - Accent3 3" xfId="56"/>
    <cellStyle name="20% - Accent3 4" xfId="53"/>
    <cellStyle name="20% - Accent4" xfId="33" builtinId="42" customBuiltin="1"/>
    <cellStyle name="20% - Accent4 2" xfId="58"/>
    <cellStyle name="20% - Accent4 2 2" xfId="59"/>
    <cellStyle name="20% - Accent4 3" xfId="60"/>
    <cellStyle name="20% - Accent4 4" xfId="57"/>
    <cellStyle name="20% - Accent5" xfId="37" builtinId="46" customBuiltin="1"/>
    <cellStyle name="20% - Accent5 2" xfId="62"/>
    <cellStyle name="20% - Accent5 2 2" xfId="63"/>
    <cellStyle name="20% - Accent5 3" xfId="64"/>
    <cellStyle name="20% - Accent5 4" xfId="61"/>
    <cellStyle name="20% - Accent6" xfId="41" builtinId="50" customBuiltin="1"/>
    <cellStyle name="20% - Accent6 2" xfId="66"/>
    <cellStyle name="20% - Accent6 2 2" xfId="67"/>
    <cellStyle name="20% - Accent6 3" xfId="68"/>
    <cellStyle name="20% - Accent6 4" xfId="65"/>
    <cellStyle name="40% - Accent1" xfId="22" builtinId="31" customBuiltin="1"/>
    <cellStyle name="40% - Accent1 2" xfId="70"/>
    <cellStyle name="40% - Accent1 2 2" xfId="71"/>
    <cellStyle name="40% - Accent1 3" xfId="72"/>
    <cellStyle name="40% - Accent1 4" xfId="69"/>
    <cellStyle name="40% - Accent2" xfId="26" builtinId="35" customBuiltin="1"/>
    <cellStyle name="40% - Accent2 2" xfId="74"/>
    <cellStyle name="40% - Accent2 2 2" xfId="75"/>
    <cellStyle name="40% - Accent2 3" xfId="76"/>
    <cellStyle name="40% - Accent2 4" xfId="73"/>
    <cellStyle name="40% - Accent3" xfId="30" builtinId="39" customBuiltin="1"/>
    <cellStyle name="40% - Accent3 2" xfId="78"/>
    <cellStyle name="40% - Accent3 2 2" xfId="79"/>
    <cellStyle name="40% - Accent3 3" xfId="80"/>
    <cellStyle name="40% - Accent3 4" xfId="77"/>
    <cellStyle name="40% - Accent4" xfId="34" builtinId="43" customBuiltin="1"/>
    <cellStyle name="40% - Accent4 2" xfId="82"/>
    <cellStyle name="40% - Accent4 2 2" xfId="83"/>
    <cellStyle name="40% - Accent4 3" xfId="84"/>
    <cellStyle name="40% - Accent4 4" xfId="81"/>
    <cellStyle name="40% - Accent5" xfId="38" builtinId="47" customBuiltin="1"/>
    <cellStyle name="40% - Accent5 2" xfId="86"/>
    <cellStyle name="40% - Accent5 2 2" xfId="87"/>
    <cellStyle name="40% - Accent5 3" xfId="88"/>
    <cellStyle name="40% - Accent5 4" xfId="85"/>
    <cellStyle name="40% - Accent6" xfId="42" builtinId="51" customBuiltin="1"/>
    <cellStyle name="40% - Accent6 2" xfId="90"/>
    <cellStyle name="40% - Accent6 2 2" xfId="91"/>
    <cellStyle name="40% - Accent6 3" xfId="92"/>
    <cellStyle name="40% - Accent6 4" xfId="89"/>
    <cellStyle name="60% - Accent1" xfId="23" builtinId="32" customBuiltin="1"/>
    <cellStyle name="60% - Accent1 2" xfId="94"/>
    <cellStyle name="60% - Accent1 2 2" xfId="95"/>
    <cellStyle name="60% - Accent1 3" xfId="96"/>
    <cellStyle name="60% - Accent1 4" xfId="93"/>
    <cellStyle name="60% - Accent2" xfId="27" builtinId="36" customBuiltin="1"/>
    <cellStyle name="60% - Accent2 2" xfId="98"/>
    <cellStyle name="60% - Accent2 2 2" xfId="99"/>
    <cellStyle name="60% - Accent2 3" xfId="100"/>
    <cellStyle name="60% - Accent2 4" xfId="97"/>
    <cellStyle name="60% - Accent3" xfId="31" builtinId="40" customBuiltin="1"/>
    <cellStyle name="60% - Accent3 2" xfId="102"/>
    <cellStyle name="60% - Accent3 2 2" xfId="103"/>
    <cellStyle name="60% - Accent3 3" xfId="104"/>
    <cellStyle name="60% - Accent3 4" xfId="101"/>
    <cellStyle name="60% - Accent4" xfId="35" builtinId="44" customBuiltin="1"/>
    <cellStyle name="60% - Accent4 2" xfId="106"/>
    <cellStyle name="60% - Accent4 2 2" xfId="107"/>
    <cellStyle name="60% - Accent4 3" xfId="108"/>
    <cellStyle name="60% - Accent4 4" xfId="105"/>
    <cellStyle name="60% - Accent5" xfId="39" builtinId="48" customBuiltin="1"/>
    <cellStyle name="60% - Accent5 2" xfId="110"/>
    <cellStyle name="60% - Accent5 2 2" xfId="111"/>
    <cellStyle name="60% - Accent5 3" xfId="112"/>
    <cellStyle name="60% - Accent5 4" xfId="109"/>
    <cellStyle name="60% - Accent6" xfId="43" builtinId="52" customBuiltin="1"/>
    <cellStyle name="60% - Accent6 2" xfId="114"/>
    <cellStyle name="60% - Accent6 2 2" xfId="115"/>
    <cellStyle name="60% - Accent6 3" xfId="116"/>
    <cellStyle name="60% - Accent6 4" xfId="113"/>
    <cellStyle name="Accent1" xfId="20" builtinId="29" customBuiltin="1"/>
    <cellStyle name="Accent1 2" xfId="118"/>
    <cellStyle name="Accent1 2 2" xfId="119"/>
    <cellStyle name="Accent1 3" xfId="120"/>
    <cellStyle name="Accent1 4" xfId="117"/>
    <cellStyle name="Accent2" xfId="24" builtinId="33" customBuiltin="1"/>
    <cellStyle name="Accent2 2" xfId="122"/>
    <cellStyle name="Accent2 2 2" xfId="123"/>
    <cellStyle name="Accent2 3" xfId="124"/>
    <cellStyle name="Accent2 4" xfId="121"/>
    <cellStyle name="Accent3" xfId="28" builtinId="37" customBuiltin="1"/>
    <cellStyle name="Accent3 2" xfId="126"/>
    <cellStyle name="Accent3 2 2" xfId="127"/>
    <cellStyle name="Accent3 3" xfId="128"/>
    <cellStyle name="Accent3 4" xfId="125"/>
    <cellStyle name="Accent4" xfId="32" builtinId="41" customBuiltin="1"/>
    <cellStyle name="Accent4 2" xfId="130"/>
    <cellStyle name="Accent4 2 2" xfId="131"/>
    <cellStyle name="Accent4 3" xfId="132"/>
    <cellStyle name="Accent4 4" xfId="129"/>
    <cellStyle name="Accent5" xfId="36" builtinId="45" customBuiltin="1"/>
    <cellStyle name="Accent5 2" xfId="134"/>
    <cellStyle name="Accent5 2 2" xfId="135"/>
    <cellStyle name="Accent5 3" xfId="136"/>
    <cellStyle name="Accent5 4" xfId="133"/>
    <cellStyle name="Accent6" xfId="40" builtinId="49" customBuiltin="1"/>
    <cellStyle name="Accent6 2" xfId="138"/>
    <cellStyle name="Accent6 2 2" xfId="139"/>
    <cellStyle name="Accent6 3" xfId="140"/>
    <cellStyle name="Accent6 4" xfId="137"/>
    <cellStyle name="Bad" xfId="9" builtinId="27" customBuiltin="1"/>
    <cellStyle name="Bad 2" xfId="142"/>
    <cellStyle name="Bad 2 2" xfId="143"/>
    <cellStyle name="Bad 3" xfId="144"/>
    <cellStyle name="Bad 4" xfId="141"/>
    <cellStyle name="Calculation" xfId="13" builtinId="22" customBuiltin="1"/>
    <cellStyle name="Calculation 2" xfId="146"/>
    <cellStyle name="Calculation 2 2" xfId="147"/>
    <cellStyle name="Calculation 3" xfId="148"/>
    <cellStyle name="Calculation 4" xfId="145"/>
    <cellStyle name="Check Cell" xfId="15" builtinId="23" customBuiltin="1"/>
    <cellStyle name="Check Cell 2" xfId="150"/>
    <cellStyle name="Check Cell 2 2" xfId="151"/>
    <cellStyle name="Check Cell 3" xfId="152"/>
    <cellStyle name="Check Cell 4" xfId="149"/>
    <cellStyle name="Comma" xfId="1" builtinId="3"/>
    <cellStyle name="Comma 2" xfId="223"/>
    <cellStyle name="Comma 3" xfId="228"/>
    <cellStyle name="Comma 4" xfId="238"/>
    <cellStyle name="Comma 4 2" xfId="248"/>
    <cellStyle name="Comma 4 3" xfId="243"/>
    <cellStyle name="Comma 5" xfId="252"/>
    <cellStyle name="Currency 2" xfId="153"/>
    <cellStyle name="Date" xfId="232"/>
    <cellStyle name="Explanatory Text" xfId="18" builtinId="53" customBuiltin="1"/>
    <cellStyle name="Explanatory Text 2" xfId="155"/>
    <cellStyle name="Explanatory Text 2 2" xfId="156"/>
    <cellStyle name="Explanatory Text 3" xfId="157"/>
    <cellStyle name="Explanatory Text 4" xfId="154"/>
    <cellStyle name="Fixed" xfId="233"/>
    <cellStyle name="Good" xfId="8" builtinId="26" customBuiltin="1"/>
    <cellStyle name="Good 2" xfId="159"/>
    <cellStyle name="Good 2 2" xfId="160"/>
    <cellStyle name="Good 3" xfId="161"/>
    <cellStyle name="Good 4" xfId="158"/>
    <cellStyle name="Heading 1" xfId="4" builtinId="16" customBuiltin="1"/>
    <cellStyle name="Heading 1 2" xfId="163"/>
    <cellStyle name="Heading 1 2 2" xfId="164"/>
    <cellStyle name="Heading 1 3" xfId="165"/>
    <cellStyle name="Heading 1 4" xfId="162"/>
    <cellStyle name="Heading 2" xfId="5" builtinId="17" customBuiltin="1"/>
    <cellStyle name="Heading 2 2" xfId="167"/>
    <cellStyle name="Heading 2 2 2" xfId="168"/>
    <cellStyle name="Heading 2 3" xfId="169"/>
    <cellStyle name="Heading 2 4" xfId="166"/>
    <cellStyle name="Heading 3" xfId="6" builtinId="18" customBuiltin="1"/>
    <cellStyle name="Heading 3 2" xfId="171"/>
    <cellStyle name="Heading 3 2 2" xfId="172"/>
    <cellStyle name="Heading 3 3" xfId="173"/>
    <cellStyle name="Heading 3 4" xfId="170"/>
    <cellStyle name="Heading 4" xfId="7" builtinId="19" customBuiltin="1"/>
    <cellStyle name="Heading 4 2" xfId="175"/>
    <cellStyle name="Heading 4 2 2" xfId="176"/>
    <cellStyle name="Heading 4 3" xfId="177"/>
    <cellStyle name="Heading 4 4" xfId="174"/>
    <cellStyle name="HEADING1" xfId="234"/>
    <cellStyle name="HEADING2" xfId="235"/>
    <cellStyle name="Input" xfId="11" builtinId="20" customBuiltin="1"/>
    <cellStyle name="Input 2" xfId="179"/>
    <cellStyle name="Input 2 2" xfId="180"/>
    <cellStyle name="Input 3" xfId="181"/>
    <cellStyle name="Input 4" xfId="178"/>
    <cellStyle name="Linked Cell" xfId="14" builtinId="24" customBuiltin="1"/>
    <cellStyle name="Linked Cell 2" xfId="183"/>
    <cellStyle name="Linked Cell 2 2" xfId="184"/>
    <cellStyle name="Linked Cell 3" xfId="185"/>
    <cellStyle name="Linked Cell 4" xfId="182"/>
    <cellStyle name="Neutral" xfId="10" builtinId="28" customBuiltin="1"/>
    <cellStyle name="Neutral 2" xfId="187"/>
    <cellStyle name="Neutral 2 2" xfId="188"/>
    <cellStyle name="Neutral 3" xfId="189"/>
    <cellStyle name="Neutral 4" xfId="186"/>
    <cellStyle name="Normal" xfId="0" builtinId="0"/>
    <cellStyle name="Normal 10" xfId="251"/>
    <cellStyle name="Normal 2" xfId="222"/>
    <cellStyle name="Normal 3" xfId="225"/>
    <cellStyle name="Normal 4" xfId="44"/>
    <cellStyle name="Normal 5" xfId="226"/>
    <cellStyle name="Normal 5 2" xfId="246"/>
    <cellStyle name="Normal 5 3" xfId="241"/>
    <cellStyle name="Normal 6" xfId="229"/>
    <cellStyle name="Normal 7" xfId="230"/>
    <cellStyle name="Normal 8" xfId="236"/>
    <cellStyle name="Normal 8 2" xfId="247"/>
    <cellStyle name="Normal 8 3" xfId="242"/>
    <cellStyle name="Normal 9" xfId="240"/>
    <cellStyle name="Normal 9 2" xfId="250"/>
    <cellStyle name="Normal 9 3" xfId="245"/>
    <cellStyle name="Note" xfId="17" builtinId="10" customBuiltin="1"/>
    <cellStyle name="Note 2" xfId="191"/>
    <cellStyle name="Note 2 2" xfId="192"/>
    <cellStyle name="Note 2 2 2" xfId="216"/>
    <cellStyle name="Note 2 2 3" xfId="211"/>
    <cellStyle name="Note 2 2 4" xfId="220"/>
    <cellStyle name="Note 2 3" xfId="215"/>
    <cellStyle name="Note 2 4" xfId="212"/>
    <cellStyle name="Note 2 5" xfId="219"/>
    <cellStyle name="Note 3" xfId="193"/>
    <cellStyle name="Note 3 2" xfId="217"/>
    <cellStyle name="Note 3 3" xfId="210"/>
    <cellStyle name="Note 3 4" xfId="221"/>
    <cellStyle name="Note 4" xfId="214"/>
    <cellStyle name="Note 5" xfId="213"/>
    <cellStyle name="Note 6" xfId="218"/>
    <cellStyle name="Note 7" xfId="190"/>
    <cellStyle name="Output" xfId="12" builtinId="21" customBuiltin="1"/>
    <cellStyle name="Output 2" xfId="195"/>
    <cellStyle name="Output 2 2" xfId="196"/>
    <cellStyle name="Output 3" xfId="197"/>
    <cellStyle name="Output 4" xfId="194"/>
    <cellStyle name="Percen - Style1" xfId="231"/>
    <cellStyle name="Percent" xfId="2" builtinId="5"/>
    <cellStyle name="Percent 2" xfId="224"/>
    <cellStyle name="Percent 3" xfId="227"/>
    <cellStyle name="Percent 4" xfId="239"/>
    <cellStyle name="Percent 4 2" xfId="249"/>
    <cellStyle name="Percent 4 3" xfId="244"/>
    <cellStyle name="Percent 5" xfId="253"/>
    <cellStyle name="Title" xfId="3" builtinId="15" customBuiltin="1"/>
    <cellStyle name="Title 2" xfId="199"/>
    <cellStyle name="Title 2 2" xfId="200"/>
    <cellStyle name="Title 3" xfId="201"/>
    <cellStyle name="Title 4" xfId="198"/>
    <cellStyle name="Total" xfId="19" builtinId="25" customBuiltin="1"/>
    <cellStyle name="Total 2" xfId="203"/>
    <cellStyle name="Total 2 2" xfId="204"/>
    <cellStyle name="Total 3" xfId="205"/>
    <cellStyle name="Total 4" xfId="202"/>
    <cellStyle name="Total 5" xfId="237"/>
    <cellStyle name="Warning Text" xfId="16" builtinId="11" customBuiltin="1"/>
    <cellStyle name="Warning Text 2" xfId="207"/>
    <cellStyle name="Warning Text 2 2" xfId="208"/>
    <cellStyle name="Warning Text 3" xfId="209"/>
    <cellStyle name="Warning Text 4" xfId="206"/>
  </cellStyles>
  <dxfs count="23"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1" formatCode="0"/>
    </dxf>
  </dxfs>
  <tableStyles count="0" defaultTableStyle="TableStyleMedium9" defaultPivotStyle="PivotStyleLight16"/>
  <colors>
    <mruColors>
      <color rgb="FF0000FF"/>
      <color rgb="FF33CC33"/>
      <color rgb="FFCCFFCC"/>
      <color rgb="FF99FF33"/>
      <color rgb="FF009900"/>
      <color rgb="FFFFFF99"/>
      <color rgb="FF666633"/>
      <color rgb="FF336600"/>
      <color rgb="FF0033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452.671390972224" missingItemsLimit="0" createdVersion="5" refreshedVersion="6" minRefreshableVersion="3" recordCount="6420">
  <cacheSource type="worksheet">
    <worksheetSource ref="A1:V6421" sheet="INPUT-GADS DATA"/>
  </cacheSource>
  <cacheFields count="22">
    <cacheField name="UnitName" numFmtId="0">
      <sharedItems count="13">
        <s v="BR1"/>
        <s v="BR2"/>
        <s v="BR3"/>
        <s v="GH1"/>
        <s v="GH2"/>
        <s v="GH3"/>
        <s v="GH4"/>
        <s v="MC1"/>
        <s v="MC2"/>
        <s v="MC3"/>
        <s v="MC4"/>
        <s v="TC1"/>
        <s v="TC2"/>
      </sharedItems>
    </cacheField>
    <cacheField name="EventType" numFmtId="0">
      <sharedItems count="14">
        <s v="D1"/>
        <s v="PD"/>
        <s v="D4"/>
        <s v="NC"/>
        <s v="MO"/>
        <s v="U1"/>
        <s v="PO"/>
        <s v="SF"/>
        <s v="PE"/>
        <s v="D2"/>
        <s v="U2"/>
        <s v="D3"/>
        <s v="ME"/>
        <s v="U3"/>
      </sharedItems>
    </cacheField>
    <cacheField name="EventNo" numFmtId="0">
      <sharedItems containsSemiMixedTypes="0" containsString="0" containsNumber="1" containsInteger="1" minValue="1" maxValue="292"/>
    </cacheField>
    <cacheField name="CauseCode" numFmtId="0">
      <sharedItems containsSemiMixedTypes="0" containsString="0" containsNumber="1" containsInteger="1" minValue="30" maxValue="9999"/>
    </cacheField>
    <cacheField name="EventStart" numFmtId="0">
      <sharedItems containsSemiMixedTypes="0" containsNonDate="0" containsDate="1" containsString="0" minDate="2013-01-01T00:00:00" maxDate="2018-04-29T23:02:00"/>
    </cacheField>
    <cacheField name="EventEnd" numFmtId="0">
      <sharedItems containsSemiMixedTypes="0" containsNonDate="0" containsDate="1" containsString="0" minDate="2013-01-01T02:42:00" maxDate="2018-04-30T23:59:00"/>
    </cacheField>
    <cacheField name="GAC" numFmtId="0">
      <sharedItems containsString="0" containsBlank="1" containsNumber="1" containsInteger="1" minValue="0" maxValue="805"/>
    </cacheField>
    <cacheField name="GMC" numFmtId="0">
      <sharedItems containsSemiMixedTypes="0" containsString="0" containsNumber="1" containsInteger="1" minValue="114" maxValue="795"/>
    </cacheField>
    <cacheField name="NMC" numFmtId="0">
      <sharedItems containsSemiMixedTypes="0" containsString="0" containsNumber="1" containsInteger="1" minValue="107" maxValue="747"/>
    </cacheField>
    <cacheField name="Cause" numFmtId="0">
      <sharedItems/>
    </cacheField>
    <cacheField name="eventDescription" numFmtId="0">
      <sharedItems/>
    </cacheField>
    <cacheField name="Station Name" numFmtId="0">
      <sharedItems/>
    </cacheField>
    <cacheField name="Event Category" numFmtId="0">
      <sharedItems count="4">
        <s v="Derate"/>
        <s v="Other"/>
        <s v="Maintenance"/>
        <s v="Outage"/>
      </sharedItems>
    </cacheField>
    <cacheField name="Unit Type" numFmtId="0">
      <sharedItems/>
    </cacheField>
    <cacheField name="Size" numFmtId="0">
      <sharedItems containsSemiMixedTypes="0" containsString="0" containsNumber="1" containsInteger="1" minValue="1" maxValue="3" count="3">
        <n v="1"/>
        <n v="2"/>
        <n v="3"/>
      </sharedItems>
    </cacheField>
    <cacheField name="Year" numFmtId="0">
      <sharedItems containsSemiMixedTypes="0" containsString="0" containsNumber="1" containsInteger="1" minValue="2013" maxValue="2018" count="6">
        <n v="2013"/>
        <n v="2014"/>
        <n v="2015"/>
        <n v="2016"/>
        <n v="2017"/>
        <n v="2018"/>
      </sharedItems>
    </cacheField>
    <cacheField name="Month" numFmtId="0">
      <sharedItems containsSemiMixedTypes="0" containsString="0" containsNumber="1" containsInteger="1" minValue="1" maxValue="12"/>
    </cacheField>
    <cacheField name="Duration_Hrs" numFmtId="164">
      <sharedItems containsSemiMixedTypes="0" containsString="0" containsNumber="1" minValue="1.6666666720993817E-2" maxValue="2564.6500000000815"/>
    </cacheField>
    <cacheField name="Equiv. Hours" numFmtId="43">
      <sharedItems containsSemiMixedTypes="0" containsString="0" containsNumber="1" minValue="-4.9009523809521589" maxValue="2564.6500000000815"/>
    </cacheField>
    <cacheField name="MWH Lost" numFmtId="164">
      <sharedItems containsSemiMixedTypes="0" containsString="0" containsNumber="1" minValue="-2342.6552380951321" maxValue="1915793.5500000608"/>
    </cacheField>
    <cacheField name="Derate" numFmtId="43">
      <sharedItems containsSemiMixedTypes="0" containsString="0" containsNumber="1" minValue="0" maxValue="747"/>
    </cacheField>
    <cacheField name="Derate_RND" numFmtId="164">
      <sharedItems containsSemiMixedTypes="0" containsString="0" containsNumber="1" containsInteger="1" minValue="0" maxValue="747" count="329">
        <n v="23"/>
        <n v="8"/>
        <n v="55"/>
        <n v="51"/>
        <n v="107"/>
        <n v="18"/>
        <n v="27"/>
        <n v="22"/>
        <n v="32"/>
        <n v="4"/>
        <n v="46"/>
        <n v="60"/>
        <n v="37"/>
        <n v="7"/>
        <n v="2"/>
        <n v="38"/>
        <n v="26"/>
        <n v="33"/>
        <n v="52"/>
        <n v="95"/>
        <n v="13"/>
        <n v="20"/>
        <n v="48"/>
        <n v="45"/>
        <n v="12"/>
        <n v="69"/>
        <n v="99"/>
        <n v="167"/>
        <n v="41"/>
        <n v="74"/>
        <n v="64"/>
        <n v="92"/>
        <n v="36"/>
        <n v="50"/>
        <n v="75"/>
        <n v="153"/>
        <n v="83"/>
        <n v="158"/>
        <n v="112"/>
        <n v="411"/>
        <n v="118"/>
        <n v="96"/>
        <n v="91"/>
        <n v="105"/>
        <n v="249"/>
        <n v="145"/>
        <n v="114"/>
        <n v="87"/>
        <n v="82"/>
        <n v="127"/>
        <n v="130"/>
        <n v="132"/>
        <n v="123"/>
        <n v="78"/>
        <n v="19"/>
        <n v="357"/>
        <n v="280"/>
        <n v="361"/>
        <n v="163"/>
        <n v="141"/>
        <n v="186"/>
        <n v="14"/>
        <n v="136"/>
        <n v="360"/>
        <n v="109"/>
        <n v="100"/>
        <n v="154"/>
        <n v="28"/>
        <n v="159"/>
        <n v="208"/>
        <n v="325"/>
        <n v="195"/>
        <n v="267"/>
        <n v="316"/>
        <n v="351"/>
        <n v="150"/>
        <n v="369"/>
        <n v="285"/>
        <n v="231"/>
        <n v="388"/>
        <n v="25"/>
        <n v="34"/>
        <n v="43"/>
        <n v="59"/>
        <n v="177"/>
        <n v="148"/>
        <n v="190"/>
        <n v="73"/>
        <n v="168"/>
        <n v="336"/>
        <n v="477"/>
        <n v="294"/>
        <n v="110"/>
        <n v="179"/>
        <n v="9"/>
        <n v="119"/>
        <n v="312"/>
        <n v="271"/>
        <n v="275"/>
        <n v="202"/>
        <n v="257"/>
        <n v="385"/>
        <n v="303"/>
        <n v="156"/>
        <n v="39"/>
        <n v="67"/>
        <n v="142"/>
        <n v="24"/>
        <n v="133"/>
        <n v="188"/>
        <n v="183"/>
        <n v="101"/>
        <n v="165"/>
        <n v="204"/>
        <n v="174"/>
        <n v="138"/>
        <n v="444"/>
        <n v="42"/>
        <n v="178"/>
        <n v="47"/>
        <n v="486"/>
        <n v="187"/>
        <n v="299"/>
        <n v="56"/>
        <n v="308"/>
        <n v="422"/>
        <n v="252"/>
        <n v="65"/>
        <n v="77"/>
        <n v="93"/>
        <n v="162"/>
        <n v="61"/>
        <n v="206"/>
        <n v="290"/>
        <n v="262"/>
        <n v="140"/>
        <n v="84"/>
        <n v="122"/>
        <n v="377"/>
        <n v="35"/>
        <n v="103"/>
        <n v="125"/>
        <n v="273"/>
        <n v="224"/>
        <n v="207"/>
        <n v="89"/>
        <n v="248"/>
        <n v="318"/>
        <n v="463"/>
        <n v="412"/>
        <n v="164"/>
        <n v="6"/>
        <n v="0"/>
        <n v="182"/>
        <n v="243"/>
        <n v="220"/>
        <n v="281"/>
        <n v="40"/>
        <n v="54"/>
        <n v="276"/>
        <n v="90"/>
        <n v="120"/>
        <n v="135"/>
        <n v="479"/>
        <n v="116"/>
        <n v="71"/>
        <n v="5"/>
        <n v="16"/>
        <n v="21"/>
        <n v="15"/>
        <n v="470"/>
        <n v="62"/>
        <n v="139"/>
        <n v="86"/>
        <n v="298"/>
        <n v="293"/>
        <n v="44"/>
        <n v="161"/>
        <n v="284"/>
        <n v="53"/>
        <n v="270"/>
        <n v="134"/>
        <n v="10"/>
        <n v="3"/>
        <n v="57"/>
        <n v="216"/>
        <n v="184"/>
        <n v="63"/>
        <n v="230"/>
        <n v="189"/>
        <n v="98"/>
        <n v="288"/>
        <n v="80"/>
        <n v="366"/>
        <n v="94"/>
        <n v="279"/>
        <n v="85"/>
        <n v="11"/>
        <n v="171"/>
        <n v="261"/>
        <n v="338"/>
        <n v="478"/>
        <n v="296"/>
        <n v="269"/>
        <n v="305"/>
        <n v="111"/>
        <n v="29"/>
        <n v="106"/>
        <n v="68"/>
        <n v="314"/>
        <n v="332"/>
        <n v="205"/>
        <n v="282"/>
        <n v="278"/>
        <n v="287"/>
        <n v="259"/>
        <n v="196"/>
        <n v="175"/>
        <n v="143"/>
        <n v="214"/>
        <n v="76"/>
        <n v="232"/>
        <n v="30"/>
        <n v="223"/>
        <n v="137"/>
        <n v="200"/>
        <n v="375"/>
        <n v="49"/>
        <n v="104"/>
        <n v="300"/>
        <n v="191"/>
        <n v="209"/>
        <n v="180"/>
        <n v="173"/>
        <n v="155"/>
        <n v="227"/>
        <n v="124"/>
        <n v="58"/>
        <n v="241"/>
        <n v="255"/>
        <n v="81"/>
        <n v="131"/>
        <n v="117"/>
        <n v="72"/>
        <n v="66"/>
        <n v="170"/>
        <n v="31"/>
        <n v="157"/>
        <n v="126"/>
        <n v="97"/>
        <n v="144"/>
        <n v="152"/>
        <n v="147"/>
        <n v="113"/>
        <n v="166"/>
        <n v="108"/>
        <n v="194"/>
        <n v="238"/>
        <n v="393"/>
        <n v="128"/>
        <n v="235"/>
        <n v="263"/>
        <n v="17"/>
        <n v="237"/>
        <n v="228"/>
        <n v="102"/>
        <n v="193"/>
        <n v="151"/>
        <n v="198"/>
        <n v="181"/>
        <n v="226"/>
        <n v="277"/>
        <n v="244"/>
        <n v="88"/>
        <n v="272"/>
        <n v="482"/>
        <n v="1"/>
        <n v="121"/>
        <n v="389"/>
        <n v="297"/>
        <n v="315"/>
        <n v="265"/>
        <n v="172"/>
        <n v="246"/>
        <n v="70"/>
        <n v="352"/>
        <n v="149"/>
        <n v="339"/>
        <n v="129"/>
        <n v="362"/>
        <n v="260"/>
        <n v="306"/>
        <n v="292"/>
        <n v="343"/>
        <n v="251"/>
        <n v="218"/>
        <n v="493"/>
        <n v="79"/>
        <n v="203"/>
        <n v="302"/>
        <n v="256"/>
        <n v="307"/>
        <n v="747"/>
        <n v="381"/>
        <n v="329"/>
        <n v="372"/>
        <n v="348"/>
        <n v="409"/>
        <n v="160"/>
        <n v="498"/>
        <n v="335"/>
        <n v="301"/>
        <n v="395"/>
        <n v="169"/>
        <n v="324"/>
        <n v="489"/>
        <n v="371"/>
        <n v="363"/>
        <n v="221"/>
        <n v="428"/>
        <n v="197"/>
        <n v="334"/>
        <n v="475"/>
        <n v="418"/>
        <n v="382"/>
        <n v="212"/>
        <n v="326"/>
        <n v="291"/>
        <n v="47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3452.677864351848" missingItemsLimit="0" createdVersion="4" refreshedVersion="6" minRefreshableVersion="3" recordCount="1812">
  <cacheSource type="worksheet">
    <worksheetSource ref="D6:I1048576" sheet="Calc-Pivot HistoricalDerates"/>
  </cacheSource>
  <cacheFields count="6">
    <cacheField name="UnitName" numFmtId="0">
      <sharedItems containsBlank="1" count="14">
        <s v="BR1"/>
        <s v="BR2"/>
        <s v="BR3"/>
        <s v="GH1"/>
        <s v="GH2"/>
        <s v="GH3"/>
        <s v="GH4"/>
        <s v="MC1"/>
        <s v="MC2"/>
        <s v="MC3"/>
        <s v="MC4"/>
        <s v="TC1"/>
        <s v="TC2"/>
        <m/>
      </sharedItems>
    </cacheField>
    <cacheField name="Derate_RND" numFmtId="0">
      <sharedItems containsString="0" containsBlank="1" containsNumber="1" containsInteger="1" minValue="0" maxValue="498"/>
    </cacheField>
    <cacheField name="Hours" numFmtId="0">
      <sharedItems containsString="0" containsBlank="1" containsNumber="1" minValue="6.6666666709352285E-2" maxValue="4629.3499999999185"/>
    </cacheField>
    <cacheField name="MWAvail" numFmtId="0">
      <sharedItems containsString="0" containsBlank="1" containsNumber="1" containsInteger="1" minValue="8" maxValue="760"/>
    </cacheField>
    <cacheField name="UnitNo" numFmtId="0">
      <sharedItems containsString="0" containsBlank="1" containsNumber="1" containsInteger="1" minValue="1" maxValue="15"/>
    </cacheField>
    <cacheField name="Bin" numFmtId="0">
      <sharedItems containsString="0" containsBlank="1" containsNumber="1" containsInteger="1" minValue="0" maxValue="720" count="61">
        <n v="97"/>
        <n v="87"/>
        <n v="77"/>
        <n v="74"/>
        <n v="37"/>
        <n v="0"/>
        <n v="148"/>
        <n v="128"/>
        <n v="88"/>
        <n v="78"/>
        <n v="64"/>
        <n v="373"/>
        <n v="333"/>
        <n v="253"/>
        <n v="223"/>
        <n v="140"/>
        <n v="439"/>
        <n v="399"/>
        <n v="319"/>
        <n v="289"/>
        <n v="218"/>
        <n v="446"/>
        <n v="406"/>
        <n v="326"/>
        <n v="296"/>
        <n v="225"/>
        <n v="441"/>
        <n v="401"/>
        <n v="321"/>
        <n v="291"/>
        <n v="210"/>
        <n v="438"/>
        <n v="398"/>
        <n v="318"/>
        <n v="288"/>
        <n v="215"/>
        <n v="280"/>
        <n v="260"/>
        <n v="220"/>
        <n v="150"/>
        <n v="277"/>
        <n v="257"/>
        <n v="217"/>
        <n v="207"/>
        <n v="147"/>
        <n v="354"/>
        <n v="314"/>
        <n v="234"/>
        <n v="204"/>
        <n v="170"/>
        <n v="175"/>
        <n v="453"/>
        <n v="413"/>
        <n v="303"/>
        <n v="188"/>
        <n v="720"/>
        <n v="680"/>
        <n v="600"/>
        <n v="570"/>
        <n v="44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20">
  <r>
    <x v="0"/>
    <x v="0"/>
    <n v="2"/>
    <n v="9270"/>
    <d v="2013-01-14T21:30:00"/>
    <d v="2013-01-14T22:10:00"/>
    <n v="90"/>
    <n v="114"/>
    <n v="107"/>
    <s v="Wet coal"/>
    <s v="1-3 mill feeder plugged "/>
    <s v="Brown"/>
    <x v="0"/>
    <s v="Coal"/>
    <x v="0"/>
    <x v="0"/>
    <n v="1"/>
    <n v="0.6666666665696539"/>
    <n v="0.1403508771725587"/>
    <n v="15.017543857463782"/>
    <n v="22.526315789473685"/>
    <x v="0"/>
  </r>
  <r>
    <x v="0"/>
    <x v="0"/>
    <n v="3"/>
    <n v="280"/>
    <d v="2013-01-15T02:40:00"/>
    <d v="2013-01-15T03:03:00"/>
    <n v="90"/>
    <n v="114"/>
    <n v="107"/>
    <s v="Pulverizer fires"/>
    <s v="1-2 mill pyrite fire "/>
    <s v="Brown"/>
    <x v="0"/>
    <s v="Coal"/>
    <x v="0"/>
    <x v="0"/>
    <n v="1"/>
    <n v="0.38333333336049691"/>
    <n v="8.0701754391683561E-2"/>
    <n v="8.6350877199101408"/>
    <n v="22.526315789473685"/>
    <x v="0"/>
  </r>
  <r>
    <x v="0"/>
    <x v="1"/>
    <n v="4"/>
    <n v="260"/>
    <d v="2013-01-29T11:02:00"/>
    <d v="2013-01-29T18:25:00"/>
    <n v="90"/>
    <n v="114"/>
    <n v="107"/>
    <s v="Primary air fan"/>
    <s v="1-2 mill primary air fan out of balance 6417365"/>
    <s v="Brown"/>
    <x v="0"/>
    <s v="Coal"/>
    <x v="0"/>
    <x v="0"/>
    <n v="1"/>
    <n v="7.3833333333022892"/>
    <n v="1.5543859649057452"/>
    <n v="166.31929824491473"/>
    <n v="22.526315789473685"/>
    <x v="0"/>
  </r>
  <r>
    <x v="0"/>
    <x v="1"/>
    <n v="5"/>
    <n v="310"/>
    <d v="2013-01-30T07:46:00"/>
    <d v="2013-02-04T08:25:00"/>
    <n v="90"/>
    <n v="114"/>
    <n v="107"/>
    <s v="Pulverizer mills"/>
    <s v="1-2 mill race replacement 6414494"/>
    <s v="Brown"/>
    <x v="0"/>
    <s v="Coal"/>
    <x v="0"/>
    <x v="0"/>
    <n v="1"/>
    <n v="120.65000000002328"/>
    <n v="25.400000000004901"/>
    <n v="2717.8000000005245"/>
    <n v="22.526315789473685"/>
    <x v="0"/>
  </r>
  <r>
    <x v="0"/>
    <x v="1"/>
    <n v="6"/>
    <n v="310"/>
    <d v="2013-02-04T08:25:00"/>
    <d v="2013-02-06T07:15:00"/>
    <n v="105"/>
    <n v="114"/>
    <n v="107"/>
    <s v="Pulverizer mills"/>
    <s v="1-2 mill race replacement "/>
    <s v="Brown"/>
    <x v="0"/>
    <s v="Coal"/>
    <x v="0"/>
    <x v="0"/>
    <n v="2"/>
    <n v="46.833333333372138"/>
    <n v="3.6973684210556952"/>
    <n v="395.61842105295938"/>
    <n v="8.4473684210526319"/>
    <x v="1"/>
  </r>
  <r>
    <x v="0"/>
    <x v="0"/>
    <n v="8"/>
    <n v="95"/>
    <d v="2013-02-06T07:15:00"/>
    <d v="2013-02-06T07:40:00"/>
    <n v="55"/>
    <n v="114"/>
    <n v="107"/>
    <s v="Bunker flow problems"/>
    <s v="F1201-1 Mill Feeder plugged."/>
    <s v="Brown"/>
    <x v="0"/>
    <s v="Coal"/>
    <x v="0"/>
    <x v="0"/>
    <n v="2"/>
    <n v="0.41666666662786156"/>
    <n v="0.21564327483371781"/>
    <n v="23.073830407207804"/>
    <n v="55.377192982456137"/>
    <x v="2"/>
  </r>
  <r>
    <x v="0"/>
    <x v="1"/>
    <n v="9"/>
    <n v="310"/>
    <d v="2013-02-06T07:40:00"/>
    <d v="2013-02-07T00:00:00"/>
    <n v="105"/>
    <n v="114"/>
    <n v="107"/>
    <s v="Pulverizer mills"/>
    <s v="1-2 mill race replacement "/>
    <s v="Brown"/>
    <x v="0"/>
    <s v="Coal"/>
    <x v="0"/>
    <x v="0"/>
    <n v="2"/>
    <n v="16.333333333313931"/>
    <n v="1.2894736842089944"/>
    <n v="137.97368421036239"/>
    <n v="8.4473684210526319"/>
    <x v="1"/>
  </r>
  <r>
    <x v="0"/>
    <x v="2"/>
    <n v="7"/>
    <n v="344"/>
    <d v="2013-02-07T00:00:00"/>
    <d v="2013-02-07T03:44:00"/>
    <n v="60"/>
    <n v="114"/>
    <n v="107"/>
    <s v="Pulverizer inspection"/>
    <s v="F5301-3 &amp; 1-4 Mill Inspections"/>
    <s v="Brown"/>
    <x v="0"/>
    <s v="Coal"/>
    <x v="0"/>
    <x v="0"/>
    <n v="2"/>
    <n v="3.7333333332790062"/>
    <n v="1.768421052605845"/>
    <n v="189.22105262882542"/>
    <n v="50.684210526315788"/>
    <x v="3"/>
  </r>
  <r>
    <x v="0"/>
    <x v="1"/>
    <n v="10"/>
    <n v="310"/>
    <d v="2013-02-07T03:44:00"/>
    <d v="2013-02-08T00:00:00"/>
    <n v="105"/>
    <n v="114"/>
    <n v="107"/>
    <s v="Pulverizer mills"/>
    <s v="1-2 mill race replacement"/>
    <s v="Brown"/>
    <x v="0"/>
    <s v="Coal"/>
    <x v="0"/>
    <x v="0"/>
    <n v="2"/>
    <n v="20.266666666720994"/>
    <n v="1.6000000000042889"/>
    <n v="171.20000000045891"/>
    <n v="8.4473684210526319"/>
    <x v="1"/>
  </r>
  <r>
    <x v="0"/>
    <x v="1"/>
    <n v="11"/>
    <n v="344"/>
    <d v="2013-02-08T00:00:00"/>
    <d v="2013-02-08T00:50:00"/>
    <n v="60"/>
    <n v="114"/>
    <n v="107"/>
    <s v="Pulverizer inspection"/>
    <s v="Inspect 1-1 mill "/>
    <s v="Brown"/>
    <x v="0"/>
    <s v="Coal"/>
    <x v="0"/>
    <x v="0"/>
    <n v="2"/>
    <n v="0.83333333325572312"/>
    <n v="0.3947368420685004"/>
    <n v="42.236842101329543"/>
    <n v="50.684210526315788"/>
    <x v="3"/>
  </r>
  <r>
    <x v="0"/>
    <x v="1"/>
    <n v="12"/>
    <n v="310"/>
    <d v="2013-02-08T00:50:00"/>
    <d v="2013-02-11T23:30:00"/>
    <n v="105"/>
    <n v="114"/>
    <n v="107"/>
    <s v="Pulverizer mills"/>
    <s v="1-2 mill race replacement "/>
    <s v="Brown"/>
    <x v="0"/>
    <s v="Coal"/>
    <x v="0"/>
    <x v="0"/>
    <n v="2"/>
    <n v="94.666666666686069"/>
    <n v="7.4736842105278471"/>
    <n v="799.68421052647966"/>
    <n v="8.4473684210526319"/>
    <x v="1"/>
  </r>
  <r>
    <x v="0"/>
    <x v="0"/>
    <n v="13"/>
    <n v="260"/>
    <d v="2013-02-11T23:30:00"/>
    <d v="2013-02-12T00:30:00"/>
    <n v="60"/>
    <n v="114"/>
    <n v="107"/>
    <s v="Primary air fan"/>
    <s v="1-3 mill PA fan OB bearing cooling water line leaking "/>
    <s v="Brown"/>
    <x v="0"/>
    <s v="Coal"/>
    <x v="0"/>
    <x v="0"/>
    <n v="2"/>
    <n v="1.0000000001164153"/>
    <n v="0.47368421058145987"/>
    <n v="50.684210532216206"/>
    <n v="50.684210526315788"/>
    <x v="3"/>
  </r>
  <r>
    <x v="0"/>
    <x v="1"/>
    <n v="14"/>
    <n v="310"/>
    <d v="2013-02-12T00:30:00"/>
    <d v="2013-02-12T04:49:00"/>
    <n v="105"/>
    <n v="114"/>
    <n v="107"/>
    <s v="Pulverizer mills"/>
    <s v="1-2 mill race replacement  "/>
    <s v="Brown"/>
    <x v="0"/>
    <s v="Coal"/>
    <x v="0"/>
    <x v="0"/>
    <n v="2"/>
    <n v="4.316666666592937"/>
    <n v="0.34078947367838974"/>
    <n v="36.464473683587705"/>
    <n v="8.4473684210526319"/>
    <x v="1"/>
  </r>
  <r>
    <x v="0"/>
    <x v="1"/>
    <n v="15"/>
    <n v="260"/>
    <d v="2013-02-22T12:10:00"/>
    <d v="2013-02-22T13:30:00"/>
    <n v="105"/>
    <n v="114"/>
    <n v="107"/>
    <s v="Primary air fan"/>
    <s v="Repair 1-4 mill primary air fan oil leak "/>
    <s v="Brown"/>
    <x v="0"/>
    <s v="Coal"/>
    <x v="0"/>
    <x v="0"/>
    <n v="2"/>
    <n v="1.3333333333139308"/>
    <n v="0.10526315789320506"/>
    <n v="11.263157894572942"/>
    <n v="8.4473684210526319"/>
    <x v="1"/>
  </r>
  <r>
    <x v="0"/>
    <x v="3"/>
    <n v="16"/>
    <n v="8700"/>
    <d v="2013-02-28T01:00:00"/>
    <d v="2013-02-28T04:00:00"/>
    <n v="0"/>
    <n v="114"/>
    <n v="107"/>
    <s v="CEMS Certification and Recertification"/>
    <s v="Low load RATA testing"/>
    <s v="Brown"/>
    <x v="1"/>
    <s v="Coal"/>
    <x v="0"/>
    <x v="0"/>
    <n v="2"/>
    <n v="3"/>
    <n v="3"/>
    <n v="321"/>
    <n v="107"/>
    <x v="4"/>
  </r>
  <r>
    <x v="0"/>
    <x v="3"/>
    <n v="17"/>
    <n v="4267"/>
    <d v="2013-03-06T00:00:00"/>
    <d v="2013-03-06T00:40:00"/>
    <n v="0"/>
    <n v="114"/>
    <n v="107"/>
    <s v="Control valve testing"/>
    <s v="Valve test for #5 govenor valve"/>
    <s v="Brown"/>
    <x v="1"/>
    <s v="Coal"/>
    <x v="0"/>
    <x v="0"/>
    <n v="3"/>
    <n v="0.66666666674427688"/>
    <n v="0.66666666674427688"/>
    <n v="71.333333341637626"/>
    <n v="107"/>
    <x v="4"/>
  </r>
  <r>
    <x v="0"/>
    <x v="0"/>
    <n v="18"/>
    <n v="9270"/>
    <d v="2013-03-06T08:22:00"/>
    <d v="2013-03-06T08:37:00"/>
    <n v="90"/>
    <n v="114"/>
    <n v="107"/>
    <s v="Wet coal"/>
    <s v="1-1 mill feeder plugged"/>
    <s v="Brown"/>
    <x v="0"/>
    <s v="Coal"/>
    <x v="0"/>
    <x v="0"/>
    <n v="3"/>
    <n v="0.24999999994179234"/>
    <n v="5.2631578935114179E-2"/>
    <n v="5.6315789460572168"/>
    <n v="22.526315789473685"/>
    <x v="0"/>
  </r>
  <r>
    <x v="0"/>
    <x v="4"/>
    <n v="19"/>
    <n v="9656"/>
    <d v="2013-03-11T20:40:00"/>
    <d v="2013-03-16T00:11:00"/>
    <n v="0"/>
    <n v="114"/>
    <n v="107"/>
    <s v="Other stack or exhaust emissions testing - fossil"/>
    <s v="Off line for mercury testing on Brown 3 "/>
    <s v="Brown"/>
    <x v="2"/>
    <s v="Coal"/>
    <x v="0"/>
    <x v="0"/>
    <n v="3"/>
    <n v="99.516666666779201"/>
    <n v="99.516666666779201"/>
    <n v="10648.283333345375"/>
    <n v="107"/>
    <x v="4"/>
  </r>
  <r>
    <x v="0"/>
    <x v="4"/>
    <n v="20"/>
    <n v="8230"/>
    <d v="2013-03-16T00:11:00"/>
    <d v="2013-03-21T03:07:00"/>
    <n v="0"/>
    <n v="114"/>
    <n v="107"/>
    <s v="Ducting A"/>
    <s v="Replace inlet and outlet FGD expansion joints"/>
    <s v="Brown"/>
    <x v="2"/>
    <s v="Coal"/>
    <x v="0"/>
    <x v="0"/>
    <n v="3"/>
    <n v="122.93333333329065"/>
    <n v="122.93333333329065"/>
    <n v="13153.866666662099"/>
    <n v="107"/>
    <x v="4"/>
  </r>
  <r>
    <x v="0"/>
    <x v="5"/>
    <n v="21"/>
    <n v="270"/>
    <d v="2013-03-21T10:15:00"/>
    <d v="2013-03-21T20:28:00"/>
    <n v="0"/>
    <n v="114"/>
    <n v="107"/>
    <s v="Primary air duct and dampers"/>
    <s v="Hot air dampers to mills not operating properly preventing opening or closing of the d"/>
    <s v="Brown"/>
    <x v="3"/>
    <s v="Coal"/>
    <x v="0"/>
    <x v="0"/>
    <n v="3"/>
    <n v="10.21666666661622"/>
    <n v="10.21666666661622"/>
    <n v="1093.1833333279355"/>
    <n v="107"/>
    <x v="4"/>
  </r>
  <r>
    <x v="0"/>
    <x v="0"/>
    <n v="22"/>
    <n v="9270"/>
    <d v="2013-03-26T05:50:00"/>
    <d v="2013-03-26T06:08:00"/>
    <n v="90"/>
    <n v="114"/>
    <n v="107"/>
    <s v="Wet coal"/>
    <s v="Wet coal in 1-1 mill"/>
    <s v="Brown"/>
    <x v="0"/>
    <s v="Coal"/>
    <x v="0"/>
    <x v="0"/>
    <n v="3"/>
    <n v="0.30000000010477379"/>
    <n v="6.3157894758899741E-2"/>
    <n v="6.7578947392022721"/>
    <n v="22.526315789473685"/>
    <x v="0"/>
  </r>
  <r>
    <x v="0"/>
    <x v="3"/>
    <n v="23"/>
    <n v="1100"/>
    <d v="2013-03-28T12:15:00"/>
    <d v="2013-03-28T13:31:00"/>
    <n v="0"/>
    <n v="114"/>
    <n v="107"/>
    <s v="Waterwall (Furnace wall) B"/>
    <s v="Deslag unit"/>
    <s v="Brown"/>
    <x v="1"/>
    <s v="Coal"/>
    <x v="0"/>
    <x v="0"/>
    <n v="3"/>
    <n v="1.2666666667792015"/>
    <n v="1.2666666667792015"/>
    <n v="135.53333334537456"/>
    <n v="107"/>
    <x v="4"/>
  </r>
  <r>
    <x v="0"/>
    <x v="1"/>
    <n v="24"/>
    <n v="263"/>
    <d v="2013-04-18T00:00:00"/>
    <d v="2013-04-18T09:50:00"/>
    <n v="90"/>
    <n v="114"/>
    <n v="107"/>
    <s v="Primary air fan drives"/>
    <s v="Investigate problem with 1-3 mill primary air fan IB bearing high temperature 6439585"/>
    <s v="Brown"/>
    <x v="0"/>
    <s v="Coal"/>
    <x v="0"/>
    <x v="0"/>
    <n v="4"/>
    <n v="9.8333333332557231"/>
    <n v="2.0701754385801521"/>
    <n v="221.50877192807627"/>
    <n v="22.526315789473685"/>
    <x v="0"/>
  </r>
  <r>
    <x v="0"/>
    <x v="6"/>
    <n v="25"/>
    <n v="1812"/>
    <d v="2013-04-20T02:18:00"/>
    <d v="2013-04-28T07:17:00"/>
    <n v="0"/>
    <n v="114"/>
    <n v="107"/>
    <s v="Boiler Inspections - scheduled or routine"/>
    <s v="Planned outage for boiler inspection and general maintenance "/>
    <s v="Brown"/>
    <x v="1"/>
    <s v="Coal"/>
    <x v="0"/>
    <x v="0"/>
    <n v="4"/>
    <n v="196.98333333333721"/>
    <n v="196.98333333333721"/>
    <n v="21077.216666667082"/>
    <n v="107"/>
    <x v="4"/>
  </r>
  <r>
    <x v="0"/>
    <x v="0"/>
    <n v="26"/>
    <n v="1410"/>
    <d v="2013-05-06T16:53:00"/>
    <d v="2013-05-06T19:37:00"/>
    <n v="60"/>
    <n v="114"/>
    <n v="107"/>
    <s v="Forced draft fan motors"/>
    <s v="1-1 FD Fan motor failure"/>
    <s v="Brown"/>
    <x v="0"/>
    <s v="Coal"/>
    <x v="0"/>
    <x v="0"/>
    <n v="5"/>
    <n v="2.7333333333372138"/>
    <n v="1.2947368421071013"/>
    <n v="138.53684210545984"/>
    <n v="50.684210526315788"/>
    <x v="3"/>
  </r>
  <r>
    <x v="0"/>
    <x v="0"/>
    <n v="27"/>
    <n v="1410"/>
    <d v="2013-05-06T19:37:00"/>
    <d v="2013-05-17T16:58:00"/>
    <n v="55"/>
    <n v="114"/>
    <n v="107"/>
    <s v="Forced draft fan motors"/>
    <s v="1-1 FD Fan motor failure 6445741"/>
    <s v="Brown"/>
    <x v="0"/>
    <s v="Coal"/>
    <x v="0"/>
    <x v="0"/>
    <n v="5"/>
    <n v="261.34999999991851"/>
    <n v="135.26008771925606"/>
    <n v="14472.829385960398"/>
    <n v="55.377192982456137"/>
    <x v="2"/>
  </r>
  <r>
    <x v="0"/>
    <x v="0"/>
    <n v="28"/>
    <n v="267"/>
    <d v="2013-05-20T12:28:00"/>
    <d v="2013-05-20T13:05:00"/>
    <n v="90"/>
    <n v="114"/>
    <n v="107"/>
    <s v="Primary air flow instrumentation"/>
    <s v="Replace 1-1 mill broken pitot tube 6448568"/>
    <s v="Brown"/>
    <x v="0"/>
    <s v="Coal"/>
    <x v="0"/>
    <x v="0"/>
    <n v="5"/>
    <n v="0.61666666675591841"/>
    <n v="0.12982456142229862"/>
    <n v="13.891228072185951"/>
    <n v="22.526315789473685"/>
    <x v="0"/>
  </r>
  <r>
    <x v="0"/>
    <x v="1"/>
    <n v="29"/>
    <n v="260"/>
    <d v="2013-05-25T04:45:00"/>
    <d v="2013-05-25T06:18:00"/>
    <n v="95"/>
    <n v="114"/>
    <n v="107"/>
    <s v="Primary air fan"/>
    <s v="Repair 1-3 mill primary air fan IB bearing oil leak 6452730"/>
    <s v="Brown"/>
    <x v="0"/>
    <s v="Coal"/>
    <x v="0"/>
    <x v="0"/>
    <n v="5"/>
    <n v="1.5499999999883585"/>
    <n v="0.25833333333139308"/>
    <n v="27.641666666459059"/>
    <n v="17.833333333333332"/>
    <x v="5"/>
  </r>
  <r>
    <x v="0"/>
    <x v="0"/>
    <n v="30"/>
    <n v="4640"/>
    <d v="2013-06-01T10:08:00"/>
    <d v="2013-06-01T13:55:00"/>
    <n v="60"/>
    <n v="114"/>
    <n v="107"/>
    <s v="Seal oil system and seals A"/>
    <s v="Seal oil system vacuum tank level control float valve not closing properly causing hig"/>
    <s v="Brown"/>
    <x v="0"/>
    <s v="Coal"/>
    <x v="0"/>
    <x v="0"/>
    <n v="6"/>
    <n v="3.7833333332673647"/>
    <n v="1.7921052631266463"/>
    <n v="191.75526315455116"/>
    <n v="50.684210526315788"/>
    <x v="3"/>
  </r>
  <r>
    <x v="0"/>
    <x v="1"/>
    <n v="31"/>
    <n v="310"/>
    <d v="2013-06-05T22:40:00"/>
    <d v="2013-06-06T02:45:00"/>
    <n v="85"/>
    <n v="114"/>
    <n v="107"/>
    <s v="Pulverizer mills"/>
    <s v="1-1 and 1-2 mill inspections"/>
    <s v="Brown"/>
    <x v="0"/>
    <s v="Coal"/>
    <x v="0"/>
    <x v="0"/>
    <n v="6"/>
    <n v="4.0833333333721384"/>
    <n v="1.038742690068351"/>
    <n v="111.14546783731355"/>
    <n v="27.219298245614034"/>
    <x v="6"/>
  </r>
  <r>
    <x v="0"/>
    <x v="1"/>
    <n v="32"/>
    <n v="310"/>
    <d v="2013-06-06T22:00:00"/>
    <d v="2013-06-07T04:00:00"/>
    <n v="85"/>
    <n v="114"/>
    <n v="107"/>
    <s v="Pulverizer mills"/>
    <s v="1-3 mill inspection. Replaced broken spring bolt."/>
    <s v="Brown"/>
    <x v="0"/>
    <s v="Coal"/>
    <x v="0"/>
    <x v="0"/>
    <n v="6"/>
    <n v="6"/>
    <n v="1.5263157894736843"/>
    <n v="163.31578947368422"/>
    <n v="27.219298245614034"/>
    <x v="6"/>
  </r>
  <r>
    <x v="0"/>
    <x v="1"/>
    <n v="33"/>
    <n v="344"/>
    <d v="2013-06-08T06:00:00"/>
    <d v="2013-06-08T08:10:00"/>
    <n v="85"/>
    <n v="114"/>
    <n v="107"/>
    <s v="Pulverizer inspection"/>
    <s v="1-4 Mill Inspection"/>
    <s v="Brown"/>
    <x v="0"/>
    <s v="Coal"/>
    <x v="0"/>
    <x v="0"/>
    <n v="6"/>
    <n v="2.1666666667442769"/>
    <n v="0.55116959066301785"/>
    <n v="58.975146200942909"/>
    <n v="27.219298245614034"/>
    <x v="6"/>
  </r>
  <r>
    <x v="0"/>
    <x v="1"/>
    <n v="34"/>
    <n v="310"/>
    <d v="2013-06-13T22:00:00"/>
    <d v="2013-06-14T01:03:00"/>
    <n v="85"/>
    <n v="114"/>
    <n v="107"/>
    <s v="Pulverizer mills"/>
    <s v="Enlarge 1-2 mill oil flow orfice 6466979"/>
    <s v="Brown"/>
    <x v="0"/>
    <s v="Coal"/>
    <x v="0"/>
    <x v="0"/>
    <n v="6"/>
    <n v="3.0499999999883585"/>
    <n v="0.77587719297949465"/>
    <n v="83.018859648805929"/>
    <n v="27.219298245614034"/>
    <x v="6"/>
  </r>
  <r>
    <x v="0"/>
    <x v="0"/>
    <n v="35"/>
    <n v="9270"/>
    <d v="2013-06-27T19:50:00"/>
    <d v="2013-06-27T20:09:00"/>
    <n v="85"/>
    <n v="114"/>
    <n v="107"/>
    <s v="Wet coal"/>
    <s v="Wet coal in 1-3 mill"/>
    <s v="Brown"/>
    <x v="0"/>
    <s v="Coal"/>
    <x v="0"/>
    <x v="0"/>
    <n v="6"/>
    <n v="0.31666666665114462"/>
    <n v="8.0555555551606969E-2"/>
    <n v="8.619444444021946"/>
    <n v="27.219298245614034"/>
    <x v="6"/>
  </r>
  <r>
    <x v="0"/>
    <x v="5"/>
    <n v="36"/>
    <n v="4260"/>
    <d v="2013-06-30T22:04:00"/>
    <d v="2013-06-30T22:56:00"/>
    <n v="0"/>
    <n v="114"/>
    <n v="107"/>
    <s v="Main stop valves"/>
    <s v="Left side throttle valve not giving closed limit on weekly valve test. Removed unit to"/>
    <s v="Brown"/>
    <x v="3"/>
    <s v="Coal"/>
    <x v="0"/>
    <x v="0"/>
    <n v="6"/>
    <n v="0.86666666669771075"/>
    <n v="0.86666666669771075"/>
    <n v="92.733333336655051"/>
    <n v="107"/>
    <x v="4"/>
  </r>
  <r>
    <x v="0"/>
    <x v="0"/>
    <n v="37"/>
    <n v="9270"/>
    <d v="2013-07-08T11:25:00"/>
    <d v="2013-07-08T15:40:00"/>
    <n v="91"/>
    <n v="114"/>
    <n v="107"/>
    <s v="Wet coal"/>
    <s v="Wet coal in 1-3 mill "/>
    <s v="Brown"/>
    <x v="0"/>
    <s v="Coal"/>
    <x v="0"/>
    <x v="0"/>
    <n v="7"/>
    <n v="4.2500000000582077"/>
    <n v="0.85745614036262086"/>
    <n v="91.74780701880043"/>
    <n v="21.587719298245613"/>
    <x v="7"/>
  </r>
  <r>
    <x v="0"/>
    <x v="4"/>
    <n v="38"/>
    <n v="4261"/>
    <d v="2013-07-24T08:39:00"/>
    <d v="2013-07-26T16:00:00"/>
    <n v="0"/>
    <n v="114"/>
    <n v="107"/>
    <s v="Control valves"/>
    <s v="Turbine Gov. valve &amp; burner line maintenance 6476754 6470986"/>
    <s v="Brown"/>
    <x v="2"/>
    <s v="Coal"/>
    <x v="0"/>
    <x v="0"/>
    <n v="7"/>
    <n v="55.349999999860302"/>
    <n v="55.349999999860302"/>
    <n v="5922.4499999850523"/>
    <n v="107"/>
    <x v="4"/>
  </r>
  <r>
    <x v="0"/>
    <x v="1"/>
    <n v="40"/>
    <n v="4261"/>
    <d v="2013-08-13T02:00:00"/>
    <d v="2013-08-13T04:00:00"/>
    <n v="80"/>
    <n v="114"/>
    <n v="107"/>
    <s v="Control valves"/>
    <s v="Replace #6 governor valve control actuator 6484436"/>
    <s v="Brown"/>
    <x v="0"/>
    <s v="Coal"/>
    <x v="0"/>
    <x v="0"/>
    <n v="8"/>
    <n v="1.9999999998835847"/>
    <n v="0.59649122803545507"/>
    <n v="63.824561399793694"/>
    <n v="31.912280701754387"/>
    <x v="8"/>
  </r>
  <r>
    <x v="0"/>
    <x v="0"/>
    <n v="41"/>
    <n v="90"/>
    <d v="2013-08-22T13:00:00"/>
    <d v="2013-08-22T14:15:00"/>
    <n v="80"/>
    <n v="114"/>
    <n v="107"/>
    <s v="Bunker fires"/>
    <s v="1-2 Mill bunker fire"/>
    <s v="Brown"/>
    <x v="0"/>
    <s v="Coal"/>
    <x v="0"/>
    <x v="0"/>
    <n v="8"/>
    <n v="1.2500000000582077"/>
    <n v="0.37280701756121981"/>
    <n v="39.890350879050523"/>
    <n v="31.912280701754387"/>
    <x v="8"/>
  </r>
  <r>
    <x v="0"/>
    <x v="0"/>
    <n v="42"/>
    <n v="90"/>
    <d v="2013-08-22T14:40:00"/>
    <d v="2013-08-22T20:24:00"/>
    <n v="80"/>
    <n v="114"/>
    <n v="107"/>
    <s v="Bunker fires"/>
    <s v="1-2 Mill bunker fire"/>
    <s v="Brown"/>
    <x v="0"/>
    <s v="Coal"/>
    <x v="0"/>
    <x v="0"/>
    <n v="8"/>
    <n v="5.7333333333372138"/>
    <n v="1.7099415204689936"/>
    <n v="182.96374269018233"/>
    <n v="31.912280701754387"/>
    <x v="8"/>
  </r>
  <r>
    <x v="0"/>
    <x v="5"/>
    <n v="43"/>
    <n v="1040"/>
    <d v="2013-08-23T01:29:00"/>
    <d v="2013-08-24T21:38:00"/>
    <n v="0"/>
    <n v="114"/>
    <n v="107"/>
    <s v="First superheater B"/>
    <s v="SH tube leak W.O. #6487766 "/>
    <s v="Brown"/>
    <x v="3"/>
    <s v="Coal"/>
    <x v="0"/>
    <x v="0"/>
    <n v="8"/>
    <n v="44.150000000023283"/>
    <n v="44.150000000023283"/>
    <n v="4724.0500000024913"/>
    <n v="107"/>
    <x v="4"/>
  </r>
  <r>
    <x v="0"/>
    <x v="0"/>
    <n v="44"/>
    <n v="1710"/>
    <d v="2013-09-11T16:35:00"/>
    <d v="2013-09-11T19:04:00"/>
    <n v="110"/>
    <n v="114"/>
    <n v="107"/>
    <s v="Combustion/steam condition controls (report local controls --- burners"/>
    <s v="Combustion air flow at maximum limit "/>
    <s v="Brown"/>
    <x v="0"/>
    <s v="Coal"/>
    <x v="0"/>
    <x v="0"/>
    <n v="9"/>
    <n v="2.4833333333954215"/>
    <n v="8.7134502926155141E-2"/>
    <n v="9.3233918130986009"/>
    <n v="3.7543859649122808"/>
    <x v="9"/>
  </r>
  <r>
    <x v="0"/>
    <x v="0"/>
    <n v="45"/>
    <n v="3411"/>
    <d v="2013-09-13T10:05:00"/>
    <d v="2013-09-18T08:41:00"/>
    <n v="110"/>
    <n v="114"/>
    <n v="107"/>
    <s v="Feedwater pump drive - motor"/>
    <s v="1-1 BFP Motor failure 6494431"/>
    <s v="Brown"/>
    <x v="0"/>
    <s v="Coal"/>
    <x v="0"/>
    <x v="0"/>
    <n v="9"/>
    <n v="118.59999999997672"/>
    <n v="4.1614035087711132"/>
    <n v="445.27017543850911"/>
    <n v="3.7543859649122808"/>
    <x v="9"/>
  </r>
  <r>
    <x v="0"/>
    <x v="0"/>
    <n v="46"/>
    <n v="3411"/>
    <d v="2013-09-18T08:41:00"/>
    <d v="2013-09-18T10:10:00"/>
    <n v="105"/>
    <n v="114"/>
    <n v="107"/>
    <s v="Feedwater pump drive - motor"/>
    <s v="1-1 BFP Motor failure "/>
    <s v="Brown"/>
    <x v="0"/>
    <s v="Coal"/>
    <x v="0"/>
    <x v="0"/>
    <n v="9"/>
    <n v="1.4833333332790062"/>
    <n v="0.11710526315360575"/>
    <n v="12.530263157435815"/>
    <n v="8.4473684210526319"/>
    <x v="1"/>
  </r>
  <r>
    <x v="0"/>
    <x v="5"/>
    <n v="48"/>
    <n v="4570"/>
    <d v="2013-10-09T10:21:00"/>
    <d v="2013-10-09T23:41:00"/>
    <n v="0"/>
    <n v="114"/>
    <n v="107"/>
    <s v="Generator casing"/>
    <s v="Check Gen H2 Cooler for leak due to moist in sight glass. 6502387"/>
    <s v="Brown"/>
    <x v="3"/>
    <s v="Coal"/>
    <x v="0"/>
    <x v="0"/>
    <n v="10"/>
    <n v="13.333333333313931"/>
    <n v="13.333333333313931"/>
    <n v="1426.6666666645906"/>
    <n v="107"/>
    <x v="4"/>
  </r>
  <r>
    <x v="0"/>
    <x v="4"/>
    <n v="49"/>
    <n v="8230"/>
    <d v="2013-10-16T20:19:00"/>
    <d v="2013-10-18T14:30:00"/>
    <n v="0"/>
    <n v="114"/>
    <n v="107"/>
    <s v="Ducting A"/>
    <s v="Repair FGD inlet duct expansion joint "/>
    <s v="Brown"/>
    <x v="2"/>
    <s v="Coal"/>
    <x v="0"/>
    <x v="0"/>
    <n v="10"/>
    <n v="42.18333333323244"/>
    <n v="42.18333333323244"/>
    <n v="4513.6166666558711"/>
    <n v="107"/>
    <x v="4"/>
  </r>
  <r>
    <x v="0"/>
    <x v="0"/>
    <n v="51"/>
    <n v="310"/>
    <d v="2013-10-22T17:42:00"/>
    <d v="2013-10-22T22:50:00"/>
    <n v="90"/>
    <n v="114"/>
    <n v="107"/>
    <s v="Pulverizer mills"/>
    <s v="1-1 Mill full of coal tripped on startup "/>
    <s v="Brown"/>
    <x v="0"/>
    <s v="Coal"/>
    <x v="0"/>
    <x v="0"/>
    <n v="10"/>
    <n v="5.1333333333022892"/>
    <n v="1.0807017543794293"/>
    <n v="115.63508771859894"/>
    <n v="22.526315789473685"/>
    <x v="0"/>
  </r>
  <r>
    <x v="0"/>
    <x v="0"/>
    <n v="52"/>
    <n v="310"/>
    <d v="2013-11-04T06:39:00"/>
    <d v="2013-11-04T09:45:00"/>
    <n v="90"/>
    <n v="114"/>
    <n v="107"/>
    <s v="Pulverizer mills"/>
    <s v="1-1 Mill full of coal tripped on startup "/>
    <s v="Brown"/>
    <x v="0"/>
    <s v="Coal"/>
    <x v="0"/>
    <x v="0"/>
    <n v="11"/>
    <n v="3.0999999999767169"/>
    <n v="0.65263157894246671"/>
    <n v="69.831578946843933"/>
    <n v="22.526315789473685"/>
    <x v="0"/>
  </r>
  <r>
    <x v="0"/>
    <x v="1"/>
    <n v="53"/>
    <n v="4261"/>
    <d v="2013-11-16T00:00:00"/>
    <d v="2013-11-16T00:39:00"/>
    <n v="65"/>
    <n v="114"/>
    <n v="107"/>
    <s v="Control valves"/>
    <s v="Replace #4 governor valve servo 6510732  "/>
    <s v="Brown"/>
    <x v="0"/>
    <s v="Coal"/>
    <x v="0"/>
    <x v="0"/>
    <n v="11"/>
    <n v="0.65000000002328306"/>
    <n v="0.27938596492228834"/>
    <n v="29.894298246684851"/>
    <n v="45.991228070175438"/>
    <x v="10"/>
  </r>
  <r>
    <x v="0"/>
    <x v="0"/>
    <n v="54"/>
    <n v="267"/>
    <d v="2013-11-19T09:48:00"/>
    <d v="2013-11-19T10:28:00"/>
    <n v="85"/>
    <n v="114"/>
    <n v="107"/>
    <s v="Primary air flow instrumentation"/>
    <s v="Replace 1-3 mill pitot tube assembly 6513440"/>
    <s v="Brown"/>
    <x v="0"/>
    <s v="Coal"/>
    <x v="0"/>
    <x v="0"/>
    <n v="11"/>
    <n v="0.66666666674427688"/>
    <n v="0.16959064329459675"/>
    <n v="18.146198832521851"/>
    <n v="27.219298245614034"/>
    <x v="6"/>
  </r>
  <r>
    <x v="0"/>
    <x v="3"/>
    <n v="56"/>
    <n v="1100"/>
    <d v="2013-12-11T23:56:00"/>
    <d v="2013-12-12T01:10:00"/>
    <n v="0"/>
    <n v="114"/>
    <n v="107"/>
    <s v="Waterwall (Furnace wall) B"/>
    <s v="Deslag boiler"/>
    <s v="Brown"/>
    <x v="1"/>
    <s v="Coal"/>
    <x v="0"/>
    <x v="0"/>
    <n v="12"/>
    <n v="1.2333333333372138"/>
    <n v="1.2333333333372138"/>
    <n v="131.96666666708188"/>
    <n v="107"/>
    <x v="4"/>
  </r>
  <r>
    <x v="0"/>
    <x v="1"/>
    <n v="57"/>
    <n v="310"/>
    <d v="2013-12-18T21:30:00"/>
    <d v="2013-12-19T04:10:00"/>
    <n v="80"/>
    <n v="114"/>
    <n v="107"/>
    <s v="Pulverizer mills"/>
    <s v="Inspect 1-1 &amp; 1-3 mills"/>
    <s v="Brown"/>
    <x v="0"/>
    <s v="Coal"/>
    <x v="0"/>
    <x v="0"/>
    <n v="12"/>
    <n v="6.6666666665696539"/>
    <n v="1.9883040935383178"/>
    <n v="212.74853800860001"/>
    <n v="31.912280701754387"/>
    <x v="8"/>
  </r>
  <r>
    <x v="0"/>
    <x v="1"/>
    <n v="58"/>
    <n v="310"/>
    <d v="2013-12-19T22:00:00"/>
    <d v="2013-12-20T03:30:00"/>
    <n v="80"/>
    <n v="114"/>
    <n v="107"/>
    <s v="Pulverizer mills"/>
    <s v="Inspect 1-2 &amp; 1-4 mills"/>
    <s v="Brown"/>
    <x v="0"/>
    <s v="Coal"/>
    <x v="0"/>
    <x v="0"/>
    <n v="12"/>
    <n v="5.5000000001164153"/>
    <n v="1.6403508772277029"/>
    <n v="175.51754386336421"/>
    <n v="31.912280701754387"/>
    <x v="8"/>
  </r>
  <r>
    <x v="0"/>
    <x v="1"/>
    <n v="1"/>
    <n v="260"/>
    <d v="2014-01-03T00:00:00"/>
    <d v="2014-01-03T02:00:00"/>
    <n v="80"/>
    <n v="114"/>
    <n v="107"/>
    <s v="Primary air fan"/>
    <s v="1-3 mil primary air fan housing leak repair - 6529878"/>
    <s v="Brown"/>
    <x v="0"/>
    <s v="Coal"/>
    <x v="0"/>
    <x v="1"/>
    <n v="1"/>
    <n v="2.0000000000582077"/>
    <n v="0.59649122808753563"/>
    <n v="63.82456140536631"/>
    <n v="31.912280701754387"/>
    <x v="8"/>
  </r>
  <r>
    <x v="0"/>
    <x v="1"/>
    <n v="2"/>
    <n v="310"/>
    <d v="2014-02-19T22:00:00"/>
    <d v="2014-02-20T02:51:00"/>
    <n v="85"/>
    <n v="114"/>
    <n v="107"/>
    <s v="Pulverizer mills"/>
    <s v="1-1 &amp; 1-4 mill inspection"/>
    <s v="Brown"/>
    <x v="0"/>
    <s v="Coal"/>
    <x v="0"/>
    <x v="1"/>
    <n v="2"/>
    <n v="4.8500000000931323"/>
    <n v="1.233771929848253"/>
    <n v="132.01359649376306"/>
    <n v="27.219298245614034"/>
    <x v="6"/>
  </r>
  <r>
    <x v="0"/>
    <x v="1"/>
    <n v="3"/>
    <n v="310"/>
    <d v="2014-02-20T22:00:00"/>
    <d v="2014-02-21T03:39:00"/>
    <n v="85"/>
    <n v="114"/>
    <n v="107"/>
    <s v="Pulverizer mills"/>
    <s v="1-3 mill inspection"/>
    <s v="Brown"/>
    <x v="0"/>
    <s v="Coal"/>
    <x v="0"/>
    <x v="1"/>
    <n v="2"/>
    <n v="5.6500000000814907"/>
    <n v="1.4372807017751161"/>
    <n v="153.78903508993741"/>
    <n v="27.219298245614034"/>
    <x v="6"/>
  </r>
  <r>
    <x v="0"/>
    <x v="1"/>
    <n v="4"/>
    <n v="1400"/>
    <d v="2014-02-26T23:00:00"/>
    <d v="2014-02-27T00:00:00"/>
    <n v="50"/>
    <n v="114"/>
    <n v="107"/>
    <s v="Forced draft fans"/>
    <s v="Repair leaking cooler hose 1-1 FD Fan 6547051"/>
    <s v="Brown"/>
    <x v="0"/>
    <s v="Coal"/>
    <x v="0"/>
    <x v="1"/>
    <n v="2"/>
    <n v="0.99999999994179234"/>
    <n v="0.56140350873925182"/>
    <n v="60.070175435099948"/>
    <n v="60.070175438596493"/>
    <x v="11"/>
  </r>
  <r>
    <x v="0"/>
    <x v="1"/>
    <n v="5"/>
    <n v="310"/>
    <d v="2014-02-27T00:00:00"/>
    <d v="2014-02-27T02:28:00"/>
    <n v="75"/>
    <n v="114"/>
    <n v="107"/>
    <s v="Pulverizer mills"/>
    <s v="1-2 mill inspection 6534494"/>
    <s v="Brown"/>
    <x v="0"/>
    <s v="Coal"/>
    <x v="0"/>
    <x v="1"/>
    <n v="2"/>
    <n v="2.4666666666744277"/>
    <n v="0.84385964912546207"/>
    <n v="90.29298245642444"/>
    <n v="36.60526315789474"/>
    <x v="12"/>
  </r>
  <r>
    <x v="0"/>
    <x v="0"/>
    <n v="6"/>
    <n v="280"/>
    <d v="2014-03-04T09:56:00"/>
    <d v="2014-03-04T13:25:00"/>
    <n v="80"/>
    <n v="114"/>
    <n v="107"/>
    <s v="Pulverizer fires"/>
    <s v="1-3 mill pyrite fire 6548834"/>
    <s v="Brown"/>
    <x v="0"/>
    <s v="Coal"/>
    <x v="0"/>
    <x v="1"/>
    <n v="3"/>
    <n v="3.4833333333372138"/>
    <n v="1.0388888888900463"/>
    <n v="111.16111111123494"/>
    <n v="31.912280701754387"/>
    <x v="8"/>
  </r>
  <r>
    <x v="0"/>
    <x v="3"/>
    <n v="7"/>
    <n v="9656"/>
    <d v="2014-03-11T11:42:00"/>
    <d v="2014-03-11T16:08:00"/>
    <n v="0"/>
    <n v="114"/>
    <n v="107"/>
    <s v="Other stack or exhaust emissions testing - fossil"/>
    <s v="Low load RATA testing"/>
    <s v="Brown"/>
    <x v="1"/>
    <s v="Coal"/>
    <x v="0"/>
    <x v="1"/>
    <n v="3"/>
    <n v="4.4333333332906477"/>
    <n v="4.4333333332906477"/>
    <n v="474.36666666209931"/>
    <n v="107"/>
    <x v="4"/>
  </r>
  <r>
    <x v="0"/>
    <x v="0"/>
    <n v="8"/>
    <n v="310"/>
    <d v="2014-03-13T10:15:00"/>
    <d v="2014-03-13T13:45:00"/>
    <n v="80"/>
    <n v="114"/>
    <n v="107"/>
    <s v="Pulverizer mills"/>
    <s v="1-4 mill tripped due to air flow issues 6552310"/>
    <s v="Brown"/>
    <x v="0"/>
    <s v="Coal"/>
    <x v="0"/>
    <x v="1"/>
    <n v="3"/>
    <n v="3.4999999998835847"/>
    <n v="1.0438596490880867"/>
    <n v="111.69298245242528"/>
    <n v="31.912280701754387"/>
    <x v="8"/>
  </r>
  <r>
    <x v="0"/>
    <x v="0"/>
    <n v="9"/>
    <n v="310"/>
    <d v="2014-03-17T06:32:00"/>
    <d v="2014-03-17T07:27:00"/>
    <n v="85"/>
    <n v="114"/>
    <n v="107"/>
    <s v="Pulverizer mills"/>
    <s v="1-4 mill air flow erratic 6552310"/>
    <s v="Brown"/>
    <x v="0"/>
    <s v="Coal"/>
    <x v="0"/>
    <x v="1"/>
    <n v="3"/>
    <n v="0.91666666668606922"/>
    <n v="0.23318713450785972"/>
    <n v="24.951023392340989"/>
    <n v="27.219298245614034"/>
    <x v="6"/>
  </r>
  <r>
    <x v="0"/>
    <x v="0"/>
    <n v="10"/>
    <n v="9205"/>
    <d v="2014-03-18T08:37:00"/>
    <d v="2014-03-18T10:37:00"/>
    <n v="107"/>
    <n v="114"/>
    <n v="107"/>
    <s v="Poor quality natural gas fuel"/>
    <s v="Limited by coal quality"/>
    <s v="Brown"/>
    <x v="0"/>
    <s v="Coal"/>
    <x v="0"/>
    <x v="1"/>
    <n v="3"/>
    <n v="2.0000000000582077"/>
    <n v="0.1228070175474338"/>
    <n v="13.140350877575417"/>
    <n v="6.5701754385964914"/>
    <x v="13"/>
  </r>
  <r>
    <x v="0"/>
    <x v="0"/>
    <n v="11"/>
    <n v="9205"/>
    <d v="2014-03-18T10:37:00"/>
    <d v="2014-03-18T10:51:00"/>
    <n v="112"/>
    <n v="114"/>
    <n v="107"/>
    <s v="Poor quality natural gas fuel"/>
    <s v="Limited by coal quality"/>
    <s v="Brown"/>
    <x v="0"/>
    <s v="Coal"/>
    <x v="0"/>
    <x v="1"/>
    <n v="3"/>
    <n v="0.23333333322079852"/>
    <n v="4.0935672494876937E-3"/>
    <n v="0.43801169569518322"/>
    <n v="1.8771929824561404"/>
    <x v="14"/>
  </r>
  <r>
    <x v="0"/>
    <x v="0"/>
    <n v="12"/>
    <n v="9270"/>
    <d v="2014-04-01T10:50:00"/>
    <d v="2014-04-01T11:48:00"/>
    <n v="74"/>
    <n v="114"/>
    <n v="107"/>
    <s v="Wet coal"/>
    <s v="Wet coal in 1-3 mill causing pluggage "/>
    <s v="Brown"/>
    <x v="0"/>
    <s v="Coal"/>
    <x v="0"/>
    <x v="1"/>
    <n v="4"/>
    <n v="0.96666666667442769"/>
    <n v="0.33918128655243079"/>
    <n v="36.292397661110094"/>
    <n v="37.543859649122808"/>
    <x v="15"/>
  </r>
  <r>
    <x v="0"/>
    <x v="0"/>
    <n v="13"/>
    <n v="1140"/>
    <d v="2014-04-01T18:12:00"/>
    <d v="2014-04-01T18:16:00"/>
    <n v="86"/>
    <n v="114"/>
    <n v="107"/>
    <s v="First superheater A"/>
    <s v="Boiler slagging causing air flow issues"/>
    <s v="Brown"/>
    <x v="0"/>
    <s v="Coal"/>
    <x v="0"/>
    <x v="1"/>
    <n v="4"/>
    <n v="6.6666666709352285E-2"/>
    <n v="1.6374269016332141E-2"/>
    <n v="1.7520467847475392"/>
    <n v="26.280701754385966"/>
    <x v="16"/>
  </r>
  <r>
    <x v="0"/>
    <x v="0"/>
    <n v="14"/>
    <n v="1140"/>
    <d v="2014-04-01T18:16:00"/>
    <d v="2014-04-01T18:22:00"/>
    <n v="79"/>
    <n v="114"/>
    <n v="107"/>
    <s v="First superheater A"/>
    <s v="Boiler slagging causing air flow issues"/>
    <s v="Brown"/>
    <x v="0"/>
    <s v="Coal"/>
    <x v="0"/>
    <x v="1"/>
    <n v="4"/>
    <n v="9.9999999976716936E-2"/>
    <n v="3.0701754378816604E-2"/>
    <n v="3.2850877185333767"/>
    <n v="32.850877192982459"/>
    <x v="17"/>
  </r>
  <r>
    <x v="0"/>
    <x v="0"/>
    <n v="15"/>
    <n v="1140"/>
    <d v="2014-04-01T18:22:00"/>
    <d v="2014-04-01T21:07:00"/>
    <n v="59"/>
    <n v="114"/>
    <n v="107"/>
    <s v="First superheater A"/>
    <s v="Boiler slagging causing air flow issues and pluggage "/>
    <s v="Brown"/>
    <x v="0"/>
    <s v="Coal"/>
    <x v="0"/>
    <x v="1"/>
    <n v="4"/>
    <n v="2.7500000000582077"/>
    <n v="1.3267543859929949"/>
    <n v="141.96271930125044"/>
    <n v="51.622807017543863"/>
    <x v="18"/>
  </r>
  <r>
    <x v="0"/>
    <x v="5"/>
    <n v="16"/>
    <n v="1140"/>
    <d v="2014-04-01T21:07:00"/>
    <d v="2014-04-05T00:45:00"/>
    <n v="0"/>
    <n v="114"/>
    <n v="107"/>
    <s v="First superheater A"/>
    <s v="Boiler slagging causing air flow issues and pluggage "/>
    <s v="Brown"/>
    <x v="3"/>
    <s v="Coal"/>
    <x v="0"/>
    <x v="1"/>
    <n v="4"/>
    <n v="75.633333333302289"/>
    <n v="75.633333333302289"/>
    <n v="8092.7666666633449"/>
    <n v="107"/>
    <x v="4"/>
  </r>
  <r>
    <x v="0"/>
    <x v="5"/>
    <n v="17"/>
    <n v="4302"/>
    <d v="2014-04-05T04:22:00"/>
    <d v="2014-04-05T04:55:00"/>
    <n v="0"/>
    <n v="114"/>
    <n v="107"/>
    <s v="Turbine trip devices (including instruments)"/>
    <s v="Turbine trip on loss of condenser vacuum "/>
    <s v="Brown"/>
    <x v="3"/>
    <s v="Coal"/>
    <x v="0"/>
    <x v="1"/>
    <n v="4"/>
    <n v="0.55000000004656613"/>
    <n v="0.55000000004656613"/>
    <n v="58.850000004982576"/>
    <n v="107"/>
    <x v="4"/>
  </r>
  <r>
    <x v="0"/>
    <x v="0"/>
    <n v="18"/>
    <n v="340"/>
    <d v="2014-04-05T13:42:00"/>
    <d v="2014-04-05T14:38:00"/>
    <n v="80"/>
    <n v="114"/>
    <n v="107"/>
    <s v="Other pulverizer problems"/>
    <s v="Clean coal from 1-2 mill after unit MFT "/>
    <s v="Brown"/>
    <x v="0"/>
    <s v="Coal"/>
    <x v="0"/>
    <x v="1"/>
    <n v="4"/>
    <n v="0.93333333340706304"/>
    <n v="0.27836257312140478"/>
    <n v="29.784795323990313"/>
    <n v="31.912280701754387"/>
    <x v="8"/>
  </r>
  <r>
    <x v="0"/>
    <x v="0"/>
    <n v="19"/>
    <n v="9290"/>
    <d v="2014-04-05T14:38:00"/>
    <d v="2014-04-05T17:36:00"/>
    <n v="105"/>
    <n v="114"/>
    <n v="107"/>
    <s v="Other fuel quality problems"/>
    <s v="Poor coal quality. Problems feeding and low BTU "/>
    <s v="Brown"/>
    <x v="0"/>
    <s v="Coal"/>
    <x v="0"/>
    <x v="1"/>
    <n v="4"/>
    <n v="2.9666666665580124"/>
    <n v="0.23421052630721151"/>
    <n v="25.06052631487163"/>
    <n v="8.4473684210526319"/>
    <x v="1"/>
  </r>
  <r>
    <x v="0"/>
    <x v="1"/>
    <n v="20"/>
    <n v="110"/>
    <d v="2014-04-05T17:36:00"/>
    <d v="2014-04-05T22:21:00"/>
    <n v="85"/>
    <n v="114"/>
    <n v="107"/>
    <s v="Other coal fuel supply problems up through bunkers"/>
    <s v="Clean coal bunkers for outage 1-1 bunker empty 6497431"/>
    <s v="Brown"/>
    <x v="0"/>
    <s v="Coal"/>
    <x v="0"/>
    <x v="1"/>
    <n v="4"/>
    <n v="4.7500000001164153"/>
    <n v="1.2083333333629478"/>
    <n v="129.29166666983542"/>
    <n v="27.219298245614034"/>
    <x v="6"/>
  </r>
  <r>
    <x v="0"/>
    <x v="1"/>
    <n v="21"/>
    <n v="110"/>
    <d v="2014-04-05T22:21:00"/>
    <d v="2014-04-06T01:23:00"/>
    <n v="55"/>
    <n v="114"/>
    <n v="107"/>
    <s v="Other coal fuel supply problems up through bunkers"/>
    <s v="Clean coal bunkers for outage 1-1 &amp; 1-2 bunkers empty 6497394"/>
    <s v="Brown"/>
    <x v="0"/>
    <s v="Coal"/>
    <x v="0"/>
    <x v="1"/>
    <n v="4"/>
    <n v="3.0333333332673647"/>
    <n v="1.5698830409015307"/>
    <n v="167.97748537646379"/>
    <n v="55.377192982456137"/>
    <x v="2"/>
  </r>
  <r>
    <x v="0"/>
    <x v="6"/>
    <n v="22"/>
    <n v="1812"/>
    <d v="2014-04-06T01:23:00"/>
    <d v="2014-04-27T23:38:00"/>
    <n v="0"/>
    <n v="114"/>
    <n v="107"/>
    <s v="Boiler Inspections - scheduled or routine"/>
    <s v="Planned outage. Various inspections, Performed annual boiler assessment, Performed loc"/>
    <s v="Brown"/>
    <x v="1"/>
    <s v="Coal"/>
    <x v="0"/>
    <x v="1"/>
    <n v="4"/>
    <n v="526.25000000005821"/>
    <n v="526.25000000005821"/>
    <n v="56308.750000006228"/>
    <n v="107"/>
    <x v="4"/>
  </r>
  <r>
    <x v="0"/>
    <x v="0"/>
    <n v="25"/>
    <n v="310"/>
    <d v="2014-04-28T03:30:00"/>
    <d v="2014-04-28T08:45:00"/>
    <n v="80"/>
    <n v="114"/>
    <n v="107"/>
    <s v="Pulverizer mills"/>
    <s v="1-2 mill pyrite door failed to open 6565658"/>
    <s v="Brown"/>
    <x v="0"/>
    <s v="Coal"/>
    <x v="0"/>
    <x v="1"/>
    <n v="4"/>
    <n v="5.25"/>
    <n v="1.5657894736842106"/>
    <n v="167.53947368421055"/>
    <n v="31.912280701754387"/>
    <x v="8"/>
  </r>
  <r>
    <x v="0"/>
    <x v="0"/>
    <n v="26"/>
    <n v="310"/>
    <d v="2014-04-28T08:45:00"/>
    <d v="2014-04-28T11:32:00"/>
    <n v="85"/>
    <n v="114"/>
    <n v="107"/>
    <s v="Pulverizer mills"/>
    <s v="1-3 mill pyrite door failed to close  6565658 "/>
    <s v="Brown"/>
    <x v="0"/>
    <s v="Coal"/>
    <x v="0"/>
    <x v="1"/>
    <n v="4"/>
    <n v="2.7833333333255723"/>
    <n v="0.70804093567054027"/>
    <n v="75.760380116747811"/>
    <n v="27.219298245614034"/>
    <x v="6"/>
  </r>
  <r>
    <x v="0"/>
    <x v="0"/>
    <n v="27"/>
    <n v="1700"/>
    <d v="2014-04-28T11:32:00"/>
    <d v="2014-04-28T11:47:00"/>
    <n v="13"/>
    <n v="114"/>
    <n v="107"/>
    <s v="Feedwater controls (report local controls --- feedwater pump"/>
    <s v="Boiler trip due to low drum level which occured after losing 2  mills."/>
    <s v="Brown"/>
    <x v="0"/>
    <s v="Coal"/>
    <x v="0"/>
    <x v="1"/>
    <n v="4"/>
    <n v="0.24999999994179234"/>
    <n v="0.22149122801860549"/>
    <n v="23.699561397990788"/>
    <n v="94.798245614035082"/>
    <x v="19"/>
  </r>
  <r>
    <x v="0"/>
    <x v="5"/>
    <n v="28"/>
    <n v="4300"/>
    <d v="2014-04-28T11:47:00"/>
    <d v="2014-04-28T12:14:00"/>
    <n v="0"/>
    <n v="114"/>
    <n v="107"/>
    <s v="Turbine supervisory system (use codes 4290 to 4299 for hydraulic oil)"/>
    <s v="Turbine trip due to low condenser vacuum "/>
    <s v="Brown"/>
    <x v="3"/>
    <s v="Coal"/>
    <x v="0"/>
    <x v="1"/>
    <n v="4"/>
    <n v="0.45000000006984919"/>
    <n v="0.45000000006984919"/>
    <n v="48.150000007473864"/>
    <n v="107"/>
    <x v="4"/>
  </r>
  <r>
    <x v="0"/>
    <x v="0"/>
    <n v="29"/>
    <n v="280"/>
    <d v="2014-04-29T14:17:00"/>
    <d v="2014-04-29T15:20:00"/>
    <n v="85"/>
    <n v="114"/>
    <n v="107"/>
    <s v="Pulverizer fires"/>
    <s v="1-2 mill pyrite fire "/>
    <s v="Brown"/>
    <x v="0"/>
    <s v="Coal"/>
    <x v="0"/>
    <x v="1"/>
    <n v="4"/>
    <n v="1.0500000001047738"/>
    <n v="0.26710526318454769"/>
    <n v="28.580263160746604"/>
    <n v="27.219298245614034"/>
    <x v="6"/>
  </r>
  <r>
    <x v="0"/>
    <x v="0"/>
    <n v="30"/>
    <n v="280"/>
    <d v="2014-04-29T15:20:00"/>
    <d v="2014-04-29T15:43:00"/>
    <n v="90"/>
    <n v="114"/>
    <n v="107"/>
    <s v="Pulverizer fires"/>
    <s v="1-2 mill pyrite fire "/>
    <s v="Brown"/>
    <x v="0"/>
    <s v="Coal"/>
    <x v="0"/>
    <x v="1"/>
    <n v="4"/>
    <n v="0.38333333336049691"/>
    <n v="8.0701754391683561E-2"/>
    <n v="8.6350877199101408"/>
    <n v="22.526315789473685"/>
    <x v="0"/>
  </r>
  <r>
    <x v="0"/>
    <x v="0"/>
    <n v="31"/>
    <n v="9270"/>
    <d v="2014-05-02T10:21:00"/>
    <d v="2014-05-02T11:38:00"/>
    <n v="100"/>
    <n v="114"/>
    <n v="107"/>
    <s v="Wet coal"/>
    <s v="Wet coal plugging from bunker to feeder."/>
    <s v="Brown"/>
    <x v="0"/>
    <s v="Coal"/>
    <x v="0"/>
    <x v="1"/>
    <n v="5"/>
    <n v="1.2833333333255723"/>
    <n v="0.15760233918033345"/>
    <n v="16.863450292295678"/>
    <n v="13.140350877192983"/>
    <x v="20"/>
  </r>
  <r>
    <x v="0"/>
    <x v="3"/>
    <n v="32"/>
    <n v="1100"/>
    <d v="2014-05-02T21:40:00"/>
    <d v="2014-05-02T22:41:00"/>
    <n v="0"/>
    <n v="114"/>
    <n v="107"/>
    <s v="Waterwall (Furnace wall) B"/>
    <s v="Deslag boiler."/>
    <s v="Brown"/>
    <x v="1"/>
    <s v="Coal"/>
    <x v="0"/>
    <x v="1"/>
    <n v="5"/>
    <n v="1.0166666666627862"/>
    <n v="1.0166666666627862"/>
    <n v="108.78333333291812"/>
    <n v="107"/>
    <x v="4"/>
  </r>
  <r>
    <x v="0"/>
    <x v="0"/>
    <n v="33"/>
    <n v="358"/>
    <d v="2014-05-04T17:35:00"/>
    <d v="2014-05-04T19:28:00"/>
    <n v="93"/>
    <n v="114"/>
    <n v="107"/>
    <s v="Oil burner piping and valves"/>
    <s v="1-3C burner shutoff gate not opening. 6566429"/>
    <s v="Brown"/>
    <x v="0"/>
    <s v="Coal"/>
    <x v="0"/>
    <x v="1"/>
    <n v="5"/>
    <n v="1.8833333333604969"/>
    <n v="0.34692982456640731"/>
    <n v="37.121491228605585"/>
    <n v="19.710526315789473"/>
    <x v="21"/>
  </r>
  <r>
    <x v="0"/>
    <x v="1"/>
    <n v="34"/>
    <n v="3410"/>
    <d v="2014-05-06T23:00:00"/>
    <d v="2014-05-07T01:30:00"/>
    <n v="50"/>
    <n v="114"/>
    <n v="107"/>
    <s v="Feedwater pump"/>
    <s v="1-3 BFP mechanical seal leak 6567750"/>
    <s v="Brown"/>
    <x v="0"/>
    <s v="Coal"/>
    <x v="0"/>
    <x v="1"/>
    <n v="5"/>
    <n v="2.4999999999417923"/>
    <n v="1.4035087718971466"/>
    <n v="150.17543859299468"/>
    <n v="60.070175438596493"/>
    <x v="11"/>
  </r>
  <r>
    <x v="0"/>
    <x v="5"/>
    <n v="35"/>
    <n v="1455"/>
    <d v="2014-05-08T10:16:00"/>
    <d v="2014-05-08T18:45:00"/>
    <n v="0"/>
    <n v="114"/>
    <n v="107"/>
    <s v="Induced draft fans"/>
    <s v="ID Fan trip due to high vibration 6568246"/>
    <s v="Brown"/>
    <x v="3"/>
    <s v="Coal"/>
    <x v="0"/>
    <x v="1"/>
    <n v="5"/>
    <n v="8.4833333333954215"/>
    <n v="8.4833333333954215"/>
    <n v="907.7166666733101"/>
    <n v="107"/>
    <x v="4"/>
  </r>
  <r>
    <x v="0"/>
    <x v="7"/>
    <n v="36"/>
    <n v="1455"/>
    <d v="2014-05-08T18:45:00"/>
    <d v="2014-05-08T22:03:00"/>
    <n v="0"/>
    <n v="114"/>
    <n v="107"/>
    <s v="Induced draft fans"/>
    <s v="ID Fan trip due to high vibration 6568246"/>
    <s v="Brown"/>
    <x v="3"/>
    <s v="Coal"/>
    <x v="0"/>
    <x v="1"/>
    <n v="5"/>
    <n v="3.2999999999301508"/>
    <n v="3.2999999999301508"/>
    <n v="353.09999999252614"/>
    <n v="107"/>
    <x v="4"/>
  </r>
  <r>
    <x v="0"/>
    <x v="0"/>
    <n v="37"/>
    <n v="310"/>
    <d v="2014-05-08T23:40:00"/>
    <d v="2014-05-10T12:00:00"/>
    <n v="95"/>
    <n v="114"/>
    <n v="107"/>
    <s v="Pulverizer mills"/>
    <s v="1-2 mill broken race 6568288"/>
    <s v="Brown"/>
    <x v="0"/>
    <s v="Coal"/>
    <x v="0"/>
    <x v="1"/>
    <n v="5"/>
    <n v="36.333333333372138"/>
    <n v="6.0555555555620231"/>
    <n v="647.94444444513647"/>
    <n v="17.833333333333332"/>
    <x v="5"/>
  </r>
  <r>
    <x v="0"/>
    <x v="1"/>
    <n v="38"/>
    <n v="510"/>
    <d v="2014-05-14T20:16:00"/>
    <d v="2014-05-15T00:05:00"/>
    <n v="63"/>
    <n v="114"/>
    <n v="107"/>
    <s v="Main steam relief/safety valves off superheater"/>
    <s v="Set boiler saftey valves"/>
    <s v="Brown"/>
    <x v="0"/>
    <s v="Coal"/>
    <x v="0"/>
    <x v="1"/>
    <n v="5"/>
    <n v="3.8166666665347293"/>
    <n v="1.7074561402918527"/>
    <n v="182.69780701122824"/>
    <n v="47.868421052631582"/>
    <x v="22"/>
  </r>
  <r>
    <x v="0"/>
    <x v="1"/>
    <n v="39"/>
    <n v="260"/>
    <d v="2014-05-19T11:41:00"/>
    <d v="2014-05-19T13:11:00"/>
    <n v="75"/>
    <n v="114"/>
    <n v="107"/>
    <s v="Primary air fan"/>
    <s v="Repair 1-2 mill primary air fan bearing water leak. 6570276"/>
    <s v="Brown"/>
    <x v="0"/>
    <s v="Coal"/>
    <x v="0"/>
    <x v="1"/>
    <n v="5"/>
    <n v="1.5"/>
    <n v="0.51315789473684215"/>
    <n v="54.90789473684211"/>
    <n v="36.60526315789474"/>
    <x v="12"/>
  </r>
  <r>
    <x v="0"/>
    <x v="0"/>
    <n v="40"/>
    <n v="95"/>
    <d v="2014-05-20T13:06:00"/>
    <d v="2014-05-20T14:23:00"/>
    <n v="80"/>
    <n v="114"/>
    <n v="107"/>
    <s v="Bunker flow problems"/>
    <s v="1-2 mill coal bunker pluggage. "/>
    <s v="Brown"/>
    <x v="0"/>
    <s v="Coal"/>
    <x v="0"/>
    <x v="1"/>
    <n v="5"/>
    <n v="1.2833333335001953"/>
    <n v="0.38274853806146175"/>
    <n v="40.954093572576404"/>
    <n v="31.912280701754387"/>
    <x v="8"/>
  </r>
  <r>
    <x v="0"/>
    <x v="1"/>
    <n v="41"/>
    <n v="310"/>
    <d v="2014-05-30T22:00:00"/>
    <d v="2014-06-01T08:25:00"/>
    <n v="90"/>
    <n v="114"/>
    <n v="107"/>
    <s v="Pulverizer mills"/>
    <s v="1-3 mill race replacement"/>
    <s v="Brown"/>
    <x v="0"/>
    <s v="Coal"/>
    <x v="0"/>
    <x v="1"/>
    <n v="5"/>
    <n v="34.416666666744277"/>
    <n v="7.2456140351040581"/>
    <n v="775.28070175613425"/>
    <n v="22.526315789473685"/>
    <x v="0"/>
  </r>
  <r>
    <x v="0"/>
    <x v="1"/>
    <n v="42"/>
    <n v="3210"/>
    <d v="2014-06-26T22:00:00"/>
    <d v="2014-06-27T03:21:00"/>
    <n v="80"/>
    <n v="114"/>
    <n v="107"/>
    <s v="Circulating water pumps"/>
    <s v="Inspect 1-2 CWP coupling"/>
    <s v="Brown"/>
    <x v="0"/>
    <s v="Coal"/>
    <x v="0"/>
    <x v="1"/>
    <n v="6"/>
    <n v="5.3499999999767169"/>
    <n v="1.5956140350807753"/>
    <n v="170.73070175364296"/>
    <n v="31.912280701754387"/>
    <x v="8"/>
  </r>
  <r>
    <x v="0"/>
    <x v="0"/>
    <n v="43"/>
    <n v="250"/>
    <d v="2014-06-30T21:14:00"/>
    <d v="2014-07-01T02:05:00"/>
    <n v="90"/>
    <n v="114"/>
    <n v="107"/>
    <s v="Pulverizer feeders"/>
    <s v="1-4 mill feeder controls failed"/>
    <s v="Brown"/>
    <x v="0"/>
    <s v="Coal"/>
    <x v="0"/>
    <x v="1"/>
    <n v="6"/>
    <n v="4.8499999999185093"/>
    <n v="1.0210526315617914"/>
    <n v="109.25263157711167"/>
    <n v="22.526315789473685"/>
    <x v="0"/>
  </r>
  <r>
    <x v="0"/>
    <x v="0"/>
    <n v="44"/>
    <n v="410"/>
    <d v="2014-07-01T09:45:00"/>
    <d v="2014-07-01T09:59:00"/>
    <n v="66"/>
    <n v="114"/>
    <n v="107"/>
    <s v="Other burner problems"/>
    <s v="Lost 1-2 mill due to burner gate issues"/>
    <s v="Brown"/>
    <x v="0"/>
    <s v="Coal"/>
    <x v="0"/>
    <x v="1"/>
    <n v="7"/>
    <n v="0.2333333333954215"/>
    <n v="9.8245614061230113E-2"/>
    <n v="10.512280704551623"/>
    <n v="45.05263157894737"/>
    <x v="23"/>
  </r>
  <r>
    <x v="0"/>
    <x v="0"/>
    <n v="45"/>
    <n v="250"/>
    <d v="2014-07-01T10:28:00"/>
    <d v="2014-07-01T11:29:00"/>
    <n v="101"/>
    <n v="114"/>
    <n v="107"/>
    <s v="Pulverizer feeders"/>
    <s v="1-4 mill feeder VFD problem 6585589"/>
    <s v="Brown"/>
    <x v="0"/>
    <s v="Coal"/>
    <x v="0"/>
    <x v="1"/>
    <n v="7"/>
    <n v="1.0166666666627862"/>
    <n v="0.11593567251417737"/>
    <n v="12.405116959016979"/>
    <n v="12.201754385964913"/>
    <x v="24"/>
  </r>
  <r>
    <x v="0"/>
    <x v="0"/>
    <n v="46"/>
    <n v="250"/>
    <d v="2014-07-02T19:12:00"/>
    <d v="2014-07-02T19:25:00"/>
    <n v="95"/>
    <n v="114"/>
    <n v="107"/>
    <s v="Pulverizer feeders"/>
    <s v="1-3 Feeder "/>
    <s v="Brown"/>
    <x v="0"/>
    <s v="Coal"/>
    <x v="0"/>
    <x v="1"/>
    <n v="7"/>
    <n v="0.21666666667442769"/>
    <n v="3.6111111112404615E-2"/>
    <n v="3.8638888890272938"/>
    <n v="17.833333333333332"/>
    <x v="5"/>
  </r>
  <r>
    <x v="0"/>
    <x v="5"/>
    <n v="48"/>
    <n v="4261"/>
    <d v="2014-07-07T23:40:00"/>
    <d v="2014-07-08T18:19:00"/>
    <n v="0"/>
    <n v="114"/>
    <n v="107"/>
    <s v="Control valves"/>
    <s v="F060Broken spring bolts on #3 and #5 turbine governor valves. 6587251"/>
    <s v="Brown"/>
    <x v="3"/>
    <s v="Coal"/>
    <x v="0"/>
    <x v="1"/>
    <n v="7"/>
    <n v="18.650000000023283"/>
    <n v="18.650000000023283"/>
    <n v="1995.5500000024913"/>
    <n v="107"/>
    <x v="4"/>
  </r>
  <r>
    <x v="0"/>
    <x v="0"/>
    <n v="49"/>
    <n v="250"/>
    <d v="2014-07-14T15:10:00"/>
    <d v="2014-07-14T18:10:00"/>
    <n v="85"/>
    <n v="114"/>
    <n v="107"/>
    <s v="Pulverizer feeders"/>
    <s v="1-2 mill feeder inlet gate restricting coal feed. 6589203 "/>
    <s v="Brown"/>
    <x v="0"/>
    <s v="Coal"/>
    <x v="0"/>
    <x v="1"/>
    <n v="7"/>
    <n v="3"/>
    <n v="0.76315789473684215"/>
    <n v="81.65789473684211"/>
    <n v="27.219298245614034"/>
    <x v="6"/>
  </r>
  <r>
    <x v="0"/>
    <x v="1"/>
    <n v="50"/>
    <n v="344"/>
    <d v="2014-07-24T22:00:00"/>
    <d v="2014-07-25T03:48:00"/>
    <n v="85"/>
    <n v="114"/>
    <n v="107"/>
    <s v="Pulverizer inspection"/>
    <s v="1-1 &amp; 1-2 mill inspections"/>
    <s v="Brown"/>
    <x v="0"/>
    <s v="Coal"/>
    <x v="0"/>
    <x v="1"/>
    <n v="7"/>
    <n v="5.8000000000465661"/>
    <n v="1.4754385965030739"/>
    <n v="157.87192982582891"/>
    <n v="27.219298245614034"/>
    <x v="6"/>
  </r>
  <r>
    <x v="0"/>
    <x v="4"/>
    <n v="51"/>
    <n v="3420"/>
    <d v="2014-07-29T20:02:00"/>
    <d v="2014-07-31T03:14:00"/>
    <n v="0"/>
    <n v="114"/>
    <n v="107"/>
    <s v="Feedwater piping and supports"/>
    <s v="Repair leaking SH spray stop valve 6589205"/>
    <s v="Brown"/>
    <x v="2"/>
    <s v="Coal"/>
    <x v="0"/>
    <x v="1"/>
    <n v="7"/>
    <n v="31.200000000069849"/>
    <n v="31.200000000069849"/>
    <n v="3338.4000000074739"/>
    <n v="107"/>
    <x v="4"/>
  </r>
  <r>
    <x v="0"/>
    <x v="0"/>
    <n v="52"/>
    <n v="385"/>
    <d v="2014-08-07T16:02:00"/>
    <d v="2014-08-07T18:18:00"/>
    <n v="55"/>
    <n v="114"/>
    <n v="107"/>
    <s v="Igniters"/>
    <s v="Problems with 1-1 &amp; 1-4 mill igniters. 6596529"/>
    <s v="Brown"/>
    <x v="0"/>
    <s v="Coal"/>
    <x v="0"/>
    <x v="1"/>
    <n v="8"/>
    <n v="2.2666666665463708"/>
    <n v="1.1730994151424199"/>
    <n v="125.52163742023893"/>
    <n v="55.377192982456137"/>
    <x v="2"/>
  </r>
  <r>
    <x v="0"/>
    <x v="0"/>
    <n v="53"/>
    <n v="380"/>
    <d v="2014-08-07T18:18:00"/>
    <d v="2014-08-07T18:35:00"/>
    <n v="80"/>
    <n v="114"/>
    <n v="107"/>
    <s v="Light-off (igniter) systems (including fuel supply)"/>
    <s v="F320Loss of flame scanners on 1-1 mill igniters."/>
    <s v="Brown"/>
    <x v="0"/>
    <s v="Coal"/>
    <x v="0"/>
    <x v="1"/>
    <n v="8"/>
    <n v="0.28333333338377997"/>
    <n v="8.450292399165367E-2"/>
    <n v="9.0418128671069429"/>
    <n v="31.912280701754387"/>
    <x v="8"/>
  </r>
  <r>
    <x v="0"/>
    <x v="5"/>
    <n v="54"/>
    <n v="4700"/>
    <d v="2014-08-14T11:04:00"/>
    <d v="2014-08-14T12:03:00"/>
    <n v="0"/>
    <n v="114"/>
    <n v="107"/>
    <s v="Generator voltage control"/>
    <s v="Generator over excitation trip 6596671"/>
    <s v="Brown"/>
    <x v="3"/>
    <s v="Coal"/>
    <x v="0"/>
    <x v="1"/>
    <n v="8"/>
    <n v="0.9833333333954215"/>
    <n v="0.9833333333954215"/>
    <n v="105.2166666733101"/>
    <n v="107"/>
    <x v="4"/>
  </r>
  <r>
    <x v="0"/>
    <x v="1"/>
    <n v="55"/>
    <n v="310"/>
    <d v="2014-08-27T21:15:00"/>
    <d v="2014-08-28T07:55:00"/>
    <n v="85"/>
    <n v="114"/>
    <n v="107"/>
    <s v="Pulverizer mills"/>
    <s v="Inspection of 1-1 and 1-3 mills"/>
    <s v="Brown"/>
    <x v="0"/>
    <s v="Coal"/>
    <x v="0"/>
    <x v="1"/>
    <n v="8"/>
    <n v="10.666666666686069"/>
    <n v="2.7134502924025967"/>
    <n v="290.33918128707785"/>
    <n v="27.219298245614034"/>
    <x v="6"/>
  </r>
  <r>
    <x v="0"/>
    <x v="1"/>
    <n v="56"/>
    <n v="310"/>
    <d v="2014-08-28T21:20:00"/>
    <d v="2014-08-29T03:25:00"/>
    <n v="85"/>
    <n v="114"/>
    <n v="107"/>
    <s v="Pulverizer mills"/>
    <s v="Inspection of 1-2 and 1-4 mills"/>
    <s v="Brown"/>
    <x v="0"/>
    <s v="Coal"/>
    <x v="0"/>
    <x v="1"/>
    <n v="8"/>
    <n v="6.0833333332557231"/>
    <n v="1.5475146198632981"/>
    <n v="165.58406432537291"/>
    <n v="27.219298245614034"/>
    <x v="6"/>
  </r>
  <r>
    <x v="0"/>
    <x v="4"/>
    <n v="57"/>
    <n v="840"/>
    <d v="2014-08-29T21:40:00"/>
    <d v="2014-08-31T06:57:00"/>
    <n v="0"/>
    <n v="114"/>
    <n v="107"/>
    <s v="Refractory and insulation"/>
    <s v="F310Missing refractory is boiler back pass causing air in leakage."/>
    <s v="Brown"/>
    <x v="2"/>
    <s v="Coal"/>
    <x v="0"/>
    <x v="1"/>
    <n v="8"/>
    <n v="33.283333333209157"/>
    <n v="33.283333333209157"/>
    <n v="3561.3166666533798"/>
    <n v="107"/>
    <x v="4"/>
  </r>
  <r>
    <x v="0"/>
    <x v="0"/>
    <n v="59"/>
    <n v="8551"/>
    <d v="2014-09-01T09:17:00"/>
    <d v="2014-09-01T09:27:00"/>
    <n v="40"/>
    <n v="114"/>
    <n v="107"/>
    <s v="Electrostatic precipitator field out of service"/>
    <s v="FE00ESP Brakers all left open without operator notification"/>
    <s v="Brown"/>
    <x v="0"/>
    <s v="Coal"/>
    <x v="0"/>
    <x v="1"/>
    <n v="9"/>
    <n v="0.16666666668606922"/>
    <n v="0.10818713451551862"/>
    <n v="11.576023393160492"/>
    <n v="69.456140350877192"/>
    <x v="25"/>
  </r>
  <r>
    <x v="0"/>
    <x v="4"/>
    <n v="61"/>
    <n v="1000"/>
    <d v="2014-09-16T12:55:00"/>
    <d v="2014-09-17T15:25:00"/>
    <n v="0"/>
    <n v="114"/>
    <n v="107"/>
    <s v="Waterwall (Furnace wall) A"/>
    <s v="Waterwall tube leak 6607681"/>
    <s v="Brown"/>
    <x v="2"/>
    <s v="Coal"/>
    <x v="0"/>
    <x v="1"/>
    <n v="9"/>
    <n v="26.499999999941792"/>
    <n v="26.499999999941792"/>
    <n v="2835.4999999937718"/>
    <n v="107"/>
    <x v="4"/>
  </r>
  <r>
    <x v="0"/>
    <x v="0"/>
    <n v="63"/>
    <n v="4261"/>
    <d v="2014-10-19T02:33:00"/>
    <d v="2014-10-19T12:15:00"/>
    <n v="40"/>
    <n v="114"/>
    <n v="107"/>
    <s v="Control valves"/>
    <s v="#1 governor valve erratic operation "/>
    <s v="Brown"/>
    <x v="0"/>
    <s v="Coal"/>
    <x v="0"/>
    <x v="1"/>
    <n v="10"/>
    <n v="9.7000000000116415"/>
    <n v="6.2964912280777323"/>
    <n v="673.72456140431734"/>
    <n v="69.456140350877192"/>
    <x v="25"/>
  </r>
  <r>
    <x v="0"/>
    <x v="0"/>
    <n v="65"/>
    <n v="1710"/>
    <d v="2014-11-11T21:23:00"/>
    <d v="2014-11-11T22:10:00"/>
    <n v="8"/>
    <n v="114"/>
    <n v="107"/>
    <s v="Combustion/steam condition controls (report local controls --- burners"/>
    <s v="Boiler trip due to low combustion air "/>
    <s v="Brown"/>
    <x v="0"/>
    <s v="Coal"/>
    <x v="0"/>
    <x v="1"/>
    <n v="11"/>
    <n v="0.78333333326736465"/>
    <n v="0.72836257303807594"/>
    <n v="77.934795315074126"/>
    <n v="99.491228070175438"/>
    <x v="26"/>
  </r>
  <r>
    <x v="0"/>
    <x v="1"/>
    <n v="66"/>
    <n v="1190"/>
    <d v="2014-11-20T23:48:00"/>
    <d v="2014-11-21T00:43:00"/>
    <n v="80"/>
    <n v="114"/>
    <n v="107"/>
    <s v="Other tube slagging or fouling"/>
    <s v="Hydrowash deslag of boiler"/>
    <s v="Brown"/>
    <x v="0"/>
    <s v="Coal"/>
    <x v="0"/>
    <x v="1"/>
    <n v="11"/>
    <n v="0.91666666668606922"/>
    <n v="0.27339181287128378"/>
    <n v="29.252923977227365"/>
    <n v="31.912280701754387"/>
    <x v="8"/>
  </r>
  <r>
    <x v="0"/>
    <x v="1"/>
    <n v="67"/>
    <n v="1190"/>
    <d v="2014-11-21T00:43:00"/>
    <d v="2014-11-21T01:13:00"/>
    <n v="55"/>
    <n v="114"/>
    <n v="107"/>
    <s v="Other tube slagging or fouling"/>
    <s v="Hydrowash deslag of boiler"/>
    <s v="Brown"/>
    <x v="0"/>
    <s v="Coal"/>
    <x v="0"/>
    <x v="1"/>
    <n v="11"/>
    <n v="0.49999999988358468"/>
    <n v="0.25877192976431135"/>
    <n v="27.688596484781314"/>
    <n v="55.377192982456137"/>
    <x v="2"/>
  </r>
  <r>
    <x v="0"/>
    <x v="1"/>
    <n v="68"/>
    <n v="1190"/>
    <d v="2014-11-21T01:13:00"/>
    <d v="2014-11-21T01:52:00"/>
    <n v="40"/>
    <n v="114"/>
    <n v="107"/>
    <s v="Other tube slagging or fouling"/>
    <s v="Hydrowash deslag of boiler "/>
    <s v="Brown"/>
    <x v="0"/>
    <s v="Coal"/>
    <x v="0"/>
    <x v="1"/>
    <n v="11"/>
    <n v="0.65000000002328306"/>
    <n v="0.42192982457651707"/>
    <n v="45.146491229687328"/>
    <n v="69.456140350877192"/>
    <x v="25"/>
  </r>
  <r>
    <x v="0"/>
    <x v="0"/>
    <n v="69"/>
    <n v="310"/>
    <d v="2014-12-05T10:27:00"/>
    <d v="2014-12-05T11:43:00"/>
    <n v="75"/>
    <n v="114"/>
    <n v="107"/>
    <s v="Pulverizer mills"/>
    <s v="1-4 mill broken spring bolt "/>
    <s v="Brown"/>
    <x v="0"/>
    <s v="Coal"/>
    <x v="0"/>
    <x v="1"/>
    <n v="12"/>
    <n v="1.2666666666045785"/>
    <n v="0.43333333331209262"/>
    <n v="46.366666664393911"/>
    <n v="36.60526315789474"/>
    <x v="12"/>
  </r>
  <r>
    <x v="0"/>
    <x v="0"/>
    <n v="70"/>
    <n v="9270"/>
    <d v="2014-12-06T18:53:00"/>
    <d v="2014-12-06T19:22:00"/>
    <n v="80"/>
    <n v="114"/>
    <n v="107"/>
    <s v="Wet coal"/>
    <s v="Wet coal "/>
    <s v="Brown"/>
    <x v="0"/>
    <s v="Coal"/>
    <x v="0"/>
    <x v="1"/>
    <n v="12"/>
    <n v="0.48333333316259086"/>
    <n v="0.14415204673270254"/>
    <n v="15.424269000399173"/>
    <n v="31.912280701754387"/>
    <x v="8"/>
  </r>
  <r>
    <x v="0"/>
    <x v="0"/>
    <n v="71"/>
    <n v="310"/>
    <d v="2014-12-06T22:35:00"/>
    <d v="2014-12-07T02:47:00"/>
    <n v="80"/>
    <n v="114"/>
    <n v="107"/>
    <s v="Pulverizer mills"/>
    <s v="1-4 mill broken spring bolt  "/>
    <s v="Brown"/>
    <x v="0"/>
    <s v="Coal"/>
    <x v="0"/>
    <x v="1"/>
    <n v="12"/>
    <n v="4.2000000000698492"/>
    <n v="1.2526315789682005"/>
    <n v="134.03157894959745"/>
    <n v="31.912280701754387"/>
    <x v="8"/>
  </r>
  <r>
    <x v="0"/>
    <x v="0"/>
    <n v="72"/>
    <n v="300"/>
    <d v="2014-12-08T06:20:00"/>
    <d v="2014-12-08T06:35:00"/>
    <n v="90"/>
    <n v="114"/>
    <n v="107"/>
    <s v="Pulverizer motors and drives"/>
    <s v="1-3 mill failed to start "/>
    <s v="Brown"/>
    <x v="0"/>
    <s v="Coal"/>
    <x v="0"/>
    <x v="1"/>
    <n v="12"/>
    <n v="0.24999999994179234"/>
    <n v="5.2631578935114179E-2"/>
    <n v="5.6315789460572168"/>
    <n v="22.526315789473685"/>
    <x v="0"/>
  </r>
  <r>
    <x v="0"/>
    <x v="3"/>
    <n v="1"/>
    <n v="8700"/>
    <d v="2015-01-13T21:30:00"/>
    <d v="2015-01-14T01:47:00"/>
    <n v="0"/>
    <n v="114"/>
    <n v="107"/>
    <s v="CEMS Certification and Recertification"/>
    <s v="Low load RATA testing"/>
    <s v="Brown"/>
    <x v="1"/>
    <s v="Coal"/>
    <x v="0"/>
    <x v="2"/>
    <n v="1"/>
    <n v="4.2833333333255723"/>
    <n v="4.2833333333255723"/>
    <n v="458.31666666583624"/>
    <n v="107"/>
    <x v="4"/>
  </r>
  <r>
    <x v="0"/>
    <x v="1"/>
    <n v="2"/>
    <n v="310"/>
    <d v="2015-01-14T23:00:00"/>
    <d v="2015-01-15T04:00:00"/>
    <n v="80"/>
    <n v="114"/>
    <n v="107"/>
    <s v="Pulverizer mills"/>
    <s v="Inspect 1-1 &amp; 1-4 mills"/>
    <s v="Brown"/>
    <x v="0"/>
    <s v="Coal"/>
    <x v="0"/>
    <x v="2"/>
    <n v="1"/>
    <n v="4.9999999998835847"/>
    <n v="1.4912280701407183"/>
    <n v="159.56140350505686"/>
    <n v="31.912280701754387"/>
    <x v="8"/>
  </r>
  <r>
    <x v="0"/>
    <x v="1"/>
    <n v="3"/>
    <n v="310"/>
    <d v="2015-01-15T23:00:00"/>
    <d v="2015-01-16T03:00:00"/>
    <n v="80"/>
    <n v="114"/>
    <n v="107"/>
    <s v="Pulverizer mills"/>
    <s v="Inspect 1-2 &amp; 1-3 mills"/>
    <s v="Brown"/>
    <x v="0"/>
    <s v="Coal"/>
    <x v="0"/>
    <x v="2"/>
    <n v="1"/>
    <n v="3.9999999999417923"/>
    <n v="1.1929824561229907"/>
    <n v="127.64912280516"/>
    <n v="31.912280701754387"/>
    <x v="8"/>
  </r>
  <r>
    <x v="0"/>
    <x v="4"/>
    <n v="4"/>
    <n v="1512"/>
    <d v="2015-01-16T23:10:00"/>
    <d v="2015-01-17T16:44:00"/>
    <n v="0"/>
    <n v="114"/>
    <n v="107"/>
    <s v="Flue gas expansion joints"/>
    <s v="Repair expansion joint on combined duct to the FGD "/>
    <s v="Brown"/>
    <x v="2"/>
    <s v="Coal"/>
    <x v="0"/>
    <x v="2"/>
    <n v="1"/>
    <n v="17.566666666651145"/>
    <n v="17.566666666651145"/>
    <n v="1879.6333333316725"/>
    <n v="107"/>
    <x v="4"/>
  </r>
  <r>
    <x v="0"/>
    <x v="0"/>
    <n v="6"/>
    <n v="1599"/>
    <d v="2015-01-23T06:30:00"/>
    <d v="2015-01-23T06:45:00"/>
    <n v="75"/>
    <n v="114"/>
    <n v="107"/>
    <s v="Other miscellaneous boiler air and gas system problems"/>
    <s v="Boiler air flow erratic, having deviation alarms"/>
    <s v="Brown"/>
    <x v="0"/>
    <s v="Coal"/>
    <x v="0"/>
    <x v="2"/>
    <n v="1"/>
    <n v="0.24999999994179234"/>
    <n v="8.5526315769560532E-2"/>
    <n v="9.1513157873429769"/>
    <n v="36.60526315789474"/>
    <x v="12"/>
  </r>
  <r>
    <x v="0"/>
    <x v="6"/>
    <n v="7"/>
    <n v="4400"/>
    <d v="2015-02-28T09:38:00"/>
    <d v="2015-05-07T17:08:00"/>
    <n v="0"/>
    <n v="114"/>
    <n v="107"/>
    <s v="Major turbine overhaul (720 hrs or longer) (use for non-specific overhaul only; see page B-1)"/>
    <s v="Planned outage for turbine overhaul "/>
    <s v="Brown"/>
    <x v="1"/>
    <s v="Coal"/>
    <x v="0"/>
    <x v="2"/>
    <n v="2"/>
    <n v="1639.5"/>
    <n v="1639.5"/>
    <n v="175426.5"/>
    <n v="107"/>
    <x v="4"/>
  </r>
  <r>
    <x v="0"/>
    <x v="0"/>
    <n v="8"/>
    <n v="300"/>
    <d v="2015-05-08T04:39:00"/>
    <d v="2015-05-08T05:20:00"/>
    <n v="66"/>
    <n v="114"/>
    <n v="107"/>
    <s v="Pulverizer motors and drives"/>
    <s v="1-2 mill failed to start"/>
    <s v="Brown"/>
    <x v="0"/>
    <s v="Coal"/>
    <x v="0"/>
    <x v="2"/>
    <n v="5"/>
    <n v="0.68333333329064772"/>
    <n v="0.28771929822764114"/>
    <n v="30.785964910357603"/>
    <n v="45.05263157894737"/>
    <x v="23"/>
  </r>
  <r>
    <x v="0"/>
    <x v="4"/>
    <n v="9"/>
    <n v="4499"/>
    <d v="2015-05-08T08:54:00"/>
    <d v="2015-05-08T14:06:00"/>
    <n v="0"/>
    <n v="114"/>
    <n v="107"/>
    <s v="Other miscellaneous steam turbine problems"/>
    <s v="Balance shot for vibration after returning from major outage"/>
    <s v="Brown"/>
    <x v="2"/>
    <s v="Coal"/>
    <x v="0"/>
    <x v="2"/>
    <n v="5"/>
    <n v="5.2000000000116415"/>
    <n v="5.2000000000116415"/>
    <n v="556.40000000124564"/>
    <n v="107"/>
    <x v="4"/>
  </r>
  <r>
    <x v="0"/>
    <x v="4"/>
    <n v="10"/>
    <n v="4499"/>
    <d v="2015-05-08T18:01:00"/>
    <d v="2015-05-09T16:29:00"/>
    <n v="0"/>
    <n v="114"/>
    <n v="107"/>
    <s v="Other miscellaneous steam turbine problems"/>
    <s v="Balance shot for vibration after returning from major outage"/>
    <s v="Brown"/>
    <x v="2"/>
    <s v="Coal"/>
    <x v="0"/>
    <x v="2"/>
    <n v="5"/>
    <n v="22.466666666558012"/>
    <n v="22.466666666558012"/>
    <n v="2403.9333333217073"/>
    <n v="107"/>
    <x v="4"/>
  </r>
  <r>
    <x v="0"/>
    <x v="4"/>
    <n v="11"/>
    <n v="4490"/>
    <d v="2015-05-11T08:17:00"/>
    <d v="2015-05-11T11:01:00"/>
    <n v="0"/>
    <n v="114"/>
    <n v="107"/>
    <s v="Turbine performance testing (use code 9999 for total unit performance testing)"/>
    <s v="Balance shot for vibration after returning from major outage"/>
    <s v="Brown"/>
    <x v="2"/>
    <s v="Coal"/>
    <x v="0"/>
    <x v="2"/>
    <n v="5"/>
    <n v="2.7333333333372138"/>
    <n v="2.7333333333372138"/>
    <n v="292.46666666708188"/>
    <n v="107"/>
    <x v="4"/>
  </r>
  <r>
    <x v="0"/>
    <x v="5"/>
    <n v="12"/>
    <n v="4302"/>
    <d v="2015-05-11T11:03:00"/>
    <d v="2015-05-11T18:15:00"/>
    <n v="0"/>
    <n v="114"/>
    <n v="107"/>
    <s v="Turbine trip devices (including instruments)"/>
    <s v="Turbine trip due to high vibration "/>
    <s v="Brown"/>
    <x v="3"/>
    <s v="Coal"/>
    <x v="0"/>
    <x v="2"/>
    <n v="5"/>
    <n v="7.1999999998952262"/>
    <n v="7.1999999998952262"/>
    <n v="770.3999999887892"/>
    <n v="107"/>
    <x v="4"/>
  </r>
  <r>
    <x v="0"/>
    <x v="4"/>
    <n v="13"/>
    <n v="4619"/>
    <d v="2015-05-12T22:43:00"/>
    <d v="2015-05-14T04:46:00"/>
    <n v="0"/>
    <n v="114"/>
    <n v="107"/>
    <s v="Other hydrogen system problems"/>
    <s v="Investigate and repair generator H2 leak "/>
    <s v="Brown"/>
    <x v="2"/>
    <s v="Coal"/>
    <x v="0"/>
    <x v="2"/>
    <n v="5"/>
    <n v="30.049999999988358"/>
    <n v="30.049999999988358"/>
    <n v="3215.3499999987544"/>
    <n v="107"/>
    <x v="4"/>
  </r>
  <r>
    <x v="0"/>
    <x v="5"/>
    <n v="14"/>
    <n v="1035"/>
    <d v="2015-05-14T23:12:00"/>
    <d v="2015-05-16T02:25:00"/>
    <n v="0"/>
    <n v="114"/>
    <n v="107"/>
    <s v="Platen superheater"/>
    <s v="SH tube leak "/>
    <s v="Brown"/>
    <x v="3"/>
    <s v="Coal"/>
    <x v="0"/>
    <x v="2"/>
    <n v="5"/>
    <n v="27.216666666674428"/>
    <n v="27.216666666674428"/>
    <n v="2912.1833333341638"/>
    <n v="107"/>
    <x v="4"/>
  </r>
  <r>
    <x v="0"/>
    <x v="4"/>
    <n v="15"/>
    <n v="1512"/>
    <d v="2015-05-21T20:05:00"/>
    <d v="2015-05-24T13:55:00"/>
    <n v="0"/>
    <n v="114"/>
    <n v="107"/>
    <s v="Flue gas expansion joints"/>
    <s v="Replace Unit 1 &amp; 2 combined duct expansion joint "/>
    <s v="Brown"/>
    <x v="2"/>
    <s v="Coal"/>
    <x v="0"/>
    <x v="2"/>
    <n v="5"/>
    <n v="65.833333333313931"/>
    <n v="65.833333333313931"/>
    <n v="7044.1666666645906"/>
    <n v="107"/>
    <x v="4"/>
  </r>
  <r>
    <x v="0"/>
    <x v="0"/>
    <n v="17"/>
    <n v="9910"/>
    <d v="2015-06-09T14:21:00"/>
    <d v="2015-06-09T15:06:00"/>
    <n v="65"/>
    <n v="114"/>
    <n v="107"/>
    <s v="Maintenance personnel error"/>
    <s v="Electrical feed for fuel oil pumps cut during building demolition "/>
    <s v="Brown"/>
    <x v="0"/>
    <s v="Coal"/>
    <x v="0"/>
    <x v="2"/>
    <n v="6"/>
    <n v="0.75"/>
    <n v="0.32236842105263158"/>
    <n v="34.493421052631582"/>
    <n v="45.991228070175438"/>
    <x v="10"/>
  </r>
  <r>
    <x v="0"/>
    <x v="4"/>
    <n v="19"/>
    <n v="4613"/>
    <d v="2015-07-10T09:09:00"/>
    <d v="2015-07-17T23:07:00"/>
    <n v="0"/>
    <n v="114"/>
    <n v="107"/>
    <s v="Hydrogen seals"/>
    <s v="Replace generator H2 seals  "/>
    <s v="Brown"/>
    <x v="2"/>
    <s v="Coal"/>
    <x v="0"/>
    <x v="2"/>
    <n v="7"/>
    <n v="181.96666666661622"/>
    <n v="181.96666666661622"/>
    <n v="19470.433333327936"/>
    <n v="107"/>
    <x v="4"/>
  </r>
  <r>
    <x v="0"/>
    <x v="0"/>
    <n v="20"/>
    <n v="250"/>
    <d v="2015-07-23T11:40:00"/>
    <d v="2015-07-23T14:38:00"/>
    <n v="80"/>
    <n v="114"/>
    <n v="107"/>
    <s v="Pulverizer feeders"/>
    <s v="1-2 mill feeder controller failed"/>
    <s v="Brown"/>
    <x v="0"/>
    <s v="Coal"/>
    <x v="0"/>
    <x v="2"/>
    <n v="7"/>
    <n v="2.9666666667326353"/>
    <n v="0.88479532165710173"/>
    <n v="94.673099417309885"/>
    <n v="31.912280701754387"/>
    <x v="8"/>
  </r>
  <r>
    <x v="0"/>
    <x v="4"/>
    <n v="21"/>
    <n v="4613"/>
    <d v="2015-08-18T22:03:00"/>
    <d v="2015-09-01T09:00:00"/>
    <n v="0"/>
    <n v="114"/>
    <n v="107"/>
    <s v="Hydrogen seals"/>
    <s v="Repair generator H2 leak "/>
    <s v="Brown"/>
    <x v="2"/>
    <s v="Coal"/>
    <x v="0"/>
    <x v="2"/>
    <n v="8"/>
    <n v="322.95000000006985"/>
    <n v="322.95000000006985"/>
    <n v="34555.650000007474"/>
    <n v="107"/>
    <x v="4"/>
  </r>
  <r>
    <x v="0"/>
    <x v="0"/>
    <n v="22"/>
    <n v="320"/>
    <d v="2015-09-02T13:15:00"/>
    <d v="2015-09-02T14:38:00"/>
    <n v="80"/>
    <n v="114"/>
    <n v="107"/>
    <s v="Foreign object in Pulverizers mill"/>
    <s v="Noise in 1-4 Mill "/>
    <s v="Brown"/>
    <x v="0"/>
    <s v="Coal"/>
    <x v="0"/>
    <x v="2"/>
    <n v="9"/>
    <n v="1.3833333333022892"/>
    <n v="0.41257309940594594"/>
    <n v="44.145321636436215"/>
    <n v="31.912280701754387"/>
    <x v="8"/>
  </r>
  <r>
    <x v="0"/>
    <x v="4"/>
    <n v="24"/>
    <n v="4289"/>
    <d v="2015-09-15T06:00:00"/>
    <d v="2015-09-15T06:11:00"/>
    <n v="0"/>
    <n v="114"/>
    <n v="107"/>
    <s v="Other lube oil system problems"/>
    <s v="Lube oil vapor extractor replacement"/>
    <s v="Brown"/>
    <x v="2"/>
    <s v="Coal"/>
    <x v="0"/>
    <x v="2"/>
    <n v="9"/>
    <n v="0.18333333340706304"/>
    <n v="0.18333333340706304"/>
    <n v="19.616666674555745"/>
    <n v="107"/>
    <x v="4"/>
  </r>
  <r>
    <x v="0"/>
    <x v="4"/>
    <n v="26"/>
    <n v="8720"/>
    <d v="2015-09-30T15:02:00"/>
    <d v="2015-09-30T16:31:00"/>
    <n v="0"/>
    <n v="114"/>
    <n v="107"/>
    <s v="NOx analyzer problems"/>
    <s v="Install mercury monitoring probe in duct"/>
    <s v="Brown"/>
    <x v="2"/>
    <s v="Coal"/>
    <x v="0"/>
    <x v="2"/>
    <n v="9"/>
    <n v="1.4833333334536292"/>
    <n v="1.4833333334536292"/>
    <n v="158.71666667953832"/>
    <n v="107"/>
    <x v="4"/>
  </r>
  <r>
    <x v="0"/>
    <x v="4"/>
    <n v="28"/>
    <n v="8720"/>
    <d v="2015-10-01T06:00:00"/>
    <d v="2015-10-02T15:24:00"/>
    <n v="0"/>
    <n v="114"/>
    <n v="107"/>
    <s v="NOx analyzer problems"/>
    <s v="Install mercury monitoring probe in duct "/>
    <s v="Brown"/>
    <x v="2"/>
    <s v="Coal"/>
    <x v="0"/>
    <x v="2"/>
    <n v="10"/>
    <n v="33.400000000081491"/>
    <n v="33.400000000081491"/>
    <n v="3573.8000000087195"/>
    <n v="107"/>
    <x v="4"/>
  </r>
  <r>
    <x v="0"/>
    <x v="4"/>
    <n v="30"/>
    <n v="8250"/>
    <d v="2015-10-03T10:26:00"/>
    <d v="2015-10-03T12:47:00"/>
    <n v="0"/>
    <n v="114"/>
    <n v="107"/>
    <s v="Dampers other than bypass"/>
    <s v="Inspect unit 1 &amp; 2 isolation damper at FGD inlet"/>
    <s v="Brown"/>
    <x v="2"/>
    <s v="Coal"/>
    <x v="0"/>
    <x v="2"/>
    <n v="10"/>
    <n v="2.3499999999767169"/>
    <n v="2.3499999999767169"/>
    <n v="251.44999999750871"/>
    <n v="107"/>
    <x v="4"/>
  </r>
  <r>
    <x v="0"/>
    <x v="0"/>
    <n v="33"/>
    <n v="4261"/>
    <d v="2015-11-04T18:35:00"/>
    <d v="2015-11-06T04:01:00"/>
    <n v="101"/>
    <n v="114"/>
    <n v="107"/>
    <s v="Control valves"/>
    <s v="EH fluid leaks on #1, #3 &amp; #5 govenor valves. #3 &amp; #5 isolated."/>
    <s v="Brown"/>
    <x v="0"/>
    <s v="Coal"/>
    <x v="0"/>
    <x v="2"/>
    <n v="11"/>
    <n v="33.433333333348855"/>
    <n v="3.8125730994169746"/>
    <n v="407.9453216376163"/>
    <n v="12.201754385964913"/>
    <x v="24"/>
  </r>
  <r>
    <x v="0"/>
    <x v="0"/>
    <n v="34"/>
    <n v="110"/>
    <d v="2015-11-06T04:01:00"/>
    <d v="2015-11-06T06:10:00"/>
    <n v="79"/>
    <n v="114"/>
    <n v="107"/>
    <s v="Other coal fuel supply problems up through bunkers"/>
    <s v="1-4 mill coal bunker empty"/>
    <s v="Brown"/>
    <x v="0"/>
    <s v="Coal"/>
    <x v="0"/>
    <x v="2"/>
    <n v="11"/>
    <n v="2.1500000000232831"/>
    <n v="0.66008771930539389"/>
    <n v="70.629385965677145"/>
    <n v="32.850877192982459"/>
    <x v="17"/>
  </r>
  <r>
    <x v="0"/>
    <x v="0"/>
    <n v="35"/>
    <n v="4261"/>
    <d v="2015-11-06T06:10:00"/>
    <d v="2015-11-06T14:11:00"/>
    <n v="101"/>
    <n v="114"/>
    <n v="107"/>
    <s v="Control valves"/>
    <s v="EH fluid leaks on #1, #3 &amp; #5 govenor valves. #3 &amp; #5 isolated."/>
    <s v="Brown"/>
    <x v="0"/>
    <s v="Coal"/>
    <x v="0"/>
    <x v="2"/>
    <n v="11"/>
    <n v="8.0166666666045785"/>
    <n v="0.91418128654262742"/>
    <n v="97.817397660061133"/>
    <n v="12.201754385964913"/>
    <x v="24"/>
  </r>
  <r>
    <x v="0"/>
    <x v="4"/>
    <n v="36"/>
    <n v="4261"/>
    <d v="2015-11-06T14:11:00"/>
    <d v="2015-11-07T19:53:00"/>
    <n v="0"/>
    <n v="114"/>
    <n v="107"/>
    <s v="Control valves"/>
    <s v="Repair EH fluid leaks on #1, #3 &amp; #5 govenor valves. #3 &amp; #5 isolated."/>
    <s v="Brown"/>
    <x v="2"/>
    <s v="Coal"/>
    <x v="0"/>
    <x v="2"/>
    <n v="11"/>
    <n v="29.700000000069849"/>
    <n v="29.700000000069849"/>
    <n v="3177.9000000074739"/>
    <n v="107"/>
    <x v="4"/>
  </r>
  <r>
    <x v="0"/>
    <x v="0"/>
    <n v="37"/>
    <n v="4261"/>
    <d v="2015-11-07T22:52:00"/>
    <d v="2015-11-09T08:23:00"/>
    <n v="100"/>
    <n v="114"/>
    <n v="107"/>
    <s v="Control valves"/>
    <s v="EH Fluid leak on #3 turbine govenor valve"/>
    <s v="Brown"/>
    <x v="0"/>
    <s v="Coal"/>
    <x v="0"/>
    <x v="2"/>
    <n v="11"/>
    <n v="33.516666666779201"/>
    <n v="4.1160818713588494"/>
    <n v="440.42076023539687"/>
    <n v="13.140350877192983"/>
    <x v="20"/>
  </r>
  <r>
    <x v="0"/>
    <x v="0"/>
    <n v="38"/>
    <n v="310"/>
    <d v="2015-11-23T05:48:00"/>
    <d v="2015-11-23T11:22:00"/>
    <n v="85"/>
    <n v="114"/>
    <n v="107"/>
    <s v="Pulverizer mills"/>
    <s v="Vacuum out 1-1 mill due to coal gate leaking thru. "/>
    <s v="Brown"/>
    <x v="0"/>
    <s v="Coal"/>
    <x v="0"/>
    <x v="2"/>
    <n v="11"/>
    <n v="5.5666666666511446"/>
    <n v="1.4160818713410805"/>
    <n v="151.52076023349562"/>
    <n v="27.219298245614034"/>
    <x v="6"/>
  </r>
  <r>
    <x v="0"/>
    <x v="4"/>
    <n v="2"/>
    <n v="1512"/>
    <d v="2016-01-13T23:42:00"/>
    <d v="2016-01-17T01:21:00"/>
    <n v="0"/>
    <n v="114"/>
    <n v="107"/>
    <s v="Flue gas expansion joints"/>
    <s v="Replace Unit 2 ID Fan discharge expansion joint to the FGD"/>
    <s v="Brown"/>
    <x v="2"/>
    <s v="Coal"/>
    <x v="0"/>
    <x v="3"/>
    <n v="1"/>
    <n v="73.649999999965075"/>
    <n v="73.649999999965075"/>
    <n v="7880.5499999962631"/>
    <n v="107"/>
    <x v="4"/>
  </r>
  <r>
    <x v="0"/>
    <x v="6"/>
    <n v="4"/>
    <n v="4261"/>
    <d v="2016-03-14T12:18:00"/>
    <d v="2016-04-11T22:06:00"/>
    <n v="0"/>
    <n v="114"/>
    <n v="107"/>
    <s v="Control valves"/>
    <s v="Turbine valve and minor boiler spring outage "/>
    <s v="Brown"/>
    <x v="1"/>
    <s v="Coal"/>
    <x v="0"/>
    <x v="3"/>
    <n v="3"/>
    <n v="681.79999999998836"/>
    <n v="681.79999999998836"/>
    <n v="72952.599999998754"/>
    <n v="107"/>
    <x v="4"/>
  </r>
  <r>
    <x v="0"/>
    <x v="0"/>
    <n v="5"/>
    <n v="253"/>
    <d v="2016-04-12T09:30:00"/>
    <d v="2016-04-12T16:50:00"/>
    <n v="85"/>
    <n v="114"/>
    <n v="107"/>
    <s v="Pulverizer feeder motor"/>
    <s v="1-4 mill feeder will not start"/>
    <s v="Brown"/>
    <x v="0"/>
    <s v="Coal"/>
    <x v="0"/>
    <x v="3"/>
    <n v="4"/>
    <n v="7.3333333333139308"/>
    <n v="1.8654970760184562"/>
    <n v="199.60818713397481"/>
    <n v="27.219298245614034"/>
    <x v="6"/>
  </r>
  <r>
    <x v="0"/>
    <x v="5"/>
    <n v="6"/>
    <n v="4261"/>
    <d v="2016-04-14T04:25:00"/>
    <d v="2016-04-14T21:27:00"/>
    <n v="0"/>
    <n v="114"/>
    <n v="107"/>
    <s v="Control valves"/>
    <s v="EHC leak on #5 gov. valve causing fire around turbine casing"/>
    <s v="Brown"/>
    <x v="3"/>
    <s v="Coal"/>
    <x v="0"/>
    <x v="3"/>
    <n v="4"/>
    <n v="17.033333333325572"/>
    <n v="17.033333333325572"/>
    <n v="1822.5666666658362"/>
    <n v="107"/>
    <x v="4"/>
  </r>
  <r>
    <x v="0"/>
    <x v="3"/>
    <n v="7"/>
    <n v="8700"/>
    <d v="2016-04-22T22:00:00"/>
    <d v="2016-04-23T02:00:00"/>
    <n v="0"/>
    <n v="114"/>
    <n v="107"/>
    <s v="CEMS Certification and Recertification"/>
    <s v="Low Load RATA testing"/>
    <s v="Brown"/>
    <x v="1"/>
    <s v="Coal"/>
    <x v="0"/>
    <x v="3"/>
    <n v="4"/>
    <n v="4.0000000001164153"/>
    <n v="4.0000000001164153"/>
    <n v="428.00000001245644"/>
    <n v="107"/>
    <x v="4"/>
  </r>
  <r>
    <x v="0"/>
    <x v="3"/>
    <n v="8"/>
    <n v="8700"/>
    <d v="2016-04-25T23:00:00"/>
    <d v="2016-04-26T01:45:00"/>
    <n v="0"/>
    <n v="114"/>
    <n v="107"/>
    <s v="CEMS Certification and Recertification"/>
    <s v="RATA Testing"/>
    <s v="Brown"/>
    <x v="1"/>
    <s v="Coal"/>
    <x v="0"/>
    <x v="3"/>
    <n v="4"/>
    <n v="2.7499999998835847"/>
    <n v="2.7499999998835847"/>
    <n v="294.24999998754356"/>
    <n v="107"/>
    <x v="4"/>
  </r>
  <r>
    <x v="0"/>
    <x v="3"/>
    <n v="9"/>
    <n v="8700"/>
    <d v="2016-04-26T21:00:00"/>
    <d v="2016-04-27T02:19:00"/>
    <n v="0"/>
    <n v="114"/>
    <n v="107"/>
    <s v="CEMS Certification and Recertification"/>
    <s v="RATA Testing"/>
    <s v="Brown"/>
    <x v="1"/>
    <s v="Coal"/>
    <x v="0"/>
    <x v="3"/>
    <n v="4"/>
    <n v="5.3166666667093523"/>
    <n v="5.3166666667093523"/>
    <n v="568.88333333790069"/>
    <n v="107"/>
    <x v="4"/>
  </r>
  <r>
    <x v="0"/>
    <x v="3"/>
    <n v="10"/>
    <n v="8700"/>
    <d v="2016-04-27T21:00:00"/>
    <d v="2016-04-28T04:03:00"/>
    <n v="0"/>
    <n v="114"/>
    <n v="107"/>
    <s v="CEMS Certification and Recertification"/>
    <s v="RATA Testing"/>
    <s v="Brown"/>
    <x v="1"/>
    <s v="Coal"/>
    <x v="0"/>
    <x v="3"/>
    <n v="4"/>
    <n v="7.0499999999301508"/>
    <n v="7.0499999999301508"/>
    <n v="754.34999999252614"/>
    <n v="107"/>
    <x v="4"/>
  </r>
  <r>
    <x v="0"/>
    <x v="0"/>
    <n v="11"/>
    <n v="300"/>
    <d v="2016-04-28T10:51:00"/>
    <d v="2016-04-28T11:29:00"/>
    <n v="85"/>
    <n v="114"/>
    <n v="107"/>
    <s v="Pulverizer motors and drives"/>
    <s v="1-4 pulverizer will not start"/>
    <s v="Brown"/>
    <x v="0"/>
    <s v="Coal"/>
    <x v="0"/>
    <x v="3"/>
    <n v="4"/>
    <n v="0.63333333347691223"/>
    <n v="0.16111111114763557"/>
    <n v="17.238888892797007"/>
    <n v="27.219298245614034"/>
    <x v="6"/>
  </r>
  <r>
    <x v="0"/>
    <x v="3"/>
    <n v="13"/>
    <n v="8700"/>
    <d v="2016-05-23T23:00:00"/>
    <d v="2016-05-24T05:20:00"/>
    <n v="0"/>
    <n v="114"/>
    <n v="107"/>
    <s v="CEMS Certification and Recertification"/>
    <s v="Mercury testing"/>
    <s v="Brown"/>
    <x v="1"/>
    <s v="Coal"/>
    <x v="0"/>
    <x v="3"/>
    <n v="5"/>
    <n v="6.3333333331975155"/>
    <n v="6.3333333331975155"/>
    <n v="677.66666665213415"/>
    <n v="107"/>
    <x v="4"/>
  </r>
  <r>
    <x v="0"/>
    <x v="1"/>
    <n v="14"/>
    <n v="344"/>
    <d v="2016-06-26T23:00:00"/>
    <d v="2016-06-27T09:19:00"/>
    <n v="80"/>
    <n v="114"/>
    <n v="107"/>
    <s v="Pulverizer inspection"/>
    <s v="1-1 Mill Inspection"/>
    <s v="Brown"/>
    <x v="0"/>
    <s v="Coal"/>
    <x v="0"/>
    <x v="3"/>
    <n v="6"/>
    <n v="10.316666666592937"/>
    <n v="3.0769005847733322"/>
    <n v="329.22836257074653"/>
    <n v="31.912280701754387"/>
    <x v="8"/>
  </r>
  <r>
    <x v="0"/>
    <x v="1"/>
    <n v="15"/>
    <n v="344"/>
    <d v="2016-06-27T23:00:00"/>
    <d v="2016-06-28T03:08:00"/>
    <n v="80"/>
    <n v="114"/>
    <n v="107"/>
    <s v="Pulverizer inspection"/>
    <s v="Mill Inspections"/>
    <s v="Brown"/>
    <x v="0"/>
    <s v="Coal"/>
    <x v="0"/>
    <x v="3"/>
    <n v="6"/>
    <n v="4.1333333333604969"/>
    <n v="1.2327485380197973"/>
    <n v="131.90409356811833"/>
    <n v="31.912280701754387"/>
    <x v="8"/>
  </r>
  <r>
    <x v="0"/>
    <x v="1"/>
    <n v="16"/>
    <n v="344"/>
    <d v="2016-06-28T23:00:00"/>
    <d v="2016-06-29T00:21:00"/>
    <n v="80"/>
    <n v="114"/>
    <n v="107"/>
    <s v="Pulverizer inspection"/>
    <s v="1-4 Mill Inspection"/>
    <s v="Brown"/>
    <x v="0"/>
    <s v="Coal"/>
    <x v="0"/>
    <x v="3"/>
    <n v="6"/>
    <n v="1.3499999998603016"/>
    <n v="0.402631578905704"/>
    <n v="43.081578942910326"/>
    <n v="31.912280701754387"/>
    <x v="8"/>
  </r>
  <r>
    <x v="0"/>
    <x v="1"/>
    <n v="17"/>
    <n v="310"/>
    <d v="2016-07-20T04:16:00"/>
    <d v="2016-07-20T04:48:00"/>
    <n v="95"/>
    <n v="114"/>
    <n v="107"/>
    <s v="Pulverizer mills"/>
    <s v="Replace 1-1 mill heat slinger"/>
    <s v="Brown"/>
    <x v="0"/>
    <s v="Coal"/>
    <x v="0"/>
    <x v="3"/>
    <n v="7"/>
    <n v="0.53333333332557231"/>
    <n v="8.8888888887595385E-2"/>
    <n v="9.5111111109727062"/>
    <n v="17.833333333333332"/>
    <x v="5"/>
  </r>
  <r>
    <x v="0"/>
    <x v="5"/>
    <n v="18"/>
    <n v="4260"/>
    <d v="2016-07-27T13:50:00"/>
    <d v="2016-07-28T09:23:00"/>
    <n v="0"/>
    <n v="114"/>
    <n v="107"/>
    <s v="Main stop valves"/>
    <s v="EHC oil leak on Throttle Valve"/>
    <s v="Brown"/>
    <x v="3"/>
    <s v="Coal"/>
    <x v="0"/>
    <x v="3"/>
    <n v="7"/>
    <n v="19.549999999988358"/>
    <n v="19.549999999988358"/>
    <n v="2091.8499999987544"/>
    <n v="107"/>
    <x v="4"/>
  </r>
  <r>
    <x v="0"/>
    <x v="4"/>
    <n v="19"/>
    <n v="3410"/>
    <d v="2016-07-28T09:23:00"/>
    <d v="2016-07-28T18:04:00"/>
    <n v="0"/>
    <n v="114"/>
    <n v="107"/>
    <s v="Feedwater pump"/>
    <s v="Repair 1-3 BFP recirculating valve regulator"/>
    <s v="Brown"/>
    <x v="2"/>
    <s v="Coal"/>
    <x v="0"/>
    <x v="3"/>
    <n v="7"/>
    <n v="8.6833333333488554"/>
    <n v="8.6833333333488554"/>
    <n v="929.11666666832753"/>
    <n v="107"/>
    <x v="4"/>
  </r>
  <r>
    <x v="0"/>
    <x v="1"/>
    <n v="20"/>
    <n v="310"/>
    <d v="2016-08-07T22:45:00"/>
    <d v="2016-08-08T05:15:00"/>
    <n v="90"/>
    <n v="114"/>
    <n v="107"/>
    <s v="Pulverizer mills"/>
    <s v="1-1 mill inspection"/>
    <s v="Brown"/>
    <x v="0"/>
    <s v="Coal"/>
    <x v="0"/>
    <x v="3"/>
    <n v="8"/>
    <n v="6.5000000000582077"/>
    <n v="1.3684210526438332"/>
    <n v="146.42105263289014"/>
    <n v="22.526315789473685"/>
    <x v="0"/>
  </r>
  <r>
    <x v="0"/>
    <x v="1"/>
    <n v="21"/>
    <n v="310"/>
    <d v="2016-08-08T23:00:00"/>
    <d v="2016-08-09T04:46:00"/>
    <n v="90"/>
    <n v="114"/>
    <n v="107"/>
    <s v="Pulverizer mills"/>
    <s v="1-2 mill inspection"/>
    <s v="Brown"/>
    <x v="0"/>
    <s v="Coal"/>
    <x v="0"/>
    <x v="3"/>
    <n v="8"/>
    <n v="5.7666666666045785"/>
    <n v="1.2140350877062271"/>
    <n v="129.90175438456632"/>
    <n v="22.526315789473685"/>
    <x v="0"/>
  </r>
  <r>
    <x v="0"/>
    <x v="1"/>
    <n v="22"/>
    <n v="310"/>
    <d v="2016-08-09T23:00:00"/>
    <d v="2016-08-10T04:47:00"/>
    <n v="80"/>
    <n v="114"/>
    <n v="107"/>
    <s v="Pulverizer mills"/>
    <s v="1-3 mill inspection"/>
    <s v="Brown"/>
    <x v="0"/>
    <s v="Coal"/>
    <x v="0"/>
    <x v="3"/>
    <n v="8"/>
    <n v="5.7833333333255723"/>
    <n v="1.724853801167276"/>
    <n v="184.55935672489855"/>
    <n v="31.912280701754387"/>
    <x v="8"/>
  </r>
  <r>
    <x v="0"/>
    <x v="1"/>
    <n v="23"/>
    <n v="310"/>
    <d v="2016-08-10T23:17:00"/>
    <d v="2016-08-11T04:53:00"/>
    <n v="90"/>
    <n v="114"/>
    <n v="107"/>
    <s v="Pulverizer mills"/>
    <s v="1-4 mill inspection"/>
    <s v="Brown"/>
    <x v="0"/>
    <s v="Coal"/>
    <x v="0"/>
    <x v="3"/>
    <n v="8"/>
    <n v="5.6000000000931323"/>
    <n v="1.1789473684406595"/>
    <n v="126.14736842315057"/>
    <n v="22.526315789473685"/>
    <x v="0"/>
  </r>
  <r>
    <x v="0"/>
    <x v="4"/>
    <n v="25"/>
    <n v="8250"/>
    <d v="2016-08-22T02:15:00"/>
    <d v="2016-08-22T15:38:00"/>
    <n v="0"/>
    <n v="114"/>
    <n v="107"/>
    <s v="Dampers other than bypass"/>
    <s v="Inspect Brown 3 FGD shutoff damper"/>
    <s v="Brown"/>
    <x v="2"/>
    <s v="Coal"/>
    <x v="0"/>
    <x v="3"/>
    <n v="8"/>
    <n v="13.383333333302289"/>
    <n v="13.383333333302289"/>
    <n v="1432.0166666633449"/>
    <n v="107"/>
    <x v="4"/>
  </r>
  <r>
    <x v="0"/>
    <x v="5"/>
    <n v="27"/>
    <n v="4302"/>
    <d v="2016-09-02T01:49:00"/>
    <d v="2016-09-02T02:15:00"/>
    <n v="0"/>
    <n v="114"/>
    <n v="107"/>
    <s v="Turbine trip devices (including instruments)"/>
    <s v="Turbine trip on low vacuum due to loss of gland water"/>
    <s v="Brown"/>
    <x v="3"/>
    <s v="Coal"/>
    <x v="0"/>
    <x v="3"/>
    <n v="9"/>
    <n v="0.43333333334885538"/>
    <n v="0.43333333334885538"/>
    <n v="46.366666668327525"/>
    <n v="107"/>
    <x v="4"/>
  </r>
  <r>
    <x v="0"/>
    <x v="4"/>
    <n v="30"/>
    <n v="847"/>
    <d v="2016-10-08T00:50:00"/>
    <d v="2016-10-11T12:57:00"/>
    <n v="0"/>
    <n v="114"/>
    <n v="107"/>
    <s v="Other expansion joints"/>
    <s v="Repair FGD expansion joint"/>
    <s v="Brown"/>
    <x v="2"/>
    <s v="Coal"/>
    <x v="0"/>
    <x v="3"/>
    <n v="10"/>
    <n v="84.116666666697711"/>
    <n v="84.116666666697711"/>
    <n v="9000.4833333366551"/>
    <n v="107"/>
    <x v="4"/>
  </r>
  <r>
    <x v="0"/>
    <x v="4"/>
    <n v="33"/>
    <n v="8560"/>
    <d v="2016-10-26T06:00:00"/>
    <d v="2016-10-26T17:11:00"/>
    <n v="0"/>
    <n v="114"/>
    <n v="107"/>
    <s v="Electrostatic precipitator problems"/>
    <s v="Check for precipitator ground"/>
    <s v="Brown"/>
    <x v="2"/>
    <s v="Coal"/>
    <x v="0"/>
    <x v="3"/>
    <n v="10"/>
    <n v="11.183333333290648"/>
    <n v="11.183333333290648"/>
    <n v="1196.6166666620993"/>
    <n v="107"/>
    <x v="4"/>
  </r>
  <r>
    <x v="0"/>
    <x v="5"/>
    <n v="35"/>
    <n v="4899"/>
    <d v="2016-11-03T17:16:00"/>
    <d v="2016-11-04T00:56:00"/>
    <n v="0"/>
    <n v="114"/>
    <n v="107"/>
    <s v="Other miscellaneous generator problems"/>
    <s v="GCB control cabinet CT circuit loose connection"/>
    <s v="Brown"/>
    <x v="3"/>
    <s v="Coal"/>
    <x v="0"/>
    <x v="3"/>
    <n v="11"/>
    <n v="7.6666666666860692"/>
    <n v="7.6666666666860692"/>
    <n v="820.33333333540941"/>
    <n v="107"/>
    <x v="4"/>
  </r>
  <r>
    <x v="0"/>
    <x v="4"/>
    <n v="37"/>
    <n v="8560"/>
    <d v="2016-11-30T07:00:00"/>
    <d v="2016-12-01T14:02:00"/>
    <n v="0"/>
    <n v="114"/>
    <n v="107"/>
    <s v="Electrostatic precipitator problems"/>
    <s v="F490Inspect 1-4 electrostatic precipitator"/>
    <s v="Brown"/>
    <x v="2"/>
    <s v="Coal"/>
    <x v="0"/>
    <x v="3"/>
    <n v="11"/>
    <n v="31.03333333338378"/>
    <n v="31.03333333338378"/>
    <n v="3320.5666666720645"/>
    <n v="107"/>
    <x v="4"/>
  </r>
  <r>
    <x v="0"/>
    <x v="4"/>
    <n v="39"/>
    <n v="1510"/>
    <d v="2016-12-30T05:00:00"/>
    <d v="2016-12-30T13:14:00"/>
    <n v="0"/>
    <n v="114"/>
    <n v="107"/>
    <s v="Flue gas ducts (except recirculation)"/>
    <s v="FGD Duct inspection"/>
    <s v="Brown"/>
    <x v="2"/>
    <s v="Coal"/>
    <x v="0"/>
    <x v="3"/>
    <n v="12"/>
    <n v="8.2333333332790062"/>
    <n v="8.2333333332790062"/>
    <n v="880.96666666085366"/>
    <n v="107"/>
    <x v="4"/>
  </r>
  <r>
    <x v="0"/>
    <x v="6"/>
    <n v="3"/>
    <n v="1812"/>
    <d v="2017-03-03T07:00:00"/>
    <d v="2017-03-13T00:00:00"/>
    <n v="0"/>
    <n v="114"/>
    <n v="107"/>
    <s v="Boiler Inspections - scheduled or routine"/>
    <s v="Annual outage for boiler inspection and misc repairs"/>
    <s v="Brown"/>
    <x v="1"/>
    <s v="Coal"/>
    <x v="0"/>
    <x v="4"/>
    <n v="3"/>
    <n v="233.00000000005821"/>
    <n v="233.00000000005821"/>
    <n v="24931.000000006228"/>
    <n v="107"/>
    <x v="4"/>
  </r>
  <r>
    <x v="0"/>
    <x v="8"/>
    <n v="5"/>
    <n v="1812"/>
    <d v="2017-03-13T00:00:00"/>
    <d v="2017-03-18T13:42:00"/>
    <n v="0"/>
    <n v="114"/>
    <n v="107"/>
    <s v="Boiler Inspections - scheduled or routine"/>
    <s v="Continue with testing/repairs of GSU "/>
    <s v="Brown"/>
    <x v="1"/>
    <s v="Coal"/>
    <x v="0"/>
    <x v="4"/>
    <n v="3"/>
    <n v="133.69999999995343"/>
    <n v="133.69999999995343"/>
    <n v="14305.899999995017"/>
    <n v="107"/>
    <x v="4"/>
  </r>
  <r>
    <x v="0"/>
    <x v="0"/>
    <n v="6"/>
    <n v="310"/>
    <d v="2017-04-18T10:15:00"/>
    <d v="2017-04-18T11:13:00"/>
    <n v="90"/>
    <n v="114"/>
    <n v="107"/>
    <s v="Pulverizer mills"/>
    <s v="1-2 mill pyrite door stuck closed"/>
    <s v="Brown"/>
    <x v="0"/>
    <s v="Coal"/>
    <x v="0"/>
    <x v="4"/>
    <n v="4"/>
    <n v="0.96666666667442769"/>
    <n v="0.20350877193145847"/>
    <n v="21.775438596666056"/>
    <n v="22.526315789473685"/>
    <x v="0"/>
  </r>
  <r>
    <x v="0"/>
    <x v="3"/>
    <n v="8"/>
    <n v="4842"/>
    <d v="2017-06-19T05:58:00"/>
    <d v="2017-06-19T06:52:00"/>
    <n v="0"/>
    <n v="114"/>
    <n v="107"/>
    <s v="Reactive and capability testing"/>
    <s v="Conducting MOD-025 testing"/>
    <s v="Brown"/>
    <x v="1"/>
    <s v="Coal"/>
    <x v="0"/>
    <x v="4"/>
    <n v="6"/>
    <n v="0.8999999999650754"/>
    <n v="0.8999999999650754"/>
    <n v="96.299999996263068"/>
    <n v="107"/>
    <x v="4"/>
  </r>
  <r>
    <x v="0"/>
    <x v="5"/>
    <n v="11"/>
    <n v="1456"/>
    <d v="2017-06-28T10:27:00"/>
    <d v="2017-06-28T13:35:00"/>
    <n v="0"/>
    <n v="114"/>
    <n v="107"/>
    <s v="Induced draft fan dampers"/>
    <s v="ID Fan outlet damper will not open"/>
    <s v="Brown"/>
    <x v="3"/>
    <s v="Coal"/>
    <x v="0"/>
    <x v="4"/>
    <n v="6"/>
    <n v="3.1333333332440816"/>
    <n v="3.1333333332440816"/>
    <n v="335.26666665711673"/>
    <n v="107"/>
    <x v="4"/>
  </r>
  <r>
    <x v="0"/>
    <x v="5"/>
    <n v="15"/>
    <n v="4810"/>
    <d v="2017-07-20T06:43:00"/>
    <d v="2017-07-20T12:07:00"/>
    <n v="0"/>
    <n v="114"/>
    <n v="107"/>
    <s v="Generator output breaker"/>
    <s v="Faulty cable on trip circuit between generator control and OCB"/>
    <s v="Brown"/>
    <x v="3"/>
    <s v="Coal"/>
    <x v="0"/>
    <x v="4"/>
    <n v="7"/>
    <n v="5.3999999999650754"/>
    <n v="5.3999999999650754"/>
    <n v="577.79999999626307"/>
    <n v="107"/>
    <x v="4"/>
  </r>
  <r>
    <x v="0"/>
    <x v="5"/>
    <n v="16"/>
    <n v="4810"/>
    <d v="2017-07-20T14:51:00"/>
    <d v="2017-07-20T20:02:00"/>
    <n v="0"/>
    <n v="114"/>
    <n v="107"/>
    <s v="Generator output breaker"/>
    <s v="Faulty cable on trip circuit between genetator control and OCB"/>
    <s v="Brown"/>
    <x v="3"/>
    <s v="Coal"/>
    <x v="0"/>
    <x v="4"/>
    <n v="7"/>
    <n v="5.1833333332906477"/>
    <n v="5.1833333332906477"/>
    <n v="554.61666666209931"/>
    <n v="107"/>
    <x v="4"/>
  </r>
  <r>
    <x v="0"/>
    <x v="4"/>
    <n v="18"/>
    <n v="3112"/>
    <d v="2017-09-05T06:00:00"/>
    <d v="2017-09-06T10:37:00"/>
    <n v="0"/>
    <n v="114"/>
    <n v="107"/>
    <s v="Condenser tube fouling tube side"/>
    <s v="Inspect condenser water boxes"/>
    <s v="Brown"/>
    <x v="2"/>
    <s v="Coal"/>
    <x v="0"/>
    <x v="4"/>
    <n v="9"/>
    <n v="28.616666666697711"/>
    <n v="28.616666666697711"/>
    <n v="3061.9833333366551"/>
    <n v="107"/>
    <x v="4"/>
  </r>
  <r>
    <x v="0"/>
    <x v="5"/>
    <n v="20"/>
    <n v="3612"/>
    <d v="2017-09-08T08:36:00"/>
    <d v="2017-09-08T13:57:00"/>
    <n v="0"/>
    <n v="114"/>
    <n v="107"/>
    <s v="Switchyard system protection devices - external"/>
    <s v="FX00Loss of Brown North transmission lines protective ralaying."/>
    <s v="Brown"/>
    <x v="3"/>
    <s v="Coal"/>
    <x v="0"/>
    <x v="4"/>
    <n v="9"/>
    <n v="5.3500000001513399"/>
    <n v="5.3500000001513399"/>
    <n v="572.45000001619337"/>
    <n v="107"/>
    <x v="4"/>
  </r>
  <r>
    <x v="0"/>
    <x v="5"/>
    <n v="22"/>
    <n v="4499"/>
    <d v="2017-09-14T07:38:00"/>
    <d v="2017-09-14T12:55:00"/>
    <n v="0"/>
    <n v="114"/>
    <n v="107"/>
    <s v="Other miscellaneous steam turbine problems"/>
    <s v="Main turbine turning gear motor failure"/>
    <s v="Brown"/>
    <x v="3"/>
    <s v="Coal"/>
    <x v="0"/>
    <x v="4"/>
    <n v="9"/>
    <n v="5.2833333332673647"/>
    <n v="5.2833333332673647"/>
    <n v="565.31666665960802"/>
    <n v="107"/>
    <x v="4"/>
  </r>
  <r>
    <x v="0"/>
    <x v="0"/>
    <n v="24"/>
    <n v="264"/>
    <d v="2017-10-29T20:39:00"/>
    <d v="2017-10-30T06:47:00"/>
    <n v="95"/>
    <n v="114"/>
    <n v="107"/>
    <s v="Other primary air fan problems"/>
    <s v="1-1 mill primary air fan IB bearing failed"/>
    <s v="Brown"/>
    <x v="0"/>
    <s v="Coal"/>
    <x v="0"/>
    <x v="4"/>
    <n v="10"/>
    <n v="10.133333333185874"/>
    <n v="1.6888888888643123"/>
    <n v="180.71111110848142"/>
    <n v="17.833333333333332"/>
    <x v="5"/>
  </r>
  <r>
    <x v="0"/>
    <x v="5"/>
    <n v="25"/>
    <n v="4299"/>
    <d v="2017-11-06T15:30:00"/>
    <d v="2017-11-07T09:14:00"/>
    <n v="0"/>
    <n v="114"/>
    <n v="107"/>
    <s v="Other hydraulic system problems"/>
    <s v="EHC fluid leak on left side throttle valve"/>
    <s v="Brown"/>
    <x v="3"/>
    <s v="Coal"/>
    <x v="0"/>
    <x v="4"/>
    <n v="11"/>
    <n v="17.733333333337214"/>
    <n v="17.733333333337214"/>
    <n v="1897.4666666670819"/>
    <n v="107"/>
    <x v="4"/>
  </r>
  <r>
    <x v="0"/>
    <x v="5"/>
    <n v="27"/>
    <n v="3641"/>
    <d v="2017-12-30T17:27:00"/>
    <d v="2018-01-01T00:00:00"/>
    <m/>
    <n v="114"/>
    <n v="107"/>
    <s v="AC Circuit breakers"/>
    <s v="1-2 BFP 2300V breaker failure"/>
    <s v="Brown"/>
    <x v="3"/>
    <s v="Coal"/>
    <x v="0"/>
    <x v="4"/>
    <n v="12"/>
    <n v="30.550000000046566"/>
    <n v="30.550000000046566"/>
    <n v="3268.8500000049826"/>
    <n v="107"/>
    <x v="4"/>
  </r>
  <r>
    <x v="0"/>
    <x v="5"/>
    <n v="1"/>
    <n v="3641"/>
    <d v="2018-01-01T00:00:00"/>
    <d v="2018-01-01T13:20:00"/>
    <n v="0"/>
    <n v="114"/>
    <n v="107"/>
    <s v="AC Circuit breakers"/>
    <s v="1-2 BFP 2300V breaker failure"/>
    <s v="Brown"/>
    <x v="3"/>
    <s v="Coal"/>
    <x v="0"/>
    <x v="5"/>
    <n v="1"/>
    <n v="13.333333333313931"/>
    <n v="13.333333333313931"/>
    <n v="1426.6666666645906"/>
    <n v="107"/>
    <x v="4"/>
  </r>
  <r>
    <x v="0"/>
    <x v="3"/>
    <n v="2"/>
    <n v="920"/>
    <d v="2018-01-04T00:00:00"/>
    <d v="2018-01-04T05:19:00"/>
    <n v="0"/>
    <n v="114"/>
    <n v="107"/>
    <s v="Other slag and ash removal problems A"/>
    <s v="De-slag boiler"/>
    <s v="Brown"/>
    <x v="1"/>
    <s v="Coal"/>
    <x v="0"/>
    <x v="5"/>
    <n v="1"/>
    <n v="5.3166666667093523"/>
    <n v="5.3166666667093523"/>
    <n v="568.88333333790069"/>
    <n v="107"/>
    <x v="4"/>
  </r>
  <r>
    <x v="0"/>
    <x v="0"/>
    <n v="3"/>
    <n v="920"/>
    <d v="2018-01-04T05:19:00"/>
    <d v="2018-01-04T08:50:00"/>
    <n v="50"/>
    <n v="114"/>
    <n v="107"/>
    <s v="Other slag and ash removal problems A"/>
    <s v="De-slag boiler"/>
    <s v="Brown"/>
    <x v="0"/>
    <s v="Coal"/>
    <x v="0"/>
    <x v="5"/>
    <n v="1"/>
    <n v="3.5166666666045785"/>
    <n v="1.9742690058130967"/>
    <n v="211.24678362200135"/>
    <n v="60.070175438596493"/>
    <x v="11"/>
  </r>
  <r>
    <x v="0"/>
    <x v="3"/>
    <n v="4"/>
    <n v="9200"/>
    <d v="2018-01-05T10:54:00"/>
    <d v="2018-01-08T19:51:00"/>
    <n v="0"/>
    <n v="114"/>
    <n v="107"/>
    <s v="High ash content"/>
    <s v="Combustion &amp; slagging issues. Unit available for full load if needed."/>
    <s v="Brown"/>
    <x v="1"/>
    <s v="Coal"/>
    <x v="0"/>
    <x v="5"/>
    <n v="1"/>
    <n v="80.949999999837019"/>
    <n v="80.949999999837019"/>
    <n v="8661.649999982561"/>
    <n v="107"/>
    <x v="4"/>
  </r>
  <r>
    <x v="0"/>
    <x v="4"/>
    <n v="5"/>
    <n v="8560"/>
    <d v="2018-01-08T19:51:00"/>
    <d v="2018-01-09T13:22:00"/>
    <n v="0"/>
    <n v="114"/>
    <n v="107"/>
    <s v="Electrostatic precipitator problems"/>
    <s v="Inspect precipitator "/>
    <s v="Brown"/>
    <x v="2"/>
    <s v="Coal"/>
    <x v="0"/>
    <x v="5"/>
    <n v="1"/>
    <n v="17.516666666662786"/>
    <n v="17.516666666662786"/>
    <n v="1874.2833333329181"/>
    <n v="107"/>
    <x v="4"/>
  </r>
  <r>
    <x v="0"/>
    <x v="4"/>
    <n v="7"/>
    <n v="1000"/>
    <d v="2018-01-23T21:07:00"/>
    <d v="2018-01-24T21:55:00"/>
    <n v="0"/>
    <n v="114"/>
    <n v="107"/>
    <s v="Waterwall (Furnace wall) A"/>
    <s v="Waterwall tube leak east side"/>
    <s v="Brown"/>
    <x v="2"/>
    <s v="Coal"/>
    <x v="0"/>
    <x v="5"/>
    <n v="1"/>
    <n v="24.799999999988358"/>
    <n v="24.799999999988358"/>
    <n v="2653.5999999987544"/>
    <n v="107"/>
    <x v="4"/>
  </r>
  <r>
    <x v="0"/>
    <x v="5"/>
    <n v="9"/>
    <n v="4284"/>
    <d v="2018-01-31T15:19:00"/>
    <d v="2018-02-01T19:39:00"/>
    <n v="0"/>
    <n v="114"/>
    <n v="107"/>
    <s v="Lube oil pump drive"/>
    <s v="Turbine auxiliary oil pump motor locked up "/>
    <s v="Brown"/>
    <x v="3"/>
    <s v="Coal"/>
    <x v="0"/>
    <x v="5"/>
    <n v="1"/>
    <n v="28.333333333313931"/>
    <n v="28.333333333313931"/>
    <n v="3031.6666666645906"/>
    <n v="107"/>
    <x v="4"/>
  </r>
  <r>
    <x v="0"/>
    <x v="7"/>
    <n v="11"/>
    <n v="4290"/>
    <d v="2018-03-02T07:00:00"/>
    <d v="2018-03-02T12:02:00"/>
    <n v="0"/>
    <n v="114"/>
    <n v="107"/>
    <s v="Hydraulic system pumps"/>
    <s v="F340EH accumulator issue prevented turbine latching "/>
    <s v="Brown"/>
    <x v="3"/>
    <s v="Coal"/>
    <x v="0"/>
    <x v="5"/>
    <n v="3"/>
    <n v="5.0333333333255723"/>
    <n v="5.0333333333255723"/>
    <n v="538.56666666583624"/>
    <n v="107"/>
    <x v="4"/>
  </r>
  <r>
    <x v="0"/>
    <x v="5"/>
    <n v="12"/>
    <n v="780"/>
    <d v="2018-03-09T06:52:00"/>
    <d v="2018-03-14T10:24:00"/>
    <n v="0"/>
    <n v="114"/>
    <n v="107"/>
    <s v="Headers between tube bundles"/>
    <s v="F540Boiler leak at mud drum header. Loss of drum level (Dry). "/>
    <s v="Brown"/>
    <x v="3"/>
    <s v="Coal"/>
    <x v="0"/>
    <x v="5"/>
    <n v="3"/>
    <n v="123.53333333332557"/>
    <n v="123.53333333332557"/>
    <n v="13218.066666665836"/>
    <n v="107"/>
    <x v="4"/>
  </r>
  <r>
    <x v="1"/>
    <x v="1"/>
    <n v="1"/>
    <n v="310"/>
    <d v="2013-01-04T13:00:00"/>
    <d v="2013-01-04T15:30:00"/>
    <n v="123"/>
    <n v="179"/>
    <n v="167"/>
    <s v="Pulverizer mills"/>
    <s v="Investigate noise in 2-2 mill pyrite section 6408932"/>
    <s v="Brown"/>
    <x v="0"/>
    <s v="Coal"/>
    <x v="1"/>
    <x v="0"/>
    <n v="1"/>
    <n v="2.5000000001164153"/>
    <n v="0.78212290506435345"/>
    <n v="130.61452514574702"/>
    <n v="52.245810055865924"/>
    <x v="18"/>
  </r>
  <r>
    <x v="1"/>
    <x v="5"/>
    <n v="2"/>
    <n v="4601"/>
    <d v="2013-01-09T10:57:00"/>
    <d v="2013-01-09T23:20:00"/>
    <n v="0"/>
    <n v="179"/>
    <n v="167"/>
    <s v="Exciter field rheostat"/>
    <s v="Rheostat contacts arching 6410703"/>
    <s v="Brown"/>
    <x v="3"/>
    <s v="Coal"/>
    <x v="1"/>
    <x v="0"/>
    <n v="1"/>
    <n v="12.383333333185874"/>
    <n v="12.383333333185874"/>
    <n v="2068.0166666420409"/>
    <n v="167"/>
    <x v="27"/>
  </r>
  <r>
    <x v="1"/>
    <x v="1"/>
    <n v="3"/>
    <n v="255"/>
    <d v="2013-01-11T10:00:00"/>
    <d v="2013-01-11T13:40:00"/>
    <n v="135"/>
    <n v="179"/>
    <n v="167"/>
    <s v="Pulverizer feeder coal scales"/>
    <s v="2-1 mill feeder calibration 6410999"/>
    <s v="Brown"/>
    <x v="0"/>
    <s v="Coal"/>
    <x v="1"/>
    <x v="0"/>
    <n v="1"/>
    <n v="3.6666666667442769"/>
    <n v="0.9013035381941239"/>
    <n v="150.5176908784187"/>
    <n v="41.050279329608941"/>
    <x v="28"/>
  </r>
  <r>
    <x v="1"/>
    <x v="0"/>
    <n v="4"/>
    <n v="9270"/>
    <d v="2013-01-14T21:06:00"/>
    <d v="2013-01-15T00:10:00"/>
    <n v="130"/>
    <n v="179"/>
    <n v="167"/>
    <s v="Wet coal"/>
    <s v="2-4 mill feeder plugged-wet coal "/>
    <s v="Brown"/>
    <x v="0"/>
    <s v="Coal"/>
    <x v="1"/>
    <x v="0"/>
    <n v="1"/>
    <n v="3.0666666667093523"/>
    <n v="0.83947858474166626"/>
    <n v="140.19292365185825"/>
    <n v="45.715083798882681"/>
    <x v="10"/>
  </r>
  <r>
    <x v="1"/>
    <x v="0"/>
    <n v="5"/>
    <n v="1700"/>
    <d v="2013-01-16T05:50:00"/>
    <d v="2013-01-16T06:48:00"/>
    <n v="135"/>
    <n v="179"/>
    <n v="167"/>
    <s v="Feedwater controls (report local controls --- feedwater pump"/>
    <s v="Feedwater system upset causing the HP heater extractions to close. "/>
    <s v="Brown"/>
    <x v="0"/>
    <s v="Coal"/>
    <x v="1"/>
    <x v="0"/>
    <n v="1"/>
    <n v="0.96666666667442769"/>
    <n v="0.23761638733896548"/>
    <n v="39.681936685607234"/>
    <n v="41.050279329608941"/>
    <x v="28"/>
  </r>
  <r>
    <x v="1"/>
    <x v="0"/>
    <n v="6"/>
    <n v="1700"/>
    <d v="2013-01-16T20:30:00"/>
    <d v="2013-01-16T21:28:00"/>
    <n v="100"/>
    <n v="179"/>
    <n v="167"/>
    <s v="Feedwater controls (report local controls --- feedwater pump"/>
    <s v="Feedwater system upset causing the HP heater extractions to close. "/>
    <s v="Brown"/>
    <x v="0"/>
    <s v="Coal"/>
    <x v="1"/>
    <x v="0"/>
    <n v="1"/>
    <n v="0.96666666667442769"/>
    <n v="0.42662942272223348"/>
    <n v="71.247113594612983"/>
    <n v="73.703910614525142"/>
    <x v="29"/>
  </r>
  <r>
    <x v="1"/>
    <x v="1"/>
    <n v="7"/>
    <n v="300"/>
    <d v="2013-01-18T12:30:00"/>
    <d v="2013-01-18T16:51:00"/>
    <n v="130"/>
    <n v="179"/>
    <n v="167"/>
    <s v="Pulverizer motors and drives"/>
    <s v="Align 2-4 mill motor 6412985"/>
    <s v="Brown"/>
    <x v="0"/>
    <s v="Coal"/>
    <x v="1"/>
    <x v="0"/>
    <n v="1"/>
    <n v="4.3499999998603016"/>
    <n v="1.1907821228667865"/>
    <n v="198.86061451875335"/>
    <n v="45.715083798882681"/>
    <x v="10"/>
  </r>
  <r>
    <x v="1"/>
    <x v="1"/>
    <n v="8"/>
    <n v="3410"/>
    <d v="2013-01-24T23:25:00"/>
    <d v="2013-01-25T05:00:00"/>
    <n v="105"/>
    <n v="179"/>
    <n v="167"/>
    <s v="Feedwater pump"/>
    <s v="Inspect 2-2 BFP OB bearing noise 6415235"/>
    <s v="Brown"/>
    <x v="0"/>
    <s v="Coal"/>
    <x v="1"/>
    <x v="0"/>
    <n v="1"/>
    <n v="5.5833333333721384"/>
    <n v="2.3081936685449063"/>
    <n v="385.46834264699936"/>
    <n v="69.039106145251395"/>
    <x v="25"/>
  </r>
  <r>
    <x v="1"/>
    <x v="9"/>
    <n v="9"/>
    <n v="3410"/>
    <d v="2013-01-25T05:00:00"/>
    <d v="2013-01-25T23:08:00"/>
    <n v="105"/>
    <n v="179"/>
    <n v="167"/>
    <s v="Feedwater pump"/>
    <s v="2-2 BFP thrust shoes damaged 6415235"/>
    <s v="Brown"/>
    <x v="0"/>
    <s v="Coal"/>
    <x v="1"/>
    <x v="0"/>
    <n v="1"/>
    <n v="18.133333333244082"/>
    <n v="7.4964618249165476"/>
    <n v="1251.9091247610634"/>
    <n v="69.039106145251395"/>
    <x v="25"/>
  </r>
  <r>
    <x v="1"/>
    <x v="0"/>
    <n v="10"/>
    <n v="310"/>
    <d v="2013-01-26T08:45:00"/>
    <d v="2013-01-26T09:35:00"/>
    <n v="120"/>
    <n v="179"/>
    <n v="167"/>
    <s v="Pulverizer mills"/>
    <s v="2-2 mill south roll not deflecting "/>
    <s v="Brown"/>
    <x v="0"/>
    <s v="Coal"/>
    <x v="1"/>
    <x v="0"/>
    <n v="1"/>
    <n v="0.83333333325572312"/>
    <n v="0.27467411543065734"/>
    <n v="45.870577276919775"/>
    <n v="55.044692737430168"/>
    <x v="2"/>
  </r>
  <r>
    <x v="1"/>
    <x v="1"/>
    <n v="11"/>
    <n v="310"/>
    <d v="2013-01-26T23:00:00"/>
    <d v="2013-01-27T00:34:00"/>
    <n v="120"/>
    <n v="179"/>
    <n v="167"/>
    <s v="Pulverizer mills"/>
    <s v="Replace 2-2 mill south roll 6415610"/>
    <s v="Brown"/>
    <x v="0"/>
    <s v="Coal"/>
    <x v="1"/>
    <x v="0"/>
    <n v="1"/>
    <n v="1.5666666665347293"/>
    <n v="0.51638733701424033"/>
    <n v="86.236685281378129"/>
    <n v="55.044692737430168"/>
    <x v="2"/>
  </r>
  <r>
    <x v="1"/>
    <x v="0"/>
    <n v="12"/>
    <n v="310"/>
    <d v="2013-01-27T18:32:00"/>
    <d v="2013-01-27T22:45:00"/>
    <n v="130"/>
    <n v="179"/>
    <n v="167"/>
    <s v="Pulverizer mills"/>
    <s v="2-2 mill south roll not deflecting 6415809"/>
    <s v="Brown"/>
    <x v="0"/>
    <s v="Coal"/>
    <x v="1"/>
    <x v="0"/>
    <n v="1"/>
    <n v="4.21666666661622"/>
    <n v="1.1542830539899149"/>
    <n v="192.76527001631578"/>
    <n v="45.715083798882681"/>
    <x v="10"/>
  </r>
  <r>
    <x v="1"/>
    <x v="3"/>
    <n v="13"/>
    <n v="310"/>
    <d v="2013-01-29T23:00:00"/>
    <d v="2013-01-30T05:28:00"/>
    <n v="0"/>
    <n v="179"/>
    <n v="167"/>
    <s v="Pulverizer mills"/>
    <s v="Set rolls on U2 mills 6365821"/>
    <s v="Brown"/>
    <x v="1"/>
    <s v="Coal"/>
    <x v="1"/>
    <x v="0"/>
    <n v="1"/>
    <n v="6.46666666661622"/>
    <n v="6.46666666661622"/>
    <n v="1079.9333333249087"/>
    <n v="167"/>
    <x v="27"/>
  </r>
  <r>
    <x v="1"/>
    <x v="0"/>
    <n v="14"/>
    <n v="3410"/>
    <d v="2013-02-04T21:30:00"/>
    <d v="2013-02-06T14:50:00"/>
    <n v="110"/>
    <n v="179"/>
    <n v="167"/>
    <s v="Feedwater pump"/>
    <s v="F9202-1 BFP thrust bearing wiped"/>
    <s v="Brown"/>
    <x v="0"/>
    <s v="Coal"/>
    <x v="1"/>
    <x v="0"/>
    <n v="2"/>
    <n v="41.333333333255723"/>
    <n v="15.932960893824832"/>
    <n v="2660.8044692687472"/>
    <n v="64.374301675977648"/>
    <x v="30"/>
  </r>
  <r>
    <x v="1"/>
    <x v="0"/>
    <n v="15"/>
    <n v="30"/>
    <d v="2013-02-07T07:10:00"/>
    <d v="2013-02-07T07:20:00"/>
    <n v="80"/>
    <n v="179"/>
    <n v="167"/>
    <s v="Coal conveyors and feeders"/>
    <s v="Coal transport conveyor tripper failed to start with coal bunker levels low 6420328"/>
    <s v="Brown"/>
    <x v="0"/>
    <s v="Coal"/>
    <x v="1"/>
    <x v="0"/>
    <n v="2"/>
    <n v="0.16666666668606922"/>
    <n v="9.2178770960451697E-2"/>
    <n v="15.393854750395434"/>
    <n v="92.363128491620117"/>
    <x v="31"/>
  </r>
  <r>
    <x v="1"/>
    <x v="1"/>
    <n v="16"/>
    <n v="250"/>
    <d v="2013-02-21T23:52:00"/>
    <d v="2013-02-22T03:53:00"/>
    <n v="130"/>
    <n v="179"/>
    <n v="167"/>
    <s v="Pulverizer feeders"/>
    <s v="2-1 feeder belt replacement "/>
    <s v="Brown"/>
    <x v="0"/>
    <s v="Coal"/>
    <x v="1"/>
    <x v="0"/>
    <n v="2"/>
    <n v="4.0166666668374091"/>
    <n v="1.0995344506985087"/>
    <n v="183.62225326665097"/>
    <n v="45.715083798882681"/>
    <x v="10"/>
  </r>
  <r>
    <x v="1"/>
    <x v="3"/>
    <n v="17"/>
    <n v="255"/>
    <d v="2013-02-22T10:35:00"/>
    <d v="2013-02-22T12:10:00"/>
    <n v="0"/>
    <n v="179"/>
    <n v="167"/>
    <s v="Pulverizer feeder coal scales"/>
    <s v="2-1 mill feeder calibration "/>
    <s v="Brown"/>
    <x v="1"/>
    <s v="Coal"/>
    <x v="1"/>
    <x v="0"/>
    <n v="2"/>
    <n v="1.5833333334303461"/>
    <n v="1.5833333334303461"/>
    <n v="264.4166666828678"/>
    <n v="167"/>
    <x v="27"/>
  </r>
  <r>
    <x v="1"/>
    <x v="3"/>
    <n v="18"/>
    <n v="8700"/>
    <d v="2013-02-28T01:00:00"/>
    <d v="2013-02-28T04:00:00"/>
    <n v="0"/>
    <n v="179"/>
    <n v="167"/>
    <s v="CEMS Certification and Recertification"/>
    <s v="Low load RATA testing"/>
    <s v="Brown"/>
    <x v="1"/>
    <s v="Coal"/>
    <x v="1"/>
    <x v="0"/>
    <n v="2"/>
    <n v="3"/>
    <n v="3"/>
    <n v="501"/>
    <n v="167"/>
    <x v="27"/>
  </r>
  <r>
    <x v="1"/>
    <x v="4"/>
    <n v="19"/>
    <n v="4263"/>
    <d v="2013-02-28T22:59:00"/>
    <d v="2013-02-28T23:44:00"/>
    <n v="0"/>
    <n v="179"/>
    <n v="167"/>
    <s v="Reheat stop valves"/>
    <s v="Testing RH stop valves"/>
    <s v="Brown"/>
    <x v="2"/>
    <s v="Coal"/>
    <x v="1"/>
    <x v="0"/>
    <n v="2"/>
    <n v="0.75"/>
    <n v="0.75"/>
    <n v="125.25"/>
    <n v="167"/>
    <x v="27"/>
  </r>
  <r>
    <x v="1"/>
    <x v="5"/>
    <n v="20"/>
    <n v="3411"/>
    <d v="2013-03-01T21:44:00"/>
    <d v="2013-03-02T00:02:00"/>
    <n v="0"/>
    <n v="179"/>
    <n v="167"/>
    <s v="Feedwater pump drive - motor"/>
    <s v="F490Ground in 2-2 BFP motor caused Aux Trans Trip relay to activate.  "/>
    <s v="Brown"/>
    <x v="3"/>
    <s v="Coal"/>
    <x v="1"/>
    <x v="0"/>
    <n v="3"/>
    <n v="2.2999999999883585"/>
    <n v="2.2999999999883585"/>
    <n v="384.09999999805586"/>
    <n v="167"/>
    <x v="27"/>
  </r>
  <r>
    <x v="1"/>
    <x v="0"/>
    <n v="21"/>
    <n v="3411"/>
    <d v="2013-03-02T02:00:00"/>
    <d v="2013-03-05T22:12:00"/>
    <n v="110"/>
    <n v="179"/>
    <n v="167"/>
    <s v="Feedwater pump drive - motor"/>
    <s v="F4902-2 BFP motor grounded out and can not be run. "/>
    <s v="Brown"/>
    <x v="0"/>
    <s v="Coal"/>
    <x v="1"/>
    <x v="0"/>
    <n v="3"/>
    <n v="92.200000000011642"/>
    <n v="35.540782122909512"/>
    <n v="5935.3106145258889"/>
    <n v="64.374301675977648"/>
    <x v="30"/>
  </r>
  <r>
    <x v="1"/>
    <x v="4"/>
    <n v="22"/>
    <n v="4609"/>
    <d v="2013-03-06T00:34:00"/>
    <d v="2013-03-06T04:47:00"/>
    <n v="0"/>
    <n v="179"/>
    <n v="167"/>
    <s v="Other exciter problems"/>
    <s v="Roll A &amp; C phase CT circuits on overall diff relays."/>
    <s v="Brown"/>
    <x v="2"/>
    <s v="Coal"/>
    <x v="1"/>
    <x v="0"/>
    <n v="3"/>
    <n v="4.216666666790843"/>
    <n v="4.216666666790843"/>
    <n v="704.18333335407078"/>
    <n v="167"/>
    <x v="27"/>
  </r>
  <r>
    <x v="1"/>
    <x v="1"/>
    <n v="23"/>
    <n v="1980"/>
    <d v="2013-03-08T19:49:00"/>
    <d v="2013-03-08T22:10:00"/>
    <n v="150"/>
    <n v="179"/>
    <n v="167"/>
    <s v="Boiler safety valve test"/>
    <s v="Set boiler main steam safeties "/>
    <s v="Brown"/>
    <x v="0"/>
    <s v="Coal"/>
    <x v="1"/>
    <x v="0"/>
    <n v="3"/>
    <n v="2.3499999999767169"/>
    <n v="0.3807262569794681"/>
    <n v="63.581284915571175"/>
    <n v="27.05586592178771"/>
    <x v="6"/>
  </r>
  <r>
    <x v="1"/>
    <x v="1"/>
    <n v="24"/>
    <n v="300"/>
    <d v="2013-03-10T03:00:00"/>
    <d v="2013-03-10T17:21:00"/>
    <n v="140"/>
    <n v="179"/>
    <n v="167"/>
    <s v="Pulverizer motors and drives"/>
    <s v="Replace 2-1 mill motor bearing "/>
    <s v="Brown"/>
    <x v="0"/>
    <s v="Coal"/>
    <x v="1"/>
    <x v="0"/>
    <n v="3"/>
    <n v="14.349999999976717"/>
    <n v="3.1265363128440891"/>
    <n v="522.13156424496287"/>
    <n v="36.385474860335194"/>
    <x v="32"/>
  </r>
  <r>
    <x v="1"/>
    <x v="4"/>
    <n v="25"/>
    <n v="9656"/>
    <d v="2013-03-11T22:31:00"/>
    <d v="2013-03-13T21:38:00"/>
    <n v="0"/>
    <n v="179"/>
    <n v="167"/>
    <s v="Other stack or exhaust emissions testing - fossil"/>
    <s v="Off line for mercury testing on Brown 3 "/>
    <s v="Brown"/>
    <x v="2"/>
    <s v="Coal"/>
    <x v="1"/>
    <x v="0"/>
    <n v="3"/>
    <n v="47.116666666581295"/>
    <n v="47.116666666581295"/>
    <n v="7868.4833333190763"/>
    <n v="167"/>
    <x v="27"/>
  </r>
  <r>
    <x v="1"/>
    <x v="0"/>
    <n v="26"/>
    <n v="9270"/>
    <d v="2013-03-18T18:09:00"/>
    <d v="2013-03-18T18:37:00"/>
    <n v="130"/>
    <n v="179"/>
    <n v="167"/>
    <s v="Wet coal"/>
    <s v="2-4 mill feeder plugged"/>
    <s v="Brown"/>
    <x v="0"/>
    <s v="Coal"/>
    <x v="1"/>
    <x v="0"/>
    <n v="3"/>
    <n v="0.46666666661622003"/>
    <n v="0.12774674114075296"/>
    <n v="21.333705770505745"/>
    <n v="45.715083798882681"/>
    <x v="10"/>
  </r>
  <r>
    <x v="1"/>
    <x v="0"/>
    <n v="27"/>
    <n v="9270"/>
    <d v="2013-03-18T18:37:00"/>
    <d v="2013-03-18T23:17:00"/>
    <n v="125"/>
    <n v="179"/>
    <n v="167"/>
    <s v="Wet coal"/>
    <s v="2-4 mill feeder plugged"/>
    <s v="Brown"/>
    <x v="0"/>
    <s v="Coal"/>
    <x v="1"/>
    <x v="0"/>
    <n v="3"/>
    <n v="4.6666666666860692"/>
    <n v="1.4078212290561327"/>
    <n v="235.10614525237418"/>
    <n v="50.379888268156428"/>
    <x v="33"/>
  </r>
  <r>
    <x v="1"/>
    <x v="0"/>
    <n v="28"/>
    <n v="9270"/>
    <d v="2013-03-19T06:02:00"/>
    <d v="2013-03-19T16:40:00"/>
    <n v="130"/>
    <n v="179"/>
    <n v="167"/>
    <s v="Wet coal"/>
    <s v="2-4 mill feeder plugged"/>
    <s v="Brown"/>
    <x v="0"/>
    <s v="Coal"/>
    <x v="1"/>
    <x v="0"/>
    <n v="3"/>
    <n v="10.633333333418705"/>
    <n v="2.910800744902327"/>
    <n v="486.1037243986886"/>
    <n v="45.715083798882681"/>
    <x v="10"/>
  </r>
  <r>
    <x v="1"/>
    <x v="0"/>
    <n v="29"/>
    <n v="9270"/>
    <d v="2013-03-19T17:33:00"/>
    <d v="2013-03-20T11:00:00"/>
    <n v="125"/>
    <n v="179"/>
    <n v="167"/>
    <s v="Wet coal"/>
    <s v="2-4 mill feeder plugged"/>
    <s v="Brown"/>
    <x v="0"/>
    <s v="Coal"/>
    <x v="1"/>
    <x v="0"/>
    <n v="3"/>
    <n v="17.450000000128057"/>
    <n v="5.264245810094498"/>
    <n v="879.1290502857812"/>
    <n v="50.379888268156428"/>
    <x v="33"/>
  </r>
  <r>
    <x v="1"/>
    <x v="0"/>
    <n v="30"/>
    <n v="9270"/>
    <d v="2013-03-20T11:00:00"/>
    <d v="2013-03-20T11:29:00"/>
    <n v="145"/>
    <n v="179"/>
    <n v="167"/>
    <s v="Wet coal"/>
    <s v="2-4 mill feeder plugged"/>
    <s v="Brown"/>
    <x v="0"/>
    <s v="Coal"/>
    <x v="1"/>
    <x v="0"/>
    <n v="3"/>
    <n v="0.48333333333721384"/>
    <n v="9.1806331471873018E-2"/>
    <n v="15.331657355802793"/>
    <n v="31.720670391061454"/>
    <x v="8"/>
  </r>
  <r>
    <x v="1"/>
    <x v="0"/>
    <n v="31"/>
    <n v="9270"/>
    <d v="2013-03-20T11:29:00"/>
    <d v="2013-03-20T17:18:00"/>
    <n v="135"/>
    <n v="179"/>
    <n v="167"/>
    <s v="Wet coal"/>
    <s v="2-4 mill feeder plugged"/>
    <s v="Brown"/>
    <x v="0"/>
    <s v="Coal"/>
    <x v="1"/>
    <x v="0"/>
    <n v="3"/>
    <n v="5.816666666592937"/>
    <n v="1.429795158268655"/>
    <n v="238.77579143086538"/>
    <n v="41.050279329608941"/>
    <x v="28"/>
  </r>
  <r>
    <x v="1"/>
    <x v="0"/>
    <n v="32"/>
    <n v="9270"/>
    <d v="2013-03-20T17:18:00"/>
    <d v="2013-03-20T19:59:00"/>
    <n v="135"/>
    <n v="179"/>
    <n v="167"/>
    <s v="Wet coal"/>
    <s v="2-4 mill feeder plugged"/>
    <s v="Brown"/>
    <x v="0"/>
    <s v="Coal"/>
    <x v="1"/>
    <x v="0"/>
    <n v="3"/>
    <n v="2.6833333333488554"/>
    <n v="0.65959031657737233"/>
    <n v="110.15158286842117"/>
    <n v="41.050279329608941"/>
    <x v="28"/>
  </r>
  <r>
    <x v="1"/>
    <x v="0"/>
    <n v="33"/>
    <n v="9270"/>
    <d v="2013-03-21T00:38:00"/>
    <d v="2013-03-21T14:10:00"/>
    <n v="130"/>
    <n v="179"/>
    <n v="167"/>
    <s v="Wet coal"/>
    <s v="2-4 mill coal feed problems"/>
    <s v="Brown"/>
    <x v="0"/>
    <s v="Coal"/>
    <x v="1"/>
    <x v="0"/>
    <n v="3"/>
    <n v="13.533333333441988"/>
    <n v="3.7046554935120524"/>
    <n v="618.67746741651274"/>
    <n v="45.715083798882681"/>
    <x v="10"/>
  </r>
  <r>
    <x v="1"/>
    <x v="0"/>
    <n v="34"/>
    <n v="9270"/>
    <d v="2013-03-21T14:10:00"/>
    <d v="2013-03-21T18:48:00"/>
    <n v="160"/>
    <n v="179"/>
    <n v="167"/>
    <s v="Wet coal"/>
    <s v="2-4 mill coal feed problems"/>
    <s v="Brown"/>
    <x v="0"/>
    <s v="Coal"/>
    <x v="1"/>
    <x v="0"/>
    <n v="3"/>
    <n v="4.6333333332440816"/>
    <n v="0.4918063314616623"/>
    <n v="82.131657354097598"/>
    <n v="17.726256983240223"/>
    <x v="5"/>
  </r>
  <r>
    <x v="1"/>
    <x v="0"/>
    <n v="35"/>
    <n v="9270"/>
    <d v="2013-03-21T18:48:00"/>
    <d v="2013-03-21T19:43:00"/>
    <n v="165"/>
    <n v="179"/>
    <n v="167"/>
    <s v="Wet coal"/>
    <s v="2-4 mill coal feed problems"/>
    <s v="Brown"/>
    <x v="0"/>
    <s v="Coal"/>
    <x v="1"/>
    <x v="0"/>
    <n v="3"/>
    <n v="0.91666666668606922"/>
    <n v="7.1694599629078037E-2"/>
    <n v="11.972998138056033"/>
    <n v="13.061452513966481"/>
    <x v="20"/>
  </r>
  <r>
    <x v="1"/>
    <x v="0"/>
    <n v="37"/>
    <n v="9270"/>
    <d v="2013-03-21T19:43:00"/>
    <d v="2013-03-21T20:09:00"/>
    <n v="170"/>
    <n v="179"/>
    <n v="167"/>
    <s v="Wet coal"/>
    <s v="2-4 mill coal feed problems "/>
    <s v="Brown"/>
    <x v="0"/>
    <s v="Coal"/>
    <x v="1"/>
    <x v="0"/>
    <n v="3"/>
    <n v="0.43333333334885538"/>
    <n v="2.1787709497987143E-2"/>
    <n v="3.6385474861638532"/>
    <n v="8.3966480446927374"/>
    <x v="1"/>
  </r>
  <r>
    <x v="1"/>
    <x v="3"/>
    <n v="36"/>
    <n v="1100"/>
    <d v="2013-03-24T21:50:00"/>
    <d v="2013-03-24T22:05:00"/>
    <n v="0"/>
    <n v="179"/>
    <n v="167"/>
    <s v="Waterwall (Furnace wall) B"/>
    <s v="Deslag boiler"/>
    <s v="Brown"/>
    <x v="1"/>
    <s v="Coal"/>
    <x v="1"/>
    <x v="0"/>
    <n v="3"/>
    <n v="0.25000000011641532"/>
    <n v="0.25000000011641532"/>
    <n v="41.750000019441359"/>
    <n v="167"/>
    <x v="27"/>
  </r>
  <r>
    <x v="1"/>
    <x v="3"/>
    <n v="38"/>
    <n v="1100"/>
    <d v="2013-03-28T11:15:00"/>
    <d v="2013-03-28T12:15:00"/>
    <n v="0"/>
    <n v="179"/>
    <n v="167"/>
    <s v="Waterwall (Furnace wall) B"/>
    <s v="Deslag unit"/>
    <s v="Brown"/>
    <x v="1"/>
    <s v="Coal"/>
    <x v="1"/>
    <x v="0"/>
    <n v="3"/>
    <n v="0.99999999994179234"/>
    <n v="0.99999999994179234"/>
    <n v="166.99999999027932"/>
    <n v="167"/>
    <x v="27"/>
  </r>
  <r>
    <x v="1"/>
    <x v="0"/>
    <n v="39"/>
    <n v="310"/>
    <d v="2013-04-01T09:09:00"/>
    <d v="2013-04-01T09:35:00"/>
    <n v="140"/>
    <n v="179"/>
    <n v="167"/>
    <s v="Pulverizer mills"/>
    <s v="2-3 mill vibration"/>
    <s v="Brown"/>
    <x v="0"/>
    <s v="Coal"/>
    <x v="1"/>
    <x v="0"/>
    <n v="4"/>
    <n v="0.43333333334885538"/>
    <n v="9.4413407824610954E-2"/>
    <n v="15.76703910671003"/>
    <n v="36.385474860335194"/>
    <x v="32"/>
  </r>
  <r>
    <x v="1"/>
    <x v="0"/>
    <n v="40"/>
    <n v="310"/>
    <d v="2013-04-01T09:35:00"/>
    <d v="2013-04-01T14:23:00"/>
    <n v="135"/>
    <n v="179"/>
    <n v="167"/>
    <s v="Pulverizer mills"/>
    <s v="2-3 mill vibration 6436028"/>
    <s v="Brown"/>
    <x v="0"/>
    <s v="Coal"/>
    <x v="1"/>
    <x v="0"/>
    <n v="4"/>
    <n v="4.8000000001047738"/>
    <n v="1.179888268182179"/>
    <n v="197.04134078642389"/>
    <n v="41.050279329608941"/>
    <x v="28"/>
  </r>
  <r>
    <x v="1"/>
    <x v="0"/>
    <n v="41"/>
    <n v="310"/>
    <d v="2013-04-11T11:55:00"/>
    <d v="2013-04-11T12:54:00"/>
    <n v="135"/>
    <n v="179"/>
    <n v="167"/>
    <s v="Pulverizer mills"/>
    <s v="Elevated vibration in 2-3 mill grinding section  6438408"/>
    <s v="Brown"/>
    <x v="0"/>
    <s v="Coal"/>
    <x v="1"/>
    <x v="0"/>
    <n v="4"/>
    <n v="0.98333333322079852"/>
    <n v="0.24171322157382757"/>
    <n v="40.366108002829208"/>
    <n v="41.050279329608941"/>
    <x v="28"/>
  </r>
  <r>
    <x v="1"/>
    <x v="0"/>
    <n v="42"/>
    <n v="310"/>
    <d v="2013-04-19T17:34:00"/>
    <d v="2013-04-20T03:28:00"/>
    <n v="150"/>
    <n v="179"/>
    <n v="167"/>
    <s v="Pulverizer mills"/>
    <s v="2-3 mill south roll replacement due to broken spring bolt 6440220"/>
    <s v="Brown"/>
    <x v="0"/>
    <s v="Coal"/>
    <x v="1"/>
    <x v="0"/>
    <n v="4"/>
    <n v="9.8999999999650754"/>
    <n v="1.6039106145194815"/>
    <n v="267.85307262475339"/>
    <n v="27.05586592178771"/>
    <x v="6"/>
  </r>
  <r>
    <x v="1"/>
    <x v="0"/>
    <n v="43"/>
    <n v="9620"/>
    <d v="2013-04-22T14:10:00"/>
    <d v="2013-04-22T14:25:00"/>
    <n v="170"/>
    <n v="179"/>
    <n v="167"/>
    <s v="Particulate stack emissions (fossil)"/>
    <s v="Exccedance of Particulate Matter target limit"/>
    <s v="Brown"/>
    <x v="0"/>
    <s v="Coal"/>
    <x v="1"/>
    <x v="0"/>
    <n v="4"/>
    <n v="0.24999999994179234"/>
    <n v="1.2569832399307994E-2"/>
    <n v="2.0991620106844349"/>
    <n v="8.3966480446927374"/>
    <x v="1"/>
  </r>
  <r>
    <x v="1"/>
    <x v="0"/>
    <n v="44"/>
    <n v="9620"/>
    <d v="2013-04-22T14:25:00"/>
    <d v="2013-04-23T05:34:00"/>
    <n v="165"/>
    <n v="179"/>
    <n v="167"/>
    <s v="Particulate stack emissions (fossil)"/>
    <s v="Exccedance of Particulate Matter target limit"/>
    <s v="Brown"/>
    <x v="0"/>
    <s v="Coal"/>
    <x v="1"/>
    <x v="0"/>
    <n v="4"/>
    <n v="15.149999999965075"/>
    <n v="1.1849162011145868"/>
    <n v="197.88100558613601"/>
    <n v="13.061452513966481"/>
    <x v="20"/>
  </r>
  <r>
    <x v="1"/>
    <x v="0"/>
    <n v="45"/>
    <n v="9620"/>
    <d v="2013-04-23T05:34:00"/>
    <d v="2013-04-23T08:58:00"/>
    <n v="170"/>
    <n v="179"/>
    <n v="167"/>
    <s v="Particulate stack emissions (fossil)"/>
    <s v="Exccedance of Particulate Matter target limit"/>
    <s v="Brown"/>
    <x v="0"/>
    <s v="Coal"/>
    <x v="1"/>
    <x v="0"/>
    <n v="4"/>
    <n v="3.4000000000814907"/>
    <n v="0.17094972067448835"/>
    <n v="28.548603352639557"/>
    <n v="8.3966480446927374"/>
    <x v="1"/>
  </r>
  <r>
    <x v="1"/>
    <x v="0"/>
    <n v="46"/>
    <n v="310"/>
    <d v="2013-04-25T22:35:00"/>
    <d v="2013-04-26T00:20:00"/>
    <n v="135"/>
    <n v="179"/>
    <n v="167"/>
    <s v="Pulverizer mills"/>
    <s v="Replace 2-3 mill west roll 6441769"/>
    <s v="Brown"/>
    <x v="0"/>
    <s v="Coal"/>
    <x v="1"/>
    <x v="0"/>
    <n v="4"/>
    <n v="1.7500000001164153"/>
    <n v="0.43016759779397917"/>
    <n v="71.837988831594515"/>
    <n v="41.050279329608941"/>
    <x v="28"/>
  </r>
  <r>
    <x v="1"/>
    <x v="0"/>
    <n v="47"/>
    <n v="310"/>
    <d v="2013-04-27T09:27:00"/>
    <d v="2013-04-27T10:03:00"/>
    <n v="150"/>
    <n v="179"/>
    <n v="167"/>
    <s v="Pulverizer mills"/>
    <s v="2-1 mill loading up, need rolls set"/>
    <s v="Brown"/>
    <x v="0"/>
    <s v="Coal"/>
    <x v="1"/>
    <x v="0"/>
    <n v="4"/>
    <n v="0.59999999986030161"/>
    <n v="9.7206703887981832E-2"/>
    <n v="16.233519549292964"/>
    <n v="27.05586592178771"/>
    <x v="6"/>
  </r>
  <r>
    <x v="1"/>
    <x v="0"/>
    <n v="48"/>
    <n v="310"/>
    <d v="2013-04-27T10:03:00"/>
    <d v="2013-04-27T10:31:00"/>
    <n v="140"/>
    <n v="179"/>
    <n v="167"/>
    <s v="Pulverizer mills"/>
    <s v="2-1 mill loading up need rolls set 6442054"/>
    <s v="Brown"/>
    <x v="0"/>
    <s v="Coal"/>
    <x v="1"/>
    <x v="0"/>
    <n v="4"/>
    <n v="0.46666666679084301"/>
    <n v="0.10167597768068647"/>
    <n v="16.979888272674639"/>
    <n v="36.385474860335194"/>
    <x v="32"/>
  </r>
  <r>
    <x v="1"/>
    <x v="0"/>
    <n v="49"/>
    <n v="310"/>
    <d v="2013-05-01T13:44:00"/>
    <d v="2013-05-01T17:28:00"/>
    <n v="135"/>
    <n v="179"/>
    <n v="167"/>
    <s v="Pulverizer mills"/>
    <s v="Replace broken roll in 2-1 mill 6444295"/>
    <s v="Brown"/>
    <x v="0"/>
    <s v="Coal"/>
    <x v="1"/>
    <x v="0"/>
    <n v="5"/>
    <n v="3.7333333332790062"/>
    <n v="0.9176908752194205"/>
    <n v="153.25437616164322"/>
    <n v="41.050279329608941"/>
    <x v="28"/>
  </r>
  <r>
    <x v="1"/>
    <x v="0"/>
    <n v="50"/>
    <n v="310"/>
    <d v="2013-05-01T17:28:00"/>
    <d v="2013-05-01T20:17:00"/>
    <n v="80"/>
    <n v="179"/>
    <n v="167"/>
    <s v="Pulverizer mills"/>
    <s v="Replace broken roll in 2-1 mill and replace pyrite scrapper in 2-2 mill"/>
    <s v="Brown"/>
    <x v="0"/>
    <s v="Coal"/>
    <x v="1"/>
    <x v="0"/>
    <n v="5"/>
    <n v="2.816666666592937"/>
    <n v="1.5578212290095015"/>
    <n v="260.15614524458675"/>
    <n v="92.363128491620117"/>
    <x v="31"/>
  </r>
  <r>
    <x v="1"/>
    <x v="0"/>
    <n v="51"/>
    <n v="310"/>
    <d v="2013-05-01T20:17:00"/>
    <d v="2013-05-01T21:36:00"/>
    <n v="135"/>
    <n v="179"/>
    <n v="167"/>
    <s v="Pulverizer mills"/>
    <s v="Replace pyrite scrapper in 2-2 mill 6444295"/>
    <s v="Brown"/>
    <x v="0"/>
    <s v="Coal"/>
    <x v="1"/>
    <x v="0"/>
    <n v="5"/>
    <n v="1.3166666667675599"/>
    <n v="0.32364990691493095"/>
    <n v="54.049534454793466"/>
    <n v="41.050279329608941"/>
    <x v="28"/>
  </r>
  <r>
    <x v="1"/>
    <x v="0"/>
    <n v="52"/>
    <n v="310"/>
    <d v="2013-05-21T14:48:00"/>
    <d v="2013-05-21T17:10:00"/>
    <n v="135"/>
    <n v="179"/>
    <n v="167"/>
    <s v="Pulverizer mills"/>
    <s v="2-4 mill vibration in grinding section"/>
    <s v="Brown"/>
    <x v="0"/>
    <s v="Coal"/>
    <x v="1"/>
    <x v="0"/>
    <n v="5"/>
    <n v="2.3666666666977108"/>
    <n v="0.58175046555697918"/>
    <n v="97.152327748015523"/>
    <n v="41.050279329608941"/>
    <x v="28"/>
  </r>
  <r>
    <x v="1"/>
    <x v="0"/>
    <n v="53"/>
    <n v="310"/>
    <d v="2013-05-21T17:10:00"/>
    <d v="2013-05-21T17:14:00"/>
    <n v="145"/>
    <n v="179"/>
    <n v="167"/>
    <s v="Pulverizer mills"/>
    <s v="2-4 mill vibration in grinding section 6452128"/>
    <s v="Brown"/>
    <x v="0"/>
    <s v="Coal"/>
    <x v="1"/>
    <x v="0"/>
    <n v="5"/>
    <n v="6.6666666534729302E-2"/>
    <n v="1.266294224682009E-2"/>
    <n v="2.1147113552189549"/>
    <n v="31.720670391061454"/>
    <x v="8"/>
  </r>
  <r>
    <x v="1"/>
    <x v="1"/>
    <n v="54"/>
    <n v="250"/>
    <d v="2013-05-23T21:00:00"/>
    <d v="2013-05-24T05:05:00"/>
    <n v="120"/>
    <n v="179"/>
    <n v="167"/>
    <s v="Pulverizer feeders"/>
    <s v="Replace 2-4 mill feeder belt 6447918"/>
    <s v="Brown"/>
    <x v="0"/>
    <s v="Coal"/>
    <x v="1"/>
    <x v="0"/>
    <n v="5"/>
    <n v="8.0833333333139308"/>
    <n v="2.6643389199191168"/>
    <n v="444.9445996264925"/>
    <n v="55.044692737430168"/>
    <x v="2"/>
  </r>
  <r>
    <x v="1"/>
    <x v="0"/>
    <n v="55"/>
    <n v="250"/>
    <d v="2013-05-27T11:15:00"/>
    <d v="2013-05-27T13:57:00"/>
    <n v="120"/>
    <n v="179"/>
    <n v="167"/>
    <s v="Pulverizer feeders"/>
    <s v="2-2 mill feeder speed very erratic 6458266"/>
    <s v="Brown"/>
    <x v="0"/>
    <s v="Coal"/>
    <x v="1"/>
    <x v="0"/>
    <n v="5"/>
    <n v="2.7000000000698492"/>
    <n v="0.88994413410123518"/>
    <n v="148.62067039490628"/>
    <n v="55.044692737430168"/>
    <x v="2"/>
  </r>
  <r>
    <x v="1"/>
    <x v="3"/>
    <n v="56"/>
    <n v="4268"/>
    <d v="2013-05-29T04:08:00"/>
    <d v="2013-05-29T05:14:00"/>
    <n v="0"/>
    <n v="179"/>
    <n v="167"/>
    <s v="Reheat/intercept valve testing"/>
    <s v="Turbine reheat/intercept valve test to troubleshoot problems with limits not reaching "/>
    <s v="Brown"/>
    <x v="1"/>
    <s v="Coal"/>
    <x v="1"/>
    <x v="0"/>
    <n v="5"/>
    <n v="1.0999999999185093"/>
    <n v="1.0999999999185093"/>
    <n v="183.69999998639105"/>
    <n v="167"/>
    <x v="27"/>
  </r>
  <r>
    <x v="1"/>
    <x v="5"/>
    <n v="57"/>
    <n v="4268"/>
    <d v="2013-05-29T05:14:00"/>
    <d v="2013-05-29T06:23:00"/>
    <n v="0"/>
    <n v="179"/>
    <n v="167"/>
    <s v="Reheat/intercept valve testing"/>
    <s v="Turbine trip while conducting reheat/intercept valve testing 6423407"/>
    <s v="Brown"/>
    <x v="3"/>
    <s v="Coal"/>
    <x v="1"/>
    <x v="0"/>
    <n v="5"/>
    <n v="1.1500000000814907"/>
    <n v="1.1500000000814907"/>
    <n v="192.05000001360895"/>
    <n v="167"/>
    <x v="27"/>
  </r>
  <r>
    <x v="1"/>
    <x v="5"/>
    <n v="58"/>
    <n v="1000"/>
    <d v="2013-06-16T10:59:00"/>
    <d v="2013-06-17T01:59:00"/>
    <n v="0"/>
    <n v="179"/>
    <n v="167"/>
    <s v="Waterwall (Furnace wall) A"/>
    <s v="Waterwall tube leak  6467216"/>
    <s v="Brown"/>
    <x v="3"/>
    <s v="Coal"/>
    <x v="1"/>
    <x v="0"/>
    <n v="6"/>
    <n v="15"/>
    <n v="15"/>
    <n v="2505"/>
    <n v="167"/>
    <x v="27"/>
  </r>
  <r>
    <x v="1"/>
    <x v="7"/>
    <n v="59"/>
    <n v="400"/>
    <d v="2013-06-17T01:59:00"/>
    <d v="2013-06-17T06:07:00"/>
    <n v="0"/>
    <n v="179"/>
    <n v="167"/>
    <s v="Burner wind box fires"/>
    <s v="Investigate possible fire in burner windbox.  "/>
    <s v="Brown"/>
    <x v="3"/>
    <s v="Coal"/>
    <x v="1"/>
    <x v="0"/>
    <n v="6"/>
    <n v="4.1333333333604969"/>
    <n v="4.1333333333604969"/>
    <n v="690.26666667120298"/>
    <n v="167"/>
    <x v="27"/>
  </r>
  <r>
    <x v="1"/>
    <x v="1"/>
    <n v="60"/>
    <n v="310"/>
    <d v="2013-06-20T23:00:00"/>
    <d v="2013-06-21T02:00:00"/>
    <n v="140"/>
    <n v="179"/>
    <n v="167"/>
    <s v="Pulverizer mills"/>
    <s v="Inspect 2-4 mill motor coupling  6468780"/>
    <s v="Brown"/>
    <x v="0"/>
    <s v="Coal"/>
    <x v="1"/>
    <x v="0"/>
    <n v="6"/>
    <n v="3"/>
    <n v="0.65363128491620115"/>
    <n v="109.1564245810056"/>
    <n v="36.385474860335194"/>
    <x v="32"/>
  </r>
  <r>
    <x v="1"/>
    <x v="1"/>
    <n v="61"/>
    <n v="300"/>
    <d v="2013-06-23T22:00:00"/>
    <d v="2013-06-24T07:40:00"/>
    <n v="140"/>
    <n v="179"/>
    <n v="167"/>
    <s v="Pulverizer motors and drives"/>
    <s v="Replace 2-4 mill motor bearings 6417202"/>
    <s v="Brown"/>
    <x v="0"/>
    <s v="Coal"/>
    <x v="1"/>
    <x v="0"/>
    <n v="6"/>
    <n v="9.6666666667442769"/>
    <n v="2.1061452514135577"/>
    <n v="351.72625698606413"/>
    <n v="36.385474860335194"/>
    <x v="32"/>
  </r>
  <r>
    <x v="1"/>
    <x v="5"/>
    <n v="62"/>
    <n v="3420"/>
    <d v="2013-06-25T08:00:00"/>
    <d v="2013-06-26T05:16:00"/>
    <n v="0"/>
    <n v="179"/>
    <n v="167"/>
    <s v="Feedwater piping and supports"/>
    <s v="2-2 BFP warming line leaking at the connection to the discharge line.  6470031"/>
    <s v="Brown"/>
    <x v="3"/>
    <s v="Coal"/>
    <x v="1"/>
    <x v="0"/>
    <n v="6"/>
    <n v="21.266666666662786"/>
    <n v="21.266666666662786"/>
    <n v="3551.5333333326853"/>
    <n v="167"/>
    <x v="27"/>
  </r>
  <r>
    <x v="1"/>
    <x v="1"/>
    <n v="63"/>
    <n v="310"/>
    <d v="2013-06-27T00:00:00"/>
    <d v="2013-06-28T03:22:00"/>
    <n v="140"/>
    <n v="179"/>
    <n v="167"/>
    <s v="Pulverizer mills"/>
    <s v="Balance 2-4 mill exhauster "/>
    <s v="Brown"/>
    <x v="0"/>
    <s v="Coal"/>
    <x v="1"/>
    <x v="0"/>
    <n v="6"/>
    <n v="27.366666666639503"/>
    <n v="5.9625698323963165"/>
    <n v="995.74916201018482"/>
    <n v="36.385474860335194"/>
    <x v="32"/>
  </r>
  <r>
    <x v="1"/>
    <x v="5"/>
    <n v="64"/>
    <n v="4750"/>
    <d v="2013-07-20T10:51:00"/>
    <d v="2013-07-20T12:26:00"/>
    <n v="0"/>
    <n v="179"/>
    <n v="167"/>
    <s v="Other generator controls and metering problems"/>
    <s v="Generator tripped while investigating stator temp issue 6477753"/>
    <s v="Brown"/>
    <x v="3"/>
    <s v="Coal"/>
    <x v="1"/>
    <x v="0"/>
    <n v="7"/>
    <n v="1.5833333334303461"/>
    <n v="1.5833333334303461"/>
    <n v="264.4166666828678"/>
    <n v="167"/>
    <x v="27"/>
  </r>
  <r>
    <x v="1"/>
    <x v="4"/>
    <n v="65"/>
    <n v="8560"/>
    <d v="2013-07-28T08:49:00"/>
    <d v="2013-07-28T20:20:00"/>
    <n v="0"/>
    <n v="179"/>
    <n v="167"/>
    <s v="Electrostatic precipitator problems"/>
    <s v="Inspect precipitators for ground 6481210"/>
    <s v="Brown"/>
    <x v="2"/>
    <s v="Coal"/>
    <x v="1"/>
    <x v="0"/>
    <n v="7"/>
    <n v="11.516666666662786"/>
    <n v="11.516666666662786"/>
    <n v="1923.2833333326853"/>
    <n v="167"/>
    <x v="27"/>
  </r>
  <r>
    <x v="1"/>
    <x v="1"/>
    <n v="67"/>
    <n v="3410"/>
    <d v="2013-08-11T06:00:00"/>
    <d v="2013-08-12T02:32:00"/>
    <n v="99"/>
    <n v="179"/>
    <n v="167"/>
    <s v="Feedwater pump"/>
    <s v="Replace 2-1 BFP mechanical seals. Insp. 2-4 mill gearbox  6481606 6473659"/>
    <s v="Brown"/>
    <x v="0"/>
    <s v="Coal"/>
    <x v="1"/>
    <x v="0"/>
    <n v="8"/>
    <n v="20.53333333338378"/>
    <n v="9.1769087523502932"/>
    <n v="1532.543761642499"/>
    <n v="74.636871508379883"/>
    <x v="34"/>
  </r>
  <r>
    <x v="1"/>
    <x v="0"/>
    <n v="68"/>
    <n v="3210"/>
    <d v="2013-08-24T09:47:00"/>
    <d v="2013-08-24T10:33:00"/>
    <n v="130"/>
    <n v="179"/>
    <n v="167"/>
    <s v="Circulating water pumps"/>
    <s v="Change oil in 2-1 CWP OB bearing "/>
    <s v="Brown"/>
    <x v="0"/>
    <s v="Coal"/>
    <x v="1"/>
    <x v="0"/>
    <n v="8"/>
    <n v="0.76666666672099382"/>
    <n v="0.20986964619736703"/>
    <n v="35.048230914960293"/>
    <n v="45.715083798882681"/>
    <x v="10"/>
  </r>
  <r>
    <x v="1"/>
    <x v="1"/>
    <n v="69"/>
    <n v="310"/>
    <d v="2013-08-25T22:00:00"/>
    <d v="2013-08-26T03:20:00"/>
    <n v="140"/>
    <n v="179"/>
    <n v="167"/>
    <s v="Pulverizer mills"/>
    <s v="2-1 Mill pre outage inspection"/>
    <s v="Brown"/>
    <x v="0"/>
    <s v="Coal"/>
    <x v="1"/>
    <x v="0"/>
    <n v="8"/>
    <n v="5.3333333334303461"/>
    <n v="1.1620111732054943"/>
    <n v="194.05586592531753"/>
    <n v="36.385474860335194"/>
    <x v="32"/>
  </r>
  <r>
    <x v="1"/>
    <x v="1"/>
    <n v="70"/>
    <n v="344"/>
    <d v="2013-08-26T22:00:00"/>
    <d v="2013-08-27T03:25:00"/>
    <n v="140"/>
    <n v="179"/>
    <n v="167"/>
    <s v="Pulverizer inspection"/>
    <s v="2-2 Mill pre outage inspection"/>
    <s v="Brown"/>
    <x v="0"/>
    <s v="Coal"/>
    <x v="1"/>
    <x v="0"/>
    <n v="8"/>
    <n v="5.4166666666860692"/>
    <n v="1.1801675977695905"/>
    <n v="197.0879888275216"/>
    <n v="36.385474860335194"/>
    <x v="32"/>
  </r>
  <r>
    <x v="1"/>
    <x v="1"/>
    <n v="71"/>
    <n v="344"/>
    <d v="2013-08-27T22:00:00"/>
    <d v="2013-08-28T02:30:00"/>
    <n v="140"/>
    <n v="179"/>
    <n v="167"/>
    <s v="Pulverizer inspection"/>
    <s v="2-3 Mill pre outage inspection"/>
    <s v="Brown"/>
    <x v="0"/>
    <s v="Coal"/>
    <x v="1"/>
    <x v="0"/>
    <n v="8"/>
    <n v="4.5"/>
    <n v="0.98044692737430172"/>
    <n v="163.7346368715084"/>
    <n v="36.385474860335194"/>
    <x v="32"/>
  </r>
  <r>
    <x v="1"/>
    <x v="1"/>
    <n v="72"/>
    <n v="344"/>
    <d v="2013-08-28T22:00:00"/>
    <d v="2013-08-29T03:00:00"/>
    <n v="140"/>
    <n v="179"/>
    <n v="167"/>
    <s v="Pulverizer inspection"/>
    <s v="2-4 Mill pre outage inspection"/>
    <s v="Brown"/>
    <x v="0"/>
    <s v="Coal"/>
    <x v="1"/>
    <x v="0"/>
    <n v="8"/>
    <n v="5.0000000000582077"/>
    <n v="1.0893854748730174"/>
    <n v="181.9273743037939"/>
    <n v="36.385474860335194"/>
    <x v="32"/>
  </r>
  <r>
    <x v="1"/>
    <x v="4"/>
    <n v="73"/>
    <n v="8551"/>
    <d v="2013-09-03T09:31:00"/>
    <d v="2013-09-04T18:15:00"/>
    <n v="0"/>
    <n v="179"/>
    <n v="167"/>
    <s v="Electrostatic precipitator field out of service"/>
    <s v="2-1C &amp; 2-1D precipitators out of service 6488094"/>
    <s v="Brown"/>
    <x v="2"/>
    <s v="Coal"/>
    <x v="1"/>
    <x v="0"/>
    <n v="9"/>
    <n v="32.733333333337214"/>
    <n v="32.733333333337214"/>
    <n v="5466.4666666673147"/>
    <n v="167"/>
    <x v="27"/>
  </r>
  <r>
    <x v="1"/>
    <x v="7"/>
    <n v="75"/>
    <n v="8700"/>
    <d v="2013-09-05T07:40:00"/>
    <d v="2013-09-05T22:31:00"/>
    <n v="0"/>
    <n v="179"/>
    <n v="167"/>
    <s v="CEMS Certification and Recertification"/>
    <s v="PM testing for BR3. Unable to startup unit during testing due to common stack. "/>
    <s v="Brown"/>
    <x v="3"/>
    <s v="Coal"/>
    <x v="1"/>
    <x v="0"/>
    <n v="9"/>
    <n v="14.850000000034925"/>
    <n v="14.850000000034925"/>
    <n v="2479.9500000058324"/>
    <n v="167"/>
    <x v="27"/>
  </r>
  <r>
    <x v="1"/>
    <x v="5"/>
    <n v="76"/>
    <n v="3431"/>
    <d v="2013-09-06T11:48:00"/>
    <d v="2013-09-07T02:51:00"/>
    <n v="0"/>
    <n v="179"/>
    <n v="167"/>
    <s v="Other feedwater valves"/>
    <s v="HP heater inlet valve packing failure 6492643"/>
    <s v="Brown"/>
    <x v="3"/>
    <s v="Coal"/>
    <x v="1"/>
    <x v="0"/>
    <n v="9"/>
    <n v="15.049999999988358"/>
    <n v="15.049999999988358"/>
    <n v="2513.3499999980559"/>
    <n v="167"/>
    <x v="27"/>
  </r>
  <r>
    <x v="1"/>
    <x v="1"/>
    <n v="79"/>
    <n v="310"/>
    <d v="2013-10-10T02:00:00"/>
    <d v="2013-10-10T04:00:00"/>
    <n v="140"/>
    <n v="179"/>
    <n v="167"/>
    <s v="Pulverizer mills"/>
    <s v="Inspect 2-3 mill exhauster coupling 6502142"/>
    <s v="Brown"/>
    <x v="0"/>
    <s v="Coal"/>
    <x v="1"/>
    <x v="0"/>
    <n v="10"/>
    <n v="1.9999999998835847"/>
    <n v="0.43575418991876985"/>
    <n v="72.770949716434572"/>
    <n v="36.385474860335194"/>
    <x v="32"/>
  </r>
  <r>
    <x v="1"/>
    <x v="1"/>
    <n v="80"/>
    <n v="310"/>
    <d v="2013-10-17T20:20:00"/>
    <d v="2013-10-17T23:33:00"/>
    <n v="140"/>
    <n v="179"/>
    <n v="167"/>
    <s v="Pulverizer mills"/>
    <s v="Replace 2-1 mill west roll cover 6504209"/>
    <s v="Brown"/>
    <x v="0"/>
    <s v="Coal"/>
    <x v="1"/>
    <x v="0"/>
    <n v="10"/>
    <n v="3.2166666666744277"/>
    <n v="0.70083798882850656"/>
    <n v="117.0399441343606"/>
    <n v="36.385474860335194"/>
    <x v="32"/>
  </r>
  <r>
    <x v="1"/>
    <x v="10"/>
    <n v="82"/>
    <n v="270"/>
    <d v="2013-10-28T09:34:00"/>
    <d v="2013-10-30T23:06:00"/>
    <n v="0"/>
    <n v="179"/>
    <n v="167"/>
    <s v="Primary air duct and dampers"/>
    <s v="2-4 mill duct work explosion clean up &amp; repair 6506580 6506586"/>
    <s v="Brown"/>
    <x v="3"/>
    <s v="Coal"/>
    <x v="1"/>
    <x v="0"/>
    <n v="10"/>
    <n v="61.533333333441988"/>
    <n v="61.533333333441988"/>
    <n v="10276.066666684812"/>
    <n v="167"/>
    <x v="27"/>
  </r>
  <r>
    <x v="1"/>
    <x v="0"/>
    <n v="83"/>
    <n v="270"/>
    <d v="2013-10-30T23:06:00"/>
    <d v="2013-10-31T07:36:00"/>
    <n v="135"/>
    <n v="179"/>
    <n v="167"/>
    <s v="Primary air duct and dampers"/>
    <s v="2-4 mill duct work explosion damage"/>
    <s v="Brown"/>
    <x v="0"/>
    <s v="Coal"/>
    <x v="1"/>
    <x v="0"/>
    <n v="10"/>
    <n v="8.4999999999417923"/>
    <n v="2.089385474846027"/>
    <n v="348.9273742992865"/>
    <n v="41.050279329608941"/>
    <x v="28"/>
  </r>
  <r>
    <x v="1"/>
    <x v="0"/>
    <n v="84"/>
    <n v="270"/>
    <d v="2013-10-31T07:36:00"/>
    <d v="2013-11-01T12:48:00"/>
    <n v="140"/>
    <n v="179"/>
    <n v="167"/>
    <s v="Primary air duct and dampers"/>
    <s v="2-4 mill duct work explosion damage 6506586"/>
    <s v="Brown"/>
    <x v="0"/>
    <s v="Coal"/>
    <x v="1"/>
    <x v="0"/>
    <n v="10"/>
    <n v="29.200000000011642"/>
    <n v="6.362011173186894"/>
    <n v="1062.4558659222114"/>
    <n v="36.385474860335194"/>
    <x v="32"/>
  </r>
  <r>
    <x v="1"/>
    <x v="6"/>
    <n v="85"/>
    <n v="1801"/>
    <d v="2013-11-01T12:48:00"/>
    <d v="2013-11-25T02:58:00"/>
    <n v="0"/>
    <n v="179"/>
    <n v="167"/>
    <s v="Minor boiler overhaul (less than 720 hours) (use for non-specific overhaul only; see page B-1)"/>
    <s v="Planned outage "/>
    <s v="Brown"/>
    <x v="1"/>
    <s v="Coal"/>
    <x v="1"/>
    <x v="0"/>
    <n v="11"/>
    <n v="566.16666666674428"/>
    <n v="566.16666666674428"/>
    <n v="94549.833333346294"/>
    <n v="167"/>
    <x v="27"/>
  </r>
  <r>
    <x v="1"/>
    <x v="1"/>
    <n v="86"/>
    <n v="3410"/>
    <d v="2013-11-25T03:07:00"/>
    <d v="2013-11-25T09:15:00"/>
    <n v="115"/>
    <n v="179"/>
    <n v="167"/>
    <s v="Feedwater pump"/>
    <s v="2-2 BFP rebuild 6510580"/>
    <s v="Brown"/>
    <x v="0"/>
    <s v="Coal"/>
    <x v="1"/>
    <x v="0"/>
    <n v="11"/>
    <n v="6.1333333332440816"/>
    <n v="2.1929236498749787"/>
    <n v="366.21824952912147"/>
    <n v="59.709497206703908"/>
    <x v="11"/>
  </r>
  <r>
    <x v="1"/>
    <x v="1"/>
    <n v="87"/>
    <n v="855"/>
    <d v="2013-12-05T23:00:00"/>
    <d v="2013-12-06T01:00:00"/>
    <n v="100"/>
    <n v="179"/>
    <n v="167"/>
    <s v="Drum relief/safety valves (Single drum only)"/>
    <s v="Set boiler safeties"/>
    <s v="Brown"/>
    <x v="0"/>
    <s v="Coal"/>
    <x v="1"/>
    <x v="0"/>
    <n v="12"/>
    <n v="1.9999999998835847"/>
    <n v="0.88268156419443122"/>
    <n v="147.40782122047003"/>
    <n v="73.703910614525142"/>
    <x v="29"/>
  </r>
  <r>
    <x v="1"/>
    <x v="0"/>
    <n v="88"/>
    <n v="3410"/>
    <d v="2013-12-15T07:33:00"/>
    <d v="2013-12-16T16:39:00"/>
    <n v="115"/>
    <n v="179"/>
    <n v="167"/>
    <s v="Feedwater pump"/>
    <s v="2-2 BFP OB bearing temperature high 6521569"/>
    <s v="Brown"/>
    <x v="0"/>
    <s v="Coal"/>
    <x v="1"/>
    <x v="0"/>
    <n v="12"/>
    <n v="33.099999999976717"/>
    <n v="11.834636871500056"/>
    <n v="1976.3843575405094"/>
    <n v="59.709497206703908"/>
    <x v="11"/>
  </r>
  <r>
    <x v="1"/>
    <x v="4"/>
    <n v="89"/>
    <n v="3410"/>
    <d v="2013-12-16T16:39:00"/>
    <d v="2013-12-17T14:44:00"/>
    <n v="0"/>
    <n v="179"/>
    <n v="167"/>
    <s v="Feedwater pump"/>
    <s v="Replace 2-2 BFP balance line stop valve 6521569"/>
    <s v="Brown"/>
    <x v="2"/>
    <s v="Coal"/>
    <x v="1"/>
    <x v="0"/>
    <n v="12"/>
    <n v="22.083333333372138"/>
    <n v="22.083333333372138"/>
    <n v="3687.9166666731471"/>
    <n v="167"/>
    <x v="27"/>
  </r>
  <r>
    <x v="1"/>
    <x v="0"/>
    <n v="90"/>
    <n v="310"/>
    <d v="2013-12-17T21:30:00"/>
    <d v="2013-12-18T00:10:00"/>
    <n v="125"/>
    <n v="179"/>
    <n v="167"/>
    <s v="Pulverizer mills"/>
    <s v="2-4 mill broken spring bolt 6522662"/>
    <s v="Brown"/>
    <x v="0"/>
    <s v="Coal"/>
    <x v="1"/>
    <x v="0"/>
    <n v="12"/>
    <n v="2.6666666666278616"/>
    <n v="0.80446927373131016"/>
    <n v="134.34636871312881"/>
    <n v="50.379888268156428"/>
    <x v="33"/>
  </r>
  <r>
    <x v="1"/>
    <x v="3"/>
    <n v="91"/>
    <n v="8700"/>
    <d v="2013-12-18T08:30:00"/>
    <d v="2013-12-18T18:10:00"/>
    <n v="0"/>
    <n v="179"/>
    <n v="167"/>
    <s v="CEMS Certification and Recertification"/>
    <s v="RATA testing to the bypass stack"/>
    <s v="Brown"/>
    <x v="1"/>
    <s v="Coal"/>
    <x v="1"/>
    <x v="0"/>
    <n v="12"/>
    <n v="9.6666666667442769"/>
    <n v="9.6666666667442769"/>
    <n v="1614.3333333462942"/>
    <n v="167"/>
    <x v="27"/>
  </r>
  <r>
    <x v="1"/>
    <x v="0"/>
    <n v="92"/>
    <n v="310"/>
    <d v="2013-12-18T18:10:00"/>
    <d v="2013-12-18T21:34:00"/>
    <n v="130"/>
    <n v="179"/>
    <n v="167"/>
    <s v="Pulverizer mills"/>
    <s v="Replace 2-3 mill broken spring bolt 6522613"/>
    <s v="Brown"/>
    <x v="0"/>
    <s v="Coal"/>
    <x v="1"/>
    <x v="0"/>
    <n v="12"/>
    <n v="3.3999999999068677"/>
    <n v="0.93072625695774591"/>
    <n v="155.43128491194358"/>
    <n v="45.715083798882681"/>
    <x v="10"/>
  </r>
  <r>
    <x v="1"/>
    <x v="3"/>
    <n v="93"/>
    <n v="8700"/>
    <d v="2013-12-19T09:10:00"/>
    <d v="2013-12-19T13:43:00"/>
    <n v="0"/>
    <n v="179"/>
    <n v="167"/>
    <s v="CEMS Certification and Recertification"/>
    <s v="RATA testing to the bypass stack"/>
    <s v="Brown"/>
    <x v="1"/>
    <s v="Coal"/>
    <x v="1"/>
    <x v="0"/>
    <n v="12"/>
    <n v="4.5499999999883585"/>
    <n v="4.5499999999883585"/>
    <n v="759.84999999805586"/>
    <n v="167"/>
    <x v="27"/>
  </r>
  <r>
    <x v="1"/>
    <x v="1"/>
    <n v="1"/>
    <n v="310"/>
    <d v="2014-01-02T22:00:00"/>
    <d v="2014-01-03T02:00:00"/>
    <n v="125"/>
    <n v="179"/>
    <n v="167"/>
    <s v="Pulverizer mills"/>
    <s v="Inspect 2-3 mill gearbox - 6529384"/>
    <s v="Brown"/>
    <x v="0"/>
    <s v="Coal"/>
    <x v="1"/>
    <x v="1"/>
    <n v="1"/>
    <n v="4.0000000001164153"/>
    <n v="1.2067039106496449"/>
    <n v="201.5195530784907"/>
    <n v="50.379888268156428"/>
    <x v="33"/>
  </r>
  <r>
    <x v="1"/>
    <x v="0"/>
    <n v="2"/>
    <n v="310"/>
    <d v="2014-01-11T18:55:00"/>
    <d v="2014-01-11T21:25:00"/>
    <n v="135"/>
    <n v="179"/>
    <n v="167"/>
    <s v="Pulverizer mills"/>
    <s v="Repair 2-2 mill broken spring bolt - 6532683 "/>
    <s v="Brown"/>
    <x v="0"/>
    <s v="Coal"/>
    <x v="1"/>
    <x v="1"/>
    <n v="1"/>
    <n v="2.4999999999417923"/>
    <n v="0.61452513965049649"/>
    <n v="102.62569832163291"/>
    <n v="41.050279329608941"/>
    <x v="28"/>
  </r>
  <r>
    <x v="1"/>
    <x v="1"/>
    <n v="3"/>
    <n v="344"/>
    <d v="2014-01-13T09:44:00"/>
    <d v="2014-01-13T12:15:00"/>
    <n v="115"/>
    <n v="179"/>
    <n v="167"/>
    <s v="Pulverizer inspection"/>
    <s v="Inspect 2-3 mill concerning thrust bearing issue "/>
    <s v="Brown"/>
    <x v="0"/>
    <s v="Coal"/>
    <x v="1"/>
    <x v="1"/>
    <n v="1"/>
    <n v="2.5166666666627862"/>
    <n v="0.89981378025932024"/>
    <n v="150.26890130330648"/>
    <n v="59.709497206703908"/>
    <x v="11"/>
  </r>
  <r>
    <x v="1"/>
    <x v="0"/>
    <n v="4"/>
    <n v="310"/>
    <d v="2014-02-11T20:04:00"/>
    <d v="2014-02-12T02:17:00"/>
    <n v="130"/>
    <n v="179"/>
    <n v="167"/>
    <s v="Pulverizer mills"/>
    <s v="2-4 mill west door broken spring bolt "/>
    <s v="Brown"/>
    <x v="0"/>
    <s v="Coal"/>
    <x v="1"/>
    <x v="1"/>
    <n v="2"/>
    <n v="6.2166666666744277"/>
    <n v="1.7017690875254019"/>
    <n v="284.19543761674214"/>
    <n v="45.715083798882681"/>
    <x v="10"/>
  </r>
  <r>
    <x v="1"/>
    <x v="0"/>
    <n v="5"/>
    <n v="310"/>
    <d v="2014-02-14T18:23:00"/>
    <d v="2014-02-14T19:11:00"/>
    <n v="135"/>
    <n v="179"/>
    <n v="167"/>
    <s v="Pulverizer mills"/>
    <s v="2-4 hot air damper not making limit  6543271"/>
    <s v="Brown"/>
    <x v="0"/>
    <s v="Coal"/>
    <x v="1"/>
    <x v="1"/>
    <n v="2"/>
    <n v="0.79999999998835847"/>
    <n v="0.19664804468987582"/>
    <n v="32.840223463209263"/>
    <n v="41.050279329608941"/>
    <x v="28"/>
  </r>
  <r>
    <x v="1"/>
    <x v="0"/>
    <n v="6"/>
    <n v="310"/>
    <d v="2014-02-16T06:34:00"/>
    <d v="2014-02-16T17:57:00"/>
    <n v="125"/>
    <n v="179"/>
    <n v="167"/>
    <s v="Pulverizer mills"/>
    <s v="2-2 mill shaft broken"/>
    <s v="Brown"/>
    <x v="0"/>
    <s v="Coal"/>
    <x v="1"/>
    <x v="1"/>
    <n v="2"/>
    <n v="11.383333333418705"/>
    <n v="3.4340782123162574"/>
    <n v="573.49106145681503"/>
    <n v="50.379888268156428"/>
    <x v="33"/>
  </r>
  <r>
    <x v="1"/>
    <x v="0"/>
    <n v="7"/>
    <n v="310"/>
    <d v="2014-02-16T17:57:00"/>
    <d v="2014-02-19T12:47:00"/>
    <n v="130"/>
    <n v="179"/>
    <n v="167"/>
    <s v="Pulverizer mills"/>
    <s v="Broken coal mill shaft 2-2 mill 6543464"/>
    <s v="Brown"/>
    <x v="0"/>
    <s v="Coal"/>
    <x v="1"/>
    <x v="1"/>
    <n v="2"/>
    <n v="66.833333333255723"/>
    <n v="18.295158286757154"/>
    <n v="3055.2914338884448"/>
    <n v="45.715083798882681"/>
    <x v="10"/>
  </r>
  <r>
    <x v="1"/>
    <x v="0"/>
    <n v="8"/>
    <n v="310"/>
    <d v="2014-02-19T12:47:00"/>
    <d v="2014-02-20T22:00:00"/>
    <n v="135"/>
    <n v="179"/>
    <n v="167"/>
    <s v="Pulverizer mills"/>
    <s v="Broken shaft 2-2 mill 6543464"/>
    <s v="Brown"/>
    <x v="0"/>
    <s v="Coal"/>
    <x v="1"/>
    <x v="1"/>
    <n v="2"/>
    <n v="33.216666666674428"/>
    <n v="8.1649906890149424"/>
    <n v="1363.5534450654955"/>
    <n v="41.050279329608941"/>
    <x v="28"/>
  </r>
  <r>
    <x v="1"/>
    <x v="1"/>
    <n v="9"/>
    <n v="3410"/>
    <d v="2014-02-20T22:00:00"/>
    <d v="2014-02-21T09:00:00"/>
    <n v="110"/>
    <n v="179"/>
    <n v="167"/>
    <s v="Feedwater pump"/>
    <s v="Repair 2-2 BFP drain valve 6532228"/>
    <s v="Brown"/>
    <x v="0"/>
    <s v="Coal"/>
    <x v="1"/>
    <x v="1"/>
    <n v="2"/>
    <n v="11.000000000058208"/>
    <n v="4.2402234637095884"/>
    <n v="708.11731843950122"/>
    <n v="64.374301675977648"/>
    <x v="30"/>
  </r>
  <r>
    <x v="1"/>
    <x v="0"/>
    <n v="10"/>
    <n v="310"/>
    <d v="2014-02-21T09:00:00"/>
    <d v="2014-02-21T22:13:00"/>
    <n v="130"/>
    <n v="179"/>
    <n v="167"/>
    <s v="Pulverizer mills"/>
    <s v="Broken shaft 2-2 mill 6543464"/>
    <s v="Brown"/>
    <x v="0"/>
    <s v="Coal"/>
    <x v="1"/>
    <x v="1"/>
    <n v="2"/>
    <n v="13.21666666661622"/>
    <n v="3.6179702048279037"/>
    <n v="604.20102420625994"/>
    <n v="45.715083798882681"/>
    <x v="10"/>
  </r>
  <r>
    <x v="1"/>
    <x v="4"/>
    <n v="11"/>
    <n v="3110"/>
    <d v="2014-02-21T22:13:00"/>
    <d v="2014-02-23T02:07:00"/>
    <n v="0"/>
    <n v="179"/>
    <n v="167"/>
    <s v="Condenser tube leaks"/>
    <s v="Repair condenser tube leak and other misc. issues 6522386"/>
    <s v="Brown"/>
    <x v="2"/>
    <s v="Coal"/>
    <x v="1"/>
    <x v="1"/>
    <n v="2"/>
    <n v="27.899999999965075"/>
    <n v="27.899999999965075"/>
    <n v="4659.2999999941676"/>
    <n v="167"/>
    <x v="27"/>
  </r>
  <r>
    <x v="1"/>
    <x v="0"/>
    <n v="12"/>
    <n v="310"/>
    <d v="2014-02-23T08:51:00"/>
    <d v="2014-02-24T08:24:00"/>
    <n v="130"/>
    <n v="179"/>
    <n v="167"/>
    <s v="Pulverizer mills"/>
    <s v="Broken shaft 2-2 mill 6543464"/>
    <s v="Brown"/>
    <x v="0"/>
    <s v="Coal"/>
    <x v="1"/>
    <x v="1"/>
    <n v="2"/>
    <n v="23.549999999930151"/>
    <n v="6.4466480446736165"/>
    <n v="1076.5902234604939"/>
    <n v="45.715083798882681"/>
    <x v="10"/>
  </r>
  <r>
    <x v="1"/>
    <x v="0"/>
    <n v="13"/>
    <n v="3410"/>
    <d v="2014-02-24T08:24:00"/>
    <d v="2014-02-26T20:00:00"/>
    <n v="105"/>
    <n v="179"/>
    <n v="167"/>
    <s v="Feedwater pump"/>
    <s v="2-2 BFP OB bearing hot 6546733 "/>
    <s v="Brown"/>
    <x v="0"/>
    <s v="Coal"/>
    <x v="1"/>
    <x v="1"/>
    <n v="2"/>
    <n v="59.600000000093132"/>
    <n v="24.639106145289897"/>
    <n v="4114.7307262634131"/>
    <n v="69.039106145251395"/>
    <x v="25"/>
  </r>
  <r>
    <x v="1"/>
    <x v="0"/>
    <n v="14"/>
    <n v="310"/>
    <d v="2014-02-26T20:00:00"/>
    <d v="2014-02-28T12:26:00"/>
    <n v="130"/>
    <n v="179"/>
    <n v="167"/>
    <s v="Pulverizer mills"/>
    <s v="Broken shaft 2-2 mill 6543464 "/>
    <s v="Brown"/>
    <x v="0"/>
    <s v="Coal"/>
    <x v="1"/>
    <x v="1"/>
    <n v="2"/>
    <n v="40.433333333290648"/>
    <n v="11.068342644308613"/>
    <n v="1848.4132215995385"/>
    <n v="45.715083798882681"/>
    <x v="10"/>
  </r>
  <r>
    <x v="1"/>
    <x v="4"/>
    <n v="15"/>
    <n v="8560"/>
    <d v="2014-02-28T12:26:00"/>
    <d v="2014-03-02T18:19:00"/>
    <n v="0"/>
    <n v="179"/>
    <n v="167"/>
    <s v="Electrostatic precipitator problems"/>
    <s v="Precipitator fields out of service and tube leak repair 6546848"/>
    <s v="Brown"/>
    <x v="2"/>
    <s v="Coal"/>
    <x v="1"/>
    <x v="1"/>
    <n v="2"/>
    <n v="53.883333333302289"/>
    <n v="53.883333333302289"/>
    <n v="8998.5166666614823"/>
    <n v="167"/>
    <x v="27"/>
  </r>
  <r>
    <x v="1"/>
    <x v="0"/>
    <n v="16"/>
    <n v="310"/>
    <d v="2014-03-02T20:15:00"/>
    <d v="2014-03-03T07:22:00"/>
    <n v="130"/>
    <n v="179"/>
    <n v="167"/>
    <s v="Pulverizer mills"/>
    <s v="Broken shaft 2-2 mill 6543464"/>
    <s v="Brown"/>
    <x v="0"/>
    <s v="Coal"/>
    <x v="1"/>
    <x v="1"/>
    <n v="3"/>
    <n v="11.116666666581295"/>
    <n v="3.0431098696228127"/>
    <n v="508.19934822700975"/>
    <n v="45.715083798882681"/>
    <x v="10"/>
  </r>
  <r>
    <x v="1"/>
    <x v="0"/>
    <n v="17"/>
    <n v="3410"/>
    <d v="2014-03-03T07:22:00"/>
    <d v="2014-03-06T16:50:00"/>
    <n v="105"/>
    <n v="179"/>
    <n v="167"/>
    <s v="Feedwater pump"/>
    <s v="2-2 BFP oil leak 6546733"/>
    <s v="Brown"/>
    <x v="0"/>
    <s v="Coal"/>
    <x v="1"/>
    <x v="1"/>
    <n v="3"/>
    <n v="81.466666666790843"/>
    <n v="33.6789571695113"/>
    <n v="5624.3858473083874"/>
    <n v="69.039106145251395"/>
    <x v="25"/>
  </r>
  <r>
    <x v="1"/>
    <x v="0"/>
    <n v="18"/>
    <n v="310"/>
    <d v="2014-03-06T16:50:00"/>
    <d v="2014-03-06T19:00:00"/>
    <n v="130"/>
    <n v="179"/>
    <n v="167"/>
    <s v="Pulverizer mills"/>
    <s v="Broken shaft 2-2 mill 6543464"/>
    <s v="Brown"/>
    <x v="0"/>
    <s v="Coal"/>
    <x v="1"/>
    <x v="1"/>
    <n v="3"/>
    <n v="2.1666666665696539"/>
    <n v="0.59310986961962597"/>
    <n v="99.049348226477534"/>
    <n v="45.715083798882681"/>
    <x v="10"/>
  </r>
  <r>
    <x v="1"/>
    <x v="1"/>
    <n v="19"/>
    <n v="310"/>
    <d v="2014-03-06T19:00:00"/>
    <d v="2014-03-08T07:40:00"/>
    <n v="130"/>
    <n v="179"/>
    <n v="167"/>
    <s v="Pulverizer mills"/>
    <s v="2-3 mill thrust bearing replacement 6529384"/>
    <s v="Brown"/>
    <x v="0"/>
    <s v="Coal"/>
    <x v="1"/>
    <x v="1"/>
    <n v="3"/>
    <n v="36.666666666744277"/>
    <n v="10.037243947879718"/>
    <n v="1676.2197392959129"/>
    <n v="45.715083798882681"/>
    <x v="10"/>
  </r>
  <r>
    <x v="1"/>
    <x v="5"/>
    <n v="20"/>
    <n v="1040"/>
    <d v="2014-03-10T14:50:00"/>
    <d v="2014-03-11T21:09:00"/>
    <n v="0"/>
    <n v="179"/>
    <n v="167"/>
    <s v="First superheater B"/>
    <s v="Tube leak in boiler penthouse area. 6550561"/>
    <s v="Brown"/>
    <x v="3"/>
    <s v="Coal"/>
    <x v="1"/>
    <x v="1"/>
    <n v="3"/>
    <n v="30.316666666651145"/>
    <n v="30.316666666651145"/>
    <n v="5062.8833333307412"/>
    <n v="167"/>
    <x v="27"/>
  </r>
  <r>
    <x v="1"/>
    <x v="0"/>
    <n v="21"/>
    <n v="350"/>
    <d v="2014-03-27T09:06:00"/>
    <d v="2014-03-27T10:05:00"/>
    <n v="145"/>
    <n v="179"/>
    <n v="167"/>
    <s v="Pulverized fuel and air piping (from pulverizer to wind box)"/>
    <s v="2-2 mill burner line temperature high"/>
    <s v="Brown"/>
    <x v="0"/>
    <s v="Coal"/>
    <x v="1"/>
    <x v="1"/>
    <n v="3"/>
    <n v="0.9833333333954215"/>
    <n v="0.18677839852203537"/>
    <n v="31.191992553179908"/>
    <n v="31.720670391061454"/>
    <x v="8"/>
  </r>
  <r>
    <x v="1"/>
    <x v="0"/>
    <n v="22"/>
    <n v="350"/>
    <d v="2014-03-27T10:31:00"/>
    <d v="2014-03-27T13:13:00"/>
    <n v="145"/>
    <n v="179"/>
    <n v="167"/>
    <s v="Pulverized fuel and air piping (from pulverizer to wind box)"/>
    <s v="2-2 mill burner line temperature high "/>
    <s v="Brown"/>
    <x v="0"/>
    <s v="Coal"/>
    <x v="1"/>
    <x v="1"/>
    <n v="3"/>
    <n v="2.6999999998952262"/>
    <n v="0.51284916199127206"/>
    <n v="85.64581005254243"/>
    <n v="31.720670391061454"/>
    <x v="8"/>
  </r>
  <r>
    <x v="1"/>
    <x v="0"/>
    <n v="23"/>
    <n v="350"/>
    <d v="2014-03-27T14:25:00"/>
    <d v="2014-03-27T14:47:00"/>
    <n v="145"/>
    <n v="179"/>
    <n v="167"/>
    <s v="Pulverized fuel and air piping (from pulverizer to wind box)"/>
    <s v="Inspect 2-1A burner line for pluggage "/>
    <s v="Brown"/>
    <x v="0"/>
    <s v="Coal"/>
    <x v="1"/>
    <x v="1"/>
    <n v="3"/>
    <n v="0.36666666663950309"/>
    <n v="6.9646182490184949E-2"/>
    <n v="11.630912475860887"/>
    <n v="31.720670391061454"/>
    <x v="8"/>
  </r>
  <r>
    <x v="1"/>
    <x v="5"/>
    <n v="24"/>
    <n v="1035"/>
    <d v="2014-04-24T10:11:00"/>
    <d v="2014-04-26T01:28:00"/>
    <n v="0"/>
    <n v="179"/>
    <n v="167"/>
    <s v="Platen superheater"/>
    <s v="Tube leak in boiler SH section - 6563627"/>
    <s v="Brown"/>
    <x v="3"/>
    <s v="Coal"/>
    <x v="1"/>
    <x v="1"/>
    <n v="4"/>
    <n v="39.28333333338378"/>
    <n v="39.28333333338378"/>
    <n v="6560.3166666750913"/>
    <n v="167"/>
    <x v="27"/>
  </r>
  <r>
    <x v="1"/>
    <x v="0"/>
    <n v="25"/>
    <n v="3415"/>
    <d v="2014-04-27T15:00:00"/>
    <d v="2014-04-27T15:05:00"/>
    <n v="110"/>
    <n v="179"/>
    <n v="167"/>
    <s v="Feedwater pump/drive lube oil system"/>
    <s v="2-2 BFP auxiliary oil pump start failure -6564035"/>
    <s v="Brown"/>
    <x v="0"/>
    <s v="Coal"/>
    <x v="1"/>
    <x v="1"/>
    <n v="4"/>
    <n v="8.3333333255723119E-2"/>
    <n v="3.2122904998016177E-2"/>
    <n v="5.3645251346687015"/>
    <n v="64.374301675977648"/>
    <x v="30"/>
  </r>
  <r>
    <x v="1"/>
    <x v="0"/>
    <n v="26"/>
    <n v="270"/>
    <d v="2014-05-01T06:20:00"/>
    <d v="2014-05-01T13:27:00"/>
    <n v="130"/>
    <n v="179"/>
    <n v="167"/>
    <s v="Primary air duct and dampers"/>
    <s v="2-4 mill hot damper not opening 6564036"/>
    <s v="Brown"/>
    <x v="0"/>
    <s v="Coal"/>
    <x v="1"/>
    <x v="1"/>
    <n v="5"/>
    <n v="7.1166666666395031"/>
    <n v="1.9481378025996405"/>
    <n v="325.33901303413995"/>
    <n v="45.715083798882681"/>
    <x v="10"/>
  </r>
  <r>
    <x v="1"/>
    <x v="0"/>
    <n v="27"/>
    <n v="310"/>
    <d v="2014-05-03T07:58:00"/>
    <d v="2014-05-03T13:15:00"/>
    <n v="130"/>
    <n v="179"/>
    <n v="167"/>
    <s v="Pulverizer mills"/>
    <s v="2-4 mill vibrating and running rough 6566773"/>
    <s v="Brown"/>
    <x v="0"/>
    <s v="Coal"/>
    <x v="1"/>
    <x v="1"/>
    <n v="5"/>
    <n v="5.2833333334419876"/>
    <n v="1.4462756052438961"/>
    <n v="241.52802607573065"/>
    <n v="45.715083798882681"/>
    <x v="10"/>
  </r>
  <r>
    <x v="1"/>
    <x v="0"/>
    <n v="28"/>
    <n v="310"/>
    <d v="2014-05-08T20:00:00"/>
    <d v="2014-05-09T01:30:00"/>
    <n v="130"/>
    <n v="179"/>
    <n v="167"/>
    <s v="Pulverizer mills"/>
    <s v="2-2 mill roll vibrating"/>
    <s v="Brown"/>
    <x v="0"/>
    <s v="Coal"/>
    <x v="1"/>
    <x v="1"/>
    <n v="5"/>
    <n v="5.4999999999417923"/>
    <n v="1.5055865921628371"/>
    <n v="251.4329608911938"/>
    <n v="45.715083798882681"/>
    <x v="10"/>
  </r>
  <r>
    <x v="1"/>
    <x v="0"/>
    <n v="29"/>
    <n v="310"/>
    <d v="2014-05-15T07:22:00"/>
    <d v="2014-05-15T11:45:00"/>
    <n v="130"/>
    <n v="179"/>
    <n v="167"/>
    <s v="Pulverizer mills"/>
    <s v="2-2 mill vibration and air flow problems 6569852"/>
    <s v="Brown"/>
    <x v="0"/>
    <s v="Coal"/>
    <x v="1"/>
    <x v="1"/>
    <n v="5"/>
    <n v="4.3833333334769122"/>
    <n v="1.1999068901696575"/>
    <n v="200.38445065833281"/>
    <n v="45.715083798882681"/>
    <x v="10"/>
  </r>
  <r>
    <x v="1"/>
    <x v="0"/>
    <n v="30"/>
    <n v="3620"/>
    <d v="2014-05-22T07:07:00"/>
    <d v="2014-05-22T07:30:00"/>
    <n v="80"/>
    <n v="179"/>
    <n v="167"/>
    <s v="Main transformer"/>
    <s v="GSU cooling fans blown fuse.  6571527"/>
    <s v="Brown"/>
    <x v="0"/>
    <s v="Coal"/>
    <x v="1"/>
    <x v="1"/>
    <n v="5"/>
    <n v="0.38333333336049691"/>
    <n v="0.21201117319938098"/>
    <n v="35.405865924296627"/>
    <n v="92.363128491620117"/>
    <x v="31"/>
  </r>
  <r>
    <x v="1"/>
    <x v="0"/>
    <n v="31"/>
    <n v="253"/>
    <d v="2014-05-28T23:52:00"/>
    <d v="2014-05-29T02:15:00"/>
    <n v="145"/>
    <n v="179"/>
    <n v="167"/>
    <s v="Pulverizer feeder motor"/>
    <s v="2-4 mill feeder tripped and would not restart 6575091"/>
    <s v="Brown"/>
    <x v="0"/>
    <s v="Coal"/>
    <x v="1"/>
    <x v="1"/>
    <n v="5"/>
    <n v="2.3833333334187046"/>
    <n v="0.45270018623595504"/>
    <n v="75.600931101404498"/>
    <n v="31.720670391061454"/>
    <x v="8"/>
  </r>
  <r>
    <x v="1"/>
    <x v="0"/>
    <n v="32"/>
    <n v="310"/>
    <d v="2014-05-30T01:24:00"/>
    <d v="2014-05-30T02:13:00"/>
    <n v="145"/>
    <n v="179"/>
    <n v="167"/>
    <s v="Pulverizer mills"/>
    <s v="Inspection for possible metal in 2-3 mill"/>
    <s v="Brown"/>
    <x v="0"/>
    <s v="Coal"/>
    <x v="1"/>
    <x v="1"/>
    <n v="5"/>
    <n v="0.81666666670935228"/>
    <n v="0.15512104283864792"/>
    <n v="25.905214154054203"/>
    <n v="31.720670391061454"/>
    <x v="8"/>
  </r>
  <r>
    <x v="1"/>
    <x v="0"/>
    <n v="33"/>
    <n v="300"/>
    <d v="2014-05-30T04:08:00"/>
    <d v="2014-05-30T05:43:00"/>
    <n v="135"/>
    <n v="179"/>
    <n v="167"/>
    <s v="Pulverizer motors and drives"/>
    <s v="2-3 mill failed to start 6575372"/>
    <s v="Brown"/>
    <x v="0"/>
    <s v="Coal"/>
    <x v="1"/>
    <x v="1"/>
    <n v="5"/>
    <n v="1.5833333332557231"/>
    <n v="0.38919925510196546"/>
    <n v="64.996275602028234"/>
    <n v="41.050279329608941"/>
    <x v="28"/>
  </r>
  <r>
    <x v="1"/>
    <x v="4"/>
    <n v="34"/>
    <n v="891"/>
    <d v="2014-06-04T22:35:00"/>
    <d v="2014-06-06T23:50:00"/>
    <n v="0"/>
    <n v="179"/>
    <n v="167"/>
    <s v="Bottom ash hoppers (including gates)"/>
    <s v="Repair bottom ash hopper inside doors 6536640 &amp; 6536645"/>
    <s v="Brown"/>
    <x v="2"/>
    <s v="Coal"/>
    <x v="1"/>
    <x v="1"/>
    <n v="6"/>
    <n v="49.250000000058208"/>
    <n v="49.250000000058208"/>
    <n v="8224.7500000097207"/>
    <n v="167"/>
    <x v="27"/>
  </r>
  <r>
    <x v="1"/>
    <x v="0"/>
    <n v="35"/>
    <n v="1455"/>
    <d v="2014-06-07T09:50:00"/>
    <d v="2014-06-07T10:27:00"/>
    <n v="80"/>
    <n v="179"/>
    <n v="167"/>
    <s v="Induced draft fans"/>
    <s v="2-1 ID Fan tachometer problems 6577705"/>
    <s v="Brown"/>
    <x v="0"/>
    <s v="Coal"/>
    <x v="1"/>
    <x v="1"/>
    <n v="6"/>
    <n v="0.61666666675591841"/>
    <n v="0.3410614525633292"/>
    <n v="56.957262578075976"/>
    <n v="92.363128491620117"/>
    <x v="31"/>
  </r>
  <r>
    <x v="1"/>
    <x v="0"/>
    <n v="36"/>
    <n v="310"/>
    <d v="2014-06-19T09:00:00"/>
    <d v="2014-06-19T09:32:00"/>
    <n v="130"/>
    <n v="179"/>
    <n v="167"/>
    <s v="Pulverizer mills"/>
    <s v="2-2 mill cold air damper won't operate 6581093 "/>
    <s v="Brown"/>
    <x v="0"/>
    <s v="Coal"/>
    <x v="1"/>
    <x v="1"/>
    <n v="6"/>
    <n v="0.53333333332557231"/>
    <n v="0.14599627560308961"/>
    <n v="24.381378025715964"/>
    <n v="45.715083798882681"/>
    <x v="10"/>
  </r>
  <r>
    <x v="1"/>
    <x v="0"/>
    <n v="37"/>
    <n v="310"/>
    <d v="2014-06-20T07:12:00"/>
    <d v="2014-06-20T08:24:00"/>
    <n v="110"/>
    <n v="179"/>
    <n v="167"/>
    <s v="Pulverizer mills"/>
    <s v="2-4 mill broken spring bolt  6581258"/>
    <s v="Brown"/>
    <x v="0"/>
    <s v="Coal"/>
    <x v="1"/>
    <x v="1"/>
    <n v="6"/>
    <n v="1.1999999998952262"/>
    <n v="0.46256983236184696"/>
    <n v="77.249162004428442"/>
    <n v="64.374301675977648"/>
    <x v="30"/>
  </r>
  <r>
    <x v="1"/>
    <x v="0"/>
    <n v="38"/>
    <n v="310"/>
    <d v="2014-06-20T08:24:00"/>
    <d v="2014-06-20T09:56:00"/>
    <n v="130"/>
    <n v="179"/>
    <n v="167"/>
    <s v="Pulverizer mills"/>
    <s v="2-4 mill broken spring bolt 6581258 -"/>
    <s v="Brown"/>
    <x v="0"/>
    <s v="Coal"/>
    <x v="1"/>
    <x v="1"/>
    <n v="6"/>
    <n v="1.5333333334419876"/>
    <n v="0.41973929239473406"/>
    <n v="70.096461829920585"/>
    <n v="45.715083798882681"/>
    <x v="10"/>
  </r>
  <r>
    <x v="1"/>
    <x v="1"/>
    <n v="39"/>
    <n v="310"/>
    <d v="2014-06-26T22:00:00"/>
    <d v="2014-06-27T03:21:00"/>
    <n v="130"/>
    <n v="179"/>
    <n v="167"/>
    <s v="Pulverizer mills"/>
    <s v="Repair 2-4 mill CO probe leak "/>
    <s v="Brown"/>
    <x v="0"/>
    <s v="Coal"/>
    <x v="1"/>
    <x v="1"/>
    <n v="6"/>
    <n v="5.3499999999767169"/>
    <n v="1.4645251396584309"/>
    <n v="244.57569832295795"/>
    <n v="45.715083798882681"/>
    <x v="10"/>
  </r>
  <r>
    <x v="1"/>
    <x v="1"/>
    <n v="40"/>
    <n v="335"/>
    <d v="2014-07-02T22:00:00"/>
    <d v="2014-07-03T02:34:00"/>
    <n v="130"/>
    <n v="179"/>
    <n v="167"/>
    <s v="Pulverizer lube oil system"/>
    <s v="Changed oil in 2-2 pulverizer  6585722 "/>
    <s v="Brown"/>
    <x v="0"/>
    <s v="Coal"/>
    <x v="1"/>
    <x v="1"/>
    <n v="7"/>
    <n v="4.5666666667093523"/>
    <n v="1.250093109881331"/>
    <n v="208.76554935018228"/>
    <n v="45.715083798882681"/>
    <x v="10"/>
  </r>
  <r>
    <x v="1"/>
    <x v="1"/>
    <n v="41"/>
    <n v="3631"/>
    <d v="2014-07-21T23:35:00"/>
    <d v="2014-07-22T00:08:00"/>
    <n v="80"/>
    <n v="179"/>
    <n v="167"/>
    <s v="480-volt circuit breakers"/>
    <s v="Isolate 2A 480 volt switchgear for breaker replacement 6590315"/>
    <s v="Brown"/>
    <x v="0"/>
    <s v="Coal"/>
    <x v="1"/>
    <x v="1"/>
    <n v="7"/>
    <n v="0.55000000004656613"/>
    <n v="0.30418994415983264"/>
    <n v="50.799720674692047"/>
    <n v="92.363128491620117"/>
    <x v="31"/>
  </r>
  <r>
    <x v="1"/>
    <x v="5"/>
    <n v="42"/>
    <n v="1700"/>
    <d v="2014-08-15T09:22:00"/>
    <d v="2014-08-15T11:02:00"/>
    <n v="0"/>
    <n v="179"/>
    <n v="167"/>
    <s v="Feedwater controls (report local controls --- feedwater pump"/>
    <s v="Loss of drum level initiated boiler MFT 6598460"/>
    <s v="Brown"/>
    <x v="3"/>
    <s v="Coal"/>
    <x v="1"/>
    <x v="1"/>
    <n v="8"/>
    <n v="1.6666666666860692"/>
    <n v="1.6666666666860692"/>
    <n v="278.33333333657356"/>
    <n v="167"/>
    <x v="27"/>
  </r>
  <r>
    <x v="1"/>
    <x v="5"/>
    <n v="43"/>
    <n v="4293"/>
    <d v="2014-08-15T11:02:00"/>
    <d v="2014-08-15T13:13:00"/>
    <n v="0"/>
    <n v="179"/>
    <n v="167"/>
    <s v="Hydraulic system pipes and valves"/>
    <s v="Turbine trip during roll up while starting up unit "/>
    <s v="Brown"/>
    <x v="3"/>
    <s v="Coal"/>
    <x v="1"/>
    <x v="1"/>
    <n v="8"/>
    <n v="2.1833333332906477"/>
    <n v="2.1833333332906477"/>
    <n v="364.61666665953817"/>
    <n v="167"/>
    <x v="27"/>
  </r>
  <r>
    <x v="1"/>
    <x v="5"/>
    <n v="44"/>
    <n v="1700"/>
    <d v="2014-08-15T14:48:00"/>
    <d v="2014-08-15T15:38:00"/>
    <n v="0"/>
    <n v="179"/>
    <n v="167"/>
    <s v="Feedwater controls (report local controls --- feedwater pump"/>
    <s v="Loss of drum level initiated boiler MFT SEE EVENT 42"/>
    <s v="Brown"/>
    <x v="3"/>
    <s v="Coal"/>
    <x v="1"/>
    <x v="1"/>
    <n v="8"/>
    <n v="0.83333333325572312"/>
    <n v="0.83333333325572312"/>
    <n v="139.16666665370576"/>
    <n v="167"/>
    <x v="27"/>
  </r>
  <r>
    <x v="1"/>
    <x v="5"/>
    <n v="45"/>
    <n v="4293"/>
    <d v="2014-08-15T15:38:00"/>
    <d v="2014-08-15T18:52:00"/>
    <n v="0"/>
    <n v="179"/>
    <n v="167"/>
    <s v="Hydraulic system pipes and valves"/>
    <s v="Turbine tripped while synchronizing unit to grid with Main Field Bkr. closed "/>
    <s v="Brown"/>
    <x v="3"/>
    <s v="Coal"/>
    <x v="1"/>
    <x v="1"/>
    <n v="8"/>
    <n v="3.2333333333954215"/>
    <n v="3.2333333333954215"/>
    <n v="539.96666667703539"/>
    <n v="167"/>
    <x v="27"/>
  </r>
  <r>
    <x v="1"/>
    <x v="7"/>
    <n v="46"/>
    <n v="4810"/>
    <d v="2014-08-15T18:52:00"/>
    <d v="2014-08-15T21:30:00"/>
    <n v="0"/>
    <n v="179"/>
    <n v="167"/>
    <s v="Generator output breaker"/>
    <s v="OCB not closing when synchronizing unit to grid. 6598633"/>
    <s v="Brown"/>
    <x v="3"/>
    <s v="Coal"/>
    <x v="1"/>
    <x v="1"/>
    <n v="8"/>
    <n v="2.6333333333604969"/>
    <n v="2.6333333333604969"/>
    <n v="439.76666667120298"/>
    <n v="167"/>
    <x v="27"/>
  </r>
  <r>
    <x v="1"/>
    <x v="7"/>
    <n v="47"/>
    <n v="4810"/>
    <d v="2014-08-15T21:30:00"/>
    <d v="2014-08-15T23:43:00"/>
    <n v="0"/>
    <n v="179"/>
    <n v="167"/>
    <s v="Generator output breaker"/>
    <s v="OCB not closing when synchronizing unit to grid. SEE EVENT 46"/>
    <s v="Brown"/>
    <x v="3"/>
    <s v="Coal"/>
    <x v="1"/>
    <x v="1"/>
    <n v="8"/>
    <n v="2.2166666665580124"/>
    <n v="2.2166666665580124"/>
    <n v="370.18333331518807"/>
    <n v="167"/>
    <x v="27"/>
  </r>
  <r>
    <x v="1"/>
    <x v="1"/>
    <n v="48"/>
    <n v="1476"/>
    <d v="2014-08-20T05:00:00"/>
    <d v="2014-08-20T05:32:00"/>
    <n v="80"/>
    <n v="179"/>
    <n v="167"/>
    <s v="Induced draft fan speed changer"/>
    <s v="Repair 2-2 ID Fan speed changer linkage  6599725"/>
    <s v="Brown"/>
    <x v="0"/>
    <s v="Coal"/>
    <x v="1"/>
    <x v="1"/>
    <n v="8"/>
    <n v="0.53333333332557231"/>
    <n v="0.29497206703481371"/>
    <n v="49.260335194813891"/>
    <n v="92.363128491620117"/>
    <x v="31"/>
  </r>
  <r>
    <x v="1"/>
    <x v="0"/>
    <n v="49"/>
    <n v="350"/>
    <d v="2014-08-26T01:54:00"/>
    <d v="2014-08-26T05:16:00"/>
    <n v="135"/>
    <n v="179"/>
    <n v="167"/>
    <s v="Pulverized fuel and air piping (from pulverizer to wind box)"/>
    <s v="2-4A burner line fire at boiler"/>
    <s v="Brown"/>
    <x v="0"/>
    <s v="Coal"/>
    <x v="1"/>
    <x v="1"/>
    <n v="8"/>
    <n v="3.3666666666395031"/>
    <n v="0.82756052140859293"/>
    <n v="138.20260707523502"/>
    <n v="41.050279329608941"/>
    <x v="28"/>
  </r>
  <r>
    <x v="1"/>
    <x v="1"/>
    <n v="50"/>
    <n v="310"/>
    <d v="2014-09-30T02:00:00"/>
    <d v="2014-09-30T08:41:00"/>
    <n v="135"/>
    <n v="179"/>
    <n v="167"/>
    <s v="Pulverizer mills"/>
    <s v="2-2 mill inspection"/>
    <s v="Brown"/>
    <x v="0"/>
    <s v="Coal"/>
    <x v="1"/>
    <x v="1"/>
    <n v="9"/>
    <n v="6.6833333332906477"/>
    <n v="1.6428305400267513"/>
    <n v="274.35270018446749"/>
    <n v="41.050279329608941"/>
    <x v="28"/>
  </r>
  <r>
    <x v="1"/>
    <x v="1"/>
    <n v="51"/>
    <n v="310"/>
    <d v="2014-10-10T00:00:00"/>
    <d v="2014-10-10T01:26:00"/>
    <n v="135"/>
    <n v="179"/>
    <n v="167"/>
    <s v="Pulverizer mills"/>
    <s v="Check 2-2 mill roll eccentrics 6612069"/>
    <s v="Brown"/>
    <x v="0"/>
    <s v="Coal"/>
    <x v="1"/>
    <x v="1"/>
    <n v="10"/>
    <n v="1.4333333332906477"/>
    <n v="0.35232774673066203"/>
    <n v="58.838733704020555"/>
    <n v="41.050279329608941"/>
    <x v="28"/>
  </r>
  <r>
    <x v="1"/>
    <x v="6"/>
    <n v="52"/>
    <n v="4402"/>
    <d v="2014-10-17T19:07:00"/>
    <d v="2014-11-17T14:10:00"/>
    <n v="0"/>
    <n v="179"/>
    <n v="167"/>
    <s v="Minor turbine overhaul (less than 720 hrs.) (use for non-specific overhaul only; see page B-1)"/>
    <s v="Planned outage for turbine valve maint. "/>
    <s v="Brown"/>
    <x v="1"/>
    <s v="Coal"/>
    <x v="1"/>
    <x v="1"/>
    <n v="10"/>
    <n v="739.05000000010477"/>
    <n v="739.05000000010477"/>
    <n v="123421.3500000175"/>
    <n v="167"/>
    <x v="27"/>
  </r>
  <r>
    <x v="1"/>
    <x v="1"/>
    <n v="53"/>
    <n v="1480"/>
    <d v="2014-11-23T07:00:00"/>
    <d v="2014-11-23T12:20:00"/>
    <n v="120"/>
    <n v="179"/>
    <n v="167"/>
    <s v="Other induced draft fan problems"/>
    <s v="2-1 ID Fan Vibration Inspection"/>
    <s v="Brown"/>
    <x v="0"/>
    <s v="Coal"/>
    <x v="1"/>
    <x v="1"/>
    <n v="11"/>
    <n v="5.3333333334303461"/>
    <n v="1.7579143389519019"/>
    <n v="293.5716946049676"/>
    <n v="55.044692737430168"/>
    <x v="2"/>
  </r>
  <r>
    <x v="1"/>
    <x v="4"/>
    <n v="54"/>
    <n v="4619"/>
    <d v="2014-11-29T18:04:00"/>
    <d v="2014-12-11T02:52:00"/>
    <n v="0"/>
    <n v="179"/>
    <n v="167"/>
    <s v="Other hydrogen system problems"/>
    <s v="Investigate and repair hydrogen leak and eccentricity issues "/>
    <s v="Brown"/>
    <x v="2"/>
    <s v="Coal"/>
    <x v="1"/>
    <x v="1"/>
    <n v="11"/>
    <n v="272.79999999987194"/>
    <n v="272.79999999987194"/>
    <n v="45557.599999978615"/>
    <n v="167"/>
    <x v="27"/>
  </r>
  <r>
    <x v="1"/>
    <x v="1"/>
    <n v="55"/>
    <n v="310"/>
    <d v="2014-12-11T23:00:00"/>
    <d v="2014-12-12T04:15:00"/>
    <n v="135"/>
    <n v="179"/>
    <n v="167"/>
    <s v="Pulverizer mills"/>
    <s v="2-4 mill south roll replacement "/>
    <s v="Brown"/>
    <x v="0"/>
    <s v="Coal"/>
    <x v="1"/>
    <x v="1"/>
    <n v="12"/>
    <n v="5.25"/>
    <n v="1.2905027932960893"/>
    <n v="215.51396648044692"/>
    <n v="41.050279329608941"/>
    <x v="28"/>
  </r>
  <r>
    <x v="1"/>
    <x v="3"/>
    <n v="1"/>
    <n v="8700"/>
    <d v="2015-01-13T21:30:00"/>
    <d v="2015-01-14T01:47:00"/>
    <n v="0"/>
    <n v="179"/>
    <n v="167"/>
    <s v="CEMS Certification and Recertification"/>
    <s v="Low load RATA testing"/>
    <s v="Brown"/>
    <x v="1"/>
    <s v="Coal"/>
    <x v="1"/>
    <x v="2"/>
    <n v="1"/>
    <n v="4.2833333333255723"/>
    <n v="4.2833333333255723"/>
    <n v="715.31666666537058"/>
    <n v="167"/>
    <x v="27"/>
  </r>
  <r>
    <x v="1"/>
    <x v="0"/>
    <n v="2"/>
    <n v="310"/>
    <d v="2015-02-24T15:54:00"/>
    <d v="2015-02-25T09:16:00"/>
    <n v="140"/>
    <n v="179"/>
    <n v="167"/>
    <s v="Pulverizer mills"/>
    <s v="2-2 mill coal feeder pipe disconnected "/>
    <s v="Brown"/>
    <x v="0"/>
    <s v="Coal"/>
    <x v="1"/>
    <x v="2"/>
    <n v="2"/>
    <n v="17.366666666697711"/>
    <n v="3.7837988826883282"/>
    <n v="631.89441340895075"/>
    <n v="36.385474860335194"/>
    <x v="32"/>
  </r>
  <r>
    <x v="1"/>
    <x v="0"/>
    <n v="3"/>
    <n v="320"/>
    <d v="2015-03-05T08:15:00"/>
    <d v="2015-03-05T10:57:00"/>
    <n v="140"/>
    <n v="179"/>
    <n v="167"/>
    <s v="Foreign object in Pulverizers mill"/>
    <s v="Inspect ofr possible metal in mill"/>
    <s v="Brown"/>
    <x v="0"/>
    <s v="Coal"/>
    <x v="1"/>
    <x v="2"/>
    <n v="3"/>
    <n v="2.7000000000698492"/>
    <n v="0.58826815643979957"/>
    <n v="98.240782125446529"/>
    <n v="36.385474860335194"/>
    <x v="32"/>
  </r>
  <r>
    <x v="1"/>
    <x v="0"/>
    <n v="4"/>
    <n v="3370"/>
    <d v="2015-03-05T21:25:00"/>
    <d v="2015-03-05T23:23:00"/>
    <n v="15"/>
    <n v="179"/>
    <n v="167"/>
    <s v="Condensate system controls and instrumentation (not hotwell level"/>
    <s v="Condensate Throttling regulator erratic operation causing boiler trip "/>
    <s v="Brown"/>
    <x v="0"/>
    <s v="Coal"/>
    <x v="1"/>
    <x v="2"/>
    <n v="3"/>
    <n v="1.966666666790843"/>
    <n v="1.8018621975066942"/>
    <n v="300.91098698361793"/>
    <n v="153.00558659217876"/>
    <x v="35"/>
  </r>
  <r>
    <x v="1"/>
    <x v="0"/>
    <n v="5"/>
    <n v="310"/>
    <d v="2015-03-29T04:05:00"/>
    <d v="2015-03-29T09:15:00"/>
    <n v="140"/>
    <n v="179"/>
    <n v="167"/>
    <s v="Pulverizer mills"/>
    <s v="2-3 Mill south roll not deflecting"/>
    <s v="Brown"/>
    <x v="0"/>
    <s v="Coal"/>
    <x v="1"/>
    <x v="2"/>
    <n v="3"/>
    <n v="5.1666666665696539"/>
    <n v="1.1256983240012095"/>
    <n v="187.991620108202"/>
    <n v="36.385474860335194"/>
    <x v="32"/>
  </r>
  <r>
    <x v="1"/>
    <x v="0"/>
    <n v="6"/>
    <n v="310"/>
    <d v="2015-03-30T05:32:00"/>
    <d v="2015-03-30T05:52:00"/>
    <n v="130"/>
    <n v="179"/>
    <n v="167"/>
    <s v="Pulverizer mills"/>
    <s v="2-4 mill hot air gate not opening"/>
    <s v="Brown"/>
    <x v="0"/>
    <s v="Coal"/>
    <x v="1"/>
    <x v="2"/>
    <n v="3"/>
    <n v="0.33333333319751546"/>
    <n v="9.1247672216079656E-2"/>
    <n v="15.238361260085302"/>
    <n v="45.715083798882681"/>
    <x v="10"/>
  </r>
  <r>
    <x v="1"/>
    <x v="0"/>
    <n v="7"/>
    <n v="9270"/>
    <d v="2015-04-04T01:46:00"/>
    <d v="2015-04-04T02:27:00"/>
    <n v="140"/>
    <n v="179"/>
    <n v="167"/>
    <s v="Wet coal"/>
    <s v="2-3 mill feeder plugged due to wet coal"/>
    <s v="Brown"/>
    <x v="0"/>
    <s v="Coal"/>
    <x v="1"/>
    <x v="2"/>
    <n v="4"/>
    <n v="0.68333333329064772"/>
    <n v="0.14888268155494558"/>
    <n v="24.86340781967591"/>
    <n v="36.385474860335194"/>
    <x v="32"/>
  </r>
  <r>
    <x v="1"/>
    <x v="5"/>
    <n v="8"/>
    <n v="250"/>
    <d v="2015-04-17T02:07:00"/>
    <d v="2015-04-17T02:16:00"/>
    <n v="0"/>
    <n v="179"/>
    <n v="167"/>
    <s v="Pulverizer feeders"/>
    <s v="2-3 mill feeder plugged causing boiler MFT"/>
    <s v="Brown"/>
    <x v="3"/>
    <s v="Coal"/>
    <x v="1"/>
    <x v="2"/>
    <n v="4"/>
    <n v="0.15000000013969839"/>
    <n v="0.15000000013969839"/>
    <n v="25.05000002332963"/>
    <n v="167"/>
    <x v="27"/>
  </r>
  <r>
    <x v="1"/>
    <x v="7"/>
    <n v="9"/>
    <n v="4740"/>
    <d v="2015-04-17T02:16:00"/>
    <d v="2015-04-17T09:15:00"/>
    <n v="0"/>
    <n v="179"/>
    <n v="167"/>
    <s v="Emergency generator trip devices"/>
    <s v="Investigating generator protective realy trip"/>
    <s v="Brown"/>
    <x v="3"/>
    <s v="Coal"/>
    <x v="1"/>
    <x v="2"/>
    <n v="4"/>
    <n v="6.9833333332207985"/>
    <n v="6.9833333332207985"/>
    <n v="1166.2166666478734"/>
    <n v="167"/>
    <x v="27"/>
  </r>
  <r>
    <x v="1"/>
    <x v="4"/>
    <n v="11"/>
    <n v="3619"/>
    <d v="2015-04-18T05:56:00"/>
    <d v="2015-04-18T12:13:00"/>
    <n v="0"/>
    <n v="179"/>
    <n v="167"/>
    <s v="Other switchyard equipment - external"/>
    <s v="Transmission maintenance in south substation"/>
    <s v="Brown"/>
    <x v="2"/>
    <s v="Coal"/>
    <x v="1"/>
    <x v="2"/>
    <n v="4"/>
    <n v="6.28333333338378"/>
    <n v="6.28333333338378"/>
    <n v="1049.3166666750913"/>
    <n v="167"/>
    <x v="27"/>
  </r>
  <r>
    <x v="1"/>
    <x v="0"/>
    <n v="13"/>
    <n v="250"/>
    <d v="2015-05-18T06:42:00"/>
    <d v="2015-05-18T07:29:00"/>
    <n v="130"/>
    <n v="179"/>
    <n v="167"/>
    <s v="Pulverizer feeders"/>
    <s v="2-4 mill coal feeder inlet gate blockage  "/>
    <s v="Brown"/>
    <x v="0"/>
    <s v="Coal"/>
    <x v="1"/>
    <x v="2"/>
    <n v="5"/>
    <n v="0.78333333326736465"/>
    <n v="0.21443202977709983"/>
    <n v="35.810148972775671"/>
    <n v="45.715083798882681"/>
    <x v="10"/>
  </r>
  <r>
    <x v="1"/>
    <x v="4"/>
    <n v="14"/>
    <n v="1512"/>
    <d v="2015-05-21T18:32:00"/>
    <d v="2015-05-24T13:55:00"/>
    <n v="0"/>
    <n v="179"/>
    <n v="167"/>
    <s v="Flue gas expansion joints"/>
    <s v="Replace Unit 1 &amp; 2 combined duct expansion joint "/>
    <s v="Brown"/>
    <x v="2"/>
    <s v="Coal"/>
    <x v="1"/>
    <x v="2"/>
    <n v="5"/>
    <n v="67.383333333302289"/>
    <n v="67.383333333302289"/>
    <n v="11253.016666661482"/>
    <n v="167"/>
    <x v="27"/>
  </r>
  <r>
    <x v="1"/>
    <x v="1"/>
    <n v="17"/>
    <n v="8700"/>
    <d v="2015-07-01T23:00:00"/>
    <d v="2015-07-02T05:14:00"/>
    <n v="110"/>
    <n v="179"/>
    <n v="167"/>
    <s v="CEMS Certification and Recertification"/>
    <s v="Conducting load vs flow test for new monitoring probe"/>
    <s v="Brown"/>
    <x v="0"/>
    <s v="Coal"/>
    <x v="1"/>
    <x v="2"/>
    <n v="7"/>
    <n v="6.2333333332207985"/>
    <n v="2.4027932960460063"/>
    <n v="401.26648043968305"/>
    <n v="64.374301675977648"/>
    <x v="30"/>
  </r>
  <r>
    <x v="1"/>
    <x v="0"/>
    <n v="18"/>
    <n v="310"/>
    <d v="2015-07-23T10:10:00"/>
    <d v="2015-07-23T10:47:00"/>
    <n v="125"/>
    <n v="179"/>
    <n v="167"/>
    <s v="Pulverizer mills"/>
    <s v="2-4 mill hot gate failed to open"/>
    <s v="Brown"/>
    <x v="0"/>
    <s v="Coal"/>
    <x v="1"/>
    <x v="2"/>
    <n v="7"/>
    <n v="0.61666666675591841"/>
    <n v="0.18603351957999772"/>
    <n v="31.067597769859621"/>
    <n v="50.379888268156428"/>
    <x v="33"/>
  </r>
  <r>
    <x v="1"/>
    <x v="0"/>
    <n v="19"/>
    <n v="3414"/>
    <d v="2015-08-04T09:45:00"/>
    <d v="2015-08-04T10:18:00"/>
    <n v="160"/>
    <n v="179"/>
    <n v="167"/>
    <s v="Feedwater pump local controls"/>
    <s v="2-2 BFP recirc. valve not closing"/>
    <s v="Brown"/>
    <x v="0"/>
    <s v="Coal"/>
    <x v="1"/>
    <x v="2"/>
    <n v="8"/>
    <n v="0.55000000004656613"/>
    <n v="5.8379888273099201E-2"/>
    <n v="9.7494413416075663"/>
    <n v="17.726256983240223"/>
    <x v="5"/>
  </r>
  <r>
    <x v="1"/>
    <x v="0"/>
    <n v="20"/>
    <n v="310"/>
    <d v="2015-08-14T19:18:00"/>
    <d v="2015-08-14T20:51:00"/>
    <n v="130"/>
    <n v="179"/>
    <n v="167"/>
    <s v="Pulverizer mills"/>
    <s v="Excessive noise and vibration in 2-4 mill"/>
    <s v="Brown"/>
    <x v="0"/>
    <s v="Coal"/>
    <x v="1"/>
    <x v="2"/>
    <n v="8"/>
    <n v="1.5499999999883585"/>
    <n v="0.42430167597446683"/>
    <n v="70.858379887735964"/>
    <n v="45.715083798882681"/>
    <x v="10"/>
  </r>
  <r>
    <x v="1"/>
    <x v="4"/>
    <n v="21"/>
    <n v="1512"/>
    <d v="2015-08-21T21:28:00"/>
    <d v="2015-08-23T20:00:00"/>
    <n v="0"/>
    <n v="179"/>
    <n v="167"/>
    <s v="Flue gas expansion joints"/>
    <s v="Repalce Unit 1/2 combined duct expansion join"/>
    <s v="Brown"/>
    <x v="2"/>
    <s v="Coal"/>
    <x v="1"/>
    <x v="2"/>
    <n v="8"/>
    <n v="46.533333333441988"/>
    <n v="46.533333333441988"/>
    <n v="7771.0666666848119"/>
    <n v="167"/>
    <x v="27"/>
  </r>
  <r>
    <x v="1"/>
    <x v="0"/>
    <n v="23"/>
    <n v="3410"/>
    <d v="2015-08-31T21:30:00"/>
    <d v="2015-09-01T07:19:00"/>
    <n v="110"/>
    <n v="179"/>
    <n v="167"/>
    <s v="Feedwater pump"/>
    <s v="Repair 2-1 BFP balance line leak"/>
    <s v="Brown"/>
    <x v="0"/>
    <s v="Coal"/>
    <x v="1"/>
    <x v="2"/>
    <n v="8"/>
    <n v="9.8166666665347293"/>
    <n v="3.7840782122396441"/>
    <n v="631.94106144402053"/>
    <n v="64.374301675977648"/>
    <x v="30"/>
  </r>
  <r>
    <x v="1"/>
    <x v="5"/>
    <n v="24"/>
    <n v="1710"/>
    <d v="2015-09-09T22:50:00"/>
    <d v="2015-09-10T00:34:00"/>
    <n v="0"/>
    <n v="179"/>
    <n v="167"/>
    <s v="Combustion/steam condition controls (report local controls --- burners"/>
    <s v="At 2 mill, had a high bowl DP which initiated a boiler rundown "/>
    <s v="Brown"/>
    <x v="3"/>
    <s v="Coal"/>
    <x v="1"/>
    <x v="2"/>
    <n v="9"/>
    <n v="1.7333333332207985"/>
    <n v="1.7333333332207985"/>
    <n v="289.46666664787335"/>
    <n v="167"/>
    <x v="27"/>
  </r>
  <r>
    <x v="1"/>
    <x v="4"/>
    <n v="26"/>
    <n v="8720"/>
    <d v="2015-09-30T15:02:00"/>
    <d v="2015-09-30T16:31:00"/>
    <n v="0"/>
    <n v="179"/>
    <n v="167"/>
    <s v="NOx analyzer problems"/>
    <s v="Install mercury monitoring probe in duct"/>
    <s v="Brown"/>
    <x v="2"/>
    <s v="Coal"/>
    <x v="1"/>
    <x v="2"/>
    <n v="9"/>
    <n v="1.4833333334536292"/>
    <n v="1.4833333334536292"/>
    <n v="247.71666668675607"/>
    <n v="167"/>
    <x v="27"/>
  </r>
  <r>
    <x v="1"/>
    <x v="4"/>
    <n v="28"/>
    <n v="8720"/>
    <d v="2015-10-01T06:00:00"/>
    <d v="2015-10-02T15:24:00"/>
    <n v="0"/>
    <n v="179"/>
    <n v="167"/>
    <s v="NOx analyzer problems"/>
    <s v="Install mercury monitoring probe in duct "/>
    <s v="Brown"/>
    <x v="2"/>
    <s v="Coal"/>
    <x v="1"/>
    <x v="2"/>
    <n v="10"/>
    <n v="33.400000000081491"/>
    <n v="33.400000000081491"/>
    <n v="5577.800000013609"/>
    <n v="167"/>
    <x v="27"/>
  </r>
  <r>
    <x v="1"/>
    <x v="4"/>
    <n v="30"/>
    <n v="8250"/>
    <d v="2015-10-03T10:26:00"/>
    <d v="2015-10-03T12:47:00"/>
    <n v="0"/>
    <n v="179"/>
    <n v="167"/>
    <s v="Dampers other than bypass"/>
    <s v="Inspect unit 1 &amp; 2 isolation damper at FGD inlet"/>
    <s v="Brown"/>
    <x v="2"/>
    <s v="Coal"/>
    <x v="1"/>
    <x v="2"/>
    <n v="10"/>
    <n v="2.3499999999767169"/>
    <n v="2.3499999999767169"/>
    <n v="392.44999999611173"/>
    <n v="167"/>
    <x v="27"/>
  </r>
  <r>
    <x v="1"/>
    <x v="6"/>
    <n v="33"/>
    <n v="1801"/>
    <d v="2015-10-16T10:33:00"/>
    <d v="2015-10-25T09:33:00"/>
    <n v="0"/>
    <n v="179"/>
    <n v="167"/>
    <s v="Minor boiler overhaul (less than 720 hours) (use for non-specific overhaul only; see page B-1)"/>
    <s v="Misc. boiler repairs along with CCRT system tie in."/>
    <s v="Brown"/>
    <x v="1"/>
    <s v="Coal"/>
    <x v="1"/>
    <x v="2"/>
    <n v="10"/>
    <n v="215.00000000005821"/>
    <n v="215.00000000005821"/>
    <n v="35905.000000009721"/>
    <n v="167"/>
    <x v="27"/>
  </r>
  <r>
    <x v="1"/>
    <x v="0"/>
    <n v="34"/>
    <n v="129"/>
    <d v="2015-11-06T07:55:00"/>
    <d v="2015-11-06T08:33:00"/>
    <n v="135"/>
    <n v="179"/>
    <n v="167"/>
    <s v="Other coal processing system problems"/>
    <s v="Flop gate limit for crushers malfunction causing crusher to be inoperable"/>
    <s v="Brown"/>
    <x v="0"/>
    <s v="Coal"/>
    <x v="1"/>
    <x v="2"/>
    <n v="11"/>
    <n v="0.63333333330228925"/>
    <n v="0.15567970204078618"/>
    <n v="25.998510240811292"/>
    <n v="41.050279329608941"/>
    <x v="28"/>
  </r>
  <r>
    <x v="1"/>
    <x v="0"/>
    <n v="35"/>
    <n v="250"/>
    <d v="2015-11-06T20:33:00"/>
    <d v="2015-11-06T21:14:00"/>
    <n v="130"/>
    <n v="179"/>
    <n v="167"/>
    <s v="Pulverizer feeders"/>
    <s v="2-4 mill feeder temperature start permissive not met"/>
    <s v="Brown"/>
    <x v="0"/>
    <s v="Coal"/>
    <x v="1"/>
    <x v="2"/>
    <n v="11"/>
    <n v="0.6833333334652707"/>
    <n v="0.18705772815529756"/>
    <n v="31.238640601934691"/>
    <n v="45.715083798882681"/>
    <x v="10"/>
  </r>
  <r>
    <x v="1"/>
    <x v="4"/>
    <n v="37"/>
    <n v="1599"/>
    <d v="2015-12-14T07:00:00"/>
    <d v="2015-12-14T15:22:00"/>
    <n v="0"/>
    <n v="179"/>
    <n v="167"/>
    <s v="Other miscellaneous boiler air and gas system problems"/>
    <s v="Repair leaks on 2-2 side of air preheating coils"/>
    <s v="Brown"/>
    <x v="2"/>
    <s v="Coal"/>
    <x v="1"/>
    <x v="2"/>
    <n v="12"/>
    <n v="8.3666666666977108"/>
    <n v="8.3666666666977108"/>
    <n v="1397.2333333385177"/>
    <n v="167"/>
    <x v="27"/>
  </r>
  <r>
    <x v="1"/>
    <x v="4"/>
    <n v="1"/>
    <n v="1512"/>
    <d v="2016-01-13T23:56:00"/>
    <d v="2016-01-17T04:57:00"/>
    <n v="0"/>
    <n v="179"/>
    <n v="167"/>
    <s v="Flue gas expansion joints"/>
    <s v="Replace Unit 2 ID Fan discharge expansion joint to the FGD"/>
    <s v="Brown"/>
    <x v="2"/>
    <s v="Coal"/>
    <x v="1"/>
    <x v="3"/>
    <n v="1"/>
    <n v="77.016666666779201"/>
    <n v="77.016666666779201"/>
    <n v="12861.783333352127"/>
    <n v="167"/>
    <x v="27"/>
  </r>
  <r>
    <x v="1"/>
    <x v="4"/>
    <n v="2"/>
    <n v="8560"/>
    <d v="2016-01-30T09:42:00"/>
    <d v="2016-02-01T14:48:00"/>
    <n v="0"/>
    <n v="179"/>
    <n v="167"/>
    <s v="Electrostatic precipitator problems"/>
    <s v="Inspect 2-1 precipitators for grounds"/>
    <s v="Brown"/>
    <x v="2"/>
    <s v="Coal"/>
    <x v="1"/>
    <x v="3"/>
    <n v="1"/>
    <n v="53.100000000034925"/>
    <n v="53.100000000034925"/>
    <n v="8867.7000000058324"/>
    <n v="167"/>
    <x v="27"/>
  </r>
  <r>
    <x v="1"/>
    <x v="4"/>
    <n v="3"/>
    <n v="8560"/>
    <d v="2016-02-01T15:17:00"/>
    <d v="2016-02-01T21:02:00"/>
    <n v="0"/>
    <n v="179"/>
    <n v="167"/>
    <s v="Electrostatic precipitator problems"/>
    <s v="Inspect for precip. ground and repair small waterwall tube above bottom ash hopper #67"/>
    <s v="Brown"/>
    <x v="2"/>
    <s v="Coal"/>
    <x v="1"/>
    <x v="3"/>
    <n v="2"/>
    <n v="5.7499999998835847"/>
    <n v="5.7499999998835847"/>
    <n v="960.24999998055864"/>
    <n v="167"/>
    <x v="27"/>
  </r>
  <r>
    <x v="1"/>
    <x v="4"/>
    <n v="7"/>
    <n v="8560"/>
    <d v="2016-02-17T07:00:00"/>
    <d v="2016-02-18T14:20:00"/>
    <n v="0"/>
    <n v="179"/>
    <n v="167"/>
    <s v="Electrostatic precipitator problems"/>
    <s v="Inspect precipitator"/>
    <s v="Brown"/>
    <x v="2"/>
    <s v="Coal"/>
    <x v="1"/>
    <x v="3"/>
    <n v="2"/>
    <n v="31.333333333313931"/>
    <n v="31.333333333313931"/>
    <n v="5232.6666666634264"/>
    <n v="167"/>
    <x v="27"/>
  </r>
  <r>
    <x v="1"/>
    <x v="4"/>
    <n v="9"/>
    <n v="1599"/>
    <d v="2016-02-19T08:10:00"/>
    <d v="2016-02-19T14:00:00"/>
    <n v="0"/>
    <n v="179"/>
    <n v="167"/>
    <s v="Other miscellaneous boiler air and gas system problems"/>
    <s v="Repair air preheating coil leaks"/>
    <s v="Brown"/>
    <x v="2"/>
    <s v="Coal"/>
    <x v="1"/>
    <x v="3"/>
    <n v="2"/>
    <n v="5.8333333333139308"/>
    <n v="5.8333333333139308"/>
    <n v="974.16666666342644"/>
    <n v="167"/>
    <x v="27"/>
  </r>
  <r>
    <x v="1"/>
    <x v="6"/>
    <n v="11"/>
    <n v="1801"/>
    <d v="2016-03-14T12:18:00"/>
    <d v="2016-04-10T17:45:00"/>
    <n v="0"/>
    <n v="179"/>
    <n v="167"/>
    <s v="Minor boiler overhaul (less than 720 hours) (use for non-specific overhaul only; see page B-1)"/>
    <s v="Annual spring outage for boiler and misc. repairs "/>
    <s v="Brown"/>
    <x v="1"/>
    <s v="Coal"/>
    <x v="1"/>
    <x v="3"/>
    <n v="3"/>
    <n v="653.45000000012806"/>
    <n v="653.45000000012806"/>
    <n v="109126.15000002139"/>
    <n v="167"/>
    <x v="27"/>
  </r>
  <r>
    <x v="1"/>
    <x v="0"/>
    <n v="12"/>
    <n v="3431"/>
    <d v="2016-04-11T00:03:00"/>
    <d v="2016-04-11T03:02:00"/>
    <n v="110"/>
    <n v="179"/>
    <n v="167"/>
    <s v="Other feedwater valves"/>
    <s v="2-1 BFP recirc. valve will not close"/>
    <s v="Brown"/>
    <x v="0"/>
    <s v="Coal"/>
    <x v="1"/>
    <x v="3"/>
    <n v="4"/>
    <n v="2.9833333332790062"/>
    <n v="1.1499999999790582"/>
    <n v="192.04999999650272"/>
    <n v="64.374301675977648"/>
    <x v="30"/>
  </r>
  <r>
    <x v="1"/>
    <x v="1"/>
    <n v="13"/>
    <n v="1455"/>
    <d v="2016-04-12T22:01:00"/>
    <d v="2016-04-13T02:52:00"/>
    <n v="80"/>
    <n v="179"/>
    <n v="167"/>
    <s v="Induced draft fans"/>
    <s v="Investigate 2-1 ID Fan vibration"/>
    <s v="Brown"/>
    <x v="0"/>
    <s v="Coal"/>
    <x v="1"/>
    <x v="3"/>
    <n v="4"/>
    <n v="4.8499999999185093"/>
    <n v="2.6824022345918013"/>
    <n v="447.96117317683081"/>
    <n v="92.363128491620117"/>
    <x v="31"/>
  </r>
  <r>
    <x v="1"/>
    <x v="0"/>
    <n v="14"/>
    <n v="310"/>
    <d v="2016-04-13T05:00:00"/>
    <d v="2016-04-13T08:20:00"/>
    <n v="130"/>
    <n v="179"/>
    <n v="167"/>
    <s v="Pulverizer mills"/>
    <s v="Investigate liquid in 2-1 mill exhauster section"/>
    <s v="Brown"/>
    <x v="0"/>
    <s v="Coal"/>
    <x v="1"/>
    <x v="3"/>
    <n v="4"/>
    <n v="3.3333333331975155"/>
    <n v="0.91247672249540923"/>
    <n v="152.38361265673333"/>
    <n v="45.715083798882681"/>
    <x v="10"/>
  </r>
  <r>
    <x v="1"/>
    <x v="0"/>
    <n v="15"/>
    <n v="1455"/>
    <d v="2016-04-16T13:53:00"/>
    <d v="2016-04-16T14:22:00"/>
    <n v="125"/>
    <n v="179"/>
    <n v="167"/>
    <s v="Induced draft fans"/>
    <s v="2-1 ID Fan vibration"/>
    <s v="Brown"/>
    <x v="0"/>
    <s v="Coal"/>
    <x v="1"/>
    <x v="3"/>
    <n v="4"/>
    <n v="0.48333333333721384"/>
    <n v="0.14581005586709245"/>
    <n v="24.35027932980444"/>
    <n v="50.379888268156428"/>
    <x v="33"/>
  </r>
  <r>
    <x v="1"/>
    <x v="0"/>
    <n v="16"/>
    <n v="1455"/>
    <d v="2016-04-16T14:22:00"/>
    <d v="2016-04-18T12:35:00"/>
    <n v="160"/>
    <n v="179"/>
    <n v="167"/>
    <s v="Induced draft fans"/>
    <s v="2-1 ID Fan vibration"/>
    <s v="Brown"/>
    <x v="0"/>
    <s v="Coal"/>
    <x v="1"/>
    <x v="3"/>
    <n v="4"/>
    <n v="46.21666666661622"/>
    <n v="4.905679702043062"/>
    <n v="819.24851024119141"/>
    <n v="17.726256983240223"/>
    <x v="5"/>
  </r>
  <r>
    <x v="1"/>
    <x v="0"/>
    <n v="17"/>
    <n v="1455"/>
    <d v="2016-04-18T12:35:00"/>
    <d v="2016-04-23T16:45:00"/>
    <n v="150"/>
    <n v="179"/>
    <n v="167"/>
    <s v="Induced draft fans"/>
    <s v="2-1 ID Fan Vibration"/>
    <s v="Brown"/>
    <x v="0"/>
    <s v="Coal"/>
    <x v="1"/>
    <x v="3"/>
    <n v="4"/>
    <n v="124.16666666662786"/>
    <n v="20.116387337051442"/>
    <n v="3359.436685287591"/>
    <n v="27.05586592178771"/>
    <x v="6"/>
  </r>
  <r>
    <x v="1"/>
    <x v="4"/>
    <n v="18"/>
    <n v="1455"/>
    <d v="2016-04-22T21:00:00"/>
    <d v="2016-04-23T16:45:00"/>
    <n v="0"/>
    <n v="179"/>
    <n v="167"/>
    <s v="Induced draft fans"/>
    <s v="2-1 ID Fan vibration"/>
    <s v="Brown"/>
    <x v="2"/>
    <s v="Coal"/>
    <x v="1"/>
    <x v="3"/>
    <n v="4"/>
    <n v="19.749999999941792"/>
    <n v="19.749999999941792"/>
    <n v="3298.2499999902793"/>
    <n v="167"/>
    <x v="27"/>
  </r>
  <r>
    <x v="1"/>
    <x v="3"/>
    <n v="20"/>
    <n v="8700"/>
    <d v="2016-04-25T23:00:00"/>
    <d v="2016-04-26T01:45:00"/>
    <n v="0"/>
    <n v="179"/>
    <n v="167"/>
    <s v="CEMS Certification and Recertification"/>
    <s v="RATA testing"/>
    <s v="Brown"/>
    <x v="1"/>
    <s v="Coal"/>
    <x v="1"/>
    <x v="3"/>
    <n v="4"/>
    <n v="2.7499999998835847"/>
    <n v="2.7499999998835847"/>
    <n v="459.24999998055864"/>
    <n v="167"/>
    <x v="27"/>
  </r>
  <r>
    <x v="1"/>
    <x v="3"/>
    <n v="21"/>
    <n v="8700"/>
    <d v="2016-04-26T21:00:00"/>
    <d v="2016-04-27T02:19:00"/>
    <n v="0"/>
    <n v="179"/>
    <n v="167"/>
    <s v="CEMS Certification and Recertification"/>
    <s v="RATA testing"/>
    <s v="Brown"/>
    <x v="1"/>
    <s v="Coal"/>
    <x v="1"/>
    <x v="3"/>
    <n v="4"/>
    <n v="5.3166666667093523"/>
    <n v="5.3166666667093523"/>
    <n v="887.88333334046183"/>
    <n v="167"/>
    <x v="27"/>
  </r>
  <r>
    <x v="1"/>
    <x v="3"/>
    <n v="22"/>
    <n v="8700"/>
    <d v="2016-04-27T21:00:00"/>
    <d v="2016-04-28T04:03:00"/>
    <n v="0"/>
    <n v="179"/>
    <n v="167"/>
    <s v="CEMS Certification and Recertification"/>
    <s v="RATA testing"/>
    <s v="Brown"/>
    <x v="1"/>
    <s v="Coal"/>
    <x v="1"/>
    <x v="3"/>
    <n v="4"/>
    <n v="7.0499999999301508"/>
    <n v="7.0499999999301508"/>
    <n v="1177.3499999883352"/>
    <n v="167"/>
    <x v="27"/>
  </r>
  <r>
    <x v="1"/>
    <x v="4"/>
    <n v="24"/>
    <n v="1360"/>
    <d v="2016-05-04T06:00:00"/>
    <d v="2016-05-04T16:42:00"/>
    <n v="0"/>
    <n v="179"/>
    <n v="167"/>
    <s v="Boiler drains system"/>
    <s v="Replace main steam drains &amp; repair boiler WW tube leak"/>
    <s v="Brown"/>
    <x v="2"/>
    <s v="Coal"/>
    <x v="1"/>
    <x v="3"/>
    <n v="5"/>
    <n v="10.699999999953434"/>
    <n v="10.699999999953434"/>
    <n v="1786.8999999922235"/>
    <n v="167"/>
    <x v="27"/>
  </r>
  <r>
    <x v="1"/>
    <x v="4"/>
    <n v="25"/>
    <n v="1000"/>
    <d v="2016-05-05T14:40:00"/>
    <d v="2016-05-05T18:14:00"/>
    <n v="0"/>
    <n v="179"/>
    <n v="167"/>
    <s v="Waterwall (Furnace wall) A"/>
    <s v="Inspect suspect tube for possible leak"/>
    <s v="Brown"/>
    <x v="2"/>
    <s v="Coal"/>
    <x v="1"/>
    <x v="3"/>
    <n v="5"/>
    <n v="3.5666666667675599"/>
    <n v="3.5666666667675599"/>
    <n v="595.63333335018251"/>
    <n v="167"/>
    <x v="27"/>
  </r>
  <r>
    <x v="1"/>
    <x v="5"/>
    <n v="28"/>
    <n v="3399"/>
    <d v="2016-05-20T07:39:00"/>
    <d v="2016-05-20T09:18:00"/>
    <n v="0"/>
    <n v="179"/>
    <n v="167"/>
    <s v="Other miscellaneous condensate system problems"/>
    <s v="APC system drain valve malfunction causing colis to purge. Lost DA tank level which le"/>
    <s v="Brown"/>
    <x v="3"/>
    <s v="Coal"/>
    <x v="1"/>
    <x v="3"/>
    <n v="5"/>
    <n v="1.6499999999650754"/>
    <n v="1.6499999999650754"/>
    <n v="275.54999999416759"/>
    <n v="167"/>
    <x v="27"/>
  </r>
  <r>
    <x v="1"/>
    <x v="3"/>
    <n v="29"/>
    <n v="8700"/>
    <d v="2016-05-23T23:00:00"/>
    <d v="2016-05-24T05:20:00"/>
    <n v="0"/>
    <n v="179"/>
    <n v="167"/>
    <s v="CEMS Certification and Recertification"/>
    <s v="Mercury testing"/>
    <s v="Brown"/>
    <x v="1"/>
    <s v="Coal"/>
    <x v="1"/>
    <x v="3"/>
    <n v="5"/>
    <n v="6.3333333331975155"/>
    <n v="6.3333333331975155"/>
    <n v="1057.6666666439851"/>
    <n v="167"/>
    <x v="27"/>
  </r>
  <r>
    <x v="1"/>
    <x v="0"/>
    <n v="30"/>
    <n v="310"/>
    <d v="2016-08-01T19:27:00"/>
    <d v="2016-08-02T00:37:00"/>
    <n v="130"/>
    <n v="179"/>
    <n v="167"/>
    <s v="Pulverizer mills"/>
    <s v="Repair 2-3 mill north roll (not deflecting)"/>
    <s v="Brown"/>
    <x v="0"/>
    <s v="Coal"/>
    <x v="1"/>
    <x v="3"/>
    <n v="8"/>
    <n v="5.1666666665696539"/>
    <n v="1.4143389198989555"/>
    <n v="236.19459962312558"/>
    <n v="45.715083798882681"/>
    <x v="10"/>
  </r>
  <r>
    <x v="1"/>
    <x v="0"/>
    <n v="31"/>
    <n v="310"/>
    <d v="2016-08-04T07:09:00"/>
    <d v="2016-08-04T11:39:00"/>
    <n v="135"/>
    <n v="179"/>
    <n v="167"/>
    <s v="Pulverizer mills"/>
    <s v="Repair 2-2 mill broken spring bolt"/>
    <s v="Brown"/>
    <x v="0"/>
    <s v="Coal"/>
    <x v="1"/>
    <x v="3"/>
    <n v="8"/>
    <n v="4.5"/>
    <n v="1.1061452513966481"/>
    <n v="184.72625698324023"/>
    <n v="41.050279329608941"/>
    <x v="28"/>
  </r>
  <r>
    <x v="1"/>
    <x v="4"/>
    <n v="33"/>
    <n v="8250"/>
    <d v="2016-08-22T02:15:00"/>
    <d v="2016-08-22T15:38:00"/>
    <n v="0"/>
    <n v="179"/>
    <n v="167"/>
    <s v="Dampers other than bypass"/>
    <s v="Inspect Brown 3 FGD shutoff damper"/>
    <s v="Brown"/>
    <x v="2"/>
    <s v="Coal"/>
    <x v="1"/>
    <x v="3"/>
    <n v="8"/>
    <n v="13.383333333302289"/>
    <n v="13.383333333302289"/>
    <n v="2235.0166666614823"/>
    <n v="167"/>
    <x v="27"/>
  </r>
  <r>
    <x v="1"/>
    <x v="4"/>
    <n v="36"/>
    <n v="1000"/>
    <d v="2016-09-17T12:08:00"/>
    <d v="2016-09-17T20:28:00"/>
    <n v="0"/>
    <n v="179"/>
    <n v="167"/>
    <s v="Waterwall (Furnace wall) A"/>
    <s v="Frontwall steam drum terminal tube leak."/>
    <s v="Brown"/>
    <x v="2"/>
    <s v="Coal"/>
    <x v="1"/>
    <x v="3"/>
    <n v="9"/>
    <n v="8.3333333332557231"/>
    <n v="8.3333333332557231"/>
    <n v="1391.6666666537058"/>
    <n v="167"/>
    <x v="27"/>
  </r>
  <r>
    <x v="1"/>
    <x v="4"/>
    <n v="39"/>
    <n v="1999"/>
    <d v="2016-09-27T05:28:00"/>
    <d v="2016-09-29T11:41:00"/>
    <n v="0"/>
    <n v="179"/>
    <n v="167"/>
    <s v="Boiler"/>
    <s v="Repair A boiler corner buckstay along with misc. repairs."/>
    <s v="Brown"/>
    <x v="2"/>
    <s v="Coal"/>
    <x v="1"/>
    <x v="3"/>
    <n v="9"/>
    <n v="54.216666666674428"/>
    <n v="54.216666666674428"/>
    <n v="9054.1833333346294"/>
    <n v="167"/>
    <x v="27"/>
  </r>
  <r>
    <x v="1"/>
    <x v="4"/>
    <n v="41"/>
    <n v="847"/>
    <d v="2016-10-07T22:38:00"/>
    <d v="2016-10-11T12:57:00"/>
    <n v="0"/>
    <n v="179"/>
    <n v="167"/>
    <s v="Other expansion joints"/>
    <s v="REPAIR FGD EXPANSION JOINT "/>
    <s v="Brown"/>
    <x v="2"/>
    <s v="Coal"/>
    <x v="1"/>
    <x v="3"/>
    <n v="10"/>
    <n v="86.316666666534729"/>
    <n v="86.316666666534729"/>
    <n v="14414.8833333113"/>
    <n v="167"/>
    <x v="27"/>
  </r>
  <r>
    <x v="1"/>
    <x v="0"/>
    <n v="43"/>
    <n v="350"/>
    <d v="2016-10-21T04:23:00"/>
    <d v="2016-10-21T06:21:00"/>
    <n v="130"/>
    <n v="179"/>
    <n v="167"/>
    <s v="Pulverized fuel and air piping (from pulverizer to wind box)"/>
    <s v="2-3 mill exhauster distributor box coal leak"/>
    <s v="Brown"/>
    <x v="0"/>
    <s v="Coal"/>
    <x v="1"/>
    <x v="3"/>
    <n v="10"/>
    <n v="1.96666666661622"/>
    <n v="0.53836126628041781"/>
    <n v="89.906331468829777"/>
    <n v="45.715083798882681"/>
    <x v="10"/>
  </r>
  <r>
    <x v="1"/>
    <x v="4"/>
    <n v="45"/>
    <n v="8560"/>
    <d v="2016-10-26T06:00:00"/>
    <d v="2016-10-27T17:35:00"/>
    <n v="0"/>
    <n v="179"/>
    <n v="167"/>
    <s v="Electrostatic precipitator problems"/>
    <s v="Check for precipitator ground &amp; repair RH stop valve springs"/>
    <s v="Brown"/>
    <x v="2"/>
    <s v="Coal"/>
    <x v="1"/>
    <x v="3"/>
    <n v="10"/>
    <n v="35.583333333372138"/>
    <n v="35.583333333372138"/>
    <n v="5942.4166666731471"/>
    <n v="167"/>
    <x v="27"/>
  </r>
  <r>
    <x v="1"/>
    <x v="0"/>
    <n v="47"/>
    <n v="250"/>
    <d v="2016-10-31T04:20:00"/>
    <d v="2016-10-31T07:19:00"/>
    <n v="135"/>
    <n v="179"/>
    <n v="167"/>
    <s v="Pulverizer feeders"/>
    <s v="2-2 mill feeder controls failed"/>
    <s v="Brown"/>
    <x v="0"/>
    <s v="Coal"/>
    <x v="1"/>
    <x v="3"/>
    <n v="10"/>
    <n v="2.9833333332790062"/>
    <n v="0.73333333331997919"/>
    <n v="122.46666666443653"/>
    <n v="41.050279329608941"/>
    <x v="28"/>
  </r>
  <r>
    <x v="1"/>
    <x v="5"/>
    <n v="48"/>
    <n v="3420"/>
    <d v="2016-11-15T12:21:00"/>
    <d v="2016-11-16T02:55:00"/>
    <n v="0"/>
    <n v="179"/>
    <n v="167"/>
    <s v="Feedwater piping and supports"/>
    <s v="2-2 BFP warming line leak"/>
    <s v="Brown"/>
    <x v="3"/>
    <s v="Coal"/>
    <x v="1"/>
    <x v="3"/>
    <n v="11"/>
    <n v="14.566666666825768"/>
    <n v="14.566666666825768"/>
    <n v="2432.6333333599032"/>
    <n v="167"/>
    <x v="27"/>
  </r>
  <r>
    <x v="1"/>
    <x v="4"/>
    <n v="50"/>
    <n v="580"/>
    <d v="2016-12-12T07:00:00"/>
    <d v="2016-12-13T14:04:00"/>
    <n v="0"/>
    <n v="179"/>
    <n v="167"/>
    <s v="Desuperheater/attemperator piping"/>
    <s v="Repair SH attemperator piping identified during inspection"/>
    <s v="Brown"/>
    <x v="2"/>
    <s v="Coal"/>
    <x v="1"/>
    <x v="3"/>
    <n v="12"/>
    <n v="31.066666666651145"/>
    <n v="31.066666666651145"/>
    <n v="5188.1333333307412"/>
    <n v="167"/>
    <x v="27"/>
  </r>
  <r>
    <x v="1"/>
    <x v="4"/>
    <n v="52"/>
    <n v="1510"/>
    <d v="2016-12-30T05:00:00"/>
    <d v="2016-12-30T13:14:00"/>
    <n v="0"/>
    <n v="179"/>
    <n v="167"/>
    <s v="Flue gas ducts (except recirculation)"/>
    <s v="FGD Duct inspection"/>
    <s v="Brown"/>
    <x v="2"/>
    <s v="Coal"/>
    <x v="1"/>
    <x v="3"/>
    <n v="12"/>
    <n v="8.2333333332790062"/>
    <n v="8.2333333332790062"/>
    <n v="1374.966666657594"/>
    <n v="167"/>
    <x v="27"/>
  </r>
  <r>
    <x v="1"/>
    <x v="0"/>
    <n v="2"/>
    <n v="270"/>
    <d v="2017-01-05T11:08:00"/>
    <d v="2017-01-05T12:01:00"/>
    <n v="130"/>
    <n v="179"/>
    <n v="167"/>
    <s v="Primary air duct and dampers"/>
    <s v="2-2 mill primary air damper drive failure"/>
    <s v="Brown"/>
    <x v="0"/>
    <s v="Coal"/>
    <x v="1"/>
    <x v="4"/>
    <n v="1"/>
    <n v="0.88333333341870457"/>
    <n v="0.24180633149450573"/>
    <n v="40.381657359582455"/>
    <n v="45.715083798882681"/>
    <x v="10"/>
  </r>
  <r>
    <x v="1"/>
    <x v="0"/>
    <n v="3"/>
    <n v="270"/>
    <d v="2017-01-05T12:01:00"/>
    <d v="2017-01-05T15:01:00"/>
    <n v="140"/>
    <n v="179"/>
    <n v="167"/>
    <s v="Primary air duct and dampers"/>
    <s v="2-2 mill primary air damper drive failure"/>
    <s v="Brown"/>
    <x v="0"/>
    <s v="Coal"/>
    <x v="1"/>
    <x v="4"/>
    <n v="1"/>
    <n v="3"/>
    <n v="0.65363128491620115"/>
    <n v="109.1564245810056"/>
    <n v="36.385474860335194"/>
    <x v="32"/>
  </r>
  <r>
    <x v="1"/>
    <x v="2"/>
    <n v="4"/>
    <n v="310"/>
    <d v="2017-01-23T09:30:00"/>
    <d v="2017-01-23T11:30:00"/>
    <n v="145"/>
    <n v="179"/>
    <n v="167"/>
    <s v="Pulverizer mills"/>
    <s v="2-3 Mill west door broken spring bolt "/>
    <s v="Brown"/>
    <x v="0"/>
    <s v="Coal"/>
    <x v="1"/>
    <x v="4"/>
    <n v="1"/>
    <n v="1.9999999998835847"/>
    <n v="0.37988826813431215"/>
    <n v="63.441340778430131"/>
    <n v="31.720670391061454"/>
    <x v="8"/>
  </r>
  <r>
    <x v="1"/>
    <x v="4"/>
    <n v="6"/>
    <n v="4263"/>
    <d v="2017-02-20T07:00:00"/>
    <d v="2017-02-21T09:54:00"/>
    <n v="0"/>
    <n v="179"/>
    <n v="167"/>
    <s v="Reheat stop valves"/>
    <s v="Replace right side reheat stop valve actuator"/>
    <s v="Brown"/>
    <x v="2"/>
    <s v="Coal"/>
    <x v="1"/>
    <x v="4"/>
    <n v="2"/>
    <n v="26.900000000023283"/>
    <n v="26.900000000023283"/>
    <n v="4492.3000000038883"/>
    <n v="167"/>
    <x v="27"/>
  </r>
  <r>
    <x v="1"/>
    <x v="3"/>
    <n v="8"/>
    <n v="8700"/>
    <d v="2017-03-13T22:00:00"/>
    <d v="2017-03-14T03:00:00"/>
    <n v="0"/>
    <n v="179"/>
    <n v="167"/>
    <s v="CEMS Certification and Recertification"/>
    <s v="RATA testing "/>
    <s v="Brown"/>
    <x v="1"/>
    <s v="Coal"/>
    <x v="1"/>
    <x v="4"/>
    <n v="3"/>
    <n v="5.0000000000582077"/>
    <n v="5.0000000000582077"/>
    <n v="835.00000000972068"/>
    <n v="167"/>
    <x v="27"/>
  </r>
  <r>
    <x v="1"/>
    <x v="3"/>
    <n v="9"/>
    <n v="8700"/>
    <d v="2017-03-14T03:00:00"/>
    <d v="2017-03-14T09:15:00"/>
    <n v="0"/>
    <n v="179"/>
    <n v="167"/>
    <s v="CEMS Certification and Recertification"/>
    <s v="RATA testing "/>
    <s v="Brown"/>
    <x v="1"/>
    <s v="Coal"/>
    <x v="1"/>
    <x v="4"/>
    <n v="3"/>
    <n v="6.2499999999417923"/>
    <n v="6.2499999999417923"/>
    <n v="1043.7499999902793"/>
    <n v="167"/>
    <x v="27"/>
  </r>
  <r>
    <x v="1"/>
    <x v="6"/>
    <n v="10"/>
    <n v="1801"/>
    <d v="2017-03-23T23:55:00"/>
    <d v="2017-04-09T01:20:00"/>
    <n v="0"/>
    <n v="179"/>
    <n v="167"/>
    <s v="Minor boiler overhaul (less than 720 hours) (use for non-specific overhaul only; see page B-1)"/>
    <s v="Planned Outage with boiler inspection and duct expansion joint replacement"/>
    <s v="Brown"/>
    <x v="1"/>
    <s v="Coal"/>
    <x v="1"/>
    <x v="4"/>
    <n v="3"/>
    <n v="385.41666666656965"/>
    <n v="385.41666666656965"/>
    <n v="64364.583333317132"/>
    <n v="167"/>
    <x v="27"/>
  </r>
  <r>
    <x v="1"/>
    <x v="0"/>
    <n v="12"/>
    <n v="3410"/>
    <d v="2017-04-09T04:00:00"/>
    <d v="2017-04-10T03:30:00"/>
    <n v="110"/>
    <n v="179"/>
    <n v="167"/>
    <s v="Feedwater pump"/>
    <s v="2-1 BFP awaiting run form outage rebuild. "/>
    <s v="Brown"/>
    <x v="0"/>
    <s v="Coal"/>
    <x v="1"/>
    <x v="4"/>
    <n v="4"/>
    <n v="23.500000000116415"/>
    <n v="9.0586592179219707"/>
    <n v="1512.7960893929692"/>
    <n v="64.374301675977648"/>
    <x v="30"/>
  </r>
  <r>
    <x v="1"/>
    <x v="0"/>
    <n v="13"/>
    <n v="3410"/>
    <d v="2017-04-09T19:38:00"/>
    <d v="2017-04-10T03:30:00"/>
    <n v="90"/>
    <n v="179"/>
    <n v="167"/>
    <s v="Feedwater pump"/>
    <s v="2-2 BFP fluid coupling maximum output needs adjustment "/>
    <s v="Brown"/>
    <x v="0"/>
    <s v="Coal"/>
    <x v="1"/>
    <x v="4"/>
    <n v="4"/>
    <n v="7.8666666666395031"/>
    <n v="3.9113594040833282"/>
    <n v="653.19702048191584"/>
    <n v="83.033519553072622"/>
    <x v="36"/>
  </r>
  <r>
    <x v="1"/>
    <x v="1"/>
    <n v="14"/>
    <n v="1980"/>
    <d v="2017-04-11T21:10:00"/>
    <d v="2017-04-11T22:20:00"/>
    <n v="120"/>
    <n v="179"/>
    <n v="167"/>
    <s v="Boiler safety valve test"/>
    <s v="Setting boiler safties post outage "/>
    <s v="Brown"/>
    <x v="0"/>
    <s v="Coal"/>
    <x v="1"/>
    <x v="4"/>
    <n v="4"/>
    <n v="1.1666666666278616"/>
    <n v="0.38454376162594317"/>
    <n v="64.218808191532503"/>
    <n v="55.044692737430168"/>
    <x v="2"/>
  </r>
  <r>
    <x v="1"/>
    <x v="1"/>
    <n v="15"/>
    <n v="1980"/>
    <d v="2017-04-11T22:20:00"/>
    <d v="2017-04-12T01:06:00"/>
    <n v="80"/>
    <n v="179"/>
    <n v="167"/>
    <s v="Boiler safety valve test"/>
    <s v="Setting boiler safties post outage "/>
    <s v="Brown"/>
    <x v="0"/>
    <s v="Coal"/>
    <x v="1"/>
    <x v="4"/>
    <n v="4"/>
    <n v="2.7666666666045785"/>
    <n v="1.5301675977310238"/>
    <n v="255.53798882108097"/>
    <n v="92.363128491620117"/>
    <x v="31"/>
  </r>
  <r>
    <x v="1"/>
    <x v="5"/>
    <n v="17"/>
    <n v="1090"/>
    <d v="2017-06-02T10:25:00"/>
    <d v="2017-06-03T10:42:00"/>
    <n v="0"/>
    <n v="179"/>
    <n v="167"/>
    <s v="Other boiler tube leaks"/>
    <s v="Tube leak in penthouse area"/>
    <s v="Brown"/>
    <x v="3"/>
    <s v="Coal"/>
    <x v="1"/>
    <x v="4"/>
    <n v="6"/>
    <n v="24.283333333209157"/>
    <n v="24.283333333209157"/>
    <n v="4055.3166666459292"/>
    <n v="167"/>
    <x v="27"/>
  </r>
  <r>
    <x v="1"/>
    <x v="3"/>
    <n v="19"/>
    <n v="9999"/>
    <d v="2017-06-14T23:50:00"/>
    <d v="2017-06-15T01:01:00"/>
    <n v="0"/>
    <n v="179"/>
    <n v="167"/>
    <s v="Total unit performance testing (use appropriate codes for individual component testing)"/>
    <s v="VAR testing"/>
    <s v="Brown"/>
    <x v="1"/>
    <s v="Coal"/>
    <x v="1"/>
    <x v="4"/>
    <n v="6"/>
    <n v="1.1833333333488554"/>
    <n v="1.1833333333488554"/>
    <n v="197.61666666925885"/>
    <n v="167"/>
    <x v="27"/>
  </r>
  <r>
    <x v="1"/>
    <x v="0"/>
    <n v="20"/>
    <n v="250"/>
    <d v="2017-06-22T14:43:00"/>
    <d v="2017-06-22T15:41:00"/>
    <n v="140"/>
    <n v="179"/>
    <n v="167"/>
    <s v="Pulverizer feeders"/>
    <s v="2-1 mill feeder tachometer failure"/>
    <s v="Brown"/>
    <x v="0"/>
    <s v="Coal"/>
    <x v="1"/>
    <x v="4"/>
    <n v="6"/>
    <n v="0.96666666667442769"/>
    <n v="0.21061452514135576"/>
    <n v="35.17262569860641"/>
    <n v="36.385474860335194"/>
    <x v="32"/>
  </r>
  <r>
    <x v="1"/>
    <x v="4"/>
    <n v="23"/>
    <n v="3110"/>
    <d v="2017-08-09T06:00:00"/>
    <d v="2017-08-09T17:32:00"/>
    <n v="0"/>
    <n v="179"/>
    <n v="167"/>
    <s v="Condenser tube leaks"/>
    <s v="Check main condenser for possible tube leak"/>
    <s v="Brown"/>
    <x v="2"/>
    <s v="Coal"/>
    <x v="1"/>
    <x v="4"/>
    <n v="8"/>
    <n v="11.53333333338378"/>
    <n v="11.53333333338378"/>
    <n v="1926.0666666750913"/>
    <n v="167"/>
    <x v="27"/>
  </r>
  <r>
    <x v="1"/>
    <x v="5"/>
    <n v="26"/>
    <n v="3612"/>
    <d v="2017-09-08T08:36:00"/>
    <d v="2017-09-08T13:57:00"/>
    <n v="0"/>
    <n v="179"/>
    <n v="167"/>
    <s v="Switchyard system protection devices - external"/>
    <s v="FX00Loss of protective relaying for Brown North transmission lines."/>
    <s v="Brown"/>
    <x v="3"/>
    <s v="Coal"/>
    <x v="1"/>
    <x v="4"/>
    <n v="9"/>
    <n v="5.3500000001513399"/>
    <n v="5.3500000001513399"/>
    <n v="893.45000002527377"/>
    <n v="167"/>
    <x v="27"/>
  </r>
  <r>
    <x v="1"/>
    <x v="0"/>
    <n v="28"/>
    <n v="3210"/>
    <d v="2017-10-23T18:13:00"/>
    <d v="2017-10-23T18:32:00"/>
    <n v="80"/>
    <n v="179"/>
    <n v="167"/>
    <s v="Circulating water pumps"/>
    <s v="2-2 circulating water pump bearing problem"/>
    <s v="Brown"/>
    <x v="0"/>
    <s v="Coal"/>
    <x v="1"/>
    <x v="4"/>
    <n v="10"/>
    <n v="0.31666666665114462"/>
    <n v="0.17513966479588447"/>
    <n v="29.248324020912708"/>
    <n v="92.363128491620117"/>
    <x v="31"/>
  </r>
  <r>
    <x v="1"/>
    <x v="0"/>
    <n v="30"/>
    <n v="3411"/>
    <d v="2017-12-29T08:33:00"/>
    <d v="2017-12-29T08:41:00"/>
    <n v="110"/>
    <n v="179"/>
    <n v="167"/>
    <s v="Feedwater pump drive - motor"/>
    <s v="2-1 BFP failed to start"/>
    <s v="Brown"/>
    <x v="0"/>
    <s v="Coal"/>
    <x v="1"/>
    <x v="4"/>
    <n v="12"/>
    <n v="0.13333333341870457"/>
    <n v="5.1396648077601199E-2"/>
    <n v="8.5832402289594008"/>
    <n v="64.374301675977648"/>
    <x v="30"/>
  </r>
  <r>
    <x v="1"/>
    <x v="0"/>
    <n v="1"/>
    <n v="1710"/>
    <d v="2018-01-02T02:00:00"/>
    <d v="2018-01-02T03:10:00"/>
    <n v="10"/>
    <n v="179"/>
    <n v="167"/>
    <s v="Combustion/steam condition controls (report local controls --- burners"/>
    <s v="Boiler trip due to upset when losing air preheating coils"/>
    <s v="Brown"/>
    <x v="0"/>
    <s v="Coal"/>
    <x v="1"/>
    <x v="5"/>
    <n v="1"/>
    <n v="1.1666666666278616"/>
    <n v="1.1014897578777016"/>
    <n v="183.94878956557616"/>
    <n v="157.67039106145251"/>
    <x v="37"/>
  </r>
  <r>
    <x v="1"/>
    <x v="0"/>
    <n v="2"/>
    <n v="1710"/>
    <d v="2018-01-02T03:43:00"/>
    <d v="2018-01-02T08:12:00"/>
    <n v="10"/>
    <n v="179"/>
    <n v="167"/>
    <s v="Combustion/steam condition controls (report local controls --- burners"/>
    <s v="Boiler trip due to upset when losing air preheating coils"/>
    <s v="Brown"/>
    <x v="0"/>
    <s v="Coal"/>
    <x v="1"/>
    <x v="5"/>
    <n v="1"/>
    <n v="4.4833333332790062"/>
    <n v="4.23286778393381"/>
    <n v="706.88891991694629"/>
    <n v="157.67039106145251"/>
    <x v="37"/>
  </r>
  <r>
    <x v="1"/>
    <x v="0"/>
    <n v="3"/>
    <n v="1710"/>
    <d v="2018-01-02T09:30:00"/>
    <d v="2018-01-02T12:15:00"/>
    <n v="10"/>
    <n v="179"/>
    <n v="167"/>
    <s v="Combustion/steam condition controls (report local controls --- burners"/>
    <s v="Boiler trip due to upset when losing air preheating coils"/>
    <s v="Brown"/>
    <x v="0"/>
    <s v="Coal"/>
    <x v="1"/>
    <x v="5"/>
    <n v="1"/>
    <n v="2.7499999998835847"/>
    <n v="2.5963687149738872"/>
    <n v="433.59357540063917"/>
    <n v="157.67039106145251"/>
    <x v="37"/>
  </r>
  <r>
    <x v="1"/>
    <x v="3"/>
    <n v="4"/>
    <n v="920"/>
    <d v="2018-01-04T00:00:00"/>
    <d v="2018-01-04T03:00:00"/>
    <n v="0"/>
    <n v="179"/>
    <n v="167"/>
    <s v="Other slag and ash removal problems A"/>
    <s v="De-slag boiler"/>
    <s v="Brown"/>
    <x v="1"/>
    <s v="Coal"/>
    <x v="1"/>
    <x v="5"/>
    <n v="1"/>
    <n v="3"/>
    <n v="3"/>
    <n v="501"/>
    <n v="167"/>
    <x v="27"/>
  </r>
  <r>
    <x v="1"/>
    <x v="4"/>
    <n v="5"/>
    <n v="3621"/>
    <d v="2018-01-21T00:44:00"/>
    <d v="2018-01-21T00:58:00"/>
    <n v="0"/>
    <n v="179"/>
    <n v="167"/>
    <s v="Unit auxiliaries transformer"/>
    <s v="2B main feed brekaer inspection"/>
    <s v="Brown"/>
    <x v="2"/>
    <s v="Coal"/>
    <x v="1"/>
    <x v="5"/>
    <n v="1"/>
    <n v="0.2333333333954215"/>
    <n v="0.2333333333954215"/>
    <n v="38.966666677035391"/>
    <n v="167"/>
    <x v="27"/>
  </r>
  <r>
    <x v="1"/>
    <x v="1"/>
    <n v="7"/>
    <n v="310"/>
    <d v="2018-03-06T02:00:00"/>
    <d v="2018-03-06T05:00:00"/>
    <n v="135"/>
    <n v="179"/>
    <n v="167"/>
    <s v="Pulverizer mills"/>
    <s v="F0602-4 Mill had a broken roll."/>
    <s v="Brown"/>
    <x v="0"/>
    <s v="Coal"/>
    <x v="1"/>
    <x v="5"/>
    <n v="3"/>
    <n v="3"/>
    <n v="0.73743016759776536"/>
    <n v="123.15083798882682"/>
    <n v="41.050279329608941"/>
    <x v="28"/>
  </r>
  <r>
    <x v="1"/>
    <x v="5"/>
    <n v="8"/>
    <n v="9650"/>
    <d v="2018-03-12T07:59:00"/>
    <d v="2018-03-12T19:28:00"/>
    <n v="0"/>
    <n v="179"/>
    <n v="167"/>
    <s v="Other stack or exhaust emissions (fossil)"/>
    <s v="F830Lost power to scrubber facility"/>
    <s v="Brown"/>
    <x v="3"/>
    <s v="Coal"/>
    <x v="1"/>
    <x v="5"/>
    <n v="3"/>
    <n v="11.483333333395422"/>
    <n v="11.483333333395422"/>
    <n v="1917.7166666770354"/>
    <n v="167"/>
    <x v="27"/>
  </r>
  <r>
    <x v="1"/>
    <x v="1"/>
    <n v="9"/>
    <n v="250"/>
    <d v="2018-03-19T21:59:00"/>
    <d v="2018-03-19T23:46:00"/>
    <n v="59"/>
    <n v="179"/>
    <n v="167"/>
    <s v="Pulverizer feeders"/>
    <s v="F0602-3 mill feeder belt broken and needed repair."/>
    <s v="Brown"/>
    <x v="0"/>
    <s v="Coal"/>
    <x v="1"/>
    <x v="5"/>
    <n v="3"/>
    <n v="1.783333333209157"/>
    <n v="1.1955307261737365"/>
    <n v="199.65363127101398"/>
    <n v="111.95530726256983"/>
    <x v="38"/>
  </r>
  <r>
    <x v="2"/>
    <x v="3"/>
    <n v="1"/>
    <n v="1710"/>
    <d v="2013-01-05T19:00:00"/>
    <d v="2013-01-05T21:15:00"/>
    <n v="0"/>
    <n v="456"/>
    <n v="411"/>
    <s v="Combustion/steam condition controls (report local controls --- burners"/>
    <s v="Tuning boiler controls"/>
    <s v="Brown"/>
    <x v="1"/>
    <s v="Coal"/>
    <x v="2"/>
    <x v="0"/>
    <n v="1"/>
    <n v="2.25"/>
    <n v="2.25"/>
    <n v="924.75"/>
    <n v="411"/>
    <x v="39"/>
  </r>
  <r>
    <x v="2"/>
    <x v="5"/>
    <n v="2"/>
    <n v="1060"/>
    <d v="2013-01-07T12:52:00"/>
    <d v="2013-01-09T14:44:00"/>
    <n v="0"/>
    <n v="456"/>
    <n v="411"/>
    <s v="First reheater A"/>
    <s v="Suspected leak in RH section  6410136"/>
    <s v="Brown"/>
    <x v="3"/>
    <s v="Coal"/>
    <x v="2"/>
    <x v="0"/>
    <n v="1"/>
    <n v="49.866666666639503"/>
    <n v="49.866666666639503"/>
    <n v="20495.199999988836"/>
    <n v="411"/>
    <x v="39"/>
  </r>
  <r>
    <x v="2"/>
    <x v="0"/>
    <n v="3"/>
    <n v="3410"/>
    <d v="2013-01-10T11:44:00"/>
    <d v="2013-01-10T15:20:00"/>
    <n v="325"/>
    <n v="456"/>
    <n v="411"/>
    <s v="Feedwater pump"/>
    <s v="3-2 BFP IB pmp bearing temp hi 6410884"/>
    <s v="Brown"/>
    <x v="0"/>
    <s v="Coal"/>
    <x v="2"/>
    <x v="0"/>
    <n v="1"/>
    <n v="3.6000000000349246"/>
    <n v="1.0342105263258226"/>
    <n v="425.06052631991309"/>
    <n v="118.07236842105263"/>
    <x v="40"/>
  </r>
  <r>
    <x v="2"/>
    <x v="3"/>
    <n v="4"/>
    <n v="8817"/>
    <d v="2013-01-11T09:00:00"/>
    <d v="2013-01-11T18:00:00"/>
    <n v="0"/>
    <n v="456"/>
    <n v="411"/>
    <s v="SCR NOx Control system"/>
    <s v="Mid load SCR testing"/>
    <s v="Brown"/>
    <x v="1"/>
    <s v="Coal"/>
    <x v="2"/>
    <x v="0"/>
    <n v="1"/>
    <n v="9"/>
    <n v="9"/>
    <n v="3699"/>
    <n v="411"/>
    <x v="39"/>
  </r>
  <r>
    <x v="2"/>
    <x v="1"/>
    <n v="5"/>
    <n v="250"/>
    <d v="2013-01-17T00:00:00"/>
    <d v="2013-01-17T04:15:00"/>
    <n v="350"/>
    <n v="456"/>
    <n v="411"/>
    <s v="Pulverizer feeders"/>
    <s v="Replace 3-5 mill feeder belt &amp; roller 6412801 "/>
    <s v="Brown"/>
    <x v="0"/>
    <s v="Coal"/>
    <x v="2"/>
    <x v="0"/>
    <n v="1"/>
    <n v="4.2500000000582077"/>
    <n v="0.98793859650475879"/>
    <n v="406.04276316345585"/>
    <n v="95.53947368421052"/>
    <x v="41"/>
  </r>
  <r>
    <x v="2"/>
    <x v="0"/>
    <n v="6"/>
    <n v="310"/>
    <d v="2013-01-17T06:48:00"/>
    <d v="2013-01-17T09:25:00"/>
    <n v="355"/>
    <n v="456"/>
    <n v="411"/>
    <s v="Pulverizer mills"/>
    <s v="3-3 mill thrust bearing failure"/>
    <s v="Brown"/>
    <x v="0"/>
    <s v="Coal"/>
    <x v="2"/>
    <x v="0"/>
    <n v="1"/>
    <n v="2.6166666666395031"/>
    <n v="0.57956871344427585"/>
    <n v="238.20274122559738"/>
    <n v="91.03289473684211"/>
    <x v="42"/>
  </r>
  <r>
    <x v="2"/>
    <x v="1"/>
    <n v="7"/>
    <n v="8817"/>
    <d v="2013-01-17T09:25:00"/>
    <d v="2013-01-17T17:50:00"/>
    <n v="340"/>
    <n v="456"/>
    <n v="411"/>
    <s v="SCR NOx Control system"/>
    <s v="SCR mid load testing"/>
    <s v="Brown"/>
    <x v="0"/>
    <s v="Coal"/>
    <x v="2"/>
    <x v="0"/>
    <n v="1"/>
    <n v="8.4166666666860692"/>
    <n v="2.1410818713499649"/>
    <n v="879.98464912483553"/>
    <n v="104.55263157894737"/>
    <x v="43"/>
  </r>
  <r>
    <x v="2"/>
    <x v="0"/>
    <n v="8"/>
    <n v="310"/>
    <d v="2013-01-17T17:50:00"/>
    <d v="2013-01-19T12:00:00"/>
    <n v="355"/>
    <n v="456"/>
    <n v="411"/>
    <s v="Pulverizer mills"/>
    <s v="3-3 mill thrust bearing failure"/>
    <s v="Brown"/>
    <x v="0"/>
    <s v="Coal"/>
    <x v="2"/>
    <x v="0"/>
    <n v="1"/>
    <n v="42.166666666686069"/>
    <n v="9.3395467836300288"/>
    <n v="3838.5537280719418"/>
    <n v="91.03289473684211"/>
    <x v="42"/>
  </r>
  <r>
    <x v="2"/>
    <x v="1"/>
    <n v="9"/>
    <n v="8817"/>
    <d v="2013-01-19T12:00:00"/>
    <d v="2013-01-19T17:40:00"/>
    <n v="180"/>
    <n v="456"/>
    <n v="411"/>
    <s v="SCR NOx Control system"/>
    <s v="SCR low load testing"/>
    <s v="Brown"/>
    <x v="0"/>
    <s v="Coal"/>
    <x v="2"/>
    <x v="0"/>
    <n v="1"/>
    <n v="5.6666666666278616"/>
    <n v="3.4298245613800216"/>
    <n v="1409.6578947271889"/>
    <n v="248.76315789473685"/>
    <x v="44"/>
  </r>
  <r>
    <x v="2"/>
    <x v="0"/>
    <n v="10"/>
    <n v="310"/>
    <d v="2013-01-19T17:40:00"/>
    <d v="2013-01-19T22:41:00"/>
    <n v="355"/>
    <n v="456"/>
    <n v="411"/>
    <s v="Pulverizer mills"/>
    <s v="3-3 mill thrust bearing failure 6412940"/>
    <s v="Brown"/>
    <x v="0"/>
    <s v="Coal"/>
    <x v="2"/>
    <x v="0"/>
    <n v="1"/>
    <n v="5.0166666667792015"/>
    <n v="1.111147660843639"/>
    <n v="456.68168860673563"/>
    <n v="91.03289473684211"/>
    <x v="42"/>
  </r>
  <r>
    <x v="2"/>
    <x v="0"/>
    <n v="11"/>
    <n v="3414"/>
    <d v="2013-01-22T06:20:00"/>
    <d v="2013-01-22T06:54:00"/>
    <n v="295"/>
    <n v="456"/>
    <n v="411"/>
    <s v="Feedwater pump local controls"/>
    <s v="3-1 BFPT LP stm stp vlv not opening 6414641"/>
    <s v="Brown"/>
    <x v="0"/>
    <s v="Coal"/>
    <x v="2"/>
    <x v="0"/>
    <n v="1"/>
    <n v="0.56666666659293696"/>
    <n v="0.20007309938917292"/>
    <n v="82.230043848950075"/>
    <n v="145.11184210526315"/>
    <x v="45"/>
  </r>
  <r>
    <x v="2"/>
    <x v="1"/>
    <n v="12"/>
    <n v="310"/>
    <d v="2013-01-27T22:00:00"/>
    <d v="2013-01-28T04:57:00"/>
    <n v="330"/>
    <n v="456"/>
    <n v="411"/>
    <s v="Pulverizer mills"/>
    <s v="3-1 mill pre outage inspection 6415483"/>
    <s v="Brown"/>
    <x v="0"/>
    <s v="Coal"/>
    <x v="2"/>
    <x v="0"/>
    <n v="1"/>
    <n v="6.9500000001280569"/>
    <n v="1.9203947368774894"/>
    <n v="789.28223685664818"/>
    <n v="113.56578947368421"/>
    <x v="46"/>
  </r>
  <r>
    <x v="2"/>
    <x v="3"/>
    <n v="13"/>
    <n v="740"/>
    <d v="2013-01-28T21:00:00"/>
    <d v="2013-01-28T22:00:00"/>
    <n v="0"/>
    <n v="456"/>
    <n v="411"/>
    <s v="Boiler recirculation pumps"/>
    <s v="Testing Hot Water Recirc. system @ minimum loading"/>
    <s v="Brown"/>
    <x v="1"/>
    <s v="Coal"/>
    <x v="2"/>
    <x v="0"/>
    <n v="1"/>
    <n v="0.99999999994179234"/>
    <n v="0.99999999994179234"/>
    <n v="410.99999997607665"/>
    <n v="411"/>
    <x v="39"/>
  </r>
  <r>
    <x v="2"/>
    <x v="1"/>
    <n v="14"/>
    <n v="310"/>
    <d v="2013-01-28T22:00:00"/>
    <d v="2013-01-29T04:26:00"/>
    <n v="350"/>
    <n v="456"/>
    <n v="411"/>
    <s v="Pulverizer mills"/>
    <s v="3-4 mill pre-out insp in conj with HWRS testing. 6415487 The Hot Water Recirc. testing"/>
    <s v="Brown"/>
    <x v="0"/>
    <s v="Coal"/>
    <x v="2"/>
    <x v="0"/>
    <n v="1"/>
    <n v="6.4333333333488554"/>
    <n v="1.4954678362609182"/>
    <n v="614.63728070323737"/>
    <n v="95.53947368421052"/>
    <x v="41"/>
  </r>
  <r>
    <x v="2"/>
    <x v="3"/>
    <n v="15"/>
    <n v="740"/>
    <d v="2013-01-29T14:00:00"/>
    <d v="2013-01-29T22:00:00"/>
    <n v="0"/>
    <n v="456"/>
    <n v="411"/>
    <s v="Boiler recirculation pumps"/>
    <s v="Hot Water Recirc. testing at mid load"/>
    <s v="Brown"/>
    <x v="1"/>
    <s v="Coal"/>
    <x v="2"/>
    <x v="0"/>
    <n v="1"/>
    <n v="7.9999999998835847"/>
    <n v="7.9999999998835847"/>
    <n v="3287.9999999521533"/>
    <n v="411"/>
    <x v="39"/>
  </r>
  <r>
    <x v="2"/>
    <x v="1"/>
    <n v="16"/>
    <n v="310"/>
    <d v="2013-01-29T22:00:00"/>
    <d v="2013-01-30T03:10:00"/>
    <n v="350"/>
    <n v="456"/>
    <n v="411"/>
    <s v="Pulverizer mills"/>
    <s v="3-5 mill preoutage inspection 6415488"/>
    <s v="Brown"/>
    <x v="0"/>
    <s v="Coal"/>
    <x v="2"/>
    <x v="0"/>
    <n v="1"/>
    <n v="5.1666666667442769"/>
    <n v="1.2010233918309066"/>
    <n v="493.62061404250261"/>
    <n v="95.53947368421052"/>
    <x v="41"/>
  </r>
  <r>
    <x v="2"/>
    <x v="3"/>
    <n v="17"/>
    <n v="310"/>
    <d v="2013-02-08T00:35:00"/>
    <d v="2013-02-08T01:30:00"/>
    <n v="0"/>
    <n v="456"/>
    <n v="411"/>
    <s v="Pulverizer mills"/>
    <s v="Set rolls 3-2 &amp; 3-3 mills"/>
    <s v="Brown"/>
    <x v="1"/>
    <s v="Coal"/>
    <x v="2"/>
    <x v="0"/>
    <n v="2"/>
    <n v="0.91666666668606922"/>
    <n v="0.91666666668606922"/>
    <n v="376.75000000797445"/>
    <n v="411"/>
    <x v="39"/>
  </r>
  <r>
    <x v="2"/>
    <x v="4"/>
    <n v="18"/>
    <n v="1500"/>
    <d v="2013-02-10T00:48:00"/>
    <d v="2013-02-12T23:07:00"/>
    <n v="0"/>
    <n v="456"/>
    <n v="411"/>
    <s v="Air heater soot blowers"/>
    <s v="Inspect Air Heater sootblowers 6408251"/>
    <s v="Brown"/>
    <x v="2"/>
    <s v="Coal"/>
    <x v="2"/>
    <x v="0"/>
    <n v="2"/>
    <n v="70.316666666592937"/>
    <n v="70.316666666592937"/>
    <n v="28900.149999969697"/>
    <n v="411"/>
    <x v="39"/>
  </r>
  <r>
    <x v="2"/>
    <x v="0"/>
    <n v="19"/>
    <n v="310"/>
    <d v="2013-02-13T02:36:00"/>
    <d v="2013-02-14T14:10:00"/>
    <n v="350"/>
    <n v="456"/>
    <n v="411"/>
    <s v="Pulverizer mills"/>
    <s v="3-3 mill radial seal damage"/>
    <s v="Brown"/>
    <x v="0"/>
    <s v="Coal"/>
    <x v="2"/>
    <x v="0"/>
    <n v="2"/>
    <n v="35.566666666825768"/>
    <n v="8.2676900585165161"/>
    <n v="3398.0206140502883"/>
    <n v="95.53947368421052"/>
    <x v="41"/>
  </r>
  <r>
    <x v="2"/>
    <x v="0"/>
    <n v="20"/>
    <n v="310"/>
    <d v="2013-02-14T14:10:00"/>
    <d v="2013-02-15T11:32:00"/>
    <n v="360"/>
    <n v="456"/>
    <n v="411"/>
    <s v="Pulverizer mills"/>
    <s v="3-3 mill radial seal damage 6421955"/>
    <s v="Brown"/>
    <x v="0"/>
    <s v="Coal"/>
    <x v="2"/>
    <x v="0"/>
    <n v="2"/>
    <n v="21.366666666639503"/>
    <n v="4.4982456140293694"/>
    <n v="1848.7789473660707"/>
    <n v="86.526315789473685"/>
    <x v="47"/>
  </r>
  <r>
    <x v="2"/>
    <x v="4"/>
    <n v="22"/>
    <n v="1360"/>
    <d v="2013-02-16T08:30:00"/>
    <d v="2013-02-17T15:53:00"/>
    <n v="0"/>
    <n v="456"/>
    <n v="411"/>
    <s v="Boiler drains system"/>
    <s v="Modify boiler blowdown tank discharge piping "/>
    <s v="Brown"/>
    <x v="2"/>
    <s v="Coal"/>
    <x v="2"/>
    <x v="0"/>
    <n v="2"/>
    <n v="31.383333333476912"/>
    <n v="31.383333333476912"/>
    <n v="12898.550000059011"/>
    <n v="411"/>
    <x v="39"/>
  </r>
  <r>
    <x v="2"/>
    <x v="0"/>
    <n v="24"/>
    <n v="310"/>
    <d v="2013-02-19T06:08:00"/>
    <d v="2013-02-19T17:00:00"/>
    <n v="360"/>
    <n v="456"/>
    <n v="411"/>
    <s v="Pulverizer mills"/>
    <s v="3-3 mill radial seal replacement 6421955"/>
    <s v="Brown"/>
    <x v="0"/>
    <s v="Coal"/>
    <x v="2"/>
    <x v="0"/>
    <n v="2"/>
    <n v="10.866666666639503"/>
    <n v="2.2877192982398955"/>
    <n v="940.25263157659708"/>
    <n v="86.526315789473685"/>
    <x v="47"/>
  </r>
  <r>
    <x v="2"/>
    <x v="0"/>
    <n v="25"/>
    <n v="300"/>
    <d v="2013-02-20T06:02:00"/>
    <d v="2013-02-20T06:32:00"/>
    <n v="350"/>
    <n v="456"/>
    <n v="411"/>
    <s v="Pulverizer motors and drives"/>
    <s v="3-3 mill motor ground"/>
    <s v="Brown"/>
    <x v="0"/>
    <s v="Coal"/>
    <x v="2"/>
    <x v="0"/>
    <n v="2"/>
    <n v="0.50000000005820766"/>
    <n v="0.11622807018896933"/>
    <n v="47.769736847666394"/>
    <n v="95.53947368421052"/>
    <x v="41"/>
  </r>
  <r>
    <x v="2"/>
    <x v="0"/>
    <n v="26"/>
    <n v="300"/>
    <d v="2013-02-20T06:32:00"/>
    <d v="2013-02-20T17:35:00"/>
    <n v="365"/>
    <n v="456"/>
    <n v="411"/>
    <s v="Pulverizer motors and drives"/>
    <s v="3-3 mill motor ground"/>
    <s v="Brown"/>
    <x v="0"/>
    <s v="Coal"/>
    <x v="2"/>
    <x v="0"/>
    <n v="2"/>
    <n v="11.050000000046566"/>
    <n v="2.2051535087812226"/>
    <n v="906.3180921090825"/>
    <n v="82.01973684210526"/>
    <x v="48"/>
  </r>
  <r>
    <x v="2"/>
    <x v="0"/>
    <n v="27"/>
    <n v="8825"/>
    <d v="2013-02-20T17:35:00"/>
    <d v="2013-02-20T18:15:00"/>
    <n v="365"/>
    <n v="456"/>
    <n v="411"/>
    <s v="Other SCR NOx problems"/>
    <s v="Request loading to 330 mw after boiler trip to establish temperatures for SCR ammonia "/>
    <s v="Brown"/>
    <x v="0"/>
    <s v="Coal"/>
    <x v="2"/>
    <x v="0"/>
    <n v="2"/>
    <n v="0.6666666665696539"/>
    <n v="0.13304093565315461"/>
    <n v="54.679824553446544"/>
    <n v="82.01973684210526"/>
    <x v="48"/>
  </r>
  <r>
    <x v="2"/>
    <x v="0"/>
    <n v="28"/>
    <n v="300"/>
    <d v="2013-02-20T18:15:00"/>
    <d v="2013-02-20T20:55:00"/>
    <n v="365"/>
    <n v="456"/>
    <n v="411"/>
    <s v="Pulverizer motors and drives"/>
    <s v="3-3 mill motor ground 6423841"/>
    <s v="Brown"/>
    <x v="0"/>
    <s v="Coal"/>
    <x v="2"/>
    <x v="0"/>
    <n v="2"/>
    <n v="2.6666666668024845"/>
    <n v="0.53216374271716249"/>
    <n v="218.71929825675377"/>
    <n v="82.01973684210526"/>
    <x v="48"/>
  </r>
  <r>
    <x v="2"/>
    <x v="3"/>
    <n v="29"/>
    <n v="770"/>
    <d v="2013-02-22T09:00:00"/>
    <d v="2013-02-22T11:35:00"/>
    <n v="0"/>
    <n v="456"/>
    <n v="411"/>
    <s v="Other boiler recirculation problems"/>
    <s v="Hot Water Recirculating System testing"/>
    <s v="Brown"/>
    <x v="1"/>
    <s v="Coal"/>
    <x v="2"/>
    <x v="0"/>
    <n v="2"/>
    <n v="2.5833333333721384"/>
    <n v="2.5833333333721384"/>
    <n v="1061.7500000159489"/>
    <n v="411"/>
    <x v="39"/>
  </r>
  <r>
    <x v="2"/>
    <x v="1"/>
    <n v="30"/>
    <n v="300"/>
    <d v="2013-02-23T06:30:00"/>
    <d v="2013-02-23T11:10:00"/>
    <n v="350"/>
    <n v="456"/>
    <n v="411"/>
    <s v="Pulverizer motors and drives"/>
    <s v="3-3 mill motor alignment check "/>
    <s v="Brown"/>
    <x v="0"/>
    <s v="Coal"/>
    <x v="2"/>
    <x v="0"/>
    <n v="2"/>
    <n v="4.6666666666860692"/>
    <n v="1.084795321641937"/>
    <n v="445.85087719483613"/>
    <n v="95.53947368421052"/>
    <x v="41"/>
  </r>
  <r>
    <x v="2"/>
    <x v="3"/>
    <n v="31"/>
    <n v="8700"/>
    <d v="2013-02-28T01:00:00"/>
    <d v="2013-02-28T04:00:00"/>
    <n v="0"/>
    <n v="456"/>
    <n v="411"/>
    <s v="CEMS Certification and Recertification"/>
    <s v="Low load RATA testing"/>
    <s v="Brown"/>
    <x v="1"/>
    <s v="Coal"/>
    <x v="2"/>
    <x v="0"/>
    <n v="2"/>
    <n v="3"/>
    <n v="3"/>
    <n v="1233"/>
    <n v="411"/>
    <x v="39"/>
  </r>
  <r>
    <x v="2"/>
    <x v="1"/>
    <n v="32"/>
    <n v="3412"/>
    <d v="2013-03-14T22:00:00"/>
    <d v="2013-03-14T22:45:00"/>
    <n v="315"/>
    <n v="456"/>
    <n v="411"/>
    <s v="Feedwater pump drive - steam turbine"/>
    <s v="Check 3-1 BFPT vibration "/>
    <s v="Brown"/>
    <x v="0"/>
    <s v="Coal"/>
    <x v="2"/>
    <x v="0"/>
    <n v="3"/>
    <n v="0.75"/>
    <n v="0.23190789473684212"/>
    <n v="95.31414473684211"/>
    <n v="127.08552631578948"/>
    <x v="49"/>
  </r>
  <r>
    <x v="2"/>
    <x v="6"/>
    <n v="33"/>
    <n v="1812"/>
    <d v="2013-03-16T00:11:00"/>
    <d v="2013-03-24T05:45:00"/>
    <n v="0"/>
    <n v="456"/>
    <n v="411"/>
    <s v="Boiler Inspections - scheduled or routine"/>
    <s v="Planned spring outage for boiler inspection &amp; repairs and Replacing inlet and outlet F"/>
    <s v="Brown"/>
    <x v="1"/>
    <s v="Coal"/>
    <x v="2"/>
    <x v="0"/>
    <n v="3"/>
    <n v="197.56666666665114"/>
    <n v="197.56666666665114"/>
    <n v="81199.89999999362"/>
    <n v="411"/>
    <x v="39"/>
  </r>
  <r>
    <x v="2"/>
    <x v="7"/>
    <n v="34"/>
    <n v="860"/>
    <d v="2013-03-24T05:45:00"/>
    <d v="2013-03-25T02:33:00"/>
    <n v="0"/>
    <n v="456"/>
    <n v="411"/>
    <s v="Soot blowers - air (see code 3844 for air delivery system)"/>
    <s v="Air Heater sootblowing air compressors safeties failure"/>
    <s v="Brown"/>
    <x v="3"/>
    <s v="Coal"/>
    <x v="2"/>
    <x v="0"/>
    <n v="3"/>
    <n v="20.799999999871943"/>
    <n v="20.799999999871943"/>
    <n v="8548.7999999473686"/>
    <n v="411"/>
    <x v="39"/>
  </r>
  <r>
    <x v="2"/>
    <x v="5"/>
    <n v="35"/>
    <n v="1750"/>
    <d v="2013-03-25T03:39:00"/>
    <d v="2013-03-25T04:14:00"/>
    <n v="0"/>
    <n v="456"/>
    <n v="411"/>
    <s v="Burner management system"/>
    <s v="Oil guns tripped resulting in boiler MFT "/>
    <s v="Brown"/>
    <x v="3"/>
    <s v="Coal"/>
    <x v="2"/>
    <x v="0"/>
    <n v="3"/>
    <n v="0.58333333331393078"/>
    <n v="0.58333333331393078"/>
    <n v="239.74999999202555"/>
    <n v="411"/>
    <x v="39"/>
  </r>
  <r>
    <x v="2"/>
    <x v="5"/>
    <n v="36"/>
    <n v="810"/>
    <d v="2013-03-25T08:18:00"/>
    <d v="2013-03-30T04:30:00"/>
    <n v="0"/>
    <n v="456"/>
    <n v="411"/>
    <s v="Boiler supports and structures (use code 1320 for tube supports)"/>
    <s v="PF pipe structural steel damaged "/>
    <s v="Brown"/>
    <x v="3"/>
    <s v="Coal"/>
    <x v="2"/>
    <x v="0"/>
    <n v="3"/>
    <n v="116.20000000001164"/>
    <n v="116.20000000001164"/>
    <n v="47758.200000004785"/>
    <n v="411"/>
    <x v="39"/>
  </r>
  <r>
    <x v="2"/>
    <x v="0"/>
    <n v="37"/>
    <n v="3410"/>
    <d v="2013-03-30T12:25:00"/>
    <d v="2013-04-02T01:30:00"/>
    <n v="312"/>
    <n v="456"/>
    <n v="411"/>
    <s v="Feedwater pump"/>
    <s v="3-1 BFP rebuild 6430239"/>
    <s v="Brown"/>
    <x v="0"/>
    <s v="Coal"/>
    <x v="2"/>
    <x v="0"/>
    <n v="3"/>
    <n v="61.083333333372138"/>
    <n v="19.289473684222781"/>
    <n v="7927.9736842155626"/>
    <n v="129.78947368421052"/>
    <x v="50"/>
  </r>
  <r>
    <x v="2"/>
    <x v="0"/>
    <n v="38"/>
    <n v="3410"/>
    <d v="2013-04-02T11:50:00"/>
    <d v="2013-04-08T15:28:00"/>
    <n v="310"/>
    <n v="456"/>
    <n v="411"/>
    <s v="Feedwater pump"/>
    <s v="Removed 3-1 BFP to inspect due to high IB &amp; OB bearing temperatures. Pump seized after"/>
    <s v="Brown"/>
    <x v="0"/>
    <s v="Coal"/>
    <x v="2"/>
    <x v="0"/>
    <n v="4"/>
    <n v="147.63333333330229"/>
    <n v="47.268567251452048"/>
    <n v="19427.381140346792"/>
    <n v="131.59210526315789"/>
    <x v="51"/>
  </r>
  <r>
    <x v="2"/>
    <x v="0"/>
    <n v="39"/>
    <n v="3410"/>
    <d v="2013-04-09T15:10:00"/>
    <d v="2013-04-10T09:28:00"/>
    <n v="310"/>
    <n v="456"/>
    <n v="411"/>
    <s v="Feedwater pump"/>
    <s v="3-1 BFP extremely high temperature on OB bearing 6430239"/>
    <s v="Brown"/>
    <x v="0"/>
    <s v="Coal"/>
    <x v="2"/>
    <x v="0"/>
    <n v="4"/>
    <n v="18.299999999930151"/>
    <n v="5.8592105262934258"/>
    <n v="2408.135526306598"/>
    <n v="131.59210526315789"/>
    <x v="51"/>
  </r>
  <r>
    <x v="2"/>
    <x v="0"/>
    <n v="40"/>
    <n v="3410"/>
    <d v="2013-04-10T09:28:00"/>
    <d v="2013-04-15T10:40:00"/>
    <n v="320"/>
    <n v="456"/>
    <n v="411"/>
    <s v="Feedwater pump"/>
    <s v="3-1 BFP extremely high temperature on OB bearing"/>
    <s v="Brown"/>
    <x v="0"/>
    <s v="Coal"/>
    <x v="2"/>
    <x v="0"/>
    <n v="4"/>
    <n v="121.20000000006985"/>
    <n v="36.147368421073466"/>
    <n v="14856.568421061194"/>
    <n v="122.57894736842105"/>
    <x v="52"/>
  </r>
  <r>
    <x v="2"/>
    <x v="0"/>
    <n v="41"/>
    <n v="3410"/>
    <d v="2013-04-15T10:40:00"/>
    <d v="2013-04-15T13:30:00"/>
    <n v="310"/>
    <n v="456"/>
    <n v="411"/>
    <s v="Feedwater pump"/>
    <s v="3-1 BFP extremely high temperature on OB bearing"/>
    <s v="Brown"/>
    <x v="0"/>
    <s v="Coal"/>
    <x v="2"/>
    <x v="0"/>
    <n v="4"/>
    <n v="2.8333333333139308"/>
    <n v="0.90716374268384625"/>
    <n v="372.84429824306079"/>
    <n v="131.59210526315789"/>
    <x v="51"/>
  </r>
  <r>
    <x v="2"/>
    <x v="0"/>
    <n v="42"/>
    <n v="3410"/>
    <d v="2013-04-15T13:30:00"/>
    <d v="2013-04-18T20:50:00"/>
    <n v="320"/>
    <n v="456"/>
    <n v="411"/>
    <s v="Feedwater pump"/>
    <s v="3-1 BFP extremely high temperature on OB bearing"/>
    <s v="Brown"/>
    <x v="0"/>
    <s v="Coal"/>
    <x v="2"/>
    <x v="0"/>
    <n v="4"/>
    <n v="79.333333333313931"/>
    <n v="23.660818713444506"/>
    <n v="9724.5964912256914"/>
    <n v="122.57894736842105"/>
    <x v="52"/>
  </r>
  <r>
    <x v="2"/>
    <x v="0"/>
    <n v="43"/>
    <n v="3412"/>
    <d v="2013-04-19T21:45:00"/>
    <d v="2013-04-20T01:10:00"/>
    <n v="310"/>
    <n v="456"/>
    <n v="411"/>
    <s v="Feedwater pump drive - steam turbine"/>
    <s v="Investigate and repair oil leak on 3-1 BFPT OB turbine bearing 6438098"/>
    <s v="Brown"/>
    <x v="0"/>
    <s v="Coal"/>
    <x v="2"/>
    <x v="0"/>
    <n v="4"/>
    <n v="3.4166666666278616"/>
    <n v="1.0939327485255872"/>
    <n v="449.60635964401632"/>
    <n v="131.59210526315789"/>
    <x v="51"/>
  </r>
  <r>
    <x v="2"/>
    <x v="0"/>
    <n v="44"/>
    <n v="3412"/>
    <d v="2013-04-20T02:15:00"/>
    <d v="2013-04-20T22:14:00"/>
    <n v="320"/>
    <n v="456"/>
    <n v="411"/>
    <s v="Feedwater pump drive - steam turbine"/>
    <s v="Investigate and repair oil leak on 3-1 BFPT OB turbine bearing 6438098"/>
    <s v="Brown"/>
    <x v="0"/>
    <s v="Coal"/>
    <x v="2"/>
    <x v="0"/>
    <n v="4"/>
    <n v="19.983333333337214"/>
    <n v="5.9599415204689938"/>
    <n v="2449.5359649127563"/>
    <n v="122.57894736842105"/>
    <x v="52"/>
  </r>
  <r>
    <x v="2"/>
    <x v="0"/>
    <n v="45"/>
    <n v="3410"/>
    <d v="2013-04-23T10:20:00"/>
    <d v="2013-05-03T08:52:00"/>
    <n v="320"/>
    <n v="456"/>
    <n v="411"/>
    <s v="Feedwater pump"/>
    <s v="Investigate elevated injection water temperature on 3-2 BFP OB pump gland 6441283"/>
    <s v="Brown"/>
    <x v="0"/>
    <s v="Coal"/>
    <x v="2"/>
    <x v="0"/>
    <n v="4"/>
    <n v="238.53333333326736"/>
    <n v="71.141520467816576"/>
    <n v="29239.164912272612"/>
    <n v="122.57894736842105"/>
    <x v="52"/>
  </r>
  <r>
    <x v="2"/>
    <x v="4"/>
    <n v="46"/>
    <n v="360"/>
    <d v="2013-05-03T08:52:00"/>
    <d v="2013-05-05T11:19:00"/>
    <n v="0"/>
    <n v="456"/>
    <n v="411"/>
    <s v="Burners"/>
    <s v="Replace 3-3C and 3-4C burner nozzles 6444537"/>
    <s v="Brown"/>
    <x v="2"/>
    <s v="Coal"/>
    <x v="2"/>
    <x v="0"/>
    <n v="5"/>
    <n v="50.450000000128057"/>
    <n v="50.450000000128057"/>
    <n v="20734.950000052631"/>
    <n v="411"/>
    <x v="39"/>
  </r>
  <r>
    <x v="2"/>
    <x v="0"/>
    <n v="47"/>
    <n v="3410"/>
    <d v="2013-05-05T14:58:00"/>
    <d v="2013-05-13T10:30:00"/>
    <n v="320"/>
    <n v="456"/>
    <n v="411"/>
    <s v="Feedwater pump"/>
    <s v="Rebuild 3-2 BFP due to failed pump bearings 6441283"/>
    <s v="Brown"/>
    <x v="0"/>
    <s v="Coal"/>
    <x v="2"/>
    <x v="0"/>
    <n v="5"/>
    <n v="187.53333333326736"/>
    <n v="55.930994152027111"/>
    <n v="22987.638596483142"/>
    <n v="122.57894736842105"/>
    <x v="52"/>
  </r>
  <r>
    <x v="2"/>
    <x v="0"/>
    <n v="48"/>
    <n v="253"/>
    <d v="2013-05-19T12:40:00"/>
    <d v="2013-05-19T15:55:00"/>
    <n v="325"/>
    <n v="456"/>
    <n v="411"/>
    <s v="Pulverizer feeder motor"/>
    <s v="3-3 Feeder tripped, unknown reason 6448510"/>
    <s v="Brown"/>
    <x v="0"/>
    <s v="Coal"/>
    <x v="2"/>
    <x v="0"/>
    <n v="5"/>
    <n v="3.2499999999417923"/>
    <n v="0.93366228068503243"/>
    <n v="383.73519736154833"/>
    <n v="118.07236842105263"/>
    <x v="40"/>
  </r>
  <r>
    <x v="2"/>
    <x v="0"/>
    <n v="49"/>
    <n v="253"/>
    <d v="2013-05-19T16:05:00"/>
    <d v="2013-05-19T19:07:00"/>
    <n v="350"/>
    <n v="456"/>
    <n v="411"/>
    <s v="Pulverizer feeder motor"/>
    <s v="3-3 Feeder tripped, unknown reason  6448510"/>
    <s v="Brown"/>
    <x v="0"/>
    <s v="Coal"/>
    <x v="2"/>
    <x v="0"/>
    <n v="5"/>
    <n v="3.0333333332673647"/>
    <n v="0.70511695904899263"/>
    <n v="289.80307016913599"/>
    <n v="95.53947368421052"/>
    <x v="41"/>
  </r>
  <r>
    <x v="2"/>
    <x v="0"/>
    <n v="50"/>
    <n v="310"/>
    <d v="2013-05-20T12:46:00"/>
    <d v="2013-05-20T13:23:00"/>
    <n v="370"/>
    <n v="456"/>
    <n v="411"/>
    <s v="Pulverizer mills"/>
    <s v="Found 3-3 mill pyrite section door open  6451908"/>
    <s v="Brown"/>
    <x v="0"/>
    <s v="Coal"/>
    <x v="2"/>
    <x v="0"/>
    <n v="5"/>
    <n v="0.61666666658129543"/>
    <n v="0.11630116957454256"/>
    <n v="47.799780695136995"/>
    <n v="77.513157894736835"/>
    <x v="53"/>
  </r>
  <r>
    <x v="2"/>
    <x v="1"/>
    <n v="51"/>
    <n v="250"/>
    <d v="2013-05-20T23:00:00"/>
    <d v="2013-05-21T04:46:00"/>
    <n v="350"/>
    <n v="456"/>
    <n v="411"/>
    <s v="Pulverizer feeders"/>
    <s v="Replace 3-2 mill feeder tail roller 6448484"/>
    <s v="Brown"/>
    <x v="0"/>
    <s v="Coal"/>
    <x v="2"/>
    <x v="0"/>
    <n v="5"/>
    <n v="5.7666666666045785"/>
    <n v="1.340497076008959"/>
    <n v="550.9442982396821"/>
    <n v="95.53947368421052"/>
    <x v="41"/>
  </r>
  <r>
    <x v="2"/>
    <x v="0"/>
    <n v="52"/>
    <n v="310"/>
    <d v="2013-05-25T13:01:00"/>
    <d v="2013-05-25T18:40:00"/>
    <n v="350"/>
    <n v="456"/>
    <n v="411"/>
    <s v="Pulverizer mills"/>
    <s v="3-4 mill tripped, unknown reason. 6452825"/>
    <s v="Brown"/>
    <x v="0"/>
    <s v="Coal"/>
    <x v="2"/>
    <x v="0"/>
    <n v="5"/>
    <n v="5.6500000000814907"/>
    <n v="1.3133771930013991"/>
    <n v="539.79802632357507"/>
    <n v="95.53947368421052"/>
    <x v="41"/>
  </r>
  <r>
    <x v="2"/>
    <x v="0"/>
    <n v="53"/>
    <n v="3410"/>
    <d v="2013-05-30T18:35:00"/>
    <d v="2013-05-30T19:11:00"/>
    <n v="310"/>
    <n v="456"/>
    <n v="411"/>
    <s v="Feedwater pump"/>
    <s v="Oil leak on 3-2 BFP IB bearing 6458871"/>
    <s v="Brown"/>
    <x v="0"/>
    <s v="Coal"/>
    <x v="2"/>
    <x v="0"/>
    <n v="5"/>
    <n v="0.6000000000349246"/>
    <n v="0.19210526316907672"/>
    <n v="78.955263162490539"/>
    <n v="131.59210526315789"/>
    <x v="51"/>
  </r>
  <r>
    <x v="2"/>
    <x v="0"/>
    <n v="54"/>
    <n v="3410"/>
    <d v="2013-05-30T19:11:00"/>
    <d v="2013-05-31T03:18:00"/>
    <n v="320"/>
    <n v="456"/>
    <n v="411"/>
    <s v="Feedwater pump"/>
    <s v="Oil leak on 3-2 BFP IB bearing and replace 3-1D burner line elbow 6458871"/>
    <s v="Brown"/>
    <x v="0"/>
    <s v="Coal"/>
    <x v="2"/>
    <x v="0"/>
    <n v="5"/>
    <n v="8.1166666665812954"/>
    <n v="2.420760233892667"/>
    <n v="994.93245612988619"/>
    <n v="122.57894736842105"/>
    <x v="52"/>
  </r>
  <r>
    <x v="2"/>
    <x v="1"/>
    <n v="55"/>
    <n v="350"/>
    <d v="2013-05-31T03:18:00"/>
    <d v="2013-05-31T03:28:00"/>
    <n v="350"/>
    <n v="456"/>
    <n v="411"/>
    <s v="Pulverized fuel and air piping (from pulverizer to wind box)"/>
    <s v="Replace 3-1D burner line elbow 6452707"/>
    <s v="Brown"/>
    <x v="0"/>
    <s v="Coal"/>
    <x v="2"/>
    <x v="0"/>
    <n v="5"/>
    <n v="0.16666666668606922"/>
    <n v="3.8742690062989776E-2"/>
    <n v="15.923245615888797"/>
    <n v="95.53947368421052"/>
    <x v="41"/>
  </r>
  <r>
    <x v="2"/>
    <x v="0"/>
    <n v="56"/>
    <n v="310"/>
    <d v="2013-06-01T15:04:00"/>
    <d v="2013-06-01T15:32:00"/>
    <n v="360"/>
    <n v="456"/>
    <n v="411"/>
    <s v="Pulverizer mills"/>
    <s v="3-2 mill exhauster bearing vibration high"/>
    <s v="Brown"/>
    <x v="0"/>
    <s v="Coal"/>
    <x v="2"/>
    <x v="0"/>
    <n v="6"/>
    <n v="0.46666666661622003"/>
    <n v="9.8245614024467368E-2"/>
    <n v="40.378947364056089"/>
    <n v="86.526315789473685"/>
    <x v="47"/>
  </r>
  <r>
    <x v="2"/>
    <x v="3"/>
    <n v="57"/>
    <n v="750"/>
    <d v="2013-06-06T22:00:00"/>
    <d v="2013-06-07T03:50:00"/>
    <n v="0"/>
    <n v="456"/>
    <n v="411"/>
    <s v="Boiler recirculation piping including downcomers"/>
    <s v="Hot Water Recirculating System testing"/>
    <s v="Brown"/>
    <x v="1"/>
    <s v="Coal"/>
    <x v="2"/>
    <x v="0"/>
    <n v="6"/>
    <n v="5.8333333333139308"/>
    <n v="5.8333333333139308"/>
    <n v="2397.4999999920256"/>
    <n v="411"/>
    <x v="39"/>
  </r>
  <r>
    <x v="2"/>
    <x v="0"/>
    <n v="59"/>
    <n v="3440"/>
    <d v="2013-06-19T03:30:00"/>
    <d v="2013-06-19T14:49:00"/>
    <n v="400"/>
    <n v="456"/>
    <n v="411"/>
    <s v="High pressure heater tube leaks"/>
    <s v="3F-2 HP Heater tube leak "/>
    <s v="Brown"/>
    <x v="0"/>
    <s v="Coal"/>
    <x v="2"/>
    <x v="0"/>
    <n v="6"/>
    <n v="11.316666666534729"/>
    <n v="1.3897660818551423"/>
    <n v="571.19385964246351"/>
    <n v="50.473684210526315"/>
    <x v="33"/>
  </r>
  <r>
    <x v="2"/>
    <x v="0"/>
    <n v="60"/>
    <n v="3440"/>
    <d v="2013-06-19T14:49:00"/>
    <d v="2013-06-19T23:25:00"/>
    <n v="435"/>
    <n v="456"/>
    <n v="411"/>
    <s v="High pressure heater tube leaks"/>
    <s v="3F-2 HP Heater tube leak "/>
    <s v="Brown"/>
    <x v="0"/>
    <s v="Coal"/>
    <x v="2"/>
    <x v="0"/>
    <n v="6"/>
    <n v="8.6000000000931323"/>
    <n v="0.39605263158323634"/>
    <n v="162.77763158071014"/>
    <n v="18.92763157894737"/>
    <x v="54"/>
  </r>
  <r>
    <x v="2"/>
    <x v="1"/>
    <n v="61"/>
    <n v="3410"/>
    <d v="2013-06-19T23:25:00"/>
    <d v="2013-06-20T02:09:00"/>
    <n v="310"/>
    <n v="456"/>
    <n v="411"/>
    <s v="Feedwater pump"/>
    <s v="Inspect 3-1 BFP balance line orfice sizing 6468481"/>
    <s v="Brown"/>
    <x v="0"/>
    <s v="Coal"/>
    <x v="2"/>
    <x v="0"/>
    <n v="6"/>
    <n v="2.7333333333372138"/>
    <n v="0.87514619883165179"/>
    <n v="359.68508771980891"/>
    <n v="131.59210526315789"/>
    <x v="51"/>
  </r>
  <r>
    <x v="2"/>
    <x v="0"/>
    <n v="62"/>
    <n v="3440"/>
    <d v="2013-06-20T02:09:00"/>
    <d v="2013-06-20T09:59:00"/>
    <n v="435"/>
    <n v="456"/>
    <n v="411"/>
    <s v="High pressure heater tube leaks"/>
    <s v="3F-2 HP Heater tube leak "/>
    <s v="Brown"/>
    <x v="0"/>
    <s v="Coal"/>
    <x v="2"/>
    <x v="0"/>
    <n v="6"/>
    <n v="7.8333333333721384"/>
    <n v="0.36074561403687477"/>
    <n v="148.26644736915554"/>
    <n v="18.92763157894737"/>
    <x v="54"/>
  </r>
  <r>
    <x v="2"/>
    <x v="0"/>
    <n v="63"/>
    <n v="3414"/>
    <d v="2013-06-20T09:59:00"/>
    <d v="2013-06-20T11:35:00"/>
    <n v="320"/>
    <n v="456"/>
    <n v="411"/>
    <s v="Feedwater pump local controls"/>
    <s v="3-1 BFP LP &amp; HP stop valves would not open  6468667"/>
    <s v="Brown"/>
    <x v="0"/>
    <s v="Coal"/>
    <x v="2"/>
    <x v="0"/>
    <n v="6"/>
    <n v="1.5999999999767169"/>
    <n v="0.47719298244919628"/>
    <n v="196.12631578661967"/>
    <n v="122.57894736842105"/>
    <x v="52"/>
  </r>
  <r>
    <x v="2"/>
    <x v="0"/>
    <n v="64"/>
    <n v="3440"/>
    <d v="2013-06-20T11:35:00"/>
    <d v="2013-06-20T22:00:00"/>
    <n v="435"/>
    <n v="456"/>
    <n v="411"/>
    <s v="High pressure heater tube leaks"/>
    <s v="3F-2 HP Heater tube leak "/>
    <s v="Brown"/>
    <x v="0"/>
    <s v="Coal"/>
    <x v="2"/>
    <x v="0"/>
    <n v="6"/>
    <n v="10.416666666569654"/>
    <n v="0.47971491227623408"/>
    <n v="197.1628289455322"/>
    <n v="18.92763157894737"/>
    <x v="54"/>
  </r>
  <r>
    <x v="2"/>
    <x v="1"/>
    <n v="65"/>
    <n v="3410"/>
    <d v="2013-06-20T22:00:00"/>
    <d v="2013-06-21T04:20:00"/>
    <n v="310"/>
    <n v="456"/>
    <n v="411"/>
    <s v="Feedwater pump"/>
    <s v="Modify 3-2 BFP balance line orfice 6468481"/>
    <s v="Brown"/>
    <x v="0"/>
    <s v="Coal"/>
    <x v="2"/>
    <x v="0"/>
    <n v="6"/>
    <n v="6.3333333333721384"/>
    <n v="2.0277777777902024"/>
    <n v="833.41666667177321"/>
    <n v="131.59210526315789"/>
    <x v="51"/>
  </r>
  <r>
    <x v="2"/>
    <x v="0"/>
    <n v="66"/>
    <n v="3440"/>
    <d v="2013-06-21T04:20:00"/>
    <d v="2013-06-21T05:27:00"/>
    <n v="435"/>
    <n v="456"/>
    <n v="411"/>
    <s v="High pressure heater tube leaks"/>
    <s v="3F-2 HP Heater tube leak "/>
    <s v="Brown"/>
    <x v="0"/>
    <s v="Coal"/>
    <x v="2"/>
    <x v="0"/>
    <n v="6"/>
    <n v="1.1166666666395031"/>
    <n v="5.1425438595240271E-2"/>
    <n v="21.135855262643751"/>
    <n v="18.92763157894737"/>
    <x v="54"/>
  </r>
  <r>
    <x v="2"/>
    <x v="0"/>
    <n v="67"/>
    <n v="3410"/>
    <d v="2013-06-21T05:27:00"/>
    <d v="2013-06-21T09:49:00"/>
    <n v="310"/>
    <n v="456"/>
    <n v="411"/>
    <s v="Feedwater pump"/>
    <s v="Inspect 3-2 BFP OB pump bearing and oil piping  6468481"/>
    <s v="Brown"/>
    <x v="0"/>
    <s v="Coal"/>
    <x v="2"/>
    <x v="0"/>
    <n v="6"/>
    <n v="4.3666666667559184"/>
    <n v="1.3980994152332546"/>
    <n v="574.61885966086766"/>
    <n v="131.59210526315789"/>
    <x v="51"/>
  </r>
  <r>
    <x v="2"/>
    <x v="0"/>
    <n v="68"/>
    <n v="3440"/>
    <d v="2013-06-21T09:49:00"/>
    <d v="2013-06-23T12:30:00"/>
    <n v="435"/>
    <n v="456"/>
    <n v="411"/>
    <s v="High pressure heater tube leaks"/>
    <s v="3F-2 HP heater tube leak  "/>
    <s v="Brown"/>
    <x v="0"/>
    <s v="Coal"/>
    <x v="2"/>
    <x v="0"/>
    <n v="6"/>
    <n v="50.683333333348855"/>
    <n v="2.3341008771936971"/>
    <n v="959.31546052660951"/>
    <n v="18.92763157894737"/>
    <x v="54"/>
  </r>
  <r>
    <x v="2"/>
    <x v="0"/>
    <n v="69"/>
    <n v="1750"/>
    <d v="2013-06-23T12:30:00"/>
    <d v="2013-06-23T13:00:00"/>
    <n v="60"/>
    <n v="456"/>
    <n v="411"/>
    <s v="Burner management system"/>
    <s v="Boiler trip from loss of 3-2 mill feeder  "/>
    <s v="Brown"/>
    <x v="0"/>
    <s v="Coal"/>
    <x v="2"/>
    <x v="0"/>
    <n v="6"/>
    <n v="0.49999999988358468"/>
    <n v="0.43421052621469197"/>
    <n v="178.46052627423839"/>
    <n v="356.92105263157896"/>
    <x v="55"/>
  </r>
  <r>
    <x v="2"/>
    <x v="0"/>
    <n v="70"/>
    <n v="1750"/>
    <d v="2013-06-23T13:00:00"/>
    <d v="2013-06-23T13:40:00"/>
    <n v="145"/>
    <n v="456"/>
    <n v="411"/>
    <s v="Burner management system"/>
    <s v="Boiler trip from loss of 3-2 mill feeder  "/>
    <s v="Brown"/>
    <x v="0"/>
    <s v="Coal"/>
    <x v="2"/>
    <x v="0"/>
    <n v="6"/>
    <n v="0.66666666674427688"/>
    <n v="0.45467836262603095"/>
    <n v="186.87280703929872"/>
    <n v="280.30921052631578"/>
    <x v="56"/>
  </r>
  <r>
    <x v="2"/>
    <x v="0"/>
    <n v="71"/>
    <n v="3440"/>
    <d v="2013-06-23T13:40:00"/>
    <d v="2013-06-25T12:25:00"/>
    <n v="435"/>
    <n v="456"/>
    <n v="411"/>
    <s v="High pressure heater tube leaks"/>
    <s v="3F-2 HP heater tube leak "/>
    <s v="Brown"/>
    <x v="0"/>
    <s v="Coal"/>
    <x v="2"/>
    <x v="0"/>
    <n v="6"/>
    <n v="46.749999999941792"/>
    <n v="2.1529605263131089"/>
    <n v="884.86677631468774"/>
    <n v="18.92763157894737"/>
    <x v="54"/>
  </r>
  <r>
    <x v="2"/>
    <x v="0"/>
    <n v="72"/>
    <n v="3440"/>
    <d v="2013-06-25T12:25:00"/>
    <d v="2013-06-28T21:24:00"/>
    <n v="430"/>
    <n v="456"/>
    <n v="411"/>
    <s v="High pressure heater tube leaks"/>
    <s v="3F-2 HP heater tube leak"/>
    <s v="Brown"/>
    <x v="0"/>
    <s v="Coal"/>
    <x v="2"/>
    <x v="0"/>
    <n v="6"/>
    <n v="80.983333333453629"/>
    <n v="4.617470760240777"/>
    <n v="1897.7804824589593"/>
    <n v="23.434210526315791"/>
    <x v="0"/>
  </r>
  <r>
    <x v="2"/>
    <x v="4"/>
    <n v="73"/>
    <n v="3440"/>
    <d v="2013-06-28T21:24:00"/>
    <d v="2013-07-02T10:28:00"/>
    <n v="0"/>
    <n v="456"/>
    <n v="411"/>
    <s v="High pressure heater tube leaks"/>
    <s v="Repair 3F-2 HP heater tube leak and replace 3-3 BCWP "/>
    <s v="Brown"/>
    <x v="2"/>
    <s v="Coal"/>
    <x v="2"/>
    <x v="0"/>
    <n v="6"/>
    <n v="85.066666666651145"/>
    <n v="85.066666666651145"/>
    <n v="34962.39999999362"/>
    <n v="411"/>
    <x v="39"/>
  </r>
  <r>
    <x v="2"/>
    <x v="0"/>
    <n v="75"/>
    <n v="1470"/>
    <d v="2013-07-08T09:40:00"/>
    <d v="2013-07-08T10:33:00"/>
    <n v="55"/>
    <n v="456"/>
    <n v="411"/>
    <s v="Induced draft fan motors and drives"/>
    <s v="MFT due furn overpress from 3-2 ID Fan trip. 6474832 6474835"/>
    <s v="Brown"/>
    <x v="0"/>
    <s v="Coal"/>
    <x v="2"/>
    <x v="0"/>
    <n v="7"/>
    <n v="0.88333333324408159"/>
    <n v="0.7767909355940279"/>
    <n v="319.26107452914545"/>
    <n v="361.42763157894734"/>
    <x v="57"/>
  </r>
  <r>
    <x v="2"/>
    <x v="5"/>
    <n v="76"/>
    <n v="1470"/>
    <d v="2013-07-08T10:33:00"/>
    <d v="2013-07-08T12:25:00"/>
    <n v="0"/>
    <n v="456"/>
    <n v="411"/>
    <s v="Induced draft fan motors and drives"/>
    <s v="3-2 ID Fan motor trip caused a boiler MFT. Further investigation found 3-1 ID Fan inle"/>
    <s v="Brown"/>
    <x v="3"/>
    <s v="Coal"/>
    <x v="2"/>
    <x v="0"/>
    <n v="7"/>
    <n v="1.8666666666395031"/>
    <n v="1.8666666666395031"/>
    <n v="767.19999998883577"/>
    <n v="411"/>
    <x v="39"/>
  </r>
  <r>
    <x v="2"/>
    <x v="0"/>
    <n v="77"/>
    <n v="300"/>
    <d v="2013-07-10T16:17:00"/>
    <d v="2013-07-11T03:37:00"/>
    <n v="350"/>
    <n v="456"/>
    <n v="411"/>
    <s v="Pulverizer motors and drives"/>
    <s v="3-1 mill motor failed due to ground  6475403"/>
    <s v="Brown"/>
    <x v="0"/>
    <s v="Coal"/>
    <x v="2"/>
    <x v="0"/>
    <n v="7"/>
    <n v="11.333333333255723"/>
    <n v="2.6345029239585673"/>
    <n v="1082.7807017469711"/>
    <n v="95.53947368421052"/>
    <x v="41"/>
  </r>
  <r>
    <x v="2"/>
    <x v="0"/>
    <n v="78"/>
    <n v="3439"/>
    <d v="2013-07-11T03:37:00"/>
    <d v="2013-07-11T16:57:00"/>
    <n v="435"/>
    <n v="456"/>
    <n v="411"/>
    <s v="HP heater head leaks"/>
    <s v="3F-2 HP Heater head leaking"/>
    <s v="Brown"/>
    <x v="0"/>
    <s v="Coal"/>
    <x v="2"/>
    <x v="0"/>
    <n v="7"/>
    <n v="13.333333333488554"/>
    <n v="0.61403508772644655"/>
    <n v="252.36842105556954"/>
    <n v="18.92763157894737"/>
    <x v="54"/>
  </r>
  <r>
    <x v="2"/>
    <x v="0"/>
    <n v="79"/>
    <n v="3439"/>
    <d v="2013-07-12T06:10:00"/>
    <d v="2013-07-13T00:00:00"/>
    <n v="435"/>
    <n v="456"/>
    <n v="411"/>
    <s v="HP heater head leaks"/>
    <s v="3F-2 HP Heater head leaking"/>
    <s v="Brown"/>
    <x v="0"/>
    <s v="Coal"/>
    <x v="2"/>
    <x v="0"/>
    <n v="7"/>
    <n v="17.833333333313931"/>
    <n v="0.82127192982366781"/>
    <n v="337.54276315752747"/>
    <n v="18.92763157894737"/>
    <x v="54"/>
  </r>
  <r>
    <x v="2"/>
    <x v="1"/>
    <n v="80"/>
    <n v="350"/>
    <d v="2013-07-13T00:00:00"/>
    <d v="2013-07-13T04:25:00"/>
    <n v="370"/>
    <n v="456"/>
    <n v="411"/>
    <s v="Pulverized fuel and air piping (from pulverizer to wind box)"/>
    <s v="Install blank 3-3C burner line 6475717"/>
    <s v="Brown"/>
    <x v="0"/>
    <s v="Coal"/>
    <x v="2"/>
    <x v="0"/>
    <n v="7"/>
    <n v="4.4166666667442769"/>
    <n v="0.83296783627194693"/>
    <n v="342.34978070777021"/>
    <n v="77.513157894736835"/>
    <x v="53"/>
  </r>
  <r>
    <x v="2"/>
    <x v="0"/>
    <n v="81"/>
    <n v="3439"/>
    <d v="2013-07-13T04:25:00"/>
    <d v="2013-07-15T07:45:00"/>
    <n v="435"/>
    <n v="456"/>
    <n v="411"/>
    <s v="HP heater head leaks"/>
    <s v="3F-2 HP Heater head leaking "/>
    <s v="Brown"/>
    <x v="0"/>
    <s v="Coal"/>
    <x v="2"/>
    <x v="0"/>
    <n v="7"/>
    <n v="51.333333333197515"/>
    <n v="2.3640350877130434"/>
    <n v="971.61842105006087"/>
    <n v="18.92763157894737"/>
    <x v="54"/>
  </r>
  <r>
    <x v="2"/>
    <x v="0"/>
    <n v="82"/>
    <n v="310"/>
    <d v="2013-07-15T07:45:00"/>
    <d v="2013-07-15T08:32:00"/>
    <n v="360"/>
    <n v="456"/>
    <n v="411"/>
    <s v="Pulverizer mills"/>
    <s v="3-3 mill west roll vibration  6476725"/>
    <s v="Brown"/>
    <x v="0"/>
    <s v="Coal"/>
    <x v="2"/>
    <x v="0"/>
    <n v="7"/>
    <n v="0.78333333344198763"/>
    <n v="0.16491228072462896"/>
    <n v="67.778947377822504"/>
    <n v="86.526315789473685"/>
    <x v="47"/>
  </r>
  <r>
    <x v="2"/>
    <x v="0"/>
    <n v="83"/>
    <n v="3439"/>
    <d v="2013-07-15T08:32:00"/>
    <d v="2013-07-16T00:00:00"/>
    <n v="435"/>
    <n v="456"/>
    <n v="411"/>
    <s v="HP heater head leaks"/>
    <s v="3F-2 HP Heater head leaking"/>
    <s v="Brown"/>
    <x v="0"/>
    <s v="Coal"/>
    <x v="2"/>
    <x v="0"/>
    <n v="7"/>
    <n v="15.46666666661622"/>
    <n v="0.71228070175206282"/>
    <n v="292.74736842009781"/>
    <n v="18.92763157894737"/>
    <x v="54"/>
  </r>
  <r>
    <x v="2"/>
    <x v="1"/>
    <n v="84"/>
    <n v="310"/>
    <d v="2013-07-16T00:00:00"/>
    <d v="2013-07-16T05:18:00"/>
    <n v="370"/>
    <n v="456"/>
    <n v="411"/>
    <s v="Pulverizer mills"/>
    <s v="Check 3-3 mill rolls for vibration 6476725"/>
    <s v="Brown"/>
    <x v="0"/>
    <s v="Coal"/>
    <x v="2"/>
    <x v="0"/>
    <n v="7"/>
    <n v="5.2999999999883585"/>
    <n v="0.99956140350657641"/>
    <n v="410.81973684120288"/>
    <n v="77.513157894736835"/>
    <x v="53"/>
  </r>
  <r>
    <x v="2"/>
    <x v="0"/>
    <n v="85"/>
    <n v="3439"/>
    <d v="2013-07-16T05:18:00"/>
    <d v="2013-07-16T22:45:00"/>
    <n v="435"/>
    <n v="456"/>
    <n v="411"/>
    <s v="HP heater head leaks"/>
    <s v="3F-2 HP heater head leaking"/>
    <s v="Brown"/>
    <x v="0"/>
    <s v="Coal"/>
    <x v="2"/>
    <x v="0"/>
    <n v="7"/>
    <n v="17.449999999953434"/>
    <n v="0.80361842105048709"/>
    <n v="330.28717105175019"/>
    <n v="18.92763157894737"/>
    <x v="54"/>
  </r>
  <r>
    <x v="2"/>
    <x v="0"/>
    <n v="86"/>
    <n v="3415"/>
    <d v="2013-07-16T22:45:00"/>
    <d v="2013-07-16T23:35:00"/>
    <n v="275"/>
    <n v="456"/>
    <n v="411"/>
    <s v="Feedwater pump/drive lube oil system"/>
    <s v="Swap 3-2 BFP TO cooler, suspected leak"/>
    <s v="Brown"/>
    <x v="0"/>
    <s v="Coal"/>
    <x v="2"/>
    <x v="0"/>
    <n v="7"/>
    <n v="0.8333333334303461"/>
    <n v="0.33077485383967686"/>
    <n v="135.9484649281072"/>
    <n v="163.13815789473685"/>
    <x v="58"/>
  </r>
  <r>
    <x v="2"/>
    <x v="0"/>
    <n v="87"/>
    <n v="3439"/>
    <d v="2013-07-16T23:35:00"/>
    <d v="2013-07-17T07:37:00"/>
    <n v="435"/>
    <n v="456"/>
    <n v="411"/>
    <s v="HP heater head leaks"/>
    <s v="3F-2 HP heater head leaking 6475012"/>
    <s v="Brown"/>
    <x v="0"/>
    <s v="Coal"/>
    <x v="2"/>
    <x v="0"/>
    <n v="7"/>
    <n v="8.0333333333255723"/>
    <n v="0.36995614035051977"/>
    <n v="152.05197368406363"/>
    <n v="18.92763157894737"/>
    <x v="54"/>
  </r>
  <r>
    <x v="2"/>
    <x v="0"/>
    <n v="88"/>
    <n v="1470"/>
    <d v="2013-07-17T15:29:00"/>
    <d v="2013-07-17T20:02:00"/>
    <n v="435"/>
    <n v="456"/>
    <n v="411"/>
    <s v="Induced draft fan motors and drives"/>
    <s v="3-2 ID Fan Hi amps and in alarm"/>
    <s v="Brown"/>
    <x v="0"/>
    <s v="Coal"/>
    <x v="2"/>
    <x v="0"/>
    <n v="7"/>
    <n v="4.5499999999883585"/>
    <n v="0.2095394736836744"/>
    <n v="86.120723683990178"/>
    <n v="18.92763157894737"/>
    <x v="54"/>
  </r>
  <r>
    <x v="2"/>
    <x v="5"/>
    <n v="89"/>
    <n v="1060"/>
    <d v="2013-07-17T20:02:00"/>
    <d v="2013-07-21T22:59:00"/>
    <n v="0"/>
    <n v="456"/>
    <n v="411"/>
    <s v="First reheater A"/>
    <s v="Radiant RH tube leak 6477271"/>
    <s v="Brown"/>
    <x v="3"/>
    <s v="Coal"/>
    <x v="2"/>
    <x v="0"/>
    <n v="7"/>
    <n v="98.950000000011642"/>
    <n v="98.950000000011642"/>
    <n v="40668.450000004785"/>
    <n v="411"/>
    <x v="39"/>
  </r>
  <r>
    <x v="2"/>
    <x v="0"/>
    <n v="90"/>
    <n v="300"/>
    <d v="2013-07-23T07:52:00"/>
    <d v="2013-07-23T08:55:00"/>
    <n v="350"/>
    <n v="456"/>
    <n v="411"/>
    <s v="Pulverizer motors and drives"/>
    <s v="3-2 mill motor high IB bearing temperature 6478807"/>
    <s v="Brown"/>
    <x v="0"/>
    <s v="Coal"/>
    <x v="2"/>
    <x v="0"/>
    <n v="7"/>
    <n v="1.0500000001047738"/>
    <n v="0.24407894739277636"/>
    <n v="100.31644737843108"/>
    <n v="95.53947368421052"/>
    <x v="41"/>
  </r>
  <r>
    <x v="2"/>
    <x v="3"/>
    <n v="91"/>
    <n v="4842"/>
    <d v="2013-08-01T12:05:00"/>
    <d v="2013-08-01T13:19:00"/>
    <n v="0"/>
    <n v="456"/>
    <n v="411"/>
    <s v="Reactive and capability testing"/>
    <s v="Annual generator reactive testing"/>
    <s v="Brown"/>
    <x v="1"/>
    <s v="Coal"/>
    <x v="2"/>
    <x v="0"/>
    <n v="8"/>
    <n v="1.2333333333372138"/>
    <n v="1.2333333333372138"/>
    <n v="506.90000000159489"/>
    <n v="411"/>
    <x v="39"/>
  </r>
  <r>
    <x v="2"/>
    <x v="5"/>
    <n v="92"/>
    <n v="1060"/>
    <d v="2013-08-10T00:19:00"/>
    <d v="2013-08-15T06:00:00"/>
    <n v="0"/>
    <n v="456"/>
    <n v="411"/>
    <s v="First reheater A"/>
    <s v="Radiant RH Tube leak W.O. #6484253 "/>
    <s v="Brown"/>
    <x v="3"/>
    <s v="Coal"/>
    <x v="2"/>
    <x v="0"/>
    <n v="8"/>
    <n v="125.68333333334886"/>
    <n v="125.68333333334886"/>
    <n v="51655.85000000638"/>
    <n v="411"/>
    <x v="39"/>
  </r>
  <r>
    <x v="2"/>
    <x v="0"/>
    <n v="94"/>
    <n v="253"/>
    <d v="2013-08-19T09:45:00"/>
    <d v="2013-08-19T15:45:00"/>
    <n v="340"/>
    <n v="456"/>
    <n v="411"/>
    <s v="Pulverizer feeder motor"/>
    <s v="3-2 Mill feeder repeated tripping 6486882"/>
    <s v="Brown"/>
    <x v="0"/>
    <s v="Coal"/>
    <x v="2"/>
    <x v="0"/>
    <n v="8"/>
    <n v="6"/>
    <n v="1.5263157894736843"/>
    <n v="627.31578947368428"/>
    <n v="104.55263157894737"/>
    <x v="43"/>
  </r>
  <r>
    <x v="2"/>
    <x v="0"/>
    <n v="95"/>
    <n v="3415"/>
    <d v="2013-08-20T11:51:00"/>
    <d v="2013-08-20T20:06:00"/>
    <n v="300"/>
    <n v="456"/>
    <n v="411"/>
    <s v="Feedwater pump/drive lube oil system"/>
    <s v="3-2 BFP OB bearing oil leak 6487203"/>
    <s v="Brown"/>
    <x v="0"/>
    <s v="Coal"/>
    <x v="2"/>
    <x v="0"/>
    <n v="8"/>
    <n v="8.25"/>
    <n v="2.8223684210526314"/>
    <n v="1159.9934210526314"/>
    <n v="140.60526315789474"/>
    <x v="59"/>
  </r>
  <r>
    <x v="2"/>
    <x v="1"/>
    <n v="96"/>
    <n v="344"/>
    <d v="2013-08-20T23:00:00"/>
    <d v="2013-08-21T01:24:00"/>
    <n v="340"/>
    <n v="456"/>
    <n v="411"/>
    <s v="Pulverizer inspection"/>
    <s v="3-1 Mill riffle inspection"/>
    <s v="Brown"/>
    <x v="0"/>
    <s v="Coal"/>
    <x v="2"/>
    <x v="0"/>
    <n v="8"/>
    <n v="2.3999999999650754"/>
    <n v="0.61052631578058936"/>
    <n v="250.92631578582223"/>
    <n v="104.55263157894737"/>
    <x v="43"/>
  </r>
  <r>
    <x v="2"/>
    <x v="1"/>
    <n v="97"/>
    <n v="344"/>
    <d v="2013-08-21T23:07:00"/>
    <d v="2013-08-22T00:54:00"/>
    <n v="360"/>
    <n v="456"/>
    <n v="411"/>
    <s v="Pulverizer inspection"/>
    <s v="3-1 mill riffle inspection"/>
    <s v="Brown"/>
    <x v="0"/>
    <s v="Coal"/>
    <x v="2"/>
    <x v="0"/>
    <n v="8"/>
    <n v="1.78333333338378"/>
    <n v="0.37543859650184841"/>
    <n v="154.30526316225971"/>
    <n v="86.526315789473685"/>
    <x v="47"/>
  </r>
  <r>
    <x v="2"/>
    <x v="1"/>
    <n v="98"/>
    <n v="344"/>
    <d v="2013-08-22T23:30:00"/>
    <d v="2013-08-23T00:26:00"/>
    <n v="360"/>
    <n v="456"/>
    <n v="411"/>
    <s v="Pulverizer inspection"/>
    <s v="3-1 MIl riffle inspection"/>
    <s v="Brown"/>
    <x v="0"/>
    <s v="Coal"/>
    <x v="2"/>
    <x v="0"/>
    <n v="8"/>
    <n v="0.93333333340706304"/>
    <n v="0.19649122808569749"/>
    <n v="80.757894743221669"/>
    <n v="86.526315789473685"/>
    <x v="47"/>
  </r>
  <r>
    <x v="2"/>
    <x v="1"/>
    <n v="99"/>
    <n v="344"/>
    <d v="2013-08-25T22:00:00"/>
    <d v="2013-08-26T00:43:00"/>
    <n v="360"/>
    <n v="456"/>
    <n v="411"/>
    <s v="Pulverizer inspection"/>
    <s v="3-1 MIl riffle inspection"/>
    <s v="Brown"/>
    <x v="0"/>
    <s v="Coal"/>
    <x v="2"/>
    <x v="0"/>
    <n v="8"/>
    <n v="2.716666666790843"/>
    <n v="0.57192982458754593"/>
    <n v="235.06315790548138"/>
    <n v="86.526315789473685"/>
    <x v="47"/>
  </r>
  <r>
    <x v="2"/>
    <x v="1"/>
    <n v="100"/>
    <n v="310"/>
    <d v="2013-08-26T22:00:00"/>
    <d v="2013-08-26T23:50:00"/>
    <n v="360"/>
    <n v="456"/>
    <n v="411"/>
    <s v="Pulverizer mills"/>
    <s v="3-1 Mill riffle inspection 6485947"/>
    <s v="Brown"/>
    <x v="0"/>
    <s v="Coal"/>
    <x v="2"/>
    <x v="0"/>
    <n v="8"/>
    <n v="1.8333333333721384"/>
    <n v="0.38596491228887125"/>
    <n v="158.63157895072609"/>
    <n v="86.526315789473685"/>
    <x v="47"/>
  </r>
  <r>
    <x v="2"/>
    <x v="0"/>
    <n v="101"/>
    <n v="740"/>
    <d v="2013-08-27T17:43:00"/>
    <d v="2013-08-28T00:00:00"/>
    <n v="430"/>
    <n v="456"/>
    <n v="411"/>
    <s v="Boiler recirculation pumps"/>
    <s v="Load limitation with 3-1 BCWP outage"/>
    <s v="Brown"/>
    <x v="0"/>
    <s v="Coal"/>
    <x v="2"/>
    <x v="0"/>
    <n v="8"/>
    <n v="6.28333333338378"/>
    <n v="0.35826023392100498"/>
    <n v="147.24495614153304"/>
    <n v="23.434210526315791"/>
    <x v="0"/>
  </r>
  <r>
    <x v="2"/>
    <x v="0"/>
    <n v="102"/>
    <n v="740"/>
    <d v="2013-08-28T20:03:00"/>
    <d v="2013-08-28T22:00:00"/>
    <n v="430"/>
    <n v="456"/>
    <n v="411"/>
    <s v="Boiler recirculation pumps"/>
    <s v="Load limitation with 3-1 BCWP outage"/>
    <s v="Brown"/>
    <x v="0"/>
    <s v="Coal"/>
    <x v="2"/>
    <x v="0"/>
    <n v="8"/>
    <n v="1.9499999998952262"/>
    <n v="0.11118421052034184"/>
    <n v="45.696710523860496"/>
    <n v="23.434210526315791"/>
    <x v="0"/>
  </r>
  <r>
    <x v="2"/>
    <x v="1"/>
    <n v="103"/>
    <n v="310"/>
    <d v="2013-08-28T22:00:00"/>
    <d v="2013-08-29T03:50:00"/>
    <n v="360"/>
    <n v="456"/>
    <n v="411"/>
    <s v="Pulverizer mills"/>
    <s v="3-2 Mill riffle inspection 6485947"/>
    <s v="Brown"/>
    <x v="0"/>
    <s v="Coal"/>
    <x v="2"/>
    <x v="0"/>
    <n v="8"/>
    <n v="5.8333333333139308"/>
    <n v="1.2280701754345118"/>
    <n v="504.73684210358437"/>
    <n v="86.526315789473685"/>
    <x v="47"/>
  </r>
  <r>
    <x v="2"/>
    <x v="0"/>
    <n v="104"/>
    <n v="1470"/>
    <d v="2013-08-29T13:53:00"/>
    <d v="2013-08-30T22:20:00"/>
    <n v="180"/>
    <n v="456"/>
    <n v="411"/>
    <s v="Induced draft fan motors and drives"/>
    <s v="3-2 ID Fan trip. Expansion joint failure"/>
    <s v="Brown"/>
    <x v="0"/>
    <s v="Coal"/>
    <x v="2"/>
    <x v="0"/>
    <n v="8"/>
    <n v="32.449999999953434"/>
    <n v="19.640789473656024"/>
    <n v="8072.3644736726264"/>
    <n v="248.76315789473685"/>
    <x v="44"/>
  </r>
  <r>
    <x v="2"/>
    <x v="10"/>
    <n v="105"/>
    <n v="1512"/>
    <d v="2013-08-30T22:20:00"/>
    <d v="2013-09-01T22:23:00"/>
    <n v="0"/>
    <n v="456"/>
    <n v="411"/>
    <s v="Flue gas expansion joints"/>
    <s v="Replace 3-2 ID Fan Expansion joint &amp; 3-1 BCWP "/>
    <s v="Brown"/>
    <x v="3"/>
    <s v="Coal"/>
    <x v="2"/>
    <x v="0"/>
    <n v="8"/>
    <n v="48.049999999988358"/>
    <n v="48.049999999988358"/>
    <n v="19748.549999995215"/>
    <n v="411"/>
    <x v="39"/>
  </r>
  <r>
    <x v="2"/>
    <x v="1"/>
    <n v="106"/>
    <n v="310"/>
    <d v="2013-09-02T22:05:00"/>
    <d v="2013-09-02T22:50:00"/>
    <n v="350"/>
    <n v="456"/>
    <n v="411"/>
    <s v="Pulverizer mills"/>
    <s v="3-2 mill riffle inspection"/>
    <s v="Brown"/>
    <x v="0"/>
    <s v="Coal"/>
    <x v="2"/>
    <x v="0"/>
    <n v="9"/>
    <n v="0.75"/>
    <n v="0.17434210526315788"/>
    <n v="71.65460526315789"/>
    <n v="95.53947368421052"/>
    <x v="41"/>
  </r>
  <r>
    <x v="2"/>
    <x v="0"/>
    <n v="107"/>
    <n v="300"/>
    <d v="2013-09-02T22:50:00"/>
    <d v="2013-09-02T23:55:00"/>
    <n v="250"/>
    <n v="456"/>
    <n v="411"/>
    <s v="Pulverizer motors and drives"/>
    <s v="3-5 mill failed to start 6491823"/>
    <s v="Brown"/>
    <x v="0"/>
    <s v="Coal"/>
    <x v="2"/>
    <x v="0"/>
    <n v="9"/>
    <n v="1.0833333333721384"/>
    <n v="0.48940058481285204"/>
    <n v="201.14364035808219"/>
    <n v="185.67105263157896"/>
    <x v="60"/>
  </r>
  <r>
    <x v="2"/>
    <x v="1"/>
    <n v="108"/>
    <n v="310"/>
    <d v="2013-09-02T23:55:00"/>
    <d v="2013-09-03T01:00:00"/>
    <n v="350"/>
    <n v="456"/>
    <n v="411"/>
    <s v="Pulverizer mills"/>
    <s v="3-2 mill riffle inspection 6485947"/>
    <s v="Brown"/>
    <x v="0"/>
    <s v="Coal"/>
    <x v="2"/>
    <x v="0"/>
    <n v="9"/>
    <n v="1.0833333331975155"/>
    <n v="0.25182748534854527"/>
    <n v="103.50109647825211"/>
    <n v="95.53947368421052"/>
    <x v="41"/>
  </r>
  <r>
    <x v="2"/>
    <x v="1"/>
    <n v="109"/>
    <n v="310"/>
    <d v="2013-09-03T22:00:00"/>
    <d v="2013-09-04T01:41:00"/>
    <n v="350"/>
    <n v="456"/>
    <n v="411"/>
    <s v="Pulverizer mills"/>
    <s v="3-2 mill riffle inspection 6485947"/>
    <s v="Brown"/>
    <x v="0"/>
    <s v="Coal"/>
    <x v="2"/>
    <x v="0"/>
    <n v="9"/>
    <n v="3.6833333334652707"/>
    <n v="0.85621345032306728"/>
    <n v="351.90372808278067"/>
    <n v="95.53947368421052"/>
    <x v="41"/>
  </r>
  <r>
    <x v="2"/>
    <x v="0"/>
    <n v="110"/>
    <n v="3408"/>
    <d v="2013-09-04T15:27:00"/>
    <d v="2013-09-04T15:34:00"/>
    <n v="310"/>
    <n v="456"/>
    <n v="411"/>
    <s v="Feedwater pump drive - local controls"/>
    <s v="3-2 BFP failed to start "/>
    <s v="Brown"/>
    <x v="0"/>
    <s v="Coal"/>
    <x v="2"/>
    <x v="0"/>
    <n v="9"/>
    <n v="0.11666666652308777"/>
    <n v="3.735380112362021E-2"/>
    <n v="15.352412261807906"/>
    <n v="131.59210526315789"/>
    <x v="51"/>
  </r>
  <r>
    <x v="2"/>
    <x v="1"/>
    <n v="111"/>
    <n v="310"/>
    <d v="2013-09-04T22:00:00"/>
    <d v="2013-09-05T00:59:00"/>
    <n v="350"/>
    <n v="456"/>
    <n v="411"/>
    <s v="Pulverizer mills"/>
    <s v="3-2 mill riffle inspection 6485947"/>
    <s v="Brown"/>
    <x v="0"/>
    <s v="Coal"/>
    <x v="2"/>
    <x v="0"/>
    <n v="9"/>
    <n v="2.9833333334536292"/>
    <n v="0.69349415207474718"/>
    <n v="285.02609650272109"/>
    <n v="95.53947368421052"/>
    <x v="41"/>
  </r>
  <r>
    <x v="2"/>
    <x v="3"/>
    <n v="112"/>
    <n v="8700"/>
    <d v="2013-09-05T10:15:00"/>
    <d v="2013-09-05T19:15:00"/>
    <n v="0"/>
    <n v="456"/>
    <n v="411"/>
    <s v="CEMS Certification and Recertification"/>
    <s v="Full load PM testing "/>
    <s v="Brown"/>
    <x v="1"/>
    <s v="Coal"/>
    <x v="2"/>
    <x v="0"/>
    <n v="9"/>
    <n v="9"/>
    <n v="9"/>
    <n v="3699"/>
    <n v="411"/>
    <x v="39"/>
  </r>
  <r>
    <x v="2"/>
    <x v="1"/>
    <n v="113"/>
    <n v="310"/>
    <d v="2013-09-05T22:00:00"/>
    <d v="2013-09-06T00:03:00"/>
    <n v="350"/>
    <n v="456"/>
    <n v="411"/>
    <s v="Pulverizer mills"/>
    <s v="3-2 mill riffle inspection 6485947"/>
    <s v="Brown"/>
    <x v="0"/>
    <s v="Coal"/>
    <x v="2"/>
    <x v="0"/>
    <n v="9"/>
    <n v="2.0500000000465661"/>
    <n v="0.47653508773012282"/>
    <n v="195.85592105708048"/>
    <n v="95.53947368421052"/>
    <x v="41"/>
  </r>
  <r>
    <x v="2"/>
    <x v="1"/>
    <n v="114"/>
    <n v="310"/>
    <d v="2013-09-06T00:03:00"/>
    <d v="2013-09-06T01:36:00"/>
    <n v="350"/>
    <n v="456"/>
    <n v="411"/>
    <s v="Pulverizer mills"/>
    <s v="3-3 mill roll replacement 6491820"/>
    <s v="Brown"/>
    <x v="0"/>
    <s v="Coal"/>
    <x v="2"/>
    <x v="0"/>
    <n v="9"/>
    <n v="1.5499999999883585"/>
    <n v="0.36030701754115352"/>
    <n v="148.08618420941409"/>
    <n v="95.53947368421052"/>
    <x v="41"/>
  </r>
  <r>
    <x v="2"/>
    <x v="1"/>
    <n v="115"/>
    <n v="3410"/>
    <d v="2013-09-06T01:36:00"/>
    <d v="2013-09-07T03:00:00"/>
    <n v="310"/>
    <n v="456"/>
    <n v="411"/>
    <s v="Feedwater pump"/>
    <s v="3-2  BFP bearings inspections 6492556"/>
    <s v="Brown"/>
    <x v="0"/>
    <s v="Coal"/>
    <x v="2"/>
    <x v="0"/>
    <n v="9"/>
    <n v="25.400000000023283"/>
    <n v="8.1324561403583324"/>
    <n v="3342.4394736872746"/>
    <n v="131.59210526315789"/>
    <x v="51"/>
  </r>
  <r>
    <x v="2"/>
    <x v="0"/>
    <n v="116"/>
    <n v="3410"/>
    <d v="2013-09-09T15:30:00"/>
    <d v="2013-09-24T08:44:00"/>
    <n v="440"/>
    <n v="456"/>
    <n v="411"/>
    <s v="Feedwater pump"/>
    <s v="3-2 BFP excessive vibration "/>
    <s v="Brown"/>
    <x v="0"/>
    <s v="Coal"/>
    <x v="2"/>
    <x v="0"/>
    <n v="9"/>
    <n v="353.23333333327901"/>
    <n v="12.39415204678172"/>
    <n v="5093.9964912272872"/>
    <n v="14.421052631578947"/>
    <x v="61"/>
  </r>
  <r>
    <x v="2"/>
    <x v="0"/>
    <n v="117"/>
    <n v="250"/>
    <d v="2013-09-24T08:44:00"/>
    <d v="2013-09-24T09:27:00"/>
    <n v="350"/>
    <n v="456"/>
    <n v="411"/>
    <s v="Pulverizer feeders"/>
    <s v="3-4 feeder controls erratic 6497316"/>
    <s v="Brown"/>
    <x v="0"/>
    <s v="Coal"/>
    <x v="2"/>
    <x v="0"/>
    <n v="9"/>
    <n v="0.71666666673263535"/>
    <n v="0.1665935672667968"/>
    <n v="68.469956146653487"/>
    <n v="95.53947368421052"/>
    <x v="41"/>
  </r>
  <r>
    <x v="2"/>
    <x v="0"/>
    <n v="118"/>
    <n v="3410"/>
    <d v="2013-09-24T09:27:00"/>
    <d v="2013-09-24T18:54:00"/>
    <n v="440"/>
    <n v="456"/>
    <n v="411"/>
    <s v="Feedwater pump"/>
    <s v="3-2 BFP excessive vibration"/>
    <s v="Brown"/>
    <x v="0"/>
    <s v="Coal"/>
    <x v="2"/>
    <x v="0"/>
    <n v="9"/>
    <n v="9.4499999998952262"/>
    <n v="0.3315789473647448"/>
    <n v="136.2789473669101"/>
    <n v="14.421052631578947"/>
    <x v="61"/>
  </r>
  <r>
    <x v="2"/>
    <x v="0"/>
    <n v="119"/>
    <n v="3410"/>
    <d v="2013-09-24T18:54:00"/>
    <d v="2013-09-24T21:46:00"/>
    <n v="370"/>
    <n v="456"/>
    <n v="411"/>
    <s v="Feedwater pump"/>
    <s v="3-2 BFP excessive vibration"/>
    <s v="Brown"/>
    <x v="0"/>
    <s v="Coal"/>
    <x v="2"/>
    <x v="0"/>
    <n v="9"/>
    <n v="2.8666666667559184"/>
    <n v="0.54064327487063368"/>
    <n v="222.20438597183045"/>
    <n v="77.513157894736835"/>
    <x v="53"/>
  </r>
  <r>
    <x v="2"/>
    <x v="0"/>
    <n v="120"/>
    <n v="3410"/>
    <d v="2013-09-24T21:46:00"/>
    <d v="2013-10-01T00:00:00"/>
    <n v="310"/>
    <n v="456"/>
    <n v="411"/>
    <s v="Feedwater pump"/>
    <s v="3-2 BFP out of service due to excessive vibration "/>
    <s v="Brown"/>
    <x v="0"/>
    <s v="Coal"/>
    <x v="2"/>
    <x v="0"/>
    <n v="9"/>
    <n v="146.23333333327901"/>
    <n v="46.820321637409506"/>
    <n v="19243.152192975307"/>
    <n v="131.59210526315789"/>
    <x v="51"/>
  </r>
  <r>
    <x v="2"/>
    <x v="0"/>
    <n v="121"/>
    <n v="3410"/>
    <d v="2013-10-01T00:00:00"/>
    <d v="2013-10-12T11:14:00"/>
    <n v="310"/>
    <n v="456"/>
    <n v="411"/>
    <s v="Feedwater pump"/>
    <s v="3-2 BFP out of service due to excessive vibration  "/>
    <s v="Brown"/>
    <x v="0"/>
    <s v="Coal"/>
    <x v="2"/>
    <x v="0"/>
    <n v="10"/>
    <n v="275.23333333327901"/>
    <n v="88.122953216356876"/>
    <n v="36218.533771922674"/>
    <n v="131.59210526315789"/>
    <x v="51"/>
  </r>
  <r>
    <x v="2"/>
    <x v="6"/>
    <n v="122"/>
    <n v="360"/>
    <d v="2013-10-12T11:14:00"/>
    <d v="2013-10-21T21:41:00"/>
    <n v="0"/>
    <n v="456"/>
    <n v="411"/>
    <s v="Burners"/>
    <s v="Replace coal burners  6493752"/>
    <s v="Brown"/>
    <x v="1"/>
    <s v="Coal"/>
    <x v="2"/>
    <x v="0"/>
    <n v="10"/>
    <n v="226.45000000001164"/>
    <n v="226.45000000001164"/>
    <n v="93070.950000004785"/>
    <n v="411"/>
    <x v="39"/>
  </r>
  <r>
    <x v="2"/>
    <x v="0"/>
    <n v="123"/>
    <n v="3410"/>
    <d v="2013-10-21T21:41:00"/>
    <d v="2013-10-22T17:42:00"/>
    <n v="310"/>
    <n v="456"/>
    <n v="411"/>
    <s v="Feedwater pump"/>
    <s v="3-2 BFP out of service due to excessive vibration   6493703"/>
    <s v="Brown"/>
    <x v="0"/>
    <s v="Coal"/>
    <x v="2"/>
    <x v="0"/>
    <n v="10"/>
    <n v="20.016666666779201"/>
    <n v="6.4088450292757972"/>
    <n v="2634.0353070323526"/>
    <n v="131.59210526315789"/>
    <x v="51"/>
  </r>
  <r>
    <x v="2"/>
    <x v="5"/>
    <n v="124"/>
    <n v="3620"/>
    <d v="2013-10-22T17:42:00"/>
    <d v="2013-10-22T20:43:00"/>
    <n v="0"/>
    <n v="456"/>
    <n v="411"/>
    <s v="Main transformer"/>
    <s v="GSU high temperature indication 6505727"/>
    <s v="Brown"/>
    <x v="3"/>
    <s v="Coal"/>
    <x v="2"/>
    <x v="0"/>
    <n v="10"/>
    <n v="3.0166666665463708"/>
    <n v="3.0166666665463708"/>
    <n v="1239.8499999505584"/>
    <n v="411"/>
    <x v="39"/>
  </r>
  <r>
    <x v="2"/>
    <x v="0"/>
    <n v="125"/>
    <n v="3410"/>
    <d v="2013-10-22T20:43:00"/>
    <d v="2013-10-29T00:00:00"/>
    <n v="310"/>
    <n v="456"/>
    <n v="411"/>
    <s v="Feedwater pump"/>
    <s v="3-2 BFP out of service due to excessive vibration  "/>
    <s v="Brown"/>
    <x v="0"/>
    <s v="Coal"/>
    <x v="2"/>
    <x v="0"/>
    <n v="10"/>
    <n v="147.28333333338378"/>
    <n v="47.15650584796937"/>
    <n v="19381.323903515411"/>
    <n v="131.59210526315789"/>
    <x v="51"/>
  </r>
  <r>
    <x v="2"/>
    <x v="3"/>
    <n v="126"/>
    <n v="8700"/>
    <d v="2013-10-29T00:00:00"/>
    <d v="2013-10-30T03:45:00"/>
    <n v="0"/>
    <n v="456"/>
    <n v="411"/>
    <s v="CEMS Certification and Recertification"/>
    <s v="Low load RATA testing"/>
    <s v="Brown"/>
    <x v="1"/>
    <s v="Coal"/>
    <x v="2"/>
    <x v="0"/>
    <n v="10"/>
    <n v="27.75"/>
    <n v="27.75"/>
    <n v="11405.25"/>
    <n v="411"/>
    <x v="39"/>
  </r>
  <r>
    <x v="2"/>
    <x v="0"/>
    <n v="127"/>
    <n v="3410"/>
    <d v="2013-10-30T03:45:00"/>
    <d v="2013-11-01T08:45:00"/>
    <n v="310"/>
    <n v="456"/>
    <n v="411"/>
    <s v="Feedwater pump"/>
    <s v="3-2 BFP out of service due to excessive vibration"/>
    <s v="Brown"/>
    <x v="0"/>
    <s v="Coal"/>
    <x v="2"/>
    <x v="0"/>
    <n v="10"/>
    <n v="53.000000000058208"/>
    <n v="16.969298245632672"/>
    <n v="6974.3815789550281"/>
    <n v="131.59210526315789"/>
    <x v="51"/>
  </r>
  <r>
    <x v="2"/>
    <x v="1"/>
    <n v="128"/>
    <n v="8700"/>
    <d v="2013-11-01T08:45:00"/>
    <d v="2013-11-01T21:02:00"/>
    <n v="430"/>
    <n v="456"/>
    <n v="411"/>
    <s v="CEMS Certification and Recertification"/>
    <s v="High load RATA testing 6508515"/>
    <s v="Brown"/>
    <x v="0"/>
    <s v="Coal"/>
    <x v="2"/>
    <x v="0"/>
    <n v="11"/>
    <n v="12.283333333209157"/>
    <n v="0.70036549706894313"/>
    <n v="287.85021929533565"/>
    <n v="23.434210526315791"/>
    <x v="0"/>
  </r>
  <r>
    <x v="2"/>
    <x v="0"/>
    <n v="129"/>
    <n v="3502"/>
    <d v="2013-11-06T16:23:00"/>
    <d v="2013-11-06T17:10:00"/>
    <n v="435"/>
    <n v="456"/>
    <n v="411"/>
    <s v="Heater level control"/>
    <s v="3G-1 HP heater level controller erratic  6510138"/>
    <s v="Brown"/>
    <x v="0"/>
    <s v="Coal"/>
    <x v="2"/>
    <x v="0"/>
    <n v="11"/>
    <n v="0.78333333344198763"/>
    <n v="3.607456140851259E-2"/>
    <n v="14.826644738898674"/>
    <n v="18.92763157894737"/>
    <x v="54"/>
  </r>
  <r>
    <x v="2"/>
    <x v="1"/>
    <n v="130"/>
    <n v="310"/>
    <d v="2013-11-11T10:50:00"/>
    <d v="2013-11-11T14:20:00"/>
    <n v="355"/>
    <n v="456"/>
    <n v="411"/>
    <s v="Pulverizer mills"/>
    <s v="3-1  mill exhauster bearing vibration 6511418"/>
    <s v="Brown"/>
    <x v="0"/>
    <s v="Coal"/>
    <x v="2"/>
    <x v="0"/>
    <n v="11"/>
    <n v="3.4999999998835847"/>
    <n v="0.77521929821982904"/>
    <n v="318.61513156834974"/>
    <n v="91.03289473684211"/>
    <x v="42"/>
  </r>
  <r>
    <x v="2"/>
    <x v="1"/>
    <n v="131"/>
    <n v="310"/>
    <d v="2013-11-11T14:48:00"/>
    <d v="2013-11-11T16:45:00"/>
    <n v="355"/>
    <n v="456"/>
    <n v="411"/>
    <s v="Pulverizer mills"/>
    <s v="3-1 mill exhauster bearing vibration  6511418"/>
    <s v="Brown"/>
    <x v="0"/>
    <s v="Coal"/>
    <x v="2"/>
    <x v="0"/>
    <n v="11"/>
    <n v="1.9499999998952262"/>
    <n v="0.43190789471363561"/>
    <n v="177.51414472730423"/>
    <n v="91.03289473684211"/>
    <x v="42"/>
  </r>
  <r>
    <x v="2"/>
    <x v="5"/>
    <n v="132"/>
    <n v="9910"/>
    <d v="2013-11-12T16:50:00"/>
    <d v="2013-11-12T17:18:00"/>
    <n v="0"/>
    <n v="456"/>
    <n v="411"/>
    <s v="Maintenance personnel error"/>
    <s v="Unit tripped while investigating problem with vibration probes "/>
    <s v="Brown"/>
    <x v="3"/>
    <s v="Coal"/>
    <x v="2"/>
    <x v="0"/>
    <n v="11"/>
    <n v="0.46666666661622003"/>
    <n v="0.46666666661622003"/>
    <n v="191.79999997926643"/>
    <n v="411"/>
    <x v="39"/>
  </r>
  <r>
    <x v="2"/>
    <x v="4"/>
    <n v="134"/>
    <n v="740"/>
    <d v="2013-12-01T13:29:00"/>
    <d v="2013-12-04T20:30:00"/>
    <n v="0"/>
    <n v="456"/>
    <n v="411"/>
    <s v="Boiler recirculation pumps"/>
    <s v="Replace 3-3 BCWP 6516186"/>
    <s v="Brown"/>
    <x v="2"/>
    <s v="Coal"/>
    <x v="2"/>
    <x v="0"/>
    <n v="12"/>
    <n v="79.016666666662786"/>
    <n v="79.016666666662786"/>
    <n v="32475.849999998405"/>
    <n v="411"/>
    <x v="39"/>
  </r>
  <r>
    <x v="2"/>
    <x v="5"/>
    <n v="135"/>
    <n v="1000"/>
    <d v="2013-12-04T20:30:00"/>
    <d v="2013-12-06T01:33:00"/>
    <n v="0"/>
    <n v="456"/>
    <n v="411"/>
    <s v="Waterwall (Furnace wall) A"/>
    <s v="Waterwall tube leak 6518081"/>
    <s v="Brown"/>
    <x v="3"/>
    <s v="Coal"/>
    <x v="2"/>
    <x v="0"/>
    <n v="12"/>
    <n v="29.050000000046566"/>
    <n v="29.050000000046566"/>
    <n v="11939.550000019139"/>
    <n v="411"/>
    <x v="39"/>
  </r>
  <r>
    <x v="2"/>
    <x v="1"/>
    <n v="136"/>
    <n v="310"/>
    <d v="2013-12-09T22:30:00"/>
    <d v="2013-12-10T03:24:00"/>
    <n v="360"/>
    <n v="456"/>
    <n v="411"/>
    <s v="Pulverizer mills"/>
    <s v="Adjust 3-3 mill riffle elements, change oil in 3-2 mill motor brg. 6485947"/>
    <s v="Brown"/>
    <x v="0"/>
    <s v="Coal"/>
    <x v="2"/>
    <x v="0"/>
    <n v="12"/>
    <n v="4.9000000000814907"/>
    <n v="1.031578947385577"/>
    <n v="423.97894737547216"/>
    <n v="86.526315789473685"/>
    <x v="47"/>
  </r>
  <r>
    <x v="2"/>
    <x v="1"/>
    <n v="137"/>
    <n v="310"/>
    <d v="2013-12-10T22:55:00"/>
    <d v="2013-12-11T02:33:00"/>
    <n v="360"/>
    <n v="456"/>
    <n v="411"/>
    <s v="Pulverizer mills"/>
    <s v="Adjust 3-3 mill riffle elements 6485947"/>
    <s v="Brown"/>
    <x v="0"/>
    <s v="Coal"/>
    <x v="2"/>
    <x v="0"/>
    <n v="12"/>
    <n v="3.6333333333022892"/>
    <n v="0.76491228069521877"/>
    <n v="314.37894736573492"/>
    <n v="86.526315789473685"/>
    <x v="47"/>
  </r>
  <r>
    <x v="2"/>
    <x v="1"/>
    <n v="138"/>
    <n v="310"/>
    <d v="2013-12-11T22:05:00"/>
    <d v="2013-12-12T02:07:00"/>
    <n v="360"/>
    <n v="456"/>
    <n v="411"/>
    <s v="Pulverizer mills"/>
    <s v="Adjust 3-3 mill riffle elements 6485947"/>
    <s v="Brown"/>
    <x v="0"/>
    <s v="Coal"/>
    <x v="2"/>
    <x v="0"/>
    <n v="12"/>
    <n v="4.033333333209157"/>
    <n v="0.84912280699140152"/>
    <n v="348.98947367346602"/>
    <n v="86.526315789473685"/>
    <x v="47"/>
  </r>
  <r>
    <x v="2"/>
    <x v="1"/>
    <n v="139"/>
    <n v="310"/>
    <d v="2013-12-12T22:00:00"/>
    <d v="2013-12-13T01:30:00"/>
    <n v="360"/>
    <n v="456"/>
    <n v="411"/>
    <s v="Pulverizer mills"/>
    <s v="Adjust 3-3 mill riffle elements  6485947"/>
    <s v="Brown"/>
    <x v="0"/>
    <s v="Coal"/>
    <x v="2"/>
    <x v="0"/>
    <n v="12"/>
    <n v="3.5000000000582077"/>
    <n v="0.73684210527541216"/>
    <n v="302.84210526819442"/>
    <n v="86.526315789473685"/>
    <x v="47"/>
  </r>
  <r>
    <x v="2"/>
    <x v="1"/>
    <n v="140"/>
    <n v="300"/>
    <d v="2013-12-13T22:00:00"/>
    <d v="2013-12-14T05:22:00"/>
    <n v="360"/>
    <n v="456"/>
    <n v="411"/>
    <s v="Pulverizer motors and drives"/>
    <s v="Replace 3-2 mill motor 6520265"/>
    <s v="Brown"/>
    <x v="0"/>
    <s v="Coal"/>
    <x v="2"/>
    <x v="0"/>
    <n v="12"/>
    <n v="7.3666666667559184"/>
    <n v="1.5508771930012459"/>
    <n v="637.41052632351204"/>
    <n v="86.526315789473685"/>
    <x v="47"/>
  </r>
  <r>
    <x v="2"/>
    <x v="1"/>
    <n v="141"/>
    <n v="310"/>
    <d v="2013-12-16T21:54:00"/>
    <d v="2013-12-17T00:43:00"/>
    <n v="350"/>
    <n v="456"/>
    <n v="411"/>
    <s v="Pulverizer mills"/>
    <s v="Adjust 3-3 mill riffle elements  6485947"/>
    <s v="Brown"/>
    <x v="0"/>
    <s v="Coal"/>
    <x v="2"/>
    <x v="0"/>
    <n v="12"/>
    <n v="2.8166666667675599"/>
    <n v="0.65475146201175738"/>
    <n v="269.1028508868323"/>
    <n v="95.53947368421052"/>
    <x v="41"/>
  </r>
  <r>
    <x v="2"/>
    <x v="1"/>
    <n v="142"/>
    <n v="310"/>
    <d v="2013-12-17T22:00:00"/>
    <d v="2013-12-18T03:00:00"/>
    <n v="350"/>
    <n v="456"/>
    <n v="411"/>
    <s v="Pulverizer mills"/>
    <s v="Adjust 3-5 mill riffle elements 6485947"/>
    <s v="Brown"/>
    <x v="0"/>
    <s v="Coal"/>
    <x v="2"/>
    <x v="0"/>
    <n v="12"/>
    <n v="5.0000000000582077"/>
    <n v="1.1622807017679166"/>
    <n v="477.69736842661376"/>
    <n v="95.53947368421052"/>
    <x v="41"/>
  </r>
  <r>
    <x v="2"/>
    <x v="1"/>
    <n v="143"/>
    <n v="310"/>
    <d v="2013-12-18T21:45:00"/>
    <d v="2013-12-19T01:53:00"/>
    <n v="350"/>
    <n v="456"/>
    <n v="411"/>
    <s v="Pulverizer mills"/>
    <s v="Adjust 3-5 mill riffle elements 6485947"/>
    <s v="Brown"/>
    <x v="0"/>
    <s v="Coal"/>
    <x v="2"/>
    <x v="0"/>
    <n v="12"/>
    <n v="4.1333333333604969"/>
    <n v="0.96081871345660674"/>
    <n v="394.89649123066539"/>
    <n v="95.53947368421052"/>
    <x v="41"/>
  </r>
  <r>
    <x v="2"/>
    <x v="1"/>
    <n v="144"/>
    <n v="310"/>
    <d v="2013-12-19T21:35:00"/>
    <d v="2013-12-20T00:36:00"/>
    <n v="350"/>
    <n v="456"/>
    <n v="411"/>
    <s v="Pulverizer mills"/>
    <s v="Adjust 3-5 mill riffle elements 6485947"/>
    <s v="Brown"/>
    <x v="0"/>
    <s v="Coal"/>
    <x v="2"/>
    <x v="0"/>
    <n v="12"/>
    <n v="3.0166666667209938"/>
    <n v="0.70124269007110818"/>
    <n v="288.21074561922546"/>
    <n v="95.53947368421052"/>
    <x v="41"/>
  </r>
  <r>
    <x v="2"/>
    <x v="5"/>
    <n v="146"/>
    <n v="1000"/>
    <d v="2013-12-22T11:46:00"/>
    <d v="2013-12-23T19:35:00"/>
    <n v="0"/>
    <n v="456"/>
    <n v="411"/>
    <s v="Waterwall (Furnace wall) A"/>
    <s v="Waterwall tube leaks on C and D corners 6524142"/>
    <s v="Brown"/>
    <x v="3"/>
    <s v="Coal"/>
    <x v="2"/>
    <x v="0"/>
    <n v="12"/>
    <n v="31.816666666651145"/>
    <n v="31.816666666651145"/>
    <n v="13076.64999999362"/>
    <n v="411"/>
    <x v="39"/>
  </r>
  <r>
    <x v="2"/>
    <x v="1"/>
    <n v="1"/>
    <n v="310"/>
    <d v="2014-01-08T22:33:00"/>
    <d v="2014-01-09T01:15:00"/>
    <n v="350"/>
    <n v="456"/>
    <n v="411"/>
    <s v="Pulverizer mills"/>
    <s v="Adjust 3-4 mill riffle elements - 6485947"/>
    <s v="Brown"/>
    <x v="0"/>
    <s v="Coal"/>
    <x v="2"/>
    <x v="1"/>
    <n v="1"/>
    <n v="2.7000000000698492"/>
    <n v="0.62763157896360533"/>
    <n v="257.95657895404179"/>
    <n v="95.53947368421052"/>
    <x v="41"/>
  </r>
  <r>
    <x v="2"/>
    <x v="1"/>
    <n v="2"/>
    <n v="310"/>
    <d v="2014-01-09T21:20:00"/>
    <d v="2014-01-10T00:33:00"/>
    <n v="350"/>
    <n v="456"/>
    <n v="411"/>
    <s v="Pulverizer mills"/>
    <s v="Adjust 3-4 mill riffle elements 6485947"/>
    <s v="Brown"/>
    <x v="0"/>
    <s v="Coal"/>
    <x v="2"/>
    <x v="1"/>
    <n v="1"/>
    <n v="3.2166666666744277"/>
    <n v="0.74773391813045909"/>
    <n v="307.31864035161868"/>
    <n v="95.53947368421052"/>
    <x v="41"/>
  </r>
  <r>
    <x v="2"/>
    <x v="4"/>
    <n v="4"/>
    <n v="740"/>
    <d v="2014-01-11T10:37:00"/>
    <d v="2014-01-12T04:08:00"/>
    <n v="0"/>
    <n v="456"/>
    <n v="411"/>
    <s v="Boiler recirculation pumps"/>
    <s v="Replace 3-1 BCWP - 6524483"/>
    <s v="Brown"/>
    <x v="2"/>
    <s v="Coal"/>
    <x v="2"/>
    <x v="1"/>
    <n v="1"/>
    <n v="17.516666666662786"/>
    <n v="17.516666666662786"/>
    <n v="7199.3499999984051"/>
    <n v="411"/>
    <x v="39"/>
  </r>
  <r>
    <x v="2"/>
    <x v="1"/>
    <n v="5"/>
    <n v="310"/>
    <d v="2014-01-13T22:00:00"/>
    <d v="2014-01-14T00:29:00"/>
    <n v="350"/>
    <n v="456"/>
    <n v="411"/>
    <s v="Pulverizer mills"/>
    <s v="Adjust 3-4 mill riffle elements 6485947"/>
    <s v="Brown"/>
    <x v="0"/>
    <s v="Coal"/>
    <x v="2"/>
    <x v="1"/>
    <n v="1"/>
    <n v="2.4833333333954215"/>
    <n v="0.57726608188577777"/>
    <n v="237.25635965505467"/>
    <n v="95.53947368421052"/>
    <x v="41"/>
  </r>
  <r>
    <x v="2"/>
    <x v="1"/>
    <n v="6"/>
    <n v="310"/>
    <d v="2014-01-14T21:35:00"/>
    <d v="2014-01-15T00:37:00"/>
    <n v="350"/>
    <n v="456"/>
    <n v="411"/>
    <s v="Pulverizer mills"/>
    <s v="Adjust 3-4 mill riffle elements 6485947 "/>
    <s v="Brown"/>
    <x v="0"/>
    <s v="Coal"/>
    <x v="2"/>
    <x v="1"/>
    <n v="1"/>
    <n v="3.0333333332673647"/>
    <n v="0.70511695904899263"/>
    <n v="289.80307016913599"/>
    <n v="95.53947368421052"/>
    <x v="41"/>
  </r>
  <r>
    <x v="2"/>
    <x v="1"/>
    <n v="7"/>
    <n v="310"/>
    <d v="2014-01-15T21:57:00"/>
    <d v="2014-01-16T00:40:00"/>
    <n v="350"/>
    <n v="456"/>
    <n v="411"/>
    <s v="Pulverizer mills"/>
    <s v="Adjust 3-4 mill riffle elements 6485947"/>
    <s v="Brown"/>
    <x v="0"/>
    <s v="Coal"/>
    <x v="2"/>
    <x v="1"/>
    <n v="1"/>
    <n v="2.716666666790843"/>
    <n v="0.63150584798208198"/>
    <n v="259.54890352063569"/>
    <n v="95.53947368421052"/>
    <x v="41"/>
  </r>
  <r>
    <x v="2"/>
    <x v="5"/>
    <n v="8"/>
    <n v="339"/>
    <d v="2014-01-30T03:57:00"/>
    <d v="2014-02-01T16:05:00"/>
    <n v="0"/>
    <n v="456"/>
    <n v="411"/>
    <s v="Pulverizer System Puff"/>
    <s v="3-5 Mill puff causing D corner burner damage and associated boiler tube leak.  "/>
    <s v="Brown"/>
    <x v="3"/>
    <s v="Coal"/>
    <x v="2"/>
    <x v="1"/>
    <n v="1"/>
    <n v="60.133333333418705"/>
    <n v="60.133333333418705"/>
    <n v="24714.800000035088"/>
    <n v="411"/>
    <x v="39"/>
  </r>
  <r>
    <x v="2"/>
    <x v="1"/>
    <n v="9"/>
    <n v="3412"/>
    <d v="2014-02-04T22:00:00"/>
    <d v="2014-02-05T01:52:00"/>
    <n v="310"/>
    <n v="456"/>
    <n v="411"/>
    <s v="Feedwater pump drive - steam turbine"/>
    <s v="Collecting 3-2 BFP vibration data "/>
    <s v="Brown"/>
    <x v="0"/>
    <s v="Coal"/>
    <x v="2"/>
    <x v="1"/>
    <n v="2"/>
    <n v="3.8666666666977108"/>
    <n v="1.2380116959163723"/>
    <n v="508.82280702162899"/>
    <n v="131.59210526315789"/>
    <x v="51"/>
  </r>
  <r>
    <x v="2"/>
    <x v="0"/>
    <n v="10"/>
    <n v="3414"/>
    <d v="2014-02-21T22:08:00"/>
    <d v="2014-02-22T23:58:00"/>
    <n v="305"/>
    <n v="456"/>
    <n v="411"/>
    <s v="Feedwater pump local controls"/>
    <s v="3-2 BFPT LP governor valve indication 6545010"/>
    <s v="Brown"/>
    <x v="0"/>
    <s v="Coal"/>
    <x v="2"/>
    <x v="1"/>
    <n v="2"/>
    <n v="25.833333333372138"/>
    <n v="8.5544590643403353"/>
    <n v="3515.8826754438778"/>
    <n v="136.09868421052633"/>
    <x v="62"/>
  </r>
  <r>
    <x v="2"/>
    <x v="3"/>
    <n v="11"/>
    <n v="1710"/>
    <d v="2014-02-24T22:00:00"/>
    <d v="2014-02-25T02:05:00"/>
    <n v="0"/>
    <n v="456"/>
    <n v="411"/>
    <s v="Combustion/steam condition controls (report local controls --- burners"/>
    <s v="Combustion tuning 6544234 "/>
    <s v="Brown"/>
    <x v="1"/>
    <s v="Coal"/>
    <x v="2"/>
    <x v="1"/>
    <n v="2"/>
    <n v="4.0833333333721384"/>
    <n v="4.0833333333721384"/>
    <n v="1678.2500000159489"/>
    <n v="411"/>
    <x v="39"/>
  </r>
  <r>
    <x v="2"/>
    <x v="0"/>
    <n v="12"/>
    <n v="3414"/>
    <d v="2014-02-25T05:51:00"/>
    <d v="2014-02-25T07:39:00"/>
    <n v="300"/>
    <n v="456"/>
    <n v="411"/>
    <s v="Feedwater pump local controls"/>
    <s v="3-2 BFP LP gov. servo problems 6546920"/>
    <s v="Brown"/>
    <x v="0"/>
    <s v="Coal"/>
    <x v="2"/>
    <x v="1"/>
    <n v="2"/>
    <n v="1.7999999999301508"/>
    <n v="0.61578947366031478"/>
    <n v="253.08947367438938"/>
    <n v="140.60526315789474"/>
    <x v="59"/>
  </r>
  <r>
    <x v="2"/>
    <x v="3"/>
    <n v="13"/>
    <n v="9656"/>
    <d v="2014-03-11T11:42:00"/>
    <d v="2014-03-11T13:51:00"/>
    <n v="0"/>
    <n v="456"/>
    <n v="411"/>
    <s v="Other stack or exhaust emissions testing - fossil"/>
    <s v="Low load RATA testing"/>
    <s v="Brown"/>
    <x v="1"/>
    <s v="Coal"/>
    <x v="2"/>
    <x v="1"/>
    <n v="3"/>
    <n v="2.1499999998486601"/>
    <n v="2.1499999998486601"/>
    <n v="883.64999993779929"/>
    <n v="411"/>
    <x v="39"/>
  </r>
  <r>
    <x v="2"/>
    <x v="0"/>
    <n v="14"/>
    <n v="310"/>
    <d v="2014-03-11T13:51:00"/>
    <d v="2014-03-11T15:36:00"/>
    <n v="350"/>
    <n v="456"/>
    <n v="411"/>
    <s v="Pulverizer mills"/>
    <s v="3-1 mill broken spring bolt 6550819"/>
    <s v="Brown"/>
    <x v="0"/>
    <s v="Coal"/>
    <x v="2"/>
    <x v="1"/>
    <n v="3"/>
    <n v="1.7500000001164153"/>
    <n v="0.40679824564109657"/>
    <n v="167.19407895849068"/>
    <n v="95.53947368421052"/>
    <x v="41"/>
  </r>
  <r>
    <x v="2"/>
    <x v="3"/>
    <n v="15"/>
    <n v="9656"/>
    <d v="2014-03-11T15:36:00"/>
    <d v="2014-03-11T16:08:00"/>
    <n v="0"/>
    <n v="456"/>
    <n v="411"/>
    <s v="Other stack or exhaust emissions testing - fossil"/>
    <s v="Low load RATA testing"/>
    <s v="Brown"/>
    <x v="1"/>
    <s v="Coal"/>
    <x v="2"/>
    <x v="1"/>
    <n v="3"/>
    <n v="0.53333333332557231"/>
    <n v="0.53333333332557231"/>
    <n v="219.19999999681022"/>
    <n v="411"/>
    <x v="39"/>
  </r>
  <r>
    <x v="2"/>
    <x v="3"/>
    <n v="16"/>
    <n v="9656"/>
    <d v="2014-03-12T08:45:00"/>
    <d v="2014-03-12T20:38:00"/>
    <n v="0"/>
    <n v="456"/>
    <n v="411"/>
    <s v="Other stack or exhaust emissions testing - fossil"/>
    <s v="RATA testing at 425 mw."/>
    <s v="Brown"/>
    <x v="1"/>
    <s v="Coal"/>
    <x v="2"/>
    <x v="1"/>
    <n v="3"/>
    <n v="11.883333333302289"/>
    <n v="11.883333333302289"/>
    <n v="4884.0499999872409"/>
    <n v="411"/>
    <x v="39"/>
  </r>
  <r>
    <x v="2"/>
    <x v="3"/>
    <n v="17"/>
    <n v="9656"/>
    <d v="2014-03-13T12:30:00"/>
    <d v="2014-03-13T17:00:00"/>
    <n v="0"/>
    <n v="456"/>
    <n v="411"/>
    <s v="Other stack or exhaust emissions testing - fossil"/>
    <s v="RATA testing at 425 mw."/>
    <s v="Brown"/>
    <x v="1"/>
    <s v="Coal"/>
    <x v="2"/>
    <x v="1"/>
    <n v="3"/>
    <n v="4.5"/>
    <n v="4.5"/>
    <n v="1849.5"/>
    <n v="411"/>
    <x v="39"/>
  </r>
  <r>
    <x v="2"/>
    <x v="0"/>
    <n v="18"/>
    <n v="740"/>
    <d v="2014-03-17T14:15:00"/>
    <d v="2014-03-18T00:00:00"/>
    <n v="430"/>
    <n v="456"/>
    <n v="411"/>
    <s v="Boiler recirculation pumps"/>
    <s v="3-1 BCWP out of service "/>
    <s v="Brown"/>
    <x v="0"/>
    <s v="Coal"/>
    <x v="2"/>
    <x v="1"/>
    <n v="3"/>
    <n v="9.75"/>
    <n v="0.55592105263157898"/>
    <n v="228.48355263157896"/>
    <n v="23.434210526315791"/>
    <x v="0"/>
  </r>
  <r>
    <x v="2"/>
    <x v="0"/>
    <n v="19"/>
    <n v="740"/>
    <d v="2014-03-19T10:13:00"/>
    <d v="2014-03-19T10:32:00"/>
    <n v="57"/>
    <n v="456"/>
    <n v="411"/>
    <s v="Boiler recirculation pumps"/>
    <s v="Boiler trip due to BCWP differential pressure "/>
    <s v="Brown"/>
    <x v="0"/>
    <s v="Coal"/>
    <x v="2"/>
    <x v="1"/>
    <n v="3"/>
    <n v="0.31666666665114462"/>
    <n v="0.27708333331975155"/>
    <n v="113.88124999441789"/>
    <n v="359.625"/>
    <x v="63"/>
  </r>
  <r>
    <x v="2"/>
    <x v="5"/>
    <n v="20"/>
    <n v="740"/>
    <d v="2014-03-19T10:32:00"/>
    <d v="2014-03-19T12:29:00"/>
    <n v="0"/>
    <n v="456"/>
    <n v="411"/>
    <s v="Boiler recirculation pumps"/>
    <s v="Boiler trip due to BCWP differential pressure "/>
    <s v="Brown"/>
    <x v="3"/>
    <s v="Coal"/>
    <x v="2"/>
    <x v="1"/>
    <n v="3"/>
    <n v="1.9500000000698492"/>
    <n v="1.9500000000698492"/>
    <n v="801.45000002870802"/>
    <n v="411"/>
    <x v="39"/>
  </r>
  <r>
    <x v="2"/>
    <x v="0"/>
    <n v="21"/>
    <n v="310"/>
    <d v="2014-03-19T21:47:00"/>
    <d v="2014-03-19T23:04:00"/>
    <n v="350"/>
    <n v="456"/>
    <n v="411"/>
    <s v="Pulverizer mills"/>
    <s v="3-5 mill explosion "/>
    <s v="Brown"/>
    <x v="0"/>
    <s v="Coal"/>
    <x v="2"/>
    <x v="1"/>
    <n v="3"/>
    <n v="1.2833333333255723"/>
    <n v="0.29831871344848832"/>
    <n v="122.6089912273287"/>
    <n v="95.53947368421052"/>
    <x v="41"/>
  </r>
  <r>
    <x v="2"/>
    <x v="5"/>
    <n v="22"/>
    <n v="310"/>
    <d v="2014-03-19T23:04:00"/>
    <d v="2014-03-21T06:05:00"/>
    <n v="0"/>
    <n v="456"/>
    <n v="411"/>
    <s v="Pulverizer mills"/>
    <s v="3-5 mill explosion, damage inspection and repair "/>
    <s v="Brown"/>
    <x v="3"/>
    <s v="Coal"/>
    <x v="2"/>
    <x v="1"/>
    <n v="3"/>
    <n v="31.016666666662786"/>
    <n v="31.016666666662786"/>
    <n v="12747.849999998405"/>
    <n v="411"/>
    <x v="39"/>
  </r>
  <r>
    <x v="2"/>
    <x v="0"/>
    <n v="23"/>
    <n v="310"/>
    <d v="2014-03-21T11:20:00"/>
    <d v="2014-03-21T16:28:00"/>
    <n v="340"/>
    <n v="456"/>
    <n v="411"/>
    <s v="Pulverizer mills"/>
    <s v="3-5 mill post explosion calibrations and inspections "/>
    <s v="Brown"/>
    <x v="0"/>
    <s v="Coal"/>
    <x v="2"/>
    <x v="1"/>
    <n v="3"/>
    <n v="5.1333333334769122"/>
    <n v="1.3058479532528988"/>
    <n v="536.70350878694137"/>
    <n v="104.55263157894737"/>
    <x v="43"/>
  </r>
  <r>
    <x v="2"/>
    <x v="0"/>
    <n v="24"/>
    <n v="310"/>
    <d v="2014-03-21T16:28:00"/>
    <d v="2014-03-24T10:30:00"/>
    <n v="420"/>
    <n v="456"/>
    <n v="411"/>
    <s v="Pulverizer mills"/>
    <s v="High exhauster to furnance pressure due to 3-5D burner out of service. "/>
    <s v="Brown"/>
    <x v="0"/>
    <s v="Coal"/>
    <x v="2"/>
    <x v="1"/>
    <n v="3"/>
    <n v="66.033333333267365"/>
    <n v="5.2131578947316344"/>
    <n v="2142.6078947347019"/>
    <n v="32.44736842105263"/>
    <x v="8"/>
  </r>
  <r>
    <x v="2"/>
    <x v="0"/>
    <n v="25"/>
    <n v="310"/>
    <d v="2014-03-24T10:30:00"/>
    <d v="2014-03-24T10:43:00"/>
    <n v="335"/>
    <n v="456"/>
    <n v="411"/>
    <s v="Pulverizer mills"/>
    <s v="3-3 mill exhauster bearing high vibration "/>
    <s v="Brown"/>
    <x v="0"/>
    <s v="Coal"/>
    <x v="2"/>
    <x v="1"/>
    <n v="3"/>
    <n v="0.21666666667442769"/>
    <n v="5.7492690060538927E-2"/>
    <n v="23.629495614881499"/>
    <n v="109.05921052631579"/>
    <x v="64"/>
  </r>
  <r>
    <x v="2"/>
    <x v="0"/>
    <n v="26"/>
    <n v="310"/>
    <d v="2014-03-24T10:43:00"/>
    <d v="2014-03-25T07:04:00"/>
    <n v="420"/>
    <n v="456"/>
    <n v="411"/>
    <s v="Pulverizer mills"/>
    <s v="High exhauster to furnance pressure due to 3-5D burner out of service. "/>
    <s v="Brown"/>
    <x v="0"/>
    <s v="Coal"/>
    <x v="2"/>
    <x v="1"/>
    <n v="3"/>
    <n v="20.349999999976717"/>
    <n v="1.606578947366583"/>
    <n v="660.30394736766561"/>
    <n v="32.44736842105263"/>
    <x v="8"/>
  </r>
  <r>
    <x v="2"/>
    <x v="0"/>
    <n v="27"/>
    <n v="350"/>
    <d v="2014-03-25T07:04:00"/>
    <d v="2014-03-25T11:00:00"/>
    <n v="335"/>
    <n v="456"/>
    <n v="411"/>
    <s v="Pulverized fuel and air piping (from pulverizer to wind box)"/>
    <s v="3-5A burner line coal leak "/>
    <s v="Brown"/>
    <x v="0"/>
    <s v="Coal"/>
    <x v="2"/>
    <x v="1"/>
    <n v="3"/>
    <n v="3.933333333407063"/>
    <n v="1.0437134503119618"/>
    <n v="428.96622807821632"/>
    <n v="109.05921052631579"/>
    <x v="64"/>
  </r>
  <r>
    <x v="2"/>
    <x v="0"/>
    <n v="28"/>
    <n v="350"/>
    <d v="2014-03-25T11:00:00"/>
    <d v="2014-03-25T12:06:00"/>
    <n v="345"/>
    <n v="456"/>
    <n v="411"/>
    <s v="Pulverized fuel and air piping (from pulverizer to wind box)"/>
    <s v="3-5A burner line coal leak "/>
    <s v="Brown"/>
    <x v="0"/>
    <s v="Coal"/>
    <x v="2"/>
    <x v="1"/>
    <n v="3"/>
    <n v="1.0999999999185093"/>
    <n v="0.26776315787490029"/>
    <n v="110.05065788658402"/>
    <n v="100.04605263157895"/>
    <x v="65"/>
  </r>
  <r>
    <x v="2"/>
    <x v="0"/>
    <n v="29"/>
    <n v="310"/>
    <d v="2014-03-25T12:06:00"/>
    <d v="2014-03-28T23:33:00"/>
    <n v="420"/>
    <n v="456"/>
    <n v="411"/>
    <s v="Pulverizer mills"/>
    <s v="High exhauster to furnance pressure due to 3-5D burner out of service. "/>
    <s v="Brown"/>
    <x v="0"/>
    <s v="Coal"/>
    <x v="2"/>
    <x v="1"/>
    <n v="3"/>
    <n v="83.449999999953434"/>
    <n v="6.5881578947331656"/>
    <n v="2707.7328947353312"/>
    <n v="32.44736842105263"/>
    <x v="8"/>
  </r>
  <r>
    <x v="2"/>
    <x v="6"/>
    <n v="30"/>
    <n v="1801"/>
    <d v="2014-03-28T23:33:00"/>
    <d v="2014-04-28T18:30:00"/>
    <n v="0"/>
    <n v="456"/>
    <n v="411"/>
    <s v="Minor boiler overhaul (less than 720 hours) (use for non-specific overhaul only; see page B-1)"/>
    <s v="Planned spring outage Installed new terminal tubes &amp; assemblies in radiant reheat "/>
    <s v="Brown"/>
    <x v="1"/>
    <s v="Coal"/>
    <x v="2"/>
    <x v="1"/>
    <n v="3"/>
    <n v="738.95000000012806"/>
    <n v="738.95000000012806"/>
    <n v="303708.45000005263"/>
    <n v="411"/>
    <x v="39"/>
  </r>
  <r>
    <x v="2"/>
    <x v="7"/>
    <n v="31"/>
    <n v="1000"/>
    <d v="2014-04-28T18:30:00"/>
    <d v="2014-04-30T05:45:00"/>
    <n v="0"/>
    <n v="456"/>
    <n v="411"/>
    <s v="Waterwall (Furnace wall) A"/>
    <s v="Lower waterwall tube leak found during startup "/>
    <s v="Brown"/>
    <x v="3"/>
    <s v="Coal"/>
    <x v="2"/>
    <x v="1"/>
    <n v="4"/>
    <n v="35.25"/>
    <n v="35.25"/>
    <n v="14487.75"/>
    <n v="411"/>
    <x v="39"/>
  </r>
  <r>
    <x v="2"/>
    <x v="7"/>
    <n v="32"/>
    <n v="1090"/>
    <d v="2014-04-30T05:45:00"/>
    <d v="2014-05-01T01:28:00"/>
    <n v="0"/>
    <n v="456"/>
    <n v="411"/>
    <s v="Other boiler tube leaks"/>
    <s v="Sample line from steam drum leaking 6566287"/>
    <s v="Brown"/>
    <x v="3"/>
    <s v="Coal"/>
    <x v="2"/>
    <x v="1"/>
    <n v="4"/>
    <n v="19.716666666674428"/>
    <n v="19.716666666674428"/>
    <n v="8103.5500000031898"/>
    <n v="411"/>
    <x v="39"/>
  </r>
  <r>
    <x v="2"/>
    <x v="0"/>
    <n v="33"/>
    <n v="3352"/>
    <d v="2014-05-01T09:56:00"/>
    <d v="2014-05-01T11:10:00"/>
    <n v="250"/>
    <n v="456"/>
    <n v="411"/>
    <s v="Feedwater chemistry (not specific to condenser"/>
    <s v="High silica from startup"/>
    <s v="Brown"/>
    <x v="0"/>
    <s v="Coal"/>
    <x v="2"/>
    <x v="1"/>
    <n v="5"/>
    <n v="1.2333333333372138"/>
    <n v="0.55716374269181157"/>
    <n v="228.99429824633455"/>
    <n v="185.67105263157896"/>
    <x v="60"/>
  </r>
  <r>
    <x v="2"/>
    <x v="0"/>
    <n v="34"/>
    <n v="3352"/>
    <d v="2014-05-01T11:10:00"/>
    <d v="2014-05-01T13:55:00"/>
    <n v="330"/>
    <n v="456"/>
    <n v="411"/>
    <s v="Feedwater chemistry (not specific to condenser"/>
    <s v="High silica from startup"/>
    <s v="Brown"/>
    <x v="0"/>
    <s v="Coal"/>
    <x v="2"/>
    <x v="1"/>
    <n v="5"/>
    <n v="2.7499999998835847"/>
    <n v="0.75986842102046415"/>
    <n v="312.30592103941075"/>
    <n v="113.56578947368421"/>
    <x v="46"/>
  </r>
  <r>
    <x v="2"/>
    <x v="0"/>
    <n v="35"/>
    <n v="310"/>
    <d v="2014-05-01T13:55:00"/>
    <d v="2014-05-01T15:30:00"/>
    <n v="365"/>
    <n v="456"/>
    <n v="411"/>
    <s v="Pulverizer mills"/>
    <s v="Setting mill rolls"/>
    <s v="Brown"/>
    <x v="0"/>
    <s v="Coal"/>
    <x v="2"/>
    <x v="1"/>
    <n v="5"/>
    <n v="1.5833333334303461"/>
    <n v="0.31597222224158222"/>
    <n v="129.86458334129028"/>
    <n v="82.01973684210526"/>
    <x v="48"/>
  </r>
  <r>
    <x v="2"/>
    <x v="0"/>
    <n v="36"/>
    <n v="3352"/>
    <d v="2014-05-01T15:30:00"/>
    <d v="2014-05-01T18:11:00"/>
    <n v="430"/>
    <n v="456"/>
    <n v="411"/>
    <s v="Feedwater chemistry (not specific to condenser"/>
    <s v="High silica from startup"/>
    <s v="Brown"/>
    <x v="0"/>
    <s v="Coal"/>
    <x v="2"/>
    <x v="1"/>
    <n v="5"/>
    <n v="2.6833333333488554"/>
    <n v="0.15299707602427684"/>
    <n v="62.881798245977784"/>
    <n v="23.434210526315791"/>
    <x v="0"/>
  </r>
  <r>
    <x v="2"/>
    <x v="0"/>
    <n v="37"/>
    <n v="800"/>
    <d v="2014-05-02T04:00:00"/>
    <d v="2014-05-02T04:15:00"/>
    <n v="180"/>
    <n v="456"/>
    <n v="411"/>
    <s v="Drums and drum internals (single drum only)"/>
    <s v="Possible leak on SW mud drum door 6566407 "/>
    <s v="Brown"/>
    <x v="0"/>
    <s v="Coal"/>
    <x v="2"/>
    <x v="1"/>
    <n v="5"/>
    <n v="0.25000000011641532"/>
    <n v="0.15131578954414612"/>
    <n v="62.190789502644058"/>
    <n v="248.76315789473685"/>
    <x v="44"/>
  </r>
  <r>
    <x v="2"/>
    <x v="1"/>
    <n v="38"/>
    <n v="510"/>
    <d v="2014-05-13T19:11:00"/>
    <d v="2014-05-13T23:00:00"/>
    <n v="389"/>
    <n v="456"/>
    <n v="411"/>
    <s v="Main steam relief/safety valves off superheater"/>
    <s v="Set boiler safety valves"/>
    <s v="Brown"/>
    <x v="0"/>
    <s v="Coal"/>
    <x v="2"/>
    <x v="1"/>
    <n v="5"/>
    <n v="3.8166666667093523"/>
    <n v="0.56078216374896184"/>
    <n v="230.48146930082331"/>
    <n v="60.388157894736842"/>
    <x v="11"/>
  </r>
  <r>
    <x v="2"/>
    <x v="4"/>
    <n v="39"/>
    <n v="740"/>
    <d v="2014-05-16T23:43:00"/>
    <d v="2014-05-18T02:29:00"/>
    <n v="0"/>
    <n v="456"/>
    <n v="411"/>
    <s v="Boiler recirculation pumps"/>
    <s v="Clean HWRC pump strainers 6567942"/>
    <s v="Brown"/>
    <x v="2"/>
    <s v="Coal"/>
    <x v="2"/>
    <x v="1"/>
    <n v="5"/>
    <n v="26.766666666779201"/>
    <n v="26.766666666779201"/>
    <n v="11001.100000046252"/>
    <n v="411"/>
    <x v="39"/>
  </r>
  <r>
    <x v="2"/>
    <x v="0"/>
    <n v="40"/>
    <n v="3414"/>
    <d v="2014-05-22T15:30:00"/>
    <d v="2014-05-22T17:00:00"/>
    <n v="310"/>
    <n v="456"/>
    <n v="411"/>
    <s v="Feedwater pump local controls"/>
    <s v="3-1 BFP EHC low pressure governor oil leak 6571636"/>
    <s v="Brown"/>
    <x v="0"/>
    <s v="Coal"/>
    <x v="2"/>
    <x v="1"/>
    <n v="5"/>
    <n v="1.5"/>
    <n v="0.48026315789473684"/>
    <n v="197.38815789473685"/>
    <n v="131.59210526315789"/>
    <x v="51"/>
  </r>
  <r>
    <x v="2"/>
    <x v="0"/>
    <n v="41"/>
    <n v="3414"/>
    <d v="2014-05-22T17:00:00"/>
    <d v="2014-05-22T21:31:00"/>
    <n v="285"/>
    <n v="456"/>
    <n v="411"/>
    <s v="Feedwater pump local controls"/>
    <s v="3-1 BFP EHC low pressure governor oil leak 6571636"/>
    <s v="Brown"/>
    <x v="0"/>
    <s v="Coal"/>
    <x v="2"/>
    <x v="1"/>
    <n v="5"/>
    <n v="4.5166666665463708"/>
    <n v="1.6937499999548891"/>
    <n v="696.1312499814594"/>
    <n v="154.125"/>
    <x v="66"/>
  </r>
  <r>
    <x v="2"/>
    <x v="1"/>
    <n v="42"/>
    <n v="3410"/>
    <d v="2014-05-28T22:00:00"/>
    <d v="2014-05-29T01:17:00"/>
    <n v="310"/>
    <n v="456"/>
    <n v="411"/>
    <s v="Feedwater pump"/>
    <s v="Inspect 3-2 BFP coupling 6568444"/>
    <s v="Brown"/>
    <x v="0"/>
    <s v="Coal"/>
    <x v="2"/>
    <x v="1"/>
    <n v="5"/>
    <n v="3.28333333338378"/>
    <n v="1.0512426900746312"/>
    <n v="432.06074562067346"/>
    <n v="131.59210526315789"/>
    <x v="51"/>
  </r>
  <r>
    <x v="2"/>
    <x v="1"/>
    <n v="43"/>
    <n v="3410"/>
    <d v="2014-05-29T22:00:00"/>
    <d v="2014-05-30T06:12:00"/>
    <n v="310"/>
    <n v="456"/>
    <n v="411"/>
    <s v="Feedwater pump"/>
    <s v="Inspect 3-2 BFP coupling 6568444"/>
    <s v="Brown"/>
    <x v="0"/>
    <s v="Coal"/>
    <x v="2"/>
    <x v="1"/>
    <n v="5"/>
    <n v="8.2000000000116415"/>
    <n v="2.6254385964949556"/>
    <n v="1079.0552631594267"/>
    <n v="131.59210526315789"/>
    <x v="51"/>
  </r>
  <r>
    <x v="2"/>
    <x v="1"/>
    <n v="44"/>
    <n v="1400"/>
    <d v="2014-06-02T23:00:00"/>
    <d v="2014-06-03T02:35:00"/>
    <n v="300"/>
    <n v="456"/>
    <n v="411"/>
    <s v="Forced draft fans"/>
    <s v="Inspect 3-1 FD Fan coupling 6576497 "/>
    <s v="Brown"/>
    <x v="0"/>
    <s v="Coal"/>
    <x v="2"/>
    <x v="1"/>
    <n v="6"/>
    <n v="3.5833333333139308"/>
    <n v="1.2258771929758183"/>
    <n v="503.83552631306134"/>
    <n v="140.60526315789474"/>
    <x v="59"/>
  </r>
  <r>
    <x v="2"/>
    <x v="0"/>
    <n v="45"/>
    <n v="3440"/>
    <d v="2014-06-04T13:15:00"/>
    <d v="2014-06-07T01:56:00"/>
    <n v="425"/>
    <n v="456"/>
    <n v="411"/>
    <s v="High pressure heater tube leaks"/>
    <s v="3-F2 HP heater leak"/>
    <s v="Brown"/>
    <x v="0"/>
    <s v="Coal"/>
    <x v="2"/>
    <x v="1"/>
    <n v="6"/>
    <n v="60.683333333290648"/>
    <n v="4.1254020467807235"/>
    <n v="1695.5402412268775"/>
    <n v="27.940789473684209"/>
    <x v="67"/>
  </r>
  <r>
    <x v="2"/>
    <x v="4"/>
    <n v="46"/>
    <n v="3440"/>
    <d v="2014-06-07T01:56:00"/>
    <d v="2014-06-10T01:55:00"/>
    <n v="0"/>
    <n v="456"/>
    <n v="411"/>
    <s v="High pressure heater tube leaks"/>
    <s v="Repair 3-F2 HP heater tube leak 6576933 "/>
    <s v="Brown"/>
    <x v="2"/>
    <s v="Coal"/>
    <x v="2"/>
    <x v="1"/>
    <n v="6"/>
    <n v="71.983333333279006"/>
    <n v="71.983333333279006"/>
    <n v="29585.149999977672"/>
    <n v="411"/>
    <x v="39"/>
  </r>
  <r>
    <x v="2"/>
    <x v="5"/>
    <n v="47"/>
    <n v="4860"/>
    <d v="2014-06-10T16:09:00"/>
    <d v="2014-06-11T04:21:00"/>
    <n v="0"/>
    <n v="456"/>
    <n v="411"/>
    <s v="Generator Neutral Grounding Equipment"/>
    <s v="Loose wire on ground neutral transformer 6579166"/>
    <s v="Brown"/>
    <x v="3"/>
    <s v="Coal"/>
    <x v="2"/>
    <x v="1"/>
    <n v="6"/>
    <n v="12.199999999953434"/>
    <n v="12.199999999953434"/>
    <n v="5014.1999999808613"/>
    <n v="411"/>
    <x v="39"/>
  </r>
  <r>
    <x v="2"/>
    <x v="5"/>
    <n v="48"/>
    <n v="3621"/>
    <d v="2014-06-11T08:52:00"/>
    <d v="2014-06-11T23:07:00"/>
    <n v="0"/>
    <n v="456"/>
    <n v="411"/>
    <s v="Unit auxiliaries transformer"/>
    <s v="&quot;A&quot; Auxiliary Transformer A phase bushing failure 6579361"/>
    <s v="Brown"/>
    <x v="3"/>
    <s v="Coal"/>
    <x v="2"/>
    <x v="1"/>
    <n v="6"/>
    <n v="14.25"/>
    <n v="14.25"/>
    <n v="5856.75"/>
    <n v="411"/>
    <x v="39"/>
  </r>
  <r>
    <x v="2"/>
    <x v="0"/>
    <n v="49"/>
    <n v="3352"/>
    <d v="2014-06-12T05:50:00"/>
    <d v="2014-06-12T07:16:00"/>
    <n v="425"/>
    <n v="456"/>
    <n v="411"/>
    <s v="Feedwater chemistry (not specific to condenser"/>
    <s v="High silica after unit startup "/>
    <s v="Brown"/>
    <x v="0"/>
    <s v="Coal"/>
    <x v="2"/>
    <x v="1"/>
    <n v="6"/>
    <n v="1.4333333332906477"/>
    <n v="9.7441520464934386E-2"/>
    <n v="40.048464911088033"/>
    <n v="27.940789473684209"/>
    <x v="67"/>
  </r>
  <r>
    <x v="2"/>
    <x v="5"/>
    <n v="50"/>
    <n v="1000"/>
    <d v="2014-06-14T22:56:00"/>
    <d v="2014-06-16T08:10:00"/>
    <n v="0"/>
    <n v="456"/>
    <n v="411"/>
    <s v="Waterwall (Furnace wall) A"/>
    <s v="Waterwall tube leak at C corner upper burner level 6579764"/>
    <s v="Brown"/>
    <x v="3"/>
    <s v="Coal"/>
    <x v="2"/>
    <x v="1"/>
    <n v="6"/>
    <n v="33.233333333395422"/>
    <n v="33.233333333395422"/>
    <n v="13658.900000025518"/>
    <n v="411"/>
    <x v="39"/>
  </r>
  <r>
    <x v="2"/>
    <x v="0"/>
    <n v="51"/>
    <n v="9910"/>
    <d v="2014-07-01T11:25:00"/>
    <d v="2014-07-01T12:10:00"/>
    <n v="55"/>
    <n v="456"/>
    <n v="411"/>
    <s v="Maintenance personnel error"/>
    <s v="Transmission employee tripped West Cliff substation feed to unit 3 6585768"/>
    <s v="Brown"/>
    <x v="0"/>
    <s v="Coal"/>
    <x v="2"/>
    <x v="1"/>
    <n v="7"/>
    <n v="0.75"/>
    <n v="0.65953947368421051"/>
    <n v="271.07072368421052"/>
    <n v="361.42763157894734"/>
    <x v="57"/>
  </r>
  <r>
    <x v="2"/>
    <x v="5"/>
    <n v="52"/>
    <n v="9910"/>
    <d v="2014-07-01T12:10:00"/>
    <d v="2014-07-01T13:20:00"/>
    <n v="0"/>
    <n v="456"/>
    <n v="411"/>
    <s v="Maintenance personnel error"/>
    <s v="Transmission employee tripped West Cliff substation feed to unit 3 6585768"/>
    <s v="Brown"/>
    <x v="3"/>
    <s v="Coal"/>
    <x v="2"/>
    <x v="1"/>
    <n v="7"/>
    <n v="1.1666666666278616"/>
    <n v="1.1666666666278616"/>
    <n v="479.4999999840511"/>
    <n v="411"/>
    <x v="39"/>
  </r>
  <r>
    <x v="2"/>
    <x v="5"/>
    <n v="53"/>
    <n v="3245"/>
    <d v="2014-07-17T13:11:00"/>
    <d v="2014-07-22T15:50:00"/>
    <n v="0"/>
    <n v="456"/>
    <n v="411"/>
    <s v="Other cooling tower problems"/>
    <s v="3-2 Cooloing tower cell damage 6589856"/>
    <s v="Brown"/>
    <x v="3"/>
    <s v="Coal"/>
    <x v="2"/>
    <x v="1"/>
    <n v="7"/>
    <n v="122.64999999990687"/>
    <n v="122.64999999990687"/>
    <n v="50409.149999961723"/>
    <n v="411"/>
    <x v="39"/>
  </r>
  <r>
    <x v="2"/>
    <x v="7"/>
    <n v="54"/>
    <n v="3210"/>
    <d v="2014-07-22T15:50:00"/>
    <d v="2014-07-22T20:41:00"/>
    <n v="0"/>
    <n v="456"/>
    <n v="411"/>
    <s v="Circulating water pumps"/>
    <s v="3-2 CWP discharge valve not fully open. 3-1 CWP unavailable 6591462"/>
    <s v="Brown"/>
    <x v="3"/>
    <s v="Coal"/>
    <x v="2"/>
    <x v="1"/>
    <n v="7"/>
    <n v="4.8500000000931323"/>
    <n v="4.8500000000931323"/>
    <n v="1993.3500000382774"/>
    <n v="411"/>
    <x v="39"/>
  </r>
  <r>
    <x v="2"/>
    <x v="0"/>
    <n v="55"/>
    <n v="3412"/>
    <d v="2014-07-23T00:07:00"/>
    <d v="2014-07-23T03:35:00"/>
    <n v="300"/>
    <n v="456"/>
    <n v="411"/>
    <s v="Feedwater pump drive - steam turbine"/>
    <s v="3-1 BFP turbine bearing replacement 6590040"/>
    <s v="Brown"/>
    <x v="0"/>
    <s v="Coal"/>
    <x v="2"/>
    <x v="1"/>
    <n v="7"/>
    <n v="3.46666666661622"/>
    <n v="1.1859649122634437"/>
    <n v="487.43157894027536"/>
    <n v="140.60526315789474"/>
    <x v="59"/>
  </r>
  <r>
    <x v="2"/>
    <x v="0"/>
    <n v="56"/>
    <n v="3412"/>
    <d v="2014-07-23T03:35:00"/>
    <d v="2014-07-24T10:30:00"/>
    <n v="280"/>
    <n v="456"/>
    <n v="411"/>
    <s v="Feedwater pump drive - steam turbine"/>
    <s v="3-1 BFP turbine bearing replacement 6590040"/>
    <s v="Brown"/>
    <x v="0"/>
    <s v="Coal"/>
    <x v="2"/>
    <x v="1"/>
    <n v="7"/>
    <n v="30.916666666686069"/>
    <n v="11.932748538019185"/>
    <n v="4904.359649125885"/>
    <n v="158.63157894736841"/>
    <x v="68"/>
  </r>
  <r>
    <x v="2"/>
    <x v="0"/>
    <n v="57"/>
    <n v="3410"/>
    <d v="2014-07-26T16:55:00"/>
    <d v="2014-07-27T14:25:00"/>
    <n v="300"/>
    <n v="456"/>
    <n v="411"/>
    <s v="Feedwater pump"/>
    <s v="3-1 BFP IB pump bearing high temperature"/>
    <s v="Brown"/>
    <x v="0"/>
    <s v="Coal"/>
    <x v="2"/>
    <x v="1"/>
    <n v="7"/>
    <n v="21.500000000058208"/>
    <n v="7.3552631579146501"/>
    <n v="3023.0131579029212"/>
    <n v="140.60526315789474"/>
    <x v="59"/>
  </r>
  <r>
    <x v="2"/>
    <x v="1"/>
    <n v="58"/>
    <n v="3415"/>
    <d v="2014-08-05T02:20:00"/>
    <d v="2014-08-05T06:40:00"/>
    <n v="300"/>
    <n v="456"/>
    <n v="411"/>
    <s v="Feedwater pump/drive lube oil system"/>
    <s v="Clean 3-1 BFP lube oil cuno filters 6595168"/>
    <s v="Brown"/>
    <x v="0"/>
    <s v="Coal"/>
    <x v="2"/>
    <x v="1"/>
    <n v="8"/>
    <n v="4.3333333334885538"/>
    <n v="1.4824561404039789"/>
    <n v="609.28947370603532"/>
    <n v="140.60526315789474"/>
    <x v="59"/>
  </r>
  <r>
    <x v="2"/>
    <x v="1"/>
    <n v="59"/>
    <n v="3412"/>
    <d v="2014-09-02T22:00:00"/>
    <d v="2014-09-03T04:38:00"/>
    <n v="300"/>
    <n v="456"/>
    <n v="411"/>
    <s v="Feedwater pump drive - steam turbine"/>
    <s v="3-2 BFP vibration check "/>
    <s v="Brown"/>
    <x v="0"/>
    <s v="Coal"/>
    <x v="2"/>
    <x v="1"/>
    <n v="9"/>
    <n v="6.6333333334769122"/>
    <n v="2.2692982456631543"/>
    <n v="932.68157896755645"/>
    <n v="140.60526315789474"/>
    <x v="59"/>
  </r>
  <r>
    <x v="2"/>
    <x v="3"/>
    <n v="60"/>
    <n v="3412"/>
    <d v="2014-09-11T11:50:00"/>
    <d v="2014-09-11T13:45:00"/>
    <n v="0"/>
    <n v="456"/>
    <n v="411"/>
    <s v="Feedwater pump drive - steam turbine"/>
    <s v="Collecting vibration data for 3-2 BFP "/>
    <s v="Brown"/>
    <x v="1"/>
    <s v="Coal"/>
    <x v="2"/>
    <x v="1"/>
    <n v="9"/>
    <n v="1.9166666666278616"/>
    <n v="1.9166666666278616"/>
    <n v="787.7499999840511"/>
    <n v="411"/>
    <x v="39"/>
  </r>
  <r>
    <x v="2"/>
    <x v="4"/>
    <n v="62"/>
    <n v="1500"/>
    <d v="2014-09-15T06:40:00"/>
    <d v="2014-09-15T16:18:00"/>
    <n v="0"/>
    <n v="456"/>
    <n v="411"/>
    <s v="Air heater soot blowers"/>
    <s v="Inspect AH sootblowers  "/>
    <s v="Brown"/>
    <x v="2"/>
    <s v="Coal"/>
    <x v="2"/>
    <x v="1"/>
    <n v="9"/>
    <n v="9.6333333333022892"/>
    <n v="9.6333333333022892"/>
    <n v="3959.2999999872409"/>
    <n v="411"/>
    <x v="39"/>
  </r>
  <r>
    <x v="2"/>
    <x v="5"/>
    <n v="64"/>
    <n v="4281"/>
    <d v="2014-09-17T13:05:00"/>
    <d v="2014-09-20T13:36:00"/>
    <n v="0"/>
    <n v="456"/>
    <n v="411"/>
    <s v="Lube oil coolers A"/>
    <s v="3-1 Turbine Oil cooler leak. 6606790"/>
    <s v="Brown"/>
    <x v="3"/>
    <s v="Coal"/>
    <x v="2"/>
    <x v="1"/>
    <n v="9"/>
    <n v="72.516666666604578"/>
    <n v="72.516666666604578"/>
    <n v="29804.349999974482"/>
    <n v="411"/>
    <x v="39"/>
  </r>
  <r>
    <x v="2"/>
    <x v="4"/>
    <n v="66"/>
    <n v="3621"/>
    <d v="2014-10-09T21:59:00"/>
    <d v="2014-10-11T17:30:00"/>
    <n v="0"/>
    <n v="456"/>
    <n v="411"/>
    <s v="Unit auxiliaries transformer"/>
    <s v="Replace 3A Aux. transformer buss 6598348"/>
    <s v="Brown"/>
    <x v="2"/>
    <s v="Coal"/>
    <x v="2"/>
    <x v="1"/>
    <n v="10"/>
    <n v="43.516666666546371"/>
    <n v="43.516666666546371"/>
    <n v="17885.349999950558"/>
    <n v="411"/>
    <x v="39"/>
  </r>
  <r>
    <x v="2"/>
    <x v="0"/>
    <n v="69"/>
    <n v="3440"/>
    <d v="2014-10-21T19:00:00"/>
    <d v="2014-10-22T07:05:00"/>
    <n v="400"/>
    <n v="456"/>
    <n v="411"/>
    <s v="High pressure heater tube leaks"/>
    <s v="3F-2 HP heater leak "/>
    <s v="Brown"/>
    <x v="0"/>
    <s v="Coal"/>
    <x v="2"/>
    <x v="1"/>
    <n v="10"/>
    <n v="12.083333333430346"/>
    <n v="1.4839181286668846"/>
    <n v="609.89035088208959"/>
    <n v="50.473684210526315"/>
    <x v="33"/>
  </r>
  <r>
    <x v="2"/>
    <x v="0"/>
    <n v="70"/>
    <n v="3440"/>
    <d v="2014-10-22T07:05:00"/>
    <d v="2014-10-22T08:29:00"/>
    <n v="405"/>
    <n v="456"/>
    <n v="411"/>
    <s v="High pressure heater tube leaks"/>
    <s v="3F-2 HP heater leak 6617285"/>
    <s v="Brown"/>
    <x v="0"/>
    <s v="Coal"/>
    <x v="2"/>
    <x v="1"/>
    <n v="10"/>
    <n v="1.4000000000232831"/>
    <n v="0.15657894737102507"/>
    <n v="64.353947369491308"/>
    <n v="45.967105263157897"/>
    <x v="10"/>
  </r>
  <r>
    <x v="2"/>
    <x v="0"/>
    <n v="71"/>
    <n v="3440"/>
    <d v="2014-10-22T08:29:00"/>
    <d v="2014-10-23T12:30:00"/>
    <n v="430"/>
    <n v="456"/>
    <n v="411"/>
    <s v="High pressure heater tube leaks"/>
    <s v="3F-2 HP heater leak and full load RATA testing 6617059"/>
    <s v="Brown"/>
    <x v="0"/>
    <s v="Coal"/>
    <x v="2"/>
    <x v="1"/>
    <n v="10"/>
    <n v="28.016666666662786"/>
    <n v="1.5974415204676149"/>
    <n v="656.54846491218973"/>
    <n v="23.434210526315791"/>
    <x v="0"/>
  </r>
  <r>
    <x v="2"/>
    <x v="1"/>
    <n v="72"/>
    <n v="8700"/>
    <d v="2014-10-23T12:30:00"/>
    <d v="2014-10-23T16:10:00"/>
    <n v="225"/>
    <n v="456"/>
    <n v="411"/>
    <s v="CEMS Certification and Recertification"/>
    <s v="Low load RATA testing 6617059"/>
    <s v="Brown"/>
    <x v="0"/>
    <s v="Coal"/>
    <x v="2"/>
    <x v="1"/>
    <n v="10"/>
    <n v="3.6666666665696539"/>
    <n v="1.8574561403017327"/>
    <n v="763.41447366401212"/>
    <n v="208.20394736842104"/>
    <x v="69"/>
  </r>
  <r>
    <x v="2"/>
    <x v="0"/>
    <n v="73"/>
    <n v="3440"/>
    <d v="2014-10-23T16:10:00"/>
    <d v="2014-10-24T22:05:00"/>
    <n v="430"/>
    <n v="456"/>
    <n v="411"/>
    <s v="High pressure heater tube leaks"/>
    <s v="3F-2 HP heater leak   6617285"/>
    <s v="Brown"/>
    <x v="0"/>
    <s v="Coal"/>
    <x v="2"/>
    <x v="1"/>
    <n v="10"/>
    <n v="29.916666666744277"/>
    <n v="1.7057748538055948"/>
    <n v="701.07346491409942"/>
    <n v="23.434210526315791"/>
    <x v="0"/>
  </r>
  <r>
    <x v="2"/>
    <x v="4"/>
    <n v="74"/>
    <n v="3440"/>
    <d v="2014-10-24T22:05:00"/>
    <d v="2014-10-27T13:45:00"/>
    <n v="0"/>
    <n v="456"/>
    <n v="411"/>
    <s v="High pressure heater tube leaks"/>
    <s v="Repair 3F-2 HP heater leak 6617285"/>
    <s v="Brown"/>
    <x v="2"/>
    <s v="Coal"/>
    <x v="2"/>
    <x v="1"/>
    <n v="10"/>
    <n v="63.666666666569654"/>
    <n v="63.666666666569654"/>
    <n v="26166.999999960128"/>
    <n v="411"/>
    <x v="39"/>
  </r>
  <r>
    <x v="2"/>
    <x v="0"/>
    <n v="76"/>
    <n v="3502"/>
    <d v="2014-10-31T06:53:00"/>
    <d v="2014-10-31T08:00:00"/>
    <n v="400"/>
    <n v="456"/>
    <n v="411"/>
    <s v="Heater level control"/>
    <s v="3F-2 heater level controller replacement 6620029"/>
    <s v="Brown"/>
    <x v="0"/>
    <s v="Coal"/>
    <x v="2"/>
    <x v="1"/>
    <n v="10"/>
    <n v="1.1166666666395031"/>
    <n v="0.13713450292064072"/>
    <n v="56.362280700383337"/>
    <n v="50.473684210526315"/>
    <x v="33"/>
  </r>
  <r>
    <x v="2"/>
    <x v="5"/>
    <n v="77"/>
    <n v="1070"/>
    <d v="2014-11-12T17:24:00"/>
    <d v="2014-11-17T04:41:00"/>
    <n v="0"/>
    <n v="456"/>
    <n v="411"/>
    <s v="Second reheater B"/>
    <s v="Reheat tube leak 6622981"/>
    <s v="Brown"/>
    <x v="3"/>
    <s v="Coal"/>
    <x v="2"/>
    <x v="1"/>
    <n v="11"/>
    <n v="107.28333333344199"/>
    <n v="107.28333333344199"/>
    <n v="44093.450000044657"/>
    <n v="411"/>
    <x v="39"/>
  </r>
  <r>
    <x v="2"/>
    <x v="4"/>
    <n v="78"/>
    <n v="8816"/>
    <d v="2014-12-13T02:10:00"/>
    <d v="2014-12-20T04:31:00"/>
    <n v="0"/>
    <n v="456"/>
    <n v="411"/>
    <s v="SCR NOx Plugging"/>
    <s v="Clean and inspect SCR  "/>
    <s v="Brown"/>
    <x v="2"/>
    <s v="Coal"/>
    <x v="2"/>
    <x v="1"/>
    <n v="12"/>
    <n v="170.34999999997672"/>
    <n v="170.34999999997672"/>
    <n v="70013.849999990431"/>
    <n v="411"/>
    <x v="39"/>
  </r>
  <r>
    <x v="2"/>
    <x v="0"/>
    <n v="1"/>
    <n v="1710"/>
    <d v="2015-01-02T10:55:00"/>
    <d v="2015-01-02T12:22:00"/>
    <n v="57"/>
    <n v="456"/>
    <n v="411"/>
    <s v="Combustion/steam condition controls (report local controls --- burners"/>
    <s v="Boiler trip while swapping out mills to empty coal bunkers "/>
    <s v="Brown"/>
    <x v="0"/>
    <s v="Coal"/>
    <x v="2"/>
    <x v="2"/>
    <n v="1"/>
    <n v="1.4500000000116415"/>
    <n v="1.2687500000101863"/>
    <n v="521.45625000418659"/>
    <n v="359.625"/>
    <x v="63"/>
  </r>
  <r>
    <x v="2"/>
    <x v="1"/>
    <n v="2"/>
    <n v="335"/>
    <d v="2015-01-05T23:00:00"/>
    <d v="2015-01-06T01:45:00"/>
    <n v="350"/>
    <n v="456"/>
    <n v="411"/>
    <s v="Pulverizer lube oil system"/>
    <s v="Repair 3-4 mill oil filtration valve 6640989"/>
    <s v="Brown"/>
    <x v="0"/>
    <s v="Coal"/>
    <x v="2"/>
    <x v="2"/>
    <n v="1"/>
    <n v="2.7499999998835847"/>
    <n v="0.63925438593785078"/>
    <n v="262.73355262045669"/>
    <n v="95.53947368421052"/>
    <x v="41"/>
  </r>
  <r>
    <x v="2"/>
    <x v="3"/>
    <n v="3"/>
    <n v="8700"/>
    <d v="2015-01-13T21:45:00"/>
    <d v="2015-01-14T01:47:00"/>
    <n v="0"/>
    <n v="456"/>
    <n v="411"/>
    <s v="CEMS Certification and Recertification"/>
    <s v="Low load RATA testing"/>
    <s v="Brown"/>
    <x v="1"/>
    <s v="Coal"/>
    <x v="2"/>
    <x v="2"/>
    <n v="1"/>
    <n v="4.03333333338378"/>
    <n v="4.03333333338378"/>
    <n v="1657.7000000207336"/>
    <n v="411"/>
    <x v="39"/>
  </r>
  <r>
    <x v="2"/>
    <x v="5"/>
    <n v="5"/>
    <n v="4609"/>
    <d v="2015-01-22T19:00:00"/>
    <d v="2015-01-22T22:02:00"/>
    <n v="0"/>
    <n v="456"/>
    <n v="411"/>
    <s v="Other exciter problems"/>
    <s v="Exciter cooler piping leak"/>
    <s v="Brown"/>
    <x v="3"/>
    <s v="Coal"/>
    <x v="2"/>
    <x v="2"/>
    <n v="1"/>
    <n v="3.0333333334419876"/>
    <n v="3.0333333334419876"/>
    <n v="1246.7000000446569"/>
    <n v="411"/>
    <x v="39"/>
  </r>
  <r>
    <x v="2"/>
    <x v="7"/>
    <n v="7"/>
    <n v="500"/>
    <d v="2015-01-25T21:08:00"/>
    <d v="2015-01-26T18:20:00"/>
    <n v="0"/>
    <n v="456"/>
    <n v="411"/>
    <s v="Main steam piping up to turbine stop valves"/>
    <s v="Pin hole leak in main steam drain line prior to isolation valve.  "/>
    <s v="Brown"/>
    <x v="3"/>
    <s v="Coal"/>
    <x v="2"/>
    <x v="2"/>
    <n v="1"/>
    <n v="21.199999999953434"/>
    <n v="21.199999999953434"/>
    <n v="8713.1999999808613"/>
    <n v="411"/>
    <x v="39"/>
  </r>
  <r>
    <x v="2"/>
    <x v="0"/>
    <n v="8"/>
    <n v="310"/>
    <d v="2015-02-05T07:48:00"/>
    <d v="2015-02-05T09:16:00"/>
    <n v="350"/>
    <n v="456"/>
    <n v="411"/>
    <s v="Pulverizer mills"/>
    <s v="Water from 3-1 mil pyrite tank leaking back into mill"/>
    <s v="Brown"/>
    <x v="0"/>
    <s v="Coal"/>
    <x v="2"/>
    <x v="2"/>
    <n v="2"/>
    <n v="1.4666666667326353"/>
    <n v="0.34093567252995471"/>
    <n v="140.12456140981138"/>
    <n v="95.53947368421052"/>
    <x v="41"/>
  </r>
  <r>
    <x v="2"/>
    <x v="0"/>
    <n v="9"/>
    <n v="4560"/>
    <d v="2015-02-06T06:48:00"/>
    <d v="2015-02-06T07:45:00"/>
    <n v="325"/>
    <n v="456"/>
    <n v="411"/>
    <s v="Generator vibration (excluding vibration due to failed bearing and other components)"/>
    <s v="#7 generator/exciter bearing vibration"/>
    <s v="Brown"/>
    <x v="0"/>
    <s v="Coal"/>
    <x v="2"/>
    <x v="2"/>
    <n v="2"/>
    <n v="0.94999999995343387"/>
    <n v="0.27291666665328912"/>
    <n v="112.16874999450182"/>
    <n v="118.07236842105263"/>
    <x v="40"/>
  </r>
  <r>
    <x v="2"/>
    <x v="0"/>
    <n v="10"/>
    <n v="4560"/>
    <d v="2015-02-06T07:45:00"/>
    <d v="2015-02-06T09:08:00"/>
    <n v="380"/>
    <n v="456"/>
    <n v="411"/>
    <s v="Generator vibration (excluding vibration due to failed bearing and other components)"/>
    <s v="#7 generator/exciter bearing vibration"/>
    <s v="Brown"/>
    <x v="0"/>
    <s v="Coal"/>
    <x v="2"/>
    <x v="2"/>
    <n v="2"/>
    <n v="1.3833333334769122"/>
    <n v="0.23055555557948537"/>
    <n v="94.758333343168488"/>
    <n v="68.5"/>
    <x v="25"/>
  </r>
  <r>
    <x v="2"/>
    <x v="5"/>
    <n v="11"/>
    <n v="4560"/>
    <d v="2015-02-06T09:08:00"/>
    <d v="2015-02-06T19:03:00"/>
    <n v="0"/>
    <n v="456"/>
    <n v="411"/>
    <s v="Generator vibration (excluding vibration due to failed bearing and other components)"/>
    <s v="#7 generator/exciter bearing vibration"/>
    <s v="Brown"/>
    <x v="3"/>
    <s v="Coal"/>
    <x v="2"/>
    <x v="2"/>
    <n v="2"/>
    <n v="9.9166666665114462"/>
    <n v="9.9166666665114462"/>
    <n v="4075.7499999362044"/>
    <n v="411"/>
    <x v="39"/>
  </r>
  <r>
    <x v="2"/>
    <x v="5"/>
    <n v="12"/>
    <n v="90"/>
    <d v="2015-02-20T13:34:00"/>
    <d v="2015-02-20T15:55:00"/>
    <n v="0"/>
    <n v="456"/>
    <n v="411"/>
    <s v="Bunker fires"/>
    <s v="FR00Unit 3 coal bunker fires in 3-4 and partially in 3-5 bunker "/>
    <s v="Brown"/>
    <x v="3"/>
    <s v="Coal"/>
    <x v="2"/>
    <x v="2"/>
    <n v="2"/>
    <n v="2.3499999999767169"/>
    <n v="2.3499999999767169"/>
    <n v="965.84999999043066"/>
    <n v="411"/>
    <x v="39"/>
  </r>
  <r>
    <x v="2"/>
    <x v="0"/>
    <n v="13"/>
    <n v="9270"/>
    <d v="2015-02-20T22:16:00"/>
    <d v="2015-02-21T03:20:00"/>
    <n v="350"/>
    <n v="456"/>
    <n v="411"/>
    <s v="Wet coal"/>
    <s v="FW00Wet Coal"/>
    <s v="Brown"/>
    <x v="0"/>
    <s v="Coal"/>
    <x v="2"/>
    <x v="2"/>
    <n v="2"/>
    <n v="5.0666666667675599"/>
    <n v="1.1777777778012311"/>
    <n v="484.06666667630594"/>
    <n v="95.53947368421052"/>
    <x v="41"/>
  </r>
  <r>
    <x v="2"/>
    <x v="0"/>
    <n v="14"/>
    <n v="340"/>
    <d v="2015-02-22T23:35:00"/>
    <d v="2015-02-23T00:54:00"/>
    <n v="360"/>
    <n v="456"/>
    <n v="411"/>
    <s v="Other pulverizer problems"/>
    <s v="3-5 Mill CO issues  "/>
    <s v="Brown"/>
    <x v="0"/>
    <s v="Coal"/>
    <x v="2"/>
    <x v="2"/>
    <n v="2"/>
    <n v="1.316666666592937"/>
    <n v="0.2771929824406183"/>
    <n v="113.92631578309413"/>
    <n v="86.526315789473685"/>
    <x v="47"/>
  </r>
  <r>
    <x v="2"/>
    <x v="1"/>
    <n v="15"/>
    <n v="344"/>
    <d v="2015-02-24T22:00:00"/>
    <d v="2015-02-25T01:05:00"/>
    <n v="350"/>
    <n v="456"/>
    <n v="411"/>
    <s v="Pulverizer inspection"/>
    <s v="Inspect 3-5 mill for cause of high CO readings"/>
    <s v="Brown"/>
    <x v="0"/>
    <s v="Coal"/>
    <x v="2"/>
    <x v="2"/>
    <n v="2"/>
    <n v="3.0833333334303461"/>
    <n v="0.71673976610442258"/>
    <n v="294.5800438689177"/>
    <n v="95.53947368421052"/>
    <x v="41"/>
  </r>
  <r>
    <x v="2"/>
    <x v="5"/>
    <n v="16"/>
    <n v="500"/>
    <d v="2015-03-06T01:49:00"/>
    <d v="2015-03-07T03:19:00"/>
    <n v="0"/>
    <n v="456"/>
    <n v="411"/>
    <s v="Main steam piping up to turbine stop valves"/>
    <s v="Leak in main steam drain line 6660146 "/>
    <s v="Brown"/>
    <x v="3"/>
    <s v="Coal"/>
    <x v="2"/>
    <x v="2"/>
    <n v="3"/>
    <n v="25.5"/>
    <n v="25.5"/>
    <n v="10480.5"/>
    <n v="411"/>
    <x v="39"/>
  </r>
  <r>
    <x v="2"/>
    <x v="6"/>
    <n v="17"/>
    <n v="8812"/>
    <d v="2015-03-29T12:46:00"/>
    <d v="2015-04-20T07:19:00"/>
    <n v="0"/>
    <n v="456"/>
    <n v="411"/>
    <s v="SCR NOxCatalyst"/>
    <s v="Replace SCR catalyst"/>
    <s v="Brown"/>
    <x v="1"/>
    <s v="Coal"/>
    <x v="2"/>
    <x v="2"/>
    <n v="3"/>
    <n v="522.54999999987194"/>
    <n v="522.54999999987194"/>
    <n v="214768.04999994737"/>
    <n v="411"/>
    <x v="39"/>
  </r>
  <r>
    <x v="2"/>
    <x v="0"/>
    <n v="18"/>
    <n v="3352"/>
    <d v="2015-04-20T15:19:00"/>
    <d v="2015-04-21T05:40:00"/>
    <n v="420"/>
    <n v="456"/>
    <n v="411"/>
    <s v="Feedwater chemistry (not specific to condenser"/>
    <s v="High silica "/>
    <s v="Brown"/>
    <x v="0"/>
    <s v="Coal"/>
    <x v="2"/>
    <x v="2"/>
    <n v="4"/>
    <n v="14.349999999976717"/>
    <n v="1.1328947368402671"/>
    <n v="465.61973684134978"/>
    <n v="32.44736842105263"/>
    <x v="8"/>
  </r>
  <r>
    <x v="2"/>
    <x v="1"/>
    <n v="19"/>
    <n v="3410"/>
    <d v="2015-04-24T23:00:00"/>
    <d v="2015-04-25T00:40:00"/>
    <n v="310"/>
    <n v="456"/>
    <n v="411"/>
    <s v="Feedwater pump"/>
    <s v="F590Steam leak on low pressure steam chest to the 3-1BFP"/>
    <s v="Brown"/>
    <x v="0"/>
    <s v="Coal"/>
    <x v="2"/>
    <x v="2"/>
    <n v="4"/>
    <n v="1.6666666666860692"/>
    <n v="0.53362573100036426"/>
    <n v="219.3201754411497"/>
    <n v="131.59210526315789"/>
    <x v="51"/>
  </r>
  <r>
    <x v="2"/>
    <x v="3"/>
    <n v="20"/>
    <n v="8812"/>
    <d v="2015-05-07T21:00:00"/>
    <d v="2015-05-07T23:24:00"/>
    <n v="0"/>
    <n v="456"/>
    <n v="411"/>
    <s v="SCR NOxCatalyst"/>
    <s v="SCR ammonia injection tuning at 350 mw"/>
    <s v="Brown"/>
    <x v="1"/>
    <s v="Coal"/>
    <x v="2"/>
    <x v="2"/>
    <n v="5"/>
    <n v="2.3999999999650754"/>
    <n v="2.3999999999650754"/>
    <n v="986.39999998564599"/>
    <n v="411"/>
    <x v="39"/>
  </r>
  <r>
    <x v="2"/>
    <x v="3"/>
    <n v="21"/>
    <n v="8812"/>
    <d v="2015-05-07T23:24:00"/>
    <d v="2015-05-08T00:00:00"/>
    <n v="0"/>
    <n v="456"/>
    <n v="411"/>
    <s v="SCR NOxCatalyst"/>
    <s v="SCR ammonia injection tuning at180 mw"/>
    <s v="Brown"/>
    <x v="1"/>
    <s v="Coal"/>
    <x v="2"/>
    <x v="2"/>
    <n v="5"/>
    <n v="0.6000000000349246"/>
    <n v="0.6000000000349246"/>
    <n v="246.60000001435401"/>
    <n v="411"/>
    <x v="39"/>
  </r>
  <r>
    <x v="2"/>
    <x v="5"/>
    <n v="22"/>
    <n v="3211"/>
    <d v="2015-05-11T12:20:00"/>
    <d v="2015-05-11T13:06:00"/>
    <n v="0"/>
    <n v="456"/>
    <n v="411"/>
    <s v="Circulating water pump motors"/>
    <s v="3-2 CWP trip leading to turbine trip "/>
    <s v="Brown"/>
    <x v="3"/>
    <s v="Coal"/>
    <x v="2"/>
    <x v="2"/>
    <n v="5"/>
    <n v="0.76666666654637083"/>
    <n v="0.76666666654637083"/>
    <n v="315.09999995055841"/>
    <n v="411"/>
    <x v="39"/>
  </r>
  <r>
    <x v="2"/>
    <x v="4"/>
    <n v="24"/>
    <n v="1090"/>
    <d v="2015-06-02T07:14:00"/>
    <d v="2015-06-02T14:30:00"/>
    <n v="0"/>
    <n v="456"/>
    <n v="411"/>
    <s v="Other boiler tube leaks"/>
    <s v="Lower water wall tube leak above ash hopper "/>
    <s v="Brown"/>
    <x v="2"/>
    <s v="Coal"/>
    <x v="2"/>
    <x v="2"/>
    <n v="6"/>
    <n v="7.2666666666045785"/>
    <n v="7.2666666666045785"/>
    <n v="2986.5999999744818"/>
    <n v="411"/>
    <x v="39"/>
  </r>
  <r>
    <x v="2"/>
    <x v="1"/>
    <n v="26"/>
    <n v="3415"/>
    <d v="2015-06-28T22:00:00"/>
    <d v="2015-06-29T02:15:00"/>
    <n v="300"/>
    <n v="456"/>
    <n v="411"/>
    <s v="Feedwater pump/drive lube oil system"/>
    <s v="Repair oil leak on 3-1 BFP piping"/>
    <s v="Brown"/>
    <x v="0"/>
    <s v="Coal"/>
    <x v="2"/>
    <x v="2"/>
    <n v="6"/>
    <n v="4.2500000000582077"/>
    <n v="1.4539473684409658"/>
    <n v="597.57236842923692"/>
    <n v="140.60526315789474"/>
    <x v="59"/>
  </r>
  <r>
    <x v="2"/>
    <x v="0"/>
    <n v="27"/>
    <n v="310"/>
    <d v="2015-06-29T02:15:00"/>
    <d v="2015-06-29T06:26:00"/>
    <n v="350"/>
    <n v="456"/>
    <n v="411"/>
    <s v="Pulverizer mills"/>
    <s v="Repair oil leak on 3-3 mill"/>
    <s v="Brown"/>
    <x v="0"/>
    <s v="Coal"/>
    <x v="2"/>
    <x v="2"/>
    <n v="6"/>
    <n v="4.1833333333488554"/>
    <n v="0.9724415204714445"/>
    <n v="399.67346491376367"/>
    <n v="95.53947368421052"/>
    <x v="41"/>
  </r>
  <r>
    <x v="2"/>
    <x v="1"/>
    <n v="28"/>
    <n v="3412"/>
    <d v="2015-06-29T22:00:00"/>
    <d v="2015-06-30T02:12:00"/>
    <n v="300"/>
    <n v="456"/>
    <n v="411"/>
    <s v="Feedwater pump drive - steam turbine"/>
    <s v="Inspect 3-2 BFP circulating water lines"/>
    <s v="Brown"/>
    <x v="0"/>
    <s v="Coal"/>
    <x v="2"/>
    <x v="2"/>
    <n v="6"/>
    <n v="4.2000000000698492"/>
    <n v="1.4368421052870537"/>
    <n v="590.54210527297903"/>
    <n v="140.60526315789474"/>
    <x v="59"/>
  </r>
  <r>
    <x v="2"/>
    <x v="0"/>
    <n v="29"/>
    <n v="3440"/>
    <d v="2015-06-30T09:41:00"/>
    <d v="2015-07-01T23:00:00"/>
    <n v="425"/>
    <n v="456"/>
    <n v="411"/>
    <s v="High pressure heater tube leaks"/>
    <s v="3F-2 HP heater leak"/>
    <s v="Brown"/>
    <x v="0"/>
    <s v="Coal"/>
    <x v="2"/>
    <x v="2"/>
    <n v="6"/>
    <n v="37.31666666676756"/>
    <n v="2.536878654977619"/>
    <n v="1042.6571271958014"/>
    <n v="27.940789473684209"/>
    <x v="67"/>
  </r>
  <r>
    <x v="2"/>
    <x v="1"/>
    <n v="30"/>
    <n v="8700"/>
    <d v="2015-07-01T23:00:00"/>
    <d v="2015-07-02T05:14:00"/>
    <n v="180"/>
    <n v="456"/>
    <n v="411"/>
    <s v="CEMS Certification and Recertification"/>
    <s v="Conducting load vs flow test for new monitoring probe"/>
    <s v="Brown"/>
    <x v="0"/>
    <s v="Coal"/>
    <x v="2"/>
    <x v="2"/>
    <n v="7"/>
    <n v="6.2333333332207985"/>
    <n v="3.7728070174757464"/>
    <n v="1550.6236841825319"/>
    <n v="248.76315789473685"/>
    <x v="44"/>
  </r>
  <r>
    <x v="2"/>
    <x v="0"/>
    <n v="31"/>
    <n v="3440"/>
    <d v="2015-07-02T05:14:00"/>
    <d v="2015-07-02T22:00:00"/>
    <n v="425"/>
    <n v="456"/>
    <n v="411"/>
    <s v="High pressure heater tube leaks"/>
    <s v="3F-2 HP heater leak"/>
    <s v="Brown"/>
    <x v="0"/>
    <s v="Coal"/>
    <x v="2"/>
    <x v="2"/>
    <n v="7"/>
    <n v="16.766666666662786"/>
    <n v="1.1398391812862858"/>
    <n v="468.47390350866345"/>
    <n v="27.940789473684209"/>
    <x v="67"/>
  </r>
  <r>
    <x v="2"/>
    <x v="4"/>
    <n v="32"/>
    <n v="3440"/>
    <d v="2015-07-02T22:00:00"/>
    <d v="2015-07-04T18:05:00"/>
    <n v="0"/>
    <n v="456"/>
    <n v="411"/>
    <s v="High pressure heater tube leaks"/>
    <s v="3F-2 HP heater leak repair "/>
    <s v="Brown"/>
    <x v="2"/>
    <s v="Coal"/>
    <x v="2"/>
    <x v="2"/>
    <n v="7"/>
    <n v="44.083333333313931"/>
    <n v="44.083333333313931"/>
    <n v="18118.249999992026"/>
    <n v="411"/>
    <x v="39"/>
  </r>
  <r>
    <x v="2"/>
    <x v="0"/>
    <n v="34"/>
    <n v="1710"/>
    <d v="2015-07-07T08:30:00"/>
    <d v="2015-07-07T08:58:00"/>
    <n v="95"/>
    <n v="456"/>
    <n v="411"/>
    <s v="Combustion/steam condition controls (report local controls --- burners"/>
    <s v="Boiler MFT after loosing 3-3 mill feeder multiple times"/>
    <s v="Brown"/>
    <x v="0"/>
    <s v="Coal"/>
    <x v="2"/>
    <x v="2"/>
    <n v="7"/>
    <n v="0.46666666679084301"/>
    <n v="0.36944444454275072"/>
    <n v="151.84166670707054"/>
    <n v="325.375"/>
    <x v="70"/>
  </r>
  <r>
    <x v="2"/>
    <x v="4"/>
    <n v="35"/>
    <n v="740"/>
    <d v="2015-07-08T07:16:00"/>
    <d v="2015-07-09T16:19:00"/>
    <n v="0"/>
    <n v="456"/>
    <n v="411"/>
    <s v="Boiler recirculation pumps"/>
    <s v="Replace 3-3 BCWP "/>
    <s v="Brown"/>
    <x v="2"/>
    <s v="Coal"/>
    <x v="2"/>
    <x v="2"/>
    <n v="7"/>
    <n v="33.049999999988358"/>
    <n v="33.049999999988358"/>
    <n v="13583.549999995215"/>
    <n v="411"/>
    <x v="39"/>
  </r>
  <r>
    <x v="2"/>
    <x v="0"/>
    <n v="37"/>
    <n v="9270"/>
    <d v="2015-07-14T16:14:00"/>
    <d v="2015-07-14T17:40:00"/>
    <n v="340"/>
    <n v="456"/>
    <n v="411"/>
    <s v="Wet coal"/>
    <s v="3-4 feeder plugged due to wet coal "/>
    <s v="Brown"/>
    <x v="0"/>
    <s v="Coal"/>
    <x v="2"/>
    <x v="2"/>
    <n v="7"/>
    <n v="1.4333333332906477"/>
    <n v="0.36461988303007703"/>
    <n v="149.85877192536165"/>
    <n v="104.55263157894737"/>
    <x v="43"/>
  </r>
  <r>
    <x v="2"/>
    <x v="0"/>
    <n v="38"/>
    <n v="9270"/>
    <d v="2015-07-14T17:40:00"/>
    <d v="2015-07-15T00:43:00"/>
    <n v="240"/>
    <n v="456"/>
    <n v="411"/>
    <s v="Wet coal"/>
    <s v="3-3 &amp; 3-4 feeders plugged due to wet coal"/>
    <s v="Brown"/>
    <x v="0"/>
    <s v="Coal"/>
    <x v="2"/>
    <x v="2"/>
    <n v="7"/>
    <n v="7.0500000001047738"/>
    <n v="3.339473684260156"/>
    <n v="1372.5236842309241"/>
    <n v="194.68421052631578"/>
    <x v="71"/>
  </r>
  <r>
    <x v="2"/>
    <x v="0"/>
    <n v="39"/>
    <n v="9270"/>
    <d v="2015-07-15T00:43:00"/>
    <d v="2015-07-15T01:35:00"/>
    <n v="240"/>
    <n v="456"/>
    <n v="411"/>
    <s v="Wet coal"/>
    <s v="3-2 &amp; 3-3 fedders plugged due to wet coal"/>
    <s v="Brown"/>
    <x v="0"/>
    <s v="Coal"/>
    <x v="2"/>
    <x v="2"/>
    <n v="7"/>
    <n v="0.86666666652308777"/>
    <n v="0.41052631572146264"/>
    <n v="168.72631576152114"/>
    <n v="194.68421052631578"/>
    <x v="71"/>
  </r>
  <r>
    <x v="2"/>
    <x v="1"/>
    <n v="40"/>
    <n v="300"/>
    <d v="2015-07-15T01:35:00"/>
    <d v="2015-07-15T02:35:00"/>
    <n v="350"/>
    <n v="456"/>
    <n v="411"/>
    <s v="Pulverizer motors and drives"/>
    <s v="Replace 3-2 mill motor"/>
    <s v="Brown"/>
    <x v="0"/>
    <s v="Coal"/>
    <x v="2"/>
    <x v="2"/>
    <n v="7"/>
    <n v="1.0000000001164153"/>
    <n v="0.23245614037793866"/>
    <n v="95.539473695332788"/>
    <n v="95.53947368421052"/>
    <x v="41"/>
  </r>
  <r>
    <x v="2"/>
    <x v="0"/>
    <n v="41"/>
    <n v="9270"/>
    <d v="2015-07-15T02:35:00"/>
    <d v="2015-07-15T03:49:00"/>
    <n v="55"/>
    <n v="456"/>
    <n v="411"/>
    <s v="Wet coal"/>
    <s v="Boiler trip due to wet coal"/>
    <s v="Brown"/>
    <x v="0"/>
    <s v="Coal"/>
    <x v="2"/>
    <x v="2"/>
    <n v="7"/>
    <n v="1.2333333333372138"/>
    <n v="1.0845760233952253"/>
    <n v="445.7607456154376"/>
    <n v="361.42763157894734"/>
    <x v="57"/>
  </r>
  <r>
    <x v="2"/>
    <x v="5"/>
    <n v="42"/>
    <n v="9270"/>
    <d v="2015-07-15T03:49:00"/>
    <d v="2015-07-15T06:52:00"/>
    <n v="0"/>
    <n v="456"/>
    <n v="411"/>
    <s v="Wet coal"/>
    <s v="Unit trip due to wet coal "/>
    <s v="Brown"/>
    <x v="3"/>
    <s v="Coal"/>
    <x v="2"/>
    <x v="2"/>
    <n v="7"/>
    <n v="3.0499999999883585"/>
    <n v="3.0499999999883585"/>
    <n v="1253.5499999952153"/>
    <n v="411"/>
    <x v="39"/>
  </r>
  <r>
    <x v="2"/>
    <x v="7"/>
    <n v="43"/>
    <n v="9270"/>
    <d v="2015-07-15T06:52:00"/>
    <d v="2015-07-15T12:21:00"/>
    <n v="0"/>
    <n v="456"/>
    <n v="411"/>
    <s v="Wet coal"/>
    <s v="Startup failure due to wet coal conditions"/>
    <s v="Brown"/>
    <x v="3"/>
    <s v="Coal"/>
    <x v="2"/>
    <x v="2"/>
    <n v="7"/>
    <n v="5.4833333332207985"/>
    <n v="5.4833333332207985"/>
    <n v="2253.6499999537482"/>
    <n v="411"/>
    <x v="39"/>
  </r>
  <r>
    <x v="2"/>
    <x v="0"/>
    <n v="44"/>
    <n v="9270"/>
    <d v="2015-07-15T18:24:00"/>
    <d v="2015-07-15T22:22:00"/>
    <n v="305"/>
    <n v="456"/>
    <n v="411"/>
    <s v="Wet coal"/>
    <s v="Wet coal causing mill feeder issues"/>
    <s v="Brown"/>
    <x v="0"/>
    <s v="Coal"/>
    <x v="2"/>
    <x v="2"/>
    <n v="7"/>
    <n v="3.9666666664998047"/>
    <n v="1.3135233917576108"/>
    <n v="539.858114012378"/>
    <n v="136.09868421052633"/>
    <x v="62"/>
  </r>
  <r>
    <x v="2"/>
    <x v="0"/>
    <n v="45"/>
    <n v="9270"/>
    <d v="2015-07-15T22:22:00"/>
    <d v="2015-07-16T00:30:00"/>
    <n v="160"/>
    <n v="456"/>
    <n v="411"/>
    <s v="Wet coal"/>
    <s v="Wet coal causing mill feeder issues"/>
    <s v="Brown"/>
    <x v="0"/>
    <s v="Coal"/>
    <x v="2"/>
    <x v="2"/>
    <n v="7"/>
    <n v="2.1333333334769122"/>
    <n v="1.3847953217306272"/>
    <n v="569.15087723128784"/>
    <n v="266.78947368421052"/>
    <x v="72"/>
  </r>
  <r>
    <x v="2"/>
    <x v="0"/>
    <n v="46"/>
    <n v="9930"/>
    <d v="2015-07-25T09:12:00"/>
    <d v="2015-07-25T09:20:00"/>
    <n v="240"/>
    <n v="456"/>
    <n v="411"/>
    <s v="Operating procedure error"/>
    <s v="Suction valve at fuel oil tank left in closed position"/>
    <s v="Brown"/>
    <x v="0"/>
    <s v="Coal"/>
    <x v="2"/>
    <x v="2"/>
    <n v="7"/>
    <n v="0.13333333341870457"/>
    <n v="6.3157894777281107E-2"/>
    <n v="25.957894753462536"/>
    <n v="194.68421052631578"/>
    <x v="71"/>
  </r>
  <r>
    <x v="2"/>
    <x v="0"/>
    <n v="47"/>
    <n v="250"/>
    <d v="2015-07-25T09:26:00"/>
    <d v="2015-07-25T13:30:00"/>
    <n v="350"/>
    <n v="456"/>
    <n v="411"/>
    <s v="Pulverizer feeders"/>
    <s v="3-2 feeder belt replaced due to damage from foregin metal in feeder."/>
    <s v="Brown"/>
    <x v="0"/>
    <s v="Coal"/>
    <x v="2"/>
    <x v="2"/>
    <n v="7"/>
    <n v="4.0666666666511446"/>
    <n v="0.94532163742329234"/>
    <n v="388.52719298097315"/>
    <n v="95.53947368421052"/>
    <x v="41"/>
  </r>
  <r>
    <x v="2"/>
    <x v="0"/>
    <n v="48"/>
    <n v="3414"/>
    <d v="2015-07-28T18:01:00"/>
    <d v="2015-07-28T20:17:00"/>
    <n v="275"/>
    <n v="456"/>
    <n v="411"/>
    <s v="Feedwater pump local controls"/>
    <s v="3-1 BFP LP stop valve control problems"/>
    <s v="Brown"/>
    <x v="0"/>
    <s v="Coal"/>
    <x v="2"/>
    <x v="2"/>
    <n v="7"/>
    <n v="2.2666666665463708"/>
    <n v="0.89970760229143232"/>
    <n v="369.77982454177868"/>
    <n v="163.13815789473685"/>
    <x v="58"/>
  </r>
  <r>
    <x v="2"/>
    <x v="0"/>
    <n v="49"/>
    <n v="3414"/>
    <d v="2015-07-28T20:17:00"/>
    <d v="2015-07-28T21:45:00"/>
    <n v="315"/>
    <n v="456"/>
    <n v="411"/>
    <s v="Feedwater pump local controls"/>
    <s v="3-1 BFP LP stop valve control problems"/>
    <s v="Brown"/>
    <x v="0"/>
    <s v="Coal"/>
    <x v="2"/>
    <x v="2"/>
    <n v="7"/>
    <n v="1.4666666667326353"/>
    <n v="0.45350877195022277"/>
    <n v="186.39210527154157"/>
    <n v="127.08552631578948"/>
    <x v="49"/>
  </r>
  <r>
    <x v="2"/>
    <x v="0"/>
    <n v="50"/>
    <n v="3414"/>
    <d v="2015-08-02T16:07:00"/>
    <d v="2015-08-02T16:25:00"/>
    <n v="315"/>
    <n v="456"/>
    <n v="411"/>
    <s v="Feedwater pump local controls"/>
    <s v="3-1 BFP governor valve control problems"/>
    <s v="Brown"/>
    <x v="0"/>
    <s v="Coal"/>
    <x v="2"/>
    <x v="2"/>
    <n v="8"/>
    <n v="0.30000000010477379"/>
    <n v="9.2763157927134007E-2"/>
    <n v="38.125657908052077"/>
    <n v="127.08552631578948"/>
    <x v="49"/>
  </r>
  <r>
    <x v="2"/>
    <x v="0"/>
    <n v="51"/>
    <n v="3414"/>
    <d v="2015-08-04T13:50:00"/>
    <d v="2015-08-05T11:51:00"/>
    <n v="300"/>
    <n v="456"/>
    <n v="411"/>
    <s v="Feedwater pump local controls"/>
    <s v="3-1 BFP LP/HP governor controls not responding"/>
    <s v="Brown"/>
    <x v="0"/>
    <s v="Coal"/>
    <x v="2"/>
    <x v="2"/>
    <n v="8"/>
    <n v="22.016666666662786"/>
    <n v="7.5320175438583217"/>
    <n v="3095.65921052577"/>
    <n v="140.60526315789474"/>
    <x v="59"/>
  </r>
  <r>
    <x v="2"/>
    <x v="0"/>
    <n v="52"/>
    <n v="3412"/>
    <d v="2015-08-17T13:59:00"/>
    <d v="2015-08-18T04:43:00"/>
    <n v="300"/>
    <n v="456"/>
    <n v="411"/>
    <s v="Feedwater pump drive - steam turbine"/>
    <s v="3-1 BFP steam leak at LP steam line connection"/>
    <s v="Brown"/>
    <x v="0"/>
    <s v="Coal"/>
    <x v="2"/>
    <x v="2"/>
    <n v="8"/>
    <n v="14.733333333337214"/>
    <n v="5.0403508771943102"/>
    <n v="2071.5842105268616"/>
    <n v="140.60526315789474"/>
    <x v="59"/>
  </r>
  <r>
    <x v="2"/>
    <x v="3"/>
    <n v="53"/>
    <n v="8700"/>
    <d v="2015-08-18T21:23:00"/>
    <d v="2015-08-19T10:44:00"/>
    <n v="0"/>
    <n v="456"/>
    <n v="411"/>
    <s v="CEMS Certification and Recertification"/>
    <s v="Duct Gas RATA testing"/>
    <s v="Brown"/>
    <x v="1"/>
    <s v="Coal"/>
    <x v="2"/>
    <x v="2"/>
    <n v="8"/>
    <n v="13.350000000034925"/>
    <n v="13.350000000034925"/>
    <n v="5486.850000014354"/>
    <n v="411"/>
    <x v="39"/>
  </r>
  <r>
    <x v="2"/>
    <x v="3"/>
    <n v="54"/>
    <n v="8700"/>
    <d v="2015-08-19T21:00:00"/>
    <d v="2015-08-20T00:48:00"/>
    <n v="0"/>
    <n v="456"/>
    <n v="411"/>
    <s v="CEMS Certification and Recertification"/>
    <s v="Duct low flow RATA testing"/>
    <s v="Brown"/>
    <x v="1"/>
    <s v="Coal"/>
    <x v="2"/>
    <x v="2"/>
    <n v="8"/>
    <n v="3.7999999999883585"/>
    <n v="3.7999999999883585"/>
    <n v="1561.7999999952153"/>
    <n v="411"/>
    <x v="39"/>
  </r>
  <r>
    <x v="2"/>
    <x v="0"/>
    <n v="55"/>
    <n v="350"/>
    <d v="2015-09-01T13:21:00"/>
    <d v="2015-09-01T14:52:00"/>
    <n v="325"/>
    <n v="456"/>
    <n v="411"/>
    <s v="Pulverized fuel and air piping (from pulverizer to wind box)"/>
    <s v="3-4 mill burner line fire"/>
    <s v="Brown"/>
    <x v="0"/>
    <s v="Coal"/>
    <x v="2"/>
    <x v="2"/>
    <n v="9"/>
    <n v="1.5166666665463708"/>
    <n v="0.43570906429292672"/>
    <n v="179.07642542439288"/>
    <n v="118.07236842105263"/>
    <x v="40"/>
  </r>
  <r>
    <x v="2"/>
    <x v="0"/>
    <n v="56"/>
    <n v="310"/>
    <d v="2015-09-01T14:52:00"/>
    <d v="2015-09-01T15:30:00"/>
    <n v="325"/>
    <n v="456"/>
    <n v="411"/>
    <s v="Pulverizer mills"/>
    <s v="Inspect 3-2 mill motor coupling "/>
    <s v="Brown"/>
    <x v="0"/>
    <s v="Coal"/>
    <x v="2"/>
    <x v="2"/>
    <n v="9"/>
    <n v="0.63333333347691223"/>
    <n v="0.18194444448569189"/>
    <n v="74.779166683619366"/>
    <n v="118.07236842105263"/>
    <x v="40"/>
  </r>
  <r>
    <x v="2"/>
    <x v="0"/>
    <n v="57"/>
    <n v="310"/>
    <d v="2015-09-01T15:30:00"/>
    <d v="2015-09-02T05:04:00"/>
    <n v="350"/>
    <n v="456"/>
    <n v="411"/>
    <s v="Pulverizer mills"/>
    <s v="Replace 3-2 mill motor to mill coupling"/>
    <s v="Brown"/>
    <x v="0"/>
    <s v="Coal"/>
    <x v="2"/>
    <x v="2"/>
    <n v="9"/>
    <n v="13.566666666534729"/>
    <n v="3.1536549707295642"/>
    <n v="1296.1521929698508"/>
    <n v="95.53947368421052"/>
    <x v="41"/>
  </r>
  <r>
    <x v="2"/>
    <x v="0"/>
    <n v="58"/>
    <n v="350"/>
    <d v="2015-09-02T08:07:00"/>
    <d v="2015-09-02T10:53:00"/>
    <n v="350"/>
    <n v="456"/>
    <n v="411"/>
    <s v="Pulverized fuel and air piping (from pulverizer to wind box)"/>
    <s v="Suspect fire in 3-4D burner line"/>
    <s v="Brown"/>
    <x v="0"/>
    <s v="Coal"/>
    <x v="2"/>
    <x v="2"/>
    <n v="9"/>
    <n v="2.7666666667792015"/>
    <n v="0.64312865499691962"/>
    <n v="264.32587720373397"/>
    <n v="95.53947368421052"/>
    <x v="41"/>
  </r>
  <r>
    <x v="2"/>
    <x v="4"/>
    <n v="60"/>
    <n v="891"/>
    <d v="2015-09-14T06:00:00"/>
    <d v="2015-09-14T22:08:00"/>
    <n v="0"/>
    <n v="456"/>
    <n v="411"/>
    <s v="Bottom ash hoppers (including gates)"/>
    <s v="Pre-outage inspection of bottom ash hopper by Skanska"/>
    <s v="Brown"/>
    <x v="2"/>
    <s v="Coal"/>
    <x v="2"/>
    <x v="2"/>
    <n v="9"/>
    <n v="16.133333333360497"/>
    <n v="16.133333333360497"/>
    <n v="6630.8000000111642"/>
    <n v="411"/>
    <x v="39"/>
  </r>
  <r>
    <x v="2"/>
    <x v="4"/>
    <n v="62"/>
    <n v="350"/>
    <d v="2015-09-16T08:02:00"/>
    <d v="2015-09-16T11:07:00"/>
    <n v="0"/>
    <n v="456"/>
    <n v="411"/>
    <s v="Pulverized fuel and air piping (from pulverizer to wind box)"/>
    <s v="Inspect 3-1C burner nozzle"/>
    <s v="Brown"/>
    <x v="2"/>
    <s v="Coal"/>
    <x v="2"/>
    <x v="2"/>
    <n v="9"/>
    <n v="3.0833333332557231"/>
    <n v="3.0833333332557231"/>
    <n v="1267.2499999681022"/>
    <n v="411"/>
    <x v="39"/>
  </r>
  <r>
    <x v="2"/>
    <x v="0"/>
    <n v="65"/>
    <n v="110"/>
    <d v="2015-09-23T17:04:00"/>
    <d v="2015-09-23T17:48:00"/>
    <n v="105"/>
    <n v="456"/>
    <n v="411"/>
    <s v="Other coal fuel supply problems up through bunkers"/>
    <s v="3-5 mill coal bunker empty"/>
    <s v="Brown"/>
    <x v="0"/>
    <s v="Coal"/>
    <x v="2"/>
    <x v="2"/>
    <n v="9"/>
    <n v="0.73333333345362917"/>
    <n v="0.5644736843031225"/>
    <n v="231.99868424858334"/>
    <n v="316.36184210526318"/>
    <x v="73"/>
  </r>
  <r>
    <x v="2"/>
    <x v="0"/>
    <n v="66"/>
    <n v="310"/>
    <d v="2015-09-28T06:40:00"/>
    <d v="2015-09-29T01:43:00"/>
    <n v="350"/>
    <n v="456"/>
    <n v="411"/>
    <s v="Pulverizer mills"/>
    <s v="Repair 3-2 mill exhauster coupling"/>
    <s v="Brown"/>
    <x v="0"/>
    <s v="Coal"/>
    <x v="2"/>
    <x v="2"/>
    <n v="9"/>
    <n v="19.049999999930151"/>
    <n v="4.4282894736679737"/>
    <n v="1820.0269736775372"/>
    <n v="95.53947368421052"/>
    <x v="41"/>
  </r>
  <r>
    <x v="2"/>
    <x v="6"/>
    <n v="67"/>
    <n v="1800"/>
    <d v="2015-10-02T13:12:00"/>
    <d v="2015-11-22T18:01:00"/>
    <n v="0"/>
    <n v="456"/>
    <n v="411"/>
    <s v="Major boiler overhaul (720 hours or longer) (use for non-specific overhaul only; see page B-1)"/>
    <s v="Replace boiler corners and connect to PJFF"/>
    <s v="Brown"/>
    <x v="1"/>
    <s v="Coal"/>
    <x v="2"/>
    <x v="2"/>
    <n v="10"/>
    <n v="1228.8166666666511"/>
    <n v="1228.8166666666511"/>
    <n v="505043.64999999362"/>
    <n v="411"/>
    <x v="39"/>
  </r>
  <r>
    <x v="2"/>
    <x v="0"/>
    <n v="68"/>
    <n v="3410"/>
    <d v="2015-11-23T03:30:00"/>
    <d v="2015-11-23T04:50:00"/>
    <n v="340"/>
    <n v="456"/>
    <n v="411"/>
    <s v="Feedwater pump"/>
    <s v="Inspect 3-2 BFP for damage due to excessive balance line pressure"/>
    <s v="Brown"/>
    <x v="0"/>
    <s v="Coal"/>
    <x v="2"/>
    <x v="2"/>
    <n v="11"/>
    <n v="1.3333333333139308"/>
    <n v="0.33918128654477187"/>
    <n v="139.40350876990124"/>
    <n v="104.55263157894737"/>
    <x v="43"/>
  </r>
  <r>
    <x v="2"/>
    <x v="0"/>
    <n v="69"/>
    <n v="3410"/>
    <d v="2015-11-23T04:50:00"/>
    <d v="2015-11-23T12:09:00"/>
    <n v="310"/>
    <n v="456"/>
    <n v="411"/>
    <s v="Feedwater pump"/>
    <s v="Inspect 3-2 BFP for damage due to excessive balance line pressure"/>
    <s v="Brown"/>
    <x v="0"/>
    <s v="Coal"/>
    <x v="2"/>
    <x v="2"/>
    <n v="11"/>
    <n v="7.316666666592937"/>
    <n v="2.3426169590407211"/>
    <n v="962.8155701657364"/>
    <n v="131.59210526315789"/>
    <x v="51"/>
  </r>
  <r>
    <x v="2"/>
    <x v="5"/>
    <n v="70"/>
    <n v="3399"/>
    <d v="2015-11-23T12:09:00"/>
    <d v="2015-11-23T23:00:00"/>
    <n v="0"/>
    <n v="456"/>
    <n v="411"/>
    <s v="Other miscellaneous condensate system problems"/>
    <s v="Repair DA level transmitter"/>
    <s v="Brown"/>
    <x v="3"/>
    <s v="Coal"/>
    <x v="2"/>
    <x v="2"/>
    <n v="11"/>
    <n v="10.850000000093132"/>
    <n v="10.850000000093132"/>
    <n v="4459.3500000382774"/>
    <n v="411"/>
    <x v="39"/>
  </r>
  <r>
    <x v="2"/>
    <x v="7"/>
    <n v="71"/>
    <n v="9930"/>
    <d v="2015-11-23T23:00:00"/>
    <d v="2015-11-24T03:16:00"/>
    <n v="0"/>
    <n v="456"/>
    <n v="411"/>
    <s v="Operating procedure error"/>
    <s v="Trouble with rolling off 3-1 BFP"/>
    <s v="Brown"/>
    <x v="3"/>
    <s v="Coal"/>
    <x v="2"/>
    <x v="2"/>
    <n v="11"/>
    <n v="4.2666666666045785"/>
    <n v="4.2666666666045785"/>
    <n v="1753.5999999744818"/>
    <n v="411"/>
    <x v="39"/>
  </r>
  <r>
    <x v="2"/>
    <x v="0"/>
    <n v="72"/>
    <n v="3410"/>
    <d v="2015-11-24T03:16:00"/>
    <d v="2015-11-24T10:30:00"/>
    <n v="310"/>
    <n v="456"/>
    <n v="411"/>
    <s v="Feedwater pump"/>
    <s v="Inspect 3-2 BFP for damage due to excessive balance line pressure"/>
    <s v="Brown"/>
    <x v="0"/>
    <s v="Coal"/>
    <x v="2"/>
    <x v="2"/>
    <n v="11"/>
    <n v="7.2333333333372138"/>
    <n v="2.3159356725158622"/>
    <n v="951.84956140401937"/>
    <n v="131.59210526315789"/>
    <x v="51"/>
  </r>
  <r>
    <x v="2"/>
    <x v="0"/>
    <n v="73"/>
    <n v="3410"/>
    <d v="2015-11-24T10:30:00"/>
    <d v="2015-11-25T16:00:00"/>
    <n v="325"/>
    <n v="456"/>
    <n v="411"/>
    <s v="Feedwater pump"/>
    <s v="Inspect 3-2 BFP for damage due to excessive balance line pressure"/>
    <s v="Brown"/>
    <x v="0"/>
    <s v="Coal"/>
    <x v="2"/>
    <x v="2"/>
    <n v="11"/>
    <n v="29.499999999941792"/>
    <n v="8.4747807017376644"/>
    <n v="3483.1348684141799"/>
    <n v="118.07236842105263"/>
    <x v="40"/>
  </r>
  <r>
    <x v="2"/>
    <x v="0"/>
    <n v="74"/>
    <n v="1761"/>
    <d v="2015-11-25T16:00:00"/>
    <d v="2015-11-25T20:32:00"/>
    <n v="67"/>
    <n v="456"/>
    <n v="411"/>
    <s v="Combustion /Steam condition instrumentation (not local controls)"/>
    <s v="Boiler MFT due to loss of 3-3 mill feeder"/>
    <s v="Brown"/>
    <x v="0"/>
    <s v="Coal"/>
    <x v="2"/>
    <x v="2"/>
    <n v="11"/>
    <n v="4.5333333334419876"/>
    <n v="3.8672514620809939"/>
    <n v="1589.4403509152885"/>
    <n v="350.61184210526318"/>
    <x v="74"/>
  </r>
  <r>
    <x v="2"/>
    <x v="0"/>
    <n v="75"/>
    <n v="3410"/>
    <d v="2015-11-25T20:32:00"/>
    <d v="2015-12-02T16:21:00"/>
    <n v="325"/>
    <n v="456"/>
    <n v="411"/>
    <s v="Feedwater pump"/>
    <s v="Inspect 3-2 BFP for damage due to excessive balance line pressure"/>
    <s v="Brown"/>
    <x v="0"/>
    <s v="Coal"/>
    <x v="2"/>
    <x v="2"/>
    <n v="11"/>
    <n v="163.81666666665114"/>
    <n v="47.061366959059868"/>
    <n v="19342.221820173607"/>
    <n v="118.07236842105263"/>
    <x v="40"/>
  </r>
  <r>
    <x v="2"/>
    <x v="0"/>
    <n v="76"/>
    <n v="250"/>
    <d v="2015-12-02T17:20:00"/>
    <d v="2015-12-02T17:37:00"/>
    <n v="350"/>
    <n v="456"/>
    <n v="411"/>
    <s v="Pulverizer feeders"/>
    <s v="3-5 mill feeder motor failed"/>
    <s v="Brown"/>
    <x v="0"/>
    <s v="Coal"/>
    <x v="2"/>
    <x v="2"/>
    <n v="12"/>
    <n v="0.28333333338377997"/>
    <n v="6.5862573111141839E-2"/>
    <n v="27.069517548679297"/>
    <n v="95.53947368421052"/>
    <x v="41"/>
  </r>
  <r>
    <x v="2"/>
    <x v="0"/>
    <n v="77"/>
    <n v="250"/>
    <d v="2015-12-02T17:37:00"/>
    <d v="2015-12-03T21:57:00"/>
    <n v="360"/>
    <n v="456"/>
    <n v="411"/>
    <s v="Pulverizer feeders"/>
    <s v="3-5 mill feeder motor failed"/>
    <s v="Brown"/>
    <x v="0"/>
    <s v="Coal"/>
    <x v="2"/>
    <x v="2"/>
    <n v="12"/>
    <n v="28.333333333313931"/>
    <n v="5.9649122806976695"/>
    <n v="2451.5789473667423"/>
    <n v="86.526315789473685"/>
    <x v="47"/>
  </r>
  <r>
    <x v="2"/>
    <x v="0"/>
    <n v="78"/>
    <n v="250"/>
    <d v="2015-12-03T21:57:00"/>
    <d v="2015-12-03T23:28:00"/>
    <n v="57"/>
    <n v="456"/>
    <n v="411"/>
    <s v="Pulverizer feeders"/>
    <s v="Boiler trip due to loss of mill feeder"/>
    <s v="Brown"/>
    <x v="0"/>
    <s v="Coal"/>
    <x v="2"/>
    <x v="2"/>
    <n v="12"/>
    <n v="1.5166666667209938"/>
    <n v="1.3270833333808696"/>
    <n v="545.4312500195374"/>
    <n v="359.625"/>
    <x v="63"/>
  </r>
  <r>
    <x v="2"/>
    <x v="0"/>
    <n v="79"/>
    <n v="250"/>
    <d v="2015-12-03T23:28:00"/>
    <d v="2015-12-04T04:15:00"/>
    <n v="360"/>
    <n v="456"/>
    <n v="411"/>
    <s v="Pulverizer feeders"/>
    <s v="3-5 mill feeder motor failed"/>
    <s v="Brown"/>
    <x v="0"/>
    <s v="Coal"/>
    <x v="2"/>
    <x v="2"/>
    <n v="12"/>
    <n v="4.78333333338378"/>
    <n v="1.0070175438702695"/>
    <n v="413.88421053068078"/>
    <n v="86.526315789473685"/>
    <x v="47"/>
  </r>
  <r>
    <x v="2"/>
    <x v="0"/>
    <n v="80"/>
    <n v="250"/>
    <d v="2015-12-04T04:15:00"/>
    <d v="2015-12-04T17:55:00"/>
    <n v="250"/>
    <n v="456"/>
    <n v="411"/>
    <s v="Pulverizer feeders"/>
    <s v="3-1 &amp; 3-5 mill feeder motors failed"/>
    <s v="Brown"/>
    <x v="0"/>
    <s v="Coal"/>
    <x v="2"/>
    <x v="2"/>
    <n v="12"/>
    <n v="13.666666666686069"/>
    <n v="6.1739766081958996"/>
    <n v="2537.5043859685147"/>
    <n v="185.67105263157896"/>
    <x v="60"/>
  </r>
  <r>
    <x v="2"/>
    <x v="0"/>
    <n v="81"/>
    <n v="250"/>
    <d v="2015-12-04T17:55:00"/>
    <d v="2015-12-05T00:52:00"/>
    <n v="360"/>
    <n v="456"/>
    <n v="411"/>
    <s v="Pulverizer feeders"/>
    <s v="3-1 mill feeder failed"/>
    <s v="Brown"/>
    <x v="0"/>
    <s v="Coal"/>
    <x v="2"/>
    <x v="2"/>
    <n v="12"/>
    <n v="6.9499999999534339"/>
    <n v="1.4631578947270387"/>
    <n v="601.35789473281295"/>
    <n v="86.526315789473685"/>
    <x v="47"/>
  </r>
  <r>
    <x v="2"/>
    <x v="3"/>
    <n v="82"/>
    <n v="8100"/>
    <d v="2015-12-10T07:20:00"/>
    <d v="2015-12-10T15:37:00"/>
    <n v="0"/>
    <n v="456"/>
    <n v="411"/>
    <s v="Scrubber/absorber tower or module"/>
    <s v="Low load FGD water flow test"/>
    <s v="Brown"/>
    <x v="1"/>
    <s v="Coal"/>
    <x v="2"/>
    <x v="2"/>
    <n v="12"/>
    <n v="8.2833333332673647"/>
    <n v="8.2833333332673647"/>
    <n v="3404.4499999728869"/>
    <n v="411"/>
    <x v="39"/>
  </r>
  <r>
    <x v="2"/>
    <x v="3"/>
    <n v="83"/>
    <n v="8100"/>
    <d v="2015-12-11T09:00:00"/>
    <d v="2015-12-11T15:31:00"/>
    <n v="0"/>
    <n v="456"/>
    <n v="411"/>
    <s v="Scrubber/absorber tower or module"/>
    <s v="Mid load FGD water flow test"/>
    <s v="Brown"/>
    <x v="1"/>
    <s v="Coal"/>
    <x v="2"/>
    <x v="2"/>
    <n v="12"/>
    <n v="6.5166666666045785"/>
    <n v="6.5166666666045785"/>
    <n v="2678.3499999744818"/>
    <n v="411"/>
    <x v="39"/>
  </r>
  <r>
    <x v="2"/>
    <x v="3"/>
    <n v="84"/>
    <n v="4261"/>
    <d v="2015-12-11T15:31:00"/>
    <d v="2015-12-11T17:15:00"/>
    <n v="0"/>
    <n v="456"/>
    <n v="411"/>
    <s v="Control valves"/>
    <s v="Calibrating main turbine governor valves"/>
    <s v="Brown"/>
    <x v="1"/>
    <s v="Coal"/>
    <x v="2"/>
    <x v="2"/>
    <n v="12"/>
    <n v="1.7333333333954215"/>
    <n v="1.7333333333954215"/>
    <n v="712.40000002551824"/>
    <n v="411"/>
    <x v="39"/>
  </r>
  <r>
    <x v="2"/>
    <x v="0"/>
    <n v="85"/>
    <n v="310"/>
    <d v="2015-12-17T07:50:00"/>
    <d v="2015-12-17T12:26:00"/>
    <n v="360"/>
    <n v="456"/>
    <n v="411"/>
    <s v="Pulverizer mills"/>
    <s v="Repair 3-5 mill pyrite scrapper"/>
    <s v="Brown"/>
    <x v="0"/>
    <s v="Coal"/>
    <x v="2"/>
    <x v="2"/>
    <n v="12"/>
    <n v="4.5999999999767169"/>
    <n v="0.96842105262667721"/>
    <n v="398.02105262956434"/>
    <n v="86.526315789473685"/>
    <x v="47"/>
  </r>
  <r>
    <x v="2"/>
    <x v="3"/>
    <n v="86"/>
    <n v="8650"/>
    <d v="2015-12-17T20:00:00"/>
    <d v="2015-12-18T05:01:00"/>
    <n v="0"/>
    <n v="456"/>
    <n v="411"/>
    <s v="Baghouse systems"/>
    <s v="PJFF low load testing"/>
    <s v="Brown"/>
    <x v="1"/>
    <s v="Coal"/>
    <x v="2"/>
    <x v="2"/>
    <n v="12"/>
    <n v="9.0166666665463708"/>
    <n v="9.0166666665463708"/>
    <n v="3705.8499999505584"/>
    <n v="411"/>
    <x v="39"/>
  </r>
  <r>
    <x v="2"/>
    <x v="3"/>
    <n v="87"/>
    <n v="8650"/>
    <d v="2015-12-19T00:05:00"/>
    <d v="2015-12-19T04:53:00"/>
    <n v="0"/>
    <n v="456"/>
    <n v="411"/>
    <s v="Baghouse systems"/>
    <s v="PJFF low load testing"/>
    <s v="Brown"/>
    <x v="1"/>
    <s v="Coal"/>
    <x v="2"/>
    <x v="2"/>
    <n v="12"/>
    <n v="4.8000000001047738"/>
    <n v="4.8000000001047738"/>
    <n v="1972.800000043062"/>
    <n v="411"/>
    <x v="39"/>
  </r>
  <r>
    <x v="2"/>
    <x v="4"/>
    <n v="89"/>
    <n v="880"/>
    <d v="2015-12-28T12:00:00"/>
    <d v="2015-12-28T16:45:00"/>
    <n v="0"/>
    <n v="456"/>
    <n v="411"/>
    <s v="Fly ash Removal System (not precipitators"/>
    <s v="Ash Hopper Maint"/>
    <s v="Brown"/>
    <x v="2"/>
    <s v="Coal"/>
    <x v="2"/>
    <x v="2"/>
    <n v="12"/>
    <n v="4.7499999999417923"/>
    <n v="4.7499999999417923"/>
    <n v="1952.2499999760767"/>
    <n v="411"/>
    <x v="39"/>
  </r>
  <r>
    <x v="2"/>
    <x v="0"/>
    <n v="2"/>
    <n v="1455"/>
    <d v="2016-01-06T07:20:00"/>
    <d v="2016-01-10T23:28:00"/>
    <n v="290"/>
    <n v="456"/>
    <n v="411"/>
    <s v="Induced draft fans"/>
    <s v="3-1 ID Fan trip due to vibration"/>
    <s v="Brown"/>
    <x v="0"/>
    <s v="Coal"/>
    <x v="2"/>
    <x v="3"/>
    <n v="1"/>
    <n v="112.1333333333605"/>
    <n v="40.820467836267198"/>
    <n v="16777.212280705819"/>
    <n v="149.61842105263159"/>
    <x v="75"/>
  </r>
  <r>
    <x v="2"/>
    <x v="4"/>
    <n v="3"/>
    <n v="4260"/>
    <d v="2016-01-07T12:00:00"/>
    <d v="2016-01-10T18:22:00"/>
    <n v="0"/>
    <n v="456"/>
    <n v="411"/>
    <s v="Main stop valves"/>
    <s v="Repair leak on turbine left side throttle valve"/>
    <s v="Brown"/>
    <x v="2"/>
    <s v="Coal"/>
    <x v="2"/>
    <x v="3"/>
    <n v="1"/>
    <n v="78.366666666639503"/>
    <n v="78.366666666639503"/>
    <n v="32208.699999988836"/>
    <n v="411"/>
    <x v="39"/>
  </r>
  <r>
    <x v="2"/>
    <x v="0"/>
    <n v="4"/>
    <n v="1455"/>
    <d v="2016-01-10T23:28:00"/>
    <d v="2016-01-12T10:15:00"/>
    <n v="425"/>
    <n v="456"/>
    <n v="411"/>
    <s v="Induced draft fans"/>
    <s v="3-1 ID Fan high vibration"/>
    <s v="Brown"/>
    <x v="0"/>
    <s v="Coal"/>
    <x v="2"/>
    <x v="3"/>
    <n v="1"/>
    <n v="34.78333333338378"/>
    <n v="2.3646564327519677"/>
    <n v="971.87379386105874"/>
    <n v="27.940789473684209"/>
    <x v="67"/>
  </r>
  <r>
    <x v="2"/>
    <x v="1"/>
    <n v="5"/>
    <n v="250"/>
    <d v="2016-01-12T10:15:00"/>
    <d v="2016-01-12T13:06:00"/>
    <n v="360"/>
    <n v="456"/>
    <n v="411"/>
    <s v="Pulverizer feeders"/>
    <s v="Replace 3-4 feeder belt"/>
    <s v="Brown"/>
    <x v="0"/>
    <s v="Coal"/>
    <x v="2"/>
    <x v="3"/>
    <n v="1"/>
    <n v="2.8499999998603016"/>
    <n v="0.59999999997058984"/>
    <n v="246.59999998791241"/>
    <n v="86.526315789473685"/>
    <x v="47"/>
  </r>
  <r>
    <x v="2"/>
    <x v="0"/>
    <n v="6"/>
    <n v="1455"/>
    <d v="2016-01-12T13:06:00"/>
    <d v="2016-01-26T12:34:00"/>
    <n v="425"/>
    <n v="456"/>
    <n v="411"/>
    <s v="Induced draft fans"/>
    <s v="3-1 ID Fan vibration "/>
    <s v="Brown"/>
    <x v="0"/>
    <s v="Coal"/>
    <x v="2"/>
    <x v="3"/>
    <n v="1"/>
    <n v="335.46666666667443"/>
    <n v="22.805847953216901"/>
    <n v="9373.203508772147"/>
    <n v="27.940789473684209"/>
    <x v="67"/>
  </r>
  <r>
    <x v="2"/>
    <x v="4"/>
    <n v="7"/>
    <n v="1455"/>
    <d v="2016-01-26T12:34:00"/>
    <d v="2016-01-30T19:36:00"/>
    <n v="0"/>
    <n v="456"/>
    <n v="411"/>
    <s v="Induced draft fans"/>
    <s v="Inspect 3-1 ID Fan due for vibration issues"/>
    <s v="Brown"/>
    <x v="2"/>
    <s v="Coal"/>
    <x v="2"/>
    <x v="3"/>
    <n v="1"/>
    <n v="103.03333333338378"/>
    <n v="103.03333333338378"/>
    <n v="42346.700000020734"/>
    <n v="411"/>
    <x v="39"/>
  </r>
  <r>
    <x v="2"/>
    <x v="0"/>
    <n v="9"/>
    <n v="3410"/>
    <d v="2016-02-16T08:43:00"/>
    <d v="2016-02-16T21:00:00"/>
    <n v="440"/>
    <n v="456"/>
    <n v="411"/>
    <s v="Feedwater pump"/>
    <s v="3-2 BFP vibration"/>
    <s v="Brown"/>
    <x v="0"/>
    <s v="Coal"/>
    <x v="2"/>
    <x v="3"/>
    <n v="2"/>
    <n v="12.28333333338378"/>
    <n v="0.43099415204855368"/>
    <n v="177.13859649195555"/>
    <n v="14.421052631578947"/>
    <x v="61"/>
  </r>
  <r>
    <x v="2"/>
    <x v="1"/>
    <n v="10"/>
    <n v="310"/>
    <d v="2016-02-16T21:00:00"/>
    <d v="2016-02-16T23:17:00"/>
    <n v="350"/>
    <n v="456"/>
    <n v="411"/>
    <s v="Pulverizer mills"/>
    <s v="Repair 3-5 mill pyrite scrapper "/>
    <s v="Brown"/>
    <x v="0"/>
    <s v="Coal"/>
    <x v="2"/>
    <x v="3"/>
    <n v="2"/>
    <n v="2.2833333332673647"/>
    <n v="0.53077485378583478"/>
    <n v="218.1484649059781"/>
    <n v="95.53947368421052"/>
    <x v="41"/>
  </r>
  <r>
    <x v="2"/>
    <x v="0"/>
    <n v="11"/>
    <n v="3410"/>
    <d v="2016-02-16T23:17:00"/>
    <d v="2016-02-17T07:00:00"/>
    <n v="440"/>
    <n v="456"/>
    <n v="411"/>
    <s v="Feedwater pump"/>
    <s v="3-2 BFP vibration"/>
    <s v="Brown"/>
    <x v="0"/>
    <s v="Coal"/>
    <x v="2"/>
    <x v="3"/>
    <n v="2"/>
    <n v="7.7166666666744277"/>
    <n v="0.27076023391840098"/>
    <n v="111.2824561404628"/>
    <n v="14.421052631578947"/>
    <x v="61"/>
  </r>
  <r>
    <x v="2"/>
    <x v="4"/>
    <n v="13"/>
    <n v="1510"/>
    <d v="2016-02-23T07:00:00"/>
    <d v="2016-02-23T15:22:00"/>
    <n v="0"/>
    <n v="456"/>
    <n v="411"/>
    <s v="Flue gas ducts (except recirculation)"/>
    <s v="PJFF inlet duct inspection"/>
    <s v="Brown"/>
    <x v="2"/>
    <s v="Coal"/>
    <x v="2"/>
    <x v="3"/>
    <n v="2"/>
    <n v="8.3666666666977108"/>
    <n v="8.3666666666977108"/>
    <n v="3438.7000000127591"/>
    <n v="411"/>
    <x v="39"/>
  </r>
  <r>
    <x v="2"/>
    <x v="0"/>
    <n v="15"/>
    <n v="9900"/>
    <d v="2016-03-17T12:00:00"/>
    <d v="2016-03-17T12:39:00"/>
    <n v="56"/>
    <n v="456"/>
    <n v="411"/>
    <s v="Operator error"/>
    <s v="Error in managing feedwater system during unit startup"/>
    <s v="Brown"/>
    <x v="0"/>
    <s v="Coal"/>
    <x v="2"/>
    <x v="3"/>
    <n v="3"/>
    <n v="0.65000000002328306"/>
    <n v="0.570175438616915"/>
    <n v="234.34210527155207"/>
    <n v="360.5263157894737"/>
    <x v="57"/>
  </r>
  <r>
    <x v="2"/>
    <x v="5"/>
    <n v="16"/>
    <n v="9900"/>
    <d v="2016-03-17T12:39:00"/>
    <d v="2016-03-17T15:05:00"/>
    <n v="0"/>
    <n v="456"/>
    <n v="411"/>
    <s v="Operator error"/>
    <s v="Error in managing feedwater system during unit startup"/>
    <s v="Brown"/>
    <x v="3"/>
    <s v="Coal"/>
    <x v="2"/>
    <x v="3"/>
    <n v="3"/>
    <n v="2.4333333332324401"/>
    <n v="2.4333333332324401"/>
    <n v="1000.0999999585329"/>
    <n v="411"/>
    <x v="39"/>
  </r>
  <r>
    <x v="2"/>
    <x v="6"/>
    <n v="17"/>
    <n v="8812"/>
    <d v="2016-03-21T10:04:00"/>
    <d v="2016-04-16T17:15:00"/>
    <n v="0"/>
    <n v="456"/>
    <n v="411"/>
    <s v="SCR NOxCatalyst"/>
    <s v="Add additional layer of SCR catalyst and perform minor boiler repairs "/>
    <s v="Brown"/>
    <x v="1"/>
    <s v="Coal"/>
    <x v="2"/>
    <x v="3"/>
    <n v="3"/>
    <n v="631.18333333334886"/>
    <n v="631.18333333334886"/>
    <n v="259416.35000000638"/>
    <n v="411"/>
    <x v="39"/>
  </r>
  <r>
    <x v="2"/>
    <x v="7"/>
    <n v="18"/>
    <n v="1591"/>
    <d v="2016-04-16T17:15:00"/>
    <d v="2016-04-18T05:59:00"/>
    <n v="0"/>
    <n v="456"/>
    <n v="411"/>
    <s v="Stack damper and linkage"/>
    <s v="U3 FGD shutoff damper motor failed"/>
    <s v="Brown"/>
    <x v="3"/>
    <s v="Coal"/>
    <x v="2"/>
    <x v="3"/>
    <n v="4"/>
    <n v="36.733333333279006"/>
    <n v="36.733333333279006"/>
    <n v="15097.399999977672"/>
    <n v="411"/>
    <x v="39"/>
  </r>
  <r>
    <x v="2"/>
    <x v="5"/>
    <n v="19"/>
    <n v="1999"/>
    <d v="2016-04-18T09:14:00"/>
    <d v="2016-04-19T08:41:00"/>
    <n v="0"/>
    <n v="456"/>
    <n v="411"/>
    <s v="Boiler"/>
    <s v="Lower mud drum header gasket blown"/>
    <s v="Brown"/>
    <x v="3"/>
    <s v="Coal"/>
    <x v="2"/>
    <x v="3"/>
    <n v="4"/>
    <n v="23.449999999953434"/>
    <n v="23.449999999953434"/>
    <n v="9637.9499999808613"/>
    <n v="411"/>
    <x v="39"/>
  </r>
  <r>
    <x v="2"/>
    <x v="0"/>
    <n v="20"/>
    <n v="3412"/>
    <d v="2016-04-19T20:41:00"/>
    <d v="2016-04-20T18:17:00"/>
    <n v="320"/>
    <n v="456"/>
    <n v="411"/>
    <s v="Feedwater pump drive - steam turbine"/>
    <s v="3-2 BFP vibration"/>
    <s v="Brown"/>
    <x v="0"/>
    <s v="Coal"/>
    <x v="2"/>
    <x v="3"/>
    <n v="4"/>
    <n v="21.600000000034925"/>
    <n v="6.4421052631683109"/>
    <n v="2647.7052631621759"/>
    <n v="122.57894736842105"/>
    <x v="52"/>
  </r>
  <r>
    <x v="2"/>
    <x v="3"/>
    <n v="21"/>
    <n v="8700"/>
    <d v="2016-04-22T22:00:00"/>
    <d v="2016-04-23T02:00:00"/>
    <n v="0"/>
    <n v="456"/>
    <n v="411"/>
    <s v="CEMS Certification and Recertification"/>
    <s v="Low Load RATA testing"/>
    <s v="Brown"/>
    <x v="1"/>
    <s v="Coal"/>
    <x v="2"/>
    <x v="3"/>
    <n v="4"/>
    <n v="4.0000000001164153"/>
    <n v="4.0000000001164153"/>
    <n v="1644.0000000478467"/>
    <n v="411"/>
    <x v="39"/>
  </r>
  <r>
    <x v="2"/>
    <x v="3"/>
    <n v="22"/>
    <n v="8700"/>
    <d v="2016-04-25T23:00:00"/>
    <d v="2016-04-26T01:45:00"/>
    <n v="0"/>
    <n v="456"/>
    <n v="411"/>
    <s v="CEMS Certification and Recertification"/>
    <s v="RATA testing"/>
    <s v="Brown"/>
    <x v="1"/>
    <s v="Coal"/>
    <x v="2"/>
    <x v="3"/>
    <n v="4"/>
    <n v="2.7499999998835847"/>
    <n v="2.7499999998835847"/>
    <n v="1130.2499999521533"/>
    <n v="411"/>
    <x v="39"/>
  </r>
  <r>
    <x v="2"/>
    <x v="3"/>
    <n v="23"/>
    <n v="8700"/>
    <d v="2016-04-26T21:00:00"/>
    <d v="2016-04-27T02:19:00"/>
    <n v="0"/>
    <n v="456"/>
    <n v="411"/>
    <s v="CEMS Certification and Recertification"/>
    <s v="RATA testing"/>
    <s v="Brown"/>
    <x v="1"/>
    <s v="Coal"/>
    <x v="2"/>
    <x v="3"/>
    <n v="4"/>
    <n v="5.3166666667093523"/>
    <n v="5.3166666667093523"/>
    <n v="2185.1500000175438"/>
    <n v="411"/>
    <x v="39"/>
  </r>
  <r>
    <x v="2"/>
    <x v="3"/>
    <n v="24"/>
    <n v="8812"/>
    <d v="2016-04-27T13:18:00"/>
    <d v="2016-04-27T16:34:00"/>
    <n v="0"/>
    <n v="456"/>
    <n v="411"/>
    <s v="SCR NOxCatalyst"/>
    <s v="SCR ammonia mid load tuning"/>
    <s v="Brown"/>
    <x v="1"/>
    <s v="Coal"/>
    <x v="2"/>
    <x v="3"/>
    <n v="4"/>
    <n v="3.2666666666627862"/>
    <n v="3.2666666666627862"/>
    <n v="1342.5999999984051"/>
    <n v="411"/>
    <x v="39"/>
  </r>
  <r>
    <x v="2"/>
    <x v="3"/>
    <n v="25"/>
    <n v="8700"/>
    <d v="2016-04-27T21:00:00"/>
    <d v="2016-04-28T04:03:00"/>
    <n v="0"/>
    <n v="456"/>
    <n v="411"/>
    <s v="CEMS Certification and Recertification"/>
    <s v="RATA testing"/>
    <s v="Brown"/>
    <x v="1"/>
    <s v="Coal"/>
    <x v="2"/>
    <x v="3"/>
    <n v="4"/>
    <n v="7.0499999999301508"/>
    <n v="7.0499999999301508"/>
    <n v="2897.549999971292"/>
    <n v="411"/>
    <x v="39"/>
  </r>
  <r>
    <x v="2"/>
    <x v="3"/>
    <n v="26"/>
    <n v="8812"/>
    <d v="2016-04-28T22:00:00"/>
    <d v="2016-04-29T02:15:00"/>
    <n v="0"/>
    <n v="456"/>
    <n v="411"/>
    <s v="SCR NOxCatalyst"/>
    <s v="SCR ammonia min load tuning"/>
    <s v="Brown"/>
    <x v="1"/>
    <s v="Coal"/>
    <x v="2"/>
    <x v="3"/>
    <n v="4"/>
    <n v="4.2500000000582077"/>
    <n v="4.2500000000582077"/>
    <n v="1746.7500000239233"/>
    <n v="411"/>
    <x v="39"/>
  </r>
  <r>
    <x v="2"/>
    <x v="0"/>
    <n v="27"/>
    <n v="3410"/>
    <d v="2016-05-09T06:10:00"/>
    <d v="2016-05-09T11:14:00"/>
    <n v="320"/>
    <n v="456"/>
    <n v="411"/>
    <s v="Feedwater pump"/>
    <s v="Repair 3-2 BFP drain line leak "/>
    <s v="Brown"/>
    <x v="0"/>
    <s v="Coal"/>
    <x v="2"/>
    <x v="3"/>
    <n v="5"/>
    <n v="5.066666666592937"/>
    <n v="1.5111111110891216"/>
    <n v="621.06666665762896"/>
    <n v="122.57894736842105"/>
    <x v="52"/>
  </r>
  <r>
    <x v="2"/>
    <x v="4"/>
    <n v="29"/>
    <n v="1000"/>
    <d v="2016-05-16T15:57:00"/>
    <d v="2016-05-18T12:00:00"/>
    <n v="0"/>
    <n v="456"/>
    <n v="411"/>
    <s v="Waterwall (Furnace wall) A"/>
    <s v="Lower WW leak in dead air space above bottom ash hopper"/>
    <s v="Brown"/>
    <x v="2"/>
    <s v="Coal"/>
    <x v="2"/>
    <x v="3"/>
    <n v="5"/>
    <n v="44.050000000046566"/>
    <n v="44.050000000046566"/>
    <n v="18104.550000019139"/>
    <n v="411"/>
    <x v="39"/>
  </r>
  <r>
    <x v="2"/>
    <x v="3"/>
    <n v="31"/>
    <n v="8700"/>
    <d v="2016-05-23T23:00:00"/>
    <d v="2016-05-24T05:20:00"/>
    <n v="0"/>
    <n v="456"/>
    <n v="411"/>
    <s v="CEMS Certification and Recertification"/>
    <s v="Mercury testing"/>
    <s v="Brown"/>
    <x v="1"/>
    <s v="Coal"/>
    <x v="2"/>
    <x v="3"/>
    <n v="5"/>
    <n v="6.3333333331975155"/>
    <n v="6.3333333331975155"/>
    <n v="2602.9999999441789"/>
    <n v="411"/>
    <x v="39"/>
  </r>
  <r>
    <x v="2"/>
    <x v="0"/>
    <n v="32"/>
    <n v="95"/>
    <d v="2016-05-30T17:17:00"/>
    <d v="2016-05-30T17:57:00"/>
    <n v="360"/>
    <n v="456"/>
    <n v="411"/>
    <s v="Bunker flow problems"/>
    <s v="No coal 3-5 bunker"/>
    <s v="Brown"/>
    <x v="0"/>
    <s v="Coal"/>
    <x v="2"/>
    <x v="3"/>
    <n v="5"/>
    <n v="0.66666666674427688"/>
    <n v="0.14035087720932146"/>
    <n v="57.68421053303112"/>
    <n v="86.526315789473685"/>
    <x v="47"/>
  </r>
  <r>
    <x v="2"/>
    <x v="1"/>
    <n v="33"/>
    <n v="344"/>
    <d v="2016-06-23T22:00:00"/>
    <d v="2016-06-24T02:40:00"/>
    <n v="360"/>
    <n v="456"/>
    <n v="411"/>
    <s v="Pulverizer inspection"/>
    <s v="3-2 Pulverizer Inspection"/>
    <s v="Brown"/>
    <x v="0"/>
    <s v="Coal"/>
    <x v="2"/>
    <x v="3"/>
    <n v="6"/>
    <n v="4.6666666666860692"/>
    <n v="0.98245614035496198"/>
    <n v="403.78947368588939"/>
    <n v="86.526315789473685"/>
    <x v="47"/>
  </r>
  <r>
    <x v="2"/>
    <x v="0"/>
    <n v="34"/>
    <n v="1750"/>
    <d v="2016-06-24T03:21:00"/>
    <d v="2016-06-24T08:00:00"/>
    <n v="47"/>
    <n v="456"/>
    <n v="411"/>
    <s v="Burner management system"/>
    <s v="F820Boiler MFT while switching out mills"/>
    <s v="Brown"/>
    <x v="0"/>
    <s v="Coal"/>
    <x v="2"/>
    <x v="3"/>
    <n v="6"/>
    <n v="4.6500000001396984"/>
    <n v="4.170723684335826"/>
    <n v="1714.1674342620245"/>
    <n v="368.63815789473682"/>
    <x v="76"/>
  </r>
  <r>
    <x v="2"/>
    <x v="0"/>
    <n v="35"/>
    <n v="1750"/>
    <d v="2016-06-24T08:00:00"/>
    <d v="2016-06-24T11:16:00"/>
    <n v="140"/>
    <n v="456"/>
    <n v="411"/>
    <s v="Burner management system"/>
    <s v="Continued.  MFT while switching out mills"/>
    <s v="Brown"/>
    <x v="0"/>
    <s v="Coal"/>
    <x v="2"/>
    <x v="3"/>
    <n v="6"/>
    <n v="3.2666666666627862"/>
    <n v="2.2637426900557904"/>
    <n v="930.39824561292983"/>
    <n v="284.81578947368422"/>
    <x v="77"/>
  </r>
  <r>
    <x v="2"/>
    <x v="0"/>
    <n v="36"/>
    <n v="310"/>
    <d v="2016-06-24T11:16:00"/>
    <d v="2016-06-24T12:00:00"/>
    <n v="200"/>
    <n v="456"/>
    <n v="411"/>
    <s v="Pulverizer mills"/>
    <s v="Vacuum coal out of mills after MFT "/>
    <s v="Brown"/>
    <x v="0"/>
    <s v="Coal"/>
    <x v="2"/>
    <x v="3"/>
    <n v="6"/>
    <n v="0.73333333327900618"/>
    <n v="0.41169590640224907"/>
    <n v="169.20701753132437"/>
    <n v="230.73684210526315"/>
    <x v="78"/>
  </r>
  <r>
    <x v="2"/>
    <x v="0"/>
    <n v="37"/>
    <n v="300"/>
    <d v="2016-06-24T12:00:00"/>
    <d v="2016-06-24T19:49:00"/>
    <n v="360"/>
    <n v="456"/>
    <n v="411"/>
    <s v="Pulverizer motors and drives"/>
    <s v="Replaced 2-2 mill motor due to bearing failure. "/>
    <s v="Brown"/>
    <x v="0"/>
    <s v="Coal"/>
    <x v="2"/>
    <x v="3"/>
    <n v="6"/>
    <n v="7.8166666666511446"/>
    <n v="1.6456140350844515"/>
    <n v="676.3473684197096"/>
    <n v="86.526315789473685"/>
    <x v="47"/>
  </r>
  <r>
    <x v="2"/>
    <x v="1"/>
    <n v="38"/>
    <n v="344"/>
    <d v="2016-06-30T23:00:00"/>
    <d v="2016-07-01T00:15:00"/>
    <n v="360"/>
    <n v="456"/>
    <n v="411"/>
    <s v="Pulverizer inspection"/>
    <s v="Inspect 3-2 Mill Pyreite Scraper"/>
    <s v="Brown"/>
    <x v="0"/>
    <s v="Coal"/>
    <x v="2"/>
    <x v="3"/>
    <n v="6"/>
    <n v="1.2499999998835847"/>
    <n v="0.26315789471233364"/>
    <n v="108.15789472676913"/>
    <n v="86.526315789473685"/>
    <x v="47"/>
  </r>
  <r>
    <x v="2"/>
    <x v="0"/>
    <n v="39"/>
    <n v="1750"/>
    <d v="2016-07-01T04:30:00"/>
    <d v="2016-07-01T06:23:00"/>
    <n v="25"/>
    <n v="456"/>
    <n v="411"/>
    <s v="Burner management system"/>
    <s v="Boiler MFT due to loss of coal flow to mill"/>
    <s v="Brown"/>
    <x v="0"/>
    <s v="Coal"/>
    <x v="2"/>
    <x v="3"/>
    <n v="7"/>
    <n v="1.8833333333604969"/>
    <n v="1.7800804093823994"/>
    <n v="731.61304825616617"/>
    <n v="388.46710526315792"/>
    <x v="79"/>
  </r>
  <r>
    <x v="2"/>
    <x v="0"/>
    <n v="40"/>
    <n v="1710"/>
    <d v="2016-07-01T04:30:00"/>
    <d v="2016-07-01T06:23:00"/>
    <n v="55"/>
    <n v="456"/>
    <n v="411"/>
    <s v="Combustion/steam condition controls (report local controls --- burners"/>
    <s v="3-2 mill out for maintenance and 3-1 mill ran out of coal resulting in boiler MFT"/>
    <s v="Brown"/>
    <x v="0"/>
    <s v="Coal"/>
    <x v="2"/>
    <x v="3"/>
    <n v="7"/>
    <n v="1.8833333333604969"/>
    <n v="1.6561769006086826"/>
    <n v="680.68870615016851"/>
    <n v="361.42763157894734"/>
    <x v="57"/>
  </r>
  <r>
    <x v="2"/>
    <x v="5"/>
    <n v="41"/>
    <n v="1160"/>
    <d v="2016-07-01T12:21:00"/>
    <d v="2016-07-05T15:36:00"/>
    <n v="0"/>
    <n v="456"/>
    <n v="411"/>
    <s v="First reheater B"/>
    <s v="Reheat tube leak "/>
    <s v="Brown"/>
    <x v="3"/>
    <s v="Coal"/>
    <x v="2"/>
    <x v="3"/>
    <n v="7"/>
    <n v="99.250000000116415"/>
    <n v="99.250000000116415"/>
    <n v="40791.750000047847"/>
    <n v="411"/>
    <x v="39"/>
  </r>
  <r>
    <x v="2"/>
    <x v="0"/>
    <n v="42"/>
    <n v="1512"/>
    <d v="2016-07-05T17:26:00"/>
    <d v="2016-07-05T21:43:00"/>
    <n v="250"/>
    <n v="456"/>
    <n v="411"/>
    <s v="Flue gas expansion joints"/>
    <s v="3-1 ID Fan expansion joint leak"/>
    <s v="Brown"/>
    <x v="0"/>
    <s v="Coal"/>
    <x v="2"/>
    <x v="3"/>
    <n v="7"/>
    <n v="4.2833333333255723"/>
    <n v="1.9350146198795348"/>
    <n v="795.29100877048882"/>
    <n v="185.67105263157896"/>
    <x v="60"/>
  </r>
  <r>
    <x v="2"/>
    <x v="5"/>
    <n v="43"/>
    <n v="1512"/>
    <d v="2016-07-05T21:43:00"/>
    <d v="2016-07-07T10:41:00"/>
    <n v="0"/>
    <n v="456"/>
    <n v="411"/>
    <s v="Flue gas expansion joints"/>
    <s v="3-1 ID Fan expansion joint leak"/>
    <s v="Brown"/>
    <x v="3"/>
    <s v="Coal"/>
    <x v="2"/>
    <x v="3"/>
    <n v="7"/>
    <n v="36.966666666674428"/>
    <n v="36.966666666674428"/>
    <n v="15193.30000000319"/>
    <n v="411"/>
    <x v="39"/>
  </r>
  <r>
    <x v="2"/>
    <x v="0"/>
    <n v="44"/>
    <n v="4263"/>
    <d v="2016-07-09T17:06:00"/>
    <d v="2016-07-09T19:46:00"/>
    <n v="300"/>
    <n v="456"/>
    <n v="411"/>
    <s v="Reheat stop valves"/>
    <s v="Both right and left side turbine RH Stop valves stuck closed during weekly testing"/>
    <s v="Brown"/>
    <x v="0"/>
    <s v="Coal"/>
    <x v="2"/>
    <x v="3"/>
    <n v="7"/>
    <n v="2.6666666666278616"/>
    <n v="0.91228070174111053"/>
    <n v="374.94736841559643"/>
    <n v="140.60526315789474"/>
    <x v="59"/>
  </r>
  <r>
    <x v="2"/>
    <x v="0"/>
    <n v="45"/>
    <n v="310"/>
    <d v="2016-07-15T07:50:00"/>
    <d v="2016-07-15T12:15:00"/>
    <n v="360"/>
    <n v="456"/>
    <n v="411"/>
    <s v="Pulverizer mills"/>
    <s v="Repair 3-1 mill pyrite scraper"/>
    <s v="Brown"/>
    <x v="0"/>
    <s v="Coal"/>
    <x v="2"/>
    <x v="3"/>
    <n v="7"/>
    <n v="4.4166666665696539"/>
    <n v="0.929824561383085"/>
    <n v="382.15789472844796"/>
    <n v="86.526315789473685"/>
    <x v="47"/>
  </r>
  <r>
    <x v="2"/>
    <x v="0"/>
    <n v="46"/>
    <n v="3620"/>
    <d v="2016-07-19T21:46:00"/>
    <d v="2016-07-19T22:03:00"/>
    <n v="428"/>
    <n v="456"/>
    <n v="411"/>
    <s v="Main transformer"/>
    <s v="Main tranformer winding and oil temperatures in alarm"/>
    <s v="Brown"/>
    <x v="0"/>
    <s v="Coal"/>
    <x v="2"/>
    <x v="3"/>
    <n v="7"/>
    <n v="0.28333333320915699"/>
    <n v="1.7397660811088587E-2"/>
    <n v="7.1504385933574097"/>
    <n v="25.236842105263158"/>
    <x v="80"/>
  </r>
  <r>
    <x v="2"/>
    <x v="0"/>
    <n v="47"/>
    <n v="3620"/>
    <d v="2016-07-19T22:03:00"/>
    <d v="2016-07-19T22:14:00"/>
    <n v="418"/>
    <n v="456"/>
    <n v="411"/>
    <s v="Main transformer"/>
    <s v="Main Transformer winding and oil temperatires in alarm"/>
    <s v="Brown"/>
    <x v="0"/>
    <s v="Coal"/>
    <x v="2"/>
    <x v="3"/>
    <n v="7"/>
    <n v="0.18333333340706304"/>
    <n v="1.527777778392192E-2"/>
    <n v="6.279166669191909"/>
    <n v="34.25"/>
    <x v="81"/>
  </r>
  <r>
    <x v="2"/>
    <x v="0"/>
    <n v="48"/>
    <n v="3620"/>
    <d v="2016-07-19T22:14:00"/>
    <d v="2016-07-19T22:40:00"/>
    <n v="408"/>
    <n v="456"/>
    <n v="411"/>
    <s v="Main transformer"/>
    <s v="Main Transformer winding and oil temperatires in alarm"/>
    <s v="Brown"/>
    <x v="0"/>
    <s v="Coal"/>
    <x v="2"/>
    <x v="3"/>
    <n v="7"/>
    <n v="0.43333333334885538"/>
    <n v="4.5614035089353196E-2"/>
    <n v="18.747368421724165"/>
    <n v="43.263157894736842"/>
    <x v="82"/>
  </r>
  <r>
    <x v="2"/>
    <x v="0"/>
    <n v="49"/>
    <n v="3620"/>
    <d v="2016-07-19T22:40:00"/>
    <d v="2016-07-20T00:15:00"/>
    <n v="390"/>
    <n v="456"/>
    <n v="411"/>
    <s v="Main transformer"/>
    <s v="Main Transformer winding and oil temperatires in alarm"/>
    <s v="Brown"/>
    <x v="0"/>
    <s v="Coal"/>
    <x v="2"/>
    <x v="3"/>
    <n v="7"/>
    <n v="1.5833333332557231"/>
    <n v="0.22916666665543362"/>
    <n v="94.18749999538322"/>
    <n v="59.486842105263158"/>
    <x v="83"/>
  </r>
  <r>
    <x v="2"/>
    <x v="3"/>
    <n v="50"/>
    <n v="9999"/>
    <d v="2016-07-27T23:00:00"/>
    <d v="2016-07-28T09:44:00"/>
    <n v="0"/>
    <n v="456"/>
    <n v="411"/>
    <s v="Total unit performance testing (use appropriate codes for individual component testing)"/>
    <s v="Heat Rate testing at various loads"/>
    <s v="Brown"/>
    <x v="1"/>
    <s v="Coal"/>
    <x v="2"/>
    <x v="3"/>
    <n v="7"/>
    <n v="10.733333333220799"/>
    <n v="10.733333333220799"/>
    <n v="4411.3999999537482"/>
    <n v="411"/>
    <x v="39"/>
  </r>
  <r>
    <x v="2"/>
    <x v="3"/>
    <n v="51"/>
    <n v="4263"/>
    <d v="2016-08-08T22:04:00"/>
    <d v="2016-08-08T23:19:00"/>
    <n v="0"/>
    <n v="456"/>
    <n v="411"/>
    <s v="Reheat stop valves"/>
    <s v="Testing operation of RH stop valves"/>
    <s v="Brown"/>
    <x v="1"/>
    <s v="Coal"/>
    <x v="2"/>
    <x v="3"/>
    <n v="8"/>
    <n v="1.2500000000582077"/>
    <n v="1.2500000000582077"/>
    <n v="513.75000002392335"/>
    <n v="411"/>
    <x v="39"/>
  </r>
  <r>
    <x v="2"/>
    <x v="1"/>
    <n v="52"/>
    <n v="3412"/>
    <d v="2016-08-11T22:54:00"/>
    <d v="2016-08-12T05:44:00"/>
    <n v="320"/>
    <n v="456"/>
    <n v="411"/>
    <s v="Feedwater pump drive - steam turbine"/>
    <s v="Replace 3-2 BFPT turning gear"/>
    <s v="Brown"/>
    <x v="0"/>
    <s v="Coal"/>
    <x v="2"/>
    <x v="3"/>
    <n v="8"/>
    <n v="6.8333333332557231"/>
    <n v="2.0380116958832857"/>
    <n v="837.62280700803046"/>
    <n v="122.57894736842105"/>
    <x v="52"/>
  </r>
  <r>
    <x v="2"/>
    <x v="4"/>
    <n v="53"/>
    <n v="740"/>
    <d v="2016-08-13T20:13:00"/>
    <d v="2016-08-17T05:56:00"/>
    <n v="0"/>
    <n v="456"/>
    <n v="411"/>
    <s v="Boiler recirculation pumps"/>
    <s v="Replace 3-3 BCWP and 3-1 ID Fan oulet expansion joint"/>
    <s v="Brown"/>
    <x v="2"/>
    <s v="Coal"/>
    <x v="2"/>
    <x v="3"/>
    <n v="8"/>
    <n v="81.716666666558012"/>
    <n v="81.716666666558012"/>
    <n v="33585.549999955343"/>
    <n v="411"/>
    <x v="39"/>
  </r>
  <r>
    <x v="2"/>
    <x v="5"/>
    <n v="54"/>
    <n v="740"/>
    <d v="2016-08-17T22:43:00"/>
    <d v="2016-08-18T21:43:00"/>
    <n v="0"/>
    <n v="456"/>
    <n v="411"/>
    <s v="Boiler recirculation pumps"/>
    <s v="3-2 BCWP discharge valve bypass line leak"/>
    <s v="Brown"/>
    <x v="3"/>
    <s v="Coal"/>
    <x v="2"/>
    <x v="3"/>
    <n v="8"/>
    <n v="23.000000000058208"/>
    <n v="23.000000000058208"/>
    <n v="9453.0000000239233"/>
    <n v="411"/>
    <x v="39"/>
  </r>
  <r>
    <x v="2"/>
    <x v="4"/>
    <n v="56"/>
    <n v="8250"/>
    <d v="2016-08-22T02:15:00"/>
    <d v="2016-08-22T15:35:00"/>
    <n v="0"/>
    <n v="456"/>
    <n v="411"/>
    <s v="Dampers other than bypass"/>
    <s v="Inspect Brown 3 FGD shutoff damper"/>
    <s v="Brown"/>
    <x v="2"/>
    <s v="Coal"/>
    <x v="2"/>
    <x v="3"/>
    <n v="8"/>
    <n v="13.333333333313931"/>
    <n v="13.333333333313931"/>
    <n v="5479.9999999920256"/>
    <n v="411"/>
    <x v="39"/>
  </r>
  <r>
    <x v="2"/>
    <x v="0"/>
    <n v="58"/>
    <n v="4263"/>
    <d v="2016-08-28T18:08:00"/>
    <d v="2016-08-28T18:18:00"/>
    <n v="280"/>
    <n v="456"/>
    <n v="411"/>
    <s v="Reheat stop valves"/>
    <s v="Left side RH Stop valve stuck closed on weekly test"/>
    <s v="Brown"/>
    <x v="0"/>
    <s v="Coal"/>
    <x v="2"/>
    <x v="3"/>
    <n v="8"/>
    <n v="0.16666666651144624"/>
    <n v="6.4327485320207323E-2"/>
    <n v="26.438596466605208"/>
    <n v="158.63157894736841"/>
    <x v="68"/>
  </r>
  <r>
    <x v="2"/>
    <x v="5"/>
    <n v="59"/>
    <n v="1090"/>
    <d v="2016-08-29T13:20:00"/>
    <d v="2016-08-31T17:30:00"/>
    <n v="0"/>
    <n v="456"/>
    <n v="411"/>
    <s v="Other boiler tube leaks"/>
    <s v="Waterwall leak from tube rupture"/>
    <s v="Brown"/>
    <x v="3"/>
    <s v="Coal"/>
    <x v="2"/>
    <x v="3"/>
    <n v="8"/>
    <n v="52.166666666627862"/>
    <n v="52.166666666627862"/>
    <n v="21440.499999984051"/>
    <n v="411"/>
    <x v="39"/>
  </r>
  <r>
    <x v="2"/>
    <x v="3"/>
    <n v="60"/>
    <n v="8700"/>
    <d v="2016-09-22T03:00:00"/>
    <d v="2016-09-22T06:10:00"/>
    <n v="0"/>
    <n v="456"/>
    <n v="411"/>
    <s v="CEMS Certification and Recertification"/>
    <s v="Mid load RATA testing"/>
    <s v="Brown"/>
    <x v="1"/>
    <s v="Coal"/>
    <x v="2"/>
    <x v="3"/>
    <n v="9"/>
    <n v="3.1666666666860692"/>
    <n v="3.1666666666860692"/>
    <n v="1301.5000000079744"/>
    <n v="411"/>
    <x v="39"/>
  </r>
  <r>
    <x v="2"/>
    <x v="3"/>
    <n v="61"/>
    <n v="8700"/>
    <d v="2016-09-22T23:00:00"/>
    <d v="2016-09-23T09:04:00"/>
    <n v="0"/>
    <n v="456"/>
    <n v="411"/>
    <s v="CEMS Certification and Recertification"/>
    <s v="Low load RATA testing"/>
    <s v="Brown"/>
    <x v="1"/>
    <s v="Coal"/>
    <x v="2"/>
    <x v="3"/>
    <n v="9"/>
    <n v="10.066666666651145"/>
    <n v="10.066666666651145"/>
    <n v="4137.3999999936204"/>
    <n v="411"/>
    <x v="39"/>
  </r>
  <r>
    <x v="2"/>
    <x v="0"/>
    <n v="62"/>
    <n v="310"/>
    <d v="2016-09-23T22:29:00"/>
    <d v="2016-09-24T06:53:00"/>
    <n v="350"/>
    <n v="456"/>
    <n v="411"/>
    <s v="Pulverizer mills"/>
    <s v="3-4 mill exhauster coupling broken"/>
    <s v="Brown"/>
    <x v="0"/>
    <s v="Coal"/>
    <x v="2"/>
    <x v="3"/>
    <n v="9"/>
    <n v="8.4000000001396984"/>
    <n v="1.9526315789798421"/>
    <n v="802.53157896071514"/>
    <n v="95.53947368421052"/>
    <x v="41"/>
  </r>
  <r>
    <x v="2"/>
    <x v="4"/>
    <n v="64"/>
    <n v="1000"/>
    <d v="2016-10-03T06:00:00"/>
    <d v="2016-10-16T00:07:00"/>
    <n v="0"/>
    <n v="456"/>
    <n v="411"/>
    <s v="Waterwall (Furnace wall) A"/>
    <s v="Inspect and repair waterwall tubes related to tube failure in August. Event #59"/>
    <s v="Brown"/>
    <x v="2"/>
    <s v="Coal"/>
    <x v="2"/>
    <x v="3"/>
    <n v="10"/>
    <n v="306.11666666669771"/>
    <n v="306.11666666669771"/>
    <n v="125813.95000001276"/>
    <n v="411"/>
    <x v="39"/>
  </r>
  <r>
    <x v="2"/>
    <x v="5"/>
    <n v="65"/>
    <n v="4609"/>
    <d v="2016-11-01T06:56:00"/>
    <d v="2016-11-10T14:05:00"/>
    <n v="0"/>
    <n v="456"/>
    <n v="411"/>
    <s v="Other exciter problems"/>
    <s v="Exciter insulation damaged"/>
    <s v="Brown"/>
    <x v="3"/>
    <s v="Coal"/>
    <x v="2"/>
    <x v="3"/>
    <n v="11"/>
    <n v="223.14999999990687"/>
    <n v="223.14999999990687"/>
    <n v="91714.649999961723"/>
    <n v="411"/>
    <x v="39"/>
  </r>
  <r>
    <x v="2"/>
    <x v="5"/>
    <n v="66"/>
    <n v="4710"/>
    <d v="2016-11-10T14:34:00"/>
    <d v="2016-11-11T04:55:00"/>
    <n v="0"/>
    <n v="456"/>
    <n v="411"/>
    <s v="Generator metering devices"/>
    <s v="Blown fuses on metering and GCB circuits"/>
    <s v="Brown"/>
    <x v="3"/>
    <s v="Coal"/>
    <x v="2"/>
    <x v="3"/>
    <n v="11"/>
    <n v="14.349999999976717"/>
    <n v="14.349999999976717"/>
    <n v="5897.8499999904307"/>
    <n v="411"/>
    <x v="39"/>
  </r>
  <r>
    <x v="2"/>
    <x v="5"/>
    <n v="67"/>
    <n v="4609"/>
    <d v="2016-11-11T13:22:00"/>
    <d v="2016-11-11T15:12:00"/>
    <n v="0"/>
    <n v="456"/>
    <n v="411"/>
    <s v="Other exciter problems"/>
    <s v="Balance adjustment to temporary static exciter"/>
    <s v="Brown"/>
    <x v="3"/>
    <s v="Coal"/>
    <x v="2"/>
    <x v="3"/>
    <n v="11"/>
    <n v="1.8333333333721384"/>
    <n v="1.8333333333721384"/>
    <n v="753.5000000159489"/>
    <n v="411"/>
    <x v="39"/>
  </r>
  <r>
    <x v="2"/>
    <x v="5"/>
    <n v="68"/>
    <n v="4609"/>
    <d v="2016-11-11T19:06:00"/>
    <d v="2016-11-12T01:01:00"/>
    <n v="0"/>
    <n v="456"/>
    <n v="411"/>
    <s v="Other exciter problems"/>
    <s v="Balance adjustment to temporary static exciter"/>
    <s v="Brown"/>
    <x v="3"/>
    <s v="Coal"/>
    <x v="2"/>
    <x v="3"/>
    <n v="11"/>
    <n v="5.9166666667442769"/>
    <n v="5.9166666667442769"/>
    <n v="2431.7500000318978"/>
    <n v="411"/>
    <x v="39"/>
  </r>
  <r>
    <x v="2"/>
    <x v="7"/>
    <n v="69"/>
    <n v="4609"/>
    <d v="2016-11-12T01:01:00"/>
    <d v="2016-11-12T04:08:00"/>
    <n v="0"/>
    <n v="456"/>
    <n v="411"/>
    <s v="Other exciter problems"/>
    <s v="Generator lockout due to lockout in temporary exciter circuits"/>
    <s v="Brown"/>
    <x v="3"/>
    <s v="Coal"/>
    <x v="2"/>
    <x v="3"/>
    <n v="11"/>
    <n v="3.1166666666977108"/>
    <n v="3.1166666666977108"/>
    <n v="1280.9500000127591"/>
    <n v="411"/>
    <x v="39"/>
  </r>
  <r>
    <x v="2"/>
    <x v="0"/>
    <n v="71"/>
    <n v="250"/>
    <d v="2016-12-04T19:20:00"/>
    <d v="2016-12-05T02:02:00"/>
    <n v="360"/>
    <n v="456"/>
    <n v="411"/>
    <s v="Pulverizer feeders"/>
    <s v="3-2 feeder will not start"/>
    <s v="Brown"/>
    <x v="0"/>
    <s v="Coal"/>
    <x v="2"/>
    <x v="3"/>
    <n v="12"/>
    <n v="6.7000000000116415"/>
    <n v="1.4105263157919246"/>
    <n v="579.72631579048095"/>
    <n v="86.526315789473685"/>
    <x v="47"/>
  </r>
  <r>
    <x v="2"/>
    <x v="4"/>
    <n v="73"/>
    <n v="1510"/>
    <d v="2016-12-30T05:00:00"/>
    <d v="2016-12-30T13:14:00"/>
    <n v="0"/>
    <n v="456"/>
    <n v="411"/>
    <s v="Flue gas ducts (except recirculation)"/>
    <s v="FGD Duct inspection"/>
    <s v="Brown"/>
    <x v="2"/>
    <s v="Coal"/>
    <x v="2"/>
    <x v="3"/>
    <n v="12"/>
    <n v="8.2333333332790062"/>
    <n v="8.2333333332790062"/>
    <n v="3383.8999999776715"/>
    <n v="411"/>
    <x v="39"/>
  </r>
  <r>
    <x v="2"/>
    <x v="0"/>
    <n v="2"/>
    <n v="1455"/>
    <d v="2017-01-05T10:16:00"/>
    <d v="2017-01-05T11:49:00"/>
    <n v="260"/>
    <n v="456"/>
    <n v="411"/>
    <s v="Induced draft fans"/>
    <s v="3-1 ID Fan trip on high vibration"/>
    <s v="Brown"/>
    <x v="0"/>
    <s v="Coal"/>
    <x v="2"/>
    <x v="4"/>
    <n v="1"/>
    <n v="1.5499999999883585"/>
    <n v="0.66622807017043473"/>
    <n v="273.81973684004868"/>
    <n v="176.65789473684211"/>
    <x v="84"/>
  </r>
  <r>
    <x v="2"/>
    <x v="4"/>
    <n v="3"/>
    <n v="1100"/>
    <d v="2017-01-10T00:14:00"/>
    <d v="2017-01-12T13:25:00"/>
    <n v="0"/>
    <n v="456"/>
    <n v="411"/>
    <s v="Waterwall (Furnace wall) B"/>
    <s v="Rear water wall tube leak above ash hopper"/>
    <s v="Brown"/>
    <x v="2"/>
    <s v="Coal"/>
    <x v="2"/>
    <x v="4"/>
    <n v="1"/>
    <n v="61.183333333348855"/>
    <n v="61.183333333348855"/>
    <n v="25146.35000000638"/>
    <n v="411"/>
    <x v="39"/>
  </r>
  <r>
    <x v="2"/>
    <x v="4"/>
    <n v="5"/>
    <n v="1455"/>
    <d v="2017-01-19T07:00:00"/>
    <d v="2017-01-20T11:49:00"/>
    <n v="0"/>
    <n v="456"/>
    <n v="411"/>
    <s v="Induced draft fans"/>
    <s v="Balance 3-1 ID Fan due to vibration"/>
    <s v="Brown"/>
    <x v="2"/>
    <s v="Coal"/>
    <x v="2"/>
    <x v="4"/>
    <n v="1"/>
    <n v="28.816666666651145"/>
    <n v="28.816666666651145"/>
    <n v="11843.64999999362"/>
    <n v="411"/>
    <x v="39"/>
  </r>
  <r>
    <x v="2"/>
    <x v="7"/>
    <n v="7"/>
    <n v="440"/>
    <d v="2017-02-28T03:41:00"/>
    <d v="2017-02-28T12:06:00"/>
    <n v="0"/>
    <n v="456"/>
    <n v="411"/>
    <s v="Fuel oil pumps (general)"/>
    <s v="Boiler trip on loss of fuel oil pump"/>
    <s v="Brown"/>
    <x v="3"/>
    <s v="Coal"/>
    <x v="2"/>
    <x v="4"/>
    <n v="2"/>
    <n v="8.4166666666860692"/>
    <n v="8.4166666666860692"/>
    <n v="3459.2500000079744"/>
    <n v="411"/>
    <x v="39"/>
  </r>
  <r>
    <x v="2"/>
    <x v="5"/>
    <n v="8"/>
    <n v="1000"/>
    <d v="2017-03-08T08:58:00"/>
    <d v="2017-03-09T06:19:00"/>
    <n v="0"/>
    <n v="456"/>
    <n v="411"/>
    <s v="Waterwall (Furnace wall) A"/>
    <s v="Waterwall tube leak, &quot;A&quot; corner below conveyor level. "/>
    <s v="Brown"/>
    <x v="3"/>
    <s v="Coal"/>
    <x v="2"/>
    <x v="4"/>
    <n v="3"/>
    <n v="21.349999999918509"/>
    <n v="21.349999999918509"/>
    <n v="8774.8499999665073"/>
    <n v="411"/>
    <x v="39"/>
  </r>
  <r>
    <x v="2"/>
    <x v="3"/>
    <n v="10"/>
    <n v="8700"/>
    <d v="2017-03-13T22:00:00"/>
    <d v="2017-03-14T03:00:00"/>
    <n v="0"/>
    <n v="456"/>
    <n v="411"/>
    <s v="CEMS Certification and Recertification"/>
    <s v="RATA testing "/>
    <s v="Brown"/>
    <x v="1"/>
    <s v="Coal"/>
    <x v="2"/>
    <x v="4"/>
    <n v="3"/>
    <n v="5.0000000000582077"/>
    <n v="5.0000000000582077"/>
    <n v="2055.0000000239233"/>
    <n v="411"/>
    <x v="39"/>
  </r>
  <r>
    <x v="2"/>
    <x v="3"/>
    <n v="11"/>
    <n v="8700"/>
    <d v="2017-03-14T03:00:00"/>
    <d v="2017-03-14T09:15:00"/>
    <n v="0"/>
    <n v="456"/>
    <n v="411"/>
    <s v="CEMS Certification and Recertification"/>
    <s v="RATA testing "/>
    <s v="Brown"/>
    <x v="1"/>
    <s v="Coal"/>
    <x v="2"/>
    <x v="4"/>
    <n v="3"/>
    <n v="6.2499999999417923"/>
    <n v="6.2499999999417923"/>
    <n v="2568.7499999760767"/>
    <n v="411"/>
    <x v="39"/>
  </r>
  <r>
    <x v="2"/>
    <x v="0"/>
    <n v="9"/>
    <n v="4263"/>
    <d v="2017-03-18T21:05:00"/>
    <d v="2017-03-18T21:11:00"/>
    <n v="292"/>
    <n v="456"/>
    <n v="411"/>
    <s v="Reheat stop valves"/>
    <s v="Right RH stop valve stuck closed during valve check "/>
    <s v="Brown"/>
    <x v="0"/>
    <s v="Coal"/>
    <x v="2"/>
    <x v="4"/>
    <n v="3"/>
    <n v="0.10000000015133992"/>
    <n v="3.5964912335131022E-2"/>
    <n v="14.781578969738851"/>
    <n v="147.81578947368422"/>
    <x v="85"/>
  </r>
  <r>
    <x v="2"/>
    <x v="5"/>
    <n v="12"/>
    <n v="9900"/>
    <d v="2017-03-24T11:33:00"/>
    <d v="2017-03-24T12:02:00"/>
    <n v="0"/>
    <n v="456"/>
    <n v="411"/>
    <s v="Operator error"/>
    <s v="GCB opened by mistake when performing non related switching"/>
    <s v="Brown"/>
    <x v="3"/>
    <s v="Coal"/>
    <x v="2"/>
    <x v="4"/>
    <n v="3"/>
    <n v="0.48333333333721384"/>
    <n v="0.48333333333721384"/>
    <n v="198.65000000159489"/>
    <n v="411"/>
    <x v="39"/>
  </r>
  <r>
    <x v="2"/>
    <x v="6"/>
    <n v="13"/>
    <n v="1801"/>
    <d v="2017-04-14T23:01:00"/>
    <d v="2017-05-06T17:39:00"/>
    <n v="0"/>
    <n v="456"/>
    <n v="411"/>
    <s v="Minor boiler overhaul (less than 720 hours) (use for non-specific overhaul only; see page B-1)"/>
    <s v="Planned outage with misc. tasks"/>
    <s v="Brown"/>
    <x v="1"/>
    <s v="Coal"/>
    <x v="2"/>
    <x v="4"/>
    <n v="4"/>
    <n v="522.63333333347691"/>
    <n v="522.63333333347691"/>
    <n v="214802.30000005901"/>
    <n v="411"/>
    <x v="39"/>
  </r>
  <r>
    <x v="2"/>
    <x v="4"/>
    <n v="15"/>
    <n v="4609"/>
    <d v="2017-05-09T21:41:00"/>
    <d v="2017-05-10T03:01:00"/>
    <n v="0"/>
    <n v="456"/>
    <n v="411"/>
    <s v="Other exciter problems"/>
    <s v="Perform balance move on #7 Exciter bearing "/>
    <s v="Brown"/>
    <x v="2"/>
    <s v="Coal"/>
    <x v="2"/>
    <x v="4"/>
    <n v="5"/>
    <n v="5.3333333334303461"/>
    <n v="5.3333333334303461"/>
    <n v="2192.0000000398722"/>
    <n v="411"/>
    <x v="39"/>
  </r>
  <r>
    <x v="2"/>
    <x v="1"/>
    <n v="16"/>
    <n v="3410"/>
    <d v="2017-05-10T03:01:00"/>
    <d v="2017-05-10T06:15:00"/>
    <n v="300"/>
    <n v="456"/>
    <n v="411"/>
    <s v="Feedwater pump"/>
    <s v="Perform alignment on 3-2 BFP"/>
    <s v="Brown"/>
    <x v="0"/>
    <s v="Coal"/>
    <x v="2"/>
    <x v="4"/>
    <n v="5"/>
    <n v="3.2333333332207985"/>
    <n v="1.1061403508386942"/>
    <n v="454.62368419470334"/>
    <n v="140.60526315789474"/>
    <x v="59"/>
  </r>
  <r>
    <x v="2"/>
    <x v="4"/>
    <n v="17"/>
    <n v="4609"/>
    <d v="2017-05-10T06:15:00"/>
    <d v="2017-05-10T09:36:00"/>
    <n v="0"/>
    <n v="456"/>
    <n v="411"/>
    <s v="Other exciter problems"/>
    <s v="Perform balance move on #7 Exciter bearing "/>
    <s v="Brown"/>
    <x v="2"/>
    <s v="Coal"/>
    <x v="2"/>
    <x v="4"/>
    <n v="5"/>
    <n v="3.3500000000931323"/>
    <n v="3.3500000000931323"/>
    <n v="1376.8500000382774"/>
    <n v="411"/>
    <x v="39"/>
  </r>
  <r>
    <x v="2"/>
    <x v="0"/>
    <n v="18"/>
    <n v="1850"/>
    <d v="2017-05-11T06:37:00"/>
    <d v="2017-05-11T07:02:00"/>
    <n v="420"/>
    <n v="456"/>
    <n v="411"/>
    <s v="Boiler water condition (not feedwater water quality)"/>
    <s v="High silica"/>
    <s v="Brown"/>
    <x v="0"/>
    <s v="Coal"/>
    <x v="2"/>
    <x v="4"/>
    <n v="5"/>
    <n v="0.41666666680248454"/>
    <n v="3.2894736852827726E-2"/>
    <n v="13.519736846512195"/>
    <n v="32.44736842105263"/>
    <x v="8"/>
  </r>
  <r>
    <x v="2"/>
    <x v="4"/>
    <n v="19"/>
    <n v="4609"/>
    <d v="2017-05-11T07:58:00"/>
    <d v="2017-05-11T12:06:00"/>
    <n v="0"/>
    <n v="456"/>
    <n v="411"/>
    <s v="Other exciter problems"/>
    <s v="Perform balance move on #7 Exciter bearing "/>
    <s v="Brown"/>
    <x v="2"/>
    <s v="Coal"/>
    <x v="2"/>
    <x v="4"/>
    <n v="5"/>
    <n v="4.1333333333604969"/>
    <n v="4.1333333333604969"/>
    <n v="1698.8000000111642"/>
    <n v="411"/>
    <x v="39"/>
  </r>
  <r>
    <x v="2"/>
    <x v="0"/>
    <n v="20"/>
    <n v="1850"/>
    <d v="2017-05-11T14:06:00"/>
    <d v="2017-05-11T15:40:00"/>
    <n v="400"/>
    <n v="456"/>
    <n v="411"/>
    <s v="Boiler water condition (not feedwater water quality)"/>
    <s v="High boiler feedwater silica"/>
    <s v="Brown"/>
    <x v="0"/>
    <s v="Coal"/>
    <x v="2"/>
    <x v="4"/>
    <n v="5"/>
    <n v="1.5666666667093523"/>
    <n v="0.19239766082395554"/>
    <n v="79.075438598645732"/>
    <n v="50.473684210526315"/>
    <x v="33"/>
  </r>
  <r>
    <x v="2"/>
    <x v="5"/>
    <n v="21"/>
    <n v="4609"/>
    <d v="2017-05-12T10:56:00"/>
    <d v="2017-05-12T12:30:00"/>
    <n v="0"/>
    <n v="456"/>
    <n v="411"/>
    <s v="Other exciter problems"/>
    <s v="Water leak inside exciter housing"/>
    <s v="Brown"/>
    <x v="3"/>
    <s v="Coal"/>
    <x v="2"/>
    <x v="4"/>
    <n v="5"/>
    <n v="1.5666666667093523"/>
    <n v="1.5666666667093523"/>
    <n v="643.90000001754379"/>
    <n v="411"/>
    <x v="39"/>
  </r>
  <r>
    <x v="2"/>
    <x v="4"/>
    <n v="22"/>
    <n v="4609"/>
    <d v="2017-05-12T12:30:00"/>
    <d v="2017-05-13T20:01:00"/>
    <n v="0"/>
    <n v="456"/>
    <n v="411"/>
    <s v="Other exciter problems"/>
    <s v="Perform balance move due to #7 exciter beraing vibration "/>
    <s v="Brown"/>
    <x v="2"/>
    <s v="Coal"/>
    <x v="2"/>
    <x v="4"/>
    <n v="5"/>
    <n v="31.516666666546371"/>
    <n v="31.516666666546371"/>
    <n v="12953.349999950558"/>
    <n v="411"/>
    <x v="39"/>
  </r>
  <r>
    <x v="2"/>
    <x v="0"/>
    <n v="23"/>
    <n v="310"/>
    <d v="2017-05-14T01:20:00"/>
    <d v="2017-05-14T06:08:00"/>
    <n v="370"/>
    <n v="456"/>
    <n v="411"/>
    <s v="Pulverizer mills"/>
    <s v="Noise in 3-3 mill pyrite section"/>
    <s v="Brown"/>
    <x v="0"/>
    <s v="Coal"/>
    <x v="2"/>
    <x v="4"/>
    <n v="5"/>
    <n v="4.8000000001047738"/>
    <n v="0.90526315791449685"/>
    <n v="372.06315790285822"/>
    <n v="77.513157894736835"/>
    <x v="53"/>
  </r>
  <r>
    <x v="2"/>
    <x v="1"/>
    <n v="24"/>
    <n v="1980"/>
    <d v="2017-05-15T19:00:00"/>
    <d v="2017-05-15T22:18:00"/>
    <n v="365"/>
    <n v="456"/>
    <n v="411"/>
    <s v="Boiler safety valve test"/>
    <s v="Set boiler safties post outage"/>
    <s v="Brown"/>
    <x v="0"/>
    <s v="Coal"/>
    <x v="2"/>
    <x v="4"/>
    <n v="5"/>
    <n v="3.3000000001047738"/>
    <n v="0.65855263159985622"/>
    <n v="270.66513158754088"/>
    <n v="82.01973684210526"/>
    <x v="48"/>
  </r>
  <r>
    <x v="2"/>
    <x v="0"/>
    <n v="25"/>
    <n v="250"/>
    <d v="2017-05-19T15:30:00"/>
    <d v="2017-05-20T00:05:00"/>
    <n v="350"/>
    <n v="456"/>
    <n v="411"/>
    <s v="Pulverizer feeders"/>
    <s v="3-3 mill feeder tripped and would not restart"/>
    <s v="Brown"/>
    <x v="0"/>
    <s v="Coal"/>
    <x v="2"/>
    <x v="4"/>
    <n v="5"/>
    <n v="8.5833333331975155"/>
    <n v="1.9952485379801241"/>
    <n v="820.04714910983103"/>
    <n v="95.53947368421052"/>
    <x v="41"/>
  </r>
  <r>
    <x v="2"/>
    <x v="0"/>
    <n v="26"/>
    <n v="3620"/>
    <d v="2017-05-20T17:22:00"/>
    <d v="2017-05-20T21:15:00"/>
    <n v="390"/>
    <n v="456"/>
    <n v="411"/>
    <s v="Main transformer"/>
    <s v="Main transformer oil temperature high"/>
    <s v="Brown"/>
    <x v="0"/>
    <s v="Coal"/>
    <x v="2"/>
    <x v="4"/>
    <n v="5"/>
    <n v="3.8833333332440816"/>
    <n v="0.56206140349585387"/>
    <n v="231.00723683679595"/>
    <n v="59.486842105263158"/>
    <x v="83"/>
  </r>
  <r>
    <x v="2"/>
    <x v="0"/>
    <n v="27"/>
    <n v="310"/>
    <d v="2017-06-05T15:45:00"/>
    <d v="2017-06-05T18:02:00"/>
    <n v="370"/>
    <n v="456"/>
    <n v="411"/>
    <s v="Pulverizer mills"/>
    <s v="Noise in 3-2 mill pyrite area"/>
    <s v="Brown"/>
    <x v="0"/>
    <s v="Coal"/>
    <x v="2"/>
    <x v="4"/>
    <n v="6"/>
    <n v="2.2833333332673647"/>
    <n v="0.43062865495831876"/>
    <n v="176.98837718786902"/>
    <n v="77.513157894736835"/>
    <x v="53"/>
  </r>
  <r>
    <x v="2"/>
    <x v="0"/>
    <n v="28"/>
    <n v="310"/>
    <d v="2017-06-09T10:04:00"/>
    <d v="2017-06-09T13:02:00"/>
    <n v="370"/>
    <n v="456"/>
    <n v="411"/>
    <s v="Pulverizer mills"/>
    <s v="Repair 3-4 mill pyrtie scrapper "/>
    <s v="Brown"/>
    <x v="0"/>
    <s v="Coal"/>
    <x v="2"/>
    <x v="4"/>
    <n v="6"/>
    <n v="2.9666666667326353"/>
    <n v="0.55950292398904966"/>
    <n v="229.95570175949942"/>
    <n v="77.513157894736835"/>
    <x v="53"/>
  </r>
  <r>
    <x v="2"/>
    <x v="0"/>
    <n v="30"/>
    <n v="310"/>
    <d v="2017-07-03T06:38:00"/>
    <d v="2017-07-03T09:38:00"/>
    <n v="360"/>
    <n v="456"/>
    <n v="411"/>
    <s v="Pulverizer mills"/>
    <s v="Broken pyrite scrapper 3-4 mill"/>
    <s v="Brown"/>
    <x v="0"/>
    <s v="Coal"/>
    <x v="2"/>
    <x v="4"/>
    <n v="7"/>
    <n v="3"/>
    <n v="0.63157894736842102"/>
    <n v="259.57894736842104"/>
    <n v="86.526315789473685"/>
    <x v="47"/>
  </r>
  <r>
    <x v="2"/>
    <x v="0"/>
    <n v="31"/>
    <n v="310"/>
    <d v="2017-07-04T16:30:00"/>
    <d v="2017-07-04T19:37:00"/>
    <n v="360"/>
    <n v="456"/>
    <n v="411"/>
    <s v="Pulverizer mills"/>
    <s v="Broken pyrite scrapper 3-4 mill"/>
    <s v="Brown"/>
    <x v="0"/>
    <s v="Coal"/>
    <x v="2"/>
    <x v="4"/>
    <n v="7"/>
    <n v="3.1166666666977108"/>
    <n v="0.65614035088372857"/>
    <n v="269.67368421321243"/>
    <n v="86.526315789473685"/>
    <x v="47"/>
  </r>
  <r>
    <x v="2"/>
    <x v="0"/>
    <n v="32"/>
    <n v="310"/>
    <d v="2017-07-08T16:05:00"/>
    <d v="2017-07-08T21:16:00"/>
    <n v="350"/>
    <n v="456"/>
    <n v="411"/>
    <s v="Pulverizer mills"/>
    <s v="Broken pyrite scrapper 3-2 mill"/>
    <s v="Brown"/>
    <x v="0"/>
    <s v="Coal"/>
    <x v="2"/>
    <x v="4"/>
    <n v="7"/>
    <n v="5.1833333332906477"/>
    <n v="1.2048976608087909"/>
    <n v="495.21293859241308"/>
    <n v="95.53947368421052"/>
    <x v="41"/>
  </r>
  <r>
    <x v="2"/>
    <x v="1"/>
    <n v="33"/>
    <n v="1407"/>
    <d v="2017-07-14T23:00:00"/>
    <d v="2017-07-15T00:57:00"/>
    <n v="300"/>
    <n v="456"/>
    <n v="411"/>
    <s v="Forced draft fan lubrication system"/>
    <s v="F7803-1 FD FAN MOTOR IB BEARING TEMP HIGH"/>
    <s v="Brown"/>
    <x v="0"/>
    <s v="Coal"/>
    <x v="2"/>
    <x v="4"/>
    <n v="7"/>
    <n v="1.9499999998952262"/>
    <n v="0.6671052631220511"/>
    <n v="274.18026314316302"/>
    <n v="140.60526315789474"/>
    <x v="59"/>
  </r>
  <r>
    <x v="2"/>
    <x v="4"/>
    <n v="34"/>
    <n v="1060"/>
    <d v="2017-08-04T20:32:00"/>
    <d v="2017-08-07T16:17:00"/>
    <n v="0"/>
    <n v="456"/>
    <n v="411"/>
    <s v="First reheater A"/>
    <s v="Repair potential RH leak"/>
    <s v="Brown"/>
    <x v="2"/>
    <s v="Coal"/>
    <x v="2"/>
    <x v="4"/>
    <n v="8"/>
    <n v="67.749999999941792"/>
    <n v="67.749999999941792"/>
    <n v="27845.249999976077"/>
    <n v="411"/>
    <x v="39"/>
  </r>
  <r>
    <x v="2"/>
    <x v="5"/>
    <n v="36"/>
    <n v="4430"/>
    <d v="2017-08-14T16:13:00"/>
    <d v="2017-08-14T23:04:00"/>
    <n v="0"/>
    <n v="456"/>
    <n v="411"/>
    <s v="Gland seal system"/>
    <s v="BFPT gland steam desuperheater plugged. cannot control temperature"/>
    <s v="Brown"/>
    <x v="3"/>
    <s v="Coal"/>
    <x v="2"/>
    <x v="4"/>
    <n v="8"/>
    <n v="6.8499999999767169"/>
    <n v="6.8499999999767169"/>
    <n v="2815.3499999904307"/>
    <n v="411"/>
    <x v="39"/>
  </r>
  <r>
    <x v="2"/>
    <x v="0"/>
    <n v="37"/>
    <n v="300"/>
    <d v="2017-08-17T10:46:00"/>
    <d v="2017-08-17T11:24:00"/>
    <n v="350"/>
    <n v="456"/>
    <n v="411"/>
    <s v="Pulverizer motors and drives"/>
    <s v="F8203-1 Mill breaker would not close in fully/tripping back out."/>
    <s v="Brown"/>
    <x v="0"/>
    <s v="Coal"/>
    <x v="2"/>
    <x v="4"/>
    <n v="8"/>
    <n v="0.63333333330228925"/>
    <n v="0.14722222221500583"/>
    <n v="60.5083333303674"/>
    <n v="95.53947368421052"/>
    <x v="41"/>
  </r>
  <r>
    <x v="2"/>
    <x v="1"/>
    <n v="38"/>
    <n v="310"/>
    <d v="2017-08-24T22:00:00"/>
    <d v="2017-08-25T00:45:00"/>
    <n v="350"/>
    <n v="456"/>
    <n v="411"/>
    <s v="Pulverizer mills"/>
    <s v="Replace 3-2 mill north door"/>
    <s v="Brown"/>
    <x v="0"/>
    <s v="Coal"/>
    <x v="2"/>
    <x v="4"/>
    <n v="8"/>
    <n v="2.7500000000582077"/>
    <n v="0.63925438597844297"/>
    <n v="262.73355263714006"/>
    <n v="95.53947368421052"/>
    <x v="41"/>
  </r>
  <r>
    <x v="2"/>
    <x v="5"/>
    <n v="40"/>
    <n v="1180"/>
    <d v="2017-09-05T11:46:00"/>
    <d v="2017-09-07T15:47:00"/>
    <n v="0"/>
    <n v="456"/>
    <n v="411"/>
    <s v="Economizer A"/>
    <s v="Economizer tube leak"/>
    <s v="Brown"/>
    <x v="3"/>
    <s v="Coal"/>
    <x v="2"/>
    <x v="4"/>
    <n v="9"/>
    <n v="52.016666666662786"/>
    <n v="52.016666666662786"/>
    <n v="21378.849999998405"/>
    <n v="411"/>
    <x v="39"/>
  </r>
  <r>
    <x v="2"/>
    <x v="5"/>
    <n v="41"/>
    <n v="3612"/>
    <d v="2017-09-08T08:36:00"/>
    <d v="2017-09-08T13:57:00"/>
    <n v="0"/>
    <n v="456"/>
    <n v="411"/>
    <s v="Switchyard system protection devices - external"/>
    <s v="FX00loss of Brown North transmission lines protective relaying."/>
    <s v="Brown"/>
    <x v="3"/>
    <s v="Coal"/>
    <x v="2"/>
    <x v="4"/>
    <n v="9"/>
    <n v="5.3500000001513399"/>
    <n v="5.3500000001513399"/>
    <n v="2198.8500000622007"/>
    <n v="411"/>
    <x v="39"/>
  </r>
  <r>
    <x v="2"/>
    <x v="0"/>
    <n v="44"/>
    <n v="3414"/>
    <d v="2017-09-24T14:15:00"/>
    <d v="2017-09-24T14:51:00"/>
    <n v="245"/>
    <n v="456"/>
    <n v="411"/>
    <s v="Feedwater pump local controls"/>
    <s v="3-2 BFP trip causing boiler upset"/>
    <s v="Brown"/>
    <x v="0"/>
    <s v="Coal"/>
    <x v="2"/>
    <x v="4"/>
    <n v="9"/>
    <n v="0.6000000000349246"/>
    <n v="0.27763157896352869"/>
    <n v="114.10657895401029"/>
    <n v="190.17763157894737"/>
    <x v="86"/>
  </r>
  <r>
    <x v="2"/>
    <x v="3"/>
    <n v="45"/>
    <n v="8700"/>
    <d v="2017-10-16T16:42:00"/>
    <d v="2017-10-16T21:00:00"/>
    <n v="0"/>
    <n v="456"/>
    <n v="411"/>
    <s v="CEMS Certification and Recertification"/>
    <s v="Low load RATA testing"/>
    <s v="Brown"/>
    <x v="1"/>
    <s v="Coal"/>
    <x v="2"/>
    <x v="4"/>
    <n v="10"/>
    <n v="4.3000000000465661"/>
    <n v="4.3000000000465661"/>
    <n v="1767.3000000191387"/>
    <n v="411"/>
    <x v="39"/>
  </r>
  <r>
    <x v="2"/>
    <x v="1"/>
    <n v="46"/>
    <n v="3412"/>
    <d v="2017-10-16T21:00:00"/>
    <d v="2017-10-17T05:26:00"/>
    <n v="300"/>
    <n v="456"/>
    <n v="411"/>
    <s v="Feedwater pump drive - steam turbine"/>
    <s v="Repair steam leak on 3-2 BFP"/>
    <s v="Brown"/>
    <x v="0"/>
    <s v="Coal"/>
    <x v="2"/>
    <x v="4"/>
    <n v="10"/>
    <n v="8.433333333407063"/>
    <n v="2.8850877193234687"/>
    <n v="1185.7710526419457"/>
    <n v="140.60526315789474"/>
    <x v="59"/>
  </r>
  <r>
    <x v="2"/>
    <x v="0"/>
    <n v="47"/>
    <n v="3412"/>
    <d v="2017-11-01T15:18:00"/>
    <d v="2017-11-01T15:53:00"/>
    <n v="310"/>
    <n v="456"/>
    <n v="411"/>
    <s v="Feedwater pump drive - steam turbine"/>
    <s v="F5403-2 BFP steam leak causing pump to trip"/>
    <s v="Brown"/>
    <x v="0"/>
    <s v="Coal"/>
    <x v="2"/>
    <x v="4"/>
    <n v="11"/>
    <n v="0.58333333348855376"/>
    <n v="0.186769005897651"/>
    <n v="76.762061423934554"/>
    <n v="131.59210526315789"/>
    <x v="51"/>
  </r>
  <r>
    <x v="2"/>
    <x v="0"/>
    <n v="48"/>
    <n v="3412"/>
    <d v="2017-11-01T15:53:00"/>
    <d v="2017-11-01T20:43:00"/>
    <n v="325"/>
    <n v="456"/>
    <n v="411"/>
    <s v="Feedwater pump drive - steam turbine"/>
    <s v="F5403-2 BFP steam leak causing pump to trip"/>
    <s v="Brown"/>
    <x v="0"/>
    <s v="Coal"/>
    <x v="2"/>
    <x v="4"/>
    <n v="11"/>
    <n v="4.8333333331975155"/>
    <n v="1.3885233917738475"/>
    <n v="570.68311401905135"/>
    <n v="118.07236842105263"/>
    <x v="40"/>
  </r>
  <r>
    <x v="2"/>
    <x v="6"/>
    <n v="50"/>
    <n v="891"/>
    <d v="2017-11-25T00:00:00"/>
    <d v="2017-12-08T12:52:00"/>
    <n v="0"/>
    <n v="456"/>
    <n v="411"/>
    <s v="Bottom ash hoppers (including gates)"/>
    <s v="Replace spray ring header in ash hopper"/>
    <s v="Brown"/>
    <x v="1"/>
    <s v="Coal"/>
    <x v="2"/>
    <x v="4"/>
    <n v="11"/>
    <n v="324.86666666669771"/>
    <n v="324.86666666669771"/>
    <n v="133520.20000001276"/>
    <n v="411"/>
    <x v="39"/>
  </r>
  <r>
    <x v="2"/>
    <x v="1"/>
    <n v="51"/>
    <n v="3412"/>
    <d v="2017-12-09T07:00:00"/>
    <d v="2017-12-09T13:50:00"/>
    <n v="315"/>
    <n v="456"/>
    <n v="411"/>
    <s v="Feedwater pump drive - steam turbine"/>
    <s v="Repair leaking joints on 3-1 BFP LP steam supply line"/>
    <s v="Brown"/>
    <x v="0"/>
    <s v="Coal"/>
    <x v="2"/>
    <x v="4"/>
    <n v="12"/>
    <n v="6.8333333334303461"/>
    <n v="2.1129385965212255"/>
    <n v="868.41776317022368"/>
    <n v="127.08552631578948"/>
    <x v="49"/>
  </r>
  <r>
    <x v="2"/>
    <x v="5"/>
    <n v="53"/>
    <n v="385"/>
    <d v="2017-12-25T06:20:00"/>
    <d v="2017-12-25T06:37:00"/>
    <n v="0"/>
    <n v="456"/>
    <n v="411"/>
    <s v="Igniters"/>
    <s v="Lost oil guns on unit startup"/>
    <s v="Brown"/>
    <x v="3"/>
    <s v="Coal"/>
    <x v="2"/>
    <x v="4"/>
    <n v="12"/>
    <n v="0.28333333320915699"/>
    <n v="0.28333333320915699"/>
    <n v="116.44999994896352"/>
    <n v="411"/>
    <x v="39"/>
  </r>
  <r>
    <x v="2"/>
    <x v="5"/>
    <n v="54"/>
    <n v="1180"/>
    <d v="2017-12-27T01:41:00"/>
    <d v="2017-12-29T21:50:00"/>
    <n v="0"/>
    <n v="456"/>
    <n v="411"/>
    <s v="Economizer A"/>
    <s v="Economizer tube leak"/>
    <s v="Brown"/>
    <x v="3"/>
    <s v="Coal"/>
    <x v="2"/>
    <x v="4"/>
    <n v="12"/>
    <n v="68.14999999984866"/>
    <n v="68.14999999984866"/>
    <n v="28009.649999937799"/>
    <n v="411"/>
    <x v="39"/>
  </r>
  <r>
    <x v="2"/>
    <x v="0"/>
    <n v="55"/>
    <n v="310"/>
    <d v="2017-12-30T15:17:00"/>
    <d v="2017-12-31T09:59:00"/>
    <n v="375"/>
    <n v="456"/>
    <n v="411"/>
    <s v="Pulverizer mills"/>
    <s v="3-3 mill broken vertical shaft"/>
    <s v="Brown"/>
    <x v="0"/>
    <s v="Coal"/>
    <x v="2"/>
    <x v="4"/>
    <n v="12"/>
    <n v="18.700000000011642"/>
    <n v="3.3217105263178572"/>
    <n v="1365.2230263166393"/>
    <n v="73.006578947368425"/>
    <x v="87"/>
  </r>
  <r>
    <x v="2"/>
    <x v="0"/>
    <n v="56"/>
    <n v="30"/>
    <d v="2017-12-31T09:59:00"/>
    <d v="2017-12-31T10:53:00"/>
    <n v="250"/>
    <n v="456"/>
    <n v="411"/>
    <s v="Coal conveyors and feeders"/>
    <s v="H conveyor failure to start"/>
    <s v="Brown"/>
    <x v="0"/>
    <s v="Coal"/>
    <x v="2"/>
    <x v="4"/>
    <n v="12"/>
    <n v="0.8999999999650754"/>
    <n v="0.40657894735264372"/>
    <n v="167.10394736193658"/>
    <n v="185.67105263157896"/>
    <x v="60"/>
  </r>
  <r>
    <x v="2"/>
    <x v="0"/>
    <n v="57"/>
    <n v="310"/>
    <d v="2017-12-31T10:53:00"/>
    <d v="2017-12-31T18:24:00"/>
    <n v="375"/>
    <n v="456"/>
    <n v="411"/>
    <s v="Pulverizer mills"/>
    <s v="3-3 Pulv broken vertical shaft"/>
    <s v="Brown"/>
    <x v="0"/>
    <s v="Coal"/>
    <x v="2"/>
    <x v="4"/>
    <n v="12"/>
    <n v="7.5166666667209938"/>
    <n v="1.3351973684307028"/>
    <n v="548.76611842501882"/>
    <n v="73.006578947368425"/>
    <x v="87"/>
  </r>
  <r>
    <x v="2"/>
    <x v="0"/>
    <n v="58"/>
    <n v="310"/>
    <d v="2017-12-31T18:24:00"/>
    <d v="2018-01-01T00:00:00"/>
    <n v="360"/>
    <n v="456"/>
    <n v="411"/>
    <s v="Pulverizer mills"/>
    <s v="3-3 Pulv broken vertical shaft"/>
    <s v="Brown"/>
    <x v="0"/>
    <s v="Coal"/>
    <x v="2"/>
    <x v="4"/>
    <n v="12"/>
    <n v="5.5999999999185093"/>
    <n v="1.1789473684038967"/>
    <n v="484.54736841400154"/>
    <n v="86.526315789473685"/>
    <x v="47"/>
  </r>
  <r>
    <x v="2"/>
    <x v="0"/>
    <n v="1"/>
    <n v="310"/>
    <d v="2018-01-01T00:00:00"/>
    <d v="2018-01-04T17:21:00"/>
    <n v="360"/>
    <n v="456"/>
    <n v="411"/>
    <s v="Pulverizer mills"/>
    <s v="3-3 Pulv broken vertical shaft"/>
    <s v="Brown"/>
    <x v="0"/>
    <s v="Coal"/>
    <x v="2"/>
    <x v="5"/>
    <n v="1"/>
    <n v="89.349999999976717"/>
    <n v="18.810526315784571"/>
    <n v="7731.1263157874591"/>
    <n v="86.526315789473685"/>
    <x v="47"/>
  </r>
  <r>
    <x v="2"/>
    <x v="5"/>
    <n v="2"/>
    <n v="1090"/>
    <d v="2018-01-04T17:21:00"/>
    <d v="2018-01-05T19:29:00"/>
    <n v="0"/>
    <n v="456"/>
    <n v="411"/>
    <s v="Other boiler tube leaks"/>
    <s v="Boiler leak in lower waterwall above ash hopper"/>
    <s v="Brown"/>
    <x v="3"/>
    <s v="Coal"/>
    <x v="2"/>
    <x v="5"/>
    <n v="1"/>
    <n v="26.133333333302289"/>
    <n v="26.133333333302289"/>
    <n v="10740.799999987241"/>
    <n v="411"/>
    <x v="39"/>
  </r>
  <r>
    <x v="2"/>
    <x v="0"/>
    <n v="3"/>
    <n v="310"/>
    <d v="2018-01-05T19:30:00"/>
    <d v="2018-01-11T16:30:00"/>
    <n v="360"/>
    <n v="456"/>
    <n v="411"/>
    <s v="Pulverizer mills"/>
    <s v="3-3 Pulv broken vertical shaft"/>
    <s v="Brown"/>
    <x v="0"/>
    <s v="Coal"/>
    <x v="2"/>
    <x v="5"/>
    <n v="1"/>
    <n v="141"/>
    <n v="29.684210526315791"/>
    <n v="12200.21052631579"/>
    <n v="86.526315789473685"/>
    <x v="47"/>
  </r>
  <r>
    <x v="2"/>
    <x v="5"/>
    <n v="4"/>
    <n v="1090"/>
    <d v="2018-01-11T16:30:00"/>
    <d v="2018-01-15T14:57:00"/>
    <n v="0"/>
    <n v="456"/>
    <n v="411"/>
    <s v="Other boiler tube leaks"/>
    <s v="Various leak repairs in reheat section of boiler"/>
    <s v="Brown"/>
    <x v="3"/>
    <s v="Coal"/>
    <x v="2"/>
    <x v="5"/>
    <n v="1"/>
    <n v="94.450000000011642"/>
    <n v="94.450000000011642"/>
    <n v="38818.950000004785"/>
    <n v="411"/>
    <x v="39"/>
  </r>
  <r>
    <x v="2"/>
    <x v="0"/>
    <n v="5"/>
    <n v="310"/>
    <d v="2018-01-15T14:58:00"/>
    <d v="2018-01-15T16:48:00"/>
    <n v="360"/>
    <n v="456"/>
    <n v="411"/>
    <s v="Pulverizer mills"/>
    <s v="3-3 mill broken vertical shaft"/>
    <s v="Brown"/>
    <x v="0"/>
    <s v="Coal"/>
    <x v="2"/>
    <x v="5"/>
    <n v="1"/>
    <n v="1.8333333331975155"/>
    <n v="0.38596491225210849"/>
    <n v="158.6315789356166"/>
    <n v="86.526315789473685"/>
    <x v="47"/>
  </r>
  <r>
    <x v="2"/>
    <x v="5"/>
    <n v="6"/>
    <n v="1710"/>
    <d v="2018-01-15T16:48:00"/>
    <d v="2018-01-15T21:06:00"/>
    <n v="0"/>
    <n v="456"/>
    <n v="411"/>
    <s v="Combustion/steam condition controls (report local controls --- burners"/>
    <s v="Boiler trip while removing oil guns. Natural draft purge required"/>
    <s v="Brown"/>
    <x v="3"/>
    <s v="Coal"/>
    <x v="2"/>
    <x v="5"/>
    <n v="1"/>
    <n v="4.3000000000465661"/>
    <n v="4.3000000000465661"/>
    <n v="1767.3000000191387"/>
    <n v="411"/>
    <x v="39"/>
  </r>
  <r>
    <x v="2"/>
    <x v="0"/>
    <n v="7"/>
    <n v="310"/>
    <d v="2018-01-15T21:07:00"/>
    <d v="2018-01-16T12:12:00"/>
    <n v="360"/>
    <n v="456"/>
    <n v="411"/>
    <s v="Pulverizer mills"/>
    <s v="3-3 mill broken vertical shaft"/>
    <s v="Brown"/>
    <x v="0"/>
    <s v="Coal"/>
    <x v="2"/>
    <x v="5"/>
    <n v="1"/>
    <n v="15.083333333255723"/>
    <n v="3.1754385964748892"/>
    <n v="1305.1052631511795"/>
    <n v="86.526315789473685"/>
    <x v="47"/>
  </r>
  <r>
    <x v="2"/>
    <x v="0"/>
    <n v="8"/>
    <n v="1488"/>
    <d v="2018-01-16T12:12:00"/>
    <d v="2018-01-16T13:01:00"/>
    <n v="270"/>
    <n v="456"/>
    <n v="411"/>
    <s v="Air heater (regenerative)"/>
    <s v="3-2 air heater stopped rotating"/>
    <s v="Brown"/>
    <x v="0"/>
    <s v="Coal"/>
    <x v="2"/>
    <x v="5"/>
    <n v="1"/>
    <n v="0.81666666670935228"/>
    <n v="0.33311403510513055"/>
    <n v="136.90986842820865"/>
    <n v="167.64473684210526"/>
    <x v="88"/>
  </r>
  <r>
    <x v="2"/>
    <x v="0"/>
    <n v="9"/>
    <n v="310"/>
    <d v="2018-01-16T13:01:00"/>
    <d v="2018-01-16T21:58:00"/>
    <n v="360"/>
    <n v="456"/>
    <n v="411"/>
    <s v="Pulverizer mills"/>
    <s v="3-3 mill broken vertical shaft"/>
    <s v="Brown"/>
    <x v="0"/>
    <s v="Coal"/>
    <x v="2"/>
    <x v="5"/>
    <n v="1"/>
    <n v="8.9500000000116415"/>
    <n v="1.8842105263182403"/>
    <n v="774.41052631679679"/>
    <n v="86.526315789473685"/>
    <x v="47"/>
  </r>
  <r>
    <x v="2"/>
    <x v="1"/>
    <n v="10"/>
    <n v="3221"/>
    <d v="2018-01-20T21:00:00"/>
    <d v="2018-01-20T23:00:00"/>
    <n v="310"/>
    <n v="456"/>
    <n v="411"/>
    <s v="Circulating water piping fouling"/>
    <s v="Clean 3-2 BFP CW lines"/>
    <s v="Brown"/>
    <x v="0"/>
    <s v="Coal"/>
    <x v="2"/>
    <x v="5"/>
    <n v="1"/>
    <n v="2.0000000000582077"/>
    <n v="0.6403508772116191"/>
    <n v="263.18421053397543"/>
    <n v="131.59210526315789"/>
    <x v="51"/>
  </r>
  <r>
    <x v="2"/>
    <x v="4"/>
    <n v="11"/>
    <n v="3340"/>
    <d v="2018-01-31T11:06:00"/>
    <d v="2018-02-02T02:25:00"/>
    <n v="0"/>
    <n v="456"/>
    <n v="411"/>
    <s v="LP heater tube leaks"/>
    <s v="Repair 3A cond heater tube leak"/>
    <s v="Brown"/>
    <x v="2"/>
    <s v="Coal"/>
    <x v="2"/>
    <x v="5"/>
    <n v="1"/>
    <n v="39.316666666651145"/>
    <n v="39.316666666651145"/>
    <n v="16159.14999999362"/>
    <n v="411"/>
    <x v="39"/>
  </r>
  <r>
    <x v="2"/>
    <x v="1"/>
    <n v="12"/>
    <n v="310"/>
    <d v="2018-02-06T22:00:00"/>
    <d v="2018-02-07T04:00:00"/>
    <n v="360"/>
    <n v="456"/>
    <n v="411"/>
    <s v="Pulverizer mills"/>
    <s v="Inspect 3-3 mill due to excessive vibration"/>
    <s v="Brown"/>
    <x v="0"/>
    <s v="Coal"/>
    <x v="2"/>
    <x v="5"/>
    <n v="2"/>
    <n v="6"/>
    <n v="1.263157894736842"/>
    <n v="519.15789473684208"/>
    <n v="86.526315789473685"/>
    <x v="47"/>
  </r>
  <r>
    <x v="2"/>
    <x v="5"/>
    <n v="15"/>
    <n v="3621"/>
    <d v="2018-03-12T01:42:00"/>
    <d v="2018-03-13T05:45:00"/>
    <n v="0"/>
    <n v="456"/>
    <n v="411"/>
    <s v="Unit auxiliaries transformer"/>
    <s v="F820Generator lockout due to 60 fl vt fuse loss grnd neut. overcurrent 86u 3-1 86u 3-2"/>
    <s v="Brown"/>
    <x v="3"/>
    <s v="Coal"/>
    <x v="2"/>
    <x v="5"/>
    <n v="3"/>
    <n v="28.050000000104774"/>
    <n v="28.050000000104774"/>
    <n v="11528.550000043062"/>
    <n v="411"/>
    <x v="39"/>
  </r>
  <r>
    <x v="2"/>
    <x v="7"/>
    <n v="16"/>
    <n v="3621"/>
    <d v="2018-03-13T05:45:00"/>
    <d v="2018-03-13T07:09:00"/>
    <n v="0"/>
    <n v="456"/>
    <n v="411"/>
    <s v="Unit auxiliaries transformer"/>
    <s v="Bad Potential transformer preventing sync"/>
    <s v="Brown"/>
    <x v="3"/>
    <s v="Coal"/>
    <x v="2"/>
    <x v="5"/>
    <n v="3"/>
    <n v="1.4000000000232831"/>
    <n v="1.4000000000232831"/>
    <n v="575.40000000956934"/>
    <n v="411"/>
    <x v="39"/>
  </r>
  <r>
    <x v="2"/>
    <x v="0"/>
    <n v="17"/>
    <n v="1470"/>
    <d v="2018-03-13T07:10:00"/>
    <d v="2018-04-14T01:17:00"/>
    <n v="375"/>
    <n v="456"/>
    <n v="411"/>
    <s v="Induced draft fan motors and drives"/>
    <s v="F820Ground fault on 3-1 ID fan "/>
    <s v="Brown"/>
    <x v="0"/>
    <s v="Coal"/>
    <x v="2"/>
    <x v="5"/>
    <n v="3"/>
    <n v="762.11666666669771"/>
    <n v="135.37598684211079"/>
    <n v="55639.530592107534"/>
    <n v="73.006578947368425"/>
    <x v="87"/>
  </r>
  <r>
    <x v="2"/>
    <x v="3"/>
    <n v="18"/>
    <n v="9656"/>
    <d v="2018-03-13T20:00:00"/>
    <d v="2018-03-14T02:07:00"/>
    <n v="0"/>
    <n v="456"/>
    <n v="411"/>
    <s v="Other stack or exhaust emissions testing - fossil"/>
    <s v="RATA Testing "/>
    <s v="Brown"/>
    <x v="1"/>
    <s v="Coal"/>
    <x v="2"/>
    <x v="5"/>
    <n v="3"/>
    <n v="6.1166666665230878"/>
    <n v="6.1166666665230878"/>
    <n v="2513.9499999409891"/>
    <n v="411"/>
    <x v="39"/>
  </r>
  <r>
    <x v="2"/>
    <x v="3"/>
    <n v="19"/>
    <n v="9656"/>
    <d v="2018-03-14T20:00:00"/>
    <d v="2018-03-15T00:27:00"/>
    <n v="0"/>
    <n v="456"/>
    <n v="411"/>
    <s v="Other stack or exhaust emissions testing - fossil"/>
    <s v="F790RATA testing "/>
    <s v="Brown"/>
    <x v="1"/>
    <s v="Coal"/>
    <x v="2"/>
    <x v="5"/>
    <n v="3"/>
    <n v="4.4500000000116415"/>
    <n v="4.4500000000116415"/>
    <n v="1828.9500000047847"/>
    <n v="411"/>
    <x v="39"/>
  </r>
  <r>
    <x v="2"/>
    <x v="0"/>
    <n v="20"/>
    <n v="344"/>
    <d v="2018-03-16T13:54:00"/>
    <d v="2018-03-16T17:22:00"/>
    <n v="350"/>
    <n v="456"/>
    <n v="411"/>
    <s v="Pulverizer inspection"/>
    <s v="F5903-2 Mill gear inspection "/>
    <s v="Brown"/>
    <x v="0"/>
    <s v="Coal"/>
    <x v="2"/>
    <x v="5"/>
    <n v="3"/>
    <n v="3.46666666661622"/>
    <n v="0.80584795320464764"/>
    <n v="331.20350876711018"/>
    <n v="95.53947368421052"/>
    <x v="41"/>
  </r>
  <r>
    <x v="2"/>
    <x v="0"/>
    <n v="21"/>
    <n v="8544"/>
    <d v="2018-03-25T22:58:00"/>
    <d v="2018-03-25T23:13:00"/>
    <n v="295"/>
    <n v="456"/>
    <n v="411"/>
    <s v="Mechanical failures"/>
    <s v="F130Turbine left side throttle valve closed on valve test and would not re open."/>
    <s v="Brown"/>
    <x v="0"/>
    <s v="Coal"/>
    <x v="2"/>
    <x v="5"/>
    <n v="3"/>
    <n v="0.25000000011641532"/>
    <n v="8.8267543900751907E-2"/>
    <n v="36.277960543209034"/>
    <n v="145.11184210526315"/>
    <x v="45"/>
  </r>
  <r>
    <x v="2"/>
    <x v="3"/>
    <n v="22"/>
    <n v="9590"/>
    <d v="2018-03-27T00:00:00"/>
    <d v="2018-03-27T01:37:00"/>
    <n v="0"/>
    <n v="456"/>
    <n v="411"/>
    <s v="Miscellaneous regulatory (this code is primarily intended for use with event contribution code 2 to indicate that a regulatory-related factor contributed to the primary cause of the event)"/>
    <s v="F790BR3 MATS test (300 MW)"/>
    <s v="Brown"/>
    <x v="1"/>
    <s v="Coal"/>
    <x v="2"/>
    <x v="5"/>
    <n v="3"/>
    <n v="1.6166666666977108"/>
    <n v="1.6166666666977108"/>
    <n v="664.45000001275912"/>
    <n v="411"/>
    <x v="39"/>
  </r>
  <r>
    <x v="2"/>
    <x v="0"/>
    <n v="23"/>
    <n v="9270"/>
    <d v="2018-03-28T13:29:00"/>
    <d v="2018-03-28T18:51:00"/>
    <n v="83"/>
    <n v="456"/>
    <n v="411"/>
    <s v="Wet coal"/>
    <s v="FW00Wet coal causes feeder trip due to serve pluggage on 3-4 mill and resulted in a MF"/>
    <s v="Brown"/>
    <x v="0"/>
    <s v="Coal"/>
    <x v="2"/>
    <x v="5"/>
    <n v="3"/>
    <n v="5.3666666666977108"/>
    <n v="4.3898391813119435"/>
    <n v="1804.2239035192088"/>
    <n v="336.19078947368422"/>
    <x v="89"/>
  </r>
  <r>
    <x v="3"/>
    <x v="0"/>
    <n v="1"/>
    <n v="740"/>
    <d v="2013-01-01T00:00:00"/>
    <d v="2013-01-10T22:14:00"/>
    <n v="460"/>
    <n v="520"/>
    <n v="477"/>
    <s v="Boiler recirculation pumps"/>
    <s v="Load Reduction #11-3 BCWP off due to blown seal.  Unit limited to 90% capacity."/>
    <s v="Ghent"/>
    <x v="0"/>
    <s v="Coal"/>
    <x v="2"/>
    <x v="0"/>
    <n v="1"/>
    <n v="238.23333333333721"/>
    <n v="27.488461538461987"/>
    <n v="13111.996153846369"/>
    <n v="55.03846153846154"/>
    <x v="2"/>
  </r>
  <r>
    <x v="3"/>
    <x v="4"/>
    <n v="3"/>
    <n v="740"/>
    <d v="2013-01-10T22:14:00"/>
    <d v="2013-01-12T01:51:00"/>
    <n v="0"/>
    <n v="520"/>
    <n v="477"/>
    <s v="Boiler recirculation pumps"/>
    <s v="F540Outage #11-3 BCWP had blown seals.  Tried to remove the pump, but valves were "/>
    <s v="Ghent"/>
    <x v="2"/>
    <s v="Coal"/>
    <x v="2"/>
    <x v="0"/>
    <n v="1"/>
    <n v="27.616666666581295"/>
    <n v="27.616666666581295"/>
    <n v="13173.149999959278"/>
    <n v="477"/>
    <x v="90"/>
  </r>
  <r>
    <x v="3"/>
    <x v="7"/>
    <n v="4"/>
    <n v="9900"/>
    <d v="2013-01-12T01:51:00"/>
    <d v="2013-01-12T09:44:00"/>
    <n v="0"/>
    <n v="520"/>
    <n v="477"/>
    <s v="Operator error"/>
    <s v="Outage #2The unit had been firing for start up for just under 2 hours and it was n"/>
    <s v="Ghent"/>
    <x v="3"/>
    <s v="Coal"/>
    <x v="2"/>
    <x v="0"/>
    <n v="1"/>
    <n v="7.8833333333604969"/>
    <n v="7.8833333333604969"/>
    <n v="3760.350000012957"/>
    <n v="477"/>
    <x v="90"/>
  </r>
  <r>
    <x v="3"/>
    <x v="0"/>
    <n v="5"/>
    <n v="4499"/>
    <d v="2013-01-12T09:44:00"/>
    <d v="2013-01-12T10:15:00"/>
    <n v="200"/>
    <n v="520"/>
    <n v="477"/>
    <s v="Other miscellaneous steam turbine problems"/>
    <s v="Load Reduction #21-2 ID fan VFD tripped and would not start."/>
    <s v="Ghent"/>
    <x v="0"/>
    <s v="Coal"/>
    <x v="2"/>
    <x v="0"/>
    <n v="1"/>
    <n v="0.51666666677920148"/>
    <n v="0.31794871801797014"/>
    <n v="151.66153849457177"/>
    <n v="293.53846153846155"/>
    <x v="91"/>
  </r>
  <r>
    <x v="3"/>
    <x v="0"/>
    <n v="6"/>
    <n v="4499"/>
    <d v="2013-01-12T17:04:00"/>
    <d v="2013-02-27T22:35:00"/>
    <n v="450"/>
    <n v="520"/>
    <n v="477"/>
    <s v="Other miscellaneous steam turbine problems"/>
    <s v="Load Reduction #3Turbine performance due to copper deposits."/>
    <s v="Ghent"/>
    <x v="0"/>
    <s v="Coal"/>
    <x v="2"/>
    <x v="0"/>
    <n v="1"/>
    <n v="1109.5166666666628"/>
    <n v="149.3580128205123"/>
    <n v="71243.772115384374"/>
    <n v="64.211538461538467"/>
    <x v="30"/>
  </r>
  <r>
    <x v="3"/>
    <x v="0"/>
    <n v="7"/>
    <n v="9270"/>
    <d v="2013-01-13T17:04:00"/>
    <d v="2013-01-13T18:00:00"/>
    <n v="450"/>
    <n v="520"/>
    <n v="477"/>
    <s v="Wet coal"/>
    <s v="Load Reduction #41-2 Feeder tripped due to wet coal."/>
    <s v="Ghent"/>
    <x v="0"/>
    <s v="Coal"/>
    <x v="2"/>
    <x v="0"/>
    <n v="1"/>
    <n v="0.93333333340706304"/>
    <n v="0.12564102565095078"/>
    <n v="59.930769235503526"/>
    <n v="64.211538461538467"/>
    <x v="30"/>
  </r>
  <r>
    <x v="3"/>
    <x v="1"/>
    <n v="8"/>
    <n v="4611"/>
    <d v="2013-01-25T22:00:00"/>
    <d v="2013-01-26T01:06:00"/>
    <n v="400"/>
    <n v="520"/>
    <n v="477"/>
    <s v="Hydrogen coolers"/>
    <s v="F540Load Reduction #5Load was reduced to repair a LPSW leak on H2 cooler."/>
    <s v="Ghent"/>
    <x v="0"/>
    <s v="Coal"/>
    <x v="2"/>
    <x v="0"/>
    <n v="1"/>
    <n v="3.0999999999767169"/>
    <n v="0.71538461537924236"/>
    <n v="341.23846153589858"/>
    <n v="110.07692307692308"/>
    <x v="92"/>
  </r>
  <r>
    <x v="3"/>
    <x v="0"/>
    <n v="9"/>
    <n v="3415"/>
    <d v="2013-02-01T11:46:00"/>
    <d v="2013-02-01T12:40:00"/>
    <n v="325"/>
    <n v="520"/>
    <n v="477"/>
    <s v="Feedwater pump/drive lube oil system"/>
    <s v="Load Reduction #61-1 BFP tripped due to control oil issues."/>
    <s v="Ghent"/>
    <x v="0"/>
    <s v="Coal"/>
    <x v="2"/>
    <x v="0"/>
    <n v="2"/>
    <n v="0.90000000013969839"/>
    <n v="0.33750000005238689"/>
    <n v="160.98750002498855"/>
    <n v="178.875"/>
    <x v="93"/>
  </r>
  <r>
    <x v="3"/>
    <x v="0"/>
    <n v="10"/>
    <n v="9270"/>
    <d v="2013-02-07T19:26:00"/>
    <d v="2013-02-07T20:48:00"/>
    <n v="485"/>
    <n v="520"/>
    <n v="477"/>
    <s v="Wet coal"/>
    <s v="Load Reduction #71-2 Feeder tripped due to wet coal plugging the chute."/>
    <s v="Ghent"/>
    <x v="0"/>
    <s v="Coal"/>
    <x v="2"/>
    <x v="0"/>
    <n v="2"/>
    <n v="1.3666666667559184"/>
    <n v="9.1987179493186813E-2"/>
    <n v="43.877884618250107"/>
    <n v="32.105769230769234"/>
    <x v="8"/>
  </r>
  <r>
    <x v="3"/>
    <x v="1"/>
    <n v="11"/>
    <n v="344"/>
    <d v="2013-02-14T08:40:00"/>
    <d v="2013-02-14T14:20:00"/>
    <n v="470"/>
    <n v="520"/>
    <n v="477"/>
    <s v="Pulverizer inspection"/>
    <s v="Load Reduction #81-5 Mill had a noise in the grinding section.  Took the mill off "/>
    <s v="Ghent"/>
    <x v="0"/>
    <s v="Coal"/>
    <x v="2"/>
    <x v="0"/>
    <n v="2"/>
    <n v="5.6666666666278616"/>
    <n v="0.54487179486806359"/>
    <n v="259.90384615206631"/>
    <n v="45.865384615384613"/>
    <x v="10"/>
  </r>
  <r>
    <x v="3"/>
    <x v="5"/>
    <n v="12"/>
    <n v="1000"/>
    <d v="2013-02-27T22:35:00"/>
    <d v="2013-02-28T22:23:00"/>
    <n v="0"/>
    <n v="520"/>
    <n v="477"/>
    <s v="Waterwall (Furnace wall) A"/>
    <s v="F380Outage #3A water wall tube leak developed on 9 1/3 floor, northeast corner of "/>
    <s v="Ghent"/>
    <x v="3"/>
    <s v="Coal"/>
    <x v="2"/>
    <x v="0"/>
    <n v="2"/>
    <n v="23.800000000046566"/>
    <n v="23.800000000046566"/>
    <n v="11352.600000022212"/>
    <n v="477"/>
    <x v="90"/>
  </r>
  <r>
    <x v="3"/>
    <x v="0"/>
    <n v="13"/>
    <n v="4499"/>
    <d v="2013-03-01T05:10:00"/>
    <d v="2013-04-08T06:00:00"/>
    <n v="510"/>
    <n v="520"/>
    <n v="477"/>
    <s v="Other miscellaneous steam turbine problems"/>
    <s v="Load Reduction #9Load reduced due to turbine degradation."/>
    <s v="Ghent"/>
    <x v="0"/>
    <s v="Coal"/>
    <x v="2"/>
    <x v="0"/>
    <n v="3"/>
    <n v="912.83333333325572"/>
    <n v="17.554487179485687"/>
    <n v="8373.4903846146717"/>
    <n v="9.1730769230769234"/>
    <x v="94"/>
  </r>
  <r>
    <x v="3"/>
    <x v="0"/>
    <n v="14"/>
    <n v="1000"/>
    <d v="2013-04-08T06:00:00"/>
    <d v="2013-04-10T00:57:00"/>
    <n v="390"/>
    <n v="520"/>
    <n v="477"/>
    <s v="Waterwall (Furnace wall) A"/>
    <s v="F540Load Reduction #10U1 tube leak suspected water cooled spacer tube."/>
    <s v="Ghent"/>
    <x v="0"/>
    <s v="Coal"/>
    <x v="2"/>
    <x v="0"/>
    <n v="4"/>
    <n v="42.949999999953434"/>
    <n v="10.737499999988358"/>
    <n v="5121.787499994447"/>
    <n v="119.25"/>
    <x v="95"/>
  </r>
  <r>
    <x v="3"/>
    <x v="10"/>
    <n v="15"/>
    <n v="1075"/>
    <d v="2013-04-10T00:57:00"/>
    <d v="2013-04-11T21:57:00"/>
    <n v="0"/>
    <n v="520"/>
    <n v="477"/>
    <s v="External reheater link tubing"/>
    <s v="F380Outage #4Unit had been running with tube leak in boiler that could be heard bu"/>
    <s v="Ghent"/>
    <x v="3"/>
    <s v="Coal"/>
    <x v="2"/>
    <x v="0"/>
    <n v="4"/>
    <n v="45"/>
    <n v="45"/>
    <n v="21465"/>
    <n v="477"/>
    <x v="90"/>
  </r>
  <r>
    <x v="3"/>
    <x v="6"/>
    <n v="16"/>
    <n v="1060"/>
    <d v="2013-04-11T21:57:00"/>
    <d v="2013-04-27T13:47:00"/>
    <n v="0"/>
    <n v="520"/>
    <n v="477"/>
    <s v="First reheater A"/>
    <s v="F590Outage #5Unit had been off line due to a reheat pendant tube leak.  Afterlea"/>
    <s v="Ghent"/>
    <x v="1"/>
    <s v="Coal"/>
    <x v="2"/>
    <x v="0"/>
    <n v="4"/>
    <n v="375.83333333343035"/>
    <n v="375.83333333343035"/>
    <n v="179272.50000004628"/>
    <n v="477"/>
    <x v="90"/>
  </r>
  <r>
    <x v="3"/>
    <x v="5"/>
    <n v="17"/>
    <n v="4700"/>
    <d v="2013-04-27T14:02:00"/>
    <d v="2013-04-27T14:38:00"/>
    <n v="0"/>
    <n v="520"/>
    <n v="477"/>
    <s v="Generator voltage control"/>
    <s v="Outage #6The unit had come on line from the Spring Planned Outage at 13:47 with a "/>
    <s v="Ghent"/>
    <x v="3"/>
    <s v="Coal"/>
    <x v="2"/>
    <x v="0"/>
    <n v="4"/>
    <n v="0.6000000000349246"/>
    <n v="0.6000000000349246"/>
    <n v="286.20000001665903"/>
    <n v="477"/>
    <x v="90"/>
  </r>
  <r>
    <x v="3"/>
    <x v="0"/>
    <n v="18"/>
    <n v="1850"/>
    <d v="2013-04-28T03:30:00"/>
    <d v="2013-04-28T09:30:00"/>
    <n v="450"/>
    <n v="520"/>
    <n v="477"/>
    <s v="Boiler water condition (not feedwater water quality)"/>
    <s v="Load Reduction #11U1 Boiler silica was high after the Spring Outage.  This caused "/>
    <s v="Ghent"/>
    <x v="0"/>
    <s v="Coal"/>
    <x v="2"/>
    <x v="0"/>
    <n v="4"/>
    <n v="6"/>
    <n v="0.80769230769230771"/>
    <n v="385.26923076923077"/>
    <n v="64.211538461538467"/>
    <x v="30"/>
  </r>
  <r>
    <x v="3"/>
    <x v="0"/>
    <n v="19"/>
    <n v="340"/>
    <d v="2013-04-30T17:40:00"/>
    <d v="2013-05-01T01:37:00"/>
    <n v="500"/>
    <n v="520"/>
    <n v="477"/>
    <s v="Other pulverizer problems"/>
    <s v="Load Reduction #121-6 Mill was removed from service to inspect due to noise."/>
    <s v="Ghent"/>
    <x v="0"/>
    <s v="Coal"/>
    <x v="2"/>
    <x v="0"/>
    <n v="4"/>
    <n v="7.9500000000698492"/>
    <n v="0.30576923077191726"/>
    <n v="145.85192307820452"/>
    <n v="18.346153846153847"/>
    <x v="5"/>
  </r>
  <r>
    <x v="3"/>
    <x v="0"/>
    <n v="20"/>
    <n v="340"/>
    <d v="2013-05-03T03:23:00"/>
    <d v="2013-05-03T10:58:00"/>
    <n v="500"/>
    <n v="520"/>
    <n v="477"/>
    <s v="Other pulverizer problems"/>
    <s v="Load Reduction #131-5 Mill was out of service due to noise in the grinding section"/>
    <s v="Ghent"/>
    <x v="0"/>
    <s v="Coal"/>
    <x v="2"/>
    <x v="0"/>
    <n v="5"/>
    <n v="7.5833333332557231"/>
    <n v="0.29166666666368168"/>
    <n v="139.12499999857616"/>
    <n v="18.346153846153847"/>
    <x v="5"/>
  </r>
  <r>
    <x v="3"/>
    <x v="0"/>
    <n v="21"/>
    <n v="340"/>
    <d v="2013-05-07T07:39:00"/>
    <d v="2013-05-07T11:32:00"/>
    <n v="500"/>
    <n v="520"/>
    <n v="477"/>
    <s v="Other pulverizer problems"/>
    <s v="Load Reduction #141-6 Mill pyrite scraper broke."/>
    <s v="Ghent"/>
    <x v="0"/>
    <s v="Coal"/>
    <x v="2"/>
    <x v="0"/>
    <n v="5"/>
    <n v="3.8833333334187046"/>
    <n v="0.14935897436225787"/>
    <n v="71.244230770797003"/>
    <n v="18.346153846153847"/>
    <x v="5"/>
  </r>
  <r>
    <x v="3"/>
    <x v="0"/>
    <n v="22"/>
    <n v="1470"/>
    <d v="2013-05-09T17:34:00"/>
    <d v="2013-05-09T19:00:00"/>
    <n v="180"/>
    <n v="520"/>
    <n v="477"/>
    <s v="Induced draft fan motors and drives"/>
    <s v="Load Reduction #151-1 ID fan trippped due to VFD control problems."/>
    <s v="Ghent"/>
    <x v="0"/>
    <s v="Coal"/>
    <x v="2"/>
    <x v="0"/>
    <n v="5"/>
    <n v="1.4333333332906477"/>
    <n v="0.9371794871515774"/>
    <n v="447.03461537130244"/>
    <n v="311.88461538461536"/>
    <x v="96"/>
  </r>
  <r>
    <x v="3"/>
    <x v="0"/>
    <n v="23"/>
    <n v="1470"/>
    <d v="2013-05-09T19:00:00"/>
    <d v="2013-05-09T23:20:00"/>
    <n v="225"/>
    <n v="520"/>
    <n v="477"/>
    <s v="Induced draft fan motors and drives"/>
    <s v="Load Reduction #161-1 ID fan trippped due to VFD control problems."/>
    <s v="Ghent"/>
    <x v="0"/>
    <s v="Coal"/>
    <x v="2"/>
    <x v="0"/>
    <n v="5"/>
    <n v="4.3333333333139308"/>
    <n v="2.4583333333223263"/>
    <n v="1172.6249999947497"/>
    <n v="270.60576923076923"/>
    <x v="97"/>
  </r>
  <r>
    <x v="3"/>
    <x v="0"/>
    <n v="24"/>
    <n v="1470"/>
    <d v="2013-05-10T06:15:00"/>
    <d v="2013-05-10T20:41:00"/>
    <n v="220"/>
    <n v="520"/>
    <n v="477"/>
    <s v="Induced draft fan motors and drives"/>
    <s v="Load Reduction #171-1 ID fan VFD C phase input CT failed."/>
    <s v="Ghent"/>
    <x v="0"/>
    <s v="Coal"/>
    <x v="2"/>
    <x v="0"/>
    <n v="5"/>
    <n v="14.433333333407063"/>
    <n v="8.3269230769656133"/>
    <n v="3971.9423077125975"/>
    <n v="275.19230769230768"/>
    <x v="98"/>
  </r>
  <r>
    <x v="3"/>
    <x v="0"/>
    <n v="25"/>
    <n v="340"/>
    <d v="2013-05-13T22:00:00"/>
    <d v="2013-05-14T02:45:00"/>
    <n v="470"/>
    <n v="520"/>
    <n v="477"/>
    <s v="Other pulverizer problems"/>
    <s v="Load Reduction #181-6 mill pyrite scraper broke off."/>
    <s v="Ghent"/>
    <x v="0"/>
    <s v="Coal"/>
    <x v="2"/>
    <x v="0"/>
    <n v="5"/>
    <n v="4.7500000001164153"/>
    <n v="0.45673076924196299"/>
    <n v="217.86057692841635"/>
    <n v="45.865384615384613"/>
    <x v="10"/>
  </r>
  <r>
    <x v="3"/>
    <x v="1"/>
    <n v="26"/>
    <n v="340"/>
    <d v="2013-06-04T23:00:00"/>
    <d v="2013-06-05T01:00:00"/>
    <n v="470"/>
    <n v="520"/>
    <n v="477"/>
    <s v="Other pulverizer problems"/>
    <s v="F060Load Reduction #191-1 Mill pyrite scraper broke."/>
    <s v="Ghent"/>
    <x v="0"/>
    <s v="Coal"/>
    <x v="2"/>
    <x v="0"/>
    <n v="6"/>
    <n v="1.9999999998835847"/>
    <n v="0.19230769229649852"/>
    <n v="91.730769225429796"/>
    <n v="45.865384615384613"/>
    <x v="10"/>
  </r>
  <r>
    <x v="3"/>
    <x v="0"/>
    <n v="27"/>
    <n v="1470"/>
    <d v="2013-06-12T14:22:00"/>
    <d v="2013-06-12T14:58:00"/>
    <n v="500"/>
    <n v="520"/>
    <n v="477"/>
    <s v="Induced draft fan motors and drives"/>
    <s v="Load Reduction #201-1 ID fan VFD high temperature alarm.  Dropped load to help red"/>
    <s v="Ghent"/>
    <x v="0"/>
    <s v="Coal"/>
    <x v="2"/>
    <x v="0"/>
    <n v="6"/>
    <n v="0.6000000000349246"/>
    <n v="2.307692307826633E-2"/>
    <n v="11.00769230833304"/>
    <n v="18.346153846153847"/>
    <x v="5"/>
  </r>
  <r>
    <x v="3"/>
    <x v="1"/>
    <n v="28"/>
    <n v="340"/>
    <d v="2013-06-20T03:00:00"/>
    <d v="2013-06-20T05:20:00"/>
    <n v="460"/>
    <n v="520"/>
    <n v="477"/>
    <s v="Other pulverizer problems"/>
    <s v="F590Load Reduction #211-5 Mill was removed from service for west journal replaceme"/>
    <s v="Ghent"/>
    <x v="0"/>
    <s v="Coal"/>
    <x v="2"/>
    <x v="0"/>
    <n v="6"/>
    <n v="2.3333333332557231"/>
    <n v="0.26923076922181421"/>
    <n v="128.42307691880538"/>
    <n v="55.03846153846154"/>
    <x v="2"/>
  </r>
  <r>
    <x v="3"/>
    <x v="0"/>
    <n v="29"/>
    <n v="340"/>
    <d v="2013-07-20T10:23:00"/>
    <d v="2013-07-20T21:30:00"/>
    <n v="510"/>
    <n v="520"/>
    <n v="477"/>
    <s v="Other pulverizer problems"/>
    <s v="Load Reduction #22U1 Mill bowl differentials were running high causing the mills t"/>
    <s v="Ghent"/>
    <x v="0"/>
    <s v="Coal"/>
    <x v="2"/>
    <x v="0"/>
    <n v="7"/>
    <n v="11.116666666755918"/>
    <n v="0.21378205128376765"/>
    <n v="101.97403846235717"/>
    <n v="9.1730769230769234"/>
    <x v="94"/>
  </r>
  <r>
    <x v="3"/>
    <x v="1"/>
    <n v="30"/>
    <n v="340"/>
    <d v="2013-07-20T22:39:00"/>
    <d v="2013-07-21T00:02:00"/>
    <n v="420"/>
    <n v="520"/>
    <n v="477"/>
    <s v="Other pulverizer problems"/>
    <s v="Load Reduction #231-3 Mill pyrite scraper broke off."/>
    <s v="Ghent"/>
    <x v="0"/>
    <s v="Coal"/>
    <x v="2"/>
    <x v="0"/>
    <n v="7"/>
    <n v="1.3833333333022892"/>
    <n v="0.26602564101967102"/>
    <n v="126.89423076638307"/>
    <n v="91.730769230769226"/>
    <x v="31"/>
  </r>
  <r>
    <x v="3"/>
    <x v="0"/>
    <n v="31"/>
    <n v="340"/>
    <d v="2013-07-26T04:20:00"/>
    <d v="2013-07-26T11:49:00"/>
    <n v="475"/>
    <n v="520"/>
    <n v="477"/>
    <s v="Other pulverizer problems"/>
    <s v="Load Reduction #241-3 Mill vane wheel came loose and broke off pyrite scrapers."/>
    <s v="Ghent"/>
    <x v="0"/>
    <s v="Coal"/>
    <x v="2"/>
    <x v="0"/>
    <n v="7"/>
    <n v="7.4833333332790062"/>
    <n v="0.64759615384145242"/>
    <n v="308.90336538237278"/>
    <n v="41.278846153846153"/>
    <x v="28"/>
  </r>
  <r>
    <x v="3"/>
    <x v="1"/>
    <n v="32"/>
    <n v="340"/>
    <d v="2013-08-15T22:00:00"/>
    <d v="2013-08-16T00:50:00"/>
    <n v="475"/>
    <n v="520"/>
    <n v="477"/>
    <s v="Other pulverizer problems"/>
    <s v="Load Reduction #251-3 Mill off for inspection due to noise in grinding section."/>
    <s v="Ghent"/>
    <x v="0"/>
    <s v="Coal"/>
    <x v="2"/>
    <x v="0"/>
    <n v="8"/>
    <n v="2.8333333333139308"/>
    <n v="0.24519230769062864"/>
    <n v="116.95673076842986"/>
    <n v="41.278846153846153"/>
    <x v="28"/>
  </r>
  <r>
    <x v="3"/>
    <x v="0"/>
    <n v="33"/>
    <n v="250"/>
    <d v="2013-08-28T01:10:00"/>
    <d v="2013-08-28T02:00:00"/>
    <n v="470"/>
    <n v="520"/>
    <n v="477"/>
    <s v="Pulverizer feeders"/>
    <s v="Load Reduction #261-2 Feeder plugged in throat section causing 1-2 mill to trip."/>
    <s v="Ghent"/>
    <x v="0"/>
    <s v="Coal"/>
    <x v="2"/>
    <x v="0"/>
    <n v="8"/>
    <n v="0.8333333334303461"/>
    <n v="8.0128205137533284E-2"/>
    <n v="38.221153850603379"/>
    <n v="45.865384615384613"/>
    <x v="10"/>
  </r>
  <r>
    <x v="3"/>
    <x v="0"/>
    <n v="34"/>
    <n v="1000"/>
    <d v="2013-09-09T06:02:00"/>
    <d v="2013-09-13T07:53:00"/>
    <n v="450"/>
    <n v="520"/>
    <n v="477"/>
    <s v="Waterwall (Furnace wall) A"/>
    <s v="Load Reductions #27U1 Water wall tube leak.  Reduced pressure to reduce loss of wa"/>
    <s v="Ghent"/>
    <x v="0"/>
    <s v="Coal"/>
    <x v="2"/>
    <x v="0"/>
    <n v="9"/>
    <n v="97.850000000093132"/>
    <n v="13.172115384627922"/>
    <n v="6283.0990384675188"/>
    <n v="64.211538461538467"/>
    <x v="30"/>
  </r>
  <r>
    <x v="3"/>
    <x v="4"/>
    <n v="35"/>
    <n v="1000"/>
    <d v="2013-09-13T07:53:00"/>
    <d v="2013-09-14T18:30:00"/>
    <n v="0"/>
    <n v="520"/>
    <n v="477"/>
    <s v="Waterwall (Furnace wall) A"/>
    <s v="F540Outage #7Unit 1 came off line at 0753 to repair a water wall tube leak."/>
    <s v="Ghent"/>
    <x v="2"/>
    <s v="Coal"/>
    <x v="2"/>
    <x v="0"/>
    <n v="9"/>
    <n v="34.616666666697711"/>
    <n v="34.616666666697711"/>
    <n v="16512.150000014808"/>
    <n v="477"/>
    <x v="90"/>
  </r>
  <r>
    <x v="3"/>
    <x v="0"/>
    <n v="37"/>
    <n v="340"/>
    <d v="2013-09-16T23:48:00"/>
    <d v="2013-09-17T08:03:00"/>
    <n v="460"/>
    <n v="520"/>
    <n v="477"/>
    <s v="Other pulverizer problems"/>
    <s v="Load Reduction #281-2 Mill vane wheel came loose and broke pyrite scrapers off."/>
    <s v="Ghent"/>
    <x v="0"/>
    <s v="Coal"/>
    <x v="2"/>
    <x v="0"/>
    <n v="9"/>
    <n v="8.25"/>
    <n v="0.95192307692307687"/>
    <n v="454.06730769230768"/>
    <n v="55.03846153846154"/>
    <x v="2"/>
  </r>
  <r>
    <x v="3"/>
    <x v="0"/>
    <n v="38"/>
    <n v="344"/>
    <d v="2013-09-17T12:33:00"/>
    <d v="2013-09-17T14:23:00"/>
    <n v="460"/>
    <n v="520"/>
    <n v="477"/>
    <s v="Pulverizer inspection"/>
    <s v="Load Reduction #291-2 Mill developed noise in the grinding section.  Removed the m"/>
    <s v="Ghent"/>
    <x v="0"/>
    <s v="Coal"/>
    <x v="2"/>
    <x v="0"/>
    <n v="9"/>
    <n v="1.8333333333721384"/>
    <n v="0.21153846154293904"/>
    <n v="100.90384615598192"/>
    <n v="55.03846153846154"/>
    <x v="2"/>
  </r>
  <r>
    <x v="3"/>
    <x v="0"/>
    <n v="39"/>
    <n v="250"/>
    <d v="2013-09-18T07:42:00"/>
    <d v="2013-09-18T10:54:00"/>
    <n v="460"/>
    <n v="520"/>
    <n v="477"/>
    <s v="Pulverizer feeders"/>
    <s v="Load Reduction #301-6 Feeder head roll bearing went out causing belt to misalign."/>
    <s v="Ghent"/>
    <x v="0"/>
    <s v="Coal"/>
    <x v="2"/>
    <x v="0"/>
    <n v="9"/>
    <n v="3.2000000001280569"/>
    <n v="0.36923076924554504"/>
    <n v="176.12307693012499"/>
    <n v="55.03846153846154"/>
    <x v="2"/>
  </r>
  <r>
    <x v="3"/>
    <x v="0"/>
    <n v="40"/>
    <n v="340"/>
    <d v="2013-09-24T20:40:00"/>
    <d v="2013-09-24T23:30:00"/>
    <n v="460"/>
    <n v="520"/>
    <n v="477"/>
    <s v="Other pulverizer problems"/>
    <s v="Load Reduction #311-2 Mill pyrite scraper broke."/>
    <s v="Ghent"/>
    <x v="0"/>
    <s v="Coal"/>
    <x v="2"/>
    <x v="0"/>
    <n v="9"/>
    <n v="2.8333333333139308"/>
    <n v="0.32692307692083816"/>
    <n v="155.94230769123979"/>
    <n v="55.03846153846154"/>
    <x v="2"/>
  </r>
  <r>
    <x v="3"/>
    <x v="0"/>
    <n v="41"/>
    <n v="3815"/>
    <d v="2013-10-06T17:30:00"/>
    <d v="2013-10-06T18:20:00"/>
    <n v="300"/>
    <n v="520"/>
    <n v="477"/>
    <s v="Service water strainer"/>
    <s v="Load Reduction #32U1 LPSW strainers plugged due to debris.  Dropped load due to tu"/>
    <s v="Ghent"/>
    <x v="0"/>
    <s v="Coal"/>
    <x v="2"/>
    <x v="0"/>
    <n v="10"/>
    <n v="0.8333333334303461"/>
    <n v="0.35256410260514642"/>
    <n v="168.17307694265483"/>
    <n v="201.80769230769232"/>
    <x v="99"/>
  </r>
  <r>
    <x v="3"/>
    <x v="0"/>
    <n v="42"/>
    <n v="340"/>
    <d v="2013-10-14T18:32:00"/>
    <d v="2013-10-14T22:12:00"/>
    <n v="460"/>
    <n v="520"/>
    <n v="477"/>
    <s v="Other pulverizer problems"/>
    <s v="Load Reduction #331-1 Mill north journal locked up.  Removed the mill from service f"/>
    <s v="Ghent"/>
    <x v="0"/>
    <s v="Coal"/>
    <x v="2"/>
    <x v="0"/>
    <n v="10"/>
    <n v="3.6666666667442769"/>
    <n v="0.42307692308587808"/>
    <n v="201.80769231196385"/>
    <n v="55.03846153846154"/>
    <x v="2"/>
  </r>
  <r>
    <x v="3"/>
    <x v="0"/>
    <n v="43"/>
    <n v="340"/>
    <d v="2013-10-19T15:10:00"/>
    <d v="2013-10-19T17:26:00"/>
    <n v="460"/>
    <n v="520"/>
    <n v="477"/>
    <s v="Other pulverizer problems"/>
    <s v="Load Reduction #341-6 Mill pyrite scraper broken off."/>
    <s v="Ghent"/>
    <x v="0"/>
    <s v="Coal"/>
    <x v="2"/>
    <x v="0"/>
    <n v="10"/>
    <n v="2.2666666667209938"/>
    <n v="0.26153846154473004"/>
    <n v="124.75384615683623"/>
    <n v="55.03846153846154"/>
    <x v="2"/>
  </r>
  <r>
    <x v="3"/>
    <x v="1"/>
    <n v="44"/>
    <n v="340"/>
    <d v="2013-10-22T23:25:00"/>
    <d v="2013-10-23T03:23:00"/>
    <n v="460"/>
    <n v="520"/>
    <n v="477"/>
    <s v="Other pulverizer problems"/>
    <s v="F060Load Reduction #351-6 Mill off to repair a pyrite scraper."/>
    <s v="Ghent"/>
    <x v="0"/>
    <s v="Coal"/>
    <x v="2"/>
    <x v="0"/>
    <n v="10"/>
    <n v="3.9666666666744277"/>
    <n v="0.45769230769320318"/>
    <n v="218.31923076965791"/>
    <n v="55.03846153846154"/>
    <x v="2"/>
  </r>
  <r>
    <x v="3"/>
    <x v="1"/>
    <n v="45"/>
    <n v="344"/>
    <d v="2013-10-23T22:00:00"/>
    <d v="2013-10-24T00:48:00"/>
    <n v="460"/>
    <n v="520"/>
    <n v="477"/>
    <s v="Pulverizer inspection"/>
    <s v="F850Load Reduction #361-2 Mill off for inspection.  High exhauster vibration."/>
    <s v="Ghent"/>
    <x v="0"/>
    <s v="Coal"/>
    <x v="2"/>
    <x v="0"/>
    <n v="10"/>
    <n v="2.8000000000465661"/>
    <n v="0.32307692308229607"/>
    <n v="154.10769231025523"/>
    <n v="55.03846153846154"/>
    <x v="2"/>
  </r>
  <r>
    <x v="3"/>
    <x v="1"/>
    <n v="46"/>
    <n v="344"/>
    <d v="2013-10-24T01:23:00"/>
    <d v="2013-10-24T05:13:00"/>
    <n v="460"/>
    <n v="520"/>
    <n v="477"/>
    <s v="Pulverizer inspection"/>
    <s v="F850Load Reduction #371-3 Mill off for inspection.  Journal vibration."/>
    <s v="Ghent"/>
    <x v="0"/>
    <s v="Coal"/>
    <x v="2"/>
    <x v="0"/>
    <n v="10"/>
    <n v="3.8333333334303461"/>
    <n v="0.44230769231888611"/>
    <n v="210.98076923610867"/>
    <n v="55.03846153846154"/>
    <x v="2"/>
  </r>
  <r>
    <x v="3"/>
    <x v="0"/>
    <n v="47"/>
    <n v="340"/>
    <d v="2013-10-31T11:41:00"/>
    <d v="2013-10-31T15:17:00"/>
    <n v="460"/>
    <n v="520"/>
    <n v="477"/>
    <s v="Other pulverizer problems"/>
    <s v="Load Reduction #381-6 Mill pyrite scraper broke off."/>
    <s v="Ghent"/>
    <x v="0"/>
    <s v="Coal"/>
    <x v="2"/>
    <x v="0"/>
    <n v="10"/>
    <n v="3.6000000000349246"/>
    <n v="0.41538461538864513"/>
    <n v="198.13846154038373"/>
    <n v="55.03846153846154"/>
    <x v="2"/>
  </r>
  <r>
    <x v="3"/>
    <x v="0"/>
    <n v="48"/>
    <n v="1100"/>
    <d v="2013-11-08T12:23:00"/>
    <d v="2013-11-10T05:36:00"/>
    <n v="200"/>
    <n v="520"/>
    <n v="477"/>
    <s v="Waterwall (Furnace wall) B"/>
    <s v="Load Reduction #39Unit was limited to 200 MWs due to wet ash hopper slag pluggage."/>
    <s v="Ghent"/>
    <x v="0"/>
    <s v="Coal"/>
    <x v="2"/>
    <x v="0"/>
    <n v="11"/>
    <n v="41.216666666558012"/>
    <n v="25.364102564035701"/>
    <n v="12098.67692304503"/>
    <n v="293.53846153846155"/>
    <x v="91"/>
  </r>
  <r>
    <x v="3"/>
    <x v="5"/>
    <n v="49"/>
    <n v="1100"/>
    <d v="2013-11-10T05:36:00"/>
    <d v="2013-11-10T07:08:00"/>
    <n v="0"/>
    <n v="520"/>
    <n v="477"/>
    <s v="Waterwall (Furnace wall) B"/>
    <s v="FS00Outage #9The unit had been reduced on load due to slag buildup on the east wal"/>
    <s v="Ghent"/>
    <x v="3"/>
    <s v="Coal"/>
    <x v="2"/>
    <x v="0"/>
    <n v="11"/>
    <n v="1.5333333334419876"/>
    <n v="1.5333333334419876"/>
    <n v="731.4000000518281"/>
    <n v="477"/>
    <x v="90"/>
  </r>
  <r>
    <x v="3"/>
    <x v="0"/>
    <n v="50"/>
    <n v="1100"/>
    <d v="2013-11-10T07:08:00"/>
    <d v="2013-11-11T03:05:00"/>
    <n v="240"/>
    <n v="520"/>
    <n v="477"/>
    <s v="Waterwall (Furnace wall) B"/>
    <s v="Load Reduction #40Unit was limited to 240 MWs due to wet ash hopper slag pluggage."/>
    <s v="Ghent"/>
    <x v="0"/>
    <s v="Coal"/>
    <x v="2"/>
    <x v="0"/>
    <n v="11"/>
    <n v="19.949999999895226"/>
    <n v="10.742307692251275"/>
    <n v="5124.0807692038579"/>
    <n v="256.84615384615387"/>
    <x v="100"/>
  </r>
  <r>
    <x v="3"/>
    <x v="5"/>
    <n v="51"/>
    <n v="1000"/>
    <d v="2013-11-14T08:17:00"/>
    <d v="2013-11-16T00:31:00"/>
    <n v="0"/>
    <n v="520"/>
    <n v="477"/>
    <s v="Waterwall (Furnace wall) A"/>
    <s v="Outage #10Unit 1 developed a very large tube leak in the upper furnace arch that w"/>
    <s v="Ghent"/>
    <x v="3"/>
    <s v="Coal"/>
    <x v="2"/>
    <x v="0"/>
    <n v="11"/>
    <n v="40.233333333337214"/>
    <n v="40.233333333337214"/>
    <n v="19191.300000001851"/>
    <n v="477"/>
    <x v="90"/>
  </r>
  <r>
    <x v="3"/>
    <x v="0"/>
    <n v="52"/>
    <n v="340"/>
    <d v="2013-11-25T23:37:00"/>
    <d v="2013-11-26T04:46:00"/>
    <n v="440"/>
    <n v="520"/>
    <n v="477"/>
    <s v="Other pulverizer problems"/>
    <s v="Load Reduction #411-3 Mill vanewheel and pyrite scraper broke off."/>
    <s v="Ghent"/>
    <x v="0"/>
    <s v="Coal"/>
    <x v="2"/>
    <x v="0"/>
    <n v="11"/>
    <n v="5.1500000000232831"/>
    <n v="0.79230769231127429"/>
    <n v="377.93076923247781"/>
    <n v="73.384615384615387"/>
    <x v="87"/>
  </r>
  <r>
    <x v="3"/>
    <x v="0"/>
    <n v="53"/>
    <n v="1470"/>
    <d v="2013-11-27T23:34:00"/>
    <d v="2013-11-28T06:30:00"/>
    <n v="215"/>
    <n v="520"/>
    <n v="477"/>
    <s v="Induced draft fan motors and drives"/>
    <s v="Load Reduction #421-2 ID fan tripped due to loss of VFD drive."/>
    <s v="Ghent"/>
    <x v="0"/>
    <s v="Coal"/>
    <x v="2"/>
    <x v="0"/>
    <n v="11"/>
    <n v="6.933333333407063"/>
    <n v="4.0666666667099118"/>
    <n v="1939.800000020628"/>
    <n v="279.77884615384613"/>
    <x v="56"/>
  </r>
  <r>
    <x v="3"/>
    <x v="0"/>
    <n v="54"/>
    <n v="1470"/>
    <d v="2013-11-28T22:22:00"/>
    <d v="2013-11-29T02:37:00"/>
    <n v="215"/>
    <n v="520"/>
    <n v="477"/>
    <s v="Induced draft fan motors and drives"/>
    <s v="Load Reduction #431-2 ID fan tripped due to loss of coolant level on VFD drive.  1"/>
    <s v="Ghent"/>
    <x v="0"/>
    <s v="Coal"/>
    <x v="2"/>
    <x v="0"/>
    <n v="11"/>
    <n v="4.2500000000582077"/>
    <n v="2.4927884615726024"/>
    <n v="1189.0600961701314"/>
    <n v="279.77884615384613"/>
    <x v="56"/>
  </r>
  <r>
    <x v="3"/>
    <x v="1"/>
    <n v="55"/>
    <n v="250"/>
    <d v="2013-12-04T10:00:00"/>
    <d v="2013-12-04T14:13:00"/>
    <n v="460"/>
    <n v="520"/>
    <n v="477"/>
    <s v="Pulverizer feeders"/>
    <s v="Load Reduction #441-4 Feeder belt needs replaced."/>
    <s v="Ghent"/>
    <x v="0"/>
    <s v="Coal"/>
    <x v="2"/>
    <x v="0"/>
    <n v="12"/>
    <n v="4.216666666790843"/>
    <n v="0.48653846155278957"/>
    <n v="232.07884616068063"/>
    <n v="55.03846153846154"/>
    <x v="2"/>
  </r>
  <r>
    <x v="3"/>
    <x v="0"/>
    <n v="56"/>
    <n v="340"/>
    <d v="2013-12-08T07:35:00"/>
    <d v="2013-12-08T12:54:00"/>
    <n v="460"/>
    <n v="520"/>
    <n v="477"/>
    <s v="Other pulverizer problems"/>
    <s v="Load Reduction #451-6 Mill pyrite scrapers broke off.  "/>
    <s v="Ghent"/>
    <x v="0"/>
    <s v="Coal"/>
    <x v="2"/>
    <x v="0"/>
    <n v="12"/>
    <n v="5.3166666667093523"/>
    <n v="0.61346153846646367"/>
    <n v="292.62115384850318"/>
    <n v="55.03846153846154"/>
    <x v="2"/>
  </r>
  <r>
    <x v="3"/>
    <x v="0"/>
    <n v="57"/>
    <n v="30"/>
    <d v="2013-12-15T05:52:00"/>
    <d v="2013-12-15T12:00:00"/>
    <n v="400"/>
    <n v="520"/>
    <n v="477"/>
    <s v="Coal conveyors and feeders"/>
    <s v="Load Reduction #461J Conveyor motor went out, couldn't keep silos full.  Dropped l"/>
    <s v="Ghent"/>
    <x v="0"/>
    <s v="Coal"/>
    <x v="2"/>
    <x v="0"/>
    <n v="12"/>
    <n v="6.1333333334187046"/>
    <n v="1.4153846154043164"/>
    <n v="675.13846154785892"/>
    <n v="110.07692307692308"/>
    <x v="92"/>
  </r>
  <r>
    <x v="3"/>
    <x v="0"/>
    <n v="58"/>
    <n v="9650"/>
    <d v="2013-12-16T18:33:00"/>
    <d v="2013-12-16T22:23:00"/>
    <n v="400"/>
    <n v="520"/>
    <n v="477"/>
    <s v="Other stack or exhaust emissions (fossil)"/>
    <s v="Load Reduction #47H2SO4 came in alarm.  Had to drop load to clear."/>
    <s v="Ghent"/>
    <x v="0"/>
    <s v="Coal"/>
    <x v="2"/>
    <x v="0"/>
    <n v="12"/>
    <n v="3.8333333332557231"/>
    <n v="0.88461538459747457"/>
    <n v="421.9615384529954"/>
    <n v="110.07692307692308"/>
    <x v="92"/>
  </r>
  <r>
    <x v="3"/>
    <x v="5"/>
    <n v="59"/>
    <n v="4430"/>
    <d v="2013-12-28T21:17:00"/>
    <d v="2013-12-30T08:05:00"/>
    <n v="0"/>
    <n v="520"/>
    <n v="477"/>
    <s v="Gland seal system"/>
    <s v="Outage #11Gland Steam Exhauster developed a tube leak which requires a unit outage"/>
    <s v="Ghent"/>
    <x v="3"/>
    <s v="Coal"/>
    <x v="2"/>
    <x v="0"/>
    <n v="12"/>
    <n v="34.799999999930151"/>
    <n v="34.799999999930151"/>
    <n v="16599.599999966682"/>
    <n v="477"/>
    <x v="90"/>
  </r>
  <r>
    <x v="3"/>
    <x v="0"/>
    <n v="1"/>
    <n v="9270"/>
    <d v="2014-01-08T07:48:00"/>
    <d v="2014-01-08T09:10:00"/>
    <n v="460"/>
    <n v="520"/>
    <n v="477"/>
    <s v="Wet coal"/>
    <s v="Load Reduction #11-6 Feeder plugged due to wet coal and this tripped the mill."/>
    <s v="Ghent"/>
    <x v="0"/>
    <s v="Coal"/>
    <x v="2"/>
    <x v="1"/>
    <n v="1"/>
    <n v="1.3666666667559184"/>
    <n v="0.15769230770260598"/>
    <n v="75.219230774143057"/>
    <n v="55.03846153846154"/>
    <x v="2"/>
  </r>
  <r>
    <x v="3"/>
    <x v="1"/>
    <n v="2"/>
    <n v="344"/>
    <d v="2014-01-14T23:37:00"/>
    <d v="2014-01-15T02:30:00"/>
    <n v="460"/>
    <n v="520"/>
    <n v="477"/>
    <s v="Pulverizer inspection"/>
    <s v="Load Reduction #21-6 Mill off to inspect and clean air flow transmitters."/>
    <s v="Ghent"/>
    <x v="0"/>
    <s v="Coal"/>
    <x v="2"/>
    <x v="1"/>
    <n v="1"/>
    <n v="2.8833333333022892"/>
    <n v="0.33269230768872571"/>
    <n v="158.69423076752216"/>
    <n v="55.03846153846154"/>
    <x v="2"/>
  </r>
  <r>
    <x v="3"/>
    <x v="1"/>
    <n v="3"/>
    <n v="340"/>
    <d v="2014-01-16T21:57:00"/>
    <d v="2014-01-17T00:49:00"/>
    <n v="460"/>
    <n v="520"/>
    <n v="477"/>
    <s v="Other pulverizer problems"/>
    <s v="Load Reduction #31-1 Mill journal replacement."/>
    <s v="Ghent"/>
    <x v="0"/>
    <s v="Coal"/>
    <x v="2"/>
    <x v="1"/>
    <n v="1"/>
    <n v="2.8666666667559184"/>
    <n v="0.33076923077952902"/>
    <n v="157.77692308183535"/>
    <n v="55.03846153846154"/>
    <x v="2"/>
  </r>
  <r>
    <x v="3"/>
    <x v="0"/>
    <n v="4"/>
    <n v="344"/>
    <d v="2014-01-27T06:00:00"/>
    <d v="2014-01-27T11:33:00"/>
    <n v="460"/>
    <n v="520"/>
    <n v="477"/>
    <s v="Pulverizer inspection"/>
    <s v="Load Reduction #41-6 Mill off to inspect grinding section."/>
    <s v="Ghent"/>
    <x v="0"/>
    <s v="Coal"/>
    <x v="2"/>
    <x v="1"/>
    <n v="1"/>
    <n v="5.5499999999301508"/>
    <n v="0.64038461537655589"/>
    <n v="305.46346153461718"/>
    <n v="55.03846153846154"/>
    <x v="2"/>
  </r>
  <r>
    <x v="3"/>
    <x v="0"/>
    <n v="5"/>
    <n v="250"/>
    <d v="2014-01-28T21:25:00"/>
    <d v="2014-01-29T04:05:00"/>
    <n v="460"/>
    <n v="520"/>
    <n v="477"/>
    <s v="Pulverizer feeders"/>
    <s v="Load Reduction #51-4 Feeder belt was torn when cleanout conveyor failed."/>
    <s v="Ghent"/>
    <x v="0"/>
    <s v="Coal"/>
    <x v="2"/>
    <x v="1"/>
    <n v="1"/>
    <n v="6.6666666667442769"/>
    <n v="0.76923076923972422"/>
    <n v="366.92307692734846"/>
    <n v="55.03846153846154"/>
    <x v="2"/>
  </r>
  <r>
    <x v="3"/>
    <x v="4"/>
    <n v="6"/>
    <n v="1060"/>
    <d v="2014-02-01T15:04:00"/>
    <d v="2014-02-03T01:27:00"/>
    <n v="0"/>
    <n v="520"/>
    <n v="477"/>
    <s v="First reheater A"/>
    <s v="F540Outage #1Unit 1 had been running with a tube leak, located around IK #6, for s"/>
    <s v="Ghent"/>
    <x v="2"/>
    <s v="Coal"/>
    <x v="2"/>
    <x v="1"/>
    <n v="2"/>
    <n v="34.383333333302289"/>
    <n v="34.383333333302289"/>
    <n v="16400.849999985192"/>
    <n v="477"/>
    <x v="90"/>
  </r>
  <r>
    <x v="3"/>
    <x v="0"/>
    <n v="7"/>
    <n v="250"/>
    <d v="2014-02-07T12:35:00"/>
    <d v="2014-02-07T13:45:00"/>
    <n v="460"/>
    <n v="520"/>
    <n v="477"/>
    <s v="Pulverizer feeders"/>
    <s v="Load Reduction #6Metal hung in 1-4 mill feeder."/>
    <s v="Ghent"/>
    <x v="0"/>
    <s v="Coal"/>
    <x v="2"/>
    <x v="1"/>
    <n v="2"/>
    <n v="1.1666666666278616"/>
    <n v="0.13461538461090711"/>
    <n v="64.211538459402689"/>
    <n v="55.03846153846154"/>
    <x v="2"/>
  </r>
  <r>
    <x v="3"/>
    <x v="0"/>
    <n v="8"/>
    <n v="250"/>
    <d v="2014-02-09T16:20:00"/>
    <d v="2014-02-09T19:43:00"/>
    <n v="450"/>
    <n v="520"/>
    <n v="477"/>
    <s v="Pulverizer feeders"/>
    <s v="Load Reduction #71-4 Feeder belt bound up."/>
    <s v="Ghent"/>
    <x v="0"/>
    <s v="Coal"/>
    <x v="2"/>
    <x v="1"/>
    <n v="2"/>
    <n v="3.3833333333604969"/>
    <n v="0.45544871795237457"/>
    <n v="217.24903846328266"/>
    <n v="64.211538461538467"/>
    <x v="30"/>
  </r>
  <r>
    <x v="3"/>
    <x v="1"/>
    <n v="9"/>
    <n v="250"/>
    <d v="2014-02-10T09:00:00"/>
    <d v="2014-02-10T15:33:00"/>
    <n v="450"/>
    <n v="520"/>
    <n v="477"/>
    <s v="Pulverizer feeders"/>
    <s v="Load Reduction #81-4 Mill off to replace feeder discharge pipe pluggage detector."/>
    <s v="Ghent"/>
    <x v="0"/>
    <s v="Coal"/>
    <x v="2"/>
    <x v="1"/>
    <n v="2"/>
    <n v="6.5500000000465661"/>
    <n v="0.88173076923703775"/>
    <n v="420.58557692606701"/>
    <n v="64.211538461538467"/>
    <x v="30"/>
  </r>
  <r>
    <x v="3"/>
    <x v="0"/>
    <n v="10"/>
    <n v="9650"/>
    <d v="2014-02-13T07:23:00"/>
    <d v="2014-02-13T09:08:00"/>
    <n v="490"/>
    <n v="520"/>
    <n v="477"/>
    <s v="Other stack or exhaust emissions (fossil)"/>
    <s v="Load Reduction #9U1 H2SO4 was high.  Dropped load to keep it in compliance."/>
    <s v="Ghent"/>
    <x v="0"/>
    <s v="Coal"/>
    <x v="2"/>
    <x v="1"/>
    <n v="2"/>
    <n v="1.7500000001164153"/>
    <n v="0.10096153846825473"/>
    <n v="48.158653849357506"/>
    <n v="27.51923076923077"/>
    <x v="67"/>
  </r>
  <r>
    <x v="3"/>
    <x v="0"/>
    <n v="11"/>
    <n v="344"/>
    <d v="2014-02-21T08:30:00"/>
    <d v="2014-02-21T12:30:00"/>
    <n v="450"/>
    <n v="520"/>
    <n v="477"/>
    <s v="Pulverizer inspection"/>
    <s v="Load Reduction #101-6 Mill off to inspect grinding section."/>
    <s v="Ghent"/>
    <x v="0"/>
    <s v="Coal"/>
    <x v="2"/>
    <x v="1"/>
    <n v="2"/>
    <n v="4.0000000001164153"/>
    <n v="0.53846153847720979"/>
    <n v="256.84615385362906"/>
    <n v="64.211538461538467"/>
    <x v="30"/>
  </r>
  <r>
    <x v="3"/>
    <x v="0"/>
    <n v="13"/>
    <n v="344"/>
    <d v="2014-02-21T22:00:00"/>
    <d v="2014-02-22T01:04:00"/>
    <n v="460"/>
    <n v="520"/>
    <n v="477"/>
    <s v="Pulverizer inspection"/>
    <s v="Load Reduction #111-2 Mill off to inspect grinding section."/>
    <s v="Ghent"/>
    <x v="0"/>
    <s v="Coal"/>
    <x v="2"/>
    <x v="1"/>
    <n v="2"/>
    <n v="3.0666666667093523"/>
    <n v="0.35384615385107909"/>
    <n v="168.78461538696473"/>
    <n v="55.03846153846154"/>
    <x v="2"/>
  </r>
  <r>
    <x v="3"/>
    <x v="4"/>
    <n v="12"/>
    <n v="1060"/>
    <d v="2014-02-22T14:49:00"/>
    <d v="2014-02-23T11:03:00"/>
    <n v="0"/>
    <n v="520"/>
    <n v="477"/>
    <s v="First reheater A"/>
    <s v="F370Outage #2A leak was detected in Reheater pendant section of the boiler.  Dispa"/>
    <s v="Ghent"/>
    <x v="2"/>
    <s v="Coal"/>
    <x v="2"/>
    <x v="1"/>
    <n v="2"/>
    <n v="20.233333333453629"/>
    <n v="20.233333333453629"/>
    <n v="9651.3000000573811"/>
    <n v="477"/>
    <x v="90"/>
  </r>
  <r>
    <x v="3"/>
    <x v="1"/>
    <n v="14"/>
    <n v="340"/>
    <d v="2014-02-24T13:42:00"/>
    <d v="2014-02-24T16:59:00"/>
    <n v="460"/>
    <n v="520"/>
    <n v="477"/>
    <s v="Other pulverizer problems"/>
    <s v="Load Reduction #121-1 Mill off to inspect grinding section."/>
    <s v="Ghent"/>
    <x v="0"/>
    <s v="Coal"/>
    <x v="2"/>
    <x v="1"/>
    <n v="2"/>
    <n v="3.28333333338378"/>
    <n v="0.37884615385197462"/>
    <n v="180.70961538739189"/>
    <n v="55.03846153846154"/>
    <x v="2"/>
  </r>
  <r>
    <x v="3"/>
    <x v="0"/>
    <n v="15"/>
    <n v="320"/>
    <d v="2014-02-25T11:17:00"/>
    <d v="2014-02-25T12:57:00"/>
    <n v="460"/>
    <n v="520"/>
    <n v="477"/>
    <s v="Foreign object in Pulverizers mill"/>
    <s v="Load Reduction #131-3 Mill had noise in the pyrite section.  Removed the mill to i"/>
    <s v="Ghent"/>
    <x v="0"/>
    <s v="Coal"/>
    <x v="2"/>
    <x v="1"/>
    <n v="2"/>
    <n v="1.6666666666860692"/>
    <n v="0.19230769230993106"/>
    <n v="91.730769231837115"/>
    <n v="55.03846153846154"/>
    <x v="2"/>
  </r>
  <r>
    <x v="3"/>
    <x v="0"/>
    <n v="16"/>
    <n v="250"/>
    <d v="2014-03-03T16:05:00"/>
    <d v="2014-03-03T22:16:00"/>
    <n v="460"/>
    <n v="520"/>
    <n v="477"/>
    <s v="Pulverizer feeders"/>
    <s v="Load Reduction  #141-3 Feeder belt failed. Removed from service to replace belt."/>
    <s v="Ghent"/>
    <x v="0"/>
    <s v="Coal"/>
    <x v="2"/>
    <x v="1"/>
    <n v="3"/>
    <n v="6.1833333332324401"/>
    <n v="0.7134615384498969"/>
    <n v="340.3211538406008"/>
    <n v="55.03846153846154"/>
    <x v="2"/>
  </r>
  <r>
    <x v="3"/>
    <x v="5"/>
    <n v="17"/>
    <n v="1000"/>
    <d v="2014-03-05T00:42:00"/>
    <d v="2014-03-05T23:00:00"/>
    <n v="0"/>
    <n v="520"/>
    <n v="477"/>
    <s v="Waterwall (Furnace wall) A"/>
    <s v="Outage #3Water water tube leak blew out on the upper slope of the boiler about 15 "/>
    <s v="Ghent"/>
    <x v="3"/>
    <s v="Coal"/>
    <x v="2"/>
    <x v="1"/>
    <n v="3"/>
    <n v="22.300000000046566"/>
    <n v="22.300000000046566"/>
    <n v="10637.100000022212"/>
    <n v="477"/>
    <x v="90"/>
  </r>
  <r>
    <x v="3"/>
    <x v="0"/>
    <n v="18"/>
    <n v="346"/>
    <d v="2014-03-17T07:42:00"/>
    <d v="2014-03-17T12:14:00"/>
    <n v="460"/>
    <n v="520"/>
    <n v="477"/>
    <s v="Pulverizer pyrite removal system"/>
    <s v="Load Reduction  #151-3 Mill out of service to inspect pyrite section."/>
    <s v="Ghent"/>
    <x v="0"/>
    <s v="Coal"/>
    <x v="2"/>
    <x v="1"/>
    <n v="3"/>
    <n v="4.5333333334419876"/>
    <n v="0.52307692308946008"/>
    <n v="249.50769231367246"/>
    <n v="55.03846153846154"/>
    <x v="2"/>
  </r>
  <r>
    <x v="3"/>
    <x v="6"/>
    <n v="19"/>
    <n v="1812"/>
    <d v="2014-03-21T21:30:00"/>
    <d v="2014-04-13T17:56:00"/>
    <n v="0"/>
    <n v="520"/>
    <n v="477"/>
    <s v="Boiler Inspections - scheduled or routine"/>
    <s v="F590Outage #4Unit 1 scheduled for a Planned Spring Outage.  Removed the unit from "/>
    <s v="Ghent"/>
    <x v="1"/>
    <s v="Coal"/>
    <x v="2"/>
    <x v="1"/>
    <n v="3"/>
    <n v="548.43333333323244"/>
    <n v="548.43333333323244"/>
    <n v="261602.69999995187"/>
    <n v="477"/>
    <x v="90"/>
  </r>
  <r>
    <x v="3"/>
    <x v="0"/>
    <n v="20"/>
    <n v="1850"/>
    <d v="2014-04-14T05:56:00"/>
    <d v="2014-04-15T05:49:00"/>
    <n v="430"/>
    <n v="520"/>
    <n v="477"/>
    <s v="Boiler water condition (not feedwater water quality)"/>
    <s v="Load Reduction #16U1 Silica derate due to start up."/>
    <s v="Ghent"/>
    <x v="0"/>
    <s v="Coal"/>
    <x v="2"/>
    <x v="1"/>
    <n v="4"/>
    <n v="23.883333333302289"/>
    <n v="4.1336538461484729"/>
    <n v="1971.7528846128216"/>
    <n v="82.557692307692307"/>
    <x v="36"/>
  </r>
  <r>
    <x v="3"/>
    <x v="0"/>
    <n v="21"/>
    <n v="1850"/>
    <d v="2014-04-15T21:34:00"/>
    <d v="2014-04-16T00:58:00"/>
    <n v="506"/>
    <n v="520"/>
    <n v="477"/>
    <s v="Boiler water condition (not feedwater water quality)"/>
    <s v="Load Reduction #17U1 Silica derate due to start up."/>
    <s v="Ghent"/>
    <x v="0"/>
    <s v="Coal"/>
    <x v="2"/>
    <x v="1"/>
    <n v="4"/>
    <n v="3.4000000000814907"/>
    <n v="9.1538461540655522E-2"/>
    <n v="43.663846154892681"/>
    <n v="12.842307692307692"/>
    <x v="20"/>
  </r>
  <r>
    <x v="3"/>
    <x v="1"/>
    <n v="22"/>
    <n v="250"/>
    <d v="2014-04-21T03:11:00"/>
    <d v="2014-04-21T04:06:00"/>
    <n v="480"/>
    <n v="520"/>
    <n v="477"/>
    <s v="Pulverizer feeders"/>
    <s v="Load Reduction #181-4 Mill feeder gate inspection to check for obstruction."/>
    <s v="Ghent"/>
    <x v="0"/>
    <s v="Coal"/>
    <x v="2"/>
    <x v="1"/>
    <n v="4"/>
    <n v="0.91666666651144624"/>
    <n v="7.051282050088048E-2"/>
    <n v="33.634615378919989"/>
    <n v="36.692307692307693"/>
    <x v="12"/>
  </r>
  <r>
    <x v="3"/>
    <x v="0"/>
    <n v="23"/>
    <n v="250"/>
    <d v="2014-04-21T17:26:00"/>
    <d v="2014-04-21T22:48:00"/>
    <n v="490"/>
    <n v="520"/>
    <n v="477"/>
    <s v="Pulverizer feeders"/>
    <s v="Load Reduction #191-4 Feeder breaker keeps tripping out."/>
    <s v="Ghent"/>
    <x v="0"/>
    <s v="Coal"/>
    <x v="2"/>
    <x v="1"/>
    <n v="4"/>
    <n v="5.3666666665230878"/>
    <n v="0.3096153846071012"/>
    <n v="147.68653845758726"/>
    <n v="27.51923076923077"/>
    <x v="67"/>
  </r>
  <r>
    <x v="3"/>
    <x v="1"/>
    <n v="24"/>
    <n v="8590"/>
    <d v="2014-04-28T22:30:00"/>
    <d v="2014-04-29T05:51:00"/>
    <n v="400"/>
    <n v="520"/>
    <n v="477"/>
    <s v="Other precipitator problems"/>
    <s v="Load Reduction #20Precipitator electrical work due to TR sets shorting out during "/>
    <s v="Ghent"/>
    <x v="0"/>
    <s v="Coal"/>
    <x v="2"/>
    <x v="1"/>
    <n v="4"/>
    <n v="7.3500000000349246"/>
    <n v="1.6961538461619057"/>
    <n v="809.06538461922901"/>
    <n v="110.07692307692308"/>
    <x v="92"/>
  </r>
  <r>
    <x v="3"/>
    <x v="0"/>
    <n v="25"/>
    <n v="9650"/>
    <d v="2014-05-06T14:20:00"/>
    <d v="2014-05-06T20:25:00"/>
    <n v="490"/>
    <n v="520"/>
    <n v="477"/>
    <s v="Other stack or exhaust emissions (fossil)"/>
    <s v="Load Reduction #21Multiple injection probes plugged.  Reduced load to keep H2SO4 w"/>
    <s v="Ghent"/>
    <x v="0"/>
    <s v="Coal"/>
    <x v="2"/>
    <x v="1"/>
    <n v="5"/>
    <n v="6.0833333334303461"/>
    <n v="0.35096153846713535"/>
    <n v="167.40865384882355"/>
    <n v="27.51923076923077"/>
    <x v="67"/>
  </r>
  <r>
    <x v="3"/>
    <x v="0"/>
    <n v="26"/>
    <n v="9650"/>
    <d v="2014-05-07T06:58:00"/>
    <d v="2014-05-07T08:01:00"/>
    <n v="490"/>
    <n v="520"/>
    <n v="477"/>
    <s v="Other stack or exhaust emissions (fossil)"/>
    <s v="Load Reduction #22Multiple injection probes plugged.  Reduced load to keep H2SO4 w"/>
    <s v="Ghent"/>
    <x v="0"/>
    <s v="Coal"/>
    <x v="2"/>
    <x v="1"/>
    <n v="5"/>
    <n v="1.0499999999301508"/>
    <n v="6.0576923072893314E-2"/>
    <n v="28.895192305770109"/>
    <n v="27.51923076923077"/>
    <x v="67"/>
  </r>
  <r>
    <x v="3"/>
    <x v="0"/>
    <n v="27"/>
    <n v="340"/>
    <d v="2014-05-07T20:00:00"/>
    <d v="2014-05-08T06:39:00"/>
    <n v="460"/>
    <n v="520"/>
    <n v="477"/>
    <s v="Other pulverizer problems"/>
    <s v="Load Reduction #231-1 Mill gear box vertical shaft broke.  Removed the mill from s"/>
    <s v="Ghent"/>
    <x v="0"/>
    <s v="Coal"/>
    <x v="2"/>
    <x v="1"/>
    <n v="5"/>
    <n v="10.649999999965075"/>
    <n v="1.228846153842124"/>
    <n v="586.15961538269312"/>
    <n v="55.03846153846154"/>
    <x v="2"/>
  </r>
  <r>
    <x v="3"/>
    <x v="0"/>
    <n v="28"/>
    <n v="340"/>
    <d v="2014-05-08T06:39:00"/>
    <d v="2014-05-16T06:39:00"/>
    <n v="500"/>
    <n v="520"/>
    <n v="477"/>
    <s v="Other pulverizer problems"/>
    <s v="Load Reduction #241-1 Mill gear box vertical shaft broke.  Removed the mill from s"/>
    <s v="Ghent"/>
    <x v="0"/>
    <s v="Coal"/>
    <x v="2"/>
    <x v="1"/>
    <n v="5"/>
    <n v="192"/>
    <n v="7.384615384615385"/>
    <n v="3522.4615384615386"/>
    <n v="18.346153846153847"/>
    <x v="5"/>
  </r>
  <r>
    <x v="3"/>
    <x v="4"/>
    <n v="29"/>
    <n v="1000"/>
    <d v="2014-05-16T23:03:00"/>
    <d v="2014-05-17T22:01:00"/>
    <n v="0"/>
    <n v="520"/>
    <n v="477"/>
    <s v="Waterwall (Furnace wall) A"/>
    <s v="F910Outage #5Unit 1 was running with a small water wall boiler tube leak.  Loading"/>
    <s v="Ghent"/>
    <x v="2"/>
    <s v="Coal"/>
    <x v="2"/>
    <x v="1"/>
    <n v="5"/>
    <n v="22.96666666661622"/>
    <n v="22.96666666661622"/>
    <n v="10955.099999975937"/>
    <n v="477"/>
    <x v="90"/>
  </r>
  <r>
    <x v="3"/>
    <x v="0"/>
    <n v="30"/>
    <n v="1850"/>
    <d v="2014-05-18T11:35:00"/>
    <d v="2014-05-18T12:24:00"/>
    <n v="475"/>
    <n v="520"/>
    <n v="477"/>
    <s v="Boiler water condition (not feedwater water quality)"/>
    <s v="Load Reduction #25Boiler drum pressure was reduced due to silica."/>
    <s v="Ghent"/>
    <x v="0"/>
    <s v="Coal"/>
    <x v="2"/>
    <x v="1"/>
    <n v="5"/>
    <n v="0.81666666670935228"/>
    <n v="7.067307692677087E-2"/>
    <n v="33.711057694069702"/>
    <n v="41.278846153846153"/>
    <x v="28"/>
  </r>
  <r>
    <x v="3"/>
    <x v="0"/>
    <n v="31"/>
    <n v="9650"/>
    <d v="2014-06-21T12:59:00"/>
    <d v="2014-06-21T14:02:00"/>
    <n v="490"/>
    <n v="520"/>
    <n v="477"/>
    <s v="Other stack or exhaust emissions (fossil)"/>
    <s v="Load Reduction #26GH1 H2SO4 was high.  Dropped load to keep within the set limits."/>
    <s v="Ghent"/>
    <x v="0"/>
    <s v="Coal"/>
    <x v="2"/>
    <x v="1"/>
    <n v="6"/>
    <n v="1.0499999999301508"/>
    <n v="6.0576923072893314E-2"/>
    <n v="28.895192305770109"/>
    <n v="27.51923076923077"/>
    <x v="67"/>
  </r>
  <r>
    <x v="3"/>
    <x v="0"/>
    <n v="32"/>
    <n v="3631"/>
    <d v="2014-07-11T15:05:00"/>
    <d v="2014-07-11T16:31:00"/>
    <n v="455"/>
    <n v="520"/>
    <n v="477"/>
    <s v="480-volt circuit breakers"/>
    <s v="Load Reduction #271-1 Mill was tripped due to loss of electrical feed 1E causing a"/>
    <s v="Ghent"/>
    <x v="0"/>
    <s v="Coal"/>
    <x v="2"/>
    <x v="1"/>
    <n v="7"/>
    <n v="1.4333333334652707"/>
    <n v="0.17916666668315884"/>
    <n v="85.462500007866765"/>
    <n v="59.625"/>
    <x v="11"/>
  </r>
  <r>
    <x v="3"/>
    <x v="0"/>
    <n v="33"/>
    <n v="250"/>
    <d v="2014-07-20T13:53:00"/>
    <d v="2014-07-20T14:20:00"/>
    <n v="500"/>
    <n v="520"/>
    <n v="477"/>
    <s v="Pulverizer feeders"/>
    <s v="Load Reduction #281-1 Feeder tripped the overloads on the breaker."/>
    <s v="Ghent"/>
    <x v="0"/>
    <s v="Coal"/>
    <x v="2"/>
    <x v="1"/>
    <n v="7"/>
    <n v="0.44999999989522621"/>
    <n v="1.7307692303662546E-2"/>
    <n v="8.2557692288470346"/>
    <n v="18.346153846153847"/>
    <x v="5"/>
  </r>
  <r>
    <x v="3"/>
    <x v="0"/>
    <n v="34"/>
    <n v="250"/>
    <d v="2014-07-20T15:01:00"/>
    <d v="2014-07-20T16:14:00"/>
    <n v="500"/>
    <n v="520"/>
    <n v="477"/>
    <s v="Pulverizer feeders"/>
    <s v="Load Reduction #291-1 Feeder tripped the overloads on the breaker."/>
    <s v="Ghent"/>
    <x v="0"/>
    <s v="Coal"/>
    <x v="2"/>
    <x v="1"/>
    <n v="7"/>
    <n v="1.21666666661622"/>
    <n v="4.6794871792931542E-2"/>
    <n v="22.321153845228345"/>
    <n v="18.346153846153847"/>
    <x v="5"/>
  </r>
  <r>
    <x v="3"/>
    <x v="0"/>
    <n v="35"/>
    <n v="346"/>
    <d v="2014-07-31T13:52:00"/>
    <d v="2014-07-31T15:22:00"/>
    <n v="500"/>
    <n v="520"/>
    <n v="477"/>
    <s v="Pulverizer pyrite removal system"/>
    <s v="Load Reduction #301-4 Mill was off to inspect pyrite section."/>
    <s v="Ghent"/>
    <x v="0"/>
    <s v="Coal"/>
    <x v="2"/>
    <x v="1"/>
    <n v="7"/>
    <n v="1.5"/>
    <n v="5.7692307692307696E-2"/>
    <n v="27.51923076923077"/>
    <n v="18.346153846153847"/>
    <x v="5"/>
  </r>
  <r>
    <x v="3"/>
    <x v="0"/>
    <n v="36"/>
    <n v="320"/>
    <d v="2014-08-02T21:15:00"/>
    <d v="2014-08-03T07:44:00"/>
    <n v="460"/>
    <n v="520"/>
    <n v="477"/>
    <s v="Foreign object in Pulverizers mill"/>
    <s v="Load Reduction #311-4 Mill had a grinding issue.  Took the mill off to inspect."/>
    <s v="Ghent"/>
    <x v="0"/>
    <s v="Coal"/>
    <x v="2"/>
    <x v="1"/>
    <n v="8"/>
    <n v="10.483333333453629"/>
    <n v="1.209615384629265"/>
    <n v="576.98653846815944"/>
    <n v="55.03846153846154"/>
    <x v="2"/>
  </r>
  <r>
    <x v="3"/>
    <x v="0"/>
    <n v="37"/>
    <n v="346"/>
    <d v="2014-08-13T22:30:00"/>
    <d v="2014-08-14T00:30:00"/>
    <n v="450"/>
    <n v="520"/>
    <n v="477"/>
    <s v="Pulverizer pyrite removal system"/>
    <s v="Load Reduction #321-2 Mill had a noise in the pyrite section.  Took the mill off t"/>
    <s v="Ghent"/>
    <x v="0"/>
    <s v="Coal"/>
    <x v="2"/>
    <x v="1"/>
    <n v="8"/>
    <n v="2.0000000000582077"/>
    <n v="0.26923076923860489"/>
    <n v="128.42307692681453"/>
    <n v="64.211538461538467"/>
    <x v="30"/>
  </r>
  <r>
    <x v="3"/>
    <x v="0"/>
    <n v="38"/>
    <n v="340"/>
    <d v="2014-08-15T12:22:00"/>
    <d v="2014-08-15T15:54:00"/>
    <n v="460"/>
    <n v="520"/>
    <n v="477"/>
    <s v="Other pulverizer problems"/>
    <s v="Load Reduction #331-3 Mill was off for inspection due to noise in the grinding sec"/>
    <s v="Ghent"/>
    <x v="0"/>
    <s v="Coal"/>
    <x v="2"/>
    <x v="1"/>
    <n v="8"/>
    <n v="3.5333333333255723"/>
    <n v="0.40769230769141218"/>
    <n v="194.46923076880361"/>
    <n v="55.03846153846154"/>
    <x v="2"/>
  </r>
  <r>
    <x v="3"/>
    <x v="1"/>
    <n v="39"/>
    <n v="344"/>
    <d v="2014-08-20T22:00:00"/>
    <d v="2014-08-20T23:32:00"/>
    <n v="500"/>
    <n v="520"/>
    <n v="477"/>
    <s v="Pulverizer inspection"/>
    <s v="Load Reduction #341-2 Mill off to inspect pyrite section."/>
    <s v="Ghent"/>
    <x v="0"/>
    <s v="Coal"/>
    <x v="2"/>
    <x v="1"/>
    <n v="8"/>
    <n v="1.5333333334419876"/>
    <n v="5.8974358978537984E-2"/>
    <n v="28.130769232762617"/>
    <n v="18.346153846153847"/>
    <x v="5"/>
  </r>
  <r>
    <x v="3"/>
    <x v="0"/>
    <n v="40"/>
    <n v="340"/>
    <d v="2014-08-23T18:16:00"/>
    <d v="2014-08-23T22:45:00"/>
    <n v="460"/>
    <n v="520"/>
    <n v="477"/>
    <s v="Other pulverizer problems"/>
    <s v="Load Reduction #351-3 Mill off for noise in the pyrite section of the mill.  "/>
    <s v="Ghent"/>
    <x v="0"/>
    <s v="Coal"/>
    <x v="2"/>
    <x v="1"/>
    <n v="8"/>
    <n v="4.4833333332790062"/>
    <n v="0.51730769230142382"/>
    <n v="246.75576922777915"/>
    <n v="55.03846153846154"/>
    <x v="2"/>
  </r>
  <r>
    <x v="3"/>
    <x v="0"/>
    <n v="41"/>
    <n v="9650"/>
    <d v="2014-08-24T19:42:00"/>
    <d v="2014-08-24T20:06:00"/>
    <n v="500"/>
    <n v="520"/>
    <n v="477"/>
    <s v="Other stack or exhaust emissions (fossil)"/>
    <s v="Load Reduction #36Unit 1 was derated due to H2SO4 injection system not working pro"/>
    <s v="Ghent"/>
    <x v="0"/>
    <s v="Coal"/>
    <x v="2"/>
    <x v="1"/>
    <n v="8"/>
    <n v="0.40000000008149073"/>
    <n v="1.5384615387749644E-2"/>
    <n v="7.3384615399565805"/>
    <n v="18.346153846153847"/>
    <x v="5"/>
  </r>
  <r>
    <x v="3"/>
    <x v="0"/>
    <n v="42"/>
    <n v="1480"/>
    <d v="2014-08-26T10:28:00"/>
    <d v="2014-08-26T13:30:00"/>
    <n v="500"/>
    <n v="520"/>
    <n v="477"/>
    <s v="Other induced draft fan problems"/>
    <s v="Load Reduction #371-2 ID fan inlet vanes stuck at 75% and wouldn't move."/>
    <s v="Ghent"/>
    <x v="0"/>
    <s v="Coal"/>
    <x v="2"/>
    <x v="1"/>
    <n v="8"/>
    <n v="3.0333333332673647"/>
    <n v="0.11666666666412941"/>
    <n v="55.649999998789724"/>
    <n v="18.346153846153847"/>
    <x v="5"/>
  </r>
  <r>
    <x v="3"/>
    <x v="0"/>
    <n v="43"/>
    <n v="1190"/>
    <d v="2014-08-26T13:30:00"/>
    <d v="2014-08-26T21:00:00"/>
    <n v="450"/>
    <n v="520"/>
    <n v="477"/>
    <s v="Other tube slagging or fouling"/>
    <s v="Load Reduction #38Boiler slag was very heavy causing air flow issues."/>
    <s v="Ghent"/>
    <x v="0"/>
    <s v="Coal"/>
    <x v="2"/>
    <x v="1"/>
    <n v="8"/>
    <n v="7.5"/>
    <n v="1.0096153846153846"/>
    <n v="481.58653846153845"/>
    <n v="64.211538461538467"/>
    <x v="30"/>
  </r>
  <r>
    <x v="3"/>
    <x v="0"/>
    <n v="44"/>
    <n v="1190"/>
    <d v="2014-08-26T21:00:00"/>
    <d v="2014-08-27T01:30:00"/>
    <n v="200"/>
    <n v="520"/>
    <n v="477"/>
    <s v="Other tube slagging or fouling"/>
    <s v="Load Reduction #39Boiler slag was very heavy causing air flow issues."/>
    <s v="Ghent"/>
    <x v="0"/>
    <s v="Coal"/>
    <x v="2"/>
    <x v="1"/>
    <n v="8"/>
    <n v="4.5"/>
    <n v="2.7692307692307692"/>
    <n v="1320.9230769230769"/>
    <n v="293.53846153846155"/>
    <x v="91"/>
  </r>
  <r>
    <x v="3"/>
    <x v="0"/>
    <n v="45"/>
    <n v="320"/>
    <d v="2014-09-01T15:48:00"/>
    <d v="2014-09-01T17:15:00"/>
    <n v="460"/>
    <n v="520"/>
    <n v="477"/>
    <s v="Foreign object in Pulverizers mill"/>
    <s v="Load Reduction #401-3 Mill off to inspect for noise in grinding section."/>
    <s v="Ghent"/>
    <x v="0"/>
    <s v="Coal"/>
    <x v="2"/>
    <x v="1"/>
    <n v="9"/>
    <n v="1.4500000000116415"/>
    <n v="0.16730769230903556"/>
    <n v="79.805769231409954"/>
    <n v="55.03846153846154"/>
    <x v="2"/>
  </r>
  <r>
    <x v="3"/>
    <x v="0"/>
    <n v="46"/>
    <n v="9650"/>
    <d v="2014-09-04T17:15:00"/>
    <d v="2014-09-04T20:04:00"/>
    <n v="200"/>
    <n v="520"/>
    <n v="477"/>
    <s v="Other stack or exhaust emissions (fossil)"/>
    <s v="Load Reduction #41Dropped load to keep H2S04 within limit.  Ethernet switch failed"/>
    <s v="Ghent"/>
    <x v="0"/>
    <s v="Coal"/>
    <x v="2"/>
    <x v="1"/>
    <n v="9"/>
    <n v="2.816666666592937"/>
    <n v="1.7333333332879612"/>
    <n v="826.7999999783575"/>
    <n v="293.53846153846155"/>
    <x v="91"/>
  </r>
  <r>
    <x v="3"/>
    <x v="1"/>
    <n v="47"/>
    <n v="250"/>
    <d v="2014-09-12T12:12:00"/>
    <d v="2014-09-12T14:03:00"/>
    <n v="500"/>
    <n v="520"/>
    <n v="477"/>
    <s v="Pulverizer feeders"/>
    <s v="Load Reduction #421-4 Feeder head roll lagging was coming loose.  "/>
    <s v="Ghent"/>
    <x v="0"/>
    <s v="Coal"/>
    <x v="2"/>
    <x v="1"/>
    <n v="9"/>
    <n v="1.8500000000931323"/>
    <n v="7.1153846157428161E-2"/>
    <n v="33.94038461709323"/>
    <n v="18.346153846153847"/>
    <x v="5"/>
  </r>
  <r>
    <x v="3"/>
    <x v="0"/>
    <n v="48"/>
    <n v="344"/>
    <d v="2014-09-17T12:35:00"/>
    <d v="2014-09-17T15:30:00"/>
    <n v="420"/>
    <n v="520"/>
    <n v="477"/>
    <s v="Pulverizer inspection"/>
    <s v="Load Reduction #431-6 Mill off to inspect pyrite section of mill."/>
    <s v="Ghent"/>
    <x v="0"/>
    <s v="Coal"/>
    <x v="2"/>
    <x v="1"/>
    <n v="9"/>
    <n v="2.9166666667442769"/>
    <n v="0.56089743591236096"/>
    <n v="267.5480769301962"/>
    <n v="91.730769230769226"/>
    <x v="31"/>
  </r>
  <r>
    <x v="3"/>
    <x v="0"/>
    <n v="49"/>
    <n v="9210"/>
    <d v="2014-09-17T15:30:00"/>
    <d v="2014-09-17T23:03:00"/>
    <n v="450"/>
    <n v="520"/>
    <n v="477"/>
    <s v="Low grindability"/>
    <s v="Load Reduction #44The unit was derated due to mill grinding and air flow issues du"/>
    <s v="Ghent"/>
    <x v="0"/>
    <s v="Coal"/>
    <x v="2"/>
    <x v="1"/>
    <n v="9"/>
    <n v="7.5499999999883585"/>
    <n v="1.0163461538445868"/>
    <n v="484.79711538386789"/>
    <n v="64.211538461538467"/>
    <x v="30"/>
  </r>
  <r>
    <x v="3"/>
    <x v="0"/>
    <n v="50"/>
    <n v="250"/>
    <d v="2014-09-21T19:27:00"/>
    <d v="2014-09-21T20:41:00"/>
    <n v="480"/>
    <n v="520"/>
    <n v="477"/>
    <s v="Pulverizer feeders"/>
    <s v="Load Reduction #451-5 Feeder was tripping out.  Found a ceramic tile wedged under "/>
    <s v="Ghent"/>
    <x v="0"/>
    <s v="Coal"/>
    <x v="2"/>
    <x v="1"/>
    <n v="9"/>
    <n v="1.2333333333372138"/>
    <n v="9.4871794872093379E-2"/>
    <n v="45.25384615398854"/>
    <n v="36.692307692307693"/>
    <x v="12"/>
  </r>
  <r>
    <x v="3"/>
    <x v="0"/>
    <n v="51"/>
    <n v="253"/>
    <d v="2014-09-30T05:06:00"/>
    <d v="2014-09-30T07:30:00"/>
    <n v="460"/>
    <n v="520"/>
    <n v="477"/>
    <s v="Pulverizer feeder motor"/>
    <s v="Load Reduction #461-1 Feeder tripped with the VFD module failed."/>
    <s v="Ghent"/>
    <x v="0"/>
    <s v="Coal"/>
    <x v="2"/>
    <x v="1"/>
    <n v="9"/>
    <n v="2.3999999999650754"/>
    <n v="0.27692307691904716"/>
    <n v="132.0923076903855"/>
    <n v="55.03846153846154"/>
    <x v="2"/>
  </r>
  <r>
    <x v="3"/>
    <x v="0"/>
    <n v="52"/>
    <n v="250"/>
    <d v="2014-10-04T11:28:00"/>
    <d v="2014-10-04T13:28:00"/>
    <n v="485"/>
    <n v="520"/>
    <n v="477"/>
    <s v="Pulverizer feeders"/>
    <s v="Load Reduction #471-1 Feeder tripped and wouldn't restart."/>
    <s v="Ghent"/>
    <x v="0"/>
    <s v="Coal"/>
    <x v="2"/>
    <x v="1"/>
    <n v="10"/>
    <n v="2.0000000000582077"/>
    <n v="0.13461538461930245"/>
    <n v="64.211538463407265"/>
    <n v="32.105769230769234"/>
    <x v="8"/>
  </r>
  <r>
    <x v="3"/>
    <x v="0"/>
    <n v="53"/>
    <n v="340"/>
    <d v="2014-10-05T16:18:00"/>
    <d v="2014-10-05T18:33:00"/>
    <n v="480"/>
    <n v="520"/>
    <n v="477"/>
    <s v="Other pulverizer problems"/>
    <s v="Load Reduction #481-2 Mill pyrite scraper broke off."/>
    <s v="Ghent"/>
    <x v="0"/>
    <s v="Coal"/>
    <x v="2"/>
    <x v="1"/>
    <n v="10"/>
    <n v="2.25"/>
    <n v="0.17307692307692307"/>
    <n v="82.557692307692307"/>
    <n v="36.692307692307693"/>
    <x v="12"/>
  </r>
  <r>
    <x v="3"/>
    <x v="1"/>
    <n v="54"/>
    <n v="250"/>
    <d v="2014-10-11T22:00:00"/>
    <d v="2014-10-11T23:26:00"/>
    <n v="460"/>
    <n v="520"/>
    <n v="477"/>
    <s v="Pulverizer feeders"/>
    <s v="Load Reduction #49Unit 1 was derated to 460 MWs to replace 1-2 feeder belt.  Belt "/>
    <s v="Ghent"/>
    <x v="0"/>
    <s v="Coal"/>
    <x v="2"/>
    <x v="1"/>
    <n v="10"/>
    <n v="1.4333333334652707"/>
    <n v="0.16538461539983892"/>
    <n v="78.88846154572316"/>
    <n v="55.03846153846154"/>
    <x v="2"/>
  </r>
  <r>
    <x v="3"/>
    <x v="1"/>
    <n v="55"/>
    <n v="344"/>
    <d v="2014-10-11T23:26:00"/>
    <d v="2014-10-12T01:25:00"/>
    <n v="460"/>
    <n v="520"/>
    <n v="477"/>
    <s v="Pulverizer inspection"/>
    <s v="Load Reduction #50Unit 1 was derated to 460 MWs to inspect 1-4 mill grinding secti"/>
    <s v="Ghent"/>
    <x v="0"/>
    <s v="Coal"/>
    <x v="2"/>
    <x v="1"/>
    <n v="10"/>
    <n v="1.9833333333372138"/>
    <n v="0.22884615384660159"/>
    <n v="109.15961538482895"/>
    <n v="55.03846153846154"/>
    <x v="2"/>
  </r>
  <r>
    <x v="3"/>
    <x v="0"/>
    <n v="56"/>
    <n v="340"/>
    <d v="2014-10-14T05:15:00"/>
    <d v="2014-10-14T06:11:00"/>
    <n v="450"/>
    <n v="520"/>
    <n v="477"/>
    <s v="Other pulverizer problems"/>
    <s v="Load Reduction #511-4 Mill out of service to hot set rolls on the mill due to high"/>
    <s v="Ghent"/>
    <x v="0"/>
    <s v="Coal"/>
    <x v="2"/>
    <x v="1"/>
    <n v="10"/>
    <n v="0.93333333340706304"/>
    <n v="0.12564102565095078"/>
    <n v="59.930769235503526"/>
    <n v="64.211538461538467"/>
    <x v="30"/>
  </r>
  <r>
    <x v="3"/>
    <x v="1"/>
    <n v="57"/>
    <n v="340"/>
    <d v="2014-10-14T22:00:00"/>
    <d v="2014-10-14T23:48:00"/>
    <n v="460"/>
    <n v="520"/>
    <n v="477"/>
    <s v="Other pulverizer problems"/>
    <s v="Load Reduction #521-4 Mill out of service to trim the vane wheel due to high bowl "/>
    <s v="Ghent"/>
    <x v="0"/>
    <s v="Coal"/>
    <x v="2"/>
    <x v="1"/>
    <n v="10"/>
    <n v="1.8000000001047738"/>
    <n v="0.20769230770439698"/>
    <n v="99.069230774997365"/>
    <n v="55.03846153846154"/>
    <x v="2"/>
  </r>
  <r>
    <x v="3"/>
    <x v="1"/>
    <n v="58"/>
    <n v="340"/>
    <d v="2014-10-23T00:53:00"/>
    <d v="2014-10-23T01:47:00"/>
    <n v="460"/>
    <n v="520"/>
    <n v="477"/>
    <s v="Other pulverizer problems"/>
    <s v="Load Reduction #531-6 Mill off to install a new type of scraper (spring loaded)."/>
    <s v="Ghent"/>
    <x v="0"/>
    <s v="Coal"/>
    <x v="2"/>
    <x v="1"/>
    <n v="10"/>
    <n v="0.8999999999650754"/>
    <n v="0.10384615384212409"/>
    <n v="49.53461538269319"/>
    <n v="55.03846153846154"/>
    <x v="2"/>
  </r>
  <r>
    <x v="3"/>
    <x v="0"/>
    <n v="59"/>
    <n v="9650"/>
    <d v="2014-10-29T19:46:00"/>
    <d v="2014-10-29T20:25:00"/>
    <n v="450"/>
    <n v="520"/>
    <n v="477"/>
    <s v="Other stack or exhaust emissions (fossil)"/>
    <s v="Load Reduction #54Unit 1 was limited due to H2SO4 running high.  Load was reduced "/>
    <s v="Ghent"/>
    <x v="0"/>
    <s v="Coal"/>
    <x v="2"/>
    <x v="1"/>
    <n v="10"/>
    <n v="0.65000000002328306"/>
    <n v="8.7500000003134265E-2"/>
    <n v="41.737500001495043"/>
    <n v="64.211538461538467"/>
    <x v="30"/>
  </r>
  <r>
    <x v="3"/>
    <x v="0"/>
    <n v="60"/>
    <n v="1160"/>
    <d v="2014-10-31T03:44:00"/>
    <d v="2014-11-02T04:00:00"/>
    <n v="338"/>
    <n v="520"/>
    <n v="477"/>
    <s v="First reheater B"/>
    <s v="Load Reduction #55U1 Boiler was plugged up with slag.  Cycled load to thermal shoc"/>
    <s v="Ghent"/>
    <x v="0"/>
    <s v="Coal"/>
    <x v="2"/>
    <x v="1"/>
    <n v="10"/>
    <n v="48.266666666662786"/>
    <n v="16.893333333331974"/>
    <n v="8058.1199999993514"/>
    <n v="166.95"/>
    <x v="27"/>
  </r>
  <r>
    <x v="3"/>
    <x v="0"/>
    <n v="61"/>
    <n v="340"/>
    <d v="2014-11-06T03:19:00"/>
    <d v="2014-11-06T11:35:00"/>
    <n v="450"/>
    <n v="520"/>
    <n v="477"/>
    <s v="Other pulverizer problems"/>
    <s v="Load Reduction #561-3 Mill was off to inspect pyrite section.  Found the vane whee"/>
    <s v="Ghent"/>
    <x v="0"/>
    <s v="Coal"/>
    <x v="2"/>
    <x v="1"/>
    <n v="11"/>
    <n v="8.2666666667209938"/>
    <n v="1.1128205128278261"/>
    <n v="530.81538461887305"/>
    <n v="64.211538461538467"/>
    <x v="30"/>
  </r>
  <r>
    <x v="3"/>
    <x v="0"/>
    <n v="62"/>
    <n v="344"/>
    <d v="2014-11-13T23:00:00"/>
    <d v="2014-11-14T00:00:00"/>
    <n v="460"/>
    <n v="520"/>
    <n v="477"/>
    <s v="Pulverizer inspection"/>
    <s v="Load Reduction #571-4 Mill off to inspect the pyrite section."/>
    <s v="Ghent"/>
    <x v="0"/>
    <s v="Coal"/>
    <x v="2"/>
    <x v="1"/>
    <n v="11"/>
    <n v="0.99999999994179234"/>
    <n v="0.11538461537789911"/>
    <n v="55.038461535257873"/>
    <n v="55.03846153846154"/>
    <x v="2"/>
  </r>
  <r>
    <x v="3"/>
    <x v="1"/>
    <n v="63"/>
    <n v="1100"/>
    <d v="2014-11-14T00:00:00"/>
    <d v="2014-11-14T03:24:00"/>
    <n v="200"/>
    <n v="520"/>
    <n v="477"/>
    <s v="Waterwall (Furnace wall) B"/>
    <s v="Load Reduction #58U1 Boiler slag was heavy.  Dropped load to deslag."/>
    <s v="Ghent"/>
    <x v="0"/>
    <s v="Coal"/>
    <x v="2"/>
    <x v="1"/>
    <n v="11"/>
    <n v="3.4000000000814907"/>
    <n v="2.0923076923578403"/>
    <n v="998.03076925468986"/>
    <n v="293.53846153846155"/>
    <x v="91"/>
  </r>
  <r>
    <x v="3"/>
    <x v="1"/>
    <n v="64"/>
    <n v="1100"/>
    <d v="2014-11-15T01:00:00"/>
    <d v="2014-11-15T04:06:00"/>
    <n v="200"/>
    <n v="520"/>
    <n v="477"/>
    <s v="Waterwall (Furnace wall) B"/>
    <s v="Load Reduction #59Unit 1 was brought down to clean up slag on the RH pendants."/>
    <s v="Ghent"/>
    <x v="0"/>
    <s v="Coal"/>
    <x v="2"/>
    <x v="1"/>
    <n v="11"/>
    <n v="3.0999999999767169"/>
    <n v="1.9076923076779797"/>
    <n v="909.96923076239636"/>
    <n v="293.53846153846155"/>
    <x v="91"/>
  </r>
  <r>
    <x v="3"/>
    <x v="0"/>
    <n v="65"/>
    <n v="1100"/>
    <d v="2014-11-15T06:45:00"/>
    <d v="2014-11-20T06:25:00"/>
    <n v="317"/>
    <n v="520"/>
    <n v="477"/>
    <s v="Waterwall (Furnace wall) B"/>
    <s v="Load Reduction #60Unit 1 is being cycled up and down to clean up slag on the RH pe"/>
    <s v="Ghent"/>
    <x v="0"/>
    <s v="Coal"/>
    <x v="2"/>
    <x v="1"/>
    <n v="11"/>
    <n v="119.66666666662786"/>
    <n v="46.716025641010489"/>
    <n v="22283.544230762003"/>
    <n v="186.21346153846153"/>
    <x v="60"/>
  </r>
  <r>
    <x v="3"/>
    <x v="0"/>
    <n v="66"/>
    <n v="300"/>
    <d v="2014-11-20T06:25:00"/>
    <d v="2014-11-29T18:29:00"/>
    <n v="460"/>
    <n v="520"/>
    <n v="477"/>
    <s v="Pulverizer motors and drives"/>
    <s v="Load Reduction #611-6 Mill motor making noise.  Shipping motor out for inspection."/>
    <s v="Ghent"/>
    <x v="0"/>
    <s v="Coal"/>
    <x v="2"/>
    <x v="1"/>
    <n v="11"/>
    <n v="228.06666666670935"/>
    <n v="26.31538461538954"/>
    <n v="12552.438461540811"/>
    <n v="55.03846153846154"/>
    <x v="2"/>
  </r>
  <r>
    <x v="3"/>
    <x v="0"/>
    <n v="67"/>
    <n v="1100"/>
    <d v="2014-11-20T09:30:00"/>
    <d v="2014-11-23T05:00:00"/>
    <n v="317"/>
    <n v="520"/>
    <n v="477"/>
    <s v="Waterwall (Furnace wall) B"/>
    <s v="Load Reduction #62The unit is being cycled up and down to clean up slag on the RH "/>
    <s v="Ghent"/>
    <x v="0"/>
    <s v="Coal"/>
    <x v="2"/>
    <x v="1"/>
    <n v="11"/>
    <n v="67.5"/>
    <n v="26.35096153846154"/>
    <n v="12569.408653846154"/>
    <n v="186.21346153846153"/>
    <x v="60"/>
  </r>
  <r>
    <x v="3"/>
    <x v="0"/>
    <n v="68"/>
    <n v="250"/>
    <d v="2014-11-25T00:50:00"/>
    <d v="2014-11-25T02:10:00"/>
    <n v="100"/>
    <n v="520"/>
    <n v="477"/>
    <s v="Pulverizer feeders"/>
    <s v="Load Reduction #631-1 and 1-3 Feeders tripped during deslag of boiler.  This cause"/>
    <s v="Ghent"/>
    <x v="0"/>
    <s v="Coal"/>
    <x v="2"/>
    <x v="1"/>
    <n v="11"/>
    <n v="1.3333333334885538"/>
    <n v="1.0769230770484473"/>
    <n v="513.69230775210929"/>
    <n v="385.26923076923077"/>
    <x v="101"/>
  </r>
  <r>
    <x v="3"/>
    <x v="1"/>
    <n v="69"/>
    <n v="1100"/>
    <d v="2014-11-26T00:00:00"/>
    <d v="2014-11-26T04:00:00"/>
    <n v="190"/>
    <n v="520"/>
    <n v="477"/>
    <s v="Waterwall (Furnace wall) B"/>
    <s v="FS00Load Reduction #64Boiler slag was heavy.  The unit was scheduled for a deslag."/>
    <s v="Ghent"/>
    <x v="0"/>
    <s v="Coal"/>
    <x v="2"/>
    <x v="1"/>
    <n v="11"/>
    <n v="3.9999999999417923"/>
    <n v="2.538461538424599"/>
    <n v="1210.8461538285337"/>
    <n v="302.71153846153845"/>
    <x v="102"/>
  </r>
  <r>
    <x v="3"/>
    <x v="0"/>
    <n v="70"/>
    <n v="1100"/>
    <d v="2014-11-29T10:25:00"/>
    <d v="2014-11-29T11:00:00"/>
    <n v="400"/>
    <n v="520"/>
    <n v="477"/>
    <s v="Waterwall (Furnace wall) B"/>
    <s v="Load Reduction #65Slag was building up on nose arch.  Dropped load to get a better"/>
    <s v="Ghent"/>
    <x v="0"/>
    <s v="Coal"/>
    <x v="2"/>
    <x v="1"/>
    <n v="11"/>
    <n v="0.58333333331393078"/>
    <n v="0.13461538461090711"/>
    <n v="64.211538459402689"/>
    <n v="110.07692307692308"/>
    <x v="92"/>
  </r>
  <r>
    <x v="3"/>
    <x v="0"/>
    <n v="71"/>
    <n v="340"/>
    <d v="2014-11-29T11:40:00"/>
    <d v="2014-11-29T17:39:00"/>
    <n v="350"/>
    <n v="520"/>
    <n v="477"/>
    <s v="Other pulverizer problems"/>
    <s v="Load Reduction #661-4 Mill off to inspect grinding section."/>
    <s v="Ghent"/>
    <x v="0"/>
    <s v="Coal"/>
    <x v="2"/>
    <x v="1"/>
    <n v="11"/>
    <n v="5.9833333334536292"/>
    <n v="1.9560897436290712"/>
    <n v="933.05480771106693"/>
    <n v="155.94230769230768"/>
    <x v="103"/>
  </r>
  <r>
    <x v="3"/>
    <x v="0"/>
    <n v="72"/>
    <n v="3631"/>
    <d v="2014-12-01T13:16:00"/>
    <d v="2014-12-01T14:40:00"/>
    <n v="477"/>
    <n v="520"/>
    <n v="477"/>
    <s v="480-volt circuit breakers"/>
    <s v="Load Reduction #671-4 Feeder tripped.  Investigated and found cooling fan bad in b"/>
    <s v="Ghent"/>
    <x v="0"/>
    <s v="Coal"/>
    <x v="2"/>
    <x v="1"/>
    <n v="12"/>
    <n v="1.4000000000232831"/>
    <n v="0.1157692307711561"/>
    <n v="55.22192307784146"/>
    <n v="39.444230769230771"/>
    <x v="104"/>
  </r>
  <r>
    <x v="3"/>
    <x v="1"/>
    <n v="73"/>
    <n v="1100"/>
    <d v="2014-12-02T23:00:00"/>
    <d v="2014-12-03T04:00:00"/>
    <n v="190"/>
    <n v="520"/>
    <n v="477"/>
    <s v="Waterwall (Furnace wall) B"/>
    <s v="Load Reduction #68Unit 1 dropped load for a planned deslag due to slag build up on"/>
    <s v="Ghent"/>
    <x v="0"/>
    <s v="Coal"/>
    <x v="2"/>
    <x v="1"/>
    <n v="12"/>
    <n v="4.9999999998835847"/>
    <n v="3.1730769230030442"/>
    <n v="1513.5576922724522"/>
    <n v="302.71153846153845"/>
    <x v="102"/>
  </r>
  <r>
    <x v="3"/>
    <x v="0"/>
    <n v="74"/>
    <n v="250"/>
    <d v="2014-12-03T10:23:00"/>
    <d v="2014-12-03T11:22:00"/>
    <n v="480"/>
    <n v="520"/>
    <n v="477"/>
    <s v="Pulverizer feeders"/>
    <s v="Load Reduction #691-4 Feeder tripped when the power supply got hot."/>
    <s v="Ghent"/>
    <x v="0"/>
    <s v="Coal"/>
    <x v="2"/>
    <x v="1"/>
    <n v="12"/>
    <n v="0.9833333333954215"/>
    <n v="7.5641025645801649E-2"/>
    <n v="36.080769233047384"/>
    <n v="36.692307692307693"/>
    <x v="12"/>
  </r>
  <r>
    <x v="3"/>
    <x v="4"/>
    <n v="75"/>
    <n v="1000"/>
    <d v="2014-12-05T23:29:00"/>
    <d v="2014-12-09T08:02:00"/>
    <n v="0"/>
    <n v="520"/>
    <n v="477"/>
    <s v="Waterwall (Furnace wall) A"/>
    <s v="F540Outage #6Unit 1 had been running with two water wall tube leaks.  Removed the "/>
    <s v="Ghent"/>
    <x v="2"/>
    <s v="Coal"/>
    <x v="2"/>
    <x v="1"/>
    <n v="12"/>
    <n v="80.549999999930151"/>
    <n v="80.549999999930151"/>
    <n v="38422.349999966682"/>
    <n v="477"/>
    <x v="90"/>
  </r>
  <r>
    <x v="3"/>
    <x v="0"/>
    <n v="76"/>
    <n v="1850"/>
    <d v="2014-12-09T20:20:00"/>
    <d v="2014-12-09T23:46:00"/>
    <n v="390"/>
    <n v="520"/>
    <n v="477"/>
    <s v="Boiler water condition (not feedwater water quality)"/>
    <s v="Load Reduction #70Unit 1 was derated due to boiler chemistry; silica was high."/>
    <s v="Ghent"/>
    <x v="0"/>
    <s v="Coal"/>
    <x v="2"/>
    <x v="1"/>
    <n v="12"/>
    <n v="3.4333333333488554"/>
    <n v="0.85833333333721384"/>
    <n v="409.425000001851"/>
    <n v="119.25"/>
    <x v="95"/>
  </r>
  <r>
    <x v="3"/>
    <x v="5"/>
    <n v="77"/>
    <n v="1060"/>
    <d v="2014-12-09T23:46:00"/>
    <d v="2014-12-11T03:07:00"/>
    <n v="0"/>
    <n v="520"/>
    <n v="477"/>
    <s v="First reheater A"/>
    <s v="Outage #7Reheat pendant tube ruptured a few feet out from the east side of the boi"/>
    <s v="Ghent"/>
    <x v="3"/>
    <s v="Coal"/>
    <x v="2"/>
    <x v="1"/>
    <n v="12"/>
    <n v="27.350000000093132"/>
    <n v="27.350000000093132"/>
    <n v="13045.950000044424"/>
    <n v="477"/>
    <x v="90"/>
  </r>
  <r>
    <x v="3"/>
    <x v="0"/>
    <n v="78"/>
    <n v="1850"/>
    <d v="2014-12-11T15:07:00"/>
    <d v="2014-12-12T02:23:00"/>
    <n v="447"/>
    <n v="520"/>
    <n v="477"/>
    <s v="Boiler water condition (not feedwater water quality)"/>
    <s v="Load Reduction #71High boiler drum silica after start up."/>
    <s v="Ghent"/>
    <x v="0"/>
    <s v="Coal"/>
    <x v="2"/>
    <x v="1"/>
    <n v="12"/>
    <n v="11.266666666720994"/>
    <n v="1.5816666666742933"/>
    <n v="754.45500000363791"/>
    <n v="66.963461538461544"/>
    <x v="105"/>
  </r>
  <r>
    <x v="3"/>
    <x v="0"/>
    <n v="1"/>
    <n v="340"/>
    <d v="2015-01-01T23:56:00"/>
    <d v="2015-01-02T04:25:00"/>
    <n v="440"/>
    <n v="520"/>
    <n v="477"/>
    <s v="Other pulverizer problems"/>
    <s v="Load Reduction #1Removed 1-3 Mill from service to secure a vane wheel segment."/>
    <s v="Ghent"/>
    <x v="0"/>
    <s v="Coal"/>
    <x v="2"/>
    <x v="2"/>
    <n v="1"/>
    <n v="4.4833333334536292"/>
    <n v="0.68974358976209682"/>
    <n v="329.00769231652021"/>
    <n v="73.384615384615387"/>
    <x v="87"/>
  </r>
  <r>
    <x v="3"/>
    <x v="0"/>
    <n v="2"/>
    <n v="340"/>
    <d v="2015-01-02T04:25:00"/>
    <d v="2015-01-02T05:07:00"/>
    <n v="440"/>
    <n v="520"/>
    <n v="477"/>
    <s v="Other pulverizer problems"/>
    <s v="Load Reduction #2Removed 1-2 Mill from service to inspect exhauster for vibration "/>
    <s v="Ghent"/>
    <x v="0"/>
    <s v="Coal"/>
    <x v="2"/>
    <x v="2"/>
    <n v="1"/>
    <n v="0.69999999983701855"/>
    <n v="0.10769230766723362"/>
    <n v="51.369230757270437"/>
    <n v="73.384615384615387"/>
    <x v="87"/>
  </r>
  <r>
    <x v="3"/>
    <x v="0"/>
    <n v="3"/>
    <n v="340"/>
    <d v="2015-01-05T02:40:00"/>
    <d v="2015-01-05T06:45:00"/>
    <n v="460"/>
    <n v="520"/>
    <n v="477"/>
    <s v="Other pulverizer problems"/>
    <s v="Load Reduction #31-3 Mill was off to inspect the pyrite section for noise.  Found "/>
    <s v="Ghent"/>
    <x v="0"/>
    <s v="Coal"/>
    <x v="2"/>
    <x v="2"/>
    <n v="1"/>
    <n v="4.0833333333721384"/>
    <n v="0.47115384615832367"/>
    <n v="224.74038461752039"/>
    <n v="55.03846153846154"/>
    <x v="2"/>
  </r>
  <r>
    <x v="3"/>
    <x v="0"/>
    <n v="4"/>
    <n v="340"/>
    <d v="2015-01-08T20:09:00"/>
    <d v="2015-01-08T23:00:00"/>
    <n v="450"/>
    <n v="520"/>
    <n v="477"/>
    <s v="Other pulverizer problems"/>
    <s v="Load Reduction #41-4 Mill off to inspect noise in pyrite section.  Found vane whee"/>
    <s v="Ghent"/>
    <x v="0"/>
    <s v="Coal"/>
    <x v="2"/>
    <x v="2"/>
    <n v="1"/>
    <n v="2.8500000000349246"/>
    <n v="0.38365384615854753"/>
    <n v="183.00288461762716"/>
    <n v="64.211538461538467"/>
    <x v="30"/>
  </r>
  <r>
    <x v="3"/>
    <x v="11"/>
    <n v="5"/>
    <n v="9650"/>
    <d v="2015-01-14T00:01:00"/>
    <d v="2015-01-14T01:15:00"/>
    <n v="200"/>
    <n v="520"/>
    <n v="477"/>
    <s v="Other stack or exhaust emissions (fossil)"/>
    <s v="Load reduction #5GH1 load reduced to 200 MWs to switch the DSI outlet injection from"/>
    <s v="Ghent"/>
    <x v="0"/>
    <s v="Coal"/>
    <x v="2"/>
    <x v="2"/>
    <n v="1"/>
    <n v="1.2333333333372138"/>
    <n v="0.75897435897674703"/>
    <n v="362.03076923190832"/>
    <n v="293.53846153846155"/>
    <x v="91"/>
  </r>
  <r>
    <x v="3"/>
    <x v="0"/>
    <n v="6"/>
    <n v="340"/>
    <d v="2015-01-16T00:05:00"/>
    <d v="2015-01-16T04:15:00"/>
    <n v="460"/>
    <n v="520"/>
    <n v="477"/>
    <s v="Other pulverizer problems"/>
    <s v="Load Reduction #61-3 mill has noise in pyrite section, removed mill to inspect."/>
    <s v="Ghent"/>
    <x v="0"/>
    <s v="Coal"/>
    <x v="2"/>
    <x v="2"/>
    <n v="1"/>
    <n v="4.1666666668024845"/>
    <n v="0.48076923078490208"/>
    <n v="229.32692308439829"/>
    <n v="55.03846153846154"/>
    <x v="2"/>
  </r>
  <r>
    <x v="3"/>
    <x v="0"/>
    <n v="7"/>
    <n v="320"/>
    <d v="2015-01-16T14:29:00"/>
    <d v="2015-01-16T18:00:00"/>
    <n v="430"/>
    <n v="520"/>
    <n v="477"/>
    <s v="Foreign object in Pulverizers mill"/>
    <s v="Load Reduction #71-3 Mill off to inspect noise in the grinding section.  The vanew"/>
    <s v="Ghent"/>
    <x v="0"/>
    <s v="Coal"/>
    <x v="2"/>
    <x v="2"/>
    <n v="1"/>
    <n v="3.5166666666045785"/>
    <n v="0.60865384614310014"/>
    <n v="290.32788461025876"/>
    <n v="82.557692307692307"/>
    <x v="36"/>
  </r>
  <r>
    <x v="3"/>
    <x v="0"/>
    <n v="8"/>
    <n v="340"/>
    <d v="2015-01-18T16:12:00"/>
    <d v="2015-01-18T20:36:00"/>
    <n v="440"/>
    <n v="520"/>
    <n v="477"/>
    <s v="Other pulverizer problems"/>
    <s v="Load Reduction #81-3 Mill off to inspect noise in the grinding section.  Found van"/>
    <s v="Ghent"/>
    <x v="0"/>
    <s v="Coal"/>
    <x v="2"/>
    <x v="2"/>
    <n v="1"/>
    <n v="4.3999999998486601"/>
    <n v="0.67692307689979381"/>
    <n v="322.89230768120166"/>
    <n v="73.384615384615387"/>
    <x v="87"/>
  </r>
  <r>
    <x v="3"/>
    <x v="0"/>
    <n v="9"/>
    <n v="250"/>
    <d v="2015-01-20T12:00:00"/>
    <d v="2015-01-20T12:51:00"/>
    <n v="365"/>
    <n v="520"/>
    <n v="477"/>
    <s v="Pulverizer feeders"/>
    <s v="Load Reduction #91-2 and 1-4 Feeders tripped due to 005 error code (high voltage) "/>
    <s v="Ghent"/>
    <x v="0"/>
    <s v="Coal"/>
    <x v="2"/>
    <x v="2"/>
    <n v="1"/>
    <n v="0.84999999997671694"/>
    <n v="0.25336538460844449"/>
    <n v="120.85528845822802"/>
    <n v="142.18269230769232"/>
    <x v="106"/>
  </r>
  <r>
    <x v="3"/>
    <x v="0"/>
    <n v="10"/>
    <n v="250"/>
    <d v="2015-01-22T03:32:00"/>
    <d v="2015-01-22T11:57:00"/>
    <n v="440"/>
    <n v="520"/>
    <n v="477"/>
    <s v="Pulverizer feeders"/>
    <s v="Load Reduction #101-1 Feeder belt came apart at the splice."/>
    <s v="Ghent"/>
    <x v="0"/>
    <s v="Coal"/>
    <x v="2"/>
    <x v="2"/>
    <n v="1"/>
    <n v="8.4166666666860692"/>
    <n v="1.2948717948747799"/>
    <n v="617.65384615527"/>
    <n v="73.384615384615387"/>
    <x v="87"/>
  </r>
  <r>
    <x v="3"/>
    <x v="1"/>
    <n v="11"/>
    <n v="340"/>
    <d v="2015-01-22T22:00:00"/>
    <d v="2015-01-23T03:04:00"/>
    <n v="440"/>
    <n v="520"/>
    <n v="477"/>
    <s v="Other pulverizer problems"/>
    <s v="Load Reduction #111-3 Mill was off to replace hardware in the vanewheel sections. "/>
    <s v="Ghent"/>
    <x v="0"/>
    <s v="Coal"/>
    <x v="2"/>
    <x v="2"/>
    <n v="1"/>
    <n v="5.0666666667675599"/>
    <n v="0.77948717950270152"/>
    <n v="371.8153846227886"/>
    <n v="73.384615384615387"/>
    <x v="87"/>
  </r>
  <r>
    <x v="3"/>
    <x v="5"/>
    <n v="12"/>
    <n v="1040"/>
    <d v="2015-02-10T09:28:00"/>
    <d v="2015-02-11T10:07:00"/>
    <n v="0"/>
    <n v="520"/>
    <n v="477"/>
    <s v="First superheater B"/>
    <s v="Outage #1Boiler had been running several weeks with tube leak in upper furnace and"/>
    <s v="Ghent"/>
    <x v="3"/>
    <s v="Coal"/>
    <x v="2"/>
    <x v="2"/>
    <n v="2"/>
    <n v="24.650000000023283"/>
    <n v="24.650000000023283"/>
    <n v="11758.050000011106"/>
    <n v="477"/>
    <x v="90"/>
  </r>
  <r>
    <x v="3"/>
    <x v="0"/>
    <n v="13"/>
    <n v="1850"/>
    <d v="2015-02-11T18:24:00"/>
    <d v="2015-02-11T20:50:00"/>
    <n v="470"/>
    <n v="520"/>
    <n v="477"/>
    <s v="Boiler water condition (not feedwater water quality)"/>
    <s v="Load Reduction #12GH! was derated due to boiler chemistry after start-up (silica);"/>
    <s v="Ghent"/>
    <x v="0"/>
    <s v="Coal"/>
    <x v="2"/>
    <x v="2"/>
    <n v="2"/>
    <n v="2.4333333332324401"/>
    <n v="0.23397435896465771"/>
    <n v="111.60576922614173"/>
    <n v="45.865384615384613"/>
    <x v="10"/>
  </r>
  <r>
    <x v="3"/>
    <x v="6"/>
    <n v="14"/>
    <n v="4400"/>
    <d v="2015-02-28T15:25:00"/>
    <d v="2015-05-06T09:33:00"/>
    <n v="0"/>
    <n v="520"/>
    <n v="477"/>
    <s v="Major turbine overhaul (720 hrs or longer) (use for non-specific overhaul only; see page B-1)"/>
    <s v="F590Outage #2Removed the unit form service for the Planned Spring Outage.  Major w"/>
    <s v="Ghent"/>
    <x v="1"/>
    <s v="Coal"/>
    <x v="2"/>
    <x v="2"/>
    <n v="2"/>
    <n v="1602.1333333334187"/>
    <n v="1602.1333333334187"/>
    <n v="764217.60000004072"/>
    <n v="477"/>
    <x v="90"/>
  </r>
  <r>
    <x v="3"/>
    <x v="0"/>
    <n v="15"/>
    <n v="1850"/>
    <d v="2015-05-08T09:33:00"/>
    <d v="2015-05-08T18:30:00"/>
    <n v="490"/>
    <n v="520"/>
    <n v="477"/>
    <s v="Boiler water condition (not feedwater water quality)"/>
    <s v="Load Reduction #13Unit 1 was derated due to boiler chemistry (high silica) after s"/>
    <s v="Ghent"/>
    <x v="0"/>
    <s v="Coal"/>
    <x v="2"/>
    <x v="2"/>
    <n v="5"/>
    <n v="8.9500000000116415"/>
    <n v="0.51634615384682547"/>
    <n v="246.29711538493575"/>
    <n v="27.51923076923077"/>
    <x v="67"/>
  </r>
  <r>
    <x v="3"/>
    <x v="0"/>
    <n v="16"/>
    <n v="550"/>
    <d v="2015-05-08T12:09:00"/>
    <d v="2015-05-08T17:05:00"/>
    <n v="479"/>
    <n v="520"/>
    <n v="477"/>
    <s v="Reheat steam relief/safety valves"/>
    <s v="Load Reduction #14Unit 1 was already derated for high silica.  Had to reduce the l"/>
    <s v="Ghent"/>
    <x v="0"/>
    <s v="Coal"/>
    <x v="2"/>
    <x v="2"/>
    <n v="5"/>
    <n v="4.9333333333488554"/>
    <n v="0.3889743589755828"/>
    <n v="185.54076923135298"/>
    <n v="37.609615384615381"/>
    <x v="15"/>
  </r>
  <r>
    <x v="3"/>
    <x v="0"/>
    <n v="17"/>
    <n v="1455"/>
    <d v="2015-05-15T13:47:00"/>
    <d v="2015-05-15T14:02:00"/>
    <n v="510"/>
    <n v="520"/>
    <n v="477"/>
    <s v="Induced draft fans"/>
    <s v="Load Reduction #15Operations suspected ID Fan Inlet pressure was near trip point. "/>
    <s v="Ghent"/>
    <x v="0"/>
    <s v="Coal"/>
    <x v="2"/>
    <x v="2"/>
    <n v="5"/>
    <n v="0.24999999994179234"/>
    <n v="4.8076923065729299E-3"/>
    <n v="2.2932692302352877"/>
    <n v="9.1730769230769234"/>
    <x v="94"/>
  </r>
  <r>
    <x v="3"/>
    <x v="5"/>
    <n v="18"/>
    <n v="4293"/>
    <d v="2015-05-18T15:28:00"/>
    <d v="2015-05-18T22:07:00"/>
    <n v="0"/>
    <n v="520"/>
    <n v="477"/>
    <s v="Hydraulic system pipes and valves"/>
    <s v="Outage #3The unit developed a leak on the Main Turbine Governor Valve #1 EH fittin"/>
    <s v="Ghent"/>
    <x v="3"/>
    <s v="Coal"/>
    <x v="2"/>
    <x v="2"/>
    <n v="5"/>
    <n v="6.6500000000232831"/>
    <n v="6.6500000000232831"/>
    <n v="3172.050000011106"/>
    <n v="477"/>
    <x v="90"/>
  </r>
  <r>
    <x v="3"/>
    <x v="0"/>
    <n v="19"/>
    <n v="1850"/>
    <d v="2015-05-19T10:10:00"/>
    <d v="2015-05-19T12:54:00"/>
    <n v="494"/>
    <n v="520"/>
    <n v="477"/>
    <s v="Boiler water condition (not feedwater water quality)"/>
    <s v="Load Reduction #16High boiler drum silica after taking the unit off to repair an E"/>
    <s v="Ghent"/>
    <x v="0"/>
    <s v="Coal"/>
    <x v="2"/>
    <x v="2"/>
    <n v="5"/>
    <n v="2.7333333333372138"/>
    <n v="0.1366666666668607"/>
    <n v="65.190000000092553"/>
    <n v="23.85"/>
    <x v="107"/>
  </r>
  <r>
    <x v="3"/>
    <x v="4"/>
    <n v="20"/>
    <n v="4262"/>
    <d v="2015-05-20T19:34:00"/>
    <d v="2015-05-23T02:24:00"/>
    <n v="0"/>
    <n v="520"/>
    <n v="477"/>
    <s v="Intercept valves"/>
    <s v="F590Outage #4The unit was running with fine mesh screens in the Turbine after the "/>
    <s v="Ghent"/>
    <x v="2"/>
    <s v="Coal"/>
    <x v="2"/>
    <x v="2"/>
    <n v="5"/>
    <n v="54.833333333255723"/>
    <n v="54.833333333255723"/>
    <n v="26155.49999996298"/>
    <n v="477"/>
    <x v="90"/>
  </r>
  <r>
    <x v="3"/>
    <x v="1"/>
    <n v="21"/>
    <n v="1480"/>
    <d v="2015-05-29T23:01:00"/>
    <d v="2015-05-30T01:44:00"/>
    <n v="450"/>
    <n v="520"/>
    <n v="477"/>
    <s v="Other induced draft fan problems"/>
    <s v="Load Reduction #171-1A ID Fan was off for hardware change out."/>
    <s v="Ghent"/>
    <x v="0"/>
    <s v="Coal"/>
    <x v="2"/>
    <x v="2"/>
    <n v="5"/>
    <n v="2.716666666790843"/>
    <n v="0.36570512822184426"/>
    <n v="174.44134616181972"/>
    <n v="64.211538461538467"/>
    <x v="30"/>
  </r>
  <r>
    <x v="3"/>
    <x v="4"/>
    <n v="22"/>
    <n v="4420"/>
    <d v="2015-06-06T20:54:00"/>
    <d v="2015-06-07T20:00:00"/>
    <n v="0"/>
    <n v="520"/>
    <n v="477"/>
    <s v="Vibration of the turbine generator unit that cannot be attributed to a specific cause such as bearings or blades (use this code for balance moves)"/>
    <s v="F040Outage #5Unit 1 was removed from service to place a balance weight in the HP s"/>
    <s v="Ghent"/>
    <x v="2"/>
    <s v="Coal"/>
    <x v="2"/>
    <x v="2"/>
    <n v="6"/>
    <n v="23.100000000034925"/>
    <n v="23.100000000034925"/>
    <n v="11018.700000016659"/>
    <n v="477"/>
    <x v="90"/>
  </r>
  <r>
    <x v="3"/>
    <x v="1"/>
    <n v="23"/>
    <n v="8601"/>
    <d v="2015-06-09T21:40:00"/>
    <d v="2015-06-10T01:45:00"/>
    <n v="450"/>
    <n v="520"/>
    <n v="477"/>
    <s v="SO3 mitigation"/>
    <s v="Load Reduction #18Mid load SAMs testing, unit off control."/>
    <s v="Ghent"/>
    <x v="0"/>
    <s v="Coal"/>
    <x v="2"/>
    <x v="2"/>
    <n v="6"/>
    <n v="4.0833333331975155"/>
    <n v="0.54967948716120396"/>
    <n v="262.19711537589427"/>
    <n v="64.211538461538467"/>
    <x v="30"/>
  </r>
  <r>
    <x v="3"/>
    <x v="1"/>
    <n v="24"/>
    <n v="8601"/>
    <d v="2015-06-10T22:00:00"/>
    <d v="2015-06-11T01:48:00"/>
    <n v="375"/>
    <n v="520"/>
    <n v="477"/>
    <s v="SO3 mitigation"/>
    <s v="Load Reduction #19Low load SAMs testing, unit off control."/>
    <s v="Ghent"/>
    <x v="0"/>
    <s v="Coal"/>
    <x v="2"/>
    <x v="2"/>
    <n v="6"/>
    <n v="3.7999999999883585"/>
    <n v="1.0596153846121383"/>
    <n v="505.43653845999"/>
    <n v="133.00961538461539"/>
    <x v="108"/>
  </r>
  <r>
    <x v="3"/>
    <x v="1"/>
    <n v="25"/>
    <n v="1455"/>
    <d v="2015-06-17T23:00:00"/>
    <d v="2015-06-18T03:00:00"/>
    <n v="460"/>
    <n v="520"/>
    <n v="477"/>
    <s v="Induced draft fans"/>
    <s v="Load Reduction #201-1B ID fan was off to change out a cell and to troubleshoot har"/>
    <s v="Ghent"/>
    <x v="0"/>
    <s v="Coal"/>
    <x v="2"/>
    <x v="2"/>
    <n v="6"/>
    <n v="3.9999999999417923"/>
    <n v="0.46153846153174527"/>
    <n v="220.15384615064249"/>
    <n v="55.03846153846154"/>
    <x v="2"/>
  </r>
  <r>
    <x v="3"/>
    <x v="0"/>
    <n v="26"/>
    <n v="250"/>
    <d v="2015-06-19T11:34:00"/>
    <d v="2015-06-19T13:27:00"/>
    <n v="480"/>
    <n v="520"/>
    <n v="477"/>
    <s v="Pulverizer feeders"/>
    <s v="Load Reduction #211-5 Mill off to repair damaged feeder belt."/>
    <s v="Ghent"/>
    <x v="0"/>
    <s v="Coal"/>
    <x v="2"/>
    <x v="2"/>
    <n v="6"/>
    <n v="1.8833333333604969"/>
    <n v="0.14487179487388438"/>
    <n v="69.103846154842856"/>
    <n v="36.692307692307693"/>
    <x v="12"/>
  </r>
  <r>
    <x v="3"/>
    <x v="0"/>
    <n v="27"/>
    <n v="344"/>
    <d v="2015-06-28T06:36:00"/>
    <d v="2015-06-28T09:13:00"/>
    <n v="470"/>
    <n v="520"/>
    <n v="477"/>
    <s v="Pulverizer inspection"/>
    <s v="Load Reduction #221-2 Mill off to inspect.  Mill could not make temperature."/>
    <s v="Ghent"/>
    <x v="0"/>
    <s v="Coal"/>
    <x v="2"/>
    <x v="2"/>
    <n v="6"/>
    <n v="2.6166666666395031"/>
    <n v="0.25160256409995224"/>
    <n v="120.01442307567721"/>
    <n v="45.865384615384613"/>
    <x v="10"/>
  </r>
  <r>
    <x v="3"/>
    <x v="1"/>
    <n v="28"/>
    <n v="1980"/>
    <d v="2015-06-30T23:00:00"/>
    <d v="2015-07-01T00:25:00"/>
    <n v="460"/>
    <n v="520"/>
    <n v="477"/>
    <s v="Boiler safety valve test"/>
    <s v="Load Reduction #23Boiler drum pressure was reduced to set drum and main steam line"/>
    <s v="Ghent"/>
    <x v="0"/>
    <s v="Coal"/>
    <x v="2"/>
    <x v="2"/>
    <n v="6"/>
    <n v="1.4166666665696539"/>
    <n v="0.16346153845034467"/>
    <n v="77.971153840814409"/>
    <n v="55.03846153846154"/>
    <x v="2"/>
  </r>
  <r>
    <x v="3"/>
    <x v="0"/>
    <n v="29"/>
    <n v="9270"/>
    <d v="2015-07-03T12:12:00"/>
    <d v="2015-07-03T15:13:00"/>
    <n v="450"/>
    <n v="520"/>
    <n v="477"/>
    <s v="Wet coal"/>
    <s v="Load Reduction #241-1 Feeder plugged with wet coal."/>
    <s v="Ghent"/>
    <x v="0"/>
    <s v="Coal"/>
    <x v="2"/>
    <x v="2"/>
    <n v="7"/>
    <n v="3.0166666667209938"/>
    <n v="0.40608974359705685"/>
    <n v="193.70480769579612"/>
    <n v="64.211538461538467"/>
    <x v="30"/>
  </r>
  <r>
    <x v="3"/>
    <x v="1"/>
    <n v="30"/>
    <n v="1470"/>
    <d v="2015-07-07T22:48:00"/>
    <d v="2015-07-08T00:35:00"/>
    <n v="460"/>
    <n v="520"/>
    <n v="477"/>
    <s v="Induced draft fan motors and drives"/>
    <s v="Load Reduction #251-2A ID fan off to replace motor outboard &quot;X&quot; vibration probe."/>
    <s v="Ghent"/>
    <x v="0"/>
    <s v="Coal"/>
    <x v="2"/>
    <x v="2"/>
    <n v="7"/>
    <n v="1.78333333338378"/>
    <n v="0.20576923077505155"/>
    <n v="98.151923079699586"/>
    <n v="55.03846153846154"/>
    <x v="2"/>
  </r>
  <r>
    <x v="3"/>
    <x v="1"/>
    <n v="31"/>
    <n v="339"/>
    <d v="2015-07-13T21:52:00"/>
    <d v="2015-07-14T01:40:00"/>
    <n v="440"/>
    <n v="520"/>
    <n v="477"/>
    <s v="Pulverizer System Puff"/>
    <s v="Load Reduction #261-5 Feeder off to change out the weigh span roll."/>
    <s v="Ghent"/>
    <x v="0"/>
    <s v="Coal"/>
    <x v="2"/>
    <x v="2"/>
    <n v="7"/>
    <n v="3.7999999999883585"/>
    <n v="0.58461538461359364"/>
    <n v="278.86153846068419"/>
    <n v="73.384615384615387"/>
    <x v="87"/>
  </r>
  <r>
    <x v="3"/>
    <x v="0"/>
    <n v="32"/>
    <n v="250"/>
    <d v="2015-07-14T04:47:00"/>
    <d v="2015-07-14T05:33:00"/>
    <n v="450"/>
    <n v="520"/>
    <n v="477"/>
    <s v="Pulverizer feeders"/>
    <s v="Load Reduction #271-5 Feeder PLC control board went out."/>
    <s v="Ghent"/>
    <x v="0"/>
    <s v="Coal"/>
    <x v="2"/>
    <x v="2"/>
    <n v="7"/>
    <n v="0.76666666654637083"/>
    <n v="0.10320512818893454"/>
    <n v="49.228846146121775"/>
    <n v="64.211538461538467"/>
    <x v="30"/>
  </r>
  <r>
    <x v="3"/>
    <x v="0"/>
    <n v="33"/>
    <n v="320"/>
    <d v="2015-07-15T21:32:00"/>
    <d v="2015-07-16T01:37:00"/>
    <n v="440"/>
    <n v="520"/>
    <n v="477"/>
    <s v="Foreign object in Pulverizers mill"/>
    <s v="Load Reduction #281-1 Mill off for inspection.  Mill had high bowl DP and ran back"/>
    <s v="Ghent"/>
    <x v="0"/>
    <s v="Coal"/>
    <x v="2"/>
    <x v="2"/>
    <n v="7"/>
    <n v="4.0833333333721384"/>
    <n v="0.6282051282110982"/>
    <n v="299.65384615669382"/>
    <n v="73.384615384615387"/>
    <x v="87"/>
  </r>
  <r>
    <x v="3"/>
    <x v="0"/>
    <n v="34"/>
    <n v="320"/>
    <d v="2015-07-16T02:00:00"/>
    <d v="2015-07-16T03:12:00"/>
    <n v="440"/>
    <n v="520"/>
    <n v="477"/>
    <s v="Foreign object in Pulverizers mill"/>
    <s v="Load Reduction #291-2 Mill off for inspection.  Mill had noise in pyrite section."/>
    <s v="Ghent"/>
    <x v="0"/>
    <s v="Coal"/>
    <x v="2"/>
    <x v="2"/>
    <n v="7"/>
    <n v="1.1999999998952262"/>
    <n v="0.18461538459926558"/>
    <n v="88.061538453849678"/>
    <n v="73.384615384615387"/>
    <x v="87"/>
  </r>
  <r>
    <x v="3"/>
    <x v="5"/>
    <n v="35"/>
    <n v="8650"/>
    <d v="2015-07-19T09:31:00"/>
    <d v="2015-07-19T10:28:00"/>
    <n v="0"/>
    <n v="520"/>
    <n v="477"/>
    <s v="Baghouse systems"/>
    <s v="Outage #6PJFF inlet pressure reached tripping point and tripped one set of ID fans"/>
    <s v="Ghent"/>
    <x v="3"/>
    <s v="Coal"/>
    <x v="2"/>
    <x v="2"/>
    <n v="7"/>
    <n v="0.95000000012805685"/>
    <n v="0.95000000012805685"/>
    <n v="453.15000006108312"/>
    <n v="477"/>
    <x v="90"/>
  </r>
  <r>
    <x v="3"/>
    <x v="0"/>
    <n v="36"/>
    <n v="340"/>
    <d v="2015-07-19T12:02:00"/>
    <d v="2015-07-19T22:32:00"/>
    <n v="480"/>
    <n v="520"/>
    <n v="477"/>
    <s v="Other pulverizer problems"/>
    <s v="Load Reduction #301-6 Mill off due to mill explosion after restart of mill."/>
    <s v="Ghent"/>
    <x v="0"/>
    <s v="Coal"/>
    <x v="2"/>
    <x v="2"/>
    <n v="7"/>
    <n v="10.5"/>
    <n v="0.80769230769230771"/>
    <n v="385.26923076923077"/>
    <n v="36.692307692307693"/>
    <x v="12"/>
  </r>
  <r>
    <x v="3"/>
    <x v="0"/>
    <n v="37"/>
    <n v="1470"/>
    <d v="2015-07-19T22:32:00"/>
    <d v="2015-07-20T06:00:00"/>
    <n v="460"/>
    <n v="520"/>
    <n v="477"/>
    <s v="Induced draft fan motors and drives"/>
    <s v="Load Reduction #311-1B ID fan tripped due to VFD coolant conductivity transmitter "/>
    <s v="Ghent"/>
    <x v="0"/>
    <s v="Coal"/>
    <x v="2"/>
    <x v="2"/>
    <n v="7"/>
    <n v="7.4666666667326353"/>
    <n v="0.86153846154607328"/>
    <n v="410.95384615747696"/>
    <n v="55.03846153846154"/>
    <x v="2"/>
  </r>
  <r>
    <x v="3"/>
    <x v="0"/>
    <n v="38"/>
    <n v="340"/>
    <d v="2015-07-20T06:00:00"/>
    <d v="2015-07-23T20:39:00"/>
    <n v="460"/>
    <n v="520"/>
    <n v="477"/>
    <s v="Other pulverizer problems"/>
    <s v="Load Reduction #321-6 Mill explosion derate continued after 1-1B ID fan was return"/>
    <s v="Ghent"/>
    <x v="0"/>
    <s v="Coal"/>
    <x v="2"/>
    <x v="2"/>
    <n v="7"/>
    <n v="86.650000000081491"/>
    <n v="9.9980769230863267"/>
    <n v="4769.0826923121776"/>
    <n v="55.03846153846154"/>
    <x v="2"/>
  </r>
  <r>
    <x v="3"/>
    <x v="0"/>
    <n v="39"/>
    <n v="350"/>
    <d v="2015-07-22T05:46:00"/>
    <d v="2015-07-22T07:07:00"/>
    <n v="350"/>
    <n v="520"/>
    <n v="477"/>
    <s v="Pulverized fuel and air piping (from pulverizer to wind box)"/>
    <s v="Load Reduction #331-2 Mill 'D' burner line became hot.  Removed mill from service."/>
    <s v="Ghent"/>
    <x v="0"/>
    <s v="Coal"/>
    <x v="2"/>
    <x v="2"/>
    <n v="7"/>
    <n v="1.3500000000349246"/>
    <n v="0.44134615385757148"/>
    <n v="210.5221153900616"/>
    <n v="155.94230769230768"/>
    <x v="103"/>
  </r>
  <r>
    <x v="3"/>
    <x v="0"/>
    <n v="40"/>
    <n v="1040"/>
    <d v="2015-08-04T04:40:00"/>
    <d v="2015-08-04T06:24:00"/>
    <n v="300"/>
    <n v="520"/>
    <n v="477"/>
    <s v="First superheater B"/>
    <s v="Load Reduction #34Dropping drum pressure due to tube leak in the Primary Superheat"/>
    <s v="Ghent"/>
    <x v="0"/>
    <s v="Coal"/>
    <x v="2"/>
    <x v="2"/>
    <n v="8"/>
    <n v="1.7333333333954215"/>
    <n v="0.73333333335960138"/>
    <n v="349.80000001252984"/>
    <n v="201.80769230769232"/>
    <x v="99"/>
  </r>
  <r>
    <x v="3"/>
    <x v="10"/>
    <n v="41"/>
    <n v="1040"/>
    <d v="2015-08-04T06:24:00"/>
    <d v="2015-08-05T05:12:00"/>
    <n v="0"/>
    <n v="520"/>
    <n v="477"/>
    <s v="First superheater B"/>
    <s v="Outage #7Tube leak was heard in backpass of boiler around the Primary Superheat in"/>
    <s v="Ghent"/>
    <x v="3"/>
    <s v="Coal"/>
    <x v="2"/>
    <x v="2"/>
    <n v="8"/>
    <n v="22.799999999930151"/>
    <n v="22.799999999930151"/>
    <n v="10875.599999966682"/>
    <n v="477"/>
    <x v="90"/>
  </r>
  <r>
    <x v="3"/>
    <x v="0"/>
    <n v="42"/>
    <n v="339"/>
    <d v="2015-08-05T07:41:00"/>
    <d v="2015-08-05T22:36:00"/>
    <n v="460"/>
    <n v="520"/>
    <n v="477"/>
    <s v="Pulverizer System Puff"/>
    <s v="Load Reduction #351-4 Mill was off to inspect after mill puff."/>
    <s v="Ghent"/>
    <x v="0"/>
    <s v="Coal"/>
    <x v="2"/>
    <x v="2"/>
    <n v="8"/>
    <n v="14.916666666569654"/>
    <n v="1.7211538461426523"/>
    <n v="820.99038461004511"/>
    <n v="55.03846153846154"/>
    <x v="2"/>
  </r>
  <r>
    <x v="3"/>
    <x v="0"/>
    <n v="43"/>
    <n v="340"/>
    <d v="2015-08-07T23:31:00"/>
    <d v="2015-08-08T02:24:00"/>
    <n v="480"/>
    <n v="520"/>
    <n v="477"/>
    <s v="Other pulverizer problems"/>
    <s v="Load Reduction #361-3 Mill off for inspection due to noise in mill."/>
    <s v="Ghent"/>
    <x v="0"/>
    <s v="Coal"/>
    <x v="2"/>
    <x v="2"/>
    <n v="8"/>
    <n v="2.8833333333022892"/>
    <n v="0.22179487179248378"/>
    <n v="105.79615384501476"/>
    <n v="36.692307692307693"/>
    <x v="12"/>
  </r>
  <r>
    <x v="3"/>
    <x v="10"/>
    <n v="44"/>
    <n v="520"/>
    <d v="2015-08-12T21:49:00"/>
    <d v="2015-08-16T00:39:00"/>
    <n v="0"/>
    <n v="520"/>
    <n v="477"/>
    <s v="Other main steam valves (including vent and drain valves but not including the turbine stop valves) A"/>
    <s v="Outage #8A leak developed in the Main Steam line drain S9.  Removed the unit from "/>
    <s v="Ghent"/>
    <x v="3"/>
    <s v="Coal"/>
    <x v="2"/>
    <x v="2"/>
    <n v="8"/>
    <n v="74.833333333313931"/>
    <n v="74.833333333313931"/>
    <n v="35695.499999990745"/>
    <n v="477"/>
    <x v="90"/>
  </r>
  <r>
    <x v="3"/>
    <x v="0"/>
    <n v="45"/>
    <n v="310"/>
    <d v="2015-08-21T10:19:00"/>
    <d v="2015-08-21T12:24:00"/>
    <n v="450"/>
    <n v="520"/>
    <n v="477"/>
    <s v="Pulverizer mills"/>
    <s v="Load Reduction #371-2 Mill tripped due to air flow issues.  Cleaned the mill and r"/>
    <s v="Ghent"/>
    <x v="0"/>
    <s v="Coal"/>
    <x v="2"/>
    <x v="2"/>
    <n v="8"/>
    <n v="2.0833333334885538"/>
    <n v="0.28044871796961302"/>
    <n v="133.77403847150541"/>
    <n v="64.211538461538467"/>
    <x v="30"/>
  </r>
  <r>
    <x v="3"/>
    <x v="1"/>
    <n v="46"/>
    <n v="344"/>
    <d v="2015-08-23T23:00:00"/>
    <d v="2015-08-24T01:25:00"/>
    <n v="460"/>
    <n v="520"/>
    <n v="477"/>
    <s v="Pulverizer inspection"/>
    <s v="Load Reduction #381-2 Mill off to inspect hot and cold air dampers, as well as air"/>
    <s v="Ghent"/>
    <x v="0"/>
    <s v="Coal"/>
    <x v="2"/>
    <x v="2"/>
    <n v="8"/>
    <n v="2.4166666666860692"/>
    <n v="0.27884615384839262"/>
    <n v="133.00961538568328"/>
    <n v="55.03846153846154"/>
    <x v="2"/>
  </r>
  <r>
    <x v="3"/>
    <x v="10"/>
    <n v="47"/>
    <n v="1040"/>
    <d v="2015-08-26T22:15:00"/>
    <d v="2015-09-01T21:46:00"/>
    <n v="0"/>
    <n v="520"/>
    <n v="477"/>
    <s v="First superheater B"/>
    <s v="F380Outage #9Unit 1 developed what appeared to be a leak in the Primary Superheate"/>
    <s v="Ghent"/>
    <x v="3"/>
    <s v="Coal"/>
    <x v="2"/>
    <x v="2"/>
    <n v="8"/>
    <n v="143.51666666666279"/>
    <n v="143.51666666666279"/>
    <n v="68457.449999998149"/>
    <n v="477"/>
    <x v="90"/>
  </r>
  <r>
    <x v="3"/>
    <x v="10"/>
    <n v="48"/>
    <n v="1080"/>
    <d v="2015-09-08T09:56:00"/>
    <d v="2015-09-10T15:29:00"/>
    <n v="0"/>
    <n v="520"/>
    <n v="477"/>
    <s v="Economizer B"/>
    <s v="F910Outage #10Unit 1 developed a tube leak in the Economizer section of the boiler"/>
    <s v="Ghent"/>
    <x v="3"/>
    <s v="Coal"/>
    <x v="2"/>
    <x v="2"/>
    <n v="9"/>
    <n v="53.549999999930151"/>
    <n v="53.549999999930151"/>
    <n v="25543.349999966682"/>
    <n v="477"/>
    <x v="90"/>
  </r>
  <r>
    <x v="3"/>
    <x v="0"/>
    <n v="49"/>
    <n v="340"/>
    <d v="2015-10-02T03:24:00"/>
    <d v="2015-10-02T07:26:00"/>
    <n v="450"/>
    <n v="520"/>
    <n v="477"/>
    <s v="Other pulverizer problems"/>
    <s v="Load Reduction #391-3 Mill north journal locked up."/>
    <s v="Ghent"/>
    <x v="0"/>
    <s v="Coal"/>
    <x v="2"/>
    <x v="2"/>
    <n v="10"/>
    <n v="4.033333333209157"/>
    <n v="0.54294871793200195"/>
    <n v="258.98653845356495"/>
    <n v="64.211538461538467"/>
    <x v="30"/>
  </r>
  <r>
    <x v="3"/>
    <x v="4"/>
    <n v="50"/>
    <n v="1000"/>
    <d v="2015-10-27T12:50:00"/>
    <d v="2015-10-29T23:16:00"/>
    <n v="0"/>
    <n v="520"/>
    <n v="477"/>
    <s v="Waterwall (Furnace wall) A"/>
    <s v="F540Outage #11Unit 1 was running with a water wall tube leak.  Removed the unit fo"/>
    <s v="Ghent"/>
    <x v="2"/>
    <s v="Coal"/>
    <x v="2"/>
    <x v="2"/>
    <n v="10"/>
    <n v="58.433333333465271"/>
    <n v="58.433333333465271"/>
    <n v="27872.700000062934"/>
    <n v="477"/>
    <x v="90"/>
  </r>
  <r>
    <x v="3"/>
    <x v="1"/>
    <n v="51"/>
    <n v="8460"/>
    <d v="2015-11-04T22:00:00"/>
    <d v="2015-11-05T01:58:00"/>
    <n v="375"/>
    <n v="520"/>
    <n v="477"/>
    <s v="Testing A"/>
    <s v="F790Load Reduction #40Ghent 1 had a planned derate for SAMs emission testing."/>
    <s v="Ghent"/>
    <x v="0"/>
    <s v="Coal"/>
    <x v="2"/>
    <x v="2"/>
    <n v="11"/>
    <n v="3.9666666666744277"/>
    <n v="1.1060897435919077"/>
    <n v="527.60480769333992"/>
    <n v="133.00961538461539"/>
    <x v="108"/>
  </r>
  <r>
    <x v="3"/>
    <x v="4"/>
    <n v="52"/>
    <n v="1060"/>
    <d v="2015-11-10T22:27:00"/>
    <d v="2015-11-13T16:35:00"/>
    <n v="0"/>
    <n v="520"/>
    <n v="477"/>
    <s v="First reheater A"/>
    <s v="F540Outage #12Unit 1 was running with a Radiant Reheat tube leak.  The unit remove"/>
    <s v="Ghent"/>
    <x v="2"/>
    <s v="Coal"/>
    <x v="2"/>
    <x v="2"/>
    <n v="11"/>
    <n v="66.133333333244082"/>
    <n v="66.133333333244082"/>
    <n v="31545.599999957427"/>
    <n v="477"/>
    <x v="90"/>
  </r>
  <r>
    <x v="3"/>
    <x v="5"/>
    <n v="53"/>
    <n v="4810"/>
    <d v="2015-11-13T22:23:00"/>
    <d v="2015-11-16T08:28:00"/>
    <n v="0"/>
    <n v="520"/>
    <n v="477"/>
    <s v="Generator output breaker"/>
    <s v="Outage #13GH1 generator breaker 165-716 manual disconnect failed, which caused the"/>
    <s v="Ghent"/>
    <x v="3"/>
    <s v="Coal"/>
    <x v="2"/>
    <x v="2"/>
    <n v="11"/>
    <n v="58.083333333372138"/>
    <n v="58.083333333372138"/>
    <n v="27705.75000001851"/>
    <n v="477"/>
    <x v="90"/>
  </r>
  <r>
    <x v="3"/>
    <x v="5"/>
    <n v="54"/>
    <n v="4610"/>
    <d v="2015-11-16T09:23:00"/>
    <d v="2015-11-16T10:39:00"/>
    <n v="0"/>
    <n v="520"/>
    <n v="477"/>
    <s v="Hydrogen cooling system piping and valves"/>
    <s v="Outage #14GH1 tripped off line due to high generator hydrogen gas temperature."/>
    <s v="Ghent"/>
    <x v="3"/>
    <s v="Coal"/>
    <x v="2"/>
    <x v="2"/>
    <n v="11"/>
    <n v="1.2666666666045785"/>
    <n v="1.2666666666045785"/>
    <n v="604.19999997038394"/>
    <n v="477"/>
    <x v="90"/>
  </r>
  <r>
    <x v="3"/>
    <x v="0"/>
    <n v="55"/>
    <n v="340"/>
    <d v="2015-11-17T10:50:00"/>
    <d v="2015-11-17T12:31:00"/>
    <n v="450"/>
    <n v="520"/>
    <n v="477"/>
    <s v="Other pulverizer problems"/>
    <s v="Load Reduction #41Removed 1-2 mill from service to adjust a pyrite scraper."/>
    <s v="Ghent"/>
    <x v="0"/>
    <s v="Coal"/>
    <x v="2"/>
    <x v="2"/>
    <n v="11"/>
    <n v="1.6833333332324401"/>
    <n v="0.22660256408898233"/>
    <n v="108.08942307044457"/>
    <n v="64.211538461538467"/>
    <x v="30"/>
  </r>
  <r>
    <x v="3"/>
    <x v="4"/>
    <n v="56"/>
    <n v="3611"/>
    <d v="2015-11-18T21:24:00"/>
    <d v="2015-11-19T03:08:00"/>
    <n v="0"/>
    <n v="520"/>
    <n v="477"/>
    <s v="Switchyard circuit breakers - external"/>
    <s v="Outage #15Unit 1 was removed from service to repair a failed bus bar on the 165-70"/>
    <s v="Ghent"/>
    <x v="2"/>
    <s v="Coal"/>
    <x v="2"/>
    <x v="2"/>
    <n v="11"/>
    <n v="5.7333333333372138"/>
    <n v="5.7333333333372138"/>
    <n v="2734.800000001851"/>
    <n v="477"/>
    <x v="90"/>
  </r>
  <r>
    <x v="3"/>
    <x v="0"/>
    <n v="57"/>
    <n v="250"/>
    <d v="2015-12-01T12:43:00"/>
    <d v="2015-12-01T16:39:00"/>
    <n v="425"/>
    <n v="520"/>
    <n v="477"/>
    <s v="Pulverizer feeders"/>
    <s v="Load Reduction #421-6 Feeder belt broke."/>
    <s v="Ghent"/>
    <x v="0"/>
    <s v="Coal"/>
    <x v="2"/>
    <x v="2"/>
    <n v="12"/>
    <n v="3.9333333332324401"/>
    <n v="0.71858974357131111"/>
    <n v="342.76730768351541"/>
    <n v="87.144230769230774"/>
    <x v="47"/>
  </r>
  <r>
    <x v="3"/>
    <x v="1"/>
    <n v="58"/>
    <n v="3415"/>
    <d v="2015-12-11T13:26:00"/>
    <d v="2015-12-11T14:03:00"/>
    <n v="315"/>
    <n v="520"/>
    <n v="477"/>
    <s v="Feedwater pump/drive lube oil system"/>
    <s v="Load Reduction #43Operations removed 1-1 BFPT from service long enough for Instrum"/>
    <s v="Ghent"/>
    <x v="0"/>
    <s v="Coal"/>
    <x v="2"/>
    <x v="2"/>
    <n v="12"/>
    <n v="0.61666666675591841"/>
    <n v="0.24310897439416015"/>
    <n v="115.9629807860144"/>
    <n v="188.04807692307693"/>
    <x v="109"/>
  </r>
  <r>
    <x v="3"/>
    <x v="1"/>
    <n v="59"/>
    <n v="3415"/>
    <d v="2015-12-12T08:20:00"/>
    <d v="2015-12-12T08:32:00"/>
    <n v="320"/>
    <n v="520"/>
    <n v="477"/>
    <s v="Feedwater pump/drive lube oil system"/>
    <s v="Load Reduction #44Operations removed 1-1 BFPT from service long enough for Instrum"/>
    <s v="Ghent"/>
    <x v="0"/>
    <s v="Coal"/>
    <x v="2"/>
    <x v="2"/>
    <n v="12"/>
    <n v="0.20000000012805685"/>
    <n v="7.6923076972329557E-2"/>
    <n v="36.692307715801199"/>
    <n v="183.46153846153845"/>
    <x v="110"/>
  </r>
  <r>
    <x v="3"/>
    <x v="1"/>
    <n v="60"/>
    <n v="4611"/>
    <d v="2015-12-19T01:00:00"/>
    <d v="2015-12-19T01:45:00"/>
    <n v="410"/>
    <n v="520"/>
    <n v="477"/>
    <s v="Hydrogen coolers"/>
    <s v="F540Load Reduction #45Unit 1 hydrogen cooler gauge line leak."/>
    <s v="Ghent"/>
    <x v="0"/>
    <s v="Coal"/>
    <x v="2"/>
    <x v="2"/>
    <n v="12"/>
    <n v="0.75"/>
    <n v="0.15865384615384615"/>
    <n v="75.677884615384613"/>
    <n v="100.90384615384616"/>
    <x v="111"/>
  </r>
  <r>
    <x v="3"/>
    <x v="1"/>
    <n v="61"/>
    <n v="340"/>
    <d v="2015-12-27T06:07:00"/>
    <d v="2015-12-27T08:31:00"/>
    <n v="470"/>
    <n v="520"/>
    <n v="477"/>
    <s v="Other pulverizer problems"/>
    <s v="F060Load Reduction #461-4 Mill was removed from service to replace a journal."/>
    <s v="Ghent"/>
    <x v="0"/>
    <s v="Coal"/>
    <x v="2"/>
    <x v="2"/>
    <n v="12"/>
    <n v="2.3999999999650754"/>
    <n v="0.23076923076587263"/>
    <n v="110.07692307532125"/>
    <n v="45.865384615384613"/>
    <x v="10"/>
  </r>
  <r>
    <x v="3"/>
    <x v="1"/>
    <n v="1"/>
    <n v="1470"/>
    <d v="2016-01-06T09:40:00"/>
    <d v="2016-01-06T22:30:00"/>
    <n v="430"/>
    <n v="520"/>
    <n v="477"/>
    <s v="Induced draft fan motors and drives"/>
    <s v="F590Load Reduction #11-2B ID fan VFD had a bad PLC and flow meter."/>
    <s v="Ghent"/>
    <x v="0"/>
    <s v="Coal"/>
    <x v="2"/>
    <x v="3"/>
    <n v="1"/>
    <n v="12.833333333255723"/>
    <n v="2.2211538461404134"/>
    <n v="1059.4903846089771"/>
    <n v="82.557692307692307"/>
    <x v="36"/>
  </r>
  <r>
    <x v="3"/>
    <x v="1"/>
    <n v="2"/>
    <n v="340"/>
    <d v="2016-01-15T14:27:00"/>
    <d v="2016-01-15T15:17:00"/>
    <n v="440"/>
    <n v="520"/>
    <n v="477"/>
    <s v="Other pulverizer problems"/>
    <s v="Load Reduction #21-6 Mill feeder clean out conveyor coupling key came out."/>
    <s v="Ghent"/>
    <x v="0"/>
    <s v="Coal"/>
    <x v="2"/>
    <x v="3"/>
    <n v="1"/>
    <n v="0.8333333334303461"/>
    <n v="0.12820512822005325"/>
    <n v="61.153846160965401"/>
    <n v="73.384615384615387"/>
    <x v="87"/>
  </r>
  <r>
    <x v="3"/>
    <x v="5"/>
    <n v="3"/>
    <n v="1480"/>
    <d v="2016-01-20T09:17:00"/>
    <d v="2016-01-20T10:18:00"/>
    <n v="0"/>
    <n v="520"/>
    <n v="477"/>
    <s v="Other induced draft fan problems"/>
    <s v="Outage #1GH1 was removed from service due to loss of ID fans causing MFT.  ID fans"/>
    <s v="Ghent"/>
    <x v="3"/>
    <s v="Coal"/>
    <x v="2"/>
    <x v="3"/>
    <n v="1"/>
    <n v="1.0166666666627862"/>
    <n v="1.0166666666627862"/>
    <n v="484.949999998149"/>
    <n v="477"/>
    <x v="90"/>
  </r>
  <r>
    <x v="3"/>
    <x v="0"/>
    <n v="4"/>
    <n v="350"/>
    <d v="2016-01-20T13:31:00"/>
    <d v="2016-01-20T16:15:00"/>
    <n v="460"/>
    <n v="520"/>
    <n v="477"/>
    <s v="Pulverized fuel and air piping (from pulverizer to wind box)"/>
    <s v="Load Reduction #31-6 Mill &quot;B&quot; burner line caught fire."/>
    <s v="Ghent"/>
    <x v="0"/>
    <s v="Coal"/>
    <x v="2"/>
    <x v="3"/>
    <n v="1"/>
    <n v="2.7333333333372138"/>
    <n v="0.31538461538506313"/>
    <n v="150.43846153867511"/>
    <n v="55.03846153846154"/>
    <x v="2"/>
  </r>
  <r>
    <x v="3"/>
    <x v="0"/>
    <n v="5"/>
    <n v="350"/>
    <d v="2016-01-22T06:51:00"/>
    <d v="2016-01-22T07:15:00"/>
    <n v="415"/>
    <n v="520"/>
    <n v="477"/>
    <s v="Pulverized fuel and air piping (from pulverizer to wind box)"/>
    <s v="Load Reduction #41-4 Mill &quot;C&quot; burner fire."/>
    <s v="Ghent"/>
    <x v="0"/>
    <s v="Coal"/>
    <x v="2"/>
    <x v="3"/>
    <n v="1"/>
    <n v="0.40000000008149073"/>
    <n v="8.0769230785685625E-2"/>
    <n v="38.526923084772044"/>
    <n v="96.317307692307693"/>
    <x v="41"/>
  </r>
  <r>
    <x v="3"/>
    <x v="0"/>
    <n v="6"/>
    <n v="350"/>
    <d v="2016-01-22T10:11:00"/>
    <d v="2016-01-22T11:43:00"/>
    <n v="415"/>
    <n v="520"/>
    <n v="477"/>
    <s v="Pulverized fuel and air piping (from pulverizer to wind box)"/>
    <s v="Load Reduction #51-4 Mill &quot;C&quot; burner fire."/>
    <s v="Ghent"/>
    <x v="0"/>
    <s v="Coal"/>
    <x v="2"/>
    <x v="3"/>
    <n v="1"/>
    <n v="1.5333333332673647"/>
    <n v="0.309615384602064"/>
    <n v="147.68653845518452"/>
    <n v="96.317307692307693"/>
    <x v="41"/>
  </r>
  <r>
    <x v="3"/>
    <x v="5"/>
    <n v="7"/>
    <n v="1060"/>
    <d v="2016-01-27T15:12:00"/>
    <d v="2016-01-28T17:49:00"/>
    <n v="0"/>
    <n v="520"/>
    <n v="477"/>
    <s v="First reheater A"/>
    <s v="F830Outage #2Unit 1 was removed from service due to a reheat tube leak at the IK #"/>
    <s v="Ghent"/>
    <x v="3"/>
    <s v="Coal"/>
    <x v="2"/>
    <x v="3"/>
    <n v="1"/>
    <n v="26.616666666639503"/>
    <n v="26.616666666639503"/>
    <n v="12696.149999987043"/>
    <n v="477"/>
    <x v="90"/>
  </r>
  <r>
    <x v="3"/>
    <x v="5"/>
    <n v="8"/>
    <n v="1060"/>
    <d v="2016-02-04T10:48:00"/>
    <d v="2016-02-06T19:50:00"/>
    <n v="0"/>
    <n v="520"/>
    <n v="477"/>
    <s v="First reheater A"/>
    <s v="F830Outage #3Unit 1 was removed from service due to reheat tube leak at the IK #6 "/>
    <s v="Ghent"/>
    <x v="3"/>
    <s v="Coal"/>
    <x v="2"/>
    <x v="3"/>
    <n v="2"/>
    <n v="57.033333333441988"/>
    <n v="57.033333333441988"/>
    <n v="27204.900000051828"/>
    <n v="477"/>
    <x v="90"/>
  </r>
  <r>
    <x v="3"/>
    <x v="5"/>
    <n v="9"/>
    <n v="3220"/>
    <d v="2016-02-06T19:50:00"/>
    <d v="2016-02-07T11:00:00"/>
    <m/>
    <n v="520"/>
    <n v="477"/>
    <s v="Circulating water piping"/>
    <s v="Outage #4GH1 Forced Outage was changed from a Reheat tube leak, once repairs were"/>
    <s v="Ghent"/>
    <x v="3"/>
    <s v="Coal"/>
    <x v="2"/>
    <x v="3"/>
    <n v="2"/>
    <n v="15.166666666686069"/>
    <n v="15.166666666686069"/>
    <n v="7234.500000009255"/>
    <n v="477"/>
    <x v="90"/>
  </r>
  <r>
    <x v="3"/>
    <x v="1"/>
    <n v="10"/>
    <n v="340"/>
    <d v="2016-02-17T23:00:00"/>
    <d v="2016-02-18T02:00:00"/>
    <n v="425"/>
    <n v="520"/>
    <n v="477"/>
    <s v="Other pulverizer problems"/>
    <s v="Load Reduction #61-1 Mill was removed from service for noise in pyrite section."/>
    <s v="Ghent"/>
    <x v="0"/>
    <s v="Coal"/>
    <x v="2"/>
    <x v="3"/>
    <n v="2"/>
    <n v="3"/>
    <n v="0.54807692307692313"/>
    <n v="261.43269230769232"/>
    <n v="87.144230769230774"/>
    <x v="47"/>
  </r>
  <r>
    <x v="3"/>
    <x v="5"/>
    <n v="11"/>
    <n v="1040"/>
    <d v="2016-02-18T02:00:00"/>
    <d v="2016-02-18T23:47:00"/>
    <n v="0"/>
    <n v="520"/>
    <n v="477"/>
    <s v="First superheater B"/>
    <s v="Outage #5Unit 1 was removed from service due to a Reheat tube leak at the IK #6 ar"/>
    <s v="Ghent"/>
    <x v="3"/>
    <s v="Coal"/>
    <x v="2"/>
    <x v="3"/>
    <n v="2"/>
    <n v="21.783333333267365"/>
    <n v="21.783333333267365"/>
    <n v="10390.649999968533"/>
    <n v="477"/>
    <x v="90"/>
  </r>
  <r>
    <x v="3"/>
    <x v="6"/>
    <n v="13"/>
    <n v="1060"/>
    <d v="2016-02-24T08:07:00"/>
    <d v="2016-03-19T23:16:00"/>
    <n v="0"/>
    <n v="520"/>
    <n v="477"/>
    <s v="First reheater A"/>
    <s v="F590Outage #7Unit 1 was changed from a Reserve to a Planned Outage for Reheat tube"/>
    <s v="Ghent"/>
    <x v="1"/>
    <s v="Coal"/>
    <x v="2"/>
    <x v="3"/>
    <n v="2"/>
    <n v="591.1500000001397"/>
    <n v="591.1500000001397"/>
    <n v="281978.55000006664"/>
    <n v="477"/>
    <x v="90"/>
  </r>
  <r>
    <x v="3"/>
    <x v="5"/>
    <n v="14"/>
    <n v="1710"/>
    <d v="2016-03-20T03:31:00"/>
    <d v="2016-03-20T04:55:00"/>
    <n v="0"/>
    <n v="520"/>
    <n v="477"/>
    <s v="Combustion/steam condition controls (report local controls --- burners"/>
    <s v="Outage #8Unit 1 tripped due to loss of boiler fire.  "/>
    <s v="Ghent"/>
    <x v="3"/>
    <s v="Coal"/>
    <x v="2"/>
    <x v="3"/>
    <n v="3"/>
    <n v="1.4000000000232831"/>
    <n v="1.4000000000232831"/>
    <n v="667.80000001110602"/>
    <n v="477"/>
    <x v="90"/>
  </r>
  <r>
    <x v="3"/>
    <x v="1"/>
    <n v="15"/>
    <n v="250"/>
    <d v="2016-03-28T21:30:00"/>
    <d v="2016-03-29T00:05:00"/>
    <n v="435"/>
    <n v="520"/>
    <n v="477"/>
    <s v="Pulverizer feeders"/>
    <s v="Load Reduction #71-3 Mill feeder card was bad, couldn't calibrate feeder."/>
    <s v="Ghent"/>
    <x v="0"/>
    <s v="Coal"/>
    <x v="2"/>
    <x v="3"/>
    <n v="3"/>
    <n v="2.5833333331975155"/>
    <n v="0.42227564100344001"/>
    <n v="201.42548075864087"/>
    <n v="77.97115384615384"/>
    <x v="53"/>
  </r>
  <r>
    <x v="3"/>
    <x v="1"/>
    <n v="16"/>
    <n v="340"/>
    <d v="2016-04-04T23:09:00"/>
    <d v="2016-04-05T00:47:00"/>
    <n v="460"/>
    <n v="520"/>
    <n v="477"/>
    <s v="Other pulverizer problems"/>
    <s v="F620Load Reduction #81-2 Mill was making noise."/>
    <s v="Ghent"/>
    <x v="0"/>
    <s v="Coal"/>
    <x v="2"/>
    <x v="3"/>
    <n v="4"/>
    <n v="1.6333333332440816"/>
    <n v="0.1884615384512402"/>
    <n v="89.896153841241571"/>
    <n v="55.03846153846154"/>
    <x v="2"/>
  </r>
  <r>
    <x v="3"/>
    <x v="1"/>
    <n v="17"/>
    <n v="340"/>
    <d v="2016-04-05T23:00:00"/>
    <d v="2016-04-06T00:46:00"/>
    <n v="460"/>
    <n v="520"/>
    <n v="477"/>
    <s v="Other pulverizer problems"/>
    <s v="F620Load Reduction #91-2 Mill was making noise."/>
    <s v="Ghent"/>
    <x v="0"/>
    <s v="Coal"/>
    <x v="2"/>
    <x v="3"/>
    <n v="4"/>
    <n v="1.7666666666627862"/>
    <n v="0.20384615384570609"/>
    <n v="97.234615384401806"/>
    <n v="55.03846153846154"/>
    <x v="2"/>
  </r>
  <r>
    <x v="3"/>
    <x v="0"/>
    <n v="18"/>
    <n v="340"/>
    <d v="2016-04-15T18:00:00"/>
    <d v="2016-04-16T05:04:00"/>
    <n v="470"/>
    <n v="520"/>
    <n v="477"/>
    <s v="Other pulverizer problems"/>
    <s v="Load Reduction #101-2 Mill exhauster bearing change out."/>
    <s v="Ghent"/>
    <x v="0"/>
    <s v="Coal"/>
    <x v="2"/>
    <x v="3"/>
    <n v="4"/>
    <n v="11.066666666592937"/>
    <n v="1.0641025640954747"/>
    <n v="507.57692307354142"/>
    <n v="45.865384615384613"/>
    <x v="10"/>
  </r>
  <r>
    <x v="3"/>
    <x v="0"/>
    <n v="19"/>
    <n v="340"/>
    <d v="2016-04-16T05:04:00"/>
    <d v="2016-04-16T14:25:00"/>
    <n v="450"/>
    <n v="520"/>
    <n v="477"/>
    <s v="Other pulverizer problems"/>
    <s v="Load Reduction #111-2 Mill exhauster bearing change out."/>
    <s v="Ghent"/>
    <x v="0"/>
    <s v="Coal"/>
    <x v="2"/>
    <x v="3"/>
    <n v="4"/>
    <n v="9.3500000000931323"/>
    <n v="1.2586538461663832"/>
    <n v="600.37788462136484"/>
    <n v="64.211538461538467"/>
    <x v="30"/>
  </r>
  <r>
    <x v="3"/>
    <x v="0"/>
    <n v="20"/>
    <n v="250"/>
    <d v="2016-04-20T02:40:00"/>
    <d v="2016-04-20T08:10:00"/>
    <n v="450"/>
    <n v="520"/>
    <n v="477"/>
    <s v="Pulverizer feeders"/>
    <s v="Load Reduction #121-4 Mill coal feeder belt broke."/>
    <s v="Ghent"/>
    <x v="0"/>
    <s v="Coal"/>
    <x v="2"/>
    <x v="3"/>
    <n v="4"/>
    <n v="5.5000000001164153"/>
    <n v="0.74038461540028666"/>
    <n v="353.16346154593674"/>
    <n v="64.211538461538467"/>
    <x v="30"/>
  </r>
  <r>
    <x v="3"/>
    <x v="1"/>
    <n v="21"/>
    <n v="340"/>
    <d v="2016-04-28T23:00:00"/>
    <d v="2016-04-29T01:56:00"/>
    <n v="460"/>
    <n v="520"/>
    <n v="477"/>
    <s v="Other pulverizer problems"/>
    <s v="F590Load Reduction #131-6 Mill planned derate to trim vane wheel, torque race, and"/>
    <s v="Ghent"/>
    <x v="0"/>
    <s v="Coal"/>
    <x v="2"/>
    <x v="3"/>
    <n v="4"/>
    <n v="2.9333333332906477"/>
    <n v="0.3384615384566132"/>
    <n v="161.4461538438045"/>
    <n v="55.03846153846154"/>
    <x v="2"/>
  </r>
  <r>
    <x v="3"/>
    <x v="1"/>
    <n v="22"/>
    <n v="340"/>
    <d v="2016-05-11T00:01:00"/>
    <d v="2016-05-11T00:56:00"/>
    <n v="460"/>
    <n v="520"/>
    <n v="477"/>
    <s v="Other pulverizer problems"/>
    <s v="F320Load Reduction #14Cleaned 1-4 mill air flow probes."/>
    <s v="Ghent"/>
    <x v="0"/>
    <s v="Coal"/>
    <x v="2"/>
    <x v="3"/>
    <n v="5"/>
    <n v="0.91666666668606922"/>
    <n v="0.10576923077146952"/>
    <n v="50.451923077990962"/>
    <n v="55.03846153846154"/>
    <x v="2"/>
  </r>
  <r>
    <x v="3"/>
    <x v="0"/>
    <n v="23"/>
    <n v="250"/>
    <d v="2016-05-12T08:45:00"/>
    <d v="2016-05-12T11:24:00"/>
    <n v="480"/>
    <n v="520"/>
    <n v="477"/>
    <s v="Pulverizer feeders"/>
    <s v="F830Load Reduction #151-3 Mill feeder belt broke."/>
    <s v="Ghent"/>
    <x v="0"/>
    <s v="Coal"/>
    <x v="2"/>
    <x v="3"/>
    <n v="5"/>
    <n v="2.6499999999068677"/>
    <n v="0.20384615383898982"/>
    <n v="97.23461538119814"/>
    <n v="36.692307692307693"/>
    <x v="12"/>
  </r>
  <r>
    <x v="3"/>
    <x v="4"/>
    <n v="24"/>
    <n v="510"/>
    <d v="2016-05-14T16:22:00"/>
    <d v="2016-05-14T21:28:00"/>
    <n v="0"/>
    <n v="520"/>
    <n v="477"/>
    <s v="Main steam relief/safety valves off superheater"/>
    <s v="F590Outage #9U1 was removed from service to repair a leaking SH spray valve.  Also"/>
    <s v="Ghent"/>
    <x v="2"/>
    <s v="Coal"/>
    <x v="2"/>
    <x v="3"/>
    <n v="5"/>
    <n v="5.1000000000349246"/>
    <n v="5.1000000000349246"/>
    <n v="2432.700000016659"/>
    <n v="477"/>
    <x v="90"/>
  </r>
  <r>
    <x v="3"/>
    <x v="5"/>
    <n v="26"/>
    <n v="3133"/>
    <d v="2016-05-15T13:30:00"/>
    <d v="2016-05-15T14:14:00"/>
    <n v="0"/>
    <n v="520"/>
    <n v="477"/>
    <s v="Vacuum pumps"/>
    <s v="Outage #11Unit 1 tripped due to loss of 1-1 main condenser vacuum pump seal water "/>
    <s v="Ghent"/>
    <x v="3"/>
    <s v="Coal"/>
    <x v="2"/>
    <x v="3"/>
    <n v="5"/>
    <n v="0.73333333327900618"/>
    <n v="0.73333333327900618"/>
    <n v="349.79999997408595"/>
    <n v="477"/>
    <x v="90"/>
  </r>
  <r>
    <x v="3"/>
    <x v="5"/>
    <n v="27"/>
    <n v="3210"/>
    <d v="2016-05-15T14:39:00"/>
    <d v="2016-05-15T15:30:00"/>
    <n v="0"/>
    <n v="520"/>
    <n v="477"/>
    <s v="Circulating water pumps"/>
    <s v="Outage #12Unit 1 tripped off line due to boiler swing causing a low differential p"/>
    <s v="Ghent"/>
    <x v="3"/>
    <s v="Coal"/>
    <x v="2"/>
    <x v="3"/>
    <n v="5"/>
    <n v="0.84999999997671694"/>
    <n v="0.84999999997671694"/>
    <n v="405.44999998889398"/>
    <n v="477"/>
    <x v="90"/>
  </r>
  <r>
    <x v="3"/>
    <x v="0"/>
    <n v="28"/>
    <n v="250"/>
    <d v="2016-06-06T14:27:00"/>
    <d v="2016-06-06T15:37:00"/>
    <n v="465"/>
    <n v="520"/>
    <n v="477"/>
    <s v="Pulverizer feeders"/>
    <s v="F830Load Reduction #161-2 Mill feeder plugged causing feeder to trip."/>
    <s v="Ghent"/>
    <x v="0"/>
    <s v="Coal"/>
    <x v="2"/>
    <x v="3"/>
    <n v="6"/>
    <n v="1.1666666666278616"/>
    <n v="0.12339743589333151"/>
    <n v="58.860576921119126"/>
    <n v="50.45192307692308"/>
    <x v="33"/>
  </r>
  <r>
    <x v="3"/>
    <x v="1"/>
    <n v="29"/>
    <n v="4267"/>
    <d v="2016-06-08T04:32:00"/>
    <d v="2016-06-08T04:43:00"/>
    <n v="440"/>
    <n v="520"/>
    <n v="477"/>
    <s v="Control valve testing"/>
    <s v="F590Load Reduction #17U1 Main turbine valve curve adjustment."/>
    <s v="Ghent"/>
    <x v="0"/>
    <s v="Coal"/>
    <x v="2"/>
    <x v="3"/>
    <n v="6"/>
    <n v="0.18333333340706304"/>
    <n v="2.8205128216471236E-2"/>
    <n v="13.453846159256779"/>
    <n v="73.384615384615387"/>
    <x v="87"/>
  </r>
  <r>
    <x v="3"/>
    <x v="0"/>
    <n v="30"/>
    <n v="8020"/>
    <d v="2016-06-11T18:00:00"/>
    <d v="2016-06-11T18:08:00"/>
    <n v="340"/>
    <n v="520"/>
    <n v="477"/>
    <s v="Mill slurry tanks supply problems"/>
    <s v="F830Load Reduction #18&quot;B&quot; Limestone slurry loop went out of service when LSP lost "/>
    <s v="Ghent"/>
    <x v="0"/>
    <s v="Coal"/>
    <x v="2"/>
    <x v="3"/>
    <n v="6"/>
    <n v="0.13333333341870457"/>
    <n v="4.6153846183397733E-2"/>
    <n v="22.015384629480717"/>
    <n v="165.11538461538461"/>
    <x v="112"/>
  </r>
  <r>
    <x v="3"/>
    <x v="1"/>
    <n v="31"/>
    <n v="9656"/>
    <d v="2016-06-14T23:00:00"/>
    <d v="2016-06-15T02:57:00"/>
    <n v="450"/>
    <n v="520"/>
    <n v="477"/>
    <s v="Other stack or exhaust emissions testing - fossil"/>
    <s v="F790Load Reduction #19U1 Stack RATA testing."/>
    <s v="Ghent"/>
    <x v="0"/>
    <s v="Coal"/>
    <x v="2"/>
    <x v="3"/>
    <n v="6"/>
    <n v="3.9499999999534339"/>
    <n v="0.53173076922450069"/>
    <n v="253.63557692008683"/>
    <n v="64.211538461538467"/>
    <x v="30"/>
  </r>
  <r>
    <x v="3"/>
    <x v="1"/>
    <n v="32"/>
    <n v="9656"/>
    <d v="2016-06-15T22:50:00"/>
    <d v="2016-06-16T02:26:00"/>
    <n v="375"/>
    <n v="520"/>
    <n v="477"/>
    <s v="Other stack or exhaust emissions testing - fossil"/>
    <s v="F790Load Reduction #20Low load RATA test."/>
    <s v="Ghent"/>
    <x v="0"/>
    <s v="Coal"/>
    <x v="2"/>
    <x v="3"/>
    <n v="6"/>
    <n v="3.6000000000349246"/>
    <n v="1.0038461538558925"/>
    <n v="478.8346153892607"/>
    <n v="133.00961538461539"/>
    <x v="108"/>
  </r>
  <r>
    <x v="3"/>
    <x v="0"/>
    <n v="33"/>
    <n v="250"/>
    <d v="2016-06-21T22:14:00"/>
    <d v="2016-06-21T23:10:00"/>
    <n v="440"/>
    <n v="520"/>
    <n v="477"/>
    <s v="Pulverizer feeders"/>
    <s v="F830Load Reduction #211-2 Mill feeder pipe plugged."/>
    <s v="Ghent"/>
    <x v="0"/>
    <s v="Coal"/>
    <x v="2"/>
    <x v="3"/>
    <n v="6"/>
    <n v="0.93333333340706304"/>
    <n v="0.14358974360108662"/>
    <n v="68.492307697718317"/>
    <n v="73.384615384615387"/>
    <x v="87"/>
  </r>
  <r>
    <x v="3"/>
    <x v="0"/>
    <n v="34"/>
    <n v="250"/>
    <d v="2016-06-22T03:25:00"/>
    <d v="2016-06-22T03:51:00"/>
    <n v="340"/>
    <n v="520"/>
    <n v="477"/>
    <s v="Pulverizer feeders"/>
    <s v="F820Load Reduction #221-2 Mill feeder pipe plugged.  1-1 Mill was off an could not"/>
    <s v="Ghent"/>
    <x v="0"/>
    <s v="Coal"/>
    <x v="2"/>
    <x v="3"/>
    <n v="6"/>
    <n v="0.43333333334885538"/>
    <n v="0.150000000005373"/>
    <n v="71.550000002562925"/>
    <n v="165.11538461538461"/>
    <x v="112"/>
  </r>
  <r>
    <x v="3"/>
    <x v="0"/>
    <n v="35"/>
    <n v="250"/>
    <d v="2016-06-22T03:51:00"/>
    <d v="2016-06-22T05:30:00"/>
    <n v="440"/>
    <n v="520"/>
    <n v="477"/>
    <s v="Pulverizer feeders"/>
    <s v="F830Load Reduction #231-2 Mill feeder pipe plugged tripping the feeder."/>
    <s v="Ghent"/>
    <x v="0"/>
    <s v="Coal"/>
    <x v="2"/>
    <x v="3"/>
    <n v="6"/>
    <n v="1.6499999999650754"/>
    <n v="0.25384615384078085"/>
    <n v="121.08461538205246"/>
    <n v="73.384615384615387"/>
    <x v="87"/>
  </r>
  <r>
    <x v="3"/>
    <x v="0"/>
    <n v="36"/>
    <n v="250"/>
    <d v="2016-06-23T23:16:00"/>
    <d v="2016-06-23T23:55:00"/>
    <n v="440"/>
    <n v="520"/>
    <n v="477"/>
    <s v="Pulverizer feeders"/>
    <s v="F830Load Reduction #241-2 Mill feeder pipe plugged tripping the feeder."/>
    <s v="Ghent"/>
    <x v="0"/>
    <s v="Coal"/>
    <x v="2"/>
    <x v="3"/>
    <n v="6"/>
    <n v="0.65000000002328306"/>
    <n v="0.10000000000358202"/>
    <n v="47.700000001708624"/>
    <n v="73.384615384615387"/>
    <x v="87"/>
  </r>
  <r>
    <x v="3"/>
    <x v="1"/>
    <n v="37"/>
    <n v="250"/>
    <d v="2016-06-24T23:00:00"/>
    <d v="2016-06-25T01:34:00"/>
    <n v="440"/>
    <n v="520"/>
    <n v="477"/>
    <s v="Pulverizer feeders"/>
    <s v="F930Load Reduction #25Planned derate on U1 for 1-2 coal feeder pipe repair."/>
    <s v="Ghent"/>
    <x v="0"/>
    <s v="Coal"/>
    <x v="2"/>
    <x v="3"/>
    <n v="6"/>
    <n v="2.5666666666511446"/>
    <n v="0.39487179486940688"/>
    <n v="188.35384615270709"/>
    <n v="73.384615384615387"/>
    <x v="87"/>
  </r>
  <r>
    <x v="3"/>
    <x v="0"/>
    <n v="38"/>
    <n v="3311"/>
    <d v="2016-06-27T16:12:00"/>
    <d v="2016-07-01T00:09:00"/>
    <n v="298"/>
    <n v="520"/>
    <n v="477"/>
    <s v="Condensate/hotwell pump motor"/>
    <s v="F830Load Reduction #261-2 Condensate pump tripped.  Motor was tested and found it "/>
    <s v="Ghent"/>
    <x v="0"/>
    <s v="Coal"/>
    <x v="2"/>
    <x v="3"/>
    <n v="6"/>
    <n v="79.949999999895226"/>
    <n v="34.132499999955272"/>
    <n v="16281.202499978664"/>
    <n v="203.6423076923077"/>
    <x v="113"/>
  </r>
  <r>
    <x v="3"/>
    <x v="4"/>
    <n v="39"/>
    <n v="1480"/>
    <d v="2016-06-28T22:39:00"/>
    <d v="2016-06-29T21:29:00"/>
    <n v="0"/>
    <n v="520"/>
    <n v="477"/>
    <s v="Other induced draft fan problems"/>
    <s v="F930Outage #13Unit 1 was removed from service for expansion joint repair."/>
    <s v="Ghent"/>
    <x v="2"/>
    <s v="Coal"/>
    <x v="2"/>
    <x v="3"/>
    <n v="6"/>
    <n v="22.833333333372138"/>
    <n v="22.833333333372138"/>
    <n v="10891.50000001851"/>
    <n v="477"/>
    <x v="90"/>
  </r>
  <r>
    <x v="3"/>
    <x v="1"/>
    <n v="41"/>
    <n v="340"/>
    <d v="2016-07-01T23:50:00"/>
    <d v="2016-07-02T02:23:00"/>
    <n v="460"/>
    <n v="520"/>
    <n v="477"/>
    <s v="Other pulverizer problems"/>
    <s v="F060Load Reduction #271-1 Mill was removed from service to replace a journal."/>
    <s v="Ghent"/>
    <x v="0"/>
    <s v="Coal"/>
    <x v="2"/>
    <x v="3"/>
    <n v="7"/>
    <n v="2.5500000001047738"/>
    <n v="0.29423076924285851"/>
    <n v="140.34807692884351"/>
    <n v="55.03846153846154"/>
    <x v="2"/>
  </r>
  <r>
    <x v="3"/>
    <x v="1"/>
    <n v="42"/>
    <n v="340"/>
    <d v="2016-07-08T02:06:00"/>
    <d v="2016-07-08T03:14:00"/>
    <n v="450"/>
    <n v="520"/>
    <n v="477"/>
    <s v="Other pulverizer problems"/>
    <s v="F060Load Reduction #281-5 Mill was removed from service to replace a journal."/>
    <s v="Ghent"/>
    <x v="0"/>
    <s v="Coal"/>
    <x v="2"/>
    <x v="3"/>
    <n v="7"/>
    <n v="1.1333333333604969"/>
    <n v="0.15256410256775921"/>
    <n v="72.77307692482114"/>
    <n v="64.211538461538467"/>
    <x v="30"/>
  </r>
  <r>
    <x v="3"/>
    <x v="0"/>
    <n v="43"/>
    <n v="250"/>
    <d v="2016-07-08T12:09:00"/>
    <d v="2016-07-08T15:23:00"/>
    <n v="440"/>
    <n v="520"/>
    <n v="477"/>
    <s v="Pulverizer feeders"/>
    <s v="F060Load Reduction #291-5 Mill was removed from service to replace the feeder belt"/>
    <s v="Ghent"/>
    <x v="0"/>
    <s v="Coal"/>
    <x v="2"/>
    <x v="3"/>
    <n v="7"/>
    <n v="3.2333333333954215"/>
    <n v="0.49743589744544947"/>
    <n v="237.2769230814794"/>
    <n v="73.384615384615387"/>
    <x v="87"/>
  </r>
  <r>
    <x v="3"/>
    <x v="1"/>
    <n v="44"/>
    <n v="340"/>
    <d v="2016-07-12T23:24:00"/>
    <d v="2016-07-13T02:54:00"/>
    <n v="450"/>
    <n v="520"/>
    <n v="477"/>
    <s v="Other pulverizer problems"/>
    <s v="F120Load Reduction #30Planned derate to clean 1-3 and 1-5 Mill airflow pitot tubes"/>
    <s v="Ghent"/>
    <x v="0"/>
    <s v="Coal"/>
    <x v="2"/>
    <x v="3"/>
    <n v="7"/>
    <n v="3.5000000000582077"/>
    <n v="0.47115384616168182"/>
    <n v="224.74038461912224"/>
    <n v="64.211538461538467"/>
    <x v="30"/>
  </r>
  <r>
    <x v="3"/>
    <x v="1"/>
    <n v="45"/>
    <n v="340"/>
    <d v="2016-07-13T23:45:00"/>
    <d v="2016-07-14T02:57:00"/>
    <n v="450"/>
    <n v="520"/>
    <n v="477"/>
    <s v="Other pulverizer problems"/>
    <s v="F120Load Reduction #31Removed 1-2 and 1-4 mills from service to clean the air flow"/>
    <s v="Ghent"/>
    <x v="0"/>
    <s v="Coal"/>
    <x v="2"/>
    <x v="3"/>
    <n v="7"/>
    <n v="3.1999999999534339"/>
    <n v="0.43076923076296225"/>
    <n v="205.47692307393299"/>
    <n v="64.211538461538467"/>
    <x v="30"/>
  </r>
  <r>
    <x v="3"/>
    <x v="0"/>
    <n v="46"/>
    <n v="3408"/>
    <d v="2016-07-17T03:50:00"/>
    <d v="2016-07-17T10:30:00"/>
    <n v="330"/>
    <n v="520"/>
    <n v="477"/>
    <s v="Feedwater pump drive - local controls"/>
    <s v="F700Load Reduction #321-1 BFPT would not re-latch."/>
    <s v="Ghent"/>
    <x v="0"/>
    <s v="Coal"/>
    <x v="2"/>
    <x v="3"/>
    <n v="7"/>
    <n v="6.6666666667442769"/>
    <n v="2.4358974359257934"/>
    <n v="1161.9230769366034"/>
    <n v="174.28846153846155"/>
    <x v="114"/>
  </r>
  <r>
    <x v="3"/>
    <x v="0"/>
    <n v="47"/>
    <n v="340"/>
    <d v="2016-07-27T19:26:00"/>
    <d v="2016-07-27T21:48:00"/>
    <n v="460"/>
    <n v="520"/>
    <n v="477"/>
    <s v="Other pulverizer problems"/>
    <s v="Load Reduction #33Removed 1-3 Mill from service due to noise in the pyrite system."/>
    <s v="Ghent"/>
    <x v="0"/>
    <s v="Coal"/>
    <x v="2"/>
    <x v="3"/>
    <n v="7"/>
    <n v="2.3666666666977108"/>
    <n v="0.27307692308050507"/>
    <n v="130.25769230940091"/>
    <n v="55.03846153846154"/>
    <x v="2"/>
  </r>
  <r>
    <x v="3"/>
    <x v="0"/>
    <n v="48"/>
    <n v="340"/>
    <d v="2016-07-29T06:30:00"/>
    <d v="2016-07-29T09:10:00"/>
    <n v="450"/>
    <n v="520"/>
    <n v="477"/>
    <s v="Other pulverizer problems"/>
    <s v="Load Reduction #341-6 Mill journal spring can broke off."/>
    <s v="Ghent"/>
    <x v="0"/>
    <s v="Coal"/>
    <x v="2"/>
    <x v="3"/>
    <n v="7"/>
    <n v="2.6666666666278616"/>
    <n v="0.35897435896913521"/>
    <n v="171.2307692282775"/>
    <n v="64.211538461538467"/>
    <x v="30"/>
  </r>
  <r>
    <x v="3"/>
    <x v="4"/>
    <n v="49"/>
    <n v="740"/>
    <d v="2016-08-05T23:42:00"/>
    <d v="2016-08-06T19:28:00"/>
    <n v="0"/>
    <n v="520"/>
    <n v="477"/>
    <s v="Boiler recirculation pumps"/>
    <s v="F540Outage #141-4 Boiler circulating water pump mechanical seal failed.  The unit "/>
    <s v="Ghent"/>
    <x v="2"/>
    <s v="Coal"/>
    <x v="2"/>
    <x v="3"/>
    <n v="8"/>
    <n v="19.766666666662786"/>
    <n v="19.766666666662786"/>
    <n v="9428.699999998149"/>
    <n v="477"/>
    <x v="90"/>
  </r>
  <r>
    <x v="3"/>
    <x v="0"/>
    <n v="50"/>
    <n v="770"/>
    <d v="2016-08-24T23:02:00"/>
    <d v="2016-08-25T01:48:00"/>
    <n v="405"/>
    <n v="520"/>
    <n v="477"/>
    <s v="Other boiler recirculation problems"/>
    <s v="Load Reduction #351-1 Circulating water pump was removed from service due to water"/>
    <s v="Ghent"/>
    <x v="0"/>
    <s v="Coal"/>
    <x v="2"/>
    <x v="3"/>
    <n v="8"/>
    <n v="2.7666666666045785"/>
    <n v="0.61185897434524328"/>
    <n v="291.85673076268102"/>
    <n v="105.49038461538461"/>
    <x v="43"/>
  </r>
  <r>
    <x v="3"/>
    <x v="1"/>
    <n v="51"/>
    <n v="4261"/>
    <d v="2016-09-08T23:00:00"/>
    <d v="2016-09-09T00:15:00"/>
    <n v="415"/>
    <n v="520"/>
    <n v="477"/>
    <s v="Control valves"/>
    <s v="F540Load Reduction #36U1 Main turbine #6 governor valve hydraulic actuator had a l"/>
    <s v="Ghent"/>
    <x v="0"/>
    <s v="Coal"/>
    <x v="2"/>
    <x v="3"/>
    <n v="9"/>
    <n v="1.2499999998835847"/>
    <n v="0.25240384613033923"/>
    <n v="120.39663460417181"/>
    <n v="96.317307692307693"/>
    <x v="41"/>
  </r>
  <r>
    <x v="3"/>
    <x v="0"/>
    <n v="52"/>
    <n v="1040"/>
    <d v="2016-09-16T16:28:00"/>
    <d v="2016-09-16T18:36:00"/>
    <n v="500"/>
    <n v="520"/>
    <n v="477"/>
    <s v="First superheater B"/>
    <s v="F820Load Reduction #37Unit 1 was derated due to AH duct pressure maxing out, which"/>
    <s v="Ghent"/>
    <x v="0"/>
    <s v="Coal"/>
    <x v="2"/>
    <x v="3"/>
    <n v="9"/>
    <n v="2.1333333333022892"/>
    <n v="8.2051282050088048E-2"/>
    <n v="39.138461537891999"/>
    <n v="18.346153846153847"/>
    <x v="5"/>
  </r>
  <r>
    <x v="3"/>
    <x v="5"/>
    <n v="53"/>
    <n v="1040"/>
    <d v="2016-09-16T18:36:00"/>
    <d v="2016-09-23T01:56:00"/>
    <n v="0"/>
    <n v="520"/>
    <n v="477"/>
    <s v="First superheater B"/>
    <s v="F820Outage #15Unit 1 came off line due to a Primary Superheat tube leak."/>
    <s v="Ghent"/>
    <x v="3"/>
    <s v="Coal"/>
    <x v="2"/>
    <x v="3"/>
    <n v="9"/>
    <n v="151.33333333331393"/>
    <n v="151.33333333331393"/>
    <n v="72185.999999990745"/>
    <n v="477"/>
    <x v="90"/>
  </r>
  <r>
    <x v="3"/>
    <x v="1"/>
    <n v="54"/>
    <n v="4261"/>
    <d v="2016-09-24T22:45:00"/>
    <d v="2016-09-24T23:25:00"/>
    <n v="450"/>
    <n v="520"/>
    <n v="477"/>
    <s v="Control valves"/>
    <s v="F540Load Reduction #38U1 was derated due to an EH leak on the Main Turbine #1 gove"/>
    <s v="Ghent"/>
    <x v="0"/>
    <s v="Coal"/>
    <x v="2"/>
    <x v="3"/>
    <n v="9"/>
    <n v="0.66666666674427688"/>
    <n v="8.9743589754037276E-2"/>
    <n v="42.807692312675783"/>
    <n v="64.211538461538467"/>
    <x v="30"/>
  </r>
  <r>
    <x v="3"/>
    <x v="1"/>
    <n v="55"/>
    <n v="4261"/>
    <d v="2016-09-24T23:25:00"/>
    <d v="2016-09-25T00:41:00"/>
    <n v="200"/>
    <n v="520"/>
    <n v="477"/>
    <s v="Control valves"/>
    <s v="F540Load Reduction #39Unit 1 was derated due to an EH leak on the Main Turbine #1 "/>
    <s v="Ghent"/>
    <x v="0"/>
    <s v="Coal"/>
    <x v="2"/>
    <x v="3"/>
    <n v="9"/>
    <n v="1.2666666666045785"/>
    <n v="0.77948717944897139"/>
    <n v="371.81538459715938"/>
    <n v="293.53846153846155"/>
    <x v="91"/>
  </r>
  <r>
    <x v="3"/>
    <x v="5"/>
    <n v="56"/>
    <n v="4261"/>
    <d v="2016-09-25T00:41:00"/>
    <d v="2016-09-25T01:41:00"/>
    <n v="0"/>
    <n v="520"/>
    <n v="477"/>
    <s v="Control valves"/>
    <s v="F540Outage #16Unit 1 was removed from service due to an EH leak on the Main Turbin"/>
    <s v="Ghent"/>
    <x v="3"/>
    <s v="Coal"/>
    <x v="2"/>
    <x v="3"/>
    <n v="9"/>
    <n v="1.0000000001164153"/>
    <n v="1.0000000001164153"/>
    <n v="477.00000005553011"/>
    <n v="477"/>
    <x v="90"/>
  </r>
  <r>
    <x v="3"/>
    <x v="4"/>
    <n v="57"/>
    <n v="4261"/>
    <d v="2016-10-03T22:45:00"/>
    <d v="2016-10-04T03:03:00"/>
    <n v="0"/>
    <n v="520"/>
    <n v="477"/>
    <s v="Control valves"/>
    <s v="F930Outage #17Unit 1 was removed from service to replace O-rings on main turbine g"/>
    <s v="Ghent"/>
    <x v="2"/>
    <s v="Coal"/>
    <x v="2"/>
    <x v="3"/>
    <n v="10"/>
    <n v="4.3000000000465661"/>
    <n v="4.3000000000465661"/>
    <n v="2051.100000022212"/>
    <n v="477"/>
    <x v="90"/>
  </r>
  <r>
    <x v="3"/>
    <x v="0"/>
    <n v="58"/>
    <n v="250"/>
    <d v="2016-10-23T08:53:00"/>
    <d v="2016-10-23T14:00:00"/>
    <n v="470"/>
    <n v="520"/>
    <n v="477"/>
    <s v="Pulverizer feeders"/>
    <s v="Load Reduction #40Unit 1 was derated due to 1-3 mill feeder belt failure.  Belt wa"/>
    <s v="Ghent"/>
    <x v="0"/>
    <s v="Coal"/>
    <x v="2"/>
    <x v="3"/>
    <n v="10"/>
    <n v="5.1166666667559184"/>
    <n v="0.49198717949576137"/>
    <n v="234.67788461947816"/>
    <n v="45.865384615384613"/>
    <x v="10"/>
  </r>
  <r>
    <x v="3"/>
    <x v="0"/>
    <n v="59"/>
    <n v="250"/>
    <d v="2016-10-23T23:15:00"/>
    <d v="2016-10-24T04:03:00"/>
    <n v="430"/>
    <n v="520"/>
    <n v="477"/>
    <s v="Pulverizer feeders"/>
    <s v="Load Reduction #41Unit 1 was derated due to 1-1 mill feeder belt failure.  The bel"/>
    <s v="Ghent"/>
    <x v="0"/>
    <s v="Coal"/>
    <x v="2"/>
    <x v="3"/>
    <n v="10"/>
    <n v="4.7999999999301508"/>
    <n v="0.83076923075714149"/>
    <n v="396.27692307115649"/>
    <n v="82.557692307692307"/>
    <x v="36"/>
  </r>
  <r>
    <x v="3"/>
    <x v="0"/>
    <n v="60"/>
    <n v="250"/>
    <d v="2016-10-24T07:24:00"/>
    <d v="2016-10-24T13:25:00"/>
    <n v="430"/>
    <n v="520"/>
    <n v="477"/>
    <s v="Pulverizer feeders"/>
    <s v="Load Reduction #421-6 Mill feeder belt developed a rip."/>
    <s v="Ghent"/>
    <x v="0"/>
    <s v="Coal"/>
    <x v="2"/>
    <x v="3"/>
    <n v="10"/>
    <n v="6.0166666667209938"/>
    <n v="1.0413461538555566"/>
    <n v="496.72211538910051"/>
    <n v="82.557692307692307"/>
    <x v="36"/>
  </r>
  <r>
    <x v="3"/>
    <x v="0"/>
    <n v="61"/>
    <n v="9270"/>
    <d v="2016-10-25T15:15:00"/>
    <d v="2016-10-25T16:22:00"/>
    <n v="430"/>
    <n v="520"/>
    <n v="477"/>
    <s v="Wet coal"/>
    <s v="Load Reduction #431-3 Mill feeder plugged due to wet coal."/>
    <s v="Ghent"/>
    <x v="0"/>
    <s v="Coal"/>
    <x v="2"/>
    <x v="3"/>
    <n v="10"/>
    <n v="1.1166666666395031"/>
    <n v="0.19326923076452937"/>
    <n v="92.189423074680505"/>
    <n v="82.557692307692307"/>
    <x v="36"/>
  </r>
  <r>
    <x v="3"/>
    <x v="0"/>
    <n v="62"/>
    <n v="9270"/>
    <d v="2016-10-25T23:16:00"/>
    <d v="2016-10-26T04:00:00"/>
    <n v="460"/>
    <n v="520"/>
    <n v="477"/>
    <s v="Wet coal"/>
    <s v="Load Reduction #441-4 Mill feeder plugged due to wet coal.  Feeder belt ripped and"/>
    <s v="Ghent"/>
    <x v="0"/>
    <s v="Coal"/>
    <x v="2"/>
    <x v="3"/>
    <n v="10"/>
    <n v="4.7333333332207985"/>
    <n v="0.54615384614086138"/>
    <n v="260.5153846091909"/>
    <n v="55.03846153846154"/>
    <x v="2"/>
  </r>
  <r>
    <x v="3"/>
    <x v="0"/>
    <n v="63"/>
    <n v="9270"/>
    <d v="2016-10-26T04:03:00"/>
    <d v="2016-10-26T05:05:00"/>
    <n v="460"/>
    <n v="520"/>
    <n v="477"/>
    <s v="Wet coal"/>
    <s v="Load Reduction #451-3 Mill feeder plugged due to wet coal."/>
    <s v="Ghent"/>
    <x v="0"/>
    <s v="Coal"/>
    <x v="2"/>
    <x v="3"/>
    <n v="10"/>
    <n v="1.03333333338378"/>
    <n v="0.11923076923659"/>
    <n v="56.873076925853432"/>
    <n v="55.03846153846154"/>
    <x v="2"/>
  </r>
  <r>
    <x v="3"/>
    <x v="0"/>
    <n v="64"/>
    <n v="9270"/>
    <d v="2016-10-26T05:05:00"/>
    <d v="2016-10-26T05:37:00"/>
    <n v="370"/>
    <n v="520"/>
    <n v="477"/>
    <s v="Wet coal"/>
    <s v="Load Reduction #461-3 Mill feeder plugged due to wet coal and not enough steam to "/>
    <s v="Ghent"/>
    <x v="0"/>
    <s v="Coal"/>
    <x v="2"/>
    <x v="3"/>
    <n v="10"/>
    <n v="0.53333333332557231"/>
    <n v="0.15384615384391509"/>
    <n v="73.384615383547498"/>
    <n v="137.59615384615384"/>
    <x v="115"/>
  </r>
  <r>
    <x v="3"/>
    <x v="0"/>
    <n v="65"/>
    <n v="340"/>
    <d v="2016-10-26T11:28:00"/>
    <d v="2016-10-26T19:17:00"/>
    <n v="450"/>
    <n v="520"/>
    <n v="477"/>
    <s v="Other pulverizer problems"/>
    <s v="Load Reduction #471-1 Mill feeder developed a hole in piping."/>
    <s v="Ghent"/>
    <x v="0"/>
    <s v="Coal"/>
    <x v="2"/>
    <x v="3"/>
    <n v="10"/>
    <n v="7.8166666666511446"/>
    <n v="1.0522435897415003"/>
    <n v="501.92019230669564"/>
    <n v="64.211538461538467"/>
    <x v="30"/>
  </r>
  <r>
    <x v="3"/>
    <x v="0"/>
    <n v="66"/>
    <n v="250"/>
    <d v="2016-11-09T16:27:00"/>
    <d v="2016-11-09T22:13:00"/>
    <n v="450"/>
    <n v="520"/>
    <n v="477"/>
    <s v="Pulverizer feeders"/>
    <s v="Load Reduction #481-6 Feeder tail roll bearing failed and belt tracked off to one "/>
    <s v="Ghent"/>
    <x v="0"/>
    <s v="Coal"/>
    <x v="2"/>
    <x v="3"/>
    <n v="11"/>
    <n v="5.7666666666045785"/>
    <n v="0.77628205127369321"/>
    <n v="370.28653845755167"/>
    <n v="64.211538461538467"/>
    <x v="30"/>
  </r>
  <r>
    <x v="3"/>
    <x v="1"/>
    <n v="67"/>
    <n v="4610"/>
    <d v="2016-11-15T23:47:00"/>
    <d v="2016-11-16T03:56:00"/>
    <n v="400"/>
    <n v="520"/>
    <n v="477"/>
    <s v="Hydrogen cooling system piping and valves"/>
    <s v="F540Load Reduction #491-3 Hydrogen cooler inlet leak."/>
    <s v="Ghent"/>
    <x v="0"/>
    <s v="Coal"/>
    <x v="2"/>
    <x v="3"/>
    <n v="11"/>
    <n v="4.1500000000814907"/>
    <n v="0.95769230771111324"/>
    <n v="456.81923077820102"/>
    <n v="110.07692307692308"/>
    <x v="92"/>
  </r>
  <r>
    <x v="3"/>
    <x v="1"/>
    <n v="68"/>
    <n v="250"/>
    <d v="2016-11-26T22:02:00"/>
    <d v="2016-11-27T00:00:00"/>
    <n v="450"/>
    <n v="520"/>
    <n v="477"/>
    <s v="Pulverizer feeders"/>
    <s v="F810Load Reduction #501-1 Mill feeder had a tear in the feeder belt."/>
    <s v="Ghent"/>
    <x v="0"/>
    <s v="Coal"/>
    <x v="2"/>
    <x v="3"/>
    <n v="11"/>
    <n v="1.96666666661622"/>
    <n v="0.26474358973679885"/>
    <n v="126.28269230445305"/>
    <n v="64.211538461538467"/>
    <x v="30"/>
  </r>
  <r>
    <x v="3"/>
    <x v="0"/>
    <n v="69"/>
    <n v="250"/>
    <d v="2016-12-13T07:51:00"/>
    <d v="2016-12-13T08:16:00"/>
    <n v="475"/>
    <n v="520"/>
    <n v="477"/>
    <s v="Pulverizer feeders"/>
    <s v="Load Reduction #511-2 Feeder belt tore and needed to be replaced."/>
    <s v="Ghent"/>
    <x v="0"/>
    <s v="Coal"/>
    <x v="2"/>
    <x v="3"/>
    <n v="12"/>
    <n v="0.41666666680248454"/>
    <n v="3.6057692319445778E-2"/>
    <n v="17.199519236375636"/>
    <n v="41.278846153846153"/>
    <x v="28"/>
  </r>
  <r>
    <x v="3"/>
    <x v="0"/>
    <n v="70"/>
    <n v="4610"/>
    <d v="2016-12-16T21:03:00"/>
    <d v="2016-12-17T00:14:00"/>
    <n v="411"/>
    <n v="520"/>
    <n v="477"/>
    <s v="Hydrogen cooling system piping and valves"/>
    <s v="Load Reduction #52#3 Hydrogen cooler LPSW return line developed a leak."/>
    <s v="Ghent"/>
    <x v="0"/>
    <s v="Coal"/>
    <x v="2"/>
    <x v="3"/>
    <n v="12"/>
    <n v="3.183333333407063"/>
    <n v="0.66727564104109593"/>
    <n v="318.29048077660275"/>
    <n v="99.986538461538458"/>
    <x v="65"/>
  </r>
  <r>
    <x v="3"/>
    <x v="0"/>
    <n v="71"/>
    <n v="250"/>
    <d v="2016-12-27T18:33:00"/>
    <d v="2016-12-27T18:57:00"/>
    <n v="450"/>
    <n v="520"/>
    <n v="477"/>
    <s v="Pulverizer feeders"/>
    <s v="Load Reduction #531-6 Mill feeder tripped causing the mill to trip.  Mill had to b"/>
    <s v="Ghent"/>
    <x v="0"/>
    <s v="Coal"/>
    <x v="2"/>
    <x v="3"/>
    <n v="12"/>
    <n v="0.39999999990686774"/>
    <n v="5.3846153833616808E-2"/>
    <n v="25.684615378635218"/>
    <n v="64.211538461538467"/>
    <x v="30"/>
  </r>
  <r>
    <x v="3"/>
    <x v="1"/>
    <n v="1"/>
    <n v="250"/>
    <d v="2017-01-09T23:44:00"/>
    <d v="2017-01-10T04:41:00"/>
    <n v="460"/>
    <n v="520"/>
    <n v="477"/>
    <s v="Pulverizer feeders"/>
    <s v="Load Reduction #11-5 Mill feeder calibration and inspection."/>
    <s v="Ghent"/>
    <x v="0"/>
    <s v="Coal"/>
    <x v="2"/>
    <x v="4"/>
    <n v="1"/>
    <n v="4.9500000000698492"/>
    <n v="0.57115384616190568"/>
    <n v="272.44038461922901"/>
    <n v="55.03846153846154"/>
    <x v="2"/>
  </r>
  <r>
    <x v="3"/>
    <x v="4"/>
    <n v="2"/>
    <n v="1000"/>
    <d v="2017-01-10T12:48:00"/>
    <d v="2017-01-11T01:38:00"/>
    <n v="0"/>
    <n v="520"/>
    <n v="477"/>
    <s v="Waterwall (Furnace wall) A"/>
    <s v="Outage #1The unit was removed from service to repair a water wall tube leak on &quot;A&quot;"/>
    <s v="Ghent"/>
    <x v="2"/>
    <s v="Coal"/>
    <x v="2"/>
    <x v="4"/>
    <n v="1"/>
    <n v="12.833333333430346"/>
    <n v="12.833333333430346"/>
    <n v="6121.5000000462751"/>
    <n v="477"/>
    <x v="90"/>
  </r>
  <r>
    <x v="3"/>
    <x v="0"/>
    <n v="3"/>
    <n v="3408"/>
    <d v="2017-01-11T05:50:00"/>
    <d v="2017-01-11T16:57:00"/>
    <n v="330"/>
    <n v="520"/>
    <n v="477"/>
    <s v="Feedwater pump drive - local controls"/>
    <s v="Load Reduction #21-1 BFPT control valve arm broke.  Unis is only good for 330 MWs "/>
    <s v="Ghent"/>
    <x v="0"/>
    <s v="Coal"/>
    <x v="2"/>
    <x v="4"/>
    <n v="1"/>
    <n v="11.116666666755918"/>
    <n v="4.0618589743915852"/>
    <n v="1937.5067307847862"/>
    <n v="174.28846153846155"/>
    <x v="114"/>
  </r>
  <r>
    <x v="3"/>
    <x v="4"/>
    <n v="4"/>
    <n v="1000"/>
    <d v="2017-01-15T22:19:00"/>
    <d v="2017-01-17T23:57:00"/>
    <n v="0"/>
    <n v="520"/>
    <n v="477"/>
    <s v="Waterwall (Furnace wall) A"/>
    <s v="F540Outage #2Unit 1 was removed from service to repair a water wall tube leak."/>
    <s v="Ghent"/>
    <x v="2"/>
    <s v="Coal"/>
    <x v="2"/>
    <x v="4"/>
    <n v="1"/>
    <n v="49.633333333418705"/>
    <n v="49.633333333418705"/>
    <n v="23675.100000040722"/>
    <n v="477"/>
    <x v="90"/>
  </r>
  <r>
    <x v="3"/>
    <x v="5"/>
    <n v="5"/>
    <n v="1040"/>
    <d v="2017-01-18T16:51:00"/>
    <d v="2017-01-22T00:04:00"/>
    <n v="0"/>
    <n v="520"/>
    <n v="477"/>
    <s v="First superheater B"/>
    <s v="Outage #3Unit 1 off line for a tube leak in the Low Temp SH section of the boiler."/>
    <s v="Ghent"/>
    <x v="3"/>
    <s v="Coal"/>
    <x v="2"/>
    <x v="4"/>
    <n v="1"/>
    <n v="79.216666666790843"/>
    <n v="79.216666666790843"/>
    <n v="37786.350000059232"/>
    <n v="477"/>
    <x v="90"/>
  </r>
  <r>
    <x v="3"/>
    <x v="4"/>
    <n v="6"/>
    <n v="1060"/>
    <d v="2017-01-27T13:13:00"/>
    <d v="2017-01-29T11:19:00"/>
    <n v="0"/>
    <n v="520"/>
    <n v="477"/>
    <s v="First reheater A"/>
    <s v="F540Outage #4Unit 1 removed from service to repair a leak in a radiant RH tube."/>
    <s v="Ghent"/>
    <x v="2"/>
    <s v="Coal"/>
    <x v="2"/>
    <x v="4"/>
    <n v="1"/>
    <n v="46.100000000093132"/>
    <n v="46.100000000093132"/>
    <n v="21989.700000044424"/>
    <n v="477"/>
    <x v="90"/>
  </r>
  <r>
    <x v="3"/>
    <x v="0"/>
    <n v="7"/>
    <n v="250"/>
    <d v="2017-01-31T03:19:00"/>
    <d v="2017-01-31T05:24:00"/>
    <n v="460"/>
    <n v="520"/>
    <n v="477"/>
    <s v="Pulverizer feeders"/>
    <s v="F830Load Reduction #31-2 Mill feeder belt broke causing mill to trip."/>
    <s v="Ghent"/>
    <x v="0"/>
    <s v="Coal"/>
    <x v="2"/>
    <x v="4"/>
    <n v="1"/>
    <n v="2.0833333333139308"/>
    <n v="0.24038461538237663"/>
    <n v="114.66346153739364"/>
    <n v="55.03846153846154"/>
    <x v="2"/>
  </r>
  <r>
    <x v="3"/>
    <x v="4"/>
    <n v="8"/>
    <n v="1000"/>
    <d v="2017-02-01T22:46:00"/>
    <d v="2017-02-02T10:33:00"/>
    <n v="0"/>
    <n v="520"/>
    <n v="477"/>
    <s v="Waterwall (Furnace wall) A"/>
    <s v="F540Outage #5Water wall tube leak on 'D' corner."/>
    <s v="Ghent"/>
    <x v="2"/>
    <s v="Coal"/>
    <x v="2"/>
    <x v="4"/>
    <n v="2"/>
    <n v="11.783333333325572"/>
    <n v="11.783333333325572"/>
    <n v="5620.649999996298"/>
    <n v="477"/>
    <x v="90"/>
  </r>
  <r>
    <x v="3"/>
    <x v="0"/>
    <n v="9"/>
    <n v="891"/>
    <d v="2017-02-07T15:00:00"/>
    <d v="2017-02-07T22:49:00"/>
    <n v="240"/>
    <n v="520"/>
    <n v="477"/>
    <s v="Bottom ash hoppers (including gates)"/>
    <s v="Load Reduction #4Unit 1 Wet ash hopper slag bridged over.  High pressure washed th"/>
    <s v="Ghent"/>
    <x v="0"/>
    <s v="Coal"/>
    <x v="2"/>
    <x v="4"/>
    <n v="2"/>
    <n v="7.8166666666511446"/>
    <n v="4.2089743589660014"/>
    <n v="2007.6807692267826"/>
    <n v="256.84615384615387"/>
    <x v="100"/>
  </r>
  <r>
    <x v="3"/>
    <x v="5"/>
    <n v="10"/>
    <n v="891"/>
    <d v="2017-02-07T22:49:00"/>
    <d v="2017-02-08T15:47:00"/>
    <n v="0"/>
    <n v="520"/>
    <n v="477"/>
    <s v="Bottom ash hoppers (including gates)"/>
    <s v="FS00Outage #6B-Side Wet Ash Hopper bridged over with slag.  Removed the unit from "/>
    <s v="Ghent"/>
    <x v="3"/>
    <s v="Coal"/>
    <x v="2"/>
    <x v="4"/>
    <n v="2"/>
    <n v="16.96666666661622"/>
    <n v="16.96666666661622"/>
    <n v="8093.099999975937"/>
    <n v="477"/>
    <x v="90"/>
  </r>
  <r>
    <x v="3"/>
    <x v="1"/>
    <n v="11"/>
    <n v="855"/>
    <d v="2017-02-17T23:00:00"/>
    <d v="2017-02-18T02:33:00"/>
    <n v="475"/>
    <n v="520"/>
    <n v="477"/>
    <s v="Drum relief/safety valves (Single drum only)"/>
    <s v="F590Load Reduction #5Unit 1 was derated for Precision to set safeties."/>
    <s v="Ghent"/>
    <x v="0"/>
    <s v="Coal"/>
    <x v="2"/>
    <x v="4"/>
    <n v="2"/>
    <n v="3.5499999998719431"/>
    <n v="0.30721153845045662"/>
    <n v="146.53990384086782"/>
    <n v="41.278846153846153"/>
    <x v="28"/>
  </r>
  <r>
    <x v="3"/>
    <x v="6"/>
    <n v="12"/>
    <n v="1801"/>
    <d v="2017-03-11T00:41:00"/>
    <d v="2017-04-03T00:27:00"/>
    <n v="0"/>
    <n v="520"/>
    <n v="477"/>
    <s v="Minor boiler overhaul (less than 720 hours) (use for non-specific overhaul only; see page B-1)"/>
    <s v="F590Outage #7Unit 1 was removed from service for a Planned Outage."/>
    <s v="Ghent"/>
    <x v="1"/>
    <s v="Coal"/>
    <x v="2"/>
    <x v="4"/>
    <n v="3"/>
    <n v="551.7666666667792"/>
    <n v="551.7666666667792"/>
    <n v="263192.70000005368"/>
    <n v="477"/>
    <x v="90"/>
  </r>
  <r>
    <x v="3"/>
    <x v="1"/>
    <n v="13"/>
    <n v="344"/>
    <d v="2017-04-10T23:00:00"/>
    <d v="2017-04-11T02:25:00"/>
    <n v="470"/>
    <n v="520"/>
    <n v="477"/>
    <s v="Pulverizer inspection"/>
    <s v="F530Load Reduction #6Removed 1-6 Mill from service to inspect and check exhauster "/>
    <s v="Ghent"/>
    <x v="0"/>
    <s v="Coal"/>
    <x v="2"/>
    <x v="4"/>
    <n v="4"/>
    <n v="3.4166666666278616"/>
    <n v="0.32852564102190979"/>
    <n v="156.70673076745098"/>
    <n v="45.865384615384613"/>
    <x v="10"/>
  </r>
  <r>
    <x v="3"/>
    <x v="1"/>
    <n v="14"/>
    <n v="3410"/>
    <d v="2017-04-12T01:00:00"/>
    <d v="2017-04-12T01:52:00"/>
    <n v="325"/>
    <n v="520"/>
    <n v="477"/>
    <s v="Feedwater pump"/>
    <s v="F790Load Reduction #71-1 Boiler feed pump emergency bearing oil pump testing."/>
    <s v="Ghent"/>
    <x v="0"/>
    <s v="Coal"/>
    <x v="2"/>
    <x v="4"/>
    <n v="4"/>
    <n v="0.86666666669771075"/>
    <n v="0.32500000001164153"/>
    <n v="155.02500000555301"/>
    <n v="178.875"/>
    <x v="93"/>
  </r>
  <r>
    <x v="3"/>
    <x v="1"/>
    <n v="15"/>
    <n v="250"/>
    <d v="2017-04-28T23:00:00"/>
    <d v="2017-04-29T01:14:00"/>
    <n v="480"/>
    <n v="520"/>
    <n v="477"/>
    <s v="Pulverizer feeders"/>
    <s v="F590Load Reduction #81-6 Feeder was removed from service to replace the control bo"/>
    <s v="Ghent"/>
    <x v="0"/>
    <s v="Coal"/>
    <x v="2"/>
    <x v="4"/>
    <n v="4"/>
    <n v="2.2333333332790062"/>
    <n v="0.17179487179069278"/>
    <n v="81.946153844160449"/>
    <n v="36.692307692307693"/>
    <x v="12"/>
  </r>
  <r>
    <x v="3"/>
    <x v="1"/>
    <n v="16"/>
    <n v="4261"/>
    <d v="2017-04-29T02:11:00"/>
    <d v="2017-04-29T02:38:00"/>
    <n v="300"/>
    <n v="520"/>
    <n v="477"/>
    <s v="Control valves"/>
    <s v="F090Load Reduction #9Load was reduced to stroke and calibrate the 1-5 governor val"/>
    <s v="Ghent"/>
    <x v="0"/>
    <s v="Coal"/>
    <x v="2"/>
    <x v="4"/>
    <n v="4"/>
    <n v="0.45000000006984919"/>
    <n v="0.19038461541416696"/>
    <n v="90.813461552557641"/>
    <n v="201.80769230769232"/>
    <x v="99"/>
  </r>
  <r>
    <x v="3"/>
    <x v="0"/>
    <n v="17"/>
    <n v="9270"/>
    <d v="2017-04-29T17:16:00"/>
    <d v="2017-04-29T21:26:00"/>
    <n v="470"/>
    <n v="520"/>
    <n v="477"/>
    <s v="Wet coal"/>
    <s v="F830Load Reduction #101-1 Feeder plugged with wet coal."/>
    <s v="Ghent"/>
    <x v="0"/>
    <s v="Coal"/>
    <x v="2"/>
    <x v="4"/>
    <n v="4"/>
    <n v="4.1666666666278616"/>
    <n v="0.40064102563729437"/>
    <n v="191.1057692289894"/>
    <n v="45.865384615384613"/>
    <x v="10"/>
  </r>
  <r>
    <x v="3"/>
    <x v="0"/>
    <n v="18"/>
    <n v="250"/>
    <d v="2017-04-30T07:35:00"/>
    <d v="2017-04-30T10:08:00"/>
    <n v="450"/>
    <n v="520"/>
    <n v="477"/>
    <s v="Pulverizer feeders"/>
    <s v="F830Load Reduction #111-6 Feeder clean out conveyor failed."/>
    <s v="Ghent"/>
    <x v="0"/>
    <s v="Coal"/>
    <x v="2"/>
    <x v="4"/>
    <n v="4"/>
    <n v="2.5500000001047738"/>
    <n v="0.34326923078333493"/>
    <n v="163.73942308365076"/>
    <n v="64.211538461538467"/>
    <x v="30"/>
  </r>
  <r>
    <x v="3"/>
    <x v="4"/>
    <n v="19"/>
    <n v="3246"/>
    <d v="2017-05-20T22:15:00"/>
    <d v="2017-05-21T17:24:00"/>
    <n v="0"/>
    <n v="520"/>
    <n v="477"/>
    <s v="Cooling tower fouling"/>
    <s v="F590Outage #8Unit 1 was removed from service to clean the cooling tower screens."/>
    <s v="Ghent"/>
    <x v="2"/>
    <s v="Coal"/>
    <x v="2"/>
    <x v="4"/>
    <n v="5"/>
    <n v="19.149999999906868"/>
    <n v="19.149999999906868"/>
    <n v="9134.5499999555759"/>
    <n v="477"/>
    <x v="90"/>
  </r>
  <r>
    <x v="3"/>
    <x v="1"/>
    <n v="21"/>
    <n v="250"/>
    <d v="2017-06-07T03:24:00"/>
    <d v="2017-06-07T04:47:00"/>
    <n v="460"/>
    <n v="520"/>
    <n v="477"/>
    <s v="Pulverizer feeders"/>
    <s v="Load Reduction #121-6 Mill feeder belt wiper was in need of repair."/>
    <s v="Ghent"/>
    <x v="0"/>
    <s v="Coal"/>
    <x v="2"/>
    <x v="4"/>
    <n v="6"/>
    <n v="1.3833333333022892"/>
    <n v="0.15961538461180261"/>
    <n v="76.13653845982985"/>
    <n v="55.03846153846154"/>
    <x v="2"/>
  </r>
  <r>
    <x v="3"/>
    <x v="4"/>
    <n v="20"/>
    <n v="3110"/>
    <d v="2017-06-10T09:16:00"/>
    <d v="2017-06-11T06:16:00"/>
    <n v="0"/>
    <n v="520"/>
    <n v="477"/>
    <s v="Condenser tube leaks"/>
    <s v="F540Outage #9Unit was removed from service due to a Main Condenser tube leak."/>
    <s v="Ghent"/>
    <x v="2"/>
    <s v="Coal"/>
    <x v="2"/>
    <x v="4"/>
    <n v="6"/>
    <n v="21"/>
    <n v="21"/>
    <n v="10017"/>
    <n v="477"/>
    <x v="90"/>
  </r>
  <r>
    <x v="3"/>
    <x v="5"/>
    <n v="22"/>
    <n v="1080"/>
    <d v="2017-06-14T22:06:00"/>
    <d v="2017-06-18T04:29:00"/>
    <n v="0"/>
    <n v="520"/>
    <n v="477"/>
    <s v="Economizer B"/>
    <s v="F540Outage #10GH1 was forced off line due to an economizer tube leak."/>
    <s v="Ghent"/>
    <x v="3"/>
    <s v="Coal"/>
    <x v="2"/>
    <x v="4"/>
    <n v="6"/>
    <n v="78.383333333360497"/>
    <n v="78.383333333360497"/>
    <n v="37388.850000012957"/>
    <n v="477"/>
    <x v="90"/>
  </r>
  <r>
    <x v="3"/>
    <x v="4"/>
    <n v="23"/>
    <n v="1060"/>
    <d v="2017-07-07T22:31:00"/>
    <d v="2017-07-10T00:00:00"/>
    <n v="0"/>
    <n v="520"/>
    <n v="477"/>
    <s v="First reheater A"/>
    <s v="F540Outage #11Unit 1 was removed from service due to a reheat tube leak in the boi"/>
    <s v="Ghent"/>
    <x v="2"/>
    <s v="Coal"/>
    <x v="2"/>
    <x v="4"/>
    <n v="7"/>
    <n v="49.483333333279006"/>
    <n v="49.483333333279006"/>
    <n v="23603.549999974086"/>
    <n v="477"/>
    <x v="90"/>
  </r>
  <r>
    <x v="3"/>
    <x v="12"/>
    <n v="25"/>
    <n v="1060"/>
    <d v="2017-07-10T00:00:00"/>
    <d v="2017-07-10T08:40:00"/>
    <n v="0"/>
    <n v="520"/>
    <n v="477"/>
    <s v="First reheater A"/>
    <s v="F540Outage #12Reheat boiler tube leak repairs extended beyond 7/10/17 @ 0000."/>
    <s v="Ghent"/>
    <x v="2"/>
    <s v="Coal"/>
    <x v="2"/>
    <x v="4"/>
    <n v="7"/>
    <n v="8.6666666666278616"/>
    <n v="8.6666666666278616"/>
    <n v="4133.99999998149"/>
    <n v="477"/>
    <x v="90"/>
  </r>
  <r>
    <x v="3"/>
    <x v="0"/>
    <n v="24"/>
    <n v="3341"/>
    <d v="2017-07-10T15:51:00"/>
    <d v="2017-07-13T07:48:00"/>
    <n v="460"/>
    <n v="520"/>
    <n v="477"/>
    <s v="Other LP heater - general"/>
    <s v="Load Reduction #13Load was reduced due to having both LP heaters out of service."/>
    <s v="Ghent"/>
    <x v="0"/>
    <s v="Coal"/>
    <x v="2"/>
    <x v="4"/>
    <n v="7"/>
    <n v="63.949999999953434"/>
    <n v="7.3788461538407812"/>
    <n v="3519.7096153820526"/>
    <n v="55.03846153846154"/>
    <x v="2"/>
  </r>
  <r>
    <x v="3"/>
    <x v="1"/>
    <n v="26"/>
    <n v="340"/>
    <d v="2017-08-04T05:00:00"/>
    <d v="2017-08-04T09:00:00"/>
    <n v="450"/>
    <n v="520"/>
    <n v="477"/>
    <s v="Other pulverizer problems"/>
    <s v="F040Load Reduction #141-2 Mill exhauster bearing replacement."/>
    <s v="Ghent"/>
    <x v="0"/>
    <s v="Coal"/>
    <x v="2"/>
    <x v="4"/>
    <n v="8"/>
    <n v="3.9999999999417923"/>
    <n v="0.53846153845370281"/>
    <n v="256.84615384241624"/>
    <n v="64.211538461538467"/>
    <x v="30"/>
  </r>
  <r>
    <x v="3"/>
    <x v="1"/>
    <n v="27"/>
    <n v="250"/>
    <d v="2017-08-07T21:47:00"/>
    <d v="2017-08-08T03:26:00"/>
    <n v="460"/>
    <n v="520"/>
    <n v="477"/>
    <s v="Pulverizer feeders"/>
    <s v="F090Load Reduction #15Calibration of U1 feeders: 1-1, 1-2, -13 and 1-5.  "/>
    <s v="Ghent"/>
    <x v="0"/>
    <s v="Coal"/>
    <x v="2"/>
    <x v="4"/>
    <n v="8"/>
    <n v="5.6500000000814907"/>
    <n v="0.65192307693247975"/>
    <n v="310.96730769679283"/>
    <n v="55.03846153846154"/>
    <x v="2"/>
  </r>
  <r>
    <x v="3"/>
    <x v="1"/>
    <n v="28"/>
    <n v="340"/>
    <d v="2017-08-10T22:18:00"/>
    <d v="2017-08-10T23:57:00"/>
    <n v="450"/>
    <n v="520"/>
    <n v="477"/>
    <s v="Other pulverizer problems"/>
    <s v="F590Load Reduction #161-6 Mill was out of service to install the zero speed cover."/>
    <s v="Ghent"/>
    <x v="0"/>
    <s v="Coal"/>
    <x v="2"/>
    <x v="4"/>
    <n v="8"/>
    <n v="1.6499999999650754"/>
    <n v="0.22211538461068323"/>
    <n v="105.94903845929589"/>
    <n v="64.211538461538467"/>
    <x v="30"/>
  </r>
  <r>
    <x v="3"/>
    <x v="1"/>
    <n v="29"/>
    <n v="344"/>
    <d v="2017-08-14T22:00:00"/>
    <d v="2017-08-15T04:01:00"/>
    <n v="460"/>
    <n v="520"/>
    <n v="477"/>
    <s v="Pulverizer inspection"/>
    <s v="F530Load Reduction #171-2 Mill was removed from service for an inspection due to k"/>
    <s v="Ghent"/>
    <x v="0"/>
    <s v="Coal"/>
    <x v="2"/>
    <x v="4"/>
    <n v="8"/>
    <n v="6.0166666667209938"/>
    <n v="0.69423076923703775"/>
    <n v="331.14807692606701"/>
    <n v="55.03846153846154"/>
    <x v="2"/>
  </r>
  <r>
    <x v="3"/>
    <x v="0"/>
    <n v="31"/>
    <n v="250"/>
    <d v="2017-08-15T12:00:00"/>
    <d v="2017-08-15T16:34:00"/>
    <n v="410"/>
    <n v="520"/>
    <n v="477"/>
    <s v="Pulverizer feeders"/>
    <s v="Load Reduction #191-6 Mill feeder belt shifted to one side and tripped the feeder."/>
    <s v="Ghent"/>
    <x v="0"/>
    <s v="Coal"/>
    <x v="2"/>
    <x v="4"/>
    <n v="8"/>
    <n v="4.5666666667093523"/>
    <n v="0.9660256410346707"/>
    <n v="460.79423077353795"/>
    <n v="100.90384615384616"/>
    <x v="111"/>
  </r>
  <r>
    <x v="3"/>
    <x v="0"/>
    <n v="32"/>
    <n v="340"/>
    <d v="2017-08-16T14:14:00"/>
    <d v="2017-08-16T14:43:00"/>
    <n v="480"/>
    <n v="520"/>
    <n v="477"/>
    <s v="Other pulverizer problems"/>
    <s v="Load Reduction #201-5 Mill temperatures became high and 1-2 Mill was already out o"/>
    <s v="Ghent"/>
    <x v="0"/>
    <s v="Coal"/>
    <x v="2"/>
    <x v="4"/>
    <n v="8"/>
    <n v="0.48333333333721384"/>
    <n v="3.7179487179785684E-2"/>
    <n v="17.73461538475777"/>
    <n v="36.692307692307693"/>
    <x v="12"/>
  </r>
  <r>
    <x v="3"/>
    <x v="0"/>
    <n v="33"/>
    <n v="340"/>
    <d v="2017-08-16T14:43:00"/>
    <d v="2017-08-21T09:46:00"/>
    <n v="500"/>
    <n v="520"/>
    <n v="477"/>
    <s v="Other pulverizer problems"/>
    <s v="Load Reduction #211-2 Mill is out of service due to a broken veritical shaft.  "/>
    <s v="Ghent"/>
    <x v="0"/>
    <s v="Coal"/>
    <x v="2"/>
    <x v="4"/>
    <n v="8"/>
    <n v="115.05000000010477"/>
    <n v="4.4250000000040295"/>
    <n v="2110.7250000019221"/>
    <n v="18.346153846153847"/>
    <x v="5"/>
  </r>
  <r>
    <x v="3"/>
    <x v="4"/>
    <n v="35"/>
    <n v="3110"/>
    <d v="2017-09-09T06:25:00"/>
    <d v="2017-09-09T14:49:00"/>
    <n v="0"/>
    <n v="520"/>
    <n v="477"/>
    <s v="Condenser tube leaks"/>
    <s v="F540Outage #14The Reserve Outage was changed to a Maintenance Outage to repair con"/>
    <s v="Ghent"/>
    <x v="2"/>
    <s v="Coal"/>
    <x v="2"/>
    <x v="4"/>
    <n v="9"/>
    <n v="8.3999999999650754"/>
    <n v="8.3999999999650754"/>
    <n v="4006.799999983341"/>
    <n v="477"/>
    <x v="90"/>
  </r>
  <r>
    <x v="3"/>
    <x v="2"/>
    <n v="37"/>
    <n v="3412"/>
    <d v="2017-09-12T12:00:00"/>
    <d v="2017-09-13T12:00:00"/>
    <n v="350"/>
    <n v="520"/>
    <n v="477"/>
    <s v="Feedwater pump drive - steam turbine"/>
    <s v="F090Load Reduction #221-1 BFP HP control valve out of calibration."/>
    <s v="Ghent"/>
    <x v="0"/>
    <s v="Coal"/>
    <x v="2"/>
    <x v="4"/>
    <n v="9"/>
    <n v="24"/>
    <n v="7.8461538461538458"/>
    <n v="3742.6153846153843"/>
    <n v="155.94230769230768"/>
    <x v="103"/>
  </r>
  <r>
    <x v="3"/>
    <x v="0"/>
    <n v="38"/>
    <n v="250"/>
    <d v="2017-09-15T18:00:00"/>
    <d v="2017-09-15T20:31:00"/>
    <n v="465"/>
    <n v="520"/>
    <n v="477"/>
    <s v="Pulverizer feeders"/>
    <s v="Load Reduction #231-2 Feeder tach input alarm came in.  Electricians found a large"/>
    <s v="Ghent"/>
    <x v="0"/>
    <s v="Coal"/>
    <x v="2"/>
    <x v="4"/>
    <n v="9"/>
    <n v="2.5166666666627862"/>
    <n v="0.26618589743548698"/>
    <n v="126.97067307672729"/>
    <n v="50.45192307692308"/>
    <x v="33"/>
  </r>
  <r>
    <x v="3"/>
    <x v="1"/>
    <n v="39"/>
    <n v="344"/>
    <d v="2017-09-26T23:32:00"/>
    <d v="2017-09-27T00:23:00"/>
    <n v="480"/>
    <n v="520"/>
    <n v="477"/>
    <s v="Pulverizer inspection"/>
    <s v="F530Load Reduction #241-1 Mill was removed from service due to noise in pyrite sec"/>
    <s v="Ghent"/>
    <x v="0"/>
    <s v="Coal"/>
    <x v="2"/>
    <x v="4"/>
    <n v="9"/>
    <n v="0.84999999997671694"/>
    <n v="6.5384615382824376E-2"/>
    <n v="31.188461537607228"/>
    <n v="36.692307692307693"/>
    <x v="12"/>
  </r>
  <r>
    <x v="3"/>
    <x v="1"/>
    <n v="40"/>
    <n v="250"/>
    <d v="2017-10-11T23:00:00"/>
    <d v="2017-10-12T04:00:00"/>
    <n v="480"/>
    <n v="520"/>
    <n v="477"/>
    <s v="Pulverizer feeders"/>
    <s v="F090Load Reduction #25Calibration of 1-6 feeder. "/>
    <s v="Ghent"/>
    <x v="0"/>
    <s v="Coal"/>
    <x v="2"/>
    <x v="4"/>
    <n v="10"/>
    <n v="4.9999999998835847"/>
    <n v="0.38461538460642958"/>
    <n v="183.4615384572669"/>
    <n v="36.692307692307693"/>
    <x v="12"/>
  </r>
  <r>
    <x v="3"/>
    <x v="0"/>
    <n v="42"/>
    <n v="250"/>
    <d v="2017-10-12T05:22:00"/>
    <d v="2017-10-12T06:40:00"/>
    <n v="480"/>
    <n v="520"/>
    <n v="477"/>
    <s v="Pulverizer feeders"/>
    <s v="F830Load Reduction #271-6 Feeder circut board Issues. "/>
    <s v="Ghent"/>
    <x v="0"/>
    <s v="Coal"/>
    <x v="2"/>
    <x v="4"/>
    <n v="10"/>
    <n v="1.3000000000465661"/>
    <n v="0.10000000000358202"/>
    <n v="47.700000001708624"/>
    <n v="36.692307692307693"/>
    <x v="12"/>
  </r>
  <r>
    <x v="3"/>
    <x v="0"/>
    <n v="43"/>
    <n v="1401"/>
    <d v="2017-10-14T10:48:00"/>
    <d v="2017-10-14T12:36:00"/>
    <n v="400"/>
    <n v="520"/>
    <n v="477"/>
    <s v="Forced draft fan dampers"/>
    <s v="F930Load Reduction #281-2 FD Fan inlet vane drive had a striped gear. "/>
    <s v="Ghent"/>
    <x v="0"/>
    <s v="Coal"/>
    <x v="2"/>
    <x v="4"/>
    <n v="10"/>
    <n v="1.8000000001047738"/>
    <n v="0.41538461540879396"/>
    <n v="198.13846154999473"/>
    <n v="110.07692307692308"/>
    <x v="92"/>
  </r>
  <r>
    <x v="3"/>
    <x v="5"/>
    <n v="44"/>
    <n v="1100"/>
    <d v="2017-10-18T22:54:00"/>
    <d v="2017-10-19T21:54:00"/>
    <n v="0"/>
    <n v="520"/>
    <n v="477"/>
    <s v="Waterwall (Furnace wall) B"/>
    <s v="F540Outage #16 GH1 was forced offline due to water wall tube leak on 4th elevation"/>
    <s v="Ghent"/>
    <x v="3"/>
    <s v="Coal"/>
    <x v="2"/>
    <x v="4"/>
    <n v="10"/>
    <n v="22.999999999883585"/>
    <n v="22.999999999883585"/>
    <n v="10970.99999994447"/>
    <n v="477"/>
    <x v="90"/>
  </r>
  <r>
    <x v="3"/>
    <x v="0"/>
    <n v="45"/>
    <n v="920"/>
    <d v="2017-10-29T22:05:00"/>
    <d v="2017-10-30T02:18:00"/>
    <n v="240"/>
    <n v="520"/>
    <n v="477"/>
    <s v="Other slag and ash removal problems A"/>
    <s v="FS00Load Reduction #28Unit 1 had heavy slag build up around IK 6, "/>
    <s v="Ghent"/>
    <x v="0"/>
    <s v="Coal"/>
    <x v="2"/>
    <x v="4"/>
    <n v="10"/>
    <n v="4.21666666661622"/>
    <n v="2.2705128204856568"/>
    <n v="1083.0346153716582"/>
    <n v="256.84615384615387"/>
    <x v="100"/>
  </r>
  <r>
    <x v="3"/>
    <x v="0"/>
    <n v="46"/>
    <n v="920"/>
    <d v="2017-11-14T22:45:00"/>
    <d v="2017-11-15T17:24:00"/>
    <n v="200"/>
    <n v="520"/>
    <n v="477"/>
    <s v="Other slag and ash removal problems A"/>
    <s v="FS00Load Reduction #29Unit 1 was derated due to boiler de-slag. "/>
    <s v="Ghent"/>
    <x v="0"/>
    <s v="Coal"/>
    <x v="2"/>
    <x v="4"/>
    <n v="11"/>
    <n v="18.650000000023283"/>
    <n v="11.476923076937405"/>
    <n v="5474.4923076991427"/>
    <n v="293.53846153846155"/>
    <x v="91"/>
  </r>
  <r>
    <x v="3"/>
    <x v="0"/>
    <n v="47"/>
    <n v="3410"/>
    <d v="2017-11-15T19:19:00"/>
    <d v="2017-11-15T19:29:00"/>
    <n v="350"/>
    <n v="520"/>
    <n v="477"/>
    <s v="Feedwater pump"/>
    <s v="F830Load Reduction #301-2 BFP vibration derated Unit 1. "/>
    <s v="Ghent"/>
    <x v="0"/>
    <s v="Coal"/>
    <x v="2"/>
    <x v="4"/>
    <n v="11"/>
    <n v="0.16666666668606922"/>
    <n v="5.4487179493522629E-2"/>
    <n v="25.990384618410292"/>
    <n v="155.94230769230768"/>
    <x v="103"/>
  </r>
  <r>
    <x v="3"/>
    <x v="0"/>
    <n v="48"/>
    <n v="250"/>
    <d v="2017-11-20T03:18:00"/>
    <d v="2017-11-20T07:23:00"/>
    <n v="460"/>
    <n v="520"/>
    <n v="477"/>
    <s v="Pulverizer feeders"/>
    <s v="F830Load Reduction #311-3 Coal feeder plugged. "/>
    <s v="Ghent"/>
    <x v="0"/>
    <s v="Coal"/>
    <x v="2"/>
    <x v="4"/>
    <n v="11"/>
    <n v="4.0833333333721384"/>
    <n v="0.47115384615832367"/>
    <n v="224.74038461752039"/>
    <n v="55.03846153846154"/>
    <x v="2"/>
  </r>
  <r>
    <x v="3"/>
    <x v="0"/>
    <n v="52"/>
    <n v="250"/>
    <d v="2017-11-20T21:06:00"/>
    <d v="2017-11-20T23:04:00"/>
    <n v="460"/>
    <n v="520"/>
    <n v="477"/>
    <s v="Pulverizer feeders"/>
    <s v="F830Load Reduction #351-3 coal feeder plugged causing derate. "/>
    <s v="Ghent"/>
    <x v="0"/>
    <s v="Coal"/>
    <x v="2"/>
    <x v="4"/>
    <n v="11"/>
    <n v="1.96666666661622"/>
    <n v="0.22692307691725616"/>
    <n v="108.24230768953119"/>
    <n v="55.03846153846154"/>
    <x v="2"/>
  </r>
  <r>
    <x v="3"/>
    <x v="0"/>
    <n v="49"/>
    <n v="920"/>
    <d v="2017-11-22T08:00:00"/>
    <d v="2017-11-22T10:53:00"/>
    <n v="180"/>
    <n v="520"/>
    <n v="477"/>
    <s v="Other slag and ash removal problems A"/>
    <s v="FS00Load Reduction #32GH1 was derated due to boiler slagging. "/>
    <s v="Ghent"/>
    <x v="0"/>
    <s v="Coal"/>
    <x v="2"/>
    <x v="4"/>
    <n v="11"/>
    <n v="2.8833333333022892"/>
    <n v="1.8852564102361122"/>
    <n v="899.26730768262553"/>
    <n v="311.88461538461536"/>
    <x v="96"/>
  </r>
  <r>
    <x v="3"/>
    <x v="0"/>
    <n v="50"/>
    <n v="250"/>
    <d v="2017-11-22T11:39:00"/>
    <d v="2017-11-22T13:01:00"/>
    <n v="425"/>
    <n v="520"/>
    <n v="477"/>
    <s v="Pulverizer feeders"/>
    <s v="F830Load Reduction #331-3 coal mill feeder plugged. "/>
    <s v="Ghent"/>
    <x v="0"/>
    <s v="Coal"/>
    <x v="2"/>
    <x v="4"/>
    <n v="11"/>
    <n v="1.3666666665812954"/>
    <n v="0.24967948716389052"/>
    <n v="119.09711537717578"/>
    <n v="87.144230769230774"/>
    <x v="47"/>
  </r>
  <r>
    <x v="3"/>
    <x v="0"/>
    <n v="51"/>
    <n v="320"/>
    <d v="2017-11-26T10:51:00"/>
    <d v="2017-11-26T13:39:00"/>
    <n v="460"/>
    <n v="520"/>
    <n v="477"/>
    <s v="Foreign object in Pulverizers mill"/>
    <s v="Load Reduction #341-1 and 1-4 mills were removed from service to remove metal from"/>
    <s v="Ghent"/>
    <x v="0"/>
    <s v="Coal"/>
    <x v="2"/>
    <x v="4"/>
    <n v="11"/>
    <n v="2.8000000000465661"/>
    <n v="0.32307692308229607"/>
    <n v="154.10769231025523"/>
    <n v="55.03846153846154"/>
    <x v="2"/>
  </r>
  <r>
    <x v="3"/>
    <x v="0"/>
    <n v="53"/>
    <n v="250"/>
    <d v="2017-12-05T07:30:00"/>
    <d v="2017-12-05T14:03:00"/>
    <n v="460"/>
    <n v="520"/>
    <n v="477"/>
    <s v="Pulverizer feeders"/>
    <s v="F830Load Reduction #361-4 mill feeder would not calibrate last night. Found belt t"/>
    <s v="Ghent"/>
    <x v="0"/>
    <s v="Coal"/>
    <x v="2"/>
    <x v="4"/>
    <n v="12"/>
    <n v="6.5500000000465661"/>
    <n v="0.75576923077460378"/>
    <n v="360.50192307948601"/>
    <n v="55.03846153846154"/>
    <x v="2"/>
  </r>
  <r>
    <x v="3"/>
    <x v="1"/>
    <n v="1"/>
    <n v="920"/>
    <d v="2018-01-05T00:02:00"/>
    <d v="2018-01-05T04:00:00"/>
    <n v="200"/>
    <n v="520"/>
    <n v="477"/>
    <s v="Other slag and ash removal problems A"/>
    <s v="F830Load Reduction #1U-1 boiler deslag."/>
    <s v="Ghent"/>
    <x v="0"/>
    <s v="Coal"/>
    <x v="2"/>
    <x v="5"/>
    <n v="1"/>
    <n v="3.9666666666744277"/>
    <n v="2.441025641030417"/>
    <n v="1164.3692307715089"/>
    <n v="293.53846153846155"/>
    <x v="91"/>
  </r>
  <r>
    <x v="3"/>
    <x v="1"/>
    <n v="2"/>
    <n v="920"/>
    <d v="2018-01-07T20:11:00"/>
    <d v="2018-01-08T00:40:00"/>
    <n v="240"/>
    <n v="520"/>
    <n v="477"/>
    <s v="Other slag and ash removal problems A"/>
    <s v="F830Load Reduction #2U-1 planned deslag."/>
    <s v="Ghent"/>
    <x v="0"/>
    <s v="Coal"/>
    <x v="2"/>
    <x v="5"/>
    <n v="1"/>
    <n v="4.4833333334536292"/>
    <n v="2.4141025641673388"/>
    <n v="1151.5269231078207"/>
    <n v="256.84615384615387"/>
    <x v="100"/>
  </r>
  <r>
    <x v="3"/>
    <x v="1"/>
    <n v="3"/>
    <n v="340"/>
    <d v="2018-01-11T07:00:00"/>
    <d v="2018-01-11T14:20:00"/>
    <n v="460"/>
    <n v="520"/>
    <n v="477"/>
    <s v="Other pulverizer problems"/>
    <s v="F590Load Reduction #3Planned derate for 1-6 feeder repairs.  "/>
    <s v="Ghent"/>
    <x v="0"/>
    <s v="Coal"/>
    <x v="2"/>
    <x v="5"/>
    <n v="1"/>
    <n v="7.3333333333139308"/>
    <n v="0.84615384615160738"/>
    <n v="403.61538461431672"/>
    <n v="55.03846153846154"/>
    <x v="2"/>
  </r>
  <r>
    <x v="3"/>
    <x v="0"/>
    <n v="4"/>
    <n v="920"/>
    <d v="2018-01-18T18:24:00"/>
    <d v="2018-01-20T00:17:00"/>
    <n v="200"/>
    <n v="520"/>
    <n v="477"/>
    <s v="Other slag and ash removal problems A"/>
    <s v="F830Load Reduction #4Slagging of the boiler in the wet ash pit.  "/>
    <s v="Ghent"/>
    <x v="0"/>
    <s v="Coal"/>
    <x v="2"/>
    <x v="5"/>
    <n v="1"/>
    <n v="29.883333333302289"/>
    <n v="18.389743589724485"/>
    <n v="8771.9076922985787"/>
    <n v="293.53846153846155"/>
    <x v="91"/>
  </r>
  <r>
    <x v="3"/>
    <x v="1"/>
    <n v="5"/>
    <n v="344"/>
    <d v="2018-01-22T22:00:00"/>
    <d v="2018-01-23T03:49:00"/>
    <n v="460"/>
    <n v="520"/>
    <n v="477"/>
    <s v="Pulverizer inspection"/>
    <s v="F530Load Reduction #5Planned Derate for pre-outage mill inspection of 1-1 &amp; 1-6 mi"/>
    <s v="Ghent"/>
    <x v="0"/>
    <s v="Coal"/>
    <x v="2"/>
    <x v="5"/>
    <n v="1"/>
    <n v="5.8166666667675599"/>
    <n v="0.67115384616548768"/>
    <n v="320.1403846209376"/>
    <n v="55.03846153846154"/>
    <x v="2"/>
  </r>
  <r>
    <x v="3"/>
    <x v="1"/>
    <n v="6"/>
    <n v="344"/>
    <d v="2018-01-23T22:00:00"/>
    <d v="2018-01-24T04:32:00"/>
    <n v="460"/>
    <n v="520"/>
    <n v="477"/>
    <s v="Pulverizer inspection"/>
    <s v="F530Load Reduction #6Pre-outage mill inspections 1-2 &amp; 1-3."/>
    <s v="Ghent"/>
    <x v="0"/>
    <s v="Coal"/>
    <x v="2"/>
    <x v="5"/>
    <n v="1"/>
    <n v="6.5333333333255723"/>
    <n v="0.75384615384525833"/>
    <n v="359.58461538418823"/>
    <n v="55.03846153846154"/>
    <x v="2"/>
  </r>
  <r>
    <x v="3"/>
    <x v="1"/>
    <n v="7"/>
    <n v="344"/>
    <d v="2018-01-24T22:00:00"/>
    <d v="2018-01-25T03:51:00"/>
    <n v="460"/>
    <n v="520"/>
    <n v="477"/>
    <s v="Pulverizer inspection"/>
    <s v="F530Load Reduction #7Pre-outage mill inspections 1-4 &amp; 1-5."/>
    <s v="Ghent"/>
    <x v="0"/>
    <s v="Coal"/>
    <x v="2"/>
    <x v="5"/>
    <n v="1"/>
    <n v="5.8500000000349246"/>
    <n v="0.67500000000402971"/>
    <n v="321.97500000192218"/>
    <n v="55.03846153846154"/>
    <x v="2"/>
  </r>
  <r>
    <x v="3"/>
    <x v="1"/>
    <n v="8"/>
    <n v="310"/>
    <d v="2018-01-25T22:00:00"/>
    <d v="2018-01-26T01:51:00"/>
    <n v="460"/>
    <n v="520"/>
    <n v="477"/>
    <s v="Pulverizer mills"/>
    <s v="F590Load Reduction #8Cleaned mill Peto tubes.."/>
    <s v="Ghent"/>
    <x v="0"/>
    <s v="Coal"/>
    <x v="2"/>
    <x v="5"/>
    <n v="1"/>
    <n v="3.8499999999767169"/>
    <n v="0.44423076922808274"/>
    <n v="211.89807692179548"/>
    <n v="55.03846153846154"/>
    <x v="2"/>
  </r>
  <r>
    <x v="3"/>
    <x v="0"/>
    <n v="9"/>
    <n v="320"/>
    <d v="2018-01-30T16:29:00"/>
    <d v="2018-01-30T20:04:00"/>
    <n v="460"/>
    <n v="520"/>
    <n v="477"/>
    <s v="Foreign object in Pulverizers mill"/>
    <s v="F590Load Reduction #91-5 millhad a piece of concrete in the grinding section."/>
    <s v="Ghent"/>
    <x v="0"/>
    <s v="Coal"/>
    <x v="2"/>
    <x v="5"/>
    <n v="1"/>
    <n v="3.5833333333139308"/>
    <n v="0.41346153845929973"/>
    <n v="197.22115384508598"/>
    <n v="55.03846153846154"/>
    <x v="2"/>
  </r>
  <r>
    <x v="3"/>
    <x v="0"/>
    <n v="10"/>
    <n v="1480"/>
    <d v="2018-02-07T18:00:00"/>
    <d v="2018-02-07T18:31:00"/>
    <n v="36"/>
    <n v="520"/>
    <n v="477"/>
    <s v="Other induced draft fan problems"/>
    <s v="F820Load Reduction #101-6 pulverizer loaded up when being placed in service.  Furn"/>
    <s v="Ghent"/>
    <x v="0"/>
    <s v="Coal"/>
    <x v="2"/>
    <x v="5"/>
    <n v="2"/>
    <n v="0.5166666666045785"/>
    <n v="0.48089743583964611"/>
    <n v="229.3880768955112"/>
    <n v="443.97692307692307"/>
    <x v="116"/>
  </r>
  <r>
    <x v="3"/>
    <x v="5"/>
    <n v="11"/>
    <n v="1450"/>
    <d v="2018-02-07T18:31:00"/>
    <d v="2018-02-07T21:21:00"/>
    <n v="0"/>
    <n v="520"/>
    <n v="477"/>
    <s v="Other air supply problems"/>
    <s v="Outage #1Loss of ID fans due to furance pressure caused a flame out of the boiler."/>
    <s v="Ghent"/>
    <x v="3"/>
    <s v="Coal"/>
    <x v="2"/>
    <x v="5"/>
    <n v="2"/>
    <n v="2.8333333333139308"/>
    <n v="2.8333333333139308"/>
    <n v="1351.499999990745"/>
    <n v="477"/>
    <x v="90"/>
  </r>
  <r>
    <x v="3"/>
    <x v="0"/>
    <n v="12"/>
    <n v="1470"/>
    <d v="2018-02-21T10:21:00"/>
    <d v="2018-02-21T11:54:00"/>
    <n v="200"/>
    <n v="520"/>
    <n v="477"/>
    <s v="Induced draft fan motors and drives"/>
    <s v="F820Load Reduction #11Loss of 3 ID fans."/>
    <s v="Ghent"/>
    <x v="0"/>
    <s v="Coal"/>
    <x v="2"/>
    <x v="5"/>
    <n v="2"/>
    <n v="1.5499999999883585"/>
    <n v="0.95384615383898985"/>
    <n v="454.98461538119818"/>
    <n v="293.53846153846155"/>
    <x v="91"/>
  </r>
  <r>
    <x v="3"/>
    <x v="0"/>
    <n v="13"/>
    <n v="1471"/>
    <d v="2018-02-21T11:54:00"/>
    <d v="2018-02-22T11:59:00"/>
    <n v="450"/>
    <n v="520"/>
    <n v="477"/>
    <s v="Induced draft fan motors - variable speed"/>
    <s v="F820Load Reduction #121-1A ID fan out of service.  "/>
    <s v="Ghent"/>
    <x v="0"/>
    <s v="Coal"/>
    <x v="2"/>
    <x v="5"/>
    <n v="2"/>
    <n v="24.083333333255723"/>
    <n v="3.2419871794767321"/>
    <n v="1546.4278846104012"/>
    <n v="64.211538461538467"/>
    <x v="30"/>
  </r>
  <r>
    <x v="3"/>
    <x v="5"/>
    <n v="14"/>
    <n v="1000"/>
    <d v="2018-02-24T17:00:00"/>
    <d v="2018-02-27T03:43:00"/>
    <n v="0"/>
    <n v="520"/>
    <n v="477"/>
    <s v="Waterwall (Furnace wall) A"/>
    <s v="Outage #2Unit was removed from service due to a water wall leak on 7th floor."/>
    <s v="Ghent"/>
    <x v="3"/>
    <s v="Coal"/>
    <x v="2"/>
    <x v="5"/>
    <n v="2"/>
    <n v="58.716666666674428"/>
    <n v="58.716666666674428"/>
    <n v="28007.850000003702"/>
    <n v="477"/>
    <x v="90"/>
  </r>
  <r>
    <x v="3"/>
    <x v="5"/>
    <n v="16"/>
    <n v="3520"/>
    <d v="2018-02-28T15:45:00"/>
    <d v="2018-02-28T17:45:00"/>
    <n v="0"/>
    <n v="520"/>
    <n v="477"/>
    <s v="HP Extraction steam piping"/>
    <s v="Outage #4Unit was placed on a forced outage due to a drain line broken off the ext"/>
    <s v="Ghent"/>
    <x v="3"/>
    <s v="Coal"/>
    <x v="2"/>
    <x v="5"/>
    <n v="2"/>
    <n v="2.0000000000582077"/>
    <n v="2.0000000000582077"/>
    <n v="954.00000002776505"/>
    <n v="477"/>
    <x v="90"/>
  </r>
  <r>
    <x v="3"/>
    <x v="6"/>
    <n v="18"/>
    <n v="1801"/>
    <d v="2018-03-02T06:00:00"/>
    <d v="2018-04-02T00:00:00"/>
    <n v="0"/>
    <n v="520"/>
    <n v="477"/>
    <s v="Minor boiler overhaul (less than 720 hours) (use for non-specific overhaul only; see page B-1)"/>
    <s v="F590Outage #6Unit 1 was moved from Reserve Shutdown and placed on Planned Outage. "/>
    <s v="Ghent"/>
    <x v="1"/>
    <s v="Coal"/>
    <x v="2"/>
    <x v="5"/>
    <n v="3"/>
    <n v="738"/>
    <n v="738"/>
    <n v="352026"/>
    <n v="477"/>
    <x v="90"/>
  </r>
  <r>
    <x v="3"/>
    <x v="8"/>
    <n v="19"/>
    <n v="1801"/>
    <d v="2018-04-02T00:00:00"/>
    <d v="2018-04-03T18:55:00"/>
    <n v="0"/>
    <n v="520"/>
    <n v="477"/>
    <s v="Minor boiler overhaul (less than 720 hours) (use for non-specific overhaul only; see page B-1)"/>
    <s v="F590Outage #7 Unit 1 was placed on a Planned Outage extension.  "/>
    <s v="Ghent"/>
    <x v="1"/>
    <s v="Coal"/>
    <x v="2"/>
    <x v="5"/>
    <n v="4"/>
    <n v="42.916666666686069"/>
    <n v="42.916666666686069"/>
    <n v="20471.250000009255"/>
    <n v="477"/>
    <x v="90"/>
  </r>
  <r>
    <x v="3"/>
    <x v="0"/>
    <n v="20"/>
    <n v="1432"/>
    <d v="2018-04-05T22:20:00"/>
    <d v="2018-04-05T23:17:00"/>
    <n v="300"/>
    <n v="520"/>
    <n v="477"/>
    <s v="Air supply duct expansion joints"/>
    <s v="F540Load Reduction #13Reduced load to repair wind box leak on 6 1/2 floor D corner"/>
    <s v="Ghent"/>
    <x v="0"/>
    <s v="Coal"/>
    <x v="2"/>
    <x v="5"/>
    <n v="4"/>
    <n v="0.94999999995343387"/>
    <n v="0.40192307690337586"/>
    <n v="191.71730768291027"/>
    <n v="201.80769230769232"/>
    <x v="99"/>
  </r>
  <r>
    <x v="3"/>
    <x v="1"/>
    <n v="21"/>
    <n v="344"/>
    <d v="2018-04-19T23:00:00"/>
    <d v="2018-04-20T01:14:00"/>
    <n v="460"/>
    <n v="520"/>
    <n v="477"/>
    <s v="Pulverizer inspection"/>
    <s v="F530Load Reduction #141-1 coal mill maintenance inspection due to poor coal finene"/>
    <s v="Ghent"/>
    <x v="0"/>
    <s v="Coal"/>
    <x v="2"/>
    <x v="5"/>
    <n v="4"/>
    <n v="2.2333333332790062"/>
    <n v="0.25769230768603918"/>
    <n v="122.91923076624069"/>
    <n v="55.03846153846154"/>
    <x v="2"/>
  </r>
  <r>
    <x v="3"/>
    <x v="1"/>
    <n v="22"/>
    <n v="3415"/>
    <d v="2018-04-26T23:39:00"/>
    <d v="2018-04-27T01:46:00"/>
    <n v="320"/>
    <n v="520"/>
    <n v="477"/>
    <s v="Feedwater pump/drive lube oil system"/>
    <s v="F590Load Reduction #151-1 BFPT EOP low pressure switch repair."/>
    <s v="Ghent"/>
    <x v="0"/>
    <s v="Coal"/>
    <x v="2"/>
    <x v="5"/>
    <n v="4"/>
    <n v="2.1166666665812954"/>
    <n v="0.81410256406972903"/>
    <n v="388.32692306126074"/>
    <n v="183.46153846153845"/>
    <x v="110"/>
  </r>
  <r>
    <x v="4"/>
    <x v="1"/>
    <n v="1"/>
    <n v="310"/>
    <d v="2013-01-03T22:30:00"/>
    <d v="2013-01-04T02:00:00"/>
    <n v="475"/>
    <n v="520"/>
    <n v="486"/>
    <s v="Pulverizer mills"/>
    <s v="Load Reduction #12-6 Mill out of service to retorque race."/>
    <s v="Ghent"/>
    <x v="0"/>
    <s v="Coal"/>
    <x v="2"/>
    <x v="0"/>
    <n v="1"/>
    <n v="3.5000000000582077"/>
    <n v="0.30288461538965261"/>
    <n v="147.20192307937117"/>
    <n v="42.057692307692307"/>
    <x v="117"/>
  </r>
  <r>
    <x v="4"/>
    <x v="0"/>
    <n v="3"/>
    <n v="340"/>
    <d v="2013-01-09T06:46:00"/>
    <d v="2013-01-09T07:01:00"/>
    <n v="475"/>
    <n v="520"/>
    <n v="486"/>
    <s v="Other pulverizer problems"/>
    <s v="Load Reduction #32-4 Mill tripped for no apparent reason."/>
    <s v="Ghent"/>
    <x v="0"/>
    <s v="Coal"/>
    <x v="2"/>
    <x v="0"/>
    <n v="1"/>
    <n v="0.24999999994179234"/>
    <n v="2.1634615379578184E-2"/>
    <n v="10.514423074474998"/>
    <n v="42.057692307692307"/>
    <x v="117"/>
  </r>
  <r>
    <x v="4"/>
    <x v="0"/>
    <n v="4"/>
    <n v="3415"/>
    <d v="2013-01-28T07:23:00"/>
    <d v="2013-01-28T08:08:00"/>
    <n v="330"/>
    <n v="520"/>
    <n v="486"/>
    <s v="Feedwater pump/drive lube oil system"/>
    <s v="Load Reduction #42-2 BFP oil seal leaking oil had to take pump off to reseat seal."/>
    <s v="Ghent"/>
    <x v="0"/>
    <s v="Coal"/>
    <x v="2"/>
    <x v="0"/>
    <n v="1"/>
    <n v="0.75"/>
    <n v="0.27403846153846156"/>
    <n v="133.18269230769232"/>
    <n v="177.57692307692307"/>
    <x v="118"/>
  </r>
  <r>
    <x v="4"/>
    <x v="0"/>
    <n v="5"/>
    <n v="9280"/>
    <d v="2013-02-03T22:30:00"/>
    <d v="2013-02-03T23:27:00"/>
    <n v="470"/>
    <n v="520"/>
    <n v="486"/>
    <s v="Frozen coal"/>
    <s v="Load Reduction #52-1 Feeder tripped due to frozen coal."/>
    <s v="Ghent"/>
    <x v="0"/>
    <s v="Coal"/>
    <x v="2"/>
    <x v="0"/>
    <n v="2"/>
    <n v="0.94999999995343387"/>
    <n v="9.1346153841676339E-2"/>
    <n v="44.394230767054701"/>
    <n v="46.730769230769234"/>
    <x v="119"/>
  </r>
  <r>
    <x v="4"/>
    <x v="13"/>
    <n v="6"/>
    <n v="4611"/>
    <d v="2013-02-04T11:09:00"/>
    <d v="2013-02-05T07:34:00"/>
    <n v="0"/>
    <n v="520"/>
    <n v="486"/>
    <s v="Hydrogen coolers"/>
    <s v="F540Outage #1The unit was running with a hydrogen leak in the generator.  The leak"/>
    <s v="Ghent"/>
    <x v="3"/>
    <s v="Coal"/>
    <x v="2"/>
    <x v="0"/>
    <n v="2"/>
    <n v="20.416666666686069"/>
    <n v="20.416666666686069"/>
    <n v="9922.5000000094296"/>
    <n v="486"/>
    <x v="120"/>
  </r>
  <r>
    <x v="4"/>
    <x v="0"/>
    <n v="7"/>
    <n v="1850"/>
    <d v="2013-02-05T15:30:00"/>
    <d v="2013-02-05T18:27:00"/>
    <n v="440"/>
    <n v="520"/>
    <n v="486"/>
    <s v="Boiler water condition (not feedwater water quality)"/>
    <s v="Load Reduction #6Unit 2 was derated after start up due to reduced pressure caused "/>
    <s v="Ghent"/>
    <x v="0"/>
    <s v="Coal"/>
    <x v="2"/>
    <x v="0"/>
    <n v="2"/>
    <n v="2.9500000000116415"/>
    <n v="0.45384615384794486"/>
    <n v="220.5692307701012"/>
    <n v="74.769230769230774"/>
    <x v="34"/>
  </r>
  <r>
    <x v="4"/>
    <x v="0"/>
    <n v="8"/>
    <n v="1850"/>
    <d v="2013-02-05T18:27:00"/>
    <d v="2013-02-05T19:11:00"/>
    <n v="480"/>
    <n v="520"/>
    <n v="486"/>
    <s v="Boiler water condition (not feedwater water quality)"/>
    <s v="Load Reduction #7Unit 2 was derated after start up due to reduced pressure caused "/>
    <s v="Ghent"/>
    <x v="0"/>
    <s v="Coal"/>
    <x v="2"/>
    <x v="0"/>
    <n v="2"/>
    <n v="0.73333333327900618"/>
    <n v="5.64102564060774E-2"/>
    <n v="27.415384613353616"/>
    <n v="37.384615384615387"/>
    <x v="12"/>
  </r>
  <r>
    <x v="4"/>
    <x v="0"/>
    <n v="9"/>
    <n v="3441"/>
    <d v="2013-02-05T19:11:00"/>
    <d v="2013-02-05T20:34:00"/>
    <n v="480"/>
    <n v="520"/>
    <n v="486"/>
    <s v="Other high pressure heater problems (see condensate system for LP and IP heater codes)"/>
    <s v="Load Reduction #8Unit 2 was derated due to HP heater level control issues."/>
    <s v="Ghent"/>
    <x v="0"/>
    <s v="Coal"/>
    <x v="2"/>
    <x v="0"/>
    <n v="2"/>
    <n v="1.3833333333022892"/>
    <n v="0.1064102564078684"/>
    <n v="51.715384614224043"/>
    <n v="37.384615384615387"/>
    <x v="12"/>
  </r>
  <r>
    <x v="4"/>
    <x v="0"/>
    <n v="10"/>
    <n v="3531"/>
    <d v="2013-02-05T20:34:00"/>
    <d v="2013-02-05T22:24:00"/>
    <n v="408"/>
    <n v="520"/>
    <n v="486"/>
    <s v="IP Extraction steam valves"/>
    <s v="Load Reduction #9Unit 2 was derated due to 3 feedwater heaters being out of servic"/>
    <s v="Ghent"/>
    <x v="0"/>
    <s v="Coal"/>
    <x v="2"/>
    <x v="0"/>
    <n v="2"/>
    <n v="1.8333333333721384"/>
    <n v="0.39487179488015289"/>
    <n v="191.90769231175432"/>
    <n v="104.67692307692307"/>
    <x v="43"/>
  </r>
  <r>
    <x v="4"/>
    <x v="0"/>
    <n v="11"/>
    <n v="3441"/>
    <d v="2013-02-05T22:24:00"/>
    <d v="2013-02-06T09:15:00"/>
    <n v="480"/>
    <n v="520"/>
    <n v="486"/>
    <s v="Other high pressure heater problems (see condensate system for LP and IP heater codes)"/>
    <s v="Load Reduction #10Unit 2 was derated due to HP heater level controls."/>
    <s v="Ghent"/>
    <x v="0"/>
    <s v="Coal"/>
    <x v="2"/>
    <x v="0"/>
    <n v="2"/>
    <n v="10.849999999918509"/>
    <n v="0.83461538460911611"/>
    <n v="405.62307692003043"/>
    <n v="37.384615384615387"/>
    <x v="12"/>
  </r>
  <r>
    <x v="4"/>
    <x v="5"/>
    <n v="12"/>
    <n v="1000"/>
    <d v="2013-02-10T16:10:00"/>
    <d v="2013-02-12T04:22:00"/>
    <n v="0"/>
    <n v="520"/>
    <n v="486"/>
    <s v="Waterwall (Furnace wall) A"/>
    <s v="F540Outage #2A water wall tube leak developed on 8th floor SE corner of the boiler"/>
    <s v="Ghent"/>
    <x v="3"/>
    <s v="Coal"/>
    <x v="2"/>
    <x v="0"/>
    <n v="2"/>
    <n v="36.199999999953434"/>
    <n v="36.199999999953434"/>
    <n v="17593.199999977369"/>
    <n v="486"/>
    <x v="120"/>
  </r>
  <r>
    <x v="4"/>
    <x v="0"/>
    <n v="13"/>
    <n v="760"/>
    <d v="2013-02-15T19:25:00"/>
    <d v="2013-02-15T19:50:00"/>
    <n v="480"/>
    <n v="520"/>
    <n v="486"/>
    <s v="Boiler recirculation valves"/>
    <s v="Load Reduction #112-1 BCWP safety leaking.  Dropped load to get safety to reseat."/>
    <s v="Ghent"/>
    <x v="0"/>
    <s v="Coal"/>
    <x v="2"/>
    <x v="0"/>
    <n v="2"/>
    <n v="0.41666666662786156"/>
    <n v="3.205128204829704E-2"/>
    <n v="15.576923075472362"/>
    <n v="37.384615384615387"/>
    <x v="12"/>
  </r>
  <r>
    <x v="4"/>
    <x v="0"/>
    <n v="14"/>
    <n v="760"/>
    <d v="2013-02-15T19:50:00"/>
    <d v="2013-02-15T21:15:00"/>
    <n v="400"/>
    <n v="520"/>
    <n v="486"/>
    <s v="Boiler recirculation valves"/>
    <s v="Load Reduction #122-1 BCWP safety leaking.  Dropped load to 400 MWs to get safety "/>
    <s v="Ghent"/>
    <x v="0"/>
    <s v="Coal"/>
    <x v="2"/>
    <x v="0"/>
    <n v="2"/>
    <n v="1.4166666665696539"/>
    <n v="0.32692307690068934"/>
    <n v="158.88461537373502"/>
    <n v="112.15384615384616"/>
    <x v="38"/>
  </r>
  <r>
    <x v="4"/>
    <x v="0"/>
    <n v="15"/>
    <n v="3415"/>
    <d v="2013-02-17T06:55:00"/>
    <d v="2013-02-17T08:10:00"/>
    <n v="320"/>
    <n v="520"/>
    <n v="486"/>
    <s v="Feedwater pump/drive lube oil system"/>
    <s v="Load Reductiom #132-2 BFP started slinging oil from IB seal.  Had to drop load and"/>
    <s v="Ghent"/>
    <x v="0"/>
    <s v="Coal"/>
    <x v="2"/>
    <x v="0"/>
    <n v="2"/>
    <n v="1.2500000000582077"/>
    <n v="0.48076923079161832"/>
    <n v="233.6538461647265"/>
    <n v="186.92307692307693"/>
    <x v="121"/>
  </r>
  <r>
    <x v="4"/>
    <x v="0"/>
    <n v="16"/>
    <n v="3415"/>
    <d v="2013-02-19T06:56:00"/>
    <d v="2013-02-19T07:52:00"/>
    <n v="320"/>
    <n v="520"/>
    <n v="486"/>
    <s v="Feedwater pump/drive lube oil system"/>
    <s v="Load Reduction #142-2 BFP IB bearing started leaking oil.  Had to remove the pump "/>
    <s v="Ghent"/>
    <x v="0"/>
    <s v="Coal"/>
    <x v="2"/>
    <x v="0"/>
    <n v="2"/>
    <n v="0.93333333323244005"/>
    <n v="0.35897435893555385"/>
    <n v="174.46153844267917"/>
    <n v="186.92307692307693"/>
    <x v="121"/>
  </r>
  <r>
    <x v="4"/>
    <x v="0"/>
    <n v="17"/>
    <n v="346"/>
    <d v="2013-03-05T13:10:00"/>
    <d v="2013-03-05T16:06:00"/>
    <n v="475"/>
    <n v="520"/>
    <n v="486"/>
    <s v="Pulverizer pyrite removal system"/>
    <s v="Load Reduction #152-2 Mill pyrite scraper broke off."/>
    <s v="Ghent"/>
    <x v="0"/>
    <s v="Coal"/>
    <x v="2"/>
    <x v="0"/>
    <n v="3"/>
    <n v="2.9333333332906477"/>
    <n v="0.2538461538424599"/>
    <n v="123.36923076743551"/>
    <n v="42.057692307692307"/>
    <x v="117"/>
  </r>
  <r>
    <x v="4"/>
    <x v="0"/>
    <n v="18"/>
    <n v="1475"/>
    <d v="2013-03-06T11:24:00"/>
    <d v="2013-03-06T13:42:00"/>
    <n v="200"/>
    <n v="520"/>
    <n v="486"/>
    <s v="Induced draft fan controls"/>
    <s v="Load Reduction #162-2 ID fan tripped on false vibration indication"/>
    <s v="Ghent"/>
    <x v="0"/>
    <s v="Coal"/>
    <x v="2"/>
    <x v="0"/>
    <n v="3"/>
    <n v="2.2999999999883585"/>
    <n v="1.4153846153774514"/>
    <n v="687.87692307344139"/>
    <n v="299.07692307692309"/>
    <x v="122"/>
  </r>
  <r>
    <x v="4"/>
    <x v="4"/>
    <n v="19"/>
    <n v="1000"/>
    <d v="2013-03-15T13:01:00"/>
    <d v="2013-03-17T11:31:00"/>
    <n v="0"/>
    <n v="520"/>
    <n v="486"/>
    <s v="Waterwall (Furnace wall) A"/>
    <s v="F380Outage #3Unit 2 has been running with a water wall tube leak for over a week. "/>
    <s v="Ghent"/>
    <x v="2"/>
    <s v="Coal"/>
    <x v="2"/>
    <x v="0"/>
    <n v="3"/>
    <n v="46.5"/>
    <n v="46.5"/>
    <n v="22599"/>
    <n v="486"/>
    <x v="120"/>
  </r>
  <r>
    <x v="4"/>
    <x v="0"/>
    <n v="20"/>
    <n v="3440"/>
    <d v="2013-03-21T23:14:00"/>
    <d v="2013-03-22T01:53:00"/>
    <n v="465"/>
    <n v="520"/>
    <n v="486"/>
    <s v="High pressure heater tube leaks"/>
    <s v="Load Reduction #17Took High Pressure heaters out of service to check for leaks."/>
    <s v="Ghent"/>
    <x v="0"/>
    <s v="Coal"/>
    <x v="2"/>
    <x v="0"/>
    <n v="3"/>
    <n v="2.6500000000814907"/>
    <n v="0.28028846154708076"/>
    <n v="136.22019231188125"/>
    <n v="51.403846153846153"/>
    <x v="3"/>
  </r>
  <r>
    <x v="4"/>
    <x v="0"/>
    <n v="21"/>
    <n v="346"/>
    <d v="2013-03-22T14:15:00"/>
    <d v="2013-03-22T18:28:00"/>
    <n v="460"/>
    <n v="520"/>
    <n v="486"/>
    <s v="Pulverizer pyrite removal system"/>
    <s v="Load Reduction #182-2 Mill pyrite scraper broke off."/>
    <s v="Ghent"/>
    <x v="0"/>
    <s v="Coal"/>
    <x v="2"/>
    <x v="0"/>
    <n v="3"/>
    <n v="4.21666666661622"/>
    <n v="0.4865384615326408"/>
    <n v="236.45769230486343"/>
    <n v="56.07692307692308"/>
    <x v="123"/>
  </r>
  <r>
    <x v="4"/>
    <x v="0"/>
    <n v="22"/>
    <n v="346"/>
    <d v="2013-03-25T21:10:00"/>
    <d v="2013-03-26T17:00:00"/>
    <n v="490"/>
    <n v="520"/>
    <n v="486"/>
    <s v="Pulverizer pyrite removal system"/>
    <s v="Load Reduction #192-4 Mill vane wheel and pyrite scraper broke.  "/>
    <s v="Ghent"/>
    <x v="0"/>
    <s v="Coal"/>
    <x v="2"/>
    <x v="0"/>
    <n v="3"/>
    <n v="19.833333333372138"/>
    <n v="1.144230769233008"/>
    <n v="556.09615384724191"/>
    <n v="28.03846153846154"/>
    <x v="67"/>
  </r>
  <r>
    <x v="4"/>
    <x v="0"/>
    <n v="23"/>
    <n v="3661"/>
    <d v="2013-03-26T19:41:00"/>
    <d v="2013-03-26T23:59:00"/>
    <n v="490"/>
    <n v="520"/>
    <n v="486"/>
    <s v="4160-volt circuit breakers"/>
    <s v="Load Reduction #20Relay in 2-2 Mill 4KV breaker failed causing the mill to trip."/>
    <s v="Ghent"/>
    <x v="0"/>
    <s v="Coal"/>
    <x v="2"/>
    <x v="0"/>
    <n v="3"/>
    <n v="4.2999999998719431"/>
    <n v="0.24807692306953519"/>
    <n v="120.5653846117941"/>
    <n v="28.03846153846154"/>
    <x v="67"/>
  </r>
  <r>
    <x v="4"/>
    <x v="0"/>
    <n v="24"/>
    <n v="344"/>
    <d v="2013-03-27T13:42:00"/>
    <d v="2013-03-27T16:22:00"/>
    <n v="480"/>
    <n v="520"/>
    <n v="486"/>
    <s v="Pulverizer inspection"/>
    <s v="Load Reduction #212-4 Mill was removed for inspection."/>
    <s v="Ghent"/>
    <x v="0"/>
    <s v="Coal"/>
    <x v="2"/>
    <x v="0"/>
    <n v="3"/>
    <n v="2.6666666666278616"/>
    <n v="0.20512820512522012"/>
    <n v="99.692307690856978"/>
    <n v="37.384615384615387"/>
    <x v="12"/>
  </r>
  <r>
    <x v="4"/>
    <x v="0"/>
    <n v="25"/>
    <n v="346"/>
    <d v="2013-03-31T21:05:00"/>
    <d v="2013-04-01T13:20:00"/>
    <n v="485"/>
    <n v="520"/>
    <n v="486"/>
    <s v="Pulverizer pyrite removal system"/>
    <s v="Load Reduction #222-4 mill out of service.  Pyrite scrapers broken off."/>
    <s v="Ghent"/>
    <x v="0"/>
    <s v="Coal"/>
    <x v="2"/>
    <x v="0"/>
    <n v="3"/>
    <n v="16.250000000058208"/>
    <n v="1.0937500000039178"/>
    <n v="531.56250000190403"/>
    <n v="32.71153846153846"/>
    <x v="17"/>
  </r>
  <r>
    <x v="4"/>
    <x v="0"/>
    <n v="26"/>
    <n v="253"/>
    <d v="2013-04-19T18:59:00"/>
    <d v="2013-04-20T00:57:00"/>
    <n v="470"/>
    <n v="520"/>
    <n v="486"/>
    <s v="Pulverizer feeder motor"/>
    <s v="Load Reduction #232-1 Mill feeder motor failed."/>
    <s v="Ghent"/>
    <x v="0"/>
    <s v="Coal"/>
    <x v="2"/>
    <x v="0"/>
    <n v="4"/>
    <n v="5.9666666665580124"/>
    <n v="0.57371794870750115"/>
    <n v="278.82692307184556"/>
    <n v="46.730769230769234"/>
    <x v="119"/>
  </r>
  <r>
    <x v="4"/>
    <x v="0"/>
    <n v="27"/>
    <n v="340"/>
    <d v="2013-04-21T10:20:00"/>
    <d v="2013-04-21T14:14:00"/>
    <n v="470"/>
    <n v="520"/>
    <n v="486"/>
    <s v="Other pulverizer problems"/>
    <s v="Load Reduction #242-5 Mill air flow went to minimum causing mill to load up."/>
    <s v="Ghent"/>
    <x v="0"/>
    <s v="Coal"/>
    <x v="2"/>
    <x v="0"/>
    <n v="4"/>
    <n v="3.8999999999650754"/>
    <n v="0.37499999999664185"/>
    <n v="182.24999999836794"/>
    <n v="46.730769230769234"/>
    <x v="119"/>
  </r>
  <r>
    <x v="4"/>
    <x v="0"/>
    <n v="28"/>
    <n v="340"/>
    <d v="2013-04-25T13:11:00"/>
    <d v="2013-04-25T20:35:00"/>
    <n v="440"/>
    <n v="520"/>
    <n v="486"/>
    <s v="Other pulverizer problems"/>
    <s v="Load Reduction #252-2 Mill journal locked up."/>
    <s v="Ghent"/>
    <x v="0"/>
    <s v="Coal"/>
    <x v="2"/>
    <x v="0"/>
    <n v="4"/>
    <n v="7.4000000000232831"/>
    <n v="1.1384615384651204"/>
    <n v="553.29230769404853"/>
    <n v="74.769230769230774"/>
    <x v="34"/>
  </r>
  <r>
    <x v="4"/>
    <x v="6"/>
    <n v="29"/>
    <n v="1812"/>
    <d v="2013-04-26T22:30:00"/>
    <d v="2013-05-01T05:01:00"/>
    <n v="0"/>
    <n v="520"/>
    <n v="486"/>
    <s v="Boiler Inspections - scheduled or routine"/>
    <s v="F590Outage #4Removed the unit from service to perform the annual Planned Outage."/>
    <s v="Ghent"/>
    <x v="1"/>
    <s v="Coal"/>
    <x v="2"/>
    <x v="0"/>
    <n v="4"/>
    <n v="102.51666666660458"/>
    <n v="102.51666666660458"/>
    <n v="49823.099999969825"/>
    <n v="486"/>
    <x v="120"/>
  </r>
  <r>
    <x v="4"/>
    <x v="0"/>
    <n v="30"/>
    <n v="1850"/>
    <d v="2013-05-01T14:00:00"/>
    <d v="2013-05-01T16:00:00"/>
    <n v="456"/>
    <n v="520"/>
    <n v="486"/>
    <s v="Boiler water condition (not feedwater water quality)"/>
    <s v="Load Reduction #26Silica levels were high in the boiler after the unit returned to"/>
    <s v="Ghent"/>
    <x v="0"/>
    <s v="Coal"/>
    <x v="2"/>
    <x v="0"/>
    <n v="5"/>
    <n v="1.9999999998835847"/>
    <n v="0.2461538461395181"/>
    <n v="119.6307692238058"/>
    <n v="59.815384615384616"/>
    <x v="11"/>
  </r>
  <r>
    <x v="4"/>
    <x v="1"/>
    <n v="31"/>
    <n v="340"/>
    <d v="2013-05-01T16:00:00"/>
    <d v="2013-05-01T16:40:00"/>
    <n v="480"/>
    <n v="520"/>
    <n v="486"/>
    <s v="Other pulverizer problems"/>
    <s v="F590Load Reduction #272-4 Mill is out of service to rebuild the gear box."/>
    <s v="Ghent"/>
    <x v="0"/>
    <s v="Coal"/>
    <x v="2"/>
    <x v="0"/>
    <n v="5"/>
    <n v="0.66666666674427688"/>
    <n v="5.1282051288021296E-2"/>
    <n v="24.92307692597835"/>
    <n v="37.384615384615387"/>
    <x v="12"/>
  </r>
  <r>
    <x v="4"/>
    <x v="1"/>
    <n v="32"/>
    <n v="340"/>
    <d v="2013-05-01T16:40:00"/>
    <d v="2013-05-04T22:38:00"/>
    <n v="510"/>
    <n v="520"/>
    <n v="486"/>
    <s v="Other pulverizer problems"/>
    <s v="F590Load Reduction #282-4 Mill is out of service to rebuild the gear box."/>
    <s v="Ghent"/>
    <x v="0"/>
    <s v="Coal"/>
    <x v="2"/>
    <x v="0"/>
    <n v="5"/>
    <n v="77.966666666732635"/>
    <n v="1.4993589743602429"/>
    <n v="728.68846153907805"/>
    <n v="9.3461538461538467"/>
    <x v="94"/>
  </r>
  <r>
    <x v="4"/>
    <x v="4"/>
    <n v="33"/>
    <n v="4302"/>
    <d v="2013-05-04T22:38:00"/>
    <d v="2013-05-04T23:07:00"/>
    <n v="0"/>
    <n v="520"/>
    <n v="486"/>
    <s v="Turbine trip devices (including instruments)"/>
    <s v="F790Outage #5A new Main Turbine Mechanical Overspeed trip mechanism was installed "/>
    <s v="Ghent"/>
    <x v="2"/>
    <s v="Coal"/>
    <x v="2"/>
    <x v="0"/>
    <n v="5"/>
    <n v="0.48333333316259086"/>
    <n v="0.48333333316259086"/>
    <n v="234.89999991701916"/>
    <n v="486"/>
    <x v="120"/>
  </r>
  <r>
    <x v="4"/>
    <x v="0"/>
    <n v="34"/>
    <n v="340"/>
    <d v="2013-05-04T23:07:00"/>
    <d v="2013-05-05T00:23:00"/>
    <n v="507"/>
    <n v="520"/>
    <n v="486"/>
    <s v="Other pulverizer problems"/>
    <s v="Load Reduction #292-4 Mill gear box rebuild derate continued following the Unit 2 "/>
    <s v="Ghent"/>
    <x v="0"/>
    <s v="Coal"/>
    <x v="2"/>
    <x v="0"/>
    <n v="5"/>
    <n v="1.2666666667792015"/>
    <n v="3.1666666669480037E-2"/>
    <n v="15.390000001367298"/>
    <n v="12.15"/>
    <x v="24"/>
  </r>
  <r>
    <x v="4"/>
    <x v="0"/>
    <n v="35"/>
    <n v="340"/>
    <d v="2013-05-13T05:30:00"/>
    <d v="2013-05-13T07:30:00"/>
    <n v="495"/>
    <n v="520"/>
    <n v="486"/>
    <s v="Other pulverizer problems"/>
    <s v="Load Reduction #302-2 mill seal air hose leaking."/>
    <s v="Ghent"/>
    <x v="0"/>
    <s v="Coal"/>
    <x v="2"/>
    <x v="0"/>
    <n v="5"/>
    <n v="2.0000000000582077"/>
    <n v="9.6153846156644601E-2"/>
    <n v="46.730769232129276"/>
    <n v="23.365384615384617"/>
    <x v="0"/>
  </r>
  <r>
    <x v="4"/>
    <x v="0"/>
    <n v="36"/>
    <n v="340"/>
    <d v="2013-05-14T02:45:00"/>
    <d v="2013-05-14T05:15:00"/>
    <n v="495"/>
    <n v="520"/>
    <n v="486"/>
    <s v="Other pulverizer problems"/>
    <s v="Load Reduction #312-4 mill out of service to re-torque mill race after outage repa"/>
    <s v="Ghent"/>
    <x v="0"/>
    <s v="Coal"/>
    <x v="2"/>
    <x v="0"/>
    <n v="5"/>
    <n v="2.4999999999417923"/>
    <n v="0.12019230768950925"/>
    <n v="58.413461537101497"/>
    <n v="23.365384615384617"/>
    <x v="0"/>
  </r>
  <r>
    <x v="4"/>
    <x v="0"/>
    <n v="37"/>
    <n v="8601"/>
    <d v="2013-05-28T20:13:00"/>
    <d v="2013-05-28T21:54:00"/>
    <n v="375"/>
    <n v="520"/>
    <n v="486"/>
    <s v="SO3 mitigation"/>
    <s v="Load Reduction #32Sorbent injection blower system tripped causing high emissions a"/>
    <s v="Ghent"/>
    <x v="0"/>
    <s v="Coal"/>
    <x v="2"/>
    <x v="0"/>
    <n v="5"/>
    <n v="1.6833333332324401"/>
    <n v="0.46939102561289192"/>
    <n v="228.12403844786547"/>
    <n v="135.51923076923077"/>
    <x v="62"/>
  </r>
  <r>
    <x v="4"/>
    <x v="0"/>
    <n v="38"/>
    <n v="340"/>
    <d v="2013-06-06T19:50:00"/>
    <d v="2013-06-07T13:14:00"/>
    <n v="460"/>
    <n v="520"/>
    <n v="486"/>
    <s v="Other pulverizer problems"/>
    <s v="Load Reduction #332-2 Mill journal locked up.  Parts of the journal broke the pyri"/>
    <s v="Ghent"/>
    <x v="0"/>
    <s v="Coal"/>
    <x v="2"/>
    <x v="0"/>
    <n v="6"/>
    <n v="17.399999999965075"/>
    <n v="2.007692307688278"/>
    <n v="975.73846153650311"/>
    <n v="56.07692307692308"/>
    <x v="123"/>
  </r>
  <r>
    <x v="4"/>
    <x v="0"/>
    <n v="39"/>
    <n v="1455"/>
    <d v="2013-06-13T18:00:00"/>
    <d v="2013-06-13T20:10:00"/>
    <n v="190"/>
    <n v="520"/>
    <n v="486"/>
    <s v="Induced draft fans"/>
    <s v="Load Reduction #342-1 ID fan tripped when the coolant water pumps swapped."/>
    <s v="Ghent"/>
    <x v="0"/>
    <s v="Coal"/>
    <x v="2"/>
    <x v="0"/>
    <n v="6"/>
    <n v="2.1666666667442769"/>
    <n v="1.3750000000492526"/>
    <n v="668.25000002393676"/>
    <n v="308.42307692307691"/>
    <x v="124"/>
  </r>
  <r>
    <x v="4"/>
    <x v="1"/>
    <n v="40"/>
    <n v="340"/>
    <d v="2013-06-13T23:00:00"/>
    <d v="2013-06-14T03:12:00"/>
    <n v="68"/>
    <n v="520"/>
    <n v="486"/>
    <s v="Other pulverizer problems"/>
    <s v="F590Load Reduction #352-2 Mill was out of service to replace a ceramic roll."/>
    <s v="Ghent"/>
    <x v="0"/>
    <s v="Coal"/>
    <x v="2"/>
    <x v="0"/>
    <n v="6"/>
    <n v="4.1999999998952262"/>
    <n v="3.6507692306781583"/>
    <n v="1774.2738461095848"/>
    <n v="422.44615384615383"/>
    <x v="125"/>
  </r>
  <r>
    <x v="4"/>
    <x v="0"/>
    <n v="41"/>
    <n v="1470"/>
    <d v="2013-06-17T03:10:00"/>
    <d v="2013-06-17T08:36:00"/>
    <n v="250"/>
    <n v="520"/>
    <n v="486"/>
    <s v="Induced draft fan motors and drives"/>
    <s v="Load Reduction #362-1 ID fan tripped for unknown reasons."/>
    <s v="Ghent"/>
    <x v="0"/>
    <s v="Coal"/>
    <x v="2"/>
    <x v="0"/>
    <n v="6"/>
    <n v="5.4333333332324401"/>
    <n v="2.8211538461014594"/>
    <n v="1371.0807692053093"/>
    <n v="252.34615384615384"/>
    <x v="126"/>
  </r>
  <r>
    <x v="4"/>
    <x v="0"/>
    <n v="42"/>
    <n v="1455"/>
    <d v="2013-06-20T04:05:00"/>
    <d v="2013-06-20T10:14:00"/>
    <n v="200"/>
    <n v="520"/>
    <n v="486"/>
    <s v="Induced draft fans"/>
    <s v="Load Reduction #372-1 ID fan tripped when the coolant water pumps showed not avail"/>
    <s v="Ghent"/>
    <x v="0"/>
    <s v="Coal"/>
    <x v="2"/>
    <x v="0"/>
    <n v="6"/>
    <n v="6.1499999999650754"/>
    <n v="3.7846153845938924"/>
    <n v="1839.3230769126317"/>
    <n v="299.07692307692309"/>
    <x v="122"/>
  </r>
  <r>
    <x v="4"/>
    <x v="0"/>
    <n v="43"/>
    <n v="360"/>
    <d v="2013-07-08T10:30:00"/>
    <d v="2013-07-08T13:15:00"/>
    <n v="450"/>
    <n v="520"/>
    <n v="486"/>
    <s v="Burners"/>
    <s v="Load Reduction #382-6 Mill 'C' burner fire.  The mill was removed from service to "/>
    <s v="Ghent"/>
    <x v="0"/>
    <s v="Coal"/>
    <x v="2"/>
    <x v="0"/>
    <n v="7"/>
    <n v="2.7500000000582077"/>
    <n v="0.37019230770014333"/>
    <n v="179.91346154226966"/>
    <n v="65.42307692307692"/>
    <x v="127"/>
  </r>
  <r>
    <x v="4"/>
    <x v="0"/>
    <n v="44"/>
    <n v="1050"/>
    <d v="2013-07-09T15:15:00"/>
    <d v="2013-07-10T22:57:00"/>
    <n v="438"/>
    <n v="520"/>
    <n v="486"/>
    <s v="Second superheater B"/>
    <s v="Load Reduction #39U2 Boiler tube leak in the front superheat pendant area.  Reduce"/>
    <s v="Ghent"/>
    <x v="0"/>
    <s v="Coal"/>
    <x v="2"/>
    <x v="0"/>
    <n v="7"/>
    <n v="31.700000000128057"/>
    <n v="4.9988461538663476"/>
    <n v="2429.4392307790449"/>
    <n v="76.638461538461542"/>
    <x v="128"/>
  </r>
  <r>
    <x v="4"/>
    <x v="4"/>
    <n v="45"/>
    <n v="1050"/>
    <d v="2013-07-10T22:57:00"/>
    <d v="2013-07-14T10:30:00"/>
    <n v="0"/>
    <n v="520"/>
    <n v="486"/>
    <s v="Second superheater B"/>
    <s v="F540Outage #6Unit was running with tube leak in upper furnace area above upper slo"/>
    <s v="Ghent"/>
    <x v="2"/>
    <s v="Coal"/>
    <x v="2"/>
    <x v="0"/>
    <n v="7"/>
    <n v="83.549999999930151"/>
    <n v="83.549999999930151"/>
    <n v="40605.299999966053"/>
    <n v="486"/>
    <x v="120"/>
  </r>
  <r>
    <x v="4"/>
    <x v="0"/>
    <n v="46"/>
    <n v="1850"/>
    <d v="2013-07-14T09:10:00"/>
    <d v="2013-07-14T10:30:00"/>
    <n v="480"/>
    <n v="520"/>
    <n v="486"/>
    <s v="Boiler water condition (not feedwater water quality)"/>
    <s v="Load Reduction #40Unit 2 was derated due to boiler drum silica being high.  Drum p"/>
    <s v="Ghent"/>
    <x v="0"/>
    <s v="Coal"/>
    <x v="2"/>
    <x v="0"/>
    <n v="7"/>
    <n v="1.3333333333139308"/>
    <n v="0.10256410256261006"/>
    <n v="49.846153845428489"/>
    <n v="37.384615384615387"/>
    <x v="12"/>
  </r>
  <r>
    <x v="4"/>
    <x v="0"/>
    <n v="48"/>
    <n v="360"/>
    <d v="2013-07-22T07:50:00"/>
    <d v="2013-07-22T12:55:00"/>
    <n v="450"/>
    <n v="520"/>
    <n v="486"/>
    <s v="Burners"/>
    <s v="Load Reduction #422-6 C burner fire.  Removed the mill from service."/>
    <s v="Ghent"/>
    <x v="0"/>
    <s v="Coal"/>
    <x v="2"/>
    <x v="0"/>
    <n v="7"/>
    <n v="5.0833333333139308"/>
    <n v="0.6842948717922599"/>
    <n v="332.56730769103831"/>
    <n v="65.42307692307692"/>
    <x v="127"/>
  </r>
  <r>
    <x v="4"/>
    <x v="1"/>
    <n v="49"/>
    <n v="340"/>
    <d v="2013-08-01T22:29:00"/>
    <d v="2013-08-02T05:20:00"/>
    <n v="480"/>
    <n v="520"/>
    <n v="486"/>
    <s v="Other pulverizer problems"/>
    <s v="F530Load Reduction #432-3 Mill was off for inspection of pyrite scrapers."/>
    <s v="Ghent"/>
    <x v="0"/>
    <s v="Coal"/>
    <x v="2"/>
    <x v="0"/>
    <n v="8"/>
    <n v="6.8499999999767169"/>
    <n v="0.52692307692128593"/>
    <n v="256.08461538374496"/>
    <n v="37.384615384615387"/>
    <x v="12"/>
  </r>
  <r>
    <x v="4"/>
    <x v="0"/>
    <n v="50"/>
    <n v="344"/>
    <d v="2013-08-08T01:00:00"/>
    <d v="2013-08-08T03:20:00"/>
    <n v="480"/>
    <n v="520"/>
    <n v="486"/>
    <s v="Pulverizer inspection"/>
    <s v="Load Reduction #442-5 Mill was off for inspection due to a noise in the pyrite sec"/>
    <s v="Ghent"/>
    <x v="0"/>
    <s v="Coal"/>
    <x v="2"/>
    <x v="0"/>
    <n v="8"/>
    <n v="2.3333333334303461"/>
    <n v="0.17948717949464202"/>
    <n v="87.230769234396021"/>
    <n v="37.384615384615387"/>
    <x v="12"/>
  </r>
  <r>
    <x v="4"/>
    <x v="1"/>
    <n v="51"/>
    <n v="3410"/>
    <d v="2013-08-13T21:00:00"/>
    <d v="2013-08-14T03:42:00"/>
    <n v="320"/>
    <n v="520"/>
    <n v="486"/>
    <s v="Feedwater pump"/>
    <s v="Load Reduction #452-2 BFP off to replace suction safety."/>
    <s v="Ghent"/>
    <x v="0"/>
    <s v="Coal"/>
    <x v="2"/>
    <x v="0"/>
    <n v="8"/>
    <n v="6.7000000000116415"/>
    <n v="2.5769230769275544"/>
    <n v="1252.3846153867914"/>
    <n v="186.92307692307693"/>
    <x v="121"/>
  </r>
  <r>
    <x v="4"/>
    <x v="0"/>
    <n v="52"/>
    <n v="1000"/>
    <d v="2013-08-26T15:55:00"/>
    <d v="2013-08-26T22:28:00"/>
    <n v="440"/>
    <n v="520"/>
    <n v="486"/>
    <s v="Waterwall (Furnace wall) A"/>
    <s v="Load Reduction #46Boiler water wall leak on 7 2/3 at IR 75.  Reduced pressure unti"/>
    <s v="Ghent"/>
    <x v="0"/>
    <s v="Coal"/>
    <x v="2"/>
    <x v="0"/>
    <n v="8"/>
    <n v="6.5500000000465661"/>
    <n v="1.0076923076994717"/>
    <n v="489.73846154194325"/>
    <n v="74.769230769230774"/>
    <x v="34"/>
  </r>
  <r>
    <x v="4"/>
    <x v="4"/>
    <n v="53"/>
    <n v="1000"/>
    <d v="2013-08-26T22:28:00"/>
    <d v="2013-08-27T23:20:00"/>
    <n v="0"/>
    <n v="520"/>
    <n v="486"/>
    <s v="Waterwall (Furnace wall) A"/>
    <s v="F540Outage #7A leak developed in rear water wall tube on 7 1/2 level at IR #75.  D"/>
    <s v="Ghent"/>
    <x v="2"/>
    <s v="Coal"/>
    <x v="2"/>
    <x v="0"/>
    <n v="8"/>
    <n v="24.866666666523088"/>
    <n v="24.866666666523088"/>
    <n v="12085.199999930221"/>
    <n v="486"/>
    <x v="120"/>
  </r>
  <r>
    <x v="4"/>
    <x v="7"/>
    <n v="54"/>
    <n v="380"/>
    <d v="2013-08-27T23:20:00"/>
    <d v="2013-08-28T02:46:00"/>
    <n v="0"/>
    <n v="520"/>
    <n v="486"/>
    <s v="Light-off (igniter) systems (including fuel supply)"/>
    <s v="F540Outage #8While starting back up after the previous event with a water wall lea"/>
    <s v="Ghent"/>
    <x v="3"/>
    <s v="Coal"/>
    <x v="2"/>
    <x v="0"/>
    <n v="8"/>
    <n v="3.4333333333488554"/>
    <n v="3.4333333333488554"/>
    <n v="1668.6000000075437"/>
    <n v="486"/>
    <x v="120"/>
  </r>
  <r>
    <x v="4"/>
    <x v="0"/>
    <n v="55"/>
    <n v="3410"/>
    <d v="2013-09-06T10:45:00"/>
    <d v="2013-09-06T13:07:00"/>
    <n v="320"/>
    <n v="520"/>
    <n v="486"/>
    <s v="Feedwater pump"/>
    <s v="Load Reduction #472-2 BFP low pressure stop valve controls failed."/>
    <s v="Ghent"/>
    <x v="0"/>
    <s v="Coal"/>
    <x v="2"/>
    <x v="0"/>
    <n v="9"/>
    <n v="2.3666666666977108"/>
    <n v="0.91025641026835025"/>
    <n v="442.38461539041822"/>
    <n v="186.92307692307693"/>
    <x v="121"/>
  </r>
  <r>
    <x v="4"/>
    <x v="0"/>
    <n v="56"/>
    <n v="344"/>
    <d v="2013-09-09T15:36:00"/>
    <d v="2013-09-09T21:31:00"/>
    <n v="465"/>
    <n v="520"/>
    <n v="486"/>
    <s v="Pulverizer inspection"/>
    <s v="Load Reduction #482-4 Mill off to inspect grinding section."/>
    <s v="Ghent"/>
    <x v="0"/>
    <s v="Coal"/>
    <x v="2"/>
    <x v="0"/>
    <n v="9"/>
    <n v="5.9166666665696539"/>
    <n v="0.62580128204102103"/>
    <n v="304.13942307193622"/>
    <n v="51.403846153846153"/>
    <x v="3"/>
  </r>
  <r>
    <x v="4"/>
    <x v="1"/>
    <n v="57"/>
    <n v="345"/>
    <d v="2013-09-14T03:00:00"/>
    <d v="2013-09-22T15:24:00"/>
    <n v="460"/>
    <n v="520"/>
    <n v="486"/>
    <s v="Pulverizer overhaul"/>
    <s v="Load Reduction #492-5 Mill is out of service for a planned overhaul of the mill ge"/>
    <s v="Ghent"/>
    <x v="0"/>
    <s v="Coal"/>
    <x v="2"/>
    <x v="0"/>
    <n v="9"/>
    <n v="204.40000000008149"/>
    <n v="23.584615384624787"/>
    <n v="11462.123076927646"/>
    <n v="56.07692307692308"/>
    <x v="123"/>
  </r>
  <r>
    <x v="4"/>
    <x v="0"/>
    <n v="58"/>
    <n v="340"/>
    <d v="2013-09-19T23:00:00"/>
    <d v="2013-09-19T23:57:00"/>
    <n v="350"/>
    <n v="520"/>
    <n v="486"/>
    <s v="Other pulverizer problems"/>
    <s v="Load Reduction #502-2 Mill off for inspection.  Found south roll down on race."/>
    <s v="Ghent"/>
    <x v="0"/>
    <s v="Coal"/>
    <x v="2"/>
    <x v="0"/>
    <n v="9"/>
    <n v="0.94999999995343387"/>
    <n v="0.31057692306169954"/>
    <n v="150.94038460798598"/>
    <n v="158.88461538461539"/>
    <x v="68"/>
  </r>
  <r>
    <x v="4"/>
    <x v="0"/>
    <n v="59"/>
    <n v="3620"/>
    <d v="2013-09-21T16:35:00"/>
    <d v="2013-09-21T16:52:00"/>
    <n v="400"/>
    <n v="520"/>
    <n v="486"/>
    <s v="Main transformer"/>
    <s v="Load Reduction #51U2 GSU developed an oil leak caused by excessive nitrogen blanke"/>
    <s v="Ghent"/>
    <x v="0"/>
    <s v="Coal"/>
    <x v="2"/>
    <x v="0"/>
    <n v="9"/>
    <n v="0.28333333338377997"/>
    <n v="6.5384615396256923E-2"/>
    <n v="31.776923082580865"/>
    <n v="112.15384615384616"/>
    <x v="38"/>
  </r>
  <r>
    <x v="4"/>
    <x v="0"/>
    <n v="60"/>
    <n v="340"/>
    <d v="2013-09-22T11:45:00"/>
    <d v="2013-09-22T13:47:00"/>
    <n v="350"/>
    <n v="520"/>
    <n v="486"/>
    <s v="Other pulverizer problems"/>
    <s v="F060Load Reduction #522-4 Mill race clamping ring broke."/>
    <s v="Ghent"/>
    <x v="0"/>
    <s v="Coal"/>
    <x v="2"/>
    <x v="0"/>
    <n v="9"/>
    <n v="2.0333333333255723"/>
    <n v="0.66474358974105252"/>
    <n v="323.06538461415153"/>
    <n v="158.88461538461539"/>
    <x v="68"/>
  </r>
  <r>
    <x v="4"/>
    <x v="10"/>
    <n v="61"/>
    <n v="799"/>
    <d v="2013-09-22T15:24:00"/>
    <d v="2013-09-24T08:16:00"/>
    <n v="0"/>
    <n v="520"/>
    <n v="486"/>
    <s v="Other miscellaneous piping system problems"/>
    <s v="F540Outage #9Steam was coming out of the penthouse on top of the boiler.  The pent"/>
    <s v="Ghent"/>
    <x v="3"/>
    <s v="Coal"/>
    <x v="2"/>
    <x v="0"/>
    <n v="9"/>
    <n v="40.866666666639503"/>
    <n v="40.866666666639503"/>
    <n v="19861.199999986799"/>
    <n v="486"/>
    <x v="120"/>
  </r>
  <r>
    <x v="4"/>
    <x v="1"/>
    <n v="63"/>
    <n v="345"/>
    <d v="2013-09-24T08:16:00"/>
    <d v="2013-10-10T09:32:00"/>
    <n v="460"/>
    <n v="520"/>
    <n v="486"/>
    <s v="Pulverizer overhaul"/>
    <s v="F590Load Reduction #532-5 Pulverizer is out of service for an overhaul."/>
    <s v="Ghent"/>
    <x v="0"/>
    <s v="Coal"/>
    <x v="2"/>
    <x v="0"/>
    <n v="9"/>
    <n v="385.26666666660458"/>
    <n v="44.453846153838988"/>
    <n v="21604.569230765748"/>
    <n v="56.07692307692308"/>
    <x v="123"/>
  </r>
  <r>
    <x v="4"/>
    <x v="0"/>
    <n v="64"/>
    <n v="280"/>
    <d v="2013-10-06T20:31:00"/>
    <d v="2013-10-07T02:58:00"/>
    <n v="360"/>
    <n v="520"/>
    <n v="486"/>
    <s v="Pulverizer fires"/>
    <s v="Load Reduction #542-3 Mill had a fire in the pyrite section.  Removed the mill fro"/>
    <s v="Ghent"/>
    <x v="0"/>
    <s v="Coal"/>
    <x v="2"/>
    <x v="0"/>
    <n v="10"/>
    <n v="6.4500000000698492"/>
    <n v="1.9846153846368766"/>
    <n v="964.52307693352202"/>
    <n v="149.53846153846155"/>
    <x v="75"/>
  </r>
  <r>
    <x v="4"/>
    <x v="1"/>
    <n v="65"/>
    <n v="340"/>
    <d v="2013-10-21T22:00:00"/>
    <d v="2013-10-22T15:17:00"/>
    <n v="460"/>
    <n v="520"/>
    <n v="486"/>
    <s v="Other pulverizer problems"/>
    <s v="F590Load Reduction #552-3 Mill out of service to replace the dust plate in the pyr"/>
    <s v="Ghent"/>
    <x v="0"/>
    <s v="Coal"/>
    <x v="2"/>
    <x v="0"/>
    <n v="10"/>
    <n v="17.283333333441988"/>
    <n v="1.9942307692433063"/>
    <n v="969.19615385224688"/>
    <n v="56.07692307692308"/>
    <x v="123"/>
  </r>
  <r>
    <x v="4"/>
    <x v="0"/>
    <n v="66"/>
    <n v="340"/>
    <d v="2013-10-22T07:53:00"/>
    <d v="2013-10-22T14:05:00"/>
    <n v="360"/>
    <n v="520"/>
    <n v="486"/>
    <s v="Other pulverizer problems"/>
    <s v="Load Reduction #562-4 Mill off for inspection due to loud noise in grinding sectio"/>
    <s v="Ghent"/>
    <x v="0"/>
    <s v="Coal"/>
    <x v="2"/>
    <x v="0"/>
    <n v="10"/>
    <n v="6.1999999999534339"/>
    <n v="1.9076923076779797"/>
    <n v="927.13846153149814"/>
    <n v="149.53846153846155"/>
    <x v="75"/>
  </r>
  <r>
    <x v="4"/>
    <x v="1"/>
    <n v="67"/>
    <n v="344"/>
    <d v="2013-10-22T22:00:00"/>
    <d v="2013-10-23T00:54:00"/>
    <n v="460"/>
    <n v="520"/>
    <n v="486"/>
    <s v="Pulverizer inspection"/>
    <s v="Load Reduction #572-2 Mill was out of service to inspect the grinding section."/>
    <s v="Ghent"/>
    <x v="0"/>
    <s v="Coal"/>
    <x v="2"/>
    <x v="0"/>
    <n v="10"/>
    <n v="2.9000000000232831"/>
    <n v="0.33461538461807111"/>
    <n v="162.62307692438256"/>
    <n v="56.07692307692308"/>
    <x v="123"/>
  </r>
  <r>
    <x v="4"/>
    <x v="0"/>
    <n v="68"/>
    <n v="350"/>
    <d v="2013-10-23T01:34:00"/>
    <d v="2013-10-23T05:24:00"/>
    <n v="460"/>
    <n v="520"/>
    <n v="486"/>
    <s v="Pulverized fuel and air piping (from pulverizer to wind box)"/>
    <s v="Load Reduction #582-4 Mill off for inspection due to fire on D burner line."/>
    <s v="Ghent"/>
    <x v="0"/>
    <s v="Coal"/>
    <x v="2"/>
    <x v="0"/>
    <n v="10"/>
    <n v="3.8333333332557231"/>
    <n v="0.44230769229873729"/>
    <n v="214.96153845718632"/>
    <n v="56.07692307692308"/>
    <x v="123"/>
  </r>
  <r>
    <x v="4"/>
    <x v="1"/>
    <n v="69"/>
    <n v="340"/>
    <d v="2013-10-24T22:00:00"/>
    <d v="2013-10-25T05:40:00"/>
    <n v="460"/>
    <n v="520"/>
    <n v="486"/>
    <s v="Other pulverizer problems"/>
    <s v="Load Reduction #592-2 Mill out of service to inspect.  Found bad journal."/>
    <s v="Ghent"/>
    <x v="0"/>
    <s v="Coal"/>
    <x v="2"/>
    <x v="0"/>
    <n v="10"/>
    <n v="7.6666666666860692"/>
    <n v="0.88461538461762335"/>
    <n v="429.92307692416495"/>
    <n v="56.07692307692308"/>
    <x v="123"/>
  </r>
  <r>
    <x v="4"/>
    <x v="0"/>
    <n v="70"/>
    <n v="920"/>
    <d v="2013-11-05T23:15:00"/>
    <d v="2013-11-06T04:00:00"/>
    <n v="200"/>
    <n v="520"/>
    <n v="486"/>
    <s v="Other slag and ash removal problems A"/>
    <s v="Load Reduction #60Dropped load to deslag the boiler and to catch up on ash."/>
    <s v="Ghent"/>
    <x v="0"/>
    <s v="Coal"/>
    <x v="2"/>
    <x v="0"/>
    <n v="11"/>
    <n v="4.7499999999417923"/>
    <n v="2.9230769230411031"/>
    <n v="1420.6153845979761"/>
    <n v="299.07692307692309"/>
    <x v="122"/>
  </r>
  <r>
    <x v="4"/>
    <x v="1"/>
    <n v="71"/>
    <n v="3642"/>
    <d v="2013-11-09T09:00:00"/>
    <d v="2013-11-09T18:25:00"/>
    <n v="420"/>
    <n v="520"/>
    <n v="486"/>
    <s v="AC Conductors and buses"/>
    <s v="F610Load Reduction #61Unit limited to 420 MWs due to FGD &quot;A&quot; electrical feed isola"/>
    <s v="Ghent"/>
    <x v="0"/>
    <s v="Coal"/>
    <x v="2"/>
    <x v="0"/>
    <n v="11"/>
    <n v="9.4166666666278616"/>
    <n v="1.8108974358899734"/>
    <n v="880.09615384252709"/>
    <n v="93.461538461538467"/>
    <x v="129"/>
  </r>
  <r>
    <x v="4"/>
    <x v="1"/>
    <n v="72"/>
    <n v="3642"/>
    <d v="2013-11-10T07:36:00"/>
    <d v="2013-11-10T15:07:00"/>
    <n v="420"/>
    <n v="520"/>
    <n v="486"/>
    <s v="AC Conductors and buses"/>
    <s v="F610Load Reduction #62Unit limited to 420 MWs due to FGD &quot;B&quot; electrical feed isola"/>
    <s v="Ghent"/>
    <x v="0"/>
    <s v="Coal"/>
    <x v="2"/>
    <x v="0"/>
    <n v="11"/>
    <n v="7.5166666667209938"/>
    <n v="1.4455128205232681"/>
    <n v="702.51923077430831"/>
    <n v="93.461538461538467"/>
    <x v="129"/>
  </r>
  <r>
    <x v="4"/>
    <x v="0"/>
    <n v="73"/>
    <n v="340"/>
    <d v="2013-11-11T03:10:00"/>
    <d v="2013-11-11T13:07:00"/>
    <n v="460"/>
    <n v="520"/>
    <n v="486"/>
    <s v="Other pulverizer problems"/>
    <s v="Load Reduction #632-2 Mill is out of service due to south journal locking up."/>
    <s v="Ghent"/>
    <x v="0"/>
    <s v="Coal"/>
    <x v="2"/>
    <x v="0"/>
    <n v="11"/>
    <n v="9.9499999999534339"/>
    <n v="1.14807692307155"/>
    <n v="557.96538461277328"/>
    <n v="56.07692307692308"/>
    <x v="123"/>
  </r>
  <r>
    <x v="4"/>
    <x v="0"/>
    <n v="74"/>
    <n v="30"/>
    <d v="2013-12-15T05:52:00"/>
    <d v="2013-12-15T12:00:00"/>
    <n v="400"/>
    <n v="520"/>
    <n v="486"/>
    <s v="Coal conveyors and feeders"/>
    <s v="Load Reduction #641J Conveyor motor went out, couldn't keep silos full.  Dropped l"/>
    <s v="Ghent"/>
    <x v="0"/>
    <s v="Coal"/>
    <x v="2"/>
    <x v="0"/>
    <n v="12"/>
    <n v="6.1333333334187046"/>
    <n v="1.4153846154043164"/>
    <n v="687.87692308649775"/>
    <n v="112.15384615384616"/>
    <x v="38"/>
  </r>
  <r>
    <x v="4"/>
    <x v="5"/>
    <n v="75"/>
    <n v="9020"/>
    <d v="2013-12-21T22:14:00"/>
    <d v="2013-12-22T01:54:00"/>
    <n v="0"/>
    <n v="520"/>
    <n v="486"/>
    <s v="Lightning"/>
    <s v="Outage #11GH2 tripped off line due to loss of power feed to the U2 FGD."/>
    <s v="Ghent"/>
    <x v="3"/>
    <s v="Coal"/>
    <x v="2"/>
    <x v="0"/>
    <n v="12"/>
    <n v="3.6666666667442769"/>
    <n v="3.6666666667442769"/>
    <n v="1782.0000000377186"/>
    <n v="486"/>
    <x v="120"/>
  </r>
  <r>
    <x v="4"/>
    <x v="0"/>
    <n v="76"/>
    <n v="250"/>
    <d v="2013-12-29T02:06:00"/>
    <d v="2013-12-29T06:50:00"/>
    <n v="460"/>
    <n v="520"/>
    <n v="486"/>
    <s v="Pulverizer feeders"/>
    <s v="Load Reduction #652-4 Feeder belt developed a rip."/>
    <s v="Ghent"/>
    <x v="0"/>
    <s v="Coal"/>
    <x v="2"/>
    <x v="0"/>
    <n v="12"/>
    <n v="4.7333333332207985"/>
    <n v="0.54615384614086138"/>
    <n v="265.43076922445863"/>
    <n v="56.07692307692308"/>
    <x v="123"/>
  </r>
  <r>
    <x v="4"/>
    <x v="0"/>
    <n v="1"/>
    <n v="9650"/>
    <d v="2014-01-06T11:20:00"/>
    <d v="2014-01-06T12:00:00"/>
    <n v="347"/>
    <n v="520"/>
    <n v="486"/>
    <s v="Other stack or exhaust emissions (fossil)"/>
    <s v="Load Reduction #1Lost SO3 mitigation system.  Air pressure / injection causing H2S"/>
    <s v="Ghent"/>
    <x v="0"/>
    <s v="Coal"/>
    <x v="2"/>
    <x v="1"/>
    <n v="1"/>
    <n v="0.66666666674427688"/>
    <n v="0.22179487182069213"/>
    <n v="107.79230770485637"/>
    <n v="161.68846153846152"/>
    <x v="130"/>
  </r>
  <r>
    <x v="4"/>
    <x v="1"/>
    <n v="2"/>
    <n v="344"/>
    <d v="2014-01-14T23:43:00"/>
    <d v="2014-01-15T04:11:00"/>
    <n v="450"/>
    <n v="520"/>
    <n v="486"/>
    <s v="Pulverizer inspection"/>
    <s v="Load Reduction #22-6 Mill off to inspect and repair spring can shaft.  "/>
    <s v="Ghent"/>
    <x v="0"/>
    <s v="Coal"/>
    <x v="2"/>
    <x v="1"/>
    <n v="1"/>
    <n v="4.4666666667326353"/>
    <n v="0.60128205129093171"/>
    <n v="292.22307692739281"/>
    <n v="65.42307692307692"/>
    <x v="127"/>
  </r>
  <r>
    <x v="4"/>
    <x v="0"/>
    <n v="3"/>
    <n v="9650"/>
    <d v="2014-01-15T19:20:00"/>
    <d v="2014-01-15T21:03:00"/>
    <n v="420"/>
    <n v="520"/>
    <n v="486"/>
    <s v="Other stack or exhaust emissions (fossil)"/>
    <s v="Load Reduction #3H2SO4 in high alarm.  Dropped load to investigate.  Blower for ou"/>
    <s v="Ghent"/>
    <x v="0"/>
    <s v="Coal"/>
    <x v="2"/>
    <x v="1"/>
    <n v="1"/>
    <n v="1.7166666666744277"/>
    <n v="0.33012820512969765"/>
    <n v="160.44230769303306"/>
    <n v="93.461538461538467"/>
    <x v="129"/>
  </r>
  <r>
    <x v="4"/>
    <x v="1"/>
    <n v="4"/>
    <n v="344"/>
    <d v="2014-01-17T23:30:00"/>
    <d v="2014-01-18T11:44:00"/>
    <n v="460"/>
    <n v="520"/>
    <n v="486"/>
    <s v="Pulverizer inspection"/>
    <s v="Load Reduction #42-6 Mill off for gear box inspection."/>
    <s v="Ghent"/>
    <x v="0"/>
    <s v="Coal"/>
    <x v="2"/>
    <x v="1"/>
    <n v="1"/>
    <n v="12.233333333395422"/>
    <n v="1.4115384615456255"/>
    <n v="686.00769231117397"/>
    <n v="56.07692307692308"/>
    <x v="123"/>
  </r>
  <r>
    <x v="4"/>
    <x v="0"/>
    <n v="5"/>
    <n v="280"/>
    <d v="2014-01-18T13:37:00"/>
    <d v="2014-01-18T14:14:00"/>
    <n v="460"/>
    <n v="520"/>
    <n v="486"/>
    <s v="Pulverizer fires"/>
    <s v="Load Reduction #52-6 Mill off due to fire in the pyrite line."/>
    <s v="Ghent"/>
    <x v="0"/>
    <s v="Coal"/>
    <x v="2"/>
    <x v="1"/>
    <n v="1"/>
    <n v="0.61666666658129543"/>
    <n v="7.1153846143995628E-2"/>
    <n v="34.580769225981875"/>
    <n v="56.07692307692308"/>
    <x v="123"/>
  </r>
  <r>
    <x v="4"/>
    <x v="0"/>
    <n v="6"/>
    <n v="312"/>
    <d v="2014-02-01T14:40:00"/>
    <d v="2014-02-01T18:00:00"/>
    <n v="480"/>
    <n v="520"/>
    <n v="486"/>
    <s v="Pulverizer mill classifiers"/>
    <s v="Load Reduction #62-1 Mill not grinding, took off for inspection."/>
    <s v="Ghent"/>
    <x v="0"/>
    <s v="Coal"/>
    <x v="2"/>
    <x v="1"/>
    <n v="2"/>
    <n v="3.3333333333721384"/>
    <n v="0.25641025641324144"/>
    <n v="124.61538461683534"/>
    <n v="37.384615384615387"/>
    <x v="12"/>
  </r>
  <r>
    <x v="4"/>
    <x v="1"/>
    <n v="7"/>
    <n v="344"/>
    <d v="2014-02-06T23:00:00"/>
    <d v="2014-02-07T01:24:00"/>
    <n v="460"/>
    <n v="520"/>
    <n v="486"/>
    <s v="Pulverizer inspection"/>
    <s v="Load Reduction #72-2 Mill was removed from service to inspect due to high differen"/>
    <s v="Ghent"/>
    <x v="0"/>
    <s v="Coal"/>
    <x v="2"/>
    <x v="1"/>
    <n v="2"/>
    <n v="2.3999999999650754"/>
    <n v="0.27692307691904716"/>
    <n v="134.58461538265692"/>
    <n v="56.07692307692308"/>
    <x v="123"/>
  </r>
  <r>
    <x v="4"/>
    <x v="1"/>
    <n v="8"/>
    <n v="340"/>
    <d v="2014-02-13T23:00:00"/>
    <d v="2014-02-14T02:11:00"/>
    <n v="460"/>
    <n v="520"/>
    <n v="486"/>
    <s v="Other pulverizer problems"/>
    <s v="Load Reduction #82-5 Mill off to replace pyrite scraper."/>
    <s v="Ghent"/>
    <x v="0"/>
    <s v="Coal"/>
    <x v="2"/>
    <x v="1"/>
    <n v="2"/>
    <n v="3.1833333332324401"/>
    <n v="0.36730769229605076"/>
    <n v="178.51153845588067"/>
    <n v="56.07692307692308"/>
    <x v="123"/>
  </r>
  <r>
    <x v="4"/>
    <x v="1"/>
    <n v="9"/>
    <n v="340"/>
    <d v="2014-02-14T02:11:00"/>
    <d v="2014-02-14T03:39:00"/>
    <n v="460"/>
    <n v="520"/>
    <n v="486"/>
    <s v="Other pulverizer problems"/>
    <s v="Load Reduction #92-6 Mill off to inspect grinding section and classifiers."/>
    <s v="Ghent"/>
    <x v="0"/>
    <s v="Coal"/>
    <x v="2"/>
    <x v="1"/>
    <n v="2"/>
    <n v="1.4666666667326353"/>
    <n v="0.16923076923838101"/>
    <n v="82.246153849853172"/>
    <n v="56.07692307692308"/>
    <x v="123"/>
  </r>
  <r>
    <x v="4"/>
    <x v="0"/>
    <n v="10"/>
    <n v="250"/>
    <d v="2014-02-15T03:20:00"/>
    <d v="2014-02-15T10:00:00"/>
    <n v="460"/>
    <n v="520"/>
    <n v="486"/>
    <s v="Pulverizer feeders"/>
    <s v="Load Reduction #102-1 Feeder control issue."/>
    <s v="Ghent"/>
    <x v="0"/>
    <s v="Coal"/>
    <x v="2"/>
    <x v="1"/>
    <n v="2"/>
    <n v="6.6666666665696539"/>
    <n v="0.76923076921957545"/>
    <n v="373.84615384071367"/>
    <n v="56.07692307692308"/>
    <x v="123"/>
  </r>
  <r>
    <x v="4"/>
    <x v="0"/>
    <n v="11"/>
    <n v="340"/>
    <d v="2014-02-17T06:24:00"/>
    <d v="2014-02-17T14:00:00"/>
    <n v="455"/>
    <n v="520"/>
    <n v="486"/>
    <s v="Other pulverizer problems"/>
    <s v="Load Reduction #11Removed 2-4 Mill from service for journal issue."/>
    <s v="Ghent"/>
    <x v="0"/>
    <s v="Coal"/>
    <x v="2"/>
    <x v="1"/>
    <n v="2"/>
    <n v="7.5999999999767169"/>
    <n v="0.94999999999708962"/>
    <n v="461.69999999858555"/>
    <n v="60.75"/>
    <x v="131"/>
  </r>
  <r>
    <x v="4"/>
    <x v="0"/>
    <n v="12"/>
    <n v="250"/>
    <d v="2014-02-19T05:20:00"/>
    <d v="2014-02-19T11:30:00"/>
    <n v="450"/>
    <n v="520"/>
    <n v="486"/>
    <s v="Pulverizer feeders"/>
    <s v="Load Reduction #122-6 Feeder off to replace the belt."/>
    <s v="Ghent"/>
    <x v="0"/>
    <s v="Coal"/>
    <x v="2"/>
    <x v="1"/>
    <n v="2"/>
    <n v="6.1666666666860692"/>
    <n v="0.83012820513081698"/>
    <n v="403.44230769357705"/>
    <n v="65.42307692307692"/>
    <x v="127"/>
  </r>
  <r>
    <x v="4"/>
    <x v="0"/>
    <n v="13"/>
    <n v="344"/>
    <d v="2014-02-24T23:55:00"/>
    <d v="2014-02-25T06:30:00"/>
    <n v="460"/>
    <n v="520"/>
    <n v="486"/>
    <s v="Pulverizer inspection"/>
    <s v="Load Reduction #132-6 Mill off to inspect the grinding section."/>
    <s v="Ghent"/>
    <x v="0"/>
    <s v="Coal"/>
    <x v="2"/>
    <x v="1"/>
    <n v="2"/>
    <n v="6.5833333333139308"/>
    <n v="0.75961538461314582"/>
    <n v="369.17307692198887"/>
    <n v="56.07692307692308"/>
    <x v="123"/>
  </r>
  <r>
    <x v="4"/>
    <x v="0"/>
    <n v="14"/>
    <n v="280"/>
    <d v="2014-02-27T07:34:00"/>
    <d v="2014-02-27T12:11:00"/>
    <n v="460"/>
    <n v="520"/>
    <n v="486"/>
    <s v="Pulverizer fires"/>
    <s v="Load Reduction #14Load was reduced due to a fire in 2-1 Mill."/>
    <s v="Ghent"/>
    <x v="0"/>
    <s v="Coal"/>
    <x v="2"/>
    <x v="1"/>
    <n v="2"/>
    <n v="4.6166666666977108"/>
    <n v="0.53269230769588971"/>
    <n v="258.8884615402024"/>
    <n v="56.07692307692308"/>
    <x v="123"/>
  </r>
  <r>
    <x v="4"/>
    <x v="1"/>
    <n v="15"/>
    <n v="345"/>
    <d v="2014-03-06T12:00:00"/>
    <d v="2014-03-07T22:07:00"/>
    <n v="460"/>
    <n v="520"/>
    <n v="486"/>
    <s v="Pulverizer overhaul"/>
    <s v="Load Reduction #152-4 Mill out of service for scheduled overhaul."/>
    <s v="Ghent"/>
    <x v="0"/>
    <s v="Coal"/>
    <x v="2"/>
    <x v="1"/>
    <n v="3"/>
    <n v="34.116666666639503"/>
    <n v="3.9365384615353274"/>
    <n v="1913.1576923061691"/>
    <n v="56.07692307692308"/>
    <x v="123"/>
  </r>
  <r>
    <x v="4"/>
    <x v="6"/>
    <n v="16"/>
    <n v="1812"/>
    <d v="2014-03-07T22:07:00"/>
    <d v="2014-03-21T11:04:00"/>
    <n v="0"/>
    <n v="520"/>
    <n v="486"/>
    <s v="Boiler Inspections - scheduled or routine"/>
    <s v="F590Outage #1Unit 2 scheduled for Planned Spring Outage.  Removed the unit from se"/>
    <s v="Ghent"/>
    <x v="1"/>
    <s v="Coal"/>
    <x v="2"/>
    <x v="1"/>
    <n v="3"/>
    <n v="324.94999999995343"/>
    <n v="324.94999999995343"/>
    <n v="157925.69999997737"/>
    <n v="486"/>
    <x v="120"/>
  </r>
  <r>
    <x v="4"/>
    <x v="1"/>
    <n v="17"/>
    <n v="345"/>
    <d v="2014-03-21T11:05:00"/>
    <d v="2014-03-27T12:02:00"/>
    <n v="460"/>
    <n v="520"/>
    <n v="486"/>
    <s v="Pulverizer overhaul"/>
    <s v="Load Reduction #162-4 Mill out of service for overhaul."/>
    <s v="Ghent"/>
    <x v="0"/>
    <s v="Coal"/>
    <x v="2"/>
    <x v="1"/>
    <n v="3"/>
    <n v="144.94999999995343"/>
    <n v="16.724999999994626"/>
    <n v="8128.3499999973883"/>
    <n v="56.07692307692308"/>
    <x v="123"/>
  </r>
  <r>
    <x v="4"/>
    <x v="0"/>
    <n v="18"/>
    <n v="1850"/>
    <d v="2014-03-21T19:34:00"/>
    <d v="2014-03-22T06:10:00"/>
    <n v="350"/>
    <n v="520"/>
    <n v="486"/>
    <s v="Boiler water condition (not feedwater water quality)"/>
    <s v="Load Reduction #17Boiler water chemistry - high silica during start up."/>
    <s v="Ghent"/>
    <x v="0"/>
    <s v="Coal"/>
    <x v="2"/>
    <x v="1"/>
    <n v="3"/>
    <n v="10.599999999976717"/>
    <n v="3.4653846153770038"/>
    <n v="1684.1769230732239"/>
    <n v="158.88461538461539"/>
    <x v="68"/>
  </r>
  <r>
    <x v="4"/>
    <x v="0"/>
    <n v="19"/>
    <n v="890"/>
    <d v="2014-03-29T11:16:00"/>
    <d v="2014-03-29T15:40:00"/>
    <n v="420"/>
    <n v="520"/>
    <n v="486"/>
    <s v="Bottom ash systems (wet or dry)"/>
    <s v="Load Reduction #18Unit 2 was derated due to wet ash system pluggage."/>
    <s v="Ghent"/>
    <x v="0"/>
    <s v="Coal"/>
    <x v="2"/>
    <x v="1"/>
    <n v="3"/>
    <n v="4.4000000000232831"/>
    <n v="0.84615384615832367"/>
    <n v="411.23076923294531"/>
    <n v="93.461538461538467"/>
    <x v="129"/>
  </r>
  <r>
    <x v="4"/>
    <x v="0"/>
    <n v="20"/>
    <n v="890"/>
    <d v="2014-04-01T17:32:00"/>
    <d v="2014-04-01T23:33:00"/>
    <n v="300"/>
    <n v="520"/>
    <n v="486"/>
    <s v="Bottom ash systems (wet or dry)"/>
    <s v="Load Reduction #19U2 Wet ash crusher failed and ash was building up."/>
    <s v="Ghent"/>
    <x v="0"/>
    <s v="Coal"/>
    <x v="2"/>
    <x v="1"/>
    <n v="4"/>
    <n v="6.0166666665463708"/>
    <n v="2.545512820461926"/>
    <n v="1237.119230744496"/>
    <n v="205.61538461538461"/>
    <x v="132"/>
  </r>
  <r>
    <x v="4"/>
    <x v="0"/>
    <n v="21"/>
    <n v="890"/>
    <d v="2014-04-01T23:33:00"/>
    <d v="2014-04-02T01:03:00"/>
    <n v="200"/>
    <n v="520"/>
    <n v="486"/>
    <s v="Bottom ash systems (wet or dry)"/>
    <s v="Load Reduction #20U2 Wet ash crusher failed and ash was building up.  The overload"/>
    <s v="Ghent"/>
    <x v="0"/>
    <s v="Coal"/>
    <x v="2"/>
    <x v="1"/>
    <n v="4"/>
    <n v="1.5"/>
    <n v="0.92307692307692313"/>
    <n v="448.61538461538464"/>
    <n v="299.07692307692309"/>
    <x v="122"/>
  </r>
  <r>
    <x v="4"/>
    <x v="0"/>
    <n v="22"/>
    <n v="3820"/>
    <d v="2014-04-03T17:14:00"/>
    <d v="2014-04-03T22:07:00"/>
    <n v="320"/>
    <n v="520"/>
    <n v="486"/>
    <s v="Closed cooling water pumps"/>
    <s v="Load Reduction #21U2 Bearing water pump motors went to ground.  Lost cooling mediu"/>
    <s v="Ghent"/>
    <x v="0"/>
    <s v="Coal"/>
    <x v="2"/>
    <x v="1"/>
    <n v="4"/>
    <n v="4.8833333333604969"/>
    <n v="1.8782051282155758"/>
    <n v="912.80769231276986"/>
    <n v="186.92307692307693"/>
    <x v="121"/>
  </r>
  <r>
    <x v="4"/>
    <x v="0"/>
    <n v="23"/>
    <n v="280"/>
    <d v="2014-04-08T19:29:00"/>
    <d v="2014-04-08T22:04:00"/>
    <n v="500"/>
    <n v="520"/>
    <n v="486"/>
    <s v="Pulverizer fires"/>
    <s v="Load Reduction #222-3 Mill burner fire. Tripped the mill."/>
    <s v="Ghent"/>
    <x v="0"/>
    <s v="Coal"/>
    <x v="2"/>
    <x v="1"/>
    <n v="4"/>
    <n v="2.5833333333721384"/>
    <n v="9.9358974360466867E-2"/>
    <n v="48.288461539186898"/>
    <n v="18.692307692307693"/>
    <x v="54"/>
  </r>
  <r>
    <x v="4"/>
    <x v="0"/>
    <n v="24"/>
    <n v="9270"/>
    <d v="2014-04-09T16:57:00"/>
    <d v="2014-04-09T18:29:00"/>
    <n v="480"/>
    <n v="520"/>
    <n v="486"/>
    <s v="Wet coal"/>
    <s v="Load Reduction #232-4 Feeder tripped due to wet coal plugging feeder discharge thr"/>
    <s v="Ghent"/>
    <x v="0"/>
    <s v="Coal"/>
    <x v="2"/>
    <x v="1"/>
    <n v="4"/>
    <n v="1.5333333332673647"/>
    <n v="0.11794871794364344"/>
    <n v="57.32307692061071"/>
    <n v="37.384615384615387"/>
    <x v="12"/>
  </r>
  <r>
    <x v="4"/>
    <x v="0"/>
    <n v="25"/>
    <n v="346"/>
    <d v="2014-04-10T11:47:00"/>
    <d v="2014-04-10T13:30:00"/>
    <n v="490"/>
    <n v="520"/>
    <n v="486"/>
    <s v="Pulverizer pyrite removal system"/>
    <s v="Load Reduction #242-4 Mill off to inspect the pyrite section."/>
    <s v="Ghent"/>
    <x v="0"/>
    <s v="Coal"/>
    <x v="2"/>
    <x v="1"/>
    <n v="4"/>
    <n v="1.7166666666744277"/>
    <n v="9.9038461538909286E-2"/>
    <n v="48.132692307909913"/>
    <n v="28.03846153846154"/>
    <x v="67"/>
  </r>
  <r>
    <x v="4"/>
    <x v="1"/>
    <n v="26"/>
    <n v="1100"/>
    <d v="2014-04-11T23:00:00"/>
    <d v="2014-04-12T04:00:00"/>
    <n v="210"/>
    <n v="520"/>
    <n v="486"/>
    <s v="Waterwall (Furnace wall) B"/>
    <s v="Load Reduction #25Unit 2 deslag of boiler."/>
    <s v="Ghent"/>
    <x v="0"/>
    <s v="Coal"/>
    <x v="2"/>
    <x v="1"/>
    <n v="4"/>
    <n v="4.9999999998835847"/>
    <n v="2.9807692306998295"/>
    <n v="1448.6538461201171"/>
    <n v="289.73076923076923"/>
    <x v="133"/>
  </r>
  <r>
    <x v="4"/>
    <x v="0"/>
    <n v="27"/>
    <n v="330"/>
    <d v="2014-04-16T23:43:00"/>
    <d v="2014-04-17T00:18:00"/>
    <n v="450"/>
    <n v="520"/>
    <n v="486"/>
    <s v="Pulverizer coal leak (pulverizers only)"/>
    <s v="Load Reduction #262-6 Mill sensing line broke causing coal to leak out."/>
    <s v="Ghent"/>
    <x v="0"/>
    <s v="Coal"/>
    <x v="2"/>
    <x v="1"/>
    <n v="4"/>
    <n v="0.58333333331393078"/>
    <n v="7.8525641023029141E-2"/>
    <n v="38.163461537192163"/>
    <n v="65.42307692307692"/>
    <x v="127"/>
  </r>
  <r>
    <x v="4"/>
    <x v="4"/>
    <n v="28"/>
    <n v="1520"/>
    <d v="2014-04-18T23:39:00"/>
    <d v="2014-04-20T02:52:00"/>
    <n v="0"/>
    <n v="520"/>
    <n v="486"/>
    <s v="Flue gas dampers (except recirculation)"/>
    <s v="F720Outage #2Unit 3 flue gas outlet damper at combined stack with Unit 2 was stick"/>
    <s v="Ghent"/>
    <x v="2"/>
    <s v="Coal"/>
    <x v="2"/>
    <x v="1"/>
    <n v="4"/>
    <n v="27.216666666499805"/>
    <n v="27.216666666499805"/>
    <n v="13227.299999918905"/>
    <n v="486"/>
    <x v="120"/>
  </r>
  <r>
    <x v="4"/>
    <x v="0"/>
    <n v="29"/>
    <n v="320"/>
    <d v="2014-04-25T18:40:00"/>
    <d v="2014-04-25T20:50:00"/>
    <n v="460"/>
    <n v="520"/>
    <n v="486"/>
    <s v="Foreign object in Pulverizers mill"/>
    <s v="Load Reduction #272-1 Mill was removed from service to remove metal from pyrite se"/>
    <s v="Ghent"/>
    <x v="0"/>
    <s v="Coal"/>
    <x v="2"/>
    <x v="1"/>
    <n v="4"/>
    <n v="2.1666666665696539"/>
    <n v="0.24999999998880623"/>
    <n v="121.49999999455983"/>
    <n v="56.07692307692308"/>
    <x v="123"/>
  </r>
  <r>
    <x v="4"/>
    <x v="5"/>
    <n v="30"/>
    <n v="9020"/>
    <d v="2014-04-28T06:35:00"/>
    <d v="2014-04-28T09:19:00"/>
    <n v="0"/>
    <n v="520"/>
    <n v="486"/>
    <s v="Lightning"/>
    <s v="Outage #3Lightning strike triped U2 FGD electric feed, ID fans tripped.  Transform"/>
    <s v="Ghent"/>
    <x v="3"/>
    <s v="Coal"/>
    <x v="2"/>
    <x v="1"/>
    <n v="4"/>
    <n v="2.7333333333372138"/>
    <n v="2.7333333333372138"/>
    <n v="1328.4000000018859"/>
    <n v="486"/>
    <x v="120"/>
  </r>
  <r>
    <x v="4"/>
    <x v="0"/>
    <n v="31"/>
    <n v="3410"/>
    <d v="2014-04-30T08:05:00"/>
    <d v="2014-04-30T08:50:00"/>
    <n v="460"/>
    <n v="520"/>
    <n v="486"/>
    <s v="Feedwater pump"/>
    <s v="Load Reduction #282-4 BCWP seal blew.  The pump was removed from service."/>
    <s v="Ghent"/>
    <x v="0"/>
    <s v="Coal"/>
    <x v="2"/>
    <x v="1"/>
    <n v="4"/>
    <n v="0.75"/>
    <n v="8.6538461538461536E-2"/>
    <n v="42.057692307692307"/>
    <n v="56.07692307692308"/>
    <x v="123"/>
  </r>
  <r>
    <x v="4"/>
    <x v="0"/>
    <n v="32"/>
    <n v="3410"/>
    <d v="2014-04-30T08:50:00"/>
    <d v="2014-05-13T06:10:00"/>
    <n v="505"/>
    <n v="520"/>
    <n v="486"/>
    <s v="Feedwater pump"/>
    <s v="Load Reduction #292-4 BCWP is out of service due to a blown seal.Note:  This i"/>
    <s v="Ghent"/>
    <x v="0"/>
    <s v="Coal"/>
    <x v="2"/>
    <x v="1"/>
    <n v="4"/>
    <n v="309.33333333337214"/>
    <n v="8.9230769230780425"/>
    <n v="4336.6153846159286"/>
    <n v="14.01923076923077"/>
    <x v="61"/>
  </r>
  <r>
    <x v="4"/>
    <x v="0"/>
    <n v="33"/>
    <n v="1455"/>
    <d v="2014-05-15T12:10:00"/>
    <d v="2014-05-15T13:10:00"/>
    <n v="250"/>
    <n v="520"/>
    <n v="486"/>
    <s v="Induced draft fans"/>
    <s v="Load Reduction #302-2 ID Fan tripped on high vibration."/>
    <s v="Ghent"/>
    <x v="0"/>
    <s v="Coal"/>
    <x v="2"/>
    <x v="1"/>
    <n v="5"/>
    <n v="0.99999999994179234"/>
    <n v="0.51923076920054601"/>
    <n v="252.34615383146536"/>
    <n v="252.34615384615384"/>
    <x v="126"/>
  </r>
  <r>
    <x v="4"/>
    <x v="1"/>
    <n v="34"/>
    <n v="3812"/>
    <d v="2014-05-17T05:01:00"/>
    <d v="2014-05-17T08:09:00"/>
    <n v="200"/>
    <n v="520"/>
    <n v="486"/>
    <s v="Service water valves"/>
    <s v="Load Reduction #31Unit load was reduced to remove LPSW from service in order to re"/>
    <s v="Ghent"/>
    <x v="0"/>
    <s v="Coal"/>
    <x v="2"/>
    <x v="1"/>
    <n v="5"/>
    <n v="3.1333333334187046"/>
    <n v="1.9282051282576644"/>
    <n v="937.10769233322492"/>
    <n v="299.07692307692309"/>
    <x v="122"/>
  </r>
  <r>
    <x v="4"/>
    <x v="0"/>
    <n v="35"/>
    <n v="344"/>
    <d v="2014-05-31T13:57:00"/>
    <d v="2014-05-31T15:22:00"/>
    <n v="460"/>
    <n v="520"/>
    <n v="486"/>
    <s v="Pulverizer inspection"/>
    <s v="Load Reduction #322-6 Mill off for inspection.  Not grinding and making noise."/>
    <s v="Ghent"/>
    <x v="0"/>
    <s v="Coal"/>
    <x v="2"/>
    <x v="1"/>
    <n v="5"/>
    <n v="1.4166666665696539"/>
    <n v="0.16346153845034467"/>
    <n v="79.442307686867508"/>
    <n v="56.07692307692308"/>
    <x v="123"/>
  </r>
  <r>
    <x v="4"/>
    <x v="1"/>
    <n v="36"/>
    <n v="1471"/>
    <d v="2014-06-02T23:00:00"/>
    <d v="2014-06-03T04:46:00"/>
    <n v="200"/>
    <n v="520"/>
    <n v="486"/>
    <s v="Induced draft fan motors - variable speed"/>
    <s v="Load Reduction #332-1 ID Fan off for VFD coolant leak repair."/>
    <s v="Ghent"/>
    <x v="0"/>
    <s v="Coal"/>
    <x v="2"/>
    <x v="1"/>
    <n v="6"/>
    <n v="5.7666666666045785"/>
    <n v="3.5487179486797404"/>
    <n v="1724.6769230583539"/>
    <n v="299.07692307692309"/>
    <x v="122"/>
  </r>
  <r>
    <x v="4"/>
    <x v="0"/>
    <n v="37"/>
    <n v="280"/>
    <d v="2014-06-05T14:55:00"/>
    <d v="2014-06-05T17:46:00"/>
    <n v="490"/>
    <n v="520"/>
    <n v="486"/>
    <s v="Pulverizer fires"/>
    <s v="Load Reduction #342-5 Mill had a fire in the grinding section.  Took off mill to i"/>
    <s v="Ghent"/>
    <x v="0"/>
    <s v="Coal"/>
    <x v="2"/>
    <x v="1"/>
    <n v="6"/>
    <n v="2.8499999998603016"/>
    <n v="0.1644230769150174"/>
    <n v="79.909615380698455"/>
    <n v="28.03846153846154"/>
    <x v="67"/>
  </r>
  <r>
    <x v="4"/>
    <x v="0"/>
    <n v="38"/>
    <n v="360"/>
    <d v="2014-06-14T12:55:00"/>
    <d v="2014-06-14T15:05:00"/>
    <n v="440"/>
    <n v="520"/>
    <n v="486"/>
    <s v="Burners"/>
    <s v="Load Reduction #352-6 Mill off due to &quot;A&quot; burner temp high."/>
    <s v="Ghent"/>
    <x v="0"/>
    <s v="Coal"/>
    <x v="2"/>
    <x v="1"/>
    <n v="6"/>
    <n v="2.1666666665696539"/>
    <n v="0.33333333331840831"/>
    <n v="161.99999999274644"/>
    <n v="74.769230769230774"/>
    <x v="34"/>
  </r>
  <r>
    <x v="4"/>
    <x v="1"/>
    <n v="39"/>
    <n v="1470"/>
    <d v="2014-06-20T21:30:00"/>
    <d v="2014-06-21T03:27:00"/>
    <n v="240"/>
    <n v="520"/>
    <n v="486"/>
    <s v="Induced draft fan motors and drives"/>
    <s v="Load Reduction #362-1 ID fan off to repair coolant leak on the VFD."/>
    <s v="Ghent"/>
    <x v="0"/>
    <s v="Coal"/>
    <x v="2"/>
    <x v="1"/>
    <n v="6"/>
    <n v="5.9500000000116415"/>
    <n v="3.2038461538524223"/>
    <n v="1557.0692307722773"/>
    <n v="261.69230769230768"/>
    <x v="134"/>
  </r>
  <r>
    <x v="4"/>
    <x v="0"/>
    <n v="40"/>
    <n v="3414"/>
    <d v="2014-06-23T20:25:00"/>
    <d v="2014-06-23T21:34:00"/>
    <n v="340"/>
    <n v="520"/>
    <n v="486"/>
    <s v="Feedwater pump local controls"/>
    <s v="Load Reduction #372-1 BFP tripped due to loss of vacuum on auxiliary condenser."/>
    <s v="Ghent"/>
    <x v="0"/>
    <s v="Coal"/>
    <x v="2"/>
    <x v="1"/>
    <n v="6"/>
    <n v="1.1499999999068677"/>
    <n v="0.398076923044685"/>
    <n v="193.46538459971691"/>
    <n v="168.23076923076923"/>
    <x v="88"/>
  </r>
  <r>
    <x v="4"/>
    <x v="1"/>
    <n v="41"/>
    <n v="344"/>
    <d v="2014-06-30T23:00:00"/>
    <d v="2014-07-01T03:11:00"/>
    <n v="460"/>
    <n v="520"/>
    <n v="486"/>
    <s v="Pulverizer inspection"/>
    <s v="Load Reduction #382-5 Mill off to inspect a noise in the pyrite section."/>
    <s v="Ghent"/>
    <x v="0"/>
    <s v="Coal"/>
    <x v="2"/>
    <x v="1"/>
    <n v="6"/>
    <n v="4.1833333333488554"/>
    <n v="0.48269230769409871"/>
    <n v="234.58846153933197"/>
    <n v="56.07692307692308"/>
    <x v="123"/>
  </r>
  <r>
    <x v="4"/>
    <x v="1"/>
    <n v="42"/>
    <n v="344"/>
    <d v="2014-07-02T23:00:00"/>
    <d v="2014-07-03T01:36:00"/>
    <n v="460"/>
    <n v="520"/>
    <n v="486"/>
    <s v="Pulverizer inspection"/>
    <s v="Load Reduction #392-3 Mill off to inspect the grinding section and calibrate the f"/>
    <s v="Ghent"/>
    <x v="0"/>
    <s v="Coal"/>
    <x v="2"/>
    <x v="1"/>
    <n v="7"/>
    <n v="2.5999999999185093"/>
    <n v="0.29999999999059723"/>
    <n v="145.79999999543026"/>
    <n v="56.07692307692308"/>
    <x v="123"/>
  </r>
  <r>
    <x v="4"/>
    <x v="0"/>
    <n v="43"/>
    <n v="346"/>
    <d v="2014-07-18T00:10:00"/>
    <d v="2014-07-18T02:10:00"/>
    <n v="470"/>
    <n v="520"/>
    <n v="486"/>
    <s v="Pulverizer pyrite removal system"/>
    <s v="Load Reduction #402-5 Mill pyrite scraper broke."/>
    <s v="Ghent"/>
    <x v="0"/>
    <s v="Coal"/>
    <x v="2"/>
    <x v="1"/>
    <n v="7"/>
    <n v="2.0000000000582077"/>
    <n v="0.1923076923132892"/>
    <n v="93.461538464258552"/>
    <n v="46.730769230769234"/>
    <x v="119"/>
  </r>
  <r>
    <x v="4"/>
    <x v="0"/>
    <n v="44"/>
    <n v="346"/>
    <d v="2014-07-22T03:04:00"/>
    <d v="2014-07-22T05:11:00"/>
    <n v="460"/>
    <n v="520"/>
    <n v="486"/>
    <s v="Pulverizer pyrite removal system"/>
    <s v="Load Reduction #412-5 Mill off to replace a pyrite scraper that had broken off."/>
    <s v="Ghent"/>
    <x v="0"/>
    <s v="Coal"/>
    <x v="2"/>
    <x v="1"/>
    <n v="7"/>
    <n v="2.1166666665812954"/>
    <n v="0.24423076922091871"/>
    <n v="118.6961538413665"/>
    <n v="56.07692307692308"/>
    <x v="123"/>
  </r>
  <r>
    <x v="4"/>
    <x v="5"/>
    <n v="45"/>
    <n v="3416"/>
    <d v="2014-07-23T09:00:00"/>
    <d v="2014-07-23T14:33:00"/>
    <n v="0"/>
    <n v="520"/>
    <n v="486"/>
    <s v="Other feedwater pump problems"/>
    <s v="Outage #4While pulling the breaker for 2-1 BFPT High Pressure Oil Control Fluid Pu"/>
    <s v="Ghent"/>
    <x v="3"/>
    <s v="Coal"/>
    <x v="2"/>
    <x v="1"/>
    <n v="7"/>
    <n v="5.5499999999301508"/>
    <n v="5.5499999999301508"/>
    <n v="2697.2999999660533"/>
    <n v="486"/>
    <x v="120"/>
  </r>
  <r>
    <x v="4"/>
    <x v="0"/>
    <n v="46"/>
    <n v="1850"/>
    <d v="2014-07-23T20:35:00"/>
    <d v="2014-07-23T22:20:00"/>
    <n v="450"/>
    <n v="520"/>
    <n v="486"/>
    <s v="Boiler water condition (not feedwater water quality)"/>
    <s v="Load Reduction #42The unit was limited on drum pressure due to boiler chemistry af"/>
    <s v="Ghent"/>
    <x v="0"/>
    <s v="Coal"/>
    <x v="2"/>
    <x v="1"/>
    <n v="7"/>
    <n v="1.7499999999417923"/>
    <n v="0.23557692306908742"/>
    <n v="114.49038461157649"/>
    <n v="65.42307692307692"/>
    <x v="127"/>
  </r>
  <r>
    <x v="4"/>
    <x v="0"/>
    <n v="47"/>
    <n v="320"/>
    <d v="2014-07-27T08:22:00"/>
    <d v="2014-07-27T09:20:00"/>
    <n v="460"/>
    <n v="520"/>
    <n v="486"/>
    <s v="Foreign object in Pulverizers mill"/>
    <s v="Load Reduction #432-1 Mill out of service to inspect grinding section.  Mill had p"/>
    <s v="Ghent"/>
    <x v="0"/>
    <s v="Coal"/>
    <x v="2"/>
    <x v="1"/>
    <n v="7"/>
    <n v="0.96666666667442769"/>
    <n v="0.11153846153935704"/>
    <n v="54.20769230812752"/>
    <n v="56.07692307692308"/>
    <x v="123"/>
  </r>
  <r>
    <x v="4"/>
    <x v="0"/>
    <n v="48"/>
    <n v="250"/>
    <d v="2014-07-27T10:05:00"/>
    <d v="2014-07-27T12:50:00"/>
    <n v="460"/>
    <n v="520"/>
    <n v="486"/>
    <s v="Pulverizer feeders"/>
    <s v="Load Reduction #442-1 Feeder would not start.  Electrical and Instrument shops che"/>
    <s v="Ghent"/>
    <x v="0"/>
    <s v="Coal"/>
    <x v="2"/>
    <x v="1"/>
    <n v="7"/>
    <n v="2.7499999998835847"/>
    <n v="0.31730769229425976"/>
    <n v="154.21153845501024"/>
    <n v="56.07692307692308"/>
    <x v="123"/>
  </r>
  <r>
    <x v="4"/>
    <x v="1"/>
    <n v="49"/>
    <n v="3682"/>
    <d v="2014-07-29T05:00:00"/>
    <d v="2014-07-29T16:44:00"/>
    <n v="250"/>
    <n v="520"/>
    <n v="486"/>
    <s v="Other voltage system conductors and buses"/>
    <s v="Load Reduction #45Unit 2 was limited due to North Bus outage to tie in for the new"/>
    <s v="Ghent"/>
    <x v="0"/>
    <s v="Coal"/>
    <x v="2"/>
    <x v="1"/>
    <n v="7"/>
    <n v="11.733333333337214"/>
    <n v="6.0923076923097073"/>
    <n v="2960.8615384625177"/>
    <n v="252.34615384615384"/>
    <x v="126"/>
  </r>
  <r>
    <x v="4"/>
    <x v="0"/>
    <n v="50"/>
    <n v="344"/>
    <d v="2014-07-31T14:10:00"/>
    <d v="2014-07-31T15:48:00"/>
    <n v="480"/>
    <n v="520"/>
    <n v="486"/>
    <s v="Pulverizer inspection"/>
    <s v="Load Reduction #462-3 Mill was off to inspect grinding section after high temperat"/>
    <s v="Ghent"/>
    <x v="0"/>
    <s v="Coal"/>
    <x v="2"/>
    <x v="1"/>
    <n v="7"/>
    <n v="1.6333333332440816"/>
    <n v="0.12564102563416013"/>
    <n v="61.061538458201824"/>
    <n v="37.384615384615387"/>
    <x v="12"/>
  </r>
  <r>
    <x v="4"/>
    <x v="0"/>
    <n v="51"/>
    <n v="340"/>
    <d v="2014-08-02T19:38:00"/>
    <d v="2014-08-03T06:35:00"/>
    <n v="460"/>
    <n v="520"/>
    <n v="486"/>
    <s v="Other pulverizer problems"/>
    <s v="Load Reduction #472-5 Mill had grinding issues.  Took mill off to inspect."/>
    <s v="Ghent"/>
    <x v="0"/>
    <s v="Coal"/>
    <x v="2"/>
    <x v="1"/>
    <n v="8"/>
    <n v="10.949999999895226"/>
    <n v="1.2634615384494492"/>
    <n v="614.04230768643231"/>
    <n v="56.07692307692308"/>
    <x v="123"/>
  </r>
  <r>
    <x v="4"/>
    <x v="0"/>
    <n v="52"/>
    <n v="340"/>
    <d v="2014-08-09T23:28:00"/>
    <d v="2014-08-10T01:44:00"/>
    <n v="480"/>
    <n v="520"/>
    <n v="486"/>
    <s v="Other pulverizer problems"/>
    <s v="Load Reduction #482-Mill off to inspect grinding section for vibration."/>
    <s v="Ghent"/>
    <x v="0"/>
    <s v="Coal"/>
    <x v="2"/>
    <x v="1"/>
    <n v="8"/>
    <n v="2.2666666667209938"/>
    <n v="0.17435897436315337"/>
    <n v="84.738461540492537"/>
    <n v="37.384615384615387"/>
    <x v="12"/>
  </r>
  <r>
    <x v="4"/>
    <x v="0"/>
    <n v="53"/>
    <n v="340"/>
    <d v="2014-08-10T21:00:00"/>
    <d v="2014-08-11T01:56:00"/>
    <n v="480"/>
    <n v="520"/>
    <n v="486"/>
    <s v="Other pulverizer problems"/>
    <s v="Load Reduction #492-5 Mill off to inspect grinding section for vibration."/>
    <s v="Ghent"/>
    <x v="0"/>
    <s v="Coal"/>
    <x v="2"/>
    <x v="1"/>
    <n v="8"/>
    <n v="4.9333333333488554"/>
    <n v="0.37948717948837352"/>
    <n v="184.43076923134953"/>
    <n v="37.384615384615387"/>
    <x v="12"/>
  </r>
  <r>
    <x v="4"/>
    <x v="0"/>
    <n v="54"/>
    <n v="344"/>
    <d v="2014-08-13T11:00:00"/>
    <d v="2014-08-13T13:18:00"/>
    <n v="460"/>
    <n v="520"/>
    <n v="486"/>
    <s v="Pulverizer inspection"/>
    <s v="Load Reduction #502-3 Mill off for inspection due to noise in pyrite section."/>
    <s v="Ghent"/>
    <x v="0"/>
    <s v="Coal"/>
    <x v="2"/>
    <x v="1"/>
    <n v="8"/>
    <n v="2.2999999999883585"/>
    <n v="0.26538461538327213"/>
    <n v="128.97692307627025"/>
    <n v="56.07692307692308"/>
    <x v="123"/>
  </r>
  <r>
    <x v="4"/>
    <x v="1"/>
    <n v="55"/>
    <n v="250"/>
    <d v="2014-08-14T22:00:00"/>
    <d v="2014-08-14T23:45:00"/>
    <n v="460"/>
    <n v="520"/>
    <n v="486"/>
    <s v="Pulverizer feeders"/>
    <s v="Load Reduction #512-3 Feeder was out of service to replace the belt and inspect th"/>
    <s v="Ghent"/>
    <x v="0"/>
    <s v="Coal"/>
    <x v="2"/>
    <x v="1"/>
    <n v="8"/>
    <n v="1.7500000001164153"/>
    <n v="0.20192307693650946"/>
    <n v="98.134615391143598"/>
    <n v="56.07692307692308"/>
    <x v="123"/>
  </r>
  <r>
    <x v="4"/>
    <x v="1"/>
    <n v="56"/>
    <n v="340"/>
    <d v="2014-08-23T22:00:00"/>
    <d v="2014-08-24T01:00:00"/>
    <n v="460"/>
    <n v="520"/>
    <n v="486"/>
    <s v="Other pulverizer problems"/>
    <s v="Load Reduction #522-5 Mill off to repair coal leak."/>
    <s v="Ghent"/>
    <x v="0"/>
    <s v="Coal"/>
    <x v="2"/>
    <x v="1"/>
    <n v="8"/>
    <n v="3"/>
    <n v="0.34615384615384615"/>
    <n v="168.23076923076923"/>
    <n v="56.07692307692308"/>
    <x v="123"/>
  </r>
  <r>
    <x v="4"/>
    <x v="0"/>
    <n v="57"/>
    <n v="320"/>
    <d v="2014-08-28T15:27:00"/>
    <d v="2014-08-28T19:38:00"/>
    <n v="460"/>
    <n v="520"/>
    <n v="486"/>
    <s v="Foreign object in Pulverizers mill"/>
    <s v="Load Reduction #532-5 Mill off to inspect for noise in the pyrite section."/>
    <s v="Ghent"/>
    <x v="0"/>
    <s v="Coal"/>
    <x v="2"/>
    <x v="1"/>
    <n v="8"/>
    <n v="4.1833333333488554"/>
    <n v="0.48269230769409871"/>
    <n v="234.58846153933197"/>
    <n v="56.07692307692308"/>
    <x v="123"/>
  </r>
  <r>
    <x v="4"/>
    <x v="0"/>
    <n v="58"/>
    <n v="350"/>
    <d v="2014-09-02T18:02:00"/>
    <d v="2014-09-02T19:43:00"/>
    <n v="460"/>
    <n v="520"/>
    <n v="486"/>
    <s v="Pulverized fuel and air piping (from pulverizer to wind box)"/>
    <s v="Load Reduction #542-2 Mill had a coal leak.  Took mill off to repair."/>
    <s v="Ghent"/>
    <x v="0"/>
    <s v="Coal"/>
    <x v="2"/>
    <x v="1"/>
    <n v="9"/>
    <n v="1.683333333407063"/>
    <n v="0.19423076923927651"/>
    <n v="94.396153850288385"/>
    <n v="56.07692307692308"/>
    <x v="123"/>
  </r>
  <r>
    <x v="4"/>
    <x v="0"/>
    <n v="60"/>
    <n v="350"/>
    <d v="2014-09-02T19:43:00"/>
    <d v="2014-09-03T10:46:00"/>
    <n v="460"/>
    <n v="520"/>
    <n v="486"/>
    <s v="Pulverized fuel and air piping (from pulverizer to wind box)"/>
    <s v="Load Reduction #55Removed 2-3 mill from service to repair coal leak."/>
    <s v="Ghent"/>
    <x v="0"/>
    <s v="Coal"/>
    <x v="2"/>
    <x v="1"/>
    <n v="9"/>
    <n v="15.049999999988358"/>
    <n v="1.7365384615371182"/>
    <n v="843.95769230703945"/>
    <n v="56.07692307692308"/>
    <x v="123"/>
  </r>
  <r>
    <x v="4"/>
    <x v="0"/>
    <n v="61"/>
    <n v="9650"/>
    <d v="2014-09-03T20:48:00"/>
    <d v="2014-09-03T22:04:00"/>
    <n v="450"/>
    <n v="520"/>
    <n v="486"/>
    <s v="Other stack or exhaust emissions (fossil)"/>
    <s v="Load Reduction #56GH2 H2S04 was running high.  Dropped load to keep in compliance."/>
    <s v="Ghent"/>
    <x v="0"/>
    <s v="Coal"/>
    <x v="2"/>
    <x v="1"/>
    <n v="9"/>
    <n v="1.2666666666045785"/>
    <n v="0.17051282050446248"/>
    <n v="82.869230765168766"/>
    <n v="65.42307692307692"/>
    <x v="127"/>
  </r>
  <r>
    <x v="4"/>
    <x v="0"/>
    <n v="62"/>
    <n v="9650"/>
    <d v="2014-09-04T17:19:00"/>
    <d v="2014-09-04T19:02:00"/>
    <n v="460"/>
    <n v="520"/>
    <n v="486"/>
    <s v="Other stack or exhaust emissions (fossil)"/>
    <s v="Load Reduction #57Dropped load to keep H2S04 within limit."/>
    <s v="Ghent"/>
    <x v="0"/>
    <s v="Coal"/>
    <x v="2"/>
    <x v="1"/>
    <n v="9"/>
    <n v="1.7166666666744277"/>
    <n v="0.19807692307781857"/>
    <n v="96.265384615819826"/>
    <n v="56.07692307692308"/>
    <x v="123"/>
  </r>
  <r>
    <x v="4"/>
    <x v="0"/>
    <n v="63"/>
    <n v="9650"/>
    <d v="2014-09-05T19:22:00"/>
    <d v="2014-09-06T00:05:00"/>
    <n v="417"/>
    <n v="520"/>
    <n v="486"/>
    <s v="Other stack or exhaust emissions (fossil)"/>
    <s v="Load Reduction #58Dropped load to keep H2S04 within limit.  Four of 6 inlet inject"/>
    <s v="Ghent"/>
    <x v="0"/>
    <s v="Coal"/>
    <x v="2"/>
    <x v="1"/>
    <n v="9"/>
    <n v="4.7166666666744277"/>
    <n v="0.93426282051435783"/>
    <n v="454.05173076997789"/>
    <n v="96.265384615384619"/>
    <x v="41"/>
  </r>
  <r>
    <x v="4"/>
    <x v="0"/>
    <n v="64"/>
    <n v="320"/>
    <d v="2014-09-09T21:35:00"/>
    <d v="2014-09-09T23:00:00"/>
    <n v="460"/>
    <n v="520"/>
    <n v="486"/>
    <s v="Foreign object in Pulverizers mill"/>
    <s v="Load Reduction #59Removed 2-2 Mill from service due to metal in the grinding secti"/>
    <s v="Ghent"/>
    <x v="0"/>
    <s v="Coal"/>
    <x v="2"/>
    <x v="1"/>
    <n v="9"/>
    <n v="1.4166666667442769"/>
    <n v="0.16346153847049349"/>
    <n v="79.442307696659839"/>
    <n v="56.07692307692308"/>
    <x v="123"/>
  </r>
  <r>
    <x v="4"/>
    <x v="0"/>
    <n v="65"/>
    <n v="340"/>
    <d v="2014-09-10T09:46:00"/>
    <d v="2014-09-10T14:31:00"/>
    <n v="460"/>
    <n v="520"/>
    <n v="486"/>
    <s v="Other pulverizer problems"/>
    <s v="Load Reduction #60Removed 2-2 Mill from service to replace the east journal.  This"/>
    <s v="Ghent"/>
    <x v="0"/>
    <s v="Coal"/>
    <x v="2"/>
    <x v="1"/>
    <n v="9"/>
    <n v="4.7499999999417923"/>
    <n v="0.54807692307020683"/>
    <n v="266.36538461212052"/>
    <n v="56.07692307692308"/>
    <x v="123"/>
  </r>
  <r>
    <x v="4"/>
    <x v="0"/>
    <n v="66"/>
    <n v="267"/>
    <d v="2014-09-18T22:58:00"/>
    <d v="2014-09-18T23:46:00"/>
    <n v="427"/>
    <n v="520"/>
    <n v="486"/>
    <s v="Primary air flow instrumentation"/>
    <s v="Load Reduction #61Unit 2 was derated due to changing out primary air control trans"/>
    <s v="Ghent"/>
    <x v="0"/>
    <s v="Coal"/>
    <x v="2"/>
    <x v="1"/>
    <n v="9"/>
    <n v="0.79999999998835847"/>
    <n v="0.14307692307484104"/>
    <n v="69.535384614372745"/>
    <n v="86.919230769230765"/>
    <x v="47"/>
  </r>
  <r>
    <x v="4"/>
    <x v="0"/>
    <n v="67"/>
    <n v="9650"/>
    <d v="2014-09-22T05:20:00"/>
    <d v="2014-09-22T09:58:00"/>
    <n v="200"/>
    <n v="520"/>
    <n v="486"/>
    <s v="Other stack or exhaust emissions (fossil)"/>
    <s v="Load Reduction #62Unit is limited due to H2SO4 emission being high.  Outlet inject"/>
    <s v="Ghent"/>
    <x v="0"/>
    <s v="Coal"/>
    <x v="2"/>
    <x v="1"/>
    <n v="9"/>
    <n v="4.6333333334187046"/>
    <n v="2.8512820513345876"/>
    <n v="1385.7230769486096"/>
    <n v="299.07692307692309"/>
    <x v="122"/>
  </r>
  <r>
    <x v="4"/>
    <x v="1"/>
    <n v="68"/>
    <n v="345"/>
    <d v="2014-09-24T05:32:00"/>
    <d v="2014-09-30T23:59:00"/>
    <n v="460"/>
    <n v="520"/>
    <n v="486"/>
    <s v="Pulverizer overhaul"/>
    <s v="Load Reduction #63Planned overhaul on 2-6 mill."/>
    <s v="Ghent"/>
    <x v="0"/>
    <s v="Coal"/>
    <x v="2"/>
    <x v="1"/>
    <n v="9"/>
    <n v="162.44999999989523"/>
    <n v="18.744230769218682"/>
    <n v="9109.6961538402793"/>
    <n v="56.07692307692308"/>
    <x v="123"/>
  </r>
  <r>
    <x v="4"/>
    <x v="4"/>
    <n v="69"/>
    <n v="1999"/>
    <d v="2014-09-24T11:03:00"/>
    <d v="2014-09-28T02:53:00"/>
    <n v="0"/>
    <n v="520"/>
    <n v="486"/>
    <s v="Boiler"/>
    <s v="Outage #5Unit 2 came off line to tie in the new auxiliary sump lines for KBR."/>
    <s v="Ghent"/>
    <x v="2"/>
    <s v="Coal"/>
    <x v="2"/>
    <x v="1"/>
    <n v="9"/>
    <n v="87.833333333255723"/>
    <n v="87.833333333255723"/>
    <n v="42686.999999962281"/>
    <n v="486"/>
    <x v="120"/>
  </r>
  <r>
    <x v="4"/>
    <x v="0"/>
    <n v="70"/>
    <n v="1850"/>
    <d v="2014-09-28T10:53:00"/>
    <d v="2014-09-28T11:21:00"/>
    <n v="400"/>
    <n v="520"/>
    <n v="486"/>
    <s v="Boiler water condition (not feedwater water quality)"/>
    <s v="Load Reduction #64Boiler drum pressure was limited due to high silica."/>
    <s v="Ghent"/>
    <x v="0"/>
    <s v="Coal"/>
    <x v="2"/>
    <x v="1"/>
    <n v="9"/>
    <n v="0.46666666661622003"/>
    <n v="0.10769230768066616"/>
    <n v="52.338461532803755"/>
    <n v="112.15384615384616"/>
    <x v="38"/>
  </r>
  <r>
    <x v="4"/>
    <x v="0"/>
    <n v="71"/>
    <n v="346"/>
    <d v="2014-09-28T18:54:00"/>
    <d v="2014-09-28T20:48:00"/>
    <n v="370"/>
    <n v="520"/>
    <n v="486"/>
    <s v="Pulverizer pyrite removal system"/>
    <s v="Load Reduction #652-4 Mill pyrite chute plugged.  Took mill off to inspect the pyr"/>
    <s v="Ghent"/>
    <x v="0"/>
    <s v="Coal"/>
    <x v="2"/>
    <x v="1"/>
    <n v="9"/>
    <n v="1.9000000000814907"/>
    <n v="0.54807692310042999"/>
    <n v="266.36538462680898"/>
    <n v="140.19230769230768"/>
    <x v="135"/>
  </r>
  <r>
    <x v="4"/>
    <x v="1"/>
    <n v="72"/>
    <n v="345"/>
    <d v="2014-10-01T00:01:00"/>
    <d v="2014-10-13T08:35:00"/>
    <n v="460"/>
    <n v="520"/>
    <n v="486"/>
    <s v="Pulverizer overhaul"/>
    <s v="Load Reduction #66Planned overhaul on 2-6 Mill."/>
    <s v="Ghent"/>
    <x v="0"/>
    <s v="Coal"/>
    <x v="2"/>
    <x v="1"/>
    <n v="10"/>
    <n v="296.56666666665114"/>
    <n v="34.219230769228979"/>
    <n v="16630.546153845284"/>
    <n v="56.07692307692308"/>
    <x v="123"/>
  </r>
  <r>
    <x v="4"/>
    <x v="0"/>
    <n v="73"/>
    <n v="344"/>
    <d v="2014-10-06T18:18:00"/>
    <d v="2014-10-06T23:11:00"/>
    <n v="370"/>
    <n v="520"/>
    <n v="486"/>
    <s v="Pulverizer inspection"/>
    <s v="Load Reduction #672-4 Mill off to inspect grinding section due to mill dumping coa"/>
    <s v="Ghent"/>
    <x v="0"/>
    <s v="Coal"/>
    <x v="2"/>
    <x v="1"/>
    <n v="10"/>
    <n v="4.8833333333604969"/>
    <n v="1.4086538461616818"/>
    <n v="684.60576923457734"/>
    <n v="140.19230769230768"/>
    <x v="135"/>
  </r>
  <r>
    <x v="4"/>
    <x v="0"/>
    <n v="74"/>
    <n v="350"/>
    <d v="2014-10-13T16:20:00"/>
    <d v="2014-10-13T18:20:00"/>
    <n v="460"/>
    <n v="520"/>
    <n v="486"/>
    <s v="Pulverized fuel and air piping (from pulverizer to wind box)"/>
    <s v="Load Reduction #682-6 A Burner line was leaking at flange next to the boiler.  Too"/>
    <s v="Ghent"/>
    <x v="0"/>
    <s v="Coal"/>
    <x v="2"/>
    <x v="1"/>
    <n v="10"/>
    <n v="2.0000000000582077"/>
    <n v="0.23076923077594705"/>
    <n v="112.15384615711027"/>
    <n v="56.07692307692308"/>
    <x v="123"/>
  </r>
  <r>
    <x v="4"/>
    <x v="5"/>
    <n v="75"/>
    <n v="4619"/>
    <d v="2014-10-16T07:55:00"/>
    <d v="2014-10-16T08:59:00"/>
    <n v="0"/>
    <n v="520"/>
    <n v="486"/>
    <s v="Other hydrogen system problems"/>
    <s v="Outage #6Unit 2 tripped off line when a fuse blew in the Generator Hydrogen cabine"/>
    <s v="Ghent"/>
    <x v="3"/>
    <s v="Coal"/>
    <x v="2"/>
    <x v="1"/>
    <n v="10"/>
    <n v="1.0666666666511446"/>
    <n v="1.0666666666511446"/>
    <n v="518.39999999245629"/>
    <n v="486"/>
    <x v="120"/>
  </r>
  <r>
    <x v="4"/>
    <x v="0"/>
    <n v="76"/>
    <n v="350"/>
    <d v="2014-10-18T22:33:00"/>
    <d v="2014-10-19T23:02:00"/>
    <n v="460"/>
    <n v="520"/>
    <n v="486"/>
    <s v="Pulverized fuel and air piping (from pulverizer to wind box)"/>
    <s v="Load Reduction #692-4 Mill off due to high burner temperature on 'C' burner."/>
    <s v="Ghent"/>
    <x v="0"/>
    <s v="Coal"/>
    <x v="2"/>
    <x v="1"/>
    <n v="10"/>
    <n v="24.483333333337214"/>
    <n v="2.8250000000004478"/>
    <n v="1372.9500000002176"/>
    <n v="56.07692307692308"/>
    <x v="123"/>
  </r>
  <r>
    <x v="4"/>
    <x v="0"/>
    <n v="77"/>
    <n v="350"/>
    <d v="2014-10-19T09:10:00"/>
    <d v="2014-10-19T12:05:00"/>
    <n v="460"/>
    <n v="520"/>
    <n v="486"/>
    <s v="Pulverized fuel and air piping (from pulverizer to wind box)"/>
    <s v="Load Reduction #702-4 Mill off due to coal leak on 'C' burner next to windbox."/>
    <s v="Ghent"/>
    <x v="0"/>
    <s v="Coal"/>
    <x v="2"/>
    <x v="1"/>
    <n v="10"/>
    <n v="2.9166666665696539"/>
    <n v="0.33653846152726774"/>
    <n v="163.55769230225212"/>
    <n v="56.07692307692308"/>
    <x v="123"/>
  </r>
  <r>
    <x v="4"/>
    <x v="0"/>
    <n v="78"/>
    <n v="350"/>
    <d v="2014-10-19T18:20:00"/>
    <d v="2014-10-19T19:04:00"/>
    <n v="460"/>
    <n v="520"/>
    <n v="486"/>
    <s v="Pulverized fuel and air piping (from pulverizer to wind box)"/>
    <s v="Load Reduction #712-4 Mill coal leak at 'C' burner flange, same leak as previously"/>
    <s v="Ghent"/>
    <x v="0"/>
    <s v="Coal"/>
    <x v="2"/>
    <x v="1"/>
    <n v="10"/>
    <n v="0.73333333327900618"/>
    <n v="8.4615384609116093E-2"/>
    <n v="41.123076920030421"/>
    <n v="56.07692307692308"/>
    <x v="123"/>
  </r>
  <r>
    <x v="4"/>
    <x v="1"/>
    <n v="79"/>
    <n v="250"/>
    <d v="2014-10-20T22:45:00"/>
    <d v="2014-10-21T03:05:00"/>
    <n v="460"/>
    <n v="520"/>
    <n v="486"/>
    <s v="Pulverizer feeders"/>
    <s v="Load Reduction #722-6 Feeder off to replace and calibrate the belt."/>
    <s v="Ghent"/>
    <x v="0"/>
    <s v="Coal"/>
    <x v="2"/>
    <x v="1"/>
    <n v="10"/>
    <n v="4.3333333333139308"/>
    <n v="0.49999999999776124"/>
    <n v="242.99999999891196"/>
    <n v="56.07692307692308"/>
    <x v="123"/>
  </r>
  <r>
    <x v="4"/>
    <x v="0"/>
    <n v="80"/>
    <n v="340"/>
    <d v="2014-10-21T16:08:00"/>
    <d v="2014-10-21T19:05:00"/>
    <n v="480"/>
    <n v="520"/>
    <n v="486"/>
    <s v="Other pulverizer problems"/>
    <s v="Load Reduction #732-5 Mill off to replace a pyrite scraper."/>
    <s v="Ghent"/>
    <x v="0"/>
    <s v="Coal"/>
    <x v="2"/>
    <x v="1"/>
    <n v="10"/>
    <n v="2.9500000000116415"/>
    <n v="0.22692307692397243"/>
    <n v="110.2846153850506"/>
    <n v="37.384615384615387"/>
    <x v="12"/>
  </r>
  <r>
    <x v="4"/>
    <x v="1"/>
    <n v="81"/>
    <n v="340"/>
    <d v="2014-10-22T22:00:00"/>
    <d v="2014-10-22T23:14:00"/>
    <n v="475"/>
    <n v="520"/>
    <n v="486"/>
    <s v="Other pulverizer problems"/>
    <s v="Load Reduction #742-5 Mill off to adjust the pyrite scraper."/>
    <s v="Ghent"/>
    <x v="0"/>
    <s v="Coal"/>
    <x v="2"/>
    <x v="1"/>
    <n v="10"/>
    <n v="1.2333333333372138"/>
    <n v="0.10673076923110504"/>
    <n v="51.87115384631705"/>
    <n v="42.057692307692307"/>
    <x v="117"/>
  </r>
  <r>
    <x v="4"/>
    <x v="1"/>
    <n v="82"/>
    <n v="340"/>
    <d v="2014-10-22T23:35:00"/>
    <d v="2014-10-23T00:53:00"/>
    <n v="475"/>
    <n v="520"/>
    <n v="486"/>
    <s v="Other pulverizer problems"/>
    <s v="Load Reduction #752-6 Mill off to retorque race after overhaul."/>
    <s v="Ghent"/>
    <x v="0"/>
    <s v="Coal"/>
    <x v="2"/>
    <x v="1"/>
    <n v="10"/>
    <n v="1.3000000000465661"/>
    <n v="0.11250000000402977"/>
    <n v="54.675000001958466"/>
    <n v="42.057692307692307"/>
    <x v="117"/>
  </r>
  <r>
    <x v="4"/>
    <x v="0"/>
    <n v="83"/>
    <n v="340"/>
    <d v="2014-10-23T08:10:00"/>
    <d v="2014-10-23T10:00:00"/>
    <n v="480"/>
    <n v="520"/>
    <n v="486"/>
    <s v="Other pulverizer problems"/>
    <s v="Load Reduction #762-5 Mill off to replace broken pyrite scraper."/>
    <s v="Ghent"/>
    <x v="0"/>
    <s v="Coal"/>
    <x v="2"/>
    <x v="1"/>
    <n v="10"/>
    <n v="1.8333333331975155"/>
    <n v="0.14102564101519349"/>
    <n v="68.538461533384037"/>
    <n v="37.384615384615387"/>
    <x v="12"/>
  </r>
  <r>
    <x v="4"/>
    <x v="0"/>
    <n v="84"/>
    <n v="340"/>
    <d v="2014-10-23T23:00:00"/>
    <d v="2014-10-24T01:22:00"/>
    <n v="480"/>
    <n v="520"/>
    <n v="486"/>
    <s v="Other pulverizer problems"/>
    <s v="Load Reduction #772-5 Mill off to replace broken pryite scraper."/>
    <s v="Ghent"/>
    <x v="0"/>
    <s v="Coal"/>
    <x v="2"/>
    <x v="1"/>
    <n v="10"/>
    <n v="2.3666666665230878"/>
    <n v="0.18205128204023752"/>
    <n v="88.476923071555433"/>
    <n v="37.384615384615387"/>
    <x v="12"/>
  </r>
  <r>
    <x v="4"/>
    <x v="0"/>
    <n v="85"/>
    <n v="340"/>
    <d v="2014-10-24T22:02:00"/>
    <d v="2014-10-25T03:05:00"/>
    <n v="460"/>
    <n v="520"/>
    <n v="486"/>
    <s v="Other pulverizer problems"/>
    <s v="Load Reduction #782-5 Mill off to inspect grinding section.  Found east journal ba"/>
    <s v="Ghent"/>
    <x v="0"/>
    <s v="Coal"/>
    <x v="2"/>
    <x v="1"/>
    <n v="10"/>
    <n v="5.0499999998719431"/>
    <n v="0.58269230767753188"/>
    <n v="283.1884615312805"/>
    <n v="56.07692307692308"/>
    <x v="123"/>
  </r>
  <r>
    <x v="4"/>
    <x v="1"/>
    <n v="86"/>
    <n v="9300"/>
    <d v="2014-10-29T06:00:00"/>
    <d v="2014-10-29T20:15:00"/>
    <n v="375"/>
    <n v="520"/>
    <n v="486"/>
    <s v="Transmission system problems other than catastrophes (do not include switchyard problems in this category; see codes 3600 to 3629)"/>
    <s v="Load Reduction #79Unit 2 was limited due to substation work.  South 345 KV bus out"/>
    <s v="Ghent"/>
    <x v="0"/>
    <s v="Coal"/>
    <x v="2"/>
    <x v="1"/>
    <n v="10"/>
    <n v="14.25"/>
    <n v="3.9735576923076925"/>
    <n v="1931.1490384615386"/>
    <n v="135.51923076923077"/>
    <x v="62"/>
  </r>
  <r>
    <x v="4"/>
    <x v="1"/>
    <n v="87"/>
    <n v="340"/>
    <d v="2014-11-01T23:09:00"/>
    <d v="2014-11-02T01:37:00"/>
    <n v="460"/>
    <n v="520"/>
    <n v="486"/>
    <s v="Other pulverizer problems"/>
    <s v="Load Reduction #802-4 Mill was off to replace the pyrite scraper."/>
    <s v="Ghent"/>
    <x v="0"/>
    <s v="Coal"/>
    <x v="2"/>
    <x v="1"/>
    <n v="11"/>
    <n v="2.4666666666744277"/>
    <n v="0.28461538461628011"/>
    <n v="138.32307692351213"/>
    <n v="56.07692307692308"/>
    <x v="123"/>
  </r>
  <r>
    <x v="4"/>
    <x v="0"/>
    <n v="88"/>
    <n v="350"/>
    <d v="2014-11-02T01:55:00"/>
    <d v="2014-11-02T02:35:00"/>
    <n v="460"/>
    <n v="520"/>
    <n v="486"/>
    <s v="Pulverized fuel and air piping (from pulverizer to wind box)"/>
    <s v="Load Reduction #812-4 Mill off due to high burner temperature on &quot;A&quot; burner line."/>
    <s v="Ghent"/>
    <x v="0"/>
    <s v="Coal"/>
    <x v="2"/>
    <x v="1"/>
    <n v="11"/>
    <n v="0.66666666674427688"/>
    <n v="7.6923076932031945E-2"/>
    <n v="37.384615388967525"/>
    <n v="56.07692307692308"/>
    <x v="123"/>
  </r>
  <r>
    <x v="4"/>
    <x v="0"/>
    <n v="89"/>
    <n v="340"/>
    <d v="2014-11-06T05:52:00"/>
    <d v="2014-11-06T08:38:00"/>
    <n v="450"/>
    <n v="520"/>
    <n v="486"/>
    <s v="Other pulverizer problems"/>
    <s v="Load Reduction #822-5 Mill was off to replace the pyrite scraper."/>
    <s v="Ghent"/>
    <x v="0"/>
    <s v="Coal"/>
    <x v="2"/>
    <x v="1"/>
    <n v="11"/>
    <n v="2.7666666667792015"/>
    <n v="0.37243589745104633"/>
    <n v="181.00384616120851"/>
    <n v="65.42307692307692"/>
    <x v="127"/>
  </r>
  <r>
    <x v="4"/>
    <x v="4"/>
    <n v="90"/>
    <n v="1040"/>
    <d v="2014-11-07T23:57:00"/>
    <d v="2014-11-09T09:32:00"/>
    <n v="0"/>
    <n v="520"/>
    <n v="486"/>
    <s v="First superheater B"/>
    <s v="F540Outage #7Unit 2 had been running with a leak in the East Side Superheat spray "/>
    <s v="Ghent"/>
    <x v="2"/>
    <s v="Coal"/>
    <x v="2"/>
    <x v="1"/>
    <n v="11"/>
    <n v="33.583333333313931"/>
    <n v="33.583333333313931"/>
    <n v="16321.49999999057"/>
    <n v="486"/>
    <x v="120"/>
  </r>
  <r>
    <x v="4"/>
    <x v="1"/>
    <n v="91"/>
    <n v="340"/>
    <d v="2014-11-10T23:00:00"/>
    <d v="2014-11-11T06:27:00"/>
    <n v="460"/>
    <n v="520"/>
    <n v="486"/>
    <s v="Other pulverizer problems"/>
    <s v="Load Reduction #832-5 Mill off to replace pyrite scraper and inspect mill. "/>
    <s v="Ghent"/>
    <x v="0"/>
    <s v="Coal"/>
    <x v="2"/>
    <x v="1"/>
    <n v="11"/>
    <n v="7.4500000000116415"/>
    <n v="0.85961538461672782"/>
    <n v="417.77307692372972"/>
    <n v="56.07692307692308"/>
    <x v="123"/>
  </r>
  <r>
    <x v="4"/>
    <x v="1"/>
    <n v="92"/>
    <n v="344"/>
    <d v="2014-11-11T23:00:00"/>
    <d v="2014-11-12T02:50:00"/>
    <n v="460"/>
    <n v="520"/>
    <n v="486"/>
    <s v="Pulverizer inspection"/>
    <s v="Load Reduction #842-4 Mill off for inspection.  "/>
    <s v="Ghent"/>
    <x v="0"/>
    <s v="Coal"/>
    <x v="2"/>
    <x v="1"/>
    <n v="11"/>
    <n v="3.8333333332557231"/>
    <n v="0.44230769229873729"/>
    <n v="214.96153845718632"/>
    <n v="56.07692307692308"/>
    <x v="123"/>
  </r>
  <r>
    <x v="4"/>
    <x v="0"/>
    <n v="93"/>
    <n v="344"/>
    <d v="2014-11-12T02:50:00"/>
    <d v="2014-11-12T04:29:00"/>
    <n v="460"/>
    <n v="520"/>
    <n v="486"/>
    <s v="Pulverizer inspection"/>
    <s v="Load Reduction #852-5 Mill off for inspection."/>
    <s v="Ghent"/>
    <x v="0"/>
    <s v="Coal"/>
    <x v="2"/>
    <x v="1"/>
    <n v="11"/>
    <n v="1.6499999999650754"/>
    <n v="0.19038461538058563"/>
    <n v="92.526923074964614"/>
    <n v="56.07692307692308"/>
    <x v="123"/>
  </r>
  <r>
    <x v="4"/>
    <x v="0"/>
    <n v="94"/>
    <n v="340"/>
    <d v="2014-11-12T11:20:00"/>
    <d v="2014-11-12T16:10:00"/>
    <n v="460"/>
    <n v="520"/>
    <n v="486"/>
    <s v="Other pulverizer problems"/>
    <s v="Load Reduction #862-5 Mill journal failed."/>
    <s v="Ghent"/>
    <x v="0"/>
    <s v="Coal"/>
    <x v="2"/>
    <x v="1"/>
    <n v="11"/>
    <n v="4.8333333333721384"/>
    <n v="0.55769230769678524"/>
    <n v="271.03846154063763"/>
    <n v="56.07692307692308"/>
    <x v="123"/>
  </r>
  <r>
    <x v="4"/>
    <x v="0"/>
    <n v="95"/>
    <n v="344"/>
    <d v="2014-11-19T23:00:00"/>
    <d v="2014-11-20T01:50:00"/>
    <n v="460"/>
    <n v="520"/>
    <n v="486"/>
    <s v="Pulverizer inspection"/>
    <s v="Load Reduction #872-6 Mill off to inspect noise in pyrite section."/>
    <s v="Ghent"/>
    <x v="0"/>
    <s v="Coal"/>
    <x v="2"/>
    <x v="1"/>
    <n v="11"/>
    <n v="2.8333333333139308"/>
    <n v="0.32692307692083816"/>
    <n v="158.88461538352735"/>
    <n v="56.07692307692308"/>
    <x v="123"/>
  </r>
  <r>
    <x v="4"/>
    <x v="1"/>
    <n v="96"/>
    <n v="350"/>
    <d v="2014-11-22T06:24:00"/>
    <d v="2014-11-22T09:04:00"/>
    <n v="460"/>
    <n v="520"/>
    <n v="486"/>
    <s v="Pulverized fuel and air piping (from pulverizer to wind box)"/>
    <s v="Load Reduction #882-5 Mill off to repair coal leaks.  Burner line gaskets leaking."/>
    <s v="Ghent"/>
    <x v="0"/>
    <s v="Coal"/>
    <x v="2"/>
    <x v="1"/>
    <n v="11"/>
    <n v="2.6666666666278616"/>
    <n v="0.30769230768783018"/>
    <n v="149.53846153628547"/>
    <n v="56.07692307692308"/>
    <x v="123"/>
  </r>
  <r>
    <x v="4"/>
    <x v="0"/>
    <n v="97"/>
    <n v="1470"/>
    <d v="2014-11-25T00:50:00"/>
    <d v="2014-11-25T04:42:00"/>
    <n v="200"/>
    <n v="520"/>
    <n v="486"/>
    <s v="Induced draft fan motors and drives"/>
    <s v="Load Reduction #892-2 ID fan VFD tripped due to loss of power supply."/>
    <s v="Ghent"/>
    <x v="0"/>
    <s v="Coal"/>
    <x v="2"/>
    <x v="1"/>
    <n v="11"/>
    <n v="3.8666666666977108"/>
    <n v="2.3794871795062837"/>
    <n v="1156.4307692400539"/>
    <n v="299.07692307692309"/>
    <x v="122"/>
  </r>
  <r>
    <x v="4"/>
    <x v="0"/>
    <n v="98"/>
    <n v="340"/>
    <d v="2014-11-25T18:51:00"/>
    <d v="2014-11-25T21:34:00"/>
    <n v="460"/>
    <n v="520"/>
    <n v="486"/>
    <s v="Other pulverizer problems"/>
    <s v="Load Reduction #902-6 Mill off to inspect the pyrite section."/>
    <s v="Ghent"/>
    <x v="0"/>
    <s v="Coal"/>
    <x v="2"/>
    <x v="1"/>
    <n v="11"/>
    <n v="2.71666666661622"/>
    <n v="0.31346153845571767"/>
    <n v="152.34230768947879"/>
    <n v="56.07692307692308"/>
    <x v="123"/>
  </r>
  <r>
    <x v="4"/>
    <x v="0"/>
    <n v="99"/>
    <n v="350"/>
    <d v="2014-11-30T08:36:00"/>
    <d v="2014-11-30T11:15:00"/>
    <n v="450"/>
    <n v="520"/>
    <n v="486"/>
    <s v="Pulverized fuel and air piping (from pulverizer to wind box)"/>
    <s v="Load Reduction #912-6 Mill off to inspect 'A' burner line due to getting hot. "/>
    <s v="Ghent"/>
    <x v="0"/>
    <s v="Coal"/>
    <x v="2"/>
    <x v="1"/>
    <n v="11"/>
    <n v="2.6500000000814907"/>
    <n v="0.35673076924173913"/>
    <n v="173.37115385148522"/>
    <n v="65.42307692307692"/>
    <x v="127"/>
  </r>
  <r>
    <x v="4"/>
    <x v="1"/>
    <n v="100"/>
    <n v="1100"/>
    <d v="2014-12-03T23:00:00"/>
    <d v="2014-12-04T04:00:00"/>
    <n v="200"/>
    <n v="520"/>
    <n v="486"/>
    <s v="Waterwall (Furnace wall) B"/>
    <s v="FS00Load Reduction #92Unit 2 was derated for a planned boiler deslag."/>
    <s v="Ghent"/>
    <x v="0"/>
    <s v="Coal"/>
    <x v="2"/>
    <x v="1"/>
    <n v="12"/>
    <n v="4.9999999998835847"/>
    <n v="3.0769230768514366"/>
    <n v="1495.3846153497982"/>
    <n v="299.07692307692309"/>
    <x v="122"/>
  </r>
  <r>
    <x v="4"/>
    <x v="0"/>
    <n v="101"/>
    <n v="340"/>
    <d v="2014-12-12T01:40:00"/>
    <d v="2014-12-12T03:20:00"/>
    <n v="440"/>
    <n v="520"/>
    <n v="486"/>
    <s v="Other pulverizer problems"/>
    <s v="Load Reduction #93Removed 2-5 Mill from service to repair a coal leak."/>
    <s v="Ghent"/>
    <x v="0"/>
    <s v="Coal"/>
    <x v="2"/>
    <x v="1"/>
    <n v="12"/>
    <n v="1.6666666666860692"/>
    <n v="0.25641025641324144"/>
    <n v="124.61538461683534"/>
    <n v="74.769230769230774"/>
    <x v="34"/>
  </r>
  <r>
    <x v="4"/>
    <x v="0"/>
    <n v="102"/>
    <n v="340"/>
    <d v="2014-12-12T11:00:00"/>
    <d v="2014-12-12T13:30:00"/>
    <n v="440"/>
    <n v="520"/>
    <n v="486"/>
    <s v="Other pulverizer problems"/>
    <s v="Load Reduction #94Removed 2-5 Mill from service to repair a coal leak."/>
    <s v="Ghent"/>
    <x v="0"/>
    <s v="Coal"/>
    <x v="2"/>
    <x v="1"/>
    <n v="12"/>
    <n v="2.4999999999417923"/>
    <n v="0.38461538460642958"/>
    <n v="186.92307691872477"/>
    <n v="74.769230769230774"/>
    <x v="34"/>
  </r>
  <r>
    <x v="4"/>
    <x v="0"/>
    <n v="103"/>
    <n v="320"/>
    <d v="2014-12-26T00:52:00"/>
    <d v="2014-12-26T01:56:00"/>
    <n v="430"/>
    <n v="520"/>
    <n v="486"/>
    <s v="Foreign object in Pulverizers mill"/>
    <s v="Load Reduction #952-3 Feeder tripped."/>
    <s v="Ghent"/>
    <x v="0"/>
    <s v="Coal"/>
    <x v="2"/>
    <x v="1"/>
    <n v="12"/>
    <n v="1.0666666666511446"/>
    <n v="0.18461538461269811"/>
    <n v="89.72307692177128"/>
    <n v="84.115384615384613"/>
    <x v="136"/>
  </r>
  <r>
    <x v="4"/>
    <x v="0"/>
    <n v="104"/>
    <n v="346"/>
    <d v="2014-12-26T13:30:00"/>
    <d v="2014-12-26T15:09:00"/>
    <n v="460"/>
    <n v="520"/>
    <n v="486"/>
    <s v="Pulverizer pyrite removal system"/>
    <s v="Load Reduction #962-6 Mill was off to inspect the pyrite and grinding sections due"/>
    <s v="Ghent"/>
    <x v="0"/>
    <s v="Coal"/>
    <x v="2"/>
    <x v="1"/>
    <n v="12"/>
    <n v="1.6499999999650754"/>
    <n v="0.19038461538058563"/>
    <n v="92.526923074964614"/>
    <n v="56.07692307692308"/>
    <x v="123"/>
  </r>
  <r>
    <x v="4"/>
    <x v="0"/>
    <n v="1"/>
    <n v="340"/>
    <d v="2015-01-08T13:12:00"/>
    <d v="2015-01-08T17:35:00"/>
    <n v="440"/>
    <n v="520"/>
    <n v="486"/>
    <s v="Other pulverizer problems"/>
    <s v="Load Reduction #12-3 Mill discharge temperature was high.  Took mill off to inspec"/>
    <s v="Ghent"/>
    <x v="0"/>
    <s v="Coal"/>
    <x v="2"/>
    <x v="2"/>
    <n v="1"/>
    <n v="4.3833333333022892"/>
    <n v="0.67435897435419834"/>
    <n v="327.73846153614039"/>
    <n v="74.769230769230774"/>
    <x v="34"/>
  </r>
  <r>
    <x v="4"/>
    <x v="0"/>
    <n v="2"/>
    <n v="340"/>
    <d v="2015-01-08T17:35:00"/>
    <d v="2015-01-08T20:14:00"/>
    <n v="440"/>
    <n v="520"/>
    <n v="486"/>
    <s v="Other pulverizer problems"/>
    <s v="Load Reduction #22-4 Mill had a loud noise in the grinding section.  Found a bad j"/>
    <s v="Ghent"/>
    <x v="0"/>
    <s v="Coal"/>
    <x v="2"/>
    <x v="2"/>
    <n v="1"/>
    <n v="2.6499999999068677"/>
    <n v="0.40769230767797965"/>
    <n v="198.13846153149811"/>
    <n v="74.769230769230774"/>
    <x v="34"/>
  </r>
  <r>
    <x v="4"/>
    <x v="0"/>
    <n v="3"/>
    <n v="280"/>
    <d v="2015-01-09T03:53:00"/>
    <d v="2015-01-09T10:35:00"/>
    <n v="440"/>
    <n v="520"/>
    <n v="486"/>
    <s v="Pulverizer fires"/>
    <s v="Load Reduction #32-3 Mill had a fire in the grinding section.  Mill off to inspect"/>
    <s v="Ghent"/>
    <x v="0"/>
    <s v="Coal"/>
    <x v="2"/>
    <x v="2"/>
    <n v="1"/>
    <n v="6.6999999998370185"/>
    <n v="1.0307692307441567"/>
    <n v="500.95384614166016"/>
    <n v="74.769230769230774"/>
    <x v="34"/>
  </r>
  <r>
    <x v="4"/>
    <x v="0"/>
    <n v="4"/>
    <n v="340"/>
    <d v="2015-01-16T13:58:00"/>
    <d v="2015-01-16T18:00:00"/>
    <n v="430"/>
    <n v="520"/>
    <n v="486"/>
    <s v="Other pulverizer problems"/>
    <s v="Load Reduction #42-4 Mill was off to inspect noise coming from the grinding sectio"/>
    <s v="Ghent"/>
    <x v="0"/>
    <s v="Coal"/>
    <x v="2"/>
    <x v="2"/>
    <n v="1"/>
    <n v="4.03333333338378"/>
    <n v="0.69807692308565428"/>
    <n v="339.26538461962798"/>
    <n v="84.115384615384613"/>
    <x v="136"/>
  </r>
  <r>
    <x v="4"/>
    <x v="5"/>
    <n v="5"/>
    <n v="3621"/>
    <d v="2015-01-25T15:00:00"/>
    <d v="2015-01-25T20:38:00"/>
    <n v="0"/>
    <n v="520"/>
    <n v="486"/>
    <s v="Unit auxiliaries transformer"/>
    <s v="Outage #1Unit Auxiliary Transformer 2A tripped on differential on 'B' and 'C' phas"/>
    <s v="Ghent"/>
    <x v="3"/>
    <s v="Coal"/>
    <x v="2"/>
    <x v="2"/>
    <n v="1"/>
    <n v="5.6333333333604969"/>
    <n v="5.6333333333604969"/>
    <n v="2737.8000000132015"/>
    <n v="486"/>
    <x v="120"/>
  </r>
  <r>
    <x v="4"/>
    <x v="7"/>
    <n v="6"/>
    <n v="4309"/>
    <d v="2015-01-25T20:38:00"/>
    <d v="2015-01-26T19:52:00"/>
    <n v="0"/>
    <n v="520"/>
    <n v="486"/>
    <s v="Other turbine instrument and control problems"/>
    <s v="Outage #2During the previous event of the UAT-2 differential, the Main Turbine wen"/>
    <s v="Ghent"/>
    <x v="3"/>
    <s v="Coal"/>
    <x v="2"/>
    <x v="2"/>
    <n v="1"/>
    <n v="23.233333333279006"/>
    <n v="23.233333333279006"/>
    <n v="11291.399999973597"/>
    <n v="486"/>
    <x v="120"/>
  </r>
  <r>
    <x v="4"/>
    <x v="0"/>
    <n v="7"/>
    <n v="344"/>
    <d v="2015-01-29T14:20:00"/>
    <d v="2015-01-29T16:26:00"/>
    <n v="460"/>
    <n v="520"/>
    <n v="486"/>
    <s v="Pulverizer inspection"/>
    <s v="Load Reduction #52-6 Mill off to inspect noise in the pyrite section.  Pyrite scra"/>
    <s v="Ghent"/>
    <x v="0"/>
    <s v="Coal"/>
    <x v="2"/>
    <x v="2"/>
    <n v="1"/>
    <n v="2.1000000000349246"/>
    <n v="0.24230769231172206"/>
    <n v="117.76153846349692"/>
    <n v="56.07692307692308"/>
    <x v="123"/>
  </r>
  <r>
    <x v="4"/>
    <x v="0"/>
    <n v="8"/>
    <n v="344"/>
    <d v="2015-01-29T18:26:00"/>
    <d v="2015-01-29T20:30:00"/>
    <n v="460"/>
    <n v="520"/>
    <n v="486"/>
    <s v="Pulverizer inspection"/>
    <s v="Load Reduction #62-6 Mill off to inspect for mill vibration."/>
    <s v="Ghent"/>
    <x v="0"/>
    <s v="Coal"/>
    <x v="2"/>
    <x v="2"/>
    <n v="1"/>
    <n v="2.066666666592937"/>
    <n v="0.2384615384530312"/>
    <n v="115.89230768817316"/>
    <n v="56.07692307692308"/>
    <x v="123"/>
  </r>
  <r>
    <x v="4"/>
    <x v="0"/>
    <n v="9"/>
    <n v="344"/>
    <d v="2015-02-06T01:54:00"/>
    <d v="2015-02-06T07:00:00"/>
    <n v="480"/>
    <n v="520"/>
    <n v="486"/>
    <s v="Pulverizer inspection"/>
    <s v="Load Reduction #72-6 Mill off to inspect for the cause of noise in the grinding se"/>
    <s v="Ghent"/>
    <x v="0"/>
    <s v="Coal"/>
    <x v="2"/>
    <x v="2"/>
    <n v="2"/>
    <n v="5.0999999998603016"/>
    <n v="0.39230769229694629"/>
    <n v="190.6615384563159"/>
    <n v="37.384615384615387"/>
    <x v="12"/>
  </r>
  <r>
    <x v="4"/>
    <x v="0"/>
    <n v="10"/>
    <n v="350"/>
    <d v="2015-02-06T07:23:00"/>
    <d v="2015-02-06T10:37:00"/>
    <n v="460"/>
    <n v="520"/>
    <n v="486"/>
    <s v="Pulverized fuel and air piping (from pulverizer to wind box)"/>
    <s v="Load Reduction #82-6 Mill off due to C burner line fire next to boiler."/>
    <s v="Ghent"/>
    <x v="0"/>
    <s v="Coal"/>
    <x v="2"/>
    <x v="2"/>
    <n v="2"/>
    <n v="3.2333333333954215"/>
    <n v="0.37307692308408708"/>
    <n v="181.31538461886632"/>
    <n v="56.07692307692308"/>
    <x v="123"/>
  </r>
  <r>
    <x v="4"/>
    <x v="0"/>
    <n v="11"/>
    <n v="3621"/>
    <d v="2015-02-10T08:58:00"/>
    <d v="2015-02-10T11:42:00"/>
    <n v="390"/>
    <n v="520"/>
    <n v="486"/>
    <s v="Unit auxiliaries transformer"/>
    <s v="Unit was limited to Reserve Aux. transformer loading being too high. GH2 is on reserve"/>
    <s v="Ghent"/>
    <x v="0"/>
    <s v="Coal"/>
    <x v="2"/>
    <x v="2"/>
    <n v="2"/>
    <n v="2.7333333333372138"/>
    <n v="0.68333333333430346"/>
    <n v="332.10000000047148"/>
    <n v="121.5"/>
    <x v="137"/>
  </r>
  <r>
    <x v="4"/>
    <x v="4"/>
    <n v="12"/>
    <n v="3621"/>
    <d v="2015-02-10T21:58:00"/>
    <d v="2015-02-11T01:29:00"/>
    <n v="0"/>
    <n v="520"/>
    <n v="486"/>
    <s v="Unit auxiliaries transformer"/>
    <s v="F580Outage #3Unit had been running on Reserve power since a fault took the unit of"/>
    <s v="Ghent"/>
    <x v="2"/>
    <s v="Coal"/>
    <x v="2"/>
    <x v="2"/>
    <n v="2"/>
    <n v="3.5166666666045785"/>
    <n v="3.5166666666045785"/>
    <n v="1709.0999999698251"/>
    <n v="486"/>
    <x v="120"/>
  </r>
  <r>
    <x v="4"/>
    <x v="5"/>
    <n v="13"/>
    <n v="690"/>
    <d v="2015-02-11T02:06:00"/>
    <d v="2015-02-11T03:05:00"/>
    <n v="0"/>
    <n v="520"/>
    <n v="486"/>
    <s v="Other feedwater problems downstream of feedwater regulating valve (use codes 3401 to 3499 for remainder of feedwater system)"/>
    <s v="Outage #4While unit was raising load from just coming back on line from previous e"/>
    <s v="Ghent"/>
    <x v="3"/>
    <s v="Coal"/>
    <x v="2"/>
    <x v="2"/>
    <n v="2"/>
    <n v="0.98333333322079852"/>
    <n v="0.98333333322079852"/>
    <n v="477.89999994530808"/>
    <n v="486"/>
    <x v="120"/>
  </r>
  <r>
    <x v="4"/>
    <x v="0"/>
    <n v="14"/>
    <n v="340"/>
    <d v="2015-02-17T21:49:00"/>
    <d v="2015-02-17T22:24:00"/>
    <n v="440"/>
    <n v="520"/>
    <n v="486"/>
    <s v="Other pulverizer problems"/>
    <s v="Load Reduction #102-2 Mill burner shut off air supply solenoid failed causing BSO "/>
    <s v="Ghent"/>
    <x v="0"/>
    <s v="Coal"/>
    <x v="2"/>
    <x v="2"/>
    <n v="2"/>
    <n v="0.58333333331393078"/>
    <n v="8.9743589740604729E-2"/>
    <n v="43.615384613933898"/>
    <n v="74.769230769230774"/>
    <x v="34"/>
  </r>
  <r>
    <x v="4"/>
    <x v="0"/>
    <n v="15"/>
    <n v="3410"/>
    <d v="2015-02-18T09:45:00"/>
    <d v="2015-02-18T10:04:00"/>
    <n v="300"/>
    <n v="520"/>
    <n v="486"/>
    <s v="Feedwater pump"/>
    <s v="Load Reduction #112-2 BFP IB oil seal started slinging oil.  Found oil temperature"/>
    <s v="Ghent"/>
    <x v="0"/>
    <s v="Coal"/>
    <x v="2"/>
    <x v="2"/>
    <n v="2"/>
    <n v="0.31666666665114462"/>
    <n v="0.13397435896779195"/>
    <n v="65.111538458346885"/>
    <n v="205.61538461538461"/>
    <x v="132"/>
  </r>
  <r>
    <x v="4"/>
    <x v="0"/>
    <n v="16"/>
    <n v="3410"/>
    <d v="2015-02-23T06:00:00"/>
    <d v="2015-02-23T06:50:00"/>
    <n v="300"/>
    <n v="520"/>
    <n v="486"/>
    <s v="Feedwater pump"/>
    <s v="Load Reduction #122-2 BFP inboard oil seal started slinging oil.  Found oil pressu"/>
    <s v="Ghent"/>
    <x v="0"/>
    <s v="Coal"/>
    <x v="2"/>
    <x v="2"/>
    <n v="2"/>
    <n v="0.83333333325572312"/>
    <n v="0.35256410253126746"/>
    <n v="171.34615383019599"/>
    <n v="205.61538461538461"/>
    <x v="132"/>
  </r>
  <r>
    <x v="4"/>
    <x v="0"/>
    <n v="17"/>
    <n v="350"/>
    <d v="2015-02-28T15:49:00"/>
    <d v="2015-02-28T18:32:00"/>
    <n v="390"/>
    <n v="520"/>
    <n v="486"/>
    <s v="Pulverized fuel and air piping (from pulverizer to wind box)"/>
    <s v="Load Reduction #132-5 Mill off to unplug the pyrite chute."/>
    <s v="Ghent"/>
    <x v="0"/>
    <s v="Coal"/>
    <x v="2"/>
    <x v="2"/>
    <n v="2"/>
    <n v="2.71666666661622"/>
    <n v="0.67916666665405501"/>
    <n v="330.07499999387073"/>
    <n v="121.5"/>
    <x v="137"/>
  </r>
  <r>
    <x v="4"/>
    <x v="0"/>
    <n v="18"/>
    <n v="320"/>
    <d v="2015-03-07T07:30:00"/>
    <d v="2015-03-07T09:00:00"/>
    <n v="440"/>
    <n v="520"/>
    <n v="486"/>
    <s v="Foreign object in Pulverizers mill"/>
    <s v="Load Reduction #142-2 Mill off to inspect due to noise in the grinding section."/>
    <s v="Ghent"/>
    <x v="0"/>
    <s v="Coal"/>
    <x v="2"/>
    <x v="2"/>
    <n v="3"/>
    <n v="1.5"/>
    <n v="0.23076923076923078"/>
    <n v="112.15384615384616"/>
    <n v="74.769230769230774"/>
    <x v="34"/>
  </r>
  <r>
    <x v="4"/>
    <x v="0"/>
    <n v="19"/>
    <n v="340"/>
    <d v="2015-03-08T04:40:00"/>
    <d v="2015-03-08T11:05:00"/>
    <n v="440"/>
    <n v="520"/>
    <n v="486"/>
    <s v="Other pulverizer problems"/>
    <s v="Load Reduction #152-3 Feeder off to inspect for noise in tail roll area."/>
    <s v="Ghent"/>
    <x v="0"/>
    <s v="Coal"/>
    <x v="2"/>
    <x v="2"/>
    <n v="3"/>
    <n v="6.4166666666278616"/>
    <n v="0.98717948717351711"/>
    <n v="479.76923076632931"/>
    <n v="74.769230769230774"/>
    <x v="34"/>
  </r>
  <r>
    <x v="4"/>
    <x v="0"/>
    <n v="20"/>
    <n v="344"/>
    <d v="2015-03-09T04:11:00"/>
    <d v="2015-03-09T07:33:00"/>
    <n v="430"/>
    <n v="520"/>
    <n v="486"/>
    <s v="Pulverizer inspection"/>
    <s v="Load Reduction #162-1 Mill off to inspect due to not grinding when placing in serv"/>
    <s v="Ghent"/>
    <x v="0"/>
    <s v="Coal"/>
    <x v="2"/>
    <x v="2"/>
    <n v="3"/>
    <n v="3.3666666666395031"/>
    <n v="0.58269230768760627"/>
    <n v="283.18846153617665"/>
    <n v="84.115384615384613"/>
    <x v="136"/>
  </r>
  <r>
    <x v="4"/>
    <x v="0"/>
    <n v="21"/>
    <n v="250"/>
    <d v="2015-03-09T08:50:00"/>
    <d v="2015-03-09T09:22:00"/>
    <n v="430"/>
    <n v="520"/>
    <n v="486"/>
    <s v="Pulverizer feeders"/>
    <s v="Load Reduction #172-1 Feeder was off to inspect for pluggage."/>
    <s v="Ghent"/>
    <x v="0"/>
    <s v="Coal"/>
    <x v="2"/>
    <x v="2"/>
    <n v="3"/>
    <n v="0.53333333332557231"/>
    <n v="9.2307692306349054E-2"/>
    <n v="44.86153846088564"/>
    <n v="84.115384615384613"/>
    <x v="136"/>
  </r>
  <r>
    <x v="4"/>
    <x v="6"/>
    <n v="22"/>
    <n v="4402"/>
    <d v="2015-03-13T23:59:00"/>
    <d v="2015-03-22T11:00:00"/>
    <n v="0"/>
    <n v="520"/>
    <n v="486"/>
    <s v="Minor turbine overhaul (less than 720 hrs.) (use for non-specific overhaul only; see page B-1)"/>
    <s v="Outage #5Removed the unit from service for the Planned Spring Outage."/>
    <s v="Ghent"/>
    <x v="1"/>
    <s v="Coal"/>
    <x v="2"/>
    <x v="2"/>
    <n v="3"/>
    <n v="203.0166666667792"/>
    <n v="203.0166666667792"/>
    <n v="98666.100000054692"/>
    <n v="486"/>
    <x v="120"/>
  </r>
  <r>
    <x v="4"/>
    <x v="0"/>
    <n v="23"/>
    <n v="1850"/>
    <d v="2015-03-22T19:00:00"/>
    <d v="2015-03-23T06:20:00"/>
    <n v="406"/>
    <n v="520"/>
    <n v="486"/>
    <s v="Boiler water condition (not feedwater water quality)"/>
    <s v="Load Reduction #18Boiler chemistry was out of range after unit start up.  Silica w"/>
    <s v="Ghent"/>
    <x v="0"/>
    <s v="Coal"/>
    <x v="2"/>
    <x v="2"/>
    <n v="3"/>
    <n v="11.333333333430346"/>
    <n v="2.484615384636653"/>
    <n v="1207.5230769334134"/>
    <n v="106.54615384615384"/>
    <x v="4"/>
  </r>
  <r>
    <x v="4"/>
    <x v="0"/>
    <n v="24"/>
    <n v="3410"/>
    <d v="2015-03-26T07:17:00"/>
    <d v="2015-03-26T08:13:00"/>
    <n v="350"/>
    <n v="520"/>
    <n v="486"/>
    <s v="Feedwater pump"/>
    <s v="Load Reduction #192-2 Boiler feed pump started leaking oil from the seal.  Removed"/>
    <s v="Ghent"/>
    <x v="0"/>
    <s v="Coal"/>
    <x v="2"/>
    <x v="2"/>
    <n v="3"/>
    <n v="0.93333333340706304"/>
    <n v="0.3051282051523091"/>
    <n v="148.29230770402222"/>
    <n v="158.88461538461539"/>
    <x v="68"/>
  </r>
  <r>
    <x v="4"/>
    <x v="0"/>
    <n v="25"/>
    <n v="320"/>
    <d v="2015-04-11T07:20:00"/>
    <d v="2015-04-11T10:00:00"/>
    <n v="430"/>
    <n v="520"/>
    <n v="486"/>
    <s v="Foreign object in Pulverizers mill"/>
    <s v="Load Reduction #202-4 Mill off to inspect due to a noise in the grinding section."/>
    <s v="Ghent"/>
    <x v="0"/>
    <s v="Coal"/>
    <x v="2"/>
    <x v="2"/>
    <n v="4"/>
    <n v="2.6666666666278616"/>
    <n v="0.46153846153174527"/>
    <n v="224.3076923044282"/>
    <n v="84.115384615384613"/>
    <x v="136"/>
  </r>
  <r>
    <x v="4"/>
    <x v="0"/>
    <n v="26"/>
    <n v="340"/>
    <d v="2015-04-13T05:44:00"/>
    <d v="2015-04-13T08:43:00"/>
    <n v="460"/>
    <n v="520"/>
    <n v="486"/>
    <s v="Other pulverizer problems"/>
    <s v="Load Reduction #212-4 Mill off to inspect north journal due to low mill amps."/>
    <s v="Ghent"/>
    <x v="0"/>
    <s v="Coal"/>
    <x v="2"/>
    <x v="2"/>
    <n v="4"/>
    <n v="2.9833333332790062"/>
    <n v="0.34423076922450069"/>
    <n v="167.29615384310733"/>
    <n v="56.07692307692308"/>
    <x v="123"/>
  </r>
  <r>
    <x v="4"/>
    <x v="0"/>
    <n v="27"/>
    <n v="3662"/>
    <d v="2015-04-13T18:14:00"/>
    <d v="2015-04-14T00:25:00"/>
    <n v="117"/>
    <n v="520"/>
    <n v="486"/>
    <s v="4160-volt conductors and buses"/>
    <s v="Load Reduction #22Unit load was dropped due to loss of power to the 4KV Coal Handl"/>
    <s v="Ghent"/>
    <x v="0"/>
    <s v="Coal"/>
    <x v="2"/>
    <x v="2"/>
    <n v="4"/>
    <n v="6.1833333332324401"/>
    <n v="4.7920833332551407"/>
    <n v="2328.9524999619985"/>
    <n v="376.65"/>
    <x v="138"/>
  </r>
  <r>
    <x v="4"/>
    <x v="0"/>
    <n v="28"/>
    <n v="345"/>
    <d v="2015-04-19T19:04:00"/>
    <d v="2015-05-02T12:43:00"/>
    <n v="483"/>
    <n v="520"/>
    <n v="486"/>
    <s v="Pulverizer overhaul"/>
    <s v="Load Reduction #232-3 Mill is out of service for inspection."/>
    <s v="Ghent"/>
    <x v="0"/>
    <s v="Coal"/>
    <x v="2"/>
    <x v="2"/>
    <n v="4"/>
    <n v="305.65000000008149"/>
    <n v="21.748173076928875"/>
    <n v="10569.612115387434"/>
    <n v="34.580769230769228"/>
    <x v="139"/>
  </r>
  <r>
    <x v="4"/>
    <x v="0"/>
    <n v="29"/>
    <n v="340"/>
    <d v="2015-05-02T13:41:00"/>
    <d v="2015-05-02T15:00:00"/>
    <n v="485"/>
    <n v="520"/>
    <n v="486"/>
    <s v="Other pulverizer problems"/>
    <s v="Load Reduction #242-3 Mill off for limit on burner shut off gate."/>
    <s v="Ghent"/>
    <x v="0"/>
    <s v="Coal"/>
    <x v="2"/>
    <x v="2"/>
    <n v="5"/>
    <n v="1.316666666592937"/>
    <n v="8.862179486683229E-2"/>
    <n v="43.070192305280493"/>
    <n v="32.71153846153846"/>
    <x v="17"/>
  </r>
  <r>
    <x v="4"/>
    <x v="0"/>
    <n v="30"/>
    <n v="3416"/>
    <d v="2015-05-03T01:35:00"/>
    <d v="2015-05-03T03:28:00"/>
    <n v="350"/>
    <n v="520"/>
    <n v="486"/>
    <s v="Other feedwater pump problems"/>
    <s v="Load Reduction #252-1 BFP would not reset after testing.  HP stop valve limit issu"/>
    <s v="Ghent"/>
    <x v="0"/>
    <s v="Coal"/>
    <x v="2"/>
    <x v="2"/>
    <n v="5"/>
    <n v="1.8833333333604969"/>
    <n v="0.61570512821400858"/>
    <n v="299.23269231200817"/>
    <n v="158.88461538461539"/>
    <x v="68"/>
  </r>
  <r>
    <x v="4"/>
    <x v="1"/>
    <n v="31"/>
    <n v="3662"/>
    <d v="2015-05-04T22:30:00"/>
    <d v="2015-05-04T23:17:00"/>
    <n v="300"/>
    <n v="520"/>
    <n v="486"/>
    <s v="4160-volt conductors and buses"/>
    <s v="Load Reduction #26Checking cables on 4KV feed to CHB.  Load was reduced to remove "/>
    <s v="Ghent"/>
    <x v="0"/>
    <s v="Coal"/>
    <x v="2"/>
    <x v="2"/>
    <n v="5"/>
    <n v="0.78333333326736465"/>
    <n v="0.33141025638234656"/>
    <n v="161.06538460182043"/>
    <n v="205.61538461538461"/>
    <x v="132"/>
  </r>
  <r>
    <x v="4"/>
    <x v="0"/>
    <n v="32"/>
    <n v="340"/>
    <d v="2015-05-07T19:00:00"/>
    <d v="2015-05-07T20:16:00"/>
    <n v="460"/>
    <n v="520"/>
    <n v="486"/>
    <s v="Other pulverizer problems"/>
    <s v="Load Reduction #272-4 Mill was off to inspect for noise in the pyrite section."/>
    <s v="Ghent"/>
    <x v="0"/>
    <s v="Coal"/>
    <x v="2"/>
    <x v="2"/>
    <n v="5"/>
    <n v="1.2666666667792015"/>
    <n v="0.14615384616683094"/>
    <n v="71.030769237079838"/>
    <n v="56.07692307692308"/>
    <x v="123"/>
  </r>
  <r>
    <x v="4"/>
    <x v="0"/>
    <n v="33"/>
    <n v="350"/>
    <d v="2015-05-19T07:54:00"/>
    <d v="2015-05-19T10:05:00"/>
    <n v="460"/>
    <n v="520"/>
    <n v="486"/>
    <s v="Pulverized fuel and air piping (from pulverizer to wind box)"/>
    <s v="Load Reduction #282-6C Burner line high temperature increased at a fast rate.  Ope"/>
    <s v="Ghent"/>
    <x v="0"/>
    <s v="Coal"/>
    <x v="2"/>
    <x v="2"/>
    <n v="5"/>
    <n v="2.1833333332906477"/>
    <n v="0.25192307691815163"/>
    <n v="122.43461538222169"/>
    <n v="56.07692307692308"/>
    <x v="123"/>
  </r>
  <r>
    <x v="4"/>
    <x v="0"/>
    <n v="34"/>
    <n v="350"/>
    <d v="2015-05-21T11:00:00"/>
    <d v="2015-05-21T17:00:00"/>
    <n v="460"/>
    <n v="520"/>
    <n v="486"/>
    <s v="Pulverized fuel and air piping (from pulverizer to wind box)"/>
    <s v="Load Reduction #29Operations took 2-6 Mill out of service after attempts to stop t"/>
    <s v="Ghent"/>
    <x v="0"/>
    <s v="Coal"/>
    <x v="2"/>
    <x v="2"/>
    <n v="5"/>
    <n v="6"/>
    <n v="0.69230769230769229"/>
    <n v="336.46153846153845"/>
    <n v="56.07692307692308"/>
    <x v="123"/>
  </r>
  <r>
    <x v="4"/>
    <x v="4"/>
    <n v="35"/>
    <n v="740"/>
    <d v="2015-05-30T20:50:00"/>
    <d v="2015-05-31T09:36:00"/>
    <n v="0"/>
    <n v="520"/>
    <n v="486"/>
    <s v="Boiler recirculation pumps"/>
    <s v="F540Outage #6Unit 2 was removed from service to replace the 2-3 BCWP.  The mechani"/>
    <s v="Ghent"/>
    <x v="2"/>
    <s v="Coal"/>
    <x v="2"/>
    <x v="2"/>
    <n v="5"/>
    <n v="12.766666666720994"/>
    <n v="12.766666666720994"/>
    <n v="6204.600000026403"/>
    <n v="486"/>
    <x v="120"/>
  </r>
  <r>
    <x v="4"/>
    <x v="1"/>
    <n v="37"/>
    <n v="312"/>
    <d v="2015-06-11T23:00:00"/>
    <d v="2015-06-12T01:54:00"/>
    <n v="460"/>
    <n v="520"/>
    <n v="486"/>
    <s v="Pulverizer mill classifiers"/>
    <s v="Load Reduction #302-3 Mill off to inspect and repair classifier section."/>
    <s v="Ghent"/>
    <x v="0"/>
    <s v="Coal"/>
    <x v="2"/>
    <x v="2"/>
    <n v="6"/>
    <n v="2.9000000000232831"/>
    <n v="0.33461538461807111"/>
    <n v="162.62307692438256"/>
    <n v="56.07692307692308"/>
    <x v="123"/>
  </r>
  <r>
    <x v="4"/>
    <x v="0"/>
    <n v="38"/>
    <n v="350"/>
    <d v="2015-06-13T15:55:00"/>
    <d v="2015-06-13T16:20:00"/>
    <n v="450"/>
    <n v="520"/>
    <n v="486"/>
    <s v="Pulverized fuel and air piping (from pulverizer to wind box)"/>
    <s v="Load Reduction #312-6 Mill &quot;D&quot; BSO came off the open limit and tripped the mill.  "/>
    <s v="Ghent"/>
    <x v="0"/>
    <s v="Coal"/>
    <x v="2"/>
    <x v="2"/>
    <n v="6"/>
    <n v="0.41666666662786156"/>
    <n v="5.6089743584519826E-2"/>
    <n v="27.259615382076635"/>
    <n v="65.42307692307692"/>
    <x v="127"/>
  </r>
  <r>
    <x v="4"/>
    <x v="1"/>
    <n v="39"/>
    <n v="344"/>
    <d v="2015-07-13T22:26:00"/>
    <d v="2015-07-14T01:17:00"/>
    <n v="440"/>
    <n v="520"/>
    <n v="486"/>
    <s v="Pulverizer inspection"/>
    <s v="Load Reduction #322-4 Mill off to inspect due to mill fineness being poor."/>
    <s v="Ghent"/>
    <x v="0"/>
    <s v="Coal"/>
    <x v="2"/>
    <x v="2"/>
    <n v="7"/>
    <n v="2.8500000000349246"/>
    <n v="0.43846153846691149"/>
    <n v="213.09230769491899"/>
    <n v="74.769230769230774"/>
    <x v="34"/>
  </r>
  <r>
    <x v="4"/>
    <x v="0"/>
    <n v="40"/>
    <n v="250"/>
    <d v="2015-07-14T04:47:00"/>
    <d v="2015-07-14T11:57:00"/>
    <n v="450"/>
    <n v="520"/>
    <n v="486"/>
    <s v="Pulverizer feeders"/>
    <s v="Load Reduction #332-3 Feeder head roll bearing failed."/>
    <s v="Ghent"/>
    <x v="0"/>
    <s v="Coal"/>
    <x v="2"/>
    <x v="2"/>
    <n v="7"/>
    <n v="7.1666666666278616"/>
    <n v="0.96474358973836594"/>
    <n v="468.86538461284584"/>
    <n v="65.42307692307692"/>
    <x v="127"/>
  </r>
  <r>
    <x v="4"/>
    <x v="0"/>
    <n v="41"/>
    <n v="320"/>
    <d v="2015-07-16T00:00:00"/>
    <d v="2015-07-16T00:27:00"/>
    <n v="460"/>
    <n v="520"/>
    <n v="486"/>
    <s v="Foreign object in Pulverizers mill"/>
    <s v="Load Reduction #342-6 Mill off for inspection due to noise in grinding section."/>
    <s v="Ghent"/>
    <x v="0"/>
    <s v="Coal"/>
    <x v="2"/>
    <x v="2"/>
    <n v="7"/>
    <n v="0.45000000006984919"/>
    <n v="5.1923076931136444E-2"/>
    <n v="25.234615388532312"/>
    <n v="56.07692307692308"/>
    <x v="123"/>
  </r>
  <r>
    <x v="4"/>
    <x v="0"/>
    <n v="42"/>
    <n v="350"/>
    <d v="2015-07-21T06:10:00"/>
    <d v="2015-07-21T08:09:00"/>
    <n v="450"/>
    <n v="520"/>
    <n v="486"/>
    <s v="Pulverized fuel and air piping (from pulverizer to wind box)"/>
    <s v="Load Reduction #35Removed 2-6 Mill from service after receiving indications of a b"/>
    <s v="Ghent"/>
    <x v="0"/>
    <s v="Coal"/>
    <x v="2"/>
    <x v="2"/>
    <n v="7"/>
    <n v="1.9833333333372138"/>
    <n v="0.26698717948770184"/>
    <n v="129.75576923102309"/>
    <n v="65.42307692307692"/>
    <x v="127"/>
  </r>
  <r>
    <x v="4"/>
    <x v="0"/>
    <n v="43"/>
    <n v="350"/>
    <d v="2015-07-24T15:15:00"/>
    <d v="2015-07-25T03:53:00"/>
    <n v="440"/>
    <n v="520"/>
    <n v="486"/>
    <s v="Pulverized fuel and air piping (from pulverizer to wind box)"/>
    <s v="Load Reduction #362-4 Mill off due to low amps.  Inspected and found the feeder pi"/>
    <s v="Ghent"/>
    <x v="0"/>
    <s v="Coal"/>
    <x v="2"/>
    <x v="2"/>
    <n v="7"/>
    <n v="12.633333333476912"/>
    <n v="1.9435897436118326"/>
    <n v="944.58461539535062"/>
    <n v="74.769230769230774"/>
    <x v="34"/>
  </r>
  <r>
    <x v="4"/>
    <x v="0"/>
    <n v="44"/>
    <n v="350"/>
    <d v="2015-07-25T08:30:00"/>
    <d v="2015-07-25T10:43:00"/>
    <n v="410"/>
    <n v="520"/>
    <n v="486"/>
    <s v="Pulverized fuel and air piping (from pulverizer to wind box)"/>
    <s v="Load Reduction #372-4C Burner line was plugged with coal that had settled out when"/>
    <s v="Ghent"/>
    <x v="0"/>
    <s v="Coal"/>
    <x v="2"/>
    <x v="2"/>
    <n v="7"/>
    <n v="2.2166666667326353"/>
    <n v="0.4689102564242113"/>
    <n v="227.89038462216669"/>
    <n v="102.80769230769231"/>
    <x v="140"/>
  </r>
  <r>
    <x v="4"/>
    <x v="1"/>
    <n v="45"/>
    <n v="350"/>
    <d v="2015-07-29T22:00:00"/>
    <d v="2015-07-29T23:02:00"/>
    <n v="460"/>
    <n v="520"/>
    <n v="486"/>
    <s v="Pulverized fuel and air piping (from pulverizer to wind box)"/>
    <s v="Load Reduction #382-6 Mill off to remove the blank from 2-6 'C' burner line."/>
    <s v="Ghent"/>
    <x v="0"/>
    <s v="Coal"/>
    <x v="2"/>
    <x v="2"/>
    <n v="7"/>
    <n v="1.03333333338378"/>
    <n v="0.11923076923659"/>
    <n v="57.946153848982739"/>
    <n v="56.07692307692308"/>
    <x v="123"/>
  </r>
  <r>
    <x v="4"/>
    <x v="1"/>
    <n v="46"/>
    <n v="250"/>
    <d v="2015-07-29T23:02:00"/>
    <d v="2015-07-30T02:45:00"/>
    <n v="460"/>
    <n v="520"/>
    <n v="486"/>
    <s v="Pulverizer feeders"/>
    <s v="Load Reduction #392-3 Feeder was off to repair the belt splice and calibrate the f"/>
    <s v="Ghent"/>
    <x v="0"/>
    <s v="Coal"/>
    <x v="2"/>
    <x v="2"/>
    <n v="7"/>
    <n v="3.7166666667326353"/>
    <n v="0.42884615385376562"/>
    <n v="208.41923077293009"/>
    <n v="56.07692307692308"/>
    <x v="123"/>
  </r>
  <r>
    <x v="4"/>
    <x v="0"/>
    <n v="47"/>
    <n v="340"/>
    <d v="2015-08-02T18:53:00"/>
    <d v="2015-08-02T21:04:00"/>
    <n v="450"/>
    <n v="520"/>
    <n v="486"/>
    <s v="Other pulverizer problems"/>
    <s v="Load Reduction #402-4 Mill was off due to noise in the pyrite section."/>
    <s v="Ghent"/>
    <x v="0"/>
    <s v="Coal"/>
    <x v="2"/>
    <x v="2"/>
    <n v="8"/>
    <n v="2.1833333332906477"/>
    <n v="0.29391025640451029"/>
    <n v="142.840384612592"/>
    <n v="65.42307692307692"/>
    <x v="127"/>
  </r>
  <r>
    <x v="4"/>
    <x v="0"/>
    <n v="48"/>
    <n v="3410"/>
    <d v="2015-08-03T11:03:00"/>
    <d v="2015-08-03T11:45:00"/>
    <n v="386"/>
    <n v="520"/>
    <n v="486"/>
    <s v="Feedwater pump"/>
    <s v="Load Reduction #412-2 BFP inboard pump bearing was leaking oil.  Dropped load to g"/>
    <s v="Ghent"/>
    <x v="0"/>
    <s v="Coal"/>
    <x v="2"/>
    <x v="2"/>
    <n v="8"/>
    <n v="0.70000000001164153"/>
    <n v="0.18038461538761533"/>
    <n v="87.666923078381046"/>
    <n v="125.23846153846154"/>
    <x v="141"/>
  </r>
  <r>
    <x v="4"/>
    <x v="0"/>
    <n v="49"/>
    <n v="3631"/>
    <d v="2015-08-08T16:12:00"/>
    <d v="2015-08-08T17:30:00"/>
    <n v="228"/>
    <n v="520"/>
    <n v="486"/>
    <s v="480-volt circuit breakers"/>
    <s v="Load Reduction #422-1 ID fan tripped due to loss of 480V feed to fan."/>
    <s v="Ghent"/>
    <x v="0"/>
    <s v="Coal"/>
    <x v="2"/>
    <x v="2"/>
    <n v="8"/>
    <n v="1.2999999998719431"/>
    <n v="0.72999999992809117"/>
    <n v="354.7799999650523"/>
    <n v="272.90769230769229"/>
    <x v="142"/>
  </r>
  <r>
    <x v="4"/>
    <x v="0"/>
    <n v="50"/>
    <n v="3632"/>
    <d v="2015-08-11T03:35:00"/>
    <d v="2015-08-11T05:46:00"/>
    <n v="280"/>
    <n v="520"/>
    <n v="486"/>
    <s v="480-volt conductors and buses"/>
    <s v="Load Reduction #432E MCC fire limited the ability to get coal to U2 due to CHB iso"/>
    <s v="Ghent"/>
    <x v="0"/>
    <s v="Coal"/>
    <x v="2"/>
    <x v="2"/>
    <n v="8"/>
    <n v="2.1833333332906477"/>
    <n v="1.0076923076726065"/>
    <n v="489.73846152888677"/>
    <n v="224.30769230769232"/>
    <x v="143"/>
  </r>
  <r>
    <x v="4"/>
    <x v="0"/>
    <n v="51"/>
    <n v="340"/>
    <d v="2015-08-16T15:25:00"/>
    <d v="2015-08-16T17:34:00"/>
    <n v="460"/>
    <n v="520"/>
    <n v="486"/>
    <s v="Other pulverizer problems"/>
    <s v="Load Reduction #442-4 Mill off to repair a coal leak on the spring can."/>
    <s v="Ghent"/>
    <x v="0"/>
    <s v="Coal"/>
    <x v="2"/>
    <x v="2"/>
    <n v="8"/>
    <n v="2.1500000000232831"/>
    <n v="0.24807692307960957"/>
    <n v="120.56538461669025"/>
    <n v="56.07692307692308"/>
    <x v="123"/>
  </r>
  <r>
    <x v="4"/>
    <x v="1"/>
    <n v="52"/>
    <n v="320"/>
    <d v="2015-08-23T08:19:00"/>
    <d v="2015-08-23T10:19:00"/>
    <n v="420"/>
    <n v="520"/>
    <n v="486"/>
    <s v="Foreign object in Pulverizers mill"/>
    <s v="Load Reduction #452-3 Feeder off due to metal in feeder."/>
    <s v="Ghent"/>
    <x v="0"/>
    <s v="Coal"/>
    <x v="2"/>
    <x v="2"/>
    <n v="8"/>
    <n v="1.9999999998835847"/>
    <n v="0.38461538459299704"/>
    <n v="186.92307691219656"/>
    <n v="93.461538461538467"/>
    <x v="129"/>
  </r>
  <r>
    <x v="4"/>
    <x v="10"/>
    <n v="53"/>
    <n v="1000"/>
    <d v="2015-08-23T20:03:00"/>
    <d v="2015-08-24T20:02:00"/>
    <n v="0"/>
    <n v="520"/>
    <n v="486"/>
    <s v="Waterwall (Furnace wall) A"/>
    <s v="Outage #8Unit 2 developed a water wall tube leak.  Removed the unit from service f"/>
    <s v="Ghent"/>
    <x v="3"/>
    <s v="Coal"/>
    <x v="2"/>
    <x v="2"/>
    <n v="8"/>
    <n v="23.983333333279006"/>
    <n v="23.983333333279006"/>
    <n v="11655.899999973597"/>
    <n v="486"/>
    <x v="120"/>
  </r>
  <r>
    <x v="4"/>
    <x v="1"/>
    <n v="54"/>
    <n v="340"/>
    <d v="2015-08-31T22:10:00"/>
    <d v="2015-09-01T04:10:00"/>
    <n v="480"/>
    <n v="520"/>
    <n v="486"/>
    <s v="Other pulverizer problems"/>
    <s v="Load Reduction #462-2 Mill off to replace bolts in the top of the mill that holds "/>
    <s v="Ghent"/>
    <x v="0"/>
    <s v="Coal"/>
    <x v="2"/>
    <x v="2"/>
    <n v="8"/>
    <n v="6"/>
    <n v="0.46153846153846156"/>
    <n v="224.30769230769232"/>
    <n v="37.384615384615387"/>
    <x v="12"/>
  </r>
  <r>
    <x v="4"/>
    <x v="0"/>
    <n v="55"/>
    <n v="340"/>
    <d v="2015-09-14T06:15:00"/>
    <d v="2015-09-16T07:13:00"/>
    <n v="450"/>
    <n v="520"/>
    <n v="486"/>
    <s v="Other pulverizer problems"/>
    <s v="Load Reduction #472-5 Mill stopped grinding coal.  Removed from service and found "/>
    <s v="Ghent"/>
    <x v="0"/>
    <s v="Coal"/>
    <x v="2"/>
    <x v="2"/>
    <n v="9"/>
    <n v="48.966666666674428"/>
    <n v="6.5916666666677113"/>
    <n v="3203.5500000005077"/>
    <n v="65.42307692307692"/>
    <x v="127"/>
  </r>
  <r>
    <x v="4"/>
    <x v="1"/>
    <n v="56"/>
    <n v="346"/>
    <d v="2015-09-14T22:00:00"/>
    <d v="2015-09-15T00:56:00"/>
    <n v="350"/>
    <n v="520"/>
    <n v="486"/>
    <s v="Pulverizer pyrite removal system"/>
    <s v="Load Reduction #482-6 Mill had a knocking noise in the pyrite section.  Removed fr"/>
    <s v="Ghent"/>
    <x v="0"/>
    <s v="Coal"/>
    <x v="2"/>
    <x v="2"/>
    <n v="9"/>
    <n v="2.9333333334652707"/>
    <n v="0.95897435901749239"/>
    <n v="466.06153848250131"/>
    <n v="158.88461538461539"/>
    <x v="68"/>
  </r>
  <r>
    <x v="4"/>
    <x v="0"/>
    <n v="57"/>
    <n v="340"/>
    <d v="2015-09-15T13:00:00"/>
    <d v="2015-09-15T17:18:00"/>
    <n v="299"/>
    <n v="520"/>
    <n v="486"/>
    <s v="Other pulverizer problems"/>
    <s v="Load Reduction #492-4 Mill feeder belt tore and 2-6 mill journal locked up.  Both "/>
    <s v="Ghent"/>
    <x v="0"/>
    <s v="Coal"/>
    <x v="2"/>
    <x v="2"/>
    <n v="9"/>
    <n v="4.3000000000465661"/>
    <n v="1.8275000000197905"/>
    <n v="888.16500000961821"/>
    <n v="206.55"/>
    <x v="144"/>
  </r>
  <r>
    <x v="4"/>
    <x v="0"/>
    <n v="58"/>
    <n v="340"/>
    <d v="2015-09-15T17:18:00"/>
    <d v="2015-09-15T17:52:00"/>
    <n v="320"/>
    <n v="520"/>
    <n v="486"/>
    <s v="Other pulverizer problems"/>
    <s v="Load Reduction #502-4 Mill feeder belt was broken and out of service for replaceme"/>
    <s v="Ghent"/>
    <x v="0"/>
    <s v="Coal"/>
    <x v="2"/>
    <x v="2"/>
    <n v="9"/>
    <n v="0.56666666659293696"/>
    <n v="0.21794871792036036"/>
    <n v="105.92307690929513"/>
    <n v="186.92307692307693"/>
    <x v="121"/>
  </r>
  <r>
    <x v="4"/>
    <x v="10"/>
    <n v="59"/>
    <n v="1000"/>
    <d v="2015-09-16T07:13:00"/>
    <d v="2015-09-17T07:33:00"/>
    <n v="0"/>
    <n v="520"/>
    <n v="486"/>
    <s v="Waterwall (Furnace wall) A"/>
    <s v="F370Outage #9Unit 2 developed a water wall tube leak on 7 1/2 floor, south side of"/>
    <s v="Ghent"/>
    <x v="3"/>
    <s v="Coal"/>
    <x v="2"/>
    <x v="2"/>
    <n v="9"/>
    <n v="24.333333333372138"/>
    <n v="24.333333333372138"/>
    <n v="11826.000000018859"/>
    <n v="486"/>
    <x v="120"/>
  </r>
  <r>
    <x v="4"/>
    <x v="0"/>
    <n v="60"/>
    <n v="340"/>
    <d v="2015-09-17T07:33:00"/>
    <d v="2015-09-25T09:50:00"/>
    <n v="450"/>
    <n v="520"/>
    <n v="486"/>
    <s v="Other pulverizer problems"/>
    <s v="Load Reduction #512-5 Mill vertical shaft broke."/>
    <s v="Ghent"/>
    <x v="0"/>
    <s v="Coal"/>
    <x v="2"/>
    <x v="2"/>
    <n v="9"/>
    <n v="194.28333333326736"/>
    <n v="26.15352564101676"/>
    <n v="12710.613461534145"/>
    <n v="65.42307692307692"/>
    <x v="127"/>
  </r>
  <r>
    <x v="4"/>
    <x v="6"/>
    <n v="61"/>
    <n v="8650"/>
    <d v="2015-09-25T09:50:00"/>
    <d v="2015-11-27T00:39:00"/>
    <n v="0"/>
    <n v="520"/>
    <n v="486"/>
    <s v="Baghouse systems"/>
    <s v="F610Outage #10Unit 2 was scheduled for a Planned Fall Outage to do general mainten"/>
    <s v="Ghent"/>
    <x v="1"/>
    <s v="Coal"/>
    <x v="2"/>
    <x v="2"/>
    <n v="9"/>
    <n v="1502.8166666667676"/>
    <n v="1502.8166666667676"/>
    <n v="730368.90000004903"/>
    <n v="486"/>
    <x v="120"/>
  </r>
  <r>
    <x v="4"/>
    <x v="0"/>
    <n v="62"/>
    <n v="340"/>
    <d v="2015-11-28T22:22:00"/>
    <d v="2015-11-29T01:13:00"/>
    <n v="460"/>
    <n v="520"/>
    <n v="486"/>
    <s v="Other pulverizer problems"/>
    <s v="Load Reduction #522-6 Mill was removed from service to repair pyrite scrapers."/>
    <s v="Ghent"/>
    <x v="0"/>
    <s v="Coal"/>
    <x v="2"/>
    <x v="2"/>
    <n v="11"/>
    <n v="2.8500000000349246"/>
    <n v="0.32884615385018362"/>
    <n v="159.81923077118924"/>
    <n v="56.07692307692308"/>
    <x v="123"/>
  </r>
  <r>
    <x v="4"/>
    <x v="0"/>
    <n v="63"/>
    <n v="3661"/>
    <d v="2015-11-30T23:27:00"/>
    <d v="2015-12-01T02:14:00"/>
    <n v="300"/>
    <n v="520"/>
    <n v="486"/>
    <s v="4160-volt circuit breakers"/>
    <s v="Load Reduction #53U2 FGDA 4KV reserve breaker failed.  Dropped load until FGD 4KV "/>
    <s v="Ghent"/>
    <x v="0"/>
    <s v="Coal"/>
    <x v="2"/>
    <x v="2"/>
    <n v="11"/>
    <n v="2.7833333333255723"/>
    <n v="1.177564102560819"/>
    <n v="572.29615384455803"/>
    <n v="205.61538461538461"/>
    <x v="132"/>
  </r>
  <r>
    <x v="4"/>
    <x v="1"/>
    <n v="64"/>
    <n v="3407"/>
    <d v="2015-12-03T23:38:00"/>
    <d v="2015-12-04T03:05:00"/>
    <n v="320"/>
    <n v="520"/>
    <n v="486"/>
    <s v="Feedwater pump suction screens"/>
    <s v="Load Reduction #542-2 BFP was removed from service long enough to backflush the su"/>
    <s v="Ghent"/>
    <x v="0"/>
    <s v="Coal"/>
    <x v="2"/>
    <x v="2"/>
    <n v="12"/>
    <n v="3.4499999998952262"/>
    <n v="1.3269230768827793"/>
    <n v="644.88461536503075"/>
    <n v="186.92307692307693"/>
    <x v="121"/>
  </r>
  <r>
    <x v="4"/>
    <x v="0"/>
    <n v="65"/>
    <n v="340"/>
    <d v="2015-12-18T02:30:00"/>
    <d v="2015-12-18T02:41:00"/>
    <n v="440"/>
    <n v="520"/>
    <n v="486"/>
    <s v="Other pulverizer problems"/>
    <s v="Load Reduction #552-2 Mill burner shut off valve came off the open limit and tripp"/>
    <s v="Ghent"/>
    <x v="0"/>
    <s v="Coal"/>
    <x v="2"/>
    <x v="2"/>
    <n v="12"/>
    <n v="0.18333333340706304"/>
    <n v="2.8205128216471236E-2"/>
    <n v="13.707692313205021"/>
    <n v="74.769230769230774"/>
    <x v="34"/>
  </r>
  <r>
    <x v="4"/>
    <x v="0"/>
    <n v="1"/>
    <n v="320"/>
    <d v="2016-01-02T09:00:00"/>
    <d v="2016-01-02T10:15:00"/>
    <n v="460"/>
    <n v="520"/>
    <n v="486"/>
    <s v="Foreign object in Pulverizers mill"/>
    <s v="Load Reduction #12-1 Mill was making loud noise. "/>
    <s v="Ghent"/>
    <x v="0"/>
    <s v="Coal"/>
    <x v="2"/>
    <x v="3"/>
    <n v="1"/>
    <n v="1.2500000000582077"/>
    <n v="0.14423076923748551"/>
    <n v="70.096153849417959"/>
    <n v="56.07692307692308"/>
    <x v="123"/>
  </r>
  <r>
    <x v="4"/>
    <x v="0"/>
    <n v="2"/>
    <n v="350"/>
    <d v="2016-01-12T23:18:00"/>
    <d v="2016-01-13T02:15:00"/>
    <n v="460"/>
    <n v="520"/>
    <n v="486"/>
    <s v="Pulverized fuel and air piping (from pulverizer to wind box)"/>
    <s v="Load Reduction #22-2 Mill &quot;D&quot; burner caught fire.  Blanked burner line off."/>
    <s v="Ghent"/>
    <x v="0"/>
    <s v="Coal"/>
    <x v="2"/>
    <x v="3"/>
    <n v="1"/>
    <n v="2.9500000000116415"/>
    <n v="0.34038461538595866"/>
    <n v="165.42692307757591"/>
    <n v="56.07692307692308"/>
    <x v="123"/>
  </r>
  <r>
    <x v="4"/>
    <x v="5"/>
    <n v="3"/>
    <n v="260"/>
    <d v="2016-01-13T09:17:00"/>
    <d v="2016-01-13T14:43:00"/>
    <n v="0"/>
    <n v="520"/>
    <n v="486"/>
    <s v="Primary air fan"/>
    <s v="Outage #1Unit 2 Primary air fan catastrophic failure of fan and motor.  "/>
    <s v="Ghent"/>
    <x v="3"/>
    <s v="Coal"/>
    <x v="2"/>
    <x v="3"/>
    <n v="1"/>
    <n v="5.4333333332324401"/>
    <n v="5.4333333332324401"/>
    <n v="2640.5999999509659"/>
    <n v="486"/>
    <x v="120"/>
  </r>
  <r>
    <x v="4"/>
    <x v="0"/>
    <n v="4"/>
    <n v="320"/>
    <d v="2016-01-19T14:22:00"/>
    <d v="2016-01-19T15:33:00"/>
    <n v="460"/>
    <n v="520"/>
    <n v="486"/>
    <s v="Foreign object in Pulverizers mill"/>
    <s v="Load Reduction #32-1 Mill was removed from service because of a knocking noise com"/>
    <s v="Ghent"/>
    <x v="0"/>
    <s v="Coal"/>
    <x v="2"/>
    <x v="3"/>
    <n v="1"/>
    <n v="1.1833333333488554"/>
    <n v="0.13653846154025254"/>
    <n v="66.357692308562733"/>
    <n v="56.07692307692308"/>
    <x v="123"/>
  </r>
  <r>
    <x v="4"/>
    <x v="0"/>
    <n v="5"/>
    <n v="340"/>
    <d v="2016-01-21T13:29:00"/>
    <d v="2016-01-21T14:08:00"/>
    <n v="460"/>
    <n v="520"/>
    <n v="486"/>
    <s v="Other pulverizer problems"/>
    <s v="Load Reduction #42-5 Mill burner shut off actuator arm came off causing it to come"/>
    <s v="Ghent"/>
    <x v="0"/>
    <s v="Coal"/>
    <x v="2"/>
    <x v="3"/>
    <n v="1"/>
    <n v="0.65000000002328306"/>
    <n v="7.5000000002686501E-2"/>
    <n v="36.450000001305639"/>
    <n v="56.07692307692308"/>
    <x v="123"/>
  </r>
  <r>
    <x v="4"/>
    <x v="0"/>
    <n v="6"/>
    <n v="360"/>
    <d v="2016-02-04T06:14:00"/>
    <d v="2016-02-04T06:38:00"/>
    <n v="425"/>
    <n v="520"/>
    <n v="486"/>
    <s v="Burners"/>
    <s v="Load Reduction #5High burner temperature on 2-5B mill burner."/>
    <s v="Ghent"/>
    <x v="0"/>
    <s v="Coal"/>
    <x v="2"/>
    <x v="3"/>
    <n v="2"/>
    <n v="0.39999999990686774"/>
    <n v="7.3076923059908525E-2"/>
    <n v="35.515384607115543"/>
    <n v="88.788461538461533"/>
    <x v="145"/>
  </r>
  <r>
    <x v="4"/>
    <x v="0"/>
    <n v="7"/>
    <n v="1470"/>
    <d v="2016-02-20T05:18:00"/>
    <d v="2016-02-20T08:50:00"/>
    <n v="255"/>
    <n v="520"/>
    <n v="486"/>
    <s v="Induced draft fan motors and drives"/>
    <s v="Load Reduction #62-2 ID fan tripped due to the VFD HVAC compressor going to ground"/>
    <s v="Ghent"/>
    <x v="0"/>
    <s v="Coal"/>
    <x v="2"/>
    <x v="3"/>
    <n v="2"/>
    <n v="3.5333333333255723"/>
    <n v="1.8006410256370704"/>
    <n v="875.11153845961621"/>
    <n v="247.67307692307693"/>
    <x v="146"/>
  </r>
  <r>
    <x v="4"/>
    <x v="0"/>
    <n v="8"/>
    <n v="1475"/>
    <d v="2016-02-20T08:50:00"/>
    <d v="2016-02-20T09:10:00"/>
    <n v="180"/>
    <n v="520"/>
    <n v="486"/>
    <s v="Induced draft fan controls"/>
    <s v="Load Reduction #7ID and FD fan cross trips were not disabled during the starting o"/>
    <s v="Ghent"/>
    <x v="0"/>
    <s v="Coal"/>
    <x v="2"/>
    <x v="3"/>
    <n v="2"/>
    <n v="0.33333333337213844"/>
    <n v="0.21794871797409052"/>
    <n v="105.92307693540799"/>
    <n v="317.76923076923077"/>
    <x v="147"/>
  </r>
  <r>
    <x v="4"/>
    <x v="1"/>
    <n v="9"/>
    <n v="340"/>
    <d v="2016-02-25T23:00:00"/>
    <d v="2016-02-26T09:12:00"/>
    <n v="420"/>
    <n v="520"/>
    <n v="486"/>
    <s v="Other pulverizer problems"/>
    <s v="Load Reduction #82-5 Mill was off for south journal replacement."/>
    <s v="Ghent"/>
    <x v="0"/>
    <s v="Coal"/>
    <x v="2"/>
    <x v="3"/>
    <n v="2"/>
    <n v="10.199999999895226"/>
    <n v="1.9615384615183127"/>
    <n v="953.30769229789996"/>
    <n v="93.461538461538467"/>
    <x v="129"/>
  </r>
  <r>
    <x v="4"/>
    <x v="1"/>
    <n v="10"/>
    <n v="1470"/>
    <d v="2016-02-28T12:35:00"/>
    <d v="2016-02-28T15:21:00"/>
    <n v="200"/>
    <n v="520"/>
    <n v="486"/>
    <s v="Induced draft fan motors and drives"/>
    <s v="Load Reduction #92-1 ID fan VFD had a coolant leak."/>
    <s v="Ghent"/>
    <x v="0"/>
    <s v="Coal"/>
    <x v="2"/>
    <x v="3"/>
    <n v="2"/>
    <n v="2.7666666666045785"/>
    <n v="1.7025641025258944"/>
    <n v="827.44615382758468"/>
    <n v="299.07692307692309"/>
    <x v="122"/>
  </r>
  <r>
    <x v="4"/>
    <x v="0"/>
    <n v="11"/>
    <n v="350"/>
    <d v="2016-03-06T18:13:00"/>
    <d v="2016-03-06T21:01:00"/>
    <n v="400"/>
    <n v="520"/>
    <n v="486"/>
    <s v="Pulverized fuel and air piping (from pulverizer to wind box)"/>
    <s v="Load Reduction #102-6C Burner fire."/>
    <s v="Ghent"/>
    <x v="0"/>
    <s v="Coal"/>
    <x v="2"/>
    <x v="3"/>
    <n v="3"/>
    <n v="2.8000000000465661"/>
    <n v="0.64615384616459215"/>
    <n v="314.03076923599178"/>
    <n v="112.15384615384616"/>
    <x v="38"/>
  </r>
  <r>
    <x v="4"/>
    <x v="0"/>
    <n v="12"/>
    <n v="350"/>
    <d v="2016-03-07T06:09:00"/>
    <d v="2016-03-07T06:55:00"/>
    <n v="480"/>
    <n v="520"/>
    <n v="486"/>
    <s v="Pulverized fuel and air piping (from pulverizer to wind box)"/>
    <s v="Load Reduction #11Mill performance problems.  2-2 and 2-6 had burners out."/>
    <s v="Ghent"/>
    <x v="0"/>
    <s v="Coal"/>
    <x v="2"/>
    <x v="3"/>
    <n v="3"/>
    <n v="0.76666666672099382"/>
    <n v="5.8974358978537984E-2"/>
    <n v="28.66153846356946"/>
    <n v="37.384615384615387"/>
    <x v="12"/>
  </r>
  <r>
    <x v="4"/>
    <x v="0"/>
    <n v="13"/>
    <n v="320"/>
    <d v="2016-03-22T05:00:00"/>
    <d v="2016-03-22T06:02:00"/>
    <n v="440"/>
    <n v="520"/>
    <n v="486"/>
    <s v="Foreign object in Pulverizers mill"/>
    <s v="Load Reduction #122-2 Mill feeder plugged."/>
    <s v="Ghent"/>
    <x v="0"/>
    <s v="Coal"/>
    <x v="2"/>
    <x v="3"/>
    <n v="3"/>
    <n v="1.033333333209157"/>
    <n v="0.15897435895525491"/>
    <n v="77.261538452253887"/>
    <n v="74.769230769230774"/>
    <x v="34"/>
  </r>
  <r>
    <x v="4"/>
    <x v="0"/>
    <n v="14"/>
    <n v="320"/>
    <d v="2016-03-22T06:08:00"/>
    <d v="2016-03-22T10:53:00"/>
    <n v="440"/>
    <n v="520"/>
    <n v="486"/>
    <s v="Foreign object in Pulverizers mill"/>
    <s v="Load Reduction #132-2 Mill feeder plugged."/>
    <s v="Ghent"/>
    <x v="0"/>
    <s v="Coal"/>
    <x v="2"/>
    <x v="3"/>
    <n v="3"/>
    <n v="4.7499999999417923"/>
    <n v="0.73076923076027578"/>
    <n v="355.15384614949403"/>
    <n v="74.769230769230774"/>
    <x v="34"/>
  </r>
  <r>
    <x v="4"/>
    <x v="1"/>
    <n v="15"/>
    <n v="260"/>
    <d v="2016-03-29T22:00:00"/>
    <d v="2016-03-30T02:22:00"/>
    <n v="25"/>
    <n v="520"/>
    <n v="486"/>
    <s v="Primary air fan"/>
    <s v="Load Reduction #14Load reduced to remove blank from 2-3 PA Fan."/>
    <s v="Ghent"/>
    <x v="0"/>
    <s v="Coal"/>
    <x v="2"/>
    <x v="3"/>
    <n v="3"/>
    <n v="4.3666666667559184"/>
    <n v="4.1567307693157298"/>
    <n v="2020.1711538874447"/>
    <n v="462.63461538461536"/>
    <x v="148"/>
  </r>
  <r>
    <x v="4"/>
    <x v="1"/>
    <n v="16"/>
    <n v="250"/>
    <d v="2016-04-10T11:46:00"/>
    <d v="2016-04-10T14:41:00"/>
    <n v="79"/>
    <n v="520"/>
    <n v="486"/>
    <s v="Pulverizer feeders"/>
    <s v="F590Load Reduction #15Load was reduced to replace 2-3 feeder belt."/>
    <s v="Ghent"/>
    <x v="0"/>
    <s v="Coal"/>
    <x v="2"/>
    <x v="3"/>
    <n v="4"/>
    <n v="2.9166666667442769"/>
    <n v="2.4735576923735119"/>
    <n v="1202.1490384935269"/>
    <n v="412.1653846153846"/>
    <x v="149"/>
  </r>
  <r>
    <x v="4"/>
    <x v="0"/>
    <n v="17"/>
    <n v="1850"/>
    <d v="2016-04-23T08:24:00"/>
    <d v="2016-04-23T20:20:00"/>
    <n v="360"/>
    <n v="520"/>
    <n v="486"/>
    <s v="Boiler water condition (not feedwater water quality)"/>
    <s v="F830Load Reduction #16Boiler chemistry."/>
    <s v="Ghent"/>
    <x v="0"/>
    <s v="Coal"/>
    <x v="2"/>
    <x v="3"/>
    <n v="4"/>
    <n v="11.933333333290648"/>
    <n v="3.6717948717817377"/>
    <n v="1784.4923076859245"/>
    <n v="149.53846153846155"/>
    <x v="75"/>
  </r>
  <r>
    <x v="4"/>
    <x v="1"/>
    <n v="18"/>
    <n v="340"/>
    <d v="2016-04-27T22:00:00"/>
    <d v="2016-04-28T00:15:00"/>
    <n v="420"/>
    <n v="520"/>
    <n v="486"/>
    <s v="Other pulverizer problems"/>
    <s v="F060Load Reduction #172-6 Mill north journal replacement."/>
    <s v="Ghent"/>
    <x v="0"/>
    <s v="Coal"/>
    <x v="2"/>
    <x v="3"/>
    <n v="4"/>
    <n v="2.25"/>
    <n v="0.43269230769230771"/>
    <n v="210.28846153846155"/>
    <n v="93.461538461538467"/>
    <x v="129"/>
  </r>
  <r>
    <x v="4"/>
    <x v="4"/>
    <n v="19"/>
    <n v="3110"/>
    <d v="2016-05-02T22:15:00"/>
    <d v="2016-05-04T20:32:00"/>
    <n v="0"/>
    <n v="520"/>
    <n v="486"/>
    <s v="Condenser tube leaks"/>
    <s v="F540Outage #2Unit 2 was removed from service to repair a 2-1 Main Condenser tube l"/>
    <s v="Ghent"/>
    <x v="2"/>
    <s v="Coal"/>
    <x v="2"/>
    <x v="3"/>
    <n v="5"/>
    <n v="46.283333333325572"/>
    <n v="46.283333333325572"/>
    <n v="22493.699999996228"/>
    <n v="486"/>
    <x v="120"/>
  </r>
  <r>
    <x v="4"/>
    <x v="1"/>
    <n v="20"/>
    <n v="3410"/>
    <d v="2016-06-07T20:02:00"/>
    <d v="2016-06-08T08:26:00"/>
    <n v="345"/>
    <n v="520"/>
    <n v="486"/>
    <s v="Feedwater pump"/>
    <s v="F590Load Reduction #182-2 BFP out of service to rebuild the recirculation valve."/>
    <s v="Ghent"/>
    <x v="0"/>
    <s v="Coal"/>
    <x v="2"/>
    <x v="3"/>
    <n v="6"/>
    <n v="12.400000000081491"/>
    <n v="4.1730769231043476"/>
    <n v="2028.1153846287129"/>
    <n v="163.55769230769232"/>
    <x v="150"/>
  </r>
  <r>
    <x v="4"/>
    <x v="0"/>
    <n v="21"/>
    <n v="1400"/>
    <d v="2016-06-16T12:51:00"/>
    <d v="2016-06-16T20:33:00"/>
    <n v="514"/>
    <n v="520"/>
    <n v="486"/>
    <s v="Forced draft fans"/>
    <s v="Load Reduction #19Boiler FD fans maxed out.  Not enough air flow. Air flow issue."/>
    <s v="Ghent"/>
    <x v="0"/>
    <s v="Coal"/>
    <x v="2"/>
    <x v="3"/>
    <n v="6"/>
    <n v="7.6999999999534339"/>
    <n v="8.8846153845616546E-2"/>
    <n v="43.179230768969639"/>
    <n v="5.6076923076923073"/>
    <x v="151"/>
  </r>
  <r>
    <x v="4"/>
    <x v="0"/>
    <n v="22"/>
    <n v="1400"/>
    <d v="2016-06-16T20:33:00"/>
    <d v="2016-06-17T11:20:00"/>
    <n v="522"/>
    <n v="520"/>
    <n v="486"/>
    <s v="Forced draft fans"/>
    <s v="Load Reduction #20Boiler FD fans maxed out.  Not enough air flow.  Air flow issue."/>
    <s v="Ghent"/>
    <x v="0"/>
    <s v="Coal"/>
    <x v="2"/>
    <x v="3"/>
    <n v="6"/>
    <n v="14.783333333325572"/>
    <n v="-5.6858974358944506E-2"/>
    <n v="-27.63346153844703"/>
    <n v="0"/>
    <x v="152"/>
  </r>
  <r>
    <x v="4"/>
    <x v="0"/>
    <n v="23"/>
    <n v="4499"/>
    <d v="2016-06-17T11:20:00"/>
    <d v="2016-07-08T14:27:00"/>
    <n v="523"/>
    <n v="520"/>
    <n v="486"/>
    <s v="Other miscellaneous steam turbine problems"/>
    <s v="Load Reduction #21Turbine performance.  Turbine copper deposition."/>
    <s v="Ghent"/>
    <x v="0"/>
    <s v="Coal"/>
    <x v="2"/>
    <x v="3"/>
    <n v="6"/>
    <n v="507.11666666669771"/>
    <n v="-2.925673076923256"/>
    <n v="-1421.8771153847024"/>
    <n v="0"/>
    <x v="152"/>
  </r>
  <r>
    <x v="4"/>
    <x v="0"/>
    <n v="24"/>
    <n v="340"/>
    <d v="2016-06-20T05:19:00"/>
    <d v="2016-06-20T08:21:00"/>
    <n v="440"/>
    <n v="520"/>
    <n v="486"/>
    <s v="Other pulverizer problems"/>
    <s v="Load Reduction #222-3 Mill north journal failed."/>
    <s v="Ghent"/>
    <x v="0"/>
    <s v="Coal"/>
    <x v="2"/>
    <x v="3"/>
    <n v="6"/>
    <n v="3.0333333332673647"/>
    <n v="0.46666666665651763"/>
    <n v="226.79999999506757"/>
    <n v="74.769230769230774"/>
    <x v="34"/>
  </r>
  <r>
    <x v="4"/>
    <x v="0"/>
    <n v="25"/>
    <n v="1420"/>
    <d v="2016-06-25T11:00:00"/>
    <d v="2016-06-25T11:42:00"/>
    <n v="511"/>
    <n v="520"/>
    <n v="486"/>
    <s v="Other forced draft fan problems"/>
    <s v="F830Load Reduction #23FD fans were maxed out."/>
    <s v="Ghent"/>
    <x v="0"/>
    <s v="Coal"/>
    <x v="2"/>
    <x v="3"/>
    <n v="6"/>
    <n v="0.70000000001164153"/>
    <n v="1.2115384615586103E-2"/>
    <n v="5.8880769231748458"/>
    <n v="8.411538461538461"/>
    <x v="1"/>
  </r>
  <r>
    <x v="4"/>
    <x v="1"/>
    <n v="26"/>
    <n v="3416"/>
    <d v="2016-06-25T23:00:00"/>
    <d v="2016-06-25T23:35:00"/>
    <n v="330"/>
    <n v="520"/>
    <n v="486"/>
    <s v="Other feedwater pump problems"/>
    <s v="F590Load Reduction #242-1 BFPT EBOP switch repair and servo replacement."/>
    <s v="Ghent"/>
    <x v="0"/>
    <s v="Coal"/>
    <x v="2"/>
    <x v="3"/>
    <n v="6"/>
    <n v="0.58333333331393078"/>
    <n v="0.21314102563393625"/>
    <n v="103.58653845809302"/>
    <n v="177.57692307692307"/>
    <x v="118"/>
  </r>
  <r>
    <x v="4"/>
    <x v="1"/>
    <n v="27"/>
    <n v="3416"/>
    <d v="2016-06-25T23:35:00"/>
    <d v="2016-06-26T01:39:00"/>
    <n v="300"/>
    <n v="520"/>
    <n v="486"/>
    <s v="Other feedwater pump problems"/>
    <s v="F590Load Reduction #252-1 BFPT EBOP switch repair and servo replacement."/>
    <s v="Ghent"/>
    <x v="0"/>
    <s v="Coal"/>
    <x v="2"/>
    <x v="3"/>
    <n v="6"/>
    <n v="2.066666666592937"/>
    <n v="0.87435897432778098"/>
    <n v="424.93846152330156"/>
    <n v="205.61538461538461"/>
    <x v="132"/>
  </r>
  <r>
    <x v="4"/>
    <x v="0"/>
    <n v="28"/>
    <n v="346"/>
    <d v="2016-07-07T07:02:00"/>
    <d v="2016-07-07T07:13:00"/>
    <n v="460"/>
    <n v="520"/>
    <n v="486"/>
    <s v="Pulverizer pyrite removal system"/>
    <s v="F590Load Reduction #26OPS Took Mill 2-5 OOS to Unplug Pyrite Chute.  Plugged Chute"/>
    <s v="Ghent"/>
    <x v="0"/>
    <s v="Coal"/>
    <x v="2"/>
    <x v="3"/>
    <n v="7"/>
    <n v="0.18333333323244005"/>
    <n v="2.115384614220462E-2"/>
    <n v="10.280769225111445"/>
    <n v="56.07692307692308"/>
    <x v="123"/>
  </r>
  <r>
    <x v="4"/>
    <x v="0"/>
    <n v="29"/>
    <n v="3121"/>
    <d v="2016-07-08T12:27:00"/>
    <d v="2016-07-08T14:27:00"/>
    <n v="325"/>
    <n v="520"/>
    <n v="486"/>
    <s v="Expansion joint"/>
    <s v="Load Reduction #27Load was reduced due to high condenser backpressure."/>
    <s v="Ghent"/>
    <x v="0"/>
    <s v="Coal"/>
    <x v="2"/>
    <x v="3"/>
    <n v="7"/>
    <n v="1.9999999998835847"/>
    <n v="0.74999999995634425"/>
    <n v="364.49999997878331"/>
    <n v="182.25"/>
    <x v="153"/>
  </r>
  <r>
    <x v="4"/>
    <x v="5"/>
    <n v="30"/>
    <n v="3121"/>
    <d v="2016-07-08T14:27:00"/>
    <d v="2016-07-10T11:25:00"/>
    <n v="0"/>
    <n v="520"/>
    <n v="486"/>
    <s v="Expansion joint"/>
    <s v="F540Outage #3The unit was removed from service to repair a main condenser expansio"/>
    <s v="Ghent"/>
    <x v="3"/>
    <s v="Coal"/>
    <x v="2"/>
    <x v="3"/>
    <n v="7"/>
    <n v="44.966666666732635"/>
    <n v="44.966666666732635"/>
    <n v="21853.800000032061"/>
    <n v="486"/>
    <x v="120"/>
  </r>
  <r>
    <x v="4"/>
    <x v="0"/>
    <n v="31"/>
    <n v="3669"/>
    <d v="2016-07-25T12:10:00"/>
    <d v="2016-07-25T13:07:00"/>
    <n v="260"/>
    <n v="520"/>
    <n v="486"/>
    <s v="Other 4160-volt problems"/>
    <s v="Load Reduction #28U2 Coal handling bus cable shorted out and tripped the feed brea"/>
    <s v="Ghent"/>
    <x v="0"/>
    <s v="Coal"/>
    <x v="2"/>
    <x v="3"/>
    <n v="7"/>
    <n v="0.94999999995343387"/>
    <n v="0.47499999997671694"/>
    <n v="230.84999998868443"/>
    <n v="243"/>
    <x v="154"/>
  </r>
  <r>
    <x v="4"/>
    <x v="0"/>
    <n v="32"/>
    <n v="1470"/>
    <d v="2016-07-28T10:55:00"/>
    <d v="2016-07-28T11:38:00"/>
    <n v="285"/>
    <n v="520"/>
    <n v="486"/>
    <s v="Induced draft fan motors and drives"/>
    <s v="Load Reduction #292-1 ID fan VFD tripped when coolant pump grounded out."/>
    <s v="Ghent"/>
    <x v="0"/>
    <s v="Coal"/>
    <x v="2"/>
    <x v="3"/>
    <n v="7"/>
    <n v="0.71666666673263535"/>
    <n v="0.32387820515801791"/>
    <n v="157.4048077067967"/>
    <n v="219.63461538461539"/>
    <x v="155"/>
  </r>
  <r>
    <x v="4"/>
    <x v="1"/>
    <n v="33"/>
    <n v="4261"/>
    <d v="2016-08-03T00:12:00"/>
    <d v="2016-08-03T00:34:00"/>
    <n v="340"/>
    <n v="520"/>
    <n v="486"/>
    <s v="Control valves"/>
    <s v="F590Load Reduction #30Changing out servo on #4 control valve on main turbine."/>
    <s v="Ghent"/>
    <x v="0"/>
    <s v="Coal"/>
    <x v="2"/>
    <x v="3"/>
    <n v="8"/>
    <n v="0.36666666663950309"/>
    <n v="0.12692307691367416"/>
    <n v="61.684615380045642"/>
    <n v="168.23076923076923"/>
    <x v="88"/>
  </r>
  <r>
    <x v="4"/>
    <x v="0"/>
    <n v="34"/>
    <n v="340"/>
    <d v="2016-08-12T10:22:00"/>
    <d v="2016-08-12T18:00:00"/>
    <n v="460"/>
    <n v="520"/>
    <n v="486"/>
    <s v="Other pulverizer problems"/>
    <s v="Load Reduction #312-1 Mill was removed from service to inspect due to noise."/>
    <s v="Ghent"/>
    <x v="0"/>
    <s v="Coal"/>
    <x v="2"/>
    <x v="3"/>
    <n v="8"/>
    <n v="7.6333333334187046"/>
    <n v="0.88076923077908131"/>
    <n v="428.05384615863352"/>
    <n v="56.07692307692308"/>
    <x v="123"/>
  </r>
  <r>
    <x v="4"/>
    <x v="0"/>
    <n v="35"/>
    <n v="1480"/>
    <d v="2016-09-02T21:26:00"/>
    <d v="2016-09-03T05:25:00"/>
    <n v="219"/>
    <n v="520"/>
    <n v="486"/>
    <s v="Other induced draft fan problems"/>
    <s v="Load Reduction #32Loss of 2-2 ID fan due to coolant PLC going bad."/>
    <s v="Ghent"/>
    <x v="0"/>
    <s v="Coal"/>
    <x v="2"/>
    <x v="3"/>
    <n v="9"/>
    <n v="7.9833333333372138"/>
    <n v="4.6211217948740408"/>
    <n v="2245.8651923087837"/>
    <n v="281.31923076923078"/>
    <x v="156"/>
  </r>
  <r>
    <x v="4"/>
    <x v="0"/>
    <n v="36"/>
    <n v="1480"/>
    <d v="2016-09-03T13:33:00"/>
    <d v="2016-09-03T20:06:00"/>
    <n v="250"/>
    <n v="520"/>
    <n v="486"/>
    <s v="Other induced draft fan problems"/>
    <s v="Load Reduction #33Loss of 2-2 ID fan due to coolant PLC going bad and not controll"/>
    <s v="Ghent"/>
    <x v="0"/>
    <s v="Coal"/>
    <x v="2"/>
    <x v="3"/>
    <n v="9"/>
    <n v="6.5500000000465661"/>
    <n v="3.400961538485717"/>
    <n v="1652.8673077040585"/>
    <n v="252.34615384615384"/>
    <x v="126"/>
  </r>
  <r>
    <x v="4"/>
    <x v="0"/>
    <n v="37"/>
    <n v="340"/>
    <d v="2016-09-06T09:02:00"/>
    <d v="2016-09-06T09:30:00"/>
    <n v="460"/>
    <n v="520"/>
    <n v="486"/>
    <s v="Other pulverizer problems"/>
    <s v="Load Reduction #342-5 Mill had bad points and tripped when links were put back int"/>
    <s v="Ghent"/>
    <x v="0"/>
    <s v="Coal"/>
    <x v="2"/>
    <x v="3"/>
    <n v="9"/>
    <n v="0.46666666679084301"/>
    <n v="5.3846153860481888E-2"/>
    <n v="26.169230776194198"/>
    <n v="56.07692307692308"/>
    <x v="123"/>
  </r>
  <r>
    <x v="4"/>
    <x v="1"/>
    <n v="38"/>
    <n v="390"/>
    <d v="2016-09-06T22:21:00"/>
    <d v="2016-09-07T06:47:00"/>
    <n v="460"/>
    <n v="520"/>
    <n v="486"/>
    <s v="Burner wind boxes and dampers"/>
    <s v="F700Load Reduction #352-5 Mill burner shut off damper limit switches had wires tha"/>
    <s v="Ghent"/>
    <x v="0"/>
    <s v="Coal"/>
    <x v="2"/>
    <x v="3"/>
    <n v="9"/>
    <n v="8.4333333332324401"/>
    <n v="0.9730769230652816"/>
    <n v="472.91538460972686"/>
    <n v="56.07692307692308"/>
    <x v="123"/>
  </r>
  <r>
    <x v="4"/>
    <x v="1"/>
    <n v="39"/>
    <n v="1470"/>
    <d v="2016-09-09T23:00:00"/>
    <d v="2016-09-10T02:55:00"/>
    <n v="200"/>
    <n v="520"/>
    <n v="486"/>
    <s v="Induced draft fan motors and drives"/>
    <s v="F540Load Reduction #362-1 ID fan VFD coolant leak.  2-2 ID fan PLC change out."/>
    <s v="Ghent"/>
    <x v="0"/>
    <s v="Coal"/>
    <x v="2"/>
    <x v="3"/>
    <n v="9"/>
    <n v="3.9166666666860692"/>
    <n v="2.4102564102683504"/>
    <n v="1171.3846153904183"/>
    <n v="299.07692307692309"/>
    <x v="122"/>
  </r>
  <r>
    <x v="4"/>
    <x v="0"/>
    <n v="40"/>
    <n v="320"/>
    <d v="2016-09-13T14:56:00"/>
    <d v="2016-09-13T17:21:00"/>
    <n v="450"/>
    <n v="520"/>
    <n v="486"/>
    <s v="Foreign object in Pulverizers mill"/>
    <s v="Load Reduction #372-2 Mill was making loud noise and was not performing."/>
    <s v="Ghent"/>
    <x v="0"/>
    <s v="Coal"/>
    <x v="2"/>
    <x v="3"/>
    <n v="9"/>
    <n v="2.4166666666860692"/>
    <n v="0.32532051282312469"/>
    <n v="158.1057692320386"/>
    <n v="65.42307692307692"/>
    <x v="127"/>
  </r>
  <r>
    <x v="4"/>
    <x v="6"/>
    <n v="42"/>
    <n v="1801"/>
    <d v="2016-09-28T05:12:00"/>
    <d v="2016-10-23T17:06:00"/>
    <n v="0"/>
    <n v="520"/>
    <n v="486"/>
    <s v="Minor boiler overhaul (less than 720 hours) (use for non-specific overhaul only; see page B-1)"/>
    <s v="F590Outage #5Ghent 2 was removed from service for the Planned Fall Outage."/>
    <s v="Ghent"/>
    <x v="1"/>
    <s v="Coal"/>
    <x v="2"/>
    <x v="3"/>
    <n v="9"/>
    <n v="611.90000000002328"/>
    <n v="611.90000000002328"/>
    <n v="297383.40000001132"/>
    <n v="486"/>
    <x v="120"/>
  </r>
  <r>
    <x v="4"/>
    <x v="5"/>
    <n v="43"/>
    <n v="9930"/>
    <d v="2016-10-24T08:27:00"/>
    <d v="2016-10-24T19:53:00"/>
    <n v="0"/>
    <n v="520"/>
    <n v="486"/>
    <s v="Operating procedure error"/>
    <s v="F830Outage #6Unit 2 was forced off line to remove scaffold from 2-2 air heater."/>
    <s v="Ghent"/>
    <x v="3"/>
    <s v="Coal"/>
    <x v="2"/>
    <x v="3"/>
    <n v="10"/>
    <n v="11.433333333407063"/>
    <n v="11.433333333407063"/>
    <n v="5556.6000000358326"/>
    <n v="486"/>
    <x v="120"/>
  </r>
  <r>
    <x v="4"/>
    <x v="4"/>
    <n v="44"/>
    <n v="1488"/>
    <d v="2016-10-26T23:11:00"/>
    <d v="2016-10-29T02:13:00"/>
    <n v="0"/>
    <n v="520"/>
    <n v="486"/>
    <s v="Air heater (regenerative)"/>
    <s v="F590Outage #7Unit 2 was removed from service to reverse rotation of the Air Heater"/>
    <s v="Ghent"/>
    <x v="2"/>
    <s v="Coal"/>
    <x v="2"/>
    <x v="3"/>
    <n v="10"/>
    <n v="51.033333333441988"/>
    <n v="51.033333333441988"/>
    <n v="24802.200000052806"/>
    <n v="486"/>
    <x v="120"/>
  </r>
  <r>
    <x v="4"/>
    <x v="0"/>
    <n v="45"/>
    <n v="340"/>
    <d v="2016-11-17T01:34:00"/>
    <d v="2016-11-17T05:19:00"/>
    <n v="450"/>
    <n v="520"/>
    <n v="486"/>
    <s v="Other pulverizer problems"/>
    <s v="Load Reduction #382-2 Mill was making noise.  The mill was taken out of service an"/>
    <s v="Ghent"/>
    <x v="0"/>
    <s v="Coal"/>
    <x v="2"/>
    <x v="3"/>
    <n v="11"/>
    <n v="3.75"/>
    <n v="0.50480769230769229"/>
    <n v="245.33653846153845"/>
    <n v="65.42307692307692"/>
    <x v="127"/>
  </r>
  <r>
    <x v="4"/>
    <x v="0"/>
    <n v="46"/>
    <n v="340"/>
    <d v="2016-12-03T22:49:00"/>
    <d v="2016-12-04T03:37:00"/>
    <n v="460"/>
    <n v="520"/>
    <n v="486"/>
    <s v="Other pulverizer problems"/>
    <s v="Load Reduction #392-1 Mill east journal failed due to bearings being wiped."/>
    <s v="Ghent"/>
    <x v="0"/>
    <s v="Coal"/>
    <x v="2"/>
    <x v="3"/>
    <n v="12"/>
    <n v="4.7999999999301508"/>
    <n v="0.55384615383809432"/>
    <n v="269.16923076531384"/>
    <n v="56.07692307692308"/>
    <x v="123"/>
  </r>
  <r>
    <x v="4"/>
    <x v="0"/>
    <n v="47"/>
    <n v="340"/>
    <d v="2016-12-14T04:19:00"/>
    <d v="2016-12-14T09:02:00"/>
    <n v="460"/>
    <n v="520"/>
    <n v="486"/>
    <s v="Other pulverizer problems"/>
    <s v="Load Reduction #40Tripped 2-1 mill due to high temperature and pressure."/>
    <s v="Ghent"/>
    <x v="0"/>
    <s v="Coal"/>
    <x v="2"/>
    <x v="3"/>
    <n v="12"/>
    <n v="4.7166666666744277"/>
    <n v="0.54423076923166469"/>
    <n v="264.49615384658904"/>
    <n v="56.07692307692308"/>
    <x v="123"/>
  </r>
  <r>
    <x v="4"/>
    <x v="4"/>
    <n v="1"/>
    <n v="3110"/>
    <d v="2017-01-25T09:53:00"/>
    <d v="2017-01-26T06:29:00"/>
    <n v="0"/>
    <n v="520"/>
    <n v="486"/>
    <s v="Condenser tube leaks"/>
    <s v="F540Outage #1Unit 2 was removed from service to repair main condenser tube leaks."/>
    <s v="Ghent"/>
    <x v="2"/>
    <s v="Coal"/>
    <x v="2"/>
    <x v="4"/>
    <n v="1"/>
    <n v="20.599999999918509"/>
    <n v="20.599999999918509"/>
    <n v="10011.599999960396"/>
    <n v="486"/>
    <x v="120"/>
  </r>
  <r>
    <x v="4"/>
    <x v="0"/>
    <n v="2"/>
    <n v="1850"/>
    <d v="2017-01-26T14:29:00"/>
    <d v="2017-01-26T19:00:00"/>
    <n v="455"/>
    <n v="520"/>
    <n v="486"/>
    <s v="Boiler water condition (not feedwater water quality)"/>
    <s v="F830Load Reduction #1Boiler drum silica was high after coming back from a condense"/>
    <s v="Ghent"/>
    <x v="0"/>
    <s v="Coal"/>
    <x v="2"/>
    <x v="4"/>
    <n v="1"/>
    <n v="4.5166666665463708"/>
    <n v="0.56458333331829635"/>
    <n v="274.38749999269203"/>
    <n v="60.75"/>
    <x v="131"/>
  </r>
  <r>
    <x v="4"/>
    <x v="0"/>
    <n v="3"/>
    <n v="340"/>
    <d v="2017-01-30T05:44:00"/>
    <d v="2017-01-30T06:15:00"/>
    <n v="470"/>
    <n v="520"/>
    <n v="486"/>
    <s v="Other pulverizer problems"/>
    <s v="F830Load Reduction #22-3 Mill temperature spiked up.  Operator tripped mill causin"/>
    <s v="Ghent"/>
    <x v="0"/>
    <s v="Coal"/>
    <x v="2"/>
    <x v="4"/>
    <n v="1"/>
    <n v="0.5166666666045785"/>
    <n v="4.967948717351716E-2"/>
    <n v="24.14423076632934"/>
    <n v="46.730769230769234"/>
    <x v="119"/>
  </r>
  <r>
    <x v="4"/>
    <x v="0"/>
    <n v="4"/>
    <n v="3410"/>
    <d v="2017-02-01T06:42:00"/>
    <d v="2017-02-01T06:57:00"/>
    <n v="350"/>
    <n v="520"/>
    <n v="486"/>
    <s v="Feedwater pump"/>
    <s v="F830Load Reduction #32-2 BFP seal injection OB seal water temperature controller f"/>
    <s v="Ghent"/>
    <x v="0"/>
    <s v="Coal"/>
    <x v="2"/>
    <x v="4"/>
    <n v="2"/>
    <n v="0.24999999994179234"/>
    <n v="8.1730769211739801E-2"/>
    <n v="39.721153836905543"/>
    <n v="158.88461538461539"/>
    <x v="68"/>
  </r>
  <r>
    <x v="4"/>
    <x v="4"/>
    <n v="5"/>
    <n v="3210"/>
    <d v="2017-02-18T11:29:00"/>
    <d v="2017-02-19T04:20:00"/>
    <n v="0"/>
    <n v="520"/>
    <n v="486"/>
    <s v="Circulating water pumps"/>
    <s v="F860Outage #2U2 was removed from service to the 2-1 BCWP with spare."/>
    <s v="Ghent"/>
    <x v="2"/>
    <s v="Coal"/>
    <x v="2"/>
    <x v="4"/>
    <n v="2"/>
    <n v="16.849999999918509"/>
    <n v="16.849999999918509"/>
    <n v="8189.0999999603955"/>
    <n v="486"/>
    <x v="120"/>
  </r>
  <r>
    <x v="4"/>
    <x v="0"/>
    <n v="6"/>
    <n v="1850"/>
    <d v="2017-02-19T16:00:00"/>
    <d v="2017-02-19T19:06:00"/>
    <n v="477"/>
    <n v="520"/>
    <n v="486"/>
    <s v="Boiler water condition (not feedwater water quality)"/>
    <s v="Load Reduction #4Unit 2 was derated due to high silica after start up of the unit "/>
    <s v="Ghent"/>
    <x v="0"/>
    <s v="Coal"/>
    <x v="2"/>
    <x v="4"/>
    <n v="2"/>
    <n v="3.0999999999767169"/>
    <n v="0.25634615384422854"/>
    <n v="124.58423076829507"/>
    <n v="40.188461538461539"/>
    <x v="157"/>
  </r>
  <r>
    <x v="4"/>
    <x v="4"/>
    <n v="7"/>
    <n v="3110"/>
    <d v="2017-03-04T10:54:00"/>
    <d v="2017-03-05T10:36:00"/>
    <n v="0"/>
    <n v="520"/>
    <n v="486"/>
    <s v="Condenser tube leaks"/>
    <s v="F540Outage #3Unit 2 was removed from service to repair tube leaks in the aux and m"/>
    <s v="Ghent"/>
    <x v="2"/>
    <s v="Coal"/>
    <x v="2"/>
    <x v="4"/>
    <n v="3"/>
    <n v="23.699999999895226"/>
    <n v="23.699999999895226"/>
    <n v="11518.19999994908"/>
    <n v="486"/>
    <x v="120"/>
  </r>
  <r>
    <x v="4"/>
    <x v="1"/>
    <n v="8"/>
    <n v="344"/>
    <d v="2017-03-09T22:02:00"/>
    <d v="2017-03-09T23:52:00"/>
    <n v="450"/>
    <n v="520"/>
    <n v="486"/>
    <s v="Pulverizer inspection"/>
    <s v="F530Load Reduction #52-6 Mill was removed from service for a inspection."/>
    <s v="Ghent"/>
    <x v="0"/>
    <s v="Coal"/>
    <x v="2"/>
    <x v="4"/>
    <n v="3"/>
    <n v="1.8333333331975155"/>
    <n v="0.24679487177658863"/>
    <n v="119.94230768342207"/>
    <n v="65.42307692307692"/>
    <x v="127"/>
  </r>
  <r>
    <x v="4"/>
    <x v="0"/>
    <n v="9"/>
    <n v="344"/>
    <d v="2017-03-11T01:43:00"/>
    <d v="2017-03-11T08:34:00"/>
    <n v="450"/>
    <n v="520"/>
    <n v="486"/>
    <s v="Pulverizer inspection"/>
    <s v="F530Load Reduction #62-3 Mill got hot and was removed from service to inspect for "/>
    <s v="Ghent"/>
    <x v="0"/>
    <s v="Coal"/>
    <x v="2"/>
    <x v="4"/>
    <n v="3"/>
    <n v="6.8499999999767169"/>
    <n v="0.9221153846122504"/>
    <n v="448.1480769215537"/>
    <n v="65.42307692307692"/>
    <x v="127"/>
  </r>
  <r>
    <x v="4"/>
    <x v="0"/>
    <n v="10"/>
    <n v="340"/>
    <d v="2017-03-31T07:40:00"/>
    <d v="2017-03-31T11:14:00"/>
    <n v="470"/>
    <n v="520"/>
    <n v="486"/>
    <s v="Other pulverizer problems"/>
    <s v="Load Reduction #72-3 Mill discharge temperate increased quickly."/>
    <s v="Ghent"/>
    <x v="0"/>
    <s v="Coal"/>
    <x v="2"/>
    <x v="4"/>
    <n v="3"/>
    <n v="3.566666666592937"/>
    <n v="0.34294871794162857"/>
    <n v="166.67307691963148"/>
    <n v="46.730769230769234"/>
    <x v="119"/>
  </r>
  <r>
    <x v="4"/>
    <x v="4"/>
    <n v="11"/>
    <n v="3110"/>
    <d v="2017-04-03T22:56:00"/>
    <d v="2017-04-04T23:14:00"/>
    <n v="0"/>
    <n v="520"/>
    <n v="486"/>
    <s v="Condenser tube leaks"/>
    <s v="F540Outage #4Unit 2 was removed from service to repair a condenser tube leak."/>
    <s v="Ghent"/>
    <x v="2"/>
    <s v="Coal"/>
    <x v="2"/>
    <x v="4"/>
    <n v="4"/>
    <n v="24.299999999930151"/>
    <n v="24.299999999930151"/>
    <n v="11809.799999966053"/>
    <n v="486"/>
    <x v="120"/>
  </r>
  <r>
    <x v="4"/>
    <x v="5"/>
    <n v="12"/>
    <n v="1000"/>
    <d v="2017-04-13T10:15:00"/>
    <d v="2017-04-14T02:37:00"/>
    <n v="0"/>
    <n v="520"/>
    <n v="486"/>
    <s v="Waterwall (Furnace wall) A"/>
    <s v="F540Outage #5The unit was forced off line due to a water wall tube leak."/>
    <s v="Ghent"/>
    <x v="3"/>
    <s v="Coal"/>
    <x v="2"/>
    <x v="4"/>
    <n v="4"/>
    <n v="16.366666666581295"/>
    <n v="16.366666666581295"/>
    <n v="7954.1999999585096"/>
    <n v="486"/>
    <x v="120"/>
  </r>
  <r>
    <x v="4"/>
    <x v="4"/>
    <n v="13"/>
    <n v="3110"/>
    <d v="2017-05-05T21:38:00"/>
    <d v="2017-05-06T14:40:00"/>
    <n v="0"/>
    <n v="520"/>
    <n v="486"/>
    <s v="Condenser tube leaks"/>
    <s v="F540Outage #6GH2 was removed from service to repair a condenser tube leak."/>
    <s v="Ghent"/>
    <x v="2"/>
    <s v="Coal"/>
    <x v="2"/>
    <x v="4"/>
    <n v="5"/>
    <n v="17.033333333325572"/>
    <n v="17.033333333325572"/>
    <n v="8278.1999999962281"/>
    <n v="486"/>
    <x v="120"/>
  </r>
  <r>
    <x v="4"/>
    <x v="0"/>
    <n v="15"/>
    <n v="1850"/>
    <d v="2017-05-09T16:58:00"/>
    <d v="2017-05-09T18:49:00"/>
    <n v="462"/>
    <n v="520"/>
    <n v="486"/>
    <s v="Boiler water condition (not feedwater water quality)"/>
    <s v="F830Load Reduction #8Load was reduced after start up of the unit due to high boile"/>
    <s v="Ghent"/>
    <x v="0"/>
    <s v="Coal"/>
    <x v="2"/>
    <x v="4"/>
    <n v="5"/>
    <n v="1.8500000000931323"/>
    <n v="0.20634615385654168"/>
    <n v="100.28423077427925"/>
    <n v="54.207692307692305"/>
    <x v="158"/>
  </r>
  <r>
    <x v="4"/>
    <x v="1"/>
    <n v="16"/>
    <n v="340"/>
    <d v="2017-05-12T04:00:00"/>
    <d v="2017-05-12T05:09:00"/>
    <n v="465"/>
    <n v="520"/>
    <n v="486"/>
    <s v="Other pulverizer problems"/>
    <s v="F590Load Reduction #92-5 Mill was removed from service to replace the primary air "/>
    <s v="Ghent"/>
    <x v="0"/>
    <s v="Coal"/>
    <x v="2"/>
    <x v="4"/>
    <n v="5"/>
    <n v="1.1500000000814907"/>
    <n v="0.1216346153932346"/>
    <n v="59.114423081112015"/>
    <n v="51.403846153846153"/>
    <x v="3"/>
  </r>
  <r>
    <x v="4"/>
    <x v="1"/>
    <n v="17"/>
    <n v="3408"/>
    <d v="2017-05-31T22:37:00"/>
    <d v="2017-06-01T01:10:00"/>
    <n v="330"/>
    <n v="520"/>
    <n v="486"/>
    <s v="Feedwater pump drive - local controls"/>
    <s v="F590Load Reduction #10Planned derate to replace 2-2 BFPT vibration probe."/>
    <s v="Ghent"/>
    <x v="0"/>
    <s v="Coal"/>
    <x v="2"/>
    <x v="4"/>
    <n v="5"/>
    <n v="2.5499999999301508"/>
    <n v="0.93173076920524744"/>
    <n v="452.82115383375026"/>
    <n v="177.57692307692307"/>
    <x v="118"/>
  </r>
  <r>
    <x v="4"/>
    <x v="1"/>
    <n v="18"/>
    <n v="340"/>
    <d v="2017-06-04T23:00:00"/>
    <d v="2017-06-05T02:48:00"/>
    <n v="448"/>
    <n v="520"/>
    <n v="486"/>
    <s v="Other pulverizer problems"/>
    <s v="F590Load Reduction #11Planned derate to replaced 2-2 Mill north journal."/>
    <s v="Ghent"/>
    <x v="0"/>
    <s v="Coal"/>
    <x v="2"/>
    <x v="4"/>
    <n v="6"/>
    <n v="3.7999999999883585"/>
    <n v="0.52615384615223426"/>
    <n v="255.71076922998586"/>
    <n v="67.292307692307688"/>
    <x v="105"/>
  </r>
  <r>
    <x v="4"/>
    <x v="0"/>
    <n v="19"/>
    <n v="350"/>
    <d v="2017-07-05T14:26:00"/>
    <d v="2017-07-05T15:41:00"/>
    <n v="460"/>
    <n v="520"/>
    <n v="486"/>
    <s v="Pulverized fuel and air piping (from pulverizer to wind box)"/>
    <s v="Load Reduction #122-6C Burner line fire next to windbox."/>
    <s v="Ghent"/>
    <x v="0"/>
    <s v="Coal"/>
    <x v="2"/>
    <x v="4"/>
    <n v="7"/>
    <n v="1.2499999998835847"/>
    <n v="0.14423076921733669"/>
    <n v="70.096153839625629"/>
    <n v="56.07692307692308"/>
    <x v="123"/>
  </r>
  <r>
    <x v="4"/>
    <x v="0"/>
    <n v="20"/>
    <n v="9020"/>
    <d v="2017-07-07T18:37:00"/>
    <d v="2017-07-07T19:42:00"/>
    <n v="240"/>
    <n v="520"/>
    <n v="486"/>
    <s v="Lightning"/>
    <s v="Load Reduction #132-1 ID Fan cooling pump tripped due to lightning strike."/>
    <s v="Ghent"/>
    <x v="0"/>
    <s v="Coal"/>
    <x v="2"/>
    <x v="4"/>
    <n v="7"/>
    <n v="1.0833333333721384"/>
    <n v="0.58333333335422843"/>
    <n v="283.50000001015502"/>
    <n v="261.69230769230768"/>
    <x v="134"/>
  </r>
  <r>
    <x v="4"/>
    <x v="0"/>
    <n v="21"/>
    <n v="3408"/>
    <d v="2017-07-24T04:53:00"/>
    <d v="2017-07-24T09:28:00"/>
    <n v="350"/>
    <n v="520"/>
    <n v="486"/>
    <s v="Feedwater pump drive - local controls"/>
    <s v="Load Reduction #142-2 BFPT won't reset due to a bad LVDT card in DCS."/>
    <s v="Ghent"/>
    <x v="0"/>
    <s v="Coal"/>
    <x v="2"/>
    <x v="4"/>
    <n v="7"/>
    <n v="4.5833333332557231"/>
    <n v="1.4983974358720633"/>
    <n v="728.22115383382277"/>
    <n v="158.88461538461539"/>
    <x v="68"/>
  </r>
  <r>
    <x v="4"/>
    <x v="0"/>
    <n v="22"/>
    <n v="250"/>
    <d v="2017-07-24T20:15:00"/>
    <d v="2017-07-24T21:16:00"/>
    <n v="460"/>
    <n v="520"/>
    <n v="486"/>
    <s v="Pulverizer feeders"/>
    <s v="Load Reduction #152-2 Mill feeder had a piece of rebar stuck in the feeder belt."/>
    <s v="Ghent"/>
    <x v="0"/>
    <s v="Coal"/>
    <x v="2"/>
    <x v="4"/>
    <n v="7"/>
    <n v="1.0166666666627862"/>
    <n v="0.11730769230724455"/>
    <n v="57.011538461320853"/>
    <n v="56.07692307692308"/>
    <x v="123"/>
  </r>
  <r>
    <x v="4"/>
    <x v="1"/>
    <n v="23"/>
    <n v="344"/>
    <d v="2017-07-24T23:00:00"/>
    <d v="2017-07-25T01:56:00"/>
    <n v="460"/>
    <n v="520"/>
    <n v="486"/>
    <s v="Pulverizer inspection"/>
    <s v="F590Load Reduction #16Removed and relocated air flow transmitter on 2-5 mill."/>
    <s v="Ghent"/>
    <x v="0"/>
    <s v="Coal"/>
    <x v="2"/>
    <x v="4"/>
    <n v="7"/>
    <n v="2.9333333332906477"/>
    <n v="0.3384615384566132"/>
    <n v="164.49230768991401"/>
    <n v="56.07692307692308"/>
    <x v="123"/>
  </r>
  <r>
    <x v="4"/>
    <x v="1"/>
    <n v="24"/>
    <n v="250"/>
    <d v="2017-07-25T23:00:00"/>
    <d v="2017-07-26T02:14:00"/>
    <n v="440"/>
    <n v="520"/>
    <n v="486"/>
    <s v="Pulverizer feeders"/>
    <s v="F060Load Reduction #172-2 Mill feeder belt replacement."/>
    <s v="Ghent"/>
    <x v="0"/>
    <s v="Coal"/>
    <x v="2"/>
    <x v="4"/>
    <n v="7"/>
    <n v="3.2333333332207985"/>
    <n v="0.49743589741858441"/>
    <n v="241.75384614543202"/>
    <n v="74.769230769230774"/>
    <x v="34"/>
  </r>
  <r>
    <x v="4"/>
    <x v="1"/>
    <n v="25"/>
    <n v="250"/>
    <d v="2017-08-04T21:30:00"/>
    <d v="2017-08-05T00:16:00"/>
    <n v="460"/>
    <n v="520"/>
    <n v="486"/>
    <s v="Pulverizer feeders"/>
    <s v="F090Load Reduction #182-1 Mill inspection and feeder calibration."/>
    <s v="Ghent"/>
    <x v="0"/>
    <s v="Coal"/>
    <x v="2"/>
    <x v="4"/>
    <n v="8"/>
    <n v="2.7666666666045785"/>
    <n v="0.31923076922360522"/>
    <n v="155.14615384267213"/>
    <n v="56.07692307692308"/>
    <x v="123"/>
  </r>
  <r>
    <x v="4"/>
    <x v="0"/>
    <n v="26"/>
    <n v="320"/>
    <d v="2017-08-10T12:16:00"/>
    <d v="2017-08-10T13:48:00"/>
    <n v="460"/>
    <n v="520"/>
    <n v="486"/>
    <s v="Foreign object in Pulverizers mill"/>
    <s v="Load Reduction #192-2 Mill was removed from service to remove a piece of metal fro"/>
    <s v="Ghent"/>
    <x v="0"/>
    <s v="Coal"/>
    <x v="2"/>
    <x v="4"/>
    <n v="8"/>
    <n v="1.5333333332673647"/>
    <n v="0.17692307691546516"/>
    <n v="85.984615380916068"/>
    <n v="56.07692307692308"/>
    <x v="123"/>
  </r>
  <r>
    <x v="4"/>
    <x v="4"/>
    <n v="28"/>
    <n v="3110"/>
    <d v="2017-08-26T06:00:00"/>
    <d v="2017-08-26T14:43:00"/>
    <n v="0"/>
    <n v="520"/>
    <n v="486"/>
    <s v="Condenser tube leaks"/>
    <s v="F540Outage #9Reserve Outage changed to a Maintenance Outage to repair Condenser Tu"/>
    <s v="Ghent"/>
    <x v="2"/>
    <s v="Coal"/>
    <x v="2"/>
    <x v="4"/>
    <n v="8"/>
    <n v="8.71666666661622"/>
    <n v="8.71666666661622"/>
    <n v="4236.2999999754829"/>
    <n v="486"/>
    <x v="120"/>
  </r>
  <r>
    <x v="4"/>
    <x v="0"/>
    <n v="30"/>
    <n v="340"/>
    <d v="2017-09-07T18:42:00"/>
    <d v="2017-09-07T20:48:00"/>
    <n v="440"/>
    <n v="520"/>
    <n v="486"/>
    <s v="Other pulverizer problems"/>
    <s v="Load Reduction #202-2 Mill was removed from service due to high amps and overheati"/>
    <s v="Ghent"/>
    <x v="0"/>
    <s v="Coal"/>
    <x v="2"/>
    <x v="4"/>
    <n v="9"/>
    <n v="2.1000000000349246"/>
    <n v="0.32307692308229607"/>
    <n v="157.01538461799589"/>
    <n v="74.769230769230774"/>
    <x v="34"/>
  </r>
  <r>
    <x v="4"/>
    <x v="0"/>
    <n v="31"/>
    <n v="9920"/>
    <d v="2017-09-14T07:20:00"/>
    <d v="2017-09-14T09:36:00"/>
    <n v="325"/>
    <n v="520"/>
    <n v="486"/>
    <s v="Contractor error"/>
    <s v="Load Reduction #21Contractors erecting scaffolding knocked an oil line off on the "/>
    <s v="Ghent"/>
    <x v="0"/>
    <s v="Coal"/>
    <x v="2"/>
    <x v="4"/>
    <n v="9"/>
    <n v="2.2666666667209938"/>
    <n v="0.85000000002037268"/>
    <n v="413.10000000990112"/>
    <n v="182.25"/>
    <x v="153"/>
  </r>
  <r>
    <x v="4"/>
    <x v="0"/>
    <n v="32"/>
    <n v="1000"/>
    <d v="2017-09-27T11:07:00"/>
    <d v="2017-09-27T12:15:00"/>
    <n v="225"/>
    <n v="520"/>
    <n v="486"/>
    <s v="Waterwall (Furnace wall) A"/>
    <s v="F540Load Reduction #22Load was reduced due to WW Tube Leak on east wall.*Capac"/>
    <s v="Ghent"/>
    <x v="0"/>
    <s v="Coal"/>
    <x v="2"/>
    <x v="4"/>
    <n v="9"/>
    <n v="1.1333333333604969"/>
    <n v="0.642948717964128"/>
    <n v="312.47307693056621"/>
    <n v="275.71153846153845"/>
    <x v="159"/>
  </r>
  <r>
    <x v="4"/>
    <x v="5"/>
    <n v="33"/>
    <n v="1000"/>
    <d v="2017-09-27T12:15:00"/>
    <d v="2017-09-29T01:21:00"/>
    <n v="0"/>
    <n v="520"/>
    <n v="486"/>
    <s v="Waterwall (Furnace wall) A"/>
    <s v="F540Outage # 11Water wall tube leak on east wall."/>
    <s v="Ghent"/>
    <x v="3"/>
    <s v="Coal"/>
    <x v="2"/>
    <x v="4"/>
    <n v="9"/>
    <n v="37.100000000093132"/>
    <n v="37.100000000093132"/>
    <n v="18030.600000045262"/>
    <n v="486"/>
    <x v="120"/>
  </r>
  <r>
    <x v="4"/>
    <x v="0"/>
    <n v="34"/>
    <n v="1471"/>
    <d v="2017-10-03T14:55:00"/>
    <d v="2017-10-03T16:20:00"/>
    <n v="200"/>
    <n v="520"/>
    <n v="486"/>
    <s v="Induced draft fan motors - variable speed"/>
    <s v="Load Reduction # 232-2 ID Fan VFD trailer UPS went to ground tripping fan. "/>
    <s v="Ghent"/>
    <x v="0"/>
    <s v="Coal"/>
    <x v="2"/>
    <x v="4"/>
    <n v="10"/>
    <n v="1.4166666665696539"/>
    <n v="0.87179487173517167"/>
    <n v="423.69230766329343"/>
    <n v="299.07692307692309"/>
    <x v="122"/>
  </r>
  <r>
    <x v="4"/>
    <x v="0"/>
    <n v="35"/>
    <n v="1471"/>
    <d v="2017-10-03T16:20:00"/>
    <d v="2017-10-03T17:15:00"/>
    <n v="240"/>
    <n v="520"/>
    <n v="486"/>
    <s v="Induced draft fan motors - variable speed"/>
    <s v="F820Load Reduction # 242-2 ID Fan VFD trailer UPS went to ground tripping fan."/>
    <s v="Ghent"/>
    <x v="0"/>
    <s v="Coal"/>
    <x v="2"/>
    <x v="4"/>
    <n v="10"/>
    <n v="0.91666666668606922"/>
    <n v="0.49358974360019114"/>
    <n v="239.8846153896929"/>
    <n v="261.69230769230768"/>
    <x v="134"/>
  </r>
  <r>
    <x v="4"/>
    <x v="0"/>
    <n v="36"/>
    <n v="340"/>
    <d v="2017-10-10T20:24:00"/>
    <d v="2017-10-10T21:52:00"/>
    <n v="440"/>
    <n v="520"/>
    <n v="486"/>
    <s v="Other pulverizer problems"/>
    <s v="F830Load Reduction #252-5 Coal Mill Journal issues. "/>
    <s v="Ghent"/>
    <x v="0"/>
    <s v="Coal"/>
    <x v="2"/>
    <x v="4"/>
    <n v="10"/>
    <n v="1.4666666667326353"/>
    <n v="0.22564102565117466"/>
    <n v="109.66153846647089"/>
    <n v="74.769230769230774"/>
    <x v="34"/>
  </r>
  <r>
    <x v="4"/>
    <x v="0"/>
    <n v="37"/>
    <n v="340"/>
    <d v="2017-10-10T21:52:00"/>
    <d v="2017-10-11T02:06:00"/>
    <n v="450"/>
    <n v="520"/>
    <n v="486"/>
    <s v="Other pulverizer problems"/>
    <s v="F830Load Reduction #262-5 Coal Mill Journal Issue inspection. "/>
    <s v="Ghent"/>
    <x v="0"/>
    <s v="Coal"/>
    <x v="2"/>
    <x v="4"/>
    <n v="10"/>
    <n v="4.2333333333372138"/>
    <n v="0.56987179487231721"/>
    <n v="276.95769230794616"/>
    <n v="65.42307692307692"/>
    <x v="127"/>
  </r>
  <r>
    <x v="4"/>
    <x v="0"/>
    <n v="38"/>
    <n v="250"/>
    <d v="2017-10-14T16:09:00"/>
    <d v="2017-10-14T19:13:00"/>
    <n v="460"/>
    <n v="520"/>
    <n v="486"/>
    <s v="Pulverizer feeders"/>
    <s v="F830Load Reduction #272-1 Mill feeder belt seperated. "/>
    <s v="Ghent"/>
    <x v="0"/>
    <s v="Coal"/>
    <x v="2"/>
    <x v="4"/>
    <n v="10"/>
    <n v="3.0666666665347293"/>
    <n v="0.35384615383093032"/>
    <n v="171.96923076183214"/>
    <n v="56.07692307692308"/>
    <x v="123"/>
  </r>
  <r>
    <x v="4"/>
    <x v="6"/>
    <n v="39"/>
    <n v="1801"/>
    <d v="2017-10-20T22:35:00"/>
    <d v="2017-11-11T16:43:00"/>
    <n v="0"/>
    <n v="520"/>
    <n v="486"/>
    <s v="Minor boiler overhaul (less than 720 hours) (use for non-specific overhaul only; see page B-1)"/>
    <s v="F590Outage #12GH2 was removed from service for a Planned Outage."/>
    <s v="Ghent"/>
    <x v="1"/>
    <s v="Coal"/>
    <x v="2"/>
    <x v="4"/>
    <n v="10"/>
    <n v="522.1333333334187"/>
    <n v="522.1333333334187"/>
    <n v="253756.80000004149"/>
    <n v="486"/>
    <x v="120"/>
  </r>
  <r>
    <x v="4"/>
    <x v="5"/>
    <n v="40"/>
    <n v="3441"/>
    <d v="2017-11-11T20:55:00"/>
    <d v="2017-11-12T09:33:00"/>
    <n v="0"/>
    <n v="520"/>
    <n v="486"/>
    <s v="Other high pressure heater problems (see condensate system for LP and IP heater codes)"/>
    <s v="F540Outage #13Unit 2 was forced off line due to F heater inlet valve packing leak."/>
    <s v="Ghent"/>
    <x v="3"/>
    <s v="Coal"/>
    <x v="2"/>
    <x v="4"/>
    <n v="11"/>
    <n v="12.633333333302289"/>
    <n v="12.633333333302289"/>
    <n v="6139.7999999849126"/>
    <n v="486"/>
    <x v="120"/>
  </r>
  <r>
    <x v="4"/>
    <x v="0"/>
    <n v="41"/>
    <n v="253"/>
    <d v="2017-11-13T04:38:00"/>
    <d v="2017-11-13T05:51:00"/>
    <n v="460"/>
    <n v="520"/>
    <n v="486"/>
    <s v="Pulverizer feeder motor"/>
    <s v="F830Load Reduction #282-5 Mill Feeder motor would not start. "/>
    <s v="Ghent"/>
    <x v="0"/>
    <s v="Coal"/>
    <x v="2"/>
    <x v="4"/>
    <n v="11"/>
    <n v="1.21666666661622"/>
    <n v="0.14038461537879462"/>
    <n v="68.226923074094188"/>
    <n v="56.07692307692308"/>
    <x v="123"/>
  </r>
  <r>
    <x v="4"/>
    <x v="0"/>
    <n v="42"/>
    <n v="320"/>
    <d v="2017-11-26T10:40:00"/>
    <d v="2017-11-26T12:15:00"/>
    <n v="460"/>
    <n v="520"/>
    <n v="486"/>
    <s v="Foreign object in Pulverizers mill"/>
    <s v="Load Reduction #29 2-5 Mill was removed from service to remove a piece of metal. "/>
    <s v="Ghent"/>
    <x v="0"/>
    <s v="Coal"/>
    <x v="2"/>
    <x v="4"/>
    <n v="11"/>
    <n v="1.5833333332557231"/>
    <n v="0.18269230768335268"/>
    <n v="88.788461534109402"/>
    <n v="56.07692307692308"/>
    <x v="123"/>
  </r>
  <r>
    <x v="4"/>
    <x v="0"/>
    <n v="43"/>
    <n v="350"/>
    <d v="2017-12-01T09:13:00"/>
    <d v="2017-12-01T10:49:00"/>
    <n v="460"/>
    <n v="520"/>
    <n v="486"/>
    <s v="Pulverized fuel and air piping (from pulverizer to wind box)"/>
    <s v="F830Load Reduction #302-5 Coal mill burner line Cgot hot and tripped mill for inspec"/>
    <s v="Ghent"/>
    <x v="0"/>
    <s v="Coal"/>
    <x v="2"/>
    <x v="4"/>
    <n v="12"/>
    <n v="1.5999999999767169"/>
    <n v="0.18461538461269811"/>
    <n v="89.72307692177128"/>
    <n v="56.07692307692308"/>
    <x v="123"/>
  </r>
  <r>
    <x v="4"/>
    <x v="0"/>
    <n v="44"/>
    <n v="346"/>
    <d v="2017-12-06T00:40:00"/>
    <d v="2017-12-06T03:39:00"/>
    <n v="460"/>
    <n v="520"/>
    <n v="486"/>
    <s v="Pulverizer pyrite removal system"/>
    <s v="F830Load Reduction #312-2 mill has broken pyrite scrappers.  Noisy in pyrite secti"/>
    <s v="Ghent"/>
    <x v="0"/>
    <s v="Coal"/>
    <x v="2"/>
    <x v="4"/>
    <n v="12"/>
    <n v="2.9833333332790062"/>
    <n v="0.34423076922450069"/>
    <n v="167.29615384310733"/>
    <n v="56.07692307692308"/>
    <x v="123"/>
  </r>
  <r>
    <x v="4"/>
    <x v="0"/>
    <n v="45"/>
    <n v="340"/>
    <d v="2017-12-21T12:52:00"/>
    <d v="2017-12-21T15:31:00"/>
    <n v="460"/>
    <n v="520"/>
    <n v="486"/>
    <s v="Other pulverizer problems"/>
    <s v="F830Load Reduction #32Removed 2-1 pulverizer from service for inspection.  Washed "/>
    <s v="Ghent"/>
    <x v="0"/>
    <s v="Coal"/>
    <x v="2"/>
    <x v="4"/>
    <n v="12"/>
    <n v="2.6499999999068677"/>
    <n v="0.30576923075848472"/>
    <n v="148.60384614862357"/>
    <n v="56.07692307692308"/>
    <x v="123"/>
  </r>
  <r>
    <x v="4"/>
    <x v="0"/>
    <n v="46"/>
    <n v="340"/>
    <d v="2017-12-30T18:03:00"/>
    <d v="2017-12-30T18:55:00"/>
    <n v="460"/>
    <n v="520"/>
    <n v="486"/>
    <s v="Other pulverizer problems"/>
    <s v="F830Load Reduction #332-3 pulverizer loaded up and had very high discharge temp."/>
    <s v="Ghent"/>
    <x v="0"/>
    <s v="Coal"/>
    <x v="2"/>
    <x v="4"/>
    <n v="12"/>
    <n v="0.86666666669771075"/>
    <n v="0.10000000000358202"/>
    <n v="48.60000000174086"/>
    <n v="56.07692307692308"/>
    <x v="123"/>
  </r>
  <r>
    <x v="4"/>
    <x v="0"/>
    <n v="1"/>
    <n v="340"/>
    <d v="2018-01-02T12:56:00"/>
    <d v="2018-01-02T13:30:00"/>
    <n v="460"/>
    <n v="520"/>
    <n v="486"/>
    <s v="Other pulverizer problems"/>
    <s v="F830Load Reduction #12-1 mill feeder plugging under knife gate causing no coal on "/>
    <s v="Ghent"/>
    <x v="0"/>
    <s v="Coal"/>
    <x v="2"/>
    <x v="5"/>
    <n v="1"/>
    <n v="0.56666666659293696"/>
    <n v="6.538461537610811E-2"/>
    <n v="31.776923072788541"/>
    <n v="56.07692307692308"/>
    <x v="123"/>
  </r>
  <r>
    <x v="4"/>
    <x v="0"/>
    <n v="2"/>
    <n v="1470"/>
    <d v="2018-01-16T06:05:00"/>
    <d v="2018-01-16T06:58:00"/>
    <n v="220"/>
    <n v="520"/>
    <n v="486"/>
    <s v="Induced draft fan motors and drives"/>
    <s v="F820Load Reduction #22-2 ID fan trip.  "/>
    <s v="Ghent"/>
    <x v="0"/>
    <s v="Coal"/>
    <x v="2"/>
    <x v="5"/>
    <n v="1"/>
    <n v="0.88333333341870457"/>
    <n v="0.50961538466463729"/>
    <n v="247.67307694701373"/>
    <n v="280.38461538461536"/>
    <x v="56"/>
  </r>
  <r>
    <x v="4"/>
    <x v="0"/>
    <n v="3"/>
    <n v="3408"/>
    <d v="2018-01-22T03:28:00"/>
    <d v="2018-01-22T04:39:00"/>
    <n v="340"/>
    <n v="520"/>
    <n v="486"/>
    <s v="Feedwater pump drive - local controls"/>
    <s v="F830Load Reduction #32-2 BFPT would not reset after doing feed pump test.  "/>
    <s v="Ghent"/>
    <x v="0"/>
    <s v="Coal"/>
    <x v="2"/>
    <x v="5"/>
    <n v="1"/>
    <n v="1.1833333333488554"/>
    <n v="0.40961538462075764"/>
    <n v="199.07307692568821"/>
    <n v="168.23076923076923"/>
    <x v="88"/>
  </r>
  <r>
    <x v="4"/>
    <x v="0"/>
    <n v="4"/>
    <n v="346"/>
    <d v="2018-01-23T08:00:00"/>
    <d v="2018-01-23T09:32:00"/>
    <n v="450"/>
    <n v="520"/>
    <n v="486"/>
    <s v="Pulverizer pyrite removal system"/>
    <s v="F830Load Reduction #4Excessive knocking noise in the pyrite section of 2-6 mill."/>
    <s v="Ghent"/>
    <x v="0"/>
    <s v="Coal"/>
    <x v="2"/>
    <x v="5"/>
    <n v="1"/>
    <n v="1.5333333332673647"/>
    <n v="0.206410256401376"/>
    <n v="100.31538461106874"/>
    <n v="65.42307692307692"/>
    <x v="127"/>
  </r>
  <r>
    <x v="4"/>
    <x v="1"/>
    <n v="5"/>
    <n v="253"/>
    <d v="2018-01-26T00:00:00"/>
    <d v="2018-01-26T01:22:00"/>
    <n v="460"/>
    <n v="520"/>
    <n v="486"/>
    <s v="Pulverizer feeder motor"/>
    <s v="F590Load Reduction #52-5 coal feeder maintenance."/>
    <s v="Ghent"/>
    <x v="0"/>
    <s v="Coal"/>
    <x v="2"/>
    <x v="5"/>
    <n v="1"/>
    <n v="1.3666666665812954"/>
    <n v="0.15769230768245718"/>
    <n v="76.638461533674189"/>
    <n v="56.07692307692308"/>
    <x v="123"/>
  </r>
  <r>
    <x v="4"/>
    <x v="1"/>
    <n v="6"/>
    <n v="255"/>
    <d v="2018-01-29T22:04:00"/>
    <d v="2018-01-30T03:56:00"/>
    <n v="460"/>
    <n v="520"/>
    <n v="486"/>
    <s v="Pulverizer feeder coal scales"/>
    <s v="F590Load Reduction #6Calibrate feeders 2-1, 2-2, 2-3."/>
    <s v="Ghent"/>
    <x v="0"/>
    <s v="Coal"/>
    <x v="2"/>
    <x v="5"/>
    <n v="1"/>
    <n v="5.8666666667559184"/>
    <n v="0.67692307693337517"/>
    <n v="328.98461538962033"/>
    <n v="56.07692307692308"/>
    <x v="123"/>
  </r>
  <r>
    <x v="4"/>
    <x v="1"/>
    <n v="7"/>
    <n v="250"/>
    <d v="2018-01-30T22:00:00"/>
    <d v="2018-01-31T02:57:00"/>
    <n v="460"/>
    <n v="520"/>
    <n v="486"/>
    <s v="Pulverizer feeders"/>
    <s v="F590Load Reduction #7Feeder cals 2-4, 2-5, 2-6"/>
    <s v="Ghent"/>
    <x v="0"/>
    <s v="Coal"/>
    <x v="2"/>
    <x v="5"/>
    <n v="1"/>
    <n v="4.9500000000698492"/>
    <n v="0.57115384616190568"/>
    <n v="277.58076923468616"/>
    <n v="56.07692307692308"/>
    <x v="123"/>
  </r>
  <r>
    <x v="4"/>
    <x v="1"/>
    <n v="8"/>
    <n v="3690"/>
    <d v="2018-02-16T00:02:00"/>
    <d v="2018-02-16T02:50:00"/>
    <n v="300"/>
    <n v="520"/>
    <n v="486"/>
    <s v="Station Service Power Distribution System - General"/>
    <s v="F590Load Reduction #8Took MCC out of service that had 2 mill feeders on it.  "/>
    <s v="Ghent"/>
    <x v="0"/>
    <s v="Coal"/>
    <x v="2"/>
    <x v="5"/>
    <n v="2"/>
    <n v="2.8000000000465661"/>
    <n v="1.1846153846350858"/>
    <n v="575.72307693265168"/>
    <n v="205.61538461538461"/>
    <x v="132"/>
  </r>
  <r>
    <x v="4"/>
    <x v="0"/>
    <n v="9"/>
    <n v="344"/>
    <d v="2018-02-18T03:55:00"/>
    <d v="2018-02-18T06:17:00"/>
    <n v="460"/>
    <n v="520"/>
    <n v="486"/>
    <s v="Pulverizer inspection"/>
    <s v="F590Load Reduction #92-3 mill inspection."/>
    <s v="Ghent"/>
    <x v="0"/>
    <s v="Coal"/>
    <x v="2"/>
    <x v="5"/>
    <n v="2"/>
    <n v="2.3666666666977108"/>
    <n v="0.27307692308050507"/>
    <n v="132.71538461712547"/>
    <n v="56.07692307692308"/>
    <x v="123"/>
  </r>
  <r>
    <x v="4"/>
    <x v="0"/>
    <n v="10"/>
    <n v="320"/>
    <d v="2018-02-18T14:04:00"/>
    <d v="2018-02-18T15:04:00"/>
    <n v="460"/>
    <n v="520"/>
    <n v="486"/>
    <s v="Foreign object in Pulverizers mill"/>
    <s v="F590Load Reduction #102-6 mill inspection.  "/>
    <s v="Ghent"/>
    <x v="0"/>
    <s v="Coal"/>
    <x v="2"/>
    <x v="5"/>
    <n v="2"/>
    <n v="1.0000000001164153"/>
    <n v="0.11538461539804792"/>
    <n v="56.076923083451291"/>
    <n v="56.07692307692308"/>
    <x v="123"/>
  </r>
  <r>
    <x v="4"/>
    <x v="4"/>
    <n v="11"/>
    <n v="4302"/>
    <d v="2018-02-19T11:10:00"/>
    <d v="2018-02-20T02:59:00"/>
    <n v="0"/>
    <n v="520"/>
    <n v="486"/>
    <s v="Turbine trip devices (including instruments)"/>
    <s v="F590Outage #1Unit was removed from service on a maintenance outage to repair front"/>
    <s v="Ghent"/>
    <x v="2"/>
    <s v="Coal"/>
    <x v="2"/>
    <x v="5"/>
    <n v="2"/>
    <n v="15.816666666534729"/>
    <n v="15.816666666534729"/>
    <n v="7686.8999999358784"/>
    <n v="486"/>
    <x v="120"/>
  </r>
  <r>
    <x v="4"/>
    <x v="0"/>
    <n v="12"/>
    <n v="344"/>
    <d v="2018-02-25T16:48:00"/>
    <d v="2018-02-25T20:35:00"/>
    <n v="460"/>
    <n v="520"/>
    <n v="486"/>
    <s v="Pulverizer inspection"/>
    <s v="Load Reduction #112-3 mill issues."/>
    <s v="Ghent"/>
    <x v="0"/>
    <s v="Coal"/>
    <x v="2"/>
    <x v="5"/>
    <n v="2"/>
    <n v="3.7833333334419876"/>
    <n v="0.43653846155099857"/>
    <n v="212.1576923137853"/>
    <n v="56.07692307692308"/>
    <x v="123"/>
  </r>
  <r>
    <x v="4"/>
    <x v="0"/>
    <n v="13"/>
    <n v="344"/>
    <d v="2018-02-25T22:37:00"/>
    <d v="2018-02-25T23:52:00"/>
    <n v="460"/>
    <n v="520"/>
    <n v="486"/>
    <s v="Pulverizer inspection"/>
    <s v="Load Reduction #122-3 mill issues"/>
    <s v="Ghent"/>
    <x v="0"/>
    <s v="Coal"/>
    <x v="2"/>
    <x v="5"/>
    <n v="2"/>
    <n v="1.2499999998835847"/>
    <n v="0.14423076921733669"/>
    <n v="70.096153839625629"/>
    <n v="56.07692307692308"/>
    <x v="123"/>
  </r>
  <r>
    <x v="4"/>
    <x v="0"/>
    <n v="14"/>
    <n v="310"/>
    <d v="2018-02-25T23:52:00"/>
    <d v="2018-02-26T03:37:00"/>
    <n v="440"/>
    <n v="520"/>
    <n v="486"/>
    <s v="Pulverizer mills"/>
    <s v="FW00Load Reduction #13Wet coal keeping 5 mills from getting to 460 mw and 2-3 mill"/>
    <s v="Ghent"/>
    <x v="0"/>
    <s v="Coal"/>
    <x v="2"/>
    <x v="5"/>
    <n v="2"/>
    <n v="3.75"/>
    <n v="0.57692307692307687"/>
    <n v="280.38461538461536"/>
    <n v="74.769230769230774"/>
    <x v="34"/>
  </r>
  <r>
    <x v="4"/>
    <x v="0"/>
    <n v="15"/>
    <n v="344"/>
    <d v="2018-02-26T03:37:00"/>
    <d v="2018-02-26T06:10:00"/>
    <n v="460"/>
    <n v="520"/>
    <n v="486"/>
    <s v="Pulverizer inspection"/>
    <s v="F590Load Reduction #142-3 mill issues."/>
    <s v="Ghent"/>
    <x v="0"/>
    <s v="Coal"/>
    <x v="2"/>
    <x v="5"/>
    <n v="2"/>
    <n v="2.5500000001047738"/>
    <n v="0.29423076924285851"/>
    <n v="142.99615385202924"/>
    <n v="56.07692307692308"/>
    <x v="123"/>
  </r>
  <r>
    <x v="4"/>
    <x v="0"/>
    <n v="16"/>
    <n v="9270"/>
    <d v="2018-02-26T06:10:00"/>
    <d v="2018-02-27T10:22:00"/>
    <n v="424"/>
    <n v="520"/>
    <n v="486"/>
    <s v="Wet coal"/>
    <s v="Load Reduction #152-3 mill out of service/wet coal issues."/>
    <s v="Ghent"/>
    <x v="0"/>
    <s v="Coal"/>
    <x v="2"/>
    <x v="5"/>
    <n v="2"/>
    <n v="28.199999999895226"/>
    <n v="5.2061538461345034"/>
    <n v="2530.1907692213686"/>
    <n v="89.723076923076917"/>
    <x v="160"/>
  </r>
  <r>
    <x v="4"/>
    <x v="4"/>
    <n v="17"/>
    <n v="270"/>
    <d v="2018-02-27T10:22:00"/>
    <d v="2018-02-27T22:16:00"/>
    <n v="0"/>
    <n v="520"/>
    <n v="486"/>
    <s v="Primary air duct and dampers"/>
    <s v="Outage #2Unit was removed from service to repair 2-3 mill hot air duct that was da"/>
    <s v="Ghent"/>
    <x v="2"/>
    <s v="Coal"/>
    <x v="2"/>
    <x v="5"/>
    <n v="2"/>
    <n v="11.900000000023283"/>
    <n v="11.900000000023283"/>
    <n v="5783.4000000113156"/>
    <n v="486"/>
    <x v="120"/>
  </r>
  <r>
    <x v="4"/>
    <x v="0"/>
    <n v="18"/>
    <n v="270"/>
    <d v="2018-02-27T22:17:00"/>
    <d v="2018-03-01T10:45:00"/>
    <n v="392"/>
    <n v="520"/>
    <n v="486"/>
    <s v="Primary air duct and dampers"/>
    <s v="Load Reduction #162-3 mill / #2 main steam stop valve."/>
    <s v="Ghent"/>
    <x v="0"/>
    <s v="Coal"/>
    <x v="2"/>
    <x v="5"/>
    <n v="2"/>
    <n v="36.46666666661622"/>
    <n v="8.9764102563978394"/>
    <n v="4362.5353846093503"/>
    <n v="119.63076923076923"/>
    <x v="161"/>
  </r>
  <r>
    <x v="4"/>
    <x v="0"/>
    <n v="19"/>
    <n v="310"/>
    <d v="2018-03-01T11:02:00"/>
    <d v="2018-03-01T20:01:00"/>
    <n v="450"/>
    <n v="520"/>
    <n v="486"/>
    <s v="Pulverizer mills"/>
    <s v="F590Load Reduction #172-3 mill issues"/>
    <s v="Ghent"/>
    <x v="0"/>
    <s v="Coal"/>
    <x v="2"/>
    <x v="5"/>
    <n v="3"/>
    <n v="8.9833333332790062"/>
    <n v="1.2092948717875585"/>
    <n v="587.71730768875341"/>
    <n v="65.42307692307692"/>
    <x v="127"/>
  </r>
  <r>
    <x v="4"/>
    <x v="0"/>
    <n v="20"/>
    <n v="310"/>
    <d v="2018-03-01T20:22:00"/>
    <d v="2018-03-03T13:02:00"/>
    <n v="374"/>
    <n v="520"/>
    <n v="486"/>
    <s v="Pulverizer mills"/>
    <s v="F590Load Reduction #182-3 mill issues. "/>
    <s v="Ghent"/>
    <x v="0"/>
    <s v="Coal"/>
    <x v="2"/>
    <x v="5"/>
    <n v="3"/>
    <n v="40.666666666686069"/>
    <n v="11.417948717954166"/>
    <n v="5549.1230769257245"/>
    <n v="136.45384615384614"/>
    <x v="62"/>
  </r>
  <r>
    <x v="4"/>
    <x v="0"/>
    <n v="21"/>
    <n v="331"/>
    <d v="2018-03-19T08:38:00"/>
    <d v="2018-03-19T10:23:00"/>
    <n v="460"/>
    <n v="520"/>
    <n v="486"/>
    <s v="Pulverizer system coal leaks (other than pulverizers"/>
    <s v="F590Load Reduction #192-6 mill had a burner line leak."/>
    <s v="Ghent"/>
    <x v="0"/>
    <s v="Coal"/>
    <x v="2"/>
    <x v="5"/>
    <n v="3"/>
    <n v="1.7499999999417923"/>
    <n v="0.20192307691636066"/>
    <n v="98.134615381351281"/>
    <n v="56.07692307692308"/>
    <x v="123"/>
  </r>
  <r>
    <x v="4"/>
    <x v="0"/>
    <n v="22"/>
    <n v="320"/>
    <d v="2018-03-30T12:05:00"/>
    <d v="2018-03-30T12:30:00"/>
    <n v="460"/>
    <n v="520"/>
    <n v="486"/>
    <s v="Foreign object in Pulverizers mill"/>
    <s v="F590Load Reduction #20Metal in 2-5 coal mill."/>
    <s v="Ghent"/>
    <x v="0"/>
    <s v="Coal"/>
    <x v="2"/>
    <x v="5"/>
    <n v="3"/>
    <n v="0.41666666680248454"/>
    <n v="4.807692309259437E-2"/>
    <n v="23.365384623000864"/>
    <n v="56.07692307692308"/>
    <x v="123"/>
  </r>
  <r>
    <x v="4"/>
    <x v="0"/>
    <n v="23"/>
    <n v="1470"/>
    <d v="2018-04-05T14:12:00"/>
    <d v="2018-04-05T19:53:00"/>
    <n v="376"/>
    <n v="520"/>
    <n v="486"/>
    <s v="Induced draft fan motors and drives"/>
    <s v="F820Load Reduction #21Loss of both IDs (2-1 &amp; 2-2) due to voltage drop."/>
    <s v="Ghent"/>
    <x v="0"/>
    <s v="Coal"/>
    <x v="2"/>
    <x v="5"/>
    <n v="4"/>
    <n v="5.6833333333488554"/>
    <n v="1.5738461538504522"/>
    <n v="764.88923077131983"/>
    <n v="134.58461538461538"/>
    <x v="162"/>
  </r>
  <r>
    <x v="4"/>
    <x v="0"/>
    <n v="24"/>
    <n v="253"/>
    <d v="2018-04-19T20:12:00"/>
    <d v="2018-04-20T01:57:00"/>
    <n v="460"/>
    <n v="520"/>
    <n v="486"/>
    <s v="Pulverizer feeder motor"/>
    <s v="F060Load Reduction #222-6 mill feeder motor broken output shaft."/>
    <s v="Ghent"/>
    <x v="0"/>
    <s v="Coal"/>
    <x v="2"/>
    <x v="5"/>
    <n v="4"/>
    <n v="5.7500000000582077"/>
    <n v="0.66346153846825473"/>
    <n v="322.4423076955718"/>
    <n v="56.07692307692308"/>
    <x v="123"/>
  </r>
  <r>
    <x v="4"/>
    <x v="0"/>
    <n v="25"/>
    <n v="346"/>
    <d v="2018-04-22T02:00:00"/>
    <d v="2018-04-22T07:52:00"/>
    <n v="460"/>
    <n v="520"/>
    <n v="486"/>
    <s v="Pulverizer pyrite removal system"/>
    <s v="F060Load Reduction #232-2 mill pyrite scraper failed and plugged the pyrite chute."/>
    <s v="Ghent"/>
    <x v="0"/>
    <s v="Coal"/>
    <x v="2"/>
    <x v="5"/>
    <n v="4"/>
    <n v="5.8666666665812954"/>
    <n v="0.6769230769132264"/>
    <n v="328.98461537982803"/>
    <n v="56.07692307692308"/>
    <x v="123"/>
  </r>
  <r>
    <x v="4"/>
    <x v="0"/>
    <n v="26"/>
    <n v="346"/>
    <d v="2018-04-29T00:48:00"/>
    <d v="2018-04-29T08:46:00"/>
    <n v="465"/>
    <n v="520"/>
    <n v="486"/>
    <s v="Pulverizer pyrite removal system"/>
    <s v="Load Reduction #242-2 mill pyrite scraper broken and damage to pyrite section floo"/>
    <s v="Ghent"/>
    <x v="0"/>
    <s v="Coal"/>
    <x v="2"/>
    <x v="5"/>
    <n v="4"/>
    <n v="7.96666666661622"/>
    <n v="0.8426282051228694"/>
    <n v="409.51730768971453"/>
    <n v="51.403846153846153"/>
    <x v="3"/>
  </r>
  <r>
    <x v="5"/>
    <x v="4"/>
    <n v="1"/>
    <n v="1455"/>
    <d v="2013-01-28T11:14:00"/>
    <d v="2013-01-31T08:42:00"/>
    <n v="0"/>
    <n v="528"/>
    <n v="479"/>
    <s v="Induced draft fans"/>
    <s v="F850Outage #1Unit 3 3-2 ID fan inboard fan bearing vibration was high and increasi"/>
    <s v="Ghent"/>
    <x v="2"/>
    <s v="Coal"/>
    <x v="2"/>
    <x v="0"/>
    <n v="1"/>
    <n v="69.466666666790843"/>
    <n v="69.466666666790843"/>
    <n v="33274.533333392814"/>
    <n v="479"/>
    <x v="163"/>
  </r>
  <r>
    <x v="5"/>
    <x v="0"/>
    <n v="2"/>
    <n v="1455"/>
    <d v="2013-02-01T10:28:00"/>
    <d v="2013-02-01T11:33:00"/>
    <n v="400"/>
    <n v="528"/>
    <n v="479"/>
    <s v="Induced draft fans"/>
    <s v="Load Reduction #13-2 ID fan outboard bearing temperature spiked.  Operators droppe"/>
    <s v="Ghent"/>
    <x v="0"/>
    <s v="Coal"/>
    <x v="2"/>
    <x v="0"/>
    <n v="2"/>
    <n v="1.0833333331975155"/>
    <n v="0.2626262625933371"/>
    <n v="125.79797978220847"/>
    <n v="116.12121212121212"/>
    <x v="164"/>
  </r>
  <r>
    <x v="5"/>
    <x v="0"/>
    <n v="3"/>
    <n v="1455"/>
    <d v="2013-03-24T19:15:00"/>
    <d v="2013-03-26T19:15:00"/>
    <n v="515"/>
    <n v="528"/>
    <n v="479"/>
    <s v="Induced draft fans"/>
    <s v="Load Reduction #23-2 ID outboard bearing temperature spiked."/>
    <s v="Ghent"/>
    <x v="0"/>
    <s v="Coal"/>
    <x v="2"/>
    <x v="0"/>
    <n v="3"/>
    <n v="48"/>
    <n v="1.1818181818181819"/>
    <n v="566.09090909090912"/>
    <n v="11.793560606060606"/>
    <x v="24"/>
  </r>
  <r>
    <x v="5"/>
    <x v="0"/>
    <n v="4"/>
    <n v="1493"/>
    <d v="2013-03-27T05:36:00"/>
    <d v="2013-04-04T14:09:00"/>
    <n v="515"/>
    <n v="528"/>
    <n v="479"/>
    <s v="Air heater fouling (regenerative)"/>
    <s v="Load Reduction #3ID fan inlet duct pressure limit was exceeded due to air heater p"/>
    <s v="Ghent"/>
    <x v="0"/>
    <s v="Coal"/>
    <x v="2"/>
    <x v="0"/>
    <n v="3"/>
    <n v="200.55000000010477"/>
    <n v="4.9377840909116708"/>
    <n v="2365.1985795466903"/>
    <n v="11.793560606060606"/>
    <x v="24"/>
  </r>
  <r>
    <x v="5"/>
    <x v="4"/>
    <n v="5"/>
    <n v="1493"/>
    <d v="2013-04-04T14:09:00"/>
    <d v="2013-04-07T19:57:00"/>
    <n v="0"/>
    <n v="528"/>
    <n v="479"/>
    <s v="Air heater fouling (regenerative)"/>
    <s v="F320Outage #2Unit had been running high differential on Air Heaters.  Removed unit"/>
    <s v="Ghent"/>
    <x v="2"/>
    <s v="Coal"/>
    <x v="2"/>
    <x v="0"/>
    <n v="4"/>
    <n v="77.800000000046566"/>
    <n v="77.800000000046566"/>
    <n v="37266.200000022305"/>
    <n v="479"/>
    <x v="163"/>
  </r>
  <r>
    <x v="5"/>
    <x v="0"/>
    <n v="7"/>
    <n v="1455"/>
    <d v="2013-04-08T12:39:00"/>
    <d v="2013-04-08T12:50:00"/>
    <n v="530"/>
    <n v="528"/>
    <n v="479"/>
    <s v="Induced draft fans"/>
    <s v="Load Reduction #5High ID fan amps."/>
    <s v="Ghent"/>
    <x v="0"/>
    <s v="Coal"/>
    <x v="2"/>
    <x v="0"/>
    <n v="4"/>
    <n v="0.18333333323244005"/>
    <n v="-6.9444444406227296E-4"/>
    <n v="-0.33263888870582875"/>
    <n v="0"/>
    <x v="152"/>
  </r>
  <r>
    <x v="5"/>
    <x v="4"/>
    <n v="8"/>
    <n v="1535"/>
    <d v="2013-04-12T23:56:00"/>
    <d v="2013-04-14T06:44:00"/>
    <n v="0"/>
    <n v="528"/>
    <n v="479"/>
    <s v="Flue gas recirculating fan"/>
    <s v="F540Outage #33-2 ID fan was running with a fan internal oil leak on the OB fan bea"/>
    <s v="Ghent"/>
    <x v="2"/>
    <s v="Coal"/>
    <x v="2"/>
    <x v="0"/>
    <n v="4"/>
    <n v="30.799999999988358"/>
    <n v="30.799999999988358"/>
    <n v="14753.199999994424"/>
    <n v="479"/>
    <x v="163"/>
  </r>
  <r>
    <x v="5"/>
    <x v="0"/>
    <n v="9"/>
    <n v="340"/>
    <d v="2013-04-17T22:34:00"/>
    <d v="2013-04-17T22:57:00"/>
    <n v="450"/>
    <n v="528"/>
    <n v="479"/>
    <s v="Other pulverizer problems"/>
    <s v="Load Reduction #6Lost 3-3 mill."/>
    <s v="Ghent"/>
    <x v="0"/>
    <s v="Coal"/>
    <x v="2"/>
    <x v="0"/>
    <n v="4"/>
    <n v="0.38333333336049691"/>
    <n v="5.662878788280068E-2"/>
    <n v="27.125189395861526"/>
    <n v="70.76136363636364"/>
    <x v="165"/>
  </r>
  <r>
    <x v="5"/>
    <x v="0"/>
    <n v="10"/>
    <n v="1493"/>
    <d v="2013-05-02T06:44:00"/>
    <d v="2013-05-03T07:38:00"/>
    <n v="514"/>
    <n v="528"/>
    <n v="479"/>
    <s v="Air heater fouling (regenerative)"/>
    <s v="Load Reduction #7U3 ID fan inlet duct in high alarm due to air heater pluggage."/>
    <s v="Ghent"/>
    <x v="0"/>
    <s v="Coal"/>
    <x v="2"/>
    <x v="0"/>
    <n v="5"/>
    <n v="24.900000000139698"/>
    <n v="0.66022727273097681"/>
    <n v="316.24886363813789"/>
    <n v="12.700757575757576"/>
    <x v="20"/>
  </r>
  <r>
    <x v="5"/>
    <x v="0"/>
    <n v="11"/>
    <n v="1493"/>
    <d v="2013-05-03T07:38:00"/>
    <d v="2013-05-03T10:32:00"/>
    <n v="520"/>
    <n v="528"/>
    <n v="479"/>
    <s v="Air heater fouling (regenerative)"/>
    <s v="Load Reduction #8ID Fan inlet duct in high alarm.  Derate changed from 514 to 520 "/>
    <s v="Ghent"/>
    <x v="0"/>
    <s v="Coal"/>
    <x v="2"/>
    <x v="0"/>
    <n v="5"/>
    <n v="2.8999999998486601"/>
    <n v="4.3939393937100911E-2"/>
    <n v="21.046969695871336"/>
    <n v="7.2575757575757578"/>
    <x v="13"/>
  </r>
  <r>
    <x v="5"/>
    <x v="0"/>
    <n v="12"/>
    <n v="1493"/>
    <d v="2013-05-03T10:32:00"/>
    <d v="2013-05-05T11:23:00"/>
    <n v="514"/>
    <n v="528"/>
    <n v="479"/>
    <s v="Air heater fouling (regenerative)"/>
    <s v="Load Reduction #9ID Fan inlet duct in high alarm.  Derate changed from 520 to 514 "/>
    <s v="Ghent"/>
    <x v="0"/>
    <s v="Coal"/>
    <x v="2"/>
    <x v="0"/>
    <n v="5"/>
    <n v="48.85000000015134"/>
    <n v="1.2952651515191642"/>
    <n v="620.43200757767966"/>
    <n v="12.700757575757576"/>
    <x v="20"/>
  </r>
  <r>
    <x v="5"/>
    <x v="0"/>
    <n v="13"/>
    <n v="1493"/>
    <d v="2013-05-05T11:23:00"/>
    <d v="2013-05-05T19:45:00"/>
    <n v="514"/>
    <n v="528"/>
    <n v="479"/>
    <s v="Air heater fouling (regenerative)"/>
    <s v="Load Reduction #10ID Fan inlet duct in high alarm. "/>
    <s v="Ghent"/>
    <x v="0"/>
    <s v="Coal"/>
    <x v="2"/>
    <x v="0"/>
    <n v="5"/>
    <n v="8.3666666665230878"/>
    <n v="0.22184343433962733"/>
    <n v="106.26300504868149"/>
    <n v="12.700757575757576"/>
    <x v="20"/>
  </r>
  <r>
    <x v="5"/>
    <x v="0"/>
    <n v="14"/>
    <n v="1493"/>
    <d v="2013-05-05T19:45:00"/>
    <d v="2013-05-05T20:18:00"/>
    <n v="522"/>
    <n v="528"/>
    <n v="479"/>
    <s v="Air heater fouling (regenerative)"/>
    <s v="Load Reduction #11ID Fan inlet duct in high alarm.  "/>
    <s v="Ghent"/>
    <x v="0"/>
    <s v="Coal"/>
    <x v="2"/>
    <x v="0"/>
    <n v="5"/>
    <n v="0.55000000004656613"/>
    <n v="6.2500000005291604E-3"/>
    <n v="2.9937500002534678"/>
    <n v="5.4431818181818183"/>
    <x v="166"/>
  </r>
  <r>
    <x v="5"/>
    <x v="0"/>
    <n v="15"/>
    <n v="1493"/>
    <d v="2013-05-05T20:18:00"/>
    <d v="2013-05-07T11:03:00"/>
    <n v="518"/>
    <n v="528"/>
    <n v="479"/>
    <s v="Air heater fouling (regenerative)"/>
    <s v="Load Reduction #12U3 ID fan inlet duct in high alarm."/>
    <s v="Ghent"/>
    <x v="0"/>
    <s v="Coal"/>
    <x v="2"/>
    <x v="0"/>
    <n v="5"/>
    <n v="38.750000000058208"/>
    <n v="0.73390151515261759"/>
    <n v="351.53882575810383"/>
    <n v="9.0719696969696972"/>
    <x v="94"/>
  </r>
  <r>
    <x v="5"/>
    <x v="0"/>
    <n v="16"/>
    <n v="1493"/>
    <d v="2013-05-07T11:03:00"/>
    <d v="2013-05-10T11:25:00"/>
    <n v="508"/>
    <n v="528"/>
    <n v="479"/>
    <s v="Air heater fouling (regenerative)"/>
    <s v="Load Reduction #13U3 ID fan inlet duct in high alarm."/>
    <s v="Ghent"/>
    <x v="0"/>
    <s v="Coal"/>
    <x v="2"/>
    <x v="0"/>
    <n v="5"/>
    <n v="72.366666666639503"/>
    <n v="2.7411616161605874"/>
    <n v="1313.0164141409214"/>
    <n v="18.143939393939394"/>
    <x v="5"/>
  </r>
  <r>
    <x v="5"/>
    <x v="0"/>
    <n v="17"/>
    <n v="1493"/>
    <d v="2013-05-10T11:25:00"/>
    <d v="2013-05-10T19:30:00"/>
    <n v="500"/>
    <n v="528"/>
    <n v="479"/>
    <s v="Air heater fouling (regenerative)"/>
    <s v="Load Reduction #14U3 ID fan inlet duct in high alarm."/>
    <s v="Ghent"/>
    <x v="0"/>
    <s v="Coal"/>
    <x v="2"/>
    <x v="0"/>
    <n v="5"/>
    <n v="8.0833333333139308"/>
    <n v="0.42866161616058723"/>
    <n v="205.32891414092128"/>
    <n v="25.401515151515152"/>
    <x v="80"/>
  </r>
  <r>
    <x v="5"/>
    <x v="0"/>
    <n v="18"/>
    <n v="1493"/>
    <d v="2013-05-10T19:30:00"/>
    <d v="2013-05-10T20:30:00"/>
    <n v="510"/>
    <n v="528"/>
    <n v="479"/>
    <s v="Air heater fouling (regenerative)"/>
    <s v="Load Reduction #15U3 ID fan inlet duct in high alarm."/>
    <s v="Ghent"/>
    <x v="0"/>
    <s v="Coal"/>
    <x v="2"/>
    <x v="0"/>
    <n v="5"/>
    <n v="0.99999999994179234"/>
    <n v="3.4090909088924738E-2"/>
    <n v="16.32954545359495"/>
    <n v="16.329545454545453"/>
    <x v="167"/>
  </r>
  <r>
    <x v="5"/>
    <x v="0"/>
    <n v="20"/>
    <n v="1493"/>
    <d v="2013-05-10T19:30:00"/>
    <d v="2013-05-10T20:30:00"/>
    <n v="510"/>
    <n v="528"/>
    <n v="479"/>
    <s v="Air heater fouling (regenerative)"/>
    <s v="Load Reduction #17U3 ID fan inlet duct in high alarm."/>
    <s v="Ghent"/>
    <x v="0"/>
    <s v="Coal"/>
    <x v="2"/>
    <x v="0"/>
    <n v="5"/>
    <n v="0.99999999994179234"/>
    <n v="3.4090909088924738E-2"/>
    <n v="16.32954545359495"/>
    <n v="16.329545454545453"/>
    <x v="167"/>
  </r>
  <r>
    <x v="5"/>
    <x v="0"/>
    <n v="21"/>
    <n v="1493"/>
    <d v="2013-05-10T20:30:00"/>
    <d v="2013-05-16T06:17:00"/>
    <n v="505"/>
    <n v="528"/>
    <n v="479"/>
    <s v="Air heater fouling (regenerative)"/>
    <s v="Load Reduction #18U3 ID fan inlet duct in high alarm."/>
    <s v="Ghent"/>
    <x v="0"/>
    <s v="Coal"/>
    <x v="2"/>
    <x v="0"/>
    <n v="5"/>
    <n v="129.78333333344199"/>
    <n v="5.6534406565703899"/>
    <n v="2707.9980744972167"/>
    <n v="20.865530303030305"/>
    <x v="168"/>
  </r>
  <r>
    <x v="5"/>
    <x v="0"/>
    <n v="22"/>
    <n v="1493"/>
    <d v="2013-05-16T06:17:00"/>
    <d v="2013-05-16T16:05:00"/>
    <n v="505"/>
    <n v="528"/>
    <n v="479"/>
    <s v="Air heater fouling (regenerative)"/>
    <s v="Load Reduction #19U3 ID fan inlet duct in high alarm."/>
    <s v="Ghent"/>
    <x v="0"/>
    <s v="Coal"/>
    <x v="2"/>
    <x v="0"/>
    <n v="5"/>
    <n v="9.7999999999883585"/>
    <n v="0.42689393939343229"/>
    <n v="204.48219696945407"/>
    <n v="20.865530303030305"/>
    <x v="168"/>
  </r>
  <r>
    <x v="5"/>
    <x v="0"/>
    <n v="23"/>
    <n v="1493"/>
    <d v="2013-05-16T16:05:00"/>
    <d v="2013-05-19T20:55:00"/>
    <n v="505"/>
    <n v="528"/>
    <n v="479"/>
    <s v="Air heater fouling (regenerative)"/>
    <s v="Load Reduction #20U3 ID fan inlet duct in high alarm."/>
    <s v="Ghent"/>
    <x v="0"/>
    <s v="Coal"/>
    <x v="2"/>
    <x v="0"/>
    <n v="5"/>
    <n v="76.833333333372138"/>
    <n v="3.3469065656582559"/>
    <n v="1603.1682449503046"/>
    <n v="20.865530303030305"/>
    <x v="168"/>
  </r>
  <r>
    <x v="5"/>
    <x v="0"/>
    <n v="24"/>
    <n v="1493"/>
    <d v="2013-05-19T20:55:00"/>
    <d v="2013-05-23T23:50:00"/>
    <n v="490"/>
    <n v="528"/>
    <n v="479"/>
    <s v="Air heater fouling (regenerative)"/>
    <s v="Load Reduction #21U3 ID fan inlet duct in high alarm."/>
    <s v="Ghent"/>
    <x v="0"/>
    <s v="Coal"/>
    <x v="2"/>
    <x v="0"/>
    <n v="5"/>
    <n v="98.916666666569654"/>
    <n v="7.1190025252455431"/>
    <n v="3410.0022095926151"/>
    <n v="34.473484848484851"/>
    <x v="81"/>
  </r>
  <r>
    <x v="5"/>
    <x v="4"/>
    <n v="25"/>
    <n v="1493"/>
    <d v="2013-05-23T23:50:00"/>
    <d v="2013-05-27T09:05:00"/>
    <n v="0"/>
    <n v="528"/>
    <n v="479"/>
    <s v="Air heater fouling (regenerative)"/>
    <s v="F320Outage #4Air heater differentials have been increasing over the past weeks.  R"/>
    <s v="Ghent"/>
    <x v="2"/>
    <s v="Coal"/>
    <x v="2"/>
    <x v="0"/>
    <n v="5"/>
    <n v="81.249999999941792"/>
    <n v="81.249999999941792"/>
    <n v="38918.749999972119"/>
    <n v="479"/>
    <x v="163"/>
  </r>
  <r>
    <x v="5"/>
    <x v="4"/>
    <n v="26"/>
    <n v="1500"/>
    <d v="2013-05-31T22:35:00"/>
    <d v="2013-06-02T18:59:00"/>
    <n v="0"/>
    <n v="528"/>
    <n v="479"/>
    <s v="Air heater soot blowers"/>
    <s v="F060Outage #53-2 Air heater blower was not traveling correctly.  Disconnected its "/>
    <s v="Ghent"/>
    <x v="2"/>
    <s v="Coal"/>
    <x v="2"/>
    <x v="0"/>
    <n v="5"/>
    <n v="44.400000000139698"/>
    <n v="44.400000000139698"/>
    <n v="21267.600000066916"/>
    <n v="479"/>
    <x v="163"/>
  </r>
  <r>
    <x v="5"/>
    <x v="0"/>
    <n v="27"/>
    <n v="4499"/>
    <d v="2013-06-06T09:17:00"/>
    <d v="2013-06-13T11:30:00"/>
    <n v="528"/>
    <n v="528"/>
    <n v="479"/>
    <s v="Other miscellaneous steam turbine problems"/>
    <s v="Load Reduction #22Turbine performance."/>
    <s v="Ghent"/>
    <x v="0"/>
    <s v="Coal"/>
    <x v="2"/>
    <x v="0"/>
    <n v="6"/>
    <n v="170.21666666655801"/>
    <n v="0"/>
    <n v="0"/>
    <n v="0"/>
    <x v="152"/>
  </r>
  <r>
    <x v="5"/>
    <x v="0"/>
    <n v="28"/>
    <n v="4499"/>
    <d v="2013-06-13T11:30:00"/>
    <d v="2013-06-17T18:10:00"/>
    <n v="520"/>
    <n v="528"/>
    <n v="479"/>
    <s v="Other miscellaneous steam turbine problems"/>
    <s v="Load Reduction #23Turbine performance."/>
    <s v="Ghent"/>
    <x v="0"/>
    <s v="Coal"/>
    <x v="2"/>
    <x v="0"/>
    <n v="6"/>
    <n v="102.66666666674428"/>
    <n v="1.5555555555567315"/>
    <n v="745.1111111116744"/>
    <n v="7.2575757575757578"/>
    <x v="13"/>
  </r>
  <r>
    <x v="5"/>
    <x v="0"/>
    <n v="29"/>
    <n v="1455"/>
    <d v="2013-06-17T18:10:00"/>
    <d v="2013-06-17T18:55:00"/>
    <n v="510"/>
    <n v="528"/>
    <n v="479"/>
    <s v="Induced draft fans"/>
    <s v="Load Reduction #243-1 ID Fan inlet duct pressure became high."/>
    <s v="Ghent"/>
    <x v="0"/>
    <s v="Coal"/>
    <x v="2"/>
    <x v="0"/>
    <n v="6"/>
    <n v="0.75"/>
    <n v="2.556818181818182E-2"/>
    <n v="12.247159090909092"/>
    <n v="16.329545454545453"/>
    <x v="167"/>
  </r>
  <r>
    <x v="5"/>
    <x v="0"/>
    <n v="30"/>
    <n v="4499"/>
    <d v="2013-06-17T18:55:00"/>
    <d v="2013-06-29T14:02:00"/>
    <n v="520"/>
    <n v="528"/>
    <n v="479"/>
    <s v="Other miscellaneous steam turbine problems"/>
    <s v="Load Reduction #25Turbine performance."/>
    <s v="Ghent"/>
    <x v="0"/>
    <s v="Coal"/>
    <x v="2"/>
    <x v="0"/>
    <n v="6"/>
    <n v="283.1166666666395"/>
    <n v="4.2896464646460535"/>
    <n v="2054.7406565654596"/>
    <n v="7.2575757575757578"/>
    <x v="13"/>
  </r>
  <r>
    <x v="5"/>
    <x v="0"/>
    <n v="31"/>
    <n v="4499"/>
    <d v="2013-06-29T14:02:00"/>
    <d v="2013-07-01T14:45:00"/>
    <n v="510"/>
    <n v="528"/>
    <n v="479"/>
    <s v="Other miscellaneous steam turbine problems"/>
    <s v="Load Reduction #26Turbine degredation due to copper desposits.  Also, 3-2 ID fan m"/>
    <s v="Ghent"/>
    <x v="0"/>
    <s v="Coal"/>
    <x v="2"/>
    <x v="0"/>
    <n v="6"/>
    <n v="48.716666666732635"/>
    <n v="1.6607954545477035"/>
    <n v="795.52102272834998"/>
    <n v="16.329545454545453"/>
    <x v="167"/>
  </r>
  <r>
    <x v="5"/>
    <x v="0"/>
    <n v="32"/>
    <n v="4499"/>
    <d v="2013-07-01T14:45:00"/>
    <d v="2013-07-04T17:45:00"/>
    <n v="520"/>
    <n v="528"/>
    <n v="479"/>
    <s v="Other miscellaneous steam turbine problems"/>
    <s v="Load Reduction #27Turbine degredation due to copper desposits.  Also, 3-2 ID fan m"/>
    <s v="Ghent"/>
    <x v="0"/>
    <s v="Coal"/>
    <x v="2"/>
    <x v="0"/>
    <n v="7"/>
    <n v="75"/>
    <n v="1.1363636363636365"/>
    <n v="544.31818181818187"/>
    <n v="7.2575757575757578"/>
    <x v="13"/>
  </r>
  <r>
    <x v="5"/>
    <x v="0"/>
    <n v="33"/>
    <n v="260"/>
    <d v="2013-07-04T17:45:00"/>
    <d v="2013-07-04T18:20:00"/>
    <n v="410"/>
    <n v="528"/>
    <n v="479"/>
    <s v="Primary air fan"/>
    <s v="Load Reduction #283-3 PA Fan inlet vane linkage broke."/>
    <s v="Ghent"/>
    <x v="0"/>
    <s v="Coal"/>
    <x v="2"/>
    <x v="0"/>
    <n v="7"/>
    <n v="0.58333333331393078"/>
    <n v="0.13036616161182543"/>
    <n v="62.445391412064382"/>
    <n v="107.04924242424242"/>
    <x v="4"/>
  </r>
  <r>
    <x v="5"/>
    <x v="0"/>
    <n v="34"/>
    <n v="4499"/>
    <d v="2013-07-04T18:20:00"/>
    <d v="2013-07-05T15:27:00"/>
    <n v="520"/>
    <n v="528"/>
    <n v="479"/>
    <s v="Other miscellaneous steam turbine problems"/>
    <s v="Load Reduction #29The unit derated due to turbine degredation."/>
    <s v="Ghent"/>
    <x v="0"/>
    <s v="Coal"/>
    <x v="2"/>
    <x v="0"/>
    <n v="7"/>
    <n v="21.116666666697711"/>
    <n v="0.31994949494996533"/>
    <n v="153.25580808103339"/>
    <n v="7.2575757575757578"/>
    <x v="13"/>
  </r>
  <r>
    <x v="5"/>
    <x v="0"/>
    <n v="35"/>
    <n v="4499"/>
    <d v="2013-07-05T15:27:00"/>
    <d v="2013-07-26T10:50:00"/>
    <n v="515"/>
    <n v="528"/>
    <n v="479"/>
    <s v="Other miscellaneous steam turbine problems"/>
    <s v="Load Reduction #30The unit derated due to turbine degredation."/>
    <s v="Ghent"/>
    <x v="0"/>
    <s v="Coal"/>
    <x v="2"/>
    <x v="0"/>
    <n v="7"/>
    <n v="499.38333333330229"/>
    <n v="12.295422979797216"/>
    <n v="5889.5076073228665"/>
    <n v="11.793560606060606"/>
    <x v="24"/>
  </r>
  <r>
    <x v="5"/>
    <x v="0"/>
    <n v="36"/>
    <n v="250"/>
    <d v="2013-07-15T13:21:00"/>
    <d v="2013-07-15T13:48:00"/>
    <n v="415"/>
    <n v="528"/>
    <n v="479"/>
    <s v="Pulverizer feeders"/>
    <s v="Load Reduction #313-6 Feeder tripped."/>
    <s v="Ghent"/>
    <x v="0"/>
    <s v="Coal"/>
    <x v="2"/>
    <x v="0"/>
    <n v="7"/>
    <n v="0.44999999989522621"/>
    <n v="9.6306818159395E-2"/>
    <n v="46.130965898350205"/>
    <n v="102.51325757575758"/>
    <x v="140"/>
  </r>
  <r>
    <x v="5"/>
    <x v="0"/>
    <n v="37"/>
    <n v="4499"/>
    <d v="2013-07-26T10:50:00"/>
    <d v="2013-09-07T07:00:00"/>
    <n v="520"/>
    <n v="528"/>
    <n v="479"/>
    <s v="Other miscellaneous steam turbine problems"/>
    <s v="Load Reduction #32The unit is derated due to turbine performance."/>
    <s v="Ghent"/>
    <x v="0"/>
    <s v="Coal"/>
    <x v="2"/>
    <x v="0"/>
    <n v="7"/>
    <n v="1028.1666666665697"/>
    <n v="15.578282828281358"/>
    <n v="7461.9974747467704"/>
    <n v="7.2575757575757578"/>
    <x v="13"/>
  </r>
  <r>
    <x v="5"/>
    <x v="1"/>
    <n v="38"/>
    <n v="3440"/>
    <d v="2013-07-30T22:11:00"/>
    <d v="2013-08-01T23:00:00"/>
    <n v="511"/>
    <n v="528"/>
    <n v="479"/>
    <s v="High pressure heater tube leaks"/>
    <s v="F540Load Reduction #33HP Heaters are out of service for leak repair."/>
    <s v="Ghent"/>
    <x v="0"/>
    <s v="Coal"/>
    <x v="2"/>
    <x v="0"/>
    <n v="7"/>
    <n v="48.816666666709352"/>
    <n v="1.5717487373751118"/>
    <n v="752.86764520267855"/>
    <n v="15.422348484848484"/>
    <x v="169"/>
  </r>
  <r>
    <x v="5"/>
    <x v="0"/>
    <n v="39"/>
    <n v="4499"/>
    <d v="2013-08-08T13:48:00"/>
    <d v="2013-08-28T15:10:00"/>
    <n v="515"/>
    <n v="528"/>
    <n v="479"/>
    <s v="Other miscellaneous steam turbine problems"/>
    <s v="Load Reduction #34Turbine performance due to copper deposits."/>
    <s v="Ghent"/>
    <x v="0"/>
    <s v="Coal"/>
    <x v="2"/>
    <x v="0"/>
    <n v="8"/>
    <n v="481.36666666675592"/>
    <n v="11.851830808083006"/>
    <n v="5677.0269570717601"/>
    <n v="11.793560606060606"/>
    <x v="24"/>
  </r>
  <r>
    <x v="5"/>
    <x v="0"/>
    <n v="40"/>
    <n v="1455"/>
    <d v="2013-08-28T15:10:00"/>
    <d v="2013-08-29T09:55:00"/>
    <n v="10"/>
    <n v="528"/>
    <n v="479"/>
    <s v="Induced draft fans"/>
    <s v="Load Reduction #35U3 ID Fans reached maximum limit."/>
    <s v="Ghent"/>
    <x v="0"/>
    <s v="Coal"/>
    <x v="2"/>
    <x v="0"/>
    <n v="8"/>
    <n v="18.75"/>
    <n v="18.394886363636363"/>
    <n v="8811.150568181818"/>
    <n v="469.92803030303031"/>
    <x v="170"/>
  </r>
  <r>
    <x v="5"/>
    <x v="0"/>
    <n v="41"/>
    <n v="1455"/>
    <d v="2013-08-31T12:00:00"/>
    <d v="2013-09-03T07:00:00"/>
    <n v="510"/>
    <n v="528"/>
    <n v="479"/>
    <s v="Induced draft fans"/>
    <s v="Load Reduction #36ID Fan limited by duct pressure."/>
    <s v="Ghent"/>
    <x v="0"/>
    <s v="Coal"/>
    <x v="2"/>
    <x v="0"/>
    <n v="8"/>
    <n v="66.999999999941792"/>
    <n v="2.2840909090889245"/>
    <n v="1094.0795454535948"/>
    <n v="16.329545454545453"/>
    <x v="167"/>
  </r>
  <r>
    <x v="5"/>
    <x v="0"/>
    <n v="42"/>
    <n v="4499"/>
    <d v="2013-09-07T07:00:00"/>
    <d v="2013-09-15T08:00:00"/>
    <n v="520"/>
    <n v="528"/>
    <n v="479"/>
    <s v="Other miscellaneous steam turbine problems"/>
    <s v="Load Reduction #37Load is reduced due to Turbine performance."/>
    <s v="Ghent"/>
    <x v="0"/>
    <s v="Coal"/>
    <x v="2"/>
    <x v="0"/>
    <n v="9"/>
    <n v="193.00000000011642"/>
    <n v="2.9242424242441882"/>
    <n v="1400.7121212129662"/>
    <n v="7.2575757575757578"/>
    <x v="13"/>
  </r>
  <r>
    <x v="5"/>
    <x v="0"/>
    <n v="43"/>
    <n v="4499"/>
    <d v="2013-09-15T08:00:00"/>
    <d v="2013-09-20T12:08:00"/>
    <n v="520"/>
    <n v="528"/>
    <n v="479"/>
    <s v="Other miscellaneous steam turbine problems"/>
    <s v="Load Reduction #38Turbine performance."/>
    <s v="Ghent"/>
    <x v="0"/>
    <s v="Coal"/>
    <x v="2"/>
    <x v="0"/>
    <n v="9"/>
    <n v="124.1333333333605"/>
    <n v="1.8808080808084924"/>
    <n v="900.90707070726785"/>
    <n v="7.2575757575757578"/>
    <x v="13"/>
  </r>
  <r>
    <x v="5"/>
    <x v="0"/>
    <n v="44"/>
    <n v="4499"/>
    <d v="2013-09-20T12:08:00"/>
    <d v="2013-09-29T18:10:00"/>
    <n v="515"/>
    <n v="528"/>
    <n v="479"/>
    <s v="Other miscellaneous steam turbine problems"/>
    <s v="Load Reduction #39Turbine performance.  ID fan running at limit."/>
    <s v="Ghent"/>
    <x v="0"/>
    <s v="Coal"/>
    <x v="2"/>
    <x v="0"/>
    <n v="9"/>
    <n v="222.03333333326736"/>
    <n v="5.4667297979781742"/>
    <n v="2618.5635732315454"/>
    <n v="11.793560606060606"/>
    <x v="24"/>
  </r>
  <r>
    <x v="5"/>
    <x v="0"/>
    <n v="45"/>
    <n v="3210"/>
    <d v="2013-09-26T02:34:00"/>
    <d v="2013-09-26T04:10:00"/>
    <n v="460"/>
    <n v="528"/>
    <n v="479"/>
    <s v="Circulating water pumps"/>
    <s v="Load Reduction #403-1 CWP was removed from service to repair the pressure gauge."/>
    <s v="Ghent"/>
    <x v="0"/>
    <s v="Coal"/>
    <x v="2"/>
    <x v="0"/>
    <n v="9"/>
    <n v="1.5999999999767169"/>
    <n v="0.20606060605760748"/>
    <n v="98.703030301593984"/>
    <n v="61.689393939393938"/>
    <x v="171"/>
  </r>
  <r>
    <x v="5"/>
    <x v="5"/>
    <n v="46"/>
    <n v="4311"/>
    <d v="2013-09-29T18:10:00"/>
    <d v="2013-09-29T21:42:00"/>
    <n v="0"/>
    <n v="528"/>
    <n v="479"/>
    <s v="Steam Turbine Control System - hardware problems (including card failure)"/>
    <s v="Outage #6While running the Main Turbine Front Standard Oil Trip Test, the Main Tur"/>
    <s v="Ghent"/>
    <x v="3"/>
    <s v="Coal"/>
    <x v="2"/>
    <x v="0"/>
    <n v="9"/>
    <n v="3.5333333333255723"/>
    <n v="3.5333333333255723"/>
    <n v="1692.4666666629491"/>
    <n v="479"/>
    <x v="163"/>
  </r>
  <r>
    <x v="5"/>
    <x v="0"/>
    <n v="47"/>
    <n v="4499"/>
    <d v="2013-09-30T00:30:00"/>
    <d v="2013-10-10T23:05:00"/>
    <n v="515"/>
    <n v="528"/>
    <n v="479"/>
    <s v="Other miscellaneous steam turbine problems"/>
    <s v="Load Reduction #41Turbine performance.  ID fan limit."/>
    <s v="Ghent"/>
    <x v="0"/>
    <s v="Coal"/>
    <x v="2"/>
    <x v="0"/>
    <n v="9"/>
    <n v="262.58333333325572"/>
    <n v="6.4651199494930385"/>
    <n v="3096.7924558071654"/>
    <n v="11.793560606060606"/>
    <x v="24"/>
  </r>
  <r>
    <x v="5"/>
    <x v="0"/>
    <n v="48"/>
    <n v="9650"/>
    <d v="2013-10-06T07:35:00"/>
    <d v="2013-10-06T08:30:00"/>
    <n v="398"/>
    <n v="528"/>
    <n v="479"/>
    <s v="Other stack or exhaust emissions (fossil)"/>
    <s v="Load Reduction #42H2 SO4 excursion.  "/>
    <s v="Ghent"/>
    <x v="0"/>
    <s v="Coal"/>
    <x v="2"/>
    <x v="0"/>
    <n v="10"/>
    <n v="0.91666666668606922"/>
    <n v="0.2256944444492216"/>
    <n v="108.10763889117715"/>
    <n v="117.93560606060606"/>
    <x v="40"/>
  </r>
  <r>
    <x v="5"/>
    <x v="0"/>
    <n v="49"/>
    <n v="9650"/>
    <d v="2013-10-06T08:30:00"/>
    <d v="2013-10-06T09:00:00"/>
    <n v="375"/>
    <n v="528"/>
    <n v="479"/>
    <s v="Other stack or exhaust emissions (fossil)"/>
    <s v="Load Reduction #43H2 SO4 excursion."/>
    <s v="Ghent"/>
    <x v="0"/>
    <s v="Coal"/>
    <x v="2"/>
    <x v="0"/>
    <n v="10"/>
    <n v="0.50000000005820766"/>
    <n v="0.14488636365323063"/>
    <n v="69.40056818989747"/>
    <n v="138.80113636363637"/>
    <x v="172"/>
  </r>
  <r>
    <x v="5"/>
    <x v="0"/>
    <n v="50"/>
    <n v="9650"/>
    <d v="2013-10-06T15:20:00"/>
    <d v="2013-10-06T17:10:00"/>
    <n v="375"/>
    <n v="528"/>
    <n v="479"/>
    <s v="Other stack or exhaust emissions (fossil)"/>
    <s v="Load Reduction #44H2 SO4 excursion."/>
    <s v="Ghent"/>
    <x v="0"/>
    <s v="Coal"/>
    <x v="2"/>
    <x v="0"/>
    <n v="10"/>
    <n v="1.8333333333721384"/>
    <n v="0.53125000001124467"/>
    <n v="254.4687500053862"/>
    <n v="138.80113636363637"/>
    <x v="172"/>
  </r>
  <r>
    <x v="5"/>
    <x v="0"/>
    <n v="51"/>
    <n v="1455"/>
    <d v="2013-10-08T01:20:00"/>
    <d v="2013-10-10T23:05:00"/>
    <n v="189"/>
    <n v="528"/>
    <n v="479"/>
    <s v="Induced draft fans"/>
    <s v="Load Reduction #453-2 ID fan inboard bearing wiped."/>
    <s v="Ghent"/>
    <x v="0"/>
    <s v="Coal"/>
    <x v="2"/>
    <x v="0"/>
    <n v="10"/>
    <n v="69.75"/>
    <n v="44.782670454545453"/>
    <n v="21450.899147727272"/>
    <n v="307.53977272727275"/>
    <x v="124"/>
  </r>
  <r>
    <x v="5"/>
    <x v="4"/>
    <n v="52"/>
    <n v="1455"/>
    <d v="2013-10-10T23:05:00"/>
    <d v="2013-10-12T18:50:00"/>
    <n v="0"/>
    <n v="528"/>
    <n v="479"/>
    <s v="Induced draft fans"/>
    <s v="F920Outage #73-2 ID fan had wiped its fan bearings on 10/8/13.  Removed the fan fr"/>
    <s v="Ghent"/>
    <x v="2"/>
    <s v="Coal"/>
    <x v="2"/>
    <x v="0"/>
    <n v="10"/>
    <n v="43.749999999941792"/>
    <n v="43.749999999941792"/>
    <n v="20956.249999972119"/>
    <n v="479"/>
    <x v="163"/>
  </r>
  <r>
    <x v="5"/>
    <x v="7"/>
    <n v="53"/>
    <n v="4311"/>
    <d v="2013-10-12T18:50:00"/>
    <d v="2013-10-12T22:47:00"/>
    <n v="0"/>
    <n v="528"/>
    <n v="479"/>
    <s v="Steam Turbine Control System - hardware problems (including card failure)"/>
    <s v="Outage #8Unit 3 was starting up after the 3-2 ID fan OB bearing replacement and ba"/>
    <s v="Ghent"/>
    <x v="3"/>
    <s v="Coal"/>
    <x v="2"/>
    <x v="0"/>
    <n v="10"/>
    <n v="3.9500000001280569"/>
    <n v="3.9500000001280569"/>
    <n v="1892.0500000613392"/>
    <n v="479"/>
    <x v="163"/>
  </r>
  <r>
    <x v="5"/>
    <x v="0"/>
    <n v="54"/>
    <n v="4499"/>
    <d v="2013-10-13T06:57:00"/>
    <d v="2013-10-25T20:43:00"/>
    <n v="515"/>
    <n v="528"/>
    <n v="479"/>
    <s v="Other miscellaneous steam turbine problems"/>
    <s v="Load Reduction #46Turbine performance due to copper deposits."/>
    <s v="Ghent"/>
    <x v="0"/>
    <s v="Coal"/>
    <x v="2"/>
    <x v="0"/>
    <n v="10"/>
    <n v="301.76666666666279"/>
    <n v="7.4298611111110153"/>
    <n v="3558.9034722221763"/>
    <n v="11.793560606060606"/>
    <x v="24"/>
  </r>
  <r>
    <x v="5"/>
    <x v="0"/>
    <n v="55"/>
    <n v="1455"/>
    <d v="2013-10-15T07:45:00"/>
    <d v="2013-10-25T20:43:00"/>
    <n v="505"/>
    <n v="528"/>
    <n v="479"/>
    <s v="Induced draft fans"/>
    <s v="Load Reduction #473-2 ID fan amps are running high due to 3-1 fan running in manua"/>
    <s v="Ghent"/>
    <x v="0"/>
    <s v="Coal"/>
    <x v="2"/>
    <x v="0"/>
    <n v="10"/>
    <n v="252.96666666667443"/>
    <n v="11.019381313131651"/>
    <n v="5278.283648990061"/>
    <n v="20.865530303030305"/>
    <x v="168"/>
  </r>
  <r>
    <x v="5"/>
    <x v="6"/>
    <n v="56"/>
    <n v="1801"/>
    <d v="2013-10-25T20:43:00"/>
    <d v="2013-11-14T10:38:00"/>
    <n v="0"/>
    <n v="528"/>
    <n v="479"/>
    <s v="Minor boiler overhaul (less than 720 hours) (use for non-specific overhaul only; see page B-1)"/>
    <s v="Outage #9Removed the unit from service for its 2013 Planned Fall Outage."/>
    <s v="Ghent"/>
    <x v="1"/>
    <s v="Coal"/>
    <x v="2"/>
    <x v="0"/>
    <n v="10"/>
    <n v="469.91666666680248"/>
    <n v="469.91666666680248"/>
    <n v="225090.08333339839"/>
    <n v="479"/>
    <x v="163"/>
  </r>
  <r>
    <x v="5"/>
    <x v="8"/>
    <n v="57"/>
    <n v="1455"/>
    <d v="2013-11-14T10:38:00"/>
    <d v="2013-11-15T12:24:00"/>
    <n v="0"/>
    <n v="528"/>
    <n v="479"/>
    <s v="Induced draft fans"/>
    <s v="F920Outage #10The unit was firing to start up.  Turbine differential was running t"/>
    <s v="Ghent"/>
    <x v="1"/>
    <s v="Coal"/>
    <x v="2"/>
    <x v="0"/>
    <n v="11"/>
    <n v="25.766666666662786"/>
    <n v="25.766666666662786"/>
    <n v="12342.233333331475"/>
    <n v="479"/>
    <x v="163"/>
  </r>
  <r>
    <x v="5"/>
    <x v="5"/>
    <n v="58"/>
    <n v="4470"/>
    <d v="2013-11-15T13:31:00"/>
    <d v="2013-11-16T06:16:00"/>
    <n v="0"/>
    <n v="528"/>
    <n v="479"/>
    <s v="Differential expansion"/>
    <s v="Outage #11The unit had come on line with Turbine HP differential running high.  Di"/>
    <s v="Ghent"/>
    <x v="3"/>
    <s v="Coal"/>
    <x v="2"/>
    <x v="0"/>
    <n v="11"/>
    <n v="16.749999999941792"/>
    <n v="16.749999999941792"/>
    <n v="8023.2499999721185"/>
    <n v="479"/>
    <x v="163"/>
  </r>
  <r>
    <x v="5"/>
    <x v="0"/>
    <n v="59"/>
    <n v="1850"/>
    <d v="2013-11-16T15:45:00"/>
    <d v="2013-11-16T19:52:00"/>
    <n v="433"/>
    <n v="528"/>
    <n v="479"/>
    <s v="Boiler water condition (not feedwater water quality)"/>
    <s v="Load Reduction #48During start up of the unit, silica became high."/>
    <s v="Ghent"/>
    <x v="0"/>
    <s v="Coal"/>
    <x v="2"/>
    <x v="0"/>
    <n v="11"/>
    <n v="4.1166666666395031"/>
    <n v="0.74068813130824396"/>
    <n v="354.78961489664886"/>
    <n v="86.183712121212125"/>
    <x v="173"/>
  </r>
  <r>
    <x v="5"/>
    <x v="0"/>
    <n v="60"/>
    <n v="9650"/>
    <d v="2013-11-17T19:07:00"/>
    <d v="2013-11-17T21:04:00"/>
    <n v="200"/>
    <n v="528"/>
    <n v="479"/>
    <s v="Other stack or exhaust emissions (fossil)"/>
    <s v="Load Reduction #49Unit was limited to 200 MWs to get H2 SO4 emissions under contro"/>
    <s v="Ghent"/>
    <x v="0"/>
    <s v="Coal"/>
    <x v="2"/>
    <x v="0"/>
    <n v="11"/>
    <n v="1.9500000000698492"/>
    <n v="1.2113636364070275"/>
    <n v="580.24318183896617"/>
    <n v="297.56060606060606"/>
    <x v="174"/>
  </r>
  <r>
    <x v="5"/>
    <x v="0"/>
    <n v="65"/>
    <n v="9650"/>
    <d v="2013-11-18T10:17:00"/>
    <d v="2013-11-18T10:56:00"/>
    <n v="450"/>
    <n v="528"/>
    <n v="479"/>
    <s v="Other stack or exhaust emissions (fossil)"/>
    <s v="Load Reduction #54U3 H2SO4 was above limit.  Had to drop load to get it under cont"/>
    <s v="Ghent"/>
    <x v="0"/>
    <s v="Coal"/>
    <x v="2"/>
    <x v="0"/>
    <n v="11"/>
    <n v="0.65000000002328306"/>
    <n v="9.6022727276166814E-2"/>
    <n v="45.994886365283904"/>
    <n v="70.76136363636364"/>
    <x v="165"/>
  </r>
  <r>
    <x v="5"/>
    <x v="0"/>
    <n v="61"/>
    <n v="9650"/>
    <d v="2013-11-18T13:10:00"/>
    <d v="2013-11-18T14:07:00"/>
    <n v="500"/>
    <n v="528"/>
    <n v="479"/>
    <s v="Other stack or exhaust emissions (fossil)"/>
    <s v="Load Reduction #50Unit was limited to 500 MWs to get H2SO4 emissions under control"/>
    <s v="Ghent"/>
    <x v="0"/>
    <s v="Coal"/>
    <x v="2"/>
    <x v="0"/>
    <n v="11"/>
    <n v="0.94999999995343387"/>
    <n v="5.0378787876318464E-2"/>
    <n v="24.131439392756544"/>
    <n v="25.401515151515152"/>
    <x v="80"/>
  </r>
  <r>
    <x v="5"/>
    <x v="0"/>
    <n v="62"/>
    <n v="9650"/>
    <d v="2013-11-18T14:49:00"/>
    <d v="2013-11-19T09:00:00"/>
    <n v="515"/>
    <n v="528"/>
    <n v="479"/>
    <s v="Other stack or exhaust emissions (fossil)"/>
    <s v="Load Reduction #51Unit was limited to 515 MWs to get H2SO4 emissions under control"/>
    <s v="Ghent"/>
    <x v="0"/>
    <s v="Coal"/>
    <x v="2"/>
    <x v="0"/>
    <n v="11"/>
    <n v="18.183333333407063"/>
    <n v="0.44769570707252238"/>
    <n v="214.44624368773822"/>
    <n v="11.793560606060606"/>
    <x v="24"/>
  </r>
  <r>
    <x v="5"/>
    <x v="0"/>
    <n v="63"/>
    <n v="9650"/>
    <d v="2013-11-19T17:00:00"/>
    <d v="2013-11-20T06:23:00"/>
    <n v="515"/>
    <n v="528"/>
    <n v="479"/>
    <s v="Other stack or exhaust emissions (fossil)"/>
    <s v="Load Reduction #52H2SO4 within limit."/>
    <s v="Ghent"/>
    <x v="0"/>
    <s v="Coal"/>
    <x v="2"/>
    <x v="0"/>
    <n v="11"/>
    <n v="13.383333333302289"/>
    <n v="0.32951388888812455"/>
    <n v="157.83715277741166"/>
    <n v="11.793560606060606"/>
    <x v="24"/>
  </r>
  <r>
    <x v="5"/>
    <x v="1"/>
    <n v="64"/>
    <n v="1455"/>
    <d v="2013-11-21T09:14:00"/>
    <d v="2013-11-21T22:45:00"/>
    <n v="180"/>
    <n v="528"/>
    <n v="479"/>
    <s v="Induced draft fans"/>
    <s v="F920Load Reduction #533-1 ID fan off to replace the IB motor bearing."/>
    <s v="Ghent"/>
    <x v="0"/>
    <s v="Coal"/>
    <x v="2"/>
    <x v="0"/>
    <n v="11"/>
    <n v="13.516666666546371"/>
    <n v="8.9087121211328348"/>
    <n v="4267.2731060226279"/>
    <n v="315.70454545454544"/>
    <x v="73"/>
  </r>
  <r>
    <x v="5"/>
    <x v="0"/>
    <n v="66"/>
    <n v="9650"/>
    <d v="2013-11-23T21:39:00"/>
    <d v="2013-11-24T01:04:00"/>
    <n v="510"/>
    <n v="528"/>
    <n v="479"/>
    <s v="Other stack or exhaust emissions (fossil)"/>
    <s v="Load Reduction #55U3 H2SO4 was above limit.  Had to drop load to get it under cont"/>
    <s v="Ghent"/>
    <x v="0"/>
    <s v="Coal"/>
    <x v="2"/>
    <x v="0"/>
    <n v="11"/>
    <n v="3.4166666666278616"/>
    <n v="0.11647727272594982"/>
    <n v="55.792613635729964"/>
    <n v="16.329545454545453"/>
    <x v="167"/>
  </r>
  <r>
    <x v="5"/>
    <x v="0"/>
    <n v="67"/>
    <n v="9650"/>
    <d v="2013-11-24T07:44:00"/>
    <d v="2013-11-24T08:24:00"/>
    <n v="510"/>
    <n v="528"/>
    <n v="479"/>
    <s v="Other stack or exhaust emissions (fossil)"/>
    <s v="Load Reduction #56U3 H2SO4 was above limit.  Had to drop load to get it under cont"/>
    <s v="Ghent"/>
    <x v="0"/>
    <s v="Coal"/>
    <x v="2"/>
    <x v="0"/>
    <n v="11"/>
    <n v="0.6666666665696539"/>
    <n v="2.2727272723965474E-2"/>
    <n v="10.886363634779462"/>
    <n v="16.329545454545453"/>
    <x v="167"/>
  </r>
  <r>
    <x v="5"/>
    <x v="5"/>
    <n v="69"/>
    <n v="1455"/>
    <d v="2013-11-27T12:01:00"/>
    <d v="2013-11-27T14:08:00"/>
    <n v="0"/>
    <n v="528"/>
    <n v="479"/>
    <s v="Induced draft fans"/>
    <s v="F920Outage #123-1 ID fan OB fan bearing metal temperature was rising.  Tripped the"/>
    <s v="Ghent"/>
    <x v="3"/>
    <s v="Coal"/>
    <x v="2"/>
    <x v="0"/>
    <n v="11"/>
    <n v="2.1166666665812954"/>
    <n v="2.1166666665812954"/>
    <n v="1013.8833332924405"/>
    <n v="479"/>
    <x v="163"/>
  </r>
  <r>
    <x v="5"/>
    <x v="0"/>
    <n v="68"/>
    <n v="1455"/>
    <d v="2013-11-27T16:55:00"/>
    <d v="2013-11-28T13:56:00"/>
    <n v="205"/>
    <n v="528"/>
    <n v="479"/>
    <s v="Induced draft fans"/>
    <s v="Load Reduction #573-1 ID fan out of service due to OB ban bearing issues."/>
    <s v="Ghent"/>
    <x v="0"/>
    <s v="Coal"/>
    <x v="2"/>
    <x v="0"/>
    <n v="11"/>
    <n v="21.016666666720994"/>
    <n v="12.856786616194851"/>
    <n v="6158.4007891573337"/>
    <n v="293.02462121212119"/>
    <x v="175"/>
  </r>
  <r>
    <x v="5"/>
    <x v="4"/>
    <n v="70"/>
    <n v="1455"/>
    <d v="2013-11-28T13:56:00"/>
    <d v="2013-11-30T10:17:00"/>
    <n v="0"/>
    <n v="528"/>
    <n v="479"/>
    <s v="Induced draft fans"/>
    <s v="F920Outage #13The unit had been running without the 3-1 ID fan due to a failed OB "/>
    <s v="Ghent"/>
    <x v="2"/>
    <s v="Coal"/>
    <x v="2"/>
    <x v="0"/>
    <n v="11"/>
    <n v="44.349999999976717"/>
    <n v="44.349999999976717"/>
    <n v="21243.649999988847"/>
    <n v="479"/>
    <x v="163"/>
  </r>
  <r>
    <x v="5"/>
    <x v="5"/>
    <n v="71"/>
    <n v="4261"/>
    <d v="2013-12-09T00:53:00"/>
    <d v="2013-12-09T03:47:00"/>
    <n v="0"/>
    <n v="528"/>
    <n v="479"/>
    <s v="Control valves"/>
    <s v="Outage #14During weekly Control Valve test, the #1 Control Valve would not open ba"/>
    <s v="Ghent"/>
    <x v="3"/>
    <s v="Coal"/>
    <x v="2"/>
    <x v="0"/>
    <n v="12"/>
    <n v="2.8999999998486601"/>
    <n v="2.8999999998486601"/>
    <n v="1389.0999999275082"/>
    <n v="479"/>
    <x v="163"/>
  </r>
  <r>
    <x v="5"/>
    <x v="13"/>
    <n v="72"/>
    <n v="3110"/>
    <d v="2013-12-14T01:29:00"/>
    <d v="2013-12-15T07:07:00"/>
    <n v="0"/>
    <n v="528"/>
    <n v="479"/>
    <s v="Condenser tube leaks"/>
    <s v="Outage #15Unit 3 had been running with a suspected Condenser tube leak.  Scheduled"/>
    <s v="Ghent"/>
    <x v="3"/>
    <s v="Coal"/>
    <x v="2"/>
    <x v="0"/>
    <n v="12"/>
    <n v="29.633333333360497"/>
    <n v="29.633333333360497"/>
    <n v="14194.366666679678"/>
    <n v="479"/>
    <x v="163"/>
  </r>
  <r>
    <x v="5"/>
    <x v="0"/>
    <n v="73"/>
    <n v="1850"/>
    <d v="2013-12-15T16:32:00"/>
    <d v="2013-12-15T18:26:00"/>
    <n v="482"/>
    <n v="528"/>
    <n v="479"/>
    <s v="Boiler water condition (not feedwater water quality)"/>
    <s v="Load Reduction #58Following start up of Unit 3, silica was high.  Reduced load to "/>
    <s v="Ghent"/>
    <x v="0"/>
    <s v="Coal"/>
    <x v="2"/>
    <x v="0"/>
    <n v="12"/>
    <n v="1.9000000000814907"/>
    <n v="0.1655303030374026"/>
    <n v="79.289015154915845"/>
    <n v="41.731060606060609"/>
    <x v="117"/>
  </r>
  <r>
    <x v="5"/>
    <x v="0"/>
    <n v="74"/>
    <n v="250"/>
    <d v="2013-12-18T00:15:00"/>
    <d v="2013-12-18T01:10:00"/>
    <n v="430"/>
    <n v="528"/>
    <n v="479"/>
    <s v="Pulverizer feeders"/>
    <s v="Load Reduction #593-4 Feeder belt was cut by metal.  Removed the feeder from servi"/>
    <s v="Ghent"/>
    <x v="0"/>
    <s v="Coal"/>
    <x v="2"/>
    <x v="0"/>
    <n v="12"/>
    <n v="0.91666666668606922"/>
    <n v="0.17013888889249013"/>
    <n v="81.49652777950277"/>
    <n v="88.905303030303031"/>
    <x v="145"/>
  </r>
  <r>
    <x v="5"/>
    <x v="0"/>
    <n v="75"/>
    <n v="9650"/>
    <d v="2013-12-20T03:25:00"/>
    <d v="2013-12-20T14:00:00"/>
    <n v="305"/>
    <n v="528"/>
    <n v="479"/>
    <s v="Other stack or exhaust emissions (fossil)"/>
    <s v="Load Reduction #60Keeping H2S04 within limit."/>
    <s v="Ghent"/>
    <x v="0"/>
    <s v="Coal"/>
    <x v="2"/>
    <x v="0"/>
    <n v="12"/>
    <n v="10.583333333430346"/>
    <n v="4.469854798020771"/>
    <n v="2141.0604482519493"/>
    <n v="202.30492424242425"/>
    <x v="99"/>
  </r>
  <r>
    <x v="5"/>
    <x v="5"/>
    <n v="1"/>
    <n v="1455"/>
    <d v="2014-01-07T21:20:00"/>
    <d v="2014-01-08T06:15:00"/>
    <n v="0"/>
    <n v="528"/>
    <n v="479"/>
    <s v="Induced draft fans"/>
    <s v="F850Outage #13-2 ID fan tripped on high vibration on OB fan bearing.  This caused "/>
    <s v="Ghent"/>
    <x v="3"/>
    <s v="Coal"/>
    <x v="2"/>
    <x v="1"/>
    <n v="1"/>
    <n v="8.9166666665696539"/>
    <n v="8.9166666665696539"/>
    <n v="4271.0833332868642"/>
    <n v="479"/>
    <x v="163"/>
  </r>
  <r>
    <x v="5"/>
    <x v="0"/>
    <n v="2"/>
    <n v="1455"/>
    <d v="2014-01-08T06:15:00"/>
    <d v="2014-01-10T11:31:00"/>
    <n v="200"/>
    <n v="528"/>
    <n v="479"/>
    <s v="Induced draft fans"/>
    <s v="Load Reduction #1Unit running with 3-2 ID fan out of service."/>
    <s v="Ghent"/>
    <x v="0"/>
    <s v="Coal"/>
    <x v="2"/>
    <x v="1"/>
    <n v="1"/>
    <n v="53.266666666720994"/>
    <n v="33.089898989932742"/>
    <n v="15850.061616177783"/>
    <n v="297.56060606060606"/>
    <x v="174"/>
  </r>
  <r>
    <x v="5"/>
    <x v="4"/>
    <n v="3"/>
    <n v="1455"/>
    <d v="2014-01-10T11:31:00"/>
    <d v="2014-01-13T03:25:00"/>
    <n v="0"/>
    <n v="528"/>
    <n v="479"/>
    <s v="Induced draft fans"/>
    <s v="F920Outage #2Unit 3 had been derated to minimum load due to 3-2 ID Fan tripping on"/>
    <s v="Ghent"/>
    <x v="2"/>
    <s v="Coal"/>
    <x v="2"/>
    <x v="1"/>
    <n v="1"/>
    <n v="63.899999999965075"/>
    <n v="63.899999999965075"/>
    <n v="30608.099999983271"/>
    <n v="479"/>
    <x v="163"/>
  </r>
  <r>
    <x v="5"/>
    <x v="7"/>
    <n v="4"/>
    <n v="4609"/>
    <d v="2014-01-13T03:25:00"/>
    <d v="2014-01-13T06:19:00"/>
    <n v="0"/>
    <n v="528"/>
    <n v="479"/>
    <s v="Other exciter problems"/>
    <s v="Outage #3During the previous event, the unit had been rolled up to synchronise spe"/>
    <s v="Ghent"/>
    <x v="3"/>
    <s v="Coal"/>
    <x v="2"/>
    <x v="1"/>
    <n v="1"/>
    <n v="2.9000000000232831"/>
    <n v="2.9000000000232831"/>
    <n v="1389.1000000111526"/>
    <n v="479"/>
    <x v="163"/>
  </r>
  <r>
    <x v="5"/>
    <x v="0"/>
    <n v="5"/>
    <n v="1455"/>
    <d v="2014-01-21T23:18:00"/>
    <d v="2014-01-22T01:31:00"/>
    <n v="520"/>
    <n v="528"/>
    <n v="479"/>
    <s v="Induced draft fans"/>
    <s v="Load Reduction #2Load was reduced when 3-1 ID Fan blade position feedback failed, "/>
    <s v="Ghent"/>
    <x v="0"/>
    <s v="Coal"/>
    <x v="2"/>
    <x v="1"/>
    <n v="1"/>
    <n v="2.2166666667326353"/>
    <n v="3.3585858586858114E-2"/>
    <n v="16.087626263105037"/>
    <n v="7.2575757575757578"/>
    <x v="13"/>
  </r>
  <r>
    <x v="5"/>
    <x v="0"/>
    <n v="6"/>
    <n v="9290"/>
    <d v="2014-01-24T23:19:00"/>
    <d v="2014-01-25T03:33:00"/>
    <n v="480"/>
    <n v="528"/>
    <n v="479"/>
    <s v="Other fuel quality problems"/>
    <s v="Load Reduction #3Derate was reported as a coal quality issue.  Actually, we were b"/>
    <s v="Ghent"/>
    <x v="0"/>
    <s v="Coal"/>
    <x v="2"/>
    <x v="1"/>
    <n v="1"/>
    <n v="4.2333333333372138"/>
    <n v="0.3848484848488376"/>
    <n v="184.34242424259321"/>
    <n v="43.545454545454547"/>
    <x v="176"/>
  </r>
  <r>
    <x v="5"/>
    <x v="5"/>
    <n v="7"/>
    <n v="1040"/>
    <d v="2014-01-25T03:33:00"/>
    <d v="2014-01-26T19:21:00"/>
    <n v="0"/>
    <n v="528"/>
    <n v="479"/>
    <s v="First superheater B"/>
    <s v="Outage #4Unit 3 was taken off line after developing a boiler tube leak in the Prim"/>
    <s v="Ghent"/>
    <x v="3"/>
    <s v="Coal"/>
    <x v="2"/>
    <x v="1"/>
    <n v="1"/>
    <n v="39.799999999988358"/>
    <n v="39.799999999988358"/>
    <n v="19064.199999994424"/>
    <n v="479"/>
    <x v="163"/>
  </r>
  <r>
    <x v="5"/>
    <x v="0"/>
    <n v="8"/>
    <n v="1455"/>
    <d v="2014-01-26T19:21:00"/>
    <d v="2014-01-26T20:47:00"/>
    <n v="200"/>
    <n v="528"/>
    <n v="479"/>
    <s v="Induced draft fans"/>
    <s v="Load Reduction #4Unit 3 was derated during startup when 3-2 ID Fan OB bearing fail"/>
    <s v="Ghent"/>
    <x v="0"/>
    <s v="Coal"/>
    <x v="2"/>
    <x v="1"/>
    <n v="1"/>
    <n v="1.4333333332906477"/>
    <n v="0.89040404037752363"/>
    <n v="426.50353534083382"/>
    <n v="297.56060606060606"/>
    <x v="174"/>
  </r>
  <r>
    <x v="5"/>
    <x v="4"/>
    <n v="9"/>
    <n v="1455"/>
    <d v="2014-01-26T20:47:00"/>
    <d v="2014-01-27T22:30:00"/>
    <n v="0"/>
    <n v="528"/>
    <n v="479"/>
    <s v="Induced draft fans"/>
    <s v="F920Outage #5Unit 3 was taken off line to replace 3-2 ID Fan OB bearing."/>
    <s v="Ghent"/>
    <x v="2"/>
    <s v="Coal"/>
    <x v="2"/>
    <x v="1"/>
    <n v="1"/>
    <n v="25.716666666674428"/>
    <n v="25.716666666674428"/>
    <n v="12318.283333337051"/>
    <n v="479"/>
    <x v="163"/>
  </r>
  <r>
    <x v="5"/>
    <x v="0"/>
    <n v="10"/>
    <n v="1455"/>
    <d v="2014-01-28T11:27:00"/>
    <d v="2014-01-30T14:13:00"/>
    <n v="500"/>
    <n v="528"/>
    <n v="479"/>
    <s v="Induced draft fans"/>
    <s v="Load Reduction #53-2 ID Fan IB bearing running 9+ mils vibration.  OB fan bearing "/>
    <s v="Ghent"/>
    <x v="0"/>
    <s v="Coal"/>
    <x v="2"/>
    <x v="1"/>
    <n v="1"/>
    <n v="50.766666666779201"/>
    <n v="2.6921717171776849"/>
    <n v="1289.5502525281111"/>
    <n v="25.401515151515152"/>
    <x v="80"/>
  </r>
  <r>
    <x v="5"/>
    <x v="4"/>
    <n v="11"/>
    <n v="1455"/>
    <d v="2014-01-30T14:13:00"/>
    <d v="2014-02-01T09:26:00"/>
    <n v="0"/>
    <n v="528"/>
    <n v="479"/>
    <s v="Induced draft fans"/>
    <s v="F920Outage #6Unit 3 has been running with 3-2 ID Fan OB Fan bearing having periodi"/>
    <s v="Ghent"/>
    <x v="2"/>
    <s v="Coal"/>
    <x v="2"/>
    <x v="1"/>
    <n v="1"/>
    <n v="43.21666666661622"/>
    <n v="43.21666666661622"/>
    <n v="20700.783333309169"/>
    <n v="479"/>
    <x v="163"/>
  </r>
  <r>
    <x v="5"/>
    <x v="0"/>
    <n v="12"/>
    <n v="9650"/>
    <d v="2014-02-02T20:10:00"/>
    <d v="2014-02-02T20:45:00"/>
    <n v="400"/>
    <n v="528"/>
    <n v="479"/>
    <s v="Other stack or exhaust emissions (fossil)"/>
    <s v="Load Reduction #63-2B SO3 injection blower pressure sensing line came off causing "/>
    <s v="Ghent"/>
    <x v="0"/>
    <s v="Coal"/>
    <x v="2"/>
    <x v="1"/>
    <n v="2"/>
    <n v="0.58333333331393078"/>
    <n v="0.14141414140943775"/>
    <n v="67.737373735120684"/>
    <n v="116.12121212121212"/>
    <x v="164"/>
  </r>
  <r>
    <x v="5"/>
    <x v="0"/>
    <n v="13"/>
    <n v="9650"/>
    <d v="2014-02-05T14:10:00"/>
    <d v="2014-02-05T15:00:00"/>
    <n v="350"/>
    <n v="528"/>
    <n v="479"/>
    <s v="Other stack or exhaust emissions (fossil)"/>
    <s v="Load Reduction #7Reduced load to keep H2SO4 within limit."/>
    <s v="Ghent"/>
    <x v="0"/>
    <s v="Coal"/>
    <x v="2"/>
    <x v="1"/>
    <n v="2"/>
    <n v="0.83333333325572312"/>
    <n v="0.28093434340817941"/>
    <n v="134.56755049251794"/>
    <n v="161.48106060606059"/>
    <x v="177"/>
  </r>
  <r>
    <x v="5"/>
    <x v="0"/>
    <n v="14"/>
    <n v="9650"/>
    <d v="2014-02-05T15:00:00"/>
    <d v="2014-02-05T19:50:00"/>
    <n v="208"/>
    <n v="528"/>
    <n v="479"/>
    <s v="Other stack or exhaust emissions (fossil)"/>
    <s v="Load Reduction #8Reduced load to keep H2SO4 within limit."/>
    <s v="Ghent"/>
    <x v="0"/>
    <s v="Coal"/>
    <x v="2"/>
    <x v="1"/>
    <n v="2"/>
    <n v="4.8333333333721384"/>
    <n v="2.9292929293164476"/>
    <n v="1403.1313131425784"/>
    <n v="290.30303030303031"/>
    <x v="133"/>
  </r>
  <r>
    <x v="5"/>
    <x v="0"/>
    <n v="15"/>
    <n v="9650"/>
    <d v="2014-02-15T04:41:00"/>
    <d v="2014-02-15T07:07:00"/>
    <n v="400"/>
    <n v="528"/>
    <n v="479"/>
    <s v="Other stack or exhaust emissions (fossil)"/>
    <s v="Load Reduction #9Reduced load to keep H2SO4 within limit."/>
    <s v="Ghent"/>
    <x v="0"/>
    <s v="Coal"/>
    <x v="2"/>
    <x v="1"/>
    <n v="2"/>
    <n v="2.4333333332324401"/>
    <n v="0.58989898987453093"/>
    <n v="282.56161614990032"/>
    <n v="116.12121212121212"/>
    <x v="164"/>
  </r>
  <r>
    <x v="5"/>
    <x v="0"/>
    <n v="16"/>
    <n v="9650"/>
    <d v="2014-02-15T11:22:00"/>
    <d v="2014-02-15T14:52:00"/>
    <n v="215"/>
    <n v="528"/>
    <n v="479"/>
    <s v="Other stack or exhaust emissions (fossil)"/>
    <s v="Load Reduction #10Reduced load to keep H2SO4 within limit.  "/>
    <s v="Ghent"/>
    <x v="0"/>
    <s v="Coal"/>
    <x v="2"/>
    <x v="1"/>
    <n v="2"/>
    <n v="3.4999999998835847"/>
    <n v="2.0748106059915945"/>
    <n v="993.83428026997376"/>
    <n v="283.9526515151515"/>
    <x v="178"/>
  </r>
  <r>
    <x v="5"/>
    <x v="1"/>
    <n v="17"/>
    <n v="9510"/>
    <d v="2014-02-15T22:00:00"/>
    <d v="2014-02-16T13:04:00"/>
    <n v="200"/>
    <n v="528"/>
    <n v="479"/>
    <s v="Plant modifications strictly for compliance with new or changed regulatory requirements (scrubbers"/>
    <s v="Load Reduction #11KBR electrical tie-in for Bag House and ID fan."/>
    <s v="Ghent"/>
    <x v="0"/>
    <s v="Coal"/>
    <x v="2"/>
    <x v="1"/>
    <n v="2"/>
    <n v="15.066666666709352"/>
    <n v="9.3595959596224763"/>
    <n v="4483.2464646591661"/>
    <n v="297.56060606060606"/>
    <x v="174"/>
  </r>
  <r>
    <x v="5"/>
    <x v="0"/>
    <n v="18"/>
    <n v="1455"/>
    <d v="2014-02-17T10:50:00"/>
    <d v="2014-02-17T12:00:00"/>
    <n v="470"/>
    <n v="528"/>
    <n v="479"/>
    <s v="Induced draft fans"/>
    <s v="Load Reduction #12ID Fans out the top. Reduced load to swap mills."/>
    <s v="Ghent"/>
    <x v="0"/>
    <s v="Coal"/>
    <x v="2"/>
    <x v="1"/>
    <n v="2"/>
    <n v="1.1666666666278616"/>
    <n v="0.12815656565230296"/>
    <n v="61.386994947453118"/>
    <n v="52.617424242424242"/>
    <x v="179"/>
  </r>
  <r>
    <x v="5"/>
    <x v="0"/>
    <n v="19"/>
    <n v="9650"/>
    <d v="2014-02-17T13:35:00"/>
    <d v="2014-02-18T10:26:00"/>
    <n v="492"/>
    <n v="528"/>
    <n v="479"/>
    <s v="Other stack or exhaust emissions (fossil)"/>
    <s v="Load Reduction #13H2SO4 out of limit for probe pluggage."/>
    <s v="Ghent"/>
    <x v="0"/>
    <s v="Coal"/>
    <x v="2"/>
    <x v="1"/>
    <n v="2"/>
    <n v="20.850000000034925"/>
    <n v="1.4215909090932903"/>
    <n v="680.94204545568607"/>
    <n v="32.659090909090907"/>
    <x v="17"/>
  </r>
  <r>
    <x v="5"/>
    <x v="0"/>
    <n v="20"/>
    <n v="1400"/>
    <d v="2014-02-18T10:26:00"/>
    <d v="2014-02-25T04:00:00"/>
    <n v="504"/>
    <n v="528"/>
    <n v="479"/>
    <s v="Forced draft fans"/>
    <s v="Load Reduction #14FD fans were topping out.  "/>
    <s v="Ghent"/>
    <x v="0"/>
    <s v="Coal"/>
    <x v="2"/>
    <x v="1"/>
    <n v="2"/>
    <n v="161.56666666665114"/>
    <n v="7.3439393939386886"/>
    <n v="3517.7469696966318"/>
    <n v="21.772727272727273"/>
    <x v="7"/>
  </r>
  <r>
    <x v="5"/>
    <x v="0"/>
    <n v="21"/>
    <n v="9650"/>
    <d v="2014-02-20T12:30:00"/>
    <d v="2014-02-20T13:05:00"/>
    <n v="390"/>
    <n v="528"/>
    <n v="479"/>
    <s v="Other stack or exhaust emissions (fossil)"/>
    <s v="Load Reduction #15Reduced load to keep H2SO4 within limit."/>
    <s v="Ghent"/>
    <x v="0"/>
    <s v="Coal"/>
    <x v="2"/>
    <x v="1"/>
    <n v="2"/>
    <n v="0.58333333331393078"/>
    <n v="0.15246212120705008"/>
    <n v="73.029356058176987"/>
    <n v="125.19318181818181"/>
    <x v="141"/>
  </r>
  <r>
    <x v="5"/>
    <x v="0"/>
    <n v="22"/>
    <n v="250"/>
    <d v="2014-02-20T13:50:00"/>
    <d v="2014-02-20T16:25:00"/>
    <n v="400"/>
    <n v="528"/>
    <n v="479"/>
    <s v="Pulverizer feeders"/>
    <s v="Load Reductions #163-3 Feeder controls."/>
    <s v="Ghent"/>
    <x v="0"/>
    <s v="Coal"/>
    <x v="2"/>
    <x v="1"/>
    <n v="2"/>
    <n v="2.5833333333721384"/>
    <n v="0.62626262627203355"/>
    <n v="299.97979798430407"/>
    <n v="116.12121212121212"/>
    <x v="164"/>
  </r>
  <r>
    <x v="5"/>
    <x v="1"/>
    <n v="23"/>
    <n v="9650"/>
    <d v="2014-02-28T22:30:00"/>
    <d v="2014-03-01T03:08:00"/>
    <n v="230"/>
    <n v="528"/>
    <n v="479"/>
    <s v="Other stack or exhaust emissions (fossil)"/>
    <s v="Load Reduction #17Keeping H2SO4 within limit.  Working on sorbent blower."/>
    <s v="Ghent"/>
    <x v="0"/>
    <s v="Coal"/>
    <x v="2"/>
    <x v="1"/>
    <n v="2"/>
    <n v="4.6333333334187046"/>
    <n v="2.6150252525734357"/>
    <n v="1252.5970959826757"/>
    <n v="270.344696969697"/>
    <x v="180"/>
  </r>
  <r>
    <x v="5"/>
    <x v="0"/>
    <n v="24"/>
    <n v="9650"/>
    <d v="2014-03-02T18:15:00"/>
    <d v="2014-03-02T21:00:00"/>
    <n v="350"/>
    <n v="528"/>
    <n v="479"/>
    <s v="Other stack or exhaust emissions (fossil)"/>
    <s v="Load Reduction  #18Keeping H2SO4 within limit.  Low level on Silo feeding outlet i"/>
    <s v="Ghent"/>
    <x v="0"/>
    <s v="Coal"/>
    <x v="2"/>
    <x v="1"/>
    <n v="3"/>
    <n v="2.7500000000582077"/>
    <n v="0.92708333335295634"/>
    <n v="444.07291667606609"/>
    <n v="161.48106060606059"/>
    <x v="177"/>
  </r>
  <r>
    <x v="5"/>
    <x v="0"/>
    <n v="25"/>
    <n v="9650"/>
    <d v="2014-03-05T07:08:00"/>
    <d v="2014-03-05T08:03:00"/>
    <n v="380"/>
    <n v="528"/>
    <n v="479"/>
    <s v="Other stack or exhaust emissions (fossil)"/>
    <s v="Load Reduction #19H2SO4 running high due to outlet injection probe pluggage.  Redu"/>
    <s v="Ghent"/>
    <x v="0"/>
    <s v="Coal"/>
    <x v="2"/>
    <x v="1"/>
    <n v="3"/>
    <n v="0.91666666668606922"/>
    <n v="0.25694444444988301"/>
    <n v="123.07638889149396"/>
    <n v="134.2651515151515"/>
    <x v="181"/>
  </r>
  <r>
    <x v="5"/>
    <x v="0"/>
    <n v="26"/>
    <n v="9650"/>
    <d v="2014-03-05T17:28:00"/>
    <d v="2014-03-06T01:30:00"/>
    <n v="450"/>
    <n v="528"/>
    <n v="479"/>
    <s v="Other stack or exhaust emissions (fossil)"/>
    <s v="Load Reduction #20Keeping H2S04 within limit.  Outlet injection lines plugged."/>
    <s v="Ghent"/>
    <x v="0"/>
    <s v="Coal"/>
    <x v="2"/>
    <x v="1"/>
    <n v="3"/>
    <n v="8.0333333333255723"/>
    <n v="1.1867424242412776"/>
    <n v="568.44962121157198"/>
    <n v="70.76136363636364"/>
    <x v="165"/>
  </r>
  <r>
    <x v="5"/>
    <x v="0"/>
    <n v="27"/>
    <n v="9650"/>
    <d v="2014-03-07T04:20:00"/>
    <d v="2014-03-07T06:05:00"/>
    <n v="400"/>
    <n v="528"/>
    <n v="479"/>
    <s v="Other stack or exhaust emissions (fossil)"/>
    <s v="Load Reduction #21Keeping H2SO4 within limit.  3-2B Blow through valve drive chain"/>
    <s v="Ghent"/>
    <x v="0"/>
    <s v="Coal"/>
    <x v="2"/>
    <x v="1"/>
    <n v="3"/>
    <n v="1.7499999999417923"/>
    <n v="0.42424242422831332"/>
    <n v="203.21212120536208"/>
    <n v="116.12121212121212"/>
    <x v="164"/>
  </r>
  <r>
    <x v="5"/>
    <x v="0"/>
    <n v="28"/>
    <n v="9650"/>
    <d v="2014-03-07T07:30:00"/>
    <d v="2014-03-07T08:00:00"/>
    <n v="500"/>
    <n v="528"/>
    <n v="479"/>
    <s v="Other stack or exhaust emissions (fossil)"/>
    <s v="Load Reduction #22Keeping H2S04 within limit.  3-2 Blow through drive chain valve "/>
    <s v="Ghent"/>
    <x v="0"/>
    <s v="Coal"/>
    <x v="2"/>
    <x v="1"/>
    <n v="3"/>
    <n v="0.50000000005820766"/>
    <n v="2.6515151518238286E-2"/>
    <n v="12.700757577236139"/>
    <n v="25.401515151515152"/>
    <x v="80"/>
  </r>
  <r>
    <x v="5"/>
    <x v="0"/>
    <n v="29"/>
    <n v="1400"/>
    <d v="2014-03-07T19:29:00"/>
    <d v="2014-03-07T23:10:00"/>
    <n v="517"/>
    <n v="528"/>
    <n v="479"/>
    <s v="Forced draft fans"/>
    <s v="Load Reduction #23FD fans out the top."/>
    <s v="Ghent"/>
    <x v="0"/>
    <s v="Coal"/>
    <x v="2"/>
    <x v="1"/>
    <n v="3"/>
    <n v="3.6833333334652707"/>
    <n v="7.6736111113859806E-2"/>
    <n v="36.756597223538847"/>
    <n v="9.9791666666666661"/>
    <x v="182"/>
  </r>
  <r>
    <x v="5"/>
    <x v="0"/>
    <n v="30"/>
    <n v="1400"/>
    <d v="2014-03-08T19:35:00"/>
    <d v="2014-03-09T05:28:00"/>
    <n v="518"/>
    <n v="528"/>
    <n v="479"/>
    <s v="Forced draft fans"/>
    <s v="Load Reduction #24FD Fans out the top."/>
    <s v="Ghent"/>
    <x v="0"/>
    <s v="Coal"/>
    <x v="2"/>
    <x v="1"/>
    <n v="3"/>
    <n v="9.8833333334187046"/>
    <n v="0.18718434343596033"/>
    <n v="89.661300505824997"/>
    <n v="9.0719696969696972"/>
    <x v="94"/>
  </r>
  <r>
    <x v="5"/>
    <x v="0"/>
    <n v="31"/>
    <n v="280"/>
    <d v="2014-03-13T22:40:00"/>
    <d v="2014-03-13T23:45:00"/>
    <n v="430"/>
    <n v="528"/>
    <n v="479"/>
    <s v="Pulverizer fires"/>
    <s v="Load Reduction  #253-5 Mill fire."/>
    <s v="Ghent"/>
    <x v="0"/>
    <s v="Coal"/>
    <x v="2"/>
    <x v="1"/>
    <n v="3"/>
    <n v="1.0833333333721384"/>
    <n v="0.20107323233043478"/>
    <n v="96.31407828627826"/>
    <n v="88.905303030303031"/>
    <x v="145"/>
  </r>
  <r>
    <x v="5"/>
    <x v="0"/>
    <n v="32"/>
    <n v="9650"/>
    <d v="2014-03-14T03:36:00"/>
    <d v="2014-03-14T05:18:00"/>
    <n v="515"/>
    <n v="528"/>
    <n v="479"/>
    <s v="Other stack or exhaust emissions (fossil)"/>
    <s v="Load Reduction  #26Keeping H2SO4 within limits, ID Fan Injection Outlets plugged."/>
    <s v="Ghent"/>
    <x v="0"/>
    <s v="Coal"/>
    <x v="2"/>
    <x v="1"/>
    <n v="3"/>
    <n v="1.6999999999534339"/>
    <n v="4.1856060604914092E-2"/>
    <n v="20.04905302975385"/>
    <n v="11.793560606060606"/>
    <x v="24"/>
  </r>
  <r>
    <x v="5"/>
    <x v="0"/>
    <n v="33"/>
    <n v="1400"/>
    <d v="2014-03-14T05:18:00"/>
    <d v="2014-03-14T09:57:00"/>
    <n v="525"/>
    <n v="528"/>
    <n v="479"/>
    <s v="Forced draft fans"/>
    <s v="Load Reduction  #27FD Fan Limit, 3-1 FD Fan Inlet Vane needs attention."/>
    <s v="Ghent"/>
    <x v="0"/>
    <s v="Coal"/>
    <x v="2"/>
    <x v="1"/>
    <n v="3"/>
    <n v="4.6499999999650754"/>
    <n v="2.6420454545256111E-2"/>
    <n v="12.655397727177677"/>
    <n v="2.7215909090909092"/>
    <x v="183"/>
  </r>
  <r>
    <x v="5"/>
    <x v="0"/>
    <n v="34"/>
    <n v="9650"/>
    <d v="2014-03-14T09:57:00"/>
    <d v="2014-03-14T11:08:00"/>
    <n v="490"/>
    <n v="528"/>
    <n v="479"/>
    <s v="Other stack or exhaust emissions (fossil)"/>
    <s v="Load Reduction  #28Keeping H2SO3 within limit.  ID Fan Outlet Injection plugged."/>
    <s v="Ghent"/>
    <x v="0"/>
    <s v="Coal"/>
    <x v="2"/>
    <x v="1"/>
    <n v="3"/>
    <n v="1.1833333333488554"/>
    <n v="8.5164141415258535E-2"/>
    <n v="40.793623737908838"/>
    <n v="34.473484848484851"/>
    <x v="81"/>
  </r>
  <r>
    <x v="5"/>
    <x v="0"/>
    <n v="35"/>
    <n v="1400"/>
    <d v="2014-03-14T11:08:00"/>
    <d v="2014-03-14T12:26:00"/>
    <n v="520"/>
    <n v="528"/>
    <n v="479"/>
    <s v="Forced draft fans"/>
    <s v="Load Reduction  #29FD Fan Limit, 3-1 ID Fan Vane needs attention."/>
    <s v="Ghent"/>
    <x v="0"/>
    <s v="Coal"/>
    <x v="2"/>
    <x v="1"/>
    <n v="3"/>
    <n v="1.3000000000465661"/>
    <n v="1.9696969697675246E-2"/>
    <n v="9.4348484851864427"/>
    <n v="7.2575757575757578"/>
    <x v="13"/>
  </r>
  <r>
    <x v="5"/>
    <x v="0"/>
    <n v="36"/>
    <n v="9650"/>
    <d v="2014-03-14T12:26:00"/>
    <d v="2014-03-15T05:15:00"/>
    <n v="454"/>
    <n v="528"/>
    <n v="479"/>
    <s v="Other stack or exhaust emissions (fossil)"/>
    <s v="Load Reduction #30Keeping H2SO4 within limit. ID Fan Outlet Injection plugged."/>
    <s v="Ghent"/>
    <x v="0"/>
    <s v="Coal"/>
    <x v="2"/>
    <x v="1"/>
    <n v="3"/>
    <n v="16.816666666651145"/>
    <n v="2.3568813131291377"/>
    <n v="1128.946148988857"/>
    <n v="67.132575757575751"/>
    <x v="105"/>
  </r>
  <r>
    <x v="5"/>
    <x v="0"/>
    <n v="37"/>
    <n v="9650"/>
    <d v="2014-03-15T06:24:00"/>
    <d v="2014-03-15T10:54:00"/>
    <n v="490"/>
    <n v="528"/>
    <n v="479"/>
    <s v="Other stack or exhaust emissions (fossil)"/>
    <s v="Load Reduction  #31Keeping H2SO4 within limit.  ID Faan Outlet Injection plugged."/>
    <s v="Ghent"/>
    <x v="0"/>
    <s v="Coal"/>
    <x v="2"/>
    <x v="1"/>
    <n v="3"/>
    <n v="4.5"/>
    <n v="0.32386363636363635"/>
    <n v="155.13068181818181"/>
    <n v="34.473484848484851"/>
    <x v="81"/>
  </r>
  <r>
    <x v="5"/>
    <x v="0"/>
    <n v="38"/>
    <n v="9650"/>
    <d v="2014-03-17T09:30:00"/>
    <d v="2014-03-17T11:03:00"/>
    <n v="400"/>
    <n v="528"/>
    <n v="479"/>
    <s v="Other stack or exhaust emissions (fossil)"/>
    <s v="Load Reduction  #32Keeping H2So4 within limit. 3-2B Drop Through Rotary valve driv"/>
    <s v="Ghent"/>
    <x v="0"/>
    <s v="Coal"/>
    <x v="2"/>
    <x v="1"/>
    <n v="3"/>
    <n v="1.5499999999883585"/>
    <n v="0.37575757575475355"/>
    <n v="179.98787878652695"/>
    <n v="116.12121212121212"/>
    <x v="164"/>
  </r>
  <r>
    <x v="5"/>
    <x v="0"/>
    <n v="39"/>
    <n v="1400"/>
    <d v="2014-03-19T06:00:00"/>
    <d v="2014-03-20T07:00:00"/>
    <n v="510"/>
    <n v="528"/>
    <n v="479"/>
    <s v="Forced draft fans"/>
    <s v="Load Reduction  #33FD Fan limit, 3-1 FD Fan Inlet Vane needs attention."/>
    <s v="Ghent"/>
    <x v="0"/>
    <s v="Coal"/>
    <x v="2"/>
    <x v="1"/>
    <n v="3"/>
    <n v="24.999999999941792"/>
    <n v="0.85227272727074288"/>
    <n v="408.23863636268584"/>
    <n v="16.329545454545453"/>
    <x v="167"/>
  </r>
  <r>
    <x v="5"/>
    <x v="0"/>
    <n v="40"/>
    <n v="280"/>
    <d v="2014-03-25T08:39:00"/>
    <d v="2014-03-25T09:56:00"/>
    <n v="465"/>
    <n v="528"/>
    <n v="479"/>
    <s v="Pulverizer fires"/>
    <s v="Load Reduction #343-5 Mill fire in top of the mill."/>
    <s v="Ghent"/>
    <x v="0"/>
    <s v="Coal"/>
    <x v="2"/>
    <x v="1"/>
    <n v="3"/>
    <n v="1.2833333333255723"/>
    <n v="0.15312499999907397"/>
    <n v="73.346874999556434"/>
    <n v="57.153409090909093"/>
    <x v="184"/>
  </r>
  <r>
    <x v="5"/>
    <x v="0"/>
    <n v="41"/>
    <n v="9650"/>
    <d v="2014-03-25T11:38:00"/>
    <d v="2014-03-25T12:35:00"/>
    <n v="450"/>
    <n v="528"/>
    <n v="479"/>
    <s v="Other stack or exhaust emissions (fossil)"/>
    <s v="Load Reduction #35Reduced load to keep H2SO4 within limit.  Inlet probes were plug"/>
    <s v="Ghent"/>
    <x v="0"/>
    <s v="Coal"/>
    <x v="2"/>
    <x v="1"/>
    <n v="3"/>
    <n v="0.94999999995343387"/>
    <n v="0.14034090908402999"/>
    <n v="67.223295451250365"/>
    <n v="70.76136363636364"/>
    <x v="165"/>
  </r>
  <r>
    <x v="5"/>
    <x v="1"/>
    <n v="42"/>
    <n v="855"/>
    <d v="2014-03-26T22:00:00"/>
    <d v="2014-03-27T00:36:00"/>
    <n v="485"/>
    <n v="528"/>
    <n v="479"/>
    <s v="Drum relief/safety valves (Single drum only)"/>
    <s v="Load Reduction #36Precision to set drum safeties."/>
    <s v="Ghent"/>
    <x v="0"/>
    <s v="Coal"/>
    <x v="2"/>
    <x v="1"/>
    <n v="3"/>
    <n v="2.6000000000931323"/>
    <n v="0.21174242425000889"/>
    <n v="101.42462121575426"/>
    <n v="39.009469696969695"/>
    <x v="104"/>
  </r>
  <r>
    <x v="5"/>
    <x v="6"/>
    <n v="43"/>
    <n v="1800"/>
    <d v="2014-03-28T22:07:00"/>
    <d v="2014-05-12T00:01:00"/>
    <n v="0"/>
    <n v="528"/>
    <n v="479"/>
    <s v="Major boiler overhaul (720 hours or longer) (use for non-specific overhaul only; see page B-1)"/>
    <s v="F590Outage #7Unit 3 was scheduled for a Planned Spring Outage.  Removed the unit f"/>
    <s v="Ghent"/>
    <x v="1"/>
    <s v="Coal"/>
    <x v="2"/>
    <x v="1"/>
    <n v="3"/>
    <n v="1057.9000000000815"/>
    <n v="1057.9000000000815"/>
    <n v="506734.10000003903"/>
    <n v="479"/>
    <x v="163"/>
  </r>
  <r>
    <x v="5"/>
    <x v="8"/>
    <n v="44"/>
    <n v="1800"/>
    <d v="2014-05-12T00:01:00"/>
    <d v="2014-05-17T16:17:00"/>
    <n v="0"/>
    <n v="528"/>
    <n v="479"/>
    <s v="Major boiler overhaul (720 hours or longer) (use for non-specific overhaul only; see page B-1)"/>
    <s v="F590Outage #8Planned outage work was not complete by the end of the Planned Outage"/>
    <s v="Ghent"/>
    <x v="1"/>
    <s v="Coal"/>
    <x v="2"/>
    <x v="1"/>
    <n v="5"/>
    <n v="136.26666666660458"/>
    <n v="136.26666666660458"/>
    <n v="65271.733333303593"/>
    <n v="479"/>
    <x v="163"/>
  </r>
  <r>
    <x v="5"/>
    <x v="7"/>
    <n v="45"/>
    <n v="4700"/>
    <d v="2014-05-17T16:17:00"/>
    <d v="2014-05-17T20:46:00"/>
    <n v="0"/>
    <n v="528"/>
    <n v="479"/>
    <s v="Generator voltage control"/>
    <s v="Outage #9While trying to synchronize the unit after the Sping Outage the Generator"/>
    <s v="Ghent"/>
    <x v="3"/>
    <s v="Coal"/>
    <x v="2"/>
    <x v="1"/>
    <n v="5"/>
    <n v="4.4833333332790062"/>
    <n v="4.4833333332790062"/>
    <n v="2147.516666640644"/>
    <n v="479"/>
    <x v="163"/>
  </r>
  <r>
    <x v="5"/>
    <x v="0"/>
    <n v="46"/>
    <n v="1850"/>
    <d v="2014-05-18T14:30:00"/>
    <d v="2014-05-19T01:50:00"/>
    <n v="290"/>
    <n v="528"/>
    <n v="479"/>
    <s v="Boiler water condition (not feedwater water quality)"/>
    <s v="Load Reduction #37Boiler silica was high following startup of Unit 3 following the"/>
    <s v="Ghent"/>
    <x v="0"/>
    <s v="Coal"/>
    <x v="2"/>
    <x v="1"/>
    <n v="5"/>
    <n v="11.333333333430346"/>
    <n v="5.1085858586295876"/>
    <n v="2447.0126262835724"/>
    <n v="215.91287878787878"/>
    <x v="185"/>
  </r>
  <r>
    <x v="5"/>
    <x v="0"/>
    <n v="47"/>
    <n v="250"/>
    <d v="2014-05-19T05:00:00"/>
    <d v="2014-05-19T05:58:00"/>
    <n v="325"/>
    <n v="528"/>
    <n v="479"/>
    <s v="Pulverizer feeders"/>
    <s v="Load Reduction #38U3 Coal feeders tripping, problems with motion monitors.  Instru"/>
    <s v="Ghent"/>
    <x v="0"/>
    <s v="Coal"/>
    <x v="2"/>
    <x v="1"/>
    <n v="5"/>
    <n v="0.96666666667442769"/>
    <n v="0.37165404040702427"/>
    <n v="178.02228535496462"/>
    <n v="184.16098484848484"/>
    <x v="186"/>
  </r>
  <r>
    <x v="5"/>
    <x v="1"/>
    <n v="48"/>
    <n v="1470"/>
    <d v="2014-05-19T06:38:00"/>
    <d v="2014-05-20T13:45:00"/>
    <n v="459"/>
    <n v="528"/>
    <n v="479"/>
    <s v="Induced draft fan motors and drives"/>
    <s v="Load Reduction #39Unit 3 started up with 3-1A ID fan unavailable due to motor vibr"/>
    <s v="Ghent"/>
    <x v="0"/>
    <s v="Coal"/>
    <x v="2"/>
    <x v="1"/>
    <n v="5"/>
    <n v="31.116666666639503"/>
    <n v="4.0663825757540257"/>
    <n v="1947.7972537861783"/>
    <n v="62.596590909090907"/>
    <x v="187"/>
  </r>
  <r>
    <x v="5"/>
    <x v="0"/>
    <n v="49"/>
    <n v="3974"/>
    <d v="2014-05-20T13:45:00"/>
    <d v="2014-05-20T15:09:00"/>
    <n v="275"/>
    <n v="528"/>
    <n v="479"/>
    <s v="DCS - logic problems"/>
    <s v="Load Reduction #403-2A ID fan tripped when inlet damper limit switch indicated clo"/>
    <s v="Ghent"/>
    <x v="0"/>
    <s v="Coal"/>
    <x v="2"/>
    <x v="1"/>
    <n v="5"/>
    <n v="1.4000000000232831"/>
    <n v="0.6708333333444898"/>
    <n v="321.32916667201062"/>
    <n v="229.52083333333334"/>
    <x v="188"/>
  </r>
  <r>
    <x v="5"/>
    <x v="1"/>
    <n v="50"/>
    <n v="1455"/>
    <d v="2014-05-20T15:09:00"/>
    <d v="2014-05-21T21:10:00"/>
    <n v="488"/>
    <n v="528"/>
    <n v="479"/>
    <s v="Induced draft fans"/>
    <s v="Load Reduction #41Unit 3 started up with 3-1A ID fan unavailable due to motor vibr"/>
    <s v="Ghent"/>
    <x v="0"/>
    <s v="Coal"/>
    <x v="2"/>
    <x v="1"/>
    <n v="5"/>
    <n v="30.016666666720994"/>
    <n v="2.2739898989940146"/>
    <n v="1089.241161618133"/>
    <n v="36.287878787878789"/>
    <x v="32"/>
  </r>
  <r>
    <x v="5"/>
    <x v="0"/>
    <n v="51"/>
    <n v="3410"/>
    <d v="2014-05-25T13:27:00"/>
    <d v="2014-05-25T17:05:00"/>
    <n v="300"/>
    <n v="528"/>
    <n v="479"/>
    <s v="Feedwater pump"/>
    <s v="Load Reduction #423-1 BFP would not reset, latch mechanism would not stay latched."/>
    <s v="Ghent"/>
    <x v="0"/>
    <s v="Coal"/>
    <x v="2"/>
    <x v="1"/>
    <n v="5"/>
    <n v="3.6333333333022892"/>
    <n v="1.5689393939259886"/>
    <n v="751.52196969054853"/>
    <n v="206.84090909090909"/>
    <x v="144"/>
  </r>
  <r>
    <x v="5"/>
    <x v="0"/>
    <n v="52"/>
    <n v="1470"/>
    <d v="2014-05-25T20:47:00"/>
    <d v="2014-05-26T16:11:00"/>
    <n v="490"/>
    <n v="528"/>
    <n v="479"/>
    <s v="Induced draft fan motors and drives"/>
    <s v="Load Reduction #433-2 A ID fan VFD cell failed causing fan to trip."/>
    <s v="Ghent"/>
    <x v="0"/>
    <s v="Coal"/>
    <x v="2"/>
    <x v="1"/>
    <n v="5"/>
    <n v="19.400000000023283"/>
    <n v="1.3962121212137968"/>
    <n v="668.78560606140866"/>
    <n v="34.473484848484851"/>
    <x v="81"/>
  </r>
  <r>
    <x v="5"/>
    <x v="0"/>
    <n v="54"/>
    <n v="1400"/>
    <d v="2014-06-05T09:05:00"/>
    <d v="2014-06-05T10:00:00"/>
    <n v="502"/>
    <n v="528"/>
    <n v="479"/>
    <s v="Forced draft fans"/>
    <s v="Load Reduction #443-1 FD fan shut off damper drive linkage rod broke."/>
    <s v="Ghent"/>
    <x v="0"/>
    <s v="Coal"/>
    <x v="2"/>
    <x v="1"/>
    <n v="6"/>
    <n v="0.91666666668606922"/>
    <n v="4.5138888889844318E-2"/>
    <n v="21.621527778235428"/>
    <n v="23.587121212121211"/>
    <x v="107"/>
  </r>
  <r>
    <x v="5"/>
    <x v="4"/>
    <n v="53"/>
    <n v="775"/>
    <d v="2014-06-09T22:32:00"/>
    <d v="2014-06-14T04:32:00"/>
    <n v="0"/>
    <n v="528"/>
    <n v="479"/>
    <s v="Economizer piping"/>
    <s v="F610Outage #10Economizer section had been added during Spring Planned outage to re"/>
    <s v="Ghent"/>
    <x v="2"/>
    <s v="Coal"/>
    <x v="2"/>
    <x v="1"/>
    <n v="6"/>
    <n v="102"/>
    <n v="102"/>
    <n v="48858"/>
    <n v="479"/>
    <x v="163"/>
  </r>
  <r>
    <x v="5"/>
    <x v="0"/>
    <n v="55"/>
    <n v="385"/>
    <d v="2014-06-14T15:20:00"/>
    <d v="2014-06-14T16:44:00"/>
    <n v="320"/>
    <n v="528"/>
    <n v="479"/>
    <s v="Igniters"/>
    <s v="Load Reduction #45Ignitor fuel oil pressure regulator controller started to fail."/>
    <s v="Ghent"/>
    <x v="0"/>
    <s v="Coal"/>
    <x v="2"/>
    <x v="1"/>
    <n v="6"/>
    <n v="1.4000000000232831"/>
    <n v="0.55151515152432362"/>
    <n v="264.17575758015101"/>
    <n v="188.69696969696969"/>
    <x v="189"/>
  </r>
  <r>
    <x v="5"/>
    <x v="0"/>
    <n v="56"/>
    <n v="385"/>
    <d v="2014-06-14T18:27:00"/>
    <d v="2014-06-14T19:31:00"/>
    <n v="420"/>
    <n v="528"/>
    <n v="479"/>
    <s v="Igniters"/>
    <s v="Load Reduction #46Ignitor fuel oil pressure regulator controller failed.  Unable t"/>
    <s v="Ghent"/>
    <x v="0"/>
    <s v="Coal"/>
    <x v="2"/>
    <x v="1"/>
    <n v="6"/>
    <n v="1.0666666666511446"/>
    <n v="0.21818181817864321"/>
    <n v="104.5090909075701"/>
    <n v="97.977272727272734"/>
    <x v="190"/>
  </r>
  <r>
    <x v="5"/>
    <x v="0"/>
    <n v="57"/>
    <n v="775"/>
    <d v="2014-06-17T00:05:00"/>
    <d v="2014-06-17T00:16:00"/>
    <n v="210"/>
    <n v="528"/>
    <n v="479"/>
    <s v="Economizer piping"/>
    <s v="Load Reduction #47Dropped load to check stroke of the new economizer valve that wa"/>
    <s v="Ghent"/>
    <x v="0"/>
    <s v="Coal"/>
    <x v="2"/>
    <x v="1"/>
    <n v="6"/>
    <n v="0.18333333340706304"/>
    <n v="0.11041666671107206"/>
    <n v="52.889583354603516"/>
    <n v="288.48863636363637"/>
    <x v="191"/>
  </r>
  <r>
    <x v="5"/>
    <x v="0"/>
    <n v="58"/>
    <n v="530"/>
    <d v="2014-06-25T20:55:00"/>
    <d v="2014-06-25T22:21:00"/>
    <n v="525"/>
    <n v="528"/>
    <n v="479"/>
    <s v="Other main steam system problems"/>
    <s v="Load Reduction #48Unable to make full load because of low RH and SH steam temperat"/>
    <s v="Ghent"/>
    <x v="0"/>
    <s v="Coal"/>
    <x v="2"/>
    <x v="1"/>
    <n v="6"/>
    <n v="1.4333333332906477"/>
    <n v="8.1439393936968626E-3"/>
    <n v="3.9009469695807972"/>
    <n v="2.7215909090909092"/>
    <x v="183"/>
  </r>
  <r>
    <x v="5"/>
    <x v="0"/>
    <n v="59"/>
    <n v="8125"/>
    <d v="2014-06-26T23:40:00"/>
    <d v="2014-06-27T00:05:00"/>
    <n v="380"/>
    <n v="528"/>
    <n v="479"/>
    <s v="Scrubber recycle (liquid) pumps"/>
    <s v="Load Reduction #49Unable to make full load because 3-3 and 3-5 Recycle Pumps tripp"/>
    <s v="Ghent"/>
    <x v="0"/>
    <s v="Coal"/>
    <x v="2"/>
    <x v="1"/>
    <n v="6"/>
    <n v="0.41666666662786156"/>
    <n v="0.11679292928205211"/>
    <n v="55.94381312610296"/>
    <n v="134.2651515151515"/>
    <x v="181"/>
  </r>
  <r>
    <x v="5"/>
    <x v="1"/>
    <n v="60"/>
    <n v="1455"/>
    <d v="2014-06-28T22:00:00"/>
    <d v="2014-06-28T23:30:00"/>
    <n v="490"/>
    <n v="528"/>
    <n v="479"/>
    <s v="Induced draft fans"/>
    <s v="Load Reduction #503-2A ID Fan cooling system leaking."/>
    <s v="Ghent"/>
    <x v="0"/>
    <s v="Coal"/>
    <x v="2"/>
    <x v="1"/>
    <n v="6"/>
    <n v="1.5"/>
    <n v="0.10795454545454546"/>
    <n v="51.710227272727273"/>
    <n v="34.473484848484851"/>
    <x v="81"/>
  </r>
  <r>
    <x v="5"/>
    <x v="1"/>
    <n v="61"/>
    <n v="1455"/>
    <d v="2014-06-28T23:30:00"/>
    <d v="2014-06-29T04:28:00"/>
    <n v="450"/>
    <n v="528"/>
    <n v="479"/>
    <s v="Induced draft fans"/>
    <s v="Load Reduction #513-2A ID Fan cooling system leaks."/>
    <s v="Ghent"/>
    <x v="0"/>
    <s v="Coal"/>
    <x v="2"/>
    <x v="1"/>
    <n v="6"/>
    <n v="4.966666666790843"/>
    <n v="0.73371212123046547"/>
    <n v="351.44810606939296"/>
    <n v="70.76136363636364"/>
    <x v="165"/>
  </r>
  <r>
    <x v="5"/>
    <x v="0"/>
    <n v="62"/>
    <n v="3412"/>
    <d v="2014-07-07T13:23:00"/>
    <d v="2014-07-07T14:53:00"/>
    <n v="300"/>
    <n v="528"/>
    <n v="479"/>
    <s v="Feedwater pump drive - steam turbine"/>
    <s v="Load Reduction #523-2 BFPT tripped."/>
    <s v="Ghent"/>
    <x v="0"/>
    <s v="Coal"/>
    <x v="2"/>
    <x v="1"/>
    <n v="7"/>
    <n v="1.5"/>
    <n v="0.64772727272727271"/>
    <n v="310.26136363636363"/>
    <n v="206.84090909090909"/>
    <x v="144"/>
  </r>
  <r>
    <x v="5"/>
    <x v="0"/>
    <n v="63"/>
    <n v="3440"/>
    <d v="2014-07-11T00:11:00"/>
    <d v="2014-07-13T04:10:00"/>
    <n v="511"/>
    <n v="528"/>
    <n v="479"/>
    <s v="High pressure heater tube leaks"/>
    <s v="Load Reduction #53G High Pressure heater tube leak."/>
    <s v="Ghent"/>
    <x v="0"/>
    <s v="Coal"/>
    <x v="2"/>
    <x v="1"/>
    <n v="7"/>
    <n v="51.983333333220799"/>
    <n v="1.6737058080771847"/>
    <n v="801.70508206897148"/>
    <n v="15.422348484848484"/>
    <x v="169"/>
  </r>
  <r>
    <x v="5"/>
    <x v="0"/>
    <n v="64"/>
    <n v="1455"/>
    <d v="2014-07-11T12:44:00"/>
    <d v="2014-07-11T13:04:00"/>
    <n v="480"/>
    <n v="528"/>
    <n v="479"/>
    <s v="Induced draft fans"/>
    <s v="Load Reduction #543-1B ID Fan tripped on loss of lube oil reservoir level indicati"/>
    <s v="Ghent"/>
    <x v="0"/>
    <s v="Coal"/>
    <x v="2"/>
    <x v="1"/>
    <n v="7"/>
    <n v="0.33333333337213844"/>
    <n v="3.0303030306558041E-2"/>
    <n v="14.515151516841302"/>
    <n v="43.545454545454547"/>
    <x v="176"/>
  </r>
  <r>
    <x v="5"/>
    <x v="0"/>
    <n v="65"/>
    <n v="1455"/>
    <d v="2014-07-11T13:17:00"/>
    <d v="2014-07-11T13:54:00"/>
    <n v="480"/>
    <n v="528"/>
    <n v="479"/>
    <s v="Induced draft fans"/>
    <s v="Load Reduction #553-1B ID Fan discharge damper hung up while at about 5% open."/>
    <s v="Ghent"/>
    <x v="0"/>
    <s v="Coal"/>
    <x v="2"/>
    <x v="1"/>
    <n v="7"/>
    <n v="0.61666666675591841"/>
    <n v="5.6060606068719855E-2"/>
    <n v="26.853030306916811"/>
    <n v="43.545454545454547"/>
    <x v="176"/>
  </r>
  <r>
    <x v="5"/>
    <x v="2"/>
    <n v="66"/>
    <n v="1455"/>
    <d v="2014-07-11T22:00:00"/>
    <d v="2014-07-12T04:18:00"/>
    <n v="473"/>
    <n v="528"/>
    <n v="479"/>
    <s v="Induced draft fans"/>
    <s v="Load Reduction #563-1 ID Fan out of service for VFD coolant system repairs."/>
    <s v="Ghent"/>
    <x v="0"/>
    <s v="Coal"/>
    <x v="2"/>
    <x v="1"/>
    <n v="7"/>
    <n v="6.3000000001047738"/>
    <n v="0.65625000001091394"/>
    <n v="314.34375000522778"/>
    <n v="49.895833333333336"/>
    <x v="33"/>
  </r>
  <r>
    <x v="5"/>
    <x v="2"/>
    <n v="67"/>
    <n v="1455"/>
    <d v="2014-07-12T22:00:00"/>
    <d v="2014-07-12T23:30:00"/>
    <n v="450"/>
    <n v="528"/>
    <n v="479"/>
    <s v="Induced draft fans"/>
    <s v="Load Reduction #573-1 ID Fan OOS for VFD coolant system repairs."/>
    <s v="Ghent"/>
    <x v="0"/>
    <s v="Coal"/>
    <x v="2"/>
    <x v="1"/>
    <n v="7"/>
    <n v="1.5"/>
    <n v="0.22159090909090909"/>
    <n v="106.14204545454545"/>
    <n v="70.76136363636364"/>
    <x v="165"/>
  </r>
  <r>
    <x v="5"/>
    <x v="0"/>
    <n v="68"/>
    <n v="3441"/>
    <d v="2014-07-13T17:30:00"/>
    <d v="2014-07-15T04:05:00"/>
    <n v="511"/>
    <n v="528"/>
    <n v="479"/>
    <s v="Other high pressure heater problems (see condensate system for LP and IP heater codes)"/>
    <s v="Load Reduction #58G HP heater normal drain regulator failed."/>
    <s v="Ghent"/>
    <x v="0"/>
    <s v="Coal"/>
    <x v="2"/>
    <x v="1"/>
    <n v="7"/>
    <n v="34.583333333430346"/>
    <n v="1.113478535356659"/>
    <n v="533.35621843583965"/>
    <n v="15.422348484848484"/>
    <x v="169"/>
  </r>
  <r>
    <x v="5"/>
    <x v="2"/>
    <n v="69"/>
    <n v="1455"/>
    <d v="2014-07-13T21:00:00"/>
    <d v="2014-07-14T05:41:00"/>
    <n v="473"/>
    <n v="528"/>
    <n v="479"/>
    <s v="Induced draft fans"/>
    <s v="Load Reduction #593-1A ID Fan OOS for VFD coolant system repairs."/>
    <s v="Ghent"/>
    <x v="0"/>
    <s v="Coal"/>
    <x v="2"/>
    <x v="1"/>
    <n v="7"/>
    <n v="8.6833333333488554"/>
    <n v="0.90451388889050577"/>
    <n v="433.26215277855226"/>
    <n v="49.895833333333336"/>
    <x v="33"/>
  </r>
  <r>
    <x v="5"/>
    <x v="1"/>
    <n v="70"/>
    <n v="1470"/>
    <d v="2014-07-19T06:00:00"/>
    <d v="2014-07-19T16:10:00"/>
    <n v="450"/>
    <n v="528"/>
    <n v="479"/>
    <s v="Induced draft fan motors and drives"/>
    <s v="Load Reduction #603-2A ID Fan OOS for VFD coolant system repairs and to check moto"/>
    <s v="Ghent"/>
    <x v="0"/>
    <s v="Coal"/>
    <x v="2"/>
    <x v="1"/>
    <n v="7"/>
    <n v="10.166666666627862"/>
    <n v="1.5018939393882069"/>
    <n v="719.40719696695112"/>
    <n v="70.76136363636364"/>
    <x v="165"/>
  </r>
  <r>
    <x v="5"/>
    <x v="0"/>
    <n v="71"/>
    <n v="3410"/>
    <d v="2014-07-25T02:21:00"/>
    <d v="2014-07-25T03:06:00"/>
    <n v="300"/>
    <n v="528"/>
    <n v="479"/>
    <s v="Feedwater pump"/>
    <s v="Load Reduction #613-2 BFPT tripped on high vibration when 3-4 mill loaded up and s"/>
    <s v="Ghent"/>
    <x v="0"/>
    <s v="Coal"/>
    <x v="2"/>
    <x v="1"/>
    <n v="7"/>
    <n v="0.75"/>
    <n v="0.32386363636363635"/>
    <n v="155.13068181818181"/>
    <n v="206.84090909090909"/>
    <x v="144"/>
  </r>
  <r>
    <x v="5"/>
    <x v="1"/>
    <n v="72"/>
    <n v="3682"/>
    <d v="2014-07-29T05:00:00"/>
    <d v="2014-07-29T16:44:00"/>
    <n v="250"/>
    <n v="528"/>
    <n v="479"/>
    <s v="Other voltage system conductors and buses"/>
    <s v="Load Reduction #62Unit 3 was limited due to North Bus outage to tie in for the new"/>
    <s v="Ghent"/>
    <x v="0"/>
    <s v="Coal"/>
    <x v="2"/>
    <x v="1"/>
    <n v="7"/>
    <n v="11.733333333337214"/>
    <n v="6.1777777777798208"/>
    <n v="2959.1555555565342"/>
    <n v="252.20075757575756"/>
    <x v="126"/>
  </r>
  <r>
    <x v="5"/>
    <x v="1"/>
    <n v="73"/>
    <n v="3441"/>
    <d v="2014-08-04T22:00:00"/>
    <d v="2014-08-05T05:19:00"/>
    <n v="511"/>
    <n v="528"/>
    <n v="479"/>
    <s v="Other high pressure heater problems (see condensate system for LP and IP heater codes)"/>
    <s v="Load Reduction #63Removed U3 HP Heater from service to replace 3F heater level con"/>
    <s v="Ghent"/>
    <x v="0"/>
    <s v="Coal"/>
    <x v="2"/>
    <x v="1"/>
    <n v="8"/>
    <n v="7.3166666667675599"/>
    <n v="0.23557449495274341"/>
    <n v="112.84018308236409"/>
    <n v="15.422348484848484"/>
    <x v="169"/>
  </r>
  <r>
    <x v="5"/>
    <x v="1"/>
    <n v="74"/>
    <n v="1455"/>
    <d v="2014-08-08T22:00:00"/>
    <d v="2014-08-09T04:18:00"/>
    <n v="465"/>
    <n v="528"/>
    <n v="479"/>
    <s v="Induced draft fans"/>
    <s v="Load Reduction #64Removed 3-2A ID fan from service to remove motor bearing hemp se"/>
    <s v="Ghent"/>
    <x v="0"/>
    <s v="Coal"/>
    <x v="2"/>
    <x v="1"/>
    <n v="8"/>
    <n v="6.3000000001047738"/>
    <n v="0.7517045454670469"/>
    <n v="360.06647727871547"/>
    <n v="57.153409090909093"/>
    <x v="184"/>
  </r>
  <r>
    <x v="5"/>
    <x v="0"/>
    <n v="75"/>
    <n v="3410"/>
    <d v="2014-08-10T17:46:00"/>
    <d v="2014-08-10T19:20:00"/>
    <n v="285"/>
    <n v="528"/>
    <n v="479"/>
    <s v="Feedwater pump"/>
    <s v="Load Reduction #653-2 BFPT tripped.  No problem found.  Will troubleshoot and chec"/>
    <s v="Ghent"/>
    <x v="0"/>
    <s v="Coal"/>
    <x v="2"/>
    <x v="1"/>
    <n v="8"/>
    <n v="1.5666666667093523"/>
    <n v="0.72102272729237238"/>
    <n v="345.36988637304637"/>
    <n v="220.44886363636363"/>
    <x v="155"/>
  </r>
  <r>
    <x v="5"/>
    <x v="0"/>
    <n v="76"/>
    <n v="1455"/>
    <d v="2014-08-11T08:07:00"/>
    <d v="2014-08-11T21:03:00"/>
    <n v="483"/>
    <n v="528"/>
    <n v="479"/>
    <s v="Induced draft fans"/>
    <s v="Load Reduction #663-2A ID Fan tripped on high vibration and controls of remaining "/>
    <s v="Ghent"/>
    <x v="0"/>
    <s v="Coal"/>
    <x v="2"/>
    <x v="1"/>
    <n v="8"/>
    <n v="12.933333333407063"/>
    <n v="1.1022727272790112"/>
    <n v="527.98863636664635"/>
    <n v="40.823863636363633"/>
    <x v="28"/>
  </r>
  <r>
    <x v="5"/>
    <x v="0"/>
    <n v="77"/>
    <n v="340"/>
    <d v="2014-08-21T17:40:00"/>
    <d v="2014-08-21T17:56:00"/>
    <n v="440"/>
    <n v="528"/>
    <n v="479"/>
    <s v="Other pulverizer problems"/>
    <s v="Load Reduction #673-1 Mill tripped due to control card failure."/>
    <s v="Ghent"/>
    <x v="0"/>
    <s v="Coal"/>
    <x v="2"/>
    <x v="1"/>
    <n v="8"/>
    <n v="0.26666666666278616"/>
    <n v="4.4444444443797693E-2"/>
    <n v="21.288888888579095"/>
    <n v="79.833333333333329"/>
    <x v="192"/>
  </r>
  <r>
    <x v="5"/>
    <x v="0"/>
    <n v="78"/>
    <n v="4499"/>
    <d v="2014-08-29T14:13:00"/>
    <d v="2014-08-30T01:30:00"/>
    <n v="530"/>
    <n v="528"/>
    <n v="479"/>
    <s v="Other miscellaneous steam turbine problems"/>
    <s v="Load Reduction #68Turbine copper deposition and low steam temperatures after desla"/>
    <s v="Ghent"/>
    <x v="0"/>
    <s v="Coal"/>
    <x v="2"/>
    <x v="1"/>
    <n v="8"/>
    <n v="11.283333333267365"/>
    <n v="-4.2739898989649111E-2"/>
    <n v="-20.472411616041924"/>
    <n v="0"/>
    <x v="152"/>
  </r>
  <r>
    <x v="5"/>
    <x v="0"/>
    <n v="79"/>
    <n v="4499"/>
    <d v="2014-08-30T06:36:00"/>
    <d v="2014-08-31T11:10:00"/>
    <n v="522"/>
    <n v="528"/>
    <n v="479"/>
    <s v="Other miscellaneous steam turbine problems"/>
    <s v="Load Reduction #69Turbine copper deposition and low steam temperatures after desla"/>
    <s v="Ghent"/>
    <x v="0"/>
    <s v="Coal"/>
    <x v="2"/>
    <x v="1"/>
    <n v="8"/>
    <n v="28.566666666709352"/>
    <n v="0.3246212121216972"/>
    <n v="155.49356060629296"/>
    <n v="5.4431818181818183"/>
    <x v="166"/>
  </r>
  <r>
    <x v="5"/>
    <x v="1"/>
    <n v="80"/>
    <n v="1455"/>
    <d v="2014-09-05T22:00:00"/>
    <d v="2014-09-06T19:36:00"/>
    <n v="470"/>
    <n v="528"/>
    <n v="479"/>
    <s v="Induced draft fans"/>
    <s v="Load Reduction #70Took 3-2A IDF out of service to address vibration issue.  Change"/>
    <s v="Ghent"/>
    <x v="0"/>
    <s v="Coal"/>
    <x v="2"/>
    <x v="1"/>
    <n v="9"/>
    <n v="21.600000000034925"/>
    <n v="2.3727272727311091"/>
    <n v="1136.5363636382012"/>
    <n v="52.617424242424242"/>
    <x v="179"/>
  </r>
  <r>
    <x v="5"/>
    <x v="0"/>
    <n v="81"/>
    <n v="9210"/>
    <d v="2014-09-17T10:33:00"/>
    <d v="2014-09-17T23:53:00"/>
    <n v="480"/>
    <n v="528"/>
    <n v="479"/>
    <s v="Low grindability"/>
    <s v="Load Reduction #71The unit was derated due to mill grinding and air flow issues du"/>
    <s v="Ghent"/>
    <x v="0"/>
    <s v="Coal"/>
    <x v="2"/>
    <x v="1"/>
    <n v="9"/>
    <n v="13.333333333313931"/>
    <n v="1.2121212121194482"/>
    <n v="580.6060606052157"/>
    <n v="43.545454545454547"/>
    <x v="176"/>
  </r>
  <r>
    <x v="5"/>
    <x v="0"/>
    <n v="82"/>
    <n v="9210"/>
    <d v="2014-09-18T03:22:00"/>
    <d v="2014-09-18T04:25:00"/>
    <n v="490"/>
    <n v="528"/>
    <n v="479"/>
    <s v="Low grindability"/>
    <s v="Load Reduction #72The unit was derated due to mill grinding and air flow issues du"/>
    <s v="Ghent"/>
    <x v="0"/>
    <s v="Coal"/>
    <x v="2"/>
    <x v="1"/>
    <n v="9"/>
    <n v="1.0500000001047738"/>
    <n v="7.556818182572235E-2"/>
    <n v="36.197159094521005"/>
    <n v="34.473484848484851"/>
    <x v="81"/>
  </r>
  <r>
    <x v="5"/>
    <x v="0"/>
    <n v="83"/>
    <n v="1470"/>
    <d v="2014-09-24T09:51:00"/>
    <d v="2014-09-24T10:52:00"/>
    <n v="450"/>
    <n v="528"/>
    <n v="479"/>
    <s v="Induced draft fan motors and drives"/>
    <s v="Load Reduction #733-2B ID Fan VFD tripped."/>
    <s v="Ghent"/>
    <x v="0"/>
    <s v="Coal"/>
    <x v="2"/>
    <x v="1"/>
    <n v="9"/>
    <n v="1.0166666666627862"/>
    <n v="0.15018939393882069"/>
    <n v="71.940719696695112"/>
    <n v="70.76136363636364"/>
    <x v="165"/>
  </r>
  <r>
    <x v="5"/>
    <x v="5"/>
    <n v="84"/>
    <n v="3408"/>
    <d v="2014-09-25T13:42:00"/>
    <d v="2014-09-25T14:26:00"/>
    <n v="0"/>
    <n v="528"/>
    <n v="479"/>
    <s v="Feedwater pump drive - local controls"/>
    <s v="Outage #11The unit tripped off line due to low drum level.  This was caused by 3-2"/>
    <s v="Ghent"/>
    <x v="3"/>
    <s v="Coal"/>
    <x v="2"/>
    <x v="1"/>
    <n v="9"/>
    <n v="0.73333333345362917"/>
    <n v="0.73333333345362917"/>
    <n v="351.26666672428837"/>
    <n v="479"/>
    <x v="163"/>
  </r>
  <r>
    <x v="5"/>
    <x v="4"/>
    <n v="85"/>
    <n v="1493"/>
    <d v="2014-10-03T16:43:00"/>
    <d v="2014-10-07T05:04:00"/>
    <n v="0"/>
    <n v="528"/>
    <n v="479"/>
    <s v="Air heater fouling (regenerative)"/>
    <s v="F540Outage #12Unit 3 was running with leaks in the 3-2 Air Preheating Coil.  Remov"/>
    <s v="Ghent"/>
    <x v="2"/>
    <s v="Coal"/>
    <x v="2"/>
    <x v="1"/>
    <n v="10"/>
    <n v="84.349999999918509"/>
    <n v="84.349999999918509"/>
    <n v="40403.649999960966"/>
    <n v="479"/>
    <x v="163"/>
  </r>
  <r>
    <x v="5"/>
    <x v="0"/>
    <n v="86"/>
    <n v="3408"/>
    <d v="2014-10-08T09:00:00"/>
    <d v="2014-10-08T09:50:00"/>
    <n v="300"/>
    <n v="528"/>
    <n v="479"/>
    <s v="Feedwater pump drive - local controls"/>
    <s v="Load Reduction #743-2 BFPT tripped on vibration when taking 3-5 Mill out of servic"/>
    <s v="Ghent"/>
    <x v="0"/>
    <s v="Coal"/>
    <x v="2"/>
    <x v="1"/>
    <n v="10"/>
    <n v="0.83333333325572312"/>
    <n v="0.35984848481497134"/>
    <n v="172.36742422637127"/>
    <n v="206.84090909090909"/>
    <x v="144"/>
  </r>
  <r>
    <x v="5"/>
    <x v="0"/>
    <n v="87"/>
    <n v="3408"/>
    <d v="2014-10-09T05:14:00"/>
    <d v="2014-10-09T05:34:00"/>
    <n v="300"/>
    <n v="528"/>
    <n v="479"/>
    <s v="Feedwater pump drive - local controls"/>
    <s v="Load Reduction #753-2 BFPT tripped on vibration when 3-4 Mill experienced grinding"/>
    <s v="Ghent"/>
    <x v="0"/>
    <s v="Coal"/>
    <x v="2"/>
    <x v="1"/>
    <n v="10"/>
    <n v="0.33333333337213844"/>
    <n v="0.14393939395615069"/>
    <n v="68.946969704996178"/>
    <n v="206.84090909090909"/>
    <x v="144"/>
  </r>
  <r>
    <x v="5"/>
    <x v="0"/>
    <n v="88"/>
    <n v="3408"/>
    <d v="2014-10-14T13:50:00"/>
    <d v="2014-10-14T14:15:00"/>
    <n v="260"/>
    <n v="528"/>
    <n v="479"/>
    <s v="Feedwater pump drive - local controls"/>
    <s v="Load Reduction #763-1 BFPT tripped on loss of vacuum.  Vacuum sensing line at pres"/>
    <s v="Ghent"/>
    <x v="0"/>
    <s v="Coal"/>
    <x v="2"/>
    <x v="1"/>
    <n v="10"/>
    <n v="0.41666666662786156"/>
    <n v="0.21148989897020246"/>
    <n v="101.30366160672698"/>
    <n v="243.12878787878788"/>
    <x v="154"/>
  </r>
  <r>
    <x v="5"/>
    <x v="0"/>
    <n v="89"/>
    <n v="3408"/>
    <d v="2014-10-14T14:15:00"/>
    <d v="2014-10-14T15:28:00"/>
    <n v="325"/>
    <n v="528"/>
    <n v="479"/>
    <s v="Feedwater pump drive - local controls"/>
    <s v="Load Reduction #773-1 BFPT tripped on loss of vacuum.  Vacuum sensing line at pres"/>
    <s v="Ghent"/>
    <x v="0"/>
    <s v="Coal"/>
    <x v="2"/>
    <x v="1"/>
    <n v="10"/>
    <n v="1.21666666661622"/>
    <n v="0.46777146462706942"/>
    <n v="224.06253155636625"/>
    <n v="184.16098484848484"/>
    <x v="186"/>
  </r>
  <r>
    <x v="5"/>
    <x v="4"/>
    <n v="90"/>
    <n v="1080"/>
    <d v="2014-11-27T12:49:00"/>
    <d v="2014-11-28T13:15:00"/>
    <n v="0"/>
    <n v="528"/>
    <n v="479"/>
    <s v="Economizer B"/>
    <s v="F540Outage #13Unit 3 had been running with a leak in the backpass of the boiler, b"/>
    <s v="Ghent"/>
    <x v="2"/>
    <s v="Coal"/>
    <x v="2"/>
    <x v="1"/>
    <n v="11"/>
    <n v="24.433333333348855"/>
    <n v="24.433333333348855"/>
    <n v="11703.566666674102"/>
    <n v="479"/>
    <x v="163"/>
  </r>
  <r>
    <x v="5"/>
    <x v="0"/>
    <n v="91"/>
    <n v="380"/>
    <d v="2014-12-23T09:55:00"/>
    <d v="2014-12-23T10:03:00"/>
    <n v="435"/>
    <n v="528"/>
    <n v="479"/>
    <s v="Light-off (igniter) systems (including fuel supply)"/>
    <s v="Load Reduction #783-2 Mill tripped on loss of flame.  Unit ran back (2 feeders off"/>
    <s v="Ghent"/>
    <x v="0"/>
    <s v="Coal"/>
    <x v="2"/>
    <x v="1"/>
    <n v="12"/>
    <n v="0.13333333324408159"/>
    <n v="2.3484848469128006E-2"/>
    <n v="11.249242416712315"/>
    <n v="84.369318181818187"/>
    <x v="136"/>
  </r>
  <r>
    <x v="5"/>
    <x v="0"/>
    <n v="1"/>
    <n v="1455"/>
    <d v="2015-01-08T04:26:00"/>
    <d v="2015-01-08T07:50:00"/>
    <n v="210"/>
    <n v="528"/>
    <n v="479"/>
    <s v="Induced draft fans"/>
    <s v="Load Reduction #13-2A and B ID fans tripped on IDF inlet pressure (2 out of 3 PT's"/>
    <s v="Ghent"/>
    <x v="0"/>
    <s v="Coal"/>
    <x v="2"/>
    <x v="2"/>
    <n v="1"/>
    <n v="3.4000000000814907"/>
    <n v="2.0477272727763522"/>
    <n v="980.86136365987272"/>
    <n v="288.48863636363637"/>
    <x v="191"/>
  </r>
  <r>
    <x v="5"/>
    <x v="0"/>
    <n v="2"/>
    <n v="8325"/>
    <d v="2015-01-09T18:31:00"/>
    <d v="2015-01-10T00:06:00"/>
    <n v="200"/>
    <n v="528"/>
    <n v="479"/>
    <s v="Ash disposal problems"/>
    <s v="Load Reduction #2U3 Wet ash line froze at ABS/ATB1 valve station."/>
    <s v="Ghent"/>
    <x v="0"/>
    <s v="Coal"/>
    <x v="2"/>
    <x v="2"/>
    <n v="1"/>
    <n v="5.5833333333721384"/>
    <n v="3.4684343434584495"/>
    <n v="1661.3800505165973"/>
    <n v="297.56060606060606"/>
    <x v="174"/>
  </r>
  <r>
    <x v="5"/>
    <x v="4"/>
    <n v="3"/>
    <n v="1488"/>
    <d v="2015-01-17T01:08:00"/>
    <d v="2015-01-20T04:45:00"/>
    <n v="0"/>
    <n v="528"/>
    <n v="479"/>
    <s v="Air heater (regenerative)"/>
    <s v="Outage #1Unit 3 was running with leaking on the Air Heater seals that was causing "/>
    <s v="Ghent"/>
    <x v="2"/>
    <s v="Coal"/>
    <x v="2"/>
    <x v="2"/>
    <n v="1"/>
    <n v="75.616666666581295"/>
    <n v="75.616666666581295"/>
    <n v="36220.383333292441"/>
    <n v="479"/>
    <x v="163"/>
  </r>
  <r>
    <x v="5"/>
    <x v="7"/>
    <n v="4"/>
    <n v="3613"/>
    <d v="2015-01-20T04:45:00"/>
    <d v="2015-01-20T11:29:00"/>
    <n v="0"/>
    <n v="528"/>
    <n v="479"/>
    <s v="Switchyard system protection devices - (not outside management control)"/>
    <s v="F060Outage #2Unit 3 was removed from service to repair air heater seals.  When the"/>
    <s v="Ghent"/>
    <x v="3"/>
    <s v="Coal"/>
    <x v="2"/>
    <x v="2"/>
    <n v="1"/>
    <n v="6.7333333334536292"/>
    <n v="6.7333333334536292"/>
    <n v="3225.2666667242884"/>
    <n v="479"/>
    <x v="163"/>
  </r>
  <r>
    <x v="5"/>
    <x v="0"/>
    <n v="5"/>
    <n v="1500"/>
    <d v="2015-02-05T03:48:00"/>
    <d v="2015-02-05T05:40:00"/>
    <n v="125"/>
    <n v="528"/>
    <n v="479"/>
    <s v="Air heater soot blowers"/>
    <s v="Load Reduction #3AH Sootblower steam supply line ruptured.  Dropped boiler pressur"/>
    <s v="Ghent"/>
    <x v="0"/>
    <s v="Coal"/>
    <x v="2"/>
    <x v="2"/>
    <n v="2"/>
    <n v="1.8666666666395031"/>
    <n v="1.4247474747267419"/>
    <n v="682.45404039410937"/>
    <n v="365.60037878787881"/>
    <x v="193"/>
  </r>
  <r>
    <x v="5"/>
    <x v="0"/>
    <n v="6"/>
    <n v="1455"/>
    <d v="2015-02-05T06:35:00"/>
    <d v="2015-02-05T11:46:00"/>
    <n v="475"/>
    <n v="528"/>
    <n v="479"/>
    <s v="Induced draft fans"/>
    <s v="Load Reduction #43-1A ID fan was removed from service while dropping boiler pressu"/>
    <s v="Ghent"/>
    <x v="0"/>
    <s v="Coal"/>
    <x v="2"/>
    <x v="2"/>
    <n v="2"/>
    <n v="5.1833333332906477"/>
    <n v="0.52029671716743242"/>
    <n v="249.22212752320013"/>
    <n v="48.081439393939391"/>
    <x v="22"/>
  </r>
  <r>
    <x v="5"/>
    <x v="0"/>
    <n v="7"/>
    <n v="3410"/>
    <d v="2015-02-21T00:45:00"/>
    <d v="2015-02-21T01:25:00"/>
    <n v="424"/>
    <n v="528"/>
    <n v="479"/>
    <s v="Feedwater pump"/>
    <s v="Load Reduction #53-2 BFPT servo valve failed."/>
    <s v="Ghent"/>
    <x v="0"/>
    <s v="Coal"/>
    <x v="2"/>
    <x v="2"/>
    <n v="2"/>
    <n v="0.66666666674427688"/>
    <n v="0.13131313132841818"/>
    <n v="62.898989906312309"/>
    <n v="94.348484848484844"/>
    <x v="194"/>
  </r>
  <r>
    <x v="5"/>
    <x v="0"/>
    <n v="8"/>
    <n v="3410"/>
    <d v="2015-02-21T01:25:00"/>
    <d v="2015-02-21T03:32:00"/>
    <n v="300"/>
    <n v="528"/>
    <n v="479"/>
    <s v="Feedwater pump"/>
    <s v="Load Reduction #63-2 BFPT servo failed."/>
    <s v="Ghent"/>
    <x v="0"/>
    <s v="Coal"/>
    <x v="2"/>
    <x v="2"/>
    <n v="2"/>
    <n v="2.1166666665812954"/>
    <n v="0.91401515147828671"/>
    <n v="437.81325755809934"/>
    <n v="206.84090909090909"/>
    <x v="144"/>
  </r>
  <r>
    <x v="5"/>
    <x v="0"/>
    <n v="9"/>
    <n v="250"/>
    <d v="2015-03-16T09:42:00"/>
    <d v="2015-03-16T10:05:00"/>
    <n v="390"/>
    <n v="528"/>
    <n v="479"/>
    <s v="Pulverizer feeders"/>
    <s v="Load Reduction #73-3 Feeder tripped; plugged outlet due to wet coal."/>
    <s v="Ghent"/>
    <x v="0"/>
    <s v="Coal"/>
    <x v="2"/>
    <x v="2"/>
    <n v="3"/>
    <n v="0.38333333336049691"/>
    <n v="0.10018939394649351"/>
    <n v="47.990719700370391"/>
    <n v="125.19318181818181"/>
    <x v="141"/>
  </r>
  <r>
    <x v="5"/>
    <x v="1"/>
    <n v="10"/>
    <n v="1100"/>
    <d v="2015-03-21T00:00:00"/>
    <d v="2015-03-21T03:54:00"/>
    <n v="220"/>
    <n v="528"/>
    <n v="479"/>
    <s v="Waterwall (Furnace wall) B"/>
    <s v="Load Reduction #8Load reduced for boiler deslag."/>
    <s v="Ghent"/>
    <x v="0"/>
    <s v="Coal"/>
    <x v="2"/>
    <x v="2"/>
    <n v="3"/>
    <n v="3.8999999999650754"/>
    <n v="2.2749999999796273"/>
    <n v="1089.7249999902415"/>
    <n v="279.41666666666669"/>
    <x v="195"/>
  </r>
  <r>
    <x v="5"/>
    <x v="1"/>
    <n v="11"/>
    <n v="1100"/>
    <d v="2015-03-29T13:00:00"/>
    <d v="2015-03-29T16:33:00"/>
    <n v="220"/>
    <n v="528"/>
    <n v="479"/>
    <s v="Waterwall (Furnace wall) B"/>
    <s v="Load Reduction #9Load reduced for boiler deslag."/>
    <s v="Ghent"/>
    <x v="0"/>
    <s v="Coal"/>
    <x v="2"/>
    <x v="2"/>
    <n v="3"/>
    <n v="3.5500000000465661"/>
    <n v="2.0708333333604969"/>
    <n v="991.92916667967802"/>
    <n v="279.41666666666669"/>
    <x v="195"/>
  </r>
  <r>
    <x v="5"/>
    <x v="0"/>
    <n v="12"/>
    <n v="4499"/>
    <d v="2015-04-01T06:42:00"/>
    <d v="2015-04-13T02:07:00"/>
    <n v="522"/>
    <n v="528"/>
    <n v="479"/>
    <s v="Other miscellaneous steam turbine problems"/>
    <s v="Load Reduction #10Turbine copper deposition."/>
    <s v="Ghent"/>
    <x v="0"/>
    <s v="Coal"/>
    <x v="2"/>
    <x v="2"/>
    <n v="4"/>
    <n v="283.41666666656965"/>
    <n v="3.2206439393928368"/>
    <n v="1542.6884469691688"/>
    <n v="5.4431818181818183"/>
    <x v="166"/>
  </r>
  <r>
    <x v="5"/>
    <x v="0"/>
    <n v="13"/>
    <n v="270"/>
    <d v="2015-04-13T02:07:00"/>
    <d v="2015-04-13T08:35:00"/>
    <n v="229"/>
    <n v="528"/>
    <n v="479"/>
    <s v="Primary air duct and dampers"/>
    <s v="Load Reduction #11U3 Boiler tripped due to low PA duct pressure."/>
    <s v="Ghent"/>
    <x v="0"/>
    <s v="Coal"/>
    <x v="2"/>
    <x v="2"/>
    <n v="4"/>
    <n v="6.466666666790843"/>
    <n v="3.6619949495652691"/>
    <n v="1754.0955808417639"/>
    <n v="271.25189393939394"/>
    <x v="97"/>
  </r>
  <r>
    <x v="5"/>
    <x v="0"/>
    <n v="14"/>
    <n v="4499"/>
    <d v="2015-04-13T08:35:00"/>
    <d v="2015-04-17T07:28:00"/>
    <n v="522"/>
    <n v="528"/>
    <n v="479"/>
    <s v="Other miscellaneous steam turbine problems"/>
    <s v="Load Reduction #12Unable to make summer high rate because of turbine copper deposi"/>
    <s v="Ghent"/>
    <x v="0"/>
    <s v="Coal"/>
    <x v="2"/>
    <x v="2"/>
    <n v="4"/>
    <n v="94.883333333360497"/>
    <n v="1.0782196969700057"/>
    <n v="516.46723484863276"/>
    <n v="5.4431818181818183"/>
    <x v="166"/>
  </r>
  <r>
    <x v="5"/>
    <x v="0"/>
    <n v="15"/>
    <n v="250"/>
    <d v="2015-04-17T07:28:00"/>
    <d v="2015-04-17T08:18:00"/>
    <n v="434"/>
    <n v="528"/>
    <n v="479"/>
    <s v="Pulverizer feeders"/>
    <s v="Load Reduction #133-1 Feeder tripped when the feeder belt splice failed."/>
    <s v="Ghent"/>
    <x v="0"/>
    <s v="Coal"/>
    <x v="2"/>
    <x v="2"/>
    <n v="4"/>
    <n v="0.83333333325572312"/>
    <n v="0.14835858584476888"/>
    <n v="71.063762619644294"/>
    <n v="85.276515151515156"/>
    <x v="196"/>
  </r>
  <r>
    <x v="5"/>
    <x v="0"/>
    <n v="16"/>
    <n v="4499"/>
    <d v="2015-04-17T08:18:00"/>
    <d v="2015-04-18T09:23:00"/>
    <n v="515"/>
    <n v="528"/>
    <n v="479"/>
    <s v="Other miscellaneous steam turbine problems"/>
    <s v="Load Reduction #14Unable to make summer high rate because of turbine copper deposi"/>
    <s v="Ghent"/>
    <x v="0"/>
    <s v="Coal"/>
    <x v="2"/>
    <x v="2"/>
    <n v="4"/>
    <n v="25.083333333372138"/>
    <n v="0.61758207070802618"/>
    <n v="295.82181186914454"/>
    <n v="11.793560606060606"/>
    <x v="24"/>
  </r>
  <r>
    <x v="5"/>
    <x v="5"/>
    <n v="17"/>
    <n v="270"/>
    <d v="2015-04-18T09:23:00"/>
    <d v="2015-04-19T20:14:00"/>
    <n v="0"/>
    <n v="528"/>
    <n v="479"/>
    <s v="Primary air duct and dampers"/>
    <s v="Outage #3Air Heater seals are leaking badly on the unit causing large swings in th"/>
    <s v="Ghent"/>
    <x v="3"/>
    <s v="Coal"/>
    <x v="2"/>
    <x v="2"/>
    <n v="4"/>
    <n v="34.849999999918509"/>
    <n v="34.849999999918509"/>
    <n v="16693.149999960966"/>
    <n v="479"/>
    <x v="163"/>
  </r>
  <r>
    <x v="5"/>
    <x v="0"/>
    <n v="18"/>
    <n v="4499"/>
    <d v="2015-04-20T05:36:00"/>
    <d v="2015-05-11T08:42:00"/>
    <n v="516"/>
    <n v="528"/>
    <n v="479"/>
    <s v="Other miscellaneous steam turbine problems"/>
    <s v="Load Reduction #15Unable to make summer high rate because of turbine copper deposi"/>
    <s v="Ghent"/>
    <x v="0"/>
    <s v="Coal"/>
    <x v="2"/>
    <x v="2"/>
    <n v="4"/>
    <n v="507.10000000015134"/>
    <n v="11.525000000003439"/>
    <n v="5520.4750000016475"/>
    <n v="10.886363636363637"/>
    <x v="197"/>
  </r>
  <r>
    <x v="5"/>
    <x v="4"/>
    <n v="19"/>
    <n v="1488"/>
    <d v="2015-05-11T08:42:00"/>
    <d v="2015-05-19T01:21:00"/>
    <n v="0"/>
    <n v="528"/>
    <n v="479"/>
    <s v="Air heater (regenerative)"/>
    <s v="F060Outage #4Air heater seals are leaking badly causing large swings in furnace an"/>
    <s v="Ghent"/>
    <x v="2"/>
    <s v="Coal"/>
    <x v="2"/>
    <x v="2"/>
    <n v="5"/>
    <n v="184.64999999996508"/>
    <n v="184.64999999996508"/>
    <n v="88447.349999983271"/>
    <n v="479"/>
    <x v="163"/>
  </r>
  <r>
    <x v="5"/>
    <x v="0"/>
    <n v="20"/>
    <n v="1850"/>
    <d v="2015-05-19T09:28:00"/>
    <d v="2015-05-19T14:30:00"/>
    <n v="458"/>
    <n v="528"/>
    <n v="479"/>
    <s v="Boiler water condition (not feedwater water quality)"/>
    <s v="Load Reduction #16The unit was limited due to high boiler drum silica following st"/>
    <s v="Ghent"/>
    <x v="0"/>
    <s v="Coal"/>
    <x v="2"/>
    <x v="2"/>
    <n v="5"/>
    <n v="5.0333333333255723"/>
    <n v="0.66729797979695082"/>
    <n v="319.63573232273944"/>
    <n v="63.503787878787875"/>
    <x v="30"/>
  </r>
  <r>
    <x v="5"/>
    <x v="0"/>
    <n v="21"/>
    <n v="250"/>
    <d v="2015-05-24T19:43:00"/>
    <d v="2015-05-24T20:11:00"/>
    <n v="435"/>
    <n v="528"/>
    <n v="479"/>
    <s v="Pulverizer feeders"/>
    <s v="Load Reduction #173-1 Feeder tripped for no apparent reason."/>
    <s v="Ghent"/>
    <x v="0"/>
    <s v="Coal"/>
    <x v="2"/>
    <x v="2"/>
    <n v="5"/>
    <n v="0.46666666661622003"/>
    <n v="8.2196969688084209E-2"/>
    <n v="39.372348480592336"/>
    <n v="84.369318181818187"/>
    <x v="136"/>
  </r>
  <r>
    <x v="5"/>
    <x v="5"/>
    <n v="22"/>
    <n v="1080"/>
    <d v="2015-06-10T22:27:00"/>
    <d v="2015-06-12T07:13:00"/>
    <n v="0"/>
    <n v="528"/>
    <n v="479"/>
    <s v="Economizer B"/>
    <s v="F540Outage #5Unit 3 was removed from service after peak with an economizer tube le"/>
    <s v="Ghent"/>
    <x v="3"/>
    <s v="Coal"/>
    <x v="2"/>
    <x v="2"/>
    <n v="6"/>
    <n v="32.766666666604578"/>
    <n v="32.766666666604578"/>
    <n v="15695.233333303593"/>
    <n v="479"/>
    <x v="163"/>
  </r>
  <r>
    <x v="5"/>
    <x v="5"/>
    <n v="23"/>
    <n v="1000"/>
    <d v="2015-06-13T20:24:00"/>
    <d v="2015-06-14T23:41:00"/>
    <n v="0"/>
    <n v="528"/>
    <n v="479"/>
    <s v="Waterwall (Furnace wall) A"/>
    <s v="Outage #6A tube leak could be heard, but location could not be detected in the upp"/>
    <s v="Ghent"/>
    <x v="3"/>
    <s v="Coal"/>
    <x v="2"/>
    <x v="2"/>
    <n v="6"/>
    <n v="27.28333333338378"/>
    <n v="27.28333333338378"/>
    <n v="13068.716666690831"/>
    <n v="479"/>
    <x v="163"/>
  </r>
  <r>
    <x v="5"/>
    <x v="4"/>
    <n v="24"/>
    <n v="1000"/>
    <d v="2015-06-19T17:46:00"/>
    <d v="2015-06-21T14:24:00"/>
    <n v="0"/>
    <n v="528"/>
    <n v="479"/>
    <s v="Waterwall (Furnace wall) A"/>
    <s v="F540Outage #7Small tube leak could be heard, but location could not be detected in"/>
    <s v="Ghent"/>
    <x v="2"/>
    <s v="Coal"/>
    <x v="2"/>
    <x v="2"/>
    <n v="6"/>
    <n v="44.633333333360497"/>
    <n v="44.633333333360497"/>
    <n v="21379.366666679678"/>
    <n v="479"/>
    <x v="163"/>
  </r>
  <r>
    <x v="5"/>
    <x v="0"/>
    <n v="25"/>
    <n v="3416"/>
    <d v="2015-07-13T01:23:00"/>
    <d v="2015-07-13T22:11:00"/>
    <n v="325"/>
    <n v="528"/>
    <n v="479"/>
    <s v="Other feedwater pump problems"/>
    <s v="Load Reduction #183-1 BFPT expansion joint failed."/>
    <s v="Ghent"/>
    <x v="0"/>
    <s v="Coal"/>
    <x v="2"/>
    <x v="2"/>
    <n v="7"/>
    <n v="20.800000000046566"/>
    <n v="7.9969696969876001"/>
    <n v="3830.5484848570604"/>
    <n v="184.16098484848484"/>
    <x v="186"/>
  </r>
  <r>
    <x v="5"/>
    <x v="0"/>
    <n v="26"/>
    <n v="250"/>
    <d v="2015-08-03T13:41:00"/>
    <d v="2015-08-03T14:57:00"/>
    <n v="410"/>
    <n v="528"/>
    <n v="479"/>
    <s v="Pulverizer feeders"/>
    <s v="Load Reduction #193-3 Feeder tripped for no apparent reason.  Motor overloads trip"/>
    <s v="Ghent"/>
    <x v="0"/>
    <s v="Coal"/>
    <x v="2"/>
    <x v="2"/>
    <n v="8"/>
    <n v="1.2666666666045785"/>
    <n v="0.28308080806693231"/>
    <n v="135.59570706406058"/>
    <n v="107.04924242424242"/>
    <x v="4"/>
  </r>
  <r>
    <x v="5"/>
    <x v="10"/>
    <n v="27"/>
    <n v="1040"/>
    <d v="2015-08-14T02:20:00"/>
    <d v="2015-08-15T21:10:00"/>
    <n v="0"/>
    <n v="528"/>
    <n v="479"/>
    <s v="First superheater B"/>
    <s v="Outage #8Primary Superheater developed a tube leak that required the unit to be re"/>
    <s v="Ghent"/>
    <x v="3"/>
    <s v="Coal"/>
    <x v="2"/>
    <x v="2"/>
    <n v="8"/>
    <n v="42.833333333430346"/>
    <n v="42.833333333430346"/>
    <n v="20517.166666713136"/>
    <n v="479"/>
    <x v="163"/>
  </r>
  <r>
    <x v="5"/>
    <x v="1"/>
    <n v="29"/>
    <n v="3410"/>
    <d v="2015-08-17T22:30:00"/>
    <d v="2015-08-17T23:57:00"/>
    <n v="300"/>
    <n v="528"/>
    <n v="479"/>
    <s v="Feedwater pump"/>
    <s v="Load Reduction #203-1 BFP off to troubleshoot latching issues."/>
    <s v="Ghent"/>
    <x v="0"/>
    <s v="Coal"/>
    <x v="2"/>
    <x v="2"/>
    <n v="8"/>
    <n v="1.4500000000116415"/>
    <n v="0.62613636364139069"/>
    <n v="299.91931818422614"/>
    <n v="206.84090909090909"/>
    <x v="144"/>
  </r>
  <r>
    <x v="5"/>
    <x v="0"/>
    <n v="30"/>
    <n v="1415"/>
    <d v="2015-08-24T07:01:00"/>
    <d v="2015-08-24T07:16:00"/>
    <n v="500"/>
    <n v="528"/>
    <n v="479"/>
    <s v="Forced draft fan controls"/>
    <s v="Load Reduction #213-1 FD fan inlet vane stopped operating.  Controls locked out wh"/>
    <s v="Ghent"/>
    <x v="0"/>
    <s v="Coal"/>
    <x v="2"/>
    <x v="2"/>
    <n v="8"/>
    <n v="0.24999999994179234"/>
    <n v="1.3257575754488988E-2"/>
    <n v="6.350378786400225"/>
    <n v="25.401515151515152"/>
    <x v="80"/>
  </r>
  <r>
    <x v="5"/>
    <x v="5"/>
    <n v="31"/>
    <n v="1080"/>
    <d v="2015-08-30T10:52:00"/>
    <d v="2015-09-02T14:15:00"/>
    <n v="0"/>
    <n v="528"/>
    <n v="479"/>
    <s v="Economizer B"/>
    <s v="Outage #10Unit 3 developed a tube leak in the Economizer section of the Boiler.  R"/>
    <s v="Ghent"/>
    <x v="3"/>
    <s v="Coal"/>
    <x v="2"/>
    <x v="2"/>
    <n v="8"/>
    <n v="75.383333333360497"/>
    <n v="75.383333333360497"/>
    <n v="36108.616666679678"/>
    <n v="479"/>
    <x v="163"/>
  </r>
  <r>
    <x v="5"/>
    <x v="10"/>
    <n v="32"/>
    <n v="500"/>
    <d v="2015-09-02T16:17:00"/>
    <d v="2015-09-03T02:35:00"/>
    <n v="0"/>
    <n v="528"/>
    <n v="479"/>
    <s v="Main steam piping up to turbine stop valves"/>
    <s v="Outage #11Unit 3 developed a leak in the Main Steam line drain line just before th"/>
    <s v="Ghent"/>
    <x v="3"/>
    <s v="Coal"/>
    <x v="2"/>
    <x v="2"/>
    <n v="9"/>
    <n v="10.300000000046566"/>
    <n v="10.300000000046566"/>
    <n v="4933.7000000223052"/>
    <n v="479"/>
    <x v="163"/>
  </r>
  <r>
    <x v="5"/>
    <x v="1"/>
    <n v="33"/>
    <n v="1412"/>
    <d v="2015-10-06T23:45:00"/>
    <d v="2015-10-07T02:14:00"/>
    <n v="200"/>
    <n v="528"/>
    <n v="479"/>
    <s v="Forced draft fan drives (other than motor)"/>
    <s v="F930Load Reduction #223-1 FD fan inlet vane drive unit failed.  Had to gag damper "/>
    <s v="Ghent"/>
    <x v="0"/>
    <s v="Coal"/>
    <x v="2"/>
    <x v="2"/>
    <n v="10"/>
    <n v="2.4833333332207985"/>
    <n v="1.5426767676068598"/>
    <n v="738.94217168368584"/>
    <n v="297.56060606060606"/>
    <x v="174"/>
  </r>
  <r>
    <x v="5"/>
    <x v="6"/>
    <n v="34"/>
    <n v="4402"/>
    <d v="2015-10-16T12:44:00"/>
    <d v="2015-11-16T01:15:00"/>
    <n v="0"/>
    <n v="528"/>
    <n v="479"/>
    <s v="Minor turbine overhaul (less than 720 hrs.) (use for non-specific overhaul only; see page B-1)"/>
    <s v="F590Outage #12Unit 3 scheduled for Fall Planned Outage to do general maintenance a"/>
    <s v="Ghent"/>
    <x v="1"/>
    <s v="Coal"/>
    <x v="2"/>
    <x v="2"/>
    <n v="10"/>
    <n v="732.5166666667792"/>
    <n v="732.5166666667792"/>
    <n v="350875.48333338724"/>
    <n v="479"/>
    <x v="163"/>
  </r>
  <r>
    <x v="5"/>
    <x v="4"/>
    <n v="35"/>
    <n v="1050"/>
    <d v="2015-11-25T11:21:00"/>
    <d v="2015-11-26T07:07:00"/>
    <n v="0"/>
    <n v="528"/>
    <n v="479"/>
    <s v="Second superheater B"/>
    <s v="F540Outage #13Unit 3 was removed form service to repair a tube leak in the partiti"/>
    <s v="Ghent"/>
    <x v="2"/>
    <s v="Coal"/>
    <x v="2"/>
    <x v="2"/>
    <n v="11"/>
    <n v="19.766666666662786"/>
    <n v="19.766666666662786"/>
    <n v="9468.2333333314746"/>
    <n v="479"/>
    <x v="163"/>
  </r>
  <r>
    <x v="5"/>
    <x v="0"/>
    <n v="36"/>
    <n v="340"/>
    <d v="2015-12-03T15:56:00"/>
    <d v="2015-12-03T17:56:00"/>
    <n v="425"/>
    <n v="528"/>
    <n v="479"/>
    <s v="Other pulverizer problems"/>
    <s v="Load Reduction #233-3 and 3-4 Mill worm gear packing failed.  3-4 Mill caught fire"/>
    <s v="Ghent"/>
    <x v="0"/>
    <s v="Coal"/>
    <x v="2"/>
    <x v="2"/>
    <n v="12"/>
    <n v="1.9999999998835847"/>
    <n v="0.39015151512880536"/>
    <n v="186.88257574669777"/>
    <n v="93.441287878787875"/>
    <x v="129"/>
  </r>
  <r>
    <x v="5"/>
    <x v="0"/>
    <n v="37"/>
    <n v="340"/>
    <d v="2015-12-20T09:35:00"/>
    <d v="2015-12-20T11:47:00"/>
    <n v="480"/>
    <n v="528"/>
    <n v="479"/>
    <s v="Other pulverizer problems"/>
    <s v="Load Reduction #243-3 Mill had blown fuses not allowing the feeder to go above min"/>
    <s v="Ghent"/>
    <x v="0"/>
    <s v="Coal"/>
    <x v="2"/>
    <x v="2"/>
    <n v="12"/>
    <n v="2.2000000000116415"/>
    <n v="0.20000000000105833"/>
    <n v="95.800000000506941"/>
    <n v="43.545454545454547"/>
    <x v="176"/>
  </r>
  <r>
    <x v="5"/>
    <x v="0"/>
    <n v="1"/>
    <n v="250"/>
    <d v="2016-01-04T07:28:00"/>
    <d v="2016-01-04T08:33:00"/>
    <n v="450"/>
    <n v="528"/>
    <n v="479"/>
    <s v="Pulverizer feeders"/>
    <s v="Load Reduction #13-5 Feeder speed sensor failed.  Unable to get feeder above 50%."/>
    <s v="Ghent"/>
    <x v="0"/>
    <s v="Coal"/>
    <x v="2"/>
    <x v="3"/>
    <n v="1"/>
    <n v="1.0833333331975155"/>
    <n v="0.16003787876781478"/>
    <n v="76.658143929783279"/>
    <n v="70.76136363636364"/>
    <x v="165"/>
  </r>
  <r>
    <x v="5"/>
    <x v="4"/>
    <n v="2"/>
    <n v="1050"/>
    <d v="2016-01-08T22:19:00"/>
    <d v="2016-01-09T22:17:00"/>
    <n v="0"/>
    <n v="528"/>
    <n v="479"/>
    <s v="Second superheater B"/>
    <s v="F540Outage #1Unit 3 was removed from service to repair a finishing superheat tube "/>
    <s v="Ghent"/>
    <x v="2"/>
    <s v="Coal"/>
    <x v="2"/>
    <x v="3"/>
    <n v="1"/>
    <n v="23.966666666732635"/>
    <n v="23.966666666732635"/>
    <n v="11480.033333364932"/>
    <n v="479"/>
    <x v="163"/>
  </r>
  <r>
    <x v="5"/>
    <x v="5"/>
    <n v="3"/>
    <n v="4800"/>
    <d v="2016-01-11T11:50:00"/>
    <d v="2016-01-13T01:20:00"/>
    <n v="0"/>
    <n v="528"/>
    <n v="479"/>
    <s v="Generator main leads"/>
    <s v="Outage #2Unit 3 was removed from service due to generator bus duct overheating."/>
    <s v="Ghent"/>
    <x v="3"/>
    <s v="Coal"/>
    <x v="2"/>
    <x v="3"/>
    <n v="1"/>
    <n v="37.5"/>
    <n v="37.5"/>
    <n v="17962.5"/>
    <n v="479"/>
    <x v="163"/>
  </r>
  <r>
    <x v="5"/>
    <x v="4"/>
    <n v="5"/>
    <n v="1060"/>
    <d v="2016-03-08T14:26:00"/>
    <d v="2016-03-09T05:41:00"/>
    <n v="0"/>
    <n v="528"/>
    <n v="479"/>
    <s v="First reheater A"/>
    <s v="F540Outage #4Unit 3 Reserve Outage was changed to a Maintenance Outage to repair a"/>
    <s v="Ghent"/>
    <x v="2"/>
    <s v="Coal"/>
    <x v="2"/>
    <x v="3"/>
    <n v="3"/>
    <n v="15.249999999941792"/>
    <n v="15.249999999941792"/>
    <n v="7304.7499999721185"/>
    <n v="479"/>
    <x v="163"/>
  </r>
  <r>
    <x v="5"/>
    <x v="0"/>
    <n v="7"/>
    <n v="1150"/>
    <d v="2016-04-08T23:00:00"/>
    <d v="2016-04-09T03:00:00"/>
    <n v="200"/>
    <n v="528"/>
    <n v="479"/>
    <s v="Second superheater A"/>
    <s v="F830Load Reduction #2Load reduced to deslag the Finishing SH section of the boiler"/>
    <s v="Ghent"/>
    <x v="0"/>
    <s v="Coal"/>
    <x v="2"/>
    <x v="3"/>
    <n v="4"/>
    <n v="3.9999999999417923"/>
    <n v="2.4848484848123253"/>
    <n v="1190.2424242251038"/>
    <n v="297.56060606060606"/>
    <x v="174"/>
  </r>
  <r>
    <x v="5"/>
    <x v="4"/>
    <n v="8"/>
    <n v="1512"/>
    <d v="2016-05-05T08:31:00"/>
    <d v="2016-05-08T21:20:00"/>
    <n v="0"/>
    <n v="528"/>
    <n v="479"/>
    <s v="Flue gas expansion joints"/>
    <s v="F540Outage #6Unit 3 came off line to repair expansion joint damage."/>
    <s v="Ghent"/>
    <x v="2"/>
    <s v="Coal"/>
    <x v="2"/>
    <x v="3"/>
    <n v="5"/>
    <n v="84.816666666709352"/>
    <n v="84.816666666709352"/>
    <n v="40627.18333335378"/>
    <n v="479"/>
    <x v="163"/>
  </r>
  <r>
    <x v="5"/>
    <x v="0"/>
    <n v="9"/>
    <n v="346"/>
    <d v="2016-05-14T08:53:00"/>
    <d v="2016-05-14T12:30:00"/>
    <n v="420"/>
    <n v="528"/>
    <n v="479"/>
    <s v="Pulverizer pyrite removal system"/>
    <s v="Load Reduction #33-4 Mill was making noise in the grinding and pyrite section.  Th"/>
    <s v="Ghent"/>
    <x v="0"/>
    <s v="Coal"/>
    <x v="2"/>
    <x v="3"/>
    <n v="5"/>
    <n v="3.6166666667559184"/>
    <n v="0.73977272729098331"/>
    <n v="354.35113637238101"/>
    <n v="97.977272727272734"/>
    <x v="190"/>
  </r>
  <r>
    <x v="5"/>
    <x v="0"/>
    <n v="10"/>
    <n v="267"/>
    <d v="2016-05-19T14:11:00"/>
    <d v="2016-05-19T14:41:00"/>
    <n v="425"/>
    <n v="528"/>
    <n v="479"/>
    <s v="Primary air flow instrumentation"/>
    <s v="Load Reduction #43-4 Mill was removed from service when the PA flow indication wen"/>
    <s v="Ghent"/>
    <x v="0"/>
    <s v="Coal"/>
    <x v="2"/>
    <x v="3"/>
    <n v="5"/>
    <n v="0.50000000005820766"/>
    <n v="9.7537878799233688E-2"/>
    <n v="46.720643944832936"/>
    <n v="93.441287878787875"/>
    <x v="129"/>
  </r>
  <r>
    <x v="5"/>
    <x v="1"/>
    <n v="11"/>
    <n v="250"/>
    <d v="2016-05-20T01:30:00"/>
    <d v="2016-05-20T04:02:00"/>
    <n v="420"/>
    <n v="528"/>
    <n v="479"/>
    <s v="Pulverizer feeders"/>
    <s v="Load Reduction #53-3 Feeder calibration."/>
    <s v="Ghent"/>
    <x v="0"/>
    <s v="Coal"/>
    <x v="2"/>
    <x v="3"/>
    <n v="5"/>
    <n v="2.53333333338378"/>
    <n v="0.51818181819213682"/>
    <n v="248.20909091403354"/>
    <n v="97.977272727272734"/>
    <x v="190"/>
  </r>
  <r>
    <x v="5"/>
    <x v="4"/>
    <n v="12"/>
    <n v="1480"/>
    <d v="2016-05-20T09:43:00"/>
    <d v="2016-05-30T16:28:00"/>
    <n v="0"/>
    <n v="528"/>
    <n v="479"/>
    <s v="Other induced draft fan problems"/>
    <s v="F590Outage #7Unit 3 was removed from service to replace the ID fan discharge duct "/>
    <s v="Ghent"/>
    <x v="2"/>
    <s v="Coal"/>
    <x v="2"/>
    <x v="3"/>
    <n v="5"/>
    <n v="246.75"/>
    <n v="246.75"/>
    <n v="118193.25"/>
    <n v="479"/>
    <x v="163"/>
  </r>
  <r>
    <x v="5"/>
    <x v="0"/>
    <n v="13"/>
    <n v="1850"/>
    <d v="2016-05-31T03:35:00"/>
    <d v="2016-05-31T07:40:00"/>
    <n v="508"/>
    <n v="528"/>
    <n v="479"/>
    <s v="Boiler water condition (not feedwater water quality)"/>
    <s v="FA00Load Reduction #6Following unit start up the load was reduced due to high boil"/>
    <s v="Ghent"/>
    <x v="0"/>
    <s v="Coal"/>
    <x v="2"/>
    <x v="3"/>
    <n v="5"/>
    <n v="4.0833333333721384"/>
    <n v="0.15467171717318706"/>
    <n v="74.087752525956603"/>
    <n v="18.143939393939394"/>
    <x v="5"/>
  </r>
  <r>
    <x v="5"/>
    <x v="0"/>
    <n v="14"/>
    <n v="1470"/>
    <d v="2016-06-02T07:21:00"/>
    <d v="2016-06-02T08:54:00"/>
    <n v="460"/>
    <n v="528"/>
    <n v="479"/>
    <s v="Induced draft fan motors and drives"/>
    <s v="Load Reduction #73-2A ID fan tripped due to a control problem.  The fan tripped wh"/>
    <s v="Ghent"/>
    <x v="0"/>
    <s v="Coal"/>
    <x v="2"/>
    <x v="3"/>
    <n v="6"/>
    <n v="1.5499999999883585"/>
    <n v="0.19962121211971284"/>
    <n v="95.618560605342452"/>
    <n v="61.689393939393938"/>
    <x v="171"/>
  </r>
  <r>
    <x v="5"/>
    <x v="0"/>
    <n v="15"/>
    <n v="4291"/>
    <d v="2016-06-08T22:00:00"/>
    <d v="2016-06-09T03:06:00"/>
    <n v="445"/>
    <n v="528"/>
    <n v="479"/>
    <s v="Hydraulic system coolers"/>
    <s v="F830Load Reduction #8Unit 3 was derated to investigate an H2 cooler leaks, 1 coole"/>
    <s v="Ghent"/>
    <x v="0"/>
    <s v="Coal"/>
    <x v="2"/>
    <x v="3"/>
    <n v="6"/>
    <n v="5.1000000000349246"/>
    <n v="0.80170454546003544"/>
    <n v="384.01647727535698"/>
    <n v="75.297348484848484"/>
    <x v="34"/>
  </r>
  <r>
    <x v="5"/>
    <x v="5"/>
    <n v="16"/>
    <n v="4291"/>
    <d v="2016-06-09T06:47:00"/>
    <d v="2016-06-09T18:19:00"/>
    <n v="0"/>
    <n v="528"/>
    <n v="479"/>
    <s v="Hydraulic system coolers"/>
    <s v="F830Outage #8Unit 3 was removed from service to investigate an H2 cooler leak."/>
    <s v="Ghent"/>
    <x v="3"/>
    <s v="Coal"/>
    <x v="2"/>
    <x v="3"/>
    <n v="6"/>
    <n v="11.53333333338378"/>
    <n v="11.53333333338378"/>
    <n v="5524.4666666908306"/>
    <n v="479"/>
    <x v="163"/>
  </r>
  <r>
    <x v="5"/>
    <x v="4"/>
    <n v="17"/>
    <n v="4291"/>
    <d v="2016-06-09T18:19:00"/>
    <d v="2016-06-10T09:20:00"/>
    <n v="0"/>
    <n v="528"/>
    <n v="479"/>
    <s v="Hydraulic system coolers"/>
    <s v="F540Outage #9The unit was removed from service on a Forced outage for an H2 cooler"/>
    <s v="Ghent"/>
    <x v="2"/>
    <s v="Coal"/>
    <x v="2"/>
    <x v="3"/>
    <n v="6"/>
    <n v="15.016666666720994"/>
    <n v="15.016666666720994"/>
    <n v="7192.983333359356"/>
    <n v="479"/>
    <x v="163"/>
  </r>
  <r>
    <x v="5"/>
    <x v="5"/>
    <n v="18"/>
    <n v="4261"/>
    <d v="2016-06-11T17:43:00"/>
    <d v="2016-06-11T19:20:00"/>
    <n v="0"/>
    <n v="528"/>
    <n v="479"/>
    <s v="Control valves"/>
    <s v="F830Outage #10Unit 3 was removed from service when an EH leak was detected at the "/>
    <s v="Ghent"/>
    <x v="3"/>
    <s v="Coal"/>
    <x v="2"/>
    <x v="3"/>
    <n v="6"/>
    <n v="1.6166666666977108"/>
    <n v="1.6166666666977108"/>
    <n v="774.38333334820345"/>
    <n v="479"/>
    <x v="163"/>
  </r>
  <r>
    <x v="5"/>
    <x v="5"/>
    <n v="19"/>
    <n v="4500"/>
    <d v="2016-06-11T19:20:00"/>
    <d v="2016-06-15T17:45:00"/>
    <n v="0"/>
    <n v="528"/>
    <n v="479"/>
    <s v="Rotor windings (including damper windings and fan blades on hydro units)"/>
    <s v="F540Outage #11Unit 3 generator could not be put in service due to a generator grou"/>
    <s v="Ghent"/>
    <x v="3"/>
    <s v="Coal"/>
    <x v="2"/>
    <x v="3"/>
    <n v="6"/>
    <n v="94.416666666744277"/>
    <n v="94.416666666744277"/>
    <n v="45225.583333370509"/>
    <n v="479"/>
    <x v="163"/>
  </r>
  <r>
    <x v="5"/>
    <x v="0"/>
    <n v="20"/>
    <n v="4291"/>
    <d v="2016-06-17T05:40:00"/>
    <d v="2016-06-17T07:58:00"/>
    <n v="445"/>
    <n v="528"/>
    <n v="479"/>
    <s v="Hydraulic system coolers"/>
    <s v="Load Reduction #9Unit 3 was derated to investigate an H2 cooler leaks, 1 cooler at"/>
    <s v="Ghent"/>
    <x v="0"/>
    <s v="Coal"/>
    <x v="2"/>
    <x v="3"/>
    <n v="6"/>
    <n v="2.2999999999883585"/>
    <n v="0.36155303030120028"/>
    <n v="173.18390151427494"/>
    <n v="75.297348484848484"/>
    <x v="34"/>
  </r>
  <r>
    <x v="5"/>
    <x v="5"/>
    <n v="21"/>
    <n v="1040"/>
    <d v="2016-07-01T21:22:00"/>
    <d v="2016-07-03T05:06:00"/>
    <n v="0"/>
    <n v="528"/>
    <n v="479"/>
    <s v="First superheater B"/>
    <s v="F830Outage #12Unit 3 was removed from service due to a boiler superheat tube leak."/>
    <s v="Ghent"/>
    <x v="3"/>
    <s v="Coal"/>
    <x v="2"/>
    <x v="3"/>
    <n v="7"/>
    <n v="31.733333333395422"/>
    <n v="31.733333333395422"/>
    <n v="15200.266666696407"/>
    <n v="479"/>
    <x v="163"/>
  </r>
  <r>
    <x v="5"/>
    <x v="1"/>
    <n v="22"/>
    <n v="1470"/>
    <d v="2016-07-09T01:45:00"/>
    <d v="2016-07-09T03:00:00"/>
    <n v="400"/>
    <n v="528"/>
    <n v="479"/>
    <s v="Induced draft fan motors and drives"/>
    <s v="F590Load Reduction #103-2B ID fan was removed from service to reset the VFD.  Two "/>
    <s v="Ghent"/>
    <x v="0"/>
    <s v="Coal"/>
    <x v="2"/>
    <x v="3"/>
    <n v="7"/>
    <n v="1.2500000000582077"/>
    <n v="0.30303030304441397"/>
    <n v="145.15151515827429"/>
    <n v="116.12121212121212"/>
    <x v="164"/>
  </r>
  <r>
    <x v="5"/>
    <x v="0"/>
    <n v="23"/>
    <n v="1040"/>
    <d v="2016-07-19T10:06:00"/>
    <d v="2016-07-19T21:37:00"/>
    <n v="378"/>
    <n v="528"/>
    <n v="479"/>
    <s v="First superheater B"/>
    <s v="F830Load Reduction #11U3 Boiler drum pressure was dropped until after peak due to "/>
    <s v="Ghent"/>
    <x v="0"/>
    <s v="Coal"/>
    <x v="2"/>
    <x v="3"/>
    <n v="7"/>
    <n v="11.516666666662786"/>
    <n v="3.2717803030292005"/>
    <n v="1567.1827651509871"/>
    <n v="136.07954545454547"/>
    <x v="62"/>
  </r>
  <r>
    <x v="5"/>
    <x v="10"/>
    <n v="24"/>
    <n v="1040"/>
    <d v="2016-07-19T21:37:00"/>
    <d v="2016-07-20T18:32:00"/>
    <n v="0"/>
    <n v="528"/>
    <n v="479"/>
    <s v="First superheater B"/>
    <s v="F540Outage #13The unit was removed from service due to a Primary SH tube leak. The"/>
    <s v="Ghent"/>
    <x v="3"/>
    <s v="Coal"/>
    <x v="2"/>
    <x v="3"/>
    <n v="7"/>
    <n v="20.916666666744277"/>
    <n v="20.916666666744277"/>
    <n v="10019.083333370509"/>
    <n v="479"/>
    <x v="163"/>
  </r>
  <r>
    <x v="5"/>
    <x v="0"/>
    <n v="25"/>
    <n v="340"/>
    <d v="2016-08-06T16:07:00"/>
    <d v="2016-08-06T17:57:00"/>
    <n v="440"/>
    <n v="528"/>
    <n v="479"/>
    <s v="Other pulverizer problems"/>
    <s v="Load Reduction #12Operations removed 3-2 Mill from service when a coal leak develo"/>
    <s v="Ghent"/>
    <x v="0"/>
    <s v="Coal"/>
    <x v="2"/>
    <x v="3"/>
    <n v="8"/>
    <n v="1.8333333333721384"/>
    <n v="0.30555555556202307"/>
    <n v="146.36111111420905"/>
    <n v="79.833333333333329"/>
    <x v="192"/>
  </r>
  <r>
    <x v="5"/>
    <x v="5"/>
    <n v="26"/>
    <n v="1040"/>
    <d v="2016-08-12T01:09:00"/>
    <d v="2016-08-13T03:35:00"/>
    <n v="0"/>
    <n v="528"/>
    <n v="479"/>
    <s v="First superheater B"/>
    <s v="F830Outage #14The unit was removed from service due to a boiler Primary Superheat "/>
    <s v="Ghent"/>
    <x v="3"/>
    <s v="Coal"/>
    <x v="2"/>
    <x v="3"/>
    <n v="8"/>
    <n v="26.43333333323244"/>
    <n v="26.43333333323244"/>
    <n v="12661.566666618339"/>
    <n v="479"/>
    <x v="163"/>
  </r>
  <r>
    <x v="5"/>
    <x v="0"/>
    <n v="27"/>
    <n v="1457"/>
    <d v="2016-09-09T20:46:00"/>
    <d v="2016-09-10T00:20:00"/>
    <n v="450"/>
    <n v="528"/>
    <n v="479"/>
    <s v="Induced draft fan lubrication systems"/>
    <s v="Load Reduction #133-1A ID fan tripped when the lube oil reservoir temperature tran"/>
    <s v="Ghent"/>
    <x v="0"/>
    <s v="Coal"/>
    <x v="2"/>
    <x v="3"/>
    <n v="9"/>
    <n v="3.5666666667675599"/>
    <n v="0.5268939394088441"/>
    <n v="252.38219697683633"/>
    <n v="70.76136363636364"/>
    <x v="165"/>
  </r>
  <r>
    <x v="5"/>
    <x v="5"/>
    <n v="28"/>
    <n v="1060"/>
    <d v="2016-09-22T02:36:00"/>
    <d v="2016-09-23T23:40:00"/>
    <n v="0"/>
    <n v="528"/>
    <n v="479"/>
    <s v="First reheater A"/>
    <s v="F830Outage #15U3 came off line with a Reheat tube leak."/>
    <s v="Ghent"/>
    <x v="3"/>
    <s v="Coal"/>
    <x v="2"/>
    <x v="3"/>
    <n v="9"/>
    <n v="45.066666666709352"/>
    <n v="45.066666666709352"/>
    <n v="21586.93333335378"/>
    <n v="479"/>
    <x v="163"/>
  </r>
  <r>
    <x v="5"/>
    <x v="4"/>
    <n v="29"/>
    <n v="1060"/>
    <d v="2016-09-28T08:08:00"/>
    <d v="2016-09-29T15:29:00"/>
    <n v="0"/>
    <n v="528"/>
    <n v="479"/>
    <s v="First reheater A"/>
    <s v="F540Outage #16U3 came off line on a Maintenance Outage due to a RH tube leak."/>
    <s v="Ghent"/>
    <x v="2"/>
    <s v="Coal"/>
    <x v="2"/>
    <x v="3"/>
    <n v="9"/>
    <n v="31.350000000034925"/>
    <n v="31.350000000034925"/>
    <n v="15016.650000016729"/>
    <n v="479"/>
    <x v="163"/>
  </r>
  <r>
    <x v="5"/>
    <x v="0"/>
    <n v="30"/>
    <n v="344"/>
    <d v="2016-10-18T06:45:00"/>
    <d v="2016-10-18T09:59:00"/>
    <n v="420"/>
    <n v="528"/>
    <n v="479"/>
    <s v="Pulverizer inspection"/>
    <s v="Load Reduction #143-4 Mill was removed from service to inspect due to loud noise."/>
    <s v="Ghent"/>
    <x v="0"/>
    <s v="Coal"/>
    <x v="2"/>
    <x v="3"/>
    <n v="10"/>
    <n v="3.2333333333954215"/>
    <n v="0.66136363637633622"/>
    <n v="316.79318182426505"/>
    <n v="97.977272727272734"/>
    <x v="190"/>
  </r>
  <r>
    <x v="5"/>
    <x v="0"/>
    <n v="31"/>
    <n v="340"/>
    <d v="2016-10-22T11:43:00"/>
    <d v="2016-10-29T15:54:00"/>
    <n v="425"/>
    <n v="528"/>
    <n v="479"/>
    <s v="Other pulverizer problems"/>
    <s v="Load Reduction #153-5 Mill upper radail bearing failed.  1-3 Mill was out of servi"/>
    <s v="Ghent"/>
    <x v="0"/>
    <s v="Coal"/>
    <x v="2"/>
    <x v="3"/>
    <n v="10"/>
    <n v="172.18333333334886"/>
    <n v="33.588794191922219"/>
    <n v="16089.032417930743"/>
    <n v="93.441287878787875"/>
    <x v="129"/>
  </r>
  <r>
    <x v="5"/>
    <x v="6"/>
    <n v="32"/>
    <n v="1801"/>
    <d v="2016-10-29T15:54:00"/>
    <d v="2016-11-18T19:57:00"/>
    <n v="0"/>
    <n v="528"/>
    <n v="479"/>
    <s v="Minor boiler overhaul (less than 720 hours) (use for non-specific overhaul only; see page B-1)"/>
    <s v="F590Outage #17Unit 3 Planned Fall Outage."/>
    <s v="Ghent"/>
    <x v="1"/>
    <s v="Coal"/>
    <x v="2"/>
    <x v="3"/>
    <n v="10"/>
    <n v="484.05000000010477"/>
    <n v="484.05000000010477"/>
    <n v="231859.95000005019"/>
    <n v="479"/>
    <x v="163"/>
  </r>
  <r>
    <x v="5"/>
    <x v="1"/>
    <n v="33"/>
    <n v="250"/>
    <d v="2016-11-22T11:05:00"/>
    <d v="2016-11-22T12:10:00"/>
    <n v="410"/>
    <n v="528"/>
    <n v="479"/>
    <s v="Pulverizer feeders"/>
    <s v="F060Load Reduction #163-1 Feeder belt splice came apart."/>
    <s v="Ghent"/>
    <x v="0"/>
    <s v="Coal"/>
    <x v="2"/>
    <x v="3"/>
    <n v="11"/>
    <n v="1.0833333333721384"/>
    <n v="0.24210858586725822"/>
    <n v="115.97001263041669"/>
    <n v="107.04924242424242"/>
    <x v="4"/>
  </r>
  <r>
    <x v="5"/>
    <x v="0"/>
    <n v="34"/>
    <n v="340"/>
    <d v="2016-11-25T09:21:00"/>
    <d v="2016-11-25T18:53:00"/>
    <n v="420"/>
    <n v="528"/>
    <n v="479"/>
    <s v="Other pulverizer problems"/>
    <s v="Load Reduction #173-4 Mill loaded up during start up.  Ops took the mill off and h"/>
    <s v="Ghent"/>
    <x v="0"/>
    <s v="Coal"/>
    <x v="2"/>
    <x v="3"/>
    <n v="11"/>
    <n v="9.5333333335001953"/>
    <n v="1.9500000000341309"/>
    <n v="934.05000001634869"/>
    <n v="97.977272727272734"/>
    <x v="190"/>
  </r>
  <r>
    <x v="5"/>
    <x v="1"/>
    <n v="35"/>
    <n v="350"/>
    <d v="2016-11-27T22:00:00"/>
    <d v="2016-11-28T00:30:00"/>
    <n v="420"/>
    <n v="528"/>
    <n v="479"/>
    <s v="Pulverized fuel and air piping (from pulverizer to wind box)"/>
    <s v="F540Load Reduction #183-4B Burner line coal leak.  Removed mill from service to re"/>
    <s v="Ghent"/>
    <x v="0"/>
    <s v="Coal"/>
    <x v="2"/>
    <x v="3"/>
    <n v="11"/>
    <n v="2.5000000001164153"/>
    <n v="0.51136363638744864"/>
    <n v="244.9431818295879"/>
    <n v="97.977272727272734"/>
    <x v="190"/>
  </r>
  <r>
    <x v="5"/>
    <x v="1"/>
    <n v="36"/>
    <n v="8460"/>
    <d v="2016-12-09T21:45:00"/>
    <d v="2016-12-12T05:00:00"/>
    <n v="250"/>
    <n v="528"/>
    <n v="479"/>
    <s v="Testing A"/>
    <s v="F790Load Reduction #19Unit 3 was derated to perform SCR testing."/>
    <s v="Ghent"/>
    <x v="0"/>
    <s v="Coal"/>
    <x v="2"/>
    <x v="3"/>
    <n v="12"/>
    <n v="55.250000000058208"/>
    <n v="29.089962121242767"/>
    <n v="13934.091856075285"/>
    <n v="252.20075757575756"/>
    <x v="126"/>
  </r>
  <r>
    <x v="5"/>
    <x v="7"/>
    <n v="4"/>
    <n v="4899"/>
    <d v="2017-02-22T19:09:00"/>
    <d v="2017-02-22T22:42:00"/>
    <n v="0"/>
    <n v="528"/>
    <n v="479"/>
    <s v="Other miscellaneous generator problems"/>
    <s v="F430Outage #3Generator exciter field ground detection issues resulted in a startup"/>
    <s v="Ghent"/>
    <x v="3"/>
    <s v="Coal"/>
    <x v="2"/>
    <x v="4"/>
    <n v="2"/>
    <n v="3.5499999998719431"/>
    <n v="3.5499999998719431"/>
    <n v="1700.4499999386608"/>
    <n v="479"/>
    <x v="163"/>
  </r>
  <r>
    <x v="5"/>
    <x v="0"/>
    <n v="3"/>
    <n v="1850"/>
    <d v="2017-02-23T06:44:00"/>
    <d v="2017-02-23T10:29:00"/>
    <n v="435"/>
    <n v="528"/>
    <n v="479"/>
    <s v="Boiler water condition (not feedwater water quality)"/>
    <s v="FA00Load Reduction #1Load was reduced due to high silica levels following start up"/>
    <s v="Ghent"/>
    <x v="0"/>
    <s v="Coal"/>
    <x v="2"/>
    <x v="4"/>
    <n v="2"/>
    <n v="3.75"/>
    <n v="0.66051136363636365"/>
    <n v="316.38494318181819"/>
    <n v="84.369318181818187"/>
    <x v="136"/>
  </r>
  <r>
    <x v="5"/>
    <x v="5"/>
    <n v="5"/>
    <n v="1080"/>
    <d v="2017-04-15T16:24:00"/>
    <d v="2017-04-19T04:13:00"/>
    <n v="0"/>
    <n v="528"/>
    <n v="479"/>
    <s v="Economizer B"/>
    <s v="F540Outage #4Unit 3 was forced off line due to a tube leak in the upper economizer"/>
    <s v="Ghent"/>
    <x v="3"/>
    <s v="Coal"/>
    <x v="2"/>
    <x v="4"/>
    <n v="4"/>
    <n v="83.816666666592937"/>
    <n v="83.816666666592937"/>
    <n v="40148.183333298017"/>
    <n v="479"/>
    <x v="163"/>
  </r>
  <r>
    <x v="5"/>
    <x v="0"/>
    <n v="7"/>
    <n v="4499"/>
    <d v="2017-06-10T15:41:00"/>
    <d v="2017-06-23T09:15:00"/>
    <n v="520"/>
    <n v="528"/>
    <n v="479"/>
    <s v="Other miscellaneous steam turbine problems"/>
    <s v="Load Reduction #2Load was reduced due to turbine copper depostion."/>
    <s v="Ghent"/>
    <x v="0"/>
    <s v="Coal"/>
    <x v="2"/>
    <x v="4"/>
    <n v="6"/>
    <n v="305.56666666665114"/>
    <n v="4.6297979797977442"/>
    <n v="2217.6732323231195"/>
    <n v="7.2575757575757578"/>
    <x v="13"/>
  </r>
  <r>
    <x v="5"/>
    <x v="1"/>
    <n v="8"/>
    <n v="3408"/>
    <d v="2017-06-22T22:45:00"/>
    <d v="2017-06-22T23:34:00"/>
    <n v="340"/>
    <n v="528"/>
    <n v="479"/>
    <s v="Feedwater pump drive - local controls"/>
    <s v="F590Load Reduction #3  3-2 BFPT lockout solenoid change out."/>
    <s v="Ghent"/>
    <x v="0"/>
    <s v="Coal"/>
    <x v="2"/>
    <x v="4"/>
    <n v="6"/>
    <n v="0.81666666670935228"/>
    <n v="0.29078282829802693"/>
    <n v="139.2849747547549"/>
    <n v="170.55303030303031"/>
    <x v="198"/>
  </r>
  <r>
    <x v="5"/>
    <x v="0"/>
    <n v="9"/>
    <n v="3149"/>
    <d v="2017-07-22T11:08:00"/>
    <d v="2017-07-22T20:06:00"/>
    <n v="510"/>
    <n v="528"/>
    <n v="479"/>
    <s v="Loss of vacuum not attributable to a particular component such as air ejectors or valves; or"/>
    <s v="Load Reduction #4Load was reduced due to high backpressure."/>
    <s v="Ghent"/>
    <x v="0"/>
    <s v="Coal"/>
    <x v="2"/>
    <x v="4"/>
    <n v="7"/>
    <n v="8.9666666667326353"/>
    <n v="0.30568181818406709"/>
    <n v="146.42159091016813"/>
    <n v="16.329545454545453"/>
    <x v="167"/>
  </r>
  <r>
    <x v="5"/>
    <x v="0"/>
    <n v="10"/>
    <n v="4499"/>
    <d v="2017-07-22T20:06:00"/>
    <d v="2017-07-24T14:42:00"/>
    <n v="526"/>
    <n v="528"/>
    <n v="479"/>
    <s v="Other miscellaneous steam turbine problems"/>
    <s v="Load Reduction #5Load was reduced due to turbine performance."/>
    <s v="Ghent"/>
    <x v="0"/>
    <s v="Coal"/>
    <x v="2"/>
    <x v="4"/>
    <n v="7"/>
    <n v="42.600000000034925"/>
    <n v="0.16136363636376866"/>
    <n v="77.293181818245188"/>
    <n v="1.8143939393939394"/>
    <x v="14"/>
  </r>
  <r>
    <x v="5"/>
    <x v="0"/>
    <n v="11"/>
    <n v="3199"/>
    <d v="2017-07-24T14:42:00"/>
    <d v="2017-07-24T15:16:00"/>
    <n v="500"/>
    <n v="528"/>
    <n v="479"/>
    <s v="Other miscellaneous condensing system problems"/>
    <s v="Load Reduction #6Condensate pump problems."/>
    <s v="Ghent"/>
    <x v="0"/>
    <s v="Coal"/>
    <x v="2"/>
    <x v="4"/>
    <n v="7"/>
    <n v="0.56666666659293696"/>
    <n v="3.0050505046595143E-2"/>
    <n v="14.394191917319073"/>
    <n v="25.401515151515152"/>
    <x v="80"/>
  </r>
  <r>
    <x v="5"/>
    <x v="0"/>
    <n v="12"/>
    <n v="3149"/>
    <d v="2017-08-17T10:52:00"/>
    <d v="2017-08-17T12:01:00"/>
    <n v="515"/>
    <n v="528"/>
    <n v="479"/>
    <s v="Loss of vacuum not attributable to a particular component such as air ejectors or valves; or"/>
    <s v="Load Reduction #7High backpressure due to ambient air temperatures."/>
    <s v="Ghent"/>
    <x v="0"/>
    <s v="Coal"/>
    <x v="2"/>
    <x v="4"/>
    <n v="8"/>
    <n v="1.1500000000814907"/>
    <n v="2.831439394140034E-2"/>
    <n v="13.562594697930763"/>
    <n v="11.793560606060606"/>
    <x v="24"/>
  </r>
  <r>
    <x v="5"/>
    <x v="0"/>
    <n v="13"/>
    <n v="3149"/>
    <d v="2017-08-17T12:01:00"/>
    <d v="2017-08-17T15:34:00"/>
    <n v="510"/>
    <n v="528"/>
    <n v="479"/>
    <s v="Loss of vacuum not attributable to a particular component such as air ejectors or valves; or"/>
    <s v="Load Reduction #8High backpressure due to ambient air temperatures."/>
    <s v="Ghent"/>
    <x v="0"/>
    <s v="Coal"/>
    <x v="2"/>
    <x v="4"/>
    <n v="8"/>
    <n v="3.5499999998719431"/>
    <n v="0.1210227272683617"/>
    <n v="57.969886361545257"/>
    <n v="16.329545454545453"/>
    <x v="167"/>
  </r>
  <r>
    <x v="5"/>
    <x v="0"/>
    <n v="14"/>
    <n v="4499"/>
    <d v="2017-08-17T15:34:00"/>
    <d v="2017-08-31T21:45:00"/>
    <n v="525"/>
    <n v="528"/>
    <n v="479"/>
    <s v="Other miscellaneous steam turbine problems"/>
    <s v="Load Reduction #9Load reduced due to copper deposition."/>
    <s v="Ghent"/>
    <x v="0"/>
    <s v="Coal"/>
    <x v="2"/>
    <x v="4"/>
    <n v="8"/>
    <n v="342.18333333340706"/>
    <n v="1.9442234848489037"/>
    <n v="931.28304924262488"/>
    <n v="2.7215909090909092"/>
    <x v="183"/>
  </r>
  <r>
    <x v="5"/>
    <x v="4"/>
    <n v="15"/>
    <n v="1040"/>
    <d v="2017-08-31T21:45:00"/>
    <d v="2017-09-01T19:22:00"/>
    <n v="0"/>
    <n v="528"/>
    <n v="479"/>
    <s v="First superheater B"/>
    <s v="F540Outage # 6Unit 3 was forced off line due to tube leak in the Finishing Superhe"/>
    <s v="Ghent"/>
    <x v="2"/>
    <s v="Coal"/>
    <x v="2"/>
    <x v="4"/>
    <n v="8"/>
    <n v="21.616666666581295"/>
    <n v="21.616666666581295"/>
    <n v="10354.383333292441"/>
    <n v="479"/>
    <x v="163"/>
  </r>
  <r>
    <x v="5"/>
    <x v="0"/>
    <n v="17"/>
    <n v="3441"/>
    <d v="2017-09-12T05:07:00"/>
    <d v="2017-09-12T06:01:00"/>
    <n v="460"/>
    <n v="528"/>
    <n v="479"/>
    <s v="Other high pressure heater problems (see condensate system for LP and IP heater codes)"/>
    <s v="F550Load Reduction #103F HP heater emergency drain wasn't repsonding."/>
    <s v="Ghent"/>
    <x v="0"/>
    <s v="Coal"/>
    <x v="2"/>
    <x v="4"/>
    <n v="9"/>
    <n v="0.90000000013969839"/>
    <n v="0.11590909092708236"/>
    <n v="55.520454554072451"/>
    <n v="61.689393939393938"/>
    <x v="171"/>
  </r>
  <r>
    <x v="5"/>
    <x v="1"/>
    <n v="18"/>
    <n v="320"/>
    <d v="2017-09-22T00:00:00"/>
    <d v="2017-09-22T01:37:00"/>
    <n v="450"/>
    <n v="528"/>
    <n v="479"/>
    <s v="Foreign object in Pulverizers mill"/>
    <s v="F530Load Reduction #11 3-1 Mill was removed from service to remove a piece of metal."/>
    <s v="Ghent"/>
    <x v="0"/>
    <s v="Coal"/>
    <x v="2"/>
    <x v="4"/>
    <n v="9"/>
    <n v="1.6166666666977108"/>
    <n v="0.23882575758034363"/>
    <n v="114.3975378809846"/>
    <n v="70.76136363636364"/>
    <x v="165"/>
  </r>
  <r>
    <x v="5"/>
    <x v="0"/>
    <n v="19"/>
    <n v="320"/>
    <d v="2017-09-27T05:50:00"/>
    <d v="2017-09-27T09:11:00"/>
    <n v="420"/>
    <n v="528"/>
    <n v="479"/>
    <s v="Foreign object in Pulverizers mill"/>
    <s v="Load Reduction #123-4 Mill was removed from service to remove a piece of metal fro"/>
    <s v="Ghent"/>
    <x v="0"/>
    <s v="Coal"/>
    <x v="2"/>
    <x v="4"/>
    <n v="9"/>
    <n v="3.3500000000931323"/>
    <n v="0.68522727274632256"/>
    <n v="328.22386364548851"/>
    <n v="97.977272727272734"/>
    <x v="190"/>
  </r>
  <r>
    <x v="5"/>
    <x v="6"/>
    <n v="20"/>
    <n v="1801"/>
    <d v="2017-10-13T20:49:00"/>
    <d v="2017-11-13T00:00:00"/>
    <n v="0"/>
    <n v="528"/>
    <n v="479"/>
    <s v="Minor boiler overhaul (less than 720 hours) (use for non-specific overhaul only; see page B-1)"/>
    <s v="F590Outage #8 Unit 3 was removed from service for Planned Outage."/>
    <s v="Ghent"/>
    <x v="1"/>
    <s v="Coal"/>
    <x v="2"/>
    <x v="4"/>
    <n v="10"/>
    <n v="723.18333333340706"/>
    <n v="723.18333333340706"/>
    <n v="346404.81666670198"/>
    <n v="479"/>
    <x v="163"/>
  </r>
  <r>
    <x v="5"/>
    <x v="8"/>
    <n v="21"/>
    <n v="1801"/>
    <d v="2017-11-13T00:00:00"/>
    <d v="2017-11-15T10:07:00"/>
    <n v="0"/>
    <n v="528"/>
    <n v="479"/>
    <s v="Minor boiler overhaul (less than 720 hours) (use for non-specific overhaul only; see page B-1)"/>
    <s v="F590Outage #9 GH3 Planned Outage extension. "/>
    <s v="Ghent"/>
    <x v="1"/>
    <s v="Coal"/>
    <x v="2"/>
    <x v="4"/>
    <n v="11"/>
    <n v="58.116666666639503"/>
    <n v="58.116666666639503"/>
    <n v="27837.883333320322"/>
    <n v="479"/>
    <x v="163"/>
  </r>
  <r>
    <x v="5"/>
    <x v="7"/>
    <n v="24"/>
    <n v="800"/>
    <d v="2017-11-15T10:07:00"/>
    <d v="2017-11-15T21:32:00"/>
    <n v="0"/>
    <n v="528"/>
    <n v="479"/>
    <s v="Drums and drum internals (single drum only)"/>
    <s v="F540SUF Outage #11Drum door gasket leaking. "/>
    <s v="Ghent"/>
    <x v="3"/>
    <s v="Coal"/>
    <x v="2"/>
    <x v="4"/>
    <n v="11"/>
    <n v="11.416666666686069"/>
    <n v="11.416666666686069"/>
    <n v="5468.5833333426272"/>
    <n v="479"/>
    <x v="163"/>
  </r>
  <r>
    <x v="5"/>
    <x v="0"/>
    <n v="22"/>
    <n v="1140"/>
    <d v="2017-11-19T09:32:00"/>
    <d v="2017-11-19T10:36:00"/>
    <n v="200"/>
    <n v="528"/>
    <n v="479"/>
    <s v="First superheater A"/>
    <s v="F540Load Reduction #13Unit 3 was derated due to superheat tube leak."/>
    <s v="Ghent"/>
    <x v="0"/>
    <s v="Coal"/>
    <x v="2"/>
    <x v="4"/>
    <n v="11"/>
    <n v="1.0666666666511446"/>
    <n v="0.66262626261662017"/>
    <n v="317.39797979336106"/>
    <n v="297.56060606060606"/>
    <x v="174"/>
  </r>
  <r>
    <x v="5"/>
    <x v="5"/>
    <n v="23"/>
    <n v="1040"/>
    <d v="2017-11-19T10:36:00"/>
    <d v="2017-11-23T00:15:00"/>
    <n v="0"/>
    <n v="528"/>
    <n v="479"/>
    <s v="First superheater B"/>
    <s v="F540Outage #10 Unit 3 was forced off-line due to superheat tube leak."/>
    <s v="Ghent"/>
    <x v="3"/>
    <s v="Coal"/>
    <x v="2"/>
    <x v="4"/>
    <n v="11"/>
    <n v="85.649999999965075"/>
    <n v="85.649999999965075"/>
    <n v="41026.349999983271"/>
    <n v="479"/>
    <x v="163"/>
  </r>
  <r>
    <x v="5"/>
    <x v="0"/>
    <n v="25"/>
    <n v="1455"/>
    <d v="2017-12-05T10:10:00"/>
    <d v="2017-12-05T11:19:00"/>
    <n v="450"/>
    <n v="528"/>
    <n v="479"/>
    <s v="Induced draft fans"/>
    <s v="F820Load Reduction #14Unit 3 was derated due to loss of 3-1A ID fan."/>
    <s v="Ghent"/>
    <x v="0"/>
    <s v="Coal"/>
    <x v="2"/>
    <x v="4"/>
    <n v="12"/>
    <n v="1.1500000000814907"/>
    <n v="0.16988636364840204"/>
    <n v="81.375568187584577"/>
    <n v="70.76136363636364"/>
    <x v="165"/>
  </r>
  <r>
    <x v="5"/>
    <x v="1"/>
    <n v="1"/>
    <n v="920"/>
    <d v="2018-01-05T20:40:00"/>
    <d v="2018-01-05T23:15:00"/>
    <n v="240"/>
    <n v="528"/>
    <n v="479"/>
    <s v="Other slag and ash removal problems A"/>
    <s v="F830Load Reduction #1Planned boiler deslag."/>
    <s v="Ghent"/>
    <x v="0"/>
    <s v="Coal"/>
    <x v="2"/>
    <x v="5"/>
    <n v="1"/>
    <n v="2.5833333333721384"/>
    <n v="1.4090909091120756"/>
    <n v="674.9545454646842"/>
    <n v="261.27272727272725"/>
    <x v="199"/>
  </r>
  <r>
    <x v="5"/>
    <x v="4"/>
    <n v="3"/>
    <n v="550"/>
    <d v="2018-02-24T07:46:00"/>
    <d v="2018-02-24T18:02:00"/>
    <n v="0"/>
    <n v="528"/>
    <n v="479"/>
    <s v="Reheat steam relief/safety valves"/>
    <s v="Outage #2Unit was placed on a miantenance outage to repair a cold RH safety that w"/>
    <s v="Ghent"/>
    <x v="2"/>
    <s v="Coal"/>
    <x v="2"/>
    <x v="5"/>
    <n v="2"/>
    <n v="10.266666666604578"/>
    <n v="10.266666666604578"/>
    <n v="4917.7333333035931"/>
    <n v="479"/>
    <x v="163"/>
  </r>
  <r>
    <x v="5"/>
    <x v="5"/>
    <n v="5"/>
    <n v="3220"/>
    <d v="2018-03-03T11:30:00"/>
    <d v="2018-03-04T03:22:00"/>
    <n v="0"/>
    <n v="528"/>
    <n v="479"/>
    <s v="Circulating water piping"/>
    <s v="F540Outage #4Unit was forced off line due to Circulating water bypass line leak. "/>
    <s v="Ghent"/>
    <x v="3"/>
    <s v="Coal"/>
    <x v="2"/>
    <x v="5"/>
    <n v="3"/>
    <n v="15.866666666697711"/>
    <n v="15.866666666697711"/>
    <n v="7600.1333333482035"/>
    <n v="479"/>
    <x v="163"/>
  </r>
  <r>
    <x v="5"/>
    <x v="0"/>
    <n v="6"/>
    <n v="1457"/>
    <d v="2018-03-26T08:48:00"/>
    <d v="2018-03-26T11:56:00"/>
    <n v="450"/>
    <n v="528"/>
    <n v="479"/>
    <s v="Induced draft fan lubrication systems"/>
    <s v="F520Load Reduction #23-2A I.D. fan tripped due to lube oil reservoir T/C and tempe"/>
    <s v="Ghent"/>
    <x v="0"/>
    <s v="Coal"/>
    <x v="2"/>
    <x v="5"/>
    <n v="3"/>
    <n v="3.1333333332440816"/>
    <n v="0.46287878786560294"/>
    <n v="221.71893938762381"/>
    <n v="70.76136363636364"/>
    <x v="165"/>
  </r>
  <r>
    <x v="5"/>
    <x v="0"/>
    <n v="7"/>
    <n v="3412"/>
    <d v="2018-04-29T07:15:00"/>
    <d v="2018-04-29T07:41:00"/>
    <n v="155"/>
    <n v="528"/>
    <n v="479"/>
    <s v="Feedwater pump drive - steam turbine"/>
    <s v="Load Reduction #33-2 BFPT tripped on high vibration when starting 3-4 pulverizer t"/>
    <s v="Ghent"/>
    <x v="0"/>
    <s v="Coal"/>
    <x v="2"/>
    <x v="5"/>
    <n v="4"/>
    <n v="0.43333333334885538"/>
    <n v="0.30612373738470278"/>
    <n v="146.63327020727263"/>
    <n v="338.38446969696969"/>
    <x v="200"/>
  </r>
  <r>
    <x v="5"/>
    <x v="5"/>
    <n v="8"/>
    <n v="3412"/>
    <d v="2018-04-29T07:41:00"/>
    <d v="2018-04-29T09:43:00"/>
    <n v="0"/>
    <n v="528"/>
    <n v="479"/>
    <s v="Feedwater pump drive - steam turbine"/>
    <s v="Outage #5Boiler tripped on low drum level due to the loss of 3-2 BFPT.  Unit was r"/>
    <s v="Ghent"/>
    <x v="3"/>
    <s v="Coal"/>
    <x v="2"/>
    <x v="5"/>
    <n v="4"/>
    <n v="2.0333333333255723"/>
    <n v="2.0333333333255723"/>
    <n v="973.96666666294914"/>
    <n v="479"/>
    <x v="163"/>
  </r>
  <r>
    <x v="6"/>
    <x v="4"/>
    <n v="1"/>
    <n v="1455"/>
    <d v="2013-01-01T00:00:00"/>
    <d v="2013-01-09T04:56:00"/>
    <n v="0"/>
    <n v="525"/>
    <n v="478"/>
    <s v="Induced draft fans"/>
    <s v="Outage #1Both unit ID fans were having spikes on bearing temperatures on fan beari"/>
    <s v="Ghent"/>
    <x v="2"/>
    <s v="Coal"/>
    <x v="2"/>
    <x v="0"/>
    <n v="1"/>
    <n v="196.93333333334886"/>
    <n v="196.93333333334886"/>
    <n v="94134.133333340753"/>
    <n v="478"/>
    <x v="201"/>
  </r>
  <r>
    <x v="6"/>
    <x v="0"/>
    <n v="3"/>
    <n v="1455"/>
    <d v="2013-01-09T07:30:00"/>
    <d v="2013-01-09T15:24:00"/>
    <n v="200"/>
    <n v="525"/>
    <n v="478"/>
    <s v="Induced draft fans"/>
    <s v="Load Reduction #14-2 ID fan OOS due to rotor replacement."/>
    <s v="Ghent"/>
    <x v="0"/>
    <s v="Coal"/>
    <x v="2"/>
    <x v="0"/>
    <n v="1"/>
    <n v="7.9000000000814907"/>
    <n v="4.8904761905266367"/>
    <n v="2337.6476190717322"/>
    <n v="295.90476190476193"/>
    <x v="202"/>
  </r>
  <r>
    <x v="6"/>
    <x v="0"/>
    <n v="4"/>
    <n v="1455"/>
    <d v="2013-01-09T15:24:00"/>
    <d v="2013-01-09T16:17:00"/>
    <n v="225"/>
    <n v="525"/>
    <n v="478"/>
    <s v="Induced draft fans"/>
    <s v="Load Reduction #24-2 ID fan OOS due to rotor replacement."/>
    <s v="Ghent"/>
    <x v="0"/>
    <s v="Coal"/>
    <x v="2"/>
    <x v="0"/>
    <n v="1"/>
    <n v="0.88333333324408159"/>
    <n v="0.50476190471090376"/>
    <n v="241.276190451812"/>
    <n v="273.14285714285717"/>
    <x v="142"/>
  </r>
  <r>
    <x v="6"/>
    <x v="0"/>
    <n v="5"/>
    <n v="1455"/>
    <d v="2013-01-09T16:17:00"/>
    <d v="2013-01-09T20:00:00"/>
    <n v="230"/>
    <n v="525"/>
    <n v="478"/>
    <s v="Induced draft fans"/>
    <s v="Load Reduction #34-2 ID fan OOS due to rotor replacement."/>
    <s v="Ghent"/>
    <x v="0"/>
    <s v="Coal"/>
    <x v="2"/>
    <x v="0"/>
    <n v="1"/>
    <n v="3.7166666667326353"/>
    <n v="2.0884126984497664"/>
    <n v="998.26126985898838"/>
    <n v="268.59047619047618"/>
    <x v="203"/>
  </r>
  <r>
    <x v="6"/>
    <x v="0"/>
    <n v="6"/>
    <n v="1455"/>
    <d v="2013-01-09T20:00:00"/>
    <d v="2013-01-11T22:13:00"/>
    <n v="200"/>
    <n v="525"/>
    <n v="478"/>
    <s v="Induced draft fans"/>
    <s v="Load Reduction #44-2 ID fan OOS due to rotor replacement."/>
    <s v="Ghent"/>
    <x v="0"/>
    <s v="Coal"/>
    <x v="2"/>
    <x v="0"/>
    <n v="1"/>
    <n v="50.216666666558012"/>
    <n v="31.086507936440675"/>
    <n v="14859.350793618643"/>
    <n v="295.90476190476193"/>
    <x v="202"/>
  </r>
  <r>
    <x v="6"/>
    <x v="4"/>
    <n v="7"/>
    <n v="1455"/>
    <d v="2013-01-11T22:13:00"/>
    <d v="2013-01-16T16:17:00"/>
    <n v="0"/>
    <n v="525"/>
    <n v="478"/>
    <s v="Induced draft fans"/>
    <s v="Outage #2The unit had been running at a reduced load with the 4-2 ID fan out of se"/>
    <s v="Ghent"/>
    <x v="2"/>
    <s v="Coal"/>
    <x v="2"/>
    <x v="0"/>
    <n v="1"/>
    <n v="114.06666666670935"/>
    <n v="114.06666666670935"/>
    <n v="54523.86666668707"/>
    <n v="478"/>
    <x v="201"/>
  </r>
  <r>
    <x v="6"/>
    <x v="7"/>
    <n v="8"/>
    <n v="1455"/>
    <d v="2013-01-16T16:17:00"/>
    <d v="2013-01-17T16:07:00"/>
    <n v="0"/>
    <n v="525"/>
    <n v="478"/>
    <s v="Induced draft fans"/>
    <s v="F850Outage #3The 4-2 ID fan could not be balanced during the Maint. Outage. Decide"/>
    <s v="Ghent"/>
    <x v="3"/>
    <s v="Coal"/>
    <x v="2"/>
    <x v="0"/>
    <n v="1"/>
    <n v="23.833333333313931"/>
    <n v="23.833333333313931"/>
    <n v="11392.333333324059"/>
    <n v="478"/>
    <x v="201"/>
  </r>
  <r>
    <x v="6"/>
    <x v="0"/>
    <n v="9"/>
    <n v="1455"/>
    <d v="2013-01-17T16:07:00"/>
    <d v="2013-01-19T12:39:00"/>
    <n v="200"/>
    <n v="525"/>
    <n v="478"/>
    <s v="Induced draft fans"/>
    <s v="Load Reduction #54-2 ID fan off for to balance the fan rotor."/>
    <s v="Ghent"/>
    <x v="0"/>
    <s v="Coal"/>
    <x v="2"/>
    <x v="0"/>
    <n v="1"/>
    <n v="44.53333333338378"/>
    <n v="27.568253968285198"/>
    <n v="13177.625396840325"/>
    <n v="295.90476190476193"/>
    <x v="202"/>
  </r>
  <r>
    <x v="6"/>
    <x v="4"/>
    <n v="10"/>
    <n v="1455"/>
    <d v="2013-01-19T12:39:00"/>
    <d v="2013-01-20T08:36:00"/>
    <n v="0"/>
    <n v="525"/>
    <n v="478"/>
    <s v="Induced draft fans"/>
    <s v="F850Outage #4The unit was running with a derate due to 4-2 ID fan being out of ser"/>
    <s v="Ghent"/>
    <x v="2"/>
    <s v="Coal"/>
    <x v="2"/>
    <x v="0"/>
    <n v="1"/>
    <n v="19.949999999895226"/>
    <n v="19.949999999895226"/>
    <n v="9536.0999999499181"/>
    <n v="478"/>
    <x v="201"/>
  </r>
  <r>
    <x v="6"/>
    <x v="0"/>
    <n v="11"/>
    <n v="3440"/>
    <d v="2013-01-20T12:45:00"/>
    <d v="2013-01-21T21:05:00"/>
    <n v="511"/>
    <n v="525"/>
    <n v="478"/>
    <s v="High pressure heater tube leaks"/>
    <s v="Load Reduction #6Unit 4 load was reduced to repair a tube leak in 4G HP heater."/>
    <s v="Ghent"/>
    <x v="0"/>
    <s v="Coal"/>
    <x v="2"/>
    <x v="0"/>
    <n v="1"/>
    <n v="32.333333333255723"/>
    <n v="0.86222222222015266"/>
    <n v="412.14222222123294"/>
    <n v="12.746666666666666"/>
    <x v="20"/>
  </r>
  <r>
    <x v="6"/>
    <x v="13"/>
    <n v="12"/>
    <n v="3110"/>
    <d v="2013-02-02T00:02:00"/>
    <d v="2013-02-02T22:18:00"/>
    <n v="0"/>
    <n v="525"/>
    <n v="478"/>
    <s v="Condenser tube leaks"/>
    <s v="F540Outage #5The unit was running with a tube leak in 4-2 auxiliary condenser leak"/>
    <s v="Ghent"/>
    <x v="3"/>
    <s v="Coal"/>
    <x v="2"/>
    <x v="0"/>
    <n v="2"/>
    <n v="22.266666666779201"/>
    <n v="22.266666666779201"/>
    <n v="10643.466666720458"/>
    <n v="478"/>
    <x v="201"/>
  </r>
  <r>
    <x v="6"/>
    <x v="0"/>
    <n v="13"/>
    <n v="1488"/>
    <d v="2013-02-03T21:19:00"/>
    <d v="2013-02-08T23:01:00"/>
    <n v="190"/>
    <n v="525"/>
    <n v="478"/>
    <s v="Air heater (regenerative)"/>
    <s v="Load Reduction #74-2 Air heater sector plate broke."/>
    <s v="Ghent"/>
    <x v="0"/>
    <s v="Coal"/>
    <x v="2"/>
    <x v="0"/>
    <n v="2"/>
    <n v="121.69999999995343"/>
    <n v="77.656190476160759"/>
    <n v="37119.659047604844"/>
    <n v="305.00952380952378"/>
    <x v="204"/>
  </r>
  <r>
    <x v="6"/>
    <x v="4"/>
    <n v="14"/>
    <n v="1488"/>
    <d v="2013-02-08T23:01:00"/>
    <d v="2013-02-10T02:38:00"/>
    <n v="0"/>
    <n v="525"/>
    <n v="478"/>
    <s v="Air heater (regenerative)"/>
    <s v="F050Outage #64-2 Air heater had a hard radial rub.  Unit was operating with 4-2 ga"/>
    <s v="Ghent"/>
    <x v="2"/>
    <s v="Coal"/>
    <x v="2"/>
    <x v="0"/>
    <n v="2"/>
    <n v="27.616666666755918"/>
    <n v="27.616666666755918"/>
    <n v="13200.766666709329"/>
    <n v="478"/>
    <x v="201"/>
  </r>
  <r>
    <x v="6"/>
    <x v="0"/>
    <n v="15"/>
    <n v="346"/>
    <d v="2013-02-22T17:40:00"/>
    <d v="2013-02-22T18:44:00"/>
    <n v="403"/>
    <n v="525"/>
    <n v="478"/>
    <s v="Pulverizer pyrite removal system"/>
    <s v="Load Reduction #84-5 Mill pyrite chute plugged.  Removed the mill from service lon"/>
    <s v="Ghent"/>
    <x v="0"/>
    <s v="Coal"/>
    <x v="2"/>
    <x v="0"/>
    <n v="2"/>
    <n v="1.0666666666511446"/>
    <n v="0.24787301586940885"/>
    <n v="118.48330158557744"/>
    <n v="111.07809523809524"/>
    <x v="205"/>
  </r>
  <r>
    <x v="6"/>
    <x v="0"/>
    <n v="16"/>
    <n v="350"/>
    <d v="2013-03-03T03:30:00"/>
    <d v="2013-03-03T05:08:00"/>
    <n v="400"/>
    <n v="525"/>
    <n v="478"/>
    <s v="Pulverized fuel and air piping (from pulverizer to wind box)"/>
    <s v="Load Reduction #94-6 Mill was dumping pyrites."/>
    <s v="Ghent"/>
    <x v="0"/>
    <s v="Coal"/>
    <x v="2"/>
    <x v="0"/>
    <n v="3"/>
    <n v="1.6333333332440816"/>
    <n v="0.38888888886763845"/>
    <n v="185.88888887873117"/>
    <n v="113.80952380952381"/>
    <x v="46"/>
  </r>
  <r>
    <x v="6"/>
    <x v="0"/>
    <n v="17"/>
    <n v="1493"/>
    <d v="2013-03-04T06:25:00"/>
    <d v="2013-03-05T12:07:00"/>
    <n v="510"/>
    <n v="525"/>
    <n v="478"/>
    <s v="Air heater fouling (regenerative)"/>
    <s v="F320Load Reduction #10High differential on 4-2 air heater."/>
    <s v="Ghent"/>
    <x v="0"/>
    <s v="Coal"/>
    <x v="2"/>
    <x v="0"/>
    <n v="3"/>
    <n v="29.700000000069849"/>
    <n v="0.84857142857342427"/>
    <n v="405.61714285809683"/>
    <n v="13.657142857142857"/>
    <x v="61"/>
  </r>
  <r>
    <x v="6"/>
    <x v="0"/>
    <n v="18"/>
    <n v="1493"/>
    <d v="2013-03-05T12:07:00"/>
    <d v="2013-03-08T23:29:00"/>
    <n v="500"/>
    <n v="525"/>
    <n v="478"/>
    <s v="Air heater fouling (regenerative)"/>
    <s v="F320Load Reduction #11High differential on 4-2 air heater."/>
    <s v="Ghent"/>
    <x v="0"/>
    <s v="Coal"/>
    <x v="2"/>
    <x v="0"/>
    <n v="3"/>
    <n v="83.366666666697711"/>
    <n v="3.9698412698427483"/>
    <n v="1897.5841269848338"/>
    <n v="22.761904761904763"/>
    <x v="0"/>
  </r>
  <r>
    <x v="6"/>
    <x v="0"/>
    <n v="20"/>
    <n v="3149"/>
    <d v="2013-04-08T10:51:00"/>
    <d v="2013-04-09T06:17:00"/>
    <n v="505"/>
    <n v="525"/>
    <n v="478"/>
    <s v="Loss of vacuum not attributable to a particular component such as air ejectors or valves; or"/>
    <s v="Load Reduction #12Condenser backpressure.  "/>
    <s v="Ghent"/>
    <x v="0"/>
    <s v="Coal"/>
    <x v="2"/>
    <x v="0"/>
    <n v="4"/>
    <n v="19.433333333465271"/>
    <n v="0.74031746032248646"/>
    <n v="353.87174603414854"/>
    <n v="18.209523809523809"/>
    <x v="5"/>
  </r>
  <r>
    <x v="6"/>
    <x v="0"/>
    <n v="21"/>
    <n v="3149"/>
    <d v="2013-04-09T11:26:00"/>
    <d v="2013-04-09T22:35:00"/>
    <n v="493"/>
    <n v="525"/>
    <n v="478"/>
    <s v="Loss of vacuum not attributable to a particular component such as air ejectors or valves; or"/>
    <s v="Load Reduction #13Condenser Backpressure.  "/>
    <s v="Ghent"/>
    <x v="0"/>
    <s v="Coal"/>
    <x v="2"/>
    <x v="0"/>
    <n v="4"/>
    <n v="11.14999999984866"/>
    <n v="0.67961904760982306"/>
    <n v="324.85790475749542"/>
    <n v="29.135238095238094"/>
    <x v="206"/>
  </r>
  <r>
    <x v="6"/>
    <x v="0"/>
    <n v="22"/>
    <n v="3149"/>
    <d v="2013-04-10T08:39:00"/>
    <d v="2013-04-10T23:16:00"/>
    <n v="500"/>
    <n v="525"/>
    <n v="478"/>
    <s v="Loss of vacuum not attributable to a particular component such as air ejectors or valves; or"/>
    <s v="Load Reduction #14Condenser backpressure."/>
    <s v="Ghent"/>
    <x v="0"/>
    <s v="Coal"/>
    <x v="2"/>
    <x v="0"/>
    <n v="4"/>
    <n v="14.616666666639503"/>
    <n v="0.69603174603045248"/>
    <n v="332.70317460255626"/>
    <n v="22.761904761904763"/>
    <x v="0"/>
  </r>
  <r>
    <x v="6"/>
    <x v="0"/>
    <n v="23"/>
    <n v="3149"/>
    <d v="2013-04-11T08:12:00"/>
    <d v="2013-04-11T16:12:00"/>
    <n v="500"/>
    <n v="525"/>
    <n v="478"/>
    <s v="Loss of vacuum not attributable to a particular component such as air ejectors or valves; or"/>
    <s v="Load Reduction #15Condenser backpressure."/>
    <s v="Ghent"/>
    <x v="0"/>
    <s v="Coal"/>
    <x v="2"/>
    <x v="0"/>
    <n v="4"/>
    <n v="8.0000000000582077"/>
    <n v="0.38095238095515277"/>
    <n v="182.09523809656304"/>
    <n v="22.761904761904763"/>
    <x v="0"/>
  </r>
  <r>
    <x v="6"/>
    <x v="0"/>
    <n v="25"/>
    <n v="250"/>
    <d v="2013-04-17T10:25:00"/>
    <d v="2013-04-17T10:50:00"/>
    <n v="425"/>
    <n v="525"/>
    <n v="478"/>
    <s v="Pulverizer feeders"/>
    <s v="Load Reduction #174-1 feeder coal flow switch."/>
    <s v="Ghent"/>
    <x v="0"/>
    <s v="Coal"/>
    <x v="2"/>
    <x v="0"/>
    <n v="4"/>
    <n v="0.41666666662786156"/>
    <n v="7.9365079357687912E-2"/>
    <n v="37.93650793297482"/>
    <n v="91.047619047619051"/>
    <x v="42"/>
  </r>
  <r>
    <x v="6"/>
    <x v="0"/>
    <n v="26"/>
    <n v="3149"/>
    <d v="2013-04-17T13:10:00"/>
    <d v="2013-04-17T23:37:00"/>
    <n v="493"/>
    <n v="525"/>
    <n v="478"/>
    <s v="Loss of vacuum not attributable to a particular component such as air ejectors or valves; or"/>
    <s v="Load Reduction #18Condenser backpressure."/>
    <s v="Ghent"/>
    <x v="0"/>
    <s v="Coal"/>
    <x v="2"/>
    <x v="0"/>
    <n v="4"/>
    <n v="10.450000000011642"/>
    <n v="0.63695238095309048"/>
    <n v="304.46323809557725"/>
    <n v="29.135238095238094"/>
    <x v="206"/>
  </r>
  <r>
    <x v="6"/>
    <x v="0"/>
    <n v="27"/>
    <n v="250"/>
    <d v="2013-04-17T14:26:00"/>
    <d v="2013-04-17T15:00:00"/>
    <n v="445"/>
    <n v="525"/>
    <n v="478"/>
    <s v="Pulverizer feeders"/>
    <s v="Load Reduction #194-1 feeder coal flow switch."/>
    <s v="Ghent"/>
    <x v="0"/>
    <s v="Coal"/>
    <x v="2"/>
    <x v="0"/>
    <n v="4"/>
    <n v="0.56666666659293696"/>
    <n v="8.6349206337971343E-2"/>
    <n v="41.274920629550301"/>
    <n v="72.838095238095235"/>
    <x v="87"/>
  </r>
  <r>
    <x v="6"/>
    <x v="0"/>
    <n v="28"/>
    <n v="3149"/>
    <d v="2013-04-18T08:00:00"/>
    <d v="2013-04-19T03:33:00"/>
    <n v="477"/>
    <n v="525"/>
    <n v="478"/>
    <s v="Loss of vacuum not attributable to a particular component such as air ejectors or valves; or"/>
    <s v="Load Reduction #20High condenser back pressure."/>
    <s v="Ghent"/>
    <x v="0"/>
    <s v="Coal"/>
    <x v="2"/>
    <x v="0"/>
    <n v="4"/>
    <n v="19.549999999988358"/>
    <n v="1.7874285714275071"/>
    <n v="854.39085714234841"/>
    <n v="43.702857142857141"/>
    <x v="176"/>
  </r>
  <r>
    <x v="6"/>
    <x v="0"/>
    <n v="29"/>
    <n v="4260"/>
    <d v="2013-04-19T23:58:00"/>
    <d v="2013-04-20T00:06:00"/>
    <n v="460"/>
    <n v="525"/>
    <n v="478"/>
    <s v="Main stop valves"/>
    <s v="Load Reduction #21Main turbine #2 stop valve stuck in mid travel during test."/>
    <s v="Ghent"/>
    <x v="0"/>
    <s v="Coal"/>
    <x v="2"/>
    <x v="0"/>
    <n v="4"/>
    <n v="0.13333333324408159"/>
    <n v="1.6507936496886293E-2"/>
    <n v="7.8907936455116481"/>
    <n v="59.180952380952384"/>
    <x v="83"/>
  </r>
  <r>
    <x v="6"/>
    <x v="5"/>
    <n v="30"/>
    <n v="4260"/>
    <d v="2013-04-20T00:06:00"/>
    <d v="2013-04-20T03:52:00"/>
    <n v="0"/>
    <n v="525"/>
    <n v="478"/>
    <s v="Main stop valves"/>
    <s v="Outage #8Servo failed on main steam stop valve #2 causing valves to close on turbi"/>
    <s v="Ghent"/>
    <x v="3"/>
    <s v="Coal"/>
    <x v="2"/>
    <x v="0"/>
    <n v="4"/>
    <n v="3.7666666667209938"/>
    <n v="3.7666666667209938"/>
    <n v="1800.466666692635"/>
    <n v="478"/>
    <x v="201"/>
  </r>
  <r>
    <x v="6"/>
    <x v="0"/>
    <n v="31"/>
    <n v="1493"/>
    <d v="2013-04-24T01:16:00"/>
    <d v="2013-05-01T07:50:00"/>
    <n v="500"/>
    <n v="525"/>
    <n v="478"/>
    <s v="Air heater fouling (regenerative)"/>
    <s v="Load Reduction #22U4 AH differentials are running high causing ID fan duct pressur"/>
    <s v="Ghent"/>
    <x v="0"/>
    <s v="Coal"/>
    <x v="2"/>
    <x v="0"/>
    <n v="4"/>
    <n v="174.56666666676756"/>
    <n v="8.3126984127032166"/>
    <n v="3973.4698412721377"/>
    <n v="22.761904761904763"/>
    <x v="0"/>
  </r>
  <r>
    <x v="6"/>
    <x v="0"/>
    <n v="32"/>
    <n v="1493"/>
    <d v="2013-05-01T07:50:00"/>
    <d v="2013-05-01T16:18:00"/>
    <n v="510"/>
    <n v="525"/>
    <n v="478"/>
    <s v="Air heater fouling (regenerative)"/>
    <s v="Load Reduction #23U4 AH differentials were running high causing ID fan duct pressu"/>
    <s v="Ghent"/>
    <x v="0"/>
    <s v="Coal"/>
    <x v="2"/>
    <x v="0"/>
    <n v="5"/>
    <n v="8.4666666666744277"/>
    <n v="0.24190476190498364"/>
    <n v="115.63047619058219"/>
    <n v="13.657142857142857"/>
    <x v="61"/>
  </r>
  <r>
    <x v="6"/>
    <x v="4"/>
    <n v="33"/>
    <n v="1493"/>
    <d v="2013-05-03T22:24:00"/>
    <d v="2013-05-07T22:48:00"/>
    <n v="0"/>
    <n v="525"/>
    <n v="478"/>
    <s v="Air heater fouling (regenerative)"/>
    <s v="F320Outage #9The unit was running with high differential on the air heaters.  Remo"/>
    <s v="Ghent"/>
    <x v="2"/>
    <s v="Coal"/>
    <x v="2"/>
    <x v="0"/>
    <n v="5"/>
    <n v="96.399999999906868"/>
    <n v="96.399999999906868"/>
    <n v="46079.199999955483"/>
    <n v="478"/>
    <x v="201"/>
  </r>
  <r>
    <x v="6"/>
    <x v="0"/>
    <n v="34"/>
    <n v="9900"/>
    <d v="2013-05-08T06:48:00"/>
    <d v="2013-05-08T07:50:00"/>
    <n v="360"/>
    <n v="525"/>
    <n v="478"/>
    <s v="Operator error"/>
    <s v="Load Reduction #24The boiler windbox door was found open after the outage.  Droppe"/>
    <s v="Ghent"/>
    <x v="0"/>
    <s v="Coal"/>
    <x v="2"/>
    <x v="0"/>
    <n v="5"/>
    <n v="1.03333333338378"/>
    <n v="0.3247619047777594"/>
    <n v="155.23619048376901"/>
    <n v="150.22857142857143"/>
    <x v="75"/>
  </r>
  <r>
    <x v="6"/>
    <x v="0"/>
    <n v="35"/>
    <n v="385"/>
    <d v="2013-05-14T05:13:00"/>
    <d v="2013-05-14T05:26:00"/>
    <n v="409"/>
    <n v="525"/>
    <n v="478"/>
    <s v="Igniters"/>
    <s v="Load Reduction #25Ignitor oil trip valve would not open."/>
    <s v="Ghent"/>
    <x v="0"/>
    <s v="Coal"/>
    <x v="2"/>
    <x v="0"/>
    <n v="5"/>
    <n v="0.21666666667442769"/>
    <n v="4.7873015874730689E-2"/>
    <n v="22.88330158812127"/>
    <n v="105.6152380952381"/>
    <x v="207"/>
  </r>
  <r>
    <x v="6"/>
    <x v="4"/>
    <n v="36"/>
    <n v="1000"/>
    <d v="2013-05-17T23:07:00"/>
    <d v="2013-05-18T16:32:00"/>
    <n v="0"/>
    <n v="525"/>
    <n v="478"/>
    <s v="Waterwall (Furnace wall) A"/>
    <s v="F540Outage #10The unit was running with an external water wall tube leak on the bo"/>
    <s v="Ghent"/>
    <x v="2"/>
    <s v="Coal"/>
    <x v="2"/>
    <x v="0"/>
    <n v="5"/>
    <n v="17.416666666686069"/>
    <n v="17.416666666686069"/>
    <n v="8325.1666666759411"/>
    <n v="478"/>
    <x v="201"/>
  </r>
  <r>
    <x v="6"/>
    <x v="0"/>
    <n v="37"/>
    <n v="590"/>
    <d v="2013-05-22T04:56:00"/>
    <d v="2013-05-22T05:45:00"/>
    <n v="340"/>
    <n v="525"/>
    <n v="478"/>
    <s v="Desuperheater/attemperator valves"/>
    <s v="Load Reduction #26The upper west superheat spray valve would not open due to the s"/>
    <s v="Ghent"/>
    <x v="0"/>
    <s v="Coal"/>
    <x v="2"/>
    <x v="0"/>
    <n v="5"/>
    <n v="0.81666666670935228"/>
    <n v="0.28777777779281938"/>
    <n v="137.55777778496767"/>
    <n v="168.43809523809523"/>
    <x v="88"/>
  </r>
  <r>
    <x v="6"/>
    <x v="0"/>
    <n v="38"/>
    <n v="250"/>
    <d v="2013-06-25T11:33:00"/>
    <d v="2013-06-25T11:47:00"/>
    <n v="450"/>
    <n v="525"/>
    <n v="478"/>
    <s v="Pulverizer feeders"/>
    <s v="Load Reduction #274-6 Feeder tripped due to pluggage."/>
    <s v="Ghent"/>
    <x v="0"/>
    <s v="Coal"/>
    <x v="2"/>
    <x v="0"/>
    <n v="6"/>
    <n v="0.2333333333954215"/>
    <n v="3.3333333342203071E-2"/>
    <n v="15.933333337573067"/>
    <n v="68.285714285714292"/>
    <x v="208"/>
  </r>
  <r>
    <x v="6"/>
    <x v="0"/>
    <n v="39"/>
    <n v="1455"/>
    <d v="2013-06-26T04:23:00"/>
    <d v="2013-06-26T06:38:00"/>
    <n v="190"/>
    <n v="525"/>
    <n v="478"/>
    <s v="Induced draft fans"/>
    <s v="Load Reduction #284-2 ID fan tripped due to vibration probe failure."/>
    <s v="Ghent"/>
    <x v="0"/>
    <s v="Coal"/>
    <x v="2"/>
    <x v="0"/>
    <n v="6"/>
    <n v="2.25"/>
    <n v="1.4357142857142857"/>
    <n v="686.2714285714286"/>
    <n v="305.00952380952378"/>
    <x v="204"/>
  </r>
  <r>
    <x v="6"/>
    <x v="0"/>
    <n v="40"/>
    <n v="1455"/>
    <d v="2013-06-27T10:20:00"/>
    <d v="2013-06-27T11:12:00"/>
    <n v="180"/>
    <n v="525"/>
    <n v="478"/>
    <s v="Induced draft fans"/>
    <s v="Load Reduction #294-1 ID fan tripped due to stall warning during boiler upset."/>
    <s v="Ghent"/>
    <x v="0"/>
    <s v="Coal"/>
    <x v="2"/>
    <x v="0"/>
    <n v="6"/>
    <n v="0.86666666669771075"/>
    <n v="0.56952380954420989"/>
    <n v="272.23238096213231"/>
    <n v="314.1142857142857"/>
    <x v="209"/>
  </r>
  <r>
    <x v="6"/>
    <x v="5"/>
    <n v="41"/>
    <n v="3245"/>
    <d v="2013-07-12T04:36:00"/>
    <d v="2013-07-19T16:11:00"/>
    <n v="0"/>
    <n v="525"/>
    <n v="478"/>
    <s v="Other cooling tower problems"/>
    <s v="Outage #11Cooling tower south distribution line failed at cell #4-1.  Removed the "/>
    <s v="Ghent"/>
    <x v="3"/>
    <s v="Coal"/>
    <x v="2"/>
    <x v="0"/>
    <n v="7"/>
    <n v="179.58333333337214"/>
    <n v="179.58333333337214"/>
    <n v="85840.833333351882"/>
    <n v="478"/>
    <x v="201"/>
  </r>
  <r>
    <x v="6"/>
    <x v="1"/>
    <n v="42"/>
    <n v="1455"/>
    <d v="2013-07-27T06:00:00"/>
    <d v="2013-07-27T12:30:00"/>
    <n v="160"/>
    <n v="525"/>
    <n v="478"/>
    <s v="Induced draft fans"/>
    <s v="F850Load Reduction #304-2 ID fan off to replace IB bearing."/>
    <s v="Ghent"/>
    <x v="0"/>
    <s v="Coal"/>
    <x v="2"/>
    <x v="0"/>
    <n v="7"/>
    <n v="6.5000000000582077"/>
    <n v="4.5190476190880871"/>
    <n v="2160.1047619241058"/>
    <n v="332.32380952380953"/>
    <x v="210"/>
  </r>
  <r>
    <x v="6"/>
    <x v="0"/>
    <n v="43"/>
    <n v="1999"/>
    <d v="2013-08-07T09:15:00"/>
    <d v="2013-08-07T15:50:00"/>
    <n v="495"/>
    <n v="525"/>
    <n v="478"/>
    <s v="Boiler"/>
    <s v="Load Reduction #31High boiler exist gas temperature."/>
    <s v="Ghent"/>
    <x v="0"/>
    <s v="Coal"/>
    <x v="2"/>
    <x v="0"/>
    <n v="8"/>
    <n v="6.5833333333139308"/>
    <n v="0.37619047618936746"/>
    <n v="179.81904761851766"/>
    <n v="27.314285714285713"/>
    <x v="6"/>
  </r>
  <r>
    <x v="6"/>
    <x v="4"/>
    <n v="44"/>
    <n v="1040"/>
    <d v="2013-08-19T04:10:00"/>
    <d v="2013-08-19T18:06:00"/>
    <n v="0"/>
    <n v="525"/>
    <n v="478"/>
    <s v="First superheater B"/>
    <s v="F540Outage #12A leak developed in the Low Temperature Superheater HRA on 8th floor"/>
    <s v="Ghent"/>
    <x v="2"/>
    <s v="Coal"/>
    <x v="2"/>
    <x v="0"/>
    <n v="8"/>
    <n v="13.933333333348855"/>
    <n v="13.933333333348855"/>
    <n v="6660.1333333407529"/>
    <n v="478"/>
    <x v="201"/>
  </r>
  <r>
    <x v="6"/>
    <x v="6"/>
    <n v="45"/>
    <n v="1812"/>
    <d v="2013-09-27T22:07:00"/>
    <d v="2013-10-11T15:27:00"/>
    <n v="0"/>
    <n v="525"/>
    <n v="478"/>
    <s v="Boiler Inspections - scheduled or routine"/>
    <s v="F590Outage #13Unit 4 was removed from service to perform Planned Fall Outage maint"/>
    <s v="Ghent"/>
    <x v="1"/>
    <s v="Coal"/>
    <x v="2"/>
    <x v="0"/>
    <n v="9"/>
    <n v="329.33333333343035"/>
    <n v="329.33333333343035"/>
    <n v="157421.33333337971"/>
    <n v="478"/>
    <x v="201"/>
  </r>
  <r>
    <x v="6"/>
    <x v="0"/>
    <n v="46"/>
    <n v="1850"/>
    <d v="2013-10-12T03:35:00"/>
    <d v="2013-10-12T04:25:00"/>
    <n v="470"/>
    <n v="525"/>
    <n v="478"/>
    <s v="Boiler water condition (not feedwater water quality)"/>
    <s v="Load Reduction #32Boiler silica was high after unit start up causing pressure to b"/>
    <s v="Ghent"/>
    <x v="0"/>
    <s v="Coal"/>
    <x v="2"/>
    <x v="0"/>
    <n v="10"/>
    <n v="0.8333333334303461"/>
    <n v="8.7301587311750542E-2"/>
    <n v="41.730158735016758"/>
    <n v="50.076190476190476"/>
    <x v="33"/>
  </r>
  <r>
    <x v="6"/>
    <x v="0"/>
    <n v="47"/>
    <n v="3211"/>
    <d v="2013-10-12T05:29:00"/>
    <d v="2013-10-14T03:42:00"/>
    <n v="490"/>
    <n v="525"/>
    <n v="478"/>
    <s v="Circulating water pump motors"/>
    <s v="Load Reduction #334-1 Circulating water pump is out of service due to the motor be"/>
    <s v="Ghent"/>
    <x v="0"/>
    <s v="Coal"/>
    <x v="2"/>
    <x v="0"/>
    <n v="10"/>
    <n v="46.21666666661622"/>
    <n v="3.0811111111077478"/>
    <n v="1472.7711111095034"/>
    <n v="31.866666666666667"/>
    <x v="8"/>
  </r>
  <r>
    <x v="6"/>
    <x v="5"/>
    <n v="48"/>
    <n v="1080"/>
    <d v="2013-10-14T03:42:00"/>
    <d v="2013-10-15T02:15:00"/>
    <n v="0"/>
    <n v="525"/>
    <n v="478"/>
    <s v="Economizer B"/>
    <s v="Outage #14A tube leak was located in the Economizer section of the boiler.  Remove"/>
    <s v="Ghent"/>
    <x v="3"/>
    <s v="Coal"/>
    <x v="2"/>
    <x v="0"/>
    <n v="10"/>
    <n v="22.549999999988358"/>
    <n v="22.549999999988358"/>
    <n v="10778.899999994435"/>
    <n v="478"/>
    <x v="201"/>
  </r>
  <r>
    <x v="6"/>
    <x v="7"/>
    <n v="49"/>
    <n v="9910"/>
    <d v="2013-10-15T02:15:00"/>
    <d v="2013-10-15T06:13:00"/>
    <n v="0"/>
    <n v="525"/>
    <n v="478"/>
    <s v="Maintenance personnel error"/>
    <s v="F430Outage #15When starting up after the previous tube leak event, the Generator V"/>
    <s v="Ghent"/>
    <x v="3"/>
    <s v="Coal"/>
    <x v="2"/>
    <x v="0"/>
    <n v="10"/>
    <n v="3.9666666666744277"/>
    <n v="3.9666666666744277"/>
    <n v="1896.0666666703764"/>
    <n v="478"/>
    <x v="201"/>
  </r>
  <r>
    <x v="6"/>
    <x v="0"/>
    <n v="50"/>
    <n v="3211"/>
    <d v="2013-10-15T11:20:00"/>
    <d v="2013-10-18T15:45:00"/>
    <n v="500"/>
    <n v="525"/>
    <n v="478"/>
    <s v="Circulating water pump motors"/>
    <s v="Load Reduction #34Back pressure is running high due to 4-1 Circulating Water Pump "/>
    <s v="Ghent"/>
    <x v="0"/>
    <s v="Coal"/>
    <x v="2"/>
    <x v="0"/>
    <n v="10"/>
    <n v="76.416666666744277"/>
    <n v="3.6388888888925845"/>
    <n v="1739.3888888906554"/>
    <n v="22.761904761904763"/>
    <x v="0"/>
  </r>
  <r>
    <x v="6"/>
    <x v="0"/>
    <n v="51"/>
    <n v="9650"/>
    <d v="2013-10-20T19:03:00"/>
    <d v="2013-10-20T21:30:00"/>
    <n v="370"/>
    <n v="525"/>
    <n v="478"/>
    <s v="Other stack or exhaust emissions (fossil)"/>
    <s v="Load Reduction #35H2 SO4 problems.  Dropped load to stay under limit."/>
    <s v="Ghent"/>
    <x v="0"/>
    <s v="Coal"/>
    <x v="2"/>
    <x v="0"/>
    <n v="10"/>
    <n v="2.4500000001280569"/>
    <n v="0.72333333337114059"/>
    <n v="345.75333335140522"/>
    <n v="141.12380952380951"/>
    <x v="59"/>
  </r>
  <r>
    <x v="6"/>
    <x v="0"/>
    <n v="52"/>
    <n v="1455"/>
    <d v="2013-11-01T00:53:00"/>
    <d v="2013-11-01T11:10:00"/>
    <n v="190"/>
    <n v="525"/>
    <n v="478"/>
    <s v="Induced draft fans"/>
    <s v="Load Reduction #364-1 ID fan tripped due to high vibration."/>
    <s v="Ghent"/>
    <x v="0"/>
    <s v="Coal"/>
    <x v="2"/>
    <x v="0"/>
    <n v="11"/>
    <n v="10.283333333325572"/>
    <n v="6.5617460317410794"/>
    <n v="3136.5146031722361"/>
    <n v="305.00952380952378"/>
    <x v="204"/>
  </r>
  <r>
    <x v="6"/>
    <x v="5"/>
    <n v="53"/>
    <n v="9910"/>
    <d v="2013-11-05T14:09:00"/>
    <d v="2013-11-06T15:02:00"/>
    <n v="0"/>
    <n v="525"/>
    <n v="478"/>
    <s v="Maintenance personnel error"/>
    <s v="Outage #16While wiring up the new reserve feed watt hour meter a current transform"/>
    <s v="Ghent"/>
    <x v="3"/>
    <s v="Coal"/>
    <x v="2"/>
    <x v="0"/>
    <n v="11"/>
    <n v="24.883333333244082"/>
    <n v="24.883333333244082"/>
    <n v="11894.233333290671"/>
    <n v="478"/>
    <x v="201"/>
  </r>
  <r>
    <x v="6"/>
    <x v="0"/>
    <n v="54"/>
    <n v="9650"/>
    <d v="2013-11-13T09:20:00"/>
    <d v="2013-11-13T13:10:00"/>
    <n v="474"/>
    <n v="525"/>
    <n v="478"/>
    <s v="Other stack or exhaust emissions (fossil)"/>
    <s v="Load Reduction #37H2 SO4 problems.  Dropped load to stay under limit."/>
    <s v="Ghent"/>
    <x v="0"/>
    <s v="Coal"/>
    <x v="2"/>
    <x v="0"/>
    <n v="11"/>
    <n v="3.8333333332557231"/>
    <n v="0.37238095237341312"/>
    <n v="177.99809523449147"/>
    <n v="46.434285714285714"/>
    <x v="10"/>
  </r>
  <r>
    <x v="6"/>
    <x v="0"/>
    <n v="55"/>
    <n v="8551"/>
    <d v="2013-11-14T08:25:00"/>
    <d v="2013-11-15T03:00:00"/>
    <n v="200"/>
    <n v="525"/>
    <n v="478"/>
    <s v="Electrostatic precipitator field out of service"/>
    <s v="Load Reduction #38Load was reduced when ash holding systems became full."/>
    <s v="Ghent"/>
    <x v="0"/>
    <s v="Coal"/>
    <x v="2"/>
    <x v="0"/>
    <n v="11"/>
    <n v="18.583333333313931"/>
    <n v="11.503968253956243"/>
    <n v="5498.8968253910843"/>
    <n v="295.90476190476193"/>
    <x v="202"/>
  </r>
  <r>
    <x v="6"/>
    <x v="0"/>
    <n v="56"/>
    <n v="9650"/>
    <d v="2013-11-15T11:46:00"/>
    <d v="2013-11-15T13:17:00"/>
    <n v="414"/>
    <n v="525"/>
    <n v="478"/>
    <s v="Other stack or exhaust emissions (fossil)"/>
    <s v="Load Reduction #39H2 SO4 problems.  Dropped load to stay under limit."/>
    <s v="Ghent"/>
    <x v="0"/>
    <s v="Coal"/>
    <x v="2"/>
    <x v="0"/>
    <n v="11"/>
    <n v="1.5166666667209938"/>
    <n v="0.32066666667815297"/>
    <n v="153.27866667215713"/>
    <n v="101.06285714285714"/>
    <x v="111"/>
  </r>
  <r>
    <x v="6"/>
    <x v="0"/>
    <n v="57"/>
    <n v="8825"/>
    <d v="2013-11-20T05:52:00"/>
    <d v="2013-11-20T07:54:00"/>
    <n v="515"/>
    <n v="525"/>
    <n v="478"/>
    <s v="Other SCR NOx problems"/>
    <s v="Load Reduction #40SCR inlet temperature limit."/>
    <s v="Ghent"/>
    <x v="0"/>
    <s v="Coal"/>
    <x v="2"/>
    <x v="0"/>
    <n v="11"/>
    <n v="2.0333333335001953"/>
    <n v="3.8730158733337051E-2"/>
    <n v="18.51301587453511"/>
    <n v="9.1047619047619044"/>
    <x v="94"/>
  </r>
  <r>
    <x v="6"/>
    <x v="0"/>
    <n v="58"/>
    <n v="9650"/>
    <d v="2013-12-04T15:30:00"/>
    <d v="2013-12-04T18:46:00"/>
    <n v="470"/>
    <n v="525"/>
    <n v="478"/>
    <s v="Other stack or exhaust emissions (fossil)"/>
    <s v="Load Reduction #41H2S04 was running high.  The unit is running 2 top mills due to "/>
    <s v="Ghent"/>
    <x v="0"/>
    <s v="Coal"/>
    <x v="2"/>
    <x v="0"/>
    <n v="12"/>
    <n v="3.2666666666627862"/>
    <n v="0.3422222222218157"/>
    <n v="163.58222222202789"/>
    <n v="50.076190476190476"/>
    <x v="33"/>
  </r>
  <r>
    <x v="6"/>
    <x v="0"/>
    <n v="59"/>
    <n v="340"/>
    <d v="2013-12-08T10:00:00"/>
    <d v="2013-12-08T11:37:00"/>
    <n v="500"/>
    <n v="525"/>
    <n v="478"/>
    <s v="Other pulverizer problems"/>
    <s v="Load Reduction #424-4 Mill tripped, loss of flame."/>
    <s v="Ghent"/>
    <x v="0"/>
    <s v="Coal"/>
    <x v="2"/>
    <x v="0"/>
    <n v="12"/>
    <n v="1.6166666666977108"/>
    <n v="7.6984126985605278E-2"/>
    <n v="36.798412699119325"/>
    <n v="22.761904761904763"/>
    <x v="0"/>
  </r>
  <r>
    <x v="6"/>
    <x v="4"/>
    <n v="60"/>
    <n v="1455"/>
    <d v="2013-12-20T00:04:00"/>
    <d v="2013-12-21T07:33:00"/>
    <n v="0"/>
    <n v="525"/>
    <n v="478"/>
    <s v="Induced draft fans"/>
    <s v="F850Outage #17Unit 4 had been running with 4-2 ID fan vibration getting worse.  Se"/>
    <s v="Ghent"/>
    <x v="2"/>
    <s v="Coal"/>
    <x v="2"/>
    <x v="0"/>
    <n v="12"/>
    <n v="31.483333333279006"/>
    <n v="31.483333333279006"/>
    <n v="15049.033333307365"/>
    <n v="478"/>
    <x v="201"/>
  </r>
  <r>
    <x v="6"/>
    <x v="5"/>
    <n v="61"/>
    <n v="3611"/>
    <d v="2013-12-21T07:34:00"/>
    <d v="2013-12-21T09:12:00"/>
    <n v="0"/>
    <n v="525"/>
    <n v="478"/>
    <s v="Switchyard circuit breakers - external"/>
    <s v="Outage #18Unit 4 had just come on line from the previous event when it had mixed i"/>
    <s v="Ghent"/>
    <x v="3"/>
    <s v="Coal"/>
    <x v="2"/>
    <x v="0"/>
    <n v="12"/>
    <n v="1.6333333332440816"/>
    <n v="1.6333333332440816"/>
    <n v="780.733333290671"/>
    <n v="478"/>
    <x v="201"/>
  </r>
  <r>
    <x v="6"/>
    <x v="0"/>
    <n v="62"/>
    <n v="280"/>
    <d v="2013-12-25T21:58:00"/>
    <d v="2013-12-25T22:38:00"/>
    <n v="420"/>
    <n v="525"/>
    <n v="478"/>
    <s v="Pulverizer fires"/>
    <s v="Load Reduction #43Load was reduced due to a fire in 4-4 mill."/>
    <s v="Ghent"/>
    <x v="0"/>
    <s v="Coal"/>
    <x v="2"/>
    <x v="0"/>
    <n v="12"/>
    <n v="0.66666666674427688"/>
    <n v="0.13333333334885539"/>
    <n v="63.733333340752878"/>
    <n v="95.6"/>
    <x v="41"/>
  </r>
  <r>
    <x v="6"/>
    <x v="4"/>
    <n v="63"/>
    <n v="1000"/>
    <d v="2013-12-31T12:07:00"/>
    <d v="2014-01-01T00:00:00"/>
    <n v="0"/>
    <n v="525"/>
    <n v="478"/>
    <s v="Waterwall (Furnace wall) A"/>
    <s v="F540Outage #19Unit 4 developed a tube leak on 8 2/3 floor on the south side of the"/>
    <s v="Ghent"/>
    <x v="2"/>
    <s v="Coal"/>
    <x v="2"/>
    <x v="0"/>
    <n v="12"/>
    <n v="11.883333333302289"/>
    <n v="11.883333333302289"/>
    <n v="5680.2333333184943"/>
    <n v="478"/>
    <x v="201"/>
  </r>
  <r>
    <x v="6"/>
    <x v="4"/>
    <n v="3"/>
    <n v="1000"/>
    <d v="2014-01-01T00:00:00"/>
    <d v="2014-01-01T00:53:00"/>
    <n v="0"/>
    <n v="525"/>
    <n v="478"/>
    <s v="Waterwall (Furnace wall) A"/>
    <s v="F540Outage #1Unit 4 developed a tube leak on 8 2/3 floor on the south side of the "/>
    <s v="Ghent"/>
    <x v="2"/>
    <s v="Coal"/>
    <x v="2"/>
    <x v="1"/>
    <n v="1"/>
    <n v="0.88333333341870457"/>
    <n v="0.88333333341870457"/>
    <n v="422.23333337414078"/>
    <n v="478"/>
    <x v="201"/>
  </r>
  <r>
    <x v="6"/>
    <x v="0"/>
    <n v="2"/>
    <n v="250"/>
    <d v="2014-01-07T03:55:00"/>
    <d v="2014-01-07T04:36:00"/>
    <n v="400"/>
    <n v="525"/>
    <n v="478"/>
    <s v="Pulverizer feeders"/>
    <s v="Load Reduction #14-4 Feeder tripped."/>
    <s v="Ghent"/>
    <x v="0"/>
    <s v="Coal"/>
    <x v="2"/>
    <x v="1"/>
    <n v="1"/>
    <n v="0.68333333329064772"/>
    <n v="0.16269841268824944"/>
    <n v="77.769841264983228"/>
    <n v="113.80952380952381"/>
    <x v="46"/>
  </r>
  <r>
    <x v="6"/>
    <x v="0"/>
    <n v="5"/>
    <n v="9650"/>
    <d v="2014-02-03T00:50:00"/>
    <d v="2014-02-03T01:48:00"/>
    <n v="400"/>
    <n v="525"/>
    <n v="478"/>
    <s v="Other stack or exhaust emissions (fossil)"/>
    <s v="Load Reduction #3Reduced load to keep H2SO4 within limit."/>
    <s v="Ghent"/>
    <x v="0"/>
    <s v="Coal"/>
    <x v="2"/>
    <x v="1"/>
    <n v="2"/>
    <n v="0.96666666667442769"/>
    <n v="0.23015873016057803"/>
    <n v="110.0158730167563"/>
    <n v="113.80952380952381"/>
    <x v="46"/>
  </r>
  <r>
    <x v="6"/>
    <x v="1"/>
    <n v="6"/>
    <n v="3416"/>
    <d v="2014-02-08T23:00:00"/>
    <d v="2014-02-09T00:20:00"/>
    <n v="300"/>
    <n v="525"/>
    <n v="478"/>
    <s v="Other feedwater pump problems"/>
    <s v="Load Reduction #4Planned derate to inspect 4-2 BFP leak.  Derate was planned with "/>
    <s v="Ghent"/>
    <x v="0"/>
    <s v="Coal"/>
    <x v="2"/>
    <x v="1"/>
    <n v="2"/>
    <n v="1.3333333333139308"/>
    <n v="0.57142857142025605"/>
    <n v="273.14285713888239"/>
    <n v="204.85714285714286"/>
    <x v="211"/>
  </r>
  <r>
    <x v="6"/>
    <x v="5"/>
    <n v="7"/>
    <n v="250"/>
    <d v="2014-02-09T03:51:00"/>
    <d v="2014-02-09T05:38:00"/>
    <n v="0"/>
    <n v="525"/>
    <n v="478"/>
    <s v="Pulverizer feeders"/>
    <s v="Outage #24-6 Mill Feeder coal inlet plugged causing controls to see this feeder as"/>
    <s v="Ghent"/>
    <x v="3"/>
    <s v="Coal"/>
    <x v="2"/>
    <x v="1"/>
    <n v="2"/>
    <n v="1.78333333338378"/>
    <n v="1.78333333338378"/>
    <n v="852.43333335744683"/>
    <n v="478"/>
    <x v="201"/>
  </r>
  <r>
    <x v="6"/>
    <x v="1"/>
    <n v="8"/>
    <n v="250"/>
    <d v="2014-02-25T03:58:00"/>
    <d v="2014-02-25T05:33:00"/>
    <n v="520"/>
    <n v="525"/>
    <n v="478"/>
    <s v="Pulverizer feeders"/>
    <s v="Load Reduction #5Boiler exit gas was high due to both top mills being in service w"/>
    <s v="Ghent"/>
    <x v="0"/>
    <s v="Coal"/>
    <x v="2"/>
    <x v="1"/>
    <n v="2"/>
    <n v="1.5833333332557231"/>
    <n v="1.5079365078625935E-2"/>
    <n v="7.2079365075831969"/>
    <n v="4.5523809523809522"/>
    <x v="166"/>
  </r>
  <r>
    <x v="6"/>
    <x v="0"/>
    <n v="9"/>
    <n v="9650"/>
    <d v="2014-03-05T17:35:00"/>
    <d v="2014-03-05T18:09:00"/>
    <n v="450"/>
    <n v="525"/>
    <n v="478"/>
    <s v="Other stack or exhaust emissions (fossil)"/>
    <s v="Load Reduction #6Temporary lime silo plugged at mixer."/>
    <s v="Ghent"/>
    <x v="0"/>
    <s v="Coal"/>
    <x v="2"/>
    <x v="1"/>
    <n v="3"/>
    <n v="0.56666666659293696"/>
    <n v="8.0952380941848132E-2"/>
    <n v="38.695238090203404"/>
    <n v="68.285714285714292"/>
    <x v="208"/>
  </r>
  <r>
    <x v="6"/>
    <x v="0"/>
    <n v="10"/>
    <n v="9650"/>
    <d v="2014-03-05T20:48:00"/>
    <d v="2014-03-05T22:01:00"/>
    <n v="500"/>
    <n v="525"/>
    <n v="478"/>
    <s v="Other stack or exhaust emissions (fossil)"/>
    <s v="Load Reduction #7Temporary lime silo plugged at mixer."/>
    <s v="Ghent"/>
    <x v="0"/>
    <s v="Coal"/>
    <x v="2"/>
    <x v="1"/>
    <n v="3"/>
    <n v="1.21666666661622"/>
    <n v="5.7936507934105715E-2"/>
    <n v="27.693650792502531"/>
    <n v="22.761904761904763"/>
    <x v="0"/>
  </r>
  <r>
    <x v="6"/>
    <x v="0"/>
    <n v="11"/>
    <n v="3440"/>
    <d v="2014-03-24T08:44:00"/>
    <d v="2014-03-26T02:30:00"/>
    <n v="511"/>
    <n v="525"/>
    <n v="478"/>
    <s v="High pressure heater tube leaks"/>
    <s v="Load Reduction #8HP heaters are out of service to repair a tube leak in 'G' HP hea"/>
    <s v="Ghent"/>
    <x v="0"/>
    <s v="Coal"/>
    <x v="2"/>
    <x v="1"/>
    <n v="3"/>
    <n v="41.766666666604578"/>
    <n v="1.1137777777761222"/>
    <n v="532.3857777769864"/>
    <n v="12.746666666666666"/>
    <x v="20"/>
  </r>
  <r>
    <x v="6"/>
    <x v="0"/>
    <n v="12"/>
    <n v="4499"/>
    <d v="2014-03-26T06:30:00"/>
    <d v="2014-04-01T00:00:00"/>
    <n v="530"/>
    <n v="525"/>
    <n v="478"/>
    <s v="Other miscellaneous steam turbine problems"/>
    <s v="Load Reduction #9Turbine performance due to copper deposition."/>
    <s v="Ghent"/>
    <x v="0"/>
    <s v="Coal"/>
    <x v="2"/>
    <x v="1"/>
    <n v="3"/>
    <n v="137.49999999994179"/>
    <n v="-1.3095238095232551"/>
    <n v="-625.95238095211596"/>
    <n v="0"/>
    <x v="152"/>
  </r>
  <r>
    <x v="6"/>
    <x v="1"/>
    <n v="13"/>
    <n v="920"/>
    <d v="2014-04-01T23:12:00"/>
    <d v="2014-04-02T03:55:00"/>
    <n v="215"/>
    <n v="525"/>
    <n v="478"/>
    <s v="Other slag and ash removal problems A"/>
    <s v="Load Reduction #10Needed to deslag the boiler, drum level deviation was excessive."/>
    <s v="Ghent"/>
    <x v="0"/>
    <s v="Coal"/>
    <x v="2"/>
    <x v="1"/>
    <n v="4"/>
    <n v="4.7166666666744277"/>
    <n v="2.7850793650839476"/>
    <n v="1331.2679365101269"/>
    <n v="282.24761904761903"/>
    <x v="212"/>
  </r>
  <r>
    <x v="6"/>
    <x v="1"/>
    <n v="14"/>
    <n v="1100"/>
    <d v="2014-04-10T23:00:00"/>
    <d v="2014-04-11T04:00:00"/>
    <n v="220"/>
    <n v="525"/>
    <n v="478"/>
    <s v="Waterwall (Furnace wall) B"/>
    <s v="Load Reduction #11Boiler exist gas temps were high.  Planned derate for deslag."/>
    <s v="Ghent"/>
    <x v="0"/>
    <s v="Coal"/>
    <x v="2"/>
    <x v="1"/>
    <n v="4"/>
    <n v="4.9999999998835847"/>
    <n v="2.904761904694273"/>
    <n v="1388.4761904438624"/>
    <n v="277.6952380952381"/>
    <x v="213"/>
  </r>
  <r>
    <x v="6"/>
    <x v="0"/>
    <n v="15"/>
    <n v="1100"/>
    <d v="2014-04-19T06:02:00"/>
    <d v="2014-04-19T08:00:00"/>
    <n v="500"/>
    <n v="525"/>
    <n v="478"/>
    <s v="Waterwall (Furnace wall) B"/>
    <s v="Load Reduction #12Boiler exit gas temps running high.  Able to get back to 512 MW "/>
    <s v="Ghent"/>
    <x v="0"/>
    <s v="Coal"/>
    <x v="2"/>
    <x v="1"/>
    <n v="4"/>
    <n v="1.966666666790843"/>
    <n v="9.365079365670681E-2"/>
    <n v="44.765079367905855"/>
    <n v="22.761904761904763"/>
    <x v="0"/>
  </r>
  <r>
    <x v="6"/>
    <x v="1"/>
    <n v="16"/>
    <n v="1100"/>
    <d v="2014-04-19T23:40:00"/>
    <d v="2014-04-20T04:00:00"/>
    <n v="210"/>
    <n v="525"/>
    <n v="478"/>
    <s v="Waterwall (Furnace wall) B"/>
    <s v="Load Reduction #13Boiler exit gas temps running high.  Planned derate for deslag."/>
    <s v="Ghent"/>
    <x v="0"/>
    <s v="Coal"/>
    <x v="2"/>
    <x v="1"/>
    <n v="4"/>
    <n v="4.3333333333139308"/>
    <n v="2.5999999999883583"/>
    <n v="1242.7999999944352"/>
    <n v="286.8"/>
    <x v="214"/>
  </r>
  <r>
    <x v="6"/>
    <x v="5"/>
    <n v="17"/>
    <n v="1475"/>
    <d v="2014-04-21T21:22:00"/>
    <d v="2014-04-22T00:08:00"/>
    <n v="0"/>
    <n v="525"/>
    <n v="478"/>
    <s v="Induced draft fan controls"/>
    <s v="Outage #3Unit 4 is running with furnace pressure control on only the 4-2 ID Fan du"/>
    <s v="Ghent"/>
    <x v="3"/>
    <s v="Coal"/>
    <x v="2"/>
    <x v="1"/>
    <n v="4"/>
    <n v="2.7666666667792015"/>
    <n v="2.7666666667792015"/>
    <n v="1322.4666667204583"/>
    <n v="478"/>
    <x v="201"/>
  </r>
  <r>
    <x v="6"/>
    <x v="0"/>
    <n v="18"/>
    <n v="8200"/>
    <d v="2014-04-26T05:53:00"/>
    <d v="2014-04-26T09:40:00"/>
    <n v="409"/>
    <n v="525"/>
    <n v="478"/>
    <s v="Piping A"/>
    <s v="Load Reduction #14FGD Limestone Slurry Header plugged.  "/>
    <s v="Ghent"/>
    <x v="0"/>
    <s v="Coal"/>
    <x v="2"/>
    <x v="1"/>
    <n v="4"/>
    <n v="3.7833333334419876"/>
    <n v="0.83593650796051533"/>
    <n v="399.57765080512632"/>
    <n v="105.6152380952381"/>
    <x v="207"/>
  </r>
  <r>
    <x v="6"/>
    <x v="0"/>
    <n v="19"/>
    <n v="8200"/>
    <d v="2014-04-28T09:28:00"/>
    <d v="2014-04-28T11:57:00"/>
    <n v="240"/>
    <n v="525"/>
    <n v="478"/>
    <s v="Piping A"/>
    <s v="Load Reduction #15FGD Limestone Slurry Header plugged."/>
    <s v="Ghent"/>
    <x v="0"/>
    <s v="Coal"/>
    <x v="2"/>
    <x v="1"/>
    <n v="4"/>
    <n v="2.4833333333954215"/>
    <n v="1.3480952381289431"/>
    <n v="644.3895238256348"/>
    <n v="259.48571428571427"/>
    <x v="215"/>
  </r>
  <r>
    <x v="6"/>
    <x v="0"/>
    <n v="20"/>
    <n v="8200"/>
    <d v="2014-04-28T11:57:00"/>
    <d v="2014-04-28T12:36:00"/>
    <n v="225"/>
    <n v="525"/>
    <n v="478"/>
    <s v="Piping A"/>
    <s v="Load Reduction #16FGD Limestone Slurry Header plugged."/>
    <s v="Ghent"/>
    <x v="0"/>
    <s v="Coal"/>
    <x v="2"/>
    <x v="1"/>
    <n v="4"/>
    <n v="0.65000000002328306"/>
    <n v="0.37142857144187602"/>
    <n v="177.54285714921673"/>
    <n v="273.14285714285717"/>
    <x v="142"/>
  </r>
  <r>
    <x v="6"/>
    <x v="4"/>
    <n v="21"/>
    <n v="1493"/>
    <d v="2014-05-01T23:35:00"/>
    <d v="2014-05-05T08:20:00"/>
    <n v="0"/>
    <n v="525"/>
    <n v="478"/>
    <s v="Air heater fouling (regenerative)"/>
    <s v="F590Outage #4The unit was running with multiple issues.  Dispatch aligned a window"/>
    <s v="Ghent"/>
    <x v="2"/>
    <s v="Coal"/>
    <x v="2"/>
    <x v="1"/>
    <n v="5"/>
    <n v="80.749999999883585"/>
    <n v="80.749999999883585"/>
    <n v="38598.499999944353"/>
    <n v="478"/>
    <x v="201"/>
  </r>
  <r>
    <x v="6"/>
    <x v="12"/>
    <n v="22"/>
    <n v="1455"/>
    <d v="2014-05-05T08:20:00"/>
    <d v="2014-05-06T04:15:00"/>
    <n v="0"/>
    <n v="525"/>
    <n v="478"/>
    <s v="Induced draft fans"/>
    <s v="F850Outage #5While firing the boiler from the previous event, it was noticed that "/>
    <s v="Ghent"/>
    <x v="2"/>
    <s v="Coal"/>
    <x v="2"/>
    <x v="1"/>
    <n v="5"/>
    <n v="19.916666666802485"/>
    <n v="19.916666666802485"/>
    <n v="9520.1666667315876"/>
    <n v="478"/>
    <x v="201"/>
  </r>
  <r>
    <x v="6"/>
    <x v="0"/>
    <n v="23"/>
    <n v="1200"/>
    <d v="2014-05-07T07:00:00"/>
    <d v="2014-05-07T08:16:00"/>
    <n v="500"/>
    <n v="525"/>
    <n v="478"/>
    <s v="Operation at reduced power to avoid slagging or fouling except waterwalls (furnace walls) (use codes 1100 to 1190 to report power reductions for slag accumulation or slag removal)"/>
    <s v="F830Load Reduction #17Dropped load to keep boiler exist gas under limit."/>
    <s v="Ghent"/>
    <x v="0"/>
    <s v="Coal"/>
    <x v="2"/>
    <x v="1"/>
    <n v="5"/>
    <n v="1.2666666667792015"/>
    <n v="6.0317460322819115E-2"/>
    <n v="28.831746034307535"/>
    <n v="22.761904761904763"/>
    <x v="0"/>
  </r>
  <r>
    <x v="6"/>
    <x v="0"/>
    <n v="24"/>
    <n v="920"/>
    <d v="2014-05-20T08:05:00"/>
    <d v="2014-05-20T14:37:00"/>
    <n v="500"/>
    <n v="525"/>
    <n v="478"/>
    <s v="Other slag and ash removal problems A"/>
    <s v="Load Reduction #18Boiler exit gas temperatures were high so load was reduced.  Agg"/>
    <s v="Ghent"/>
    <x v="0"/>
    <s v="Coal"/>
    <x v="2"/>
    <x v="1"/>
    <n v="5"/>
    <n v="6.5333333333255723"/>
    <n v="0.31111111111074152"/>
    <n v="148.71111111093444"/>
    <n v="22.761904761904763"/>
    <x v="0"/>
  </r>
  <r>
    <x v="6"/>
    <x v="0"/>
    <n v="25"/>
    <n v="1455"/>
    <d v="2014-05-25T20:30:00"/>
    <d v="2014-05-26T06:30:00"/>
    <n v="425"/>
    <n v="525"/>
    <n v="478"/>
    <s v="Induced draft fans"/>
    <s v="Load Reduction #194-2 ID fan hydraulic leak was causing tank reservoir to need to "/>
    <s v="Ghent"/>
    <x v="0"/>
    <s v="Coal"/>
    <x v="2"/>
    <x v="1"/>
    <n v="5"/>
    <n v="10.000000000116415"/>
    <n v="1.9047619047840791"/>
    <n v="910.47619048678985"/>
    <n v="91.047619047619051"/>
    <x v="42"/>
  </r>
  <r>
    <x v="6"/>
    <x v="4"/>
    <n v="26"/>
    <n v="1455"/>
    <d v="2014-05-31T00:18:00"/>
    <d v="2014-06-01T21:37:00"/>
    <n v="0"/>
    <n v="525"/>
    <n v="478"/>
    <s v="Induced draft fans"/>
    <s v="F540Outage #6Unit 4 was running with 4-2 ID Fan hydraulic leak on the blade pitch "/>
    <s v="Ghent"/>
    <x v="2"/>
    <s v="Coal"/>
    <x v="2"/>
    <x v="1"/>
    <n v="5"/>
    <n v="45.316666666651145"/>
    <n v="45.316666666651145"/>
    <n v="21661.366666659247"/>
    <n v="478"/>
    <x v="201"/>
  </r>
  <r>
    <x v="6"/>
    <x v="0"/>
    <n v="27"/>
    <n v="9650"/>
    <d v="2014-06-07T14:34:00"/>
    <d v="2014-06-07T18:05:00"/>
    <n v="279"/>
    <n v="525"/>
    <n v="478"/>
    <s v="Other stack or exhaust emissions (fossil)"/>
    <s v="Load Reduction #20SO3 Mitigation Instrument Air Compressor failed causing loss of "/>
    <s v="Ghent"/>
    <x v="0"/>
    <s v="Coal"/>
    <x v="2"/>
    <x v="1"/>
    <n v="6"/>
    <n v="3.5166666666045785"/>
    <n v="1.6478095237804311"/>
    <n v="787.65295236704605"/>
    <n v="223.97714285714287"/>
    <x v="143"/>
  </r>
  <r>
    <x v="6"/>
    <x v="0"/>
    <n v="28"/>
    <n v="9650"/>
    <d v="2014-06-16T15:34:00"/>
    <d v="2014-06-16T18:41:00"/>
    <n v="300"/>
    <n v="525"/>
    <n v="478"/>
    <s v="Other stack or exhaust emissions (fossil)"/>
    <s v="Load Reduction #21U4 H2SO4 was high.  Electrical feed tripped out and Dry Sorbent "/>
    <s v="Ghent"/>
    <x v="0"/>
    <s v="Coal"/>
    <x v="2"/>
    <x v="1"/>
    <n v="6"/>
    <n v="3.1166666666977108"/>
    <n v="1.3357142857275903"/>
    <n v="638.47142857778817"/>
    <n v="204.85714285714286"/>
    <x v="211"/>
  </r>
  <r>
    <x v="6"/>
    <x v="0"/>
    <n v="29"/>
    <n v="280"/>
    <d v="2014-06-26T08:20:00"/>
    <d v="2014-06-26T08:52:00"/>
    <n v="450"/>
    <n v="525"/>
    <n v="478"/>
    <s v="Pulverizer fires"/>
    <s v="Load Reduction #224-4 Mill fire in pyrite section."/>
    <s v="Ghent"/>
    <x v="0"/>
    <s v="Coal"/>
    <x v="2"/>
    <x v="1"/>
    <n v="6"/>
    <n v="0.53333333332557231"/>
    <n v="7.6190476189367473E-2"/>
    <n v="36.419047618517652"/>
    <n v="68.285714285714292"/>
    <x v="208"/>
  </r>
  <r>
    <x v="6"/>
    <x v="0"/>
    <n v="30"/>
    <n v="1160"/>
    <d v="2014-07-01T04:32:00"/>
    <d v="2014-07-01T05:10:00"/>
    <n v="500"/>
    <n v="525"/>
    <n v="478"/>
    <s v="First reheater B"/>
    <s v="Load Reduction #23High boiler exit gas temperature."/>
    <s v="Ghent"/>
    <x v="0"/>
    <s v="Coal"/>
    <x v="2"/>
    <x v="1"/>
    <n v="7"/>
    <n v="0.63333333347691223"/>
    <n v="3.0158730165567249E-2"/>
    <n v="14.415873019141145"/>
    <n v="22.761904761904763"/>
    <x v="0"/>
  </r>
  <r>
    <x v="6"/>
    <x v="0"/>
    <n v="31"/>
    <n v="1160"/>
    <d v="2014-07-01T05:10:00"/>
    <d v="2014-07-01T07:20:00"/>
    <n v="507"/>
    <n v="525"/>
    <n v="478"/>
    <s v="First reheater B"/>
    <s v="Load Reduction #24Boiler exist gas was high.  Ran RH steam temperature lower to co"/>
    <s v="Ghent"/>
    <x v="0"/>
    <s v="Coal"/>
    <x v="2"/>
    <x v="1"/>
    <n v="7"/>
    <n v="2.1666666665696539"/>
    <n v="7.4285714282388129E-2"/>
    <n v="35.508571426981526"/>
    <n v="16.388571428571428"/>
    <x v="167"/>
  </r>
  <r>
    <x v="6"/>
    <x v="0"/>
    <n v="32"/>
    <n v="9650"/>
    <d v="2014-07-12T17:30:00"/>
    <d v="2014-07-12T18:15:00"/>
    <n v="390"/>
    <n v="525"/>
    <n v="478"/>
    <s v="Other stack or exhaust emissions (fossil)"/>
    <s v="Load Reduction #25H2SO4 temporary injection (SCR outlet) plugged.  Dropped load to"/>
    <s v="Ghent"/>
    <x v="0"/>
    <s v="Coal"/>
    <x v="2"/>
    <x v="1"/>
    <n v="7"/>
    <n v="0.75"/>
    <n v="0.19285714285714287"/>
    <n v="92.185714285714283"/>
    <n v="122.91428571428571"/>
    <x v="52"/>
  </r>
  <r>
    <x v="6"/>
    <x v="0"/>
    <n v="33"/>
    <n v="9650"/>
    <d v="2014-07-12T18:15:00"/>
    <d v="2014-07-12T20:24:00"/>
    <n v="310"/>
    <n v="525"/>
    <n v="478"/>
    <s v="Other stack or exhaust emissions (fossil)"/>
    <s v="Load Reduction #26H2SO4 temporary injection (SCR outlet) plugged.  Dropped load to"/>
    <s v="Ghent"/>
    <x v="0"/>
    <s v="Coal"/>
    <x v="2"/>
    <x v="1"/>
    <n v="7"/>
    <n v="2.1500000000232831"/>
    <n v="0.88047619048572545"/>
    <n v="420.86761905217679"/>
    <n v="195.75238095238095"/>
    <x v="216"/>
  </r>
  <r>
    <x v="6"/>
    <x v="4"/>
    <n v="34"/>
    <n v="8160"/>
    <d v="2014-07-18T23:19:00"/>
    <d v="2014-07-21T06:34:00"/>
    <n v="0"/>
    <n v="525"/>
    <n v="478"/>
    <s v="Mist eliminators/demisters and washdown"/>
    <s v="F120Outage #7FGD Absorber Tower Mist Eliminators showing high differential.  Remov"/>
    <s v="Ghent"/>
    <x v="2"/>
    <s v="Coal"/>
    <x v="2"/>
    <x v="1"/>
    <n v="7"/>
    <n v="55.249999999883585"/>
    <n v="55.249999999883585"/>
    <n v="26409.499999944353"/>
    <n v="478"/>
    <x v="201"/>
  </r>
  <r>
    <x v="6"/>
    <x v="0"/>
    <n v="35"/>
    <n v="250"/>
    <d v="2014-07-22T10:21:00"/>
    <d v="2014-07-22T11:02:00"/>
    <n v="450"/>
    <n v="525"/>
    <n v="478"/>
    <s v="Pulverizer feeders"/>
    <s v="Load Reduction #274-3 Feeder plugged between feeder gate and feeder."/>
    <s v="Ghent"/>
    <x v="0"/>
    <s v="Coal"/>
    <x v="2"/>
    <x v="1"/>
    <n v="7"/>
    <n v="0.68333333329064772"/>
    <n v="9.7619047612949678E-2"/>
    <n v="46.661904758989948"/>
    <n v="68.285714285714292"/>
    <x v="208"/>
  </r>
  <r>
    <x v="6"/>
    <x v="1"/>
    <n v="36"/>
    <n v="3682"/>
    <d v="2014-07-29T05:00:00"/>
    <d v="2014-07-29T16:44:00"/>
    <n v="333"/>
    <n v="525"/>
    <n v="478"/>
    <s v="Other voltage system conductors and buses"/>
    <s v="Load Reduction #28Unit 4 was limited due to North Bus outage to tie in for the new"/>
    <s v="Ghent"/>
    <x v="0"/>
    <s v="Coal"/>
    <x v="2"/>
    <x v="1"/>
    <n v="7"/>
    <n v="11.733333333337214"/>
    <n v="4.2910476190490385"/>
    <n v="2051.1207619054403"/>
    <n v="174.81142857142856"/>
    <x v="217"/>
  </r>
  <r>
    <x v="6"/>
    <x v="0"/>
    <n v="37"/>
    <n v="280"/>
    <d v="2014-08-02T17:34:00"/>
    <d v="2014-08-02T18:39:00"/>
    <n v="430"/>
    <n v="525"/>
    <n v="478"/>
    <s v="Pulverizer fires"/>
    <s v="Load Reduction #29A fire in 4-4 Mill damaged the 'D' burner line.  The unit was de"/>
    <s v="Ghent"/>
    <x v="0"/>
    <s v="Coal"/>
    <x v="2"/>
    <x v="1"/>
    <n v="8"/>
    <n v="1.0833333333721384"/>
    <n v="0.19603174603876791"/>
    <n v="93.703174606531064"/>
    <n v="86.495238095238093"/>
    <x v="173"/>
  </r>
  <r>
    <x v="6"/>
    <x v="0"/>
    <n v="38"/>
    <n v="320"/>
    <d v="2014-08-06T14:20:00"/>
    <d v="2014-08-06T16:59:00"/>
    <n v="410"/>
    <n v="525"/>
    <n v="478"/>
    <s v="Foreign object in Pulverizers mill"/>
    <s v="Load Reduction #304-5 Mill had metal in grinding section causing poor performance "/>
    <s v="Ghent"/>
    <x v="0"/>
    <s v="Coal"/>
    <x v="2"/>
    <x v="1"/>
    <n v="8"/>
    <n v="2.6500000000814907"/>
    <n v="0.58047619049404087"/>
    <n v="277.46761905615153"/>
    <n v="104.70476190476191"/>
    <x v="43"/>
  </r>
  <r>
    <x v="6"/>
    <x v="0"/>
    <n v="39"/>
    <n v="1160"/>
    <d v="2014-08-10T18:47:00"/>
    <d v="2014-08-10T22:30:00"/>
    <n v="495"/>
    <n v="525"/>
    <n v="478"/>
    <s v="First reheater B"/>
    <s v="Load Reduction #31Dropped load to keep boiler exit gas temp within limit."/>
    <s v="Ghent"/>
    <x v="0"/>
    <s v="Coal"/>
    <x v="2"/>
    <x v="1"/>
    <n v="8"/>
    <n v="3.7166666667326353"/>
    <n v="0.21238095238472202"/>
    <n v="101.51809523989712"/>
    <n v="27.314285714285713"/>
    <x v="6"/>
  </r>
  <r>
    <x v="6"/>
    <x v="0"/>
    <n v="40"/>
    <n v="9650"/>
    <d v="2014-08-11T19:54:00"/>
    <d v="2014-08-12T00:55:00"/>
    <n v="495"/>
    <n v="525"/>
    <n v="478"/>
    <s v="Other stack or exhaust emissions (fossil)"/>
    <s v="Load Reduction #32Unit 4 was being limited due to H2SO4 monitor being out of servi"/>
    <s v="Ghent"/>
    <x v="0"/>
    <s v="Coal"/>
    <x v="2"/>
    <x v="1"/>
    <n v="8"/>
    <n v="5.0166666666045785"/>
    <n v="0.2866666666631188"/>
    <n v="137.02666666497078"/>
    <n v="27.314285714285713"/>
    <x v="6"/>
  </r>
  <r>
    <x v="6"/>
    <x v="0"/>
    <n v="41"/>
    <n v="9650"/>
    <d v="2014-08-12T05:17:00"/>
    <d v="2014-08-12T05:59:00"/>
    <n v="495"/>
    <n v="525"/>
    <n v="478"/>
    <s v="Other stack or exhaust emissions (fossil)"/>
    <s v="Load Reduction #33Unit 4 was limited due to H2SO4 monitor being out of service and"/>
    <s v="Ghent"/>
    <x v="0"/>
    <s v="Coal"/>
    <x v="2"/>
    <x v="1"/>
    <n v="8"/>
    <n v="0.70000000001164153"/>
    <n v="4.0000000000665233E-2"/>
    <n v="19.12000000031798"/>
    <n v="27.314285714285713"/>
    <x v="6"/>
  </r>
  <r>
    <x v="6"/>
    <x v="0"/>
    <n v="42"/>
    <n v="9650"/>
    <d v="2014-08-12T05:59:00"/>
    <d v="2014-08-12T10:37:00"/>
    <n v="445"/>
    <n v="525"/>
    <n v="478"/>
    <s v="Other stack or exhaust emissions (fossil)"/>
    <s v="Load Reduction #34Unit 4 was limited due to H2SO4 monitor being out of service and"/>
    <s v="Ghent"/>
    <x v="0"/>
    <s v="Coal"/>
    <x v="2"/>
    <x v="1"/>
    <n v="8"/>
    <n v="4.6333333334187046"/>
    <n v="0.70603174604475494"/>
    <n v="337.48317460939285"/>
    <n v="72.838095238095235"/>
    <x v="87"/>
  </r>
  <r>
    <x v="6"/>
    <x v="0"/>
    <n v="43"/>
    <n v="1455"/>
    <d v="2014-08-20T01:44:00"/>
    <d v="2014-08-20T04:20:00"/>
    <n v="200"/>
    <n v="525"/>
    <n v="478"/>
    <s v="Induced draft fans"/>
    <s v="Load Reduction #354-1 ID fan tripped.  OB fan vibration transducer failed."/>
    <s v="Ghent"/>
    <x v="0"/>
    <s v="Coal"/>
    <x v="2"/>
    <x v="1"/>
    <n v="8"/>
    <n v="2.5999999999185093"/>
    <n v="1.6095238094733628"/>
    <n v="769.35238092826739"/>
    <n v="295.90476190476193"/>
    <x v="202"/>
  </r>
  <r>
    <x v="6"/>
    <x v="0"/>
    <n v="44"/>
    <n v="1599"/>
    <d v="2014-08-22T09:46:00"/>
    <d v="2014-08-22T23:21:00"/>
    <n v="505"/>
    <n v="525"/>
    <n v="478"/>
    <s v="Other miscellaneous boiler air and gas system problems"/>
    <s v="Load Reduction #36High boiler exit gas temperature."/>
    <s v="Ghent"/>
    <x v="0"/>
    <s v="Coal"/>
    <x v="2"/>
    <x v="1"/>
    <n v="8"/>
    <n v="13.583333333255723"/>
    <n v="0.51746031745736087"/>
    <n v="247.3460317446185"/>
    <n v="18.209523809523809"/>
    <x v="5"/>
  </r>
  <r>
    <x v="6"/>
    <x v="0"/>
    <n v="45"/>
    <n v="3631"/>
    <d v="2014-08-22T18:03:00"/>
    <d v="2014-08-22T18:24:00"/>
    <n v="450"/>
    <n v="525"/>
    <n v="478"/>
    <s v="480-volt circuit breakers"/>
    <s v="Load Reduction #374-2A auxiliary condensate pump tripped due to breaker issues."/>
    <s v="Ghent"/>
    <x v="0"/>
    <s v="Coal"/>
    <x v="2"/>
    <x v="1"/>
    <n v="8"/>
    <n v="0.35000000009313226"/>
    <n v="5.000000001330461E-2"/>
    <n v="23.900000006359605"/>
    <n v="68.285714285714292"/>
    <x v="208"/>
  </r>
  <r>
    <x v="6"/>
    <x v="4"/>
    <n v="46"/>
    <n v="8160"/>
    <d v="2014-08-22T23:21:00"/>
    <d v="2014-08-25T01:01:00"/>
    <n v="0"/>
    <n v="525"/>
    <n v="478"/>
    <s v="Mist eliminators/demisters and washdown"/>
    <s v="F120Outage #8Unit 4 had been running with differential across the FGD Mist Elimina"/>
    <s v="Ghent"/>
    <x v="2"/>
    <s v="Coal"/>
    <x v="2"/>
    <x v="1"/>
    <n v="8"/>
    <n v="49.666666666686069"/>
    <n v="49.666666666686069"/>
    <n v="23740.666666675941"/>
    <n v="478"/>
    <x v="201"/>
  </r>
  <r>
    <x v="6"/>
    <x v="5"/>
    <n v="47"/>
    <n v="1000"/>
    <d v="2014-08-25T10:14:00"/>
    <d v="2014-08-26T07:28:00"/>
    <n v="0"/>
    <n v="525"/>
    <n v="478"/>
    <s v="Waterwall (Furnace wall) A"/>
    <s v="Outage #9Water wall tube blew out in boiler causing furnace to trip on high furnac"/>
    <s v="Ghent"/>
    <x v="3"/>
    <s v="Coal"/>
    <x v="2"/>
    <x v="1"/>
    <n v="8"/>
    <n v="21.233333333395422"/>
    <n v="21.233333333395422"/>
    <n v="10149.533333363011"/>
    <n v="478"/>
    <x v="201"/>
  </r>
  <r>
    <x v="6"/>
    <x v="5"/>
    <n v="48"/>
    <n v="1599"/>
    <d v="2014-08-26T09:53:00"/>
    <d v="2014-08-26T11:00:00"/>
    <n v="0"/>
    <n v="525"/>
    <n v="478"/>
    <s v="Other miscellaneous boiler air and gas system problems"/>
    <s v="Outage #10While starting 4-4 mill soon after Unit 4 start up, a furnace pressure e"/>
    <s v="Ghent"/>
    <x v="3"/>
    <s v="Coal"/>
    <x v="2"/>
    <x v="1"/>
    <n v="8"/>
    <n v="1.1166666666395031"/>
    <n v="1.1166666666395031"/>
    <n v="533.76666665368248"/>
    <n v="478"/>
    <x v="201"/>
  </r>
  <r>
    <x v="6"/>
    <x v="5"/>
    <n v="49"/>
    <n v="1000"/>
    <d v="2014-08-27T08:34:00"/>
    <d v="2014-08-29T21:18:00"/>
    <n v="0"/>
    <n v="525"/>
    <n v="478"/>
    <s v="Waterwall (Furnace wall) A"/>
    <s v="Outage #11A water wall tube leak ruptured causing the furnace to trip on high furn"/>
    <s v="Ghent"/>
    <x v="3"/>
    <s v="Coal"/>
    <x v="2"/>
    <x v="1"/>
    <n v="8"/>
    <n v="60.733333333279006"/>
    <n v="60.733333333279006"/>
    <n v="29030.533333307365"/>
    <n v="478"/>
    <x v="201"/>
  </r>
  <r>
    <x v="6"/>
    <x v="5"/>
    <n v="50"/>
    <n v="3110"/>
    <d v="2014-09-04T17:31:00"/>
    <d v="2014-09-05T16:20:00"/>
    <n v="0"/>
    <n v="525"/>
    <n v="478"/>
    <s v="Condenser tube leaks"/>
    <s v="F540Outage #12Conditions started showing signs of a bad Condenser tube leak.  Remo"/>
    <s v="Ghent"/>
    <x v="3"/>
    <s v="Coal"/>
    <x v="2"/>
    <x v="1"/>
    <n v="9"/>
    <n v="22.816666666651145"/>
    <n v="22.816666666651145"/>
    <n v="10906.366666659247"/>
    <n v="478"/>
    <x v="201"/>
  </r>
  <r>
    <x v="6"/>
    <x v="4"/>
    <n v="51"/>
    <n v="1050"/>
    <d v="2014-09-05T16:20:00"/>
    <d v="2014-09-06T15:59:00"/>
    <n v="0"/>
    <n v="525"/>
    <n v="478"/>
    <s v="Second superheater B"/>
    <s v="F380Outage #13The unit had been running with a Superheat tube leak, but the unit w"/>
    <s v="Ghent"/>
    <x v="2"/>
    <s v="Coal"/>
    <x v="2"/>
    <x v="1"/>
    <n v="9"/>
    <n v="23.650000000081491"/>
    <n v="23.650000000081491"/>
    <n v="11304.700000038953"/>
    <n v="478"/>
    <x v="201"/>
  </r>
  <r>
    <x v="6"/>
    <x v="0"/>
    <n v="52"/>
    <n v="3110"/>
    <d v="2014-09-07T07:25:00"/>
    <d v="2014-09-09T22:45:00"/>
    <n v="368"/>
    <n v="525"/>
    <n v="478"/>
    <s v="Condenser tube leaks"/>
    <s v="Load Reduction #38U4 Derated due to high boiler drum silica after a Condenser CW t"/>
    <s v="Ghent"/>
    <x v="0"/>
    <s v="Coal"/>
    <x v="2"/>
    <x v="1"/>
    <n v="9"/>
    <n v="63.333333333197515"/>
    <n v="18.939682539641925"/>
    <n v="9053.1682539488411"/>
    <n v="142.94476190476192"/>
    <x v="218"/>
  </r>
  <r>
    <x v="6"/>
    <x v="1"/>
    <n v="53"/>
    <n v="3110"/>
    <d v="2014-09-11T23:00:00"/>
    <d v="2014-09-12T05:47:00"/>
    <n v="290"/>
    <n v="525"/>
    <n v="478"/>
    <s v="Condenser tube leaks"/>
    <s v="Load Reduction #39Unit 4 was derated due to a suspected condenser tube leak in the"/>
    <s v="Ghent"/>
    <x v="0"/>
    <s v="Coal"/>
    <x v="2"/>
    <x v="1"/>
    <n v="9"/>
    <n v="6.7833333332673647"/>
    <n v="3.0363492063196773"/>
    <n v="1451.3749206208058"/>
    <n v="213.96190476190475"/>
    <x v="219"/>
  </r>
  <r>
    <x v="6"/>
    <x v="5"/>
    <n v="54"/>
    <n v="9900"/>
    <d v="2014-09-12T05:47:00"/>
    <d v="2014-09-12T06:00:00"/>
    <n v="0"/>
    <n v="525"/>
    <n v="478"/>
    <s v="Operator error"/>
    <s v="Outage #14Unit 4 was running with a suspected condenser tube leak in 4-2 auxiliary"/>
    <s v="Ghent"/>
    <x v="3"/>
    <s v="Coal"/>
    <x v="2"/>
    <x v="1"/>
    <n v="9"/>
    <n v="0.21666666667442769"/>
    <n v="0.21666666667442769"/>
    <n v="103.56666667037643"/>
    <n v="478"/>
    <x v="201"/>
  </r>
  <r>
    <x v="6"/>
    <x v="4"/>
    <n v="56"/>
    <n v="3110"/>
    <d v="2014-09-12T06:00:00"/>
    <d v="2014-09-12T19:39:00"/>
    <n v="0"/>
    <n v="525"/>
    <n v="478"/>
    <s v="Condenser tube leaks"/>
    <s v="Outage #15Unit 4 tripped with a suspected condenser tube leak in 4-2 Auxiliary Con"/>
    <s v="Ghent"/>
    <x v="2"/>
    <s v="Coal"/>
    <x v="2"/>
    <x v="1"/>
    <n v="9"/>
    <n v="13.649999999965075"/>
    <n v="13.649999999965075"/>
    <n v="6524.699999983306"/>
    <n v="478"/>
    <x v="201"/>
  </r>
  <r>
    <x v="6"/>
    <x v="0"/>
    <n v="57"/>
    <n v="1850"/>
    <d v="2014-09-13T08:26:00"/>
    <d v="2014-09-13T14:57:00"/>
    <n v="469"/>
    <n v="525"/>
    <n v="478"/>
    <s v="Boiler water condition (not feedwater water quality)"/>
    <s v="Load Reduction #40Unit 4 was derated due to high boiler drum silica after the unit"/>
    <s v="Ghent"/>
    <x v="0"/>
    <s v="Coal"/>
    <x v="2"/>
    <x v="1"/>
    <n v="9"/>
    <n v="6.5166666666045785"/>
    <n v="0.69511111110448842"/>
    <n v="332.26311110794546"/>
    <n v="50.986666666666665"/>
    <x v="3"/>
  </r>
  <r>
    <x v="6"/>
    <x v="0"/>
    <n v="58"/>
    <n v="8817"/>
    <d v="2014-09-20T15:38:00"/>
    <d v="2014-09-20T19:04:00"/>
    <n v="344"/>
    <n v="525"/>
    <n v="478"/>
    <s v="SCR NOx Control system"/>
    <s v="Load Reduction #41H2SO4 temporary injection (SCR Outlet) OOS.  Equipment shut down"/>
    <s v="Ghent"/>
    <x v="0"/>
    <s v="Coal"/>
    <x v="2"/>
    <x v="1"/>
    <n v="9"/>
    <n v="3.4333333333488554"/>
    <n v="1.1836825396878912"/>
    <n v="565.80025397081192"/>
    <n v="164.79619047619047"/>
    <x v="112"/>
  </r>
  <r>
    <x v="6"/>
    <x v="0"/>
    <n v="59"/>
    <n v="4499"/>
    <d v="2014-10-01T10:48:00"/>
    <d v="2014-10-07T10:13:00"/>
    <n v="511"/>
    <n v="525"/>
    <n v="478"/>
    <s v="Other miscellaneous steam turbine problems"/>
    <s v="Load Reduction #42Turbine degradation due to copper deposits. "/>
    <s v="Ghent"/>
    <x v="0"/>
    <s v="Coal"/>
    <x v="2"/>
    <x v="1"/>
    <n v="10"/>
    <n v="143.41666666668607"/>
    <n v="3.8244444444449619"/>
    <n v="1828.0844444446918"/>
    <n v="12.746666666666666"/>
    <x v="20"/>
  </r>
  <r>
    <x v="6"/>
    <x v="0"/>
    <n v="60"/>
    <n v="4499"/>
    <d v="2014-10-07T10:13:00"/>
    <d v="2014-10-10T23:45:00"/>
    <n v="505"/>
    <n v="525"/>
    <n v="478"/>
    <s v="Other miscellaneous steam turbine problems"/>
    <s v="Load Reduction #43Load reduced due to turbine degradation."/>
    <s v="Ghent"/>
    <x v="0"/>
    <s v="Coal"/>
    <x v="2"/>
    <x v="1"/>
    <n v="10"/>
    <n v="85.533333333441988"/>
    <n v="3.2584126984168376"/>
    <n v="1557.5212698432483"/>
    <n v="18.209523809523809"/>
    <x v="5"/>
  </r>
  <r>
    <x v="6"/>
    <x v="6"/>
    <n v="61"/>
    <n v="4400"/>
    <d v="2014-10-10T23:45:00"/>
    <d v="2014-12-05T01:33:00"/>
    <n v="0"/>
    <n v="525"/>
    <n v="478"/>
    <s v="Major turbine overhaul (720 hrs or longer) (use for non-specific overhaul only; see page B-1)"/>
    <s v="F590Outage #16Unit 4 came off line on a Planned Fall Outage.  Outage work includes"/>
    <s v="Ghent"/>
    <x v="1"/>
    <s v="Coal"/>
    <x v="2"/>
    <x v="1"/>
    <n v="10"/>
    <n v="1321.7999999999302"/>
    <n v="1321.7999999999302"/>
    <n v="631820.39999996661"/>
    <n v="478"/>
    <x v="201"/>
  </r>
  <r>
    <x v="6"/>
    <x v="5"/>
    <n v="62"/>
    <n v="4470"/>
    <d v="2014-12-05T01:44:00"/>
    <d v="2014-12-05T06:51:00"/>
    <n v="0"/>
    <n v="525"/>
    <n v="478"/>
    <s v="Differential expansion"/>
    <s v="Outage #17After start up of U4 after major overhaul on the turbine, the turbine wa"/>
    <s v="Ghent"/>
    <x v="3"/>
    <s v="Coal"/>
    <x v="2"/>
    <x v="1"/>
    <n v="12"/>
    <n v="5.1166666665812954"/>
    <n v="5.1166666665812954"/>
    <n v="2445.7666666258592"/>
    <n v="478"/>
    <x v="201"/>
  </r>
  <r>
    <x v="6"/>
    <x v="5"/>
    <n v="63"/>
    <n v="4470"/>
    <d v="2014-12-05T07:31:00"/>
    <d v="2014-12-05T12:18:00"/>
    <n v="0"/>
    <n v="525"/>
    <n v="478"/>
    <s v="Differential expansion"/>
    <s v="Outage #18After start up of U4 after major overhaul on the turbine, the turbine wa"/>
    <s v="Ghent"/>
    <x v="3"/>
    <s v="Coal"/>
    <x v="2"/>
    <x v="1"/>
    <n v="12"/>
    <n v="4.783333333209157"/>
    <n v="4.783333333209157"/>
    <n v="2286.433333273977"/>
    <n v="478"/>
    <x v="201"/>
  </r>
  <r>
    <x v="6"/>
    <x v="5"/>
    <n v="64"/>
    <n v="4470"/>
    <d v="2014-12-05T13:04:00"/>
    <d v="2014-12-05T14:06:00"/>
    <n v="0"/>
    <n v="525"/>
    <n v="478"/>
    <s v="Differential expansion"/>
    <s v="Outage #19After start up of U4 after major overhaul on the turbine, the turbine wa"/>
    <s v="Ghent"/>
    <x v="3"/>
    <s v="Coal"/>
    <x v="2"/>
    <x v="1"/>
    <n v="12"/>
    <n v="1.03333333338378"/>
    <n v="1.03333333338378"/>
    <n v="493.93333335744683"/>
    <n v="478"/>
    <x v="201"/>
  </r>
  <r>
    <x v="6"/>
    <x v="0"/>
    <n v="65"/>
    <n v="1850"/>
    <d v="2014-12-06T14:06:00"/>
    <d v="2014-12-07T15:18:00"/>
    <n v="441"/>
    <n v="525"/>
    <n v="478"/>
    <s v="Boiler water condition (not feedwater water quality)"/>
    <s v="Load Reduction #44High boiler drum silica on start up after Fall Outage."/>
    <s v="Ghent"/>
    <x v="0"/>
    <s v="Coal"/>
    <x v="2"/>
    <x v="1"/>
    <n v="12"/>
    <n v="25.199999999895226"/>
    <n v="4.0319999999832365"/>
    <n v="1927.2959999919872"/>
    <n v="76.48"/>
    <x v="220"/>
  </r>
  <r>
    <x v="6"/>
    <x v="5"/>
    <n v="66"/>
    <n v="3431"/>
    <d v="2014-12-07T15:18:00"/>
    <d v="2014-12-08T09:46:00"/>
    <n v="0"/>
    <n v="525"/>
    <n v="478"/>
    <s v="Other feedwater valves"/>
    <s v="Outage #20Packing blew out on the flue economizer inlet valve causing a tremendous"/>
    <s v="Ghent"/>
    <x v="3"/>
    <s v="Coal"/>
    <x v="2"/>
    <x v="1"/>
    <n v="12"/>
    <n v="18.466666666790843"/>
    <n v="18.466666666790843"/>
    <n v="8827.066666726023"/>
    <n v="478"/>
    <x v="201"/>
  </r>
  <r>
    <x v="6"/>
    <x v="0"/>
    <n v="67"/>
    <n v="3410"/>
    <d v="2014-12-08T17:46:00"/>
    <d v="2014-12-08T21:10:00"/>
    <n v="270"/>
    <n v="525"/>
    <n v="478"/>
    <s v="Feedwater pump"/>
    <s v="Load Reduction #45Unit runback and 4-1 and 4-5 mills tripped after 4-2 BFPT trippe"/>
    <s v="Ghent"/>
    <x v="0"/>
    <s v="Coal"/>
    <x v="2"/>
    <x v="1"/>
    <n v="12"/>
    <n v="3.4000000000814907"/>
    <n v="1.6514285714681527"/>
    <n v="789.382857161777"/>
    <n v="232.17142857142858"/>
    <x v="221"/>
  </r>
  <r>
    <x v="6"/>
    <x v="0"/>
    <n v="68"/>
    <n v="1850"/>
    <d v="2014-12-08T21:10:00"/>
    <d v="2014-12-09T07:10:00"/>
    <n v="482"/>
    <n v="525"/>
    <n v="478"/>
    <s v="Boiler water condition (not feedwater water quality)"/>
    <s v="Load Reduction #46Boiler drum silica was high on start up after Fall Outage."/>
    <s v="Ghent"/>
    <x v="0"/>
    <s v="Coal"/>
    <x v="2"/>
    <x v="1"/>
    <n v="12"/>
    <n v="9.9999999999417923"/>
    <n v="0.81904761904285162"/>
    <n v="391.5047619024831"/>
    <n v="39.150476190476191"/>
    <x v="104"/>
  </r>
  <r>
    <x v="6"/>
    <x v="0"/>
    <n v="69"/>
    <n v="3341"/>
    <d v="2014-12-09T18:05:00"/>
    <d v="2014-12-09T20:55:00"/>
    <n v="460"/>
    <n v="525"/>
    <n v="478"/>
    <s v="Other LP heater - general"/>
    <s v="Load Reduction #47Low pressure heater extractions tripped.  'C' heater normal drai"/>
    <s v="Ghent"/>
    <x v="0"/>
    <s v="Coal"/>
    <x v="2"/>
    <x v="1"/>
    <n v="12"/>
    <n v="2.8333333334885538"/>
    <n v="0.35079365081286856"/>
    <n v="167.67936508855118"/>
    <n v="59.180952380952384"/>
    <x v="83"/>
  </r>
  <r>
    <x v="6"/>
    <x v="0"/>
    <n v="72"/>
    <n v="1455"/>
    <d v="2014-12-09T20:55:00"/>
    <d v="2014-12-10T09:35:00"/>
    <n v="500"/>
    <n v="525"/>
    <n v="478"/>
    <s v="Induced draft fans"/>
    <s v="Load Reduction #484-2 FD fan inlet vane control card failed.  4-2 FD fan inlet won"/>
    <s v="Ghent"/>
    <x v="0"/>
    <s v="Coal"/>
    <x v="2"/>
    <x v="1"/>
    <n v="12"/>
    <n v="12.666666666569654"/>
    <n v="0.6031746031699835"/>
    <n v="288.31746031525211"/>
    <n v="22.761904761904763"/>
    <x v="0"/>
  </r>
  <r>
    <x v="6"/>
    <x v="5"/>
    <n v="71"/>
    <n v="1470"/>
    <d v="2014-12-10T09:35:00"/>
    <d v="2014-12-10T12:36:00"/>
    <n v="0"/>
    <n v="525"/>
    <n v="478"/>
    <s v="Induced draft fan motors and drives"/>
    <s v="Outage #21U4 Boiler tripped on low furnace pressure while working on 4-2 FD fan in"/>
    <s v="Ghent"/>
    <x v="3"/>
    <s v="Coal"/>
    <x v="2"/>
    <x v="1"/>
    <n v="12"/>
    <n v="3.0166666667209938"/>
    <n v="3.0166666667209938"/>
    <n v="1441.966666692635"/>
    <n v="478"/>
    <x v="201"/>
  </r>
  <r>
    <x v="6"/>
    <x v="0"/>
    <n v="73"/>
    <n v="1850"/>
    <d v="2014-12-10T19:10:00"/>
    <d v="2014-12-11T06:55:00"/>
    <n v="492"/>
    <n v="525"/>
    <n v="478"/>
    <s v="Boiler water condition (not feedwater water quality)"/>
    <s v="Load Reduction #49High boiler drum silica on start up after Fall Outage."/>
    <s v="Ghent"/>
    <x v="0"/>
    <s v="Coal"/>
    <x v="2"/>
    <x v="1"/>
    <n v="12"/>
    <n v="11.750000000058208"/>
    <n v="0.73857142857508729"/>
    <n v="353.03714285889174"/>
    <n v="30.045714285714286"/>
    <x v="222"/>
  </r>
  <r>
    <x v="6"/>
    <x v="0"/>
    <n v="74"/>
    <n v="1475"/>
    <d v="2014-12-11T06:55:00"/>
    <d v="2014-12-11T12:15:00"/>
    <n v="500"/>
    <n v="525"/>
    <n v="478"/>
    <s v="Induced draft fan controls"/>
    <s v="Load Reduction #50FD fan master was indicating 100%.  "/>
    <s v="Ghent"/>
    <x v="0"/>
    <s v="Coal"/>
    <x v="2"/>
    <x v="1"/>
    <n v="12"/>
    <n v="5.3333333332557231"/>
    <n v="0.25396825396455824"/>
    <n v="121.39682539505884"/>
    <n v="22.761904761904763"/>
    <x v="0"/>
  </r>
  <r>
    <x v="6"/>
    <x v="0"/>
    <n v="75"/>
    <n v="3441"/>
    <d v="2014-12-11T12:15:00"/>
    <d v="2014-12-12T22:04:00"/>
    <n v="511"/>
    <n v="525"/>
    <n v="478"/>
    <s v="Other high pressure heater problems (see condensate system for LP and IP heater codes)"/>
    <s v="Load Reduction #51HP Heaters are out of service for level control investigation.  "/>
    <s v="Ghent"/>
    <x v="0"/>
    <s v="Coal"/>
    <x v="2"/>
    <x v="1"/>
    <n v="12"/>
    <n v="33.816666666709352"/>
    <n v="0.9017777777789161"/>
    <n v="431.04977777832187"/>
    <n v="12.746666666666666"/>
    <x v="20"/>
  </r>
  <r>
    <x v="6"/>
    <x v="5"/>
    <n v="76"/>
    <n v="1455"/>
    <d v="2014-12-12T23:03:00"/>
    <d v="2014-12-13T04:14:00"/>
    <n v="0"/>
    <n v="525"/>
    <n v="478"/>
    <s v="Induced draft fans"/>
    <s v="Outage #22U4 Boiler tripped on &quot;Low Furnace Pressure&quot; when the 4-2A and 4-2B ID fa"/>
    <s v="Ghent"/>
    <x v="3"/>
    <s v="Coal"/>
    <x v="2"/>
    <x v="1"/>
    <n v="12"/>
    <n v="5.1833333332906477"/>
    <n v="5.1833333332906477"/>
    <n v="2477.6333333129296"/>
    <n v="478"/>
    <x v="201"/>
  </r>
  <r>
    <x v="6"/>
    <x v="1"/>
    <n v="77"/>
    <n v="3644"/>
    <d v="2014-12-14T07:21:00"/>
    <d v="2014-12-14T13:19:00"/>
    <n v="500"/>
    <n v="525"/>
    <n v="478"/>
    <s v="AC Protection devices"/>
    <s v="Load Reduction #52Unit 4 was requested to stay at a steady state load while reserv"/>
    <s v="Ghent"/>
    <x v="0"/>
    <s v="Coal"/>
    <x v="2"/>
    <x v="1"/>
    <n v="12"/>
    <n v="5.9666666665580124"/>
    <n v="0.28412698412181009"/>
    <n v="135.81269841022521"/>
    <n v="22.761904761904763"/>
    <x v="0"/>
  </r>
  <r>
    <x v="6"/>
    <x v="0"/>
    <n v="78"/>
    <n v="3441"/>
    <d v="2014-12-15T16:47:00"/>
    <d v="2014-12-16T06:08:00"/>
    <n v="511"/>
    <n v="525"/>
    <n v="478"/>
    <s v="Other high pressure heater problems (see condensate system for LP and IP heater codes)"/>
    <s v="Load Reduction #53U4 HP heaters were out of service for level control investigatio"/>
    <s v="Ghent"/>
    <x v="0"/>
    <s v="Coal"/>
    <x v="2"/>
    <x v="1"/>
    <n v="12"/>
    <n v="13.350000000034925"/>
    <n v="0.35600000000093135"/>
    <n v="170.16800000044518"/>
    <n v="12.746666666666666"/>
    <x v="20"/>
  </r>
  <r>
    <x v="6"/>
    <x v="4"/>
    <n v="79"/>
    <n v="4260"/>
    <d v="2014-12-23T10:30:00"/>
    <d v="2014-12-26T19:24:00"/>
    <n v="0"/>
    <n v="525"/>
    <n v="478"/>
    <s v="Main stop valves"/>
    <s v="F590Outage #23Scheduled Unit 4 to come off line to repair several items on the uni"/>
    <s v="Ghent"/>
    <x v="2"/>
    <s v="Coal"/>
    <x v="2"/>
    <x v="1"/>
    <n v="12"/>
    <n v="80.900000000023283"/>
    <n v="80.900000000023283"/>
    <n v="38670.200000011129"/>
    <n v="478"/>
    <x v="201"/>
  </r>
  <r>
    <x v="6"/>
    <x v="0"/>
    <n v="80"/>
    <n v="3441"/>
    <d v="2014-12-29T09:05:00"/>
    <d v="2014-12-29T11:18:00"/>
    <n v="490"/>
    <n v="525"/>
    <n v="478"/>
    <s v="Other high pressure heater problems (see condensate system for LP and IP heater codes)"/>
    <s v="Load Reduction #54HP Heaters were out of service for level control investigation. "/>
    <s v="Ghent"/>
    <x v="0"/>
    <s v="Coal"/>
    <x v="2"/>
    <x v="1"/>
    <n v="12"/>
    <n v="2.2166666667326353"/>
    <n v="0.14777777778217568"/>
    <n v="70.637777779879983"/>
    <n v="31.866666666666667"/>
    <x v="8"/>
  </r>
  <r>
    <x v="6"/>
    <x v="0"/>
    <n v="81"/>
    <n v="270"/>
    <d v="2014-12-30T05:36:00"/>
    <d v="2014-12-30T06:02:00"/>
    <n v="420"/>
    <n v="525"/>
    <n v="478"/>
    <s v="Primary air duct and dampers"/>
    <s v="Load Reduction #554-2 Coal Feeder would not start on load increase.  PA flow was &gt;"/>
    <s v="Ghent"/>
    <x v="0"/>
    <s v="Coal"/>
    <x v="2"/>
    <x v="1"/>
    <n v="12"/>
    <n v="0.43333333334885538"/>
    <n v="8.6666666669771075E-2"/>
    <n v="41.426666668150574"/>
    <n v="95.6"/>
    <x v="41"/>
  </r>
  <r>
    <x v="6"/>
    <x v="0"/>
    <n v="82"/>
    <n v="9650"/>
    <d v="2014-12-31T09:04:00"/>
    <d v="2014-12-31T11:35:00"/>
    <n v="280"/>
    <n v="525"/>
    <n v="478"/>
    <s v="Other stack or exhaust emissions (fossil)"/>
    <s v="Load Reduction #56Sorbent Inject Silo Loss in Weight hoppers plugged.  Dropped loa"/>
    <s v="Ghent"/>
    <x v="0"/>
    <s v="Coal"/>
    <x v="2"/>
    <x v="1"/>
    <n v="12"/>
    <n v="2.5166666666627862"/>
    <n v="1.1744444444426336"/>
    <n v="561.3844444435789"/>
    <n v="223.06666666666666"/>
    <x v="223"/>
  </r>
  <r>
    <x v="6"/>
    <x v="0"/>
    <n v="1"/>
    <n v="9650"/>
    <d v="2015-01-16T03:50:00"/>
    <d v="2015-01-16T06:26:00"/>
    <n v="350"/>
    <n v="525"/>
    <n v="478"/>
    <s v="Other stack or exhaust emissions (fossil)"/>
    <s v="Load Reduction #1Sorbent injection system to SCR Outlet ducts plugged, dropped load "/>
    <s v="Ghent"/>
    <x v="0"/>
    <s v="Coal"/>
    <x v="2"/>
    <x v="2"/>
    <n v="1"/>
    <n v="2.6000000000931323"/>
    <n v="0.86666666669771075"/>
    <n v="414.26666668150574"/>
    <n v="159.33333333333334"/>
    <x v="68"/>
  </r>
  <r>
    <x v="6"/>
    <x v="1"/>
    <n v="2"/>
    <n v="410"/>
    <d v="2015-01-22T21:37:00"/>
    <d v="2015-01-23T05:00:00"/>
    <n v="210"/>
    <n v="525"/>
    <n v="478"/>
    <s v="Other burner problems"/>
    <s v="Load Reduction #2Derated unit to deslag U4 burner eyebrows.  Thompson to water bla"/>
    <s v="Ghent"/>
    <x v="0"/>
    <s v="Coal"/>
    <x v="2"/>
    <x v="2"/>
    <n v="1"/>
    <n v="7.3833333334769122"/>
    <n v="4.4300000000861477"/>
    <n v="2117.5400000411787"/>
    <n v="286.8"/>
    <x v="214"/>
  </r>
  <r>
    <x v="6"/>
    <x v="4"/>
    <n v="3"/>
    <n v="3110"/>
    <d v="2015-01-24T13:21:00"/>
    <d v="2015-01-25T18:00:00"/>
    <n v="0"/>
    <n v="525"/>
    <n v="478"/>
    <s v="Condenser tube leaks"/>
    <s v="Outage #1Unit 4 was showing signs of a Condenser tube leak.  Removed the unit from"/>
    <s v="Ghent"/>
    <x v="2"/>
    <s v="Coal"/>
    <x v="2"/>
    <x v="2"/>
    <n v="1"/>
    <n v="28.649999999965075"/>
    <n v="28.649999999965075"/>
    <n v="13694.699999983306"/>
    <n v="478"/>
    <x v="201"/>
  </r>
  <r>
    <x v="6"/>
    <x v="5"/>
    <n v="4"/>
    <n v="1310"/>
    <d v="2015-01-25T18:00:00"/>
    <d v="2015-01-27T00:22:00"/>
    <n v="0"/>
    <n v="525"/>
    <n v="478"/>
    <s v="Water side cleaning (acid cleaning)"/>
    <s v="Outage #2While filling the boiler for startup from the previous Maintenance event,"/>
    <s v="Ghent"/>
    <x v="3"/>
    <s v="Coal"/>
    <x v="2"/>
    <x v="2"/>
    <n v="1"/>
    <n v="30.366666666639503"/>
    <n v="30.366666666639503"/>
    <n v="14515.266666653682"/>
    <n v="478"/>
    <x v="201"/>
  </r>
  <r>
    <x v="6"/>
    <x v="5"/>
    <n v="5"/>
    <n v="1475"/>
    <d v="2015-01-27T02:39:00"/>
    <d v="2015-01-27T04:11:00"/>
    <n v="0"/>
    <n v="525"/>
    <n v="478"/>
    <s v="Induced draft fan controls"/>
    <s v="Outage #3After Unit 4 had just come back on line and while placing mills in servic"/>
    <s v="Ghent"/>
    <x v="3"/>
    <s v="Coal"/>
    <x v="2"/>
    <x v="2"/>
    <n v="1"/>
    <n v="1.5333333332673647"/>
    <n v="1.5333333332673647"/>
    <n v="732.9333333018003"/>
    <n v="478"/>
    <x v="201"/>
  </r>
  <r>
    <x v="6"/>
    <x v="5"/>
    <n v="6"/>
    <n v="1080"/>
    <d v="2015-02-04T11:39:00"/>
    <d v="2015-02-05T12:57:00"/>
    <n v="0"/>
    <n v="525"/>
    <n v="478"/>
    <s v="Economizer B"/>
    <s v="F540Outage #4Boiler developed leak in Economizer section of the boiler.  Removed u"/>
    <s v="Ghent"/>
    <x v="3"/>
    <s v="Coal"/>
    <x v="2"/>
    <x v="2"/>
    <n v="2"/>
    <n v="25.299999999871943"/>
    <n v="25.299999999871943"/>
    <n v="12093.399999938789"/>
    <n v="478"/>
    <x v="201"/>
  </r>
  <r>
    <x v="6"/>
    <x v="1"/>
    <n v="7"/>
    <n v="410"/>
    <d v="2015-02-11T22:00:00"/>
    <d v="2015-02-12T03:22:00"/>
    <n v="200"/>
    <n v="525"/>
    <n v="478"/>
    <s v="Other burner problems"/>
    <s v="Load Reduction #3Need to deslag U4.  4-3 &amp; 4-5 Burners have large eyebrows. Thomps"/>
    <s v="Ghent"/>
    <x v="0"/>
    <s v="Coal"/>
    <x v="2"/>
    <x v="2"/>
    <n v="2"/>
    <n v="5.3666666666977108"/>
    <n v="3.3222222222414399"/>
    <n v="1588.0222222314083"/>
    <n v="295.90476190476193"/>
    <x v="202"/>
  </r>
  <r>
    <x v="6"/>
    <x v="1"/>
    <n v="8"/>
    <n v="410"/>
    <d v="2015-02-12T21:30:00"/>
    <d v="2015-02-13T00:05:00"/>
    <n v="300"/>
    <n v="525"/>
    <n v="478"/>
    <s v="Other burner problems"/>
    <s v="Load Reduction #4Need to deslag U4.  4-3 &amp; 4-5 Burners have large eyebrows. Thomps"/>
    <s v="Ghent"/>
    <x v="0"/>
    <s v="Coal"/>
    <x v="2"/>
    <x v="2"/>
    <n v="2"/>
    <n v="2.5833333331975155"/>
    <n v="1.1071428570846495"/>
    <n v="529.21428568646252"/>
    <n v="204.85714285714286"/>
    <x v="211"/>
  </r>
  <r>
    <x v="6"/>
    <x v="1"/>
    <n v="9"/>
    <n v="1100"/>
    <d v="2015-03-02T22:57:00"/>
    <d v="2015-03-03T04:04:00"/>
    <n v="200"/>
    <n v="525"/>
    <n v="478"/>
    <s v="Waterwall (Furnace wall) B"/>
    <s v="FS00Load Reduction #5Dropped load to deslag boiler due to SH stem temperatures sag"/>
    <s v="Ghent"/>
    <x v="0"/>
    <s v="Coal"/>
    <x v="2"/>
    <x v="2"/>
    <n v="3"/>
    <n v="5.1166666665812954"/>
    <n v="3.1674603174074685"/>
    <n v="1514.0460317207699"/>
    <n v="295.90476190476193"/>
    <x v="202"/>
  </r>
  <r>
    <x v="6"/>
    <x v="1"/>
    <n v="10"/>
    <n v="8813"/>
    <d v="2015-03-08T11:00:00"/>
    <d v="2015-03-08T17:23:00"/>
    <n v="200"/>
    <n v="525"/>
    <n v="478"/>
    <s v="SCR NOx Injection grid piping/valves"/>
    <s v="Load Reduction #6KBR installed new sorbent injection lines and valves."/>
    <s v="Ghent"/>
    <x v="0"/>
    <s v="Coal"/>
    <x v="2"/>
    <x v="2"/>
    <n v="3"/>
    <n v="6.3833333333604969"/>
    <n v="3.9515873016041172"/>
    <n v="1888.8587301667681"/>
    <n v="295.90476190476193"/>
    <x v="202"/>
  </r>
  <r>
    <x v="6"/>
    <x v="0"/>
    <n v="11"/>
    <n v="8813"/>
    <d v="2015-03-08T17:23:00"/>
    <d v="2015-03-08T19:40:00"/>
    <n v="200"/>
    <n v="525"/>
    <n v="478"/>
    <s v="SCR NOx Injection grid piping/valves"/>
    <s v="Load Reduction #7Kept load reduced to 200 MW to keep H2S04 within limit after sorb"/>
    <s v="Ghent"/>
    <x v="0"/>
    <s v="Coal"/>
    <x v="2"/>
    <x v="2"/>
    <n v="3"/>
    <n v="2.2833333332673647"/>
    <n v="1.4134920634512258"/>
    <n v="675.64920632968597"/>
    <n v="295.90476190476193"/>
    <x v="202"/>
  </r>
  <r>
    <x v="6"/>
    <x v="0"/>
    <n v="12"/>
    <n v="8813"/>
    <d v="2015-03-08T19:40:00"/>
    <d v="2015-03-08T21:31:00"/>
    <n v="480"/>
    <n v="525"/>
    <n v="478"/>
    <s v="SCR NOx Injection grid piping/valves"/>
    <s v="Load Reduction #8Unit was unable to make full load after sorbent injection mainten"/>
    <s v="Ghent"/>
    <x v="0"/>
    <s v="Coal"/>
    <x v="2"/>
    <x v="2"/>
    <n v="3"/>
    <n v="1.8499999999185093"/>
    <n v="0.15857142856444364"/>
    <n v="75.797142853804061"/>
    <n v="40.971428571428568"/>
    <x v="28"/>
  </r>
  <r>
    <x v="6"/>
    <x v="0"/>
    <n v="13"/>
    <n v="9270"/>
    <d v="2015-03-16T03:20:00"/>
    <d v="2015-03-16T03:48:00"/>
    <n v="440"/>
    <n v="525"/>
    <n v="478"/>
    <s v="Wet coal"/>
    <s v="Load Reduction #9Boiler upset due to wet coal.  Mill ran back on loss of flame."/>
    <s v="Ghent"/>
    <x v="0"/>
    <s v="Coal"/>
    <x v="2"/>
    <x v="2"/>
    <n v="3"/>
    <n v="0.46666666661622003"/>
    <n v="7.5555555547388006E-2"/>
    <n v="36.115555551651468"/>
    <n v="77.390476190476193"/>
    <x v="128"/>
  </r>
  <r>
    <x v="6"/>
    <x v="1"/>
    <n v="14"/>
    <n v="1100"/>
    <d v="2015-03-22T00:00:00"/>
    <d v="2015-03-22T04:15:00"/>
    <n v="210"/>
    <n v="525"/>
    <n v="478"/>
    <s v="Waterwall (Furnace wall) B"/>
    <s v="Load Reduction #10Boiler deslag."/>
    <s v="Ghent"/>
    <x v="0"/>
    <s v="Coal"/>
    <x v="2"/>
    <x v="2"/>
    <n v="3"/>
    <n v="4.2500000000582077"/>
    <n v="2.5500000000349248"/>
    <n v="1218.9000000166941"/>
    <n v="286.8"/>
    <x v="214"/>
  </r>
  <r>
    <x v="6"/>
    <x v="0"/>
    <n v="15"/>
    <n v="3110"/>
    <d v="2015-03-23T05:09:00"/>
    <d v="2015-03-23T08:41:00"/>
    <n v="440"/>
    <n v="525"/>
    <n v="478"/>
    <s v="Condenser tube leaks"/>
    <s v="Load Reduction #11Condenser CW leak; variable load according to silica \ drum pres"/>
    <s v="Ghent"/>
    <x v="0"/>
    <s v="Coal"/>
    <x v="2"/>
    <x v="2"/>
    <n v="3"/>
    <n v="3.5333333333255723"/>
    <n v="0.5720634920622355"/>
    <n v="273.44634920574856"/>
    <n v="77.390476190476193"/>
    <x v="128"/>
  </r>
  <r>
    <x v="6"/>
    <x v="5"/>
    <n v="16"/>
    <n v="3110"/>
    <d v="2015-03-23T08:41:00"/>
    <d v="2015-03-24T15:30:00"/>
    <n v="0"/>
    <n v="525"/>
    <n v="478"/>
    <s v="Condenser tube leaks"/>
    <s v="Outage #5Unit 4 was experiencing signs of a bad condenser leak.  Removed the unit "/>
    <s v="Ghent"/>
    <x v="3"/>
    <s v="Coal"/>
    <x v="2"/>
    <x v="2"/>
    <n v="3"/>
    <n v="30.816666666709352"/>
    <n v="30.816666666709352"/>
    <n v="14730.36666668707"/>
    <n v="478"/>
    <x v="201"/>
  </r>
  <r>
    <x v="6"/>
    <x v="0"/>
    <n v="17"/>
    <n v="1850"/>
    <d v="2015-03-24T23:46:00"/>
    <d v="2015-03-25T06:41:00"/>
    <n v="450"/>
    <n v="525"/>
    <n v="478"/>
    <s v="Boiler water condition (not feedwater water quality)"/>
    <s v="Load Reduction #12Unit start up after outage to repair a condenser tube leak;  Var"/>
    <s v="Ghent"/>
    <x v="0"/>
    <s v="Coal"/>
    <x v="2"/>
    <x v="2"/>
    <n v="3"/>
    <n v="6.9166666666860692"/>
    <n v="0.98809523809800992"/>
    <n v="472.30952381084876"/>
    <n v="68.285714285714292"/>
    <x v="208"/>
  </r>
  <r>
    <x v="6"/>
    <x v="0"/>
    <n v="18"/>
    <n v="1512"/>
    <d v="2015-03-25T06:41:00"/>
    <d v="2015-03-25T13:37:00"/>
    <n v="500"/>
    <n v="525"/>
    <n v="478"/>
    <s v="Flue gas expansion joints"/>
    <s v="Load Reduction #13Unable to make full load due to ID fan VFD amp limitations due t"/>
    <s v="Ghent"/>
    <x v="0"/>
    <s v="Coal"/>
    <x v="2"/>
    <x v="2"/>
    <n v="3"/>
    <n v="6.933333333407063"/>
    <n v="0.33015873016224112"/>
    <n v="157.81587301755127"/>
    <n v="22.761904761904763"/>
    <x v="0"/>
  </r>
  <r>
    <x v="6"/>
    <x v="0"/>
    <n v="19"/>
    <n v="1512"/>
    <d v="2015-03-25T13:37:00"/>
    <d v="2015-03-25T15:21:00"/>
    <n v="200"/>
    <n v="525"/>
    <n v="478"/>
    <s v="Flue gas expansion joints"/>
    <s v="Load Reduction #14Unable to make full load due to ID fan VFD amp limitations due t"/>
    <s v="Ghent"/>
    <x v="0"/>
    <s v="Coal"/>
    <x v="2"/>
    <x v="2"/>
    <n v="3"/>
    <n v="1.7333333332207985"/>
    <n v="1.0730158729462087"/>
    <n v="512.90158726828781"/>
    <n v="295.90476190476193"/>
    <x v="202"/>
  </r>
  <r>
    <x v="6"/>
    <x v="1"/>
    <n v="20"/>
    <n v="1100"/>
    <d v="2015-04-12T22:00:00"/>
    <d v="2015-04-13T02:07:00"/>
    <n v="200"/>
    <n v="525"/>
    <n v="478"/>
    <s v="Waterwall (Furnace wall) B"/>
    <s v="Load Reduction #15Load Reduced to deslag the boiler."/>
    <s v="Ghent"/>
    <x v="0"/>
    <s v="Coal"/>
    <x v="2"/>
    <x v="2"/>
    <n v="4"/>
    <n v="4.1166666666395031"/>
    <n v="2.5484126983958828"/>
    <n v="1218.1412698332319"/>
    <n v="295.90476190476193"/>
    <x v="202"/>
  </r>
  <r>
    <x v="6"/>
    <x v="0"/>
    <n v="21"/>
    <n v="1850"/>
    <d v="2015-04-13T23:44:00"/>
    <d v="2015-04-14T09:59:00"/>
    <n v="447"/>
    <n v="525"/>
    <n v="478"/>
    <s v="Boiler water condition (not feedwater water quality)"/>
    <s v="Load Reduction #16Suspected condenser CW leak.  Variable load according to silica/"/>
    <s v="Ghent"/>
    <x v="0"/>
    <s v="Coal"/>
    <x v="2"/>
    <x v="2"/>
    <n v="4"/>
    <n v="10.250000000058208"/>
    <n v="1.5228571428657909"/>
    <n v="727.92571428984809"/>
    <n v="71.017142857142858"/>
    <x v="165"/>
  </r>
  <r>
    <x v="6"/>
    <x v="4"/>
    <n v="22"/>
    <n v="1488"/>
    <d v="2015-04-24T23:00:00"/>
    <d v="2015-05-01T03:28:00"/>
    <n v="0"/>
    <n v="525"/>
    <n v="478"/>
    <s v="Air heater (regenerative)"/>
    <s v="F060Outage #6Air Heater seals were leaking badly causing large swings in the furna"/>
    <s v="Ghent"/>
    <x v="2"/>
    <s v="Coal"/>
    <x v="2"/>
    <x v="2"/>
    <n v="4"/>
    <n v="148.46666666655801"/>
    <n v="148.46666666655801"/>
    <n v="70967.06666661473"/>
    <n v="478"/>
    <x v="201"/>
  </r>
  <r>
    <x v="6"/>
    <x v="0"/>
    <n v="23"/>
    <n v="1850"/>
    <d v="2015-05-01T11:50:00"/>
    <d v="2015-05-01T18:16:00"/>
    <n v="441"/>
    <n v="525"/>
    <n v="478"/>
    <s v="Boiler water condition (not feedwater water quality)"/>
    <s v="Load Reduction #17Boiler drum silica was high after air heater seal outage.  Varia"/>
    <s v="Ghent"/>
    <x v="0"/>
    <s v="Coal"/>
    <x v="2"/>
    <x v="2"/>
    <n v="5"/>
    <n v="6.4333333333488554"/>
    <n v="1.0293333333358168"/>
    <n v="492.02133333452042"/>
    <n v="76.48"/>
    <x v="220"/>
  </r>
  <r>
    <x v="6"/>
    <x v="1"/>
    <n v="24"/>
    <n v="8601"/>
    <d v="2015-05-12T23:00:00"/>
    <d v="2015-05-13T02:52:00"/>
    <n v="450"/>
    <n v="525"/>
    <n v="478"/>
    <s v="SO3 mitigation"/>
    <s v="F790Load Reduction #18Mid-load SAM test."/>
    <s v="Ghent"/>
    <x v="0"/>
    <s v="Coal"/>
    <x v="2"/>
    <x v="2"/>
    <n v="5"/>
    <n v="3.8666666665230878"/>
    <n v="0.55238095236044116"/>
    <n v="264.0380952282909"/>
    <n v="68.285714285714292"/>
    <x v="208"/>
  </r>
  <r>
    <x v="6"/>
    <x v="0"/>
    <n v="25"/>
    <n v="1470"/>
    <d v="2015-05-13T07:56:00"/>
    <d v="2015-05-13T10:12:00"/>
    <n v="486"/>
    <n v="525"/>
    <n v="478"/>
    <s v="Induced draft fan motors and drives"/>
    <s v="Load Reduction #194-1A ID Fan VFD tripped when drive controls lost communication w"/>
    <s v="Ghent"/>
    <x v="0"/>
    <s v="Coal"/>
    <x v="2"/>
    <x v="2"/>
    <n v="5"/>
    <n v="2.2666666667209938"/>
    <n v="0.16838095238498813"/>
    <n v="80.486095240024326"/>
    <n v="35.508571428571429"/>
    <x v="32"/>
  </r>
  <r>
    <x v="6"/>
    <x v="1"/>
    <n v="26"/>
    <n v="8601"/>
    <d v="2015-05-13T23:00:00"/>
    <d v="2015-05-14T02:45:00"/>
    <n v="375"/>
    <n v="525"/>
    <n v="478"/>
    <s v="SO3 mitigation"/>
    <s v="F790Load Reduction #20Low-load SAM test."/>
    <s v="Ghent"/>
    <x v="0"/>
    <s v="Coal"/>
    <x v="2"/>
    <x v="2"/>
    <n v="5"/>
    <n v="3.75"/>
    <n v="1.0714285714285714"/>
    <n v="512.14285714285711"/>
    <n v="136.57142857142858"/>
    <x v="224"/>
  </r>
  <r>
    <x v="6"/>
    <x v="0"/>
    <n v="27"/>
    <n v="1470"/>
    <d v="2015-06-12T21:30:00"/>
    <d v="2015-06-13T02:25:00"/>
    <n v="310"/>
    <n v="525"/>
    <n v="478"/>
    <s v="Induced draft fan motors and drives"/>
    <s v="Load Reduction #214-2A, then 4-1B ID fan VFDs tripped when drive controls faulted "/>
    <s v="Ghent"/>
    <x v="0"/>
    <s v="Coal"/>
    <x v="2"/>
    <x v="2"/>
    <n v="6"/>
    <n v="4.9166666666278616"/>
    <n v="2.0134920634761717"/>
    <n v="962.44920634161008"/>
    <n v="195.75238095238095"/>
    <x v="216"/>
  </r>
  <r>
    <x v="6"/>
    <x v="1"/>
    <n v="28"/>
    <n v="1470"/>
    <d v="2015-06-26T00:58:00"/>
    <d v="2015-06-26T01:16:00"/>
    <n v="305"/>
    <n v="525"/>
    <n v="478"/>
    <s v="Induced draft fan motors and drives"/>
    <s v="Load Reduction #224-1B ID fan off to reset the bypassed cell in the VFD."/>
    <s v="Ghent"/>
    <x v="0"/>
    <s v="Coal"/>
    <x v="2"/>
    <x v="2"/>
    <n v="6"/>
    <n v="0.29999999993015081"/>
    <n v="0.12571428568501558"/>
    <n v="60.091428557437446"/>
    <n v="200.3047619047619"/>
    <x v="225"/>
  </r>
  <r>
    <x v="6"/>
    <x v="5"/>
    <n v="29"/>
    <n v="4302"/>
    <d v="2015-07-03T01:12:00"/>
    <d v="2015-07-03T05:09:00"/>
    <n v="0"/>
    <n v="525"/>
    <n v="478"/>
    <s v="Turbine trip devices (including instruments)"/>
    <s v="Outage #7Main Turbine thrust bearing showed movement about the trip point tripping"/>
    <s v="Ghent"/>
    <x v="3"/>
    <s v="Coal"/>
    <x v="2"/>
    <x v="2"/>
    <n v="7"/>
    <n v="3.9499999999534339"/>
    <n v="3.9499999999534339"/>
    <n v="1888.0999999777414"/>
    <n v="478"/>
    <x v="201"/>
  </r>
  <r>
    <x v="6"/>
    <x v="1"/>
    <n v="30"/>
    <n v="1512"/>
    <d v="2015-07-06T23:00:00"/>
    <d v="2015-07-06T23:30:00"/>
    <n v="200"/>
    <n v="525"/>
    <n v="478"/>
    <s v="Flue gas expansion joints"/>
    <s v="Load Reduction #23Dropped load for 4-1 AH outlet duct expansion joint repair."/>
    <s v="Ghent"/>
    <x v="0"/>
    <s v="Coal"/>
    <x v="2"/>
    <x v="2"/>
    <n v="7"/>
    <n v="0.49999999988358468"/>
    <n v="0.3095238094517429"/>
    <n v="147.95238091793311"/>
    <n v="295.90476190476193"/>
    <x v="202"/>
  </r>
  <r>
    <x v="6"/>
    <x v="0"/>
    <n v="31"/>
    <n v="1455"/>
    <d v="2015-07-07T09:36:00"/>
    <d v="2015-07-07T09:53:00"/>
    <n v="500"/>
    <n v="525"/>
    <n v="478"/>
    <s v="Induced draft fans"/>
    <s v="Load Reduction #24Boiler swing.  FD fans out the top, and furnace pressure was get"/>
    <s v="Ghent"/>
    <x v="0"/>
    <s v="Coal"/>
    <x v="2"/>
    <x v="2"/>
    <n v="7"/>
    <n v="0.28333333338377997"/>
    <n v="1.3492063494465713E-2"/>
    <n v="6.4492063503546113"/>
    <n v="22.761904761904763"/>
    <x v="0"/>
  </r>
  <r>
    <x v="6"/>
    <x v="0"/>
    <n v="32"/>
    <n v="1470"/>
    <d v="2015-07-07T10:28:00"/>
    <d v="2015-07-07T11:18:00"/>
    <n v="480"/>
    <n v="525"/>
    <n v="478"/>
    <s v="Induced draft fan motors and drives"/>
    <s v="Load Reduction #25Dropped load to swap out mills.  FD fans were running out the to"/>
    <s v="Ghent"/>
    <x v="0"/>
    <s v="Coal"/>
    <x v="2"/>
    <x v="2"/>
    <n v="7"/>
    <n v="0.83333333325572312"/>
    <n v="7.1428571421919121E-2"/>
    <n v="34.142857139677339"/>
    <n v="40.971428571428568"/>
    <x v="28"/>
  </r>
  <r>
    <x v="6"/>
    <x v="0"/>
    <n v="33"/>
    <n v="1470"/>
    <d v="2015-07-10T13:07:00"/>
    <d v="2015-07-10T19:43:00"/>
    <n v="450"/>
    <n v="525"/>
    <n v="478"/>
    <s v="Induced draft fan motors and drives"/>
    <s v="Load Reduction #264-1A ID fan VFD developed a coolant leak in the transformer."/>
    <s v="Ghent"/>
    <x v="0"/>
    <s v="Coal"/>
    <x v="2"/>
    <x v="2"/>
    <n v="7"/>
    <n v="6.6000000000349246"/>
    <n v="0.94285714286213207"/>
    <n v="450.68571428809912"/>
    <n v="68.285714285714292"/>
    <x v="208"/>
  </r>
  <r>
    <x v="6"/>
    <x v="4"/>
    <n v="34"/>
    <n v="1493"/>
    <d v="2015-08-05T23:19:00"/>
    <d v="2015-08-08T00:15:00"/>
    <n v="0"/>
    <n v="525"/>
    <n v="478"/>
    <s v="Air heater fouling (regenerative)"/>
    <s v="F540Outage #8Air Heater seals continuing to get worse.  Removed unit from service "/>
    <s v="Ghent"/>
    <x v="2"/>
    <s v="Coal"/>
    <x v="2"/>
    <x v="2"/>
    <n v="8"/>
    <n v="48.93333333323244"/>
    <n v="48.93333333323244"/>
    <n v="23390.133333285106"/>
    <n v="478"/>
    <x v="201"/>
  </r>
  <r>
    <x v="6"/>
    <x v="0"/>
    <n v="35"/>
    <n v="1850"/>
    <d v="2015-08-08T08:28:00"/>
    <d v="2015-08-08T09:55:00"/>
    <n v="450"/>
    <n v="525"/>
    <n v="478"/>
    <s v="Boiler water condition (not feedwater water quality)"/>
    <s v="Load Reduction #27Unit start up after outage to repair air heater seals:  Variable"/>
    <s v="Ghent"/>
    <x v="0"/>
    <s v="Coal"/>
    <x v="2"/>
    <x v="2"/>
    <n v="8"/>
    <n v="1.4500000000116415"/>
    <n v="0.20714285714452021"/>
    <n v="99.014285715080661"/>
    <n v="68.285714285714292"/>
    <x v="208"/>
  </r>
  <r>
    <x v="6"/>
    <x v="0"/>
    <n v="36"/>
    <n v="1850"/>
    <d v="2015-08-08T09:55:00"/>
    <d v="2015-08-08T12:43:00"/>
    <n v="480"/>
    <n v="525"/>
    <n v="478"/>
    <s v="Boiler water condition (not feedwater water quality)"/>
    <s v="Load Reduction #28Unit start up after outage to repair air heater seals:  Variable"/>
    <s v="Ghent"/>
    <x v="0"/>
    <s v="Coal"/>
    <x v="2"/>
    <x v="2"/>
    <n v="8"/>
    <n v="2.8000000000465661"/>
    <n v="0.24000000000399138"/>
    <n v="114.72000000190788"/>
    <n v="40.971428571428568"/>
    <x v="28"/>
  </r>
  <r>
    <x v="6"/>
    <x v="5"/>
    <n v="37"/>
    <n v="3430"/>
    <d v="2015-08-14T13:47:00"/>
    <d v="2015-08-14T15:08:00"/>
    <n v="0"/>
    <n v="525"/>
    <n v="478"/>
    <s v="Feedwater regulating (boiler level control) valve"/>
    <s v="Outage #9Adjustments were being made to HP heater level controls and the HP heater"/>
    <s v="Ghent"/>
    <x v="3"/>
    <s v="Coal"/>
    <x v="2"/>
    <x v="2"/>
    <n v="8"/>
    <n v="1.3500000000349246"/>
    <n v="1.3500000000349246"/>
    <n v="645.30000001669396"/>
    <n v="478"/>
    <x v="201"/>
  </r>
  <r>
    <x v="6"/>
    <x v="0"/>
    <n v="38"/>
    <n v="3441"/>
    <d v="2015-08-28T15:28:00"/>
    <d v="2015-08-28T15:55:00"/>
    <n v="490"/>
    <n v="525"/>
    <n v="478"/>
    <s v="Other high pressure heater problems (see condensate system for LP and IP heater codes)"/>
    <s v="Load Reduction #29Boiler excursion due to putting HP heater extraction steam in se"/>
    <s v="Ghent"/>
    <x v="0"/>
    <s v="Coal"/>
    <x v="2"/>
    <x v="2"/>
    <n v="8"/>
    <n v="0.45000000006984919"/>
    <n v="3.0000000004656614E-2"/>
    <n v="14.340000002225862"/>
    <n v="31.866666666666667"/>
    <x v="8"/>
  </r>
  <r>
    <x v="6"/>
    <x v="0"/>
    <n v="39"/>
    <n v="3441"/>
    <d v="2015-08-29T12:25:00"/>
    <d v="2015-08-29T13:07:00"/>
    <n v="490"/>
    <n v="525"/>
    <n v="478"/>
    <s v="Other high pressure heater problems (see condensate system for LP and IP heater codes)"/>
    <s v="Load Reduction #30Boiler excursion due to HP heaters tripping."/>
    <s v="Ghent"/>
    <x v="0"/>
    <s v="Coal"/>
    <x v="2"/>
    <x v="2"/>
    <n v="8"/>
    <n v="0.70000000001164153"/>
    <n v="4.666666666744277E-2"/>
    <n v="22.306666667037643"/>
    <n v="31.866666666666667"/>
    <x v="8"/>
  </r>
  <r>
    <x v="6"/>
    <x v="0"/>
    <n v="40"/>
    <n v="9900"/>
    <d v="2015-09-05T23:59:00"/>
    <d v="2015-09-06T01:47:00"/>
    <n v="113"/>
    <n v="525"/>
    <n v="478"/>
    <s v="Operator error"/>
    <s v="Load Reduction #31Boiler tripped; feeders went &lt;40% during load drop.  Derate was "/>
    <s v="Ghent"/>
    <x v="0"/>
    <s v="Coal"/>
    <x v="2"/>
    <x v="2"/>
    <n v="9"/>
    <n v="1.8000000001047738"/>
    <n v="1.412571428653651"/>
    <n v="675.2091428964452"/>
    <n v="375.11619047619047"/>
    <x v="226"/>
  </r>
  <r>
    <x v="6"/>
    <x v="0"/>
    <n v="42"/>
    <n v="4499"/>
    <d v="2015-10-01T13:17:00"/>
    <d v="2015-10-24T08:21:00"/>
    <n v="521"/>
    <n v="525"/>
    <n v="478"/>
    <s v="Other miscellaneous steam turbine problems"/>
    <s v="Load Reduction #32Turbine copper deposition.  Derate started after going from summ"/>
    <s v="Ghent"/>
    <x v="0"/>
    <s v="Coal"/>
    <x v="2"/>
    <x v="2"/>
    <n v="10"/>
    <n v="547.06666666665114"/>
    <n v="4.1681269841268662"/>
    <n v="1992.3646984126422"/>
    <n v="3.6419047619047618"/>
    <x v="9"/>
  </r>
  <r>
    <x v="6"/>
    <x v="0"/>
    <n v="43"/>
    <n v="4499"/>
    <d v="2015-10-24T08:21:00"/>
    <d v="2015-11-27T12:16:00"/>
    <n v="515"/>
    <n v="525"/>
    <n v="478"/>
    <s v="Other miscellaneous steam turbine problems"/>
    <s v="Load Reduction #33Load reduced due to turbine copper deposition."/>
    <s v="Ghent"/>
    <x v="0"/>
    <s v="Coal"/>
    <x v="2"/>
    <x v="2"/>
    <n v="10"/>
    <n v="819.91666666668607"/>
    <n v="15.617460317460687"/>
    <n v="7465.1460317462079"/>
    <n v="9.1047619047619044"/>
    <x v="94"/>
  </r>
  <r>
    <x v="6"/>
    <x v="0"/>
    <n v="44"/>
    <n v="8199"/>
    <d v="2015-11-13T22:23:00"/>
    <d v="2015-11-14T00:07:00"/>
    <n v="405"/>
    <n v="525"/>
    <n v="478"/>
    <s v="Other scrubber problems"/>
    <s v="Load Reduction #34Gypsum Farm electrical outage (lost power due to 138 substation "/>
    <s v="Ghent"/>
    <x v="0"/>
    <s v="Coal"/>
    <x v="2"/>
    <x v="2"/>
    <n v="11"/>
    <n v="1.7333333333954215"/>
    <n v="0.3961904762046678"/>
    <n v="189.37904762583122"/>
    <n v="109.25714285714285"/>
    <x v="64"/>
  </r>
  <r>
    <x v="6"/>
    <x v="0"/>
    <n v="45"/>
    <n v="8199"/>
    <d v="2015-11-14T00:07:00"/>
    <d v="2015-11-14T01:14:00"/>
    <n v="300"/>
    <n v="525"/>
    <n v="478"/>
    <s v="Other scrubber problems"/>
    <s v="Load Reduction #35Gypsum Farm electrical outage (lost power due to 138 substation "/>
    <s v="Ghent"/>
    <x v="0"/>
    <s v="Coal"/>
    <x v="2"/>
    <x v="2"/>
    <n v="11"/>
    <n v="1.1166666666395031"/>
    <n v="0.47857142855978702"/>
    <n v="228.75714285157818"/>
    <n v="204.85714285714286"/>
    <x v="211"/>
  </r>
  <r>
    <x v="6"/>
    <x v="4"/>
    <n v="46"/>
    <n v="1493"/>
    <d v="2015-11-27T12:16:00"/>
    <d v="2015-11-29T20:06:00"/>
    <n v="0"/>
    <n v="525"/>
    <n v="478"/>
    <s v="Air heater fouling (regenerative)"/>
    <s v="FF00Outage #11Unit 4 was removed from service to repair Air Heater seals."/>
    <s v="Ghent"/>
    <x v="2"/>
    <s v="Coal"/>
    <x v="2"/>
    <x v="2"/>
    <n v="11"/>
    <n v="55.833333333372138"/>
    <n v="55.833333333372138"/>
    <n v="26688.333333351882"/>
    <n v="478"/>
    <x v="201"/>
  </r>
  <r>
    <x v="6"/>
    <x v="0"/>
    <n v="47"/>
    <n v="4499"/>
    <d v="2015-11-29T20:06:00"/>
    <d v="2015-12-10T12:30:00"/>
    <n v="515"/>
    <n v="525"/>
    <n v="478"/>
    <s v="Other miscellaneous steam turbine problems"/>
    <s v="Load Reduction #36Load reduced due to turbine copper deposition."/>
    <s v="Ghent"/>
    <x v="0"/>
    <s v="Coal"/>
    <x v="2"/>
    <x v="2"/>
    <n v="11"/>
    <n v="256.40000000002328"/>
    <n v="4.8838095238099672"/>
    <n v="2334.4609523811641"/>
    <n v="9.1047619047619044"/>
    <x v="94"/>
  </r>
  <r>
    <x v="6"/>
    <x v="0"/>
    <n v="49"/>
    <n v="1850"/>
    <d v="2015-12-17T09:18:00"/>
    <d v="2015-12-17T12:20:00"/>
    <n v="425"/>
    <n v="525"/>
    <n v="478"/>
    <s v="Boiler water condition (not feedwater water quality)"/>
    <s v="Load Reduction #37Unit 4 was limited due to boiler chemistry after startup."/>
    <s v="Ghent"/>
    <x v="0"/>
    <s v="Coal"/>
    <x v="2"/>
    <x v="2"/>
    <n v="12"/>
    <n v="3.0333333334419876"/>
    <n v="0.57777777779847383"/>
    <n v="276.17777778767049"/>
    <n v="91.047619047619051"/>
    <x v="42"/>
  </r>
  <r>
    <x v="6"/>
    <x v="0"/>
    <n v="50"/>
    <n v="4499"/>
    <d v="2015-12-17T12:20:00"/>
    <d v="2016-01-01T00:00:00"/>
    <n v="515"/>
    <n v="525"/>
    <n v="478"/>
    <s v="Other miscellaneous steam turbine problems"/>
    <s v="Load Reduction #38Unit 4 is limited due to copper build up on the turbine blades."/>
    <s v="Ghent"/>
    <x v="0"/>
    <s v="Coal"/>
    <x v="2"/>
    <x v="2"/>
    <n v="12"/>
    <n v="347.66666666662786"/>
    <n v="6.6222222222214828"/>
    <n v="3165.4222222218687"/>
    <n v="9.1047619047619044"/>
    <x v="94"/>
  </r>
  <r>
    <x v="6"/>
    <x v="0"/>
    <n v="1"/>
    <n v="4499"/>
    <d v="2016-01-01T00:00:00"/>
    <d v="2016-02-29T23:59:00"/>
    <n v="515"/>
    <n v="525"/>
    <n v="478"/>
    <s v="Other miscellaneous steam turbine problems"/>
    <s v="Load Reduction #1Unit 4 is limited due to copper build up on the turbine blades."/>
    <s v="Ghent"/>
    <x v="0"/>
    <s v="Coal"/>
    <x v="2"/>
    <x v="3"/>
    <n v="1"/>
    <n v="1439.983333333279"/>
    <n v="27.428253968252932"/>
    <n v="13110.705396824902"/>
    <n v="9.1047619047619044"/>
    <x v="94"/>
  </r>
  <r>
    <x v="6"/>
    <x v="1"/>
    <n v="2"/>
    <n v="3414"/>
    <d v="2016-02-05T11:30:00"/>
    <d v="2016-02-05T12:30:00"/>
    <n v="330"/>
    <n v="525"/>
    <n v="478"/>
    <s v="Feedwater pump local controls"/>
    <s v="Load Reduction #2Took Unit down to 1 BFP for tuner to check and make adjustments t"/>
    <s v="Ghent"/>
    <x v="0"/>
    <s v="Coal"/>
    <x v="2"/>
    <x v="3"/>
    <n v="2"/>
    <n v="1.0000000001164153"/>
    <n v="0.37142857147181141"/>
    <n v="177.54285716352587"/>
    <n v="177.54285714285714"/>
    <x v="118"/>
  </r>
  <r>
    <x v="6"/>
    <x v="0"/>
    <n v="3"/>
    <n v="340"/>
    <d v="2016-02-12T18:11:00"/>
    <d v="2016-02-12T18:38:00"/>
    <n v="431"/>
    <n v="525"/>
    <n v="478"/>
    <s v="Other pulverizer problems"/>
    <s v="Load Reduction #3Maintenance found a roll stationary liner had broken off and was "/>
    <s v="Ghent"/>
    <x v="0"/>
    <s v="Coal"/>
    <x v="2"/>
    <x v="3"/>
    <n v="2"/>
    <n v="0.44999999989522621"/>
    <n v="8.0571428552669078E-2"/>
    <n v="38.513142848175818"/>
    <n v="85.584761904761905"/>
    <x v="173"/>
  </r>
  <r>
    <x v="6"/>
    <x v="0"/>
    <n v="4"/>
    <n v="340"/>
    <d v="2016-02-20T09:00:00"/>
    <d v="2016-02-20T12:18:00"/>
    <n v="440"/>
    <n v="525"/>
    <n v="478"/>
    <s v="Other pulverizer problems"/>
    <s v="Load Reduction #44-1 Feeder motion monitor and 4-5 mill BSO limit switch bracket b"/>
    <s v="Ghent"/>
    <x v="0"/>
    <s v="Coal"/>
    <x v="2"/>
    <x v="3"/>
    <n v="2"/>
    <n v="3.2999999999301508"/>
    <n v="0.53428571427440541"/>
    <n v="255.38857142316579"/>
    <n v="77.390476190476193"/>
    <x v="128"/>
  </r>
  <r>
    <x v="6"/>
    <x v="0"/>
    <n v="5"/>
    <n v="4499"/>
    <d v="2016-03-01T00:00:00"/>
    <d v="2016-03-14T06:18:00"/>
    <n v="515"/>
    <n v="525"/>
    <n v="478"/>
    <s v="Other miscellaneous steam turbine problems"/>
    <s v="Load Reduction #5Unit 4 is limited due to copper build up on the turbine blades."/>
    <s v="Ghent"/>
    <x v="0"/>
    <s v="Coal"/>
    <x v="2"/>
    <x v="3"/>
    <n v="3"/>
    <n v="318.29999999993015"/>
    <n v="6.0628571428558127"/>
    <n v="2898.0457142850782"/>
    <n v="9.1047619047619044"/>
    <x v="94"/>
  </r>
  <r>
    <x v="6"/>
    <x v="5"/>
    <n v="6"/>
    <n v="1080"/>
    <d v="2016-03-14T06:18:00"/>
    <d v="2016-03-17T13:19:00"/>
    <n v="0"/>
    <n v="525"/>
    <n v="478"/>
    <s v="Economizer B"/>
    <s v="Outage #1Unit 4 came off line due to a leak in the economizer."/>
    <s v="Ghent"/>
    <x v="3"/>
    <s v="Coal"/>
    <x v="2"/>
    <x v="3"/>
    <n v="3"/>
    <n v="79.016666666662786"/>
    <n v="79.016666666662786"/>
    <n v="37769.966666664812"/>
    <n v="478"/>
    <x v="201"/>
  </r>
  <r>
    <x v="6"/>
    <x v="0"/>
    <n v="7"/>
    <n v="1080"/>
    <d v="2016-03-17T20:59:00"/>
    <d v="2016-03-20T07:55:00"/>
    <n v="512"/>
    <n v="525"/>
    <n v="478"/>
    <s v="Economizer B"/>
    <s v="Load Reduction #6Load reduced due to Turbine copper deposition. Derate started aft"/>
    <s v="Ghent"/>
    <x v="0"/>
    <s v="Coal"/>
    <x v="2"/>
    <x v="3"/>
    <n v="3"/>
    <n v="58.933333333348855"/>
    <n v="1.4593015873019717"/>
    <n v="697.54615873034243"/>
    <n v="11.836190476190476"/>
    <x v="24"/>
  </r>
  <r>
    <x v="6"/>
    <x v="6"/>
    <n v="8"/>
    <n v="3341"/>
    <d v="2016-03-30T23:02:00"/>
    <d v="2016-04-23T12:25:00"/>
    <n v="0"/>
    <n v="525"/>
    <n v="478"/>
    <s v="Other LP heater - general"/>
    <s v="F590Outage #2Unit removed from service for the Planned Spring Outage."/>
    <s v="Ghent"/>
    <x v="1"/>
    <s v="Coal"/>
    <x v="2"/>
    <x v="3"/>
    <n v="3"/>
    <n v="565.38333333330229"/>
    <n v="565.38333333330229"/>
    <n v="270253.23333331849"/>
    <n v="478"/>
    <x v="201"/>
  </r>
  <r>
    <x v="6"/>
    <x v="0"/>
    <n v="9"/>
    <n v="9910"/>
    <d v="2016-04-25T09:33:00"/>
    <d v="2016-04-25T10:16:00"/>
    <n v="460"/>
    <n v="525"/>
    <n v="478"/>
    <s v="Maintenance personnel error"/>
    <s v="Load Reduction #7B, C, and D LP heaters tripped while making level adjustment.  B "/>
    <s v="Ghent"/>
    <x v="0"/>
    <s v="Coal"/>
    <x v="2"/>
    <x v="3"/>
    <n v="4"/>
    <n v="0.71666666655801237"/>
    <n v="8.8730158716706295E-2"/>
    <n v="42.41301586658561"/>
    <n v="59.180952380952384"/>
    <x v="83"/>
  </r>
  <r>
    <x v="6"/>
    <x v="0"/>
    <n v="10"/>
    <n v="3341"/>
    <d v="2016-04-27T06:35:00"/>
    <d v="2016-04-27T08:00:00"/>
    <n v="460"/>
    <n v="525"/>
    <n v="478"/>
    <s v="Other LP heater - general"/>
    <s v="Load Reduction #8B, C, and D LP heaters tripped on shell side level.  B and C heat"/>
    <s v="Ghent"/>
    <x v="0"/>
    <s v="Coal"/>
    <x v="2"/>
    <x v="3"/>
    <n v="4"/>
    <n v="1.4166666667442769"/>
    <n v="0.17539682540643428"/>
    <n v="83.83968254427559"/>
    <n v="59.180952380952384"/>
    <x v="83"/>
  </r>
  <r>
    <x v="6"/>
    <x v="4"/>
    <n v="11"/>
    <n v="1488"/>
    <d v="2016-04-29T22:06:00"/>
    <d v="2016-04-30T22:10:00"/>
    <n v="0"/>
    <n v="525"/>
    <n v="478"/>
    <s v="Air heater (regenerative)"/>
    <s v="F530Outage #3Unit 4 was removed from line to inspect the air heaters."/>
    <s v="Ghent"/>
    <x v="2"/>
    <s v="Coal"/>
    <x v="2"/>
    <x v="3"/>
    <n v="4"/>
    <n v="24.066666666709352"/>
    <n v="24.066666666709352"/>
    <n v="11503.86666668707"/>
    <n v="478"/>
    <x v="201"/>
  </r>
  <r>
    <x v="6"/>
    <x v="1"/>
    <n v="12"/>
    <n v="250"/>
    <d v="2016-05-19T21:20:00"/>
    <d v="2016-05-20T01:30:00"/>
    <n v="400"/>
    <n v="525"/>
    <n v="478"/>
    <s v="Pulverizer feeders"/>
    <s v="Load Reduction #94-4 Feeder calibration."/>
    <s v="Ghent"/>
    <x v="0"/>
    <s v="Coal"/>
    <x v="2"/>
    <x v="3"/>
    <n v="5"/>
    <n v="4.1666666666278616"/>
    <n v="0.9920634920542527"/>
    <n v="474.20634920193277"/>
    <n v="113.80952380952381"/>
    <x v="46"/>
  </r>
  <r>
    <x v="6"/>
    <x v="0"/>
    <n v="13"/>
    <n v="1470"/>
    <d v="2016-05-30T13:46:00"/>
    <d v="2016-05-30T20:30:00"/>
    <n v="471"/>
    <n v="525"/>
    <n v="478"/>
    <s v="Induced draft fan motors and drives"/>
    <s v="F700Load Reduction #104-1B ID fan tripped."/>
    <s v="Ghent"/>
    <x v="0"/>
    <s v="Coal"/>
    <x v="2"/>
    <x v="3"/>
    <n v="5"/>
    <n v="6.7333333332790062"/>
    <n v="0.69257142856584064"/>
    <n v="331.04914285447182"/>
    <n v="49.165714285714287"/>
    <x v="227"/>
  </r>
  <r>
    <x v="6"/>
    <x v="0"/>
    <n v="14"/>
    <n v="1470"/>
    <d v="2016-05-31T09:30:00"/>
    <d v="2016-05-31T12:50:00"/>
    <n v="467"/>
    <n v="525"/>
    <n v="478"/>
    <s v="Induced draft fan motors and drives"/>
    <s v="F550Load Reduction #114-1B ID fan tripped."/>
    <s v="Ghent"/>
    <x v="0"/>
    <s v="Coal"/>
    <x v="2"/>
    <x v="3"/>
    <n v="5"/>
    <n v="3.3333333331975155"/>
    <n v="0.36825396823896361"/>
    <n v="176.02539681822461"/>
    <n v="52.807619047619049"/>
    <x v="179"/>
  </r>
  <r>
    <x v="6"/>
    <x v="0"/>
    <n v="15"/>
    <n v="250"/>
    <d v="2016-06-07T02:05:00"/>
    <d v="2016-06-07T12:23:00"/>
    <n v="425"/>
    <n v="525"/>
    <n v="478"/>
    <s v="Pulverizer feeders"/>
    <s v="Load Reduction #124-6 Feeder clean out conveyor failed."/>
    <s v="Ghent"/>
    <x v="0"/>
    <s v="Coal"/>
    <x v="2"/>
    <x v="3"/>
    <n v="6"/>
    <n v="10.300000000046566"/>
    <n v="1.9619047619136316"/>
    <n v="937.79047619471589"/>
    <n v="91.047619047619051"/>
    <x v="42"/>
  </r>
  <r>
    <x v="6"/>
    <x v="0"/>
    <n v="16"/>
    <n v="250"/>
    <d v="2016-06-13T20:09:00"/>
    <d v="2016-06-13T20:33:00"/>
    <n v="450"/>
    <n v="525"/>
    <n v="478"/>
    <s v="Pulverizer feeders"/>
    <s v="Load Reduction #134-6 Feeder belt was torn by foreign metal."/>
    <s v="Ghent"/>
    <x v="0"/>
    <s v="Coal"/>
    <x v="2"/>
    <x v="3"/>
    <n v="6"/>
    <n v="0.39999999990686774"/>
    <n v="5.7142857129552534E-2"/>
    <n v="27.314285707926111"/>
    <n v="68.285714285714292"/>
    <x v="208"/>
  </r>
  <r>
    <x v="6"/>
    <x v="0"/>
    <n v="17"/>
    <n v="346"/>
    <d v="2016-07-15T10:27:00"/>
    <d v="2016-07-15T12:40:00"/>
    <n v="450"/>
    <n v="525"/>
    <n v="478"/>
    <s v="Pulverizer pyrite removal system"/>
    <s v="F350Load Reduction #144-2 Mill was OOS for CCR maintenance on pyrite system.  Ops "/>
    <s v="Ghent"/>
    <x v="0"/>
    <s v="Coal"/>
    <x v="2"/>
    <x v="3"/>
    <n v="7"/>
    <n v="2.2166666667326353"/>
    <n v="0.31666666667609078"/>
    <n v="151.3666666711714"/>
    <n v="68.285714285714292"/>
    <x v="208"/>
  </r>
  <r>
    <x v="6"/>
    <x v="5"/>
    <n v="18"/>
    <n v="3220"/>
    <d v="2016-07-23T15:02:00"/>
    <d v="2016-07-30T21:06:00"/>
    <n v="0"/>
    <n v="525"/>
    <n v="478"/>
    <s v="Circulating water piping"/>
    <s v="F830Outage #4GH4 off line due to failure of the U4 cooling tower south distributio"/>
    <s v="Ghent"/>
    <x v="3"/>
    <s v="Coal"/>
    <x v="2"/>
    <x v="3"/>
    <n v="7"/>
    <n v="174.06666666670935"/>
    <n v="174.06666666670935"/>
    <n v="83203.86666668707"/>
    <n v="478"/>
    <x v="201"/>
  </r>
  <r>
    <x v="6"/>
    <x v="0"/>
    <n v="19"/>
    <n v="3441"/>
    <d v="2016-07-31T16:49:00"/>
    <d v="2016-07-31T17:45:00"/>
    <n v="500"/>
    <n v="525"/>
    <n v="478"/>
    <s v="Other high pressure heater problems (see condensate system for LP and IP heater codes)"/>
    <s v="Load Reduction #15U4 lost High Pressure heaters causing the unit to derate."/>
    <s v="Ghent"/>
    <x v="0"/>
    <s v="Coal"/>
    <x v="2"/>
    <x v="3"/>
    <n v="7"/>
    <n v="0.93333333340706304"/>
    <n v="4.4444444447955381E-2"/>
    <n v="21.244444446122671"/>
    <n v="22.761904761904763"/>
    <x v="0"/>
  </r>
  <r>
    <x v="6"/>
    <x v="4"/>
    <n v="20"/>
    <n v="3220"/>
    <d v="2016-08-31T22:06:00"/>
    <d v="2016-09-02T18:15:00"/>
    <n v="0"/>
    <n v="525"/>
    <n v="478"/>
    <s v="Circulating water piping"/>
    <s v="F540Outage #5Unit 4 was removed from service to repair a circulating water line le"/>
    <s v="Ghent"/>
    <x v="2"/>
    <s v="Coal"/>
    <x v="2"/>
    <x v="3"/>
    <n v="8"/>
    <n v="44.150000000023283"/>
    <n v="44.150000000023283"/>
    <n v="21103.700000011129"/>
    <n v="478"/>
    <x v="201"/>
  </r>
  <r>
    <x v="6"/>
    <x v="0"/>
    <n v="22"/>
    <n v="3431"/>
    <d v="2016-10-10T05:39:00"/>
    <d v="2016-10-10T23:15:00"/>
    <n v="511"/>
    <n v="525"/>
    <n v="478"/>
    <s v="Other feedwater valves"/>
    <s v="F540Load Reduction #16Removed HP heaters from service due to a leak on water side "/>
    <s v="Ghent"/>
    <x v="0"/>
    <s v="Coal"/>
    <x v="2"/>
    <x v="3"/>
    <n v="10"/>
    <n v="17.599999999918509"/>
    <n v="0.46933333333116023"/>
    <n v="224.3413333322946"/>
    <n v="12.746666666666666"/>
    <x v="20"/>
  </r>
  <r>
    <x v="6"/>
    <x v="4"/>
    <n v="23"/>
    <n v="3220"/>
    <d v="2016-10-12T22:57:00"/>
    <d v="2016-10-15T08:30:00"/>
    <n v="0"/>
    <n v="525"/>
    <n v="478"/>
    <s v="Circulating water piping"/>
    <s v="F540Outage #7Unit 4 was removed from service to repair a Circulating Water line le"/>
    <s v="Ghent"/>
    <x v="2"/>
    <s v="Coal"/>
    <x v="2"/>
    <x v="3"/>
    <n v="10"/>
    <n v="57.549999999871943"/>
    <n v="57.549999999871943"/>
    <n v="27508.899999938789"/>
    <n v="478"/>
    <x v="201"/>
  </r>
  <r>
    <x v="6"/>
    <x v="0"/>
    <n v="24"/>
    <n v="8601"/>
    <d v="2016-10-30T10:25:00"/>
    <d v="2016-10-30T15:06:00"/>
    <n v="350"/>
    <n v="525"/>
    <n v="478"/>
    <s v="SO3 mitigation"/>
    <s v="Load Reduction #17DSI was taken out of service.  The system was found to be plugge"/>
    <s v="Ghent"/>
    <x v="0"/>
    <s v="Coal"/>
    <x v="2"/>
    <x v="3"/>
    <n v="10"/>
    <n v="4.6833333332324401"/>
    <n v="1.56111111107748"/>
    <n v="746.21111109503545"/>
    <n v="159.33333333333334"/>
    <x v="68"/>
  </r>
  <r>
    <x v="6"/>
    <x v="0"/>
    <n v="25"/>
    <n v="4499"/>
    <d v="2016-11-08T06:23:00"/>
    <d v="2016-11-08T06:33:00"/>
    <n v="518"/>
    <n v="525"/>
    <n v="478"/>
    <s v="Other miscellaneous steam turbine problems"/>
    <s v="Load Reduction #18Not able to make Fall MW high (523).  Several CT's out of servic"/>
    <s v="Ghent"/>
    <x v="0"/>
    <s v="Coal"/>
    <x v="2"/>
    <x v="3"/>
    <n v="11"/>
    <n v="0.16666666668606922"/>
    <n v="2.2222222224809228E-3"/>
    <n v="1.062222222345881"/>
    <n v="6.3733333333333331"/>
    <x v="151"/>
  </r>
  <r>
    <x v="6"/>
    <x v="0"/>
    <n v="26"/>
    <n v="1480"/>
    <d v="2016-11-08T09:09:00"/>
    <d v="2016-11-08T09:29:00"/>
    <n v="450"/>
    <n v="525"/>
    <n v="478"/>
    <s v="Other induced draft fan problems"/>
    <s v="Load Reduction #194-1 A ID fan tripped while swapping lube oil filters."/>
    <s v="Ghent"/>
    <x v="0"/>
    <s v="Coal"/>
    <x v="2"/>
    <x v="3"/>
    <n v="11"/>
    <n v="0.33333333337213844"/>
    <n v="4.7619047624591203E-2"/>
    <n v="22.761904764554593"/>
    <n v="68.285714285714292"/>
    <x v="208"/>
  </r>
  <r>
    <x v="6"/>
    <x v="0"/>
    <n v="27"/>
    <n v="3441"/>
    <d v="2016-11-12T06:45:00"/>
    <d v="2016-11-12T18:07:00"/>
    <n v="511"/>
    <n v="525"/>
    <n v="478"/>
    <s v="Other high pressure heater problems (see condensate system for LP and IP heater codes)"/>
    <s v="Load Reduction #20G-Heater shell side vent to condenser leak."/>
    <s v="Ghent"/>
    <x v="0"/>
    <s v="Coal"/>
    <x v="2"/>
    <x v="3"/>
    <n v="11"/>
    <n v="11.366666666697711"/>
    <n v="0.30311111111193895"/>
    <n v="144.88711111150681"/>
    <n v="12.746666666666666"/>
    <x v="20"/>
  </r>
  <r>
    <x v="6"/>
    <x v="0"/>
    <n v="29"/>
    <n v="380"/>
    <d v="2016-11-28T07:13:00"/>
    <d v="2016-11-28T07:39:00"/>
    <n v="433"/>
    <n v="525"/>
    <n v="478"/>
    <s v="Light-off (igniter) systems (including fuel supply)"/>
    <s v="Load Reduction #214-4C Ignitor wouldn't go in."/>
    <s v="Ghent"/>
    <x v="0"/>
    <s v="Coal"/>
    <x v="2"/>
    <x v="3"/>
    <n v="11"/>
    <n v="0.43333333334885538"/>
    <n v="7.5936507939227987E-2"/>
    <n v="36.297650794950975"/>
    <n v="83.763809523809527"/>
    <x v="136"/>
  </r>
  <r>
    <x v="6"/>
    <x v="0"/>
    <n v="30"/>
    <n v="4499"/>
    <d v="2016-12-01T11:10:00"/>
    <d v="2016-12-19T08:00:00"/>
    <n v="531"/>
    <n v="525"/>
    <n v="478"/>
    <s v="Other miscellaneous steam turbine problems"/>
    <s v="Load Reduction #22Not able to make winter MW high (534).  Several CT's out of serv"/>
    <s v="Ghent"/>
    <x v="0"/>
    <s v="Coal"/>
    <x v="2"/>
    <x v="3"/>
    <n v="12"/>
    <n v="428.83333333331393"/>
    <n v="-4.9009523809521589"/>
    <n v="-2342.6552380951321"/>
    <n v="0"/>
    <x v="152"/>
  </r>
  <r>
    <x v="6"/>
    <x v="0"/>
    <n v="31"/>
    <n v="4499"/>
    <d v="2016-12-19T08:00:00"/>
    <d v="2016-12-20T08:18:00"/>
    <n v="515"/>
    <n v="525"/>
    <n v="478"/>
    <s v="Other miscellaneous steam turbine problems"/>
    <s v="Load Reduction #23Not able to make winter MW high (534).  Several CT's out of serv"/>
    <s v="Ghent"/>
    <x v="0"/>
    <s v="Coal"/>
    <x v="2"/>
    <x v="3"/>
    <n v="12"/>
    <n v="24.299999999930151"/>
    <n v="0.46285714285581242"/>
    <n v="221.24571428507835"/>
    <n v="9.1047619047619044"/>
    <x v="94"/>
  </r>
  <r>
    <x v="6"/>
    <x v="0"/>
    <n v="32"/>
    <n v="4499"/>
    <d v="2016-12-20T08:18:00"/>
    <d v="2017-01-01T00:00:00"/>
    <n v="526"/>
    <n v="525"/>
    <n v="478"/>
    <s v="Other miscellaneous steam turbine problems"/>
    <s v="Load Reduction #24Not able to make winter MW high (534).  Several CT's out of serv"/>
    <s v="Ghent"/>
    <x v="0"/>
    <s v="Coal"/>
    <x v="2"/>
    <x v="3"/>
    <n v="12"/>
    <n v="279.70000000001164"/>
    <n v="-0.53276190476192697"/>
    <n v="-254.66019047620108"/>
    <n v="0"/>
    <x v="152"/>
  </r>
  <r>
    <x v="6"/>
    <x v="0"/>
    <n v="1"/>
    <n v="4499"/>
    <d v="2017-01-01T00:00:00"/>
    <d v="2017-01-06T08:29:00"/>
    <n v="526"/>
    <n v="525"/>
    <n v="478"/>
    <s v="Other miscellaneous steam turbine problems"/>
    <s v="Load Reduction #1Not able to make winter MW high (534).  Several CT's out of servi"/>
    <s v="Ghent"/>
    <x v="0"/>
    <s v="Coal"/>
    <x v="2"/>
    <x v="4"/>
    <n v="1"/>
    <n v="128.48333333339542"/>
    <n v="-0.24473015873027698"/>
    <n v="-116.98101587307239"/>
    <n v="0"/>
    <x v="152"/>
  </r>
  <r>
    <x v="6"/>
    <x v="0"/>
    <n v="2"/>
    <n v="4499"/>
    <d v="2017-01-06T08:29:00"/>
    <d v="2017-01-06T11:30:00"/>
    <n v="511"/>
    <n v="525"/>
    <n v="478"/>
    <s v="Other miscellaneous steam turbine problems"/>
    <s v="Load Reduction #2Not able to make winter MW high due to turbine performance"/>
    <s v="Ghent"/>
    <x v="0"/>
    <s v="Coal"/>
    <x v="2"/>
    <x v="4"/>
    <n v="1"/>
    <n v="3.0166666665463708"/>
    <n v="8.0444444441236551E-2"/>
    <n v="38.452444442911073"/>
    <n v="12.746666666666666"/>
    <x v="20"/>
  </r>
  <r>
    <x v="6"/>
    <x v="0"/>
    <n v="3"/>
    <n v="4499"/>
    <d v="2017-01-06T11:30:00"/>
    <d v="2017-02-12T07:58:00"/>
    <n v="515"/>
    <n v="525"/>
    <n v="478"/>
    <s v="Other miscellaneous steam turbine problems"/>
    <s v="Load Reduction #3Not able to make winter MW high due to turbine performance."/>
    <s v="Ghent"/>
    <x v="0"/>
    <s v="Coal"/>
    <x v="2"/>
    <x v="4"/>
    <n v="1"/>
    <n v="884.46666666667443"/>
    <n v="16.846984126984275"/>
    <n v="8052.8584126984833"/>
    <n v="9.1047619047619044"/>
    <x v="94"/>
  </r>
  <r>
    <x v="6"/>
    <x v="0"/>
    <n v="4"/>
    <n v="340"/>
    <d v="2017-02-03T07:16:00"/>
    <d v="2017-02-03T08:54:00"/>
    <n v="430"/>
    <n v="525"/>
    <n v="478"/>
    <s v="Other pulverizer problems"/>
    <s v="F830Load Reduction #44-5 Mill temperature was running high and tripped.  4-6 Mill "/>
    <s v="Ghent"/>
    <x v="0"/>
    <s v="Coal"/>
    <x v="2"/>
    <x v="4"/>
    <n v="2"/>
    <n v="1.6333333334187046"/>
    <n v="0.29555555557100366"/>
    <n v="141.27555556293976"/>
    <n v="86.495238095238093"/>
    <x v="173"/>
  </r>
  <r>
    <x v="6"/>
    <x v="0"/>
    <n v="6"/>
    <n v="4499"/>
    <d v="2017-02-12T03:47:00"/>
    <d v="2017-02-12T07:58:00"/>
    <n v="515"/>
    <n v="525"/>
    <n v="478"/>
    <s v="Other miscellaneous steam turbine problems"/>
    <s v="Load Reduction #5Unit 4 is derated due to turbine performance."/>
    <s v="Ghent"/>
    <x v="0"/>
    <s v="Coal"/>
    <x v="2"/>
    <x v="4"/>
    <n v="2"/>
    <n v="4.1833333333488554"/>
    <n v="7.968253968283534E-2"/>
    <n v="38.088253968395293"/>
    <n v="9.1047619047619044"/>
    <x v="94"/>
  </r>
  <r>
    <x v="6"/>
    <x v="0"/>
    <n v="5"/>
    <n v="3412"/>
    <d v="2017-02-12T07:10:00"/>
    <d v="2017-02-12T07:58:00"/>
    <n v="200"/>
    <n v="525"/>
    <n v="478"/>
    <s v="Feedwater pump drive - steam turbine"/>
    <s v="F540Load Reduction #6Unit load was reduced due to 4-2 Boiler Feed Pump Turbine hig"/>
    <s v="Ghent"/>
    <x v="0"/>
    <s v="Coal"/>
    <x v="2"/>
    <x v="4"/>
    <n v="2"/>
    <n v="0.79999999998835847"/>
    <n v="0.49523809523088858"/>
    <n v="236.72380952036474"/>
    <n v="295.90476190476193"/>
    <x v="202"/>
  </r>
  <r>
    <x v="6"/>
    <x v="5"/>
    <n v="7"/>
    <n v="3412"/>
    <d v="2017-02-12T07:58:00"/>
    <d v="2017-02-12T23:26:00"/>
    <n v="0"/>
    <n v="525"/>
    <n v="478"/>
    <s v="Feedwater pump drive - steam turbine"/>
    <s v="F540Outage #1Unit 4 was forced off line due to 4-2 Boiler Feed Pump Turbine high p"/>
    <s v="Ghent"/>
    <x v="3"/>
    <s v="Coal"/>
    <x v="2"/>
    <x v="4"/>
    <n v="2"/>
    <n v="15.466666666790843"/>
    <n v="15.466666666790843"/>
    <n v="7393.066666726023"/>
    <n v="478"/>
    <x v="201"/>
  </r>
  <r>
    <x v="6"/>
    <x v="0"/>
    <n v="8"/>
    <n v="4499"/>
    <d v="2017-02-12T23:26:00"/>
    <d v="2017-02-28T23:59:00"/>
    <n v="515"/>
    <n v="525"/>
    <n v="478"/>
    <s v="Other miscellaneous steam turbine problems"/>
    <s v="Load Reduction #7Not able to make full load due to turbine performance issues."/>
    <s v="Ghent"/>
    <x v="0"/>
    <s v="Coal"/>
    <x v="2"/>
    <x v="4"/>
    <n v="2"/>
    <n v="384.54999999987194"/>
    <n v="7.3247619047594652"/>
    <n v="3501.2361904750242"/>
    <n v="9.1047619047619044"/>
    <x v="94"/>
  </r>
  <r>
    <x v="6"/>
    <x v="0"/>
    <n v="9"/>
    <n v="4499"/>
    <d v="2017-03-01T00:00:00"/>
    <d v="2017-03-01T13:04:00"/>
    <n v="515"/>
    <n v="525"/>
    <n v="478"/>
    <s v="Other miscellaneous steam turbine problems"/>
    <s v="Load Reduction #8Unable to make Spring MW high due to turbine performance issues."/>
    <s v="Ghent"/>
    <x v="0"/>
    <s v="Coal"/>
    <x v="2"/>
    <x v="4"/>
    <n v="3"/>
    <n v="13.066666666651145"/>
    <n v="0.24888888888859323"/>
    <n v="118.96888888874756"/>
    <n v="9.1047619047619044"/>
    <x v="94"/>
  </r>
  <r>
    <x v="6"/>
    <x v="0"/>
    <n v="10"/>
    <n v="4499"/>
    <d v="2017-03-01T13:04:00"/>
    <d v="2017-03-01T16:22:00"/>
    <n v="505"/>
    <n v="525"/>
    <n v="478"/>
    <s v="Other miscellaneous steam turbine problems"/>
    <s v="Load Reduction #9Unable to make Spring MW high due to turbine performance issues."/>
    <s v="Ghent"/>
    <x v="0"/>
    <s v="Coal"/>
    <x v="2"/>
    <x v="4"/>
    <n v="3"/>
    <n v="3.2999999999301508"/>
    <n v="0.1257142857116248"/>
    <n v="60.091428570156651"/>
    <n v="18.209523809523809"/>
    <x v="5"/>
  </r>
  <r>
    <x v="6"/>
    <x v="0"/>
    <n v="11"/>
    <n v="4499"/>
    <d v="2017-03-01T16:22:00"/>
    <d v="2017-03-07T06:51:00"/>
    <n v="515"/>
    <n v="525"/>
    <n v="478"/>
    <s v="Other miscellaneous steam turbine problems"/>
    <s v="Load Reduction #10Unable to make Spring MW high due to turbine performance issues."/>
    <s v="Ghent"/>
    <x v="0"/>
    <s v="Coal"/>
    <x v="2"/>
    <x v="4"/>
    <n v="3"/>
    <n v="134.48333333339542"/>
    <n v="2.5615873015884842"/>
    <n v="1224.4387301592956"/>
    <n v="9.1047619047619044"/>
    <x v="94"/>
  </r>
  <r>
    <x v="6"/>
    <x v="0"/>
    <n v="12"/>
    <n v="4499"/>
    <d v="2017-03-07T06:51:00"/>
    <d v="2017-03-07T08:47:00"/>
    <n v="509"/>
    <n v="525"/>
    <n v="478"/>
    <s v="Other miscellaneous steam turbine problems"/>
    <s v="Load Reduction #11Unable to make Spring MW high due to turbine performance issues."/>
    <s v="Ghent"/>
    <x v="0"/>
    <s v="Coal"/>
    <x v="2"/>
    <x v="4"/>
    <n v="3"/>
    <n v="1.9333333333488554"/>
    <n v="5.8920634921107974E-2"/>
    <n v="28.16406349228961"/>
    <n v="14.567619047619047"/>
    <x v="169"/>
  </r>
  <r>
    <x v="6"/>
    <x v="0"/>
    <n v="13"/>
    <n v="4499"/>
    <d v="2017-03-07T08:47:00"/>
    <d v="2017-04-07T23:51:00"/>
    <n v="510"/>
    <n v="525"/>
    <n v="478"/>
    <s v="Other miscellaneous steam turbine problems"/>
    <s v="Load Reduction #12Unable to make Spring MW high due to turbine performance issues."/>
    <s v="Ghent"/>
    <x v="0"/>
    <s v="Coal"/>
    <x v="2"/>
    <x v="4"/>
    <n v="3"/>
    <n v="759.06666666670935"/>
    <n v="21.687619047620267"/>
    <n v="10366.681904762487"/>
    <n v="13.657142857142857"/>
    <x v="61"/>
  </r>
  <r>
    <x v="6"/>
    <x v="1"/>
    <n v="14"/>
    <n v="1980"/>
    <d v="2017-04-05T22:45:00"/>
    <d v="2017-04-06T00:06:00"/>
    <n v="440"/>
    <n v="525"/>
    <n v="478"/>
    <s v="Boiler safety valve test"/>
    <s v="F790Load Reduction #13Reduced load to check main steam and drum safeties."/>
    <s v="Ghent"/>
    <x v="0"/>
    <s v="Coal"/>
    <x v="2"/>
    <x v="4"/>
    <n v="4"/>
    <n v="1.3500000000349246"/>
    <n v="0.21857142857708303"/>
    <n v="104.47714285984569"/>
    <n v="77.390476190476193"/>
    <x v="128"/>
  </r>
  <r>
    <x v="6"/>
    <x v="6"/>
    <n v="15"/>
    <n v="1801"/>
    <d v="2017-04-07T23:51:00"/>
    <d v="2017-04-28T05:38:00"/>
    <n v="0"/>
    <n v="525"/>
    <n v="478"/>
    <s v="Minor boiler overhaul (less than 720 hours) (use for non-specific overhaul only; see page B-1)"/>
    <s v="F590Outage #2Unit 4 was removed from service for the Planned Spring Outage."/>
    <s v="Ghent"/>
    <x v="1"/>
    <s v="Coal"/>
    <x v="2"/>
    <x v="4"/>
    <n v="4"/>
    <n v="485.78333333332557"/>
    <n v="485.78333333332557"/>
    <n v="232204.43333332962"/>
    <n v="478"/>
    <x v="201"/>
  </r>
  <r>
    <x v="6"/>
    <x v="5"/>
    <n v="16"/>
    <n v="1040"/>
    <d v="2017-05-03T01:57:00"/>
    <d v="2017-05-04T20:34:00"/>
    <n v="0"/>
    <n v="525"/>
    <n v="478"/>
    <s v="First superheater B"/>
    <s v="Outage #3GH4 was removed from service due to a tube leak in the PSH area of the bo"/>
    <s v="Ghent"/>
    <x v="3"/>
    <s v="Coal"/>
    <x v="2"/>
    <x v="4"/>
    <n v="5"/>
    <n v="42.616666666581295"/>
    <n v="42.616666666581295"/>
    <n v="20370.766666625859"/>
    <n v="478"/>
    <x v="201"/>
  </r>
  <r>
    <x v="6"/>
    <x v="0"/>
    <n v="17"/>
    <n v="3661"/>
    <d v="2017-05-17T09:29:00"/>
    <d v="2017-05-17T09:43:00"/>
    <n v="411"/>
    <n v="525"/>
    <n v="478"/>
    <s v="4160-volt circuit breakers"/>
    <s v="F700Load Reduction #144-2 Circulating water pump 4KV breaker tripped due to a shor"/>
    <s v="Ghent"/>
    <x v="0"/>
    <s v="Coal"/>
    <x v="2"/>
    <x v="4"/>
    <n v="5"/>
    <n v="0.2333333333954215"/>
    <n v="5.0666666680148673E-2"/>
    <n v="24.218666673111066"/>
    <n v="103.79428571428572"/>
    <x v="228"/>
  </r>
  <r>
    <x v="6"/>
    <x v="0"/>
    <n v="18"/>
    <n v="335"/>
    <d v="2017-06-14T03:19:00"/>
    <d v="2017-06-14T09:14:00"/>
    <n v="420"/>
    <n v="525"/>
    <n v="478"/>
    <s v="Pulverizer lube oil system"/>
    <s v="F070Load Reductions #154-4 Mill lube oil pump MCC breaker coil went to ground and "/>
    <s v="Ghent"/>
    <x v="0"/>
    <s v="Coal"/>
    <x v="2"/>
    <x v="4"/>
    <n v="6"/>
    <n v="5.9166666667442769"/>
    <n v="1.1833333333488554"/>
    <n v="565.63333334075287"/>
    <n v="95.6"/>
    <x v="41"/>
  </r>
  <r>
    <x v="6"/>
    <x v="5"/>
    <n v="19"/>
    <n v="1040"/>
    <d v="2017-07-15T18:33:00"/>
    <d v="2017-07-17T20:03:00"/>
    <n v="0"/>
    <n v="525"/>
    <n v="478"/>
    <s v="First superheater B"/>
    <s v="Outage #4Unit 4 came off one due to a tube leak in the Primary Superheat section o"/>
    <s v="Ghent"/>
    <x v="3"/>
    <s v="Coal"/>
    <x v="2"/>
    <x v="4"/>
    <n v="7"/>
    <n v="49.5"/>
    <n v="49.5"/>
    <n v="23661"/>
    <n v="478"/>
    <x v="201"/>
  </r>
  <r>
    <x v="6"/>
    <x v="5"/>
    <n v="20"/>
    <n v="1040"/>
    <d v="2017-07-25T02:30:00"/>
    <d v="2017-07-26T17:26:00"/>
    <n v="0"/>
    <n v="525"/>
    <n v="478"/>
    <s v="First superheater B"/>
    <s v="F830Outage #5GH4 was brought off line due to a tube leak in the Superheat section "/>
    <s v="Ghent"/>
    <x v="3"/>
    <s v="Coal"/>
    <x v="2"/>
    <x v="4"/>
    <n v="7"/>
    <n v="38.933333333465271"/>
    <n v="38.933333333465271"/>
    <n v="18610.133333396399"/>
    <n v="478"/>
    <x v="201"/>
  </r>
  <r>
    <x v="6"/>
    <x v="0"/>
    <n v="21"/>
    <n v="1470"/>
    <d v="2017-09-15T12:19:00"/>
    <d v="2017-09-15T12:53:00"/>
    <n v="450"/>
    <n v="525"/>
    <n v="478"/>
    <s v="Induced draft fan motors and drives"/>
    <s v="F490Load Reduction #164-2 B ID fan A5 cell tripped the breaker."/>
    <s v="Ghent"/>
    <x v="0"/>
    <s v="Coal"/>
    <x v="2"/>
    <x v="4"/>
    <n v="9"/>
    <n v="0.56666666676755995"/>
    <n v="8.0952380966794274E-2"/>
    <n v="38.695238102127661"/>
    <n v="68.285714285714292"/>
    <x v="208"/>
  </r>
  <r>
    <x v="6"/>
    <x v="0"/>
    <n v="22"/>
    <n v="1470"/>
    <d v="2017-09-15T12:53:00"/>
    <d v="2017-09-15T14:44:00"/>
    <n v="425"/>
    <n v="525"/>
    <n v="478"/>
    <s v="Induced draft fan motors and drives"/>
    <s v="F490Load Reduction #174-2 B ID fan A5 cell tripped the breaker."/>
    <s v="Ghent"/>
    <x v="0"/>
    <s v="Coal"/>
    <x v="2"/>
    <x v="4"/>
    <n v="9"/>
    <n v="1.8499999999185093"/>
    <n v="0.35238095236543032"/>
    <n v="168.43809523067569"/>
    <n v="91.047619047619051"/>
    <x v="42"/>
  </r>
  <r>
    <x v="6"/>
    <x v="0"/>
    <n v="23"/>
    <n v="320"/>
    <d v="2017-09-19T20:22:00"/>
    <d v="2017-09-20T00:39:00"/>
    <n v="420"/>
    <n v="525"/>
    <n v="478"/>
    <s v="Foreign object in Pulverizers mill"/>
    <s v="Load Reduction #184-3 Mill was taken out of service to remove a piece of metal."/>
    <s v="Ghent"/>
    <x v="0"/>
    <s v="Coal"/>
    <x v="2"/>
    <x v="4"/>
    <n v="9"/>
    <n v="4.2833333333255723"/>
    <n v="0.85666666666511448"/>
    <n v="409.4866666659247"/>
    <n v="95.6"/>
    <x v="41"/>
  </r>
  <r>
    <x v="6"/>
    <x v="5"/>
    <n v="24"/>
    <n v="3220"/>
    <d v="2017-11-18T17:32:00"/>
    <d v="2017-11-21T07:34:00"/>
    <n v="0"/>
    <n v="525"/>
    <n v="478"/>
    <s v="Circulating water piping"/>
    <s v="F540Outage #6GH4 was Forced off line due to Circulating water line leak. "/>
    <s v="Ghent"/>
    <x v="3"/>
    <s v="Coal"/>
    <x v="2"/>
    <x v="4"/>
    <n v="11"/>
    <n v="62.033333333325572"/>
    <n v="62.033333333325572"/>
    <n v="29651.933333329624"/>
    <n v="478"/>
    <x v="201"/>
  </r>
  <r>
    <x v="6"/>
    <x v="5"/>
    <n v="25"/>
    <n v="4800"/>
    <d v="2017-12-07T15:08:00"/>
    <d v="2017-12-07T20:23:00"/>
    <n v="0"/>
    <n v="525"/>
    <n v="478"/>
    <s v="Generator main leads"/>
    <s v="FV00Outage # 7 GH 4 Forced off line due to vibration in generator lead box. "/>
    <s v="Ghent"/>
    <x v="3"/>
    <s v="Coal"/>
    <x v="2"/>
    <x v="4"/>
    <n v="12"/>
    <n v="5.25"/>
    <n v="5.25"/>
    <n v="2509.5"/>
    <n v="478"/>
    <x v="201"/>
  </r>
  <r>
    <x v="6"/>
    <x v="1"/>
    <n v="1"/>
    <n v="920"/>
    <d v="2018-01-06T21:25:00"/>
    <d v="2018-01-07T00:15:00"/>
    <n v="240"/>
    <n v="525"/>
    <n v="478"/>
    <s v="Other slag and ash removal problems A"/>
    <s v="F830Load Reduction #1Planned deslag."/>
    <s v="Ghent"/>
    <x v="0"/>
    <s v="Coal"/>
    <x v="2"/>
    <x v="5"/>
    <n v="1"/>
    <n v="2.8333333333139308"/>
    <n v="1.5380952380847053"/>
    <n v="735.20952380448909"/>
    <n v="259.48571428571427"/>
    <x v="215"/>
  </r>
  <r>
    <x v="6"/>
    <x v="6"/>
    <n v="2"/>
    <n v="1801"/>
    <d v="2018-04-06T21:41:00"/>
    <d v="2018-04-30T23:59:00"/>
    <n v="0"/>
    <n v="525"/>
    <n v="478"/>
    <s v="Minor boiler overhaul (less than 720 hours) (use for non-specific overhaul only; see page B-1)"/>
    <s v="F590Outage #1"/>
    <s v="Ghent"/>
    <x v="1"/>
    <s v="Coal"/>
    <x v="2"/>
    <x v="5"/>
    <n v="4"/>
    <n v="578.29999999998836"/>
    <n v="578.29999999998836"/>
    <n v="276427.39999999444"/>
    <n v="478"/>
    <x v="201"/>
  </r>
  <r>
    <x v="7"/>
    <x v="0"/>
    <n v="1"/>
    <n v="250"/>
    <d v="2013-01-01T04:19:00"/>
    <d v="2013-01-01T05:12:00"/>
    <n v="250"/>
    <n v="330"/>
    <n v="300"/>
    <s v="Pulverizer feeders"/>
    <s v="FW001B Coal Feeder - Wet Coal Issues"/>
    <s v="Mill Creek"/>
    <x v="0"/>
    <s v="Coal"/>
    <x v="1"/>
    <x v="0"/>
    <n v="1"/>
    <n v="0.88333333341870457"/>
    <n v="0.21414141416211019"/>
    <n v="64.242424248633057"/>
    <n v="72.727272727272734"/>
    <x v="87"/>
  </r>
  <r>
    <x v="7"/>
    <x v="3"/>
    <n v="2"/>
    <n v="1160"/>
    <d v="2013-01-01T22:31:00"/>
    <d v="2013-01-02T04:49:00"/>
    <n v="0"/>
    <n v="330"/>
    <n v="300"/>
    <s v="First reheater B"/>
    <s v="F320Boiler Deslag - First Reheater"/>
    <s v="Mill Creek"/>
    <x v="1"/>
    <s v="Coal"/>
    <x v="1"/>
    <x v="0"/>
    <n v="1"/>
    <n v="6.2999999999301508"/>
    <n v="6.2999999999301508"/>
    <n v="1889.9999999790452"/>
    <n v="300"/>
    <x v="229"/>
  </r>
  <r>
    <x v="7"/>
    <x v="0"/>
    <n v="3"/>
    <n v="250"/>
    <d v="2013-01-03T14:23:00"/>
    <d v="2013-01-03T15:52:00"/>
    <n v="255"/>
    <n v="330"/>
    <n v="300"/>
    <s v="Pulverizer feeders"/>
    <s v="F1201A Coal Feeder - Rock on Belt"/>
    <s v="Mill Creek"/>
    <x v="0"/>
    <s v="Coal"/>
    <x v="1"/>
    <x v="0"/>
    <n v="1"/>
    <n v="1.4833333332790062"/>
    <n v="0.33712121210886503"/>
    <n v="101.13636363265951"/>
    <n v="68.181818181818187"/>
    <x v="208"/>
  </r>
  <r>
    <x v="7"/>
    <x v="3"/>
    <n v="4"/>
    <n v="360"/>
    <d v="2013-01-10T00:00:00"/>
    <d v="2013-01-10T02:46:00"/>
    <n v="0"/>
    <n v="330"/>
    <n v="300"/>
    <s v="Burners"/>
    <s v="F530Coal Burners - Inspection"/>
    <s v="Mill Creek"/>
    <x v="1"/>
    <s v="Coal"/>
    <x v="1"/>
    <x v="0"/>
    <n v="1"/>
    <n v="2.7666666666045785"/>
    <n v="2.7666666666045785"/>
    <n v="829.99999998137355"/>
    <n v="300"/>
    <x v="229"/>
  </r>
  <r>
    <x v="7"/>
    <x v="0"/>
    <n v="5"/>
    <n v="9270"/>
    <d v="2013-01-14T11:10:00"/>
    <d v="2013-01-14T13:29:00"/>
    <n v="200"/>
    <n v="330"/>
    <n v="300"/>
    <s v="Wet coal"/>
    <s v="FW00Wet Coal Issues"/>
    <s v="Mill Creek"/>
    <x v="0"/>
    <s v="Coal"/>
    <x v="1"/>
    <x v="0"/>
    <n v="1"/>
    <n v="2.3166666665347293"/>
    <n v="0.91262626257428725"/>
    <n v="273.78787877228615"/>
    <n v="118.18181818181819"/>
    <x v="40"/>
  </r>
  <r>
    <x v="7"/>
    <x v="0"/>
    <n v="6"/>
    <n v="9270"/>
    <d v="2013-01-15T08:25:00"/>
    <d v="2013-01-15T08:57:00"/>
    <n v="254"/>
    <n v="330"/>
    <n v="300"/>
    <s v="Wet coal"/>
    <s v="FW001C Coal Feeder - Wet Coal"/>
    <s v="Mill Creek"/>
    <x v="0"/>
    <s v="Coal"/>
    <x v="1"/>
    <x v="0"/>
    <n v="1"/>
    <n v="0.53333333332557231"/>
    <n v="0.12282828282649544"/>
    <n v="36.848484847948633"/>
    <n v="69.090909090909093"/>
    <x v="25"/>
  </r>
  <r>
    <x v="7"/>
    <x v="0"/>
    <n v="7"/>
    <n v="9270"/>
    <d v="2013-01-15T13:00:00"/>
    <d v="2013-01-15T13:25:00"/>
    <n v="235"/>
    <n v="330"/>
    <n v="300"/>
    <s v="Wet coal"/>
    <s v="FW00Wet Coal - Plugged Feeder"/>
    <s v="Mill Creek"/>
    <x v="0"/>
    <s v="Coal"/>
    <x v="1"/>
    <x v="0"/>
    <n v="1"/>
    <n v="0.41666666680248454"/>
    <n v="0.11994949498859403"/>
    <n v="35.984848496578209"/>
    <n v="86.36363636363636"/>
    <x v="173"/>
  </r>
  <r>
    <x v="7"/>
    <x v="0"/>
    <n v="8"/>
    <n v="9270"/>
    <d v="2013-01-15T13:25:00"/>
    <d v="2013-01-15T16:00:00"/>
    <n v="200"/>
    <n v="330"/>
    <n v="300"/>
    <s v="Wet coal"/>
    <s v="FW00Wet Coal - Feeder Issues"/>
    <s v="Mill Creek"/>
    <x v="0"/>
    <s v="Coal"/>
    <x v="1"/>
    <x v="0"/>
    <n v="1"/>
    <n v="2.5833333331975155"/>
    <n v="1.0176767676232636"/>
    <n v="305.30303028697909"/>
    <n v="118.18181818181819"/>
    <x v="40"/>
  </r>
  <r>
    <x v="7"/>
    <x v="0"/>
    <n v="9"/>
    <n v="9270"/>
    <d v="2013-01-16T01:30:00"/>
    <d v="2013-01-16T02:15:00"/>
    <n v="240"/>
    <n v="330"/>
    <n v="300"/>
    <s v="Wet coal"/>
    <s v="FW001D Coal Feeder - Wet Coal"/>
    <s v="Mill Creek"/>
    <x v="0"/>
    <s v="Coal"/>
    <x v="1"/>
    <x v="0"/>
    <n v="1"/>
    <n v="0.75"/>
    <n v="0.20454545454545456"/>
    <n v="61.363636363636367"/>
    <n v="81.818181818181813"/>
    <x v="48"/>
  </r>
  <r>
    <x v="7"/>
    <x v="0"/>
    <n v="10"/>
    <n v="9270"/>
    <d v="2013-01-16T02:15:00"/>
    <d v="2013-01-16T07:35:00"/>
    <n v="120"/>
    <n v="330"/>
    <n v="300"/>
    <s v="Wet coal"/>
    <s v="FW00Wet Coal Issues"/>
    <s v="Mill Creek"/>
    <x v="0"/>
    <s v="Coal"/>
    <x v="1"/>
    <x v="0"/>
    <n v="1"/>
    <n v="5.3333333332557231"/>
    <n v="3.3939393938900055"/>
    <n v="1018.1818181670017"/>
    <n v="190.90909090909091"/>
    <x v="230"/>
  </r>
  <r>
    <x v="7"/>
    <x v="5"/>
    <n v="11"/>
    <n v="360"/>
    <d v="2013-01-16T07:35:00"/>
    <d v="2013-01-19T08:29:00"/>
    <n v="0"/>
    <n v="330"/>
    <n v="300"/>
    <s v="Burners"/>
    <s v="F0701C4 Coal Burner - Fire &amp; Windbox Damage"/>
    <s v="Mill Creek"/>
    <x v="3"/>
    <s v="Coal"/>
    <x v="1"/>
    <x v="0"/>
    <n v="1"/>
    <n v="72.900000000139698"/>
    <n v="72.900000000139698"/>
    <n v="21870.00000004191"/>
    <n v="300"/>
    <x v="229"/>
  </r>
  <r>
    <x v="7"/>
    <x v="3"/>
    <n v="12"/>
    <n v="1850"/>
    <d v="2013-01-19T08:29:00"/>
    <d v="2013-01-19T16:30:00"/>
    <n v="0"/>
    <n v="330"/>
    <n v="300"/>
    <s v="Boiler water condition (not feedwater water quality)"/>
    <s v="F170High Silica @ Warm Start Up"/>
    <s v="Mill Creek"/>
    <x v="1"/>
    <s v="Coal"/>
    <x v="1"/>
    <x v="0"/>
    <n v="1"/>
    <n v="8.0166666666045785"/>
    <n v="8.0166666666045785"/>
    <n v="2404.9999999813735"/>
    <n v="300"/>
    <x v="229"/>
  </r>
  <r>
    <x v="7"/>
    <x v="0"/>
    <n v="13"/>
    <n v="1850"/>
    <d v="2013-01-19T16:30:00"/>
    <d v="2013-01-19T21:35:00"/>
    <n v="250"/>
    <n v="330"/>
    <n v="300"/>
    <s v="Boiler water condition (not feedwater water quality)"/>
    <s v="F170High Silica"/>
    <s v="Mill Creek"/>
    <x v="0"/>
    <s v="Coal"/>
    <x v="1"/>
    <x v="0"/>
    <n v="1"/>
    <n v="5.0833333333139308"/>
    <n v="1.2323232323185287"/>
    <n v="369.69696969555861"/>
    <n v="72.727272727272734"/>
    <x v="87"/>
  </r>
  <r>
    <x v="7"/>
    <x v="2"/>
    <n v="14"/>
    <n v="360"/>
    <d v="2013-01-20T22:00:00"/>
    <d v="2013-01-21T00:40:00"/>
    <n v="225"/>
    <n v="330"/>
    <n v="300"/>
    <s v="Burners"/>
    <s v="F530Coal Burners - Inspections"/>
    <s v="Mill Creek"/>
    <x v="0"/>
    <s v="Coal"/>
    <x v="1"/>
    <x v="0"/>
    <n v="1"/>
    <n v="2.6666666668024845"/>
    <n v="0.84848484852806327"/>
    <n v="254.54545455841898"/>
    <n v="95.454545454545453"/>
    <x v="19"/>
  </r>
  <r>
    <x v="7"/>
    <x v="0"/>
    <n v="15"/>
    <n v="9270"/>
    <d v="2013-01-21T06:37:00"/>
    <d v="2013-01-21T12:08:00"/>
    <n v="240"/>
    <n v="330"/>
    <n v="300"/>
    <s v="Wet coal"/>
    <s v="FW001C Coal Feeder - Plugged, Wet Coal"/>
    <s v="Mill Creek"/>
    <x v="0"/>
    <s v="Coal"/>
    <x v="1"/>
    <x v="0"/>
    <n v="1"/>
    <n v="5.5166666668374091"/>
    <n v="1.5045454545920207"/>
    <n v="451.36363637760621"/>
    <n v="81.818181818181813"/>
    <x v="48"/>
  </r>
  <r>
    <x v="7"/>
    <x v="0"/>
    <n v="16"/>
    <n v="310"/>
    <d v="2013-01-23T23:00:00"/>
    <d v="2013-01-24T03:05:00"/>
    <n v="225"/>
    <n v="330"/>
    <n v="300"/>
    <s v="Pulverizer mills"/>
    <s v="F5901B Coal Mill Primary Air Fan - Repair Damper"/>
    <s v="Mill Creek"/>
    <x v="0"/>
    <s v="Coal"/>
    <x v="1"/>
    <x v="0"/>
    <n v="1"/>
    <n v="4.0833333331975155"/>
    <n v="1.2992424241992095"/>
    <n v="389.77272725976286"/>
    <n v="95.454545454545453"/>
    <x v="19"/>
  </r>
  <r>
    <x v="7"/>
    <x v="0"/>
    <n v="17"/>
    <n v="9270"/>
    <d v="2013-01-24T21:25:00"/>
    <d v="2013-01-24T23:00:00"/>
    <n v="260"/>
    <n v="330"/>
    <n v="300"/>
    <s v="Wet coal"/>
    <s v="FW001C Coal Feeder - Plugged, Wet Coal"/>
    <s v="Mill Creek"/>
    <x v="0"/>
    <s v="Coal"/>
    <x v="1"/>
    <x v="0"/>
    <n v="1"/>
    <n v="1.5833333334303461"/>
    <n v="0.33585858587916434"/>
    <n v="100.7575757637493"/>
    <n v="63.636363636363633"/>
    <x v="30"/>
  </r>
  <r>
    <x v="7"/>
    <x v="2"/>
    <n v="18"/>
    <n v="360"/>
    <d v="2013-01-24T23:00:00"/>
    <d v="2013-01-25T02:50:00"/>
    <n v="230"/>
    <n v="330"/>
    <n v="300"/>
    <s v="Burners"/>
    <s v="F530Coal Burners - Inspection"/>
    <s v="Mill Creek"/>
    <x v="0"/>
    <s v="Coal"/>
    <x v="1"/>
    <x v="0"/>
    <n v="1"/>
    <n v="3.8333333332557231"/>
    <n v="1.1616161615926435"/>
    <n v="348.48484847779304"/>
    <n v="90.909090909090907"/>
    <x v="42"/>
  </r>
  <r>
    <x v="7"/>
    <x v="3"/>
    <n v="19"/>
    <n v="3230"/>
    <d v="2013-01-26T22:20:00"/>
    <d v="2013-01-26T23:07:00"/>
    <n v="0"/>
    <n v="330"/>
    <n v="300"/>
    <s v="Circulating water valves"/>
    <s v="F5901A Circulating Water Pump - Discharge Valve Issue"/>
    <s v="Mill Creek"/>
    <x v="1"/>
    <s v="Coal"/>
    <x v="1"/>
    <x v="0"/>
    <n v="1"/>
    <n v="0.78333333326736465"/>
    <n v="0.78333333326736465"/>
    <n v="234.9999999802094"/>
    <n v="300"/>
    <x v="229"/>
  </r>
  <r>
    <x v="7"/>
    <x v="3"/>
    <n v="20"/>
    <n v="3230"/>
    <d v="2013-01-27T23:15:00"/>
    <d v="2013-01-28T00:21:00"/>
    <n v="0"/>
    <n v="330"/>
    <n v="300"/>
    <s v="Circulating water valves"/>
    <s v="F5901A Circulating Water Pump - Discharge Valve Issue"/>
    <s v="Mill Creek"/>
    <x v="1"/>
    <s v="Coal"/>
    <x v="1"/>
    <x v="0"/>
    <n v="1"/>
    <n v="1.0999999999185093"/>
    <n v="1.0999999999185093"/>
    <n v="329.99999997555278"/>
    <n v="300"/>
    <x v="229"/>
  </r>
  <r>
    <x v="7"/>
    <x v="0"/>
    <n v="21"/>
    <n v="250"/>
    <d v="2013-01-28T00:21:00"/>
    <d v="2013-01-28T00:58:00"/>
    <n v="240"/>
    <n v="330"/>
    <n v="300"/>
    <s v="Pulverizer feeders"/>
    <s v="F5901A Coal Feeder - Repair Cleanout Conveyor"/>
    <s v="Mill Creek"/>
    <x v="0"/>
    <s v="Coal"/>
    <x v="1"/>
    <x v="0"/>
    <n v="1"/>
    <n v="0.61666666675591841"/>
    <n v="0.16818181820615957"/>
    <n v="50.454545461847871"/>
    <n v="81.818181818181813"/>
    <x v="48"/>
  </r>
  <r>
    <x v="7"/>
    <x v="3"/>
    <n v="22"/>
    <n v="1160"/>
    <d v="2013-01-31T23:00:00"/>
    <d v="2013-02-01T05:00:00"/>
    <n v="0"/>
    <n v="330"/>
    <n v="300"/>
    <s v="First reheater B"/>
    <s v="F320Boiler Deslag - First Reheater"/>
    <s v="Mill Creek"/>
    <x v="1"/>
    <s v="Coal"/>
    <x v="1"/>
    <x v="0"/>
    <n v="1"/>
    <n v="6"/>
    <n v="6"/>
    <n v="1800"/>
    <n v="300"/>
    <x v="229"/>
  </r>
  <r>
    <x v="7"/>
    <x v="0"/>
    <n v="23"/>
    <n v="8262"/>
    <d v="2013-02-01T06:18:00"/>
    <d v="2013-02-03T10:02:00"/>
    <n v="310"/>
    <n v="330"/>
    <n v="300"/>
    <s v="Scrubber booster I.D. fan vibration (fan specific to the scrubber)"/>
    <s v="F8501B SDRS Booster Fan - High Vibration"/>
    <s v="Mill Creek"/>
    <x v="0"/>
    <s v="Coal"/>
    <x v="1"/>
    <x v="0"/>
    <n v="2"/>
    <n v="51.733333333453629"/>
    <n v="3.1353535353608262"/>
    <n v="940.60606060824784"/>
    <n v="18.181818181818183"/>
    <x v="5"/>
  </r>
  <r>
    <x v="7"/>
    <x v="0"/>
    <n v="24"/>
    <n v="250"/>
    <d v="2013-02-02T19:28:00"/>
    <d v="2013-02-02T22:12:00"/>
    <n v="240"/>
    <n v="330"/>
    <n v="300"/>
    <s v="Pulverizer feeders"/>
    <s v="F0101D Coal Feeder - Belt Alignment"/>
    <s v="Mill Creek"/>
    <x v="0"/>
    <s v="Coal"/>
    <x v="1"/>
    <x v="0"/>
    <n v="2"/>
    <n v="2.7333333333372138"/>
    <n v="0.74545454545560375"/>
    <n v="223.63636363668112"/>
    <n v="81.818181818181813"/>
    <x v="48"/>
  </r>
  <r>
    <x v="7"/>
    <x v="4"/>
    <n v="25"/>
    <n v="8262"/>
    <d v="2013-02-03T10:02:00"/>
    <d v="2013-02-05T02:45:00"/>
    <n v="0"/>
    <n v="330"/>
    <n v="300"/>
    <s v="Scrubber booster I.D. fan vibration (fan specific to the scrubber)"/>
    <s v="F3201B SDRS Booster Fan - Wash due to Vibration Issue"/>
    <s v="Mill Creek"/>
    <x v="2"/>
    <s v="Coal"/>
    <x v="1"/>
    <x v="0"/>
    <n v="2"/>
    <n v="40.716666666674428"/>
    <n v="40.716666666674428"/>
    <n v="12215.000000002328"/>
    <n v="300"/>
    <x v="229"/>
  </r>
  <r>
    <x v="7"/>
    <x v="3"/>
    <n v="26"/>
    <n v="1850"/>
    <d v="2013-02-05T02:45:00"/>
    <d v="2013-02-05T11:45:00"/>
    <n v="0"/>
    <n v="330"/>
    <n v="300"/>
    <s v="Boiler water condition (not feedwater water quality)"/>
    <s v="F170High Silica @ Hot Start Up"/>
    <s v="Mill Creek"/>
    <x v="1"/>
    <s v="Coal"/>
    <x v="1"/>
    <x v="0"/>
    <n v="2"/>
    <n v="9"/>
    <n v="9"/>
    <n v="2700"/>
    <n v="300"/>
    <x v="229"/>
  </r>
  <r>
    <x v="7"/>
    <x v="0"/>
    <n v="27"/>
    <n v="320"/>
    <d v="2013-02-05T15:20:00"/>
    <d v="2013-02-05T16:00:00"/>
    <n v="270"/>
    <n v="330"/>
    <n v="300"/>
    <s v="Foreign object in Pulverizers mill"/>
    <s v="F1201D Coal Mill - Foreign Metal in Mill"/>
    <s v="Mill Creek"/>
    <x v="0"/>
    <s v="Coal"/>
    <x v="1"/>
    <x v="0"/>
    <n v="2"/>
    <n v="0.6666666665696539"/>
    <n v="0.12121212119448253"/>
    <n v="36.363636358344763"/>
    <n v="54.545454545454547"/>
    <x v="2"/>
  </r>
  <r>
    <x v="7"/>
    <x v="3"/>
    <n v="28"/>
    <n v="310"/>
    <d v="2013-02-05T22:53:00"/>
    <d v="2013-02-06T00:14:00"/>
    <n v="0"/>
    <n v="330"/>
    <n v="300"/>
    <s v="Pulverizer mills"/>
    <s v="F7901A Coal Mill - Air Flow Test"/>
    <s v="Mill Creek"/>
    <x v="1"/>
    <s v="Coal"/>
    <x v="1"/>
    <x v="0"/>
    <n v="2"/>
    <n v="1.3500000000349246"/>
    <n v="1.3500000000349246"/>
    <n v="405.00000001047738"/>
    <n v="300"/>
    <x v="229"/>
  </r>
  <r>
    <x v="7"/>
    <x v="3"/>
    <n v="29"/>
    <n v="310"/>
    <d v="2013-02-06T22:23:00"/>
    <d v="2013-02-06T23:22:00"/>
    <n v="0"/>
    <n v="330"/>
    <n v="300"/>
    <s v="Pulverizer mills"/>
    <s v="F7901B Coal Mill - Air Flow Test"/>
    <s v="Mill Creek"/>
    <x v="1"/>
    <s v="Coal"/>
    <x v="1"/>
    <x v="0"/>
    <n v="2"/>
    <n v="0.9833333333954215"/>
    <n v="0.9833333333954215"/>
    <n v="295.00000001862645"/>
    <n v="300"/>
    <x v="229"/>
  </r>
  <r>
    <x v="7"/>
    <x v="3"/>
    <n v="30"/>
    <n v="310"/>
    <d v="2013-02-07T22:24:00"/>
    <d v="2013-02-07T23:00:00"/>
    <n v="0"/>
    <n v="330"/>
    <n v="300"/>
    <s v="Pulverizer mills"/>
    <s v="F7901D Coal Mill - Air Flow Test"/>
    <s v="Mill Creek"/>
    <x v="1"/>
    <s v="Coal"/>
    <x v="1"/>
    <x v="0"/>
    <n v="2"/>
    <n v="0.6000000000349246"/>
    <n v="0.6000000000349246"/>
    <n v="180.00000001047738"/>
    <n v="300"/>
    <x v="229"/>
  </r>
  <r>
    <x v="7"/>
    <x v="3"/>
    <n v="31"/>
    <n v="1160"/>
    <d v="2013-02-10T22:45:00"/>
    <d v="2013-02-11T05:00:00"/>
    <n v="0"/>
    <n v="330"/>
    <n v="300"/>
    <s v="First reheater B"/>
    <s v="F320Boiler Deslag - First Reheater"/>
    <s v="Mill Creek"/>
    <x v="1"/>
    <s v="Coal"/>
    <x v="1"/>
    <x v="0"/>
    <n v="2"/>
    <n v="6.2500000001164153"/>
    <n v="6.2500000001164153"/>
    <n v="1875.0000000349246"/>
    <n v="300"/>
    <x v="229"/>
  </r>
  <r>
    <x v="7"/>
    <x v="0"/>
    <n v="32"/>
    <n v="300"/>
    <d v="2013-02-11T06:02:00"/>
    <d v="2013-02-11T10:15:00"/>
    <n v="250"/>
    <n v="330"/>
    <n v="300"/>
    <s v="Pulverizer motors and drives"/>
    <s v="F5901A Coal Feeder Motor - Replace"/>
    <s v="Mill Creek"/>
    <x v="0"/>
    <s v="Coal"/>
    <x v="1"/>
    <x v="0"/>
    <n v="2"/>
    <n v="4.216666666790843"/>
    <n v="1.0222222222523256"/>
    <n v="306.66666667569768"/>
    <n v="72.727272727272734"/>
    <x v="87"/>
  </r>
  <r>
    <x v="7"/>
    <x v="0"/>
    <n v="33"/>
    <n v="300"/>
    <d v="2013-02-11T10:15:00"/>
    <d v="2013-02-11T12:14:00"/>
    <n v="275"/>
    <n v="330"/>
    <n v="300"/>
    <s v="Pulverizer motors and drives"/>
    <s v="F5901A Coal Feeder Motor - Replace, Gas Guns in Service"/>
    <s v="Mill Creek"/>
    <x v="0"/>
    <s v="Coal"/>
    <x v="1"/>
    <x v="0"/>
    <n v="2"/>
    <n v="1.9833333333372138"/>
    <n v="0.33055555555620231"/>
    <n v="99.166666666860692"/>
    <n v="50"/>
    <x v="33"/>
  </r>
  <r>
    <x v="7"/>
    <x v="0"/>
    <n v="34"/>
    <n v="300"/>
    <d v="2013-02-11T12:48:00"/>
    <d v="2013-02-11T15:46:00"/>
    <n v="277"/>
    <n v="330"/>
    <n v="300"/>
    <s v="Pulverizer motors and drives"/>
    <s v="F5901A Coal Feeder Motor - Wiring Issues, Gas Guns in Service"/>
    <s v="Mill Creek"/>
    <x v="0"/>
    <s v="Coal"/>
    <x v="1"/>
    <x v="0"/>
    <n v="2"/>
    <n v="2.9666666667326353"/>
    <n v="0.47646464647524145"/>
    <n v="142.93939394257242"/>
    <n v="48.18181818181818"/>
    <x v="22"/>
  </r>
  <r>
    <x v="7"/>
    <x v="0"/>
    <n v="35"/>
    <n v="300"/>
    <d v="2013-02-11T15:46:00"/>
    <d v="2013-02-11T18:30:00"/>
    <n v="250"/>
    <n v="330"/>
    <n v="300"/>
    <s v="Pulverizer motors and drives"/>
    <s v="F5901A Coal Feeder Motor - Wiring Issues"/>
    <s v="Mill Creek"/>
    <x v="0"/>
    <s v="Coal"/>
    <x v="1"/>
    <x v="0"/>
    <n v="2"/>
    <n v="2.7333333333372138"/>
    <n v="0.66262626262720337"/>
    <n v="198.78787878816101"/>
    <n v="72.727272727272734"/>
    <x v="87"/>
  </r>
  <r>
    <x v="7"/>
    <x v="0"/>
    <n v="36"/>
    <n v="300"/>
    <d v="2013-02-11T18:30:00"/>
    <d v="2013-02-11T20:30:00"/>
    <n v="280"/>
    <n v="330"/>
    <n v="300"/>
    <s v="Pulverizer motors and drives"/>
    <s v="F5901A Coal Feeder Motor - Wiring Issues, Gas Guns in Service"/>
    <s v="Mill Creek"/>
    <x v="0"/>
    <s v="Coal"/>
    <x v="1"/>
    <x v="0"/>
    <n v="2"/>
    <n v="1.9999999998835847"/>
    <n v="0.30303030301266437"/>
    <n v="90.90909090379931"/>
    <n v="45.454545454545453"/>
    <x v="23"/>
  </r>
  <r>
    <x v="7"/>
    <x v="0"/>
    <n v="37"/>
    <n v="9270"/>
    <d v="2013-02-13T12:06:00"/>
    <d v="2013-02-13T12:50:00"/>
    <n v="250"/>
    <n v="330"/>
    <n v="300"/>
    <s v="Wet coal"/>
    <s v="FW001C Coal Feeder - Plugged, Wet Coal"/>
    <s v="Mill Creek"/>
    <x v="0"/>
    <s v="Coal"/>
    <x v="1"/>
    <x v="0"/>
    <n v="2"/>
    <n v="0.73333333327900618"/>
    <n v="0.17777777776460757"/>
    <n v="53.33333332938227"/>
    <n v="72.727272727272734"/>
    <x v="87"/>
  </r>
  <r>
    <x v="7"/>
    <x v="0"/>
    <n v="38"/>
    <n v="250"/>
    <d v="2013-02-13T23:55:00"/>
    <d v="2013-02-14T02:52:00"/>
    <n v="240"/>
    <n v="330"/>
    <n v="300"/>
    <s v="Pulverizer feeders"/>
    <s v="F0101A &amp; 1B Coal Feeders - Belt Alignment"/>
    <s v="Mill Creek"/>
    <x v="0"/>
    <s v="Coal"/>
    <x v="1"/>
    <x v="0"/>
    <n v="2"/>
    <n v="2.9499999998370185"/>
    <n v="0.80454545450100501"/>
    <n v="241.3636363503015"/>
    <n v="81.818181818181813"/>
    <x v="48"/>
  </r>
  <r>
    <x v="7"/>
    <x v="2"/>
    <n v="39"/>
    <n v="310"/>
    <d v="2013-02-14T23:00:00"/>
    <d v="2013-02-15T04:58:00"/>
    <n v="250"/>
    <n v="330"/>
    <n v="300"/>
    <s v="Pulverizer mills"/>
    <s v="F5301C Coal Mill - Inspection"/>
    <s v="Mill Creek"/>
    <x v="0"/>
    <s v="Coal"/>
    <x v="1"/>
    <x v="0"/>
    <n v="2"/>
    <n v="5.9666666665580124"/>
    <n v="1.446464646438306"/>
    <n v="433.93939393149179"/>
    <n v="72.727272727272734"/>
    <x v="87"/>
  </r>
  <r>
    <x v="7"/>
    <x v="0"/>
    <n v="40"/>
    <n v="310"/>
    <d v="2013-02-15T01:30:00"/>
    <d v="2013-02-15T04:58:00"/>
    <n v="175"/>
    <n v="330"/>
    <n v="300"/>
    <s v="Pulverizer mills"/>
    <s v="F5901D Coal Mill - Repair Holes in Pant Leg Duct"/>
    <s v="Mill Creek"/>
    <x v="0"/>
    <s v="Coal"/>
    <x v="1"/>
    <x v="0"/>
    <n v="2"/>
    <n v="3.46666666661622"/>
    <n v="1.6282828282591337"/>
    <n v="488.48484847774012"/>
    <n v="140.90909090909091"/>
    <x v="59"/>
  </r>
  <r>
    <x v="7"/>
    <x v="5"/>
    <n v="41"/>
    <n v="3149"/>
    <d v="2013-02-15T15:45:00"/>
    <d v="2013-02-15T16:53:00"/>
    <n v="0"/>
    <n v="330"/>
    <n v="300"/>
    <s v="Loss of vacuum not attributable to a particular component such as air ejectors or valves; or"/>
    <s v="F420Lost Vacuum - 1B Circulating Water Pump Trip, Operator Error"/>
    <s v="Mill Creek"/>
    <x v="3"/>
    <s v="Coal"/>
    <x v="1"/>
    <x v="0"/>
    <n v="2"/>
    <n v="1.1333333333604969"/>
    <n v="1.1333333333604969"/>
    <n v="340.00000000814907"/>
    <n v="300"/>
    <x v="229"/>
  </r>
  <r>
    <x v="7"/>
    <x v="3"/>
    <n v="42"/>
    <n v="1850"/>
    <d v="2013-02-15T16:53:00"/>
    <d v="2013-02-15T23:10:00"/>
    <n v="0"/>
    <n v="330"/>
    <n v="300"/>
    <s v="Boiler water condition (not feedwater water quality)"/>
    <s v="F170High Silica @ Very Hot Start Up"/>
    <s v="Mill Creek"/>
    <x v="1"/>
    <s v="Coal"/>
    <x v="1"/>
    <x v="0"/>
    <n v="2"/>
    <n v="6.28333333338378"/>
    <n v="6.28333333338378"/>
    <n v="1885.000000015134"/>
    <n v="300"/>
    <x v="229"/>
  </r>
  <r>
    <x v="7"/>
    <x v="0"/>
    <n v="43"/>
    <n v="310"/>
    <d v="2013-02-19T05:35:00"/>
    <d v="2013-02-19T06:37:00"/>
    <n v="240"/>
    <n v="330"/>
    <n v="300"/>
    <s v="Pulverizer mills"/>
    <s v="F4001C Coal Mill - Exhauster Discharge Damper Issue"/>
    <s v="Mill Creek"/>
    <x v="0"/>
    <s v="Coal"/>
    <x v="1"/>
    <x v="0"/>
    <n v="2"/>
    <n v="1.033333333209157"/>
    <n v="0.28181818178431556"/>
    <n v="84.545454535294667"/>
    <n v="81.818181818181813"/>
    <x v="48"/>
  </r>
  <r>
    <x v="7"/>
    <x v="0"/>
    <n v="44"/>
    <n v="9600"/>
    <d v="2013-02-21T19:12:00"/>
    <d v="2013-02-21T20:00:00"/>
    <n v="260"/>
    <n v="330"/>
    <n v="300"/>
    <s v="SO2 stack emissions (fossil)"/>
    <s v="FE00SO2 Limit - Reactant Feed Valve Plugged"/>
    <s v="Mill Creek"/>
    <x v="0"/>
    <s v="Coal"/>
    <x v="1"/>
    <x v="0"/>
    <n v="2"/>
    <n v="0.79999999998835847"/>
    <n v="0.16969696969450029"/>
    <n v="50.909090908350088"/>
    <n v="63.636363636363633"/>
    <x v="30"/>
  </r>
  <r>
    <x v="7"/>
    <x v="3"/>
    <n v="45"/>
    <n v="1160"/>
    <d v="2013-02-21T23:00:00"/>
    <d v="2013-02-22T04:05:00"/>
    <n v="0"/>
    <n v="330"/>
    <n v="300"/>
    <s v="First reheater B"/>
    <s v="F320Boiler Deslag - First Reheat"/>
    <s v="Mill Creek"/>
    <x v="1"/>
    <s v="Coal"/>
    <x v="1"/>
    <x v="0"/>
    <n v="2"/>
    <n v="5.0833333333139308"/>
    <n v="5.0833333333139308"/>
    <n v="1524.9999999941792"/>
    <n v="300"/>
    <x v="229"/>
  </r>
  <r>
    <x v="7"/>
    <x v="0"/>
    <n v="46"/>
    <n v="1160"/>
    <d v="2013-02-28T02:10:00"/>
    <d v="2013-02-28T04:10:00"/>
    <n v="240"/>
    <n v="330"/>
    <n v="300"/>
    <s v="First reheater B"/>
    <s v="F320Boiler Deslag - First Reheat"/>
    <s v="Mill Creek"/>
    <x v="0"/>
    <s v="Coal"/>
    <x v="1"/>
    <x v="0"/>
    <n v="2"/>
    <n v="1.9999999998835847"/>
    <n v="0.54545454542279581"/>
    <n v="163.63636362683874"/>
    <n v="81.818181818181813"/>
    <x v="48"/>
  </r>
  <r>
    <x v="7"/>
    <x v="0"/>
    <n v="47"/>
    <n v="1480"/>
    <d v="2013-02-28T13:52:00"/>
    <d v="2013-03-01T01:55:00"/>
    <n v="320"/>
    <n v="330"/>
    <n v="300"/>
    <s v="Other induced draft fan problems"/>
    <s v="F400ID Fans Maxed Out - High Amps"/>
    <s v="Mill Creek"/>
    <x v="0"/>
    <s v="Coal"/>
    <x v="1"/>
    <x v="0"/>
    <n v="2"/>
    <n v="12.049999999988358"/>
    <n v="0.3651515151511624"/>
    <n v="109.54545454534872"/>
    <n v="9.0909090909090917"/>
    <x v="94"/>
  </r>
  <r>
    <x v="7"/>
    <x v="3"/>
    <n v="48"/>
    <n v="1160"/>
    <d v="2013-03-03T11:00:00"/>
    <d v="2013-03-03T18:30:00"/>
    <n v="0"/>
    <n v="330"/>
    <n v="300"/>
    <s v="First reheater B"/>
    <s v="F320Boiler Deslag - First Reheater"/>
    <s v="Mill Creek"/>
    <x v="1"/>
    <s v="Coal"/>
    <x v="1"/>
    <x v="0"/>
    <n v="3"/>
    <n v="7.5"/>
    <n v="7.5"/>
    <n v="2250"/>
    <n v="300"/>
    <x v="229"/>
  </r>
  <r>
    <x v="7"/>
    <x v="0"/>
    <n v="49"/>
    <n v="1160"/>
    <d v="2013-03-04T19:50:00"/>
    <d v="2013-03-04T22:30:00"/>
    <n v="300"/>
    <n v="330"/>
    <n v="300"/>
    <s v="First reheater B"/>
    <s v="F320Boiler Slag Buildup - First Reheater"/>
    <s v="Mill Creek"/>
    <x v="0"/>
    <s v="Coal"/>
    <x v="1"/>
    <x v="0"/>
    <n v="3"/>
    <n v="2.6666666666278616"/>
    <n v="0.2424242424207147"/>
    <n v="72.727272726214409"/>
    <n v="27.272727272727273"/>
    <x v="6"/>
  </r>
  <r>
    <x v="7"/>
    <x v="3"/>
    <n v="50"/>
    <n v="1160"/>
    <d v="2013-03-04T22:30:00"/>
    <d v="2013-03-05T04:15:00"/>
    <n v="0"/>
    <n v="330"/>
    <n v="300"/>
    <s v="First reheater B"/>
    <s v="F320Boiler Deslag - First Reheater"/>
    <s v="Mill Creek"/>
    <x v="1"/>
    <s v="Coal"/>
    <x v="1"/>
    <x v="0"/>
    <n v="3"/>
    <n v="5.7500000000582077"/>
    <n v="5.7500000000582077"/>
    <n v="1725.0000000174623"/>
    <n v="300"/>
    <x v="229"/>
  </r>
  <r>
    <x v="7"/>
    <x v="3"/>
    <n v="51"/>
    <n v="1160"/>
    <d v="2013-03-05T11:45:00"/>
    <d v="2013-03-05T16:20:00"/>
    <n v="0"/>
    <n v="330"/>
    <n v="300"/>
    <s v="First reheater B"/>
    <s v="F320Boiler Deslag - First Reheater"/>
    <s v="Mill Creek"/>
    <x v="1"/>
    <s v="Coal"/>
    <x v="1"/>
    <x v="0"/>
    <n v="3"/>
    <n v="4.5833333332557231"/>
    <n v="4.5833333332557231"/>
    <n v="1374.9999999767169"/>
    <n v="300"/>
    <x v="229"/>
  </r>
  <r>
    <x v="7"/>
    <x v="0"/>
    <n v="52"/>
    <n v="310"/>
    <d v="2013-03-06T14:05:00"/>
    <d v="2013-03-06T15:40:00"/>
    <n v="250"/>
    <n v="330"/>
    <n v="300"/>
    <s v="Pulverizer mills"/>
    <s v="F5901D Coal Mill - Roller Adjustment"/>
    <s v="Mill Creek"/>
    <x v="0"/>
    <s v="Coal"/>
    <x v="1"/>
    <x v="0"/>
    <n v="3"/>
    <n v="1.5833333334303461"/>
    <n v="0.38383838386190211"/>
    <n v="115.15151515857063"/>
    <n v="72.727272727272734"/>
    <x v="87"/>
  </r>
  <r>
    <x v="7"/>
    <x v="3"/>
    <n v="53"/>
    <n v="1160"/>
    <d v="2013-03-06T23:30:00"/>
    <d v="2013-03-07T05:00:00"/>
    <n v="0"/>
    <n v="330"/>
    <n v="300"/>
    <s v="First reheater B"/>
    <s v="F320Boiler Deslag - First Reheater"/>
    <s v="Mill Creek"/>
    <x v="1"/>
    <s v="Coal"/>
    <x v="1"/>
    <x v="0"/>
    <n v="3"/>
    <n v="5.5000000001164153"/>
    <n v="5.5000000001164153"/>
    <n v="1650.0000000349246"/>
    <n v="300"/>
    <x v="229"/>
  </r>
  <r>
    <x v="7"/>
    <x v="3"/>
    <n v="54"/>
    <n v="1160"/>
    <d v="2013-03-08T14:15:00"/>
    <d v="2013-03-08T19:50:00"/>
    <n v="0"/>
    <n v="330"/>
    <n v="300"/>
    <s v="First reheater B"/>
    <s v="F320Boiler Deslag - First Reheater"/>
    <s v="Mill Creek"/>
    <x v="1"/>
    <s v="Coal"/>
    <x v="1"/>
    <x v="0"/>
    <n v="3"/>
    <n v="5.5833333333721384"/>
    <n v="5.5833333333721384"/>
    <n v="1675.0000000116415"/>
    <n v="300"/>
    <x v="229"/>
  </r>
  <r>
    <x v="7"/>
    <x v="3"/>
    <n v="55"/>
    <n v="1160"/>
    <d v="2013-03-14T22:00:00"/>
    <d v="2013-03-15T03:45:00"/>
    <n v="0"/>
    <n v="330"/>
    <n v="300"/>
    <s v="First reheater B"/>
    <s v="F320Boiler Deslag - First Reheater"/>
    <s v="Mill Creek"/>
    <x v="1"/>
    <s v="Coal"/>
    <x v="1"/>
    <x v="0"/>
    <n v="3"/>
    <n v="5.7500000000582077"/>
    <n v="5.7500000000582077"/>
    <n v="1725.0000000174623"/>
    <n v="300"/>
    <x v="229"/>
  </r>
  <r>
    <x v="7"/>
    <x v="0"/>
    <n v="56"/>
    <n v="310"/>
    <d v="2013-03-15T05:40:00"/>
    <d v="2013-03-15T10:14:00"/>
    <n v="260"/>
    <n v="330"/>
    <n v="300"/>
    <s v="Pulverizer mills"/>
    <s v="F5901D Coal Mill - Replaced Roller"/>
    <s v="Mill Creek"/>
    <x v="0"/>
    <s v="Coal"/>
    <x v="1"/>
    <x v="0"/>
    <n v="3"/>
    <n v="4.5666666667093523"/>
    <n v="0.96868686869592324"/>
    <n v="290.606060608777"/>
    <n v="63.636363636363633"/>
    <x v="30"/>
  </r>
  <r>
    <x v="7"/>
    <x v="6"/>
    <n v="57"/>
    <n v="4400"/>
    <d v="2013-03-16T00:46:00"/>
    <d v="2013-05-13T06:00:00"/>
    <n v="0"/>
    <n v="330"/>
    <n v="300"/>
    <s v="Major turbine overhaul (720 hrs or longer) (use for non-specific overhaul only; see page B-1)"/>
    <s v="F590Planned 8 Week Outage"/>
    <s v="Mill Creek"/>
    <x v="1"/>
    <s v="Coal"/>
    <x v="1"/>
    <x v="0"/>
    <n v="3"/>
    <n v="1397.233333333279"/>
    <n v="1397.233333333279"/>
    <n v="419169.9999999837"/>
    <n v="300"/>
    <x v="229"/>
  </r>
  <r>
    <x v="7"/>
    <x v="8"/>
    <n v="58"/>
    <n v="4400"/>
    <d v="2013-05-13T06:00:00"/>
    <d v="2013-06-08T01:16:00"/>
    <n v="0"/>
    <n v="330"/>
    <n v="300"/>
    <s v="Major turbine overhaul (720 hrs or longer) (use for non-specific overhaul only; see page B-1)"/>
    <s v="F590Turbine Overhaul Extension"/>
    <s v="Mill Creek"/>
    <x v="1"/>
    <s v="Coal"/>
    <x v="1"/>
    <x v="0"/>
    <n v="5"/>
    <n v="619.26666666660458"/>
    <n v="619.26666666660458"/>
    <n v="185779.99999998137"/>
    <n v="300"/>
    <x v="229"/>
  </r>
  <r>
    <x v="7"/>
    <x v="5"/>
    <n v="59"/>
    <n v="3611"/>
    <d v="2013-06-08T01:23:00"/>
    <d v="2013-06-09T00:58:00"/>
    <n v="0"/>
    <n v="330"/>
    <n v="300"/>
    <s v="Switchyard circuit breakers - external"/>
    <s v="F430Bus Tie Failure 4501 - Generator Lockout"/>
    <s v="Mill Creek"/>
    <x v="3"/>
    <s v="Coal"/>
    <x v="1"/>
    <x v="0"/>
    <n v="6"/>
    <n v="23.583333333372138"/>
    <n v="23.583333333372138"/>
    <n v="7075.0000000116415"/>
    <n v="300"/>
    <x v="229"/>
  </r>
  <r>
    <x v="7"/>
    <x v="5"/>
    <n v="60"/>
    <n v="800"/>
    <d v="2013-06-09T01:59:00"/>
    <d v="2013-06-09T06:39:00"/>
    <n v="0"/>
    <n v="330"/>
    <n v="300"/>
    <s v="Drums and drum internals (single drum only)"/>
    <s v="F660Low Drum Level"/>
    <s v="Mill Creek"/>
    <x v="3"/>
    <s v="Coal"/>
    <x v="1"/>
    <x v="0"/>
    <n v="6"/>
    <n v="4.6666666666860692"/>
    <n v="4.6666666666860692"/>
    <n v="1400.0000000058208"/>
    <n v="300"/>
    <x v="229"/>
  </r>
  <r>
    <x v="7"/>
    <x v="5"/>
    <n v="61"/>
    <n v="800"/>
    <d v="2013-06-09T07:27:00"/>
    <d v="2013-06-09T13:55:00"/>
    <n v="0"/>
    <n v="330"/>
    <n v="300"/>
    <s v="Drums and drum internals (single drum only)"/>
    <s v="F660Low Drum Level"/>
    <s v="Mill Creek"/>
    <x v="3"/>
    <s v="Coal"/>
    <x v="1"/>
    <x v="0"/>
    <n v="6"/>
    <n v="6.46666666661622"/>
    <n v="6.46666666661622"/>
    <n v="1939.999999984866"/>
    <n v="300"/>
    <x v="229"/>
  </r>
  <r>
    <x v="7"/>
    <x v="5"/>
    <n v="62"/>
    <n v="4560"/>
    <d v="2013-06-09T15:15:00"/>
    <d v="2013-06-10T06:32:00"/>
    <n v="0"/>
    <n v="330"/>
    <n v="300"/>
    <s v="Generator vibration (excluding vibration due to failed bearing and other components)"/>
    <s v="F850#5 Bearing Vibration"/>
    <s v="Mill Creek"/>
    <x v="3"/>
    <s v="Coal"/>
    <x v="1"/>
    <x v="0"/>
    <n v="6"/>
    <n v="15.28333333338378"/>
    <n v="15.28333333338378"/>
    <n v="4585.000000015134"/>
    <n v="300"/>
    <x v="229"/>
  </r>
  <r>
    <x v="7"/>
    <x v="0"/>
    <n v="63"/>
    <n v="1850"/>
    <d v="2013-06-10T20:32:00"/>
    <d v="2013-06-11T05:55:00"/>
    <n v="146"/>
    <n v="330"/>
    <n v="300"/>
    <s v="Boiler water condition (not feedwater water quality)"/>
    <s v="F170High Silica (Variable Derate)"/>
    <s v="Mill Creek"/>
    <x v="0"/>
    <s v="Coal"/>
    <x v="1"/>
    <x v="0"/>
    <n v="6"/>
    <n v="9.3833333333604969"/>
    <n v="5.2319191919343373"/>
    <n v="1569.5757575803011"/>
    <n v="167.27272727272728"/>
    <x v="27"/>
  </r>
  <r>
    <x v="7"/>
    <x v="0"/>
    <n v="64"/>
    <n v="4560"/>
    <d v="2013-06-11T05:55:00"/>
    <d v="2013-06-11T09:12:00"/>
    <n v="212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3.283333333209157"/>
    <n v="1.1740404039960015"/>
    <n v="352.21212119880045"/>
    <n v="107.27272727272727"/>
    <x v="4"/>
  </r>
  <r>
    <x v="7"/>
    <x v="2"/>
    <n v="65"/>
    <n v="4560"/>
    <d v="2013-06-11T09:12:00"/>
    <d v="2013-06-11T09:42:00"/>
    <n v="200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0.50000000005820766"/>
    <n v="0.19696969699262726"/>
    <n v="59.090909097788177"/>
    <n v="118.18181818181819"/>
    <x v="40"/>
  </r>
  <r>
    <x v="7"/>
    <x v="5"/>
    <n v="66"/>
    <n v="4560"/>
    <d v="2013-06-11T09:42:00"/>
    <d v="2013-06-11T11:25:00"/>
    <n v="0"/>
    <n v="330"/>
    <n v="300"/>
    <s v="Generator vibration (excluding vibration due to failed bearing and other components)"/>
    <s v="F850#5 Bearing Vibration"/>
    <s v="Mill Creek"/>
    <x v="3"/>
    <s v="Coal"/>
    <x v="1"/>
    <x v="0"/>
    <n v="6"/>
    <n v="1.7166666666744277"/>
    <n v="1.7166666666744277"/>
    <n v="515.00000000232831"/>
    <n v="300"/>
    <x v="229"/>
  </r>
  <r>
    <x v="7"/>
    <x v="0"/>
    <n v="67"/>
    <n v="4560"/>
    <d v="2013-06-11T12:00:00"/>
    <d v="2013-06-11T13:10:00"/>
    <n v="100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1.1666666666278616"/>
    <n v="0.81313131310426712"/>
    <n v="243.93939393128014"/>
    <n v="209.09090909090909"/>
    <x v="231"/>
  </r>
  <r>
    <x v="7"/>
    <x v="0"/>
    <n v="68"/>
    <n v="4560"/>
    <d v="2013-06-11T13:10:00"/>
    <d v="2013-06-11T14:09:00"/>
    <n v="200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0.9833333333954215"/>
    <n v="0.38737373739819636"/>
    <n v="116.21212121945891"/>
    <n v="118.18181818181819"/>
    <x v="40"/>
  </r>
  <r>
    <x v="7"/>
    <x v="0"/>
    <n v="69"/>
    <n v="4560"/>
    <d v="2013-06-11T14:09:00"/>
    <d v="2013-06-11T15:30:00"/>
    <n v="260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1.3500000000349246"/>
    <n v="0.28636363637104462"/>
    <n v="85.909090911313385"/>
    <n v="63.636363636363633"/>
    <x v="30"/>
  </r>
  <r>
    <x v="7"/>
    <x v="0"/>
    <n v="70"/>
    <n v="4560"/>
    <d v="2013-06-11T15:30:00"/>
    <d v="2013-06-11T20:02:00"/>
    <n v="185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4.5333333332673647"/>
    <n v="1.9919191918902057"/>
    <n v="597.57575756706171"/>
    <n v="131.81818181818181"/>
    <x v="51"/>
  </r>
  <r>
    <x v="7"/>
    <x v="0"/>
    <n v="71"/>
    <n v="4560"/>
    <d v="2013-06-11T20:02:00"/>
    <d v="2013-06-11T22:02:00"/>
    <n v="230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2.0000000000582077"/>
    <n v="0.60606060607824475"/>
    <n v="181.81818182347342"/>
    <n v="90.909090909090907"/>
    <x v="42"/>
  </r>
  <r>
    <x v="7"/>
    <x v="0"/>
    <n v="72"/>
    <n v="4560"/>
    <d v="2013-06-11T22:02:00"/>
    <d v="2013-06-11T23:05:00"/>
    <n v="260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1.0499999999301508"/>
    <n v="0.22272727271245624"/>
    <n v="66.818181813736871"/>
    <n v="63.636363636363633"/>
    <x v="30"/>
  </r>
  <r>
    <x v="7"/>
    <x v="0"/>
    <n v="73"/>
    <n v="4560"/>
    <d v="2013-06-11T23:05:00"/>
    <d v="2013-06-12T00:49:00"/>
    <n v="290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1.7333333333954215"/>
    <n v="0.21010101010853593"/>
    <n v="63.030303032560781"/>
    <n v="36.363636363636367"/>
    <x v="32"/>
  </r>
  <r>
    <x v="7"/>
    <x v="0"/>
    <n v="74"/>
    <n v="4560"/>
    <d v="2013-06-12T00:49:00"/>
    <d v="2013-06-12T02:35:00"/>
    <n v="302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1.7666666666627862"/>
    <n v="0.14989898989866066"/>
    <n v="44.969696969598196"/>
    <n v="25.454545454545453"/>
    <x v="80"/>
  </r>
  <r>
    <x v="7"/>
    <x v="0"/>
    <n v="75"/>
    <n v="4560"/>
    <d v="2013-06-12T02:35:00"/>
    <d v="2013-06-12T03:05:00"/>
    <n v="315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0.49999999988358468"/>
    <n v="2.272727272198112E-2"/>
    <n v="6.8181818165943362"/>
    <n v="13.636363636363637"/>
    <x v="61"/>
  </r>
  <r>
    <x v="7"/>
    <x v="0"/>
    <n v="76"/>
    <n v="1850"/>
    <d v="2013-06-12T03:05:00"/>
    <d v="2013-06-12T05:45:00"/>
    <n v="317"/>
    <n v="330"/>
    <n v="300"/>
    <s v="Boiler water condition (not feedwater water quality)"/>
    <s v="F170High Silica"/>
    <s v="Mill Creek"/>
    <x v="0"/>
    <s v="Coal"/>
    <x v="1"/>
    <x v="0"/>
    <n v="6"/>
    <n v="2.6666666668024845"/>
    <n v="0.10505050505585545"/>
    <n v="31.515151516756635"/>
    <n v="11.818181818181818"/>
    <x v="24"/>
  </r>
  <r>
    <x v="7"/>
    <x v="0"/>
    <n v="77"/>
    <n v="4560"/>
    <d v="2013-06-12T05:45:00"/>
    <d v="2013-06-14T00:12:00"/>
    <n v="270"/>
    <n v="330"/>
    <n v="300"/>
    <s v="Generator vibration (excluding vibration due to failed bearing and other components)"/>
    <s v="F850#5 Bearing Vibration"/>
    <s v="Mill Creek"/>
    <x v="0"/>
    <s v="Coal"/>
    <x v="1"/>
    <x v="0"/>
    <n v="6"/>
    <n v="42.449999999895226"/>
    <n v="7.7181818181627682"/>
    <n v="2315.4545454488302"/>
    <n v="54.545454545454547"/>
    <x v="2"/>
  </r>
  <r>
    <x v="7"/>
    <x v="0"/>
    <n v="78"/>
    <n v="310"/>
    <d v="2013-06-15T08:51:00"/>
    <d v="2013-06-15T09:29:00"/>
    <n v="250"/>
    <n v="330"/>
    <n v="300"/>
    <s v="Pulverizer mills"/>
    <s v="F5901A Coal Mill - Replace Breaker"/>
    <s v="Mill Creek"/>
    <x v="0"/>
    <s v="Coal"/>
    <x v="1"/>
    <x v="0"/>
    <n v="6"/>
    <n v="0.63333333330228925"/>
    <n v="0.15353535352782768"/>
    <n v="46.060606058348306"/>
    <n v="72.727272727272734"/>
    <x v="87"/>
  </r>
  <r>
    <x v="7"/>
    <x v="0"/>
    <n v="79"/>
    <n v="310"/>
    <d v="2013-06-16T23:00:00"/>
    <d v="2013-06-17T01:10:00"/>
    <n v="250"/>
    <n v="330"/>
    <n v="300"/>
    <s v="Pulverizer mills"/>
    <s v="F5401B Coal Mill - B4 Coal Conduit Leak"/>
    <s v="Mill Creek"/>
    <x v="0"/>
    <s v="Coal"/>
    <x v="1"/>
    <x v="0"/>
    <n v="6"/>
    <n v="2.1666666665696539"/>
    <n v="0.52525252522900701"/>
    <n v="157.5757575687021"/>
    <n v="72.727272727272734"/>
    <x v="87"/>
  </r>
  <r>
    <x v="7"/>
    <x v="2"/>
    <n v="80"/>
    <n v="310"/>
    <d v="2013-06-17T22:00:00"/>
    <d v="2013-06-18T01:05:00"/>
    <n v="250"/>
    <n v="330"/>
    <n v="300"/>
    <s v="Pulverizer mills"/>
    <s v="F5901C Coal Mill - Install Test Ports"/>
    <s v="Mill Creek"/>
    <x v="0"/>
    <s v="Coal"/>
    <x v="1"/>
    <x v="0"/>
    <n v="6"/>
    <n v="3.0833333334303461"/>
    <n v="0.7474747474982657"/>
    <n v="224.24242424947971"/>
    <n v="72.727272727272734"/>
    <x v="87"/>
  </r>
  <r>
    <x v="7"/>
    <x v="2"/>
    <n v="81"/>
    <n v="310"/>
    <d v="2013-06-18T21:43:00"/>
    <d v="2013-06-19T03:23:00"/>
    <n v="240"/>
    <n v="330"/>
    <n v="300"/>
    <s v="Pulverizer mills"/>
    <s v="F5901C Coal Mill - Rearrange Distributors"/>
    <s v="Mill Creek"/>
    <x v="0"/>
    <s v="Coal"/>
    <x v="1"/>
    <x v="0"/>
    <n v="6"/>
    <n v="5.6666666666278616"/>
    <n v="1.5454545454439623"/>
    <n v="463.63636363318869"/>
    <n v="81.818181818181813"/>
    <x v="48"/>
  </r>
  <r>
    <x v="7"/>
    <x v="4"/>
    <n v="82"/>
    <n v="1000"/>
    <d v="2013-06-20T00:18:00"/>
    <d v="2013-06-20T21:08:00"/>
    <n v="0"/>
    <n v="330"/>
    <n v="300"/>
    <s v="Waterwall (Furnace wall) A"/>
    <s v="F540Boiler Tube Leak - Waterwall"/>
    <s v="Mill Creek"/>
    <x v="2"/>
    <s v="Coal"/>
    <x v="1"/>
    <x v="0"/>
    <n v="6"/>
    <n v="20.833333333488554"/>
    <n v="20.833333333488554"/>
    <n v="6250.0000000465661"/>
    <n v="300"/>
    <x v="229"/>
  </r>
  <r>
    <x v="7"/>
    <x v="3"/>
    <n v="83"/>
    <n v="1850"/>
    <d v="2013-06-20T21:08:00"/>
    <d v="2013-06-21T08:39:00"/>
    <n v="0"/>
    <n v="330"/>
    <n v="300"/>
    <s v="Boiler water condition (not feedwater water quality)"/>
    <s v="F170High Silica @ Hot Start Up"/>
    <s v="Mill Creek"/>
    <x v="1"/>
    <s v="Coal"/>
    <x v="1"/>
    <x v="0"/>
    <n v="6"/>
    <n v="11.516666666662786"/>
    <n v="11.516666666662786"/>
    <n v="3454.9999999988358"/>
    <n v="300"/>
    <x v="229"/>
  </r>
  <r>
    <x v="7"/>
    <x v="0"/>
    <n v="84"/>
    <n v="250"/>
    <d v="2013-06-22T16:18:00"/>
    <d v="2013-06-22T17:21:00"/>
    <n v="200"/>
    <n v="330"/>
    <n v="300"/>
    <s v="Pulverizer feeders"/>
    <s v="F4001B Coal Feeder - Stopped Running"/>
    <s v="Mill Creek"/>
    <x v="0"/>
    <s v="Coal"/>
    <x v="1"/>
    <x v="0"/>
    <n v="6"/>
    <n v="1.0499999999301508"/>
    <n v="0.41363636360884731"/>
    <n v="124.09090908265419"/>
    <n v="118.18181818181819"/>
    <x v="40"/>
  </r>
  <r>
    <x v="7"/>
    <x v="2"/>
    <n v="85"/>
    <n v="310"/>
    <d v="2013-06-24T21:00:00"/>
    <d v="2013-06-25T05:07:00"/>
    <n v="250"/>
    <n v="330"/>
    <n v="300"/>
    <s v="Pulverizer mills"/>
    <s v="F5901C Coal Mill - Replace Riffles"/>
    <s v="Mill Creek"/>
    <x v="0"/>
    <s v="Coal"/>
    <x v="1"/>
    <x v="0"/>
    <n v="6"/>
    <n v="8.1166666665812954"/>
    <n v="1.9676767676560716"/>
    <n v="590.30303029682148"/>
    <n v="72.727272727272734"/>
    <x v="87"/>
  </r>
  <r>
    <x v="7"/>
    <x v="0"/>
    <n v="86"/>
    <n v="250"/>
    <d v="2013-06-25T17:10:00"/>
    <d v="2013-06-25T18:10:00"/>
    <n v="290"/>
    <n v="330"/>
    <n v="300"/>
    <s v="Pulverizer feeders"/>
    <s v="F4301B Coal Feeder - Tripping Out, Loose Wire on Tachometer"/>
    <s v="Mill Creek"/>
    <x v="0"/>
    <s v="Coal"/>
    <x v="1"/>
    <x v="0"/>
    <n v="6"/>
    <n v="0.99999999994179234"/>
    <n v="0.12121212120506573"/>
    <n v="36.363636361519717"/>
    <n v="36.363636363636367"/>
    <x v="32"/>
  </r>
  <r>
    <x v="7"/>
    <x v="0"/>
    <n v="87"/>
    <n v="250"/>
    <d v="2013-06-25T18:10:00"/>
    <d v="2013-06-25T21:07:00"/>
    <n v="230"/>
    <n v="330"/>
    <n v="300"/>
    <s v="Pulverizer feeders"/>
    <s v="F4301B Coal Feeder - Tripping Out, Loose Wire on Tachometer"/>
    <s v="Mill Creek"/>
    <x v="0"/>
    <s v="Coal"/>
    <x v="1"/>
    <x v="0"/>
    <n v="6"/>
    <n v="2.9500000000116415"/>
    <n v="0.89393939394292166"/>
    <n v="268.1818181828765"/>
    <n v="90.909090909090907"/>
    <x v="42"/>
  </r>
  <r>
    <x v="7"/>
    <x v="2"/>
    <n v="88"/>
    <n v="310"/>
    <d v="2013-06-25T22:00:00"/>
    <d v="2013-06-26T05:58:00"/>
    <n v="230"/>
    <n v="330"/>
    <n v="300"/>
    <s v="Pulverizer mills"/>
    <s v="F5901B Coal Mill - Replace Riffles"/>
    <s v="Mill Creek"/>
    <x v="0"/>
    <s v="Coal"/>
    <x v="1"/>
    <x v="0"/>
    <n v="6"/>
    <n v="7.966666666790843"/>
    <n v="2.4141414141790434"/>
    <n v="724.24242425371301"/>
    <n v="90.909090909090907"/>
    <x v="42"/>
  </r>
  <r>
    <x v="7"/>
    <x v="2"/>
    <n v="89"/>
    <n v="310"/>
    <d v="2013-06-27T22:00:00"/>
    <d v="2013-06-28T06:59:00"/>
    <n v="230"/>
    <n v="330"/>
    <n v="300"/>
    <s v="Pulverizer mills"/>
    <s v="F5901C Coal Mill - Replace Riffles"/>
    <s v="Mill Creek"/>
    <x v="0"/>
    <s v="Coal"/>
    <x v="1"/>
    <x v="0"/>
    <n v="6"/>
    <n v="8.9833333334536292"/>
    <n v="2.7222222222586754"/>
    <n v="816.66666667760262"/>
    <n v="90.909090909090907"/>
    <x v="42"/>
  </r>
  <r>
    <x v="7"/>
    <x v="2"/>
    <n v="90"/>
    <n v="310"/>
    <d v="2013-06-30T23:00:00"/>
    <d v="2013-07-01T05:27:00"/>
    <n v="230"/>
    <n v="330"/>
    <n v="300"/>
    <s v="Pulverizer mills"/>
    <s v="F5901A Coal Mill - Replace Riffles"/>
    <s v="Mill Creek"/>
    <x v="0"/>
    <s v="Coal"/>
    <x v="1"/>
    <x v="0"/>
    <n v="6"/>
    <n v="6.4499999998952262"/>
    <n v="1.9545454545137049"/>
    <n v="586.36363635411146"/>
    <n v="90.909090909090907"/>
    <x v="42"/>
  </r>
  <r>
    <x v="7"/>
    <x v="2"/>
    <n v="91"/>
    <n v="310"/>
    <d v="2013-07-01T22:30:00"/>
    <d v="2013-07-02T06:18:00"/>
    <n v="230"/>
    <n v="330"/>
    <n v="300"/>
    <s v="Pulverizer mills"/>
    <s v="F5901B Coal Mill - Replace Riffles"/>
    <s v="Mill Creek"/>
    <x v="0"/>
    <s v="Coal"/>
    <x v="1"/>
    <x v="0"/>
    <n v="7"/>
    <n v="7.7999999999301508"/>
    <n v="2.3636363636151971"/>
    <n v="709.09090908455914"/>
    <n v="90.909090909090907"/>
    <x v="42"/>
  </r>
  <r>
    <x v="7"/>
    <x v="2"/>
    <n v="92"/>
    <n v="310"/>
    <d v="2013-07-02T22:00:00"/>
    <d v="2013-07-03T03:50:00"/>
    <n v="230"/>
    <n v="330"/>
    <n v="300"/>
    <s v="Pulverizer mills"/>
    <s v="F5901B Coal Mill - Replace Riffles"/>
    <s v="Mill Creek"/>
    <x v="0"/>
    <s v="Coal"/>
    <x v="1"/>
    <x v="0"/>
    <n v="7"/>
    <n v="5.8333333333139308"/>
    <n v="1.7676767676708882"/>
    <n v="530.30303030126652"/>
    <n v="90.909090909090907"/>
    <x v="42"/>
  </r>
  <r>
    <x v="7"/>
    <x v="4"/>
    <n v="93"/>
    <n v="3441"/>
    <d v="2013-07-03T23:33:00"/>
    <d v="2013-07-05T01:29:00"/>
    <n v="0"/>
    <n v="330"/>
    <n v="300"/>
    <s v="Other high pressure heater problems (see condensate system for LP and IP heater codes)"/>
    <s v="F590High Pressure (HP) Feedwater Heater #6 - Replace Channel Side Safety Relief Valve "/>
    <s v="Mill Creek"/>
    <x v="2"/>
    <s v="Coal"/>
    <x v="1"/>
    <x v="0"/>
    <n v="7"/>
    <n v="25.933333333348855"/>
    <n v="25.933333333348855"/>
    <n v="7780.0000000046566"/>
    <n v="300"/>
    <x v="229"/>
  </r>
  <r>
    <x v="7"/>
    <x v="3"/>
    <n v="94"/>
    <n v="1850"/>
    <d v="2013-07-05T01:29:00"/>
    <d v="2013-07-05T09:35:00"/>
    <n v="0"/>
    <n v="330"/>
    <n v="300"/>
    <s v="Boiler water condition (not feedwater water quality)"/>
    <s v="F170High Silica @ Hot Start Up"/>
    <s v="Mill Creek"/>
    <x v="1"/>
    <s v="Coal"/>
    <x v="1"/>
    <x v="0"/>
    <n v="7"/>
    <n v="8.1000000000349246"/>
    <n v="8.1000000000349246"/>
    <n v="2430.0000000104774"/>
    <n v="300"/>
    <x v="229"/>
  </r>
  <r>
    <x v="7"/>
    <x v="0"/>
    <n v="95"/>
    <n v="1850"/>
    <d v="2013-07-05T09:35:00"/>
    <d v="2013-07-05T15:00:00"/>
    <n v="298"/>
    <n v="330"/>
    <n v="300"/>
    <s v="Boiler water condition (not feedwater water quality)"/>
    <s v="F170High Silica"/>
    <s v="Mill Creek"/>
    <x v="0"/>
    <s v="Coal"/>
    <x v="1"/>
    <x v="0"/>
    <n v="7"/>
    <n v="5.4166666666860692"/>
    <n v="0.52525252525440669"/>
    <n v="157.57575757632202"/>
    <n v="29.09090909090909"/>
    <x v="206"/>
  </r>
  <r>
    <x v="7"/>
    <x v="2"/>
    <n v="96"/>
    <n v="310"/>
    <d v="2013-07-07T22:25:00"/>
    <d v="2013-07-08T02:40:00"/>
    <n v="250"/>
    <n v="330"/>
    <n v="300"/>
    <s v="Pulverizer mills"/>
    <s v="F5901A Coal Mill - Replace Riffles"/>
    <s v="Mill Creek"/>
    <x v="0"/>
    <s v="Coal"/>
    <x v="1"/>
    <x v="0"/>
    <n v="7"/>
    <n v="4.2499999998835847"/>
    <n v="1.0303030302748084"/>
    <n v="309.09090908244252"/>
    <n v="72.727272727272734"/>
    <x v="87"/>
  </r>
  <r>
    <x v="7"/>
    <x v="2"/>
    <n v="97"/>
    <n v="310"/>
    <d v="2013-07-08T22:00:00"/>
    <d v="2013-07-09T02:54:00"/>
    <n v="250"/>
    <n v="330"/>
    <n v="300"/>
    <s v="Pulverizer mills"/>
    <s v="F5901C Coal Mill - Replace Riffles"/>
    <s v="Mill Creek"/>
    <x v="0"/>
    <s v="Coal"/>
    <x v="1"/>
    <x v="0"/>
    <n v="7"/>
    <n v="4.9000000000814907"/>
    <n v="1.1878787878985433"/>
    <n v="356.36363636956298"/>
    <n v="72.727272727272734"/>
    <x v="87"/>
  </r>
  <r>
    <x v="7"/>
    <x v="2"/>
    <n v="98"/>
    <n v="310"/>
    <d v="2013-07-09T23:00:00"/>
    <d v="2013-07-10T03:00:00"/>
    <n v="250"/>
    <n v="330"/>
    <n v="300"/>
    <s v="Pulverizer mills"/>
    <s v="F5901C Coal Mill - Replace Riffles"/>
    <s v="Mill Creek"/>
    <x v="0"/>
    <s v="Coal"/>
    <x v="1"/>
    <x v="0"/>
    <n v="7"/>
    <n v="3.9999999999417923"/>
    <n v="0.96969696968285879"/>
    <n v="290.90909090485763"/>
    <n v="72.727272727272734"/>
    <x v="87"/>
  </r>
  <r>
    <x v="7"/>
    <x v="2"/>
    <n v="99"/>
    <n v="310"/>
    <d v="2013-07-11T22:00:00"/>
    <d v="2013-07-12T03:25:00"/>
    <n v="250"/>
    <n v="330"/>
    <n v="300"/>
    <s v="Pulverizer mills"/>
    <s v="F5301C Coal Mill - Inspect Distributors &amp; Burner Inspection"/>
    <s v="Mill Creek"/>
    <x v="0"/>
    <s v="Coal"/>
    <x v="1"/>
    <x v="0"/>
    <n v="7"/>
    <n v="5.4166666666860692"/>
    <n v="1.3131313131360167"/>
    <n v="393.93939394080502"/>
    <n v="72.727272727272734"/>
    <x v="87"/>
  </r>
  <r>
    <x v="7"/>
    <x v="0"/>
    <n v="100"/>
    <n v="8280"/>
    <d v="2013-07-13T19:16:00"/>
    <d v="2013-07-13T19:32:00"/>
    <n v="300"/>
    <n v="330"/>
    <n v="300"/>
    <s v="Reagent feed piping"/>
    <s v="F120Reactant Feed Valve - Plugged"/>
    <s v="Mill Creek"/>
    <x v="0"/>
    <s v="Coal"/>
    <x v="1"/>
    <x v="0"/>
    <n v="7"/>
    <n v="0.26666666666278616"/>
    <n v="2.4242424242071469E-2"/>
    <n v="7.2727272726214407"/>
    <n v="27.272727272727273"/>
    <x v="6"/>
  </r>
  <r>
    <x v="7"/>
    <x v="0"/>
    <n v="101"/>
    <n v="253"/>
    <d v="2013-07-15T17:28:00"/>
    <d v="2013-07-15T21:45:00"/>
    <n v="278"/>
    <n v="330"/>
    <n v="300"/>
    <s v="Pulverizer feeder motor"/>
    <s v="F5901B Coal Feeder Motor - Repaired Mashed Wire"/>
    <s v="Mill Creek"/>
    <x v="0"/>
    <s v="Coal"/>
    <x v="1"/>
    <x v="0"/>
    <n v="7"/>
    <n v="4.2833333333255723"/>
    <n v="0.67494949494827206"/>
    <n v="202.4848484844816"/>
    <n v="47.272727272727273"/>
    <x v="119"/>
  </r>
  <r>
    <x v="7"/>
    <x v="5"/>
    <n v="102"/>
    <n v="1000"/>
    <d v="2013-07-17T19:41:00"/>
    <d v="2013-07-19T03:53:00"/>
    <n v="0"/>
    <n v="330"/>
    <n v="300"/>
    <s v="Waterwall (Furnace wall) A"/>
    <s v="F540Boiler Tube Leak - Waterwall"/>
    <s v="Mill Creek"/>
    <x v="3"/>
    <s v="Coal"/>
    <x v="1"/>
    <x v="0"/>
    <n v="7"/>
    <n v="32.200000000011642"/>
    <n v="32.200000000011642"/>
    <n v="9660.0000000034925"/>
    <n v="300"/>
    <x v="229"/>
  </r>
  <r>
    <x v="7"/>
    <x v="3"/>
    <n v="103"/>
    <n v="1850"/>
    <d v="2013-07-19T03:53:00"/>
    <d v="2013-07-19T11:52:00"/>
    <n v="0"/>
    <n v="330"/>
    <n v="300"/>
    <s v="Boiler water condition (not feedwater water quality)"/>
    <s v="F170High Silica @ Hot Start Up"/>
    <s v="Mill Creek"/>
    <x v="1"/>
    <s v="Coal"/>
    <x v="1"/>
    <x v="0"/>
    <n v="7"/>
    <n v="7.9833333331625909"/>
    <n v="7.9833333331625909"/>
    <n v="2394.9999999487773"/>
    <n v="300"/>
    <x v="229"/>
  </r>
  <r>
    <x v="7"/>
    <x v="0"/>
    <n v="104"/>
    <n v="4261"/>
    <d v="2013-07-22T07:25:00"/>
    <d v="2013-07-22T08:05:00"/>
    <n v="260"/>
    <n v="330"/>
    <n v="300"/>
    <s v="Control valves"/>
    <s v="F540Turbine #4 Control Valve - EHC Leak"/>
    <s v="Mill Creek"/>
    <x v="0"/>
    <s v="Coal"/>
    <x v="1"/>
    <x v="0"/>
    <n v="7"/>
    <n v="0.6666666665696539"/>
    <n v="0.14141414139356295"/>
    <n v="42.424242418068886"/>
    <n v="63.636363636363633"/>
    <x v="30"/>
  </r>
  <r>
    <x v="7"/>
    <x v="0"/>
    <n v="105"/>
    <n v="4261"/>
    <d v="2013-07-22T10:30:00"/>
    <d v="2013-07-22T13:00:00"/>
    <n v="260"/>
    <n v="330"/>
    <n v="300"/>
    <s v="Control valves"/>
    <s v="F540Turbine #4 Control Valve - EHC Leak"/>
    <s v="Mill Creek"/>
    <x v="0"/>
    <s v="Coal"/>
    <x v="1"/>
    <x v="0"/>
    <n v="7"/>
    <n v="2.4999999999417923"/>
    <n v="0.53030303029068326"/>
    <n v="159.09090908720498"/>
    <n v="63.636363636363633"/>
    <x v="30"/>
  </r>
  <r>
    <x v="7"/>
    <x v="2"/>
    <n v="106"/>
    <n v="310"/>
    <d v="2013-07-22T22:00:00"/>
    <d v="2013-07-23T04:45:00"/>
    <n v="250"/>
    <n v="330"/>
    <n v="300"/>
    <s v="Pulverizer mills"/>
    <s v="F5901C Coal Mill - Replace Riffles"/>
    <s v="Mill Creek"/>
    <x v="0"/>
    <s v="Coal"/>
    <x v="1"/>
    <x v="0"/>
    <n v="7"/>
    <n v="6.75"/>
    <n v="1.6363636363636365"/>
    <n v="490.90909090909093"/>
    <n v="72.727272727272734"/>
    <x v="87"/>
  </r>
  <r>
    <x v="7"/>
    <x v="0"/>
    <n v="107"/>
    <n v="250"/>
    <d v="2013-07-23T17:05:00"/>
    <d v="2013-07-23T20:37:00"/>
    <n v="290"/>
    <n v="330"/>
    <n v="300"/>
    <s v="Pulverizer feeders"/>
    <s v="F4001B Coal Feeder - Tripping Out"/>
    <s v="Mill Creek"/>
    <x v="0"/>
    <s v="Coal"/>
    <x v="1"/>
    <x v="0"/>
    <n v="7"/>
    <n v="3.5333333333255723"/>
    <n v="0.42828282828188757"/>
    <n v="128.48484848456627"/>
    <n v="36.363636363636367"/>
    <x v="32"/>
  </r>
  <r>
    <x v="7"/>
    <x v="2"/>
    <n v="108"/>
    <n v="310"/>
    <d v="2013-07-23T22:30:00"/>
    <d v="2013-07-24T03:20:00"/>
    <n v="260"/>
    <n v="330"/>
    <n v="300"/>
    <s v="Pulverizer mills"/>
    <s v="F5901C Coal Mill - Replace Riffles"/>
    <s v="Mill Creek"/>
    <x v="0"/>
    <s v="Coal"/>
    <x v="1"/>
    <x v="0"/>
    <n v="7"/>
    <n v="4.8333333333721384"/>
    <n v="1.0252525252607567"/>
    <n v="307.57575757822701"/>
    <n v="63.636363636363633"/>
    <x v="30"/>
  </r>
  <r>
    <x v="7"/>
    <x v="0"/>
    <n v="109"/>
    <n v="330"/>
    <d v="2013-07-24T11:10:00"/>
    <d v="2013-07-24T11:30:00"/>
    <n v="250"/>
    <n v="330"/>
    <n v="300"/>
    <s v="Pulverizer coal leak (pulverizers only)"/>
    <s v="F5401C Coal Mill - Coal Leak"/>
    <s v="Mill Creek"/>
    <x v="0"/>
    <s v="Coal"/>
    <x v="1"/>
    <x v="0"/>
    <n v="7"/>
    <n v="0.33333333319751546"/>
    <n v="8.0808080775155264E-2"/>
    <n v="24.242424232546579"/>
    <n v="72.727272727272734"/>
    <x v="87"/>
  </r>
  <r>
    <x v="7"/>
    <x v="2"/>
    <n v="110"/>
    <n v="310"/>
    <d v="2013-07-24T22:00:00"/>
    <d v="2013-07-25T04:45:00"/>
    <n v="250"/>
    <n v="330"/>
    <n v="300"/>
    <s v="Pulverizer mills"/>
    <s v="F5901A Coal Mill - Replace Riffles"/>
    <s v="Mill Creek"/>
    <x v="0"/>
    <s v="Coal"/>
    <x v="1"/>
    <x v="0"/>
    <n v="7"/>
    <n v="6.75"/>
    <n v="1.6363636363636365"/>
    <n v="490.90909090909093"/>
    <n v="72.727272727272734"/>
    <x v="87"/>
  </r>
  <r>
    <x v="7"/>
    <x v="3"/>
    <n v="113"/>
    <n v="9999"/>
    <d v="2013-07-29T09:00:00"/>
    <d v="2013-07-29T13:00:00"/>
    <n v="0"/>
    <n v="330"/>
    <n v="300"/>
    <s v="Total unit performance testing (use appropriate codes for individual component testing)"/>
    <s v="F790Full Load Capability Test"/>
    <s v="Mill Creek"/>
    <x v="1"/>
    <s v="Coal"/>
    <x v="1"/>
    <x v="0"/>
    <n v="7"/>
    <n v="3.9999999999417923"/>
    <n v="3.9999999999417923"/>
    <n v="1199.9999999825377"/>
    <n v="300"/>
    <x v="229"/>
  </r>
  <r>
    <x v="7"/>
    <x v="2"/>
    <n v="111"/>
    <n v="310"/>
    <d v="2013-07-29T22:00:00"/>
    <d v="2013-07-30T03:52:00"/>
    <n v="250"/>
    <n v="330"/>
    <n v="300"/>
    <s v="Pulverizer mills"/>
    <s v="F5901B Coal Mill - Replace Riffles"/>
    <s v="Mill Creek"/>
    <x v="0"/>
    <s v="Coal"/>
    <x v="1"/>
    <x v="0"/>
    <n v="7"/>
    <n v="5.8666666667559184"/>
    <n v="1.422222222243859"/>
    <n v="426.66666667315769"/>
    <n v="72.727272727272734"/>
    <x v="87"/>
  </r>
  <r>
    <x v="7"/>
    <x v="0"/>
    <n v="112"/>
    <n v="3415"/>
    <d v="2013-07-30T00:05:00"/>
    <d v="2013-07-30T03:08:00"/>
    <n v="190"/>
    <n v="330"/>
    <n v="300"/>
    <s v="Feedwater pump/drive lube oil system"/>
    <s v="F5901A Boiler Feed Pump Lube Oil Pump - Replace Switch"/>
    <s v="Mill Creek"/>
    <x v="0"/>
    <s v="Coal"/>
    <x v="1"/>
    <x v="0"/>
    <n v="7"/>
    <n v="3.0500000001629815"/>
    <n v="1.2939393940085375"/>
    <n v="388.18181820256126"/>
    <n v="127.27272727272727"/>
    <x v="49"/>
  </r>
  <r>
    <x v="7"/>
    <x v="2"/>
    <n v="114"/>
    <n v="250"/>
    <d v="2013-07-30T22:00:00"/>
    <d v="2013-07-31T03:49:00"/>
    <n v="250"/>
    <n v="330"/>
    <n v="300"/>
    <s v="Pulverizer feeders"/>
    <s v="F0901B Coal Feeder - Calibration &amp; Mill Riffles Replaced"/>
    <s v="Mill Creek"/>
    <x v="0"/>
    <s v="Coal"/>
    <x v="1"/>
    <x v="0"/>
    <n v="7"/>
    <n v="5.8166666667675599"/>
    <n v="1.4101010101254692"/>
    <n v="423.03030303764075"/>
    <n v="72.727272727272734"/>
    <x v="87"/>
  </r>
  <r>
    <x v="7"/>
    <x v="2"/>
    <n v="115"/>
    <n v="310"/>
    <d v="2013-07-31T22:00:00"/>
    <d v="2013-08-01T03:31:00"/>
    <n v="250"/>
    <n v="330"/>
    <n v="300"/>
    <s v="Pulverizer mills"/>
    <s v="F5901B Coal Mill - Replace Riffles"/>
    <s v="Mill Creek"/>
    <x v="0"/>
    <s v="Coal"/>
    <x v="1"/>
    <x v="0"/>
    <n v="7"/>
    <n v="5.5166666666627862"/>
    <n v="1.3373737373727967"/>
    <n v="401.21212121183902"/>
    <n v="72.727272727272734"/>
    <x v="87"/>
  </r>
  <r>
    <x v="7"/>
    <x v="2"/>
    <n v="116"/>
    <n v="310"/>
    <d v="2013-08-01T22:00:00"/>
    <d v="2013-08-02T03:10:00"/>
    <n v="250"/>
    <n v="330"/>
    <n v="300"/>
    <s v="Pulverizer mills"/>
    <s v="F5901B Coal Mill - Replace Riffles"/>
    <s v="Mill Creek"/>
    <x v="0"/>
    <s v="Coal"/>
    <x v="1"/>
    <x v="0"/>
    <n v="8"/>
    <n v="5.1666666667442769"/>
    <n v="1.2525252525440671"/>
    <n v="375.75757576322013"/>
    <n v="72.727272727272734"/>
    <x v="87"/>
  </r>
  <r>
    <x v="7"/>
    <x v="2"/>
    <n v="117"/>
    <n v="310"/>
    <d v="2013-08-04T22:00:00"/>
    <d v="2013-08-05T03:23:00"/>
    <n v="250"/>
    <n v="330"/>
    <n v="300"/>
    <s v="Pulverizer mills"/>
    <s v="F5901B Coal Mill - Replace Riffles"/>
    <s v="Mill Creek"/>
    <x v="0"/>
    <s v="Coal"/>
    <x v="1"/>
    <x v="0"/>
    <n v="8"/>
    <n v="5.3833333334187046"/>
    <n v="1.3050505050712011"/>
    <n v="391.51515152136034"/>
    <n v="72.727272727272734"/>
    <x v="87"/>
  </r>
  <r>
    <x v="7"/>
    <x v="2"/>
    <n v="118"/>
    <n v="310"/>
    <d v="2013-08-05T22:00:00"/>
    <d v="2013-08-06T04:05:00"/>
    <n v="250"/>
    <n v="330"/>
    <n v="300"/>
    <s v="Pulverizer mills"/>
    <s v="F5901C Coal Mill - Replace Riffles"/>
    <s v="Mill Creek"/>
    <x v="0"/>
    <s v="Coal"/>
    <x v="1"/>
    <x v="0"/>
    <n v="8"/>
    <n v="6.0833333334303461"/>
    <n v="1.474747474770993"/>
    <n v="442.4242424312979"/>
    <n v="72.727272727272734"/>
    <x v="87"/>
  </r>
  <r>
    <x v="7"/>
    <x v="2"/>
    <n v="119"/>
    <n v="310"/>
    <d v="2013-08-06T22:00:00"/>
    <d v="2013-08-07T04:00:00"/>
    <n v="240"/>
    <n v="330"/>
    <n v="300"/>
    <s v="Pulverizer mills"/>
    <s v="F5901C Coal Mill - Replace Riffles"/>
    <s v="Mill Creek"/>
    <x v="0"/>
    <s v="Coal"/>
    <x v="1"/>
    <x v="0"/>
    <n v="8"/>
    <n v="6"/>
    <n v="1.6363636363636365"/>
    <n v="490.90909090909093"/>
    <n v="81.818181818181813"/>
    <x v="48"/>
  </r>
  <r>
    <x v="7"/>
    <x v="2"/>
    <n v="120"/>
    <n v="310"/>
    <d v="2013-08-07T22:00:00"/>
    <d v="2013-08-08T03:49:00"/>
    <n v="250"/>
    <n v="330"/>
    <n v="300"/>
    <s v="Pulverizer mills"/>
    <s v="F5901C Coal Mill - Replace Riffles"/>
    <s v="Mill Creek"/>
    <x v="0"/>
    <s v="Coal"/>
    <x v="1"/>
    <x v="0"/>
    <n v="8"/>
    <n v="5.8166666667675599"/>
    <n v="1.4101010101254692"/>
    <n v="423.03030303764075"/>
    <n v="72.727272727272734"/>
    <x v="87"/>
  </r>
  <r>
    <x v="7"/>
    <x v="0"/>
    <n v="121"/>
    <n v="30"/>
    <d v="2013-08-15T14:15:00"/>
    <d v="2013-08-15T17:34:00"/>
    <n v="230"/>
    <n v="330"/>
    <n v="300"/>
    <s v="Coal conveyors and feeders"/>
    <s v="F430C Coal Conveyor - Wiring Issue"/>
    <s v="Mill Creek"/>
    <x v="0"/>
    <s v="Coal"/>
    <x v="1"/>
    <x v="0"/>
    <n v="8"/>
    <n v="3.3166666666511446"/>
    <n v="1.0050505050458014"/>
    <n v="301.51515151374042"/>
    <n v="90.909090909090907"/>
    <x v="42"/>
  </r>
  <r>
    <x v="7"/>
    <x v="2"/>
    <n v="122"/>
    <n v="360"/>
    <d v="2013-08-19T21:30:00"/>
    <d v="2013-08-19T22:55:00"/>
    <n v="250"/>
    <n v="330"/>
    <n v="300"/>
    <s v="Burners"/>
    <s v="F5301C3 Coal Burner - Inspected &amp; Cleaned"/>
    <s v="Mill Creek"/>
    <x v="0"/>
    <s v="Coal"/>
    <x v="1"/>
    <x v="0"/>
    <n v="8"/>
    <n v="1.4166666665696539"/>
    <n v="0.34343434341082518"/>
    <n v="103.03030302324755"/>
    <n v="72.727272727272734"/>
    <x v="87"/>
  </r>
  <r>
    <x v="7"/>
    <x v="2"/>
    <n v="123"/>
    <n v="250"/>
    <d v="2013-08-25T22:00:00"/>
    <d v="2013-08-26T03:48:00"/>
    <n v="250"/>
    <n v="330"/>
    <n v="300"/>
    <s v="Pulverizer feeders"/>
    <s v="F5901B Coal Feeder - Replace Power Supply Board"/>
    <s v="Mill Creek"/>
    <x v="0"/>
    <s v="Coal"/>
    <x v="1"/>
    <x v="0"/>
    <n v="8"/>
    <n v="5.8000000000465661"/>
    <n v="1.4060606060718948"/>
    <n v="421.81818182156843"/>
    <n v="72.727272727272734"/>
    <x v="87"/>
  </r>
  <r>
    <x v="7"/>
    <x v="2"/>
    <n v="124"/>
    <n v="360"/>
    <d v="2013-08-29T22:15:00"/>
    <d v="2013-08-30T05:10:00"/>
    <n v="250"/>
    <n v="330"/>
    <n v="300"/>
    <s v="Burners"/>
    <s v="F5301C3 Coal Burner - Inspection &amp; Clean Out"/>
    <s v="Mill Creek"/>
    <x v="0"/>
    <s v="Coal"/>
    <x v="1"/>
    <x v="0"/>
    <n v="8"/>
    <n v="6.9166666666860692"/>
    <n v="1.6767676767723805"/>
    <n v="503.03030303171414"/>
    <n v="72.727272727272734"/>
    <x v="87"/>
  </r>
  <r>
    <x v="7"/>
    <x v="0"/>
    <n v="125"/>
    <n v="250"/>
    <d v="2013-08-30T16:33:00"/>
    <d v="2013-08-30T23:00:00"/>
    <n v="300"/>
    <n v="330"/>
    <n v="300"/>
    <s v="Pulverizer feeders"/>
    <s v="F5901B Coal Feeder - Variable Frequency Drive Issue"/>
    <s v="Mill Creek"/>
    <x v="0"/>
    <s v="Coal"/>
    <x v="1"/>
    <x v="0"/>
    <n v="8"/>
    <n v="6.4500000000698492"/>
    <n v="0.58636363636998634"/>
    <n v="175.9090909109959"/>
    <n v="27.272727272727273"/>
    <x v="6"/>
  </r>
  <r>
    <x v="7"/>
    <x v="2"/>
    <n v="126"/>
    <n v="250"/>
    <d v="2013-08-30T23:00:00"/>
    <d v="2013-08-31T03:51:00"/>
    <n v="125"/>
    <n v="330"/>
    <n v="300"/>
    <s v="Pulverizer feeders"/>
    <s v="F5901A &amp; 1B Coal Feeders - Swap Variable Frequency Drives"/>
    <s v="Mill Creek"/>
    <x v="0"/>
    <s v="Coal"/>
    <x v="1"/>
    <x v="0"/>
    <n v="8"/>
    <n v="4.8499999999185093"/>
    <n v="3.0128787878281647"/>
    <n v="903.8636363484494"/>
    <n v="186.36363636363637"/>
    <x v="60"/>
  </r>
  <r>
    <x v="7"/>
    <x v="2"/>
    <n v="127"/>
    <n v="250"/>
    <d v="2013-08-31T03:51:00"/>
    <d v="2013-08-31T04:32:00"/>
    <n v="240"/>
    <n v="330"/>
    <n v="300"/>
    <s v="Pulverizer feeders"/>
    <s v="F5901A Coal Feeder - Variable Frequency Drive Issue"/>
    <s v="Mill Creek"/>
    <x v="0"/>
    <s v="Coal"/>
    <x v="1"/>
    <x v="0"/>
    <n v="8"/>
    <n v="0.68333333329064772"/>
    <n v="0.18636363635199482"/>
    <n v="55.909090905598447"/>
    <n v="81.818181818181813"/>
    <x v="48"/>
  </r>
  <r>
    <x v="7"/>
    <x v="0"/>
    <n v="128"/>
    <n v="250"/>
    <d v="2013-09-01T14:50:00"/>
    <d v="2013-09-01T21:17:00"/>
    <n v="304"/>
    <n v="330"/>
    <n v="300"/>
    <s v="Pulverizer feeders"/>
    <s v="F4101D Coal Feeder - Replace Relays"/>
    <s v="Mill Creek"/>
    <x v="0"/>
    <s v="Coal"/>
    <x v="1"/>
    <x v="0"/>
    <n v="9"/>
    <n v="6.4500000000698492"/>
    <n v="0.50818181818732144"/>
    <n v="152.45454545619643"/>
    <n v="23.636363636363637"/>
    <x v="107"/>
  </r>
  <r>
    <x v="7"/>
    <x v="0"/>
    <n v="129"/>
    <n v="8260"/>
    <d v="2013-09-06T18:08:00"/>
    <d v="2013-09-06T18:45:00"/>
    <n v="150"/>
    <n v="330"/>
    <n v="300"/>
    <s v="Scrubber booster I.D. fan (fan specific to the scrubber)"/>
    <s v="F6601B FGD Booster Fan Trip - Low Lube Oil Pressure"/>
    <s v="Mill Creek"/>
    <x v="0"/>
    <s v="Coal"/>
    <x v="1"/>
    <x v="0"/>
    <n v="9"/>
    <n v="0.61666666658129543"/>
    <n v="0.33636363631707022"/>
    <n v="100.90909089512107"/>
    <n v="163.63636363636363"/>
    <x v="150"/>
  </r>
  <r>
    <x v="7"/>
    <x v="0"/>
    <n v="130"/>
    <n v="8260"/>
    <d v="2013-09-06T18:45:00"/>
    <d v="2013-09-06T22:00:00"/>
    <n v="215"/>
    <n v="330"/>
    <n v="300"/>
    <s v="Scrubber booster I.D. fan (fan specific to the scrubber)"/>
    <s v="F6601B FGD Booster Fan - Low Lube Oil Pressure"/>
    <s v="Mill Creek"/>
    <x v="0"/>
    <s v="Coal"/>
    <x v="1"/>
    <x v="0"/>
    <n v="9"/>
    <n v="3.2499999999417923"/>
    <n v="1.1325757575554731"/>
    <n v="339.77272726664194"/>
    <n v="104.54545454545455"/>
    <x v="43"/>
  </r>
  <r>
    <x v="7"/>
    <x v="2"/>
    <n v="131"/>
    <n v="250"/>
    <d v="2013-09-15T20:45:00"/>
    <d v="2013-09-16T03:15:00"/>
    <n v="250"/>
    <n v="330"/>
    <n v="300"/>
    <s v="Pulverizer feeders"/>
    <s v="F0901A Coal Feeder - Calibration &amp; Mill Inspection"/>
    <s v="Mill Creek"/>
    <x v="0"/>
    <s v="Coal"/>
    <x v="1"/>
    <x v="0"/>
    <n v="9"/>
    <n v="6.4999999998835847"/>
    <n v="1.5757575757293538"/>
    <n v="472.72727271880615"/>
    <n v="72.727272727272734"/>
    <x v="87"/>
  </r>
  <r>
    <x v="7"/>
    <x v="2"/>
    <n v="132"/>
    <n v="310"/>
    <d v="2013-09-16T20:15:00"/>
    <d v="2013-09-17T00:20:00"/>
    <n v="250"/>
    <n v="330"/>
    <n v="300"/>
    <s v="Pulverizer mills"/>
    <s v="F5901B Coal Mill - Change Oil in Gearbox"/>
    <s v="Mill Creek"/>
    <x v="0"/>
    <s v="Coal"/>
    <x v="1"/>
    <x v="0"/>
    <n v="9"/>
    <n v="4.0833333333721384"/>
    <n v="0.9898989899083972"/>
    <n v="296.96969697251916"/>
    <n v="72.727272727272734"/>
    <x v="87"/>
  </r>
  <r>
    <x v="7"/>
    <x v="2"/>
    <n v="133"/>
    <n v="250"/>
    <d v="2013-09-17T22:00:00"/>
    <d v="2013-09-18T03:30:00"/>
    <n v="250"/>
    <n v="330"/>
    <n v="300"/>
    <s v="Pulverizer feeders"/>
    <s v="F0901B Coal Feeder - Calibration &amp; Mill Inspection"/>
    <s v="Mill Creek"/>
    <x v="0"/>
    <s v="Coal"/>
    <x v="1"/>
    <x v="0"/>
    <n v="9"/>
    <n v="5.5000000001164153"/>
    <n v="1.3333333333615551"/>
    <n v="400.00000000846654"/>
    <n v="72.727272727272734"/>
    <x v="87"/>
  </r>
  <r>
    <x v="7"/>
    <x v="2"/>
    <n v="134"/>
    <n v="250"/>
    <d v="2013-09-18T22:00:00"/>
    <d v="2013-09-19T03:33:00"/>
    <n v="250"/>
    <n v="330"/>
    <n v="300"/>
    <s v="Pulverizer feeders"/>
    <s v="F0901C Coal Feeder - Calibration &amp; Mill Inspection"/>
    <s v="Mill Creek"/>
    <x v="0"/>
    <s v="Coal"/>
    <x v="1"/>
    <x v="0"/>
    <n v="9"/>
    <n v="5.5500000001047738"/>
    <n v="1.3454545454799451"/>
    <n v="403.63636364398354"/>
    <n v="72.727272727272734"/>
    <x v="87"/>
  </r>
  <r>
    <x v="7"/>
    <x v="2"/>
    <n v="135"/>
    <n v="250"/>
    <d v="2013-09-19T23:00:00"/>
    <d v="2013-09-20T03:38:00"/>
    <n v="250"/>
    <n v="330"/>
    <n v="300"/>
    <s v="Pulverizer feeders"/>
    <s v="F0901D Coal Feeder - Calibration &amp; Mill Inspection"/>
    <s v="Mill Creek"/>
    <x v="0"/>
    <s v="Coal"/>
    <x v="1"/>
    <x v="0"/>
    <n v="9"/>
    <n v="4.6333333332440816"/>
    <n v="1.1232323232106864"/>
    <n v="336.96969696320593"/>
    <n v="72.727272727272734"/>
    <x v="87"/>
  </r>
  <r>
    <x v="7"/>
    <x v="4"/>
    <n v="136"/>
    <n v="4270"/>
    <d v="2013-09-23T16:56:00"/>
    <d v="2013-09-27T15:56:00"/>
    <n v="0"/>
    <n v="330"/>
    <n v="300"/>
    <s v="Crossover or under piping"/>
    <s v="F540Turbine Crossover - Piping Leak Repair"/>
    <s v="Mill Creek"/>
    <x v="2"/>
    <s v="Coal"/>
    <x v="1"/>
    <x v="0"/>
    <n v="9"/>
    <n v="95.000000000058208"/>
    <n v="95.000000000058208"/>
    <n v="28500.000000017462"/>
    <n v="300"/>
    <x v="229"/>
  </r>
  <r>
    <x v="7"/>
    <x v="3"/>
    <n v="137"/>
    <n v="1850"/>
    <d v="2013-09-27T15:56:00"/>
    <d v="2013-09-28T00:30:00"/>
    <n v="0"/>
    <n v="330"/>
    <n v="300"/>
    <s v="Boiler water condition (not feedwater water quality)"/>
    <s v="F170High Silica @ Warm Start Up"/>
    <s v="Mill Creek"/>
    <x v="1"/>
    <s v="Coal"/>
    <x v="1"/>
    <x v="0"/>
    <n v="9"/>
    <n v="8.5666666666511446"/>
    <n v="8.5666666666511446"/>
    <n v="2569.9999999953434"/>
    <n v="300"/>
    <x v="229"/>
  </r>
  <r>
    <x v="7"/>
    <x v="5"/>
    <n v="138"/>
    <n v="800"/>
    <d v="2013-09-30T03:53:00"/>
    <d v="2013-09-30T07:31:00"/>
    <n v="0"/>
    <n v="330"/>
    <n v="300"/>
    <s v="Drums and drum internals (single drum only)"/>
    <s v="F820Low Drum Level Trip"/>
    <s v="Mill Creek"/>
    <x v="3"/>
    <s v="Coal"/>
    <x v="1"/>
    <x v="0"/>
    <n v="9"/>
    <n v="3.6333333333022892"/>
    <n v="3.6333333333022892"/>
    <n v="1089.9999999906868"/>
    <n v="300"/>
    <x v="229"/>
  </r>
  <r>
    <x v="7"/>
    <x v="3"/>
    <n v="139"/>
    <n v="1850"/>
    <d v="2013-09-30T07:31:00"/>
    <d v="2013-09-30T14:29:00"/>
    <n v="0"/>
    <n v="330"/>
    <n v="300"/>
    <s v="Boiler water condition (not feedwater water quality)"/>
    <s v="F170High Silica @ Very Hot Start Up"/>
    <s v="Mill Creek"/>
    <x v="1"/>
    <s v="Coal"/>
    <x v="1"/>
    <x v="0"/>
    <n v="9"/>
    <n v="6.9666666666744277"/>
    <n v="6.9666666666744277"/>
    <n v="2090.0000000023283"/>
    <n v="300"/>
    <x v="229"/>
  </r>
  <r>
    <x v="7"/>
    <x v="0"/>
    <n v="140"/>
    <n v="250"/>
    <d v="2013-10-07T22:50:00"/>
    <d v="2013-10-08T02:09:00"/>
    <n v="250"/>
    <n v="330"/>
    <n v="300"/>
    <s v="Pulverizer feeders"/>
    <s v="FW001D Coal Feeder - Wet Coal Issue"/>
    <s v="Mill Creek"/>
    <x v="0"/>
    <s v="Coal"/>
    <x v="1"/>
    <x v="0"/>
    <n v="10"/>
    <n v="3.3166666666511446"/>
    <n v="0.80404040403664112"/>
    <n v="241.21212121099234"/>
    <n v="72.727272727272734"/>
    <x v="87"/>
  </r>
  <r>
    <x v="7"/>
    <x v="5"/>
    <n v="141"/>
    <n v="250"/>
    <d v="2013-10-08T04:09:00"/>
    <d v="2013-10-08T10:10:00"/>
    <n v="0"/>
    <n v="330"/>
    <n v="300"/>
    <s v="Pulverizer feeders"/>
    <s v="FW00Boiler Trip - High Drum Level Trip due to Wet Coal Issues"/>
    <s v="Mill Creek"/>
    <x v="3"/>
    <s v="Coal"/>
    <x v="1"/>
    <x v="0"/>
    <n v="10"/>
    <n v="6.0166666665463708"/>
    <n v="6.0166666665463708"/>
    <n v="1804.9999999639113"/>
    <n v="300"/>
    <x v="229"/>
  </r>
  <r>
    <x v="7"/>
    <x v="3"/>
    <n v="142"/>
    <n v="1850"/>
    <d v="2013-10-08T10:10:00"/>
    <d v="2013-10-08T16:10:00"/>
    <n v="0"/>
    <n v="330"/>
    <n v="300"/>
    <s v="Boiler water condition (not feedwater water quality)"/>
    <s v="F170High Silica @ Hot Start Up"/>
    <s v="Mill Creek"/>
    <x v="1"/>
    <s v="Coal"/>
    <x v="1"/>
    <x v="0"/>
    <n v="10"/>
    <n v="6"/>
    <n v="6"/>
    <n v="1800"/>
    <n v="300"/>
    <x v="229"/>
  </r>
  <r>
    <x v="7"/>
    <x v="0"/>
    <n v="143"/>
    <n v="250"/>
    <d v="2013-10-08T16:10:00"/>
    <d v="2013-10-09T04:25:00"/>
    <n v="250"/>
    <n v="330"/>
    <n v="300"/>
    <s v="Pulverizer feeders"/>
    <s v="FW00Wet Coal Issues"/>
    <s v="Mill Creek"/>
    <x v="0"/>
    <s v="Coal"/>
    <x v="1"/>
    <x v="0"/>
    <n v="10"/>
    <n v="12.250000000116415"/>
    <n v="2.9696969697251916"/>
    <n v="890.90909091755748"/>
    <n v="72.727272727272734"/>
    <x v="87"/>
  </r>
  <r>
    <x v="7"/>
    <x v="0"/>
    <n v="144"/>
    <n v="250"/>
    <d v="2013-10-09T04:25:00"/>
    <d v="2013-10-09T05:30:00"/>
    <n v="270"/>
    <n v="330"/>
    <n v="300"/>
    <s v="Pulverizer feeders"/>
    <s v="FW00Wet Coal Issues"/>
    <s v="Mill Creek"/>
    <x v="0"/>
    <s v="Coal"/>
    <x v="1"/>
    <x v="0"/>
    <n v="10"/>
    <n v="1.0833333331975155"/>
    <n v="0.1969696969450028"/>
    <n v="59.09090908350084"/>
    <n v="54.545454545454547"/>
    <x v="2"/>
  </r>
  <r>
    <x v="7"/>
    <x v="0"/>
    <n v="145"/>
    <n v="250"/>
    <d v="2013-10-09T05:30:00"/>
    <d v="2013-10-09T06:15:00"/>
    <n v="275"/>
    <n v="330"/>
    <n v="300"/>
    <s v="Pulverizer feeders"/>
    <s v="FW00Wet Coal Issues"/>
    <s v="Mill Creek"/>
    <x v="0"/>
    <s v="Coal"/>
    <x v="1"/>
    <x v="0"/>
    <n v="10"/>
    <n v="0.75"/>
    <n v="0.125"/>
    <n v="37.5"/>
    <n v="50"/>
    <x v="33"/>
  </r>
  <r>
    <x v="7"/>
    <x v="2"/>
    <n v="146"/>
    <n v="310"/>
    <d v="2013-10-13T21:21:00"/>
    <d v="2013-10-14T03:11:00"/>
    <n v="240"/>
    <n v="330"/>
    <n v="300"/>
    <s v="Pulverizer mills"/>
    <s v="F5301D Coal Mill - Inspection, Metal in Scraper Section"/>
    <s v="Mill Creek"/>
    <x v="0"/>
    <s v="Coal"/>
    <x v="1"/>
    <x v="0"/>
    <n v="10"/>
    <n v="5.8333333334885538"/>
    <n v="1.5909090909514239"/>
    <n v="477.27272728542715"/>
    <n v="81.818181818181813"/>
    <x v="48"/>
  </r>
  <r>
    <x v="7"/>
    <x v="2"/>
    <n v="147"/>
    <n v="310"/>
    <d v="2013-10-14T22:35:00"/>
    <d v="2013-10-15T01:39:00"/>
    <n v="250"/>
    <n v="330"/>
    <n v="300"/>
    <s v="Pulverizer mills"/>
    <s v="F5901D Coal Mill - Scraper Repairs"/>
    <s v="Mill Creek"/>
    <x v="0"/>
    <s v="Coal"/>
    <x v="1"/>
    <x v="0"/>
    <n v="10"/>
    <n v="3.0666666667093523"/>
    <n v="0.7434343434446915"/>
    <n v="223.03030303340745"/>
    <n v="72.727272727272734"/>
    <x v="87"/>
  </r>
  <r>
    <x v="7"/>
    <x v="2"/>
    <n v="148"/>
    <n v="310"/>
    <d v="2013-10-20T22:00:00"/>
    <d v="2013-10-21T06:25:00"/>
    <n v="250"/>
    <n v="330"/>
    <n v="300"/>
    <s v="Pulverizer mills"/>
    <s v="F5301B Coal Mill - Inspection &amp; Exhauster Balanced"/>
    <s v="Mill Creek"/>
    <x v="0"/>
    <s v="Coal"/>
    <x v="1"/>
    <x v="0"/>
    <n v="10"/>
    <n v="8.4166666666860692"/>
    <n v="2.040404040408744"/>
    <n v="612.12121212262321"/>
    <n v="72.727272727272734"/>
    <x v="87"/>
  </r>
  <r>
    <x v="7"/>
    <x v="2"/>
    <n v="149"/>
    <n v="250"/>
    <d v="2013-10-29T23:00:00"/>
    <d v="2013-10-29T23:47:00"/>
    <n v="245"/>
    <n v="330"/>
    <n v="300"/>
    <s v="Pulverizer feeders"/>
    <s v="F5901A Coal Feeder - Clean Out Conveyor Repair"/>
    <s v="Mill Creek"/>
    <x v="0"/>
    <s v="Coal"/>
    <x v="1"/>
    <x v="0"/>
    <n v="10"/>
    <n v="0.78333333326736465"/>
    <n v="0.20176767675068483"/>
    <n v="60.530303025205448"/>
    <n v="77.272727272727266"/>
    <x v="128"/>
  </r>
  <r>
    <x v="7"/>
    <x v="2"/>
    <n v="150"/>
    <n v="250"/>
    <d v="2013-11-04T23:00:00"/>
    <d v="2013-11-05T02:24:00"/>
    <n v="245"/>
    <n v="330"/>
    <n v="300"/>
    <s v="Pulverizer feeders"/>
    <s v="F5901D Coal Feeder - Replace Power Cord"/>
    <s v="Mill Creek"/>
    <x v="0"/>
    <s v="Coal"/>
    <x v="1"/>
    <x v="0"/>
    <n v="11"/>
    <n v="3.3999999999068677"/>
    <n v="0.87575757573358715"/>
    <n v="262.72727272007614"/>
    <n v="77.272727272727266"/>
    <x v="128"/>
  </r>
  <r>
    <x v="7"/>
    <x v="3"/>
    <n v="151"/>
    <n v="8460"/>
    <d v="2013-11-05T08:15:00"/>
    <d v="2013-11-05T19:00:00"/>
    <n v="0"/>
    <n v="330"/>
    <n v="300"/>
    <s v="Testing A"/>
    <s v="F790Full Load RATA Testing."/>
    <s v="Mill Creek"/>
    <x v="1"/>
    <s v="Coal"/>
    <x v="1"/>
    <x v="0"/>
    <n v="11"/>
    <n v="10.749999999941792"/>
    <n v="10.749999999941792"/>
    <n v="3224.9999999825377"/>
    <n v="300"/>
    <x v="229"/>
  </r>
  <r>
    <x v="7"/>
    <x v="3"/>
    <n v="152"/>
    <n v="8460"/>
    <d v="2013-11-06T08:00:00"/>
    <d v="2013-11-06T14:21:00"/>
    <n v="0"/>
    <n v="330"/>
    <n v="300"/>
    <s v="Testing A"/>
    <s v="F790Full Load RATA Testing"/>
    <s v="Mill Creek"/>
    <x v="1"/>
    <s v="Coal"/>
    <x v="1"/>
    <x v="0"/>
    <n v="11"/>
    <n v="6.3499999999185093"/>
    <n v="6.3499999999185093"/>
    <n v="1904.9999999755528"/>
    <n v="300"/>
    <x v="229"/>
  </r>
  <r>
    <x v="7"/>
    <x v="0"/>
    <n v="153"/>
    <n v="310"/>
    <d v="2013-11-09T04:30:00"/>
    <d v="2013-11-09T08:04:00"/>
    <n v="320"/>
    <n v="330"/>
    <n v="300"/>
    <s v="Pulverizer mills"/>
    <s v="F0501B Coal Mill - Roller Locked up"/>
    <s v="Mill Creek"/>
    <x v="0"/>
    <s v="Coal"/>
    <x v="1"/>
    <x v="0"/>
    <n v="11"/>
    <n v="3.566666666592937"/>
    <n v="0.10808080807857384"/>
    <n v="32.424242423572153"/>
    <n v="9.0909090909090917"/>
    <x v="94"/>
  </r>
  <r>
    <x v="7"/>
    <x v="0"/>
    <n v="154"/>
    <n v="310"/>
    <d v="2013-11-09T08:04:00"/>
    <d v="2013-11-09T15:13:00"/>
    <n v="260"/>
    <n v="330"/>
    <n v="300"/>
    <s v="Pulverizer mills"/>
    <s v="F0501B Coal Mill - Replace Roller"/>
    <s v="Mill Creek"/>
    <x v="0"/>
    <s v="Coal"/>
    <x v="1"/>
    <x v="0"/>
    <n v="11"/>
    <n v="7.1500000000814907"/>
    <n v="1.5166666666839526"/>
    <n v="455.00000000518577"/>
    <n v="63.636363636363633"/>
    <x v="30"/>
  </r>
  <r>
    <x v="7"/>
    <x v="2"/>
    <n v="155"/>
    <n v="550"/>
    <d v="2013-11-11T22:30:00"/>
    <d v="2013-11-11T23:40:00"/>
    <n v="290"/>
    <n v="330"/>
    <n v="300"/>
    <s v="Reheat steam relief/safety valves"/>
    <s v="F590Set Safeties - Reheater"/>
    <s v="Mill Creek"/>
    <x v="0"/>
    <s v="Coal"/>
    <x v="1"/>
    <x v="0"/>
    <n v="11"/>
    <n v="1.1666666666278616"/>
    <n v="0.14141414140943775"/>
    <n v="42.424242422831327"/>
    <n v="36.363636363636367"/>
    <x v="32"/>
  </r>
  <r>
    <x v="7"/>
    <x v="0"/>
    <n v="156"/>
    <n v="250"/>
    <d v="2013-11-13T21:20:00"/>
    <d v="2013-11-13T22:05:00"/>
    <n v="270"/>
    <n v="330"/>
    <n v="300"/>
    <s v="Pulverizer feeders"/>
    <s v="F8201D Coal Feeder Tripped"/>
    <s v="Mill Creek"/>
    <x v="0"/>
    <s v="Coal"/>
    <x v="1"/>
    <x v="0"/>
    <n v="11"/>
    <n v="0.75"/>
    <n v="0.13636363636363635"/>
    <n v="40.909090909090907"/>
    <n v="54.545454545454547"/>
    <x v="2"/>
  </r>
  <r>
    <x v="7"/>
    <x v="0"/>
    <n v="157"/>
    <n v="250"/>
    <d v="2013-11-14T02:48:00"/>
    <d v="2013-11-14T08:11:00"/>
    <n v="250"/>
    <n v="330"/>
    <n v="300"/>
    <s v="Pulverizer feeders"/>
    <s v="F8201D Coal Feeder, Continuous Tripping (x25)"/>
    <s v="Mill Creek"/>
    <x v="0"/>
    <s v="Coal"/>
    <x v="1"/>
    <x v="0"/>
    <n v="11"/>
    <n v="5.3833333332440816"/>
    <n v="1.3050505050288683"/>
    <n v="391.51515150866049"/>
    <n v="72.727272727272734"/>
    <x v="87"/>
  </r>
  <r>
    <x v="7"/>
    <x v="2"/>
    <n v="158"/>
    <n v="250"/>
    <d v="2013-11-17T22:00:00"/>
    <d v="2013-11-18T04:57:00"/>
    <n v="260"/>
    <n v="330"/>
    <n v="300"/>
    <s v="Pulverizer feeders"/>
    <s v="F5901D Coal Feeder - Replace VFD (variable frequency drive)"/>
    <s v="Mill Creek"/>
    <x v="0"/>
    <s v="Coal"/>
    <x v="1"/>
    <x v="0"/>
    <n v="11"/>
    <n v="6.9500000001280569"/>
    <n v="1.4742424242695877"/>
    <n v="442.27272728087632"/>
    <n v="63.636363636363633"/>
    <x v="30"/>
  </r>
  <r>
    <x v="7"/>
    <x v="0"/>
    <n v="159"/>
    <n v="3149"/>
    <d v="2013-11-18T07:09:00"/>
    <d v="2013-11-18T10:21:00"/>
    <n v="300"/>
    <n v="330"/>
    <n v="300"/>
    <s v="Loss of vacuum not attributable to a particular component such as air ejectors or valves; or"/>
    <s v="F660High Back Pressure - Condenser Pluggage"/>
    <s v="Mill Creek"/>
    <x v="0"/>
    <s v="Coal"/>
    <x v="1"/>
    <x v="0"/>
    <n v="11"/>
    <n v="3.1999999999534339"/>
    <n v="0.29090909090485761"/>
    <n v="87.272727271457285"/>
    <n v="27.272727272727273"/>
    <x v="6"/>
  </r>
  <r>
    <x v="7"/>
    <x v="4"/>
    <n v="160"/>
    <n v="3110"/>
    <d v="2013-11-18T10:21:00"/>
    <d v="2013-11-20T04:39:00"/>
    <n v="0"/>
    <n v="330"/>
    <n v="300"/>
    <s v="Condenser tube leaks"/>
    <s v="F540Condenser Tube Leak"/>
    <s v="Mill Creek"/>
    <x v="2"/>
    <s v="Coal"/>
    <x v="1"/>
    <x v="0"/>
    <n v="11"/>
    <n v="42.299999999930151"/>
    <n v="42.299999999930151"/>
    <n v="12689.999999979045"/>
    <n v="300"/>
    <x v="229"/>
  </r>
  <r>
    <x v="7"/>
    <x v="3"/>
    <n v="161"/>
    <n v="1850"/>
    <d v="2013-11-20T04:39:00"/>
    <d v="2013-11-20T10:45:00"/>
    <n v="0"/>
    <n v="330"/>
    <n v="300"/>
    <s v="Boiler water condition (not feedwater water quality)"/>
    <s v="F170High Silica @ Hot Start Up"/>
    <s v="Mill Creek"/>
    <x v="1"/>
    <s v="Coal"/>
    <x v="1"/>
    <x v="0"/>
    <n v="11"/>
    <n v="6.0999999999767169"/>
    <n v="6.0999999999767169"/>
    <n v="1829.9999999930151"/>
    <n v="300"/>
    <x v="229"/>
  </r>
  <r>
    <x v="7"/>
    <x v="0"/>
    <n v="162"/>
    <n v="1850"/>
    <d v="2013-11-20T10:45:00"/>
    <d v="2013-11-20T11:35:00"/>
    <n v="315"/>
    <n v="330"/>
    <n v="300"/>
    <s v="Boiler water condition (not feedwater water quality)"/>
    <s v="F170High Silica"/>
    <s v="Mill Creek"/>
    <x v="0"/>
    <s v="Coal"/>
    <x v="1"/>
    <x v="0"/>
    <n v="11"/>
    <n v="0.8333333334303461"/>
    <n v="3.7878787883197547E-2"/>
    <n v="11.363636364959264"/>
    <n v="13.636363636363637"/>
    <x v="61"/>
  </r>
  <r>
    <x v="7"/>
    <x v="2"/>
    <n v="163"/>
    <n v="250"/>
    <d v="2013-11-20T22:00:00"/>
    <d v="2013-11-21T04:56:00"/>
    <n v="250"/>
    <n v="330"/>
    <n v="300"/>
    <s v="Pulverizer feeders"/>
    <s v="F5901D Coal Feeder - Trip Issue Repair"/>
    <s v="Mill Creek"/>
    <x v="0"/>
    <s v="Coal"/>
    <x v="1"/>
    <x v="0"/>
    <n v="11"/>
    <n v="6.933333333407063"/>
    <n v="1.6808080808259547"/>
    <n v="504.2424242477864"/>
    <n v="72.727272727272734"/>
    <x v="87"/>
  </r>
  <r>
    <x v="7"/>
    <x v="2"/>
    <n v="164"/>
    <n v="360"/>
    <d v="2013-12-04T21:37:00"/>
    <d v="2013-12-05T04:32:00"/>
    <n v="145"/>
    <n v="330"/>
    <n v="300"/>
    <s v="Burners"/>
    <s v="F790Burners &amp; Igniters - Tuning"/>
    <s v="Mill Creek"/>
    <x v="0"/>
    <s v="Coal"/>
    <x v="1"/>
    <x v="0"/>
    <n v="12"/>
    <n v="6.9166666666860692"/>
    <n v="3.8775252525361297"/>
    <n v="1163.2575757608388"/>
    <n v="168.18181818181819"/>
    <x v="88"/>
  </r>
  <r>
    <x v="7"/>
    <x v="0"/>
    <n v="165"/>
    <n v="250"/>
    <d v="2013-12-11T00:58:00"/>
    <d v="2013-12-11T03:19:00"/>
    <n v="230"/>
    <n v="330"/>
    <n v="300"/>
    <s v="Pulverizer feeders"/>
    <s v="F8301D Coal Feeder - Trip"/>
    <s v="Mill Creek"/>
    <x v="0"/>
    <s v="Coal"/>
    <x v="1"/>
    <x v="0"/>
    <n v="12"/>
    <n v="2.3499999999767169"/>
    <n v="0.71212121211415669"/>
    <n v="213.636363634247"/>
    <n v="90.909090909090907"/>
    <x v="42"/>
  </r>
  <r>
    <x v="7"/>
    <x v="0"/>
    <n v="166"/>
    <n v="250"/>
    <d v="2013-12-11T09:28:00"/>
    <d v="2013-12-11T10:01:00"/>
    <n v="230"/>
    <n v="330"/>
    <n v="300"/>
    <s v="Pulverizer feeders"/>
    <s v="F4001D Coal Feeder - Troubleshooting Trip Issue"/>
    <s v="Mill Creek"/>
    <x v="0"/>
    <s v="Coal"/>
    <x v="1"/>
    <x v="0"/>
    <n v="12"/>
    <n v="0.55000000004656613"/>
    <n v="0.16666666668077762"/>
    <n v="50.000000004233286"/>
    <n v="90.909090909090907"/>
    <x v="42"/>
  </r>
  <r>
    <x v="7"/>
    <x v="2"/>
    <n v="167"/>
    <n v="250"/>
    <d v="2013-12-11T12:30:00"/>
    <d v="2013-12-11T14:21:00"/>
    <n v="230"/>
    <n v="330"/>
    <n v="300"/>
    <s v="Pulverizer feeders"/>
    <s v="F4301D Coal Feeder - Installing New Wiring"/>
    <s v="Mill Creek"/>
    <x v="0"/>
    <s v="Coal"/>
    <x v="1"/>
    <x v="0"/>
    <n v="12"/>
    <n v="1.8499999999185093"/>
    <n v="0.56060606058136642"/>
    <n v="168.18181817440993"/>
    <n v="90.909090909090907"/>
    <x v="42"/>
  </r>
  <r>
    <x v="7"/>
    <x v="0"/>
    <n v="168"/>
    <n v="250"/>
    <d v="2013-12-11T21:48:00"/>
    <d v="2013-12-11T23:05:00"/>
    <n v="270"/>
    <n v="330"/>
    <n v="300"/>
    <s v="Pulverizer feeders"/>
    <s v="F4001D Coal Feeder - Troubleshooting Trip Issue"/>
    <s v="Mill Creek"/>
    <x v="0"/>
    <s v="Coal"/>
    <x v="1"/>
    <x v="0"/>
    <n v="12"/>
    <n v="1.2833333333255723"/>
    <n v="0.23333333333192224"/>
    <n v="69.999999999576673"/>
    <n v="54.545454545454547"/>
    <x v="2"/>
  </r>
  <r>
    <x v="7"/>
    <x v="0"/>
    <n v="169"/>
    <n v="250"/>
    <d v="2013-12-11T23:35:00"/>
    <d v="2013-12-12T03:00:00"/>
    <n v="270"/>
    <n v="330"/>
    <n v="300"/>
    <s v="Pulverizer feeders"/>
    <s v="F4001D Coal Feeder - Troubleshooting Trip Issue"/>
    <s v="Mill Creek"/>
    <x v="0"/>
    <s v="Coal"/>
    <x v="1"/>
    <x v="0"/>
    <n v="12"/>
    <n v="3.4166666666278616"/>
    <n v="0.62121212120506575"/>
    <n v="186.36363636151972"/>
    <n v="54.545454545454547"/>
    <x v="2"/>
  </r>
  <r>
    <x v="7"/>
    <x v="0"/>
    <n v="170"/>
    <n v="250"/>
    <d v="2013-12-12T06:31:00"/>
    <d v="2013-12-12T06:54:00"/>
    <n v="270"/>
    <n v="330"/>
    <n v="300"/>
    <s v="Pulverizer feeders"/>
    <s v="F4001D Coal Feeder - Troubleshooting Trip Issue"/>
    <s v="Mill Creek"/>
    <x v="0"/>
    <s v="Coal"/>
    <x v="1"/>
    <x v="0"/>
    <n v="12"/>
    <n v="0.38333333336049691"/>
    <n v="6.9696969701908529E-2"/>
    <n v="20.909090910572559"/>
    <n v="54.545454545454547"/>
    <x v="2"/>
  </r>
  <r>
    <x v="7"/>
    <x v="0"/>
    <n v="171"/>
    <n v="250"/>
    <d v="2013-12-12T07:52:00"/>
    <d v="2013-12-12T08:01:00"/>
    <n v="270"/>
    <n v="330"/>
    <n v="300"/>
    <s v="Pulverizer feeders"/>
    <s v="F4001D Coal Feeder - Troubleshooting Trip Issue"/>
    <s v="Mill Creek"/>
    <x v="0"/>
    <s v="Coal"/>
    <x v="1"/>
    <x v="0"/>
    <n v="12"/>
    <n v="0.1499999999650754"/>
    <n v="2.7272727266377347E-2"/>
    <n v="8.1818181799132041"/>
    <n v="54.545454545454547"/>
    <x v="2"/>
  </r>
  <r>
    <x v="7"/>
    <x v="0"/>
    <n v="172"/>
    <n v="250"/>
    <d v="2013-12-12T08:15:00"/>
    <d v="2013-12-12T08:29:00"/>
    <n v="270"/>
    <n v="330"/>
    <n v="300"/>
    <s v="Pulverizer feeders"/>
    <s v="F4001D Coal Feeder - Troubleshooting Trip Issue"/>
    <s v="Mill Creek"/>
    <x v="0"/>
    <s v="Coal"/>
    <x v="1"/>
    <x v="0"/>
    <n v="12"/>
    <n v="0.2333333333954215"/>
    <n v="4.2424242435531181E-2"/>
    <n v="12.727272730659354"/>
    <n v="54.545454545454547"/>
    <x v="2"/>
  </r>
  <r>
    <x v="7"/>
    <x v="0"/>
    <n v="173"/>
    <n v="250"/>
    <d v="2013-12-12T11:00:00"/>
    <d v="2013-12-12T11:12:00"/>
    <n v="270"/>
    <n v="330"/>
    <n v="300"/>
    <s v="Pulverizer feeders"/>
    <s v="F4001D Coal Feeder - Troubleshooting Trip Issue"/>
    <s v="Mill Creek"/>
    <x v="0"/>
    <s v="Coal"/>
    <x v="1"/>
    <x v="0"/>
    <n v="12"/>
    <n v="0.19999999995343387"/>
    <n v="3.6363636355169794E-2"/>
    <n v="10.909090906550938"/>
    <n v="54.545454545454547"/>
    <x v="2"/>
  </r>
  <r>
    <x v="7"/>
    <x v="0"/>
    <n v="174"/>
    <n v="250"/>
    <d v="2013-12-12T14:15:00"/>
    <d v="2013-12-12T15:18:00"/>
    <n v="260"/>
    <n v="330"/>
    <n v="300"/>
    <s v="Pulverizer feeders"/>
    <s v="F5901D Coal Feeder - Replace Speed Pick Up Cable"/>
    <s v="Mill Creek"/>
    <x v="0"/>
    <s v="Coal"/>
    <x v="1"/>
    <x v="0"/>
    <n v="12"/>
    <n v="1.0499999999301508"/>
    <n v="0.22272727271245624"/>
    <n v="66.818181813736871"/>
    <n v="63.636363636363633"/>
    <x v="30"/>
  </r>
  <r>
    <x v="7"/>
    <x v="0"/>
    <n v="175"/>
    <n v="3149"/>
    <d v="2013-12-12T20:24:00"/>
    <d v="2013-12-13T06:41:00"/>
    <n v="315"/>
    <n v="330"/>
    <n v="300"/>
    <s v="Loss of vacuum not attributable to a particular component such as air ejectors or valves; or"/>
    <s v="F660High Back Pressure"/>
    <s v="Mill Creek"/>
    <x v="0"/>
    <s v="Coal"/>
    <x v="1"/>
    <x v="0"/>
    <n v="12"/>
    <n v="10.283333333325572"/>
    <n v="0.46742424242388964"/>
    <n v="140.22727272716688"/>
    <n v="13.636363636363637"/>
    <x v="61"/>
  </r>
  <r>
    <x v="7"/>
    <x v="0"/>
    <n v="176"/>
    <n v="3149"/>
    <d v="2013-12-13T06:41:00"/>
    <d v="2013-12-14T00:09:00"/>
    <n v="305"/>
    <n v="330"/>
    <n v="300"/>
    <s v="Loss of vacuum not attributable to a particular component such as air ejectors or valves; or"/>
    <s v="F660High Back Pressure"/>
    <s v="Mill Creek"/>
    <x v="0"/>
    <s v="Coal"/>
    <x v="1"/>
    <x v="0"/>
    <n v="12"/>
    <n v="17.466666666674428"/>
    <n v="1.3232323232329113"/>
    <n v="396.96969696987338"/>
    <n v="22.727272727272727"/>
    <x v="0"/>
  </r>
  <r>
    <x v="7"/>
    <x v="4"/>
    <n v="177"/>
    <n v="3113"/>
    <d v="2013-12-14T00:09:00"/>
    <d v="2013-12-15T08:47:00"/>
    <n v="0"/>
    <n v="330"/>
    <n v="300"/>
    <s v="Condenser tube and water box cleaning (including circulating water flow reversal)"/>
    <s v="F320Condenser - Clean Water Boxes"/>
    <s v="Mill Creek"/>
    <x v="2"/>
    <s v="Coal"/>
    <x v="1"/>
    <x v="0"/>
    <n v="12"/>
    <n v="32.633333333360497"/>
    <n v="32.633333333360497"/>
    <n v="9790.0000000081491"/>
    <n v="300"/>
    <x v="229"/>
  </r>
  <r>
    <x v="7"/>
    <x v="3"/>
    <n v="178"/>
    <n v="1850"/>
    <d v="2013-12-15T08:47:00"/>
    <d v="2013-12-15T15:53:00"/>
    <n v="0"/>
    <n v="330"/>
    <n v="300"/>
    <s v="Boiler water condition (not feedwater water quality)"/>
    <s v="F170High Silica @ Hot Start Up"/>
    <s v="Mill Creek"/>
    <x v="1"/>
    <s v="Coal"/>
    <x v="1"/>
    <x v="0"/>
    <n v="12"/>
    <n v="7.1000000000931323"/>
    <n v="7.1000000000931323"/>
    <n v="2130.0000000279397"/>
    <n v="300"/>
    <x v="229"/>
  </r>
  <r>
    <x v="7"/>
    <x v="0"/>
    <n v="179"/>
    <n v="1850"/>
    <d v="2013-12-15T15:53:00"/>
    <d v="2013-12-15T16:57:00"/>
    <n v="270"/>
    <n v="330"/>
    <n v="300"/>
    <s v="Boiler water condition (not feedwater water quality)"/>
    <s v="F170High Silica"/>
    <s v="Mill Creek"/>
    <x v="0"/>
    <s v="Coal"/>
    <x v="1"/>
    <x v="0"/>
    <n v="12"/>
    <n v="1.0666666666511446"/>
    <n v="0.19393939393657175"/>
    <n v="58.181818180971526"/>
    <n v="54.545454545454547"/>
    <x v="2"/>
  </r>
  <r>
    <x v="7"/>
    <x v="0"/>
    <n v="180"/>
    <n v="250"/>
    <d v="2013-12-16T21:37:00"/>
    <d v="2013-12-16T22:08:00"/>
    <n v="250"/>
    <n v="330"/>
    <n v="300"/>
    <s v="Pulverizer feeders"/>
    <s v="F5301D Coal Feeder - Inspection"/>
    <s v="Mill Creek"/>
    <x v="0"/>
    <s v="Coal"/>
    <x v="1"/>
    <x v="0"/>
    <n v="12"/>
    <n v="0.51666666677920148"/>
    <n v="0.12525252527980643"/>
    <n v="37.575757583941929"/>
    <n v="72.727272727272734"/>
    <x v="87"/>
  </r>
  <r>
    <x v="7"/>
    <x v="0"/>
    <n v="181"/>
    <n v="250"/>
    <d v="2013-12-16T23:11:00"/>
    <d v="2013-12-17T04:29:00"/>
    <n v="250"/>
    <n v="330"/>
    <n v="300"/>
    <s v="Pulverizer feeders"/>
    <s v="F8201D Coal Feeder Motor - Starter Trip"/>
    <s v="Mill Creek"/>
    <x v="0"/>
    <s v="Coal"/>
    <x v="1"/>
    <x v="0"/>
    <n v="12"/>
    <n v="5.2999999999883585"/>
    <n v="1.2848484848456627"/>
    <n v="385.45454545369881"/>
    <n v="72.727272727272734"/>
    <x v="87"/>
  </r>
  <r>
    <x v="7"/>
    <x v="2"/>
    <n v="182"/>
    <n v="310"/>
    <d v="2013-12-17T22:30:00"/>
    <d v="2013-12-18T03:00:00"/>
    <n v="250"/>
    <n v="330"/>
    <n v="300"/>
    <s v="Pulverizer mills"/>
    <s v="F5301B Coal Mill - Inspect Exhauster Discharge Gate"/>
    <s v="Mill Creek"/>
    <x v="0"/>
    <s v="Coal"/>
    <x v="1"/>
    <x v="0"/>
    <n v="12"/>
    <n v="4.5"/>
    <n v="1.0909090909090908"/>
    <n v="327.27272727272725"/>
    <n v="72.727272727272734"/>
    <x v="87"/>
  </r>
  <r>
    <x v="7"/>
    <x v="0"/>
    <n v="183"/>
    <n v="250"/>
    <d v="2013-12-19T20:30:00"/>
    <d v="2013-12-20T00:20:00"/>
    <n v="265"/>
    <n v="330"/>
    <n v="300"/>
    <s v="Pulverizer feeders"/>
    <s v="F8201D Coal Feeder - Trip"/>
    <s v="Mill Creek"/>
    <x v="0"/>
    <s v="Coal"/>
    <x v="1"/>
    <x v="0"/>
    <n v="12"/>
    <n v="3.8333333334303461"/>
    <n v="0.75505050506961358"/>
    <n v="226.51515152088407"/>
    <n v="59.090909090909093"/>
    <x v="83"/>
  </r>
  <r>
    <x v="7"/>
    <x v="0"/>
    <n v="184"/>
    <n v="250"/>
    <d v="2013-12-20T00:20:00"/>
    <d v="2013-12-20T06:36:00"/>
    <n v="315"/>
    <n v="330"/>
    <n v="300"/>
    <s v="Pulverizer feeders"/>
    <s v="F8201D Coal Feeder - Trip"/>
    <s v="Mill Creek"/>
    <x v="0"/>
    <s v="Coal"/>
    <x v="1"/>
    <x v="0"/>
    <n v="12"/>
    <n v="6.2666666666627862"/>
    <n v="0.28484848484830844"/>
    <n v="85.454545454492532"/>
    <n v="13.636363636363637"/>
    <x v="61"/>
  </r>
  <r>
    <x v="7"/>
    <x v="0"/>
    <n v="185"/>
    <n v="250"/>
    <d v="2013-12-20T09:29:00"/>
    <d v="2013-12-20T11:20:00"/>
    <n v="275"/>
    <n v="330"/>
    <n v="300"/>
    <s v="Pulverizer feeders"/>
    <s v="F5901D Coal Feeder - Replaced Circuit Board"/>
    <s v="Mill Creek"/>
    <x v="0"/>
    <s v="Coal"/>
    <x v="1"/>
    <x v="0"/>
    <n v="12"/>
    <n v="1.8499999999185093"/>
    <n v="0.30833333331975155"/>
    <n v="92.499999995925464"/>
    <n v="50"/>
    <x v="33"/>
  </r>
  <r>
    <x v="7"/>
    <x v="0"/>
    <n v="186"/>
    <n v="3149"/>
    <d v="2013-12-26T18:28:00"/>
    <d v="2013-12-27T06:30:00"/>
    <n v="310"/>
    <n v="330"/>
    <n v="300"/>
    <s v="Loss of vacuum not attributable to a particular component such as air ejectors or valves; or"/>
    <s v="F660High Back Pressure"/>
    <s v="Mill Creek"/>
    <x v="0"/>
    <s v="Coal"/>
    <x v="1"/>
    <x v="0"/>
    <n v="12"/>
    <n v="12.033333333441988"/>
    <n v="0.72929292929951439"/>
    <n v="218.78787878985432"/>
    <n v="18.181818181818183"/>
    <x v="5"/>
  </r>
  <r>
    <x v="7"/>
    <x v="0"/>
    <n v="187"/>
    <n v="3149"/>
    <d v="2013-12-27T06:30:00"/>
    <d v="2013-12-27T21:28:00"/>
    <n v="300"/>
    <n v="330"/>
    <n v="300"/>
    <s v="Loss of vacuum not attributable to a particular component such as air ejectors or valves; or"/>
    <s v="F660High Back Pressure"/>
    <s v="Mill Creek"/>
    <x v="0"/>
    <s v="Coal"/>
    <x v="1"/>
    <x v="0"/>
    <n v="12"/>
    <n v="14.966666666558012"/>
    <n v="1.3606060605961829"/>
    <n v="408.18181817885488"/>
    <n v="27.272727272727273"/>
    <x v="6"/>
  </r>
  <r>
    <x v="7"/>
    <x v="4"/>
    <n v="188"/>
    <n v="3113"/>
    <d v="2013-12-27T21:28:00"/>
    <d v="2013-12-28T04:04:00"/>
    <n v="0"/>
    <n v="330"/>
    <n v="300"/>
    <s v="Condenser tube and water box cleaning (including circulating water flow reversal)"/>
    <s v="F320Condenser - Cleaned Water Boxes"/>
    <s v="Mill Creek"/>
    <x v="2"/>
    <s v="Coal"/>
    <x v="1"/>
    <x v="0"/>
    <n v="12"/>
    <n v="6.6000000000349246"/>
    <n v="6.6000000000349246"/>
    <n v="1980.0000000104774"/>
    <n v="300"/>
    <x v="229"/>
  </r>
  <r>
    <x v="7"/>
    <x v="7"/>
    <n v="189"/>
    <n v="9320"/>
    <d v="2013-12-28T04:04:00"/>
    <d v="2013-12-28T12:18:00"/>
    <n v="0"/>
    <n v="330"/>
    <n v="300"/>
    <s v="Other miscellaneous external problems"/>
    <s v="F460Start-up Failure - Water in UPS Cabinet"/>
    <s v="Mill Creek"/>
    <x v="3"/>
    <s v="Coal"/>
    <x v="1"/>
    <x v="0"/>
    <n v="12"/>
    <n v="8.2333333332790062"/>
    <n v="8.2333333332790062"/>
    <n v="2469.9999999837019"/>
    <n v="300"/>
    <x v="229"/>
  </r>
  <r>
    <x v="7"/>
    <x v="0"/>
    <n v="190"/>
    <n v="200"/>
    <d v="2013-12-28T19:30:00"/>
    <d v="2013-12-29T01:00:00"/>
    <n v="255"/>
    <n v="330"/>
    <n v="300"/>
    <s v="Pulverizer exhauster fan (for indirect firing)"/>
    <s v="F8501B Mill Exhauster Vent - High Vibration in bearings"/>
    <s v="Mill Creek"/>
    <x v="0"/>
    <s v="Coal"/>
    <x v="1"/>
    <x v="0"/>
    <n v="12"/>
    <n v="5.4999999999417923"/>
    <n v="1.249999999986771"/>
    <n v="374.99999999603131"/>
    <n v="68.181818181818187"/>
    <x v="208"/>
  </r>
  <r>
    <x v="7"/>
    <x v="0"/>
    <n v="1"/>
    <n v="8280"/>
    <d v="2014-01-07T07:15:00"/>
    <d v="2014-01-07T08:58:00"/>
    <n v="260"/>
    <n v="330"/>
    <n v="300"/>
    <s v="Reagent feed piping"/>
    <s v="F540FGD Reactant Feed Line - Leak"/>
    <s v="Mill Creek"/>
    <x v="0"/>
    <s v="Coal"/>
    <x v="1"/>
    <x v="1"/>
    <n v="1"/>
    <n v="1.7166666666744277"/>
    <n v="0.36414141414306039"/>
    <n v="109.24242424291812"/>
    <n v="63.636363636363633"/>
    <x v="30"/>
  </r>
  <r>
    <x v="7"/>
    <x v="0"/>
    <n v="2"/>
    <n v="250"/>
    <d v="2014-01-07T16:50:00"/>
    <d v="2014-01-07T18:06:00"/>
    <n v="260"/>
    <n v="330"/>
    <n v="300"/>
    <s v="Pulverizer feeders"/>
    <s v="FW001D Coal Feeder - Plugged, Frozen/Wet Coal"/>
    <s v="Mill Creek"/>
    <x v="0"/>
    <s v="Coal"/>
    <x v="1"/>
    <x v="1"/>
    <n v="1"/>
    <n v="1.2666666666045785"/>
    <n v="0.26868686867369845"/>
    <n v="80.606060602109537"/>
    <n v="63.636363636363633"/>
    <x v="30"/>
  </r>
  <r>
    <x v="7"/>
    <x v="0"/>
    <n v="3"/>
    <n v="250"/>
    <d v="2014-01-08T05:45:00"/>
    <d v="2014-01-08T06:43:00"/>
    <n v="240"/>
    <n v="330"/>
    <n v="300"/>
    <s v="Pulverizer feeders"/>
    <s v="FW001D Coal Feeder - Plugged, Frozen/Wet Coal"/>
    <s v="Mill Creek"/>
    <x v="0"/>
    <s v="Coal"/>
    <x v="1"/>
    <x v="1"/>
    <n v="1"/>
    <n v="0.96666666667442769"/>
    <n v="0.26363636363848025"/>
    <n v="79.090909091544077"/>
    <n v="81.818181818181813"/>
    <x v="48"/>
  </r>
  <r>
    <x v="7"/>
    <x v="2"/>
    <n v="4"/>
    <n v="310"/>
    <d v="2014-01-09T21:26:00"/>
    <d v="2014-01-10T01:17:00"/>
    <n v="245"/>
    <n v="330"/>
    <n v="300"/>
    <s v="Pulverizer mills"/>
    <s v="F5901A Coal Mill - Roller Adjustment"/>
    <s v="Mill Creek"/>
    <x v="0"/>
    <s v="Coal"/>
    <x v="1"/>
    <x v="1"/>
    <n v="1"/>
    <n v="3.8499999999767169"/>
    <n v="0.99166666666066949"/>
    <n v="297.49999999820085"/>
    <n v="77.272727272727266"/>
    <x v="128"/>
  </r>
  <r>
    <x v="7"/>
    <x v="2"/>
    <n v="5"/>
    <n v="310"/>
    <d v="2014-01-13T22:00:00"/>
    <d v="2014-01-14T07:17:00"/>
    <n v="240"/>
    <n v="330"/>
    <n v="300"/>
    <s v="Pulverizer mills"/>
    <s v="F5301D Coal Mill &amp; Feeder - Inspection"/>
    <s v="Mill Creek"/>
    <x v="0"/>
    <s v="Coal"/>
    <x v="1"/>
    <x v="1"/>
    <n v="1"/>
    <n v="9.28333333338378"/>
    <n v="2.5318181818319401"/>
    <n v="759.54545454958202"/>
    <n v="81.818181818181813"/>
    <x v="48"/>
  </r>
  <r>
    <x v="7"/>
    <x v="2"/>
    <n v="6"/>
    <n v="310"/>
    <d v="2014-01-14T22:34:00"/>
    <d v="2014-01-15T04:42:00"/>
    <n v="240"/>
    <n v="330"/>
    <n v="300"/>
    <s v="Pulverizer mills"/>
    <s v="F5301A Coal Mill - Inspection"/>
    <s v="Mill Creek"/>
    <x v="0"/>
    <s v="Coal"/>
    <x v="1"/>
    <x v="1"/>
    <n v="1"/>
    <n v="6.1333333332440816"/>
    <n v="1.6727272727029314"/>
    <n v="501.81818181087942"/>
    <n v="81.818181818181813"/>
    <x v="48"/>
  </r>
  <r>
    <x v="7"/>
    <x v="2"/>
    <n v="7"/>
    <n v="250"/>
    <d v="2014-01-15T23:00:00"/>
    <d v="2014-01-16T06:17:00"/>
    <n v="240"/>
    <n v="330"/>
    <n v="300"/>
    <s v="Pulverizer feeders"/>
    <s v="F0901B Coal Feeder - Calibration &amp; Mill Inspection"/>
    <s v="Mill Creek"/>
    <x v="0"/>
    <s v="Coal"/>
    <x v="1"/>
    <x v="1"/>
    <n v="1"/>
    <n v="7.2833333333255723"/>
    <n v="1.9863636363615198"/>
    <n v="595.90909090845594"/>
    <n v="81.818181818181813"/>
    <x v="48"/>
  </r>
  <r>
    <x v="7"/>
    <x v="2"/>
    <n v="8"/>
    <n v="250"/>
    <d v="2014-01-16T23:00:00"/>
    <d v="2014-01-17T04:14:00"/>
    <n v="240"/>
    <n v="330"/>
    <n v="300"/>
    <s v="Pulverizer feeders"/>
    <s v="F0901C Coal Feeder - Calibration &amp; Mill Inspection"/>
    <s v="Mill Creek"/>
    <x v="0"/>
    <s v="Coal"/>
    <x v="1"/>
    <x v="1"/>
    <n v="1"/>
    <n v="5.2333333332790062"/>
    <n v="1.4272727272579109"/>
    <n v="428.18181817737326"/>
    <n v="81.818181818181813"/>
    <x v="48"/>
  </r>
  <r>
    <x v="7"/>
    <x v="0"/>
    <n v="9"/>
    <n v="4261"/>
    <d v="2014-01-17T21:42:00"/>
    <d v="2014-01-18T08:33:00"/>
    <n v="300"/>
    <n v="330"/>
    <n v="300"/>
    <s v="Control valves"/>
    <s v="F130Turbine #2 Control Valve - Would Not Open during Valve Test"/>
    <s v="Mill Creek"/>
    <x v="0"/>
    <s v="Coal"/>
    <x v="1"/>
    <x v="1"/>
    <n v="1"/>
    <n v="10.849999999918509"/>
    <n v="0.98636363635622815"/>
    <n v="295.90909090686847"/>
    <n v="27.272727272727273"/>
    <x v="6"/>
  </r>
  <r>
    <x v="7"/>
    <x v="5"/>
    <n v="10"/>
    <n v="800"/>
    <d v="2014-01-18T08:33:00"/>
    <d v="2014-01-18T11:21:00"/>
    <n v="0"/>
    <n v="330"/>
    <n v="300"/>
    <s v="Drums and drum internals (single drum only)"/>
    <s v="F820High Drum Level Trip due to Turbine #2 Control Valve Issue, Replaced Fast Acting S"/>
    <s v="Mill Creek"/>
    <x v="3"/>
    <s v="Coal"/>
    <x v="1"/>
    <x v="1"/>
    <n v="1"/>
    <n v="2.8000000000465661"/>
    <n v="2.8000000000465661"/>
    <n v="840.00000001396984"/>
    <n v="300"/>
    <x v="229"/>
  </r>
  <r>
    <x v="7"/>
    <x v="3"/>
    <n v="11"/>
    <n v="1850"/>
    <d v="2014-01-18T11:21:00"/>
    <d v="2014-01-18T15:45:00"/>
    <n v="0"/>
    <n v="330"/>
    <n v="300"/>
    <s v="Boiler water condition (not feedwater water quality)"/>
    <s v="F170High Silica @ Very Hot Start Up"/>
    <s v="Mill Creek"/>
    <x v="1"/>
    <s v="Coal"/>
    <x v="1"/>
    <x v="1"/>
    <n v="1"/>
    <n v="4.4000000000232831"/>
    <n v="4.4000000000232831"/>
    <n v="1320.0000000069849"/>
    <n v="300"/>
    <x v="229"/>
  </r>
  <r>
    <x v="7"/>
    <x v="0"/>
    <n v="12"/>
    <n v="1850"/>
    <d v="2014-01-18T15:45:00"/>
    <d v="2014-01-18T16:36:00"/>
    <n v="285"/>
    <n v="330"/>
    <n v="300"/>
    <s v="Boiler water condition (not feedwater water quality)"/>
    <s v="F170High Silica"/>
    <s v="Mill Creek"/>
    <x v="0"/>
    <s v="Coal"/>
    <x v="1"/>
    <x v="1"/>
    <n v="1"/>
    <n v="0.84999999997671694"/>
    <n v="0.11590909090591595"/>
    <n v="34.772727271774784"/>
    <n v="40.909090909090907"/>
    <x v="28"/>
  </r>
  <r>
    <x v="7"/>
    <x v="0"/>
    <n v="13"/>
    <n v="1850"/>
    <d v="2014-01-18T16:36:00"/>
    <d v="2014-01-18T18:40:00"/>
    <n v="300"/>
    <n v="330"/>
    <n v="300"/>
    <s v="Boiler water condition (not feedwater water quality)"/>
    <s v="F170High Silica"/>
    <s v="Mill Creek"/>
    <x v="0"/>
    <s v="Coal"/>
    <x v="1"/>
    <x v="1"/>
    <n v="1"/>
    <n v="2.0666666667675599"/>
    <n v="0.18787878788796"/>
    <n v="56.363636366388"/>
    <n v="27.272727272727273"/>
    <x v="6"/>
  </r>
  <r>
    <x v="7"/>
    <x v="2"/>
    <n v="14"/>
    <n v="250"/>
    <d v="2014-01-20T22:08:00"/>
    <d v="2014-01-21T04:20:00"/>
    <n v="240"/>
    <n v="330"/>
    <n v="300"/>
    <s v="Pulverizer feeders"/>
    <s v="F0901A Coal Feeder - Calibration &amp; Mill Inspection"/>
    <s v="Mill Creek"/>
    <x v="0"/>
    <s v="Coal"/>
    <x v="1"/>
    <x v="1"/>
    <n v="1"/>
    <n v="6.1999999999534339"/>
    <n v="1.6909090908963911"/>
    <n v="507.27272726891732"/>
    <n v="81.818181818181813"/>
    <x v="48"/>
  </r>
  <r>
    <x v="7"/>
    <x v="0"/>
    <n v="15"/>
    <n v="250"/>
    <d v="2014-01-24T02:53:00"/>
    <d v="2014-01-24T03:08:00"/>
    <n v="225"/>
    <n v="330"/>
    <n v="300"/>
    <s v="Pulverizer feeders"/>
    <s v="FW001D Coal Feeder - Plugged, Frozen Coal"/>
    <s v="Mill Creek"/>
    <x v="0"/>
    <s v="Coal"/>
    <x v="1"/>
    <x v="1"/>
    <n v="1"/>
    <n v="0.25000000011641532"/>
    <n v="7.9545454582495789E-2"/>
    <n v="23.863636374748737"/>
    <n v="95.454545454545453"/>
    <x v="19"/>
  </r>
  <r>
    <x v="7"/>
    <x v="0"/>
    <n v="16"/>
    <n v="250"/>
    <d v="2014-01-24T03:08:00"/>
    <d v="2014-01-24T03:45:00"/>
    <n v="250"/>
    <n v="330"/>
    <n v="300"/>
    <s v="Pulverizer feeders"/>
    <s v="FW001D Coal Feeder - Plugged, Frozen Coal"/>
    <s v="Mill Creek"/>
    <x v="0"/>
    <s v="Coal"/>
    <x v="1"/>
    <x v="1"/>
    <n v="1"/>
    <n v="0.61666666658129543"/>
    <n v="0.14949494947425343"/>
    <n v="44.848484842276029"/>
    <n v="72.727272727272734"/>
    <x v="87"/>
  </r>
  <r>
    <x v="7"/>
    <x v="0"/>
    <n v="17"/>
    <n v="250"/>
    <d v="2014-01-24T07:43:00"/>
    <d v="2014-01-24T09:04:00"/>
    <n v="240"/>
    <n v="330"/>
    <n v="300"/>
    <s v="Pulverizer feeders"/>
    <s v="FW001D Coal Feeder - Plugged, Frozen Coal"/>
    <s v="Mill Creek"/>
    <x v="0"/>
    <s v="Coal"/>
    <x v="1"/>
    <x v="1"/>
    <n v="1"/>
    <n v="1.3500000000349246"/>
    <n v="0.36818181819134305"/>
    <n v="110.45454545740292"/>
    <n v="81.818181818181813"/>
    <x v="48"/>
  </r>
  <r>
    <x v="7"/>
    <x v="0"/>
    <n v="18"/>
    <n v="4261"/>
    <d v="2014-02-01T21:20:00"/>
    <d v="2014-02-02T08:50:00"/>
    <n v="120"/>
    <n v="330"/>
    <n v="300"/>
    <s v="Control valves"/>
    <s v="F130Turbine #2 Control Valve - Stuck Closed"/>
    <s v="Mill Creek"/>
    <x v="0"/>
    <s v="Coal"/>
    <x v="1"/>
    <x v="1"/>
    <n v="2"/>
    <n v="11.499999999941792"/>
    <n v="7.3181818181447769"/>
    <n v="2195.4545454434328"/>
    <n v="190.90909090909091"/>
    <x v="230"/>
  </r>
  <r>
    <x v="7"/>
    <x v="3"/>
    <n v="19"/>
    <n v="1160"/>
    <d v="2014-02-04T23:00:00"/>
    <d v="2014-02-05T04:15:00"/>
    <n v="0"/>
    <n v="330"/>
    <n v="300"/>
    <s v="First reheater B"/>
    <s v="F320Boiler Deslag - First Reheater.  Full load available if needed."/>
    <s v="Mill Creek"/>
    <x v="1"/>
    <s v="Coal"/>
    <x v="1"/>
    <x v="1"/>
    <n v="2"/>
    <n v="5.25"/>
    <n v="5.25"/>
    <n v="1575"/>
    <n v="300"/>
    <x v="229"/>
  </r>
  <r>
    <x v="7"/>
    <x v="0"/>
    <n v="20"/>
    <n v="250"/>
    <d v="2014-02-05T07:28:00"/>
    <d v="2014-02-05T09:30:00"/>
    <n v="265"/>
    <n v="330"/>
    <n v="300"/>
    <s v="Pulverizer feeders"/>
    <s v="FW001C Coal Feeder - Wet Coal"/>
    <s v="Mill Creek"/>
    <x v="0"/>
    <s v="Coal"/>
    <x v="1"/>
    <x v="1"/>
    <n v="2"/>
    <n v="2.0333333333255723"/>
    <n v="0.40050505050352181"/>
    <n v="120.15151515105654"/>
    <n v="59.090909090909093"/>
    <x v="83"/>
  </r>
  <r>
    <x v="7"/>
    <x v="2"/>
    <n v="21"/>
    <n v="250"/>
    <d v="2014-02-06T00:00:00"/>
    <d v="2014-02-06T03:12:00"/>
    <n v="240"/>
    <n v="330"/>
    <n v="300"/>
    <s v="Pulverizer feeders"/>
    <s v="F5901C Coal Feeder - Repair Discharge Flapper"/>
    <s v="Mill Creek"/>
    <x v="0"/>
    <s v="Coal"/>
    <x v="1"/>
    <x v="1"/>
    <n v="2"/>
    <n v="3.1999999999534339"/>
    <n v="0.87272727271457284"/>
    <n v="261.81818181437183"/>
    <n v="81.818181818181813"/>
    <x v="48"/>
  </r>
  <r>
    <x v="7"/>
    <x v="0"/>
    <n v="22"/>
    <n v="1160"/>
    <d v="2014-02-08T07:15:00"/>
    <d v="2014-02-08T08:27:00"/>
    <n v="300"/>
    <n v="330"/>
    <n v="300"/>
    <s v="First reheater B"/>
    <s v="F320Boiler Slag - First Reheater"/>
    <s v="Mill Creek"/>
    <x v="0"/>
    <s v="Coal"/>
    <x v="1"/>
    <x v="1"/>
    <n v="2"/>
    <n v="1.1999999998952262"/>
    <n v="0.1090909090813842"/>
    <n v="32.727272724415265"/>
    <n v="27.272727272727273"/>
    <x v="6"/>
  </r>
  <r>
    <x v="7"/>
    <x v="0"/>
    <n v="23"/>
    <n v="1160"/>
    <d v="2014-02-08T08:27:00"/>
    <d v="2014-02-08T15:05:00"/>
    <n v="250"/>
    <n v="330"/>
    <n v="300"/>
    <s v="First reheater B"/>
    <s v="F320Boiler Slag - First Reheater"/>
    <s v="Mill Creek"/>
    <x v="0"/>
    <s v="Coal"/>
    <x v="1"/>
    <x v="1"/>
    <n v="2"/>
    <n v="6.6333333333022892"/>
    <n v="1.6080808080732822"/>
    <n v="482.42424242198467"/>
    <n v="72.727272727272734"/>
    <x v="87"/>
  </r>
  <r>
    <x v="7"/>
    <x v="3"/>
    <n v="24"/>
    <n v="1160"/>
    <d v="2014-02-08T22:00:00"/>
    <d v="2014-02-09T04:00:00"/>
    <n v="0"/>
    <n v="330"/>
    <n v="300"/>
    <s v="First reheater B"/>
    <s v="F320Boiler Deslag - First ReheaterFull Load Available as Needed"/>
    <s v="Mill Creek"/>
    <x v="1"/>
    <s v="Coal"/>
    <x v="1"/>
    <x v="1"/>
    <n v="2"/>
    <n v="6"/>
    <n v="6"/>
    <n v="1800"/>
    <n v="300"/>
    <x v="229"/>
  </r>
  <r>
    <x v="7"/>
    <x v="0"/>
    <n v="25"/>
    <n v="1488"/>
    <d v="2014-02-10T23:05:00"/>
    <d v="2014-02-11T06:25:00"/>
    <n v="323"/>
    <n v="330"/>
    <n v="300"/>
    <s v="Air heater (regenerative)"/>
    <s v="F320Air Heater - High Differential"/>
    <s v="Mill Creek"/>
    <x v="0"/>
    <s v="Coal"/>
    <x v="1"/>
    <x v="1"/>
    <n v="2"/>
    <n v="7.3333333333139308"/>
    <n v="0.155555555555144"/>
    <n v="46.6666666665432"/>
    <n v="6.3636363636363633"/>
    <x v="151"/>
  </r>
  <r>
    <x v="7"/>
    <x v="0"/>
    <n v="26"/>
    <n v="1488"/>
    <d v="2014-02-11T06:25:00"/>
    <d v="2014-02-11T10:00:00"/>
    <n v="320"/>
    <n v="330"/>
    <n v="300"/>
    <s v="Air heater (regenerative)"/>
    <s v="F320Air Heater - High Differential"/>
    <s v="Mill Creek"/>
    <x v="0"/>
    <s v="Coal"/>
    <x v="1"/>
    <x v="1"/>
    <n v="2"/>
    <n v="3.5833333333139308"/>
    <n v="0.10858585858527063"/>
    <n v="32.575757575581193"/>
    <n v="9.0909090909090917"/>
    <x v="94"/>
  </r>
  <r>
    <x v="7"/>
    <x v="0"/>
    <n v="27"/>
    <n v="1488"/>
    <d v="2014-02-11T10:00:00"/>
    <d v="2014-02-12T10:30:00"/>
    <n v="324"/>
    <n v="330"/>
    <n v="300"/>
    <s v="Air heater (regenerative)"/>
    <s v="F3201A Air Heater - High Differential"/>
    <s v="Mill Creek"/>
    <x v="0"/>
    <s v="Coal"/>
    <x v="1"/>
    <x v="1"/>
    <n v="2"/>
    <n v="24.500000000058208"/>
    <n v="0.44545454545560376"/>
    <n v="133.63636363668112"/>
    <n v="5.4545454545454541"/>
    <x v="166"/>
  </r>
  <r>
    <x v="7"/>
    <x v="3"/>
    <n v="28"/>
    <n v="8460"/>
    <d v="2014-02-11T12:45:00"/>
    <d v="2014-02-11T16:00:00"/>
    <n v="0"/>
    <n v="330"/>
    <n v="300"/>
    <s v="Testing A"/>
    <s v="F790Particulate Matter Testing"/>
    <s v="Mill Creek"/>
    <x v="1"/>
    <s v="Coal"/>
    <x v="1"/>
    <x v="1"/>
    <n v="2"/>
    <n v="3.2499999999417923"/>
    <n v="3.2499999999417923"/>
    <n v="974.9999999825377"/>
    <n v="300"/>
    <x v="229"/>
  </r>
  <r>
    <x v="7"/>
    <x v="3"/>
    <n v="29"/>
    <n v="8460"/>
    <d v="2014-02-12T07:00:00"/>
    <d v="2014-02-12T22:45:00"/>
    <n v="0"/>
    <n v="330"/>
    <n v="300"/>
    <s v="Testing A"/>
    <s v="F790Particulate Matter Testing"/>
    <s v="Mill Creek"/>
    <x v="1"/>
    <s v="Coal"/>
    <x v="1"/>
    <x v="1"/>
    <n v="2"/>
    <n v="15.75"/>
    <n v="15.75"/>
    <n v="4725"/>
    <n v="300"/>
    <x v="229"/>
  </r>
  <r>
    <x v="7"/>
    <x v="0"/>
    <n v="30"/>
    <n v="1488"/>
    <d v="2014-02-12T10:30:00"/>
    <d v="2014-02-12T22:45:00"/>
    <n v="320"/>
    <n v="330"/>
    <n v="300"/>
    <s v="Air heater (regenerative)"/>
    <s v="F3201A Air heater - High Differential"/>
    <s v="Mill Creek"/>
    <x v="0"/>
    <s v="Coal"/>
    <x v="1"/>
    <x v="1"/>
    <n v="2"/>
    <n v="12.249999999941792"/>
    <n v="0.37121212121035735"/>
    <n v="111.3636363631072"/>
    <n v="9.0909090909090917"/>
    <x v="94"/>
  </r>
  <r>
    <x v="7"/>
    <x v="0"/>
    <n v="31"/>
    <n v="1488"/>
    <d v="2014-02-12T22:45:00"/>
    <d v="2014-02-13T07:26:00"/>
    <n v="310"/>
    <n v="330"/>
    <n v="300"/>
    <s v="Air heater (regenerative)"/>
    <s v="F3201A Air Heater - High Differential"/>
    <s v="Mill Creek"/>
    <x v="0"/>
    <s v="Coal"/>
    <x v="1"/>
    <x v="1"/>
    <n v="2"/>
    <n v="8.6833333333488554"/>
    <n v="0.52626262626356701"/>
    <n v="157.8787878790701"/>
    <n v="18.181818181818183"/>
    <x v="5"/>
  </r>
  <r>
    <x v="7"/>
    <x v="0"/>
    <n v="32"/>
    <n v="1488"/>
    <d v="2014-02-13T07:26:00"/>
    <d v="2014-02-13T22:00:00"/>
    <n v="324"/>
    <n v="330"/>
    <n v="300"/>
    <s v="Air heater (regenerative)"/>
    <s v="F3201A Air Heater - High Differential"/>
    <s v="Mill Creek"/>
    <x v="0"/>
    <s v="Coal"/>
    <x v="1"/>
    <x v="1"/>
    <n v="2"/>
    <n v="14.566666666651145"/>
    <n v="0.26484848484820261"/>
    <n v="79.454545454460785"/>
    <n v="5.4545454545454541"/>
    <x v="166"/>
  </r>
  <r>
    <x v="7"/>
    <x v="3"/>
    <n v="33"/>
    <n v="8460"/>
    <d v="2014-02-13T13:40:00"/>
    <d v="2014-02-13T22:00:00"/>
    <n v="0"/>
    <n v="330"/>
    <n v="300"/>
    <s v="Testing A"/>
    <s v="F790Particulate Matter Testing"/>
    <s v="Mill Creek"/>
    <x v="1"/>
    <s v="Coal"/>
    <x v="1"/>
    <x v="1"/>
    <n v="2"/>
    <n v="8.3333333332557231"/>
    <n v="8.3333333332557231"/>
    <n v="2499.9999999767169"/>
    <n v="300"/>
    <x v="229"/>
  </r>
  <r>
    <x v="7"/>
    <x v="2"/>
    <n v="34"/>
    <n v="310"/>
    <d v="2014-02-13T22:00:00"/>
    <d v="2014-02-14T03:00:00"/>
    <n v="240"/>
    <n v="330"/>
    <n v="300"/>
    <s v="Pulverizer mills"/>
    <s v="F5301A Coal Mill - Inspection"/>
    <s v="Mill Creek"/>
    <x v="0"/>
    <s v="Coal"/>
    <x v="1"/>
    <x v="1"/>
    <n v="2"/>
    <n v="5.0000000000582077"/>
    <n v="1.3636363636522384"/>
    <n v="409.09090909567152"/>
    <n v="81.818181818181813"/>
    <x v="48"/>
  </r>
  <r>
    <x v="7"/>
    <x v="0"/>
    <n v="35"/>
    <n v="250"/>
    <d v="2014-02-14T03:00:00"/>
    <d v="2014-02-14T05:05:00"/>
    <n v="240"/>
    <n v="330"/>
    <n v="300"/>
    <s v="Pulverizer feeders"/>
    <s v="F5901C Coal Feeder - Replace Clean Out Conveyor Gearbox"/>
    <s v="Mill Creek"/>
    <x v="0"/>
    <s v="Coal"/>
    <x v="1"/>
    <x v="1"/>
    <n v="2"/>
    <n v="2.0833333333139308"/>
    <n v="0.56818181817652658"/>
    <n v="170.45454545295797"/>
    <n v="81.818181818181813"/>
    <x v="48"/>
  </r>
  <r>
    <x v="7"/>
    <x v="0"/>
    <n v="36"/>
    <n v="250"/>
    <d v="2014-02-14T05:05:00"/>
    <d v="2014-02-14T06:50:00"/>
    <n v="250"/>
    <n v="330"/>
    <n v="300"/>
    <s v="Pulverizer feeders"/>
    <s v="F5901C Coal Feeder - Replace Clean Out Conveyor Gearbox"/>
    <s v="Mill Creek"/>
    <x v="0"/>
    <s v="Coal"/>
    <x v="1"/>
    <x v="1"/>
    <n v="2"/>
    <n v="1.7499999999417923"/>
    <n v="0.42424242422831332"/>
    <n v="127.27272726849399"/>
    <n v="72.727272727272734"/>
    <x v="87"/>
  </r>
  <r>
    <x v="7"/>
    <x v="0"/>
    <n v="37"/>
    <n v="250"/>
    <d v="2014-02-14T06:50:00"/>
    <d v="2014-02-14T12:00:00"/>
    <n v="280"/>
    <n v="330"/>
    <n v="300"/>
    <s v="Pulverizer feeders"/>
    <s v="F5901C Coal Feeder - Replace Clean Out Conveyor GearboxGas Guns in Service"/>
    <s v="Mill Creek"/>
    <x v="0"/>
    <s v="Coal"/>
    <x v="1"/>
    <x v="1"/>
    <n v="2"/>
    <n v="5.1666666667442769"/>
    <n v="0.78282828284004191"/>
    <n v="234.84848485201258"/>
    <n v="45.454545454545453"/>
    <x v="23"/>
  </r>
  <r>
    <x v="7"/>
    <x v="0"/>
    <n v="38"/>
    <n v="1488"/>
    <d v="2014-02-15T06:54:00"/>
    <d v="2014-02-16T06:20:00"/>
    <n v="325"/>
    <n v="330"/>
    <n v="300"/>
    <s v="Air heater (regenerative)"/>
    <s v="F3201A Air Heater - High Differential"/>
    <s v="Mill Creek"/>
    <x v="0"/>
    <s v="Coal"/>
    <x v="1"/>
    <x v="1"/>
    <n v="2"/>
    <n v="23.433333333407063"/>
    <n v="0.35505050505162217"/>
    <n v="106.51515151548665"/>
    <n v="4.5454545454545459"/>
    <x v="166"/>
  </r>
  <r>
    <x v="7"/>
    <x v="0"/>
    <n v="39"/>
    <n v="1488"/>
    <d v="2014-02-16T06:20:00"/>
    <d v="2014-02-17T09:00:00"/>
    <n v="320"/>
    <n v="330"/>
    <n v="300"/>
    <s v="Air heater (regenerative)"/>
    <s v="F3201A Air Heater - High Differential"/>
    <s v="Mill Creek"/>
    <x v="0"/>
    <s v="Coal"/>
    <x v="1"/>
    <x v="1"/>
    <n v="2"/>
    <n v="26.666666666627862"/>
    <n v="0.80808080807963212"/>
    <n v="242.42424242388964"/>
    <n v="9.0909090909090917"/>
    <x v="94"/>
  </r>
  <r>
    <x v="7"/>
    <x v="0"/>
    <n v="40"/>
    <n v="1488"/>
    <d v="2014-02-17T09:00:00"/>
    <d v="2014-02-18T22:26:00"/>
    <n v="310"/>
    <n v="330"/>
    <n v="300"/>
    <s v="Air heater (regenerative)"/>
    <s v="F3201A Air Heater - High Differential"/>
    <s v="Mill Creek"/>
    <x v="0"/>
    <s v="Coal"/>
    <x v="1"/>
    <x v="1"/>
    <n v="2"/>
    <n v="37.433333333290648"/>
    <n v="2.2686868686842816"/>
    <n v="680.60606060528448"/>
    <n v="18.181818181818183"/>
    <x v="5"/>
  </r>
  <r>
    <x v="7"/>
    <x v="4"/>
    <n v="41"/>
    <n v="1488"/>
    <d v="2014-02-18T22:26:00"/>
    <d v="2014-02-21T22:16:00"/>
    <n v="0"/>
    <n v="330"/>
    <n v="300"/>
    <s v="Air heater (regenerative)"/>
    <s v="F320Air Heater Wash"/>
    <s v="Mill Creek"/>
    <x v="2"/>
    <s v="Coal"/>
    <x v="1"/>
    <x v="1"/>
    <n v="2"/>
    <n v="71.833333333313931"/>
    <n v="71.833333333313931"/>
    <n v="21549.999999994179"/>
    <n v="300"/>
    <x v="229"/>
  </r>
  <r>
    <x v="7"/>
    <x v="7"/>
    <n v="42"/>
    <n v="4261"/>
    <d v="2014-02-21T22:16:00"/>
    <d v="2014-02-22T17:58:00"/>
    <n v="0"/>
    <n v="330"/>
    <n v="300"/>
    <s v="Control valves"/>
    <s v="F590Turbine #2 &amp; #3 Control Valves - Cleaned Servovalves"/>
    <s v="Mill Creek"/>
    <x v="3"/>
    <s v="Coal"/>
    <x v="1"/>
    <x v="1"/>
    <n v="2"/>
    <n v="19.700000000128057"/>
    <n v="19.700000000128057"/>
    <n v="5910.0000000384171"/>
    <n v="300"/>
    <x v="229"/>
  </r>
  <r>
    <x v="7"/>
    <x v="3"/>
    <n v="43"/>
    <n v="1850"/>
    <d v="2014-02-22T17:58:00"/>
    <d v="2014-02-23T03:16:00"/>
    <n v="0"/>
    <n v="330"/>
    <n v="300"/>
    <s v="Boiler water condition (not feedwater water quality)"/>
    <s v="F170High Silica @ Warm Start Up"/>
    <s v="Mill Creek"/>
    <x v="1"/>
    <s v="Coal"/>
    <x v="1"/>
    <x v="1"/>
    <n v="2"/>
    <n v="9.2999999999301508"/>
    <n v="9.2999999999301508"/>
    <n v="2789.9999999790452"/>
    <n v="300"/>
    <x v="229"/>
  </r>
  <r>
    <x v="7"/>
    <x v="0"/>
    <n v="44"/>
    <n v="1850"/>
    <d v="2014-02-23T03:16:00"/>
    <d v="2014-02-23T04:11:00"/>
    <n v="275"/>
    <n v="330"/>
    <n v="300"/>
    <s v="Boiler water condition (not feedwater water quality)"/>
    <s v="F170High Silica"/>
    <s v="Mill Creek"/>
    <x v="0"/>
    <s v="Coal"/>
    <x v="1"/>
    <x v="1"/>
    <n v="2"/>
    <n v="0.91666666668606922"/>
    <n v="0.15277777778101154"/>
    <n v="45.833333334303461"/>
    <n v="50"/>
    <x v="33"/>
  </r>
  <r>
    <x v="7"/>
    <x v="0"/>
    <n v="45"/>
    <n v="1850"/>
    <d v="2014-02-23T04:11:00"/>
    <d v="2014-02-23T04:39:00"/>
    <n v="285"/>
    <n v="330"/>
    <n v="300"/>
    <s v="Boiler water condition (not feedwater water quality)"/>
    <s v="F170High Silica"/>
    <s v="Mill Creek"/>
    <x v="0"/>
    <s v="Coal"/>
    <x v="1"/>
    <x v="1"/>
    <n v="2"/>
    <n v="0.46666666661622003"/>
    <n v="6.3636363629484549E-2"/>
    <n v="19.090909088845365"/>
    <n v="40.909090909090907"/>
    <x v="28"/>
  </r>
  <r>
    <x v="7"/>
    <x v="0"/>
    <n v="46"/>
    <n v="1850"/>
    <d v="2014-02-23T04:39:00"/>
    <d v="2014-02-23T05:36:00"/>
    <n v="295"/>
    <n v="330"/>
    <n v="300"/>
    <s v="Boiler water condition (not feedwater water quality)"/>
    <s v="F170High Silica"/>
    <s v="Mill Creek"/>
    <x v="0"/>
    <s v="Coal"/>
    <x v="1"/>
    <x v="1"/>
    <n v="2"/>
    <n v="0.94999999995343387"/>
    <n v="0.10075757575263693"/>
    <n v="30.227272725791078"/>
    <n v="31.818181818181817"/>
    <x v="8"/>
  </r>
  <r>
    <x v="7"/>
    <x v="3"/>
    <n v="47"/>
    <n v="4490"/>
    <d v="2014-02-27T07:00:00"/>
    <d v="2014-02-27T13:18:00"/>
    <n v="0"/>
    <n v="330"/>
    <n v="300"/>
    <s v="Turbine performance testing (use code 9999 for total unit performance testing)"/>
    <s v="F790Capability Test - Full Load"/>
    <s v="Mill Creek"/>
    <x v="1"/>
    <s v="Coal"/>
    <x v="1"/>
    <x v="1"/>
    <n v="2"/>
    <n v="6.3000000001047738"/>
    <n v="6.3000000001047738"/>
    <n v="1890.0000000314321"/>
    <n v="300"/>
    <x v="229"/>
  </r>
  <r>
    <x v="7"/>
    <x v="2"/>
    <n v="48"/>
    <n v="310"/>
    <d v="2014-02-27T22:00:00"/>
    <d v="2014-02-28T02:02:00"/>
    <n v="240"/>
    <n v="330"/>
    <n v="300"/>
    <s v="Pulverizer mills"/>
    <s v="F5901A Coal Mill - Inspection &amp; Adjust Rollers"/>
    <s v="Mill Creek"/>
    <x v="0"/>
    <s v="Coal"/>
    <x v="1"/>
    <x v="1"/>
    <n v="2"/>
    <n v="4.03333333338378"/>
    <n v="1.1000000000137582"/>
    <n v="330.00000000412746"/>
    <n v="81.818181818181813"/>
    <x v="48"/>
  </r>
  <r>
    <x v="7"/>
    <x v="3"/>
    <n v="49"/>
    <n v="1160"/>
    <d v="2014-03-05T23:20:00"/>
    <d v="2014-03-06T01:00:00"/>
    <n v="0"/>
    <n v="330"/>
    <n v="300"/>
    <s v="First reheater B"/>
    <s v="F320Boiler Deslag - First Reheater"/>
    <s v="Mill Creek"/>
    <x v="1"/>
    <s v="Coal"/>
    <x v="1"/>
    <x v="1"/>
    <n v="3"/>
    <n v="1.6666666666860692"/>
    <n v="1.6666666666860692"/>
    <n v="500.00000000582077"/>
    <n v="300"/>
    <x v="229"/>
  </r>
  <r>
    <x v="7"/>
    <x v="3"/>
    <n v="50"/>
    <n v="1160"/>
    <d v="2014-03-06T22:45:00"/>
    <d v="2014-03-07T03:30:00"/>
    <n v="0"/>
    <n v="330"/>
    <n v="300"/>
    <s v="First reheater B"/>
    <s v="F320Boiler Deslag - First Reheater"/>
    <s v="Mill Creek"/>
    <x v="1"/>
    <s v="Coal"/>
    <x v="1"/>
    <x v="1"/>
    <n v="3"/>
    <n v="4.7500000001164153"/>
    <n v="4.7500000001164153"/>
    <n v="1425.0000000349246"/>
    <n v="300"/>
    <x v="229"/>
  </r>
  <r>
    <x v="7"/>
    <x v="3"/>
    <n v="51"/>
    <n v="1160"/>
    <d v="2014-03-07T13:45:00"/>
    <d v="2014-03-07T17:40:00"/>
    <n v="0"/>
    <n v="330"/>
    <n v="300"/>
    <s v="First reheater B"/>
    <s v="F320Boiler Deslag - First Reheater"/>
    <s v="Mill Creek"/>
    <x v="1"/>
    <s v="Coal"/>
    <x v="1"/>
    <x v="1"/>
    <n v="3"/>
    <n v="3.9166666666860692"/>
    <n v="3.9166666666860692"/>
    <n v="1175.0000000058208"/>
    <n v="300"/>
    <x v="229"/>
  </r>
  <r>
    <x v="7"/>
    <x v="2"/>
    <n v="52"/>
    <n v="310"/>
    <d v="2014-03-11T21:30:00"/>
    <d v="2014-03-12T03:40:00"/>
    <n v="240"/>
    <n v="330"/>
    <n v="300"/>
    <s v="Pulverizer mills"/>
    <s v="F5901A Coal Mill - Adjust Rollers &amp; Mill Inspection1B Coal Feeder - Replace Integrat"/>
    <s v="Mill Creek"/>
    <x v="0"/>
    <s v="Coal"/>
    <x v="1"/>
    <x v="1"/>
    <n v="3"/>
    <n v="6.1666666666860692"/>
    <n v="1.6818181818234734"/>
    <n v="504.54545454704203"/>
    <n v="81.818181818181813"/>
    <x v="48"/>
  </r>
  <r>
    <x v="7"/>
    <x v="3"/>
    <n v="53"/>
    <n v="1160"/>
    <d v="2014-03-16T00:30:00"/>
    <d v="2014-03-16T05:41:00"/>
    <n v="0"/>
    <n v="330"/>
    <n v="300"/>
    <s v="First reheater B"/>
    <s v="F320Boiler Deslag - First ReheaterFull Load Available as Needed"/>
    <s v="Mill Creek"/>
    <x v="1"/>
    <s v="Coal"/>
    <x v="1"/>
    <x v="1"/>
    <n v="3"/>
    <n v="5.1833333332906477"/>
    <n v="5.1833333332906477"/>
    <n v="1554.9999999871943"/>
    <n v="300"/>
    <x v="229"/>
  </r>
  <r>
    <x v="7"/>
    <x v="2"/>
    <n v="54"/>
    <n v="250"/>
    <d v="2014-03-19T23:00:00"/>
    <d v="2014-03-20T04:15:00"/>
    <n v="240"/>
    <n v="330"/>
    <n v="300"/>
    <s v="Pulverizer feeders"/>
    <s v="F5901D Coal Feeder - Repair Skirt"/>
    <s v="Mill Creek"/>
    <x v="0"/>
    <s v="Coal"/>
    <x v="1"/>
    <x v="1"/>
    <n v="3"/>
    <n v="5.25"/>
    <n v="1.4318181818181819"/>
    <n v="429.54545454545456"/>
    <n v="81.818181818181813"/>
    <x v="48"/>
  </r>
  <r>
    <x v="7"/>
    <x v="0"/>
    <n v="55"/>
    <n v="360"/>
    <d v="2014-03-22T13:40:00"/>
    <d v="2014-03-22T14:10:00"/>
    <n v="240"/>
    <n v="330"/>
    <n v="300"/>
    <s v="Burners"/>
    <s v="F7801B Mill - 1B4 Coal Burner High Temperature"/>
    <s v="Mill Creek"/>
    <x v="0"/>
    <s v="Coal"/>
    <x v="1"/>
    <x v="1"/>
    <n v="3"/>
    <n v="0.50000000005820766"/>
    <n v="0.13636363637951118"/>
    <n v="40.909090913853355"/>
    <n v="81.818181818181813"/>
    <x v="48"/>
  </r>
  <r>
    <x v="7"/>
    <x v="2"/>
    <n v="56"/>
    <n v="1160"/>
    <d v="2014-04-01T23:55:00"/>
    <d v="2014-04-02T03:10:00"/>
    <n v="132"/>
    <n v="330"/>
    <n v="300"/>
    <s v="First reheater B"/>
    <s v="F320Boiler Deslag - First ReheaterFull Load Available as Needed"/>
    <s v="Mill Creek"/>
    <x v="0"/>
    <s v="Coal"/>
    <x v="1"/>
    <x v="1"/>
    <n v="4"/>
    <n v="3.2499999999417923"/>
    <n v="1.9499999999650754"/>
    <n v="584.99999998952262"/>
    <n v="180"/>
    <x v="232"/>
  </r>
  <r>
    <x v="7"/>
    <x v="0"/>
    <n v="57"/>
    <n v="1160"/>
    <d v="2014-04-03T00:10:00"/>
    <d v="2014-04-03T03:45:00"/>
    <n v="140"/>
    <n v="330"/>
    <n v="300"/>
    <s v="First reheater B"/>
    <s v="F320Boiler Deslag - First Reheater"/>
    <s v="Mill Creek"/>
    <x v="0"/>
    <s v="Coal"/>
    <x v="1"/>
    <x v="1"/>
    <n v="4"/>
    <n v="3.5833333333139308"/>
    <n v="2.0631313131201421"/>
    <n v="618.93939393604262"/>
    <n v="172.72727272727272"/>
    <x v="233"/>
  </r>
  <r>
    <x v="7"/>
    <x v="0"/>
    <n v="58"/>
    <n v="360"/>
    <d v="2014-04-04T18:20:00"/>
    <d v="2014-04-04T19:18:00"/>
    <n v="240"/>
    <n v="330"/>
    <n v="300"/>
    <s v="Burners"/>
    <s v="F7801B Mill - 1B4 Coal Burner High Temperature"/>
    <s v="Mill Creek"/>
    <x v="0"/>
    <s v="Coal"/>
    <x v="1"/>
    <x v="1"/>
    <n v="4"/>
    <n v="0.96666666667442769"/>
    <n v="0.26363636363848025"/>
    <n v="79.090909091544077"/>
    <n v="81.818181818181813"/>
    <x v="48"/>
  </r>
  <r>
    <x v="7"/>
    <x v="0"/>
    <n v="59"/>
    <n v="250"/>
    <d v="2014-04-05T04:30:00"/>
    <d v="2014-04-05T05:00:00"/>
    <n v="240"/>
    <n v="330"/>
    <n v="300"/>
    <s v="Pulverizer feeders"/>
    <s v="F1201C Coal Feeder - Clean Out Conveyor Plugged"/>
    <s v="Mill Creek"/>
    <x v="0"/>
    <s v="Coal"/>
    <x v="1"/>
    <x v="1"/>
    <n v="4"/>
    <n v="0.50000000005820766"/>
    <n v="0.13636363637951118"/>
    <n v="40.909090913853355"/>
    <n v="81.818181818181813"/>
    <x v="48"/>
  </r>
  <r>
    <x v="7"/>
    <x v="0"/>
    <n v="60"/>
    <n v="9270"/>
    <d v="2014-04-05T05:00:00"/>
    <d v="2014-04-05T11:12:00"/>
    <n v="150"/>
    <n v="330"/>
    <n v="300"/>
    <s v="Wet coal"/>
    <s v="FW00Wet Coal"/>
    <s v="Mill Creek"/>
    <x v="0"/>
    <s v="Coal"/>
    <x v="1"/>
    <x v="1"/>
    <n v="4"/>
    <n v="6.1999999999534339"/>
    <n v="3.3818181817927822"/>
    <n v="1014.5454545378346"/>
    <n v="163.63636363636363"/>
    <x v="150"/>
  </r>
  <r>
    <x v="7"/>
    <x v="0"/>
    <n v="61"/>
    <n v="9270"/>
    <d v="2014-04-05T11:12:00"/>
    <d v="2014-04-05T13:44:00"/>
    <n v="280"/>
    <n v="330"/>
    <n v="300"/>
    <s v="Wet coal"/>
    <s v="FW00Wet Coal"/>
    <s v="Mill Creek"/>
    <x v="0"/>
    <s v="Coal"/>
    <x v="1"/>
    <x v="1"/>
    <n v="4"/>
    <n v="2.53333333338378"/>
    <n v="0.38383838384602725"/>
    <n v="115.15151515380818"/>
    <n v="45.454545454545453"/>
    <x v="23"/>
  </r>
  <r>
    <x v="7"/>
    <x v="0"/>
    <n v="62"/>
    <n v="1850"/>
    <d v="2014-04-05T13:44:00"/>
    <d v="2014-04-05T15:00:00"/>
    <n v="250"/>
    <n v="330"/>
    <n v="300"/>
    <s v="Boiler water condition (not feedwater water quality)"/>
    <s v="F170High Silica"/>
    <s v="Mill Creek"/>
    <x v="0"/>
    <s v="Coal"/>
    <x v="1"/>
    <x v="1"/>
    <n v="4"/>
    <n v="1.2666666666045785"/>
    <n v="0.30707070705565537"/>
    <n v="92.121212116696611"/>
    <n v="72.727272727272734"/>
    <x v="87"/>
  </r>
  <r>
    <x v="7"/>
    <x v="0"/>
    <n v="63"/>
    <n v="1850"/>
    <d v="2014-04-05T15:00:00"/>
    <d v="2014-04-07T07:30:00"/>
    <n v="240"/>
    <n v="330"/>
    <n v="300"/>
    <s v="Boiler water condition (not feedwater water quality)"/>
    <s v="F170High Silica"/>
    <s v="Mill Creek"/>
    <x v="0"/>
    <s v="Coal"/>
    <x v="1"/>
    <x v="1"/>
    <n v="4"/>
    <n v="40.5"/>
    <n v="11.045454545454545"/>
    <n v="3313.6363636363635"/>
    <n v="81.818181818181813"/>
    <x v="48"/>
  </r>
  <r>
    <x v="7"/>
    <x v="0"/>
    <n v="64"/>
    <n v="250"/>
    <d v="2014-04-07T09:41:00"/>
    <d v="2014-04-07T10:20:00"/>
    <n v="255"/>
    <n v="330"/>
    <n v="300"/>
    <s v="Pulverizer feeders"/>
    <s v="FW001D Coal Feeder - Wet Coal"/>
    <s v="Mill Creek"/>
    <x v="0"/>
    <s v="Coal"/>
    <x v="1"/>
    <x v="1"/>
    <n v="4"/>
    <n v="0.65000000002328306"/>
    <n v="0.14772727273256434"/>
    <n v="44.3181818197693"/>
    <n v="68.181818181818187"/>
    <x v="208"/>
  </r>
  <r>
    <x v="7"/>
    <x v="0"/>
    <n v="65"/>
    <n v="250"/>
    <d v="2014-04-07T13:11:00"/>
    <d v="2014-04-07T14:38:00"/>
    <n v="255"/>
    <n v="330"/>
    <n v="300"/>
    <s v="Pulverizer feeders"/>
    <s v="FW001D Coal Feeder - Wet Coal"/>
    <s v="Mill Creek"/>
    <x v="0"/>
    <s v="Coal"/>
    <x v="1"/>
    <x v="1"/>
    <n v="4"/>
    <n v="1.4500000000116415"/>
    <n v="0.32954545454810036"/>
    <n v="98.863636364430107"/>
    <n v="68.181818181818187"/>
    <x v="208"/>
  </r>
  <r>
    <x v="7"/>
    <x v="0"/>
    <n v="66"/>
    <n v="250"/>
    <d v="2014-04-07T17:45:00"/>
    <d v="2014-04-07T23:00:00"/>
    <n v="165"/>
    <n v="330"/>
    <n v="300"/>
    <s v="Pulverizer feeders"/>
    <s v="FW001C &amp; 1D Coal Feeders - Wet Coal"/>
    <s v="Mill Creek"/>
    <x v="0"/>
    <s v="Coal"/>
    <x v="1"/>
    <x v="1"/>
    <n v="4"/>
    <n v="5.25"/>
    <n v="2.625"/>
    <n v="787.5"/>
    <n v="150"/>
    <x v="75"/>
  </r>
  <r>
    <x v="7"/>
    <x v="0"/>
    <n v="67"/>
    <n v="9270"/>
    <d v="2014-04-07T23:00:00"/>
    <d v="2014-04-08T01:10:00"/>
    <n v="250"/>
    <n v="330"/>
    <n v="300"/>
    <s v="Wet coal"/>
    <s v="FW00Wet Coal"/>
    <s v="Mill Creek"/>
    <x v="0"/>
    <s v="Coal"/>
    <x v="1"/>
    <x v="1"/>
    <n v="4"/>
    <n v="2.1666666665696539"/>
    <n v="0.52525252522900701"/>
    <n v="157.5757575687021"/>
    <n v="72.727272727272734"/>
    <x v="87"/>
  </r>
  <r>
    <x v="7"/>
    <x v="0"/>
    <n v="68"/>
    <n v="250"/>
    <d v="2014-04-08T01:10:00"/>
    <d v="2014-04-08T02:15:00"/>
    <n v="180"/>
    <n v="330"/>
    <n v="300"/>
    <s v="Pulverizer feeders"/>
    <s v="FW001D Coal Feeder - Wet Coal"/>
    <s v="Mill Creek"/>
    <x v="0"/>
    <s v="Coal"/>
    <x v="1"/>
    <x v="1"/>
    <n v="4"/>
    <n v="1.0833333333721384"/>
    <n v="0.4924242424418811"/>
    <n v="147.72727273256433"/>
    <n v="136.36363636363637"/>
    <x v="62"/>
  </r>
  <r>
    <x v="7"/>
    <x v="0"/>
    <n v="69"/>
    <n v="250"/>
    <d v="2014-04-08T02:15:00"/>
    <d v="2014-04-08T03:53:00"/>
    <n v="125"/>
    <n v="330"/>
    <n v="300"/>
    <s v="Pulverizer feeders"/>
    <s v="FW001A &amp; 1D Coal Feeders - Wet Coal"/>
    <s v="Mill Creek"/>
    <x v="0"/>
    <s v="Coal"/>
    <x v="1"/>
    <x v="1"/>
    <n v="4"/>
    <n v="1.6333333334187046"/>
    <n v="1.0146464646994984"/>
    <n v="304.39393940984951"/>
    <n v="186.36363636363637"/>
    <x v="60"/>
  </r>
  <r>
    <x v="7"/>
    <x v="5"/>
    <n v="70"/>
    <n v="9270"/>
    <d v="2014-04-08T03:53:00"/>
    <d v="2014-04-08T06:50:00"/>
    <n v="0"/>
    <n v="330"/>
    <n v="300"/>
    <s v="Wet coal"/>
    <s v="F820Boiler Trip - Wet Coal Issues"/>
    <s v="Mill Creek"/>
    <x v="3"/>
    <s v="Coal"/>
    <x v="1"/>
    <x v="1"/>
    <n v="4"/>
    <n v="2.9499999998370185"/>
    <n v="2.9499999998370185"/>
    <n v="884.99999995110556"/>
    <n v="300"/>
    <x v="229"/>
  </r>
  <r>
    <x v="7"/>
    <x v="3"/>
    <n v="71"/>
    <n v="1850"/>
    <d v="2014-04-08T06:50:00"/>
    <d v="2014-04-08T11:05:00"/>
    <n v="0"/>
    <n v="330"/>
    <n v="300"/>
    <s v="Boiler water condition (not feedwater water quality)"/>
    <s v="F170High Silica @ Very Hot Start Up"/>
    <s v="Mill Creek"/>
    <x v="1"/>
    <s v="Coal"/>
    <x v="1"/>
    <x v="1"/>
    <n v="4"/>
    <n v="4.2500000000582077"/>
    <n v="4.2500000000582077"/>
    <n v="1275.0000000174623"/>
    <n v="300"/>
    <x v="229"/>
  </r>
  <r>
    <x v="7"/>
    <x v="0"/>
    <n v="72"/>
    <n v="9270"/>
    <d v="2014-04-08T11:05:00"/>
    <d v="2014-04-08T12:20:00"/>
    <n v="160"/>
    <n v="330"/>
    <n v="300"/>
    <s v="Wet coal"/>
    <s v="FW00Wet Coal"/>
    <s v="Mill Creek"/>
    <x v="0"/>
    <s v="Coal"/>
    <x v="1"/>
    <x v="1"/>
    <n v="4"/>
    <n v="1.2500000000582077"/>
    <n v="0.64393939396937971"/>
    <n v="193.18181819081391"/>
    <n v="154.54545454545453"/>
    <x v="234"/>
  </r>
  <r>
    <x v="7"/>
    <x v="0"/>
    <n v="73"/>
    <n v="250"/>
    <d v="2014-04-08T12:20:00"/>
    <d v="2014-04-08T13:03:00"/>
    <n v="130"/>
    <n v="330"/>
    <n v="300"/>
    <s v="Pulverizer feeders"/>
    <s v="FW001C Coal Feeder - Wet Coal"/>
    <s v="Mill Creek"/>
    <x v="0"/>
    <s v="Coal"/>
    <x v="1"/>
    <x v="1"/>
    <n v="4"/>
    <n v="0.71666666655801237"/>
    <n v="0.43434343427758326"/>
    <n v="130.30303028327498"/>
    <n v="181.81818181818181"/>
    <x v="153"/>
  </r>
  <r>
    <x v="7"/>
    <x v="0"/>
    <n v="74"/>
    <n v="9270"/>
    <d v="2014-04-08T13:03:00"/>
    <d v="2014-04-08T14:31:00"/>
    <n v="160"/>
    <n v="330"/>
    <n v="300"/>
    <s v="Wet coal"/>
    <s v="FW00Wet Coal"/>
    <s v="Mill Creek"/>
    <x v="0"/>
    <s v="Coal"/>
    <x v="1"/>
    <x v="1"/>
    <n v="4"/>
    <n v="1.4666666667326353"/>
    <n v="0.75555555558953946"/>
    <n v="226.66666667686184"/>
    <n v="154.54545454545453"/>
    <x v="234"/>
  </r>
  <r>
    <x v="7"/>
    <x v="0"/>
    <n v="75"/>
    <n v="9270"/>
    <d v="2014-04-08T14:31:00"/>
    <d v="2014-04-08T15:20:00"/>
    <n v="210"/>
    <n v="330"/>
    <n v="300"/>
    <s v="Wet coal"/>
    <s v="FW00Wet Coal"/>
    <s v="Mill Creek"/>
    <x v="0"/>
    <s v="Coal"/>
    <x v="1"/>
    <x v="1"/>
    <n v="4"/>
    <n v="0.81666666670935228"/>
    <n v="0.29696969698521902"/>
    <n v="89.090909095565706"/>
    <n v="109.09090909090909"/>
    <x v="64"/>
  </r>
  <r>
    <x v="7"/>
    <x v="0"/>
    <n v="76"/>
    <n v="9270"/>
    <d v="2014-04-08T15:20:00"/>
    <d v="2014-04-08T17:10:00"/>
    <n v="195"/>
    <n v="330"/>
    <n v="300"/>
    <s v="Wet coal"/>
    <s v="FW00Wet Coal"/>
    <s v="Mill Creek"/>
    <x v="0"/>
    <s v="Coal"/>
    <x v="1"/>
    <x v="1"/>
    <n v="4"/>
    <n v="1.8333333333721384"/>
    <n v="0.75000000001587486"/>
    <n v="225.00000000476246"/>
    <n v="122.72727272727273"/>
    <x v="52"/>
  </r>
  <r>
    <x v="7"/>
    <x v="0"/>
    <n v="77"/>
    <n v="9270"/>
    <d v="2014-04-08T17:10:00"/>
    <d v="2014-04-08T19:29:00"/>
    <n v="280"/>
    <n v="330"/>
    <n v="300"/>
    <s v="Wet coal"/>
    <s v="FW00Wet Coal"/>
    <s v="Mill Creek"/>
    <x v="0"/>
    <s v="Coal"/>
    <x v="1"/>
    <x v="1"/>
    <n v="4"/>
    <n v="2.3166666665347293"/>
    <n v="0.35101010099011049"/>
    <n v="105.30303029703315"/>
    <n v="45.454545454545453"/>
    <x v="23"/>
  </r>
  <r>
    <x v="7"/>
    <x v="0"/>
    <n v="78"/>
    <n v="250"/>
    <d v="2014-04-08T19:29:00"/>
    <d v="2014-04-08T20:10:00"/>
    <n v="220"/>
    <n v="330"/>
    <n v="300"/>
    <s v="Pulverizer feeders"/>
    <s v="FW001C Coal Feeder - Wet Coal"/>
    <s v="Mill Creek"/>
    <x v="0"/>
    <s v="Coal"/>
    <x v="1"/>
    <x v="1"/>
    <n v="4"/>
    <n v="0.6833333334652707"/>
    <n v="0.2277777778217569"/>
    <n v="68.33333334652707"/>
    <n v="100"/>
    <x v="65"/>
  </r>
  <r>
    <x v="7"/>
    <x v="0"/>
    <n v="79"/>
    <n v="250"/>
    <d v="2014-04-08T20:10:00"/>
    <d v="2014-04-08T23:35:00"/>
    <n v="175"/>
    <n v="330"/>
    <n v="300"/>
    <s v="Pulverizer feeders"/>
    <s v="FW001B &amp; 1C Coal Feeders - Wet Coal"/>
    <s v="Mill Creek"/>
    <x v="0"/>
    <s v="Coal"/>
    <x v="1"/>
    <x v="1"/>
    <n v="4"/>
    <n v="3.4166666666278616"/>
    <n v="1.6047979797797531"/>
    <n v="481.43939393392594"/>
    <n v="140.90909090909091"/>
    <x v="59"/>
  </r>
  <r>
    <x v="7"/>
    <x v="0"/>
    <n v="80"/>
    <n v="9270"/>
    <d v="2014-04-08T23:35:00"/>
    <d v="2014-04-09T00:46:00"/>
    <n v="290"/>
    <n v="330"/>
    <n v="300"/>
    <s v="Wet coal"/>
    <s v="FW00Wet Coal"/>
    <s v="Mill Creek"/>
    <x v="0"/>
    <s v="Coal"/>
    <x v="1"/>
    <x v="1"/>
    <n v="4"/>
    <n v="1.1833333333488554"/>
    <n v="0.14343434343622488"/>
    <n v="43.030303030867465"/>
    <n v="36.363636363636367"/>
    <x v="32"/>
  </r>
  <r>
    <x v="7"/>
    <x v="0"/>
    <n v="81"/>
    <n v="250"/>
    <d v="2014-04-09T00:46:00"/>
    <d v="2014-04-09T03:50:00"/>
    <n v="220"/>
    <n v="330"/>
    <n v="300"/>
    <s v="Pulverizer feeders"/>
    <s v="FW001D Coal Feeder - Wet Coal"/>
    <s v="Mill Creek"/>
    <x v="0"/>
    <s v="Coal"/>
    <x v="1"/>
    <x v="1"/>
    <n v="4"/>
    <n v="3.0666666665347293"/>
    <n v="1.0222222221782431"/>
    <n v="306.66666665347293"/>
    <n v="100"/>
    <x v="65"/>
  </r>
  <r>
    <x v="7"/>
    <x v="0"/>
    <n v="82"/>
    <n v="9270"/>
    <d v="2014-04-09T03:50:00"/>
    <d v="2014-04-09T04:45:00"/>
    <n v="280"/>
    <n v="330"/>
    <n v="300"/>
    <s v="Wet coal"/>
    <s v="FW00Wet Coal"/>
    <s v="Mill Creek"/>
    <x v="0"/>
    <s v="Coal"/>
    <x v="1"/>
    <x v="1"/>
    <n v="4"/>
    <n v="0.91666666668606922"/>
    <n v="0.13888888889182868"/>
    <n v="41.666666667548604"/>
    <n v="45.454545454545453"/>
    <x v="23"/>
  </r>
  <r>
    <x v="7"/>
    <x v="0"/>
    <n v="83"/>
    <n v="9270"/>
    <d v="2014-04-09T04:45:00"/>
    <d v="2014-04-09T06:47:00"/>
    <n v="160"/>
    <n v="330"/>
    <n v="300"/>
    <s v="Wet coal"/>
    <s v="FW00Wet Coal"/>
    <s v="Mill Creek"/>
    <x v="0"/>
    <s v="Coal"/>
    <x v="1"/>
    <x v="1"/>
    <n v="4"/>
    <n v="2.0333333333255723"/>
    <n v="1.0474747474707493"/>
    <n v="314.2424242412248"/>
    <n v="154.54545454545453"/>
    <x v="234"/>
  </r>
  <r>
    <x v="7"/>
    <x v="0"/>
    <n v="84"/>
    <n v="9270"/>
    <d v="2014-04-09T06:47:00"/>
    <d v="2014-04-10T04:00:00"/>
    <n v="220"/>
    <n v="330"/>
    <n v="300"/>
    <s v="Wet coal"/>
    <s v="FW00Wet Coal"/>
    <s v="Mill Creek"/>
    <x v="0"/>
    <s v="Coal"/>
    <x v="1"/>
    <x v="1"/>
    <n v="4"/>
    <n v="21.216666666674428"/>
    <n v="7.0722222222248092"/>
    <n v="2121.6666666674428"/>
    <n v="100"/>
    <x v="65"/>
  </r>
  <r>
    <x v="7"/>
    <x v="0"/>
    <n v="85"/>
    <n v="9270"/>
    <d v="2014-04-10T04:00:00"/>
    <d v="2014-04-10T10:49:00"/>
    <n v="290"/>
    <n v="330"/>
    <n v="300"/>
    <s v="Wet coal"/>
    <s v="FW00Wet Coal"/>
    <s v="Mill Creek"/>
    <x v="0"/>
    <s v="Coal"/>
    <x v="1"/>
    <x v="1"/>
    <n v="4"/>
    <n v="6.8166666667093523"/>
    <n v="0.82626262626780023"/>
    <n v="247.87878788034007"/>
    <n v="36.363636363636367"/>
    <x v="32"/>
  </r>
  <r>
    <x v="7"/>
    <x v="0"/>
    <n v="86"/>
    <n v="1850"/>
    <d v="2014-04-10T23:41:00"/>
    <d v="2014-04-11T07:00:00"/>
    <n v="285"/>
    <n v="330"/>
    <n v="300"/>
    <s v="Boiler water condition (not feedwater water quality)"/>
    <s v="F170High Silica"/>
    <s v="Mill Creek"/>
    <x v="0"/>
    <s v="Coal"/>
    <x v="1"/>
    <x v="1"/>
    <n v="4"/>
    <n v="7.316666666592937"/>
    <n v="0.99772727271721873"/>
    <n v="299.31818181516564"/>
    <n v="40.909090909090907"/>
    <x v="28"/>
  </r>
  <r>
    <x v="7"/>
    <x v="6"/>
    <n v="87"/>
    <n v="1801"/>
    <d v="2014-04-12T11:55:00"/>
    <d v="2014-04-19T10:38:00"/>
    <n v="0"/>
    <n v="330"/>
    <n v="300"/>
    <s v="Minor boiler overhaul (less than 720 hours) (use for non-specific overhaul only; see page B-1)"/>
    <s v="F590Planned One Week Outage"/>
    <s v="Mill Creek"/>
    <x v="1"/>
    <s v="Coal"/>
    <x v="1"/>
    <x v="1"/>
    <n v="4"/>
    <n v="166.71666666667443"/>
    <n v="166.71666666667443"/>
    <n v="50015.000000002328"/>
    <n v="300"/>
    <x v="229"/>
  </r>
  <r>
    <x v="7"/>
    <x v="3"/>
    <n v="88"/>
    <n v="1850"/>
    <d v="2014-04-19T10:38:00"/>
    <d v="2014-04-19T14:45:00"/>
    <n v="0"/>
    <n v="330"/>
    <n v="300"/>
    <s v="Boiler water condition (not feedwater water quality)"/>
    <s v="F170High Silica @ Cold Start Up"/>
    <s v="Mill Creek"/>
    <x v="1"/>
    <s v="Coal"/>
    <x v="1"/>
    <x v="1"/>
    <n v="4"/>
    <n v="4.1166666666395031"/>
    <n v="4.1166666666395031"/>
    <n v="1234.9999999918509"/>
    <n v="300"/>
    <x v="229"/>
  </r>
  <r>
    <x v="7"/>
    <x v="5"/>
    <n v="89"/>
    <n v="3662"/>
    <d v="2014-04-19T14:45:00"/>
    <d v="2014-04-19T17:39:00"/>
    <n v="0"/>
    <n v="330"/>
    <n v="300"/>
    <s v="4160-volt conductors and buses"/>
    <s v="F870B Bus Undervoltage - Blown Fuse"/>
    <s v="Mill Creek"/>
    <x v="3"/>
    <s v="Coal"/>
    <x v="1"/>
    <x v="1"/>
    <n v="4"/>
    <n v="2.9000000000232831"/>
    <n v="2.9000000000232831"/>
    <n v="870.00000000698492"/>
    <n v="300"/>
    <x v="229"/>
  </r>
  <r>
    <x v="7"/>
    <x v="3"/>
    <n v="90"/>
    <n v="1850"/>
    <d v="2014-04-19T17:39:00"/>
    <d v="2014-04-19T17:49:00"/>
    <n v="0"/>
    <n v="330"/>
    <n v="300"/>
    <s v="Boiler water condition (not feedwater water quality)"/>
    <s v="F170High Silica @ Very Hot Start Up"/>
    <s v="Mill Creek"/>
    <x v="1"/>
    <s v="Coal"/>
    <x v="1"/>
    <x v="1"/>
    <n v="4"/>
    <n v="0.16666666651144624"/>
    <n v="0.16666666651144624"/>
    <n v="49.999999953433871"/>
    <n v="300"/>
    <x v="229"/>
  </r>
  <r>
    <x v="7"/>
    <x v="5"/>
    <n v="91"/>
    <n v="4309"/>
    <d v="2014-04-19T17:49:00"/>
    <d v="2014-04-19T19:43:00"/>
    <n v="0"/>
    <n v="330"/>
    <n v="300"/>
    <s v="Other turbine instrument and control problems"/>
    <s v="F820Turbine Trip - Unknown Reason"/>
    <s v="Mill Creek"/>
    <x v="3"/>
    <s v="Coal"/>
    <x v="1"/>
    <x v="1"/>
    <n v="4"/>
    <n v="1.9000000000814907"/>
    <n v="1.9000000000814907"/>
    <n v="570.00000002444722"/>
    <n v="300"/>
    <x v="229"/>
  </r>
  <r>
    <x v="7"/>
    <x v="3"/>
    <n v="92"/>
    <n v="1850"/>
    <d v="2014-04-19T19:43:00"/>
    <d v="2014-04-20T05:20:00"/>
    <n v="0"/>
    <n v="330"/>
    <n v="300"/>
    <s v="Boiler water condition (not feedwater water quality)"/>
    <s v="F170High Silica @ Start Up"/>
    <s v="Mill Creek"/>
    <x v="1"/>
    <s v="Coal"/>
    <x v="1"/>
    <x v="1"/>
    <n v="4"/>
    <n v="9.6166666665812954"/>
    <n v="9.6166666665812954"/>
    <n v="2884.9999999743886"/>
    <n v="300"/>
    <x v="229"/>
  </r>
  <r>
    <x v="7"/>
    <x v="2"/>
    <n v="93"/>
    <n v="310"/>
    <d v="2014-04-24T22:00:00"/>
    <d v="2014-04-25T05:55:00"/>
    <n v="240"/>
    <n v="330"/>
    <n v="300"/>
    <s v="Pulverizer mills"/>
    <s v="F5901D Coal Mill - Adjust Rollers"/>
    <s v="Mill Creek"/>
    <x v="0"/>
    <s v="Coal"/>
    <x v="1"/>
    <x v="1"/>
    <n v="4"/>
    <n v="7.9166666668024845"/>
    <n v="2.1590909091279502"/>
    <n v="647.72727273838507"/>
    <n v="81.818181818181813"/>
    <x v="48"/>
  </r>
  <r>
    <x v="7"/>
    <x v="2"/>
    <n v="94"/>
    <n v="310"/>
    <d v="2014-04-27T22:00:00"/>
    <d v="2014-04-28T02:00:00"/>
    <n v="240"/>
    <n v="330"/>
    <n v="300"/>
    <s v="Pulverizer mills"/>
    <s v="F5901A Coal Mill - Inspection &amp; Roller Adjustment"/>
    <s v="Mill Creek"/>
    <x v="0"/>
    <s v="Coal"/>
    <x v="1"/>
    <x v="1"/>
    <n v="4"/>
    <n v="4.0000000001164153"/>
    <n v="1.0909090909408405"/>
    <n v="327.27272728225216"/>
    <n v="81.818181818181813"/>
    <x v="48"/>
  </r>
  <r>
    <x v="7"/>
    <x v="0"/>
    <n v="95"/>
    <n v="310"/>
    <d v="2014-04-28T04:45:00"/>
    <d v="2014-04-28T08:00:00"/>
    <n v="230"/>
    <n v="330"/>
    <n v="300"/>
    <s v="Pulverizer mills"/>
    <s v="F5901A Coal Mill - Repair Cone @ Bowl"/>
    <s v="Mill Creek"/>
    <x v="0"/>
    <s v="Coal"/>
    <x v="1"/>
    <x v="1"/>
    <n v="4"/>
    <n v="3.2500000001164153"/>
    <n v="0.9848484848837622"/>
    <n v="295.45454546512866"/>
    <n v="90.909090909090907"/>
    <x v="42"/>
  </r>
  <r>
    <x v="7"/>
    <x v="0"/>
    <n v="96"/>
    <n v="250"/>
    <d v="2014-04-28T20:45:00"/>
    <d v="2014-04-29T00:20:00"/>
    <n v="250"/>
    <n v="330"/>
    <n v="300"/>
    <s v="Pulverizer feeders"/>
    <s v="F5901A Coal Feeder - Replace Clean Out Conveyor Shear Pin"/>
    <s v="Mill Creek"/>
    <x v="0"/>
    <s v="Coal"/>
    <x v="1"/>
    <x v="1"/>
    <n v="4"/>
    <n v="3.5833333333139308"/>
    <n v="0.86868686868216505"/>
    <n v="260.60606060464954"/>
    <n v="72.727272727272734"/>
    <x v="87"/>
  </r>
  <r>
    <x v="7"/>
    <x v="2"/>
    <n v="97"/>
    <n v="310"/>
    <d v="2014-04-30T23:00:00"/>
    <d v="2014-05-01T01:32:00"/>
    <n v="240"/>
    <n v="330"/>
    <n v="300"/>
    <s v="Pulverizer mills"/>
    <s v="F5901D Coal Mill - Roller Adjustment"/>
    <s v="Mill Creek"/>
    <x v="0"/>
    <s v="Coal"/>
    <x v="1"/>
    <x v="1"/>
    <n v="4"/>
    <n v="2.533333333209157"/>
    <n v="0.69090909087522467"/>
    <n v="207.2727272625674"/>
    <n v="81.818181818181813"/>
    <x v="48"/>
  </r>
  <r>
    <x v="7"/>
    <x v="0"/>
    <n v="98"/>
    <n v="4266"/>
    <d v="2014-05-06T03:10:00"/>
    <d v="2014-05-06T05:05:00"/>
    <n v="135"/>
    <n v="330"/>
    <n v="300"/>
    <s v="Main stop valve testing"/>
    <s v="F720Turbine #1 Main Stop Valve - Fast Acting Solenoid Would Not Open During Valve Test"/>
    <s v="Mill Creek"/>
    <x v="0"/>
    <s v="Coal"/>
    <x v="1"/>
    <x v="1"/>
    <n v="5"/>
    <n v="1.9166666666278616"/>
    <n v="1.1325757575528272"/>
    <n v="339.77272726584818"/>
    <n v="177.27272727272728"/>
    <x v="84"/>
  </r>
  <r>
    <x v="7"/>
    <x v="2"/>
    <n v="99"/>
    <n v="250"/>
    <d v="2014-05-12T22:28:00"/>
    <d v="2014-05-13T04:05:00"/>
    <n v="213"/>
    <n v="330"/>
    <n v="300"/>
    <s v="Pulverizer feeders"/>
    <s v="F5901A Coal Feeder - Repair Clean Out Conveyor Gearbox"/>
    <s v="Mill Creek"/>
    <x v="0"/>
    <s v="Coal"/>
    <x v="1"/>
    <x v="1"/>
    <n v="5"/>
    <n v="5.6166666666395031"/>
    <n v="1.9913636363540057"/>
    <n v="597.40909090620175"/>
    <n v="106.36363636363636"/>
    <x v="207"/>
  </r>
  <r>
    <x v="7"/>
    <x v="4"/>
    <n v="100"/>
    <n v="3110"/>
    <d v="2014-05-23T22:40:00"/>
    <d v="2014-05-24T21:59:00"/>
    <n v="0"/>
    <n v="330"/>
    <n v="300"/>
    <s v="Condenser tube leaks"/>
    <s v="F540Condenser Tube Leak"/>
    <s v="Mill Creek"/>
    <x v="2"/>
    <s v="Coal"/>
    <x v="1"/>
    <x v="1"/>
    <n v="5"/>
    <n v="23.316666666709352"/>
    <n v="23.316666666709352"/>
    <n v="6995.0000000128057"/>
    <n v="300"/>
    <x v="229"/>
  </r>
  <r>
    <x v="7"/>
    <x v="3"/>
    <n v="101"/>
    <n v="1850"/>
    <d v="2014-05-24T21:59:00"/>
    <d v="2014-05-24T22:30:00"/>
    <n v="0"/>
    <n v="330"/>
    <n v="300"/>
    <s v="Boiler water condition (not feedwater water quality)"/>
    <s v="F170High Silica @ Hot Start Up"/>
    <s v="Mill Creek"/>
    <x v="1"/>
    <s v="Coal"/>
    <x v="1"/>
    <x v="1"/>
    <n v="5"/>
    <n v="0.5166666666045785"/>
    <n v="0.5166666666045785"/>
    <n v="154.99999998137355"/>
    <n v="300"/>
    <x v="229"/>
  </r>
  <r>
    <x v="7"/>
    <x v="5"/>
    <n v="102"/>
    <n v="800"/>
    <d v="2014-05-24T22:30:00"/>
    <d v="2014-05-24T23:30:00"/>
    <n v="0"/>
    <n v="330"/>
    <n v="300"/>
    <s v="Drums and drum internals (single drum only)"/>
    <s v="F820High Drum Level Trip - Turbine Controls"/>
    <s v="Mill Creek"/>
    <x v="3"/>
    <s v="Coal"/>
    <x v="1"/>
    <x v="1"/>
    <n v="5"/>
    <n v="0.99999999994179234"/>
    <n v="0.99999999994179234"/>
    <n v="299.9999999825377"/>
    <n v="300"/>
    <x v="229"/>
  </r>
  <r>
    <x v="7"/>
    <x v="3"/>
    <n v="103"/>
    <n v="1850"/>
    <d v="2014-05-24T23:30:00"/>
    <d v="2014-05-25T05:30:00"/>
    <n v="0"/>
    <n v="330"/>
    <n v="300"/>
    <s v="Boiler water condition (not feedwater water quality)"/>
    <s v="F170High Silica @ Hot Start Up"/>
    <s v="Mill Creek"/>
    <x v="1"/>
    <s v="Coal"/>
    <x v="1"/>
    <x v="1"/>
    <n v="5"/>
    <n v="6"/>
    <n v="6"/>
    <n v="1800"/>
    <n v="300"/>
    <x v="229"/>
  </r>
  <r>
    <x v="7"/>
    <x v="0"/>
    <n v="104"/>
    <n v="1850"/>
    <d v="2014-05-25T05:30:00"/>
    <d v="2014-05-25T07:10:00"/>
    <n v="250"/>
    <n v="330"/>
    <n v="300"/>
    <s v="Boiler water condition (not feedwater water quality)"/>
    <s v="F170High Silica"/>
    <s v="Mill Creek"/>
    <x v="0"/>
    <s v="Coal"/>
    <x v="1"/>
    <x v="1"/>
    <n v="5"/>
    <n v="1.6666666666860692"/>
    <n v="0.40404040404510772"/>
    <n v="121.21212121353231"/>
    <n v="72.727272727272734"/>
    <x v="87"/>
  </r>
  <r>
    <x v="7"/>
    <x v="2"/>
    <n v="105"/>
    <n v="250"/>
    <d v="2014-05-27T23:00:00"/>
    <d v="2014-05-28T04:00:00"/>
    <n v="240"/>
    <n v="330"/>
    <n v="300"/>
    <s v="Pulverizer feeders"/>
    <s v="F5901A Coal Feeder - Calibration &amp; Mill Roller Adjustment"/>
    <s v="Mill Creek"/>
    <x v="0"/>
    <s v="Coal"/>
    <x v="1"/>
    <x v="1"/>
    <n v="5"/>
    <n v="4.9999999998835847"/>
    <n v="1.363636363604614"/>
    <n v="409.09090908138421"/>
    <n v="81.818181818181813"/>
    <x v="48"/>
  </r>
  <r>
    <x v="7"/>
    <x v="3"/>
    <n v="106"/>
    <n v="4842"/>
    <d v="2014-06-02T09:00:00"/>
    <d v="2014-06-02T11:09:00"/>
    <n v="0"/>
    <n v="330"/>
    <n v="300"/>
    <s v="Reactive and capability testing"/>
    <s v="F790Generator Reactive Power Capability Test"/>
    <s v="Mill Creek"/>
    <x v="1"/>
    <s v="Coal"/>
    <x v="1"/>
    <x v="1"/>
    <n v="6"/>
    <n v="2.1500000000232831"/>
    <n v="2.1500000000232831"/>
    <n v="645.00000000698492"/>
    <n v="300"/>
    <x v="229"/>
  </r>
  <r>
    <x v="7"/>
    <x v="0"/>
    <n v="107"/>
    <n v="8260"/>
    <d v="2014-06-06T12:33:00"/>
    <d v="2014-06-07T07:03:00"/>
    <n v="275"/>
    <n v="330"/>
    <n v="300"/>
    <s v="Scrubber booster I.D. fan (fan specific to the scrubber)"/>
    <s v="F4301A Booster Fan Motor Lead - Replace Lugs"/>
    <s v="Mill Creek"/>
    <x v="0"/>
    <s v="Coal"/>
    <x v="1"/>
    <x v="1"/>
    <n v="6"/>
    <n v="18.499999999883585"/>
    <n v="3.0833333333139308"/>
    <n v="924.99999999417923"/>
    <n v="50"/>
    <x v="33"/>
  </r>
  <r>
    <x v="7"/>
    <x v="0"/>
    <n v="108"/>
    <n v="8280"/>
    <d v="2014-06-19T03:40:00"/>
    <d v="2014-06-19T05:05:00"/>
    <n v="125"/>
    <n v="330"/>
    <n v="300"/>
    <s v="Reagent feed piping"/>
    <s v="F540FGD &quot;A&quot; Reactant Feed Supply Line - Leak"/>
    <s v="Mill Creek"/>
    <x v="0"/>
    <s v="Coal"/>
    <x v="1"/>
    <x v="1"/>
    <n v="6"/>
    <n v="1.4166666665696539"/>
    <n v="0.88005050499023951"/>
    <n v="264.01515149707183"/>
    <n v="186.36363636363637"/>
    <x v="60"/>
  </r>
  <r>
    <x v="7"/>
    <x v="0"/>
    <n v="109"/>
    <n v="250"/>
    <d v="2014-06-19T23:50:00"/>
    <d v="2014-06-20T00:55:00"/>
    <n v="230"/>
    <n v="330"/>
    <n v="300"/>
    <s v="Pulverizer feeders"/>
    <s v="F1201D Coal Feeder - Plugged"/>
    <s v="Mill Creek"/>
    <x v="0"/>
    <s v="Coal"/>
    <x v="1"/>
    <x v="1"/>
    <n v="6"/>
    <n v="1.0833333333721384"/>
    <n v="0.32828282829458738"/>
    <n v="98.484848488376215"/>
    <n v="90.909090909090907"/>
    <x v="42"/>
  </r>
  <r>
    <x v="7"/>
    <x v="0"/>
    <n v="110"/>
    <n v="4309"/>
    <d v="2014-06-20T00:55:00"/>
    <d v="2014-06-20T02:05:00"/>
    <n v="80"/>
    <n v="330"/>
    <n v="300"/>
    <s v="Other turbine instrument and control problems"/>
    <s v="F400Turbine Controls Issue"/>
    <s v="Mill Creek"/>
    <x v="0"/>
    <s v="Coal"/>
    <x v="1"/>
    <x v="1"/>
    <n v="6"/>
    <n v="1.1666666666278616"/>
    <n v="0.88383838380898605"/>
    <n v="265.15151514269581"/>
    <n v="227.27272727272728"/>
    <x v="235"/>
  </r>
  <r>
    <x v="7"/>
    <x v="0"/>
    <n v="111"/>
    <n v="250"/>
    <d v="2014-06-20T12:13:00"/>
    <d v="2014-06-20T14:12:00"/>
    <n v="250"/>
    <n v="330"/>
    <n v="300"/>
    <s v="Pulverizer feeders"/>
    <s v="F8201A Coal Feeder - Keeps Tripping, electrical issue"/>
    <s v="Mill Creek"/>
    <x v="0"/>
    <s v="Coal"/>
    <x v="1"/>
    <x v="1"/>
    <n v="6"/>
    <n v="1.9833333333372138"/>
    <n v="0.48080808080902154"/>
    <n v="144.24242424270648"/>
    <n v="72.727272727272734"/>
    <x v="87"/>
  </r>
  <r>
    <x v="7"/>
    <x v="0"/>
    <n v="112"/>
    <n v="250"/>
    <d v="2014-06-20T15:03:00"/>
    <d v="2014-06-20T19:37:00"/>
    <n v="250"/>
    <n v="330"/>
    <n v="300"/>
    <s v="Pulverizer feeders"/>
    <s v="F8201A Coal Feeder - keeps tripping, electrical issue"/>
    <s v="Mill Creek"/>
    <x v="0"/>
    <s v="Coal"/>
    <x v="1"/>
    <x v="1"/>
    <n v="6"/>
    <n v="4.5666666667093523"/>
    <n v="1.107070707081055"/>
    <n v="332.12121212431651"/>
    <n v="72.727272727272734"/>
    <x v="87"/>
  </r>
  <r>
    <x v="7"/>
    <x v="2"/>
    <n v="113"/>
    <n v="4260"/>
    <d v="2014-06-20T22:00:00"/>
    <d v="2014-06-21T01:19:00"/>
    <n v="200"/>
    <n v="330"/>
    <n v="300"/>
    <s v="Main stop valves"/>
    <s v="F590Turbine Valve Maintenace - Transferred Valves"/>
    <s v="Mill Creek"/>
    <x v="0"/>
    <s v="Coal"/>
    <x v="1"/>
    <x v="1"/>
    <n v="6"/>
    <n v="3.3166666666511446"/>
    <n v="1.3065656565595418"/>
    <n v="391.96969696786255"/>
    <n v="118.18181818181819"/>
    <x v="40"/>
  </r>
  <r>
    <x v="7"/>
    <x v="0"/>
    <n v="114"/>
    <n v="250"/>
    <d v="2014-06-21T14:55:00"/>
    <d v="2014-06-21T16:37:00"/>
    <n v="250"/>
    <n v="330"/>
    <n v="300"/>
    <s v="Pulverizer feeders"/>
    <s v="F8201A Coal Feeder - keeps tripping, electrical issue"/>
    <s v="Mill Creek"/>
    <x v="0"/>
    <s v="Coal"/>
    <x v="1"/>
    <x v="1"/>
    <n v="6"/>
    <n v="1.6999999999534339"/>
    <n v="0.41212121210992336"/>
    <n v="123.63636363297701"/>
    <n v="72.727272727272734"/>
    <x v="87"/>
  </r>
  <r>
    <x v="7"/>
    <x v="0"/>
    <n v="115"/>
    <n v="250"/>
    <d v="2014-06-23T13:10:00"/>
    <d v="2014-06-23T15:00:00"/>
    <n v="285"/>
    <n v="330"/>
    <n v="300"/>
    <s v="Pulverizer feeders"/>
    <s v="F1201B Coal Feeder - Plugged"/>
    <s v="Mill Creek"/>
    <x v="0"/>
    <s v="Coal"/>
    <x v="1"/>
    <x v="1"/>
    <n v="6"/>
    <n v="1.8333333333721384"/>
    <n v="0.2500000000052916"/>
    <n v="75.00000000158748"/>
    <n v="40.909090909090907"/>
    <x v="28"/>
  </r>
  <r>
    <x v="7"/>
    <x v="3"/>
    <n v="116"/>
    <n v="8460"/>
    <d v="2014-06-23T16:00:00"/>
    <d v="2014-06-23T23:00:00"/>
    <n v="0"/>
    <n v="330"/>
    <n v="300"/>
    <s v="Testing A"/>
    <s v="F790RATA Test - Full Load"/>
    <s v="Mill Creek"/>
    <x v="1"/>
    <s v="Coal"/>
    <x v="1"/>
    <x v="1"/>
    <n v="6"/>
    <n v="7.0000000001164153"/>
    <n v="7.0000000001164153"/>
    <n v="2100.0000000349246"/>
    <n v="300"/>
    <x v="229"/>
  </r>
  <r>
    <x v="7"/>
    <x v="2"/>
    <n v="117"/>
    <n v="310"/>
    <d v="2014-06-23T23:00:00"/>
    <d v="2014-06-24T04:25:00"/>
    <n v="240"/>
    <n v="330"/>
    <n v="300"/>
    <s v="Pulverizer mills"/>
    <s v="F5901A Coal Mill - Inspection &amp; Roller Adjustment"/>
    <s v="Mill Creek"/>
    <x v="0"/>
    <s v="Coal"/>
    <x v="1"/>
    <x v="1"/>
    <n v="6"/>
    <n v="5.4166666666860692"/>
    <n v="1.4772727272780188"/>
    <n v="443.18181818340565"/>
    <n v="81.818181818181813"/>
    <x v="48"/>
  </r>
  <r>
    <x v="7"/>
    <x v="3"/>
    <n v="118"/>
    <n v="8460"/>
    <d v="2014-06-24T08:00:00"/>
    <d v="2014-06-24T15:15:00"/>
    <n v="0"/>
    <n v="330"/>
    <n v="300"/>
    <s v="Testing A"/>
    <s v="F790RATA Test - Full Load"/>
    <s v="Mill Creek"/>
    <x v="1"/>
    <s v="Coal"/>
    <x v="1"/>
    <x v="1"/>
    <n v="6"/>
    <n v="7.2499999998835847"/>
    <n v="7.2499999998835847"/>
    <n v="2174.9999999650754"/>
    <n v="300"/>
    <x v="229"/>
  </r>
  <r>
    <x v="7"/>
    <x v="2"/>
    <n v="119"/>
    <n v="310"/>
    <d v="2014-06-24T22:45:00"/>
    <d v="2014-06-25T08:00:00"/>
    <n v="235"/>
    <n v="330"/>
    <n v="300"/>
    <s v="Pulverizer mills"/>
    <s v="F5901B Coal Mill - Replace Roller"/>
    <s v="Mill Creek"/>
    <x v="0"/>
    <s v="Coal"/>
    <x v="1"/>
    <x v="1"/>
    <n v="6"/>
    <n v="9.2500000001164153"/>
    <n v="2.6628787879123013"/>
    <n v="798.86363637369038"/>
    <n v="86.36363636363636"/>
    <x v="173"/>
  </r>
  <r>
    <x v="7"/>
    <x v="2"/>
    <n v="120"/>
    <n v="250"/>
    <d v="2014-06-25T22:05:00"/>
    <d v="2014-06-26T03:29:00"/>
    <n v="235"/>
    <n v="330"/>
    <n v="300"/>
    <s v="Pulverizer feeders"/>
    <s v="F0901C Coal Feeder - Calibrate"/>
    <s v="Mill Creek"/>
    <x v="0"/>
    <s v="Coal"/>
    <x v="1"/>
    <x v="1"/>
    <n v="6"/>
    <n v="5.3999999999650754"/>
    <n v="1.5545454545354005"/>
    <n v="466.36363636062015"/>
    <n v="86.36363636363636"/>
    <x v="173"/>
  </r>
  <r>
    <x v="7"/>
    <x v="5"/>
    <n v="121"/>
    <n v="800"/>
    <d v="2014-06-29T17:28:00"/>
    <d v="2014-06-29T19:33:00"/>
    <n v="0"/>
    <n v="330"/>
    <n v="300"/>
    <s v="Drums and drum internals (single drum only)"/>
    <s v="F820High Drum Level Trip due to Control Logic Issue"/>
    <s v="Mill Creek"/>
    <x v="3"/>
    <s v="Coal"/>
    <x v="1"/>
    <x v="1"/>
    <n v="6"/>
    <n v="2.0833333333139308"/>
    <n v="2.0833333333139308"/>
    <n v="624.99999999417923"/>
    <n v="300"/>
    <x v="229"/>
  </r>
  <r>
    <x v="7"/>
    <x v="3"/>
    <n v="122"/>
    <n v="1850"/>
    <d v="2014-06-29T19:33:00"/>
    <d v="2014-06-29T23:33:00"/>
    <n v="0"/>
    <n v="330"/>
    <n v="300"/>
    <s v="Boiler water condition (not feedwater water quality)"/>
    <s v="F170High Silica @ Very Hot Start Up"/>
    <s v="Mill Creek"/>
    <x v="1"/>
    <s v="Coal"/>
    <x v="1"/>
    <x v="1"/>
    <n v="6"/>
    <n v="3.9999999999417923"/>
    <n v="3.9999999999417923"/>
    <n v="1199.9999999825377"/>
    <n v="300"/>
    <x v="229"/>
  </r>
  <r>
    <x v="7"/>
    <x v="0"/>
    <n v="123"/>
    <n v="1850"/>
    <d v="2014-06-29T23:33:00"/>
    <d v="2014-06-30T02:45:00"/>
    <n v="148"/>
    <n v="330"/>
    <n v="300"/>
    <s v="Boiler water condition (not feedwater water quality)"/>
    <s v="F170High Silica"/>
    <s v="Mill Creek"/>
    <x v="0"/>
    <s v="Coal"/>
    <x v="1"/>
    <x v="1"/>
    <n v="6"/>
    <n v="3.2000000001280569"/>
    <n v="1.7648484849191102"/>
    <n v="529.45454547573308"/>
    <n v="165.45454545454547"/>
    <x v="112"/>
  </r>
  <r>
    <x v="7"/>
    <x v="0"/>
    <n v="124"/>
    <n v="1850"/>
    <d v="2014-06-30T02:45:00"/>
    <d v="2014-06-30T03:44:00"/>
    <n v="240"/>
    <n v="330"/>
    <n v="300"/>
    <s v="Boiler water condition (not feedwater water quality)"/>
    <s v="F170High Silica"/>
    <s v="Mill Creek"/>
    <x v="0"/>
    <s v="Coal"/>
    <x v="1"/>
    <x v="1"/>
    <n v="6"/>
    <n v="0.98333333322079852"/>
    <n v="0.26818181815112685"/>
    <n v="80.454545445338056"/>
    <n v="81.818181818181813"/>
    <x v="48"/>
  </r>
  <r>
    <x v="7"/>
    <x v="0"/>
    <n v="125"/>
    <n v="1850"/>
    <d v="2014-06-30T03:44:00"/>
    <d v="2014-06-30T06:03:00"/>
    <n v="290"/>
    <n v="330"/>
    <n v="300"/>
    <s v="Boiler water condition (not feedwater water quality)"/>
    <s v="F170High Silica"/>
    <s v="Mill Creek"/>
    <x v="0"/>
    <s v="Coal"/>
    <x v="1"/>
    <x v="1"/>
    <n v="6"/>
    <n v="2.3166666667093523"/>
    <n v="0.28080808081325481"/>
    <n v="84.242424243976444"/>
    <n v="36.363636363636367"/>
    <x v="32"/>
  </r>
  <r>
    <x v="7"/>
    <x v="3"/>
    <n v="126"/>
    <n v="1990"/>
    <d v="2014-07-02T08:25:00"/>
    <d v="2014-07-02T10:54:00"/>
    <n v="0"/>
    <n v="330"/>
    <n v="300"/>
    <s v="Boiler performance testing (use code 9999 for total unit performance testing)"/>
    <s v="F790Capability Test - Max Fire/Max Load"/>
    <s v="Mill Creek"/>
    <x v="1"/>
    <s v="Coal"/>
    <x v="1"/>
    <x v="1"/>
    <n v="7"/>
    <n v="2.4833333333954215"/>
    <n v="2.4833333333954215"/>
    <n v="745.00000001862645"/>
    <n v="300"/>
    <x v="229"/>
  </r>
  <r>
    <x v="7"/>
    <x v="4"/>
    <n v="127"/>
    <n v="1180"/>
    <d v="2014-07-03T22:43:00"/>
    <d v="2014-07-07T06:00:00"/>
    <n v="0"/>
    <n v="330"/>
    <n v="300"/>
    <s v="Economizer A"/>
    <s v="F320Economizer Wash"/>
    <s v="Mill Creek"/>
    <x v="2"/>
    <s v="Coal"/>
    <x v="1"/>
    <x v="1"/>
    <n v="7"/>
    <n v="79.283333333325572"/>
    <n v="79.283333333325572"/>
    <n v="23784.999999997672"/>
    <n v="300"/>
    <x v="229"/>
  </r>
  <r>
    <x v="7"/>
    <x v="12"/>
    <n v="128"/>
    <n v="1493"/>
    <d v="2014-07-07T06:00:00"/>
    <d v="2014-07-08T05:49:00"/>
    <n v="0"/>
    <n v="330"/>
    <n v="300"/>
    <s v="Air heater fouling (regenerative)"/>
    <s v="F320Air Heater Wash"/>
    <s v="Mill Creek"/>
    <x v="2"/>
    <s v="Coal"/>
    <x v="1"/>
    <x v="1"/>
    <n v="7"/>
    <n v="23.816666666592937"/>
    <n v="23.816666666592937"/>
    <n v="7144.9999999778811"/>
    <n v="300"/>
    <x v="229"/>
  </r>
  <r>
    <x v="7"/>
    <x v="0"/>
    <n v="129"/>
    <n v="360"/>
    <d v="2014-07-09T20:18:00"/>
    <d v="2014-07-09T21:29:00"/>
    <n v="250"/>
    <n v="330"/>
    <n v="300"/>
    <s v="Burners"/>
    <s v="F7801C3 Burner - High Temperature"/>
    <s v="Mill Creek"/>
    <x v="0"/>
    <s v="Coal"/>
    <x v="1"/>
    <x v="1"/>
    <n v="7"/>
    <n v="1.1833333333488554"/>
    <n v="0.28686868687244976"/>
    <n v="86.06060606173493"/>
    <n v="72.727272727272734"/>
    <x v="87"/>
  </r>
  <r>
    <x v="7"/>
    <x v="0"/>
    <n v="130"/>
    <n v="4261"/>
    <d v="2014-07-12T00:33:00"/>
    <d v="2014-07-12T02:15:00"/>
    <n v="260"/>
    <n v="330"/>
    <n v="300"/>
    <s v="Control valves"/>
    <s v="F690#1 Turbine Control Valve stuck closed"/>
    <s v="Mill Creek"/>
    <x v="0"/>
    <s v="Coal"/>
    <x v="1"/>
    <x v="1"/>
    <n v="7"/>
    <n v="1.6999999999534339"/>
    <n v="0.36060606059618294"/>
    <n v="108.18181817885488"/>
    <n v="63.636363636363633"/>
    <x v="30"/>
  </r>
  <r>
    <x v="7"/>
    <x v="0"/>
    <n v="131"/>
    <n v="360"/>
    <d v="2014-07-17T15:38:00"/>
    <d v="2014-07-17T16:05:00"/>
    <n v="250"/>
    <n v="330"/>
    <n v="300"/>
    <s v="Burners"/>
    <s v="F7801C3 Burner - High Temperature"/>
    <s v="Mill Creek"/>
    <x v="0"/>
    <s v="Coal"/>
    <x v="1"/>
    <x v="1"/>
    <n v="7"/>
    <n v="0.45000000006984919"/>
    <n v="0.10909090910784223"/>
    <n v="32.727272732352674"/>
    <n v="72.727272727272734"/>
    <x v="87"/>
  </r>
  <r>
    <x v="7"/>
    <x v="3"/>
    <n v="132"/>
    <n v="8460"/>
    <d v="2014-07-23T09:45:00"/>
    <d v="2014-07-23T13:58:00"/>
    <n v="0"/>
    <n v="330"/>
    <n v="300"/>
    <s v="Testing A"/>
    <s v="F790SO3 Test - Full Load"/>
    <s v="Mill Creek"/>
    <x v="1"/>
    <s v="Coal"/>
    <x v="1"/>
    <x v="1"/>
    <n v="7"/>
    <n v="4.21666666661622"/>
    <n v="4.21666666661622"/>
    <n v="1264.999999984866"/>
    <n v="300"/>
    <x v="229"/>
  </r>
  <r>
    <x v="7"/>
    <x v="0"/>
    <n v="133"/>
    <n v="250"/>
    <d v="2014-07-27T17:40:00"/>
    <d v="2014-07-27T20:20:00"/>
    <n v="298"/>
    <n v="330"/>
    <n v="300"/>
    <s v="Pulverizer feeders"/>
    <s v="F5901A Coal Feeder - Reset Microprocessor, gas in"/>
    <s v="Mill Creek"/>
    <x v="0"/>
    <s v="Coal"/>
    <x v="1"/>
    <x v="1"/>
    <n v="7"/>
    <n v="2.6666666666278616"/>
    <n v="0.25858585858209565"/>
    <n v="77.575757574628696"/>
    <n v="29.09090909090909"/>
    <x v="206"/>
  </r>
  <r>
    <x v="7"/>
    <x v="5"/>
    <n v="134"/>
    <n v="4499"/>
    <d v="2014-07-29T02:10:00"/>
    <d v="2014-07-29T06:13:00"/>
    <n v="0"/>
    <n v="330"/>
    <n v="300"/>
    <s v="Other miscellaneous steam turbine problems"/>
    <s v="F830Turbine Manual Trip"/>
    <s v="Mill Creek"/>
    <x v="3"/>
    <s v="Coal"/>
    <x v="1"/>
    <x v="1"/>
    <n v="7"/>
    <n v="4.0499999999301508"/>
    <n v="4.0499999999301508"/>
    <n v="1214.9999999790452"/>
    <n v="300"/>
    <x v="229"/>
  </r>
  <r>
    <x v="7"/>
    <x v="3"/>
    <n v="135"/>
    <n v="1850"/>
    <d v="2014-07-29T06:13:00"/>
    <d v="2014-07-29T10:10:00"/>
    <n v="0"/>
    <n v="330"/>
    <n v="300"/>
    <s v="Boiler water condition (not feedwater water quality)"/>
    <s v="F170High Silica @ Very Hot Start Up"/>
    <s v="Mill Creek"/>
    <x v="1"/>
    <s v="Coal"/>
    <x v="1"/>
    <x v="1"/>
    <n v="7"/>
    <n v="3.9499999999534339"/>
    <n v="3.9499999999534339"/>
    <n v="1184.9999999860302"/>
    <n v="300"/>
    <x v="229"/>
  </r>
  <r>
    <x v="7"/>
    <x v="2"/>
    <n v="136"/>
    <n v="310"/>
    <d v="2014-07-30T23:00:00"/>
    <d v="2014-07-31T03:50:00"/>
    <n v="240"/>
    <n v="330"/>
    <n v="300"/>
    <s v="Pulverizer mills"/>
    <s v="F5901A Coal Mill - Tempering Air Damper Repair"/>
    <s v="Mill Creek"/>
    <x v="0"/>
    <s v="Coal"/>
    <x v="1"/>
    <x v="1"/>
    <n v="7"/>
    <n v="4.8333333331975155"/>
    <n v="1.3181818181447769"/>
    <n v="395.45454544343306"/>
    <n v="81.818181818181813"/>
    <x v="48"/>
  </r>
  <r>
    <x v="7"/>
    <x v="2"/>
    <n v="137"/>
    <n v="310"/>
    <d v="2014-07-31T22:00:00"/>
    <d v="2014-08-01T03:25:00"/>
    <n v="240"/>
    <n v="330"/>
    <n v="300"/>
    <s v="Pulverizer mills"/>
    <s v="F5401B Coal Mill - Repair 1B4 Coal Conduit Leak"/>
    <s v="Mill Creek"/>
    <x v="0"/>
    <s v="Coal"/>
    <x v="1"/>
    <x v="1"/>
    <n v="7"/>
    <n v="5.4166666666860692"/>
    <n v="1.4772727272780188"/>
    <n v="443.18181818340565"/>
    <n v="81.818181818181813"/>
    <x v="48"/>
  </r>
  <r>
    <x v="7"/>
    <x v="3"/>
    <n v="138"/>
    <n v="4490"/>
    <d v="2014-08-07T09:45:00"/>
    <d v="2014-08-07T17:30:00"/>
    <n v="0"/>
    <n v="330"/>
    <n v="300"/>
    <s v="Turbine performance testing (use code 9999 for total unit performance testing)"/>
    <s v="F790Full Load - Heat Rate Test"/>
    <s v="Mill Creek"/>
    <x v="1"/>
    <s v="Coal"/>
    <x v="1"/>
    <x v="1"/>
    <n v="8"/>
    <n v="7.7499999999417923"/>
    <n v="7.7499999999417923"/>
    <n v="2324.9999999825377"/>
    <n v="300"/>
    <x v="229"/>
  </r>
  <r>
    <x v="7"/>
    <x v="3"/>
    <n v="139"/>
    <n v="4490"/>
    <d v="2014-08-08T05:00:00"/>
    <d v="2014-08-08T07:34:00"/>
    <n v="0"/>
    <n v="330"/>
    <n v="300"/>
    <s v="Turbine performance testing (use code 9999 for total unit performance testing)"/>
    <s v="F790Heat Rate Test @ 235 MW"/>
    <s v="Mill Creek"/>
    <x v="1"/>
    <s v="Coal"/>
    <x v="1"/>
    <x v="1"/>
    <n v="8"/>
    <n v="2.5666666666511446"/>
    <n v="2.5666666666511446"/>
    <n v="769.99999999534339"/>
    <n v="300"/>
    <x v="229"/>
  </r>
  <r>
    <x v="7"/>
    <x v="3"/>
    <n v="140"/>
    <n v="4490"/>
    <d v="2014-08-08T07:34:00"/>
    <d v="2014-08-08T11:54:00"/>
    <n v="0"/>
    <n v="330"/>
    <n v="300"/>
    <s v="Turbine performance testing (use code 9999 for total unit performance testing)"/>
    <s v="F790Heat Rate Test @ 285 MW"/>
    <s v="Mill Creek"/>
    <x v="1"/>
    <s v="Coal"/>
    <x v="1"/>
    <x v="1"/>
    <n v="8"/>
    <n v="4.3333333333139308"/>
    <n v="4.3333333333139308"/>
    <n v="1299.9999999941792"/>
    <n v="300"/>
    <x v="229"/>
  </r>
  <r>
    <x v="7"/>
    <x v="4"/>
    <n v="141"/>
    <n v="8650"/>
    <d v="2014-08-08T22:43:00"/>
    <d v="2014-08-10T07:56:00"/>
    <n v="0"/>
    <n v="330"/>
    <n v="300"/>
    <s v="Baghouse systems"/>
    <s v="F590Construction Project Transmission Line Clearance - Install PAC (Powder Activated C"/>
    <s v="Mill Creek"/>
    <x v="2"/>
    <s v="Coal"/>
    <x v="1"/>
    <x v="1"/>
    <n v="8"/>
    <n v="33.216666666674428"/>
    <n v="33.216666666674428"/>
    <n v="9965.0000000023283"/>
    <n v="300"/>
    <x v="229"/>
  </r>
  <r>
    <x v="7"/>
    <x v="3"/>
    <n v="142"/>
    <n v="1850"/>
    <d v="2014-08-10T07:56:00"/>
    <d v="2014-08-10T14:31:00"/>
    <n v="0"/>
    <n v="330"/>
    <n v="300"/>
    <s v="Boiler water condition (not feedwater water quality)"/>
    <s v="F170High Silica @ Hot Start Up"/>
    <s v="Mill Creek"/>
    <x v="1"/>
    <s v="Coal"/>
    <x v="1"/>
    <x v="1"/>
    <n v="8"/>
    <n v="6.5833333333139308"/>
    <n v="6.5833333333139308"/>
    <n v="1974.9999999941792"/>
    <n v="300"/>
    <x v="229"/>
  </r>
  <r>
    <x v="7"/>
    <x v="2"/>
    <n v="143"/>
    <n v="250"/>
    <d v="2014-08-11T22:00:00"/>
    <d v="2014-08-12T01:32:00"/>
    <n v="213"/>
    <n v="330"/>
    <n v="300"/>
    <s v="Pulverizer feeders"/>
    <s v="F5901A Coal Feeder - Replace Microprocessor"/>
    <s v="Mill Creek"/>
    <x v="0"/>
    <s v="Coal"/>
    <x v="1"/>
    <x v="1"/>
    <n v="8"/>
    <n v="3.5333333333255723"/>
    <n v="1.2527272727245211"/>
    <n v="375.81818181735633"/>
    <n v="106.36363636363636"/>
    <x v="207"/>
  </r>
  <r>
    <x v="7"/>
    <x v="3"/>
    <n v="144"/>
    <n v="4490"/>
    <d v="2014-08-12T08:00:00"/>
    <d v="2014-08-12T12:30:00"/>
    <n v="0"/>
    <n v="330"/>
    <n v="300"/>
    <s v="Turbine performance testing (use code 9999 for total unit performance testing)"/>
    <s v="F790Full Load Capability Test"/>
    <s v="Mill Creek"/>
    <x v="1"/>
    <s v="Coal"/>
    <x v="1"/>
    <x v="1"/>
    <n v="8"/>
    <n v="4.5"/>
    <n v="4.5"/>
    <n v="1350"/>
    <n v="300"/>
    <x v="229"/>
  </r>
  <r>
    <x v="7"/>
    <x v="5"/>
    <n v="145"/>
    <n v="800"/>
    <d v="2014-08-17T03:38:00"/>
    <d v="2014-08-17T09:45:00"/>
    <n v="0"/>
    <n v="330"/>
    <n v="300"/>
    <s v="Drums and drum internals (single drum only)"/>
    <s v="F820High Drum Level Trip - Lost 1D Coal Feeder"/>
    <s v="Mill Creek"/>
    <x v="3"/>
    <s v="Coal"/>
    <x v="1"/>
    <x v="1"/>
    <n v="8"/>
    <n v="6.1166666666977108"/>
    <n v="6.1166666666977108"/>
    <n v="1835.0000000093132"/>
    <n v="300"/>
    <x v="229"/>
  </r>
  <r>
    <x v="7"/>
    <x v="3"/>
    <n v="146"/>
    <n v="1850"/>
    <d v="2014-08-17T09:45:00"/>
    <d v="2014-08-17T14:13:00"/>
    <n v="0"/>
    <n v="330"/>
    <n v="300"/>
    <s v="Boiler water condition (not feedwater water quality)"/>
    <s v="F170High Silica @ Hot Start Up"/>
    <s v="Mill Creek"/>
    <x v="1"/>
    <s v="Coal"/>
    <x v="1"/>
    <x v="1"/>
    <n v="8"/>
    <n v="4.4666666667326353"/>
    <n v="4.4666666667326353"/>
    <n v="1340.0000000197906"/>
    <n v="300"/>
    <x v="229"/>
  </r>
  <r>
    <x v="7"/>
    <x v="0"/>
    <n v="147"/>
    <n v="250"/>
    <d v="2014-08-18T20:05:00"/>
    <d v="2014-08-18T20:30:00"/>
    <n v="250"/>
    <n v="330"/>
    <n v="300"/>
    <s v="Pulverizer feeders"/>
    <s v="F1201B Coal Feeder - Plugged, Foreign Material"/>
    <s v="Mill Creek"/>
    <x v="0"/>
    <s v="Coal"/>
    <x v="1"/>
    <x v="1"/>
    <n v="8"/>
    <n v="0.41666666662786156"/>
    <n v="0.10101010100069371"/>
    <n v="30.303030300208114"/>
    <n v="72.727272727272734"/>
    <x v="87"/>
  </r>
  <r>
    <x v="7"/>
    <x v="2"/>
    <n v="148"/>
    <n v="310"/>
    <d v="2014-08-20T23:00:00"/>
    <d v="2014-08-21T01:01:00"/>
    <n v="240"/>
    <n v="330"/>
    <n v="300"/>
    <s v="Pulverizer mills"/>
    <s v="F1201A Coal Mill - Foreign Material in Pyrite Chute"/>
    <s v="Mill Creek"/>
    <x v="0"/>
    <s v="Coal"/>
    <x v="1"/>
    <x v="1"/>
    <n v="8"/>
    <n v="2.0166666666045785"/>
    <n v="0.54999999998306681"/>
    <n v="164.99999999492005"/>
    <n v="81.818181818181813"/>
    <x v="48"/>
  </r>
  <r>
    <x v="7"/>
    <x v="3"/>
    <n v="149"/>
    <n v="1160"/>
    <d v="2014-08-23T00:30:00"/>
    <d v="2014-08-23T04:40:00"/>
    <n v="0"/>
    <n v="330"/>
    <n v="300"/>
    <s v="First reheater B"/>
    <s v="F320Boiler Deslag - First Reheater, Full Load Available as Needed"/>
    <s v="Mill Creek"/>
    <x v="1"/>
    <s v="Coal"/>
    <x v="1"/>
    <x v="1"/>
    <n v="8"/>
    <n v="4.1666666666278616"/>
    <n v="4.1666666666278616"/>
    <n v="1249.9999999883585"/>
    <n v="300"/>
    <x v="229"/>
  </r>
  <r>
    <x v="7"/>
    <x v="3"/>
    <n v="150"/>
    <n v="1160"/>
    <d v="2014-08-23T22:30:00"/>
    <d v="2014-08-24T05:18:00"/>
    <n v="0"/>
    <n v="330"/>
    <n v="300"/>
    <s v="First reheater B"/>
    <s v="F320Boiler Deslag - First Reheater, Full Load Available as Needed"/>
    <s v="Mill Creek"/>
    <x v="1"/>
    <s v="Coal"/>
    <x v="1"/>
    <x v="1"/>
    <n v="8"/>
    <n v="6.7999999999883585"/>
    <n v="6.7999999999883585"/>
    <n v="2039.9999999965075"/>
    <n v="300"/>
    <x v="229"/>
  </r>
  <r>
    <x v="7"/>
    <x v="0"/>
    <n v="151"/>
    <n v="3210"/>
    <d v="2014-08-24T23:35:00"/>
    <d v="2014-08-25T01:14:00"/>
    <n v="160"/>
    <n v="330"/>
    <n v="300"/>
    <s v="Circulating water pumps"/>
    <s v="F7801A Circulating Water Pump - Upper Guide Bearing High Temperature"/>
    <s v="Mill Creek"/>
    <x v="0"/>
    <s v="Coal"/>
    <x v="1"/>
    <x v="1"/>
    <n v="8"/>
    <n v="1.6499999999650754"/>
    <n v="0.84999999998200859"/>
    <n v="254.99999999460258"/>
    <n v="154.54545454545453"/>
    <x v="234"/>
  </r>
  <r>
    <x v="7"/>
    <x v="0"/>
    <n v="152"/>
    <n v="3211"/>
    <d v="2014-08-25T01:14:00"/>
    <d v="2014-08-25T08:12:00"/>
    <n v="260"/>
    <n v="330"/>
    <n v="300"/>
    <s v="Circulating water pump motors"/>
    <s v="F5401A Circulating Water Pump Motor - Cooler Leak Repair"/>
    <s v="Mill Creek"/>
    <x v="0"/>
    <s v="Coal"/>
    <x v="1"/>
    <x v="1"/>
    <n v="8"/>
    <n v="6.9666666666744277"/>
    <n v="1.4777777777794241"/>
    <n v="443.33333333382723"/>
    <n v="63.636363636363633"/>
    <x v="30"/>
  </r>
  <r>
    <x v="7"/>
    <x v="0"/>
    <n v="153"/>
    <n v="3211"/>
    <d v="2014-08-25T08:12:00"/>
    <d v="2014-08-25T15:27:00"/>
    <n v="290"/>
    <n v="330"/>
    <n v="300"/>
    <s v="Circulating water pump motors"/>
    <s v="F5401A Circulating Water Pump Motor - Cooler Leak Repair"/>
    <s v="Mill Creek"/>
    <x v="0"/>
    <s v="Coal"/>
    <x v="1"/>
    <x v="1"/>
    <n v="8"/>
    <n v="7.2500000000582077"/>
    <n v="0.87878787879493425"/>
    <n v="263.63636363848025"/>
    <n v="36.363636363636367"/>
    <x v="32"/>
  </r>
  <r>
    <x v="7"/>
    <x v="0"/>
    <n v="154"/>
    <n v="3149"/>
    <d v="2014-08-25T15:27:00"/>
    <d v="2014-08-26T02:00:00"/>
    <n v="280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10.549999999988358"/>
    <n v="1.5984848484830847"/>
    <n v="479.54545454492541"/>
    <n v="45.454545454545453"/>
    <x v="23"/>
  </r>
  <r>
    <x v="7"/>
    <x v="0"/>
    <n v="155"/>
    <n v="3149"/>
    <d v="2014-08-26T02:00:00"/>
    <d v="2014-08-26T14:33:00"/>
    <n v="291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12.549999999871943"/>
    <n v="1.4831818181666843"/>
    <n v="444.9545454500053"/>
    <n v="35.454545454545453"/>
    <x v="139"/>
  </r>
  <r>
    <x v="7"/>
    <x v="0"/>
    <n v="156"/>
    <n v="3149"/>
    <d v="2014-08-26T14:33:00"/>
    <d v="2014-08-26T17:27:00"/>
    <n v="280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2.9000000000232831"/>
    <n v="0.43939393939746713"/>
    <n v="131.81818181924012"/>
    <n v="45.454545454545453"/>
    <x v="23"/>
  </r>
  <r>
    <x v="7"/>
    <x v="0"/>
    <n v="157"/>
    <n v="3149"/>
    <d v="2014-08-26T17:27:00"/>
    <d v="2014-08-26T18:12:00"/>
    <n v="270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0.75"/>
    <n v="0.13636363636363635"/>
    <n v="40.909090909090907"/>
    <n v="54.545454545454547"/>
    <x v="2"/>
  </r>
  <r>
    <x v="7"/>
    <x v="0"/>
    <n v="158"/>
    <n v="3149"/>
    <d v="2014-08-26T18:12:00"/>
    <d v="2014-08-26T20:30:00"/>
    <n v="275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2.2999999999883585"/>
    <n v="0.38333333333139308"/>
    <n v="114.99999999941792"/>
    <n v="50"/>
    <x v="33"/>
  </r>
  <r>
    <x v="7"/>
    <x v="0"/>
    <n v="159"/>
    <n v="3149"/>
    <d v="2014-08-26T20:30:00"/>
    <d v="2014-08-26T23:45:00"/>
    <n v="280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3.2500000001164153"/>
    <n v="0.4924242424418811"/>
    <n v="147.72727273256433"/>
    <n v="45.454545454545453"/>
    <x v="23"/>
  </r>
  <r>
    <x v="7"/>
    <x v="0"/>
    <n v="160"/>
    <n v="3149"/>
    <d v="2014-08-26T23:45:00"/>
    <d v="2014-08-27T10:37:00"/>
    <n v="290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10.866666666639503"/>
    <n v="1.3171717171684245"/>
    <n v="395.15151515052736"/>
    <n v="36.363636363636367"/>
    <x v="32"/>
  </r>
  <r>
    <x v="7"/>
    <x v="0"/>
    <n v="161"/>
    <n v="3149"/>
    <d v="2014-08-27T10:37:00"/>
    <d v="2014-08-27T12:02:00"/>
    <n v="286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1.4166666665696539"/>
    <n v="0.18888888887595384"/>
    <n v="56.666666662786156"/>
    <n v="40"/>
    <x v="157"/>
  </r>
  <r>
    <x v="7"/>
    <x v="0"/>
    <n v="162"/>
    <n v="3149"/>
    <d v="2014-08-27T12:02:00"/>
    <d v="2014-08-27T13:57:00"/>
    <n v="280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1.9166666668024845"/>
    <n v="0.29040404042461887"/>
    <n v="87.121212127385661"/>
    <n v="45.454545454545453"/>
    <x v="23"/>
  </r>
  <r>
    <x v="7"/>
    <x v="0"/>
    <n v="163"/>
    <n v="3149"/>
    <d v="2014-08-27T13:57:00"/>
    <d v="2014-08-27T21:00:00"/>
    <n v="275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7.0499999999301508"/>
    <n v="1.1749999999883585"/>
    <n v="352.49999999650754"/>
    <n v="50"/>
    <x v="33"/>
  </r>
  <r>
    <x v="7"/>
    <x v="2"/>
    <n v="164"/>
    <n v="310"/>
    <d v="2014-08-27T21:00:00"/>
    <d v="2014-08-28T03:35:00"/>
    <n v="240"/>
    <n v="330"/>
    <n v="300"/>
    <s v="Pulverizer mills"/>
    <s v="F5901A Coal Mill - Adjust Rollers"/>
    <s v="Mill Creek"/>
    <x v="0"/>
    <s v="Coal"/>
    <x v="1"/>
    <x v="1"/>
    <n v="8"/>
    <n v="6.5833333333139308"/>
    <n v="1.7954545454492539"/>
    <n v="538.63636363477622"/>
    <n v="81.818181818181813"/>
    <x v="48"/>
  </r>
  <r>
    <x v="7"/>
    <x v="0"/>
    <n v="165"/>
    <n v="3149"/>
    <d v="2014-08-28T03:35:00"/>
    <d v="2014-08-28T09:56:00"/>
    <n v="275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6.3500000000931323"/>
    <n v="1.0583333333488554"/>
    <n v="317.50000000465661"/>
    <n v="50"/>
    <x v="33"/>
  </r>
  <r>
    <x v="7"/>
    <x v="0"/>
    <n v="166"/>
    <n v="3149"/>
    <d v="2014-08-28T09:56:00"/>
    <d v="2014-08-28T15:31:00"/>
    <n v="270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5.5833333331975155"/>
    <n v="1.0151515151268209"/>
    <n v="304.54545453804627"/>
    <n v="54.545454545454547"/>
    <x v="2"/>
  </r>
  <r>
    <x v="7"/>
    <x v="0"/>
    <n v="167"/>
    <n v="3149"/>
    <d v="2014-08-28T15:31:00"/>
    <d v="2014-08-28T23:11:00"/>
    <n v="265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7.6666666666860692"/>
    <n v="1.5101010101048318"/>
    <n v="453.03030303144953"/>
    <n v="59.090909090909093"/>
    <x v="83"/>
  </r>
  <r>
    <x v="7"/>
    <x v="0"/>
    <n v="168"/>
    <n v="3149"/>
    <d v="2014-08-28T23:11:00"/>
    <d v="2014-08-29T12:30:00"/>
    <n v="275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13.31666666676756"/>
    <n v="2.21944444446126"/>
    <n v="665.833333338378"/>
    <n v="50"/>
    <x v="33"/>
  </r>
  <r>
    <x v="7"/>
    <x v="2"/>
    <n v="169"/>
    <n v="3210"/>
    <d v="2014-08-29T01:00:00"/>
    <d v="2014-08-29T02:26:00"/>
    <n v="150"/>
    <n v="330"/>
    <n v="300"/>
    <s v="Circulating water pumps"/>
    <s v="F6301A Circulating Water Pump - Put in Service"/>
    <s v="Mill Creek"/>
    <x v="0"/>
    <s v="Coal"/>
    <x v="1"/>
    <x v="1"/>
    <n v="8"/>
    <n v="1.4333333334652707"/>
    <n v="0.78181818189014762"/>
    <n v="234.54545456704429"/>
    <n v="163.63636363636363"/>
    <x v="150"/>
  </r>
  <r>
    <x v="7"/>
    <x v="0"/>
    <n v="170"/>
    <n v="3149"/>
    <d v="2014-08-29T12:30:00"/>
    <d v="2014-08-29T22:10:00"/>
    <n v="260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9.6666666665696539"/>
    <n v="2.050505050484472"/>
    <n v="615.15151514534159"/>
    <n v="63.636363636363633"/>
    <x v="30"/>
  </r>
  <r>
    <x v="7"/>
    <x v="0"/>
    <n v="171"/>
    <n v="3149"/>
    <d v="2014-08-29T22:10:00"/>
    <d v="2014-08-30T10:21:00"/>
    <n v="270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12.183333333407063"/>
    <n v="2.2151515151649206"/>
    <n v="664.54545454947618"/>
    <n v="54.545454545454547"/>
    <x v="2"/>
  </r>
  <r>
    <x v="7"/>
    <x v="0"/>
    <n v="172"/>
    <n v="3149"/>
    <d v="2014-08-30T10:21:00"/>
    <d v="2014-08-30T12:25:00"/>
    <n v="265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2.066666666592937"/>
    <n v="0.40707070705618453"/>
    <n v="122.12121211685536"/>
    <n v="59.090909090909093"/>
    <x v="83"/>
  </r>
  <r>
    <x v="7"/>
    <x v="0"/>
    <n v="173"/>
    <n v="3149"/>
    <d v="2014-08-30T12:25:00"/>
    <d v="2014-08-31T00:30:00"/>
    <n v="260"/>
    <n v="330"/>
    <n v="300"/>
    <s v="Loss of vacuum not attributable to a particular component such as air ejectors or valves; or"/>
    <s v="F660High Back Pressure"/>
    <s v="Mill Creek"/>
    <x v="0"/>
    <s v="Coal"/>
    <x v="1"/>
    <x v="1"/>
    <n v="8"/>
    <n v="12.083333333430346"/>
    <n v="2.5631313131518918"/>
    <n v="768.93939394556753"/>
    <n v="63.636363636363633"/>
    <x v="30"/>
  </r>
  <r>
    <x v="7"/>
    <x v="2"/>
    <n v="174"/>
    <n v="250"/>
    <d v="2014-09-02T22:00:00"/>
    <d v="2014-09-03T00:15:00"/>
    <n v="240"/>
    <n v="330"/>
    <n v="300"/>
    <s v="Pulverizer feeders"/>
    <s v="F1201C Coal Feeder - Foreign Metal in Chute"/>
    <s v="Mill Creek"/>
    <x v="0"/>
    <s v="Coal"/>
    <x v="1"/>
    <x v="1"/>
    <n v="9"/>
    <n v="2.25"/>
    <n v="0.61363636363636365"/>
    <n v="184.09090909090909"/>
    <n v="81.818181818181813"/>
    <x v="48"/>
  </r>
  <r>
    <x v="7"/>
    <x v="0"/>
    <n v="175"/>
    <n v="310"/>
    <d v="2014-09-18T22:25:00"/>
    <d v="2014-09-19T01:56:00"/>
    <n v="240"/>
    <n v="330"/>
    <n v="300"/>
    <s v="Pulverizer mills"/>
    <s v="F5301C Coal Mill - Inspection"/>
    <s v="Mill Creek"/>
    <x v="0"/>
    <s v="Coal"/>
    <x v="1"/>
    <x v="1"/>
    <n v="9"/>
    <n v="3.5166666666045785"/>
    <n v="0.95909090907397598"/>
    <n v="287.72727272219282"/>
    <n v="81.818181818181813"/>
    <x v="48"/>
  </r>
  <r>
    <x v="7"/>
    <x v="0"/>
    <n v="176"/>
    <n v="310"/>
    <d v="2014-09-22T10:36:00"/>
    <d v="2014-09-22T12:03:00"/>
    <n v="300"/>
    <n v="330"/>
    <n v="300"/>
    <s v="Pulverizer mills"/>
    <s v="F5301C Coal Mill - Inspection"/>
    <s v="Mill Creek"/>
    <x v="0"/>
    <s v="Coal"/>
    <x v="1"/>
    <x v="1"/>
    <n v="9"/>
    <n v="1.4500000000116415"/>
    <n v="0.13181818181924013"/>
    <n v="39.545454545772039"/>
    <n v="27.272727272727273"/>
    <x v="6"/>
  </r>
  <r>
    <x v="7"/>
    <x v="0"/>
    <n v="177"/>
    <n v="310"/>
    <d v="2014-09-22T12:03:00"/>
    <d v="2014-09-22T14:58:00"/>
    <n v="250"/>
    <n v="330"/>
    <n v="300"/>
    <s v="Pulverizer mills"/>
    <s v="F5901C Coal Mill - Adjusted Rollers"/>
    <s v="Mill Creek"/>
    <x v="0"/>
    <s v="Coal"/>
    <x v="1"/>
    <x v="1"/>
    <n v="9"/>
    <n v="2.9166666667442769"/>
    <n v="0.70707070708952169"/>
    <n v="212.12121212685651"/>
    <n v="72.727272727272734"/>
    <x v="87"/>
  </r>
  <r>
    <x v="7"/>
    <x v="0"/>
    <n v="178"/>
    <n v="310"/>
    <d v="2014-09-23T01:06:00"/>
    <d v="2014-09-23T02:57:00"/>
    <n v="250"/>
    <n v="330"/>
    <n v="300"/>
    <s v="Pulverizer mills"/>
    <s v="F5301A Coal Mill - Inspection"/>
    <s v="Mill Creek"/>
    <x v="0"/>
    <s v="Coal"/>
    <x v="1"/>
    <x v="1"/>
    <n v="9"/>
    <n v="1.8500000000931323"/>
    <n v="0.44848484850742598"/>
    <n v="134.5454545522278"/>
    <n v="72.727272727272734"/>
    <x v="87"/>
  </r>
  <r>
    <x v="7"/>
    <x v="2"/>
    <n v="179"/>
    <n v="250"/>
    <d v="2014-09-23T22:00:00"/>
    <d v="2014-09-24T04:04:00"/>
    <n v="250"/>
    <n v="330"/>
    <n v="300"/>
    <s v="Pulverizer feeders"/>
    <s v="F0901A Coal Feeder - Calibration &amp; Mill Inspection"/>
    <s v="Mill Creek"/>
    <x v="0"/>
    <s v="Coal"/>
    <x v="1"/>
    <x v="1"/>
    <n v="9"/>
    <n v="6.0666666667093523"/>
    <n v="1.4707070707174188"/>
    <n v="441.21212121522564"/>
    <n v="72.727272727272734"/>
    <x v="87"/>
  </r>
  <r>
    <x v="7"/>
    <x v="2"/>
    <n v="180"/>
    <n v="250"/>
    <d v="2014-09-24T22:00:00"/>
    <d v="2014-09-25T03:38:00"/>
    <n v="250"/>
    <n v="330"/>
    <n v="300"/>
    <s v="Pulverizer feeders"/>
    <s v="F0901B Coal Feeder - Calibration &amp; Mill Inspection"/>
    <s v="Mill Creek"/>
    <x v="0"/>
    <s v="Coal"/>
    <x v="1"/>
    <x v="1"/>
    <n v="9"/>
    <n v="5.6333333333604969"/>
    <n v="1.3656565656631507"/>
    <n v="409.69696969894522"/>
    <n v="72.727272727272734"/>
    <x v="87"/>
  </r>
  <r>
    <x v="7"/>
    <x v="2"/>
    <n v="181"/>
    <n v="250"/>
    <d v="2014-09-25T22:00:00"/>
    <d v="2014-09-26T03:59:00"/>
    <n v="240"/>
    <n v="330"/>
    <n v="300"/>
    <s v="Pulverizer feeders"/>
    <s v="F0901C Coal Feeder - Calibration"/>
    <s v="Mill Creek"/>
    <x v="0"/>
    <s v="Coal"/>
    <x v="1"/>
    <x v="1"/>
    <n v="9"/>
    <n v="5.9833333334536292"/>
    <n v="1.6318181818509898"/>
    <n v="489.54545455529694"/>
    <n v="81.818181818181813"/>
    <x v="48"/>
  </r>
  <r>
    <x v="7"/>
    <x v="2"/>
    <n v="182"/>
    <n v="310"/>
    <d v="2014-09-28T21:00:00"/>
    <d v="2014-09-29T03:25:00"/>
    <n v="240"/>
    <n v="330"/>
    <n v="300"/>
    <s v="Pulverizer mills"/>
    <s v="F5901D Coal Mill - Inspection"/>
    <s v="Mill Creek"/>
    <x v="0"/>
    <s v="Coal"/>
    <x v="1"/>
    <x v="1"/>
    <n v="9"/>
    <n v="6.4166666666278616"/>
    <n v="1.7499999999894167"/>
    <n v="524.99999999682495"/>
    <n v="81.818181818181813"/>
    <x v="48"/>
  </r>
  <r>
    <x v="7"/>
    <x v="2"/>
    <n v="183"/>
    <n v="250"/>
    <d v="2014-09-29T22:00:00"/>
    <d v="2014-09-30T05:49:00"/>
    <n v="240"/>
    <n v="330"/>
    <n v="300"/>
    <s v="Pulverizer feeders"/>
    <s v="F0901D Coal Feeder - Calibration"/>
    <s v="Mill Creek"/>
    <x v="0"/>
    <s v="Coal"/>
    <x v="1"/>
    <x v="1"/>
    <n v="9"/>
    <n v="7.8166666666511446"/>
    <n v="2.1318181818139483"/>
    <n v="639.54545454418451"/>
    <n v="81.818181818181813"/>
    <x v="48"/>
  </r>
  <r>
    <x v="7"/>
    <x v="0"/>
    <n v="184"/>
    <n v="1488"/>
    <d v="2014-10-09T23:05:00"/>
    <d v="2014-10-10T00:30:00"/>
    <n v="240"/>
    <n v="330"/>
    <n v="300"/>
    <s v="Air heater (regenerative)"/>
    <s v="F7801B Air Heater Guide Bearing - High Temperature due to Low Oil Flow"/>
    <s v="Mill Creek"/>
    <x v="0"/>
    <s v="Coal"/>
    <x v="1"/>
    <x v="1"/>
    <n v="10"/>
    <n v="1.4166666667442769"/>
    <n v="0.38636363638480281"/>
    <n v="115.90909091544084"/>
    <n v="81.818181818181813"/>
    <x v="48"/>
  </r>
  <r>
    <x v="7"/>
    <x v="0"/>
    <n v="185"/>
    <n v="1488"/>
    <d v="2014-10-10T00:30:00"/>
    <d v="2014-10-10T03:25:00"/>
    <n v="205"/>
    <n v="330"/>
    <n v="300"/>
    <s v="Air heater (regenerative)"/>
    <s v="F7801B Air Heater Guide Bearing - High Temperature due to Low Oil Flow"/>
    <s v="Mill Creek"/>
    <x v="0"/>
    <s v="Coal"/>
    <x v="1"/>
    <x v="1"/>
    <n v="10"/>
    <n v="2.9166666665696539"/>
    <n v="1.1047979797612326"/>
    <n v="331.43939392836978"/>
    <n v="113.63636363636364"/>
    <x v="46"/>
  </r>
  <r>
    <x v="7"/>
    <x v="2"/>
    <n v="186"/>
    <n v="310"/>
    <d v="2014-10-19T21:00:00"/>
    <d v="2014-10-20T00:27:00"/>
    <n v="240"/>
    <n v="330"/>
    <n v="300"/>
    <s v="Pulverizer mills"/>
    <s v="F5901A Coal Mill - Adjusted Rollers"/>
    <s v="Mill Creek"/>
    <x v="0"/>
    <s v="Coal"/>
    <x v="1"/>
    <x v="1"/>
    <n v="10"/>
    <n v="3.4500000000698492"/>
    <n v="0.94090909092814068"/>
    <n v="282.27272727844218"/>
    <n v="81.818181818181813"/>
    <x v="48"/>
  </r>
  <r>
    <x v="7"/>
    <x v="0"/>
    <n v="187"/>
    <n v="1475"/>
    <d v="2014-10-26T08:50:00"/>
    <d v="2014-10-26T10:20:00"/>
    <n v="226"/>
    <n v="330"/>
    <n v="300"/>
    <s v="Induced draft fan controls"/>
    <s v="F5901B Induced Draft Fan - Beck Drive Issues"/>
    <s v="Mill Creek"/>
    <x v="0"/>
    <s v="Coal"/>
    <x v="1"/>
    <x v="1"/>
    <n v="10"/>
    <n v="1.5"/>
    <n v="0.47272727272727272"/>
    <n v="141.81818181818181"/>
    <n v="94.545454545454547"/>
    <x v="19"/>
  </r>
  <r>
    <x v="7"/>
    <x v="0"/>
    <n v="188"/>
    <n v="360"/>
    <d v="2014-10-27T05:55:00"/>
    <d v="2014-10-27T06:47:00"/>
    <n v="250"/>
    <n v="330"/>
    <n v="300"/>
    <s v="Burners"/>
    <s v="F7801B Coal Mill - 1B1 Burner High Temperature"/>
    <s v="Mill Creek"/>
    <x v="0"/>
    <s v="Coal"/>
    <x v="1"/>
    <x v="1"/>
    <n v="10"/>
    <n v="0.86666666652308777"/>
    <n v="0.2101010100662031"/>
    <n v="63.030303019860931"/>
    <n v="72.727272727272734"/>
    <x v="87"/>
  </r>
  <r>
    <x v="7"/>
    <x v="2"/>
    <n v="189"/>
    <n v="1475"/>
    <d v="2014-10-28T22:56:00"/>
    <d v="2014-10-29T02:15:00"/>
    <n v="135"/>
    <n v="330"/>
    <n v="300"/>
    <s v="Induced draft fan controls"/>
    <s v="F5901B Induced Draft Fan - Replace Beck Drive, Gas In Service"/>
    <s v="Mill Creek"/>
    <x v="0"/>
    <s v="Coal"/>
    <x v="1"/>
    <x v="1"/>
    <n v="10"/>
    <n v="3.3166666666511446"/>
    <n v="1.9598484848393127"/>
    <n v="587.95454545179382"/>
    <n v="177.27272727272728"/>
    <x v="84"/>
  </r>
  <r>
    <x v="7"/>
    <x v="0"/>
    <n v="190"/>
    <n v="1475"/>
    <d v="2014-10-29T05:30:00"/>
    <d v="2014-10-29T07:20:00"/>
    <n v="250"/>
    <n v="330"/>
    <n v="300"/>
    <s v="Induced draft fan controls"/>
    <s v="F5901B Induced Draft Fan - Beck Drive Calibration Adjustment"/>
    <s v="Mill Creek"/>
    <x v="0"/>
    <s v="Coal"/>
    <x v="1"/>
    <x v="1"/>
    <n v="10"/>
    <n v="1.8333333333721384"/>
    <n v="0.44444444445385173"/>
    <n v="133.3333333361555"/>
    <n v="72.727272727272734"/>
    <x v="87"/>
  </r>
  <r>
    <x v="7"/>
    <x v="0"/>
    <n v="191"/>
    <n v="1475"/>
    <d v="2014-10-29T07:20:00"/>
    <d v="2014-10-29T23:07:00"/>
    <n v="320"/>
    <n v="330"/>
    <n v="300"/>
    <s v="Induced draft fan controls"/>
    <s v="F4001B Induced Draft Fan - Beck Drive Maxed"/>
    <s v="Mill Creek"/>
    <x v="0"/>
    <s v="Coal"/>
    <x v="1"/>
    <x v="1"/>
    <n v="10"/>
    <n v="15.783333333267365"/>
    <n v="0.47828282828082924"/>
    <n v="143.48484848424877"/>
    <n v="9.0909090909090917"/>
    <x v="94"/>
  </r>
  <r>
    <x v="7"/>
    <x v="2"/>
    <n v="192"/>
    <n v="1475"/>
    <d v="2014-10-29T23:07:00"/>
    <d v="2014-10-30T02:27:00"/>
    <n v="135"/>
    <n v="330"/>
    <n v="300"/>
    <s v="Induced draft fan controls"/>
    <s v="F0901B Induced Draft Fan - Beck Drive Calibrated"/>
    <s v="Mill Creek"/>
    <x v="0"/>
    <s v="Coal"/>
    <x v="1"/>
    <x v="1"/>
    <n v="10"/>
    <n v="3.3333333333721384"/>
    <n v="1.9696969697199"/>
    <n v="590.90909091597007"/>
    <n v="177.27272727272728"/>
    <x v="84"/>
  </r>
  <r>
    <x v="7"/>
    <x v="0"/>
    <n v="193"/>
    <n v="1160"/>
    <d v="2014-10-30T17:54:00"/>
    <d v="2014-10-30T19:22:00"/>
    <n v="305"/>
    <n v="330"/>
    <n v="300"/>
    <s v="First reheater B"/>
    <s v="F320Boiler Pluggage - First Reheater Slag"/>
    <s v="Mill Creek"/>
    <x v="0"/>
    <s v="Coal"/>
    <x v="1"/>
    <x v="1"/>
    <n v="10"/>
    <n v="1.4666666665580124"/>
    <n v="0.11111111110287973"/>
    <n v="33.333333330863923"/>
    <n v="22.727272727272727"/>
    <x v="0"/>
  </r>
  <r>
    <x v="7"/>
    <x v="0"/>
    <n v="194"/>
    <n v="1160"/>
    <d v="2014-10-30T19:22:00"/>
    <d v="2014-10-30T20:06:00"/>
    <n v="280"/>
    <n v="330"/>
    <n v="300"/>
    <s v="First reheater B"/>
    <s v="F320Boiler Pluggage - First Reheater Slag"/>
    <s v="Mill Creek"/>
    <x v="0"/>
    <s v="Coal"/>
    <x v="1"/>
    <x v="1"/>
    <n v="10"/>
    <n v="0.73333333345362917"/>
    <n v="0.11111111112933775"/>
    <n v="33.333333338801324"/>
    <n v="45.454545454545453"/>
    <x v="23"/>
  </r>
  <r>
    <x v="7"/>
    <x v="3"/>
    <n v="195"/>
    <n v="1160"/>
    <d v="2014-10-30T20:06:00"/>
    <d v="2014-10-30T23:00:00"/>
    <n v="0"/>
    <n v="330"/>
    <n v="300"/>
    <s v="First reheater B"/>
    <s v="F320Boiler Deslag - First Reheater, Gas In Service, Full Load Available as Needed"/>
    <s v="Mill Creek"/>
    <x v="1"/>
    <s v="Coal"/>
    <x v="1"/>
    <x v="1"/>
    <n v="10"/>
    <n v="2.9000000000232831"/>
    <n v="2.9000000000232831"/>
    <n v="870.00000000698492"/>
    <n v="300"/>
    <x v="229"/>
  </r>
  <r>
    <x v="7"/>
    <x v="0"/>
    <n v="196"/>
    <n v="1160"/>
    <d v="2014-10-30T23:00:00"/>
    <d v="2014-10-31T03:36:00"/>
    <n v="295"/>
    <n v="330"/>
    <n v="300"/>
    <s v="First reheater B"/>
    <s v="F320Boiler Pluggage - First Reheater Slag"/>
    <s v="Mill Creek"/>
    <x v="0"/>
    <s v="Coal"/>
    <x v="1"/>
    <x v="1"/>
    <n v="10"/>
    <n v="4.5999999999767169"/>
    <n v="0.48787878787631844"/>
    <n v="146.36363636289553"/>
    <n v="31.818181818181817"/>
    <x v="8"/>
  </r>
  <r>
    <x v="7"/>
    <x v="0"/>
    <n v="197"/>
    <n v="1160"/>
    <d v="2014-10-31T05:20:00"/>
    <d v="2014-10-31T05:52:00"/>
    <n v="295"/>
    <n v="330"/>
    <n v="300"/>
    <s v="First reheater B"/>
    <s v="F320Boiler Deslag - First Reheater"/>
    <s v="Mill Creek"/>
    <x v="0"/>
    <s v="Coal"/>
    <x v="1"/>
    <x v="1"/>
    <n v="10"/>
    <n v="0.53333333332557231"/>
    <n v="5.6565656564833429E-2"/>
    <n v="16.96969696945003"/>
    <n v="31.818181818181817"/>
    <x v="8"/>
  </r>
  <r>
    <x v="7"/>
    <x v="0"/>
    <n v="198"/>
    <n v="1160"/>
    <d v="2014-10-31T05:52:00"/>
    <d v="2014-10-31T08:27:00"/>
    <n v="275"/>
    <n v="330"/>
    <n v="300"/>
    <s v="First reheater B"/>
    <s v="F320Boiler Deslag - First Reheater"/>
    <s v="Mill Creek"/>
    <x v="0"/>
    <s v="Coal"/>
    <x v="1"/>
    <x v="1"/>
    <n v="10"/>
    <n v="2.5833333333721384"/>
    <n v="0.43055555556202307"/>
    <n v="129.16666666860692"/>
    <n v="50"/>
    <x v="33"/>
  </r>
  <r>
    <x v="7"/>
    <x v="0"/>
    <n v="199"/>
    <n v="1160"/>
    <d v="2014-10-31T08:27:00"/>
    <d v="2014-10-31T14:43:00"/>
    <n v="250"/>
    <n v="330"/>
    <n v="300"/>
    <s v="First reheater B"/>
    <s v="F320Boiler Deslag - First Reheater"/>
    <s v="Mill Creek"/>
    <x v="0"/>
    <s v="Coal"/>
    <x v="1"/>
    <x v="1"/>
    <n v="10"/>
    <n v="6.2666666666627862"/>
    <n v="1.5191919191909784"/>
    <n v="455.75757575729352"/>
    <n v="72.727272727272734"/>
    <x v="87"/>
  </r>
  <r>
    <x v="7"/>
    <x v="0"/>
    <n v="200"/>
    <n v="4261"/>
    <d v="2014-11-01T00:02:00"/>
    <d v="2014-11-01T01:32:00"/>
    <n v="224"/>
    <n v="330"/>
    <n v="300"/>
    <s v="Control valves"/>
    <s v="F720Turbine #1 Control Valve - Stuck Closed"/>
    <s v="Mill Creek"/>
    <x v="0"/>
    <s v="Coal"/>
    <x v="1"/>
    <x v="1"/>
    <n v="11"/>
    <n v="1.5"/>
    <n v="0.48181818181818181"/>
    <n v="144.54545454545453"/>
    <n v="96.36363636363636"/>
    <x v="41"/>
  </r>
  <r>
    <x v="7"/>
    <x v="0"/>
    <n v="201"/>
    <n v="4261"/>
    <d v="2014-11-05T06:30:00"/>
    <d v="2014-11-05T08:22:00"/>
    <n v="194"/>
    <n v="330"/>
    <n v="300"/>
    <s v="Control valves"/>
    <s v="F400Turbine Control Valves - Position Indication Feedback"/>
    <s v="Mill Creek"/>
    <x v="0"/>
    <s v="Coal"/>
    <x v="1"/>
    <x v="1"/>
    <n v="11"/>
    <n v="1.8666666666395031"/>
    <n v="0.76929292928173465"/>
    <n v="230.78787878452039"/>
    <n v="123.63636363636364"/>
    <x v="236"/>
  </r>
  <r>
    <x v="7"/>
    <x v="0"/>
    <n v="202"/>
    <n v="250"/>
    <d v="2014-11-05T13:20:00"/>
    <d v="2014-11-05T17:32:00"/>
    <n v="268"/>
    <n v="330"/>
    <n v="300"/>
    <s v="Pulverizer feeders"/>
    <s v="F1201D Coal Feeder - Rock on Belt"/>
    <s v="Mill Creek"/>
    <x v="0"/>
    <s v="Coal"/>
    <x v="1"/>
    <x v="1"/>
    <n v="11"/>
    <n v="4.2000000000698492"/>
    <n v="0.78909090910403223"/>
    <n v="236.72727273120967"/>
    <n v="56.363636363636367"/>
    <x v="123"/>
  </r>
  <r>
    <x v="7"/>
    <x v="2"/>
    <n v="203"/>
    <n v="310"/>
    <d v="2014-11-05T22:00:00"/>
    <d v="2014-11-06T03:02:00"/>
    <n v="250"/>
    <n v="330"/>
    <n v="300"/>
    <s v="Pulverizer mills"/>
    <s v="F5301D Coal Mill - Inspect Hot Air Damper"/>
    <s v="Mill Creek"/>
    <x v="0"/>
    <s v="Coal"/>
    <x v="1"/>
    <x v="1"/>
    <n v="11"/>
    <n v="5.0333333333255723"/>
    <n v="1.2202020202001387"/>
    <n v="366.06060606004161"/>
    <n v="72.727272727272734"/>
    <x v="87"/>
  </r>
  <r>
    <x v="7"/>
    <x v="0"/>
    <n v="204"/>
    <n v="250"/>
    <d v="2014-11-06T09:44:00"/>
    <d v="2014-11-06T11:18:00"/>
    <n v="275"/>
    <n v="330"/>
    <n v="300"/>
    <s v="Pulverizer feeders"/>
    <s v="F1201D Coal Feeder - Rock on Belt"/>
    <s v="Mill Creek"/>
    <x v="0"/>
    <s v="Coal"/>
    <x v="1"/>
    <x v="1"/>
    <n v="11"/>
    <n v="1.5666666667093523"/>
    <n v="0.26111111111822538"/>
    <n v="78.333333335467614"/>
    <n v="50"/>
    <x v="33"/>
  </r>
  <r>
    <x v="7"/>
    <x v="0"/>
    <n v="205"/>
    <n v="1160"/>
    <d v="2014-11-19T07:21:00"/>
    <d v="2014-11-19T12:32:00"/>
    <n v="270"/>
    <n v="330"/>
    <n v="300"/>
    <s v="First reheater B"/>
    <s v="F320Boiler Slag - First Reheater"/>
    <s v="Mill Creek"/>
    <x v="0"/>
    <s v="Coal"/>
    <x v="1"/>
    <x v="1"/>
    <n v="11"/>
    <n v="5.1833333332906477"/>
    <n v="0.94242424241648137"/>
    <n v="282.72727272494438"/>
    <n v="54.545454545454547"/>
    <x v="2"/>
  </r>
  <r>
    <x v="7"/>
    <x v="0"/>
    <n v="206"/>
    <n v="1160"/>
    <d v="2014-11-19T12:32:00"/>
    <d v="2014-11-19T20:30:00"/>
    <n v="240"/>
    <n v="330"/>
    <n v="300"/>
    <s v="First reheater B"/>
    <s v="F320Boiler Slag - First Reheater"/>
    <s v="Mill Creek"/>
    <x v="0"/>
    <s v="Coal"/>
    <x v="1"/>
    <x v="1"/>
    <n v="11"/>
    <n v="7.96666666661622"/>
    <n v="2.1727272727135145"/>
    <n v="651.81818181405436"/>
    <n v="81.818181818181813"/>
    <x v="48"/>
  </r>
  <r>
    <x v="7"/>
    <x v="2"/>
    <n v="207"/>
    <n v="1160"/>
    <d v="2014-11-19T20:30:00"/>
    <d v="2014-11-20T00:43:00"/>
    <n v="150"/>
    <n v="330"/>
    <n v="300"/>
    <s v="First reheater B"/>
    <s v="F320Boiler Deslag - First Reheater"/>
    <s v="Mill Creek"/>
    <x v="0"/>
    <s v="Coal"/>
    <x v="1"/>
    <x v="1"/>
    <n v="11"/>
    <n v="4.216666666790843"/>
    <n v="2.3000000000677328"/>
    <n v="690.00000002031982"/>
    <n v="163.63636363636363"/>
    <x v="150"/>
  </r>
  <r>
    <x v="7"/>
    <x v="0"/>
    <n v="208"/>
    <n v="1160"/>
    <d v="2014-11-20T10:14:00"/>
    <d v="2014-11-20T10:34:00"/>
    <n v="300"/>
    <n v="330"/>
    <n v="300"/>
    <s v="First reheater B"/>
    <s v="F320Boiler Slag - First Reheater"/>
    <s v="Mill Creek"/>
    <x v="0"/>
    <s v="Coal"/>
    <x v="1"/>
    <x v="1"/>
    <n v="11"/>
    <n v="0.33333333337213844"/>
    <n v="3.0303030306558041E-2"/>
    <n v="9.0909090919674131"/>
    <n v="27.272727272727273"/>
    <x v="6"/>
  </r>
  <r>
    <x v="7"/>
    <x v="0"/>
    <n v="209"/>
    <n v="1160"/>
    <d v="2014-11-20T10:34:00"/>
    <d v="2014-11-20T11:00:00"/>
    <n v="264"/>
    <n v="330"/>
    <n v="300"/>
    <s v="First reheater B"/>
    <s v="F320Boiler Slag - First Reheater"/>
    <s v="Mill Creek"/>
    <x v="0"/>
    <s v="Coal"/>
    <x v="1"/>
    <x v="1"/>
    <n v="11"/>
    <n v="0.43333333334885538"/>
    <n v="8.6666666669771075E-2"/>
    <n v="26.000000000931323"/>
    <n v="60"/>
    <x v="11"/>
  </r>
  <r>
    <x v="7"/>
    <x v="3"/>
    <n v="210"/>
    <n v="1160"/>
    <d v="2014-11-20T11:00:00"/>
    <d v="2014-11-20T17:47:00"/>
    <n v="0"/>
    <n v="330"/>
    <n v="300"/>
    <s v="First reheater B"/>
    <s v="F320Boiler Deslag - First Reheater"/>
    <s v="Mill Creek"/>
    <x v="1"/>
    <s v="Coal"/>
    <x v="1"/>
    <x v="1"/>
    <n v="11"/>
    <n v="6.7833333332673647"/>
    <n v="6.7833333332673647"/>
    <n v="2034.9999999802094"/>
    <n v="300"/>
    <x v="229"/>
  </r>
  <r>
    <x v="7"/>
    <x v="0"/>
    <n v="211"/>
    <n v="1160"/>
    <d v="2014-11-20T17:47:00"/>
    <d v="2014-11-20T23:30:00"/>
    <n v="266"/>
    <n v="330"/>
    <n v="300"/>
    <s v="First reheater B"/>
    <s v="F320Boiler Slag - First Reheater"/>
    <s v="Mill Creek"/>
    <x v="0"/>
    <s v="Coal"/>
    <x v="1"/>
    <x v="1"/>
    <n v="11"/>
    <n v="5.71666666661622"/>
    <n v="1.108686868677085"/>
    <n v="332.60606060312551"/>
    <n v="58.18181818181818"/>
    <x v="237"/>
  </r>
  <r>
    <x v="7"/>
    <x v="0"/>
    <n v="212"/>
    <n v="1160"/>
    <d v="2014-11-20T23:30:00"/>
    <d v="2014-11-21T06:05:00"/>
    <n v="150"/>
    <n v="330"/>
    <n v="300"/>
    <s v="First reheater B"/>
    <s v="F320Boiler Slag - First Reheater"/>
    <s v="Mill Creek"/>
    <x v="0"/>
    <s v="Coal"/>
    <x v="1"/>
    <x v="1"/>
    <n v="11"/>
    <n v="6.5833333333139308"/>
    <n v="3.5909090908985077"/>
    <n v="1077.2727272695524"/>
    <n v="163.63636363636363"/>
    <x v="150"/>
  </r>
  <r>
    <x v="7"/>
    <x v="0"/>
    <n v="213"/>
    <n v="1160"/>
    <d v="2014-11-21T06:05:00"/>
    <d v="2014-11-21T12:29:00"/>
    <n v="250"/>
    <n v="330"/>
    <n v="300"/>
    <s v="First reheater B"/>
    <s v="F320Boiler Slag - First Reheater"/>
    <s v="Mill Creek"/>
    <x v="0"/>
    <s v="Coal"/>
    <x v="1"/>
    <x v="1"/>
    <n v="11"/>
    <n v="6.4000000000814907"/>
    <n v="1.5515151515349068"/>
    <n v="465.45454546047205"/>
    <n v="72.727272727272734"/>
    <x v="87"/>
  </r>
  <r>
    <x v="7"/>
    <x v="4"/>
    <n v="214"/>
    <n v="3344"/>
    <d v="2014-11-22T13:17:00"/>
    <d v="2014-11-29T09:04:00"/>
    <n v="0"/>
    <n v="330"/>
    <n v="300"/>
    <s v="Deaerator (including level control)"/>
    <s v="F590Deaerator Heater - Leak Repair"/>
    <s v="Mill Creek"/>
    <x v="2"/>
    <s v="Coal"/>
    <x v="1"/>
    <x v="1"/>
    <n v="11"/>
    <n v="163.78333333338378"/>
    <n v="163.78333333338378"/>
    <n v="49135.000000015134"/>
    <n v="300"/>
    <x v="229"/>
  </r>
  <r>
    <x v="7"/>
    <x v="3"/>
    <n v="215"/>
    <n v="1850"/>
    <d v="2014-11-29T09:04:00"/>
    <d v="2014-11-30T01:00:00"/>
    <n v="0"/>
    <n v="330"/>
    <n v="300"/>
    <s v="Boiler water condition (not feedwater water quality)"/>
    <s v="F170High Silica @ Cold Start Up"/>
    <s v="Mill Creek"/>
    <x v="1"/>
    <s v="Coal"/>
    <x v="1"/>
    <x v="1"/>
    <n v="11"/>
    <n v="15.93333333323244"/>
    <n v="15.93333333323244"/>
    <n v="4779.999999969732"/>
    <n v="300"/>
    <x v="229"/>
  </r>
  <r>
    <x v="7"/>
    <x v="2"/>
    <n v="216"/>
    <n v="310"/>
    <d v="2014-12-04T23:00:00"/>
    <d v="2014-12-05T04:15:00"/>
    <n v="250"/>
    <n v="330"/>
    <n v="300"/>
    <s v="Pulverizer mills"/>
    <s v="F5901C Coal Mill Exhauster - Clean"/>
    <s v="Mill Creek"/>
    <x v="0"/>
    <s v="Coal"/>
    <x v="1"/>
    <x v="1"/>
    <n v="12"/>
    <n v="5.25"/>
    <n v="1.2727272727272727"/>
    <n v="381.81818181818181"/>
    <n v="72.727272727272734"/>
    <x v="87"/>
  </r>
  <r>
    <x v="7"/>
    <x v="0"/>
    <n v="217"/>
    <n v="1850"/>
    <d v="2014-12-09T06:10:00"/>
    <d v="2014-12-09T08:10:00"/>
    <n v="300"/>
    <n v="330"/>
    <n v="300"/>
    <s v="Boiler water condition (not feedwater water quality)"/>
    <s v="F170High Silica"/>
    <s v="Mill Creek"/>
    <x v="0"/>
    <s v="Coal"/>
    <x v="1"/>
    <x v="1"/>
    <n v="12"/>
    <n v="2.0000000000582077"/>
    <n v="0.18181818182347342"/>
    <n v="54.545454547042027"/>
    <n v="27.272727272727273"/>
    <x v="6"/>
  </r>
  <r>
    <x v="7"/>
    <x v="0"/>
    <n v="218"/>
    <n v="1850"/>
    <d v="2014-12-09T08:10:00"/>
    <d v="2014-12-09T16:00:00"/>
    <n v="255"/>
    <n v="330"/>
    <n v="300"/>
    <s v="Boiler water condition (not feedwater water quality)"/>
    <s v="F170High Silica"/>
    <s v="Mill Creek"/>
    <x v="0"/>
    <s v="Coal"/>
    <x v="1"/>
    <x v="1"/>
    <n v="12"/>
    <n v="7.8333333331975155"/>
    <n v="1.7803030302721625"/>
    <n v="534.09090908164876"/>
    <n v="68.181818181818187"/>
    <x v="208"/>
  </r>
  <r>
    <x v="7"/>
    <x v="0"/>
    <n v="219"/>
    <n v="1850"/>
    <d v="2014-12-09T16:00:00"/>
    <d v="2014-12-10T20:22:00"/>
    <n v="280"/>
    <n v="330"/>
    <n v="300"/>
    <s v="Boiler water condition (not feedwater water quality)"/>
    <s v="F170High Silica"/>
    <s v="Mill Creek"/>
    <x v="0"/>
    <s v="Coal"/>
    <x v="1"/>
    <x v="1"/>
    <n v="12"/>
    <n v="28.366666666755918"/>
    <n v="4.297979797993321"/>
    <n v="1289.3939393979963"/>
    <n v="45.454545454545453"/>
    <x v="23"/>
  </r>
  <r>
    <x v="7"/>
    <x v="0"/>
    <n v="220"/>
    <n v="1850"/>
    <d v="2014-12-10T20:22:00"/>
    <d v="2014-12-12T04:08:00"/>
    <n v="236"/>
    <n v="330"/>
    <n v="300"/>
    <s v="Boiler water condition (not feedwater water quality)"/>
    <s v="F170High Silica"/>
    <s v="Mill Creek"/>
    <x v="0"/>
    <s v="Coal"/>
    <x v="1"/>
    <x v="1"/>
    <n v="12"/>
    <n v="31.766666666662786"/>
    <n v="9.0486868686857633"/>
    <n v="2714.606060605729"/>
    <n v="85.454545454545453"/>
    <x v="196"/>
  </r>
  <r>
    <x v="7"/>
    <x v="0"/>
    <n v="221"/>
    <n v="1850"/>
    <d v="2014-12-12T04:08:00"/>
    <d v="2014-12-14T16:30:00"/>
    <n v="230"/>
    <n v="330"/>
    <n v="300"/>
    <s v="Boiler water condition (not feedwater water quality)"/>
    <s v="F170High Silica"/>
    <s v="Mill Creek"/>
    <x v="0"/>
    <s v="Coal"/>
    <x v="1"/>
    <x v="1"/>
    <n v="12"/>
    <n v="60.366666666639503"/>
    <n v="18.292929292921063"/>
    <n v="5487.8787878763187"/>
    <n v="90.909090909090907"/>
    <x v="42"/>
  </r>
  <r>
    <x v="7"/>
    <x v="0"/>
    <n v="222"/>
    <n v="1850"/>
    <d v="2014-12-14T16:30:00"/>
    <d v="2014-12-15T02:38:00"/>
    <n v="280"/>
    <n v="330"/>
    <n v="300"/>
    <s v="Boiler water condition (not feedwater water quality)"/>
    <s v="F170High Silica"/>
    <s v="Mill Creek"/>
    <x v="0"/>
    <s v="Coal"/>
    <x v="1"/>
    <x v="1"/>
    <n v="12"/>
    <n v="10.133333333360497"/>
    <n v="1.5353535353576511"/>
    <n v="460.60606060729532"/>
    <n v="45.454545454545453"/>
    <x v="23"/>
  </r>
  <r>
    <x v="7"/>
    <x v="0"/>
    <n v="223"/>
    <n v="1850"/>
    <d v="2014-12-15T02:38:00"/>
    <d v="2014-12-15T10:50:00"/>
    <n v="295"/>
    <n v="330"/>
    <n v="300"/>
    <s v="Boiler water condition (not feedwater water quality)"/>
    <s v="F170High Silica"/>
    <s v="Mill Creek"/>
    <x v="0"/>
    <s v="Coal"/>
    <x v="1"/>
    <x v="1"/>
    <n v="12"/>
    <n v="8.2000000000116415"/>
    <n v="0.86969696969820443"/>
    <n v="260.90909090946133"/>
    <n v="31.818181818181817"/>
    <x v="8"/>
  </r>
  <r>
    <x v="7"/>
    <x v="0"/>
    <n v="224"/>
    <n v="1850"/>
    <d v="2014-12-15T10:50:00"/>
    <d v="2014-12-18T08:50:00"/>
    <n v="315"/>
    <n v="330"/>
    <n v="300"/>
    <s v="Boiler water condition (not feedwater water quality)"/>
    <s v="F170High Silica"/>
    <s v="Mill Creek"/>
    <x v="0"/>
    <s v="Coal"/>
    <x v="1"/>
    <x v="1"/>
    <n v="12"/>
    <n v="69.999999999941792"/>
    <n v="3.1818181818155362"/>
    <n v="954.54545454466086"/>
    <n v="13.636363636363637"/>
    <x v="61"/>
  </r>
  <r>
    <x v="7"/>
    <x v="0"/>
    <n v="225"/>
    <n v="1850"/>
    <d v="2014-12-18T08:50:00"/>
    <d v="2014-12-18T10:20:00"/>
    <n v="325"/>
    <n v="330"/>
    <n v="300"/>
    <s v="Boiler water condition (not feedwater water quality)"/>
    <s v="F170High Silica"/>
    <s v="Mill Creek"/>
    <x v="0"/>
    <s v="Coal"/>
    <x v="1"/>
    <x v="1"/>
    <n v="12"/>
    <n v="1.5"/>
    <n v="2.2727272727272728E-2"/>
    <n v="6.8181818181818183"/>
    <n v="4.5454545454545459"/>
    <x v="166"/>
  </r>
  <r>
    <x v="7"/>
    <x v="4"/>
    <n v="226"/>
    <n v="9720"/>
    <d v="2014-12-20T23:25:00"/>
    <d v="2014-12-23T00:49:00"/>
    <n v="0"/>
    <n v="330"/>
    <n v="300"/>
    <s v="Other safety problems"/>
    <s v="FX00FGD Ductwork - Zachry Making Lift"/>
    <s v="Mill Creek"/>
    <x v="2"/>
    <s v="Coal"/>
    <x v="1"/>
    <x v="1"/>
    <n v="12"/>
    <n v="49.400000000023283"/>
    <n v="49.400000000023283"/>
    <n v="14820.000000006985"/>
    <n v="300"/>
    <x v="229"/>
  </r>
  <r>
    <x v="7"/>
    <x v="0"/>
    <n v="227"/>
    <n v="1850"/>
    <d v="2014-12-23T09:34:00"/>
    <d v="2014-12-23T14:51:00"/>
    <n v="268"/>
    <n v="330"/>
    <n v="300"/>
    <s v="Boiler water condition (not feedwater water quality)"/>
    <s v="F170High Silica"/>
    <s v="Mill Creek"/>
    <x v="0"/>
    <s v="Coal"/>
    <x v="1"/>
    <x v="1"/>
    <n v="12"/>
    <n v="5.2833333334419876"/>
    <n v="0.99262626264667642"/>
    <n v="297.78787879400295"/>
    <n v="56.363636363636367"/>
    <x v="123"/>
  </r>
  <r>
    <x v="7"/>
    <x v="0"/>
    <n v="228"/>
    <n v="1850"/>
    <d v="2014-12-23T14:51:00"/>
    <d v="2014-12-24T00:53:00"/>
    <n v="300"/>
    <n v="330"/>
    <n v="300"/>
    <s v="Boiler water condition (not feedwater water quality)"/>
    <s v="F170High Silica"/>
    <s v="Mill Creek"/>
    <x v="0"/>
    <s v="Coal"/>
    <x v="1"/>
    <x v="1"/>
    <n v="12"/>
    <n v="10.03333333338378"/>
    <n v="0.91212121212579822"/>
    <n v="273.63636363773946"/>
    <n v="27.272727272727273"/>
    <x v="6"/>
  </r>
  <r>
    <x v="7"/>
    <x v="4"/>
    <n v="1"/>
    <n v="3344"/>
    <d v="2015-01-14T23:46:00"/>
    <d v="2015-01-16T23:13:00"/>
    <n v="0"/>
    <n v="330"/>
    <n v="300"/>
    <s v="Deaerator (including level control)"/>
    <s v="F540Deaerator Heater Leak"/>
    <s v="Mill Creek"/>
    <x v="2"/>
    <s v="Coal"/>
    <x v="1"/>
    <x v="2"/>
    <n v="1"/>
    <n v="47.450000000128057"/>
    <n v="47.450000000128057"/>
    <n v="14235.000000038417"/>
    <n v="300"/>
    <x v="229"/>
  </r>
  <r>
    <x v="7"/>
    <x v="3"/>
    <n v="2"/>
    <n v="1850"/>
    <d v="2015-01-16T23:13:00"/>
    <d v="2015-01-17T06:32:00"/>
    <n v="0"/>
    <n v="330"/>
    <n v="300"/>
    <s v="Boiler water condition (not feedwater water quality)"/>
    <s v="F170High Silica @ Hot Start Up"/>
    <s v="Mill Creek"/>
    <x v="1"/>
    <s v="Coal"/>
    <x v="1"/>
    <x v="2"/>
    <n v="1"/>
    <n v="7.316666666592937"/>
    <n v="7.316666666592937"/>
    <n v="2194.9999999778811"/>
    <n v="300"/>
    <x v="229"/>
  </r>
  <r>
    <x v="7"/>
    <x v="0"/>
    <n v="3"/>
    <n v="1850"/>
    <d v="2015-01-17T06:32:00"/>
    <d v="2015-01-17T09:47:00"/>
    <n v="265"/>
    <n v="330"/>
    <n v="300"/>
    <s v="Boiler water condition (not feedwater water quality)"/>
    <s v="F170High Silica"/>
    <s v="Mill Creek"/>
    <x v="0"/>
    <s v="Coal"/>
    <x v="1"/>
    <x v="2"/>
    <n v="1"/>
    <n v="3.2499999999417923"/>
    <n v="0.64015151514004998"/>
    <n v="192.04545454201499"/>
    <n v="59.090909090909093"/>
    <x v="83"/>
  </r>
  <r>
    <x v="7"/>
    <x v="3"/>
    <n v="4"/>
    <n v="9999"/>
    <d v="2015-02-02T06:47:00"/>
    <d v="2015-02-02T13:06:00"/>
    <n v="0"/>
    <n v="330"/>
    <n v="300"/>
    <s v="Total unit performance testing (use appropriate codes for individual component testing)"/>
    <s v="F790Winter full load capability test"/>
    <s v="Mill Creek"/>
    <x v="1"/>
    <s v="Coal"/>
    <x v="1"/>
    <x v="2"/>
    <n v="2"/>
    <n v="6.3166666666511446"/>
    <n v="6.3166666666511446"/>
    <n v="1894.9999999953434"/>
    <n v="300"/>
    <x v="229"/>
  </r>
  <r>
    <x v="7"/>
    <x v="4"/>
    <n v="5"/>
    <n v="3110"/>
    <d v="2015-02-07T00:32:00"/>
    <d v="2015-02-08T10:15:00"/>
    <n v="0"/>
    <n v="330"/>
    <n v="300"/>
    <s v="Condenser tube leaks"/>
    <s v="F540Condenser tube leak"/>
    <s v="Mill Creek"/>
    <x v="2"/>
    <s v="Coal"/>
    <x v="1"/>
    <x v="2"/>
    <n v="2"/>
    <n v="33.716666666732635"/>
    <n v="33.716666666732635"/>
    <n v="10115.000000019791"/>
    <n v="300"/>
    <x v="229"/>
  </r>
  <r>
    <x v="7"/>
    <x v="3"/>
    <n v="6"/>
    <n v="1850"/>
    <d v="2015-02-08T10:15:00"/>
    <d v="2015-02-08T16:25:00"/>
    <n v="0"/>
    <n v="330"/>
    <n v="300"/>
    <s v="Boiler water condition (not feedwater water quality)"/>
    <s v="F170High silica at hot start up"/>
    <s v="Mill Creek"/>
    <x v="1"/>
    <s v="Coal"/>
    <x v="1"/>
    <x v="2"/>
    <n v="2"/>
    <n v="6.1666666666860692"/>
    <n v="6.1666666666860692"/>
    <n v="1850.0000000058208"/>
    <n v="300"/>
    <x v="229"/>
  </r>
  <r>
    <x v="7"/>
    <x v="0"/>
    <n v="7"/>
    <n v="1850"/>
    <d v="2015-02-08T16:25:00"/>
    <d v="2015-02-08T18:39:00"/>
    <n v="234"/>
    <n v="330"/>
    <n v="300"/>
    <s v="Boiler water condition (not feedwater water quality)"/>
    <s v="F170High silica"/>
    <s v="Mill Creek"/>
    <x v="0"/>
    <s v="Coal"/>
    <x v="1"/>
    <x v="2"/>
    <n v="2"/>
    <n v="2.2333333332790062"/>
    <n v="0.64969696968116541"/>
    <n v="194.90909090434963"/>
    <n v="87.272727272727266"/>
    <x v="47"/>
  </r>
  <r>
    <x v="7"/>
    <x v="0"/>
    <n v="8"/>
    <n v="1850"/>
    <d v="2015-02-08T18:39:00"/>
    <d v="2015-02-08T23:00:00"/>
    <n v="270"/>
    <n v="330"/>
    <n v="300"/>
    <s v="Boiler water condition (not feedwater water quality)"/>
    <s v="F170High silica"/>
    <s v="Mill Creek"/>
    <x v="0"/>
    <s v="Coal"/>
    <x v="1"/>
    <x v="2"/>
    <n v="2"/>
    <n v="4.3500000000349246"/>
    <n v="0.79090909091544082"/>
    <n v="237.27272727463225"/>
    <n v="54.545454545454547"/>
    <x v="2"/>
  </r>
  <r>
    <x v="7"/>
    <x v="0"/>
    <n v="9"/>
    <n v="250"/>
    <d v="2015-02-10T03:24:00"/>
    <d v="2015-02-10T05:04:00"/>
    <n v="255"/>
    <n v="330"/>
    <n v="300"/>
    <s v="Pulverizer feeders"/>
    <s v="F5901D Feeder - Replaced belt"/>
    <s v="Mill Creek"/>
    <x v="0"/>
    <s v="Coal"/>
    <x v="1"/>
    <x v="2"/>
    <n v="2"/>
    <n v="1.6666666665114462"/>
    <n v="0.37878787875260139"/>
    <n v="113.63636362578042"/>
    <n v="68.181818181818187"/>
    <x v="208"/>
  </r>
  <r>
    <x v="7"/>
    <x v="0"/>
    <n v="10"/>
    <n v="8260"/>
    <d v="2015-02-21T20:10:00"/>
    <d v="2015-02-21T21:39:00"/>
    <n v="240"/>
    <n v="330"/>
    <n v="300"/>
    <s v="Scrubber booster I.D. fan (fan specific to the scrubber)"/>
    <s v="F5401A Booster Fan - service water leak"/>
    <s v="Mill Creek"/>
    <x v="0"/>
    <s v="Coal"/>
    <x v="1"/>
    <x v="2"/>
    <n v="2"/>
    <n v="1.4833333332790062"/>
    <n v="0.40454545453063806"/>
    <n v="121.36363635919142"/>
    <n v="81.818181818181813"/>
    <x v="48"/>
  </r>
  <r>
    <x v="7"/>
    <x v="3"/>
    <n v="11"/>
    <n v="9690"/>
    <d v="2015-02-25T09:00:00"/>
    <d v="2015-02-25T11:47:00"/>
    <n v="0"/>
    <n v="330"/>
    <n v="300"/>
    <s v="Other miscellaneous operational environmental limits (fossil and nuclear)"/>
    <s v="F790MATS Testing - Full Load"/>
    <s v="Mill Creek"/>
    <x v="1"/>
    <s v="Coal"/>
    <x v="1"/>
    <x v="2"/>
    <n v="2"/>
    <n v="2.7833333333255723"/>
    <n v="2.7833333333255723"/>
    <n v="834.99999999767169"/>
    <n v="300"/>
    <x v="229"/>
  </r>
  <r>
    <x v="7"/>
    <x v="0"/>
    <n v="12"/>
    <n v="8127"/>
    <d v="2015-03-01T11:16:00"/>
    <d v="2015-03-01T14:06:00"/>
    <n v="290"/>
    <n v="330"/>
    <n v="300"/>
    <s v="Scrubber recycle (liquid) pump motors"/>
    <s v="F5901B1 Recycle Pump - Oil Change"/>
    <s v="Mill Creek"/>
    <x v="0"/>
    <s v="Coal"/>
    <x v="1"/>
    <x v="2"/>
    <n v="3"/>
    <n v="2.8333333333139308"/>
    <n v="0.34343434343199158"/>
    <n v="103.03030302959748"/>
    <n v="36.363636363636367"/>
    <x v="32"/>
  </r>
  <r>
    <x v="7"/>
    <x v="0"/>
    <n v="13"/>
    <n v="8127"/>
    <d v="2015-03-02T08:37:00"/>
    <d v="2015-03-02T08:59:00"/>
    <n v="320"/>
    <n v="330"/>
    <n v="300"/>
    <s v="Scrubber recycle (liquid) pump motors"/>
    <s v="F590Recycle pump issues"/>
    <s v="Mill Creek"/>
    <x v="0"/>
    <s v="Coal"/>
    <x v="1"/>
    <x v="2"/>
    <n v="3"/>
    <n v="0.36666666663950309"/>
    <n v="1.1111111110287973E-2"/>
    <n v="3.3333333330863919"/>
    <n v="9.0909090909090917"/>
    <x v="94"/>
  </r>
  <r>
    <x v="7"/>
    <x v="0"/>
    <n v="14"/>
    <n v="8127"/>
    <d v="2015-03-02T09:39:00"/>
    <d v="2015-03-02T12:00:00"/>
    <n v="180"/>
    <n v="330"/>
    <n v="300"/>
    <s v="Scrubber recycle (liquid) pump motors"/>
    <s v="F590Recycle Pump Issues"/>
    <s v="Mill Creek"/>
    <x v="0"/>
    <s v="Coal"/>
    <x v="1"/>
    <x v="2"/>
    <n v="3"/>
    <n v="2.3499999999767169"/>
    <n v="1.068181818171235"/>
    <n v="320.45454545137051"/>
    <n v="136.36363636363637"/>
    <x v="62"/>
  </r>
  <r>
    <x v="7"/>
    <x v="0"/>
    <n v="15"/>
    <n v="8127"/>
    <d v="2015-03-02T12:00:00"/>
    <d v="2015-03-03T22:00:00"/>
    <n v="300"/>
    <n v="330"/>
    <n v="300"/>
    <s v="Scrubber recycle (liquid) pump motors"/>
    <s v="F590Recycle pump issues"/>
    <s v="Mill Creek"/>
    <x v="0"/>
    <s v="Coal"/>
    <x v="1"/>
    <x v="2"/>
    <n v="3"/>
    <n v="33.999999999941792"/>
    <n v="3.0909090909037995"/>
    <n v="927.27272727113984"/>
    <n v="27.272727272727273"/>
    <x v="6"/>
  </r>
  <r>
    <x v="7"/>
    <x v="2"/>
    <n v="16"/>
    <n v="8280"/>
    <d v="2015-03-03T22:00:00"/>
    <d v="2015-03-04T02:23:00"/>
    <n v="150"/>
    <n v="330"/>
    <n v="300"/>
    <s v="Reagent feed piping"/>
    <s v="F590Reactant Feed Line Repair"/>
    <s v="Mill Creek"/>
    <x v="0"/>
    <s v="Coal"/>
    <x v="1"/>
    <x v="2"/>
    <n v="3"/>
    <n v="4.3833333334769122"/>
    <n v="2.3909090909874067"/>
    <n v="717.272727296222"/>
    <n v="163.63636363636363"/>
    <x v="150"/>
  </r>
  <r>
    <x v="7"/>
    <x v="0"/>
    <n v="17"/>
    <n v="8127"/>
    <d v="2015-03-04T02:23:00"/>
    <d v="2015-03-04T23:36:00"/>
    <n v="300"/>
    <n v="330"/>
    <n v="300"/>
    <s v="Scrubber recycle (liquid) pump motors"/>
    <s v="F590Recycle Pump issues"/>
    <s v="Mill Creek"/>
    <x v="0"/>
    <s v="Coal"/>
    <x v="1"/>
    <x v="2"/>
    <n v="3"/>
    <n v="21.216666666499805"/>
    <n v="1.9287878787727095"/>
    <n v="578.63636363181286"/>
    <n v="27.272727272727273"/>
    <x v="6"/>
  </r>
  <r>
    <x v="7"/>
    <x v="0"/>
    <n v="18"/>
    <n v="250"/>
    <d v="2015-03-04T23:36:00"/>
    <d v="2015-03-05T18:58:00"/>
    <n v="230"/>
    <n v="330"/>
    <n v="300"/>
    <s v="Pulverizer feeders"/>
    <s v="FW00Wet Coal"/>
    <s v="Mill Creek"/>
    <x v="0"/>
    <s v="Coal"/>
    <x v="1"/>
    <x v="2"/>
    <n v="3"/>
    <n v="19.366666666755918"/>
    <n v="5.8686868687139144"/>
    <n v="1760.6060606141743"/>
    <n v="90.909090909090907"/>
    <x v="42"/>
  </r>
  <r>
    <x v="7"/>
    <x v="0"/>
    <n v="19"/>
    <n v="8127"/>
    <d v="2015-03-05T18:58:00"/>
    <d v="2015-03-06T04:30:00"/>
    <n v="230"/>
    <n v="330"/>
    <n v="300"/>
    <s v="Scrubber recycle (liquid) pump motors"/>
    <s v="F590Recycle Pump Issues"/>
    <s v="Mill Creek"/>
    <x v="0"/>
    <s v="Coal"/>
    <x v="1"/>
    <x v="2"/>
    <n v="3"/>
    <n v="9.5333333333255723"/>
    <n v="2.8888888888865369"/>
    <n v="866.66666666596109"/>
    <n v="90.909090909090907"/>
    <x v="42"/>
  </r>
  <r>
    <x v="7"/>
    <x v="0"/>
    <n v="20"/>
    <n v="250"/>
    <d v="2015-03-06T04:30:00"/>
    <d v="2015-03-07T08:08:00"/>
    <n v="237"/>
    <n v="330"/>
    <n v="300"/>
    <s v="Pulverizer feeders"/>
    <s v="FW00Wet Coal"/>
    <s v="Mill Creek"/>
    <x v="0"/>
    <s v="Coal"/>
    <x v="1"/>
    <x v="2"/>
    <n v="3"/>
    <n v="27.633333333302289"/>
    <n v="7.7875757575670086"/>
    <n v="2336.2727272701027"/>
    <n v="84.545454545454547"/>
    <x v="196"/>
  </r>
  <r>
    <x v="7"/>
    <x v="0"/>
    <n v="21"/>
    <n v="8127"/>
    <d v="2015-03-07T08:08:00"/>
    <d v="2015-03-07T14:41:00"/>
    <n v="260"/>
    <n v="330"/>
    <n v="300"/>
    <s v="Scrubber recycle (liquid) pump motors"/>
    <s v="F590Recycle Pump Issues"/>
    <s v="Mill Creek"/>
    <x v="0"/>
    <s v="Coal"/>
    <x v="1"/>
    <x v="2"/>
    <n v="3"/>
    <n v="6.5500000000465661"/>
    <n v="1.3893939394038171"/>
    <n v="416.81818182114512"/>
    <n v="63.636363636363633"/>
    <x v="30"/>
  </r>
  <r>
    <x v="7"/>
    <x v="0"/>
    <n v="22"/>
    <n v="250"/>
    <d v="2015-03-12T16:45:00"/>
    <d v="2015-03-12T17:10:00"/>
    <n v="230"/>
    <n v="330"/>
    <n v="300"/>
    <s v="Pulverizer feeders"/>
    <s v="F120B Mill Coal Feeder Pluggage"/>
    <s v="Mill Creek"/>
    <x v="0"/>
    <s v="Coal"/>
    <x v="1"/>
    <x v="2"/>
    <n v="3"/>
    <n v="0.41666666680248454"/>
    <n v="0.12626262630378318"/>
    <n v="37.878787891134955"/>
    <n v="90.909090909090907"/>
    <x v="42"/>
  </r>
  <r>
    <x v="7"/>
    <x v="0"/>
    <n v="23"/>
    <n v="250"/>
    <d v="2015-03-12T17:10:00"/>
    <d v="2015-03-12T23:00:00"/>
    <n v="100"/>
    <n v="330"/>
    <n v="300"/>
    <s v="Pulverizer feeders"/>
    <s v="F120B,C,D Mill Coal Feeders Plugged"/>
    <s v="Mill Creek"/>
    <x v="0"/>
    <s v="Coal"/>
    <x v="1"/>
    <x v="2"/>
    <n v="3"/>
    <n v="5.8333333333139308"/>
    <n v="4.0656565656430423"/>
    <n v="1219.6969696929127"/>
    <n v="209.09090909090909"/>
    <x v="231"/>
  </r>
  <r>
    <x v="7"/>
    <x v="0"/>
    <n v="24"/>
    <n v="8125"/>
    <d v="2015-03-14T14:52:00"/>
    <d v="2015-03-14T19:40:00"/>
    <n v="270"/>
    <n v="330"/>
    <n v="300"/>
    <s v="Scrubber recycle (liquid) pumps"/>
    <s v="F590FGD 1B1 Recycle Pump - Belts Burnt Off"/>
    <s v="Mill Creek"/>
    <x v="0"/>
    <s v="Coal"/>
    <x v="1"/>
    <x v="2"/>
    <n v="3"/>
    <n v="4.8000000001047738"/>
    <n v="0.87272727274632256"/>
    <n v="261.81818182389679"/>
    <n v="54.545454545454547"/>
    <x v="2"/>
  </r>
  <r>
    <x v="7"/>
    <x v="0"/>
    <n v="25"/>
    <n v="250"/>
    <d v="2015-03-14T22:45:00"/>
    <d v="2015-03-15T00:21:00"/>
    <n v="250"/>
    <n v="330"/>
    <n v="300"/>
    <s v="Pulverizer feeders"/>
    <s v="F5901D Coal Feeder - Belt Tracking Issue"/>
    <s v="Mill Creek"/>
    <x v="0"/>
    <s v="Coal"/>
    <x v="1"/>
    <x v="2"/>
    <n v="3"/>
    <n v="1.5999999999767169"/>
    <n v="0.3878787878731435"/>
    <n v="116.36363636194305"/>
    <n v="72.727272727272734"/>
    <x v="87"/>
  </r>
  <r>
    <x v="7"/>
    <x v="0"/>
    <n v="26"/>
    <n v="8125"/>
    <d v="2015-03-15T02:55:00"/>
    <d v="2015-03-15T14:40:00"/>
    <n v="270"/>
    <n v="330"/>
    <n v="300"/>
    <s v="Scrubber recycle (liquid) pumps"/>
    <s v="F540FGD 1B3 Recycle Pump - Seal Leaking"/>
    <s v="Mill Creek"/>
    <x v="0"/>
    <s v="Coal"/>
    <x v="1"/>
    <x v="2"/>
    <n v="3"/>
    <n v="11.749999999883585"/>
    <n v="2.1363636363424701"/>
    <n v="640.90909090274101"/>
    <n v="54.545454545454547"/>
    <x v="2"/>
  </r>
  <r>
    <x v="7"/>
    <x v="0"/>
    <n v="27"/>
    <n v="8125"/>
    <d v="2015-03-16T03:50:00"/>
    <d v="2015-03-23T10:16:00"/>
    <n v="270"/>
    <n v="330"/>
    <n v="300"/>
    <s v="Scrubber recycle (liquid) pumps"/>
    <s v="F060FGD 1B3 Recycle Pump - Bearing Issue"/>
    <s v="Mill Creek"/>
    <x v="0"/>
    <s v="Coal"/>
    <x v="1"/>
    <x v="2"/>
    <n v="3"/>
    <n v="174.43333333334886"/>
    <n v="31.715151515154336"/>
    <n v="9514.5454545462999"/>
    <n v="54.545454545454547"/>
    <x v="2"/>
  </r>
  <r>
    <x v="7"/>
    <x v="6"/>
    <n v="28"/>
    <n v="8440"/>
    <d v="2015-03-23T10:16:00"/>
    <d v="2015-05-18T00:00:00"/>
    <n v="0"/>
    <n v="330"/>
    <n v="300"/>
    <s v="Major overhaul C"/>
    <s v="F590Planned 8 Week Outage"/>
    <s v="Mill Creek"/>
    <x v="1"/>
    <s v="Coal"/>
    <x v="1"/>
    <x v="2"/>
    <n v="3"/>
    <n v="1333.7333333333954"/>
    <n v="1333.7333333333954"/>
    <n v="400120.00000001863"/>
    <n v="300"/>
    <x v="229"/>
  </r>
  <r>
    <x v="7"/>
    <x v="5"/>
    <n v="29"/>
    <n v="1488"/>
    <d v="2015-05-18T00:00:00"/>
    <d v="2015-05-23T07:35:00"/>
    <n v="0"/>
    <n v="330"/>
    <n v="300"/>
    <s v="Air heater (regenerative)"/>
    <s v="F080Air pre-heater baskets"/>
    <s v="Mill Creek"/>
    <x v="3"/>
    <s v="Coal"/>
    <x v="1"/>
    <x v="2"/>
    <n v="5"/>
    <n v="127.58333333325572"/>
    <n v="127.58333333325572"/>
    <n v="38274.999999976717"/>
    <n v="300"/>
    <x v="229"/>
  </r>
  <r>
    <x v="7"/>
    <x v="3"/>
    <n v="30"/>
    <n v="1850"/>
    <d v="2015-05-23T07:35:00"/>
    <d v="2015-05-24T16:31:00"/>
    <n v="0"/>
    <n v="330"/>
    <n v="300"/>
    <s v="Boiler water condition (not feedwater water quality)"/>
    <s v="F170High Silica at cold start"/>
    <s v="Mill Creek"/>
    <x v="1"/>
    <s v="Coal"/>
    <x v="1"/>
    <x v="2"/>
    <n v="5"/>
    <n v="32.933333333465271"/>
    <n v="32.933333333465271"/>
    <n v="9880.0000000395812"/>
    <n v="300"/>
    <x v="229"/>
  </r>
  <r>
    <x v="7"/>
    <x v="5"/>
    <n v="31"/>
    <n v="4630"/>
    <d v="2015-05-24T16:31:00"/>
    <d v="2015-05-24T23:31:00"/>
    <n v="0"/>
    <n v="330"/>
    <n v="300"/>
    <s v="Liquid cooling system"/>
    <s v="F890Generator Stator manual drain weld"/>
    <s v="Mill Creek"/>
    <x v="3"/>
    <s v="Coal"/>
    <x v="1"/>
    <x v="2"/>
    <n v="5"/>
    <n v="6.9999999999417923"/>
    <n v="6.9999999999417923"/>
    <n v="2099.9999999825377"/>
    <n v="300"/>
    <x v="229"/>
  </r>
  <r>
    <x v="7"/>
    <x v="3"/>
    <n v="32"/>
    <n v="1850"/>
    <d v="2015-05-24T23:31:00"/>
    <d v="2015-05-26T08:00:00"/>
    <n v="0"/>
    <n v="330"/>
    <n v="300"/>
    <s v="Boiler water condition (not feedwater water quality)"/>
    <s v="F170High Silica @ start-up"/>
    <s v="Mill Creek"/>
    <x v="1"/>
    <s v="Coal"/>
    <x v="1"/>
    <x v="2"/>
    <n v="5"/>
    <n v="32.483333333395422"/>
    <n v="32.483333333395422"/>
    <n v="9745.0000000186265"/>
    <n v="300"/>
    <x v="229"/>
  </r>
  <r>
    <x v="7"/>
    <x v="3"/>
    <n v="33"/>
    <n v="8650"/>
    <d v="2015-05-26T08:00:00"/>
    <d v="2015-05-26T20:14:00"/>
    <n v="0"/>
    <n v="330"/>
    <n v="300"/>
    <s v="Baghouse systems"/>
    <s v="F790Baghouse Testing"/>
    <s v="Mill Creek"/>
    <x v="1"/>
    <s v="Coal"/>
    <x v="1"/>
    <x v="2"/>
    <n v="5"/>
    <n v="12.233333333220799"/>
    <n v="12.233333333220799"/>
    <n v="3669.9999999662396"/>
    <n v="300"/>
    <x v="229"/>
  </r>
  <r>
    <x v="7"/>
    <x v="5"/>
    <n v="34"/>
    <n v="4630"/>
    <d v="2015-05-26T21:22:00"/>
    <d v="2015-05-27T05:04:00"/>
    <n v="0"/>
    <n v="330"/>
    <n v="300"/>
    <s v="Liquid cooling system"/>
    <s v="F890Generator stator manual drain weld"/>
    <s v="Mill Creek"/>
    <x v="3"/>
    <s v="Coal"/>
    <x v="1"/>
    <x v="2"/>
    <n v="5"/>
    <n v="7.6999999999534339"/>
    <n v="7.6999999999534339"/>
    <n v="2309.9999999860302"/>
    <n v="300"/>
    <x v="229"/>
  </r>
  <r>
    <x v="7"/>
    <x v="3"/>
    <n v="35"/>
    <n v="1850"/>
    <d v="2015-05-27T05:04:00"/>
    <d v="2015-05-27T11:22:00"/>
    <n v="0"/>
    <n v="330"/>
    <n v="300"/>
    <s v="Boiler water condition (not feedwater water quality)"/>
    <s v="F170High silica @  hot start-up"/>
    <s v="Mill Creek"/>
    <x v="1"/>
    <s v="Coal"/>
    <x v="1"/>
    <x v="2"/>
    <n v="5"/>
    <n v="6.3000000001047738"/>
    <n v="6.3000000001047738"/>
    <n v="1890.0000000314321"/>
    <n v="300"/>
    <x v="229"/>
  </r>
  <r>
    <x v="7"/>
    <x v="0"/>
    <n v="36"/>
    <n v="1850"/>
    <d v="2015-05-27T11:22:00"/>
    <d v="2015-05-27T13:48:00"/>
    <n v="255"/>
    <n v="330"/>
    <n v="300"/>
    <s v="Boiler water condition (not feedwater water quality)"/>
    <s v="F170High Silica"/>
    <s v="Mill Creek"/>
    <x v="0"/>
    <s v="Coal"/>
    <x v="1"/>
    <x v="2"/>
    <n v="5"/>
    <n v="2.4333333332324401"/>
    <n v="0.55303030300737277"/>
    <n v="165.90909090221183"/>
    <n v="68.181818181818187"/>
    <x v="208"/>
  </r>
  <r>
    <x v="7"/>
    <x v="0"/>
    <n v="37"/>
    <n v="1850"/>
    <d v="2015-05-27T13:48:00"/>
    <d v="2015-05-28T03:22:00"/>
    <n v="292"/>
    <n v="330"/>
    <n v="300"/>
    <s v="Boiler water condition (not feedwater water quality)"/>
    <s v="F170High Silica"/>
    <s v="Mill Creek"/>
    <x v="0"/>
    <s v="Coal"/>
    <x v="1"/>
    <x v="2"/>
    <n v="5"/>
    <n v="13.566666666709352"/>
    <n v="1.5622222222271376"/>
    <n v="468.66666666814126"/>
    <n v="34.545454545454547"/>
    <x v="139"/>
  </r>
  <r>
    <x v="7"/>
    <x v="0"/>
    <n v="38"/>
    <n v="1850"/>
    <d v="2015-05-28T03:22:00"/>
    <d v="2015-05-28T05:58:00"/>
    <n v="303"/>
    <n v="330"/>
    <n v="300"/>
    <s v="Boiler water condition (not feedwater water quality)"/>
    <s v="F170High Silica"/>
    <s v="Mill Creek"/>
    <x v="0"/>
    <s v="Coal"/>
    <x v="1"/>
    <x v="2"/>
    <n v="5"/>
    <n v="2.6000000000931323"/>
    <n v="0.21272727273489264"/>
    <n v="63.818181820467792"/>
    <n v="24.545454545454547"/>
    <x v="80"/>
  </r>
  <r>
    <x v="7"/>
    <x v="3"/>
    <n v="39"/>
    <n v="8650"/>
    <d v="2015-05-28T08:00:00"/>
    <d v="2015-05-28T19:18:00"/>
    <n v="0"/>
    <n v="330"/>
    <n v="300"/>
    <s v="Baghouse systems"/>
    <s v="F790Baghouse testing"/>
    <s v="Mill Creek"/>
    <x v="1"/>
    <s v="Coal"/>
    <x v="1"/>
    <x v="2"/>
    <n v="5"/>
    <n v="11.299999999988358"/>
    <n v="11.299999999988358"/>
    <n v="3389.9999999965075"/>
    <n v="300"/>
    <x v="229"/>
  </r>
  <r>
    <x v="7"/>
    <x v="2"/>
    <n v="40"/>
    <n v="310"/>
    <d v="2015-05-28T23:00:00"/>
    <d v="2015-05-29T01:29:00"/>
    <n v="240"/>
    <n v="330"/>
    <n v="300"/>
    <s v="Pulverizer mills"/>
    <s v="F5901A Mill Maintenance"/>
    <s v="Mill Creek"/>
    <x v="0"/>
    <s v="Coal"/>
    <x v="1"/>
    <x v="2"/>
    <n v="5"/>
    <n v="2.4833333332207985"/>
    <n v="0.67727272724203591"/>
    <n v="203.18181817261078"/>
    <n v="81.818181818181813"/>
    <x v="48"/>
  </r>
  <r>
    <x v="7"/>
    <x v="3"/>
    <n v="41"/>
    <n v="8650"/>
    <d v="2015-05-29T08:00:00"/>
    <d v="2015-05-29T13:05:00"/>
    <n v="0"/>
    <n v="330"/>
    <n v="300"/>
    <s v="Baghouse systems"/>
    <s v="F790Baghouse testing"/>
    <s v="Mill Creek"/>
    <x v="1"/>
    <s v="Coal"/>
    <x v="1"/>
    <x v="2"/>
    <n v="5"/>
    <n v="5.0833333333139308"/>
    <n v="5.0833333333139308"/>
    <n v="1524.9999999941792"/>
    <n v="300"/>
    <x v="229"/>
  </r>
  <r>
    <x v="7"/>
    <x v="3"/>
    <n v="42"/>
    <n v="8650"/>
    <d v="2015-05-30T08:00:00"/>
    <d v="2015-05-30T17:12:00"/>
    <n v="0"/>
    <n v="330"/>
    <n v="300"/>
    <s v="Baghouse systems"/>
    <s v="F790Baghouse testing"/>
    <s v="Mill Creek"/>
    <x v="1"/>
    <s v="Coal"/>
    <x v="1"/>
    <x v="2"/>
    <n v="5"/>
    <n v="9.1999999999534339"/>
    <n v="9.1999999999534339"/>
    <n v="2759.9999999860302"/>
    <n v="300"/>
    <x v="229"/>
  </r>
  <r>
    <x v="7"/>
    <x v="4"/>
    <n v="43"/>
    <n v="775"/>
    <d v="2015-06-02T09:51:00"/>
    <d v="2015-06-03T04:46:00"/>
    <n v="0"/>
    <n v="330"/>
    <n v="300"/>
    <s v="Economizer piping"/>
    <s v="F540Economizer recirc line repair"/>
    <s v="Mill Creek"/>
    <x v="2"/>
    <s v="Coal"/>
    <x v="1"/>
    <x v="2"/>
    <n v="6"/>
    <n v="18.916666666686069"/>
    <n v="18.916666666686069"/>
    <n v="5675.0000000058208"/>
    <n v="300"/>
    <x v="229"/>
  </r>
  <r>
    <x v="7"/>
    <x v="3"/>
    <n v="44"/>
    <n v="1850"/>
    <d v="2015-06-03T04:46:00"/>
    <d v="2015-06-03T13:33:00"/>
    <n v="0"/>
    <n v="330"/>
    <n v="300"/>
    <s v="Boiler water condition (not feedwater water quality)"/>
    <s v="F170High Silica @ hot start"/>
    <s v="Mill Creek"/>
    <x v="1"/>
    <s v="Coal"/>
    <x v="1"/>
    <x v="2"/>
    <n v="6"/>
    <n v="8.7833333333255723"/>
    <n v="8.7833333333255723"/>
    <n v="2634.9999999976717"/>
    <n v="300"/>
    <x v="229"/>
  </r>
  <r>
    <x v="7"/>
    <x v="0"/>
    <n v="45"/>
    <n v="310"/>
    <d v="2015-06-03T19:10:00"/>
    <d v="2015-06-04T00:47:00"/>
    <n v="250"/>
    <n v="330"/>
    <n v="300"/>
    <s v="Pulverizer mills"/>
    <s v="F5901B Coal Mill"/>
    <s v="Mill Creek"/>
    <x v="0"/>
    <s v="Coal"/>
    <x v="1"/>
    <x v="2"/>
    <n v="6"/>
    <n v="5.6166666666395031"/>
    <n v="1.3616161616095765"/>
    <n v="408.48484848287296"/>
    <n v="72.727272727272734"/>
    <x v="87"/>
  </r>
  <r>
    <x v="7"/>
    <x v="3"/>
    <n v="46"/>
    <n v="1990"/>
    <d v="2015-06-04T08:10:00"/>
    <d v="2015-06-04T19:43:00"/>
    <n v="0"/>
    <n v="330"/>
    <n v="300"/>
    <s v="Boiler performance testing (use code 9999 for total unit performance testing)"/>
    <s v="F790Boiler tuning"/>
    <s v="Mill Creek"/>
    <x v="1"/>
    <s v="Coal"/>
    <x v="1"/>
    <x v="2"/>
    <n v="6"/>
    <n v="11.549999999930151"/>
    <n v="11.549999999930151"/>
    <n v="3464.9999999790452"/>
    <n v="300"/>
    <x v="229"/>
  </r>
  <r>
    <x v="7"/>
    <x v="3"/>
    <n v="47"/>
    <n v="8460"/>
    <d v="2015-06-05T07:06:00"/>
    <d v="2015-06-05T15:26:00"/>
    <n v="0"/>
    <n v="330"/>
    <n v="300"/>
    <s v="Testing A"/>
    <s v="F790Full Load testing"/>
    <s v="Mill Creek"/>
    <x v="1"/>
    <s v="Coal"/>
    <x v="1"/>
    <x v="2"/>
    <n v="6"/>
    <n v="8.3333333334303461"/>
    <n v="8.3333333334303461"/>
    <n v="2500.0000000291038"/>
    <n v="300"/>
    <x v="229"/>
  </r>
  <r>
    <x v="7"/>
    <x v="3"/>
    <n v="48"/>
    <n v="8460"/>
    <d v="2015-06-06T11:42:00"/>
    <d v="2015-06-06T12:25:00"/>
    <n v="0"/>
    <n v="330"/>
    <n v="300"/>
    <s v="Testing A"/>
    <s v="F790Full load testing"/>
    <s v="Mill Creek"/>
    <x v="1"/>
    <s v="Coal"/>
    <x v="1"/>
    <x v="2"/>
    <n v="6"/>
    <n v="0.71666666655801237"/>
    <n v="0.71666666655801237"/>
    <n v="214.99999996740371"/>
    <n v="300"/>
    <x v="229"/>
  </r>
  <r>
    <x v="7"/>
    <x v="0"/>
    <n v="49"/>
    <n v="310"/>
    <d v="2015-06-06T12:25:00"/>
    <d v="2015-06-06T14:55:00"/>
    <n v="245"/>
    <n v="330"/>
    <n v="300"/>
    <s v="Pulverizer mills"/>
    <s v="F590B Mill roller maintenance"/>
    <s v="Mill Creek"/>
    <x v="0"/>
    <s v="Coal"/>
    <x v="1"/>
    <x v="2"/>
    <n v="6"/>
    <n v="2.5000000001164153"/>
    <n v="0.64393939396937971"/>
    <n v="193.18181819081391"/>
    <n v="77.272727272727266"/>
    <x v="128"/>
  </r>
  <r>
    <x v="7"/>
    <x v="3"/>
    <n v="50"/>
    <n v="8460"/>
    <d v="2015-06-06T14:55:00"/>
    <d v="2015-06-06T17:30:00"/>
    <n v="0"/>
    <n v="330"/>
    <n v="300"/>
    <s v="Testing A"/>
    <s v="F790Full Load testing"/>
    <s v="Mill Creek"/>
    <x v="1"/>
    <s v="Coal"/>
    <x v="1"/>
    <x v="2"/>
    <n v="6"/>
    <n v="2.5833333331975155"/>
    <n v="2.5833333331975155"/>
    <n v="774.99999995925464"/>
    <n v="300"/>
    <x v="229"/>
  </r>
  <r>
    <x v="7"/>
    <x v="0"/>
    <n v="51"/>
    <n v="4262"/>
    <d v="2015-06-06T18:30:00"/>
    <d v="2015-06-06T21:25:00"/>
    <n v="300"/>
    <n v="330"/>
    <n v="300"/>
    <s v="Intercept valves"/>
    <s v="F720#2 Reheat intercept valve stuck"/>
    <s v="Mill Creek"/>
    <x v="0"/>
    <s v="Coal"/>
    <x v="1"/>
    <x v="2"/>
    <n v="6"/>
    <n v="2.9166666665696539"/>
    <n v="0.2651515151426958"/>
    <n v="79.545454542808741"/>
    <n v="27.272727272727273"/>
    <x v="6"/>
  </r>
  <r>
    <x v="7"/>
    <x v="3"/>
    <n v="52"/>
    <n v="8460"/>
    <d v="2015-06-07T08:30:00"/>
    <d v="2015-06-07T17:23:00"/>
    <n v="0"/>
    <n v="330"/>
    <n v="300"/>
    <s v="Testing A"/>
    <s v="F790Low load testing.  Full load available if load dispatch needed it."/>
    <s v="Mill Creek"/>
    <x v="1"/>
    <s v="Coal"/>
    <x v="1"/>
    <x v="2"/>
    <n v="6"/>
    <n v="8.8833333334769122"/>
    <n v="8.8833333334769122"/>
    <n v="2665.0000000430737"/>
    <n v="300"/>
    <x v="229"/>
  </r>
  <r>
    <x v="7"/>
    <x v="5"/>
    <n v="53"/>
    <n v="800"/>
    <d v="2015-06-08T02:28:00"/>
    <d v="2015-06-08T03:47:00"/>
    <n v="0"/>
    <n v="330"/>
    <n v="300"/>
    <s v="Drums and drum internals (single drum only)"/>
    <s v="F660Pressure swing bringing mill online"/>
    <s v="Mill Creek"/>
    <x v="3"/>
    <s v="Coal"/>
    <x v="1"/>
    <x v="2"/>
    <n v="6"/>
    <n v="1.316666666592937"/>
    <n v="1.316666666592937"/>
    <n v="394.99999997788109"/>
    <n v="300"/>
    <x v="229"/>
  </r>
  <r>
    <x v="7"/>
    <x v="3"/>
    <n v="54"/>
    <n v="1850"/>
    <d v="2015-06-08T03:47:00"/>
    <d v="2015-06-08T08:49:00"/>
    <n v="0"/>
    <n v="330"/>
    <n v="300"/>
    <s v="Boiler water condition (not feedwater water quality)"/>
    <s v="F170High silica @ very hot start"/>
    <s v="Mill Creek"/>
    <x v="1"/>
    <s v="Coal"/>
    <x v="1"/>
    <x v="2"/>
    <n v="6"/>
    <n v="5.0333333333255723"/>
    <n v="5.0333333333255723"/>
    <n v="1509.9999999976717"/>
    <n v="300"/>
    <x v="229"/>
  </r>
  <r>
    <x v="7"/>
    <x v="3"/>
    <n v="55"/>
    <n v="8460"/>
    <d v="2015-06-08T11:15:00"/>
    <d v="2015-06-08T18:25:00"/>
    <n v="0"/>
    <n v="330"/>
    <n v="300"/>
    <s v="Testing A"/>
    <s v="F790Full Load Testing"/>
    <s v="Mill Creek"/>
    <x v="1"/>
    <s v="Coal"/>
    <x v="1"/>
    <x v="2"/>
    <n v="6"/>
    <n v="7.1666666666278616"/>
    <n v="7.1666666666278616"/>
    <n v="2149.9999999883585"/>
    <n v="300"/>
    <x v="229"/>
  </r>
  <r>
    <x v="7"/>
    <x v="0"/>
    <n v="56"/>
    <n v="310"/>
    <d v="2015-06-08T19:35:00"/>
    <d v="2015-06-08T23:00:00"/>
    <n v="250"/>
    <n v="330"/>
    <n v="300"/>
    <s v="Pulverizer mills"/>
    <s v="F5901B Coal Mill roller"/>
    <s v="Mill Creek"/>
    <x v="0"/>
    <s v="Coal"/>
    <x v="1"/>
    <x v="2"/>
    <n v="6"/>
    <n v="3.4166666668024845"/>
    <n v="0.82828282831575384"/>
    <n v="248.48484849472615"/>
    <n v="72.727272727272734"/>
    <x v="87"/>
  </r>
  <r>
    <x v="7"/>
    <x v="3"/>
    <n v="57"/>
    <n v="8460"/>
    <d v="2015-06-09T12:00:00"/>
    <d v="2015-06-09T14:08:00"/>
    <n v="0"/>
    <n v="330"/>
    <n v="300"/>
    <s v="Testing A"/>
    <s v="F790Full Load Testing"/>
    <s v="Mill Creek"/>
    <x v="1"/>
    <s v="Coal"/>
    <x v="1"/>
    <x v="2"/>
    <n v="6"/>
    <n v="2.1333333333022892"/>
    <n v="2.1333333333022892"/>
    <n v="639.99999999068677"/>
    <n v="300"/>
    <x v="229"/>
  </r>
  <r>
    <x v="7"/>
    <x v="2"/>
    <n v="58"/>
    <n v="310"/>
    <d v="2015-06-09T22:00:00"/>
    <d v="2015-06-10T02:16:00"/>
    <n v="250"/>
    <n v="330"/>
    <n v="300"/>
    <s v="Pulverizer mills"/>
    <s v="F590Coal Mill Maintenance"/>
    <s v="Mill Creek"/>
    <x v="0"/>
    <s v="Coal"/>
    <x v="1"/>
    <x v="2"/>
    <n v="6"/>
    <n v="4.2666666667792015"/>
    <n v="1.0343434343707154"/>
    <n v="310.30303031121463"/>
    <n v="72.727272727272734"/>
    <x v="87"/>
  </r>
  <r>
    <x v="7"/>
    <x v="3"/>
    <n v="59"/>
    <n v="8460"/>
    <d v="2015-06-10T02:16:00"/>
    <d v="2015-06-10T04:23:00"/>
    <n v="0"/>
    <n v="330"/>
    <n v="300"/>
    <s v="Testing A"/>
    <s v="F790Low Load RATA Testing - Load available if needed"/>
    <s v="Mill Creek"/>
    <x v="1"/>
    <s v="Coal"/>
    <x v="1"/>
    <x v="2"/>
    <n v="6"/>
    <n v="2.1166666665812954"/>
    <n v="2.1166666665812954"/>
    <n v="634.99999997438863"/>
    <n v="300"/>
    <x v="229"/>
  </r>
  <r>
    <x v="7"/>
    <x v="3"/>
    <n v="60"/>
    <n v="8460"/>
    <d v="2015-06-10T04:23:00"/>
    <d v="2015-06-10T05:30:00"/>
    <n v="0"/>
    <n v="330"/>
    <n v="300"/>
    <s v="Testing A"/>
    <s v="F790Mid Load RATA Testing - Load available if needed"/>
    <s v="Mill Creek"/>
    <x v="1"/>
    <s v="Coal"/>
    <x v="1"/>
    <x v="2"/>
    <n v="6"/>
    <n v="1.1166666666395031"/>
    <n v="1.1166666666395031"/>
    <n v="334.99999999185093"/>
    <n v="300"/>
    <x v="229"/>
  </r>
  <r>
    <x v="7"/>
    <x v="0"/>
    <n v="61"/>
    <n v="310"/>
    <d v="2015-06-10T05:30:00"/>
    <d v="2015-06-10T06:10:00"/>
    <n v="250"/>
    <n v="330"/>
    <n v="300"/>
    <s v="Pulverizer mills"/>
    <s v="F5901B Coal Mill Maintenance"/>
    <s v="Mill Creek"/>
    <x v="0"/>
    <s v="Coal"/>
    <x v="1"/>
    <x v="2"/>
    <n v="6"/>
    <n v="0.66666666674427688"/>
    <n v="0.16161616163497622"/>
    <n v="48.484848490492865"/>
    <n v="72.727272727272734"/>
    <x v="87"/>
  </r>
  <r>
    <x v="7"/>
    <x v="0"/>
    <n v="62"/>
    <n v="310"/>
    <d v="2015-06-10T06:49:00"/>
    <d v="2015-06-10T09:07:00"/>
    <n v="270"/>
    <n v="330"/>
    <n v="300"/>
    <s v="Pulverizer mills"/>
    <s v="F5901B Coal Mill"/>
    <s v="Mill Creek"/>
    <x v="0"/>
    <s v="Coal"/>
    <x v="1"/>
    <x v="2"/>
    <n v="6"/>
    <n v="2.2999999999883585"/>
    <n v="0.41818181817970151"/>
    <n v="125.45454545391046"/>
    <n v="54.545454545454547"/>
    <x v="2"/>
  </r>
  <r>
    <x v="7"/>
    <x v="3"/>
    <n v="63"/>
    <n v="8460"/>
    <d v="2015-06-10T09:07:00"/>
    <d v="2015-06-10T15:53:00"/>
    <n v="0"/>
    <n v="330"/>
    <n v="300"/>
    <s v="Testing A"/>
    <s v="F790Full Load Testing"/>
    <s v="Mill Creek"/>
    <x v="1"/>
    <s v="Coal"/>
    <x v="1"/>
    <x v="2"/>
    <n v="6"/>
    <n v="6.7666666667209938"/>
    <n v="6.7666666667209938"/>
    <n v="2030.0000000162981"/>
    <n v="300"/>
    <x v="229"/>
  </r>
  <r>
    <x v="7"/>
    <x v="2"/>
    <n v="64"/>
    <n v="310"/>
    <d v="2015-06-10T23:22:00"/>
    <d v="2015-06-11T01:46:00"/>
    <n v="250"/>
    <n v="330"/>
    <n v="300"/>
    <s v="Pulverizer mills"/>
    <s v="F5901A Coal Mill"/>
    <s v="Mill Creek"/>
    <x v="0"/>
    <s v="Coal"/>
    <x v="1"/>
    <x v="2"/>
    <n v="6"/>
    <n v="2.3999999999650754"/>
    <n v="0.58181818180971523"/>
    <n v="174.54545454291457"/>
    <n v="72.727272727272734"/>
    <x v="87"/>
  </r>
  <r>
    <x v="7"/>
    <x v="3"/>
    <n v="65"/>
    <n v="8460"/>
    <d v="2015-06-11T01:46:00"/>
    <d v="2015-06-11T04:15:00"/>
    <n v="0"/>
    <n v="330"/>
    <n v="300"/>
    <s v="Testing A"/>
    <s v="F790Low Load RATA Testing - Load available if needed"/>
    <s v="Mill Creek"/>
    <x v="1"/>
    <s v="Coal"/>
    <x v="1"/>
    <x v="2"/>
    <n v="6"/>
    <n v="2.4833333333954215"/>
    <n v="2.4833333333954215"/>
    <n v="745.00000001862645"/>
    <n v="300"/>
    <x v="229"/>
  </r>
  <r>
    <x v="7"/>
    <x v="3"/>
    <n v="66"/>
    <n v="8460"/>
    <d v="2015-06-11T04:15:00"/>
    <d v="2015-06-11T07:34:00"/>
    <n v="0"/>
    <n v="330"/>
    <n v="300"/>
    <s v="Testing A"/>
    <s v="F790Mid Load RATA Testing - Load available if needed"/>
    <s v="Mill Creek"/>
    <x v="1"/>
    <s v="Coal"/>
    <x v="1"/>
    <x v="2"/>
    <n v="6"/>
    <n v="3.3166666666511446"/>
    <n v="3.3166666666511446"/>
    <n v="994.99999999534339"/>
    <n v="300"/>
    <x v="229"/>
  </r>
  <r>
    <x v="7"/>
    <x v="2"/>
    <n v="67"/>
    <n v="310"/>
    <d v="2015-06-11T23:00:00"/>
    <d v="2015-06-12T04:08:00"/>
    <n v="250"/>
    <n v="330"/>
    <n v="300"/>
    <s v="Pulverizer mills"/>
    <s v="F5901D Coal Mill General Maintenance"/>
    <s v="Mill Creek"/>
    <x v="0"/>
    <s v="Coal"/>
    <x v="1"/>
    <x v="2"/>
    <n v="6"/>
    <n v="5.1333333333022892"/>
    <n v="1.2444444444369187"/>
    <n v="373.33333333107561"/>
    <n v="72.727272727272734"/>
    <x v="87"/>
  </r>
  <r>
    <x v="7"/>
    <x v="2"/>
    <n v="68"/>
    <n v="310"/>
    <d v="2015-06-15T23:00:00"/>
    <d v="2015-06-16T04:38:00"/>
    <n v="250"/>
    <n v="330"/>
    <n v="300"/>
    <s v="Pulverizer mills"/>
    <s v="F5901D Coal Mill - Adjusted Rollers"/>
    <s v="Mill Creek"/>
    <x v="0"/>
    <s v="Coal"/>
    <x v="1"/>
    <x v="2"/>
    <n v="6"/>
    <n v="5.6333333333604969"/>
    <n v="1.3656565656631507"/>
    <n v="409.69696969894522"/>
    <n v="72.727272727272734"/>
    <x v="87"/>
  </r>
  <r>
    <x v="7"/>
    <x v="2"/>
    <n v="69"/>
    <n v="310"/>
    <d v="2015-06-17T23:00:00"/>
    <d v="2015-06-18T05:36:00"/>
    <n v="240"/>
    <n v="330"/>
    <n v="300"/>
    <s v="Pulverizer mills"/>
    <s v="F5901B Coal Mill - Adjusted Roller"/>
    <s v="Mill Creek"/>
    <x v="0"/>
    <s v="Coal"/>
    <x v="1"/>
    <x v="2"/>
    <n v="6"/>
    <n v="6.5999999998603016"/>
    <n v="1.7999999999619005"/>
    <n v="539.99999998857015"/>
    <n v="81.818181818181813"/>
    <x v="48"/>
  </r>
  <r>
    <x v="7"/>
    <x v="3"/>
    <n v="70"/>
    <n v="8650"/>
    <d v="2015-06-23T08:00:00"/>
    <d v="2015-06-23T17:26:00"/>
    <n v="0"/>
    <n v="330"/>
    <n v="300"/>
    <s v="Baghouse systems"/>
    <s v="F790Full Load testing"/>
    <s v="Mill Creek"/>
    <x v="1"/>
    <s v="Coal"/>
    <x v="1"/>
    <x v="2"/>
    <n v="6"/>
    <n v="9.4333333333488554"/>
    <n v="9.4333333333488554"/>
    <n v="2830.0000000046566"/>
    <n v="300"/>
    <x v="229"/>
  </r>
  <r>
    <x v="7"/>
    <x v="3"/>
    <n v="71"/>
    <n v="1160"/>
    <d v="2015-06-23T23:30:00"/>
    <d v="2015-06-24T04:24:00"/>
    <n v="0"/>
    <n v="330"/>
    <n v="300"/>
    <s v="First reheater B"/>
    <s v="F320Boiler Deslag - Load available as needed"/>
    <s v="Mill Creek"/>
    <x v="1"/>
    <s v="Coal"/>
    <x v="1"/>
    <x v="2"/>
    <n v="6"/>
    <n v="4.9000000000814907"/>
    <n v="4.9000000000814907"/>
    <n v="1470.0000000244472"/>
    <n v="300"/>
    <x v="229"/>
  </r>
  <r>
    <x v="7"/>
    <x v="3"/>
    <n v="72"/>
    <n v="8460"/>
    <d v="2015-06-24T09:00:00"/>
    <d v="2015-06-24T17:24:00"/>
    <n v="0"/>
    <n v="330"/>
    <n v="300"/>
    <s v="Testing A"/>
    <s v="F790Full load testing"/>
    <s v="Mill Creek"/>
    <x v="1"/>
    <s v="Coal"/>
    <x v="1"/>
    <x v="2"/>
    <n v="6"/>
    <n v="8.3999999999650754"/>
    <n v="8.3999999999650754"/>
    <n v="2519.9999999895226"/>
    <n v="300"/>
    <x v="229"/>
  </r>
  <r>
    <x v="7"/>
    <x v="3"/>
    <n v="73"/>
    <n v="8650"/>
    <d v="2015-06-25T08:00:00"/>
    <d v="2015-06-25T14:26:00"/>
    <n v="0"/>
    <n v="330"/>
    <n v="300"/>
    <s v="Baghouse systems"/>
    <s v="F790Full load PM testing"/>
    <s v="Mill Creek"/>
    <x v="1"/>
    <s v="Coal"/>
    <x v="1"/>
    <x v="2"/>
    <n v="6"/>
    <n v="6.4333333333488554"/>
    <n v="6.4333333333488554"/>
    <n v="1930.0000000046566"/>
    <n v="300"/>
    <x v="229"/>
  </r>
  <r>
    <x v="7"/>
    <x v="4"/>
    <n v="74"/>
    <n v="3110"/>
    <d v="2015-06-26T20:41:00"/>
    <d v="2015-06-27T20:13:00"/>
    <n v="0"/>
    <n v="330"/>
    <n v="300"/>
    <s v="Condenser tube leaks"/>
    <s v="F540Condenser leak"/>
    <s v="Mill Creek"/>
    <x v="2"/>
    <s v="Coal"/>
    <x v="1"/>
    <x v="2"/>
    <n v="6"/>
    <n v="23.53333333338378"/>
    <n v="23.53333333338378"/>
    <n v="7060.000000015134"/>
    <n v="300"/>
    <x v="229"/>
  </r>
  <r>
    <x v="7"/>
    <x v="3"/>
    <n v="76"/>
    <n v="1850"/>
    <d v="2015-06-29T06:08:00"/>
    <d v="2015-06-29T14:13:00"/>
    <n v="0"/>
    <n v="330"/>
    <n v="300"/>
    <s v="Boiler water condition (not feedwater water quality)"/>
    <s v="F170High silica @ warm start"/>
    <s v="Mill Creek"/>
    <x v="1"/>
    <s v="Coal"/>
    <x v="1"/>
    <x v="2"/>
    <n v="6"/>
    <n v="8.0833333333139308"/>
    <n v="8.0833333333139308"/>
    <n v="2424.9999999941792"/>
    <n v="300"/>
    <x v="229"/>
  </r>
  <r>
    <x v="7"/>
    <x v="0"/>
    <n v="77"/>
    <n v="1850"/>
    <d v="2015-06-29T14:13:00"/>
    <d v="2015-06-29T14:44:00"/>
    <n v="309"/>
    <n v="330"/>
    <n v="300"/>
    <s v="Boiler water condition (not feedwater water quality)"/>
    <s v="F170High silica"/>
    <s v="Mill Creek"/>
    <x v="0"/>
    <s v="Coal"/>
    <x v="1"/>
    <x v="2"/>
    <n v="6"/>
    <n v="0.5166666666045785"/>
    <n v="3.2878787874836814E-2"/>
    <n v="9.8636363624510448"/>
    <n v="19.09090909090909"/>
    <x v="54"/>
  </r>
  <r>
    <x v="7"/>
    <x v="0"/>
    <n v="78"/>
    <n v="1850"/>
    <d v="2015-06-29T14:44:00"/>
    <d v="2015-06-29T15:48:00"/>
    <n v="325"/>
    <n v="330"/>
    <n v="300"/>
    <s v="Boiler water condition (not feedwater water quality)"/>
    <s v="F170High silica"/>
    <s v="Mill Creek"/>
    <x v="0"/>
    <s v="Coal"/>
    <x v="1"/>
    <x v="2"/>
    <n v="6"/>
    <n v="1.0666666666511446"/>
    <n v="1.6161616161380978E-2"/>
    <n v="4.8484848484142935"/>
    <n v="4.5454545454545459"/>
    <x v="166"/>
  </r>
  <r>
    <x v="7"/>
    <x v="3"/>
    <n v="79"/>
    <n v="1488"/>
    <d v="2015-07-08T12:00:00"/>
    <d v="2015-07-08T13:15:00"/>
    <n v="0"/>
    <n v="330"/>
    <n v="300"/>
    <s v="Air heater (regenerative)"/>
    <s v="F790Full Load Testing - Air heater"/>
    <s v="Mill Creek"/>
    <x v="1"/>
    <s v="Coal"/>
    <x v="1"/>
    <x v="2"/>
    <n v="7"/>
    <n v="1.2500000000582077"/>
    <n v="1.2500000000582077"/>
    <n v="375.0000000174623"/>
    <n v="300"/>
    <x v="229"/>
  </r>
  <r>
    <x v="7"/>
    <x v="3"/>
    <n v="80"/>
    <n v="9999"/>
    <d v="2015-07-09T08:10:00"/>
    <d v="2015-07-09T14:36:00"/>
    <n v="0"/>
    <n v="330"/>
    <n v="300"/>
    <s v="Total unit performance testing (use appropriate codes for individual component testing)"/>
    <s v="F790Summer Full Load Capability Test"/>
    <s v="Mill Creek"/>
    <x v="1"/>
    <s v="Coal"/>
    <x v="1"/>
    <x v="2"/>
    <n v="7"/>
    <n v="6.4333333331742324"/>
    <n v="6.4333333331742324"/>
    <n v="1929.9999999522697"/>
    <n v="300"/>
    <x v="229"/>
  </r>
  <r>
    <x v="7"/>
    <x v="2"/>
    <n v="81"/>
    <n v="310"/>
    <d v="2015-07-19T23:00:00"/>
    <d v="2015-07-20T01:10:00"/>
    <n v="250"/>
    <n v="330"/>
    <n v="300"/>
    <s v="Pulverizer mills"/>
    <s v="F5901D Mill Adjust Rollers"/>
    <s v="Mill Creek"/>
    <x v="0"/>
    <s v="Coal"/>
    <x v="1"/>
    <x v="2"/>
    <n v="7"/>
    <n v="2.1666666665696539"/>
    <n v="0.52525252522900701"/>
    <n v="157.5757575687021"/>
    <n v="72.727272727272734"/>
    <x v="87"/>
  </r>
  <r>
    <x v="7"/>
    <x v="3"/>
    <n v="82"/>
    <n v="8460"/>
    <d v="2015-07-23T09:18:00"/>
    <d v="2015-07-23T13:00:00"/>
    <n v="0"/>
    <n v="330"/>
    <n v="300"/>
    <s v="Testing A"/>
    <s v="F790Mercury Air Toxic Standard (MATS) Testing"/>
    <s v="Mill Creek"/>
    <x v="1"/>
    <s v="Coal"/>
    <x v="1"/>
    <x v="2"/>
    <n v="7"/>
    <n v="3.7000000000116415"/>
    <n v="3.7000000000116415"/>
    <n v="1110.0000000034925"/>
    <n v="300"/>
    <x v="229"/>
  </r>
  <r>
    <x v="7"/>
    <x v="0"/>
    <n v="83"/>
    <n v="250"/>
    <d v="2015-07-27T02:48:00"/>
    <d v="2015-07-27T03:11:00"/>
    <n v="250"/>
    <n v="330"/>
    <n v="300"/>
    <s v="Pulverizer feeders"/>
    <s v="F7001B Coal Feeder - Replaced Action Pack Relay"/>
    <s v="Mill Creek"/>
    <x v="0"/>
    <s v="Coal"/>
    <x v="1"/>
    <x v="2"/>
    <n v="7"/>
    <n v="0.38333333336049691"/>
    <n v="9.2929292935878038E-2"/>
    <n v="27.878787880763412"/>
    <n v="72.727272727272734"/>
    <x v="87"/>
  </r>
  <r>
    <x v="7"/>
    <x v="0"/>
    <n v="84"/>
    <n v="250"/>
    <d v="2015-07-29T17:25:00"/>
    <d v="2015-07-29T18:08:00"/>
    <n v="280"/>
    <n v="330"/>
    <n v="300"/>
    <s v="Pulverizer feeders"/>
    <s v="F8201B Coal Feeder - Electrical Issues, keeps tripping. Investigating cause."/>
    <s v="Mill Creek"/>
    <x v="0"/>
    <s v="Coal"/>
    <x v="1"/>
    <x v="2"/>
    <n v="7"/>
    <n v="0.71666666673263535"/>
    <n v="0.10858585859585385"/>
    <n v="32.575757578756154"/>
    <n v="45.454545454545453"/>
    <x v="23"/>
  </r>
  <r>
    <x v="7"/>
    <x v="0"/>
    <n v="85"/>
    <n v="250"/>
    <d v="2015-07-29T19:40:00"/>
    <d v="2015-07-30T12:45:00"/>
    <n v="280"/>
    <n v="330"/>
    <n v="300"/>
    <s v="Pulverizer feeders"/>
    <s v="F8201B Coal Feeder - Electrical Issues, keeps tripping. Investigating cause."/>
    <s v="Mill Creek"/>
    <x v="0"/>
    <s v="Coal"/>
    <x v="1"/>
    <x v="2"/>
    <n v="7"/>
    <n v="17.083333333313931"/>
    <n v="2.5883838383808988"/>
    <n v="776.51515151426963"/>
    <n v="45.454545454545453"/>
    <x v="23"/>
  </r>
  <r>
    <x v="7"/>
    <x v="0"/>
    <n v="86"/>
    <n v="250"/>
    <d v="2015-07-30T13:12:00"/>
    <d v="2015-07-30T15:26:00"/>
    <n v="280"/>
    <n v="330"/>
    <n v="300"/>
    <s v="Pulverizer feeders"/>
    <s v="F8201B Coal Feeder - Electrical Issues, Tripping"/>
    <s v="Mill Creek"/>
    <x v="0"/>
    <s v="Coal"/>
    <x v="1"/>
    <x v="2"/>
    <n v="7"/>
    <n v="2.2333333332790062"/>
    <n v="0.33838383837560698"/>
    <n v="101.5151515126821"/>
    <n v="45.454545454545453"/>
    <x v="23"/>
  </r>
  <r>
    <x v="7"/>
    <x v="0"/>
    <n v="87"/>
    <n v="310"/>
    <d v="2015-08-05T06:40:00"/>
    <d v="2015-08-05T08:15:00"/>
    <n v="260"/>
    <n v="330"/>
    <n v="300"/>
    <s v="Pulverizer mills"/>
    <s v="FW001D Coal Mill - Wet Coal"/>
    <s v="Mill Creek"/>
    <x v="0"/>
    <s v="Coal"/>
    <x v="1"/>
    <x v="2"/>
    <n v="8"/>
    <n v="1.5833333332557231"/>
    <n v="0.33585858584212308"/>
    <n v="100.75757575263692"/>
    <n v="63.636363636363633"/>
    <x v="30"/>
  </r>
  <r>
    <x v="7"/>
    <x v="3"/>
    <n v="88"/>
    <n v="3623"/>
    <d v="2015-08-10T10:00:00"/>
    <d v="2015-08-10T12:30:00"/>
    <n v="0"/>
    <n v="330"/>
    <n v="300"/>
    <s v="Auxiliary generators"/>
    <s v="F790VAR Testing"/>
    <s v="Mill Creek"/>
    <x v="1"/>
    <s v="Coal"/>
    <x v="1"/>
    <x v="2"/>
    <n v="8"/>
    <n v="2.5000000001164153"/>
    <n v="2.5000000001164153"/>
    <n v="750.0000000349246"/>
    <n v="300"/>
    <x v="229"/>
  </r>
  <r>
    <x v="7"/>
    <x v="0"/>
    <n v="89"/>
    <n v="4263"/>
    <d v="2015-08-11T01:04:00"/>
    <d v="2015-08-11T06:35:00"/>
    <n v="200"/>
    <n v="330"/>
    <n v="300"/>
    <s v="Reheat stop valves"/>
    <s v="F720Turbine #2 Reheat Stop Valve - Stuck Closed from Valve Test"/>
    <s v="Mill Creek"/>
    <x v="0"/>
    <s v="Coal"/>
    <x v="1"/>
    <x v="2"/>
    <n v="8"/>
    <n v="5.5166666666627862"/>
    <n v="2.1732323232307946"/>
    <n v="651.96969696923838"/>
    <n v="118.18181818181819"/>
    <x v="40"/>
  </r>
  <r>
    <x v="7"/>
    <x v="4"/>
    <n v="90"/>
    <n v="4263"/>
    <d v="2015-08-11T23:31:00"/>
    <d v="2015-08-15T12:45:00"/>
    <n v="0"/>
    <n v="330"/>
    <n v="300"/>
    <s v="Reheat stop valves"/>
    <s v="F590Turbine Reheat Stop Valves - Remove Screens/Baskets"/>
    <s v="Mill Creek"/>
    <x v="2"/>
    <s v="Coal"/>
    <x v="1"/>
    <x v="2"/>
    <n v="8"/>
    <n v="85.233333333337214"/>
    <n v="85.233333333337214"/>
    <n v="25570.000000001164"/>
    <n v="300"/>
    <x v="229"/>
  </r>
  <r>
    <x v="7"/>
    <x v="3"/>
    <n v="91"/>
    <n v="1850"/>
    <d v="2015-08-15T12:45:00"/>
    <d v="2015-08-15T13:06:00"/>
    <n v="0"/>
    <n v="330"/>
    <n v="300"/>
    <s v="Boiler water condition (not feedwater water quality)"/>
    <s v="F170High Silica @ Warm Start Up"/>
    <s v="Mill Creek"/>
    <x v="1"/>
    <s v="Coal"/>
    <x v="1"/>
    <x v="2"/>
    <n v="8"/>
    <n v="0.34999999991850927"/>
    <n v="0.34999999991850927"/>
    <n v="104.99999997555278"/>
    <n v="300"/>
    <x v="229"/>
  </r>
  <r>
    <x v="7"/>
    <x v="5"/>
    <n v="92"/>
    <n v="800"/>
    <d v="2015-08-15T13:06:00"/>
    <d v="2015-08-15T13:59:00"/>
    <n v="0"/>
    <n v="330"/>
    <n v="300"/>
    <s v="Drums and drum internals (single drum only)"/>
    <s v="F820High Drum Level Trip"/>
    <s v="Mill Creek"/>
    <x v="3"/>
    <s v="Coal"/>
    <x v="1"/>
    <x v="2"/>
    <n v="8"/>
    <n v="0.88333333341870457"/>
    <n v="0.88333333341870457"/>
    <n v="265.00000002561137"/>
    <n v="300"/>
    <x v="229"/>
  </r>
  <r>
    <x v="7"/>
    <x v="3"/>
    <n v="93"/>
    <n v="1850"/>
    <d v="2015-08-15T13:59:00"/>
    <d v="2015-08-15T14:35:00"/>
    <n v="0"/>
    <n v="330"/>
    <n v="300"/>
    <s v="Boiler water condition (not feedwater water quality)"/>
    <s v="F170High Silica @ Warm Start Up"/>
    <s v="Mill Creek"/>
    <x v="1"/>
    <s v="Coal"/>
    <x v="1"/>
    <x v="2"/>
    <n v="8"/>
    <n v="0.6000000000349246"/>
    <n v="0.6000000000349246"/>
    <n v="180.00000001047738"/>
    <n v="300"/>
    <x v="229"/>
  </r>
  <r>
    <x v="7"/>
    <x v="5"/>
    <n v="94"/>
    <n v="800"/>
    <d v="2015-08-15T14:35:00"/>
    <d v="2015-08-15T15:13:00"/>
    <n v="0"/>
    <n v="330"/>
    <n v="300"/>
    <s v="Drums and drum internals (single drum only)"/>
    <s v="F820High Drum Level Trip"/>
    <s v="Mill Creek"/>
    <x v="3"/>
    <s v="Coal"/>
    <x v="1"/>
    <x v="2"/>
    <n v="8"/>
    <n v="0.63333333330228925"/>
    <n v="0.63333333330228925"/>
    <n v="189.99999999068677"/>
    <n v="300"/>
    <x v="229"/>
  </r>
  <r>
    <x v="7"/>
    <x v="7"/>
    <n v="95"/>
    <n v="3644"/>
    <d v="2015-08-15T15:13:00"/>
    <d v="2015-08-15T19:02:00"/>
    <n v="0"/>
    <n v="330"/>
    <n v="300"/>
    <s v="AC Protection devices"/>
    <s v="F400Generator Lockout - Protective Relays"/>
    <s v="Mill Creek"/>
    <x v="3"/>
    <s v="Coal"/>
    <x v="1"/>
    <x v="2"/>
    <n v="8"/>
    <n v="3.8166666667093523"/>
    <n v="3.8166666667093523"/>
    <n v="1145.0000000128057"/>
    <n v="300"/>
    <x v="229"/>
  </r>
  <r>
    <x v="7"/>
    <x v="3"/>
    <n v="96"/>
    <n v="1850"/>
    <d v="2015-08-15T19:02:00"/>
    <d v="2015-08-16T07:12:00"/>
    <n v="0"/>
    <n v="330"/>
    <n v="300"/>
    <s v="Boiler water condition (not feedwater water quality)"/>
    <s v="F170High Silica @ Warm Start Up"/>
    <s v="Mill Creek"/>
    <x v="1"/>
    <s v="Coal"/>
    <x v="1"/>
    <x v="2"/>
    <n v="8"/>
    <n v="12.166666666686069"/>
    <n v="12.166666666686069"/>
    <n v="3650.0000000058208"/>
    <n v="300"/>
    <x v="229"/>
  </r>
  <r>
    <x v="7"/>
    <x v="5"/>
    <n v="97"/>
    <n v="800"/>
    <d v="2015-08-18T06:30:00"/>
    <d v="2015-08-18T08:11:00"/>
    <n v="0"/>
    <n v="330"/>
    <n v="300"/>
    <s v="Drums and drum internals (single drum only)"/>
    <s v="F820High Drum Level Trip"/>
    <s v="Mill Creek"/>
    <x v="3"/>
    <s v="Coal"/>
    <x v="1"/>
    <x v="2"/>
    <n v="8"/>
    <n v="1.6833333332324401"/>
    <n v="1.6833333332324401"/>
    <n v="504.99999996973202"/>
    <n v="300"/>
    <x v="229"/>
  </r>
  <r>
    <x v="7"/>
    <x v="3"/>
    <n v="98"/>
    <n v="1850"/>
    <d v="2015-08-18T08:11:00"/>
    <d v="2015-08-18T12:26:00"/>
    <n v="0"/>
    <n v="330"/>
    <n v="300"/>
    <s v="Boiler water condition (not feedwater water quality)"/>
    <s v="F170High Silica @ Very Hot Start Up"/>
    <s v="Mill Creek"/>
    <x v="1"/>
    <s v="Coal"/>
    <x v="1"/>
    <x v="2"/>
    <n v="8"/>
    <n v="4.2500000000582077"/>
    <n v="4.2500000000582077"/>
    <n v="1275.0000000174623"/>
    <n v="300"/>
    <x v="229"/>
  </r>
  <r>
    <x v="7"/>
    <x v="0"/>
    <n v="99"/>
    <n v="1850"/>
    <d v="2015-08-18T12:26:00"/>
    <d v="2015-08-18T14:11:00"/>
    <n v="226"/>
    <n v="330"/>
    <n v="300"/>
    <s v="Boiler water condition (not feedwater water quality)"/>
    <s v="F170High Silica"/>
    <s v="Mill Creek"/>
    <x v="0"/>
    <s v="Coal"/>
    <x v="1"/>
    <x v="2"/>
    <n v="8"/>
    <n v="1.7499999999417923"/>
    <n v="0.5515151514968073"/>
    <n v="165.4545454490422"/>
    <n v="94.545454545454547"/>
    <x v="19"/>
  </r>
  <r>
    <x v="7"/>
    <x v="0"/>
    <n v="100"/>
    <n v="1850"/>
    <d v="2015-08-18T14:11:00"/>
    <d v="2015-08-18T15:25:00"/>
    <n v="300"/>
    <n v="330"/>
    <n v="300"/>
    <s v="Boiler water condition (not feedwater water quality)"/>
    <s v="F170High Silica"/>
    <s v="Mill Creek"/>
    <x v="0"/>
    <s v="Coal"/>
    <x v="1"/>
    <x v="2"/>
    <n v="8"/>
    <n v="1.2333333333372138"/>
    <n v="0.11212121212156489"/>
    <n v="33.636363636469468"/>
    <n v="27.272727272727273"/>
    <x v="6"/>
  </r>
  <r>
    <x v="7"/>
    <x v="4"/>
    <n v="101"/>
    <n v="8160"/>
    <d v="2015-08-19T22:23:00"/>
    <d v="2015-08-21T21:37:00"/>
    <n v="0"/>
    <n v="330"/>
    <n v="300"/>
    <s v="Mist eliminators/demisters and washdown"/>
    <s v="F590FGD Demister Wash Maintenance"/>
    <s v="Mill Creek"/>
    <x v="2"/>
    <s v="Coal"/>
    <x v="1"/>
    <x v="2"/>
    <n v="8"/>
    <n v="47.233333333279006"/>
    <n v="47.233333333279006"/>
    <n v="14169.999999983702"/>
    <n v="300"/>
    <x v="229"/>
  </r>
  <r>
    <x v="7"/>
    <x v="3"/>
    <n v="103"/>
    <n v="1850"/>
    <d v="2015-08-22T10:00:00"/>
    <d v="2015-08-22T17:57:00"/>
    <n v="0"/>
    <n v="330"/>
    <n v="300"/>
    <s v="Boiler water condition (not feedwater water quality)"/>
    <s v="F170High Silica @ Warm Start Up"/>
    <s v="Mill Creek"/>
    <x v="1"/>
    <s v="Coal"/>
    <x v="1"/>
    <x v="2"/>
    <n v="8"/>
    <n v="7.9500000000698492"/>
    <n v="7.9500000000698492"/>
    <n v="2385.0000000209548"/>
    <n v="300"/>
    <x v="229"/>
  </r>
  <r>
    <x v="7"/>
    <x v="3"/>
    <n v="104"/>
    <n v="310"/>
    <d v="2015-08-26T11:40:00"/>
    <d v="2015-08-26T15:12:00"/>
    <n v="0"/>
    <n v="330"/>
    <n v="300"/>
    <s v="Pulverizer mills"/>
    <s v="F790Coal Mill Testing &amp; NOx Readings for Baghouse"/>
    <s v="Mill Creek"/>
    <x v="1"/>
    <s v="Coal"/>
    <x v="1"/>
    <x v="2"/>
    <n v="8"/>
    <n v="3.5333333333255723"/>
    <n v="3.5333333333255723"/>
    <n v="1059.9999999976717"/>
    <n v="300"/>
    <x v="229"/>
  </r>
  <r>
    <x v="7"/>
    <x v="2"/>
    <n v="105"/>
    <n v="250"/>
    <d v="2015-08-30T22:00:00"/>
    <d v="2015-08-31T04:11:00"/>
    <n v="250"/>
    <n v="330"/>
    <n v="300"/>
    <s v="Pulverizer feeders"/>
    <s v="F0901A Coal Mill - Calibrate"/>
    <s v="Mill Creek"/>
    <x v="0"/>
    <s v="Coal"/>
    <x v="1"/>
    <x v="2"/>
    <n v="8"/>
    <n v="6.183333333407063"/>
    <n v="1.4989898990077728"/>
    <n v="449.69696970233184"/>
    <n v="72.727272727272734"/>
    <x v="87"/>
  </r>
  <r>
    <x v="7"/>
    <x v="0"/>
    <n v="106"/>
    <n v="570"/>
    <d v="2015-09-17T07:55:00"/>
    <d v="2015-09-17T10:43:00"/>
    <n v="155"/>
    <n v="330"/>
    <n v="300"/>
    <s v="Other reheat steam problems"/>
    <s v="F590Reheat Spray Regulator - Repair Line Leak"/>
    <s v="Mill Creek"/>
    <x v="0"/>
    <s v="Coal"/>
    <x v="1"/>
    <x v="2"/>
    <n v="9"/>
    <n v="2.8000000000465661"/>
    <n v="1.4848484848731791"/>
    <n v="445.45454546195373"/>
    <n v="159.09090909090909"/>
    <x v="68"/>
  </r>
  <r>
    <x v="7"/>
    <x v="3"/>
    <n v="107"/>
    <n v="8460"/>
    <d v="2015-09-22T10:30:00"/>
    <d v="2015-09-22T19:30:00"/>
    <n v="0"/>
    <n v="330"/>
    <n v="300"/>
    <s v="Testing A"/>
    <s v="F790Mercury Testing"/>
    <s v="Mill Creek"/>
    <x v="1"/>
    <s v="Coal"/>
    <x v="1"/>
    <x v="2"/>
    <n v="9"/>
    <n v="9"/>
    <n v="9"/>
    <n v="2700"/>
    <n v="300"/>
    <x v="229"/>
  </r>
  <r>
    <x v="7"/>
    <x v="3"/>
    <n v="108"/>
    <n v="8460"/>
    <d v="2015-09-23T09:00:00"/>
    <d v="2015-09-23T18:00:00"/>
    <n v="0"/>
    <n v="330"/>
    <n v="300"/>
    <s v="Testing A"/>
    <s v="F790Mercury Testing"/>
    <s v="Mill Creek"/>
    <x v="1"/>
    <s v="Coal"/>
    <x v="1"/>
    <x v="2"/>
    <n v="9"/>
    <n v="9"/>
    <n v="9"/>
    <n v="2700"/>
    <n v="300"/>
    <x v="229"/>
  </r>
  <r>
    <x v="7"/>
    <x v="3"/>
    <n v="109"/>
    <n v="8460"/>
    <d v="2015-09-24T11:00:00"/>
    <d v="2015-09-24T18:00:00"/>
    <n v="0"/>
    <n v="330"/>
    <n v="300"/>
    <s v="Testing A"/>
    <s v="F790Mercury Testing"/>
    <s v="Mill Creek"/>
    <x v="1"/>
    <s v="Coal"/>
    <x v="1"/>
    <x v="2"/>
    <n v="9"/>
    <n v="6.9999999999417923"/>
    <n v="6.9999999999417923"/>
    <n v="2099.9999999825377"/>
    <n v="300"/>
    <x v="229"/>
  </r>
  <r>
    <x v="7"/>
    <x v="3"/>
    <n v="110"/>
    <n v="8460"/>
    <d v="2015-09-28T07:30:00"/>
    <d v="2015-09-28T21:00:00"/>
    <n v="0"/>
    <n v="330"/>
    <n v="300"/>
    <s v="Testing A"/>
    <s v="F790Mercury Testing"/>
    <s v="Mill Creek"/>
    <x v="1"/>
    <s v="Coal"/>
    <x v="1"/>
    <x v="2"/>
    <n v="9"/>
    <n v="13.5"/>
    <n v="13.5"/>
    <n v="4050"/>
    <n v="300"/>
    <x v="229"/>
  </r>
  <r>
    <x v="7"/>
    <x v="3"/>
    <n v="111"/>
    <n v="8460"/>
    <d v="2015-09-29T09:00:00"/>
    <d v="2015-09-29T17:30:00"/>
    <n v="0"/>
    <n v="330"/>
    <n v="300"/>
    <s v="Testing A"/>
    <s v="F790Mercury Testing"/>
    <s v="Mill Creek"/>
    <x v="1"/>
    <s v="Coal"/>
    <x v="1"/>
    <x v="2"/>
    <n v="9"/>
    <n v="8.4999999999417923"/>
    <n v="8.4999999999417923"/>
    <n v="2549.9999999825377"/>
    <n v="300"/>
    <x v="229"/>
  </r>
  <r>
    <x v="7"/>
    <x v="3"/>
    <n v="112"/>
    <n v="8460"/>
    <d v="2015-09-30T08:40:00"/>
    <d v="2015-09-30T17:00:00"/>
    <n v="0"/>
    <n v="330"/>
    <n v="300"/>
    <s v="Testing A"/>
    <s v="F790Mercury Testing"/>
    <s v="Mill Creek"/>
    <x v="1"/>
    <s v="Coal"/>
    <x v="1"/>
    <x v="2"/>
    <n v="9"/>
    <n v="8.3333333334303461"/>
    <n v="8.3333333334303461"/>
    <n v="2500.0000000291038"/>
    <n v="300"/>
    <x v="229"/>
  </r>
  <r>
    <x v="7"/>
    <x v="3"/>
    <n v="113"/>
    <n v="8460"/>
    <d v="2015-10-01T07:04:00"/>
    <d v="2015-10-01T17:10:00"/>
    <n v="0"/>
    <n v="330"/>
    <n v="300"/>
    <s v="Testing A"/>
    <s v="F790Mercury Testing"/>
    <s v="Mill Creek"/>
    <x v="1"/>
    <s v="Coal"/>
    <x v="1"/>
    <x v="2"/>
    <n v="10"/>
    <n v="10.100000000093132"/>
    <n v="10.100000000093132"/>
    <n v="3030.0000000279397"/>
    <n v="300"/>
    <x v="229"/>
  </r>
  <r>
    <x v="7"/>
    <x v="5"/>
    <n v="114"/>
    <n v="4750"/>
    <d v="2015-10-12T17:43:00"/>
    <d v="2015-10-14T19:35:00"/>
    <n v="0"/>
    <n v="330"/>
    <n v="300"/>
    <s v="Other generator controls and metering problems"/>
    <s v="F490Generator Lockout"/>
    <s v="Mill Creek"/>
    <x v="3"/>
    <s v="Coal"/>
    <x v="1"/>
    <x v="2"/>
    <n v="10"/>
    <n v="49.866666666639503"/>
    <n v="49.866666666639503"/>
    <n v="14959.999999991851"/>
    <n v="300"/>
    <x v="229"/>
  </r>
  <r>
    <x v="7"/>
    <x v="3"/>
    <n v="115"/>
    <n v="1850"/>
    <d v="2015-10-14T19:35:00"/>
    <d v="2015-10-15T03:05:00"/>
    <n v="0"/>
    <n v="330"/>
    <n v="300"/>
    <s v="Boiler water condition (not feedwater water quality)"/>
    <s v="F170High Silica @ Warm Start Up"/>
    <s v="Mill Creek"/>
    <x v="1"/>
    <s v="Coal"/>
    <x v="1"/>
    <x v="2"/>
    <n v="10"/>
    <n v="7.5"/>
    <n v="7.5"/>
    <n v="2250"/>
    <n v="300"/>
    <x v="229"/>
  </r>
  <r>
    <x v="7"/>
    <x v="2"/>
    <n v="116"/>
    <n v="250"/>
    <d v="2015-10-29T01:00:00"/>
    <d v="2015-10-29T04:00:00"/>
    <n v="250"/>
    <n v="330"/>
    <n v="300"/>
    <s v="Pulverizer feeders"/>
    <s v="F5901D Coal Feeder clean out conveyor maintenance"/>
    <s v="Mill Creek"/>
    <x v="0"/>
    <s v="Coal"/>
    <x v="1"/>
    <x v="2"/>
    <n v="10"/>
    <n v="3"/>
    <n v="0.72727272727272729"/>
    <n v="218.18181818181819"/>
    <n v="72.727272727272734"/>
    <x v="87"/>
  </r>
  <r>
    <x v="7"/>
    <x v="0"/>
    <n v="117"/>
    <n v="310"/>
    <d v="2015-11-03T11:30:00"/>
    <d v="2015-11-03T12:06:00"/>
    <n v="210"/>
    <n v="330"/>
    <n v="300"/>
    <s v="Pulverizer mills"/>
    <s v="F8301 B and D mills breaker trip."/>
    <s v="Mill Creek"/>
    <x v="0"/>
    <s v="Coal"/>
    <x v="1"/>
    <x v="2"/>
    <n v="11"/>
    <n v="0.6000000000349246"/>
    <n v="0.21818181819451804"/>
    <n v="65.454545458355412"/>
    <n v="109.09090909090909"/>
    <x v="64"/>
  </r>
  <r>
    <x v="7"/>
    <x v="3"/>
    <n v="118"/>
    <n v="8460"/>
    <d v="2015-11-16T08:00:00"/>
    <d v="2015-11-16T17:00:00"/>
    <n v="0"/>
    <n v="330"/>
    <n v="300"/>
    <s v="Testing A"/>
    <s v="F790Full load Mercury testing"/>
    <s v="Mill Creek"/>
    <x v="1"/>
    <s v="Coal"/>
    <x v="1"/>
    <x v="2"/>
    <n v="11"/>
    <n v="9"/>
    <n v="9"/>
    <n v="2700"/>
    <n v="300"/>
    <x v="229"/>
  </r>
  <r>
    <x v="7"/>
    <x v="3"/>
    <n v="119"/>
    <n v="8460"/>
    <d v="2015-11-17T07:40:00"/>
    <d v="2015-11-17T17:00:00"/>
    <n v="0"/>
    <n v="330"/>
    <n v="300"/>
    <s v="Testing A"/>
    <s v="F790Full load Mercury testing"/>
    <s v="Mill Creek"/>
    <x v="1"/>
    <s v="Coal"/>
    <x v="1"/>
    <x v="2"/>
    <n v="11"/>
    <n v="9.3333333333721384"/>
    <n v="9.3333333333721384"/>
    <n v="2800.0000000116415"/>
    <n v="300"/>
    <x v="229"/>
  </r>
  <r>
    <x v="7"/>
    <x v="3"/>
    <n v="120"/>
    <n v="8460"/>
    <d v="2015-11-18T08:15:00"/>
    <d v="2015-11-18T17:00:00"/>
    <n v="0"/>
    <n v="330"/>
    <n v="300"/>
    <s v="Testing A"/>
    <s v="F790Full load Mercury testing"/>
    <s v="Mill Creek"/>
    <x v="1"/>
    <s v="Coal"/>
    <x v="1"/>
    <x v="2"/>
    <n v="11"/>
    <n v="8.7500000000582077"/>
    <n v="8.7500000000582077"/>
    <n v="2625.0000000174623"/>
    <n v="300"/>
    <x v="229"/>
  </r>
  <r>
    <x v="7"/>
    <x v="3"/>
    <n v="121"/>
    <n v="8460"/>
    <d v="2015-11-19T07:30:00"/>
    <d v="2015-11-19T17:00:00"/>
    <n v="0"/>
    <n v="330"/>
    <n v="300"/>
    <s v="Testing A"/>
    <s v="F790Full load Mercury testing"/>
    <s v="Mill Creek"/>
    <x v="1"/>
    <s v="Coal"/>
    <x v="1"/>
    <x v="2"/>
    <n v="11"/>
    <n v="9.5000000000582077"/>
    <n v="9.5000000000582077"/>
    <n v="2850.0000000174623"/>
    <n v="300"/>
    <x v="229"/>
  </r>
  <r>
    <x v="7"/>
    <x v="3"/>
    <n v="122"/>
    <n v="8460"/>
    <d v="2015-11-20T09:00:00"/>
    <d v="2015-11-20T19:00:00"/>
    <n v="0"/>
    <n v="330"/>
    <n v="300"/>
    <s v="Testing A"/>
    <s v="F790Full load Mercury testing"/>
    <s v="Mill Creek"/>
    <x v="1"/>
    <s v="Coal"/>
    <x v="1"/>
    <x v="2"/>
    <n v="11"/>
    <n v="9.9999999999417923"/>
    <n v="9.9999999999417923"/>
    <n v="2999.9999999825377"/>
    <n v="300"/>
    <x v="229"/>
  </r>
  <r>
    <x v="7"/>
    <x v="3"/>
    <n v="123"/>
    <n v="8460"/>
    <d v="2015-11-21T08:00:00"/>
    <d v="2015-11-21T19:17:00"/>
    <n v="0"/>
    <n v="330"/>
    <n v="300"/>
    <s v="Testing A"/>
    <s v="F790Full load Mercury testing"/>
    <s v="Mill Creek"/>
    <x v="1"/>
    <s v="Coal"/>
    <x v="1"/>
    <x v="2"/>
    <n v="11"/>
    <n v="11.283333333267365"/>
    <n v="11.283333333267365"/>
    <n v="3384.9999999802094"/>
    <n v="300"/>
    <x v="229"/>
  </r>
  <r>
    <x v="7"/>
    <x v="0"/>
    <n v="124"/>
    <n v="30"/>
    <d v="2015-11-24T23:05:00"/>
    <d v="2015-11-25T01:28:00"/>
    <n v="125"/>
    <n v="330"/>
    <n v="300"/>
    <s v="Coal conveyors and feeders"/>
    <s v="F010G1 Tripper out of alignment"/>
    <s v="Mill Creek"/>
    <x v="0"/>
    <s v="Coal"/>
    <x v="1"/>
    <x v="2"/>
    <n v="11"/>
    <n v="2.3833333334187046"/>
    <n v="1.4805555556085892"/>
    <n v="444.16666668257676"/>
    <n v="186.36363636363637"/>
    <x v="60"/>
  </r>
  <r>
    <x v="7"/>
    <x v="2"/>
    <n v="125"/>
    <n v="310"/>
    <d v="2015-11-26T01:07:00"/>
    <d v="2015-11-26T03:02:00"/>
    <n v="240"/>
    <n v="330"/>
    <n v="300"/>
    <s v="Pulverizer mills"/>
    <s v="F3301D Coal mill hot air gate would not stay closed"/>
    <s v="Mill Creek"/>
    <x v="0"/>
    <s v="Coal"/>
    <x v="1"/>
    <x v="2"/>
    <n v="11"/>
    <n v="1.9166666666278616"/>
    <n v="0.52272727271668951"/>
    <n v="156.81818181500685"/>
    <n v="81.818181818181813"/>
    <x v="48"/>
  </r>
  <r>
    <x v="7"/>
    <x v="3"/>
    <n v="126"/>
    <n v="3190"/>
    <d v="2015-12-14T23:00:00"/>
    <d v="2015-12-15T03:51:00"/>
    <n v="0"/>
    <n v="330"/>
    <n v="300"/>
    <s v="Air leakage (for losses not attributable to previously noted equipment related codes)"/>
    <s v="F790Condenser air in leakage check"/>
    <s v="Mill Creek"/>
    <x v="1"/>
    <s v="Coal"/>
    <x v="1"/>
    <x v="2"/>
    <n v="12"/>
    <n v="4.8499999999185093"/>
    <n v="4.8499999999185093"/>
    <n v="1454.9999999755528"/>
    <n v="300"/>
    <x v="229"/>
  </r>
  <r>
    <x v="7"/>
    <x v="4"/>
    <n v="127"/>
    <n v="8499"/>
    <d v="2015-12-19T12:39:00"/>
    <d v="2015-12-23T12:20:00"/>
    <n v="0"/>
    <n v="330"/>
    <n v="300"/>
    <s v="Other miscellaneous wet scrubber problems"/>
    <s v="F590FGD maintenance - replace oriface plates in hydrocylone system"/>
    <s v="Mill Creek"/>
    <x v="2"/>
    <s v="Coal"/>
    <x v="1"/>
    <x v="2"/>
    <n v="12"/>
    <n v="95.683333333348855"/>
    <n v="95.683333333348855"/>
    <n v="28705.000000004657"/>
    <n v="300"/>
    <x v="229"/>
  </r>
  <r>
    <x v="7"/>
    <x v="0"/>
    <n v="128"/>
    <n v="1850"/>
    <d v="2015-12-23T22:30:00"/>
    <d v="2015-12-24T01:52:00"/>
    <n v="250"/>
    <n v="330"/>
    <n v="300"/>
    <s v="Boiler water condition (not feedwater water quality)"/>
    <s v="F170High Silica"/>
    <s v="Mill Creek"/>
    <x v="0"/>
    <s v="Coal"/>
    <x v="1"/>
    <x v="2"/>
    <n v="12"/>
    <n v="3.3666666666395031"/>
    <n v="0.81616161615503102"/>
    <n v="244.84848484650931"/>
    <n v="72.727272727272734"/>
    <x v="87"/>
  </r>
  <r>
    <x v="7"/>
    <x v="0"/>
    <n v="129"/>
    <n v="1850"/>
    <d v="2015-12-24T01:52:00"/>
    <d v="2015-12-24T03:40:00"/>
    <n v="290"/>
    <n v="330"/>
    <n v="300"/>
    <s v="Boiler water condition (not feedwater water quality)"/>
    <s v="F170High Silica"/>
    <s v="Mill Creek"/>
    <x v="0"/>
    <s v="Coal"/>
    <x v="1"/>
    <x v="2"/>
    <n v="12"/>
    <n v="1.8000000001047738"/>
    <n v="0.21818181819451804"/>
    <n v="65.454545458355412"/>
    <n v="36.363636363636367"/>
    <x v="32"/>
  </r>
  <r>
    <x v="7"/>
    <x v="0"/>
    <n v="130"/>
    <n v="1850"/>
    <d v="2015-12-24T03:40:00"/>
    <d v="2015-12-24T04:35:00"/>
    <n v="318"/>
    <n v="330"/>
    <n v="300"/>
    <s v="Boiler water condition (not feedwater water quality)"/>
    <s v="F170HIgh Silica"/>
    <s v="Mill Creek"/>
    <x v="0"/>
    <s v="Coal"/>
    <x v="1"/>
    <x v="2"/>
    <n v="12"/>
    <n v="0.91666666651144624"/>
    <n v="3.3333333327688952E-2"/>
    <n v="9.9999999983066861"/>
    <n v="10.909090909090908"/>
    <x v="197"/>
  </r>
  <r>
    <x v="7"/>
    <x v="3"/>
    <n v="131"/>
    <n v="8460"/>
    <d v="2015-12-28T08:00:00"/>
    <d v="2015-12-28T16:36:00"/>
    <n v="0"/>
    <n v="330"/>
    <n v="300"/>
    <s v="Testing A"/>
    <s v="F790Full Load Testing off AGC"/>
    <s v="Mill Creek"/>
    <x v="1"/>
    <s v="Coal"/>
    <x v="1"/>
    <x v="2"/>
    <n v="12"/>
    <n v="8.5999999999185093"/>
    <n v="8.5999999999185093"/>
    <n v="2579.9999999755528"/>
    <n v="300"/>
    <x v="229"/>
  </r>
  <r>
    <x v="7"/>
    <x v="0"/>
    <n v="132"/>
    <n v="250"/>
    <d v="2015-12-28T16:36:00"/>
    <d v="2015-12-28T17:48:00"/>
    <n v="232"/>
    <n v="330"/>
    <n v="300"/>
    <s v="Pulverizer feeders"/>
    <s v="FW00Wet coal"/>
    <s v="Mill Creek"/>
    <x v="0"/>
    <s v="Coal"/>
    <x v="1"/>
    <x v="2"/>
    <n v="12"/>
    <n v="1.2000000000698492"/>
    <n v="0.35636363638437946"/>
    <n v="106.90909091531384"/>
    <n v="89.090909090909093"/>
    <x v="145"/>
  </r>
  <r>
    <x v="7"/>
    <x v="0"/>
    <n v="133"/>
    <n v="250"/>
    <d v="2015-12-28T20:51:00"/>
    <d v="2015-12-28T21:55:00"/>
    <n v="225"/>
    <n v="330"/>
    <n v="300"/>
    <s v="Pulverizer feeders"/>
    <s v="FW00Wet coal"/>
    <s v="Mill Creek"/>
    <x v="0"/>
    <s v="Coal"/>
    <x v="1"/>
    <x v="2"/>
    <n v="12"/>
    <n v="1.0666666666511446"/>
    <n v="0.33939393938900059"/>
    <n v="101.81818181670018"/>
    <n v="95.454545454545453"/>
    <x v="19"/>
  </r>
  <r>
    <x v="7"/>
    <x v="5"/>
    <n v="134"/>
    <n v="800"/>
    <d v="2015-12-29T02:21:00"/>
    <d v="2015-12-29T06:18:00"/>
    <n v="0"/>
    <n v="330"/>
    <n v="300"/>
    <s v="Drums and drum internals (single drum only)"/>
    <s v="F820Drum level trip"/>
    <s v="Mill Creek"/>
    <x v="3"/>
    <s v="Coal"/>
    <x v="1"/>
    <x v="2"/>
    <n v="12"/>
    <n v="3.9499999999534339"/>
    <n v="3.9499999999534339"/>
    <n v="1184.9999999860302"/>
    <n v="300"/>
    <x v="229"/>
  </r>
  <r>
    <x v="7"/>
    <x v="3"/>
    <n v="135"/>
    <n v="1850"/>
    <d v="2015-12-29T06:18:00"/>
    <d v="2015-12-29T10:39:00"/>
    <n v="0"/>
    <n v="330"/>
    <n v="300"/>
    <s v="Boiler water condition (not feedwater water quality)"/>
    <s v="F170High silica @ very hot start"/>
    <s v="Mill Creek"/>
    <x v="1"/>
    <s v="Coal"/>
    <x v="1"/>
    <x v="2"/>
    <n v="12"/>
    <n v="4.3500000000349246"/>
    <n v="4.3500000000349246"/>
    <n v="1305.0000000104774"/>
    <n v="300"/>
    <x v="229"/>
  </r>
  <r>
    <x v="7"/>
    <x v="0"/>
    <n v="136"/>
    <n v="250"/>
    <d v="2015-12-29T10:39:00"/>
    <d v="2015-12-29T13:04:00"/>
    <n v="239"/>
    <n v="330"/>
    <n v="300"/>
    <s v="Pulverizer feeders"/>
    <s v="FW00Wet coal"/>
    <s v="Mill Creek"/>
    <x v="0"/>
    <s v="Coal"/>
    <x v="1"/>
    <x v="2"/>
    <n v="12"/>
    <n v="2.4166666666860692"/>
    <n v="0.66641414141949185"/>
    <n v="199.92424242584755"/>
    <n v="82.727272727272734"/>
    <x v="36"/>
  </r>
  <r>
    <x v="7"/>
    <x v="0"/>
    <n v="137"/>
    <n v="1850"/>
    <d v="2015-12-29T13:04:00"/>
    <d v="2015-12-29T14:16:00"/>
    <n v="290"/>
    <n v="330"/>
    <n v="300"/>
    <s v="Boiler water condition (not feedwater water quality)"/>
    <s v="F170High silica"/>
    <s v="Mill Creek"/>
    <x v="0"/>
    <s v="Coal"/>
    <x v="1"/>
    <x v="2"/>
    <n v="12"/>
    <n v="1.2000000000698492"/>
    <n v="0.14545454546301204"/>
    <n v="43.63636363890361"/>
    <n v="36.363636363636367"/>
    <x v="32"/>
  </r>
  <r>
    <x v="7"/>
    <x v="0"/>
    <n v="138"/>
    <n v="250"/>
    <d v="2015-12-30T08:23:00"/>
    <d v="2015-12-30T09:56:00"/>
    <n v="235"/>
    <n v="330"/>
    <n v="300"/>
    <s v="Pulverizer feeders"/>
    <s v="FW00Wet coal"/>
    <s v="Mill Creek"/>
    <x v="0"/>
    <s v="Coal"/>
    <x v="1"/>
    <x v="2"/>
    <n v="12"/>
    <n v="1.5499999999883585"/>
    <n v="0.44621212120876985"/>
    <n v="133.86363636263096"/>
    <n v="86.36363636363636"/>
    <x v="173"/>
  </r>
  <r>
    <x v="7"/>
    <x v="2"/>
    <n v="1"/>
    <n v="310"/>
    <d v="2016-01-04T23:00:00"/>
    <d v="2016-01-05T01:42:00"/>
    <n v="240"/>
    <n v="330"/>
    <n v="300"/>
    <s v="Pulverizer mills"/>
    <s v="F5901D Mill scraper maintenance"/>
    <s v="Mill Creek"/>
    <x v="0"/>
    <s v="Coal"/>
    <x v="1"/>
    <x v="3"/>
    <n v="1"/>
    <n v="2.6999999998952262"/>
    <n v="0.73636363633506174"/>
    <n v="220.90909090051852"/>
    <n v="81.818181818181813"/>
    <x v="48"/>
  </r>
  <r>
    <x v="7"/>
    <x v="0"/>
    <n v="2"/>
    <n v="550"/>
    <d v="2016-01-05T01:42:00"/>
    <d v="2016-01-05T08:26:00"/>
    <n v="195"/>
    <n v="330"/>
    <n v="300"/>
    <s v="Reheat steam relief/safety valves"/>
    <s v="F720RH Intercept valve sticking closed"/>
    <s v="Mill Creek"/>
    <x v="0"/>
    <s v="Coal"/>
    <x v="1"/>
    <x v="3"/>
    <n v="1"/>
    <n v="6.7333333334536292"/>
    <n v="2.7545454545946666"/>
    <n v="826.36363637839997"/>
    <n v="122.72727272727273"/>
    <x v="52"/>
  </r>
  <r>
    <x v="7"/>
    <x v="3"/>
    <n v="3"/>
    <n v="8700"/>
    <d v="2016-01-19T08:00:00"/>
    <d v="2016-01-19T17:20:00"/>
    <n v="0"/>
    <n v="330"/>
    <n v="300"/>
    <s v="CEMS Certification and Recertification"/>
    <s v="F790Full load RATA testing"/>
    <s v="Mill Creek"/>
    <x v="1"/>
    <s v="Coal"/>
    <x v="1"/>
    <x v="3"/>
    <n v="1"/>
    <n v="9.3333333331975155"/>
    <n v="9.3333333331975155"/>
    <n v="2799.9999999592546"/>
    <n v="300"/>
    <x v="229"/>
  </r>
  <r>
    <x v="7"/>
    <x v="3"/>
    <n v="4"/>
    <n v="8700"/>
    <d v="2016-01-19T22:00:00"/>
    <d v="2016-01-20T01:37:00"/>
    <n v="0"/>
    <n v="330"/>
    <n v="300"/>
    <s v="CEMS Certification and Recertification"/>
    <s v="F790Mid load RATA testing"/>
    <s v="Mill Creek"/>
    <x v="1"/>
    <s v="Coal"/>
    <x v="1"/>
    <x v="3"/>
    <n v="1"/>
    <n v="3.6166666667559184"/>
    <n v="3.6166666667559184"/>
    <n v="1085.0000000267755"/>
    <n v="300"/>
    <x v="229"/>
  </r>
  <r>
    <x v="7"/>
    <x v="0"/>
    <n v="5"/>
    <n v="1450"/>
    <d v="2016-01-20T06:55:00"/>
    <d v="2016-01-20T07:35:00"/>
    <n v="240"/>
    <n v="330"/>
    <n v="300"/>
    <s v="Other air supply problems"/>
    <s v="F590A mill high burner temps due to air flow issue"/>
    <s v="Mill Creek"/>
    <x v="0"/>
    <s v="Coal"/>
    <x v="1"/>
    <x v="3"/>
    <n v="1"/>
    <n v="0.6666666665696539"/>
    <n v="0.18181818179172379"/>
    <n v="54.545454537517138"/>
    <n v="81.818181818181813"/>
    <x v="48"/>
  </r>
  <r>
    <x v="7"/>
    <x v="3"/>
    <n v="6"/>
    <n v="8700"/>
    <d v="2016-01-20T10:00:00"/>
    <d v="2016-01-20T13:30:00"/>
    <n v="0"/>
    <n v="330"/>
    <n v="300"/>
    <s v="CEMS Certification and Recertification"/>
    <s v="F790Full Load RATA testing"/>
    <s v="Mill Creek"/>
    <x v="1"/>
    <s v="Coal"/>
    <x v="1"/>
    <x v="3"/>
    <n v="1"/>
    <n v="3.5000000000582077"/>
    <n v="3.5000000000582077"/>
    <n v="1050.0000000174623"/>
    <n v="300"/>
    <x v="229"/>
  </r>
  <r>
    <x v="7"/>
    <x v="3"/>
    <n v="7"/>
    <n v="1599"/>
    <d v="2016-01-20T14:16:00"/>
    <d v="2016-01-20T15:40:00"/>
    <n v="0"/>
    <n v="330"/>
    <n v="300"/>
    <s v="Other miscellaneous boiler air and gas system problems"/>
    <s v="F790Alstom getting readings from the boiler, needed steady load"/>
    <s v="Mill Creek"/>
    <x v="1"/>
    <s v="Coal"/>
    <x v="1"/>
    <x v="3"/>
    <n v="1"/>
    <n v="1.4000000000232831"/>
    <n v="1.4000000000232831"/>
    <n v="420.00000000698492"/>
    <n v="300"/>
    <x v="229"/>
  </r>
  <r>
    <x v="7"/>
    <x v="2"/>
    <n v="8"/>
    <n v="250"/>
    <d v="2016-01-20T23:00:00"/>
    <d v="2016-01-21T06:11:00"/>
    <n v="240"/>
    <n v="330"/>
    <n v="300"/>
    <s v="Pulverizer feeders"/>
    <s v="F5301B feeder inspection and calibration"/>
    <s v="Mill Creek"/>
    <x v="0"/>
    <s v="Coal"/>
    <x v="1"/>
    <x v="3"/>
    <n v="1"/>
    <n v="7.1833333333488554"/>
    <n v="1.9590909090951423"/>
    <n v="587.72727272854263"/>
    <n v="81.818181818181813"/>
    <x v="48"/>
  </r>
  <r>
    <x v="7"/>
    <x v="2"/>
    <n v="9"/>
    <n v="250"/>
    <d v="2016-01-21T23:00:00"/>
    <d v="2016-01-22T04:38:00"/>
    <n v="240"/>
    <n v="330"/>
    <n v="300"/>
    <s v="Pulverizer feeders"/>
    <s v="F5301C Mill feeder inspection and calibration"/>
    <s v="Mill Creek"/>
    <x v="0"/>
    <s v="Coal"/>
    <x v="1"/>
    <x v="3"/>
    <n v="1"/>
    <n v="5.6333333333604969"/>
    <n v="1.5363636363710447"/>
    <n v="460.9090909113134"/>
    <n v="81.818181818181813"/>
    <x v="48"/>
  </r>
  <r>
    <x v="7"/>
    <x v="0"/>
    <n v="10"/>
    <n v="250"/>
    <d v="2016-02-01T04:00:00"/>
    <d v="2016-02-01T04:18:00"/>
    <n v="120"/>
    <n v="330"/>
    <n v="300"/>
    <s v="Pulverizer feeders"/>
    <s v="F8201B Feeder tripped at low load"/>
    <s v="Mill Creek"/>
    <x v="0"/>
    <s v="Coal"/>
    <x v="1"/>
    <x v="3"/>
    <n v="2"/>
    <n v="0.30000000010477379"/>
    <n v="0.19090909097576514"/>
    <n v="57.272727292729542"/>
    <n v="190.90909090909091"/>
    <x v="230"/>
  </r>
  <r>
    <x v="7"/>
    <x v="0"/>
    <n v="11"/>
    <n v="360"/>
    <d v="2016-02-02T07:36:00"/>
    <d v="2016-02-02T08:52:00"/>
    <n v="250"/>
    <n v="330"/>
    <n v="300"/>
    <s v="Burners"/>
    <s v="F7801A Mill burner temps"/>
    <s v="Mill Creek"/>
    <x v="0"/>
    <s v="Coal"/>
    <x v="1"/>
    <x v="3"/>
    <n v="2"/>
    <n v="1.2666666666045785"/>
    <n v="0.30707070705565537"/>
    <n v="92.121212116696611"/>
    <n v="72.727272727272734"/>
    <x v="87"/>
  </r>
  <r>
    <x v="7"/>
    <x v="2"/>
    <n v="12"/>
    <n v="253"/>
    <d v="2016-02-02T23:00:00"/>
    <d v="2016-02-03T02:29:00"/>
    <n v="158"/>
    <n v="330"/>
    <n v="300"/>
    <s v="Pulverizer feeder motor"/>
    <s v="F5901A &amp; 1B Coal Feeder motor swap."/>
    <s v="Mill Creek"/>
    <x v="0"/>
    <s v="Coal"/>
    <x v="1"/>
    <x v="3"/>
    <n v="2"/>
    <n v="3.4833333333372138"/>
    <n v="1.8155555555575782"/>
    <n v="544.66666666727349"/>
    <n v="156.36363636363637"/>
    <x v="103"/>
  </r>
  <r>
    <x v="7"/>
    <x v="3"/>
    <n v="13"/>
    <n v="9999"/>
    <d v="2016-02-03T08:00:00"/>
    <d v="2016-02-03T14:00:00"/>
    <n v="0"/>
    <n v="330"/>
    <n v="300"/>
    <s v="Total unit performance testing (use appropriate codes for individual component testing)"/>
    <s v="F790Full Load winter capability testing"/>
    <s v="Mill Creek"/>
    <x v="1"/>
    <s v="Coal"/>
    <x v="1"/>
    <x v="3"/>
    <n v="2"/>
    <n v="6"/>
    <n v="6"/>
    <n v="1800"/>
    <n v="300"/>
    <x v="229"/>
  </r>
  <r>
    <x v="7"/>
    <x v="2"/>
    <n v="14"/>
    <n v="250"/>
    <d v="2016-02-03T23:00:00"/>
    <d v="2016-02-04T07:24:00"/>
    <n v="240"/>
    <n v="330"/>
    <n v="300"/>
    <s v="Pulverizer feeders"/>
    <s v="F0901A mill feeder calibration"/>
    <s v="Mill Creek"/>
    <x v="0"/>
    <s v="Coal"/>
    <x v="1"/>
    <x v="3"/>
    <n v="2"/>
    <n v="8.3999999999650754"/>
    <n v="2.2909090908995662"/>
    <n v="687.27272726986985"/>
    <n v="81.818181818181813"/>
    <x v="48"/>
  </r>
  <r>
    <x v="7"/>
    <x v="0"/>
    <n v="15"/>
    <n v="250"/>
    <d v="2016-02-04T09:51:00"/>
    <d v="2016-02-04T10:04:00"/>
    <n v="270"/>
    <n v="330"/>
    <n v="300"/>
    <s v="Pulverizer feeders"/>
    <s v="F8201A Mill feeder tripped"/>
    <s v="Mill Creek"/>
    <x v="0"/>
    <s v="Coal"/>
    <x v="1"/>
    <x v="3"/>
    <n v="2"/>
    <n v="0.21666666667442769"/>
    <n v="3.9393939395350491E-2"/>
    <n v="11.818181818605147"/>
    <n v="54.545454545454547"/>
    <x v="2"/>
  </r>
  <r>
    <x v="7"/>
    <x v="0"/>
    <n v="16"/>
    <n v="1850"/>
    <d v="2016-02-04T13:00:00"/>
    <d v="2016-02-04T19:47:00"/>
    <n v="309"/>
    <n v="330"/>
    <n v="300"/>
    <s v="Boiler water condition (not feedwater water quality)"/>
    <s v="F170High silica"/>
    <s v="Mill Creek"/>
    <x v="0"/>
    <s v="Coal"/>
    <x v="1"/>
    <x v="3"/>
    <n v="2"/>
    <n v="6.7833333334419876"/>
    <n v="0.43166666667358106"/>
    <n v="129.50000000207433"/>
    <n v="19.09090909090909"/>
    <x v="54"/>
  </r>
  <r>
    <x v="7"/>
    <x v="4"/>
    <n v="17"/>
    <n v="3110"/>
    <d v="2016-02-05T21:42:00"/>
    <d v="2016-02-07T15:35:00"/>
    <n v="0"/>
    <n v="330"/>
    <n v="300"/>
    <s v="Condenser tube leaks"/>
    <s v="F540Condenser tube leak"/>
    <s v="Mill Creek"/>
    <x v="2"/>
    <s v="Coal"/>
    <x v="1"/>
    <x v="3"/>
    <n v="2"/>
    <n v="41.883333333302289"/>
    <n v="41.883333333302289"/>
    <n v="12564.999999990687"/>
    <n v="300"/>
    <x v="229"/>
  </r>
  <r>
    <x v="7"/>
    <x v="3"/>
    <n v="18"/>
    <n v="1850"/>
    <d v="2016-02-07T15:35:00"/>
    <d v="2016-02-07T21:35:00"/>
    <n v="0"/>
    <n v="330"/>
    <n v="300"/>
    <s v="Boiler water condition (not feedwater water quality)"/>
    <s v="F170High silica @ hot start"/>
    <s v="Mill Creek"/>
    <x v="1"/>
    <s v="Coal"/>
    <x v="1"/>
    <x v="3"/>
    <n v="2"/>
    <n v="6"/>
    <n v="6"/>
    <n v="1800"/>
    <n v="300"/>
    <x v="229"/>
  </r>
  <r>
    <x v="7"/>
    <x v="0"/>
    <n v="19"/>
    <n v="1850"/>
    <d v="2016-02-07T21:35:00"/>
    <d v="2016-02-07T23:59:00"/>
    <n v="275"/>
    <n v="330"/>
    <n v="300"/>
    <s v="Boiler water condition (not feedwater water quality)"/>
    <s v="F170High silica"/>
    <s v="Mill Creek"/>
    <x v="0"/>
    <s v="Coal"/>
    <x v="1"/>
    <x v="3"/>
    <n v="2"/>
    <n v="2.3999999999650754"/>
    <n v="0.39999999999417923"/>
    <n v="119.99999999825377"/>
    <n v="50"/>
    <x v="33"/>
  </r>
  <r>
    <x v="7"/>
    <x v="3"/>
    <n v="20"/>
    <n v="1990"/>
    <d v="2016-02-08T07:30:00"/>
    <d v="2016-02-08T12:16:00"/>
    <n v="0"/>
    <n v="330"/>
    <n v="300"/>
    <s v="Boiler performance testing (use code 9999 for total unit performance testing)"/>
    <s v="F790Boiler exit gas temperature testing"/>
    <s v="Mill Creek"/>
    <x v="1"/>
    <s v="Coal"/>
    <x v="1"/>
    <x v="3"/>
    <n v="2"/>
    <n v="4.7666666666627862"/>
    <n v="4.7666666666627862"/>
    <n v="1429.9999999988358"/>
    <n v="300"/>
    <x v="229"/>
  </r>
  <r>
    <x v="7"/>
    <x v="3"/>
    <n v="21"/>
    <n v="8700"/>
    <d v="2016-02-09T07:30:00"/>
    <d v="2016-02-09T18:00:00"/>
    <n v="0"/>
    <n v="330"/>
    <n v="300"/>
    <s v="CEMS Certification and Recertification"/>
    <s v="F790Full load PM/RRA Testing"/>
    <s v="Mill Creek"/>
    <x v="1"/>
    <s v="Coal"/>
    <x v="1"/>
    <x v="3"/>
    <n v="2"/>
    <n v="10.5"/>
    <n v="10.5"/>
    <n v="3150"/>
    <n v="300"/>
    <x v="229"/>
  </r>
  <r>
    <x v="7"/>
    <x v="0"/>
    <n v="22"/>
    <n v="1850"/>
    <d v="2016-02-21T17:22:00"/>
    <d v="2016-02-22T05:33:00"/>
    <n v="263"/>
    <n v="330"/>
    <n v="300"/>
    <s v="Boiler water condition (not feedwater water quality)"/>
    <s v="F170High silica"/>
    <s v="Mill Creek"/>
    <x v="0"/>
    <s v="Coal"/>
    <x v="1"/>
    <x v="3"/>
    <n v="2"/>
    <n v="12.18333333323244"/>
    <n v="2.4735858585653743"/>
    <n v="742.07575756961228"/>
    <n v="60.909090909090907"/>
    <x v="131"/>
  </r>
  <r>
    <x v="7"/>
    <x v="0"/>
    <n v="23"/>
    <n v="1850"/>
    <d v="2016-02-22T05:33:00"/>
    <d v="2016-02-22T06:40:00"/>
    <n v="252"/>
    <n v="330"/>
    <n v="300"/>
    <s v="Boiler water condition (not feedwater water quality)"/>
    <s v="F170High silica"/>
    <s v="Mill Creek"/>
    <x v="0"/>
    <s v="Coal"/>
    <x v="1"/>
    <x v="3"/>
    <n v="2"/>
    <n v="1.1166666668141261"/>
    <n v="0.26393939397424798"/>
    <n v="79.181818192274392"/>
    <n v="70.909090909090907"/>
    <x v="165"/>
  </r>
  <r>
    <x v="7"/>
    <x v="0"/>
    <n v="24"/>
    <n v="1850"/>
    <d v="2016-02-22T06:40:00"/>
    <d v="2016-02-22T09:05:00"/>
    <n v="247"/>
    <n v="330"/>
    <n v="300"/>
    <s v="Boiler water condition (not feedwater water quality)"/>
    <s v="F170High silica"/>
    <s v="Mill Creek"/>
    <x v="0"/>
    <s v="Coal"/>
    <x v="1"/>
    <x v="3"/>
    <n v="2"/>
    <n v="2.4166666665114462"/>
    <n v="0.6078282827892425"/>
    <n v="182.34848483677274"/>
    <n v="75.454545454545453"/>
    <x v="34"/>
  </r>
  <r>
    <x v="7"/>
    <x v="4"/>
    <n v="25"/>
    <n v="3110"/>
    <d v="2016-02-22T09:05:00"/>
    <d v="2016-02-23T09:17:00"/>
    <n v="0"/>
    <n v="330"/>
    <n v="300"/>
    <s v="Condenser tube leaks"/>
    <s v="F540Condenser tube leak"/>
    <s v="Mill Creek"/>
    <x v="2"/>
    <s v="Coal"/>
    <x v="1"/>
    <x v="3"/>
    <n v="2"/>
    <n v="24.200000000128057"/>
    <n v="24.200000000128057"/>
    <n v="7260.0000000384171"/>
    <n v="300"/>
    <x v="229"/>
  </r>
  <r>
    <x v="7"/>
    <x v="3"/>
    <n v="26"/>
    <n v="1850"/>
    <d v="2016-02-23T09:17:00"/>
    <d v="2016-02-23T15:17:00"/>
    <n v="0"/>
    <n v="330"/>
    <n v="300"/>
    <s v="Boiler water condition (not feedwater water quality)"/>
    <s v="F170High silica @ hot start"/>
    <s v="Mill Creek"/>
    <x v="1"/>
    <s v="Coal"/>
    <x v="1"/>
    <x v="3"/>
    <n v="2"/>
    <n v="6"/>
    <n v="6"/>
    <n v="1800"/>
    <n v="300"/>
    <x v="229"/>
  </r>
  <r>
    <x v="7"/>
    <x v="0"/>
    <n v="27"/>
    <n v="1850"/>
    <d v="2016-02-23T15:17:00"/>
    <d v="2016-02-23T16:08:00"/>
    <n v="250"/>
    <n v="330"/>
    <n v="300"/>
    <s v="Boiler water condition (not feedwater water quality)"/>
    <s v="F170High silica"/>
    <s v="Mill Creek"/>
    <x v="0"/>
    <s v="Coal"/>
    <x v="1"/>
    <x v="3"/>
    <n v="2"/>
    <n v="0.84999999997671694"/>
    <n v="0.20606060605496168"/>
    <n v="61.818181816488504"/>
    <n v="72.727272727272734"/>
    <x v="87"/>
  </r>
  <r>
    <x v="7"/>
    <x v="0"/>
    <n v="28"/>
    <n v="1850"/>
    <d v="2016-02-23T16:08:00"/>
    <d v="2016-02-23T19:50:00"/>
    <n v="280"/>
    <n v="330"/>
    <n v="300"/>
    <s v="Boiler water condition (not feedwater water quality)"/>
    <s v="F170High silica"/>
    <s v="Mill Creek"/>
    <x v="0"/>
    <s v="Coal"/>
    <x v="1"/>
    <x v="3"/>
    <n v="2"/>
    <n v="3.7000000000116415"/>
    <n v="0.56060606060782447"/>
    <n v="168.18181818234734"/>
    <n v="45.454545454545453"/>
    <x v="23"/>
  </r>
  <r>
    <x v="7"/>
    <x v="0"/>
    <n v="29"/>
    <n v="360"/>
    <d v="2016-03-04T06:58:00"/>
    <d v="2016-03-04T09:00:00"/>
    <n v="240"/>
    <n v="330"/>
    <n v="300"/>
    <s v="Burners"/>
    <s v="F7801B4 Mill burner temps high."/>
    <s v="Mill Creek"/>
    <x v="0"/>
    <s v="Coal"/>
    <x v="1"/>
    <x v="3"/>
    <n v="3"/>
    <n v="2.0333333333255723"/>
    <n v="0.55454545454333792"/>
    <n v="166.36363636300138"/>
    <n v="81.818181818181813"/>
    <x v="48"/>
  </r>
  <r>
    <x v="7"/>
    <x v="2"/>
    <n v="30"/>
    <n v="310"/>
    <d v="2016-03-07T23:00:00"/>
    <d v="2016-03-08T04:45:00"/>
    <n v="240"/>
    <n v="330"/>
    <n v="300"/>
    <s v="Pulverizer mills"/>
    <s v="F5301D Mill inspect scraper and hot air gate."/>
    <s v="Mill Creek"/>
    <x v="0"/>
    <s v="Coal"/>
    <x v="1"/>
    <x v="3"/>
    <n v="3"/>
    <n v="5.7499999998835847"/>
    <n v="1.5681818181500686"/>
    <n v="470.45454544502059"/>
    <n v="81.818181818181813"/>
    <x v="48"/>
  </r>
  <r>
    <x v="7"/>
    <x v="2"/>
    <n v="31"/>
    <n v="310"/>
    <d v="2016-03-08T23:00:00"/>
    <d v="2016-03-09T04:43:00"/>
    <n v="250"/>
    <n v="330"/>
    <n v="300"/>
    <s v="Pulverizer mills"/>
    <s v="F5901D Mill maintenance, replace solenoid on hot air gate"/>
    <s v="Mill Creek"/>
    <x v="0"/>
    <s v="Coal"/>
    <x v="1"/>
    <x v="3"/>
    <n v="3"/>
    <n v="5.71666666661622"/>
    <n v="1.3858585858463564"/>
    <n v="415.75757575390691"/>
    <n v="72.727272727272734"/>
    <x v="87"/>
  </r>
  <r>
    <x v="7"/>
    <x v="2"/>
    <n v="32"/>
    <n v="310"/>
    <d v="2016-03-10T23:00:00"/>
    <d v="2016-03-11T04:31:00"/>
    <n v="240"/>
    <n v="330"/>
    <n v="300"/>
    <s v="Pulverizer mills"/>
    <s v="F5301B Coal Mill Inspection"/>
    <s v="Mill Creek"/>
    <x v="0"/>
    <s v="Coal"/>
    <x v="1"/>
    <x v="3"/>
    <n v="3"/>
    <n v="5.5166666666627862"/>
    <n v="1.5045454545443961"/>
    <n v="451.36363636331885"/>
    <n v="81.818181818181813"/>
    <x v="48"/>
  </r>
  <r>
    <x v="7"/>
    <x v="6"/>
    <n v="33"/>
    <n v="3998"/>
    <d v="2016-03-20T21:23:00"/>
    <d v="2016-03-29T10:55:00"/>
    <n v="0"/>
    <n v="330"/>
    <n v="300"/>
    <s v="Balance of plant overhaul/outage"/>
    <s v="F590Planned outage"/>
    <s v="Mill Creek"/>
    <x v="1"/>
    <s v="Coal"/>
    <x v="1"/>
    <x v="3"/>
    <n v="3"/>
    <n v="205.53333333326736"/>
    <n v="205.53333333326736"/>
    <n v="61659.999999980209"/>
    <n v="300"/>
    <x v="229"/>
  </r>
  <r>
    <x v="7"/>
    <x v="3"/>
    <n v="34"/>
    <n v="1850"/>
    <d v="2016-03-29T10:55:00"/>
    <d v="2016-03-29T11:31:00"/>
    <n v="0"/>
    <n v="330"/>
    <n v="300"/>
    <s v="Boiler water condition (not feedwater water quality)"/>
    <s v="F170High silica @ cold start"/>
    <s v="Mill Creek"/>
    <x v="1"/>
    <s v="Coal"/>
    <x v="1"/>
    <x v="3"/>
    <n v="3"/>
    <n v="0.6000000000349246"/>
    <n v="0.6000000000349246"/>
    <n v="180.00000001047738"/>
    <n v="300"/>
    <x v="229"/>
  </r>
  <r>
    <x v="7"/>
    <x v="5"/>
    <n v="35"/>
    <n v="800"/>
    <d v="2016-03-29T11:31:00"/>
    <d v="2016-03-29T13:07:00"/>
    <n v="0"/>
    <n v="330"/>
    <n v="300"/>
    <s v="Drums and drum internals (single drum only)"/>
    <s v="F820Drum level trip"/>
    <s v="Mill Creek"/>
    <x v="3"/>
    <s v="Coal"/>
    <x v="1"/>
    <x v="3"/>
    <n v="3"/>
    <n v="1.5999999999767169"/>
    <n v="1.5999999999767169"/>
    <n v="479.99999999301508"/>
    <n v="300"/>
    <x v="229"/>
  </r>
  <r>
    <x v="7"/>
    <x v="3"/>
    <n v="36"/>
    <n v="1850"/>
    <d v="2016-03-29T13:07:00"/>
    <d v="2016-03-30T05:23:00"/>
    <n v="0"/>
    <n v="330"/>
    <n v="300"/>
    <s v="Boiler water condition (not feedwater water quality)"/>
    <s v="F170High silica @ cold start-up"/>
    <s v="Mill Creek"/>
    <x v="1"/>
    <s v="Coal"/>
    <x v="1"/>
    <x v="3"/>
    <n v="3"/>
    <n v="16.266666666779201"/>
    <n v="16.266666666779201"/>
    <n v="4880.0000000337604"/>
    <n v="300"/>
    <x v="229"/>
  </r>
  <r>
    <x v="7"/>
    <x v="3"/>
    <n v="37"/>
    <n v="1990"/>
    <d v="2016-04-01T06:00:00"/>
    <d v="2016-04-01T21:00:00"/>
    <n v="0"/>
    <n v="330"/>
    <n v="300"/>
    <s v="Boiler performance testing (use code 9999 for total unit performance testing)"/>
    <s v="F790Full load testing prior to Nalco feed"/>
    <s v="Mill Creek"/>
    <x v="1"/>
    <s v="Coal"/>
    <x v="1"/>
    <x v="3"/>
    <n v="4"/>
    <n v="15"/>
    <n v="15"/>
    <n v="4500"/>
    <n v="300"/>
    <x v="229"/>
  </r>
  <r>
    <x v="7"/>
    <x v="3"/>
    <n v="38"/>
    <n v="1710"/>
    <d v="2016-04-04T23:00:00"/>
    <d v="2016-04-05T00:27:00"/>
    <n v="0"/>
    <n v="330"/>
    <n v="300"/>
    <s v="Combustion/steam condition controls (report local controls --- burners"/>
    <s v="F7901A Mill clean air flow testing"/>
    <s v="Mill Creek"/>
    <x v="1"/>
    <s v="Coal"/>
    <x v="1"/>
    <x v="3"/>
    <n v="4"/>
    <n v="1.4500000000116415"/>
    <n v="1.4500000000116415"/>
    <n v="435.00000000349246"/>
    <n v="300"/>
    <x v="229"/>
  </r>
  <r>
    <x v="7"/>
    <x v="3"/>
    <n v="39"/>
    <n v="1710"/>
    <d v="2016-04-05T23:00:00"/>
    <d v="2016-04-06T03:03:00"/>
    <n v="0"/>
    <n v="330"/>
    <n v="300"/>
    <s v="Combustion/steam condition controls (report local controls --- burners"/>
    <s v="F7901B Mill clean air flow testing"/>
    <s v="Mill Creek"/>
    <x v="1"/>
    <s v="Coal"/>
    <x v="1"/>
    <x v="3"/>
    <n v="4"/>
    <n v="4.0499999999301508"/>
    <n v="4.0499999999301508"/>
    <n v="1214.9999999790452"/>
    <n v="300"/>
    <x v="229"/>
  </r>
  <r>
    <x v="7"/>
    <x v="3"/>
    <n v="40"/>
    <n v="1710"/>
    <d v="2016-04-12T09:36:00"/>
    <d v="2016-04-12T11:35:00"/>
    <n v="0"/>
    <n v="330"/>
    <n v="300"/>
    <s v="Combustion/steam condition controls (report local controls --- burners"/>
    <s v="F790Air flow testing"/>
    <s v="Mill Creek"/>
    <x v="1"/>
    <s v="Coal"/>
    <x v="1"/>
    <x v="3"/>
    <n v="4"/>
    <n v="1.9833333333372138"/>
    <n v="1.9833333333372138"/>
    <n v="595.00000000116415"/>
    <n v="300"/>
    <x v="229"/>
  </r>
  <r>
    <x v="7"/>
    <x v="3"/>
    <n v="41"/>
    <n v="1710"/>
    <d v="2016-04-12T13:45:00"/>
    <d v="2016-04-12T15:45:00"/>
    <n v="0"/>
    <n v="330"/>
    <n v="300"/>
    <s v="Combustion/steam condition controls (report local controls --- burners"/>
    <s v="F790Air flow testing"/>
    <s v="Mill Creek"/>
    <x v="1"/>
    <s v="Coal"/>
    <x v="1"/>
    <x v="3"/>
    <n v="4"/>
    <n v="2.0000000000582077"/>
    <n v="2.0000000000582077"/>
    <n v="600.0000000174623"/>
    <n v="300"/>
    <x v="229"/>
  </r>
  <r>
    <x v="7"/>
    <x v="3"/>
    <n v="42"/>
    <n v="8460"/>
    <d v="2016-04-16T15:00:00"/>
    <d v="2016-04-16T18:00:00"/>
    <n v="0"/>
    <n v="330"/>
    <n v="300"/>
    <s v="Testing A"/>
    <s v="F790Hg compliance testing"/>
    <s v="Mill Creek"/>
    <x v="1"/>
    <s v="Coal"/>
    <x v="1"/>
    <x v="3"/>
    <n v="4"/>
    <n v="3"/>
    <n v="3"/>
    <n v="900"/>
    <n v="300"/>
    <x v="229"/>
  </r>
  <r>
    <x v="7"/>
    <x v="3"/>
    <n v="43"/>
    <n v="1710"/>
    <d v="2016-04-21T23:00:00"/>
    <d v="2016-04-22T00:07:00"/>
    <n v="0"/>
    <n v="330"/>
    <n v="300"/>
    <s v="Combustion/steam condition controls (report local controls --- burners"/>
    <s v="F790Low load air flow testing"/>
    <s v="Mill Creek"/>
    <x v="1"/>
    <s v="Coal"/>
    <x v="1"/>
    <x v="3"/>
    <n v="4"/>
    <n v="1.1166666666395031"/>
    <n v="1.1166666666395031"/>
    <n v="334.99999999185093"/>
    <n v="300"/>
    <x v="229"/>
  </r>
  <r>
    <x v="7"/>
    <x v="2"/>
    <n v="44"/>
    <n v="331"/>
    <d v="2016-04-25T21:05:00"/>
    <d v="2016-04-26T04:57:00"/>
    <n v="240"/>
    <n v="330"/>
    <n v="300"/>
    <s v="Pulverizer system coal leaks (other than pulverizers"/>
    <s v="F540Coal leak on mill exhauster"/>
    <s v="Mill Creek"/>
    <x v="0"/>
    <s v="Coal"/>
    <x v="1"/>
    <x v="3"/>
    <n v="4"/>
    <n v="7.8666666668141261"/>
    <n v="2.1454545454947618"/>
    <n v="643.63636364842853"/>
    <n v="81.818181818181813"/>
    <x v="48"/>
  </r>
  <r>
    <x v="7"/>
    <x v="0"/>
    <n v="45"/>
    <n v="320"/>
    <d v="2016-04-26T06:42:00"/>
    <d v="2016-04-26T09:38:00"/>
    <n v="250"/>
    <n v="330"/>
    <n v="300"/>
    <s v="Foreign object in Pulverizers mill"/>
    <s v="F5301D Mill had rocks under the roller"/>
    <s v="Mill Creek"/>
    <x v="0"/>
    <s v="Coal"/>
    <x v="1"/>
    <x v="3"/>
    <n v="4"/>
    <n v="2.9333333332906477"/>
    <n v="0.71111111110076308"/>
    <n v="213.33333333022892"/>
    <n v="72.727272727272734"/>
    <x v="87"/>
  </r>
  <r>
    <x v="7"/>
    <x v="0"/>
    <n v="46"/>
    <n v="310"/>
    <d v="2016-04-26T10:17:00"/>
    <d v="2016-04-26T12:48:00"/>
    <n v="250"/>
    <n v="330"/>
    <n v="300"/>
    <s v="Pulverizer mills"/>
    <s v="F5901D Mill roller adjustment"/>
    <s v="Mill Creek"/>
    <x v="0"/>
    <s v="Coal"/>
    <x v="1"/>
    <x v="3"/>
    <n v="4"/>
    <n v="2.5166666666627862"/>
    <n v="0.61010101010006934"/>
    <n v="183.0303030300208"/>
    <n v="72.727272727272734"/>
    <x v="87"/>
  </r>
  <r>
    <x v="7"/>
    <x v="2"/>
    <n v="47"/>
    <n v="740"/>
    <d v="2016-04-27T20:00:00"/>
    <d v="2016-04-27T22:22:00"/>
    <n v="180"/>
    <n v="330"/>
    <n v="300"/>
    <s v="Boiler recirculation pumps"/>
    <s v="F5901A BCP maintenance"/>
    <s v="Mill Creek"/>
    <x v="0"/>
    <s v="Coal"/>
    <x v="1"/>
    <x v="3"/>
    <n v="4"/>
    <n v="2.3666666665230878"/>
    <n v="1.0757575756923126"/>
    <n v="322.72727270769377"/>
    <n v="136.36363636363637"/>
    <x v="62"/>
  </r>
  <r>
    <x v="7"/>
    <x v="2"/>
    <n v="48"/>
    <n v="740"/>
    <d v="2016-05-05T21:00:00"/>
    <d v="2016-05-06T01:20:00"/>
    <n v="130"/>
    <n v="330"/>
    <n v="300"/>
    <s v="Boiler recirculation pumps"/>
    <s v="F5901A BCP troublehsoot isolation problems"/>
    <s v="Mill Creek"/>
    <x v="0"/>
    <s v="Coal"/>
    <x v="1"/>
    <x v="3"/>
    <n v="5"/>
    <n v="4.3333333333139308"/>
    <n v="2.6262626262508673"/>
    <n v="787.87878787526017"/>
    <n v="181.81818181818181"/>
    <x v="153"/>
  </r>
  <r>
    <x v="7"/>
    <x v="2"/>
    <n v="49"/>
    <n v="310"/>
    <d v="2016-05-08T22:00:00"/>
    <d v="2016-05-09T05:14:00"/>
    <n v="240"/>
    <n v="330"/>
    <n v="300"/>
    <s v="Pulverizer mills"/>
    <s v="F5301A Mill Inspection"/>
    <s v="Mill Creek"/>
    <x v="0"/>
    <s v="Coal"/>
    <x v="1"/>
    <x v="3"/>
    <n v="5"/>
    <n v="7.2333333333372138"/>
    <n v="1.9727272727283311"/>
    <n v="591.8181818184994"/>
    <n v="81.818181818181813"/>
    <x v="48"/>
  </r>
  <r>
    <x v="7"/>
    <x v="2"/>
    <n v="50"/>
    <n v="250"/>
    <d v="2016-05-09T23:00:00"/>
    <d v="2016-05-10T04:46:00"/>
    <n v="240"/>
    <n v="330"/>
    <n v="300"/>
    <s v="Pulverizer feeders"/>
    <s v="F0901B feeder calibration"/>
    <s v="Mill Creek"/>
    <x v="0"/>
    <s v="Coal"/>
    <x v="1"/>
    <x v="3"/>
    <n v="5"/>
    <n v="5.7666666666045785"/>
    <n v="1.5727272727103396"/>
    <n v="471.81818181310189"/>
    <n v="81.818181818181813"/>
    <x v="48"/>
  </r>
  <r>
    <x v="7"/>
    <x v="2"/>
    <n v="51"/>
    <n v="250"/>
    <d v="2016-05-10T23:00:00"/>
    <d v="2016-05-11T03:48:00"/>
    <n v="240"/>
    <n v="330"/>
    <n v="300"/>
    <s v="Pulverizer feeders"/>
    <s v="F0901C Feeder Calibration &amp; Inspection"/>
    <s v="Mill Creek"/>
    <x v="0"/>
    <s v="Coal"/>
    <x v="1"/>
    <x v="3"/>
    <n v="5"/>
    <n v="4.7999999999301508"/>
    <n v="1.3090909090718592"/>
    <n v="392.72727272155777"/>
    <n v="81.818181818181813"/>
    <x v="48"/>
  </r>
  <r>
    <x v="7"/>
    <x v="2"/>
    <n v="52"/>
    <n v="253"/>
    <d v="2016-05-11T23:00:00"/>
    <d v="2016-05-12T05:05:00"/>
    <n v="240"/>
    <n v="330"/>
    <n v="300"/>
    <s v="Pulverizer feeder motor"/>
    <s v="F0901D Feeder Calibration &amp; Inspection"/>
    <s v="Mill Creek"/>
    <x v="0"/>
    <s v="Coal"/>
    <x v="1"/>
    <x v="3"/>
    <n v="5"/>
    <n v="6.0833333332557231"/>
    <n v="1.6590909090697428"/>
    <n v="497.72727272092283"/>
    <n v="81.818181818181813"/>
    <x v="48"/>
  </r>
  <r>
    <x v="7"/>
    <x v="4"/>
    <n v="53"/>
    <n v="741"/>
    <d v="2016-05-13T23:34:00"/>
    <d v="2016-05-14T13:02:00"/>
    <n v="0"/>
    <n v="330"/>
    <n v="300"/>
    <s v="Boiler recirculation pumps - motors"/>
    <s v="F5901A BCWP Motor"/>
    <s v="Mill Creek"/>
    <x v="2"/>
    <s v="Coal"/>
    <x v="1"/>
    <x v="3"/>
    <n v="5"/>
    <n v="13.466666666732635"/>
    <n v="13.466666666732635"/>
    <n v="4040.0000000197906"/>
    <n v="300"/>
    <x v="229"/>
  </r>
  <r>
    <x v="7"/>
    <x v="7"/>
    <n v="55"/>
    <n v="4263"/>
    <d v="2016-05-15T20:30:00"/>
    <d v="2016-05-17T20:06:00"/>
    <n v="0"/>
    <n v="330"/>
    <n v="300"/>
    <s v="Reheat stop valves"/>
    <s v="F720RH Valve would not open"/>
    <s v="Mill Creek"/>
    <x v="3"/>
    <s v="Coal"/>
    <x v="1"/>
    <x v="3"/>
    <n v="5"/>
    <n v="47.600000000093132"/>
    <n v="47.600000000093132"/>
    <n v="14280.00000002794"/>
    <n v="300"/>
    <x v="229"/>
  </r>
  <r>
    <x v="7"/>
    <x v="0"/>
    <n v="56"/>
    <n v="250"/>
    <d v="2016-05-18T03:19:00"/>
    <d v="2016-05-18T06:05:00"/>
    <n v="225"/>
    <n v="330"/>
    <n v="300"/>
    <s v="Pulverizer feeders"/>
    <s v="F1201C Mill out of service due to wet coal. (Sprinkler Issue)"/>
    <s v="Mill Creek"/>
    <x v="0"/>
    <s v="Coal"/>
    <x v="1"/>
    <x v="3"/>
    <n v="5"/>
    <n v="2.7666666666045785"/>
    <n v="0.88030303028327495"/>
    <n v="264.09090908498246"/>
    <n v="95.454545454545453"/>
    <x v="19"/>
  </r>
  <r>
    <x v="7"/>
    <x v="0"/>
    <n v="57"/>
    <n v="250"/>
    <d v="2016-05-18T06:05:00"/>
    <d v="2016-05-18T14:35:00"/>
    <n v="255"/>
    <n v="330"/>
    <n v="300"/>
    <s v="Pulverizer feeders"/>
    <s v="F1201C Mill out of service due to wet coal. (Sprinkler Issue)"/>
    <s v="Mill Creek"/>
    <x v="0"/>
    <s v="Coal"/>
    <x v="1"/>
    <x v="3"/>
    <n v="5"/>
    <n v="8.5000000001164153"/>
    <n v="1.9318181818446398"/>
    <n v="579.54545455339189"/>
    <n v="68.181818181818187"/>
    <x v="208"/>
  </r>
  <r>
    <x v="7"/>
    <x v="0"/>
    <n v="58"/>
    <n v="250"/>
    <d v="2016-05-18T19:00:00"/>
    <d v="2016-05-18T20:34:00"/>
    <n v="255"/>
    <n v="330"/>
    <n v="300"/>
    <s v="Pulverizer feeders"/>
    <s v="F1201C Mill out of service due to wet coal. (Sprinkler Issue)"/>
    <s v="Mill Creek"/>
    <x v="0"/>
    <s v="Coal"/>
    <x v="1"/>
    <x v="3"/>
    <n v="5"/>
    <n v="1.5666666667093523"/>
    <n v="0.35606060607030732"/>
    <n v="106.8181818210922"/>
    <n v="68.181818181818187"/>
    <x v="208"/>
  </r>
  <r>
    <x v="7"/>
    <x v="0"/>
    <n v="59"/>
    <n v="8199"/>
    <d v="2016-05-30T15:58:00"/>
    <d v="2016-05-30T16:38:00"/>
    <n v="280"/>
    <n v="330"/>
    <n v="300"/>
    <s v="Other scrubber problems"/>
    <s v="F750High flue gas temps"/>
    <s v="Mill Creek"/>
    <x v="0"/>
    <s v="Coal"/>
    <x v="1"/>
    <x v="3"/>
    <n v="5"/>
    <n v="0.66666666674427688"/>
    <n v="0.10101010102186013"/>
    <n v="30.303030306558039"/>
    <n v="45.454545454545453"/>
    <x v="23"/>
  </r>
  <r>
    <x v="7"/>
    <x v="0"/>
    <n v="60"/>
    <n v="8199"/>
    <d v="2016-05-30T16:38:00"/>
    <d v="2016-05-30T20:08:00"/>
    <n v="250"/>
    <n v="330"/>
    <n v="300"/>
    <s v="Other scrubber problems"/>
    <s v="F750High flue gas temps"/>
    <s v="Mill Creek"/>
    <x v="0"/>
    <s v="Coal"/>
    <x v="1"/>
    <x v="3"/>
    <n v="5"/>
    <n v="3.4999999998835847"/>
    <n v="0.84848484845662664"/>
    <n v="254.54545453698799"/>
    <n v="72.727272727272734"/>
    <x v="87"/>
  </r>
  <r>
    <x v="7"/>
    <x v="0"/>
    <n v="61"/>
    <n v="1488"/>
    <d v="2016-06-04T13:50:00"/>
    <d v="2016-06-05T01:00:00"/>
    <n v="250"/>
    <n v="330"/>
    <n v="300"/>
    <s v="Air heater (regenerative)"/>
    <s v="F1201A air heater support bearing running hot"/>
    <s v="Mill Creek"/>
    <x v="0"/>
    <s v="Coal"/>
    <x v="1"/>
    <x v="3"/>
    <n v="6"/>
    <n v="11.166666666569654"/>
    <n v="2.7070707070471887"/>
    <n v="812.12121211415661"/>
    <n v="72.727272727272734"/>
    <x v="87"/>
  </r>
  <r>
    <x v="7"/>
    <x v="0"/>
    <n v="62"/>
    <n v="1488"/>
    <d v="2016-06-05T01:00:00"/>
    <d v="2016-06-05T03:44:00"/>
    <n v="135"/>
    <n v="330"/>
    <n v="300"/>
    <s v="Air heater (regenerative)"/>
    <s v="F1201A air heater support bearing running hot"/>
    <s v="Mill Creek"/>
    <x v="0"/>
    <s v="Coal"/>
    <x v="1"/>
    <x v="3"/>
    <n v="6"/>
    <n v="2.7333333333372138"/>
    <n v="1.6151515151538083"/>
    <n v="484.54545454614248"/>
    <n v="177.27272727272728"/>
    <x v="84"/>
  </r>
  <r>
    <x v="7"/>
    <x v="3"/>
    <n v="63"/>
    <n v="8010"/>
    <d v="2016-06-15T00:50:00"/>
    <d v="2016-06-15T04:42:00"/>
    <n v="0"/>
    <n v="330"/>
    <n v="300"/>
    <s v="Crushers/mills"/>
    <s v="F430Lost feed to limestone crusher, cant make slurry"/>
    <s v="Mill Creek"/>
    <x v="1"/>
    <s v="Coal"/>
    <x v="1"/>
    <x v="3"/>
    <n v="6"/>
    <n v="3.8666666666977108"/>
    <n v="3.8666666666977108"/>
    <n v="1160.0000000093132"/>
    <n v="300"/>
    <x v="229"/>
  </r>
  <r>
    <x v="7"/>
    <x v="2"/>
    <n v="64"/>
    <n v="310"/>
    <d v="2016-06-29T00:00:00"/>
    <d v="2016-06-29T04:56:00"/>
    <n v="250"/>
    <n v="330"/>
    <n v="300"/>
    <s v="Pulverizer mills"/>
    <s v="F5901D Coal Mill Maintenance"/>
    <s v="Mill Creek"/>
    <x v="0"/>
    <s v="Coal"/>
    <x v="1"/>
    <x v="3"/>
    <n v="6"/>
    <n v="4.9333333333488554"/>
    <n v="1.1959595959633589"/>
    <n v="358.78787878900766"/>
    <n v="72.727272727272734"/>
    <x v="87"/>
  </r>
  <r>
    <x v="7"/>
    <x v="2"/>
    <n v="65"/>
    <n v="270"/>
    <d v="2016-06-29T23:00:00"/>
    <d v="2016-06-30T05:20:00"/>
    <n v="250"/>
    <n v="330"/>
    <n v="300"/>
    <s v="Primary air duct and dampers"/>
    <s v="F590D Coal Mill Exhauster Damper Maintenance"/>
    <s v="Mill Creek"/>
    <x v="0"/>
    <s v="Coal"/>
    <x v="1"/>
    <x v="3"/>
    <n v="6"/>
    <n v="6.3333333331975155"/>
    <n v="1.5353535353206098"/>
    <n v="460.60606059618294"/>
    <n v="72.727272727272734"/>
    <x v="87"/>
  </r>
  <r>
    <x v="7"/>
    <x v="4"/>
    <n v="66"/>
    <n v="3110"/>
    <d v="2016-06-30T22:19:00"/>
    <d v="2016-07-02T00:00:00"/>
    <n v="0"/>
    <n v="330"/>
    <n v="300"/>
    <s v="Condenser tube leaks"/>
    <s v="F540Boiler and condenser tube leaks repairs"/>
    <s v="Mill Creek"/>
    <x v="2"/>
    <s v="Coal"/>
    <x v="1"/>
    <x v="3"/>
    <n v="6"/>
    <n v="25.683333333407063"/>
    <n v="25.683333333407063"/>
    <n v="7705.0000000221189"/>
    <n v="300"/>
    <x v="229"/>
  </r>
  <r>
    <x v="7"/>
    <x v="4"/>
    <n v="67"/>
    <n v="1060"/>
    <d v="2016-07-02T00:00:00"/>
    <d v="2016-07-03T09:18:00"/>
    <n v="0"/>
    <n v="330"/>
    <n v="300"/>
    <s v="First reheater A"/>
    <s v="F540Boiler and condenser tube leaks (Boiler Tube Repair Time)"/>
    <s v="Mill Creek"/>
    <x v="2"/>
    <s v="Coal"/>
    <x v="1"/>
    <x v="3"/>
    <n v="7"/>
    <n v="33.299999999930151"/>
    <n v="33.299999999930151"/>
    <n v="9989.9999999790452"/>
    <n v="300"/>
    <x v="229"/>
  </r>
  <r>
    <x v="7"/>
    <x v="0"/>
    <n v="68"/>
    <n v="1850"/>
    <d v="2016-07-03T17:34:00"/>
    <d v="2016-07-03T19:16:00"/>
    <n v="302"/>
    <n v="330"/>
    <n v="300"/>
    <s v="Boiler water condition (not feedwater water quality)"/>
    <s v="F540High Silica"/>
    <s v="Mill Creek"/>
    <x v="0"/>
    <s v="Coal"/>
    <x v="1"/>
    <x v="3"/>
    <n v="7"/>
    <n v="1.6999999999534339"/>
    <n v="0.14424242423847317"/>
    <n v="43.272727271541953"/>
    <n v="25.454545454545453"/>
    <x v="80"/>
  </r>
  <r>
    <x v="7"/>
    <x v="4"/>
    <n v="69"/>
    <n v="1070"/>
    <d v="2016-07-15T23:21:00"/>
    <d v="2016-07-18T06:29:00"/>
    <n v="0"/>
    <n v="330"/>
    <n v="300"/>
    <s v="Second reheater B"/>
    <s v="F540Boiler Tube Leak - Reheat"/>
    <s v="Mill Creek"/>
    <x v="2"/>
    <s v="Coal"/>
    <x v="1"/>
    <x v="3"/>
    <n v="7"/>
    <n v="55.133333333360497"/>
    <n v="55.133333333360497"/>
    <n v="16540.000000008149"/>
    <n v="300"/>
    <x v="229"/>
  </r>
  <r>
    <x v="7"/>
    <x v="3"/>
    <n v="70"/>
    <n v="1999"/>
    <d v="2016-07-27T23:00:00"/>
    <d v="2016-07-28T02:20:00"/>
    <n v="0"/>
    <n v="330"/>
    <n v="300"/>
    <s v="Boiler"/>
    <s v="F790O2 Testing"/>
    <s v="Mill Creek"/>
    <x v="1"/>
    <s v="Coal"/>
    <x v="1"/>
    <x v="3"/>
    <n v="7"/>
    <n v="3.3333333331975155"/>
    <n v="3.3333333331975155"/>
    <n v="999.99999995925464"/>
    <n v="300"/>
    <x v="229"/>
  </r>
  <r>
    <x v="7"/>
    <x v="4"/>
    <n v="71"/>
    <n v="4293"/>
    <d v="2016-07-29T21:55:00"/>
    <d v="2016-07-30T03:20:00"/>
    <n v="0"/>
    <n v="330"/>
    <n v="300"/>
    <s v="Hydraulic system pipes and valves"/>
    <s v="F540Repair EHC Leaks"/>
    <s v="Mill Creek"/>
    <x v="2"/>
    <s v="Coal"/>
    <x v="1"/>
    <x v="3"/>
    <n v="7"/>
    <n v="5.4166666666860692"/>
    <n v="5.4166666666860692"/>
    <n v="1625.0000000058208"/>
    <n v="300"/>
    <x v="229"/>
  </r>
  <r>
    <x v="7"/>
    <x v="0"/>
    <n v="72"/>
    <n v="310"/>
    <d v="2016-08-09T13:23:00"/>
    <d v="2016-08-09T15:02:00"/>
    <n v="250"/>
    <n v="330"/>
    <n v="300"/>
    <s v="Pulverizer mills"/>
    <s v="F3001D Coal Mill (Metal in mill)"/>
    <s v="Mill Creek"/>
    <x v="0"/>
    <s v="Coal"/>
    <x v="1"/>
    <x v="3"/>
    <n v="8"/>
    <n v="1.6499999999650754"/>
    <n v="0.39999999999153341"/>
    <n v="119.99999999746002"/>
    <n v="72.727272727272734"/>
    <x v="87"/>
  </r>
  <r>
    <x v="7"/>
    <x v="0"/>
    <n v="73"/>
    <n v="250"/>
    <d v="2016-08-15T10:39:00"/>
    <d v="2016-08-15T11:08:00"/>
    <n v="250"/>
    <n v="330"/>
    <n v="300"/>
    <s v="Pulverizer feeders"/>
    <s v="F820C Feeder Tripped"/>
    <s v="Mill Creek"/>
    <x v="0"/>
    <s v="Coal"/>
    <x v="1"/>
    <x v="3"/>
    <n v="8"/>
    <n v="0.48333333333721384"/>
    <n v="0.1171717171726579"/>
    <n v="35.151515151797369"/>
    <n v="72.727272727272734"/>
    <x v="87"/>
  </r>
  <r>
    <x v="7"/>
    <x v="2"/>
    <n v="74"/>
    <n v="310"/>
    <d v="2016-08-15T23:00:00"/>
    <d v="2016-08-16T04:18:00"/>
    <n v="250"/>
    <n v="330"/>
    <n v="300"/>
    <s v="Pulverizer mills"/>
    <s v="F5901B Mill Inspection"/>
    <s v="Mill Creek"/>
    <x v="0"/>
    <s v="Coal"/>
    <x v="1"/>
    <x v="3"/>
    <n v="8"/>
    <n v="5.2999999999883585"/>
    <n v="1.2848484848456627"/>
    <n v="385.45454545369881"/>
    <n v="72.727272727272734"/>
    <x v="87"/>
  </r>
  <r>
    <x v="7"/>
    <x v="3"/>
    <n v="75"/>
    <n v="4490"/>
    <d v="2016-08-16T21:00:00"/>
    <d v="2016-08-16T23:00:00"/>
    <n v="0"/>
    <n v="330"/>
    <n v="300"/>
    <s v="Turbine performance testing (use code 9999 for total unit performance testing)"/>
    <s v="F790Heat Rate Testing"/>
    <s v="Mill Creek"/>
    <x v="1"/>
    <s v="Coal"/>
    <x v="1"/>
    <x v="3"/>
    <n v="8"/>
    <n v="2.0000000000582077"/>
    <n v="2.0000000000582077"/>
    <n v="600.0000000174623"/>
    <n v="300"/>
    <x v="229"/>
  </r>
  <r>
    <x v="7"/>
    <x v="2"/>
    <n v="76"/>
    <n v="344"/>
    <d v="2016-08-16T23:00:00"/>
    <d v="2016-08-17T01:00:00"/>
    <n v="250"/>
    <n v="330"/>
    <n v="300"/>
    <s v="Pulverizer inspection"/>
    <s v="F5901D Mill Inspection"/>
    <s v="Mill Creek"/>
    <x v="0"/>
    <s v="Coal"/>
    <x v="1"/>
    <x v="3"/>
    <n v="8"/>
    <n v="1.9999999998835847"/>
    <n v="0.48484848482026294"/>
    <n v="145.45454544607887"/>
    <n v="72.727272727272734"/>
    <x v="87"/>
  </r>
  <r>
    <x v="7"/>
    <x v="2"/>
    <n v="77"/>
    <n v="344"/>
    <d v="2016-08-17T01:00:00"/>
    <d v="2016-08-17T04:50:00"/>
    <n v="250"/>
    <n v="330"/>
    <n v="300"/>
    <s v="Pulverizer inspection"/>
    <s v="F5901D Mill Inspection"/>
    <s v="Mill Creek"/>
    <x v="0"/>
    <s v="Coal"/>
    <x v="1"/>
    <x v="3"/>
    <n v="8"/>
    <n v="3.8333333334303461"/>
    <n v="0.92929292931644758"/>
    <n v="278.78787879493427"/>
    <n v="72.727272727272734"/>
    <x v="87"/>
  </r>
  <r>
    <x v="7"/>
    <x v="2"/>
    <n v="78"/>
    <n v="344"/>
    <d v="2016-08-17T23:00:00"/>
    <d v="2016-08-18T04:54:00"/>
    <n v="250"/>
    <n v="330"/>
    <n v="300"/>
    <s v="Pulverizer inspection"/>
    <s v="F590A Mill Inspection"/>
    <s v="Mill Creek"/>
    <x v="0"/>
    <s v="Coal"/>
    <x v="1"/>
    <x v="3"/>
    <n v="8"/>
    <n v="5.9000000000232831"/>
    <n v="1.4303030303086748"/>
    <n v="429.09090909260243"/>
    <n v="72.727272727272734"/>
    <x v="87"/>
  </r>
  <r>
    <x v="7"/>
    <x v="0"/>
    <n v="79"/>
    <n v="3415"/>
    <d v="2016-08-21T23:05:00"/>
    <d v="2016-08-22T02:05:00"/>
    <n v="190"/>
    <n v="330"/>
    <n v="300"/>
    <s v="Feedwater pump/drive lube oil system"/>
    <s v="F7801A BFP Outboard bearing temp"/>
    <s v="Mill Creek"/>
    <x v="0"/>
    <s v="Coal"/>
    <x v="1"/>
    <x v="3"/>
    <n v="8"/>
    <n v="3"/>
    <n v="1.2727272727272727"/>
    <n v="381.81818181818181"/>
    <n v="127.27272727272727"/>
    <x v="49"/>
  </r>
  <r>
    <x v="7"/>
    <x v="0"/>
    <n v="80"/>
    <n v="3661"/>
    <d v="2016-08-22T02:05:00"/>
    <d v="2016-08-22T07:13:00"/>
    <n v="120"/>
    <n v="330"/>
    <n v="300"/>
    <s v="4160-volt circuit breakers"/>
    <s v="F8701A2 4kv bus-breaker would not close"/>
    <s v="Mill Creek"/>
    <x v="0"/>
    <s v="Coal"/>
    <x v="1"/>
    <x v="3"/>
    <n v="8"/>
    <n v="5.1333333333022892"/>
    <n v="3.2666666666469113"/>
    <n v="979.99999999407339"/>
    <n v="190.90909090909091"/>
    <x v="230"/>
  </r>
  <r>
    <x v="7"/>
    <x v="0"/>
    <n v="81"/>
    <n v="3410"/>
    <d v="2016-08-22T07:13:00"/>
    <d v="2016-08-22T10:35:00"/>
    <n v="230"/>
    <n v="330"/>
    <n v="300"/>
    <s v="Feedwater pump"/>
    <s v="F7801A BFP Outboard Pump Bearing"/>
    <s v="Mill Creek"/>
    <x v="0"/>
    <s v="Coal"/>
    <x v="1"/>
    <x v="3"/>
    <n v="8"/>
    <n v="3.3666666666395031"/>
    <n v="1.0202020201937889"/>
    <n v="306.06060605813667"/>
    <n v="90.909090909090907"/>
    <x v="42"/>
  </r>
  <r>
    <x v="7"/>
    <x v="0"/>
    <n v="82"/>
    <n v="3410"/>
    <d v="2016-08-22T10:35:00"/>
    <d v="2016-08-22T11:15:00"/>
    <n v="240"/>
    <n v="330"/>
    <n v="300"/>
    <s v="Feedwater pump"/>
    <s v="F7801A BFP Outboard Pump Bearing"/>
    <s v="Mill Creek"/>
    <x v="0"/>
    <s v="Coal"/>
    <x v="1"/>
    <x v="3"/>
    <n v="8"/>
    <n v="0.66666666674427688"/>
    <n v="0.18181818183934825"/>
    <n v="54.545454551804475"/>
    <n v="81.818181818181813"/>
    <x v="48"/>
  </r>
  <r>
    <x v="7"/>
    <x v="0"/>
    <n v="83"/>
    <n v="3230"/>
    <d v="2016-08-22T11:15:00"/>
    <d v="2016-08-22T11:37:00"/>
    <n v="260"/>
    <n v="330"/>
    <n v="300"/>
    <s v="Circulating water valves"/>
    <s v="F1301A CWP Discharge Valve Stuck Closed"/>
    <s v="Mill Creek"/>
    <x v="0"/>
    <s v="Coal"/>
    <x v="1"/>
    <x v="3"/>
    <n v="8"/>
    <n v="0.36666666663950309"/>
    <n v="7.7777777772015805E-2"/>
    <n v="23.333333331604742"/>
    <n v="63.636363636363633"/>
    <x v="30"/>
  </r>
  <r>
    <x v="7"/>
    <x v="0"/>
    <n v="84"/>
    <n v="3230"/>
    <d v="2016-08-22T11:37:00"/>
    <d v="2016-08-22T23:05:00"/>
    <n v="250"/>
    <n v="330"/>
    <n v="300"/>
    <s v="Circulating water valves"/>
    <s v="F1301A CWP Discharge Valve Stuck Closed"/>
    <s v="Mill Creek"/>
    <x v="0"/>
    <s v="Coal"/>
    <x v="1"/>
    <x v="3"/>
    <n v="8"/>
    <n v="11.466666666674428"/>
    <n v="2.7797979797998611"/>
    <n v="833.93939393995834"/>
    <n v="72.727272727272734"/>
    <x v="87"/>
  </r>
  <r>
    <x v="7"/>
    <x v="2"/>
    <n v="85"/>
    <n v="310"/>
    <d v="2016-08-22T23:05:00"/>
    <d v="2016-08-23T04:09:00"/>
    <n v="240"/>
    <n v="330"/>
    <n v="300"/>
    <s v="Pulverizer mills"/>
    <s v="F5901C Mill Maintinance"/>
    <s v="Mill Creek"/>
    <x v="0"/>
    <s v="Coal"/>
    <x v="1"/>
    <x v="3"/>
    <n v="8"/>
    <n v="5.0666666667675599"/>
    <n v="1.3818181818456983"/>
    <n v="414.54545455370948"/>
    <n v="81.818181818181813"/>
    <x v="48"/>
  </r>
  <r>
    <x v="7"/>
    <x v="2"/>
    <n v="86"/>
    <n v="310"/>
    <d v="2016-08-24T23:00:00"/>
    <d v="2016-08-25T03:44:00"/>
    <n v="240"/>
    <n v="330"/>
    <n v="300"/>
    <s v="Pulverizer mills"/>
    <s v="F5901B Mill Maintenance"/>
    <s v="Mill Creek"/>
    <x v="0"/>
    <s v="Coal"/>
    <x v="1"/>
    <x v="3"/>
    <n v="8"/>
    <n v="4.7333333332207985"/>
    <n v="1.2909090908783996"/>
    <n v="387.27272726351987"/>
    <n v="81.818181818181813"/>
    <x v="48"/>
  </r>
  <r>
    <x v="7"/>
    <x v="4"/>
    <n v="87"/>
    <n v="1000"/>
    <d v="2016-09-17T01:18:00"/>
    <d v="2016-09-19T04:46:00"/>
    <n v="0"/>
    <n v="330"/>
    <n v="300"/>
    <s v="Waterwall (Furnace wall) A"/>
    <s v="F540Boiler Tube Leak"/>
    <s v="Mill Creek"/>
    <x v="2"/>
    <s v="Coal"/>
    <x v="1"/>
    <x v="3"/>
    <n v="9"/>
    <n v="51.46666666661622"/>
    <n v="51.46666666661622"/>
    <n v="15439.999999984866"/>
    <n v="300"/>
    <x v="229"/>
  </r>
  <r>
    <x v="7"/>
    <x v="2"/>
    <n v="88"/>
    <n v="250"/>
    <d v="2016-09-29T23:00:00"/>
    <d v="2016-09-30T05:10:00"/>
    <n v="240"/>
    <n v="330"/>
    <n v="300"/>
    <s v="Pulverizer feeders"/>
    <s v="F590'1B Mill Inspection and Feeder Calibration"/>
    <s v="Mill Creek"/>
    <x v="0"/>
    <s v="Coal"/>
    <x v="1"/>
    <x v="3"/>
    <n v="9"/>
    <n v="6.1666666666860692"/>
    <n v="1.6818181818234734"/>
    <n v="504.54545454704203"/>
    <n v="81.818181818181813"/>
    <x v="48"/>
  </r>
  <r>
    <x v="7"/>
    <x v="0"/>
    <n v="89"/>
    <n v="3110"/>
    <d v="2016-10-06T12:49:00"/>
    <d v="2016-10-06T15:26:00"/>
    <n v="285"/>
    <n v="330"/>
    <n v="300"/>
    <s v="Condenser tube leaks"/>
    <s v="F540Condenser Tube Leak "/>
    <s v="Mill Creek"/>
    <x v="0"/>
    <s v="Coal"/>
    <x v="1"/>
    <x v="3"/>
    <n v="10"/>
    <n v="2.6166666666395031"/>
    <n v="0.35681818181447772"/>
    <n v="107.04545454434331"/>
    <n v="40.909090909090907"/>
    <x v="28"/>
  </r>
  <r>
    <x v="7"/>
    <x v="5"/>
    <n v="90"/>
    <n v="3110"/>
    <d v="2016-10-06T15:26:00"/>
    <d v="2016-10-07T07:13:00"/>
    <n v="0"/>
    <n v="330"/>
    <n v="300"/>
    <s v="Condenser tube leaks"/>
    <s v="F540Condenser Tube Leak"/>
    <s v="Mill Creek"/>
    <x v="3"/>
    <s v="Coal"/>
    <x v="1"/>
    <x v="3"/>
    <n v="10"/>
    <n v="15.783333333267365"/>
    <n v="15.783333333267365"/>
    <n v="4734.9999999802094"/>
    <n v="300"/>
    <x v="229"/>
  </r>
  <r>
    <x v="7"/>
    <x v="0"/>
    <n v="91"/>
    <n v="3110"/>
    <d v="2016-10-07T14:55:00"/>
    <d v="2016-10-07T15:35:00"/>
    <n v="280"/>
    <n v="330"/>
    <n v="300"/>
    <s v="Condenser tube leaks"/>
    <s v="F170High Silica (Startup after a condenser tube leak)"/>
    <s v="Mill Creek"/>
    <x v="0"/>
    <s v="Coal"/>
    <x v="1"/>
    <x v="3"/>
    <n v="10"/>
    <n v="0.6666666665696539"/>
    <n v="0.1010101009954021"/>
    <n v="30.30303029862063"/>
    <n v="45.454545454545453"/>
    <x v="23"/>
  </r>
  <r>
    <x v="7"/>
    <x v="2"/>
    <n v="93"/>
    <n v="250"/>
    <d v="2016-10-10T23:00:00"/>
    <d v="2016-10-11T01:05:00"/>
    <n v="240"/>
    <n v="330"/>
    <n v="300"/>
    <s v="Pulverizer feeders"/>
    <s v="F5901B Feeder Maintenance"/>
    <s v="Mill Creek"/>
    <x v="0"/>
    <s v="Coal"/>
    <x v="1"/>
    <x v="3"/>
    <n v="10"/>
    <n v="2.0833333333139308"/>
    <n v="0.56818181817652658"/>
    <n v="170.45454545295797"/>
    <n v="81.818181818181813"/>
    <x v="48"/>
  </r>
  <r>
    <x v="7"/>
    <x v="2"/>
    <n v="94"/>
    <n v="250"/>
    <d v="2016-10-12T23:00:00"/>
    <d v="2016-10-13T03:14:00"/>
    <n v="240"/>
    <n v="330"/>
    <n v="300"/>
    <s v="Pulverizer feeders"/>
    <s v="F5901B Feeder Maintenance"/>
    <s v="Mill Creek"/>
    <x v="0"/>
    <s v="Coal"/>
    <x v="1"/>
    <x v="3"/>
    <n v="10"/>
    <n v="4.2333333333372138"/>
    <n v="1.1545454545465128"/>
    <n v="346.36363636395384"/>
    <n v="81.818181818181813"/>
    <x v="48"/>
  </r>
  <r>
    <x v="7"/>
    <x v="0"/>
    <n v="95"/>
    <n v="331"/>
    <d v="2016-10-19T23:30:00"/>
    <d v="2016-10-20T01:36:00"/>
    <n v="240"/>
    <n v="330"/>
    <n v="300"/>
    <s v="Pulverizer system coal leaks (other than pulverizers"/>
    <s v="F5401C Coal Leak "/>
    <s v="Mill Creek"/>
    <x v="0"/>
    <s v="Coal"/>
    <x v="1"/>
    <x v="3"/>
    <n v="10"/>
    <n v="2.1000000000349246"/>
    <n v="0.57272727273679758"/>
    <n v="171.81818182103927"/>
    <n v="81.818181818181813"/>
    <x v="48"/>
  </r>
  <r>
    <x v="7"/>
    <x v="2"/>
    <n v="96"/>
    <n v="253"/>
    <d v="2016-11-08T23:00:00"/>
    <d v="2016-11-09T04:17:00"/>
    <n v="240"/>
    <n v="330"/>
    <n v="300"/>
    <s v="Pulverizer feeder motor"/>
    <s v="F4001B Mill Feeder motor VFD replaced"/>
    <s v="Mill Creek"/>
    <x v="0"/>
    <s v="Coal"/>
    <x v="1"/>
    <x v="3"/>
    <n v="11"/>
    <n v="5.2833333332673647"/>
    <n v="1.4409090908910995"/>
    <n v="432.27272726732986"/>
    <n v="81.818181818181813"/>
    <x v="48"/>
  </r>
  <r>
    <x v="7"/>
    <x v="2"/>
    <n v="97"/>
    <n v="250"/>
    <d v="2016-11-15T23:00:00"/>
    <d v="2016-11-16T06:09:00"/>
    <n v="240"/>
    <n v="330"/>
    <n v="300"/>
    <s v="Pulverizer feeders"/>
    <s v="F5901B Coal Feeder Maintenance"/>
    <s v="Mill Creek"/>
    <x v="0"/>
    <s v="Coal"/>
    <x v="1"/>
    <x v="3"/>
    <n v="11"/>
    <n v="7.1499999999068677"/>
    <n v="1.9499999999746003"/>
    <n v="584.99999999238003"/>
    <n v="81.818181818181813"/>
    <x v="48"/>
  </r>
  <r>
    <x v="7"/>
    <x v="2"/>
    <n v="98"/>
    <n v="250"/>
    <d v="2016-11-16T22:00:00"/>
    <d v="2016-11-17T04:59:00"/>
    <n v="240"/>
    <n v="330"/>
    <n v="300"/>
    <s v="Pulverizer feeders"/>
    <s v="F5901A Coal Feeder Maintenance"/>
    <s v="Mill Creek"/>
    <x v="0"/>
    <s v="Coal"/>
    <x v="1"/>
    <x v="3"/>
    <n v="11"/>
    <n v="6.9833333333954215"/>
    <n v="1.9045454545623877"/>
    <n v="571.36363636871624"/>
    <n v="81.818181818181813"/>
    <x v="48"/>
  </r>
  <r>
    <x v="7"/>
    <x v="3"/>
    <n v="99"/>
    <n v="920"/>
    <d v="2016-11-21T22:05:00"/>
    <d v="2016-11-22T04:43:00"/>
    <n v="0"/>
    <n v="330"/>
    <n v="300"/>
    <s v="Other slag and ash removal problems A"/>
    <s v="FS00Deslag"/>
    <s v="Mill Creek"/>
    <x v="1"/>
    <s v="Coal"/>
    <x v="1"/>
    <x v="3"/>
    <n v="11"/>
    <n v="6.6333333333022892"/>
    <n v="6.6333333333022892"/>
    <n v="1989.9999999906868"/>
    <n v="300"/>
    <x v="229"/>
  </r>
  <r>
    <x v="7"/>
    <x v="3"/>
    <n v="100"/>
    <n v="920"/>
    <d v="2016-11-22T22:30:00"/>
    <d v="2016-11-23T04:00:00"/>
    <n v="0"/>
    <n v="330"/>
    <n v="300"/>
    <s v="Other slag and ash removal problems A"/>
    <s v="FS00Deslag"/>
    <s v="Mill Creek"/>
    <x v="1"/>
    <s v="Coal"/>
    <x v="1"/>
    <x v="3"/>
    <n v="11"/>
    <n v="5.4999999999417923"/>
    <n v="5.4999999999417923"/>
    <n v="1649.9999999825377"/>
    <n v="300"/>
    <x v="229"/>
  </r>
  <r>
    <x v="7"/>
    <x v="0"/>
    <n v="101"/>
    <n v="250"/>
    <d v="2016-11-23T07:02:00"/>
    <d v="2016-11-23T19:25:00"/>
    <n v="240"/>
    <n v="330"/>
    <n v="300"/>
    <s v="Pulverizer feeders"/>
    <s v="F8201B Feeder tripping"/>
    <s v="Mill Creek"/>
    <x v="0"/>
    <s v="Coal"/>
    <x v="1"/>
    <x v="3"/>
    <n v="11"/>
    <n v="12.383333333360497"/>
    <n v="3.3772727272801357"/>
    <n v="1013.1818181840407"/>
    <n v="81.818181818181813"/>
    <x v="48"/>
  </r>
  <r>
    <x v="7"/>
    <x v="2"/>
    <n v="102"/>
    <n v="250"/>
    <d v="2016-11-26T12:17:00"/>
    <d v="2016-11-26T13:30:00"/>
    <n v="250"/>
    <n v="330"/>
    <n v="300"/>
    <s v="Pulverizer feeders"/>
    <s v="F5901B Feeder maintenance"/>
    <s v="Mill Creek"/>
    <x v="0"/>
    <s v="Coal"/>
    <x v="1"/>
    <x v="3"/>
    <n v="11"/>
    <n v="1.21666666661622"/>
    <n v="0.29494949493726547"/>
    <n v="88.48484848117964"/>
    <n v="72.727272727272734"/>
    <x v="87"/>
  </r>
  <r>
    <x v="7"/>
    <x v="2"/>
    <n v="103"/>
    <n v="250"/>
    <d v="2016-11-29T22:30:00"/>
    <d v="2016-11-30T05:07:00"/>
    <n v="240"/>
    <n v="330"/>
    <n v="300"/>
    <s v="Pulverizer feeders"/>
    <s v="F5301C Feeder calibration and inspection"/>
    <s v="Mill Creek"/>
    <x v="0"/>
    <s v="Coal"/>
    <x v="1"/>
    <x v="3"/>
    <n v="11"/>
    <n v="6.6166666665812954"/>
    <n v="1.8045454545221715"/>
    <n v="541.36363635665145"/>
    <n v="81.818181818181813"/>
    <x v="48"/>
  </r>
  <r>
    <x v="7"/>
    <x v="2"/>
    <n v="104"/>
    <n v="338"/>
    <d v="2016-11-30T22:30:00"/>
    <d v="2016-12-01T05:08:00"/>
    <n v="240"/>
    <n v="330"/>
    <n v="300"/>
    <s v="Pulverizer control systems (temperature and pressure)"/>
    <s v="F5901B Mill hot air gate and linkage"/>
    <s v="Mill Creek"/>
    <x v="0"/>
    <s v="Coal"/>
    <x v="1"/>
    <x v="3"/>
    <n v="11"/>
    <n v="6.6333333333022892"/>
    <n v="1.8090909090824425"/>
    <n v="542.72727272473276"/>
    <n v="81.818181818181813"/>
    <x v="48"/>
  </r>
  <r>
    <x v="7"/>
    <x v="2"/>
    <n v="105"/>
    <n v="250"/>
    <d v="2016-12-01T22:30:00"/>
    <d v="2016-12-02T05:14:00"/>
    <n v="240"/>
    <n v="330"/>
    <n v="300"/>
    <s v="Pulverizer feeders"/>
    <s v="F5901D Coal Mill Maintenance"/>
    <s v="Mill Creek"/>
    <x v="0"/>
    <s v="Coal"/>
    <x v="1"/>
    <x v="3"/>
    <n v="12"/>
    <n v="6.7333333332790062"/>
    <n v="1.8363636363488198"/>
    <n v="550.90909090464595"/>
    <n v="81.818181818181813"/>
    <x v="48"/>
  </r>
  <r>
    <x v="7"/>
    <x v="2"/>
    <n v="106"/>
    <n v="310"/>
    <d v="2016-12-05T22:30:00"/>
    <d v="2016-12-06T04:11:00"/>
    <n v="240"/>
    <n v="330"/>
    <n v="300"/>
    <s v="Pulverizer mills"/>
    <s v="F5901B Mill Maintenance"/>
    <s v="Mill Creek"/>
    <x v="0"/>
    <s v="Coal"/>
    <x v="1"/>
    <x v="3"/>
    <n v="12"/>
    <n v="5.6833333333488554"/>
    <n v="1.5500000000042333"/>
    <n v="465.00000000127"/>
    <n v="81.818181818181813"/>
    <x v="48"/>
  </r>
  <r>
    <x v="7"/>
    <x v="0"/>
    <n v="107"/>
    <n v="250"/>
    <d v="2016-12-09T05:47:00"/>
    <d v="2016-12-09T11:22:00"/>
    <n v="240"/>
    <n v="330"/>
    <n v="300"/>
    <s v="Pulverizer feeders"/>
    <s v="F8201B Feeder Tripped"/>
    <s v="Mill Creek"/>
    <x v="0"/>
    <s v="Coal"/>
    <x v="1"/>
    <x v="3"/>
    <n v="12"/>
    <n v="5.5833333333721384"/>
    <n v="1.522727272737856"/>
    <n v="456.8181818213568"/>
    <n v="81.818181818181813"/>
    <x v="48"/>
  </r>
  <r>
    <x v="7"/>
    <x v="2"/>
    <n v="108"/>
    <n v="310"/>
    <d v="2016-12-12T23:09:00"/>
    <d v="2016-12-13T00:45:00"/>
    <n v="240"/>
    <n v="330"/>
    <n v="300"/>
    <s v="Pulverizer mills"/>
    <s v="F5901C &amp; 1D Mill Roller Adjustments"/>
    <s v="Mill Creek"/>
    <x v="0"/>
    <s v="Coal"/>
    <x v="1"/>
    <x v="3"/>
    <n v="12"/>
    <n v="1.5999999999767169"/>
    <n v="0.43636363635728642"/>
    <n v="130.90909090718591"/>
    <n v="81.818181818181813"/>
    <x v="48"/>
  </r>
  <r>
    <x v="7"/>
    <x v="0"/>
    <n v="109"/>
    <n v="250"/>
    <d v="2016-12-15T14:09:00"/>
    <d v="2016-12-15T15:51:00"/>
    <n v="250"/>
    <n v="330"/>
    <n v="300"/>
    <s v="Pulverizer feeders"/>
    <s v="F8201B Feeder Tripped"/>
    <s v="Mill Creek"/>
    <x v="0"/>
    <s v="Coal"/>
    <x v="1"/>
    <x v="3"/>
    <n v="12"/>
    <n v="1.6999999999534339"/>
    <n v="0.41212121210992336"/>
    <n v="123.63636363297701"/>
    <n v="72.727272727272734"/>
    <x v="87"/>
  </r>
  <r>
    <x v="7"/>
    <x v="3"/>
    <n v="110"/>
    <n v="1190"/>
    <d v="2016-12-16T23:00:00"/>
    <d v="2016-12-17T12:00:00"/>
    <n v="0"/>
    <n v="330"/>
    <n v="300"/>
    <s v="Other tube slagging or fouling"/>
    <s v="FS00Deslag"/>
    <s v="Mill Creek"/>
    <x v="1"/>
    <s v="Coal"/>
    <x v="1"/>
    <x v="3"/>
    <n v="12"/>
    <n v="12.999999999941792"/>
    <n v="12.999999999941792"/>
    <n v="3899.9999999825377"/>
    <n v="300"/>
    <x v="229"/>
  </r>
  <r>
    <x v="7"/>
    <x v="0"/>
    <n v="111"/>
    <n v="3111"/>
    <d v="2016-12-18T16:06:00"/>
    <d v="2016-12-19T19:28:00"/>
    <n v="270"/>
    <n v="330"/>
    <n v="300"/>
    <s v="Condenser tube fouling shell side"/>
    <s v="FF00Condenser Fouled (High Back Pressure)"/>
    <s v="Mill Creek"/>
    <x v="0"/>
    <s v="Coal"/>
    <x v="1"/>
    <x v="3"/>
    <n v="12"/>
    <n v="27.366666666814126"/>
    <n v="4.9757575757843862"/>
    <n v="1492.7272727353159"/>
    <n v="54.545454545454547"/>
    <x v="2"/>
  </r>
  <r>
    <x v="7"/>
    <x v="0"/>
    <n v="112"/>
    <n v="250"/>
    <d v="2016-12-19T19:28:00"/>
    <d v="2016-12-19T21:00:00"/>
    <n v="250"/>
    <n v="330"/>
    <n v="300"/>
    <s v="Pulverizer feeders"/>
    <s v="F1201A Feeder Maintenance - Cleared debris blocking flow"/>
    <s v="Mill Creek"/>
    <x v="0"/>
    <s v="Coal"/>
    <x v="1"/>
    <x v="3"/>
    <n v="12"/>
    <n v="1.5333333332673647"/>
    <n v="0.37171717170117929"/>
    <n v="111.51515151035379"/>
    <n v="72.727272727272734"/>
    <x v="87"/>
  </r>
  <r>
    <x v="7"/>
    <x v="0"/>
    <n v="113"/>
    <n v="3111"/>
    <d v="2016-12-19T21:00:00"/>
    <d v="2016-12-19T23:00:00"/>
    <n v="270"/>
    <n v="330"/>
    <n v="300"/>
    <s v="Condenser tube fouling shell side"/>
    <s v="FF00Condenser Fouled - High Back Pressure "/>
    <s v="Mill Creek"/>
    <x v="0"/>
    <s v="Coal"/>
    <x v="1"/>
    <x v="3"/>
    <n v="12"/>
    <n v="2.0000000000582077"/>
    <n v="0.36363636364694685"/>
    <n v="109.09090909408405"/>
    <n v="54.545454545454547"/>
    <x v="2"/>
  </r>
  <r>
    <x v="7"/>
    <x v="2"/>
    <n v="114"/>
    <n v="250"/>
    <d v="2016-12-19T23:00:00"/>
    <d v="2016-12-20T04:55:00"/>
    <n v="270"/>
    <n v="330"/>
    <n v="300"/>
    <s v="Pulverizer feeders"/>
    <s v="F5901B Feeder Maintenance"/>
    <s v="Mill Creek"/>
    <x v="0"/>
    <s v="Coal"/>
    <x v="1"/>
    <x v="3"/>
    <n v="12"/>
    <n v="5.9166666665696539"/>
    <n v="1.0757575757399371"/>
    <n v="322.72727272198114"/>
    <n v="54.545454545454547"/>
    <x v="2"/>
  </r>
  <r>
    <x v="7"/>
    <x v="0"/>
    <n v="115"/>
    <n v="3111"/>
    <d v="2016-12-20T04:55:00"/>
    <d v="2016-12-21T14:26:00"/>
    <n v="270"/>
    <n v="330"/>
    <n v="300"/>
    <s v="Condenser tube fouling shell side"/>
    <s v="FF00Condenser Fouled - High Back Pressure "/>
    <s v="Mill Creek"/>
    <x v="0"/>
    <s v="Coal"/>
    <x v="1"/>
    <x v="3"/>
    <n v="12"/>
    <n v="33.516666666779201"/>
    <n v="6.0939393939598547"/>
    <n v="1828.1818181879564"/>
    <n v="54.545454545454547"/>
    <x v="2"/>
  </r>
  <r>
    <x v="7"/>
    <x v="4"/>
    <n v="116"/>
    <n v="3111"/>
    <d v="2016-12-21T14:26:00"/>
    <d v="2016-12-21T20:29:00"/>
    <n v="0"/>
    <n v="330"/>
    <n v="300"/>
    <s v="Condenser tube fouling shell side"/>
    <s v="FF00Condenser Fouled - Cleaned Tubesheets"/>
    <s v="Mill Creek"/>
    <x v="2"/>
    <s v="Coal"/>
    <x v="1"/>
    <x v="3"/>
    <n v="12"/>
    <n v="6.0499999999883585"/>
    <n v="6.0499999999883585"/>
    <n v="1814.9999999965075"/>
    <n v="300"/>
    <x v="229"/>
  </r>
  <r>
    <x v="7"/>
    <x v="0"/>
    <n v="117"/>
    <n v="250"/>
    <d v="2016-12-27T10:48:00"/>
    <d v="2016-12-27T14:39:00"/>
    <n v="245"/>
    <n v="330"/>
    <n v="300"/>
    <s v="Pulverizer feeders"/>
    <s v="F3401C Feeder will not start"/>
    <s v="Mill Creek"/>
    <x v="0"/>
    <s v="Coal"/>
    <x v="1"/>
    <x v="3"/>
    <n v="12"/>
    <n v="3.8500000001513399"/>
    <n v="0.99166666670564818"/>
    <n v="297.50000001169445"/>
    <n v="77.272727272727266"/>
    <x v="128"/>
  </r>
  <r>
    <x v="7"/>
    <x v="0"/>
    <n v="118"/>
    <n v="280"/>
    <d v="2016-12-27T15:48:00"/>
    <d v="2017-01-01T00:00:00"/>
    <n v="245"/>
    <n v="330"/>
    <n v="300"/>
    <s v="Pulverizer fires"/>
    <s v="F4401C Mill puffed"/>
    <s v="Mill Creek"/>
    <x v="0"/>
    <s v="Coal"/>
    <x v="1"/>
    <x v="3"/>
    <n v="12"/>
    <n v="104.20000000001164"/>
    <n v="26.839393939396938"/>
    <n v="8051.8181818190815"/>
    <n v="77.272727272727266"/>
    <x v="128"/>
  </r>
  <r>
    <x v="7"/>
    <x v="0"/>
    <n v="1"/>
    <n v="280"/>
    <d v="2017-01-01T00:00:00"/>
    <d v="2017-01-03T01:05:00"/>
    <n v="245"/>
    <n v="330"/>
    <n v="300"/>
    <s v="Pulverizer fires"/>
    <s v="F4401C Mill Puff (Event started in 2016)"/>
    <s v="Mill Creek"/>
    <x v="0"/>
    <s v="Coal"/>
    <x v="1"/>
    <x v="4"/>
    <n v="1"/>
    <n v="49.083333333372138"/>
    <n v="12.642676767686764"/>
    <n v="3792.8030303060291"/>
    <n v="77.272727272727266"/>
    <x v="128"/>
  </r>
  <r>
    <x v="7"/>
    <x v="0"/>
    <n v="2"/>
    <n v="280"/>
    <d v="2017-01-03T01:05:00"/>
    <d v="2017-01-03T04:56:00"/>
    <n v="175"/>
    <n v="330"/>
    <n v="300"/>
    <s v="Pulverizer fires"/>
    <s v="F4401C Coal Mill Puff &amp; 1A Feeder"/>
    <s v="Mill Creek"/>
    <x v="0"/>
    <s v="Coal"/>
    <x v="1"/>
    <x v="4"/>
    <n v="1"/>
    <n v="3.8499999999767169"/>
    <n v="1.8083333333223974"/>
    <n v="542.49999999671923"/>
    <n v="140.90909090909091"/>
    <x v="59"/>
  </r>
  <r>
    <x v="7"/>
    <x v="0"/>
    <n v="3"/>
    <n v="280"/>
    <d v="2017-01-03T04:56:00"/>
    <d v="2017-01-07T00:51:00"/>
    <n v="245"/>
    <n v="330"/>
    <n v="300"/>
    <s v="Pulverizer fires"/>
    <s v="F4401C Mill Puff "/>
    <s v="Mill Creek"/>
    <x v="0"/>
    <s v="Coal"/>
    <x v="1"/>
    <x v="4"/>
    <n v="1"/>
    <n v="91.916666666627862"/>
    <n v="23.675505050495055"/>
    <n v="7102.6515151485164"/>
    <n v="77.272727272727266"/>
    <x v="128"/>
  </r>
  <r>
    <x v="7"/>
    <x v="3"/>
    <n v="4"/>
    <n v="1100"/>
    <d v="2017-01-08T12:50:00"/>
    <d v="2017-01-08T16:36:00"/>
    <n v="0"/>
    <n v="330"/>
    <n v="300"/>
    <s v="Waterwall (Furnace wall) B"/>
    <s v="FS00Deslag"/>
    <s v="Mill Creek"/>
    <x v="1"/>
    <s v="Coal"/>
    <x v="1"/>
    <x v="4"/>
    <n v="1"/>
    <n v="3.7666666667209938"/>
    <n v="3.7666666667209938"/>
    <n v="1130.0000000162981"/>
    <n v="300"/>
    <x v="229"/>
  </r>
  <r>
    <x v="7"/>
    <x v="3"/>
    <n v="5"/>
    <n v="1160"/>
    <d v="2017-01-10T00:00:00"/>
    <d v="2017-01-10T05:45:00"/>
    <n v="0"/>
    <n v="330"/>
    <n v="300"/>
    <s v="First reheater B"/>
    <s v="FS00Deslag"/>
    <s v="Mill Creek"/>
    <x v="1"/>
    <s v="Coal"/>
    <x v="1"/>
    <x v="4"/>
    <n v="1"/>
    <n v="5.7500000000582077"/>
    <n v="5.7500000000582077"/>
    <n v="1725.0000000174623"/>
    <n v="300"/>
    <x v="229"/>
  </r>
  <r>
    <x v="7"/>
    <x v="0"/>
    <n v="6"/>
    <n v="1160"/>
    <d v="2017-01-10T18:56:00"/>
    <d v="2017-01-11T09:20:00"/>
    <n v="130"/>
    <n v="330"/>
    <n v="300"/>
    <s v="First reheater B"/>
    <s v="FS00Deslag"/>
    <s v="Mill Creek"/>
    <x v="0"/>
    <s v="Coal"/>
    <x v="1"/>
    <x v="4"/>
    <n v="1"/>
    <n v="14.399999999965075"/>
    <n v="8.7272727272515613"/>
    <n v="2618.1818181754684"/>
    <n v="181.81818181818181"/>
    <x v="153"/>
  </r>
  <r>
    <x v="7"/>
    <x v="5"/>
    <n v="7"/>
    <n v="1160"/>
    <d v="2017-01-11T09:20:00"/>
    <d v="2017-01-13T20:07:00"/>
    <n v="0"/>
    <n v="330"/>
    <n v="300"/>
    <s v="First reheater B"/>
    <s v="FS00Deslag"/>
    <s v="Mill Creek"/>
    <x v="3"/>
    <s v="Coal"/>
    <x v="1"/>
    <x v="4"/>
    <n v="1"/>
    <n v="58.783333333209157"/>
    <n v="58.783333333209157"/>
    <n v="17634.999999962747"/>
    <n v="300"/>
    <x v="229"/>
  </r>
  <r>
    <x v="7"/>
    <x v="3"/>
    <n v="8"/>
    <n v="1850"/>
    <d v="2017-01-13T20:07:00"/>
    <d v="2017-01-14T04:32:00"/>
    <n v="0"/>
    <n v="330"/>
    <n v="300"/>
    <s v="Boiler water condition (not feedwater water quality)"/>
    <s v="F170High Silica @ Warm start"/>
    <s v="Mill Creek"/>
    <x v="1"/>
    <s v="Coal"/>
    <x v="1"/>
    <x v="4"/>
    <n v="1"/>
    <n v="8.4166666666860692"/>
    <n v="8.4166666666860692"/>
    <n v="2525.0000000058208"/>
    <n v="300"/>
    <x v="229"/>
  </r>
  <r>
    <x v="7"/>
    <x v="0"/>
    <n v="9"/>
    <n v="1850"/>
    <d v="2017-01-14T04:32:00"/>
    <d v="2017-01-14T04:52:00"/>
    <n v="261"/>
    <n v="330"/>
    <n v="300"/>
    <s v="Boiler water condition (not feedwater water quality)"/>
    <s v="F170High silica"/>
    <s v="Mill Creek"/>
    <x v="0"/>
    <s v="Coal"/>
    <x v="1"/>
    <x v="4"/>
    <n v="1"/>
    <n v="0.33333333337213844"/>
    <n v="6.9696969705083489E-2"/>
    <n v="20.909090911525048"/>
    <n v="62.727272727272727"/>
    <x v="187"/>
  </r>
  <r>
    <x v="7"/>
    <x v="0"/>
    <n v="10"/>
    <n v="1850"/>
    <d v="2017-01-14T04:52:00"/>
    <d v="2017-01-14T09:30:00"/>
    <n v="275"/>
    <n v="330"/>
    <n v="300"/>
    <s v="Boiler water condition (not feedwater water quality)"/>
    <s v="F170High silica"/>
    <s v="Mill Creek"/>
    <x v="0"/>
    <s v="Coal"/>
    <x v="1"/>
    <x v="4"/>
    <n v="1"/>
    <n v="4.6333333334187046"/>
    <n v="0.77222222223645076"/>
    <n v="231.66666667093523"/>
    <n v="50"/>
    <x v="33"/>
  </r>
  <r>
    <x v="7"/>
    <x v="3"/>
    <n v="11"/>
    <n v="8460"/>
    <d v="2017-01-18T22:40:00"/>
    <d v="2017-01-19T01:35:00"/>
    <n v="0"/>
    <n v="330"/>
    <n v="300"/>
    <s v="Testing A"/>
    <s v="F790Low Load RATA - 215 MW"/>
    <s v="Mill Creek"/>
    <x v="1"/>
    <s v="Coal"/>
    <x v="1"/>
    <x v="4"/>
    <n v="1"/>
    <n v="2.9166666665696539"/>
    <n v="2.9166666665696539"/>
    <n v="874.99999997089617"/>
    <n v="300"/>
    <x v="229"/>
  </r>
  <r>
    <x v="7"/>
    <x v="2"/>
    <n v="12"/>
    <n v="310"/>
    <d v="2017-01-24T23:00:00"/>
    <d v="2017-01-25T04:50:00"/>
    <n v="240"/>
    <n v="330"/>
    <n v="300"/>
    <s v="Pulverizer mills"/>
    <s v="F5901C Mill Maintenance"/>
    <s v="Mill Creek"/>
    <x v="0"/>
    <s v="Coal"/>
    <x v="1"/>
    <x v="4"/>
    <n v="1"/>
    <n v="5.8333333333139308"/>
    <n v="1.5909090909037993"/>
    <n v="477.27272727113979"/>
    <n v="81.818181818181813"/>
    <x v="48"/>
  </r>
  <r>
    <x v="7"/>
    <x v="2"/>
    <n v="13"/>
    <n v="310"/>
    <d v="2017-01-25T23:00:00"/>
    <d v="2017-01-26T01:31:00"/>
    <n v="240"/>
    <n v="330"/>
    <n v="300"/>
    <s v="Pulverizer mills"/>
    <s v="F5901C Mill Maintenance"/>
    <s v="Mill Creek"/>
    <x v="0"/>
    <s v="Coal"/>
    <x v="1"/>
    <x v="4"/>
    <n v="1"/>
    <n v="2.5166666666627862"/>
    <n v="0.68636363636257802"/>
    <n v="205.90909090877341"/>
    <n v="81.818181818181813"/>
    <x v="48"/>
  </r>
  <r>
    <x v="7"/>
    <x v="2"/>
    <n v="14"/>
    <n v="310"/>
    <d v="2017-01-26T23:00:00"/>
    <d v="2017-01-27T03:58:00"/>
    <n v="245"/>
    <n v="330"/>
    <n v="300"/>
    <s v="Pulverizer mills"/>
    <s v="F5901A Mill Maintenance"/>
    <s v="Mill Creek"/>
    <x v="0"/>
    <s v="Coal"/>
    <x v="1"/>
    <x v="4"/>
    <n v="1"/>
    <n v="4.96666666661622"/>
    <n v="1.2792929292799355"/>
    <n v="383.78787878398066"/>
    <n v="77.272727272727266"/>
    <x v="128"/>
  </r>
  <r>
    <x v="7"/>
    <x v="0"/>
    <n v="15"/>
    <n v="360"/>
    <d v="2017-01-27T03:58:00"/>
    <d v="2017-01-27T04:52:00"/>
    <n v="176"/>
    <n v="330"/>
    <n v="300"/>
    <s v="Burners"/>
    <s v="F7801C Mill Burner Temperatures"/>
    <s v="Mill Creek"/>
    <x v="0"/>
    <s v="Coal"/>
    <x v="1"/>
    <x v="4"/>
    <n v="1"/>
    <n v="0.8999999999650754"/>
    <n v="0.41999999998370185"/>
    <n v="125.99999999511056"/>
    <n v="140"/>
    <x v="135"/>
  </r>
  <r>
    <x v="7"/>
    <x v="0"/>
    <n v="16"/>
    <n v="360"/>
    <d v="2017-01-27T04:52:00"/>
    <d v="2017-01-27T08:51:00"/>
    <n v="250"/>
    <n v="330"/>
    <n v="300"/>
    <s v="Burners"/>
    <s v="F7801C Mill Burner Temperatures"/>
    <s v="Mill Creek"/>
    <x v="0"/>
    <s v="Coal"/>
    <x v="1"/>
    <x v="4"/>
    <n v="1"/>
    <n v="3.9833333333954215"/>
    <n v="0.96565656567161728"/>
    <n v="289.69696970148516"/>
    <n v="72.727272727272734"/>
    <x v="87"/>
  </r>
  <r>
    <x v="7"/>
    <x v="2"/>
    <n v="17"/>
    <n v="310"/>
    <d v="2017-01-30T23:00:00"/>
    <d v="2017-01-31T04:30:00"/>
    <n v="240"/>
    <n v="330"/>
    <n v="300"/>
    <s v="Pulverizer mills"/>
    <s v="F5901B Mill Maintenance"/>
    <s v="Mill Creek"/>
    <x v="0"/>
    <s v="Coal"/>
    <x v="1"/>
    <x v="4"/>
    <n v="1"/>
    <n v="5.4999999999417923"/>
    <n v="1.4999999999841251"/>
    <n v="449.99999999523754"/>
    <n v="81.818181818181813"/>
    <x v="48"/>
  </r>
  <r>
    <x v="7"/>
    <x v="2"/>
    <n v="18"/>
    <n v="310"/>
    <d v="2017-01-31T23:00:00"/>
    <d v="2017-02-01T04:28:00"/>
    <n v="240"/>
    <n v="330"/>
    <n v="300"/>
    <s v="Pulverizer mills"/>
    <s v="F5901D Mill Maintenance "/>
    <s v="Mill Creek"/>
    <x v="0"/>
    <s v="Coal"/>
    <x v="1"/>
    <x v="4"/>
    <n v="1"/>
    <n v="5.4666666666744277"/>
    <n v="1.4909090909112075"/>
    <n v="447.27272727336225"/>
    <n v="81.818181818181813"/>
    <x v="48"/>
  </r>
  <r>
    <x v="7"/>
    <x v="4"/>
    <n v="19"/>
    <n v="4293"/>
    <d v="2017-02-03T11:36:00"/>
    <d v="2017-02-04T04:06:00"/>
    <n v="0"/>
    <n v="330"/>
    <n v="300"/>
    <s v="Hydraulic system pipes and valves"/>
    <s v="F540EHC Leak Repair (&amp; Condenser Dye Test)"/>
    <s v="Mill Creek"/>
    <x v="2"/>
    <s v="Coal"/>
    <x v="1"/>
    <x v="4"/>
    <n v="2"/>
    <n v="16.5"/>
    <n v="16.5"/>
    <n v="4950"/>
    <n v="300"/>
    <x v="229"/>
  </r>
  <r>
    <x v="7"/>
    <x v="2"/>
    <n v="20"/>
    <n v="310"/>
    <d v="2017-02-22T23:25:00"/>
    <d v="2017-02-23T04:29:00"/>
    <n v="240"/>
    <n v="330"/>
    <n v="300"/>
    <s v="Pulverizer mills"/>
    <s v="F5901A Mill Maintenance"/>
    <s v="Mill Creek"/>
    <x v="0"/>
    <s v="Coal"/>
    <x v="1"/>
    <x v="4"/>
    <n v="2"/>
    <n v="5.066666666592937"/>
    <n v="1.3818181817980737"/>
    <n v="414.54545453942211"/>
    <n v="81.818181818181813"/>
    <x v="48"/>
  </r>
  <r>
    <x v="7"/>
    <x v="2"/>
    <n v="21"/>
    <n v="310"/>
    <d v="2017-02-23T23:00:00"/>
    <d v="2017-02-24T04:28:00"/>
    <n v="240"/>
    <n v="330"/>
    <n v="300"/>
    <s v="Pulverizer mills"/>
    <s v="F5901D Mill Maintenance"/>
    <s v="Mill Creek"/>
    <x v="0"/>
    <s v="Coal"/>
    <x v="1"/>
    <x v="4"/>
    <n v="2"/>
    <n v="5.4666666666744277"/>
    <n v="1.4909090909112075"/>
    <n v="447.27272727336225"/>
    <n v="81.818181818181813"/>
    <x v="48"/>
  </r>
  <r>
    <x v="7"/>
    <x v="0"/>
    <n v="22"/>
    <n v="1493"/>
    <d v="2017-02-24T17:03:00"/>
    <d v="2017-02-24T22:55:00"/>
    <n v="250"/>
    <n v="330"/>
    <n v="300"/>
    <s v="Air heater fouling (regenerative)"/>
    <s v="F660High Air Heater Differential (A Side)"/>
    <s v="Mill Creek"/>
    <x v="0"/>
    <s v="Coal"/>
    <x v="1"/>
    <x v="4"/>
    <n v="2"/>
    <n v="5.8666666665812954"/>
    <n v="1.4222222222015262"/>
    <n v="426.66666666045785"/>
    <n v="72.727272727272734"/>
    <x v="87"/>
  </r>
  <r>
    <x v="7"/>
    <x v="0"/>
    <n v="23"/>
    <n v="1493"/>
    <d v="2017-02-24T22:55:00"/>
    <d v="2017-02-27T16:15:00"/>
    <n v="240"/>
    <n v="330"/>
    <n v="300"/>
    <s v="Air heater fouling (regenerative)"/>
    <s v="F660High Air Heater Differential (A Side) "/>
    <s v="Mill Creek"/>
    <x v="0"/>
    <s v="Coal"/>
    <x v="1"/>
    <x v="4"/>
    <n v="2"/>
    <n v="65.333333333430346"/>
    <n v="17.818181818208277"/>
    <n v="5345.4545454624831"/>
    <n v="81.818181818181813"/>
    <x v="48"/>
  </r>
  <r>
    <x v="7"/>
    <x v="5"/>
    <n v="24"/>
    <n v="1455"/>
    <d v="2017-02-27T16:15:00"/>
    <d v="2017-02-27T21:38:00"/>
    <n v="0"/>
    <n v="330"/>
    <n v="300"/>
    <s v="Induced draft fans"/>
    <s v="F820ID Fan Index Trip"/>
    <s v="Mill Creek"/>
    <x v="3"/>
    <s v="Coal"/>
    <x v="1"/>
    <x v="4"/>
    <n v="2"/>
    <n v="5.3833333332440816"/>
    <n v="5.3833333332440816"/>
    <n v="1614.9999999732245"/>
    <n v="300"/>
    <x v="229"/>
  </r>
  <r>
    <x v="7"/>
    <x v="0"/>
    <n v="25"/>
    <n v="1493"/>
    <d v="2017-02-28T02:06:00"/>
    <d v="2017-02-28T04:22:00"/>
    <n v="240"/>
    <n v="330"/>
    <n v="300"/>
    <s v="Air heater fouling (regenerative)"/>
    <s v="F660'High Air Heater Differential (A Side)"/>
    <s v="Mill Creek"/>
    <x v="0"/>
    <s v="Coal"/>
    <x v="1"/>
    <x v="4"/>
    <n v="2"/>
    <n v="2.2666666665463708"/>
    <n v="0.61818181814901019"/>
    <n v="185.45454544470306"/>
    <n v="81.818181818181813"/>
    <x v="48"/>
  </r>
  <r>
    <x v="7"/>
    <x v="0"/>
    <n v="26"/>
    <n v="1493"/>
    <d v="2017-02-28T04:22:00"/>
    <d v="2017-02-28T21:40:00"/>
    <n v="230"/>
    <n v="330"/>
    <n v="300"/>
    <s v="Air heater fouling (regenerative)"/>
    <s v="F660High Air Heater Differential (A Side)"/>
    <s v="Mill Creek"/>
    <x v="0"/>
    <s v="Coal"/>
    <x v="1"/>
    <x v="4"/>
    <n v="2"/>
    <n v="17.300000000162981"/>
    <n v="5.2424242424736311"/>
    <n v="1572.7272727420893"/>
    <n v="90.909090909090907"/>
    <x v="42"/>
  </r>
  <r>
    <x v="7"/>
    <x v="4"/>
    <n v="27"/>
    <n v="1493"/>
    <d v="2017-02-28T21:40:00"/>
    <d v="2017-03-03T19:36:00"/>
    <n v="0"/>
    <n v="330"/>
    <n v="300"/>
    <s v="Air heater fouling (regenerative)"/>
    <s v="F660Air Heater Wash "/>
    <s v="Mill Creek"/>
    <x v="2"/>
    <s v="Coal"/>
    <x v="1"/>
    <x v="4"/>
    <n v="2"/>
    <n v="69.93333333323244"/>
    <n v="69.93333333323244"/>
    <n v="20979.999999969732"/>
    <n v="300"/>
    <x v="229"/>
  </r>
  <r>
    <x v="7"/>
    <x v="3"/>
    <n v="28"/>
    <n v="9999"/>
    <d v="2017-03-07T08:00:00"/>
    <d v="2017-03-07T12:23:00"/>
    <n v="0"/>
    <n v="330"/>
    <n v="300"/>
    <s v="Total unit performance testing (use appropriate codes for individual component testing)"/>
    <s v="F790MATS Testing - Full Load"/>
    <s v="Mill Creek"/>
    <x v="1"/>
    <s v="Coal"/>
    <x v="1"/>
    <x v="4"/>
    <n v="3"/>
    <n v="4.3833333333022892"/>
    <n v="4.3833333333022892"/>
    <n v="1314.9999999906868"/>
    <n v="300"/>
    <x v="229"/>
  </r>
  <r>
    <x v="7"/>
    <x v="2"/>
    <n v="29"/>
    <n v="310"/>
    <d v="2017-03-23T22:00:00"/>
    <d v="2017-03-23T22:25:00"/>
    <n v="240"/>
    <n v="330"/>
    <n v="300"/>
    <s v="Pulverizer mills"/>
    <s v="F5901D Coal Mill Maintinance"/>
    <s v="Mill Creek"/>
    <x v="0"/>
    <s v="Coal"/>
    <x v="1"/>
    <x v="4"/>
    <n v="3"/>
    <n v="0.41666666680248454"/>
    <n v="0.11363636367340488"/>
    <n v="34.090909102021463"/>
    <n v="81.818181818181813"/>
    <x v="48"/>
  </r>
  <r>
    <x v="7"/>
    <x v="2"/>
    <n v="30"/>
    <n v="740"/>
    <d v="2017-03-23T22:25:00"/>
    <d v="2017-03-24T01:31:00"/>
    <n v="150"/>
    <n v="330"/>
    <n v="300"/>
    <s v="Boiler recirculation pumps"/>
    <s v="F590Removing BCWP an CWP from service"/>
    <s v="Mill Creek"/>
    <x v="0"/>
    <s v="Coal"/>
    <x v="1"/>
    <x v="4"/>
    <n v="3"/>
    <n v="3.0999999999767169"/>
    <n v="1.6909090908963911"/>
    <n v="507.27272726891732"/>
    <n v="163.63636363636363"/>
    <x v="150"/>
  </r>
  <r>
    <x v="7"/>
    <x v="2"/>
    <n v="31"/>
    <n v="310"/>
    <d v="2017-03-24T01:31:00"/>
    <d v="2017-03-24T04:00:00"/>
    <n v="240"/>
    <n v="330"/>
    <n v="300"/>
    <s v="Pulverizer mills"/>
    <s v="F5901D Coal Mill Maintinance"/>
    <s v="Mill Creek"/>
    <x v="0"/>
    <s v="Coal"/>
    <x v="1"/>
    <x v="4"/>
    <n v="3"/>
    <n v="2.4833333332207985"/>
    <n v="0.67727272724203591"/>
    <n v="203.18181817261078"/>
    <n v="81.818181818181813"/>
    <x v="48"/>
  </r>
  <r>
    <x v="7"/>
    <x v="0"/>
    <n v="33"/>
    <n v="270"/>
    <d v="2017-03-24T04:42:00"/>
    <d v="2017-03-24T04:48:00"/>
    <n v="250"/>
    <n v="330"/>
    <n v="300"/>
    <s v="Primary air duct and dampers"/>
    <s v="F7201D Mill Hot Air Gate Issues (Sticking Open)"/>
    <s v="Mill Creek"/>
    <x v="0"/>
    <s v="Coal"/>
    <x v="1"/>
    <x v="4"/>
    <n v="3"/>
    <n v="9.9999999976716936E-2"/>
    <n v="2.4242424236779862E-2"/>
    <n v="7.2727272710339586"/>
    <n v="72.727272727272734"/>
    <x v="87"/>
  </r>
  <r>
    <x v="7"/>
    <x v="6"/>
    <n v="34"/>
    <n v="4402"/>
    <d v="2017-04-01T00:36:00"/>
    <d v="2017-05-01T00:00:00"/>
    <n v="0"/>
    <n v="330"/>
    <n v="300"/>
    <s v="Minor turbine overhaul (less than 720 hrs.) (use for non-specific overhaul only; see page B-1)"/>
    <s v="F590Planned Outage - Spring 2017 "/>
    <s v="Mill Creek"/>
    <x v="1"/>
    <s v="Coal"/>
    <x v="1"/>
    <x v="4"/>
    <n v="4"/>
    <n v="719.39999999996508"/>
    <n v="719.39999999996508"/>
    <n v="215819.99999998952"/>
    <n v="300"/>
    <x v="229"/>
  </r>
  <r>
    <x v="7"/>
    <x v="8"/>
    <n v="40"/>
    <n v="4402"/>
    <d v="2017-05-01T00:00:00"/>
    <d v="2017-05-01T07:24:00"/>
    <n v="0"/>
    <n v="330"/>
    <n v="300"/>
    <s v="Minor turbine overhaul (less than 720 hrs.) (use for non-specific overhaul only; see page B-1)"/>
    <s v="F590Planned Outage - Spring 2017  (Extension)"/>
    <s v="Mill Creek"/>
    <x v="1"/>
    <s v="Coal"/>
    <x v="1"/>
    <x v="4"/>
    <n v="5"/>
    <n v="7.4000000000232831"/>
    <n v="7.4000000000232831"/>
    <n v="2220.0000000069849"/>
    <n v="300"/>
    <x v="229"/>
  </r>
  <r>
    <x v="7"/>
    <x v="5"/>
    <n v="35"/>
    <n v="800"/>
    <d v="2017-05-01T07:41:00"/>
    <d v="2017-05-01T10:59:00"/>
    <n v="0"/>
    <n v="330"/>
    <n v="300"/>
    <s v="Drums and drum internals (single drum only)"/>
    <s v="F820Drum Level Trip"/>
    <s v="Mill Creek"/>
    <x v="3"/>
    <s v="Coal"/>
    <x v="1"/>
    <x v="4"/>
    <n v="5"/>
    <n v="3.2999999999301508"/>
    <n v="3.2999999999301508"/>
    <n v="989.99999997904524"/>
    <n v="300"/>
    <x v="229"/>
  </r>
  <r>
    <x v="7"/>
    <x v="0"/>
    <n v="36"/>
    <n v="8650"/>
    <d v="2017-05-02T09:19:00"/>
    <d v="2017-05-02T14:08:00"/>
    <n v="300"/>
    <n v="330"/>
    <n v="300"/>
    <s v="Baghouse systems"/>
    <s v="F660High Baghouse Differential"/>
    <s v="Mill Creek"/>
    <x v="0"/>
    <s v="Coal"/>
    <x v="1"/>
    <x v="4"/>
    <n v="5"/>
    <n v="4.8166666666511446"/>
    <n v="0.43787878787737677"/>
    <n v="131.36363636321303"/>
    <n v="27.272727272727273"/>
    <x v="6"/>
  </r>
  <r>
    <x v="7"/>
    <x v="0"/>
    <n v="37"/>
    <n v="250"/>
    <d v="2017-05-02T14:08:00"/>
    <d v="2017-05-02T18:25:00"/>
    <n v="235"/>
    <n v="330"/>
    <n v="300"/>
    <s v="Pulverizer feeders"/>
    <s v="F1201C Feeder Tripped (Foreign Material)"/>
    <s v="Mill Creek"/>
    <x v="0"/>
    <s v="Coal"/>
    <x v="1"/>
    <x v="4"/>
    <n v="5"/>
    <n v="4.2833333333255723"/>
    <n v="1.2330808080785738"/>
    <n v="369.92424242357214"/>
    <n v="86.36363636363636"/>
    <x v="173"/>
  </r>
  <r>
    <x v="7"/>
    <x v="5"/>
    <n v="38"/>
    <n v="770"/>
    <d v="2017-05-05T10:45:00"/>
    <d v="2017-05-05T11:57:00"/>
    <n v="0"/>
    <n v="330"/>
    <n v="300"/>
    <s v="Other boiler recirculation problems"/>
    <s v="F420'Loss of BCP's (Breaker Switching  Error)"/>
    <s v="Mill Creek"/>
    <x v="3"/>
    <s v="Coal"/>
    <x v="1"/>
    <x v="4"/>
    <n v="5"/>
    <n v="1.2000000000698492"/>
    <n v="1.2000000000698492"/>
    <n v="360.00000002095476"/>
    <n v="300"/>
    <x v="229"/>
  </r>
  <r>
    <x v="7"/>
    <x v="0"/>
    <n v="39"/>
    <n v="1850"/>
    <d v="2017-05-05T16:19:00"/>
    <d v="2017-05-05T17:20:00"/>
    <n v="250"/>
    <n v="330"/>
    <n v="300"/>
    <s v="Boiler water condition (not feedwater water quality)"/>
    <s v="F170High Silica - Startup"/>
    <s v="Mill Creek"/>
    <x v="0"/>
    <s v="Coal"/>
    <x v="1"/>
    <x v="4"/>
    <n v="5"/>
    <n v="1.0166666666627862"/>
    <n v="0.24646464646370572"/>
    <n v="73.93939393911171"/>
    <n v="72.727272727272734"/>
    <x v="87"/>
  </r>
  <r>
    <x v="7"/>
    <x v="2"/>
    <n v="41"/>
    <n v="310"/>
    <d v="2017-05-11T22:00:00"/>
    <d v="2017-05-12T04:01:00"/>
    <n v="240"/>
    <n v="330"/>
    <n v="300"/>
    <s v="Pulverizer mills"/>
    <s v="F5901C Coal Mill Maintenance"/>
    <s v="Mill Creek"/>
    <x v="0"/>
    <s v="Coal"/>
    <x v="1"/>
    <x v="4"/>
    <n v="5"/>
    <n v="6.0166666667209938"/>
    <n v="1.6409090909239075"/>
    <n v="492.27272727717224"/>
    <n v="81.818181818181813"/>
    <x v="48"/>
  </r>
  <r>
    <x v="7"/>
    <x v="2"/>
    <n v="43"/>
    <n v="310"/>
    <d v="2017-06-15T23:00:00"/>
    <d v="2017-06-16T04:13:00"/>
    <n v="250"/>
    <n v="330"/>
    <n v="300"/>
    <s v="Pulverizer mills"/>
    <s v="F5901B Coal Mill Maintenance"/>
    <s v="Mill Creek"/>
    <x v="0"/>
    <s v="Coal"/>
    <x v="1"/>
    <x v="4"/>
    <n v="6"/>
    <n v="5.2166666665580124"/>
    <n v="1.2646464646201243"/>
    <n v="379.39393938603729"/>
    <n v="72.727272727272734"/>
    <x v="87"/>
  </r>
  <r>
    <x v="7"/>
    <x v="2"/>
    <n v="44"/>
    <n v="310"/>
    <d v="2017-06-19T23:00:00"/>
    <d v="2017-06-20T04:00:00"/>
    <n v="240"/>
    <n v="330"/>
    <n v="300"/>
    <s v="Pulverizer mills"/>
    <s v="F5901A Coal Mill Maintenance"/>
    <s v="Mill Creek"/>
    <x v="0"/>
    <s v="Coal"/>
    <x v="1"/>
    <x v="4"/>
    <n v="6"/>
    <n v="4.9999999998835847"/>
    <n v="1.363636363604614"/>
    <n v="409.09090908138421"/>
    <n v="81.818181818181813"/>
    <x v="48"/>
  </r>
  <r>
    <x v="7"/>
    <x v="2"/>
    <n v="46"/>
    <n v="310"/>
    <d v="2017-06-20T23:00:00"/>
    <d v="2017-06-21T04:08:00"/>
    <n v="240"/>
    <n v="330"/>
    <n v="300"/>
    <s v="Pulverizer mills"/>
    <s v="F5901C Coal Mill Maintenance"/>
    <s v="Mill Creek"/>
    <x v="0"/>
    <s v="Coal"/>
    <x v="1"/>
    <x v="4"/>
    <n v="6"/>
    <n v="5.1333333333022892"/>
    <n v="1.3999999999915334"/>
    <n v="419.99999999746001"/>
    <n v="81.818181818181813"/>
    <x v="48"/>
  </r>
  <r>
    <x v="7"/>
    <x v="2"/>
    <n v="47"/>
    <n v="310"/>
    <d v="2017-06-21T23:00:00"/>
    <d v="2017-06-22T03:46:00"/>
    <n v="240"/>
    <n v="330"/>
    <n v="300"/>
    <s v="Pulverizer mills"/>
    <s v="F5901D Coal Mill Maintenance"/>
    <s v="Mill Creek"/>
    <x v="0"/>
    <s v="Coal"/>
    <x v="1"/>
    <x v="4"/>
    <n v="6"/>
    <n v="4.7666666666627862"/>
    <n v="1.2999999999989418"/>
    <n v="389.99999999968253"/>
    <n v="81.818181818181813"/>
    <x v="48"/>
  </r>
  <r>
    <x v="7"/>
    <x v="2"/>
    <n v="48"/>
    <n v="310"/>
    <d v="2017-07-06T23:00:00"/>
    <d v="2017-07-07T04:00:00"/>
    <n v="240"/>
    <n v="330"/>
    <n v="300"/>
    <s v="Pulverizer mills"/>
    <s v="F5901A Coal Mill Maintenance"/>
    <s v="Mill Creek"/>
    <x v="0"/>
    <s v="Coal"/>
    <x v="1"/>
    <x v="4"/>
    <n v="7"/>
    <n v="4.9999999998835847"/>
    <n v="1.363636363604614"/>
    <n v="409.09090908138421"/>
    <n v="81.818181818181813"/>
    <x v="48"/>
  </r>
  <r>
    <x v="7"/>
    <x v="0"/>
    <n v="49"/>
    <n v="9930"/>
    <d v="2017-07-09T07:44:00"/>
    <d v="2017-07-09T08:33:00"/>
    <n v="65"/>
    <n v="330"/>
    <n v="300"/>
    <s v="Operating procedure error"/>
    <s v="F690Lost C Mill &amp; Igniter Issue On Other Mills"/>
    <s v="Mill Creek"/>
    <x v="0"/>
    <s v="Coal"/>
    <x v="1"/>
    <x v="4"/>
    <n v="7"/>
    <n v="0.8166666665347293"/>
    <n v="0.65580808070213115"/>
    <n v="196.74242421063934"/>
    <n v="240.90909090909091"/>
    <x v="238"/>
  </r>
  <r>
    <x v="7"/>
    <x v="0"/>
    <n v="50"/>
    <n v="95"/>
    <d v="2017-07-09T08:33:00"/>
    <d v="2017-07-09T10:32:00"/>
    <n v="250"/>
    <n v="330"/>
    <n v="300"/>
    <s v="Bunker flow problems"/>
    <s v="F1201C Coal Silo Flow Issues"/>
    <s v="Mill Creek"/>
    <x v="0"/>
    <s v="Coal"/>
    <x v="1"/>
    <x v="4"/>
    <n v="7"/>
    <n v="1.9833333333372138"/>
    <n v="0.48080808080902154"/>
    <n v="144.24242424270648"/>
    <n v="72.727272727272734"/>
    <x v="87"/>
  </r>
  <r>
    <x v="7"/>
    <x v="2"/>
    <n v="51"/>
    <n v="310"/>
    <d v="2017-07-26T23:00:00"/>
    <d v="2017-07-27T04:03:00"/>
    <n v="250"/>
    <n v="330"/>
    <n v="300"/>
    <s v="Pulverizer mills"/>
    <s v="F5901B Coal Mill Maintenance"/>
    <s v="Mill Creek"/>
    <x v="0"/>
    <s v="Coal"/>
    <x v="1"/>
    <x v="4"/>
    <n v="7"/>
    <n v="5.0499999998719431"/>
    <n v="1.2242424242113801"/>
    <n v="367.27272726341403"/>
    <n v="72.727272727272734"/>
    <x v="87"/>
  </r>
  <r>
    <x v="7"/>
    <x v="2"/>
    <n v="52"/>
    <n v="310"/>
    <d v="2017-07-27T23:00:00"/>
    <d v="2017-07-28T03:58:00"/>
    <n v="250"/>
    <n v="330"/>
    <n v="300"/>
    <s v="Pulverizer mills"/>
    <s v="F5901C Coal Mill Maintenance"/>
    <s v="Mill Creek"/>
    <x v="0"/>
    <s v="Coal"/>
    <x v="1"/>
    <x v="4"/>
    <n v="7"/>
    <n v="4.96666666661622"/>
    <n v="1.2040404040281745"/>
    <n v="361.21212120845234"/>
    <n v="72.727272727272734"/>
    <x v="87"/>
  </r>
  <r>
    <x v="7"/>
    <x v="2"/>
    <n v="53"/>
    <n v="8620"/>
    <d v="2017-07-28T22:00:00"/>
    <d v="2017-07-29T00:35:00"/>
    <n v="125"/>
    <n v="330"/>
    <n v="300"/>
    <s v="Mercury Abatement Equipment"/>
    <s v="F610FGD Controls - Nalco System Installation"/>
    <s v="Mill Creek"/>
    <x v="0"/>
    <s v="Coal"/>
    <x v="1"/>
    <x v="4"/>
    <n v="7"/>
    <n v="2.5833333333721384"/>
    <n v="1.6047979798220859"/>
    <n v="481.43939394662578"/>
    <n v="186.36363636363637"/>
    <x v="60"/>
  </r>
  <r>
    <x v="7"/>
    <x v="0"/>
    <n v="54"/>
    <n v="250"/>
    <d v="2017-08-09T05:48:00"/>
    <d v="2017-08-09T07:45:00"/>
    <n v="50"/>
    <n v="330"/>
    <n v="300"/>
    <s v="Pulverizer feeders"/>
    <s v="F8201C Feeder Trip - Variable Derate"/>
    <s v="Mill Creek"/>
    <x v="0"/>
    <s v="Coal"/>
    <x v="1"/>
    <x v="4"/>
    <n v="8"/>
    <n v="1.9499999998952262"/>
    <n v="1.6545454544565557"/>
    <n v="496.36363633696669"/>
    <n v="254.54545454545453"/>
    <x v="239"/>
  </r>
  <r>
    <x v="7"/>
    <x v="0"/>
    <n v="55"/>
    <n v="250"/>
    <d v="2017-08-09T07:45:00"/>
    <d v="2017-08-09T08:26:00"/>
    <n v="250"/>
    <n v="330"/>
    <n v="300"/>
    <s v="Pulverizer feeders"/>
    <s v="F5301C Mill and Feeder Inspection"/>
    <s v="Mill Creek"/>
    <x v="0"/>
    <s v="Coal"/>
    <x v="1"/>
    <x v="4"/>
    <n v="8"/>
    <n v="0.6833333334652707"/>
    <n v="0.16565656568855047"/>
    <n v="49.696969706565142"/>
    <n v="72.727272727272734"/>
    <x v="87"/>
  </r>
  <r>
    <x v="7"/>
    <x v="2"/>
    <n v="56"/>
    <n v="310"/>
    <d v="2017-08-09T23:00:00"/>
    <d v="2017-08-10T03:59:00"/>
    <n v="240"/>
    <n v="330"/>
    <n v="300"/>
    <s v="Pulverizer mills"/>
    <s v="F5901A Coal Mill Maintenance"/>
    <s v="Mill Creek"/>
    <x v="0"/>
    <s v="Coal"/>
    <x v="1"/>
    <x v="4"/>
    <n v="8"/>
    <n v="4.9833333333372138"/>
    <n v="1.3590909090919674"/>
    <n v="407.72727272759022"/>
    <n v="81.818181818181813"/>
    <x v="48"/>
  </r>
  <r>
    <x v="7"/>
    <x v="2"/>
    <n v="57"/>
    <n v="310"/>
    <d v="2017-08-10T22:00:00"/>
    <d v="2017-08-11T04:00:00"/>
    <n v="240"/>
    <n v="330"/>
    <n v="300"/>
    <s v="Pulverizer mills"/>
    <s v="F5901D Coal Mill Maintenance"/>
    <s v="Mill Creek"/>
    <x v="0"/>
    <s v="Coal"/>
    <x v="1"/>
    <x v="4"/>
    <n v="8"/>
    <n v="6"/>
    <n v="1.6363636363636365"/>
    <n v="490.90909090909093"/>
    <n v="81.818181818181813"/>
    <x v="48"/>
  </r>
  <r>
    <x v="7"/>
    <x v="2"/>
    <n v="58"/>
    <n v="310"/>
    <d v="2017-08-17T21:45:00"/>
    <d v="2017-08-17T23:30:00"/>
    <n v="240"/>
    <n v="330"/>
    <n v="300"/>
    <s v="Pulverizer mills"/>
    <s v="F5901D Coal Mill Maintenance"/>
    <s v="Mill Creek"/>
    <x v="0"/>
    <s v="Coal"/>
    <x v="1"/>
    <x v="4"/>
    <n v="8"/>
    <n v="1.7499999999417923"/>
    <n v="0.47727272725685244"/>
    <n v="143.18181817705573"/>
    <n v="81.818181818181813"/>
    <x v="48"/>
  </r>
  <r>
    <x v="7"/>
    <x v="2"/>
    <n v="59"/>
    <n v="310"/>
    <d v="2017-08-17T23:30:00"/>
    <d v="2017-08-18T03:26:00"/>
    <n v="240"/>
    <n v="330"/>
    <n v="300"/>
    <s v="Pulverizer mills"/>
    <s v="F5901C Coal Mill &amp; Feeder Maintenance"/>
    <s v="Mill Creek"/>
    <x v="0"/>
    <s v="Coal"/>
    <x v="1"/>
    <x v="4"/>
    <n v="8"/>
    <n v="3.933333333407063"/>
    <n v="1.0727272727473809"/>
    <n v="321.81818182421426"/>
    <n v="81.818181818181813"/>
    <x v="48"/>
  </r>
  <r>
    <x v="7"/>
    <x v="3"/>
    <n v="60"/>
    <n v="9997"/>
    <d v="2017-08-20T00:49:00"/>
    <d v="2017-08-21T02:50:00"/>
    <n v="0"/>
    <n v="330"/>
    <n v="300"/>
    <s v="NERC Reliability Standards requirements"/>
    <s v="F790Low Load VAR Testing"/>
    <s v="Mill Creek"/>
    <x v="1"/>
    <s v="Coal"/>
    <x v="1"/>
    <x v="4"/>
    <n v="8"/>
    <n v="26.016666666604578"/>
    <n v="26.016666666604578"/>
    <n v="7804.9999999813735"/>
    <n v="300"/>
    <x v="229"/>
  </r>
  <r>
    <x v="7"/>
    <x v="0"/>
    <n v="61"/>
    <n v="250"/>
    <d v="2017-08-20T10:38:00"/>
    <d v="2017-08-20T11:40:00"/>
    <n v="240"/>
    <n v="330"/>
    <n v="300"/>
    <s v="Pulverizer feeders"/>
    <s v="F1201B Feeder Plugged"/>
    <s v="Mill Creek"/>
    <x v="0"/>
    <s v="Coal"/>
    <x v="1"/>
    <x v="4"/>
    <n v="8"/>
    <n v="1.033333333209157"/>
    <n v="0.28181818178431556"/>
    <n v="84.545454535294667"/>
    <n v="81.818181818181813"/>
    <x v="48"/>
  </r>
  <r>
    <x v="7"/>
    <x v="0"/>
    <n v="62"/>
    <n v="250"/>
    <d v="2017-08-20T23:32:00"/>
    <d v="2017-08-21T03:10:00"/>
    <n v="245"/>
    <n v="330"/>
    <n v="300"/>
    <s v="Pulverizer feeders"/>
    <s v="F1201C Feeder Plugged"/>
    <s v="Mill Creek"/>
    <x v="0"/>
    <s v="Coal"/>
    <x v="1"/>
    <x v="4"/>
    <n v="8"/>
    <n v="3.6333333333022892"/>
    <n v="0.93585858585058967"/>
    <n v="280.7575757551769"/>
    <n v="77.272727272727266"/>
    <x v="128"/>
  </r>
  <r>
    <x v="7"/>
    <x v="2"/>
    <n v="63"/>
    <n v="310"/>
    <d v="2017-08-24T22:00:00"/>
    <d v="2017-08-25T01:51:00"/>
    <n v="240"/>
    <n v="330"/>
    <n v="300"/>
    <s v="Pulverizer mills"/>
    <s v="F5901D Coal Mill Maintenance"/>
    <s v="Mill Creek"/>
    <x v="0"/>
    <s v="Coal"/>
    <x v="1"/>
    <x v="4"/>
    <n v="8"/>
    <n v="3.8499999999767169"/>
    <n v="1.04999999999365"/>
    <n v="314.99999999809501"/>
    <n v="81.818181818181813"/>
    <x v="48"/>
  </r>
  <r>
    <x v="7"/>
    <x v="2"/>
    <n v="64"/>
    <n v="310"/>
    <d v="2017-08-27T22:00:00"/>
    <d v="2017-08-28T02:31:00"/>
    <n v="240"/>
    <n v="330"/>
    <n v="300"/>
    <s v="Pulverizer mills"/>
    <s v="F5901C Coal Mill Maintenance"/>
    <s v="Mill Creek"/>
    <x v="0"/>
    <s v="Coal"/>
    <x v="1"/>
    <x v="4"/>
    <n v="8"/>
    <n v="4.5166666667209938"/>
    <n v="1.2318181818329983"/>
    <n v="369.54545454989949"/>
    <n v="81.818181818181813"/>
    <x v="48"/>
  </r>
  <r>
    <x v="7"/>
    <x v="2"/>
    <n v="65"/>
    <n v="310"/>
    <d v="2017-08-28T22:00:00"/>
    <d v="2017-08-29T01:56:00"/>
    <n v="240"/>
    <n v="330"/>
    <n v="300"/>
    <s v="Pulverizer mills"/>
    <s v="F5901B Coal Mill Maintenance"/>
    <s v="Mill Creek"/>
    <x v="0"/>
    <s v="Coal"/>
    <x v="1"/>
    <x v="4"/>
    <n v="8"/>
    <n v="3.933333333407063"/>
    <n v="1.0727272727473809"/>
    <n v="321.81818182421426"/>
    <n v="81.818181818181813"/>
    <x v="48"/>
  </r>
  <r>
    <x v="7"/>
    <x v="5"/>
    <n v="66"/>
    <n v="4460"/>
    <d v="2017-09-02T00:23:00"/>
    <d v="2017-09-02T02:16:00"/>
    <n v="0"/>
    <n v="330"/>
    <n v="300"/>
    <s v="Turbine overspeed trip test"/>
    <s v="F820Weekly Mechanical Over Speed Trip Test Malfunction"/>
    <s v="Mill Creek"/>
    <x v="3"/>
    <s v="Coal"/>
    <x v="1"/>
    <x v="4"/>
    <n v="9"/>
    <n v="1.8833333333604969"/>
    <n v="1.8833333333604969"/>
    <n v="565.00000000814907"/>
    <n v="300"/>
    <x v="229"/>
  </r>
  <r>
    <x v="7"/>
    <x v="2"/>
    <n v="67"/>
    <n v="310"/>
    <d v="2017-09-06T22:00:00"/>
    <d v="2017-09-07T02:59:00"/>
    <n v="240"/>
    <n v="330"/>
    <n v="300"/>
    <s v="Pulverizer mills"/>
    <s v="F5901A Coal Mill Maintenance"/>
    <s v="Mill Creek"/>
    <x v="0"/>
    <s v="Coal"/>
    <x v="1"/>
    <x v="4"/>
    <n v="9"/>
    <n v="4.9833333333372138"/>
    <n v="1.3590909090919674"/>
    <n v="407.72727272759022"/>
    <n v="81.818181818181813"/>
    <x v="48"/>
  </r>
  <r>
    <x v="7"/>
    <x v="0"/>
    <n v="68"/>
    <n v="3415"/>
    <d v="2017-09-12T07:20:00"/>
    <d v="2017-09-12T11:59:00"/>
    <n v="200"/>
    <n v="330"/>
    <n v="300"/>
    <s v="Feedwater pump/drive lube oil system"/>
    <s v="F6601B BFP Tripped - Low Oil Pressure"/>
    <s v="Mill Creek"/>
    <x v="0"/>
    <s v="Coal"/>
    <x v="1"/>
    <x v="4"/>
    <n v="9"/>
    <n v="4.6499999999650754"/>
    <n v="1.8318181818044237"/>
    <n v="549.5454545413271"/>
    <n v="118.18181818181819"/>
    <x v="40"/>
  </r>
  <r>
    <x v="7"/>
    <x v="2"/>
    <n v="69"/>
    <n v="310"/>
    <d v="2017-09-12T23:00:00"/>
    <d v="2017-09-13T04:00:00"/>
    <n v="240"/>
    <n v="330"/>
    <n v="300"/>
    <s v="Pulverizer mills"/>
    <s v="F5901B Coal Mill Maintenance"/>
    <s v="Mill Creek"/>
    <x v="0"/>
    <s v="Coal"/>
    <x v="1"/>
    <x v="4"/>
    <n v="9"/>
    <n v="4.9999999998835847"/>
    <n v="1.363636363604614"/>
    <n v="409.09090908138421"/>
    <n v="81.818181818181813"/>
    <x v="48"/>
  </r>
  <r>
    <x v="7"/>
    <x v="0"/>
    <n v="71"/>
    <n v="250"/>
    <d v="2017-09-18T20:28:00"/>
    <d v="2017-09-18T20:35:00"/>
    <n v="240"/>
    <n v="330"/>
    <n v="300"/>
    <s v="Pulverizer feeders"/>
    <s v="F1201B Coal Feeder - Debris Removal "/>
    <s v="Mill Creek"/>
    <x v="0"/>
    <s v="Coal"/>
    <x v="1"/>
    <x v="4"/>
    <n v="9"/>
    <n v="0.11666666669771075"/>
    <n v="3.181818182664839E-2"/>
    <n v="9.5454545479945168"/>
    <n v="81.818181818181813"/>
    <x v="48"/>
  </r>
  <r>
    <x v="7"/>
    <x v="2"/>
    <n v="72"/>
    <n v="1990"/>
    <d v="2017-09-19T23:00:00"/>
    <d v="2017-09-19T23:55:00"/>
    <n v="240"/>
    <n v="330"/>
    <n v="300"/>
    <s v="Boiler performance testing (use code 9999 for total unit performance testing)"/>
    <s v="F7901C Air Flow Testing"/>
    <s v="Mill Creek"/>
    <x v="0"/>
    <s v="Coal"/>
    <x v="1"/>
    <x v="4"/>
    <n v="9"/>
    <n v="0.91666666668606922"/>
    <n v="0.2500000000052916"/>
    <n v="75.00000000158748"/>
    <n v="81.818181818181813"/>
    <x v="48"/>
  </r>
  <r>
    <x v="7"/>
    <x v="2"/>
    <n v="73"/>
    <n v="310"/>
    <d v="2017-09-25T22:00:00"/>
    <d v="2017-09-26T03:33:00"/>
    <n v="245"/>
    <n v="330"/>
    <n v="300"/>
    <s v="Pulverizer mills"/>
    <s v="F5901A Coal Mill Maintenance"/>
    <s v="Mill Creek"/>
    <x v="0"/>
    <s v="Coal"/>
    <x v="1"/>
    <x v="4"/>
    <n v="9"/>
    <n v="5.5500000001047738"/>
    <n v="1.4295454545724418"/>
    <n v="428.86363637173253"/>
    <n v="77.272727272727266"/>
    <x v="128"/>
  </r>
  <r>
    <x v="7"/>
    <x v="0"/>
    <n v="74"/>
    <n v="312"/>
    <d v="2017-10-09T09:58:00"/>
    <d v="2017-10-09T13:27:00"/>
    <n v="250"/>
    <n v="330"/>
    <n v="300"/>
    <s v="Pulverizer mill classifiers"/>
    <s v="F8501B Coal Mill Vibration"/>
    <s v="Mill Creek"/>
    <x v="0"/>
    <s v="Coal"/>
    <x v="1"/>
    <x v="4"/>
    <n v="10"/>
    <n v="3.4833333333372138"/>
    <n v="0.84444444444538513"/>
    <n v="253.33333333361554"/>
    <n v="72.727272727272734"/>
    <x v="87"/>
  </r>
  <r>
    <x v="7"/>
    <x v="0"/>
    <n v="75"/>
    <n v="312"/>
    <d v="2017-10-09T18:03:00"/>
    <d v="2017-10-10T05:47:00"/>
    <n v="250"/>
    <n v="330"/>
    <n v="300"/>
    <s v="Pulverizer mill classifiers"/>
    <s v="F8501B Coal Mill Vibration - Inspect and Cleanout Debris"/>
    <s v="Mill Creek"/>
    <x v="0"/>
    <s v="Coal"/>
    <x v="1"/>
    <x v="4"/>
    <n v="10"/>
    <n v="11.733333333337214"/>
    <n v="2.8444444444453851"/>
    <n v="853.33333333361554"/>
    <n v="72.727272727272734"/>
    <x v="87"/>
  </r>
  <r>
    <x v="7"/>
    <x v="2"/>
    <n v="76"/>
    <n v="310"/>
    <d v="2017-10-10T23:42:00"/>
    <d v="2017-10-11T04:00:00"/>
    <n v="250"/>
    <n v="330"/>
    <n v="300"/>
    <s v="Pulverizer mills"/>
    <s v="F5901B Coal Mill Maintenance - Vibration"/>
    <s v="Mill Creek"/>
    <x v="0"/>
    <s v="Coal"/>
    <x v="1"/>
    <x v="4"/>
    <n v="10"/>
    <n v="4.2999999998719431"/>
    <n v="1.0424242423931984"/>
    <n v="312.72727271795952"/>
    <n v="72.727272727272734"/>
    <x v="87"/>
  </r>
  <r>
    <x v="7"/>
    <x v="2"/>
    <n v="78"/>
    <n v="310"/>
    <d v="2017-10-16T23:00:00"/>
    <d v="2017-10-17T03:34:00"/>
    <n v="240"/>
    <n v="330"/>
    <n v="300"/>
    <s v="Pulverizer mills"/>
    <s v="F5901D Coal Mill Maintenance"/>
    <s v="Mill Creek"/>
    <x v="0"/>
    <s v="Coal"/>
    <x v="1"/>
    <x v="4"/>
    <n v="10"/>
    <n v="4.5666666665347293"/>
    <n v="1.2454545454185626"/>
    <n v="373.63636362556878"/>
    <n v="81.818181818181813"/>
    <x v="48"/>
  </r>
  <r>
    <x v="7"/>
    <x v="2"/>
    <n v="79"/>
    <n v="310"/>
    <d v="2017-10-17T22:00:00"/>
    <d v="2017-10-18T04:00:00"/>
    <n v="250"/>
    <n v="330"/>
    <n v="300"/>
    <s v="Pulverizer mills"/>
    <s v="F5901C Coal Mill Maintenance"/>
    <s v="Mill Creek"/>
    <x v="0"/>
    <s v="Coal"/>
    <x v="1"/>
    <x v="4"/>
    <n v="10"/>
    <n v="6"/>
    <n v="1.4545454545454546"/>
    <n v="436.36363636363637"/>
    <n v="72.727272727272734"/>
    <x v="87"/>
  </r>
  <r>
    <x v="7"/>
    <x v="2"/>
    <n v="81"/>
    <n v="310"/>
    <d v="2017-10-18T22:00:00"/>
    <d v="2017-10-19T03:53:00"/>
    <n v="250"/>
    <n v="330"/>
    <n v="300"/>
    <s v="Pulverizer mills"/>
    <s v="F5901B Coal Mill Maintenance"/>
    <s v="Mill Creek"/>
    <x v="0"/>
    <s v="Coal"/>
    <x v="1"/>
    <x v="4"/>
    <n v="10"/>
    <n v="5.8833333334769122"/>
    <n v="1.4262626262974332"/>
    <n v="427.87878788922995"/>
    <n v="72.727272727272734"/>
    <x v="87"/>
  </r>
  <r>
    <x v="7"/>
    <x v="2"/>
    <n v="82"/>
    <n v="310"/>
    <d v="2017-10-19T22:00:00"/>
    <d v="2017-10-20T03:21:00"/>
    <n v="250"/>
    <n v="330"/>
    <n v="300"/>
    <s v="Pulverizer mills"/>
    <s v="F5901A Coal Mill Maintenance"/>
    <s v="Mill Creek"/>
    <x v="0"/>
    <s v="Coal"/>
    <x v="1"/>
    <x v="4"/>
    <n v="10"/>
    <n v="5.3499999999767169"/>
    <n v="1.2969696969640525"/>
    <n v="389.09090908921576"/>
    <n v="72.727272727272734"/>
    <x v="87"/>
  </r>
  <r>
    <x v="7"/>
    <x v="2"/>
    <n v="83"/>
    <n v="310"/>
    <d v="2017-11-05T22:00:00"/>
    <d v="2017-11-06T03:50:00"/>
    <n v="235"/>
    <n v="330"/>
    <n v="300"/>
    <s v="Pulverizer mills"/>
    <s v="F5901D Coal Mill Maintenance"/>
    <s v="Mill Creek"/>
    <x v="0"/>
    <s v="Coal"/>
    <x v="1"/>
    <x v="4"/>
    <n v="11"/>
    <n v="5.8333333333139308"/>
    <n v="1.6792929292873437"/>
    <n v="503.78787878620312"/>
    <n v="86.36363636363636"/>
    <x v="173"/>
  </r>
  <r>
    <x v="7"/>
    <x v="3"/>
    <n v="84"/>
    <n v="3415"/>
    <d v="2017-11-07T00:00:00"/>
    <d v="2017-11-07T02:49:00"/>
    <n v="0"/>
    <n v="330"/>
    <n v="300"/>
    <s v="Feedwater pump/drive lube oil system"/>
    <s v="F790B BFP Low Oil Pressure Testing"/>
    <s v="Mill Creek"/>
    <x v="1"/>
    <s v="Coal"/>
    <x v="1"/>
    <x v="4"/>
    <n v="11"/>
    <n v="2.816666666592937"/>
    <n v="2.816666666592937"/>
    <n v="844.99999997788109"/>
    <n v="300"/>
    <x v="229"/>
  </r>
  <r>
    <x v="7"/>
    <x v="3"/>
    <n v="85"/>
    <n v="1190"/>
    <d v="2017-11-08T10:57:00"/>
    <d v="2017-11-08T16:24:00"/>
    <n v="0"/>
    <n v="330"/>
    <n v="300"/>
    <s v="Other tube slagging or fouling"/>
    <s v="FS00Deslag "/>
    <s v="Mill Creek"/>
    <x v="1"/>
    <s v="Coal"/>
    <x v="1"/>
    <x v="4"/>
    <n v="11"/>
    <n v="5.4499999999534339"/>
    <n v="5.4499999999534339"/>
    <n v="1634.9999999860302"/>
    <n v="300"/>
    <x v="229"/>
  </r>
  <r>
    <x v="7"/>
    <x v="3"/>
    <n v="86"/>
    <n v="1190"/>
    <d v="2017-11-09T15:05:00"/>
    <d v="2017-11-09T17:09:00"/>
    <n v="0"/>
    <n v="330"/>
    <n v="300"/>
    <s v="Other tube slagging or fouling"/>
    <s v="FS00Deslag"/>
    <s v="Mill Creek"/>
    <x v="1"/>
    <s v="Coal"/>
    <x v="1"/>
    <x v="4"/>
    <n v="11"/>
    <n v="2.0666666667675599"/>
    <n v="2.0666666667675599"/>
    <n v="620.00000003026798"/>
    <n v="300"/>
    <x v="229"/>
  </r>
  <r>
    <x v="7"/>
    <x v="3"/>
    <n v="87"/>
    <n v="1190"/>
    <d v="2017-11-12T23:15:00"/>
    <d v="2017-11-13T04:45:00"/>
    <n v="0"/>
    <n v="330"/>
    <n v="300"/>
    <s v="Other tube slagging or fouling"/>
    <s v="FS00Deslag"/>
    <s v="Mill Creek"/>
    <x v="1"/>
    <s v="Coal"/>
    <x v="1"/>
    <x v="4"/>
    <n v="11"/>
    <n v="5.4999999999417923"/>
    <n v="5.4999999999417923"/>
    <n v="1649.9999999825377"/>
    <n v="300"/>
    <x v="229"/>
  </r>
  <r>
    <x v="7"/>
    <x v="3"/>
    <n v="88"/>
    <n v="1190"/>
    <d v="2017-11-14T00:00:00"/>
    <d v="2017-11-14T05:25:00"/>
    <n v="0"/>
    <n v="330"/>
    <n v="300"/>
    <s v="Other tube slagging or fouling"/>
    <s v="FS00Deslag"/>
    <s v="Mill Creek"/>
    <x v="1"/>
    <s v="Coal"/>
    <x v="1"/>
    <x v="4"/>
    <n v="11"/>
    <n v="5.4166666666860692"/>
    <n v="5.4166666666860692"/>
    <n v="1625.0000000058208"/>
    <n v="300"/>
    <x v="229"/>
  </r>
  <r>
    <x v="7"/>
    <x v="0"/>
    <n v="89"/>
    <n v="1190"/>
    <d v="2017-11-15T20:43:00"/>
    <d v="2017-11-16T00:33:00"/>
    <n v="140"/>
    <n v="330"/>
    <n v="300"/>
    <s v="Other tube slagging or fouling"/>
    <s v="FS00Deslag"/>
    <s v="Mill Creek"/>
    <x v="0"/>
    <s v="Coal"/>
    <x v="1"/>
    <x v="4"/>
    <n v="11"/>
    <n v="3.8333333334303461"/>
    <n v="2.2070707071265629"/>
    <n v="662.12121213796888"/>
    <n v="172.72727272727272"/>
    <x v="233"/>
  </r>
  <r>
    <x v="7"/>
    <x v="0"/>
    <n v="90"/>
    <n v="1493"/>
    <d v="2017-11-19T11:53:00"/>
    <d v="2017-11-23T01:27:00"/>
    <n v="310"/>
    <n v="330"/>
    <n v="300"/>
    <s v="Air heater fouling (regenerative)"/>
    <s v="F6601A Air Heater High DP"/>
    <s v="Mill Creek"/>
    <x v="0"/>
    <s v="Coal"/>
    <x v="1"/>
    <x v="4"/>
    <n v="11"/>
    <n v="85.566666666709352"/>
    <n v="5.1858585858611725"/>
    <n v="1555.7575757583518"/>
    <n v="18.181818181818183"/>
    <x v="5"/>
  </r>
  <r>
    <x v="7"/>
    <x v="4"/>
    <n v="91"/>
    <n v="1493"/>
    <d v="2017-11-23T01:27:00"/>
    <d v="2017-11-26T07:34:00"/>
    <n v="0"/>
    <n v="330"/>
    <n v="300"/>
    <s v="Air heater fouling (regenerative)"/>
    <s v="F660Air Heater Wash "/>
    <s v="Mill Creek"/>
    <x v="2"/>
    <s v="Coal"/>
    <x v="1"/>
    <x v="4"/>
    <n v="11"/>
    <n v="78.116666666697711"/>
    <n v="78.116666666697711"/>
    <n v="23435.000000009313"/>
    <n v="300"/>
    <x v="229"/>
  </r>
  <r>
    <x v="7"/>
    <x v="4"/>
    <n v="92"/>
    <n v="1000"/>
    <d v="2017-11-28T11:36:00"/>
    <d v="2017-11-29T08:12:00"/>
    <n v="0"/>
    <n v="330"/>
    <n v="300"/>
    <s v="Waterwall (Furnace wall) A"/>
    <s v="F540External Boiler Tube Leak "/>
    <s v="Mill Creek"/>
    <x v="2"/>
    <s v="Coal"/>
    <x v="1"/>
    <x v="4"/>
    <n v="11"/>
    <n v="20.600000000093132"/>
    <n v="20.600000000093132"/>
    <n v="6180.0000000279397"/>
    <n v="300"/>
    <x v="229"/>
  </r>
  <r>
    <x v="7"/>
    <x v="3"/>
    <n v="93"/>
    <n v="250"/>
    <d v="2017-11-30T21:00:00"/>
    <d v="2017-12-01T03:00:00"/>
    <n v="0"/>
    <n v="330"/>
    <n v="300"/>
    <s v="Pulverizer feeders"/>
    <s v="F5901D Feeder Maintinance (Setting Rollers)"/>
    <s v="Mill Creek"/>
    <x v="1"/>
    <s v="Coal"/>
    <x v="1"/>
    <x v="4"/>
    <n v="11"/>
    <n v="6"/>
    <n v="6"/>
    <n v="1800"/>
    <n v="300"/>
    <x v="229"/>
  </r>
  <r>
    <x v="7"/>
    <x v="3"/>
    <n v="94"/>
    <n v="4842"/>
    <d v="2017-12-05T10:05:00"/>
    <d v="2017-12-05T11:55:00"/>
    <n v="0"/>
    <n v="330"/>
    <n v="300"/>
    <s v="Reactive and capability testing"/>
    <s v="F790MOD 27 Testing - Out of AGC"/>
    <s v="Mill Creek"/>
    <x v="1"/>
    <s v="Coal"/>
    <x v="1"/>
    <x v="4"/>
    <n v="12"/>
    <n v="1.8333333333721384"/>
    <n v="1.8333333333721384"/>
    <n v="550.00000001164153"/>
    <n v="300"/>
    <x v="229"/>
  </r>
  <r>
    <x v="7"/>
    <x v="3"/>
    <n v="95"/>
    <n v="8460"/>
    <d v="2017-12-10T23:00:00"/>
    <d v="2017-12-11T05:15:00"/>
    <n v="0"/>
    <n v="330"/>
    <n v="300"/>
    <s v="Testing A"/>
    <s v="F790Mercury Testing"/>
    <s v="Mill Creek"/>
    <x v="1"/>
    <s v="Coal"/>
    <x v="1"/>
    <x v="4"/>
    <n v="12"/>
    <n v="6.2499999999417923"/>
    <n v="6.2499999999417923"/>
    <n v="1874.9999999825377"/>
    <n v="300"/>
    <x v="229"/>
  </r>
  <r>
    <x v="7"/>
    <x v="0"/>
    <n v="96"/>
    <n v="250"/>
    <d v="2017-12-13T01:50:00"/>
    <d v="2017-12-13T02:30:00"/>
    <n v="240"/>
    <n v="330"/>
    <n v="300"/>
    <s v="Pulverizer feeders"/>
    <s v="F1201C Coal Mill Feeder Plugged"/>
    <s v="Mill Creek"/>
    <x v="0"/>
    <s v="Coal"/>
    <x v="1"/>
    <x v="4"/>
    <n v="12"/>
    <n v="0.6666666665696539"/>
    <n v="0.18181818179172379"/>
    <n v="54.545454537517138"/>
    <n v="81.818181818181813"/>
    <x v="48"/>
  </r>
  <r>
    <x v="7"/>
    <x v="2"/>
    <n v="97"/>
    <n v="310"/>
    <d v="2017-12-13T02:30:00"/>
    <d v="2017-12-13T04:40:00"/>
    <n v="240"/>
    <n v="330"/>
    <n v="300"/>
    <s v="Pulverizer mills"/>
    <s v="F5901C Coal Mill Maintenance"/>
    <s v="Mill Creek"/>
    <x v="0"/>
    <s v="Coal"/>
    <x v="1"/>
    <x v="4"/>
    <n v="12"/>
    <n v="2.1666666667442769"/>
    <n v="0.59090909093025734"/>
    <n v="177.2727272790772"/>
    <n v="81.818181818181813"/>
    <x v="48"/>
  </r>
  <r>
    <x v="7"/>
    <x v="2"/>
    <n v="98"/>
    <n v="310"/>
    <d v="2017-12-13T22:00:00"/>
    <d v="2017-12-13T23:00:00"/>
    <n v="240"/>
    <n v="330"/>
    <n v="300"/>
    <s v="Pulverizer mills"/>
    <s v="F5901D Coal Mill Maintenance"/>
    <s v="Mill Creek"/>
    <x v="0"/>
    <s v="Coal"/>
    <x v="1"/>
    <x v="4"/>
    <n v="12"/>
    <n v="1.0000000001164153"/>
    <n v="0.27272727275902237"/>
    <n v="81.818181827706709"/>
    <n v="81.818181818181813"/>
    <x v="48"/>
  </r>
  <r>
    <x v="7"/>
    <x v="3"/>
    <n v="99"/>
    <n v="8460"/>
    <d v="2017-12-13T23:00:00"/>
    <d v="2017-12-14T03:40:00"/>
    <n v="0"/>
    <n v="330"/>
    <n v="300"/>
    <s v="Testing A"/>
    <s v="F790Mercury Testing"/>
    <s v="Mill Creek"/>
    <x v="1"/>
    <s v="Coal"/>
    <x v="1"/>
    <x v="4"/>
    <n v="12"/>
    <n v="4.6666666666860692"/>
    <n v="4.6666666666860692"/>
    <n v="1400.0000000058208"/>
    <n v="300"/>
    <x v="229"/>
  </r>
  <r>
    <x v="7"/>
    <x v="2"/>
    <n v="100"/>
    <n v="310"/>
    <d v="2017-12-14T23:00:00"/>
    <d v="2017-12-15T04:00:00"/>
    <n v="240"/>
    <n v="330"/>
    <n v="300"/>
    <s v="Pulverizer mills"/>
    <s v="F5901D Coal Mill Maintenance"/>
    <s v="Mill Creek"/>
    <x v="0"/>
    <s v="Coal"/>
    <x v="1"/>
    <x v="4"/>
    <n v="12"/>
    <n v="4.9999999998835847"/>
    <n v="1.363636363604614"/>
    <n v="409.09090908138421"/>
    <n v="81.818181818181813"/>
    <x v="48"/>
  </r>
  <r>
    <x v="7"/>
    <x v="2"/>
    <n v="102"/>
    <n v="310"/>
    <d v="2017-12-18T22:00:00"/>
    <d v="2017-12-19T02:11:00"/>
    <n v="240"/>
    <n v="330"/>
    <n v="300"/>
    <s v="Pulverizer mills"/>
    <s v="F5901C Coal Mill Maintenance"/>
    <s v="Mill Creek"/>
    <x v="0"/>
    <s v="Coal"/>
    <x v="1"/>
    <x v="4"/>
    <n v="12"/>
    <n v="4.1833333333488554"/>
    <n v="1.1409090909133242"/>
    <n v="342.27272727399725"/>
    <n v="81.818181818181813"/>
    <x v="48"/>
  </r>
  <r>
    <x v="7"/>
    <x v="0"/>
    <n v="103"/>
    <n v="250"/>
    <d v="2017-12-26T13:12:00"/>
    <d v="2017-12-26T14:26:00"/>
    <n v="235"/>
    <n v="330"/>
    <n v="300"/>
    <s v="Pulverizer feeders"/>
    <s v="F1201D Coal Feeder - Foreign Material"/>
    <s v="Mill Creek"/>
    <x v="0"/>
    <s v="Coal"/>
    <x v="1"/>
    <x v="4"/>
    <n v="12"/>
    <n v="1.2333333333372138"/>
    <n v="0.35505050505162217"/>
    <n v="106.51515151548665"/>
    <n v="86.36363636363636"/>
    <x v="173"/>
  </r>
  <r>
    <x v="7"/>
    <x v="3"/>
    <n v="1"/>
    <n v="8020"/>
    <d v="2018-01-01T11:32:00"/>
    <d v="2018-01-02T06:35:00"/>
    <n v="0"/>
    <n v="330"/>
    <n v="300"/>
    <s v="Mill slurry tanks supply problems"/>
    <s v="F930Limestone Slurry Levels"/>
    <s v="Mill Creek"/>
    <x v="1"/>
    <s v="Coal"/>
    <x v="1"/>
    <x v="5"/>
    <n v="1"/>
    <n v="19.049999999930151"/>
    <n v="19.049999999930151"/>
    <n v="5714.9999999790452"/>
    <n v="300"/>
    <x v="229"/>
  </r>
  <r>
    <x v="7"/>
    <x v="0"/>
    <n v="2"/>
    <n v="310"/>
    <d v="2018-01-18T02:18:00"/>
    <d v="2018-01-18T05:43:00"/>
    <n v="250"/>
    <n v="330"/>
    <n v="300"/>
    <s v="Pulverizer mills"/>
    <s v="F5901D Coal Mill - Foreign Material In Mill"/>
    <s v="Mill Creek"/>
    <x v="0"/>
    <s v="Coal"/>
    <x v="1"/>
    <x v="5"/>
    <n v="1"/>
    <n v="3.4166666666278616"/>
    <n v="0.82828282827342103"/>
    <n v="248.48484848202631"/>
    <n v="72.727272727272734"/>
    <x v="87"/>
  </r>
  <r>
    <x v="7"/>
    <x v="2"/>
    <n v="3"/>
    <n v="310"/>
    <d v="2018-01-29T22:09:00"/>
    <d v="2018-01-30T03:22:00"/>
    <n v="240"/>
    <n v="330"/>
    <n v="300"/>
    <s v="Pulverizer mills"/>
    <s v="F5901A Coal Mill Maintenance"/>
    <s v="Mill Creek"/>
    <x v="0"/>
    <s v="Coal"/>
    <x v="1"/>
    <x v="5"/>
    <n v="1"/>
    <n v="5.2166666665580124"/>
    <n v="1.4227272726976397"/>
    <n v="426.8181818092919"/>
    <n v="81.818181818181813"/>
    <x v="48"/>
  </r>
  <r>
    <x v="7"/>
    <x v="3"/>
    <n v="4"/>
    <n v="360"/>
    <d v="2018-02-08T00:00:00"/>
    <d v="2018-02-08T00:38:00"/>
    <n v="0"/>
    <n v="330"/>
    <n v="300"/>
    <s v="Burners"/>
    <s v="F5301B Coal Mill Off - Check Burners"/>
    <s v="Mill Creek"/>
    <x v="1"/>
    <s v="Coal"/>
    <x v="1"/>
    <x v="5"/>
    <n v="2"/>
    <n v="0.63333333330228925"/>
    <n v="0.63333333330228925"/>
    <n v="189.99999999068677"/>
    <n v="300"/>
    <x v="229"/>
  </r>
  <r>
    <x v="7"/>
    <x v="2"/>
    <n v="5"/>
    <n v="310"/>
    <d v="2018-02-22T00:29:00"/>
    <d v="2018-02-22T00:53:00"/>
    <n v="240"/>
    <n v="330"/>
    <n v="300"/>
    <s v="Pulverizer mills"/>
    <s v="F5901D Coal Mill Maintenance"/>
    <s v="Mill Creek"/>
    <x v="0"/>
    <s v="Coal"/>
    <x v="1"/>
    <x v="5"/>
    <n v="2"/>
    <n v="0.40000000008149073"/>
    <n v="0.10909090911313384"/>
    <n v="32.727272733940154"/>
    <n v="81.818181818181813"/>
    <x v="48"/>
  </r>
  <r>
    <x v="7"/>
    <x v="0"/>
    <n v="6"/>
    <n v="250"/>
    <d v="2018-02-25T01:36:00"/>
    <d v="2018-02-25T03:39:00"/>
    <n v="245"/>
    <n v="330"/>
    <n v="300"/>
    <s v="Pulverizer feeders"/>
    <s v="F1201D Coal Feeder Plugged - Wet Coal"/>
    <s v="Mill Creek"/>
    <x v="0"/>
    <s v="Coal"/>
    <x v="1"/>
    <x v="5"/>
    <n v="2"/>
    <n v="2.0500000000465661"/>
    <n v="0.52803030304229737"/>
    <n v="158.40909091268921"/>
    <n v="77.272727272727266"/>
    <x v="128"/>
  </r>
  <r>
    <x v="7"/>
    <x v="0"/>
    <n v="7"/>
    <n v="250"/>
    <d v="2018-02-25T05:04:00"/>
    <d v="2018-02-25T06:42:00"/>
    <n v="245"/>
    <n v="330"/>
    <n v="300"/>
    <s v="Pulverizer feeders"/>
    <s v="F1201B Coal Feeder Plugged - Wet Coal"/>
    <s v="Mill Creek"/>
    <x v="0"/>
    <s v="Coal"/>
    <x v="1"/>
    <x v="5"/>
    <n v="2"/>
    <n v="1.6333333334187046"/>
    <n v="0.42070707072906027"/>
    <n v="126.21212121871808"/>
    <n v="77.272727272727266"/>
    <x v="128"/>
  </r>
  <r>
    <x v="7"/>
    <x v="0"/>
    <n v="8"/>
    <n v="253"/>
    <d v="2018-03-04T23:47:00"/>
    <d v="2018-03-05T00:28:00"/>
    <n v="250"/>
    <n v="330"/>
    <n v="300"/>
    <s v="Pulverizer feeder motor"/>
    <s v="F3401B Coal Feeder Motor Start Alarm"/>
    <s v="Mill Creek"/>
    <x v="0"/>
    <s v="Coal"/>
    <x v="1"/>
    <x v="5"/>
    <n v="3"/>
    <n v="0.68333333329064772"/>
    <n v="0.16565656564621764"/>
    <n v="49.696969693865292"/>
    <n v="72.727272727272734"/>
    <x v="87"/>
  </r>
  <r>
    <x v="7"/>
    <x v="6"/>
    <n v="9"/>
    <n v="8450"/>
    <d v="2018-03-09T21:38:00"/>
    <d v="2018-03-26T00:00:00"/>
    <n v="0"/>
    <n v="330"/>
    <n v="300"/>
    <s v="Inspection B"/>
    <s v="F590Planned Outage - Spring 2018 - 2 Weeks "/>
    <s v="Mill Creek"/>
    <x v="1"/>
    <s v="Coal"/>
    <x v="1"/>
    <x v="5"/>
    <n v="3"/>
    <n v="386.36666666669771"/>
    <n v="386.36666666669771"/>
    <n v="115910.00000000931"/>
    <n v="300"/>
    <x v="229"/>
  </r>
  <r>
    <x v="7"/>
    <x v="8"/>
    <n v="10"/>
    <n v="8450"/>
    <d v="2018-03-26T00:00:00"/>
    <d v="2018-03-26T10:51:00"/>
    <n v="0"/>
    <n v="330"/>
    <n v="300"/>
    <s v="Inspection B"/>
    <s v="F590Planned Outage Extension - Spring 2018 "/>
    <s v="Mill Creek"/>
    <x v="1"/>
    <s v="Coal"/>
    <x v="1"/>
    <x v="5"/>
    <n v="3"/>
    <n v="10.849999999918509"/>
    <n v="10.849999999918509"/>
    <n v="3254.9999999755528"/>
    <n v="300"/>
    <x v="229"/>
  </r>
  <r>
    <x v="7"/>
    <x v="5"/>
    <n v="11"/>
    <n v="3344"/>
    <d v="2018-03-26T12:53:00"/>
    <d v="2018-03-26T17:48:00"/>
    <n v="0"/>
    <n v="330"/>
    <n v="300"/>
    <s v="Deaerator (including level control)"/>
    <s v="F830Deaerator Door Leak"/>
    <s v="Mill Creek"/>
    <x v="3"/>
    <s v="Coal"/>
    <x v="1"/>
    <x v="5"/>
    <n v="3"/>
    <n v="4.9166666666278616"/>
    <n v="4.9166666666278616"/>
    <n v="1474.9999999883585"/>
    <n v="300"/>
    <x v="229"/>
  </r>
  <r>
    <x v="7"/>
    <x v="0"/>
    <n v="12"/>
    <n v="250"/>
    <d v="2018-04-02T18:47:00"/>
    <d v="2018-04-02T22:12:00"/>
    <n v="250"/>
    <n v="330"/>
    <n v="300"/>
    <s v="Pulverizer feeders"/>
    <s v="F1201D Coal Feeder Plugged"/>
    <s v="Mill Creek"/>
    <x v="0"/>
    <s v="Coal"/>
    <x v="1"/>
    <x v="5"/>
    <n v="4"/>
    <n v="3.4166666668024845"/>
    <n v="0.82828282831575384"/>
    <n v="248.48484849472615"/>
    <n v="72.727272727272734"/>
    <x v="87"/>
  </r>
  <r>
    <x v="7"/>
    <x v="2"/>
    <n v="13"/>
    <n v="310"/>
    <d v="2018-04-02T22:34:00"/>
    <d v="2018-04-03T01:34:00"/>
    <n v="250"/>
    <n v="330"/>
    <n v="300"/>
    <s v="Pulverizer mills"/>
    <s v="F5901B Coal Mill Maintenance"/>
    <s v="Mill Creek"/>
    <x v="0"/>
    <s v="Coal"/>
    <x v="1"/>
    <x v="5"/>
    <n v="4"/>
    <n v="3"/>
    <n v="0.72727272727272729"/>
    <n v="218.18181818181819"/>
    <n v="72.727272727272734"/>
    <x v="87"/>
  </r>
  <r>
    <x v="7"/>
    <x v="2"/>
    <n v="14"/>
    <n v="310"/>
    <d v="2018-04-11T21:00:00"/>
    <d v="2018-04-12T05:03:00"/>
    <n v="250"/>
    <n v="330"/>
    <n v="300"/>
    <s v="Pulverizer mills"/>
    <s v="F5901C Coal Mill Maintenance"/>
    <s v="Mill Creek"/>
    <x v="0"/>
    <s v="Coal"/>
    <x v="1"/>
    <x v="5"/>
    <n v="4"/>
    <n v="8.0500000000465661"/>
    <n v="1.9515151515264402"/>
    <n v="585.454545457932"/>
    <n v="72.727272727272734"/>
    <x v="87"/>
  </r>
  <r>
    <x v="7"/>
    <x v="2"/>
    <n v="15"/>
    <n v="255"/>
    <d v="2018-04-26T22:00:00"/>
    <d v="2018-04-27T02:55:00"/>
    <n v="250"/>
    <n v="330"/>
    <n v="300"/>
    <s v="Pulverizer feeder coal scales"/>
    <s v="F0901A Coal Feeder Calibration"/>
    <s v="Mill Creek"/>
    <x v="0"/>
    <s v="Coal"/>
    <x v="1"/>
    <x v="5"/>
    <n v="4"/>
    <n v="4.9166666668024845"/>
    <n v="1.1919191919521175"/>
    <n v="357.57575758563524"/>
    <n v="72.727272727272734"/>
    <x v="87"/>
  </r>
  <r>
    <x v="7"/>
    <x v="2"/>
    <n v="16"/>
    <n v="255"/>
    <d v="2018-04-27T22:20:00"/>
    <d v="2018-04-28T00:49:00"/>
    <n v="240"/>
    <n v="330"/>
    <n v="300"/>
    <s v="Pulverizer feeder coal scales"/>
    <s v="F0901B Coal Feeder Calibration"/>
    <s v="Mill Creek"/>
    <x v="0"/>
    <s v="Coal"/>
    <x v="1"/>
    <x v="5"/>
    <n v="4"/>
    <n v="2.4833333333954215"/>
    <n v="0.67727272728966037"/>
    <n v="203.18181818689811"/>
    <n v="81.818181818181813"/>
    <x v="48"/>
  </r>
  <r>
    <x v="7"/>
    <x v="2"/>
    <n v="17"/>
    <n v="255"/>
    <d v="2018-04-28T22:35:00"/>
    <d v="2018-04-29T01:06:00"/>
    <n v="240"/>
    <n v="330"/>
    <n v="300"/>
    <s v="Pulverizer feeder coal scales"/>
    <s v="F0901C Coal Feeder Calibration"/>
    <s v="Mill Creek"/>
    <x v="0"/>
    <s v="Coal"/>
    <x v="1"/>
    <x v="5"/>
    <n v="4"/>
    <n v="2.5166666666627862"/>
    <n v="0.68636363636257802"/>
    <n v="205.90909090877341"/>
    <n v="81.818181818181813"/>
    <x v="48"/>
  </r>
  <r>
    <x v="7"/>
    <x v="2"/>
    <n v="18"/>
    <n v="255"/>
    <d v="2018-04-29T22:25:00"/>
    <d v="2018-04-30T00:58:00"/>
    <n v="240"/>
    <n v="330"/>
    <n v="300"/>
    <s v="Pulverizer feeder coal scales"/>
    <s v="F0901D Coal Feeder Calibration"/>
    <s v="Mill Creek"/>
    <x v="0"/>
    <s v="Coal"/>
    <x v="1"/>
    <x v="5"/>
    <n v="4"/>
    <n v="2.5499999999301508"/>
    <n v="0.69545454543549567"/>
    <n v="208.6363636306487"/>
    <n v="81.818181818181813"/>
    <x v="48"/>
  </r>
  <r>
    <x v="8"/>
    <x v="4"/>
    <n v="1"/>
    <n v="1060"/>
    <d v="2013-01-05T02:02:00"/>
    <d v="2013-01-06T10:47:00"/>
    <n v="0"/>
    <n v="330"/>
    <n v="296"/>
    <s v="First reheater A"/>
    <s v="F540Boiler Tube Leak - Primary tube failure occurred at the first tube (front to back)"/>
    <s v="Mill Creek"/>
    <x v="2"/>
    <s v="Coal"/>
    <x v="1"/>
    <x v="0"/>
    <n v="1"/>
    <n v="32.750000000058208"/>
    <n v="32.750000000058208"/>
    <n v="9694.0000000172295"/>
    <n v="296"/>
    <x v="202"/>
  </r>
  <r>
    <x v="8"/>
    <x v="3"/>
    <n v="2"/>
    <n v="1850"/>
    <d v="2013-01-06T10:47:00"/>
    <d v="2013-01-06T20:15:00"/>
    <n v="0"/>
    <n v="330"/>
    <n v="296"/>
    <s v="Boiler water condition (not feedwater water quality)"/>
    <s v="F170High Silica @ Hot Start Up"/>
    <s v="Mill Creek"/>
    <x v="1"/>
    <s v="Coal"/>
    <x v="1"/>
    <x v="0"/>
    <n v="1"/>
    <n v="9.46666666661622"/>
    <n v="9.46666666661622"/>
    <n v="2802.1333333184011"/>
    <n v="296"/>
    <x v="202"/>
  </r>
  <r>
    <x v="8"/>
    <x v="2"/>
    <n v="3"/>
    <n v="250"/>
    <d v="2013-01-07T23:30:00"/>
    <d v="2013-01-08T04:09:00"/>
    <n v="235"/>
    <n v="330"/>
    <n v="296"/>
    <s v="Pulverizer feeders"/>
    <s v="F0902A Coal Feeder - Calibration"/>
    <s v="Mill Creek"/>
    <x v="0"/>
    <s v="Coal"/>
    <x v="1"/>
    <x v="0"/>
    <n v="1"/>
    <n v="4.6500000001396984"/>
    <n v="1.3386363636765799"/>
    <n v="396.23636364826763"/>
    <n v="85.212121212121218"/>
    <x v="196"/>
  </r>
  <r>
    <x v="8"/>
    <x v="0"/>
    <n v="4"/>
    <n v="3661"/>
    <d v="2013-01-08T14:15:00"/>
    <d v="2013-01-08T15:34:00"/>
    <n v="180"/>
    <n v="330"/>
    <n v="296"/>
    <s v="4160-volt circuit breakers"/>
    <s v="F7802B2 4KV Bus Breaker - Hot Spot"/>
    <s v="Mill Creek"/>
    <x v="0"/>
    <s v="Coal"/>
    <x v="1"/>
    <x v="0"/>
    <n v="1"/>
    <n v="1.316666666592937"/>
    <n v="0.59848484845133498"/>
    <n v="177.15151514159516"/>
    <n v="134.54545454545453"/>
    <x v="162"/>
  </r>
  <r>
    <x v="8"/>
    <x v="0"/>
    <n v="5"/>
    <n v="3661"/>
    <d v="2013-01-08T15:34:00"/>
    <d v="2013-01-08T16:32:00"/>
    <n v="240"/>
    <n v="330"/>
    <n v="296"/>
    <s v="4160-volt circuit breakers"/>
    <s v="F7802B2 4KV Bus Breaker - Hot Spot"/>
    <s v="Mill Creek"/>
    <x v="0"/>
    <s v="Coal"/>
    <x v="1"/>
    <x v="0"/>
    <n v="1"/>
    <n v="0.96666666667442769"/>
    <n v="0.26363636363848025"/>
    <n v="78.03636363699016"/>
    <n v="80.727272727272734"/>
    <x v="240"/>
  </r>
  <r>
    <x v="8"/>
    <x v="2"/>
    <n v="6"/>
    <n v="250"/>
    <d v="2013-01-08T23:00:00"/>
    <d v="2013-01-09T04:31:00"/>
    <n v="235"/>
    <n v="330"/>
    <n v="296"/>
    <s v="Pulverizer feeders"/>
    <s v="F0902B Coal Feeder - Calibration"/>
    <s v="Mill Creek"/>
    <x v="0"/>
    <s v="Coal"/>
    <x v="1"/>
    <x v="0"/>
    <n v="1"/>
    <n v="5.5166666666627862"/>
    <n v="1.588131313130196"/>
    <n v="470.08686868653803"/>
    <n v="85.212121212121218"/>
    <x v="196"/>
  </r>
  <r>
    <x v="8"/>
    <x v="2"/>
    <n v="7"/>
    <n v="250"/>
    <d v="2013-01-09T23:40:00"/>
    <d v="2013-01-10T02:41:00"/>
    <n v="240"/>
    <n v="330"/>
    <n v="296"/>
    <s v="Pulverizer feeders"/>
    <s v="F0902C Coal Feeder - Calibration Cancelled"/>
    <s v="Mill Creek"/>
    <x v="0"/>
    <s v="Coal"/>
    <x v="1"/>
    <x v="0"/>
    <n v="1"/>
    <n v="3.0166666667209938"/>
    <n v="0.82272727274208923"/>
    <n v="243.5272727316584"/>
    <n v="80.727272727272734"/>
    <x v="240"/>
  </r>
  <r>
    <x v="8"/>
    <x v="2"/>
    <n v="8"/>
    <n v="250"/>
    <d v="2013-01-10T23:00:00"/>
    <d v="2013-01-11T04:38:00"/>
    <n v="240"/>
    <n v="330"/>
    <n v="296"/>
    <s v="Pulverizer feeders"/>
    <s v="F0902C Coal Feeder - Calibration"/>
    <s v="Mill Creek"/>
    <x v="0"/>
    <s v="Coal"/>
    <x v="1"/>
    <x v="0"/>
    <n v="1"/>
    <n v="5.6333333333604969"/>
    <n v="1.5363636363710447"/>
    <n v="454.7636363658292"/>
    <n v="80.727272727272734"/>
    <x v="240"/>
  </r>
  <r>
    <x v="8"/>
    <x v="2"/>
    <n v="9"/>
    <n v="250"/>
    <d v="2013-01-13T23:00:00"/>
    <d v="2013-01-14T01:35:00"/>
    <n v="240"/>
    <n v="330"/>
    <n v="296"/>
    <s v="Pulverizer feeders"/>
    <s v="F0902D Coal Feeder - Calibration"/>
    <s v="Mill Creek"/>
    <x v="0"/>
    <s v="Coal"/>
    <x v="1"/>
    <x v="0"/>
    <n v="1"/>
    <n v="2.5833333331975155"/>
    <n v="0.70454545450841333"/>
    <n v="208.54545453449035"/>
    <n v="80.727272727272734"/>
    <x v="240"/>
  </r>
  <r>
    <x v="8"/>
    <x v="0"/>
    <n v="10"/>
    <n v="9270"/>
    <d v="2013-01-14T01:35:00"/>
    <d v="2013-01-14T03:10:00"/>
    <n v="120"/>
    <n v="330"/>
    <n v="296"/>
    <s v="Wet coal"/>
    <s v="FW00Wet Coal Issues"/>
    <s v="Mill Creek"/>
    <x v="0"/>
    <s v="Coal"/>
    <x v="1"/>
    <x v="0"/>
    <n v="1"/>
    <n v="1.5833333334303461"/>
    <n v="1.0075757576374931"/>
    <n v="298.24242426069793"/>
    <n v="188.36363636363637"/>
    <x v="109"/>
  </r>
  <r>
    <x v="8"/>
    <x v="0"/>
    <n v="11"/>
    <n v="9270"/>
    <d v="2013-01-14T03:10:00"/>
    <d v="2013-01-14T06:05:00"/>
    <n v="185"/>
    <n v="330"/>
    <n v="296"/>
    <s v="Wet coal"/>
    <s v="FW00Wet Coal Issues"/>
    <s v="Mill Creek"/>
    <x v="0"/>
    <s v="Coal"/>
    <x v="1"/>
    <x v="0"/>
    <n v="1"/>
    <n v="2.9166666665696539"/>
    <n v="1.2815656565230298"/>
    <n v="379.34343433081682"/>
    <n v="130.06060606060606"/>
    <x v="50"/>
  </r>
  <r>
    <x v="8"/>
    <x v="0"/>
    <n v="12"/>
    <n v="9270"/>
    <d v="2013-01-14T06:05:00"/>
    <d v="2013-01-15T21:36:00"/>
    <n v="184"/>
    <n v="330"/>
    <n v="296"/>
    <s v="Wet coal"/>
    <s v="FW00Wet Coal Issues"/>
    <s v="Mill Creek"/>
    <x v="0"/>
    <s v="Coal"/>
    <x v="1"/>
    <x v="0"/>
    <n v="1"/>
    <n v="39.516666666779201"/>
    <n v="17.483131313181101"/>
    <n v="5175.0068687016055"/>
    <n v="130.95757575757577"/>
    <x v="241"/>
  </r>
  <r>
    <x v="8"/>
    <x v="5"/>
    <n v="13"/>
    <n v="3235"/>
    <d v="2013-01-15T21:36:00"/>
    <d v="2013-01-17T02:37:00"/>
    <n v="0"/>
    <n v="330"/>
    <n v="296"/>
    <s v="Cooling tower booster pump"/>
    <s v="F5402B Cooling Tower Pump - Discharge Line Hatch Leak"/>
    <s v="Mill Creek"/>
    <x v="3"/>
    <s v="Coal"/>
    <x v="1"/>
    <x v="0"/>
    <n v="1"/>
    <n v="29.016666666604578"/>
    <n v="29.016666666604578"/>
    <n v="8588.9333333149552"/>
    <n v="296"/>
    <x v="202"/>
  </r>
  <r>
    <x v="8"/>
    <x v="3"/>
    <n v="14"/>
    <n v="1850"/>
    <d v="2013-01-17T02:37:00"/>
    <d v="2013-01-17T08:40:00"/>
    <n v="0"/>
    <n v="330"/>
    <n v="296"/>
    <s v="Boiler water condition (not feedwater water quality)"/>
    <s v="F170High Silica @ Hot Start Up"/>
    <s v="Mill Creek"/>
    <x v="1"/>
    <s v="Coal"/>
    <x v="1"/>
    <x v="0"/>
    <n v="1"/>
    <n v="6.0499999999883585"/>
    <n v="6.0499999999883585"/>
    <n v="1790.7999999965541"/>
    <n v="296"/>
    <x v="202"/>
  </r>
  <r>
    <x v="8"/>
    <x v="0"/>
    <n v="15"/>
    <n v="9270"/>
    <d v="2013-01-17T08:40:00"/>
    <d v="2013-01-17T12:53:00"/>
    <n v="200"/>
    <n v="330"/>
    <n v="296"/>
    <s v="Wet coal"/>
    <s v="FW00Wet Coal Issues"/>
    <s v="Mill Creek"/>
    <x v="0"/>
    <s v="Coal"/>
    <x v="1"/>
    <x v="0"/>
    <n v="1"/>
    <n v="4.216666666790843"/>
    <n v="1.661111111160029"/>
    <n v="491.68888890336859"/>
    <n v="116.60606060606061"/>
    <x v="242"/>
  </r>
  <r>
    <x v="8"/>
    <x v="0"/>
    <n v="16"/>
    <n v="9270"/>
    <d v="2013-01-17T14:47:00"/>
    <d v="2013-01-17T15:10:00"/>
    <n v="250"/>
    <n v="330"/>
    <n v="296"/>
    <s v="Wet coal"/>
    <s v="FW002D Coal Feeder - Plugged, Wet Coal"/>
    <s v="Mill Creek"/>
    <x v="0"/>
    <s v="Coal"/>
    <x v="1"/>
    <x v="0"/>
    <n v="1"/>
    <n v="0.38333333336049691"/>
    <n v="9.2929292935878038E-2"/>
    <n v="27.507070709019899"/>
    <n v="71.757575757575751"/>
    <x v="243"/>
  </r>
  <r>
    <x v="8"/>
    <x v="0"/>
    <n v="17"/>
    <n v="250"/>
    <d v="2013-01-18T04:40:00"/>
    <d v="2013-01-18T08:39:00"/>
    <n v="240"/>
    <n v="330"/>
    <n v="296"/>
    <s v="Pulverizer feeders"/>
    <s v="F5902A Coal Feeder - Align Belt &amp; Repair Clean Out Conveyor"/>
    <s v="Mill Creek"/>
    <x v="0"/>
    <s v="Coal"/>
    <x v="1"/>
    <x v="0"/>
    <n v="1"/>
    <n v="3.9833333333954215"/>
    <n v="1.0863636363805695"/>
    <n v="321.56363636864859"/>
    <n v="80.727272727272734"/>
    <x v="240"/>
  </r>
  <r>
    <x v="8"/>
    <x v="0"/>
    <n v="18"/>
    <n v="4261"/>
    <d v="2013-01-22T18:58:00"/>
    <d v="2013-01-22T20:00:00"/>
    <n v="300"/>
    <n v="330"/>
    <n v="296"/>
    <s v="Control valves"/>
    <s v="F530Turbine #4 Control Valve - Low Voltage Differential Transmitter Issue"/>
    <s v="Mill Creek"/>
    <x v="0"/>
    <s v="Coal"/>
    <x v="1"/>
    <x v="0"/>
    <n v="1"/>
    <n v="1.03333333338378"/>
    <n v="9.3939393943980001E-2"/>
    <n v="27.806060607418079"/>
    <n v="26.90909090909091"/>
    <x v="6"/>
  </r>
  <r>
    <x v="8"/>
    <x v="0"/>
    <n v="19"/>
    <n v="4261"/>
    <d v="2013-01-22T20:00:00"/>
    <d v="2013-01-23T01:30:00"/>
    <n v="225"/>
    <n v="330"/>
    <n v="296"/>
    <s v="Control valves"/>
    <s v="F590Turbine #4 Control Valve - Repair Low Voltage Differential Transmitter Cable"/>
    <s v="Mill Creek"/>
    <x v="0"/>
    <s v="Coal"/>
    <x v="1"/>
    <x v="0"/>
    <n v="1"/>
    <n v="5.4999999999417923"/>
    <n v="1.7499999999814795"/>
    <n v="517.99999999451791"/>
    <n v="94.181818181818187"/>
    <x v="194"/>
  </r>
  <r>
    <x v="8"/>
    <x v="2"/>
    <n v="20"/>
    <n v="310"/>
    <d v="2013-01-27T22:00:00"/>
    <d v="2013-01-28T05:19:00"/>
    <n v="230"/>
    <n v="330"/>
    <n v="296"/>
    <s v="Pulverizer mills"/>
    <s v="F5902D Coal Mill - Adjust Rollers"/>
    <s v="Mill Creek"/>
    <x v="0"/>
    <s v="Coal"/>
    <x v="1"/>
    <x v="0"/>
    <n v="1"/>
    <n v="7.3166666667675599"/>
    <n v="2.2171717172022909"/>
    <n v="656.2828282918781"/>
    <n v="89.696969696969703"/>
    <x v="160"/>
  </r>
  <r>
    <x v="8"/>
    <x v="3"/>
    <n v="21"/>
    <n v="1160"/>
    <d v="2013-02-05T22:10:00"/>
    <d v="2013-02-06T03:22:00"/>
    <n v="0"/>
    <n v="330"/>
    <n v="296"/>
    <s v="First reheater B"/>
    <s v="F320Boiler Deslag - First Reheater"/>
    <s v="Mill Creek"/>
    <x v="1"/>
    <s v="Coal"/>
    <x v="1"/>
    <x v="0"/>
    <n v="2"/>
    <n v="5.2000000000116415"/>
    <n v="5.2000000000116415"/>
    <n v="1539.2000000034459"/>
    <n v="296"/>
    <x v="202"/>
  </r>
  <r>
    <x v="8"/>
    <x v="3"/>
    <n v="22"/>
    <n v="1160"/>
    <d v="2013-02-06T22:14:00"/>
    <d v="2013-02-07T04:36:00"/>
    <n v="0"/>
    <n v="330"/>
    <n v="296"/>
    <s v="First reheater B"/>
    <s v="F320Boiler Deslag - First Reheater"/>
    <s v="Mill Creek"/>
    <x v="1"/>
    <s v="Coal"/>
    <x v="1"/>
    <x v="0"/>
    <n v="2"/>
    <n v="6.3666666666395031"/>
    <n v="6.3666666666395031"/>
    <n v="1884.5333333252929"/>
    <n v="296"/>
    <x v="202"/>
  </r>
  <r>
    <x v="8"/>
    <x v="0"/>
    <n v="23"/>
    <n v="310"/>
    <d v="2013-02-07T13:20:00"/>
    <d v="2013-02-07T16:40:00"/>
    <n v="240"/>
    <n v="330"/>
    <n v="296"/>
    <s v="Pulverizer mills"/>
    <s v="F5902D Coal Mill - Exhauster Discharge Damper Repair"/>
    <s v="Mill Creek"/>
    <x v="0"/>
    <s v="Coal"/>
    <x v="1"/>
    <x v="0"/>
    <n v="2"/>
    <n v="3.3333333333721384"/>
    <n v="0.90909090910149226"/>
    <n v="269.09090909404171"/>
    <n v="80.727272727272734"/>
    <x v="240"/>
  </r>
  <r>
    <x v="8"/>
    <x v="3"/>
    <n v="24"/>
    <n v="310"/>
    <d v="2013-02-12T00:00:00"/>
    <d v="2013-02-12T00:39:00"/>
    <n v="0"/>
    <n v="330"/>
    <n v="296"/>
    <s v="Pulverizer mills"/>
    <s v="F7902A Coal Mill - Air Flow Test"/>
    <s v="Mill Creek"/>
    <x v="1"/>
    <s v="Coal"/>
    <x v="1"/>
    <x v="0"/>
    <n v="2"/>
    <n v="0.65000000002328306"/>
    <n v="0.65000000002328306"/>
    <n v="192.40000000689179"/>
    <n v="296"/>
    <x v="202"/>
  </r>
  <r>
    <x v="8"/>
    <x v="2"/>
    <n v="25"/>
    <n v="310"/>
    <d v="2013-02-13T22:33:00"/>
    <d v="2013-02-14T02:03:00"/>
    <n v="240"/>
    <n v="330"/>
    <n v="296"/>
    <s v="Pulverizer mills"/>
    <s v="F7902B,C &amp;D Coal Mills - Air Flow Test"/>
    <s v="Mill Creek"/>
    <x v="0"/>
    <s v="Coal"/>
    <x v="1"/>
    <x v="0"/>
    <n v="2"/>
    <n v="3.5000000000582077"/>
    <n v="0.95454545456132933"/>
    <n v="282.54545455015347"/>
    <n v="80.727272727272734"/>
    <x v="240"/>
  </r>
  <r>
    <x v="8"/>
    <x v="2"/>
    <n v="26"/>
    <n v="310"/>
    <d v="2013-02-17T22:20:00"/>
    <d v="2013-02-18T03:08:00"/>
    <n v="230"/>
    <n v="330"/>
    <n v="296"/>
    <s v="Pulverizer mills"/>
    <s v="F5902A Coal Mill - Replace Solenoid on Exhauster Discharge Valve"/>
    <s v="Mill Creek"/>
    <x v="0"/>
    <s v="Coal"/>
    <x v="1"/>
    <x v="0"/>
    <n v="2"/>
    <n v="4.8000000001047738"/>
    <n v="1.4545454545772041"/>
    <n v="430.54545455485243"/>
    <n v="89.696969696969703"/>
    <x v="160"/>
  </r>
  <r>
    <x v="8"/>
    <x v="0"/>
    <n v="27"/>
    <n v="310"/>
    <d v="2013-02-18T04:35:00"/>
    <d v="2013-02-18T05:16:00"/>
    <n v="245"/>
    <n v="330"/>
    <n v="296"/>
    <s v="Pulverizer mills"/>
    <s v="F5902A Coal Mill - Repair Breaker Racking Mechanism"/>
    <s v="Mill Creek"/>
    <x v="0"/>
    <s v="Coal"/>
    <x v="1"/>
    <x v="0"/>
    <n v="2"/>
    <n v="0.6833333334652707"/>
    <n v="0.17601010104408488"/>
    <n v="52.098989909049124"/>
    <n v="76.242424242424249"/>
    <x v="220"/>
  </r>
  <r>
    <x v="8"/>
    <x v="3"/>
    <n v="28"/>
    <n v="740"/>
    <d v="2013-02-24T08:00:00"/>
    <d v="2013-02-24T12:00:00"/>
    <n v="0"/>
    <n v="330"/>
    <n v="296"/>
    <s v="Boiler recirculation pumps"/>
    <s v="F570&quot;B&quot; BCP could not be placed in service due to lube oil pump not starting."/>
    <s v="Mill Creek"/>
    <x v="1"/>
    <s v="Coal"/>
    <x v="1"/>
    <x v="0"/>
    <n v="2"/>
    <n v="3.9999999999417923"/>
    <n v="3.9999999999417923"/>
    <n v="1183.9999999827705"/>
    <n v="296"/>
    <x v="202"/>
  </r>
  <r>
    <x v="8"/>
    <x v="5"/>
    <n v="29"/>
    <n v="740"/>
    <d v="2013-03-09T04:13:00"/>
    <d v="2013-03-09T05:38:00"/>
    <n v="0"/>
    <n v="330"/>
    <n v="296"/>
    <s v="Boiler recirculation pumps"/>
    <s v="F6602B Boiler Circulating Water Pump - Differential Trip"/>
    <s v="Mill Creek"/>
    <x v="3"/>
    <s v="Coal"/>
    <x v="1"/>
    <x v="0"/>
    <n v="3"/>
    <n v="1.4166666667442769"/>
    <n v="1.4166666667442769"/>
    <n v="419.33333335630596"/>
    <n v="296"/>
    <x v="202"/>
  </r>
  <r>
    <x v="8"/>
    <x v="3"/>
    <n v="30"/>
    <n v="1850"/>
    <d v="2013-03-09T05:38:00"/>
    <d v="2013-03-09T09:38:00"/>
    <n v="0"/>
    <n v="330"/>
    <n v="296"/>
    <s v="Boiler water condition (not feedwater water quality)"/>
    <s v="F170High Silica @ Very Hot Start Up"/>
    <s v="Mill Creek"/>
    <x v="1"/>
    <s v="Coal"/>
    <x v="1"/>
    <x v="0"/>
    <n v="3"/>
    <n v="3.9999999999417923"/>
    <n v="3.9999999999417923"/>
    <n v="1183.9999999827705"/>
    <n v="296"/>
    <x v="202"/>
  </r>
  <r>
    <x v="8"/>
    <x v="0"/>
    <n v="31"/>
    <n v="1850"/>
    <d v="2013-03-09T09:38:00"/>
    <d v="2013-03-09T11:40:00"/>
    <n v="320"/>
    <n v="330"/>
    <n v="296"/>
    <s v="Boiler water condition (not feedwater water quality)"/>
    <s v="F170High Silica"/>
    <s v="Mill Creek"/>
    <x v="0"/>
    <s v="Coal"/>
    <x v="1"/>
    <x v="0"/>
    <n v="3"/>
    <n v="2.0333333333255723"/>
    <n v="6.1616161615926431E-2"/>
    <n v="18.238383838314224"/>
    <n v="8.9696969696969688"/>
    <x v="94"/>
  </r>
  <r>
    <x v="8"/>
    <x v="2"/>
    <n v="32"/>
    <n v="310"/>
    <d v="2013-03-11T23:00:00"/>
    <d v="2013-03-12T01:26:00"/>
    <n v="235"/>
    <n v="330"/>
    <n v="296"/>
    <s v="Pulverizer mills"/>
    <s v="F5902B Coal Mill - Adjust Rollers"/>
    <s v="Mill Creek"/>
    <x v="0"/>
    <s v="Coal"/>
    <x v="1"/>
    <x v="0"/>
    <n v="3"/>
    <n v="2.4333333332324401"/>
    <n v="0.70050505047600542"/>
    <n v="207.34949494089761"/>
    <n v="85.212121212121218"/>
    <x v="196"/>
  </r>
  <r>
    <x v="8"/>
    <x v="2"/>
    <n v="33"/>
    <n v="310"/>
    <d v="2013-03-12T23:00:00"/>
    <d v="2013-03-13T03:30:00"/>
    <n v="235"/>
    <n v="330"/>
    <n v="296"/>
    <s v="Pulverizer mills"/>
    <s v="F5902B Coal Mill - Repair Cone"/>
    <s v="Mill Creek"/>
    <x v="0"/>
    <s v="Coal"/>
    <x v="1"/>
    <x v="0"/>
    <n v="3"/>
    <n v="4.5"/>
    <n v="1.2954545454545454"/>
    <n v="383.45454545454544"/>
    <n v="85.212121212121218"/>
    <x v="196"/>
  </r>
  <r>
    <x v="8"/>
    <x v="0"/>
    <n v="34"/>
    <n v="9270"/>
    <d v="2013-03-18T12:45:00"/>
    <d v="2013-03-18T14:05:00"/>
    <n v="285"/>
    <n v="330"/>
    <n v="296"/>
    <s v="Wet coal"/>
    <s v="FW002C Coal Feeder - Wet Coal"/>
    <s v="Mill Creek"/>
    <x v="0"/>
    <s v="Coal"/>
    <x v="1"/>
    <x v="0"/>
    <n v="3"/>
    <n v="1.3333333333139308"/>
    <n v="0.18181818181553602"/>
    <n v="53.81818181739866"/>
    <n v="40.363636363636367"/>
    <x v="157"/>
  </r>
  <r>
    <x v="8"/>
    <x v="0"/>
    <n v="35"/>
    <n v="9270"/>
    <d v="2013-03-18T15:10:00"/>
    <d v="2013-03-18T17:00:00"/>
    <n v="255"/>
    <n v="330"/>
    <n v="296"/>
    <s v="Wet coal"/>
    <s v="FW002C Coal Feeder - Wet Coal"/>
    <s v="Mill Creek"/>
    <x v="0"/>
    <s v="Coal"/>
    <x v="1"/>
    <x v="0"/>
    <n v="3"/>
    <n v="1.8333333333721384"/>
    <n v="0.41666666667548602"/>
    <n v="123.33333333594386"/>
    <n v="67.272727272727266"/>
    <x v="105"/>
  </r>
  <r>
    <x v="8"/>
    <x v="2"/>
    <n v="36"/>
    <n v="310"/>
    <d v="2013-03-18T22:39:00"/>
    <d v="2013-03-19T03:21:00"/>
    <n v="235"/>
    <n v="330"/>
    <n v="296"/>
    <s v="Pulverizer mills"/>
    <s v="F5302C Coal Mill - Inspection, Adjust Rollers"/>
    <s v="Mill Creek"/>
    <x v="0"/>
    <s v="Coal"/>
    <x v="1"/>
    <x v="0"/>
    <n v="3"/>
    <n v="4.6999999999534339"/>
    <n v="1.3530303030168975"/>
    <n v="400.49696969300169"/>
    <n v="85.212121212121218"/>
    <x v="196"/>
  </r>
  <r>
    <x v="8"/>
    <x v="2"/>
    <n v="37"/>
    <n v="310"/>
    <d v="2013-03-19T22:00:00"/>
    <d v="2013-03-20T02:06:00"/>
    <n v="235"/>
    <n v="330"/>
    <n v="296"/>
    <s v="Pulverizer mills"/>
    <s v="F5902D Coal Mill - Adjust Rollers"/>
    <s v="Mill Creek"/>
    <x v="0"/>
    <s v="Coal"/>
    <x v="1"/>
    <x v="0"/>
    <n v="3"/>
    <n v="4.1000000000931323"/>
    <n v="1.1803030303298412"/>
    <n v="349.369696977633"/>
    <n v="85.212121212121218"/>
    <x v="196"/>
  </r>
  <r>
    <x v="8"/>
    <x v="4"/>
    <n v="38"/>
    <n v="3344"/>
    <d v="2013-04-05T10:11:00"/>
    <d v="2013-04-06T00:48:00"/>
    <n v="0"/>
    <n v="330"/>
    <n v="296"/>
    <s v="Deaerator (including level control)"/>
    <s v="F590Deaerator Storage Tank - Replace Door Gasket"/>
    <s v="Mill Creek"/>
    <x v="2"/>
    <s v="Coal"/>
    <x v="1"/>
    <x v="0"/>
    <n v="4"/>
    <n v="14.616666666639503"/>
    <n v="14.616666666639503"/>
    <n v="4326.5333333252929"/>
    <n v="296"/>
    <x v="202"/>
  </r>
  <r>
    <x v="8"/>
    <x v="3"/>
    <n v="39"/>
    <n v="1850"/>
    <d v="2013-04-06T00:48:00"/>
    <d v="2013-04-06T07:35:00"/>
    <n v="0"/>
    <n v="330"/>
    <n v="296"/>
    <s v="Boiler water condition (not feedwater water quality)"/>
    <s v="F170High Silica @ Hot Start Up"/>
    <s v="Mill Creek"/>
    <x v="1"/>
    <s v="Coal"/>
    <x v="1"/>
    <x v="0"/>
    <n v="4"/>
    <n v="6.7833333332673647"/>
    <n v="6.7833333332673647"/>
    <n v="2007.8666666471399"/>
    <n v="296"/>
    <x v="202"/>
  </r>
  <r>
    <x v="8"/>
    <x v="2"/>
    <n v="40"/>
    <n v="310"/>
    <d v="2013-04-25T22:00:00"/>
    <d v="2013-04-26T02:30:00"/>
    <n v="220"/>
    <n v="330"/>
    <n v="296"/>
    <s v="Pulverizer mills"/>
    <s v="F5902C Coal Mill - Clean Distributor"/>
    <s v="Mill Creek"/>
    <x v="0"/>
    <s v="Coal"/>
    <x v="1"/>
    <x v="0"/>
    <n v="4"/>
    <n v="4.5"/>
    <n v="1.5"/>
    <n v="444"/>
    <n v="98.666666666666671"/>
    <x v="26"/>
  </r>
  <r>
    <x v="8"/>
    <x v="5"/>
    <n v="41"/>
    <n v="3344"/>
    <d v="2013-04-27T11:29:00"/>
    <d v="2013-04-27T22:57:00"/>
    <n v="0"/>
    <n v="330"/>
    <n v="296"/>
    <s v="Deaerator (including level control)"/>
    <s v="F280Deaerator Heater - Crack in Shell, Steam Leak"/>
    <s v="Mill Creek"/>
    <x v="3"/>
    <s v="Coal"/>
    <x v="1"/>
    <x v="0"/>
    <n v="4"/>
    <n v="11.466666666674428"/>
    <n v="11.466666666674428"/>
    <n v="3394.1333333356306"/>
    <n v="296"/>
    <x v="202"/>
  </r>
  <r>
    <x v="8"/>
    <x v="6"/>
    <n v="42"/>
    <n v="1801"/>
    <d v="2013-04-27T22:57:00"/>
    <d v="2013-04-30T14:43:00"/>
    <n v="0"/>
    <n v="330"/>
    <n v="296"/>
    <s v="Minor boiler overhaul (less than 720 hours) (use for non-specific overhaul only; see page B-1)"/>
    <s v="F590Planned Outage"/>
    <s v="Mill Creek"/>
    <x v="1"/>
    <s v="Coal"/>
    <x v="1"/>
    <x v="0"/>
    <n v="4"/>
    <n v="63.766666666546371"/>
    <n v="63.766666666546371"/>
    <n v="18874.933333297726"/>
    <n v="296"/>
    <x v="202"/>
  </r>
  <r>
    <x v="8"/>
    <x v="3"/>
    <n v="43"/>
    <n v="1850"/>
    <d v="2013-04-30T14:43:00"/>
    <d v="2013-04-30T22:43:00"/>
    <n v="0"/>
    <n v="330"/>
    <n v="296"/>
    <s v="Boiler water condition (not feedwater water quality)"/>
    <s v="F170High Silica @ Warm Start Up"/>
    <s v="Mill Creek"/>
    <x v="1"/>
    <s v="Coal"/>
    <x v="1"/>
    <x v="0"/>
    <n v="4"/>
    <n v="8.0000000000582077"/>
    <n v="8.0000000000582077"/>
    <n v="2368.0000000172295"/>
    <n v="296"/>
    <x v="202"/>
  </r>
  <r>
    <x v="8"/>
    <x v="0"/>
    <n v="44"/>
    <n v="590"/>
    <d v="2013-04-30T22:43:00"/>
    <d v="2013-04-30T23:45:00"/>
    <n v="260"/>
    <n v="330"/>
    <n v="296"/>
    <s v="Desuperheater/attemperator valves"/>
    <s v="F720Reheat Spray Block Valve - Stuck Closed"/>
    <s v="Mill Creek"/>
    <x v="0"/>
    <s v="Coal"/>
    <x v="1"/>
    <x v="0"/>
    <n v="4"/>
    <n v="1.03333333338378"/>
    <n v="0.21919191920261999"/>
    <n v="64.880808083975523"/>
    <n v="62.787878787878789"/>
    <x v="187"/>
  </r>
  <r>
    <x v="8"/>
    <x v="0"/>
    <n v="45"/>
    <n v="590"/>
    <d v="2013-04-30T23:45:00"/>
    <d v="2013-05-01T04:30:00"/>
    <n v="220"/>
    <n v="330"/>
    <n v="296"/>
    <s v="Desuperheater/attemperator valves"/>
    <s v="F720Reheat Spray Block Valve - Stuck Closed"/>
    <s v="Mill Creek"/>
    <x v="0"/>
    <s v="Coal"/>
    <x v="1"/>
    <x v="0"/>
    <n v="4"/>
    <n v="4.7499999999417923"/>
    <n v="1.5833333333139308"/>
    <n v="468.66666666092351"/>
    <n v="98.666666666666671"/>
    <x v="26"/>
  </r>
  <r>
    <x v="8"/>
    <x v="0"/>
    <n v="46"/>
    <n v="310"/>
    <d v="2013-05-02T23:59:00"/>
    <d v="2013-05-03T09:02:00"/>
    <n v="240"/>
    <n v="330"/>
    <n v="296"/>
    <s v="Pulverizer mills"/>
    <s v="F4302D Coal Mill Exhauster - Gate Closed, Wiring Issue"/>
    <s v="Mill Creek"/>
    <x v="0"/>
    <s v="Coal"/>
    <x v="1"/>
    <x v="0"/>
    <n v="5"/>
    <n v="9.0499999999883585"/>
    <n v="2.468181818178643"/>
    <n v="730.58181818087837"/>
    <n v="80.727272727272734"/>
    <x v="240"/>
  </r>
  <r>
    <x v="8"/>
    <x v="5"/>
    <n v="47"/>
    <n v="1050"/>
    <d v="2013-05-07T11:22:00"/>
    <d v="2013-05-08T06:54:00"/>
    <n v="0"/>
    <n v="330"/>
    <n v="296"/>
    <s v="Second superheater B"/>
    <s v="F540Boiler Tube Leak - Second Superheater"/>
    <s v="Mill Creek"/>
    <x v="3"/>
    <s v="Coal"/>
    <x v="1"/>
    <x v="0"/>
    <n v="5"/>
    <n v="19.533333333267365"/>
    <n v="19.533333333267365"/>
    <n v="5781.8666666471399"/>
    <n v="296"/>
    <x v="202"/>
  </r>
  <r>
    <x v="8"/>
    <x v="3"/>
    <n v="48"/>
    <n v="1850"/>
    <d v="2013-05-08T06:54:00"/>
    <d v="2013-05-08T12:38:00"/>
    <n v="0"/>
    <n v="330"/>
    <n v="296"/>
    <s v="Boiler water condition (not feedwater water quality)"/>
    <s v="F170High Silica @ Hot Start Up"/>
    <s v="Mill Creek"/>
    <x v="1"/>
    <s v="Coal"/>
    <x v="1"/>
    <x v="0"/>
    <n v="5"/>
    <n v="5.7333333333372138"/>
    <n v="5.7333333333372138"/>
    <n v="1697.0666666678153"/>
    <n v="296"/>
    <x v="202"/>
  </r>
  <r>
    <x v="8"/>
    <x v="0"/>
    <n v="49"/>
    <n v="3410"/>
    <d v="2013-05-26T08:23:00"/>
    <d v="2013-05-26T09:32:00"/>
    <n v="206"/>
    <n v="330"/>
    <n v="296"/>
    <s v="Feedwater pump"/>
    <s v="F5902B Boiler Feed Pump - Breaker Repair"/>
    <s v="Mill Creek"/>
    <x v="0"/>
    <s v="Coal"/>
    <x v="1"/>
    <x v="0"/>
    <n v="5"/>
    <n v="1.1499999999068677"/>
    <n v="0.43212121208621695"/>
    <n v="127.90787877752022"/>
    <n v="111.22424242424242"/>
    <x v="205"/>
  </r>
  <r>
    <x v="8"/>
    <x v="2"/>
    <n v="50"/>
    <n v="310"/>
    <d v="2013-05-27T21:00:00"/>
    <d v="2013-05-28T00:10:00"/>
    <n v="240"/>
    <n v="330"/>
    <n v="296"/>
    <s v="Pulverizer mills"/>
    <s v="F5302C Coal Mill - Inspection"/>
    <s v="Mill Creek"/>
    <x v="0"/>
    <s v="Coal"/>
    <x v="1"/>
    <x v="0"/>
    <n v="5"/>
    <n v="3.1666666666860692"/>
    <n v="0.86363636364165519"/>
    <n v="255.63636363792995"/>
    <n v="80.727272727272734"/>
    <x v="240"/>
  </r>
  <r>
    <x v="8"/>
    <x v="2"/>
    <n v="51"/>
    <n v="310"/>
    <d v="2013-05-30T23:00:00"/>
    <d v="2013-05-31T01:21:00"/>
    <n v="240"/>
    <n v="330"/>
    <n v="296"/>
    <s v="Pulverizer mills"/>
    <s v="F5902D Coal Mill - Roller Adjustment"/>
    <s v="Mill Creek"/>
    <x v="0"/>
    <s v="Coal"/>
    <x v="1"/>
    <x v="0"/>
    <n v="5"/>
    <n v="2.3499999999767169"/>
    <n v="0.64090909090274095"/>
    <n v="189.70909090721133"/>
    <n v="80.727272727272734"/>
    <x v="240"/>
  </r>
  <r>
    <x v="8"/>
    <x v="0"/>
    <n v="52"/>
    <n v="300"/>
    <d v="2013-06-02T00:09:00"/>
    <d v="2013-06-02T00:54:00"/>
    <n v="240"/>
    <n v="330"/>
    <n v="296"/>
    <s v="Pulverizer motors and drives"/>
    <s v="F5902B Coal Mill Motor - Stator Temperature Indication, Thermocouple Repair"/>
    <s v="Mill Creek"/>
    <x v="0"/>
    <s v="Coal"/>
    <x v="1"/>
    <x v="0"/>
    <n v="6"/>
    <n v="0.75"/>
    <n v="0.20454545454545456"/>
    <n v="60.545454545454547"/>
    <n v="80.727272727272734"/>
    <x v="240"/>
  </r>
  <r>
    <x v="8"/>
    <x v="2"/>
    <n v="53"/>
    <n v="200"/>
    <d v="2013-06-10T23:00:00"/>
    <d v="2013-06-11T04:15:00"/>
    <n v="240"/>
    <n v="330"/>
    <n v="296"/>
    <s v="Pulverizer exhauster fan (for indirect firing)"/>
    <s v="F5902C Coal Mill Exhauster Fan Maintenance"/>
    <s v="Mill Creek"/>
    <x v="0"/>
    <s v="Coal"/>
    <x v="1"/>
    <x v="0"/>
    <n v="6"/>
    <n v="5.25"/>
    <n v="1.4318181818181819"/>
    <n v="423.81818181818181"/>
    <n v="80.727272727272734"/>
    <x v="240"/>
  </r>
  <r>
    <x v="8"/>
    <x v="5"/>
    <n v="54"/>
    <n v="9320"/>
    <d v="2013-06-26T20:39:00"/>
    <d v="2013-06-27T22:23:00"/>
    <n v="0"/>
    <n v="330"/>
    <n v="296"/>
    <s v="Other miscellaneous external problems"/>
    <s v="F820Loss of Fuel Trip - Rainwater in UPS (Un-interruptable Power Supply)"/>
    <s v="Mill Creek"/>
    <x v="3"/>
    <s v="Coal"/>
    <x v="1"/>
    <x v="0"/>
    <n v="6"/>
    <n v="25.733333333220799"/>
    <n v="25.733333333220799"/>
    <n v="7617.0666666333564"/>
    <n v="296"/>
    <x v="202"/>
  </r>
  <r>
    <x v="8"/>
    <x v="3"/>
    <n v="55"/>
    <n v="1850"/>
    <d v="2013-06-27T22:23:00"/>
    <d v="2013-06-28T05:10:00"/>
    <n v="0"/>
    <n v="330"/>
    <n v="296"/>
    <s v="Boiler water condition (not feedwater water quality)"/>
    <s v="F170High Silica @ Hot Start Up"/>
    <s v="Mill Creek"/>
    <x v="1"/>
    <s v="Coal"/>
    <x v="1"/>
    <x v="0"/>
    <n v="6"/>
    <n v="6.7833333334419876"/>
    <n v="6.7833333334419876"/>
    <n v="2007.8666666988283"/>
    <n v="296"/>
    <x v="202"/>
  </r>
  <r>
    <x v="8"/>
    <x v="0"/>
    <n v="56"/>
    <n v="1850"/>
    <d v="2013-06-28T05:10:00"/>
    <d v="2013-06-28T05:55:00"/>
    <n v="256"/>
    <n v="330"/>
    <n v="296"/>
    <s v="Boiler water condition (not feedwater water quality)"/>
    <s v="F170High Silica"/>
    <s v="Mill Creek"/>
    <x v="0"/>
    <s v="Coal"/>
    <x v="1"/>
    <x v="0"/>
    <n v="6"/>
    <n v="0.75"/>
    <n v="0.16818181818181818"/>
    <n v="49.781818181818181"/>
    <n v="66.375757575757575"/>
    <x v="244"/>
  </r>
  <r>
    <x v="8"/>
    <x v="0"/>
    <n v="57"/>
    <n v="1850"/>
    <d v="2013-06-28T05:55:00"/>
    <d v="2013-06-28T06:42:00"/>
    <n v="321"/>
    <n v="330"/>
    <n v="296"/>
    <s v="Boiler water condition (not feedwater water quality)"/>
    <s v="F170High Silica"/>
    <s v="Mill Creek"/>
    <x v="0"/>
    <s v="Coal"/>
    <x v="1"/>
    <x v="0"/>
    <n v="6"/>
    <n v="0.78333333326736465"/>
    <n v="2.1363636361837218E-2"/>
    <n v="6.3236363631038168"/>
    <n v="8.0727272727272723"/>
    <x v="1"/>
  </r>
  <r>
    <x v="8"/>
    <x v="0"/>
    <n v="58"/>
    <n v="100"/>
    <d v="2013-06-30T10:55:00"/>
    <d v="2013-06-30T13:52:00"/>
    <n v="255"/>
    <n v="330"/>
    <n v="296"/>
    <s v="Bunker gates"/>
    <s v="F1202D Coal Feeder - Lost, Bunker Valve Plugged"/>
    <s v="Mill Creek"/>
    <x v="0"/>
    <s v="Coal"/>
    <x v="1"/>
    <x v="0"/>
    <n v="6"/>
    <n v="2.9500000000116415"/>
    <n v="0.6704545454571913"/>
    <n v="198.45454545532863"/>
    <n v="67.272727272727266"/>
    <x v="105"/>
  </r>
  <r>
    <x v="8"/>
    <x v="2"/>
    <n v="59"/>
    <n v="310"/>
    <d v="2013-06-30T23:00:00"/>
    <d v="2013-07-01T03:26:00"/>
    <n v="230"/>
    <n v="330"/>
    <n v="296"/>
    <s v="Pulverizer mills"/>
    <s v="F5302B &amp; 2C Coal Mills - Inspect Exhausters"/>
    <s v="Mill Creek"/>
    <x v="0"/>
    <s v="Coal"/>
    <x v="1"/>
    <x v="0"/>
    <n v="6"/>
    <n v="4.4333333332906477"/>
    <n v="1.3434343434214084"/>
    <n v="397.6565656527369"/>
    <n v="89.696969696969703"/>
    <x v="160"/>
  </r>
  <r>
    <x v="8"/>
    <x v="2"/>
    <n v="60"/>
    <n v="250"/>
    <d v="2013-07-02T23:00:00"/>
    <d v="2013-07-03T03:50:00"/>
    <n v="250"/>
    <n v="330"/>
    <n v="296"/>
    <s v="Pulverizer feeders"/>
    <s v="F0902D Coal Feeder - Calibration"/>
    <s v="Mill Creek"/>
    <x v="0"/>
    <s v="Coal"/>
    <x v="1"/>
    <x v="0"/>
    <n v="7"/>
    <n v="4.8333333331975155"/>
    <n v="1.1717171716842463"/>
    <n v="346.82828281853688"/>
    <n v="71.757575757575751"/>
    <x v="243"/>
  </r>
  <r>
    <x v="8"/>
    <x v="0"/>
    <n v="61"/>
    <n v="1080"/>
    <d v="2013-07-04T09:30:00"/>
    <d v="2013-07-04T10:38:00"/>
    <n v="215"/>
    <n v="330"/>
    <n v="296"/>
    <s v="Economizer B"/>
    <s v="F540Boiler Tube Leak - Economizer, Reduced Boiler Pressure"/>
    <s v="Mill Creek"/>
    <x v="0"/>
    <s v="Coal"/>
    <x v="1"/>
    <x v="0"/>
    <n v="7"/>
    <n v="1.1333333333604969"/>
    <n v="0.39494949495896103"/>
    <n v="116.90505050785247"/>
    <n v="103.15151515151516"/>
    <x v="140"/>
  </r>
  <r>
    <x v="8"/>
    <x v="10"/>
    <n v="62"/>
    <n v="1080"/>
    <d v="2013-07-04T10:38:00"/>
    <d v="2013-07-05T08:38:00"/>
    <n v="0"/>
    <n v="330"/>
    <n v="296"/>
    <s v="Economizer B"/>
    <s v="F540Boiler Tube Leak - Economizer"/>
    <s v="Mill Creek"/>
    <x v="3"/>
    <s v="Coal"/>
    <x v="1"/>
    <x v="0"/>
    <n v="7"/>
    <n v="21.999999999941792"/>
    <n v="21.999999999941792"/>
    <n v="6511.9999999827705"/>
    <n v="296"/>
    <x v="202"/>
  </r>
  <r>
    <x v="8"/>
    <x v="3"/>
    <n v="63"/>
    <n v="1850"/>
    <d v="2013-07-05T08:38:00"/>
    <d v="2013-07-05T15:00:00"/>
    <n v="0"/>
    <n v="330"/>
    <n v="296"/>
    <s v="Boiler water condition (not feedwater water quality)"/>
    <s v="F170High Silica @ Hot Start Up"/>
    <s v="Mill Creek"/>
    <x v="1"/>
    <s v="Coal"/>
    <x v="1"/>
    <x v="0"/>
    <n v="7"/>
    <n v="6.3666666666395031"/>
    <n v="6.3666666666395031"/>
    <n v="1884.5333333252929"/>
    <n v="296"/>
    <x v="202"/>
  </r>
  <r>
    <x v="8"/>
    <x v="0"/>
    <n v="64"/>
    <n v="1850"/>
    <d v="2013-07-05T15:00:00"/>
    <d v="2013-07-05T19:25:00"/>
    <n v="264"/>
    <n v="330"/>
    <n v="296"/>
    <s v="Boiler water condition (not feedwater water quality)"/>
    <s v="F170High Silica"/>
    <s v="Mill Creek"/>
    <x v="0"/>
    <s v="Coal"/>
    <x v="1"/>
    <x v="0"/>
    <n v="7"/>
    <n v="4.4166666667442769"/>
    <n v="0.88333333334885533"/>
    <n v="261.46666667126118"/>
    <n v="59.2"/>
    <x v="83"/>
  </r>
  <r>
    <x v="8"/>
    <x v="2"/>
    <n v="65"/>
    <n v="570"/>
    <d v="2013-07-10T23:00:00"/>
    <d v="2013-07-11T00:48:00"/>
    <n v="140"/>
    <n v="330"/>
    <n v="296"/>
    <s v="Other reheat steam problems"/>
    <s v="F590Reheat Spray System - Repair Air Supply Line to #2 Reheat Block Valve"/>
    <s v="Mill Creek"/>
    <x v="0"/>
    <s v="Coal"/>
    <x v="1"/>
    <x v="0"/>
    <n v="7"/>
    <n v="1.7999999999301508"/>
    <n v="1.0363636363234201"/>
    <n v="306.76363635173237"/>
    <n v="170.42424242424244"/>
    <x v="245"/>
  </r>
  <r>
    <x v="8"/>
    <x v="3"/>
    <n v="66"/>
    <n v="310"/>
    <d v="2013-07-21T22:00:00"/>
    <d v="2013-07-22T03:14:00"/>
    <n v="0"/>
    <n v="330"/>
    <n v="296"/>
    <s v="Pulverizer mills"/>
    <s v="F5902A,C &amp; D Coal Mills - Adjusted Rollers"/>
    <s v="Mill Creek"/>
    <x v="1"/>
    <s v="Coal"/>
    <x v="1"/>
    <x v="0"/>
    <n v="7"/>
    <n v="5.2333333334536292"/>
    <n v="5.2333333334536292"/>
    <n v="1549.0666667022742"/>
    <n v="296"/>
    <x v="202"/>
  </r>
  <r>
    <x v="8"/>
    <x v="4"/>
    <n v="67"/>
    <n v="8260"/>
    <d v="2013-07-25T08:20:00"/>
    <d v="2013-07-27T02:32:00"/>
    <n v="0"/>
    <n v="330"/>
    <n v="296"/>
    <s v="Scrubber booster I.D. fan (fan specific to the scrubber)"/>
    <s v="F320FGD Booster Fans - Wash &amp; Balance"/>
    <s v="Mill Creek"/>
    <x v="2"/>
    <s v="Coal"/>
    <x v="1"/>
    <x v="0"/>
    <n v="7"/>
    <n v="42.200000000128057"/>
    <n v="42.200000000128057"/>
    <n v="12491.200000037905"/>
    <n v="296"/>
    <x v="202"/>
  </r>
  <r>
    <x v="8"/>
    <x v="3"/>
    <n v="68"/>
    <n v="1850"/>
    <d v="2013-07-27T02:32:00"/>
    <d v="2013-07-27T11:26:00"/>
    <n v="0"/>
    <n v="330"/>
    <n v="296"/>
    <s v="Boiler water condition (not feedwater water quality)"/>
    <s v="F170High Silica @ Hot Start Up"/>
    <s v="Mill Creek"/>
    <x v="1"/>
    <s v="Coal"/>
    <x v="1"/>
    <x v="0"/>
    <n v="7"/>
    <n v="8.9000000000232831"/>
    <n v="8.9000000000232831"/>
    <n v="2634.4000000068918"/>
    <n v="296"/>
    <x v="202"/>
  </r>
  <r>
    <x v="8"/>
    <x v="0"/>
    <n v="69"/>
    <n v="310"/>
    <d v="2013-07-28T22:36:00"/>
    <d v="2013-07-29T00:00:00"/>
    <n v="245"/>
    <n v="330"/>
    <n v="296"/>
    <s v="Pulverizer mills"/>
    <s v="F5302C Coal Mill - Inspection"/>
    <s v="Mill Creek"/>
    <x v="0"/>
    <s v="Coal"/>
    <x v="1"/>
    <x v="0"/>
    <n v="7"/>
    <n v="1.4000000000232831"/>
    <n v="0.36060606061205774"/>
    <n v="106.7393939411691"/>
    <n v="76.242424242424249"/>
    <x v="220"/>
  </r>
  <r>
    <x v="8"/>
    <x v="2"/>
    <n v="70"/>
    <n v="310"/>
    <d v="2013-07-29T23:00:00"/>
    <d v="2013-07-30T02:00:00"/>
    <n v="240"/>
    <n v="330"/>
    <n v="296"/>
    <s v="Pulverizer mills"/>
    <s v="F5302C Coal Mill - Inspect Journal"/>
    <s v="Mill Creek"/>
    <x v="0"/>
    <s v="Coal"/>
    <x v="1"/>
    <x v="0"/>
    <n v="7"/>
    <n v="3"/>
    <n v="0.81818181818181823"/>
    <n v="242.18181818181819"/>
    <n v="80.727272727272734"/>
    <x v="240"/>
  </r>
  <r>
    <x v="8"/>
    <x v="3"/>
    <n v="71"/>
    <n v="9999"/>
    <d v="2013-07-30T09:00:00"/>
    <d v="2013-07-30T13:08:00"/>
    <n v="0"/>
    <n v="330"/>
    <n v="296"/>
    <s v="Total unit performance testing (use appropriate codes for individual component testing)"/>
    <s v="F790Full Load Capability Test"/>
    <s v="Mill Creek"/>
    <x v="1"/>
    <s v="Coal"/>
    <x v="1"/>
    <x v="0"/>
    <n v="7"/>
    <n v="4.1333333333604969"/>
    <n v="4.1333333333604969"/>
    <n v="1223.4666666747071"/>
    <n v="296"/>
    <x v="202"/>
  </r>
  <r>
    <x v="8"/>
    <x v="2"/>
    <n v="72"/>
    <n v="310"/>
    <d v="2013-07-30T22:00:00"/>
    <d v="2013-07-31T03:09:00"/>
    <n v="250"/>
    <n v="330"/>
    <n v="296"/>
    <s v="Pulverizer mills"/>
    <s v="F5902C Coal Mill - Cancel Journal Replacement, Crane Issue"/>
    <s v="Mill Creek"/>
    <x v="0"/>
    <s v="Coal"/>
    <x v="1"/>
    <x v="0"/>
    <n v="7"/>
    <n v="5.1500000000232831"/>
    <n v="1.2484848484904929"/>
    <n v="369.5515151531859"/>
    <n v="71.757575757575751"/>
    <x v="243"/>
  </r>
  <r>
    <x v="8"/>
    <x v="2"/>
    <n v="73"/>
    <n v="310"/>
    <d v="2013-07-31T22:00:00"/>
    <d v="2013-08-01T02:45:00"/>
    <n v="250"/>
    <n v="330"/>
    <n v="296"/>
    <s v="Pulverizer mills"/>
    <s v="F5902C Coal Mill - Replace Journal"/>
    <s v="Mill Creek"/>
    <x v="0"/>
    <s v="Coal"/>
    <x v="1"/>
    <x v="0"/>
    <n v="7"/>
    <n v="4.7500000001164153"/>
    <n v="1.1515151515433735"/>
    <n v="340.84848485683852"/>
    <n v="71.757575757575751"/>
    <x v="243"/>
  </r>
  <r>
    <x v="8"/>
    <x v="2"/>
    <n v="74"/>
    <n v="310"/>
    <d v="2013-08-01T22:00:00"/>
    <d v="2013-08-02T02:39:00"/>
    <n v="250"/>
    <n v="330"/>
    <n v="296"/>
    <s v="Pulverizer mills"/>
    <s v="F5302D Coal Mill - Inspection"/>
    <s v="Mill Creek"/>
    <x v="0"/>
    <s v="Coal"/>
    <x v="1"/>
    <x v="0"/>
    <n v="8"/>
    <n v="4.6500000001396984"/>
    <n v="1.1272727273065934"/>
    <n v="333.67272728275168"/>
    <n v="71.757575757575751"/>
    <x v="243"/>
  </r>
  <r>
    <x v="8"/>
    <x v="0"/>
    <n v="75"/>
    <n v="30"/>
    <d v="2013-08-15T14:15:00"/>
    <d v="2013-08-15T17:34:00"/>
    <n v="230"/>
    <n v="330"/>
    <n v="296"/>
    <s v="Coal conveyors and feeders"/>
    <s v="F430C Coal Conveyor - Wiring Issue"/>
    <s v="Mill Creek"/>
    <x v="0"/>
    <s v="Coal"/>
    <x v="1"/>
    <x v="0"/>
    <n v="8"/>
    <n v="3.3166666666511446"/>
    <n v="1.0050505050458014"/>
    <n v="297.49494949355721"/>
    <n v="89.696969696969703"/>
    <x v="160"/>
  </r>
  <r>
    <x v="8"/>
    <x v="2"/>
    <n v="76"/>
    <n v="310"/>
    <d v="2013-08-15T20:45:00"/>
    <d v="2013-08-15T23:55:00"/>
    <n v="250"/>
    <n v="330"/>
    <n v="296"/>
    <s v="Pulverizer mills"/>
    <s v="F3202C Coal Mill Exhauster - High Differential, Cleaned"/>
    <s v="Mill Creek"/>
    <x v="0"/>
    <s v="Coal"/>
    <x v="1"/>
    <x v="0"/>
    <n v="8"/>
    <n v="3.1666666666860692"/>
    <n v="0.76767676768147131"/>
    <n v="227.2323232337155"/>
    <n v="71.757575757575751"/>
    <x v="243"/>
  </r>
  <r>
    <x v="8"/>
    <x v="0"/>
    <n v="77"/>
    <n v="310"/>
    <d v="2013-08-20T00:55:00"/>
    <d v="2013-08-20T02:20:00"/>
    <n v="250"/>
    <n v="330"/>
    <n v="296"/>
    <s v="Pulverizer mills"/>
    <s v="F3202D Coal Mill - Clean Out Classifiers"/>
    <s v="Mill Creek"/>
    <x v="0"/>
    <s v="Coal"/>
    <x v="1"/>
    <x v="0"/>
    <n v="8"/>
    <n v="1.4166666665696539"/>
    <n v="0.34343434341082518"/>
    <n v="101.65656564960426"/>
    <n v="71.757575757575751"/>
    <x v="243"/>
  </r>
  <r>
    <x v="8"/>
    <x v="2"/>
    <n v="78"/>
    <n v="310"/>
    <d v="2013-08-27T23:00:00"/>
    <d v="2013-08-28T03:45:00"/>
    <n v="250"/>
    <n v="330"/>
    <n v="296"/>
    <s v="Pulverizer mills"/>
    <s v="F3202C Coal Mill - Clean Classifiers"/>
    <s v="Mill Creek"/>
    <x v="0"/>
    <s v="Coal"/>
    <x v="1"/>
    <x v="0"/>
    <n v="8"/>
    <n v="4.7499999999417923"/>
    <n v="1.1515151515010407"/>
    <n v="340.84848484430802"/>
    <n v="71.757575757575751"/>
    <x v="243"/>
  </r>
  <r>
    <x v="8"/>
    <x v="2"/>
    <n v="79"/>
    <n v="310"/>
    <d v="2013-08-28T23:00:00"/>
    <d v="2013-08-29T03:50:00"/>
    <n v="250"/>
    <n v="330"/>
    <n v="296"/>
    <s v="Pulverizer mills"/>
    <s v="F5902B Coal Mill - Repair Bowl Differential Reference Line"/>
    <s v="Mill Creek"/>
    <x v="0"/>
    <s v="Coal"/>
    <x v="1"/>
    <x v="0"/>
    <n v="8"/>
    <n v="4.8333333331975155"/>
    <n v="1.1717171716842463"/>
    <n v="346.82828281853688"/>
    <n v="71.757575757575751"/>
    <x v="243"/>
  </r>
  <r>
    <x v="8"/>
    <x v="0"/>
    <n v="80"/>
    <n v="870"/>
    <d v="2013-08-30T06:06:00"/>
    <d v="2013-08-30T06:53:00"/>
    <n v="235"/>
    <n v="330"/>
    <n v="296"/>
    <s v="Soot blowers - steam"/>
    <s v="F8202C8 Wallblower - 480V Feed Trip"/>
    <s v="Mill Creek"/>
    <x v="0"/>
    <s v="Coal"/>
    <x v="1"/>
    <x v="0"/>
    <n v="8"/>
    <n v="0.78333333344198763"/>
    <n v="0.22550505053632977"/>
    <n v="66.749494958753615"/>
    <n v="85.212121212121218"/>
    <x v="196"/>
  </r>
  <r>
    <x v="8"/>
    <x v="0"/>
    <n v="81"/>
    <n v="250"/>
    <d v="2013-09-03T19:16:00"/>
    <d v="2013-09-03T19:53:00"/>
    <n v="300"/>
    <n v="330"/>
    <n v="296"/>
    <s v="Pulverizer feeders"/>
    <s v="F1202C Coal Feeder - Removed Foreign Material"/>
    <s v="Mill Creek"/>
    <x v="0"/>
    <s v="Coal"/>
    <x v="1"/>
    <x v="0"/>
    <n v="9"/>
    <n v="0.61666666675591841"/>
    <n v="5.6060606068719855E-2"/>
    <n v="16.593939396341078"/>
    <n v="26.90909090909091"/>
    <x v="6"/>
  </r>
  <r>
    <x v="8"/>
    <x v="2"/>
    <n v="82"/>
    <n v="310"/>
    <d v="2013-09-03T22:00:00"/>
    <d v="2013-09-03T23:39:00"/>
    <n v="250"/>
    <n v="330"/>
    <n v="296"/>
    <s v="Pulverizer mills"/>
    <s v="F3202C Coal Mill - Clean Classifiers"/>
    <s v="Mill Creek"/>
    <x v="0"/>
    <s v="Coal"/>
    <x v="1"/>
    <x v="0"/>
    <n v="9"/>
    <n v="1.6500000001396984"/>
    <n v="0.40000000003386627"/>
    <n v="118.40000001002441"/>
    <n v="71.757575757575751"/>
    <x v="243"/>
  </r>
  <r>
    <x v="8"/>
    <x v="2"/>
    <n v="83"/>
    <n v="310"/>
    <d v="2013-09-04T22:00:00"/>
    <d v="2013-09-05T00:59:00"/>
    <n v="250"/>
    <n v="330"/>
    <n v="296"/>
    <s v="Pulverizer mills"/>
    <s v="F3202D Coal Mill - Clean Classifiers"/>
    <s v="Mill Creek"/>
    <x v="0"/>
    <s v="Coal"/>
    <x v="1"/>
    <x v="0"/>
    <n v="9"/>
    <n v="2.9833333334536292"/>
    <n v="0.7232323232614859"/>
    <n v="214.07676768539983"/>
    <n v="71.757575757575751"/>
    <x v="243"/>
  </r>
  <r>
    <x v="8"/>
    <x v="4"/>
    <n v="84"/>
    <n v="8100"/>
    <d v="2013-09-05T20:50:00"/>
    <d v="2013-09-09T02:07:00"/>
    <n v="0"/>
    <n v="330"/>
    <n v="296"/>
    <s v="Scrubber/absorber tower or module"/>
    <s v="F590FGD Module and Duct Leak Repairs"/>
    <s v="Mill Creek"/>
    <x v="2"/>
    <s v="Coal"/>
    <x v="1"/>
    <x v="0"/>
    <n v="9"/>
    <n v="77.283333333267365"/>
    <n v="77.283333333267365"/>
    <n v="22875.86666664714"/>
    <n v="296"/>
    <x v="202"/>
  </r>
  <r>
    <x v="8"/>
    <x v="3"/>
    <n v="85"/>
    <n v="1850"/>
    <d v="2013-09-09T02:07:00"/>
    <d v="2013-09-09T12:05:00"/>
    <n v="0"/>
    <n v="330"/>
    <n v="296"/>
    <s v="Boiler water condition (not feedwater water quality)"/>
    <s v="F170High Silica @ Warm Start Up"/>
    <s v="Mill Creek"/>
    <x v="1"/>
    <s v="Coal"/>
    <x v="1"/>
    <x v="0"/>
    <n v="9"/>
    <n v="9.9666666666744277"/>
    <n v="9.9666666666744277"/>
    <n v="2950.1333333356306"/>
    <n v="296"/>
    <x v="202"/>
  </r>
  <r>
    <x v="8"/>
    <x v="0"/>
    <n v="86"/>
    <n v="800"/>
    <d v="2013-09-09T12:45:00"/>
    <d v="2013-09-09T13:40:00"/>
    <n v="240"/>
    <n v="330"/>
    <n v="296"/>
    <s v="Drums and drum internals (single drum only)"/>
    <s v="F420Drum Level Issue - Operator Error"/>
    <s v="Mill Creek"/>
    <x v="0"/>
    <s v="Coal"/>
    <x v="1"/>
    <x v="0"/>
    <n v="9"/>
    <n v="0.91666666668606922"/>
    <n v="0.2500000000052916"/>
    <n v="74.00000000156632"/>
    <n v="80.727272727272734"/>
    <x v="240"/>
  </r>
  <r>
    <x v="8"/>
    <x v="0"/>
    <n v="87"/>
    <n v="1000"/>
    <d v="2013-09-09T13:50:00"/>
    <d v="2013-09-09T15:05:00"/>
    <n v="150"/>
    <n v="330"/>
    <n v="296"/>
    <s v="Waterwall (Furnace wall) A"/>
    <s v="F540Reduced Boiler Pressure - Boiler Tube Leak Waterwall"/>
    <s v="Mill Creek"/>
    <x v="0"/>
    <s v="Coal"/>
    <x v="1"/>
    <x v="0"/>
    <n v="9"/>
    <n v="1.2499999998835847"/>
    <n v="0.68181818175468256"/>
    <n v="201.81818179938602"/>
    <n v="161.45454545454547"/>
    <x v="177"/>
  </r>
  <r>
    <x v="8"/>
    <x v="10"/>
    <n v="88"/>
    <n v="1000"/>
    <d v="2013-09-09T15:05:00"/>
    <d v="2013-09-11T00:31:00"/>
    <n v="0"/>
    <n v="330"/>
    <n v="296"/>
    <s v="Waterwall (Furnace wall) A"/>
    <s v="F540Boiler Tube Leak - Waterwall"/>
    <s v="Mill Creek"/>
    <x v="3"/>
    <s v="Coal"/>
    <x v="1"/>
    <x v="0"/>
    <n v="9"/>
    <n v="33.433333333348855"/>
    <n v="33.433333333348855"/>
    <n v="9896.2666666712612"/>
    <n v="296"/>
    <x v="202"/>
  </r>
  <r>
    <x v="8"/>
    <x v="3"/>
    <n v="89"/>
    <n v="1850"/>
    <d v="2013-09-11T00:31:00"/>
    <d v="2013-09-11T06:42:00"/>
    <n v="0"/>
    <n v="330"/>
    <n v="296"/>
    <s v="Boiler water condition (not feedwater water quality)"/>
    <s v="F170High Silica @ Hot Start Up"/>
    <s v="Mill Creek"/>
    <x v="1"/>
    <s v="Coal"/>
    <x v="1"/>
    <x v="0"/>
    <n v="9"/>
    <n v="6.183333333407063"/>
    <n v="6.183333333407063"/>
    <n v="1830.2666666884907"/>
    <n v="296"/>
    <x v="202"/>
  </r>
  <r>
    <x v="8"/>
    <x v="2"/>
    <n v="90"/>
    <n v="310"/>
    <d v="2013-09-19T23:00:00"/>
    <d v="2013-09-20T00:20:00"/>
    <n v="250"/>
    <n v="330"/>
    <n v="296"/>
    <s v="Pulverizer mills"/>
    <s v="F5902C Coal Mill - Inspect &amp; Clean Distributors"/>
    <s v="Mill Creek"/>
    <x v="0"/>
    <s v="Coal"/>
    <x v="1"/>
    <x v="0"/>
    <n v="9"/>
    <n v="1.3333333333139308"/>
    <n v="0.32323232322761958"/>
    <n v="95.676767675375402"/>
    <n v="71.757575757575751"/>
    <x v="243"/>
  </r>
  <r>
    <x v="8"/>
    <x v="2"/>
    <n v="91"/>
    <n v="250"/>
    <d v="2013-09-22T22:00:00"/>
    <d v="2013-09-23T03:23:00"/>
    <n v="250"/>
    <n v="330"/>
    <n v="296"/>
    <s v="Pulverizer feeders"/>
    <s v="F0902B Coal Feeder - Calibration"/>
    <s v="Mill Creek"/>
    <x v="0"/>
    <s v="Coal"/>
    <x v="1"/>
    <x v="0"/>
    <n v="9"/>
    <n v="5.3833333334187046"/>
    <n v="1.3050505050712011"/>
    <n v="386.29494950107551"/>
    <n v="71.757575757575751"/>
    <x v="243"/>
  </r>
  <r>
    <x v="8"/>
    <x v="2"/>
    <n v="92"/>
    <n v="250"/>
    <d v="2013-09-23T22:00:00"/>
    <d v="2013-09-24T03:08:00"/>
    <n v="250"/>
    <n v="330"/>
    <n v="296"/>
    <s v="Pulverizer feeders"/>
    <s v="F0902A Coal Feeder - Calibration &amp; Mill Inspection"/>
    <s v="Mill Creek"/>
    <x v="0"/>
    <s v="Coal"/>
    <x v="1"/>
    <x v="0"/>
    <n v="9"/>
    <n v="5.1333333334769122"/>
    <n v="1.2444444444792515"/>
    <n v="368.35555556585842"/>
    <n v="71.757575757575751"/>
    <x v="243"/>
  </r>
  <r>
    <x v="8"/>
    <x v="0"/>
    <n v="93"/>
    <n v="1799"/>
    <d v="2013-09-30T05:12:00"/>
    <d v="2013-09-30T05:51:00"/>
    <n v="234"/>
    <n v="330"/>
    <n v="296"/>
    <s v="Other boiler instrumentation and control problems"/>
    <s v="F660Boiler Control - Pressure Swing"/>
    <s v="Mill Creek"/>
    <x v="0"/>
    <s v="Coal"/>
    <x v="1"/>
    <x v="0"/>
    <n v="9"/>
    <n v="0.65000000002328306"/>
    <n v="0.18909090909768234"/>
    <n v="55.970909092913971"/>
    <n v="86.109090909090909"/>
    <x v="173"/>
  </r>
  <r>
    <x v="8"/>
    <x v="2"/>
    <n v="94"/>
    <n v="310"/>
    <d v="2013-09-30T22:00:00"/>
    <d v="2013-10-01T04:57:00"/>
    <n v="250"/>
    <n v="330"/>
    <n v="296"/>
    <s v="Pulverizer mills"/>
    <s v="F5902C Coal Mill - Adjust Rollers"/>
    <s v="Mill Creek"/>
    <x v="0"/>
    <s v="Coal"/>
    <x v="1"/>
    <x v="0"/>
    <n v="9"/>
    <n v="6.9500000001280569"/>
    <n v="1.6848484848795289"/>
    <n v="498.71515152434057"/>
    <n v="71.757575757575751"/>
    <x v="243"/>
  </r>
  <r>
    <x v="8"/>
    <x v="2"/>
    <n v="95"/>
    <n v="250"/>
    <d v="2013-10-01T23:00:00"/>
    <d v="2013-10-02T04:05:00"/>
    <n v="250"/>
    <n v="330"/>
    <n v="296"/>
    <s v="Pulverizer feeders"/>
    <s v="F0902D Coal Feeder - Calibration &amp; Mill Rollers Adjustment"/>
    <s v="Mill Creek"/>
    <x v="0"/>
    <s v="Coal"/>
    <x v="1"/>
    <x v="0"/>
    <n v="10"/>
    <n v="5.0833333333139308"/>
    <n v="1.2323232323185287"/>
    <n v="364.76767676628447"/>
    <n v="71.757575757575751"/>
    <x v="243"/>
  </r>
  <r>
    <x v="8"/>
    <x v="5"/>
    <n v="96"/>
    <n v="3110"/>
    <d v="2013-10-04T17:32:00"/>
    <d v="2013-10-06T00:26:00"/>
    <n v="0"/>
    <n v="330"/>
    <n v="296"/>
    <s v="Condenser tube leaks"/>
    <s v="F540Condenser Tube Leak"/>
    <s v="Mill Creek"/>
    <x v="3"/>
    <s v="Coal"/>
    <x v="1"/>
    <x v="0"/>
    <n v="10"/>
    <n v="30.899999999965075"/>
    <n v="30.899999999965075"/>
    <n v="9146.3999999896623"/>
    <n v="296"/>
    <x v="202"/>
  </r>
  <r>
    <x v="8"/>
    <x v="3"/>
    <n v="97"/>
    <n v="1850"/>
    <d v="2013-10-06T00:26:00"/>
    <d v="2013-10-06T12:30:00"/>
    <n v="0"/>
    <n v="330"/>
    <n v="296"/>
    <s v="Boiler water condition (not feedwater water quality)"/>
    <s v="F170High Silica @ Hot Start Up"/>
    <s v="Mill Creek"/>
    <x v="1"/>
    <s v="Coal"/>
    <x v="1"/>
    <x v="0"/>
    <n v="10"/>
    <n v="12.066666666709352"/>
    <n v="12.066666666709352"/>
    <n v="3571.7333333459683"/>
    <n v="296"/>
    <x v="202"/>
  </r>
  <r>
    <x v="8"/>
    <x v="0"/>
    <n v="98"/>
    <n v="1850"/>
    <d v="2013-10-06T12:30:00"/>
    <d v="2013-10-06T17:00:00"/>
    <n v="200"/>
    <n v="330"/>
    <n v="296"/>
    <s v="Boiler water condition (not feedwater water quality)"/>
    <s v="F170High Silica"/>
    <s v="Mill Creek"/>
    <x v="0"/>
    <s v="Coal"/>
    <x v="1"/>
    <x v="0"/>
    <n v="10"/>
    <n v="4.5"/>
    <n v="1.7727272727272727"/>
    <n v="524.72727272727275"/>
    <n v="116.60606060606061"/>
    <x v="242"/>
  </r>
  <r>
    <x v="8"/>
    <x v="0"/>
    <n v="99"/>
    <n v="1850"/>
    <d v="2013-10-06T17:00:00"/>
    <d v="2013-10-07T05:02:00"/>
    <n v="230"/>
    <n v="330"/>
    <n v="296"/>
    <s v="Boiler water condition (not feedwater water quality)"/>
    <s v="F170High Silica"/>
    <s v="Mill Creek"/>
    <x v="0"/>
    <s v="Coal"/>
    <x v="1"/>
    <x v="0"/>
    <n v="10"/>
    <n v="12.033333333267365"/>
    <n v="3.646464646444656"/>
    <n v="1079.3535353476182"/>
    <n v="89.696969696969703"/>
    <x v="160"/>
  </r>
  <r>
    <x v="8"/>
    <x v="0"/>
    <n v="100"/>
    <n v="1850"/>
    <d v="2013-10-07T05:02:00"/>
    <d v="2013-10-07T07:42:00"/>
    <n v="213"/>
    <n v="330"/>
    <n v="296"/>
    <s v="Boiler water condition (not feedwater water quality)"/>
    <s v="F170High Silica"/>
    <s v="Mill Creek"/>
    <x v="0"/>
    <s v="Coal"/>
    <x v="1"/>
    <x v="0"/>
    <n v="10"/>
    <n v="2.6666666666278616"/>
    <n v="0.94545454544078733"/>
    <n v="279.85454545047304"/>
    <n v="104.94545454545455"/>
    <x v="43"/>
  </r>
  <r>
    <x v="8"/>
    <x v="0"/>
    <n v="101"/>
    <n v="1850"/>
    <d v="2013-10-07T07:42:00"/>
    <d v="2013-10-07T10:10:00"/>
    <n v="235"/>
    <n v="330"/>
    <n v="296"/>
    <s v="Boiler water condition (not feedwater water quality)"/>
    <s v="F170High Silica"/>
    <s v="Mill Creek"/>
    <x v="0"/>
    <s v="Coal"/>
    <x v="1"/>
    <x v="0"/>
    <n v="10"/>
    <n v="2.4666666666744277"/>
    <n v="0.71010101010324433"/>
    <n v="210.18989899056032"/>
    <n v="85.212121212121218"/>
    <x v="196"/>
  </r>
  <r>
    <x v="8"/>
    <x v="0"/>
    <n v="102"/>
    <n v="1850"/>
    <d v="2013-10-07T10:10:00"/>
    <d v="2013-10-08T02:18:00"/>
    <n v="240"/>
    <n v="330"/>
    <n v="296"/>
    <s v="Boiler water condition (not feedwater water quality)"/>
    <s v="F170High Silica"/>
    <s v="Mill Creek"/>
    <x v="0"/>
    <s v="Coal"/>
    <x v="1"/>
    <x v="0"/>
    <n v="10"/>
    <n v="16.133333333360497"/>
    <n v="4.4000000000074087"/>
    <n v="1302.4000000021929"/>
    <n v="80.727272727272734"/>
    <x v="240"/>
  </r>
  <r>
    <x v="8"/>
    <x v="0"/>
    <n v="103"/>
    <n v="1850"/>
    <d v="2013-10-08T02:18:00"/>
    <d v="2013-10-08T05:14:00"/>
    <n v="220"/>
    <n v="330"/>
    <n v="296"/>
    <s v="Boiler water condition (not feedwater water quality)"/>
    <s v="F170High Silica"/>
    <s v="Mill Creek"/>
    <x v="0"/>
    <s v="Coal"/>
    <x v="1"/>
    <x v="0"/>
    <n v="10"/>
    <n v="2.9333333332906477"/>
    <n v="0.97777777776354924"/>
    <n v="289.42222221801057"/>
    <n v="98.666666666666671"/>
    <x v="26"/>
  </r>
  <r>
    <x v="8"/>
    <x v="0"/>
    <n v="104"/>
    <n v="1850"/>
    <d v="2013-10-08T05:14:00"/>
    <d v="2013-10-08T06:15:00"/>
    <n v="230"/>
    <n v="330"/>
    <n v="296"/>
    <s v="Boiler water condition (not feedwater water quality)"/>
    <s v="F170High Silica"/>
    <s v="Mill Creek"/>
    <x v="0"/>
    <s v="Coal"/>
    <x v="1"/>
    <x v="0"/>
    <n v="10"/>
    <n v="1.0166666666627862"/>
    <n v="0.30808080807963217"/>
    <n v="91.191919191571117"/>
    <n v="89.696969696969703"/>
    <x v="160"/>
  </r>
  <r>
    <x v="8"/>
    <x v="0"/>
    <n v="105"/>
    <n v="1850"/>
    <d v="2013-10-08T06:15:00"/>
    <d v="2013-10-08T07:23:00"/>
    <n v="250"/>
    <n v="330"/>
    <n v="296"/>
    <s v="Boiler water condition (not feedwater water quality)"/>
    <s v="F170High Silica"/>
    <s v="Mill Creek"/>
    <x v="0"/>
    <s v="Coal"/>
    <x v="1"/>
    <x v="0"/>
    <n v="10"/>
    <n v="1.1333333333604969"/>
    <n v="0.27474747475405986"/>
    <n v="81.325252527201712"/>
    <n v="71.757575757575751"/>
    <x v="243"/>
  </r>
  <r>
    <x v="8"/>
    <x v="0"/>
    <n v="106"/>
    <n v="1850"/>
    <d v="2013-10-08T07:23:00"/>
    <d v="2013-10-09T05:15:00"/>
    <n v="251"/>
    <n v="330"/>
    <n v="296"/>
    <s v="Boiler water condition (not feedwater water quality)"/>
    <s v="F170High Silica/Wet Coal Issues"/>
    <s v="Mill Creek"/>
    <x v="0"/>
    <s v="Coal"/>
    <x v="1"/>
    <x v="0"/>
    <n v="10"/>
    <n v="21.866666666697711"/>
    <n v="5.2347474747549061"/>
    <n v="1549.4852525274523"/>
    <n v="70.860606060606059"/>
    <x v="165"/>
  </r>
  <r>
    <x v="8"/>
    <x v="0"/>
    <n v="107"/>
    <n v="1850"/>
    <d v="2013-10-09T05:15:00"/>
    <d v="2013-10-10T05:00:00"/>
    <n v="285"/>
    <n v="330"/>
    <n v="296"/>
    <s v="Boiler water condition (not feedwater water quality)"/>
    <s v="F170High Silica/Wet Coal Issues"/>
    <s v="Mill Creek"/>
    <x v="0"/>
    <s v="Coal"/>
    <x v="1"/>
    <x v="0"/>
    <n v="10"/>
    <n v="23.750000000058208"/>
    <n v="3.238636363644301"/>
    <n v="958.63636363871308"/>
    <n v="40.363636363636367"/>
    <x v="157"/>
  </r>
  <r>
    <x v="8"/>
    <x v="0"/>
    <n v="108"/>
    <n v="1850"/>
    <d v="2013-10-10T05:00:00"/>
    <d v="2013-10-10T08:29:00"/>
    <n v="290"/>
    <n v="330"/>
    <n v="296"/>
    <s v="Boiler water condition (not feedwater water quality)"/>
    <s v="F170High Silica"/>
    <s v="Mill Creek"/>
    <x v="0"/>
    <s v="Coal"/>
    <x v="1"/>
    <x v="0"/>
    <n v="10"/>
    <n v="3.4833333333372138"/>
    <n v="0.42222222222269257"/>
    <n v="124.977777777917"/>
    <n v="35.878787878787875"/>
    <x v="32"/>
  </r>
  <r>
    <x v="8"/>
    <x v="0"/>
    <n v="109"/>
    <n v="1850"/>
    <d v="2013-10-10T11:23:00"/>
    <d v="2013-10-10T12:56:00"/>
    <n v="301"/>
    <n v="330"/>
    <n v="296"/>
    <s v="Boiler water condition (not feedwater water quality)"/>
    <s v="F170High Silica"/>
    <s v="Mill Creek"/>
    <x v="0"/>
    <s v="Coal"/>
    <x v="1"/>
    <x v="0"/>
    <n v="10"/>
    <n v="1.5499999999883585"/>
    <n v="0.13621212121109816"/>
    <n v="40.318787878485054"/>
    <n v="26.012121212121212"/>
    <x v="16"/>
  </r>
  <r>
    <x v="8"/>
    <x v="0"/>
    <n v="110"/>
    <n v="1850"/>
    <d v="2013-10-10T12:56:00"/>
    <d v="2013-10-10T13:20:00"/>
    <n v="275"/>
    <n v="330"/>
    <n v="296"/>
    <s v="Boiler water condition (not feedwater water quality)"/>
    <s v="F170High Silica"/>
    <s v="Mill Creek"/>
    <x v="0"/>
    <s v="Coal"/>
    <x v="1"/>
    <x v="0"/>
    <n v="10"/>
    <n v="0.39999999990686774"/>
    <n v="6.6666666651144624E-2"/>
    <n v="19.733333328738809"/>
    <n v="49.333333333333336"/>
    <x v="227"/>
  </r>
  <r>
    <x v="8"/>
    <x v="0"/>
    <n v="111"/>
    <n v="1850"/>
    <d v="2013-10-10T13:20:00"/>
    <d v="2013-10-11T03:10:00"/>
    <n v="270"/>
    <n v="330"/>
    <n v="296"/>
    <s v="Boiler water condition (not feedwater water quality)"/>
    <s v="F170High Silica"/>
    <s v="Mill Creek"/>
    <x v="0"/>
    <s v="Coal"/>
    <x v="1"/>
    <x v="0"/>
    <n v="10"/>
    <n v="13.833333333372138"/>
    <n v="2.5151515151585708"/>
    <n v="744.48484848693693"/>
    <n v="53.81818181818182"/>
    <x v="158"/>
  </r>
  <r>
    <x v="8"/>
    <x v="0"/>
    <n v="112"/>
    <n v="1850"/>
    <d v="2013-10-11T03:10:00"/>
    <d v="2013-10-11T09:57:00"/>
    <n v="310"/>
    <n v="330"/>
    <n v="296"/>
    <s v="Boiler water condition (not feedwater water quality)"/>
    <s v="F170High Silica"/>
    <s v="Mill Creek"/>
    <x v="0"/>
    <s v="Coal"/>
    <x v="1"/>
    <x v="0"/>
    <n v="10"/>
    <n v="6.7833333332673647"/>
    <n v="0.41111111110711301"/>
    <n v="121.68888888770545"/>
    <n v="17.939393939393938"/>
    <x v="5"/>
  </r>
  <r>
    <x v="8"/>
    <x v="4"/>
    <n v="113"/>
    <n v="1000"/>
    <d v="2013-10-13T10:35:00"/>
    <d v="2013-10-15T04:57:00"/>
    <n v="0"/>
    <n v="330"/>
    <n v="296"/>
    <s v="Waterwall (Furnace wall) A"/>
    <s v="F540Boiler Tube Leak - Waterwall"/>
    <s v="Mill Creek"/>
    <x v="2"/>
    <s v="Coal"/>
    <x v="1"/>
    <x v="0"/>
    <n v="10"/>
    <n v="42.366666666814126"/>
    <n v="42.366666666814126"/>
    <n v="12540.533333376981"/>
    <n v="296"/>
    <x v="202"/>
  </r>
  <r>
    <x v="8"/>
    <x v="3"/>
    <n v="114"/>
    <n v="1850"/>
    <d v="2013-10-14T04:57:00"/>
    <d v="2013-10-15T13:00:00"/>
    <n v="0"/>
    <n v="330"/>
    <n v="296"/>
    <s v="Boiler water condition (not feedwater water quality)"/>
    <s v="F170High Silica @ Hot Start Up"/>
    <s v="Mill Creek"/>
    <x v="1"/>
    <s v="Coal"/>
    <x v="1"/>
    <x v="0"/>
    <n v="10"/>
    <n v="32.049999999871943"/>
    <n v="32.049999999871943"/>
    <n v="9486.7999999620952"/>
    <n v="296"/>
    <x v="202"/>
  </r>
  <r>
    <x v="8"/>
    <x v="0"/>
    <n v="115"/>
    <n v="1850"/>
    <d v="2013-10-15T13:00:00"/>
    <d v="2013-10-15T15:00:00"/>
    <n v="205"/>
    <n v="330"/>
    <n v="296"/>
    <s v="Boiler water condition (not feedwater water quality)"/>
    <s v="F170High Silica"/>
    <s v="Mill Creek"/>
    <x v="0"/>
    <s v="Coal"/>
    <x v="1"/>
    <x v="0"/>
    <n v="10"/>
    <n v="2.0000000000582077"/>
    <n v="0.75757575759780593"/>
    <n v="224.24242424895056"/>
    <n v="112.12121212121212"/>
    <x v="38"/>
  </r>
  <r>
    <x v="8"/>
    <x v="0"/>
    <n v="116"/>
    <n v="1850"/>
    <d v="2013-10-15T15:00:00"/>
    <d v="2013-10-16T03:08:00"/>
    <n v="300"/>
    <n v="330"/>
    <n v="296"/>
    <s v="Boiler water condition (not feedwater water quality)"/>
    <s v="F170High Silica"/>
    <s v="Mill Creek"/>
    <x v="0"/>
    <s v="Coal"/>
    <x v="1"/>
    <x v="0"/>
    <n v="10"/>
    <n v="12.133333333418705"/>
    <n v="1.1030303030380642"/>
    <n v="326.49696969926697"/>
    <n v="26.90909090909091"/>
    <x v="6"/>
  </r>
  <r>
    <x v="8"/>
    <x v="0"/>
    <n v="117"/>
    <n v="1850"/>
    <d v="2013-10-16T08:40:00"/>
    <d v="2013-10-16T17:53:00"/>
    <n v="315"/>
    <n v="330"/>
    <n v="296"/>
    <s v="Boiler water condition (not feedwater water quality)"/>
    <s v="F170High Silica"/>
    <s v="Mill Creek"/>
    <x v="0"/>
    <s v="Coal"/>
    <x v="1"/>
    <x v="0"/>
    <n v="10"/>
    <n v="9.2166666666744277"/>
    <n v="0.41893939393974672"/>
    <n v="124.00606060616502"/>
    <n v="13.454545454545455"/>
    <x v="20"/>
  </r>
  <r>
    <x v="8"/>
    <x v="0"/>
    <n v="118"/>
    <n v="250"/>
    <d v="2013-10-17T07:40:00"/>
    <d v="2013-10-17T08:05:00"/>
    <n v="240"/>
    <n v="330"/>
    <n v="296"/>
    <s v="Pulverizer feeders"/>
    <s v="F1202A Coal Feeder - Rock on Belt"/>
    <s v="Mill Creek"/>
    <x v="0"/>
    <s v="Coal"/>
    <x v="1"/>
    <x v="0"/>
    <n v="10"/>
    <n v="0.41666666662786156"/>
    <n v="0.11363636362578043"/>
    <n v="33.636363633231007"/>
    <n v="80.727272727272734"/>
    <x v="240"/>
  </r>
  <r>
    <x v="8"/>
    <x v="0"/>
    <n v="119"/>
    <n v="1850"/>
    <d v="2013-10-17T08:45:00"/>
    <d v="2013-10-17T22:40:00"/>
    <n v="300"/>
    <n v="330"/>
    <n v="296"/>
    <s v="Boiler water condition (not feedwater water quality)"/>
    <s v="F170High Silica"/>
    <s v="Mill Creek"/>
    <x v="0"/>
    <s v="Coal"/>
    <x v="1"/>
    <x v="0"/>
    <n v="10"/>
    <n v="13.916666666627862"/>
    <n v="1.2651515151479875"/>
    <n v="374.48484848380429"/>
    <n v="26.90909090909091"/>
    <x v="6"/>
  </r>
  <r>
    <x v="8"/>
    <x v="0"/>
    <n v="120"/>
    <n v="1850"/>
    <d v="2013-10-17T22:40:00"/>
    <d v="2013-10-18T06:56:00"/>
    <n v="317"/>
    <n v="330"/>
    <n v="296"/>
    <s v="Boiler water condition (not feedwater water quality)"/>
    <s v="F170High Silica"/>
    <s v="Mill Creek"/>
    <x v="0"/>
    <s v="Coal"/>
    <x v="1"/>
    <x v="0"/>
    <n v="10"/>
    <n v="8.2666666667209938"/>
    <n v="0.32565656565870582"/>
    <n v="96.394343434976918"/>
    <n v="11.66060606060606"/>
    <x v="24"/>
  </r>
  <r>
    <x v="8"/>
    <x v="0"/>
    <n v="121"/>
    <n v="1850"/>
    <d v="2013-10-18T10:35:00"/>
    <d v="2013-10-18T12:48:00"/>
    <n v="315"/>
    <n v="330"/>
    <n v="296"/>
    <s v="Boiler water condition (not feedwater water quality)"/>
    <s v="F170High Silica"/>
    <s v="Mill Creek"/>
    <x v="0"/>
    <s v="Coal"/>
    <x v="1"/>
    <x v="0"/>
    <n v="10"/>
    <n v="2.2166666667326353"/>
    <n v="0.10075757576057433"/>
    <n v="29.824242425130002"/>
    <n v="13.454545454545455"/>
    <x v="20"/>
  </r>
  <r>
    <x v="8"/>
    <x v="4"/>
    <n v="122"/>
    <n v="4619"/>
    <d v="2013-10-19T13:47:00"/>
    <d v="2013-10-22T06:29:00"/>
    <n v="0"/>
    <n v="330"/>
    <n v="296"/>
    <s v="Other hydrogen system problems"/>
    <s v="F540Generator - Hydrogen Leak Repair"/>
    <s v="Mill Creek"/>
    <x v="2"/>
    <s v="Coal"/>
    <x v="1"/>
    <x v="0"/>
    <n v="10"/>
    <n v="64.699999999953434"/>
    <n v="64.699999999953434"/>
    <n v="19151.199999986216"/>
    <n v="296"/>
    <x v="202"/>
  </r>
  <r>
    <x v="8"/>
    <x v="3"/>
    <n v="123"/>
    <n v="1850"/>
    <d v="2013-10-22T06:29:00"/>
    <d v="2013-10-22T14:50:00"/>
    <n v="0"/>
    <n v="330"/>
    <n v="296"/>
    <s v="Boiler water condition (not feedwater water quality)"/>
    <s v="F170High Silica @ Warm Start Up"/>
    <s v="Mill Creek"/>
    <x v="1"/>
    <s v="Coal"/>
    <x v="1"/>
    <x v="0"/>
    <n v="10"/>
    <n v="8.3499999999767169"/>
    <n v="8.3499999999767169"/>
    <n v="2471.5999999931082"/>
    <n v="296"/>
    <x v="202"/>
  </r>
  <r>
    <x v="8"/>
    <x v="0"/>
    <n v="124"/>
    <n v="1850"/>
    <d v="2013-10-22T14:50:00"/>
    <d v="2013-10-22T19:35:00"/>
    <n v="260"/>
    <n v="330"/>
    <n v="296"/>
    <s v="Boiler water condition (not feedwater water quality)"/>
    <s v="F170High Silica"/>
    <s v="Mill Creek"/>
    <x v="0"/>
    <s v="Coal"/>
    <x v="1"/>
    <x v="0"/>
    <n v="10"/>
    <n v="4.7499999999417923"/>
    <n v="1.0075757575634106"/>
    <n v="298.2424242387695"/>
    <n v="62.787878787878789"/>
    <x v="187"/>
  </r>
  <r>
    <x v="8"/>
    <x v="0"/>
    <n v="125"/>
    <n v="1850"/>
    <d v="2013-10-22T19:35:00"/>
    <d v="2013-10-23T00:42:00"/>
    <n v="295"/>
    <n v="330"/>
    <n v="296"/>
    <s v="Boiler water condition (not feedwater water quality)"/>
    <s v="F170High Silica"/>
    <s v="Mill Creek"/>
    <x v="0"/>
    <s v="Coal"/>
    <x v="1"/>
    <x v="0"/>
    <n v="10"/>
    <n v="5.1166666667559184"/>
    <n v="0.54267676768623374"/>
    <n v="160.6323232351252"/>
    <n v="31.393939393939394"/>
    <x v="246"/>
  </r>
  <r>
    <x v="8"/>
    <x v="0"/>
    <n v="126"/>
    <n v="1850"/>
    <d v="2013-10-23T00:42:00"/>
    <d v="2013-10-23T06:27:00"/>
    <n v="320"/>
    <n v="330"/>
    <n v="296"/>
    <s v="Boiler water condition (not feedwater water quality)"/>
    <s v="F170High Silica"/>
    <s v="Mill Creek"/>
    <x v="0"/>
    <s v="Coal"/>
    <x v="1"/>
    <x v="0"/>
    <n v="10"/>
    <n v="5.7500000000582077"/>
    <n v="0.17424242424418812"/>
    <n v="51.575757576279685"/>
    <n v="8.9696969696969688"/>
    <x v="94"/>
  </r>
  <r>
    <x v="8"/>
    <x v="0"/>
    <n v="127"/>
    <n v="1850"/>
    <d v="2013-10-23T08:00:00"/>
    <d v="2013-10-23T17:06:00"/>
    <n v="270"/>
    <n v="330"/>
    <n v="296"/>
    <s v="Boiler water condition (not feedwater water quality)"/>
    <s v="F170High Silica"/>
    <s v="Mill Creek"/>
    <x v="0"/>
    <s v="Coal"/>
    <x v="1"/>
    <x v="0"/>
    <n v="10"/>
    <n v="9.0999999999767169"/>
    <n v="1.6545454545412213"/>
    <n v="489.74545454420149"/>
    <n v="53.81818181818182"/>
    <x v="158"/>
  </r>
  <r>
    <x v="8"/>
    <x v="0"/>
    <n v="128"/>
    <n v="1850"/>
    <d v="2013-10-23T17:06:00"/>
    <d v="2013-10-23T21:54:00"/>
    <n v="300"/>
    <n v="330"/>
    <n v="296"/>
    <s v="Boiler water condition (not feedwater water quality)"/>
    <s v="F170High Silica"/>
    <s v="Mill Creek"/>
    <x v="0"/>
    <s v="Coal"/>
    <x v="1"/>
    <x v="0"/>
    <n v="10"/>
    <n v="4.7999999999301508"/>
    <n v="0.43636363635728642"/>
    <n v="129.16363636175677"/>
    <n v="26.90909090909091"/>
    <x v="6"/>
  </r>
  <r>
    <x v="8"/>
    <x v="0"/>
    <n v="129"/>
    <n v="1850"/>
    <d v="2013-10-23T21:54:00"/>
    <d v="2013-10-24T03:49:00"/>
    <n v="315"/>
    <n v="330"/>
    <n v="296"/>
    <s v="Boiler water condition (not feedwater water quality)"/>
    <s v="F170High Silica"/>
    <s v="Mill Creek"/>
    <x v="0"/>
    <s v="Coal"/>
    <x v="1"/>
    <x v="0"/>
    <n v="10"/>
    <n v="5.9166666667442769"/>
    <n v="0.26893939394292166"/>
    <n v="79.606060607104808"/>
    <n v="13.454545454545455"/>
    <x v="20"/>
  </r>
  <r>
    <x v="8"/>
    <x v="2"/>
    <n v="130"/>
    <n v="310"/>
    <d v="2013-10-24T22:00:00"/>
    <d v="2013-10-25T01:43:00"/>
    <n v="250"/>
    <n v="330"/>
    <n v="296"/>
    <s v="Pulverizer mills"/>
    <s v="F5302C Coal Mill - Inspection"/>
    <s v="Mill Creek"/>
    <x v="0"/>
    <s v="Coal"/>
    <x v="1"/>
    <x v="0"/>
    <n v="10"/>
    <n v="3.7166666667326353"/>
    <n v="0.90101010102609347"/>
    <n v="266.69898990372366"/>
    <n v="71.757575757575751"/>
    <x v="243"/>
  </r>
  <r>
    <x v="8"/>
    <x v="2"/>
    <n v="131"/>
    <n v="310"/>
    <d v="2013-10-27T20:00:00"/>
    <d v="2013-10-28T02:55:00"/>
    <n v="250"/>
    <n v="330"/>
    <n v="296"/>
    <s v="Pulverizer mills"/>
    <s v="F5902C Coal Mill - Replace Roller and Adjust All Rollers"/>
    <s v="Mill Creek"/>
    <x v="0"/>
    <s v="Coal"/>
    <x v="1"/>
    <x v="0"/>
    <n v="10"/>
    <n v="6.9166666666860692"/>
    <n v="1.6767676767723805"/>
    <n v="496.3232323246246"/>
    <n v="71.757575757575751"/>
    <x v="243"/>
  </r>
  <r>
    <x v="8"/>
    <x v="0"/>
    <n v="132"/>
    <n v="310"/>
    <d v="2013-10-29T22:06:00"/>
    <d v="2013-10-29T23:31:00"/>
    <n v="245"/>
    <n v="330"/>
    <n v="296"/>
    <s v="Pulverizer mills"/>
    <s v="F5902A Coal Mill - Exhauster Damper Linkage Repair"/>
    <s v="Mill Creek"/>
    <x v="0"/>
    <s v="Coal"/>
    <x v="1"/>
    <x v="0"/>
    <n v="10"/>
    <n v="1.4166666667442769"/>
    <n v="0.3648989899189804"/>
    <n v="108.0101010160182"/>
    <n v="76.242424242424249"/>
    <x v="220"/>
  </r>
  <r>
    <x v="8"/>
    <x v="3"/>
    <n v="133"/>
    <n v="8460"/>
    <d v="2013-11-11T12:00:00"/>
    <d v="2013-11-11T17:55:00"/>
    <n v="0"/>
    <n v="330"/>
    <n v="296"/>
    <s v="Testing A"/>
    <s v="F790Full Load RATA Testing"/>
    <s v="Mill Creek"/>
    <x v="1"/>
    <s v="Coal"/>
    <x v="1"/>
    <x v="0"/>
    <n v="11"/>
    <n v="5.9166666667442769"/>
    <n v="5.9166666667442769"/>
    <n v="1751.333333356306"/>
    <n v="296"/>
    <x v="202"/>
  </r>
  <r>
    <x v="8"/>
    <x v="3"/>
    <n v="134"/>
    <n v="8460"/>
    <d v="2013-11-12T13:55:00"/>
    <d v="2013-11-12T23:00:00"/>
    <n v="0"/>
    <n v="330"/>
    <n v="296"/>
    <s v="Testing A"/>
    <s v="F790Full Load RATA Testing"/>
    <s v="Mill Creek"/>
    <x v="1"/>
    <s v="Coal"/>
    <x v="1"/>
    <x v="0"/>
    <n v="11"/>
    <n v="9.0833333334303461"/>
    <n v="9.0833333334303461"/>
    <n v="2688.6666666953824"/>
    <n v="296"/>
    <x v="202"/>
  </r>
  <r>
    <x v="8"/>
    <x v="3"/>
    <n v="135"/>
    <n v="8460"/>
    <d v="2013-11-13T01:00:00"/>
    <d v="2013-11-13T04:14:00"/>
    <n v="0"/>
    <n v="330"/>
    <n v="296"/>
    <s v="Testing A"/>
    <s v="F790Mid Load RATA Testing.  Full load available if needed."/>
    <s v="Mill Creek"/>
    <x v="1"/>
    <s v="Coal"/>
    <x v="1"/>
    <x v="0"/>
    <n v="11"/>
    <n v="3.2333333333954215"/>
    <n v="3.2333333333954215"/>
    <n v="957.06666668504477"/>
    <n v="296"/>
    <x v="202"/>
  </r>
  <r>
    <x v="8"/>
    <x v="3"/>
    <n v="136"/>
    <n v="8460"/>
    <d v="2013-11-13T08:05:00"/>
    <d v="2013-11-13T13:28:00"/>
    <n v="0"/>
    <n v="330"/>
    <n v="296"/>
    <s v="Testing A"/>
    <s v="F790Full Load RATA Testing"/>
    <s v="Mill Creek"/>
    <x v="1"/>
    <s v="Coal"/>
    <x v="1"/>
    <x v="0"/>
    <n v="11"/>
    <n v="5.3833333334187046"/>
    <n v="5.3833333334187046"/>
    <n v="1593.4666666919366"/>
    <n v="296"/>
    <x v="202"/>
  </r>
  <r>
    <x v="8"/>
    <x v="4"/>
    <n v="137"/>
    <n v="3344"/>
    <d v="2013-11-22T11:10:00"/>
    <d v="2013-11-24T11:55:00"/>
    <n v="0"/>
    <n v="330"/>
    <n v="296"/>
    <s v="Deaerator (including level control)"/>
    <s v="F590Deaerator Heater - Repair Shell Steam Leak"/>
    <s v="Mill Creek"/>
    <x v="2"/>
    <s v="Coal"/>
    <x v="1"/>
    <x v="0"/>
    <n v="11"/>
    <n v="48.75"/>
    <n v="48.75"/>
    <n v="14430"/>
    <n v="296"/>
    <x v="202"/>
  </r>
  <r>
    <x v="8"/>
    <x v="3"/>
    <n v="138"/>
    <n v="1850"/>
    <d v="2013-11-24T11:55:00"/>
    <d v="2013-11-24T14:41:00"/>
    <n v="0"/>
    <n v="330"/>
    <n v="296"/>
    <s v="Boiler water condition (not feedwater water quality)"/>
    <s v="F170High Silica @ Warm Start Up"/>
    <s v="Mill Creek"/>
    <x v="1"/>
    <s v="Coal"/>
    <x v="1"/>
    <x v="0"/>
    <n v="11"/>
    <n v="2.7666666666045785"/>
    <n v="2.7666666666045785"/>
    <n v="818.93333331495523"/>
    <n v="296"/>
    <x v="202"/>
  </r>
  <r>
    <x v="8"/>
    <x v="5"/>
    <n v="139"/>
    <n v="400"/>
    <d v="2013-11-24T14:41:00"/>
    <d v="2013-11-28T00:08:00"/>
    <n v="0"/>
    <n v="330"/>
    <n v="296"/>
    <s v="Burner wind box fires"/>
    <s v="F070Windbox Fire - C/D  #2 Corner"/>
    <s v="Mill Creek"/>
    <x v="3"/>
    <s v="Coal"/>
    <x v="1"/>
    <x v="0"/>
    <n v="11"/>
    <n v="81.450000000069849"/>
    <n v="81.450000000069849"/>
    <n v="24109.200000020675"/>
    <n v="296"/>
    <x v="202"/>
  </r>
  <r>
    <x v="8"/>
    <x v="3"/>
    <n v="140"/>
    <n v="1850"/>
    <d v="2013-11-28T00:08:00"/>
    <d v="2013-11-28T08:50:00"/>
    <n v="0"/>
    <n v="330"/>
    <n v="296"/>
    <s v="Boiler water condition (not feedwater water quality)"/>
    <s v="F170High Silica @ Warm Start Up"/>
    <s v="Mill Creek"/>
    <x v="1"/>
    <s v="Coal"/>
    <x v="1"/>
    <x v="0"/>
    <n v="11"/>
    <n v="8.6999999998952262"/>
    <n v="8.6999999998952262"/>
    <n v="2575.199999968987"/>
    <n v="296"/>
    <x v="202"/>
  </r>
  <r>
    <x v="8"/>
    <x v="0"/>
    <n v="141"/>
    <n v="1850"/>
    <d v="2013-11-28T08:50:00"/>
    <d v="2013-11-28T15:20:00"/>
    <n v="148"/>
    <n v="330"/>
    <n v="296"/>
    <s v="Boiler water condition (not feedwater water quality)"/>
    <s v="F170High Silica"/>
    <s v="Mill Creek"/>
    <x v="0"/>
    <s v="Coal"/>
    <x v="1"/>
    <x v="0"/>
    <n v="11"/>
    <n v="6.5000000000582077"/>
    <n v="3.5848484848805873"/>
    <n v="1061.1151515246538"/>
    <n v="163.24848484848485"/>
    <x v="58"/>
  </r>
  <r>
    <x v="8"/>
    <x v="0"/>
    <n v="142"/>
    <n v="1850"/>
    <d v="2013-11-28T15:20:00"/>
    <d v="2013-11-30T06:42:00"/>
    <n v="175"/>
    <n v="330"/>
    <n v="296"/>
    <s v="Boiler water condition (not feedwater water quality)"/>
    <s v="F170High Silica"/>
    <s v="Mill Creek"/>
    <x v="0"/>
    <s v="Coal"/>
    <x v="1"/>
    <x v="0"/>
    <n v="11"/>
    <n v="39.366666666639503"/>
    <n v="18.490404040391283"/>
    <n v="5473.1595959558199"/>
    <n v="139.03030303030303"/>
    <x v="172"/>
  </r>
  <r>
    <x v="8"/>
    <x v="0"/>
    <n v="143"/>
    <n v="1850"/>
    <d v="2013-11-30T06:42:00"/>
    <d v="2013-12-01T14:02:00"/>
    <n v="155"/>
    <n v="330"/>
    <n v="296"/>
    <s v="Boiler water condition (not feedwater water quality)"/>
    <s v="F170High Silica"/>
    <s v="Mill Creek"/>
    <x v="0"/>
    <s v="Coal"/>
    <x v="1"/>
    <x v="0"/>
    <n v="11"/>
    <n v="31.333333333313931"/>
    <n v="16.616161616151327"/>
    <n v="4918.3838383807924"/>
    <n v="156.96969696969697"/>
    <x v="247"/>
  </r>
  <r>
    <x v="8"/>
    <x v="0"/>
    <n v="144"/>
    <n v="1850"/>
    <d v="2013-12-01T14:02:00"/>
    <d v="2013-12-02T03:53:00"/>
    <n v="190"/>
    <n v="330"/>
    <n v="296"/>
    <s v="Boiler water condition (not feedwater water quality)"/>
    <s v="F170High Silica"/>
    <s v="Mill Creek"/>
    <x v="0"/>
    <s v="Coal"/>
    <x v="1"/>
    <x v="0"/>
    <n v="12"/>
    <n v="13.850000000093132"/>
    <n v="5.8757575757970866"/>
    <n v="1739.2242424359376"/>
    <n v="125.57575757575758"/>
    <x v="248"/>
  </r>
  <r>
    <x v="8"/>
    <x v="0"/>
    <n v="145"/>
    <n v="1850"/>
    <d v="2013-12-02T03:53:00"/>
    <d v="2013-12-02T09:14:00"/>
    <n v="213"/>
    <n v="330"/>
    <n v="296"/>
    <s v="Boiler water condition (not feedwater water quality)"/>
    <s v="F170High Silica"/>
    <s v="Mill Creek"/>
    <x v="0"/>
    <s v="Coal"/>
    <x v="1"/>
    <x v="0"/>
    <n v="12"/>
    <n v="5.3499999999767169"/>
    <n v="1.896818181809927"/>
    <n v="561.45818181573839"/>
    <n v="104.94545454545455"/>
    <x v="43"/>
  </r>
  <r>
    <x v="8"/>
    <x v="0"/>
    <n v="146"/>
    <n v="1850"/>
    <d v="2013-12-02T09:14:00"/>
    <d v="2013-12-02T23:00:00"/>
    <n v="175"/>
    <n v="330"/>
    <n v="296"/>
    <s v="Boiler water condition (not feedwater water quality)"/>
    <s v="F170High Silica"/>
    <s v="Mill Creek"/>
    <x v="0"/>
    <s v="Coal"/>
    <x v="1"/>
    <x v="0"/>
    <n v="12"/>
    <n v="13.766666666662786"/>
    <n v="6.4661616161597939"/>
    <n v="1913.9838383832989"/>
    <n v="139.03030303030303"/>
    <x v="172"/>
  </r>
  <r>
    <x v="8"/>
    <x v="0"/>
    <n v="147"/>
    <n v="1850"/>
    <d v="2013-12-02T23:00:00"/>
    <d v="2013-12-03T08:00:00"/>
    <n v="218"/>
    <n v="330"/>
    <n v="296"/>
    <s v="Boiler water condition (not feedwater water quality)"/>
    <s v="F170High Silica"/>
    <s v="Mill Creek"/>
    <x v="0"/>
    <s v="Coal"/>
    <x v="1"/>
    <x v="0"/>
    <n v="12"/>
    <n v="9"/>
    <n v="3.0545454545454547"/>
    <n v="904.14545454545464"/>
    <n v="100.46060606060605"/>
    <x v="65"/>
  </r>
  <r>
    <x v="8"/>
    <x v="0"/>
    <n v="148"/>
    <n v="1850"/>
    <d v="2013-12-03T08:00:00"/>
    <d v="2013-12-03T12:20:00"/>
    <n v="245"/>
    <n v="330"/>
    <n v="296"/>
    <s v="Boiler water condition (not feedwater water quality)"/>
    <s v="F170High Silica"/>
    <s v="Mill Creek"/>
    <x v="0"/>
    <s v="Coal"/>
    <x v="1"/>
    <x v="0"/>
    <n v="12"/>
    <n v="4.3333333333139308"/>
    <n v="1.1161616161566186"/>
    <n v="330.3838383823591"/>
    <n v="76.242424242424249"/>
    <x v="220"/>
  </r>
  <r>
    <x v="8"/>
    <x v="0"/>
    <n v="149"/>
    <n v="1850"/>
    <d v="2013-12-03T12:20:00"/>
    <d v="2013-12-04T08:25:00"/>
    <n v="222"/>
    <n v="330"/>
    <n v="296"/>
    <s v="Boiler water condition (not feedwater water quality)"/>
    <s v="F170High Silica"/>
    <s v="Mill Creek"/>
    <x v="0"/>
    <s v="Coal"/>
    <x v="1"/>
    <x v="0"/>
    <n v="12"/>
    <n v="20.083333333313931"/>
    <n v="6.5727272727209227"/>
    <n v="1945.5272727253932"/>
    <n v="96.872727272727275"/>
    <x v="249"/>
  </r>
  <r>
    <x v="8"/>
    <x v="0"/>
    <n v="150"/>
    <n v="1850"/>
    <d v="2013-12-04T08:25:00"/>
    <d v="2013-12-04T10:25:00"/>
    <n v="233"/>
    <n v="330"/>
    <n v="296"/>
    <s v="Boiler water condition (not feedwater water quality)"/>
    <s v="F170High Silica"/>
    <s v="Mill Creek"/>
    <x v="0"/>
    <s v="Coal"/>
    <x v="1"/>
    <x v="0"/>
    <n v="12"/>
    <n v="2.0000000000582077"/>
    <n v="0.58787878789589743"/>
    <n v="174.01212121718564"/>
    <n v="87.006060606060601"/>
    <x v="47"/>
  </r>
  <r>
    <x v="8"/>
    <x v="0"/>
    <n v="151"/>
    <n v="1850"/>
    <d v="2013-12-04T10:25:00"/>
    <d v="2013-12-05T04:37:00"/>
    <n v="236"/>
    <n v="330"/>
    <n v="296"/>
    <s v="Boiler water condition (not feedwater water quality)"/>
    <s v="F170High Silica"/>
    <s v="Mill Creek"/>
    <x v="0"/>
    <s v="Coal"/>
    <x v="1"/>
    <x v="0"/>
    <n v="12"/>
    <n v="18.199999999953434"/>
    <n v="5.1842424242291596"/>
    <n v="1534.5357575718313"/>
    <n v="84.315151515151513"/>
    <x v="136"/>
  </r>
  <r>
    <x v="8"/>
    <x v="0"/>
    <n v="152"/>
    <n v="1850"/>
    <d v="2013-12-05T04:37:00"/>
    <d v="2013-12-06T07:23:00"/>
    <n v="247"/>
    <n v="330"/>
    <n v="296"/>
    <s v="Boiler water condition (not feedwater water quality)"/>
    <s v="F170High Silica"/>
    <s v="Mill Creek"/>
    <x v="0"/>
    <s v="Coal"/>
    <x v="1"/>
    <x v="0"/>
    <n v="12"/>
    <n v="26.766666666604578"/>
    <n v="6.7322222222066062"/>
    <n v="1992.7377777731554"/>
    <n v="74.448484848484853"/>
    <x v="29"/>
  </r>
  <r>
    <x v="8"/>
    <x v="0"/>
    <n v="153"/>
    <n v="1850"/>
    <d v="2013-12-06T07:23:00"/>
    <d v="2013-12-06T21:05:00"/>
    <n v="230"/>
    <n v="330"/>
    <n v="296"/>
    <s v="Boiler water condition (not feedwater water quality)"/>
    <s v="F170High Silica"/>
    <s v="Mill Creek"/>
    <x v="0"/>
    <s v="Coal"/>
    <x v="1"/>
    <x v="0"/>
    <n v="12"/>
    <n v="13.699999999953434"/>
    <n v="4.1515151515010409"/>
    <n v="1228.8484848443081"/>
    <n v="89.696969696969703"/>
    <x v="160"/>
  </r>
  <r>
    <x v="8"/>
    <x v="0"/>
    <n v="154"/>
    <n v="1850"/>
    <d v="2013-12-06T21:05:00"/>
    <d v="2013-12-08T02:25:00"/>
    <n v="250"/>
    <n v="330"/>
    <n v="296"/>
    <s v="Boiler water condition (not feedwater water quality)"/>
    <s v="F170High Silica"/>
    <s v="Mill Creek"/>
    <x v="0"/>
    <s v="Coal"/>
    <x v="1"/>
    <x v="0"/>
    <n v="12"/>
    <n v="29.333333333430346"/>
    <n v="7.1111111111346297"/>
    <n v="2104.8888888958504"/>
    <n v="71.757575757575751"/>
    <x v="243"/>
  </r>
  <r>
    <x v="8"/>
    <x v="0"/>
    <n v="155"/>
    <n v="1850"/>
    <d v="2013-12-08T02:25:00"/>
    <d v="2013-12-09T03:55:00"/>
    <n v="240"/>
    <n v="330"/>
    <n v="296"/>
    <s v="Boiler water condition (not feedwater water quality)"/>
    <s v="F170High Silica"/>
    <s v="Mill Creek"/>
    <x v="0"/>
    <s v="Coal"/>
    <x v="1"/>
    <x v="0"/>
    <n v="12"/>
    <n v="25.5"/>
    <n v="6.9545454545454541"/>
    <n v="2058.5454545454545"/>
    <n v="80.727272727272734"/>
    <x v="240"/>
  </r>
  <r>
    <x v="8"/>
    <x v="0"/>
    <n v="156"/>
    <n v="1850"/>
    <d v="2013-12-09T03:55:00"/>
    <d v="2013-12-09T18:11:00"/>
    <n v="254"/>
    <n v="330"/>
    <n v="296"/>
    <s v="Boiler water condition (not feedwater water quality)"/>
    <s v="F170High Silica"/>
    <s v="Mill Creek"/>
    <x v="0"/>
    <s v="Coal"/>
    <x v="1"/>
    <x v="0"/>
    <n v="12"/>
    <n v="14.266666666720994"/>
    <n v="3.2856565656690773"/>
    <n v="972.55434343804689"/>
    <n v="68.169696969696972"/>
    <x v="208"/>
  </r>
  <r>
    <x v="8"/>
    <x v="0"/>
    <n v="157"/>
    <n v="1850"/>
    <d v="2013-12-09T18:11:00"/>
    <d v="2013-12-10T03:07:00"/>
    <n v="269"/>
    <n v="330"/>
    <n v="296"/>
    <s v="Boiler water condition (not feedwater water quality)"/>
    <s v="F170High Silica"/>
    <s v="Mill Creek"/>
    <x v="0"/>
    <s v="Coal"/>
    <x v="1"/>
    <x v="0"/>
    <n v="12"/>
    <n v="8.9333333332906477"/>
    <n v="1.6513131313052409"/>
    <n v="488.78868686635133"/>
    <n v="54.715151515151518"/>
    <x v="2"/>
  </r>
  <r>
    <x v="8"/>
    <x v="2"/>
    <n v="158"/>
    <n v="360"/>
    <d v="2013-12-09T23:00:00"/>
    <d v="2013-12-09T23:40:00"/>
    <n v="220"/>
    <n v="330"/>
    <n v="296"/>
    <s v="Burners"/>
    <s v="F5302A Mill - Burners Inspection"/>
    <s v="Mill Creek"/>
    <x v="0"/>
    <s v="Coal"/>
    <x v="1"/>
    <x v="0"/>
    <n v="12"/>
    <n v="0.6666666665696539"/>
    <n v="0.22222222218988463"/>
    <n v="65.777777768205851"/>
    <n v="98.666666666666671"/>
    <x v="26"/>
  </r>
  <r>
    <x v="8"/>
    <x v="0"/>
    <n v="159"/>
    <n v="1850"/>
    <d v="2013-12-10T03:07:00"/>
    <d v="2013-12-10T06:14:00"/>
    <n v="221"/>
    <n v="330"/>
    <n v="296"/>
    <s v="Boiler water condition (not feedwater water quality)"/>
    <s v="F170High Silica"/>
    <s v="Mill Creek"/>
    <x v="0"/>
    <s v="Coal"/>
    <x v="1"/>
    <x v="0"/>
    <n v="12"/>
    <n v="3.1166666666977108"/>
    <n v="1.0294444444546984"/>
    <n v="304.71555555859072"/>
    <n v="97.769696969696966"/>
    <x v="190"/>
  </r>
  <r>
    <x v="8"/>
    <x v="0"/>
    <n v="160"/>
    <n v="1850"/>
    <d v="2013-12-10T06:14:00"/>
    <d v="2013-12-10T16:30:00"/>
    <n v="256"/>
    <n v="330"/>
    <n v="296"/>
    <s v="Boiler water condition (not feedwater water quality)"/>
    <s v="F170High Silica"/>
    <s v="Mill Creek"/>
    <x v="0"/>
    <s v="Coal"/>
    <x v="1"/>
    <x v="0"/>
    <n v="12"/>
    <n v="10.266666666604578"/>
    <n v="2.3022222222082993"/>
    <n v="681.45777777365663"/>
    <n v="66.375757575757575"/>
    <x v="244"/>
  </r>
  <r>
    <x v="8"/>
    <x v="0"/>
    <n v="161"/>
    <n v="1850"/>
    <d v="2013-12-10T16:30:00"/>
    <d v="2013-12-11T10:56:00"/>
    <n v="272"/>
    <n v="330"/>
    <n v="296"/>
    <s v="Boiler water condition (not feedwater water quality)"/>
    <s v="F170High Silica"/>
    <s v="Mill Creek"/>
    <x v="0"/>
    <s v="Coal"/>
    <x v="1"/>
    <x v="0"/>
    <n v="12"/>
    <n v="18.433333333348855"/>
    <n v="3.2397979798007079"/>
    <n v="958.98020202100952"/>
    <n v="52.024242424242424"/>
    <x v="18"/>
  </r>
  <r>
    <x v="8"/>
    <x v="0"/>
    <n v="162"/>
    <n v="1850"/>
    <d v="2013-12-11T10:56:00"/>
    <d v="2013-12-11T18:33:00"/>
    <n v="290"/>
    <n v="330"/>
    <n v="296"/>
    <s v="Boiler water condition (not feedwater water quality)"/>
    <s v="F170High Silica"/>
    <s v="Mill Creek"/>
    <x v="0"/>
    <s v="Coal"/>
    <x v="1"/>
    <x v="0"/>
    <n v="12"/>
    <n v="7.6166666666977108"/>
    <n v="0.92323232323608617"/>
    <n v="273.27676767788148"/>
    <n v="35.878787878787875"/>
    <x v="32"/>
  </r>
  <r>
    <x v="8"/>
    <x v="0"/>
    <n v="163"/>
    <n v="1850"/>
    <d v="2013-12-11T18:33:00"/>
    <d v="2013-12-13T00:01:00"/>
    <n v="270"/>
    <n v="330"/>
    <n v="296"/>
    <s v="Boiler water condition (not feedwater water quality)"/>
    <s v="F170High Silica"/>
    <s v="Mill Creek"/>
    <x v="0"/>
    <s v="Coal"/>
    <x v="1"/>
    <x v="0"/>
    <n v="12"/>
    <n v="29.466666666674428"/>
    <n v="5.3575757575771688"/>
    <n v="1585.8424242428418"/>
    <n v="53.81818181818182"/>
    <x v="158"/>
  </r>
  <r>
    <x v="8"/>
    <x v="0"/>
    <n v="164"/>
    <n v="1850"/>
    <d v="2013-12-13T00:01:00"/>
    <d v="2013-12-13T05:50:00"/>
    <n v="190"/>
    <n v="330"/>
    <n v="296"/>
    <s v="Boiler water condition (not feedwater water quality)"/>
    <s v="F170High Silica"/>
    <s v="Mill Creek"/>
    <x v="0"/>
    <s v="Coal"/>
    <x v="1"/>
    <x v="0"/>
    <n v="12"/>
    <n v="5.816666666592937"/>
    <n v="2.4676767676454885"/>
    <n v="730.4323232230646"/>
    <n v="125.57575757575758"/>
    <x v="248"/>
  </r>
  <r>
    <x v="8"/>
    <x v="0"/>
    <n v="165"/>
    <n v="1850"/>
    <d v="2013-12-13T05:50:00"/>
    <d v="2013-12-13T12:00:00"/>
    <n v="260"/>
    <n v="330"/>
    <n v="296"/>
    <s v="Boiler water condition (not feedwater water quality)"/>
    <s v="F170High Silica"/>
    <s v="Mill Creek"/>
    <x v="0"/>
    <s v="Coal"/>
    <x v="1"/>
    <x v="0"/>
    <n v="12"/>
    <n v="6.1666666666860692"/>
    <n v="1.3080808080849238"/>
    <n v="387.19191919313744"/>
    <n v="62.787878787878789"/>
    <x v="187"/>
  </r>
  <r>
    <x v="8"/>
    <x v="0"/>
    <n v="166"/>
    <n v="1850"/>
    <d v="2013-12-13T12:00:00"/>
    <d v="2013-12-14T16:12:00"/>
    <n v="285"/>
    <n v="330"/>
    <n v="296"/>
    <s v="Boiler water condition (not feedwater water quality)"/>
    <s v="F170High Silica"/>
    <s v="Mill Creek"/>
    <x v="0"/>
    <s v="Coal"/>
    <x v="1"/>
    <x v="0"/>
    <n v="12"/>
    <n v="28.200000000069849"/>
    <n v="3.8454545454640705"/>
    <n v="1138.2545454573649"/>
    <n v="40.363636363636367"/>
    <x v="157"/>
  </r>
  <r>
    <x v="8"/>
    <x v="0"/>
    <n v="167"/>
    <n v="1850"/>
    <d v="2013-12-14T16:12:00"/>
    <d v="2013-12-16T22:45:00"/>
    <n v="280"/>
    <n v="330"/>
    <n v="296"/>
    <s v="Boiler water condition (not feedwater water quality)"/>
    <s v="F170High Silica"/>
    <s v="Mill Creek"/>
    <x v="0"/>
    <s v="Coal"/>
    <x v="1"/>
    <x v="0"/>
    <n v="12"/>
    <n v="54.549999999871943"/>
    <n v="8.2651515151321124"/>
    <n v="2446.4848484791055"/>
    <n v="44.848484848484851"/>
    <x v="23"/>
  </r>
  <r>
    <x v="8"/>
    <x v="0"/>
    <n v="168"/>
    <n v="1850"/>
    <d v="2013-12-16T22:45:00"/>
    <d v="2013-12-17T02:00:00"/>
    <n v="310"/>
    <n v="330"/>
    <n v="296"/>
    <s v="Boiler water condition (not feedwater water quality)"/>
    <s v="F170High Silica"/>
    <s v="Mill Creek"/>
    <x v="0"/>
    <s v="Coal"/>
    <x v="1"/>
    <x v="0"/>
    <n v="12"/>
    <n v="3.2500000001164153"/>
    <n v="0.19696969697675246"/>
    <n v="58.303030305118725"/>
    <n v="17.939393939393938"/>
    <x v="5"/>
  </r>
  <r>
    <x v="8"/>
    <x v="0"/>
    <n v="169"/>
    <n v="1850"/>
    <d v="2013-12-17T02:00:00"/>
    <d v="2013-12-18T03:18:00"/>
    <n v="265"/>
    <n v="330"/>
    <n v="296"/>
    <s v="Boiler water condition (not feedwater water quality)"/>
    <s v="F170High Silica"/>
    <s v="Mill Creek"/>
    <x v="0"/>
    <s v="Coal"/>
    <x v="1"/>
    <x v="0"/>
    <n v="12"/>
    <n v="25.299999999871943"/>
    <n v="4.98333333330811"/>
    <n v="1475.0666666592006"/>
    <n v="58.303030303030305"/>
    <x v="237"/>
  </r>
  <r>
    <x v="8"/>
    <x v="0"/>
    <n v="170"/>
    <n v="1850"/>
    <d v="2013-12-18T03:18:00"/>
    <d v="2013-12-19T06:59:00"/>
    <n v="255"/>
    <n v="330"/>
    <n v="296"/>
    <s v="Boiler water condition (not feedwater water quality)"/>
    <s v="F170High Silica"/>
    <s v="Mill Creek"/>
    <x v="0"/>
    <s v="Coal"/>
    <x v="1"/>
    <x v="0"/>
    <n v="12"/>
    <n v="27.683333333465271"/>
    <n v="6.2916666666966528"/>
    <n v="1862.3333333422092"/>
    <n v="67.272727272727266"/>
    <x v="105"/>
  </r>
  <r>
    <x v="8"/>
    <x v="0"/>
    <n v="171"/>
    <n v="1850"/>
    <d v="2013-12-19T06:59:00"/>
    <d v="2013-12-23T08:12:00"/>
    <n v="290"/>
    <n v="330"/>
    <n v="296"/>
    <s v="Boiler water condition (not feedwater water quality)"/>
    <s v="F170High Silica"/>
    <s v="Mill Creek"/>
    <x v="0"/>
    <s v="Coal"/>
    <x v="1"/>
    <x v="0"/>
    <n v="12"/>
    <n v="97.21666666661622"/>
    <n v="11.783838383832268"/>
    <n v="3488.0161616143514"/>
    <n v="35.878787878787875"/>
    <x v="32"/>
  </r>
  <r>
    <x v="8"/>
    <x v="0"/>
    <n v="172"/>
    <n v="1850"/>
    <d v="2013-12-23T08:12:00"/>
    <d v="2013-12-23T13:00:00"/>
    <n v="235"/>
    <n v="330"/>
    <n v="296"/>
    <s v="Boiler water condition (not feedwater water quality)"/>
    <s v="F170High Silica"/>
    <s v="Mill Creek"/>
    <x v="0"/>
    <s v="Coal"/>
    <x v="1"/>
    <x v="0"/>
    <n v="12"/>
    <n v="4.7999999999301508"/>
    <n v="1.3818181817980737"/>
    <n v="409.01818181222984"/>
    <n v="85.212121212121218"/>
    <x v="196"/>
  </r>
  <r>
    <x v="8"/>
    <x v="0"/>
    <n v="173"/>
    <n v="250"/>
    <d v="2013-12-23T13:00:00"/>
    <d v="2013-12-23T15:10:00"/>
    <n v="170"/>
    <n v="330"/>
    <n v="296"/>
    <s v="Pulverizer feeders"/>
    <s v="FW00High Silica and Wet Coal - 2A Coal Mill Feeder"/>
    <s v="Mill Creek"/>
    <x v="0"/>
    <s v="Coal"/>
    <x v="1"/>
    <x v="0"/>
    <n v="12"/>
    <n v="2.1666666667442769"/>
    <n v="1.0505050505426796"/>
    <n v="310.94949496063316"/>
    <n v="143.5151515151515"/>
    <x v="250"/>
  </r>
  <r>
    <x v="8"/>
    <x v="0"/>
    <n v="174"/>
    <n v="250"/>
    <d v="2013-12-23T15:10:00"/>
    <d v="2013-12-23T16:30:00"/>
    <n v="80"/>
    <n v="330"/>
    <n v="296"/>
    <s v="Pulverizer feeders"/>
    <s v="FW00High Silica and Wet Coal Issues - 2A, 2B and 2C Coal Mill Feeders"/>
    <s v="Mill Creek"/>
    <x v="0"/>
    <s v="Coal"/>
    <x v="1"/>
    <x v="0"/>
    <n v="12"/>
    <n v="1.3333333333139308"/>
    <n v="1.0101010100863113"/>
    <n v="298.98989898554811"/>
    <n v="224.24242424242425"/>
    <x v="143"/>
  </r>
  <r>
    <x v="8"/>
    <x v="0"/>
    <n v="175"/>
    <n v="250"/>
    <d v="2013-12-23T16:30:00"/>
    <d v="2013-12-23T22:22:00"/>
    <n v="160"/>
    <n v="330"/>
    <n v="296"/>
    <s v="Pulverizer feeders"/>
    <s v="F060High Silica / 2B Coal Mill Feeder Clean Out Conveyor Repairs"/>
    <s v="Mill Creek"/>
    <x v="0"/>
    <s v="Coal"/>
    <x v="1"/>
    <x v="0"/>
    <n v="12"/>
    <n v="5.8666666665812954"/>
    <n v="3.0222222221782431"/>
    <n v="894.57777776475996"/>
    <n v="152.4848484848485"/>
    <x v="251"/>
  </r>
  <r>
    <x v="8"/>
    <x v="4"/>
    <n v="176"/>
    <n v="1850"/>
    <d v="2013-12-23T22:22:00"/>
    <d v="2013-12-26T02:10:00"/>
    <n v="0"/>
    <n v="330"/>
    <n v="296"/>
    <s v="Boiler water condition (not feedwater water quality)"/>
    <s v="F170Maintenance Outage - Boiler Chemistry"/>
    <s v="Mill Creek"/>
    <x v="2"/>
    <s v="Coal"/>
    <x v="1"/>
    <x v="0"/>
    <n v="12"/>
    <n v="51.800000000162981"/>
    <n v="51.800000000162981"/>
    <n v="15332.800000048243"/>
    <n v="296"/>
    <x v="202"/>
  </r>
  <r>
    <x v="8"/>
    <x v="0"/>
    <n v="177"/>
    <n v="1850"/>
    <d v="2013-12-26T10:27:00"/>
    <d v="2013-12-26T16:00:00"/>
    <n v="166"/>
    <n v="330"/>
    <n v="296"/>
    <s v="Boiler water condition (not feedwater water quality)"/>
    <s v="F170High Silica"/>
    <s v="Mill Creek"/>
    <x v="0"/>
    <s v="Coal"/>
    <x v="1"/>
    <x v="0"/>
    <n v="12"/>
    <n v="5.5499999999301508"/>
    <n v="2.7581818181471052"/>
    <n v="816.42181817154312"/>
    <n v="147.10303030303029"/>
    <x v="252"/>
  </r>
  <r>
    <x v="8"/>
    <x v="0"/>
    <n v="178"/>
    <n v="1850"/>
    <d v="2013-12-26T16:00:00"/>
    <d v="2013-12-26T18:28:00"/>
    <n v="220"/>
    <n v="330"/>
    <n v="296"/>
    <s v="Boiler water condition (not feedwater water quality)"/>
    <s v="F170High Silica"/>
    <s v="Mill Creek"/>
    <x v="0"/>
    <s v="Coal"/>
    <x v="1"/>
    <x v="0"/>
    <n v="12"/>
    <n v="2.4666666666744277"/>
    <n v="0.82222222222480923"/>
    <n v="243.37777777854353"/>
    <n v="98.666666666666671"/>
    <x v="26"/>
  </r>
  <r>
    <x v="8"/>
    <x v="0"/>
    <n v="179"/>
    <n v="1850"/>
    <d v="2013-12-26T18:28:00"/>
    <d v="2013-12-26T22:35:00"/>
    <n v="204"/>
    <n v="330"/>
    <n v="296"/>
    <s v="Boiler water condition (not feedwater water quality)"/>
    <s v="F170High Silica"/>
    <s v="Mill Creek"/>
    <x v="0"/>
    <s v="Coal"/>
    <x v="1"/>
    <x v="0"/>
    <n v="12"/>
    <n v="4.1166666666395031"/>
    <n v="1.5718181818078103"/>
    <n v="465.25818181511187"/>
    <n v="113.01818181818182"/>
    <x v="253"/>
  </r>
  <r>
    <x v="8"/>
    <x v="0"/>
    <n v="180"/>
    <n v="1850"/>
    <d v="2013-12-26T22:35:00"/>
    <d v="2013-12-27T08:30:00"/>
    <n v="230"/>
    <n v="330"/>
    <n v="296"/>
    <s v="Boiler water condition (not feedwater water quality)"/>
    <s v="F170High Silica"/>
    <s v="Mill Creek"/>
    <x v="0"/>
    <s v="Coal"/>
    <x v="1"/>
    <x v="0"/>
    <n v="12"/>
    <n v="9.9166666666860692"/>
    <n v="3.0050505050563845"/>
    <n v="889.49494949668986"/>
    <n v="89.696969696969703"/>
    <x v="160"/>
  </r>
  <r>
    <x v="8"/>
    <x v="0"/>
    <n v="181"/>
    <n v="1850"/>
    <d v="2013-12-27T08:30:00"/>
    <d v="2013-12-28T01:29:00"/>
    <n v="250"/>
    <n v="330"/>
    <n v="296"/>
    <s v="Boiler water condition (not feedwater water quality)"/>
    <s v="F170High Silica"/>
    <s v="Mill Creek"/>
    <x v="0"/>
    <s v="Coal"/>
    <x v="1"/>
    <x v="0"/>
    <n v="12"/>
    <n v="16.983333333337214"/>
    <n v="4.1171717171726581"/>
    <n v="1218.6828282831068"/>
    <n v="71.757575757575751"/>
    <x v="243"/>
  </r>
  <r>
    <x v="8"/>
    <x v="0"/>
    <n v="182"/>
    <n v="1850"/>
    <d v="2013-12-28T01:29:00"/>
    <d v="2013-12-28T04:04:00"/>
    <n v="306"/>
    <n v="330"/>
    <n v="296"/>
    <s v="Boiler water condition (not feedwater water quality)"/>
    <s v="F170High Silica"/>
    <s v="Mill Creek"/>
    <x v="0"/>
    <s v="Coal"/>
    <x v="1"/>
    <x v="0"/>
    <n v="12"/>
    <n v="2.5833333333721384"/>
    <n v="0.18787878788161008"/>
    <n v="55.612121212956588"/>
    <n v="21.527272727272727"/>
    <x v="7"/>
  </r>
  <r>
    <x v="8"/>
    <x v="5"/>
    <n v="183"/>
    <n v="9320"/>
    <d v="2013-12-28T04:04:00"/>
    <d v="2013-12-28T13:43:00"/>
    <n v="0"/>
    <n v="330"/>
    <n v="296"/>
    <s v="Other miscellaneous external problems"/>
    <s v="F820Water in UPS Cabinet"/>
    <s v="Mill Creek"/>
    <x v="3"/>
    <s v="Coal"/>
    <x v="1"/>
    <x v="0"/>
    <n v="12"/>
    <n v="9.6500000000232831"/>
    <n v="9.6500000000232831"/>
    <n v="2856.4000000068918"/>
    <n v="296"/>
    <x v="202"/>
  </r>
  <r>
    <x v="8"/>
    <x v="0"/>
    <n v="184"/>
    <n v="1850"/>
    <d v="2013-12-28T19:30:00"/>
    <d v="2013-12-29T03:35:00"/>
    <n v="165"/>
    <n v="330"/>
    <n v="296"/>
    <s v="Boiler water condition (not feedwater water quality)"/>
    <s v="F170High Silica"/>
    <s v="Mill Creek"/>
    <x v="0"/>
    <s v="Coal"/>
    <x v="1"/>
    <x v="0"/>
    <n v="12"/>
    <n v="8.0833333333139308"/>
    <n v="4.0416666666569654"/>
    <n v="1196.3333333304618"/>
    <n v="148"/>
    <x v="85"/>
  </r>
  <r>
    <x v="8"/>
    <x v="0"/>
    <n v="185"/>
    <n v="1850"/>
    <d v="2013-12-29T03:35:00"/>
    <d v="2013-12-30T01:36:00"/>
    <n v="205"/>
    <n v="330"/>
    <n v="296"/>
    <s v="Boiler water condition (not feedwater water quality)"/>
    <s v="F170High Silica"/>
    <s v="Mill Creek"/>
    <x v="0"/>
    <s v="Coal"/>
    <x v="1"/>
    <x v="0"/>
    <n v="12"/>
    <n v="22.016666666662786"/>
    <n v="8.3396464646449946"/>
    <n v="2468.5353535349186"/>
    <n v="112.12121212121212"/>
    <x v="38"/>
  </r>
  <r>
    <x v="8"/>
    <x v="0"/>
    <n v="186"/>
    <n v="1850"/>
    <d v="2013-12-30T01:36:00"/>
    <d v="2013-12-30T08:30:00"/>
    <n v="224"/>
    <n v="330"/>
    <n v="296"/>
    <s v="Boiler water condition (not feedwater water quality)"/>
    <s v="F170High Silica"/>
    <s v="Mill Creek"/>
    <x v="0"/>
    <s v="Coal"/>
    <x v="1"/>
    <x v="0"/>
    <n v="12"/>
    <n v="6.8999999999650754"/>
    <n v="2.2163636363524182"/>
    <n v="656.04363636031576"/>
    <n v="95.078787878787878"/>
    <x v="19"/>
  </r>
  <r>
    <x v="8"/>
    <x v="0"/>
    <n v="187"/>
    <n v="1850"/>
    <d v="2013-12-30T08:30:00"/>
    <d v="2013-12-30T16:13:00"/>
    <n v="245"/>
    <n v="330"/>
    <n v="296"/>
    <s v="Boiler water condition (not feedwater water quality)"/>
    <s v="F170High Silica"/>
    <s v="Mill Creek"/>
    <x v="0"/>
    <s v="Coal"/>
    <x v="1"/>
    <x v="0"/>
    <n v="12"/>
    <n v="7.7166666666744277"/>
    <n v="1.9876262626282617"/>
    <n v="588.33737373796544"/>
    <n v="76.242424242424249"/>
    <x v="220"/>
  </r>
  <r>
    <x v="8"/>
    <x v="0"/>
    <n v="188"/>
    <n v="1850"/>
    <d v="2013-12-30T16:13:00"/>
    <d v="2013-12-30T23:00:00"/>
    <n v="256"/>
    <n v="330"/>
    <n v="296"/>
    <s v="Boiler water condition (not feedwater water quality)"/>
    <s v="F170High Silica"/>
    <s v="Mill Creek"/>
    <x v="0"/>
    <s v="Coal"/>
    <x v="1"/>
    <x v="0"/>
    <n v="12"/>
    <n v="6.7833333334419876"/>
    <n v="1.521111111135476"/>
    <n v="450.24888889610088"/>
    <n v="66.375757575757575"/>
    <x v="244"/>
  </r>
  <r>
    <x v="8"/>
    <x v="0"/>
    <n v="189"/>
    <n v="1850"/>
    <d v="2013-12-30T23:00:00"/>
    <d v="2013-12-31T08:55:00"/>
    <n v="276"/>
    <n v="330"/>
    <n v="296"/>
    <s v="Boiler water condition (not feedwater water quality)"/>
    <s v="F170High Silica"/>
    <s v="Mill Creek"/>
    <x v="0"/>
    <s v="Coal"/>
    <x v="1"/>
    <x v="0"/>
    <n v="12"/>
    <n v="9.9166666666860692"/>
    <n v="1.6227272727304476"/>
    <n v="480.32727272821251"/>
    <n v="48.436363636363637"/>
    <x v="22"/>
  </r>
  <r>
    <x v="8"/>
    <x v="0"/>
    <n v="190"/>
    <n v="1850"/>
    <d v="2013-12-31T08:55:00"/>
    <d v="2013-12-31T12:19:00"/>
    <n v="325"/>
    <n v="330"/>
    <n v="296"/>
    <s v="Boiler water condition (not feedwater water quality)"/>
    <s v="F170High Silica"/>
    <s v="Mill Creek"/>
    <x v="0"/>
    <s v="Coal"/>
    <x v="1"/>
    <x v="0"/>
    <n v="12"/>
    <n v="3.3999999999068677"/>
    <n v="5.151515151374042E-2"/>
    <n v="15.248484848067164"/>
    <n v="4.4848484848484844"/>
    <x v="9"/>
  </r>
  <r>
    <x v="8"/>
    <x v="0"/>
    <n v="191"/>
    <n v="1850"/>
    <d v="2013-12-31T12:19:00"/>
    <d v="2013-12-31T16:20:00"/>
    <n v="300"/>
    <n v="330"/>
    <n v="296"/>
    <s v="Boiler water condition (not feedwater water quality)"/>
    <s v="F170High Silica"/>
    <s v="Mill Creek"/>
    <x v="0"/>
    <s v="Coal"/>
    <x v="1"/>
    <x v="0"/>
    <n v="12"/>
    <n v="4.0166666666627862"/>
    <n v="0.3651515151511624"/>
    <n v="108.08484848474407"/>
    <n v="26.90909090909091"/>
    <x v="6"/>
  </r>
  <r>
    <x v="8"/>
    <x v="0"/>
    <n v="192"/>
    <n v="1850"/>
    <d v="2013-12-31T16:20:00"/>
    <d v="2013-12-31T21:40:00"/>
    <n v="280"/>
    <n v="330"/>
    <n v="296"/>
    <s v="Boiler water condition (not feedwater water quality)"/>
    <s v="F170High Silica"/>
    <s v="Mill Creek"/>
    <x v="0"/>
    <s v="Coal"/>
    <x v="1"/>
    <x v="0"/>
    <n v="12"/>
    <n v="5.3333333334303461"/>
    <n v="0.80808080809550697"/>
    <n v="239.19191919627008"/>
    <n v="44.848484848484851"/>
    <x v="23"/>
  </r>
  <r>
    <x v="8"/>
    <x v="0"/>
    <n v="193"/>
    <n v="1850"/>
    <d v="2013-12-31T21:40:00"/>
    <d v="2013-12-31T22:30:00"/>
    <n v="325"/>
    <n v="330"/>
    <n v="296"/>
    <s v="Boiler water condition (not feedwater water quality)"/>
    <s v="F170High Silica"/>
    <s v="Mill Creek"/>
    <x v="0"/>
    <s v="Coal"/>
    <x v="1"/>
    <x v="0"/>
    <n v="12"/>
    <n v="0.83333333325572312"/>
    <n v="1.2626262625086714E-2"/>
    <n v="3.7373737370256674"/>
    <n v="4.4848484848484844"/>
    <x v="9"/>
  </r>
  <r>
    <x v="8"/>
    <x v="0"/>
    <n v="194"/>
    <n v="250"/>
    <d v="2013-12-31T22:30:00"/>
    <d v="2014-01-01T00:00:00"/>
    <n v="250"/>
    <n v="330"/>
    <n v="296"/>
    <s v="Pulverizer feeders"/>
    <s v="F5902B Coal Feeder - Replace Belt"/>
    <s v="Mill Creek"/>
    <x v="0"/>
    <s v="Coal"/>
    <x v="1"/>
    <x v="0"/>
    <n v="12"/>
    <n v="1.5"/>
    <n v="0.36363636363636365"/>
    <n v="107.63636363636364"/>
    <n v="71.757575757575751"/>
    <x v="243"/>
  </r>
  <r>
    <x v="8"/>
    <x v="0"/>
    <n v="1"/>
    <n v="250"/>
    <d v="2014-01-01T00:00:00"/>
    <d v="2014-01-01T10:30:00"/>
    <n v="250"/>
    <n v="330"/>
    <n v="296"/>
    <s v="Pulverizer feeders"/>
    <s v="F5902B Coal Feeder - Replace Belt"/>
    <s v="Mill Creek"/>
    <x v="0"/>
    <s v="Coal"/>
    <x v="1"/>
    <x v="1"/>
    <n v="1"/>
    <n v="10.5"/>
    <n v="2.5454545454545454"/>
    <n v="753.4545454545455"/>
    <n v="71.757575757575751"/>
    <x v="243"/>
  </r>
  <r>
    <x v="8"/>
    <x v="0"/>
    <n v="2"/>
    <n v="1850"/>
    <d v="2014-01-01T10:30:00"/>
    <d v="2014-01-01T15:30:00"/>
    <n v="310"/>
    <n v="330"/>
    <n v="296"/>
    <s v="Boiler water condition (not feedwater water quality)"/>
    <s v="F170High Silica"/>
    <s v="Mill Creek"/>
    <x v="0"/>
    <s v="Coal"/>
    <x v="1"/>
    <x v="1"/>
    <n v="1"/>
    <n v="5.0000000000582077"/>
    <n v="0.30303030303383077"/>
    <n v="89.696969698013902"/>
    <n v="17.939393939393938"/>
    <x v="5"/>
  </r>
  <r>
    <x v="8"/>
    <x v="0"/>
    <n v="3"/>
    <n v="250"/>
    <d v="2014-01-02T04:15:00"/>
    <d v="2014-01-02T05:24:00"/>
    <n v="250"/>
    <n v="330"/>
    <n v="296"/>
    <s v="Pulverizer feeders"/>
    <s v="F7202B Coal Feeder - Belt Slipping"/>
    <s v="Mill Creek"/>
    <x v="0"/>
    <s v="Coal"/>
    <x v="1"/>
    <x v="1"/>
    <n v="1"/>
    <n v="1.1499999999068677"/>
    <n v="0.27878787876530126"/>
    <n v="82.521212114529177"/>
    <n v="71.757575757575751"/>
    <x v="243"/>
  </r>
  <r>
    <x v="8"/>
    <x v="4"/>
    <n v="4"/>
    <n v="1000"/>
    <d v="2014-01-02T10:39:00"/>
    <d v="2014-01-04T11:51:00"/>
    <n v="0"/>
    <n v="330"/>
    <n v="296"/>
    <s v="Waterwall (Furnace wall) A"/>
    <s v="F540Boiler Tube Leak - Waterwall"/>
    <s v="Mill Creek"/>
    <x v="2"/>
    <s v="Coal"/>
    <x v="1"/>
    <x v="1"/>
    <n v="1"/>
    <n v="49.200000000069849"/>
    <n v="49.200000000069849"/>
    <n v="14563.200000020675"/>
    <n v="296"/>
    <x v="202"/>
  </r>
  <r>
    <x v="8"/>
    <x v="3"/>
    <n v="5"/>
    <n v="1850"/>
    <d v="2014-01-04T11:51:00"/>
    <d v="2014-01-04T21:11:00"/>
    <n v="0"/>
    <n v="330"/>
    <n v="296"/>
    <s v="Boiler water condition (not feedwater water quality)"/>
    <s v="F170High Silica @ Warm Start Up"/>
    <s v="Mill Creek"/>
    <x v="1"/>
    <s v="Coal"/>
    <x v="1"/>
    <x v="1"/>
    <n v="1"/>
    <n v="9.3333333333721384"/>
    <n v="9.3333333333721384"/>
    <n v="2762.666666678153"/>
    <n v="296"/>
    <x v="202"/>
  </r>
  <r>
    <x v="8"/>
    <x v="0"/>
    <n v="6"/>
    <n v="1850"/>
    <d v="2014-01-04T21:11:00"/>
    <d v="2014-01-05T05:35:00"/>
    <n v="205"/>
    <n v="330"/>
    <n v="296"/>
    <s v="Boiler water condition (not feedwater water quality)"/>
    <s v="F170High Silica"/>
    <s v="Mill Creek"/>
    <x v="0"/>
    <s v="Coal"/>
    <x v="1"/>
    <x v="1"/>
    <n v="1"/>
    <n v="8.3999999999650754"/>
    <n v="3.1818181818049527"/>
    <n v="941.81818181426604"/>
    <n v="112.12121212121212"/>
    <x v="38"/>
  </r>
  <r>
    <x v="8"/>
    <x v="0"/>
    <n v="7"/>
    <n v="1850"/>
    <d v="2014-01-05T05:35:00"/>
    <d v="2014-01-06T01:00:00"/>
    <n v="260"/>
    <n v="330"/>
    <n v="296"/>
    <s v="Boiler water condition (not feedwater water quality)"/>
    <s v="F170High Silica"/>
    <s v="Mill Creek"/>
    <x v="0"/>
    <s v="Coal"/>
    <x v="1"/>
    <x v="1"/>
    <n v="1"/>
    <n v="19.416666666569654"/>
    <n v="4.1186868686662903"/>
    <n v="1219.1313131252218"/>
    <n v="62.787878787878789"/>
    <x v="187"/>
  </r>
  <r>
    <x v="8"/>
    <x v="0"/>
    <n v="8"/>
    <n v="1850"/>
    <d v="2014-01-06T01:00:00"/>
    <d v="2014-01-06T09:28:00"/>
    <n v="280"/>
    <n v="330"/>
    <n v="296"/>
    <s v="Boiler water condition (not feedwater water quality)"/>
    <s v="F170High Silica"/>
    <s v="Mill Creek"/>
    <x v="0"/>
    <s v="Coal"/>
    <x v="1"/>
    <x v="1"/>
    <n v="1"/>
    <n v="8.4666666666744277"/>
    <n v="1.2828282828294588"/>
    <n v="379.71717171751982"/>
    <n v="44.848484848484851"/>
    <x v="23"/>
  </r>
  <r>
    <x v="8"/>
    <x v="0"/>
    <n v="9"/>
    <n v="1850"/>
    <d v="2014-01-06T09:28:00"/>
    <d v="2014-01-06T19:00:00"/>
    <n v="320"/>
    <n v="330"/>
    <n v="296"/>
    <s v="Boiler water condition (not feedwater water quality)"/>
    <s v="F170High Silica"/>
    <s v="Mill Creek"/>
    <x v="0"/>
    <s v="Coal"/>
    <x v="1"/>
    <x v="1"/>
    <n v="1"/>
    <n v="9.5333333333255723"/>
    <n v="0.28888888888865372"/>
    <n v="85.511111111041501"/>
    <n v="8.9696969696969688"/>
    <x v="94"/>
  </r>
  <r>
    <x v="8"/>
    <x v="0"/>
    <n v="10"/>
    <n v="1850"/>
    <d v="2014-01-06T19:00:00"/>
    <d v="2014-01-06T22:36:00"/>
    <n v="300"/>
    <n v="330"/>
    <n v="296"/>
    <s v="Boiler water condition (not feedwater water quality)"/>
    <s v="F170High Silica"/>
    <s v="Mill Creek"/>
    <x v="0"/>
    <s v="Coal"/>
    <x v="1"/>
    <x v="1"/>
    <n v="1"/>
    <n v="3.6000000000349246"/>
    <n v="0.32727272727590223"/>
    <n v="96.872727273667067"/>
    <n v="26.90909090909091"/>
    <x v="6"/>
  </r>
  <r>
    <x v="8"/>
    <x v="0"/>
    <n v="11"/>
    <n v="250"/>
    <d v="2014-01-07T05:45:00"/>
    <d v="2014-01-07T07:15:00"/>
    <n v="240"/>
    <n v="330"/>
    <n v="296"/>
    <s v="Pulverizer feeders"/>
    <s v="FW002A Coal Feeder - Plugged, Frozen/Wet Coal"/>
    <s v="Mill Creek"/>
    <x v="0"/>
    <s v="Coal"/>
    <x v="1"/>
    <x v="1"/>
    <n v="1"/>
    <n v="1.5"/>
    <n v="0.40909090909090912"/>
    <n v="121.09090909090909"/>
    <n v="80.727272727272734"/>
    <x v="240"/>
  </r>
  <r>
    <x v="8"/>
    <x v="0"/>
    <n v="12"/>
    <n v="1850"/>
    <d v="2014-01-07T12:15:00"/>
    <d v="2014-01-08T09:50:00"/>
    <n v="280"/>
    <n v="330"/>
    <n v="296"/>
    <s v="Boiler water condition (not feedwater water quality)"/>
    <s v="F170High Silica"/>
    <s v="Mill Creek"/>
    <x v="0"/>
    <s v="Coal"/>
    <x v="1"/>
    <x v="1"/>
    <n v="1"/>
    <n v="21.583333333313931"/>
    <n v="3.2702020201990805"/>
    <n v="967.97979797892776"/>
    <n v="44.848484848484851"/>
    <x v="23"/>
  </r>
  <r>
    <x v="8"/>
    <x v="0"/>
    <n v="13"/>
    <n v="1850"/>
    <d v="2014-01-08T09:50:00"/>
    <d v="2014-01-08T12:15:00"/>
    <n v="295"/>
    <n v="330"/>
    <n v="296"/>
    <s v="Boiler water condition (not feedwater water quality)"/>
    <s v="F170High Silica"/>
    <s v="Mill Creek"/>
    <x v="0"/>
    <s v="Coal"/>
    <x v="1"/>
    <x v="1"/>
    <n v="1"/>
    <n v="2.4166666666860692"/>
    <n v="0.25631313131518918"/>
    <n v="75.868686869295999"/>
    <n v="31.393939393939394"/>
    <x v="246"/>
  </r>
  <r>
    <x v="8"/>
    <x v="0"/>
    <n v="14"/>
    <n v="1850"/>
    <d v="2014-01-08T12:15:00"/>
    <d v="2014-01-09T09:35:00"/>
    <n v="315"/>
    <n v="330"/>
    <n v="296"/>
    <s v="Boiler water condition (not feedwater water quality)"/>
    <s v="F170High Silica"/>
    <s v="Mill Creek"/>
    <x v="0"/>
    <s v="Coal"/>
    <x v="1"/>
    <x v="1"/>
    <n v="1"/>
    <n v="21.333333333372138"/>
    <n v="0.96969696969873354"/>
    <n v="287.03030303082511"/>
    <n v="13.454545454545455"/>
    <x v="20"/>
  </r>
  <r>
    <x v="8"/>
    <x v="2"/>
    <n v="15"/>
    <n v="250"/>
    <d v="2014-01-09T21:02:00"/>
    <d v="2014-01-10T04:09:00"/>
    <n v="225"/>
    <n v="330"/>
    <n v="296"/>
    <s v="Pulverizer feeders"/>
    <s v="F0902B Coal Feeder - Calibration"/>
    <s v="Mill Creek"/>
    <x v="0"/>
    <s v="Coal"/>
    <x v="1"/>
    <x v="1"/>
    <n v="1"/>
    <n v="7.1166666668141261"/>
    <n v="2.2643939394408581"/>
    <n v="670.26060607449404"/>
    <n v="94.181818181818187"/>
    <x v="194"/>
  </r>
  <r>
    <x v="8"/>
    <x v="2"/>
    <n v="16"/>
    <n v="250"/>
    <d v="2014-01-13T00:35:00"/>
    <d v="2014-01-13T05:00:00"/>
    <n v="245"/>
    <n v="330"/>
    <n v="296"/>
    <s v="Pulverizer feeders"/>
    <s v="F0902D Coal Feeder - Calibration"/>
    <s v="Mill Creek"/>
    <x v="0"/>
    <s v="Coal"/>
    <x v="1"/>
    <x v="1"/>
    <n v="1"/>
    <n v="4.4166666667442769"/>
    <n v="1.1376262626462532"/>
    <n v="336.73737374329096"/>
    <n v="76.242424242424249"/>
    <x v="220"/>
  </r>
  <r>
    <x v="8"/>
    <x v="3"/>
    <n v="17"/>
    <n v="1160"/>
    <d v="2014-01-16T23:00:00"/>
    <d v="2014-01-17T04:00:00"/>
    <n v="0"/>
    <n v="330"/>
    <n v="296"/>
    <s v="First reheater B"/>
    <s v="F320Boiler Deslag - First Reheater.  Full load available in needed."/>
    <s v="Mill Creek"/>
    <x v="1"/>
    <s v="Coal"/>
    <x v="1"/>
    <x v="1"/>
    <n v="1"/>
    <n v="4.9999999998835847"/>
    <n v="4.9999999998835847"/>
    <n v="1479.9999999655411"/>
    <n v="296"/>
    <x v="202"/>
  </r>
  <r>
    <x v="8"/>
    <x v="3"/>
    <n v="18"/>
    <n v="1160"/>
    <d v="2014-01-17T22:15:00"/>
    <d v="2014-01-18T05:00:00"/>
    <n v="0"/>
    <n v="330"/>
    <n v="296"/>
    <s v="First reheater B"/>
    <s v="F320Boiler Deslag - First Reheater.  Full load available if needed."/>
    <s v="Mill Creek"/>
    <x v="1"/>
    <s v="Coal"/>
    <x v="1"/>
    <x v="1"/>
    <n v="1"/>
    <n v="6.75"/>
    <n v="6.75"/>
    <n v="1998"/>
    <n v="296"/>
    <x v="202"/>
  </r>
  <r>
    <x v="8"/>
    <x v="3"/>
    <n v="19"/>
    <n v="1160"/>
    <d v="2014-01-18T21:05:00"/>
    <d v="2014-01-19T05:00:00"/>
    <n v="0"/>
    <n v="330"/>
    <n v="296"/>
    <s v="First reheater B"/>
    <s v="F320Boiler Deslag - First Reheater.  Full load available if needed."/>
    <s v="Mill Creek"/>
    <x v="1"/>
    <s v="Coal"/>
    <x v="1"/>
    <x v="1"/>
    <n v="1"/>
    <n v="7.9166666668024845"/>
    <n v="7.9166666668024845"/>
    <n v="2343.3333333735354"/>
    <n v="296"/>
    <x v="202"/>
  </r>
  <r>
    <x v="8"/>
    <x v="2"/>
    <n v="20"/>
    <n v="310"/>
    <d v="2014-01-19T23:30:00"/>
    <d v="2014-01-20T04:26:00"/>
    <n v="245"/>
    <n v="330"/>
    <n v="296"/>
    <s v="Pulverizer mills"/>
    <s v="F5302D Coal Mill - Inspection"/>
    <s v="Mill Creek"/>
    <x v="0"/>
    <s v="Coal"/>
    <x v="1"/>
    <x v="1"/>
    <n v="1"/>
    <n v="4.9333333333488554"/>
    <n v="1.2707070707110688"/>
    <n v="376.12929293047637"/>
    <n v="76.242424242424249"/>
    <x v="220"/>
  </r>
  <r>
    <x v="8"/>
    <x v="0"/>
    <n v="21"/>
    <n v="250"/>
    <d v="2014-01-23T22:08:00"/>
    <d v="2014-01-23T23:28:00"/>
    <n v="240"/>
    <n v="330"/>
    <n v="296"/>
    <s v="Pulverizer feeders"/>
    <s v="FW002B Coal Feeder - Plugged, Frozen Coal"/>
    <s v="Mill Creek"/>
    <x v="0"/>
    <s v="Coal"/>
    <x v="1"/>
    <x v="1"/>
    <n v="1"/>
    <n v="1.3333333333139308"/>
    <n v="0.36363636363107205"/>
    <n v="107.63636363479732"/>
    <n v="80.727272727272734"/>
    <x v="240"/>
  </r>
  <r>
    <x v="8"/>
    <x v="0"/>
    <n v="22"/>
    <n v="250"/>
    <d v="2014-01-24T05:33:00"/>
    <d v="2014-01-24T07:30:00"/>
    <n v="240"/>
    <n v="330"/>
    <n v="296"/>
    <s v="Pulverizer feeders"/>
    <s v="FW002B Coal Feeder - Plugged, Frozen Coal"/>
    <s v="Mill Creek"/>
    <x v="0"/>
    <s v="Coal"/>
    <x v="1"/>
    <x v="1"/>
    <n v="1"/>
    <n v="1.9500000000698492"/>
    <n v="0.53181818183723162"/>
    <n v="157.41818182382056"/>
    <n v="80.727272727272734"/>
    <x v="240"/>
  </r>
  <r>
    <x v="8"/>
    <x v="3"/>
    <n v="23"/>
    <n v="1160"/>
    <d v="2014-01-24T23:00:00"/>
    <d v="2014-01-25T06:50:00"/>
    <n v="0"/>
    <n v="330"/>
    <n v="296"/>
    <s v="First reheater B"/>
    <s v="F320Boiler Deslag - First Reheater.  Full load available if needed."/>
    <s v="Mill Creek"/>
    <x v="1"/>
    <s v="Coal"/>
    <x v="1"/>
    <x v="1"/>
    <n v="1"/>
    <n v="7.8333333331975155"/>
    <n v="7.8333333331975155"/>
    <n v="2318.6666666264646"/>
    <n v="296"/>
    <x v="202"/>
  </r>
  <r>
    <x v="8"/>
    <x v="5"/>
    <n v="24"/>
    <n v="4267"/>
    <d v="2014-01-25T22:11:00"/>
    <d v="2014-01-26T12:32:00"/>
    <n v="0"/>
    <n v="330"/>
    <n v="296"/>
    <s v="Control valve testing"/>
    <s v="F820Turbine Control Valve Test - Trip"/>
    <s v="Mill Creek"/>
    <x v="3"/>
    <s v="Coal"/>
    <x v="1"/>
    <x v="1"/>
    <n v="1"/>
    <n v="14.349999999976717"/>
    <n v="14.349999999976717"/>
    <n v="4247.5999999931082"/>
    <n v="296"/>
    <x v="202"/>
  </r>
  <r>
    <x v="8"/>
    <x v="0"/>
    <n v="27"/>
    <n v="1850"/>
    <d v="2014-01-26T06:15:00"/>
    <d v="2014-01-27T08:08:00"/>
    <n v="160"/>
    <n v="330"/>
    <n v="296"/>
    <s v="Boiler water condition (not feedwater water quality)"/>
    <s v="F170High Silica"/>
    <s v="Mill Creek"/>
    <x v="0"/>
    <s v="Coal"/>
    <x v="1"/>
    <x v="1"/>
    <n v="1"/>
    <n v="25.883333333360497"/>
    <n v="13.333838383852378"/>
    <n v="3946.8161616203038"/>
    <n v="152.4848484848485"/>
    <x v="251"/>
  </r>
  <r>
    <x v="8"/>
    <x v="0"/>
    <n v="25"/>
    <n v="310"/>
    <d v="2014-01-26T12:32:00"/>
    <d v="2014-01-26T18:32:00"/>
    <n v="240"/>
    <n v="330"/>
    <n v="296"/>
    <s v="Pulverizer mills"/>
    <s v="F4502D Coal Mill - Explosion, Ductwork Repair"/>
    <s v="Mill Creek"/>
    <x v="0"/>
    <s v="Coal"/>
    <x v="1"/>
    <x v="1"/>
    <n v="1"/>
    <n v="6"/>
    <n v="1.6363636363636365"/>
    <n v="484.36363636363637"/>
    <n v="80.727272727272734"/>
    <x v="240"/>
  </r>
  <r>
    <x v="8"/>
    <x v="0"/>
    <n v="26"/>
    <n v="1850"/>
    <d v="2014-01-26T18:32:00"/>
    <d v="2014-01-27T06:15:00"/>
    <n v="165"/>
    <n v="330"/>
    <n v="296"/>
    <s v="Boiler water condition (not feedwater water quality)"/>
    <s v="F170High Silica"/>
    <s v="Mill Creek"/>
    <x v="0"/>
    <s v="Coal"/>
    <x v="1"/>
    <x v="1"/>
    <n v="1"/>
    <n v="11.71666666661622"/>
    <n v="5.85833333330811"/>
    <n v="1734.0666666592006"/>
    <n v="148"/>
    <x v="85"/>
  </r>
  <r>
    <x v="8"/>
    <x v="0"/>
    <n v="28"/>
    <n v="1850"/>
    <d v="2014-01-27T08:08:00"/>
    <d v="2014-01-27T09:55:00"/>
    <n v="190"/>
    <n v="330"/>
    <n v="296"/>
    <s v="Boiler water condition (not feedwater water quality)"/>
    <s v="F170High Silica"/>
    <s v="Mill Creek"/>
    <x v="0"/>
    <s v="Coal"/>
    <x v="1"/>
    <x v="1"/>
    <n v="1"/>
    <n v="1.78333333338378"/>
    <n v="0.75656565658705821"/>
    <n v="223.94343434976923"/>
    <n v="125.57575757575758"/>
    <x v="248"/>
  </r>
  <r>
    <x v="8"/>
    <x v="0"/>
    <n v="29"/>
    <n v="310"/>
    <d v="2014-01-27T09:55:00"/>
    <d v="2014-01-27T13:56:00"/>
    <n v="245"/>
    <n v="330"/>
    <n v="296"/>
    <s v="Pulverizer mills"/>
    <s v="F5902D Coal Mill - Ductwork Repair"/>
    <s v="Mill Creek"/>
    <x v="0"/>
    <s v="Coal"/>
    <x v="1"/>
    <x v="1"/>
    <n v="1"/>
    <n v="4.0166666666627862"/>
    <n v="1.0345959595949601"/>
    <n v="306.24040404010816"/>
    <n v="76.242424242424249"/>
    <x v="220"/>
  </r>
  <r>
    <x v="8"/>
    <x v="0"/>
    <n v="30"/>
    <n v="310"/>
    <d v="2014-01-27T13:56:00"/>
    <d v="2014-01-27T15:52:00"/>
    <n v="270"/>
    <n v="330"/>
    <n v="296"/>
    <s v="Pulverizer mills"/>
    <s v="F5902D Coal Mill - Ductwork Repair"/>
    <s v="Mill Creek"/>
    <x v="0"/>
    <s v="Coal"/>
    <x v="1"/>
    <x v="1"/>
    <n v="1"/>
    <n v="1.9333333333488554"/>
    <n v="0.35151515151797369"/>
    <n v="104.04848484932022"/>
    <n v="53.81818181818182"/>
    <x v="158"/>
  </r>
  <r>
    <x v="8"/>
    <x v="0"/>
    <n v="31"/>
    <n v="310"/>
    <d v="2014-01-27T15:52:00"/>
    <d v="2014-01-27T16:39:00"/>
    <n v="240"/>
    <n v="330"/>
    <n v="296"/>
    <s v="Pulverizer mills"/>
    <s v="F5902D Coal Mill - Ductwork Repair"/>
    <s v="Mill Creek"/>
    <x v="0"/>
    <s v="Coal"/>
    <x v="1"/>
    <x v="1"/>
    <n v="1"/>
    <n v="0.78333333326736465"/>
    <n v="0.21363636361837218"/>
    <n v="63.236363631038166"/>
    <n v="80.727272727272734"/>
    <x v="240"/>
  </r>
  <r>
    <x v="8"/>
    <x v="0"/>
    <n v="32"/>
    <n v="310"/>
    <d v="2014-01-27T16:39:00"/>
    <d v="2014-01-27T20:39:00"/>
    <n v="270"/>
    <n v="330"/>
    <n v="296"/>
    <s v="Pulverizer mills"/>
    <s v="F5902D Coal Mill - Ductwork Repair"/>
    <s v="Mill Creek"/>
    <x v="0"/>
    <s v="Coal"/>
    <x v="1"/>
    <x v="1"/>
    <n v="1"/>
    <n v="4.0000000001164153"/>
    <n v="0.72727272729389369"/>
    <n v="215.27272727899253"/>
    <n v="53.81818181818182"/>
    <x v="158"/>
  </r>
  <r>
    <x v="8"/>
    <x v="3"/>
    <n v="33"/>
    <n v="1160"/>
    <d v="2014-01-29T21:00:00"/>
    <d v="2014-01-30T01:55:00"/>
    <n v="0"/>
    <n v="330"/>
    <n v="296"/>
    <s v="First reheater B"/>
    <s v="F320Boiler Deslag - First Reheater.  Full load available if needed."/>
    <s v="Mill Creek"/>
    <x v="1"/>
    <s v="Coal"/>
    <x v="1"/>
    <x v="1"/>
    <n v="1"/>
    <n v="4.9166666666278616"/>
    <n v="4.9166666666278616"/>
    <n v="1455.333333321847"/>
    <n v="296"/>
    <x v="202"/>
  </r>
  <r>
    <x v="8"/>
    <x v="3"/>
    <n v="34"/>
    <n v="1160"/>
    <d v="2014-01-30T22:15:00"/>
    <d v="2014-01-31T04:00:00"/>
    <n v="0"/>
    <n v="330"/>
    <n v="296"/>
    <s v="First reheater B"/>
    <s v="F320Boiler Deslag - First ReheaterFull Load Available as Needed"/>
    <s v="Mill Creek"/>
    <x v="1"/>
    <s v="Coal"/>
    <x v="1"/>
    <x v="1"/>
    <n v="1"/>
    <n v="5.7499999998835847"/>
    <n v="5.7499999998835847"/>
    <n v="1701.9999999655411"/>
    <n v="296"/>
    <x v="202"/>
  </r>
  <r>
    <x v="8"/>
    <x v="5"/>
    <n v="35"/>
    <n v="3149"/>
    <d v="2014-02-01T23:37:00"/>
    <d v="2014-02-02T06:35:00"/>
    <n v="0"/>
    <n v="330"/>
    <n v="296"/>
    <s v="Loss of vacuum not attributable to a particular component such as air ejectors or valves; or"/>
    <s v="F820Condenser Vacuum Trip"/>
    <s v="Mill Creek"/>
    <x v="3"/>
    <s v="Coal"/>
    <x v="1"/>
    <x v="1"/>
    <n v="2"/>
    <n v="6.9666666666744277"/>
    <n v="6.9666666666744277"/>
    <n v="2062.1333333356306"/>
    <n v="296"/>
    <x v="202"/>
  </r>
  <r>
    <x v="8"/>
    <x v="3"/>
    <n v="36"/>
    <n v="1850"/>
    <d v="2014-02-02T06:35:00"/>
    <d v="2014-02-02T14:15:00"/>
    <n v="0"/>
    <n v="330"/>
    <n v="296"/>
    <s v="Boiler water condition (not feedwater water quality)"/>
    <s v="F170High Silica @ Hot Start Up"/>
    <s v="Mill Creek"/>
    <x v="1"/>
    <s v="Coal"/>
    <x v="1"/>
    <x v="1"/>
    <n v="2"/>
    <n v="7.6666666666860692"/>
    <n v="7.6666666666860692"/>
    <n v="2269.3333333390765"/>
    <n v="296"/>
    <x v="202"/>
  </r>
  <r>
    <x v="8"/>
    <x v="0"/>
    <n v="37"/>
    <n v="1850"/>
    <d v="2014-02-02T14:15:00"/>
    <d v="2014-02-02T22:00:00"/>
    <n v="260"/>
    <n v="330"/>
    <n v="296"/>
    <s v="Boiler water condition (not feedwater water quality)"/>
    <s v="F170High Silica"/>
    <s v="Mill Creek"/>
    <x v="0"/>
    <s v="Coal"/>
    <x v="1"/>
    <x v="1"/>
    <n v="2"/>
    <n v="7.7499999999417923"/>
    <n v="1.6439393939270468"/>
    <n v="486.60606060240588"/>
    <n v="62.787878787878789"/>
    <x v="187"/>
  </r>
  <r>
    <x v="8"/>
    <x v="2"/>
    <n v="38"/>
    <n v="310"/>
    <d v="2014-02-02T22:00:00"/>
    <d v="2014-02-03T06:25:00"/>
    <n v="240"/>
    <n v="330"/>
    <n v="296"/>
    <s v="Pulverizer mills"/>
    <s v="F5302A Coal Mill - Inspection"/>
    <s v="Mill Creek"/>
    <x v="0"/>
    <s v="Coal"/>
    <x v="1"/>
    <x v="1"/>
    <n v="2"/>
    <n v="8.4166666666860692"/>
    <n v="2.2954545454598372"/>
    <n v="679.45454545611176"/>
    <n v="80.727272727272734"/>
    <x v="240"/>
  </r>
  <r>
    <x v="8"/>
    <x v="0"/>
    <n v="39"/>
    <n v="1700"/>
    <d v="2014-02-03T08:15:00"/>
    <d v="2014-02-03T10:23:00"/>
    <n v="280"/>
    <n v="330"/>
    <n v="296"/>
    <s v="Feedwater controls (report local controls --- feedwater pump"/>
    <s v="F400Feedwater Flow Issue"/>
    <s v="Mill Creek"/>
    <x v="0"/>
    <s v="Coal"/>
    <x v="1"/>
    <x v="1"/>
    <n v="2"/>
    <n v="2.1333333333022892"/>
    <n v="0.32323232322761958"/>
    <n v="95.676767675375402"/>
    <n v="44.848484848484851"/>
    <x v="23"/>
  </r>
  <r>
    <x v="8"/>
    <x v="0"/>
    <n v="40"/>
    <n v="1850"/>
    <d v="2014-02-03T10:23:00"/>
    <d v="2014-02-03T21:05:00"/>
    <n v="320"/>
    <n v="330"/>
    <n v="296"/>
    <s v="Boiler water condition (not feedwater water quality)"/>
    <s v="F170High Silica"/>
    <s v="Mill Creek"/>
    <x v="0"/>
    <s v="Coal"/>
    <x v="1"/>
    <x v="1"/>
    <n v="2"/>
    <n v="10.699999999953434"/>
    <n v="0.32424242424101313"/>
    <n v="95.975757575339884"/>
    <n v="8.9696969696969688"/>
    <x v="94"/>
  </r>
  <r>
    <x v="8"/>
    <x v="2"/>
    <n v="41"/>
    <n v="310"/>
    <d v="2014-02-03T23:00:00"/>
    <d v="2014-02-04T04:15:00"/>
    <n v="240"/>
    <n v="330"/>
    <n v="296"/>
    <s v="Pulverizer mills"/>
    <s v="F5902D Coal Mill - Adjust Rollers &amp; Inspection"/>
    <s v="Mill Creek"/>
    <x v="0"/>
    <s v="Coal"/>
    <x v="1"/>
    <x v="1"/>
    <n v="2"/>
    <n v="5.25"/>
    <n v="1.4318181818181819"/>
    <n v="423.81818181818181"/>
    <n v="80.727272727272734"/>
    <x v="240"/>
  </r>
  <r>
    <x v="8"/>
    <x v="2"/>
    <n v="42"/>
    <n v="310"/>
    <d v="2014-02-04T23:00:00"/>
    <d v="2014-02-05T04:45:00"/>
    <n v="240"/>
    <n v="330"/>
    <n v="296"/>
    <s v="Pulverizer mills"/>
    <s v="F5302B Coal Mill - Inspection"/>
    <s v="Mill Creek"/>
    <x v="0"/>
    <s v="Coal"/>
    <x v="1"/>
    <x v="1"/>
    <n v="2"/>
    <n v="5.7499999998835847"/>
    <n v="1.5681818181500686"/>
    <n v="464.18181817242032"/>
    <n v="80.727272727272734"/>
    <x v="240"/>
  </r>
  <r>
    <x v="8"/>
    <x v="0"/>
    <n v="43"/>
    <n v="250"/>
    <d v="2014-02-05T03:53:00"/>
    <d v="2014-02-05T04:29:00"/>
    <n v="190"/>
    <n v="330"/>
    <n v="296"/>
    <s v="Pulverizer feeders"/>
    <s v="FW002A Coal Feeder - Wet Coal"/>
    <s v="Mill Creek"/>
    <x v="0"/>
    <s v="Coal"/>
    <x v="1"/>
    <x v="1"/>
    <n v="2"/>
    <n v="0.59999999986030161"/>
    <n v="0.25454545448618854"/>
    <n v="75.345454527911812"/>
    <n v="125.57575757575758"/>
    <x v="248"/>
  </r>
  <r>
    <x v="8"/>
    <x v="0"/>
    <n v="44"/>
    <n v="250"/>
    <d v="2014-02-05T05:48:00"/>
    <d v="2014-02-05T07:56:00"/>
    <n v="250"/>
    <n v="330"/>
    <n v="296"/>
    <s v="Pulverizer feeders"/>
    <s v="FW002B Coal Feeder - Wet Coal"/>
    <s v="Mill Creek"/>
    <x v="0"/>
    <s v="Coal"/>
    <x v="1"/>
    <x v="1"/>
    <n v="2"/>
    <n v="2.1333333333022892"/>
    <n v="0.5171717171641913"/>
    <n v="153.08282828060064"/>
    <n v="71.757575757575751"/>
    <x v="243"/>
  </r>
  <r>
    <x v="8"/>
    <x v="0"/>
    <n v="45"/>
    <n v="1850"/>
    <d v="2014-02-05T07:56:00"/>
    <d v="2014-02-05T09:43:00"/>
    <n v="305"/>
    <n v="330"/>
    <n v="296"/>
    <s v="Boiler water condition (not feedwater water quality)"/>
    <s v="F170High Silica"/>
    <s v="Mill Creek"/>
    <x v="0"/>
    <s v="Coal"/>
    <x v="1"/>
    <x v="1"/>
    <n v="2"/>
    <n v="1.78333333338378"/>
    <n v="0.1351010101048318"/>
    <n v="39.989898991030216"/>
    <n v="22.424242424242426"/>
    <x v="7"/>
  </r>
  <r>
    <x v="8"/>
    <x v="0"/>
    <n v="46"/>
    <n v="1850"/>
    <d v="2014-02-05T09:43:00"/>
    <d v="2014-02-05T13:25:00"/>
    <n v="314"/>
    <n v="330"/>
    <n v="296"/>
    <s v="Boiler water condition (not feedwater water quality)"/>
    <s v="F170High Silica"/>
    <s v="Mill Creek"/>
    <x v="0"/>
    <s v="Coal"/>
    <x v="1"/>
    <x v="1"/>
    <n v="2"/>
    <n v="3.7000000000116415"/>
    <n v="0.17939393939450382"/>
    <n v="53.100606060773131"/>
    <n v="14.351515151515152"/>
    <x v="61"/>
  </r>
  <r>
    <x v="8"/>
    <x v="3"/>
    <n v="47"/>
    <n v="1160"/>
    <d v="2014-02-07T23:00:00"/>
    <d v="2014-02-08T05:30:00"/>
    <n v="0"/>
    <n v="330"/>
    <n v="296"/>
    <s v="First reheater B"/>
    <s v="F320Boiler Deslag - First ReheaterFull Load Available as Needed"/>
    <s v="Mill Creek"/>
    <x v="1"/>
    <s v="Coal"/>
    <x v="1"/>
    <x v="1"/>
    <n v="2"/>
    <n v="6.4999999998835847"/>
    <n v="6.4999999998835847"/>
    <n v="1923.9999999655411"/>
    <n v="296"/>
    <x v="202"/>
  </r>
  <r>
    <x v="8"/>
    <x v="0"/>
    <n v="48"/>
    <n v="1160"/>
    <d v="2014-02-08T05:30:00"/>
    <d v="2014-02-08T07:35:00"/>
    <n v="140"/>
    <n v="330"/>
    <n v="296"/>
    <s v="First reheater B"/>
    <s v="F320Boiler Deslag - First Reheater"/>
    <s v="Mill Creek"/>
    <x v="0"/>
    <s v="Coal"/>
    <x v="1"/>
    <x v="1"/>
    <n v="2"/>
    <n v="2.0833333333139308"/>
    <n v="1.1994949494837783"/>
    <n v="355.05050504719839"/>
    <n v="170.42424242424244"/>
    <x v="245"/>
  </r>
  <r>
    <x v="8"/>
    <x v="0"/>
    <n v="49"/>
    <n v="1160"/>
    <d v="2014-02-08T07:35:00"/>
    <d v="2014-02-08T09:28:00"/>
    <n v="240"/>
    <n v="330"/>
    <n v="296"/>
    <s v="First reheater B"/>
    <s v="F320Boiler Slag - First Reheater"/>
    <s v="Mill Creek"/>
    <x v="0"/>
    <s v="Coal"/>
    <x v="1"/>
    <x v="1"/>
    <n v="2"/>
    <n v="1.8833333333604969"/>
    <n v="0.51363636364377185"/>
    <n v="152.03636363855648"/>
    <n v="80.727272727272734"/>
    <x v="240"/>
  </r>
  <r>
    <x v="8"/>
    <x v="3"/>
    <n v="50"/>
    <n v="1160"/>
    <d v="2014-02-08T22:00:00"/>
    <d v="2014-02-09T04:00:00"/>
    <n v="0"/>
    <n v="330"/>
    <n v="296"/>
    <s v="First reheater B"/>
    <s v="F320Boiler Deslag - First ReheaterFull Load Available as Needed"/>
    <s v="Mill Creek"/>
    <x v="1"/>
    <s v="Coal"/>
    <x v="1"/>
    <x v="1"/>
    <n v="2"/>
    <n v="6"/>
    <n v="6"/>
    <n v="1776"/>
    <n v="296"/>
    <x v="202"/>
  </r>
  <r>
    <x v="8"/>
    <x v="3"/>
    <n v="51"/>
    <n v="1160"/>
    <d v="2014-02-09T21:12:00"/>
    <d v="2014-02-10T03:17:00"/>
    <n v="0"/>
    <n v="330"/>
    <n v="296"/>
    <s v="First reheater B"/>
    <s v="F320Boiler Deslag - First ReheaterFull Load Available as Needed"/>
    <s v="Mill Creek"/>
    <x v="1"/>
    <s v="Coal"/>
    <x v="1"/>
    <x v="1"/>
    <n v="2"/>
    <n v="6.0833333334303461"/>
    <n v="6.0833333334303461"/>
    <n v="1800.6666666953824"/>
    <n v="296"/>
    <x v="202"/>
  </r>
  <r>
    <x v="8"/>
    <x v="3"/>
    <n v="52"/>
    <n v="8460"/>
    <d v="2014-02-11T08:00:00"/>
    <d v="2014-02-11T12:20:00"/>
    <n v="0"/>
    <n v="330"/>
    <n v="296"/>
    <s v="Testing A"/>
    <s v="F790Particulate Matter Testing - Full Load"/>
    <s v="Mill Creek"/>
    <x v="1"/>
    <s v="Coal"/>
    <x v="1"/>
    <x v="1"/>
    <n v="2"/>
    <n v="4.3333333333139308"/>
    <n v="4.3333333333139308"/>
    <n v="1282.6666666609235"/>
    <n v="296"/>
    <x v="202"/>
  </r>
  <r>
    <x v="8"/>
    <x v="3"/>
    <n v="53"/>
    <n v="1160"/>
    <d v="2014-02-11T12:21:00"/>
    <d v="2014-02-11T16:30:00"/>
    <n v="0"/>
    <n v="330"/>
    <n v="296"/>
    <s v="First reheater B"/>
    <s v="F320Boiler Deslag - First ReheaterFull Load Available as Needed"/>
    <s v="Mill Creek"/>
    <x v="1"/>
    <s v="Coal"/>
    <x v="1"/>
    <x v="1"/>
    <n v="2"/>
    <n v="4.1500000000814907"/>
    <n v="4.1500000000814907"/>
    <n v="1228.4000000241213"/>
    <n v="296"/>
    <x v="202"/>
  </r>
  <r>
    <x v="8"/>
    <x v="3"/>
    <n v="54"/>
    <n v="1160"/>
    <d v="2014-02-12T22:00:00"/>
    <d v="2014-02-13T04:50:00"/>
    <n v="0"/>
    <n v="330"/>
    <n v="296"/>
    <s v="First reheater B"/>
    <s v="F320Boiler Deslag - First ReheaterFull Load Available as Needed"/>
    <s v="Mill Creek"/>
    <x v="1"/>
    <s v="Coal"/>
    <x v="1"/>
    <x v="1"/>
    <n v="2"/>
    <n v="6.8333333334303461"/>
    <n v="6.8333333334303461"/>
    <n v="2022.6666666953824"/>
    <n v="296"/>
    <x v="202"/>
  </r>
  <r>
    <x v="8"/>
    <x v="3"/>
    <n v="55"/>
    <n v="8460"/>
    <d v="2014-02-13T08:00:00"/>
    <d v="2014-02-13T13:11:00"/>
    <n v="0"/>
    <n v="330"/>
    <n v="296"/>
    <s v="Testing A"/>
    <s v="F790Particulate Matter Testing - Full Load"/>
    <s v="Mill Creek"/>
    <x v="1"/>
    <s v="Coal"/>
    <x v="1"/>
    <x v="1"/>
    <n v="2"/>
    <n v="5.1833333332906477"/>
    <n v="5.1833333332906477"/>
    <n v="1534.2666666540317"/>
    <n v="296"/>
    <x v="202"/>
  </r>
  <r>
    <x v="8"/>
    <x v="0"/>
    <n v="56"/>
    <n v="1160"/>
    <d v="2014-02-14T11:25:00"/>
    <d v="2014-02-15T00:32:00"/>
    <n v="275"/>
    <n v="330"/>
    <n v="296"/>
    <s v="First reheater B"/>
    <s v="F320Boiler Slag - First Reheater"/>
    <s v="Mill Creek"/>
    <x v="0"/>
    <s v="Coal"/>
    <x v="1"/>
    <x v="1"/>
    <n v="2"/>
    <n v="13.116666666639503"/>
    <n v="2.1861111111065838"/>
    <n v="647.08888888754882"/>
    <n v="49.333333333333336"/>
    <x v="227"/>
  </r>
  <r>
    <x v="8"/>
    <x v="4"/>
    <n v="57"/>
    <n v="1050"/>
    <d v="2014-02-15T00:32:00"/>
    <d v="2014-02-17T22:00:00"/>
    <n v="0"/>
    <n v="330"/>
    <n v="296"/>
    <s v="Second superheater B"/>
    <s v="F540Boiler Tube Leak - Second Superheater"/>
    <s v="Mill Creek"/>
    <x v="2"/>
    <s v="Coal"/>
    <x v="1"/>
    <x v="1"/>
    <n v="2"/>
    <n v="69.46666666661622"/>
    <n v="69.46666666661622"/>
    <n v="20562.133333318401"/>
    <n v="296"/>
    <x v="202"/>
  </r>
  <r>
    <x v="8"/>
    <x v="7"/>
    <n v="58"/>
    <n v="380"/>
    <d v="2014-02-17T22:00:00"/>
    <d v="2014-02-18T13:40:00"/>
    <n v="0"/>
    <n v="330"/>
    <n v="296"/>
    <s v="Light-off (igniter) systems (including fuel supply)"/>
    <s v="F400Gas Igniter Issues"/>
    <s v="Mill Creek"/>
    <x v="3"/>
    <s v="Coal"/>
    <x v="1"/>
    <x v="1"/>
    <n v="2"/>
    <n v="15.666666666744277"/>
    <n v="15.666666666744277"/>
    <n v="4637.333333356306"/>
    <n v="296"/>
    <x v="202"/>
  </r>
  <r>
    <x v="8"/>
    <x v="3"/>
    <n v="59"/>
    <n v="1850"/>
    <d v="2014-02-18T13:40:00"/>
    <d v="2014-02-18T22:15:00"/>
    <n v="0"/>
    <n v="330"/>
    <n v="296"/>
    <s v="Boiler water condition (not feedwater water quality)"/>
    <s v="F170High Silica @ Warm Start Up"/>
    <s v="Mill Creek"/>
    <x v="1"/>
    <s v="Coal"/>
    <x v="1"/>
    <x v="1"/>
    <n v="2"/>
    <n v="8.5833333333721384"/>
    <n v="8.5833333333721384"/>
    <n v="2540.666666678153"/>
    <n v="296"/>
    <x v="202"/>
  </r>
  <r>
    <x v="8"/>
    <x v="0"/>
    <n v="60"/>
    <n v="1850"/>
    <d v="2014-02-18T22:15:00"/>
    <d v="2014-02-19T02:00:00"/>
    <n v="240"/>
    <n v="330"/>
    <n v="296"/>
    <s v="Boiler water condition (not feedwater water quality)"/>
    <s v="F170High Silica"/>
    <s v="Mill Creek"/>
    <x v="0"/>
    <s v="Coal"/>
    <x v="1"/>
    <x v="1"/>
    <n v="2"/>
    <n v="3.75"/>
    <n v="1.0227272727272727"/>
    <n v="302.72727272727275"/>
    <n v="80.727272727272734"/>
    <x v="240"/>
  </r>
  <r>
    <x v="8"/>
    <x v="0"/>
    <n v="61"/>
    <n v="1850"/>
    <d v="2014-02-19T02:00:00"/>
    <d v="2014-02-19T04:15:00"/>
    <n v="270"/>
    <n v="330"/>
    <n v="296"/>
    <s v="Boiler water condition (not feedwater water quality)"/>
    <s v="F170High Silica"/>
    <s v="Mill Creek"/>
    <x v="0"/>
    <s v="Coal"/>
    <x v="1"/>
    <x v="1"/>
    <n v="2"/>
    <n v="2.25"/>
    <n v="0.40909090909090912"/>
    <n v="121.09090909090909"/>
    <n v="53.81818181818182"/>
    <x v="158"/>
  </r>
  <r>
    <x v="8"/>
    <x v="0"/>
    <n v="62"/>
    <n v="1850"/>
    <d v="2014-02-19T04:15:00"/>
    <d v="2014-02-19T07:00:00"/>
    <n v="285"/>
    <n v="330"/>
    <n v="296"/>
    <s v="Boiler water condition (not feedwater water quality)"/>
    <s v="F170High Silica"/>
    <s v="Mill Creek"/>
    <x v="0"/>
    <s v="Coal"/>
    <x v="1"/>
    <x v="1"/>
    <n v="2"/>
    <n v="2.7499999998835847"/>
    <n v="0.3749999999841252"/>
    <n v="110.99999999530105"/>
    <n v="40.363636363636367"/>
    <x v="157"/>
  </r>
  <r>
    <x v="8"/>
    <x v="0"/>
    <n v="63"/>
    <n v="1850"/>
    <d v="2014-02-19T07:00:00"/>
    <d v="2014-02-19T08:50:00"/>
    <n v="306"/>
    <n v="330"/>
    <n v="296"/>
    <s v="Boiler water condition (not feedwater water quality)"/>
    <s v="F170High Silica"/>
    <s v="Mill Creek"/>
    <x v="0"/>
    <s v="Coal"/>
    <x v="1"/>
    <x v="1"/>
    <n v="2"/>
    <n v="1.8333333333721384"/>
    <n v="0.13333333333615552"/>
    <n v="39.466666667502032"/>
    <n v="21.527272727272727"/>
    <x v="7"/>
  </r>
  <r>
    <x v="8"/>
    <x v="0"/>
    <n v="64"/>
    <n v="1850"/>
    <d v="2014-02-19T08:50:00"/>
    <d v="2014-02-19T21:41:00"/>
    <n v="320"/>
    <n v="330"/>
    <n v="296"/>
    <s v="Boiler water condition (not feedwater water quality)"/>
    <s v="F170High Silica"/>
    <s v="Mill Creek"/>
    <x v="0"/>
    <s v="Coal"/>
    <x v="1"/>
    <x v="1"/>
    <n v="2"/>
    <n v="12.849999999976717"/>
    <n v="0.38939393939323386"/>
    <n v="115.26060606039722"/>
    <n v="8.9696969696969688"/>
    <x v="94"/>
  </r>
  <r>
    <x v="8"/>
    <x v="0"/>
    <n v="65"/>
    <n v="1850"/>
    <d v="2014-02-20T02:40:00"/>
    <d v="2014-02-20T08:09:00"/>
    <n v="321"/>
    <n v="330"/>
    <n v="296"/>
    <s v="Boiler water condition (not feedwater water quality)"/>
    <s v="F170High Silica"/>
    <s v="Mill Creek"/>
    <x v="0"/>
    <s v="Coal"/>
    <x v="1"/>
    <x v="1"/>
    <n v="2"/>
    <n v="5.4833333333954215"/>
    <n v="0.14954545454714785"/>
    <n v="44.265454545955762"/>
    <n v="8.0727272727272723"/>
    <x v="1"/>
  </r>
  <r>
    <x v="8"/>
    <x v="0"/>
    <n v="66"/>
    <n v="250"/>
    <d v="2014-02-24T00:16:00"/>
    <d v="2014-02-24T03:46:00"/>
    <n v="315"/>
    <n v="330"/>
    <n v="296"/>
    <s v="Pulverizer feeders"/>
    <s v="F1202B Coal Feeder - Plugged, Foreign Material"/>
    <s v="Mill Creek"/>
    <x v="0"/>
    <s v="Coal"/>
    <x v="1"/>
    <x v="1"/>
    <n v="2"/>
    <n v="3.5000000000582077"/>
    <n v="0.15909090909355489"/>
    <n v="47.090909091692247"/>
    <n v="13.454545454545455"/>
    <x v="20"/>
  </r>
  <r>
    <x v="8"/>
    <x v="4"/>
    <n v="67"/>
    <n v="1000"/>
    <d v="2014-02-24T09:31:00"/>
    <d v="2014-02-25T19:47:00"/>
    <n v="0"/>
    <n v="330"/>
    <n v="296"/>
    <s v="Waterwall (Furnace wall) A"/>
    <s v="F540Boiler Tube Leak - Waterwall"/>
    <s v="Mill Creek"/>
    <x v="2"/>
    <s v="Coal"/>
    <x v="1"/>
    <x v="1"/>
    <n v="2"/>
    <n v="34.266666666779201"/>
    <n v="34.266666666779201"/>
    <n v="10142.933333366644"/>
    <n v="296"/>
    <x v="202"/>
  </r>
  <r>
    <x v="8"/>
    <x v="3"/>
    <n v="68"/>
    <n v="1850"/>
    <d v="2014-02-25T19:47:00"/>
    <d v="2014-02-26T05:39:00"/>
    <n v="0"/>
    <n v="330"/>
    <n v="296"/>
    <s v="Boiler water condition (not feedwater water quality)"/>
    <s v="F170High Silica @ Hot Start Up"/>
    <s v="Mill Creek"/>
    <x v="1"/>
    <s v="Coal"/>
    <x v="1"/>
    <x v="1"/>
    <n v="2"/>
    <n v="9.8666666666977108"/>
    <n v="9.8666666666977108"/>
    <n v="2920.5333333425224"/>
    <n v="296"/>
    <x v="202"/>
  </r>
  <r>
    <x v="8"/>
    <x v="0"/>
    <n v="69"/>
    <n v="1850"/>
    <d v="2014-02-26T05:39:00"/>
    <d v="2014-02-26T11:21:00"/>
    <n v="321"/>
    <n v="330"/>
    <n v="296"/>
    <s v="Boiler water condition (not feedwater water quality)"/>
    <s v="F170High Silica"/>
    <s v="Mill Creek"/>
    <x v="0"/>
    <s v="Coal"/>
    <x v="1"/>
    <x v="1"/>
    <n v="2"/>
    <n v="5.6999999998952262"/>
    <n v="0.15545454545168799"/>
    <n v="46.014545453699647"/>
    <n v="8.0727272727272723"/>
    <x v="1"/>
  </r>
  <r>
    <x v="8"/>
    <x v="0"/>
    <n v="70"/>
    <n v="1850"/>
    <d v="2014-02-26T11:21:00"/>
    <d v="2014-02-26T15:29:00"/>
    <n v="293"/>
    <n v="330"/>
    <n v="296"/>
    <s v="Boiler water condition (not feedwater water quality)"/>
    <s v="F170High Silica"/>
    <s v="Mill Creek"/>
    <x v="0"/>
    <s v="Coal"/>
    <x v="1"/>
    <x v="1"/>
    <n v="2"/>
    <n v="4.1333333333604969"/>
    <n v="0.46343434343738904"/>
    <n v="137.17656565746717"/>
    <n v="33.187878787878788"/>
    <x v="17"/>
  </r>
  <r>
    <x v="8"/>
    <x v="0"/>
    <n v="71"/>
    <n v="1850"/>
    <d v="2014-02-26T15:29:00"/>
    <d v="2014-02-26T16:46:00"/>
    <n v="321"/>
    <n v="330"/>
    <n v="296"/>
    <s v="Boiler water condition (not feedwater water quality)"/>
    <s v="F170High Silica"/>
    <s v="Mill Creek"/>
    <x v="0"/>
    <s v="Coal"/>
    <x v="1"/>
    <x v="1"/>
    <n v="2"/>
    <n v="1.2833333333255723"/>
    <n v="3.4999999999788332E-2"/>
    <n v="10.359999999937346"/>
    <n v="8.0727272727272723"/>
    <x v="1"/>
  </r>
  <r>
    <x v="8"/>
    <x v="3"/>
    <n v="72"/>
    <n v="1160"/>
    <d v="2014-03-04T23:30:00"/>
    <d v="2014-03-05T04:30:00"/>
    <n v="0"/>
    <n v="330"/>
    <n v="296"/>
    <s v="First reheater B"/>
    <s v="F320Boiler Deslag - First Reheater"/>
    <s v="Mill Creek"/>
    <x v="1"/>
    <s v="Coal"/>
    <x v="1"/>
    <x v="1"/>
    <n v="3"/>
    <n v="5.0000000000582077"/>
    <n v="5.0000000000582077"/>
    <n v="1480.0000000172295"/>
    <n v="296"/>
    <x v="202"/>
  </r>
  <r>
    <x v="8"/>
    <x v="3"/>
    <n v="73"/>
    <n v="4490"/>
    <d v="2014-03-05T06:00:00"/>
    <d v="2014-03-05T12:05:00"/>
    <n v="0"/>
    <n v="330"/>
    <n v="296"/>
    <s v="Turbine performance testing (use code 9999 for total unit performance testing)"/>
    <s v="F790Capability Test - Full Load"/>
    <s v="Mill Creek"/>
    <x v="1"/>
    <s v="Coal"/>
    <x v="1"/>
    <x v="1"/>
    <n v="3"/>
    <n v="6.0833333332557231"/>
    <n v="6.0833333332557231"/>
    <n v="1800.666666643694"/>
    <n v="296"/>
    <x v="202"/>
  </r>
  <r>
    <x v="8"/>
    <x v="3"/>
    <n v="74"/>
    <n v="1160"/>
    <d v="2014-03-06T00:30:00"/>
    <d v="2014-03-06T01:00:00"/>
    <n v="0"/>
    <n v="330"/>
    <n v="296"/>
    <s v="First reheater B"/>
    <s v="F320Boiler Deslag - First Reheater"/>
    <s v="Mill Creek"/>
    <x v="1"/>
    <s v="Coal"/>
    <x v="1"/>
    <x v="1"/>
    <n v="3"/>
    <n v="0.49999999988358468"/>
    <n v="0.49999999988358468"/>
    <n v="147.99999996554106"/>
    <n v="296"/>
    <x v="202"/>
  </r>
  <r>
    <x v="8"/>
    <x v="3"/>
    <n v="75"/>
    <n v="1160"/>
    <d v="2014-03-06T22:45:00"/>
    <d v="2014-03-07T03:20:00"/>
    <n v="0"/>
    <n v="330"/>
    <n v="296"/>
    <s v="First reheater B"/>
    <s v="F320Boiler Deslag - First Reheater"/>
    <s v="Mill Creek"/>
    <x v="1"/>
    <s v="Coal"/>
    <x v="1"/>
    <x v="1"/>
    <n v="3"/>
    <n v="4.5833333334303461"/>
    <n v="4.5833333334303461"/>
    <n v="1356.6666666953824"/>
    <n v="296"/>
    <x v="202"/>
  </r>
  <r>
    <x v="8"/>
    <x v="0"/>
    <n v="76"/>
    <n v="1455"/>
    <d v="2014-03-07T05:45:00"/>
    <d v="2014-03-07T07:23:00"/>
    <n v="312"/>
    <n v="330"/>
    <n v="296"/>
    <s v="Induced draft fans"/>
    <s v="F4002B Induced Draft Fan - Run Back"/>
    <s v="Mill Creek"/>
    <x v="0"/>
    <s v="Coal"/>
    <x v="1"/>
    <x v="1"/>
    <n v="3"/>
    <n v="1.6333333332440816"/>
    <n v="8.9090909086040809E-2"/>
    <n v="26.370909089468078"/>
    <n v="16.145454545454545"/>
    <x v="167"/>
  </r>
  <r>
    <x v="8"/>
    <x v="0"/>
    <n v="77"/>
    <n v="1455"/>
    <d v="2014-03-07T07:23:00"/>
    <d v="2014-03-07T11:52:00"/>
    <n v="323"/>
    <n v="330"/>
    <n v="296"/>
    <s v="Induced draft fans"/>
    <s v="F4002B Induced Draft Fan - Run Back"/>
    <s v="Mill Creek"/>
    <x v="0"/>
    <s v="Coal"/>
    <x v="1"/>
    <x v="1"/>
    <n v="3"/>
    <n v="4.4833333332790062"/>
    <n v="9.5101010099857705E-2"/>
    <n v="28.14989898955788"/>
    <n v="6.2787878787878784"/>
    <x v="151"/>
  </r>
  <r>
    <x v="8"/>
    <x v="3"/>
    <n v="78"/>
    <n v="1160"/>
    <d v="2014-03-07T13:45:00"/>
    <d v="2014-03-07T17:40:00"/>
    <n v="0"/>
    <n v="330"/>
    <n v="296"/>
    <s v="First reheater B"/>
    <s v="F320Boiler Deslag - First Reheater"/>
    <s v="Mill Creek"/>
    <x v="1"/>
    <s v="Coal"/>
    <x v="1"/>
    <x v="1"/>
    <n v="3"/>
    <n v="3.9166666666860692"/>
    <n v="3.9166666666860692"/>
    <n v="1159.3333333390765"/>
    <n v="296"/>
    <x v="202"/>
  </r>
  <r>
    <x v="8"/>
    <x v="3"/>
    <n v="79"/>
    <n v="1160"/>
    <d v="2014-03-15T23:00:00"/>
    <d v="2014-03-16T04:47:00"/>
    <n v="0"/>
    <n v="330"/>
    <n v="296"/>
    <s v="First reheater B"/>
    <s v="F320Boiler Deslag - First ReheaterFull Load Available as Needed"/>
    <s v="Mill Creek"/>
    <x v="1"/>
    <s v="Coal"/>
    <x v="1"/>
    <x v="1"/>
    <n v="3"/>
    <n v="5.7833333333255723"/>
    <n v="5.7833333333255723"/>
    <n v="1711.8666666643694"/>
    <n v="296"/>
    <x v="202"/>
  </r>
  <r>
    <x v="8"/>
    <x v="3"/>
    <n v="80"/>
    <n v="1160"/>
    <d v="2014-03-16T22:30:00"/>
    <d v="2014-03-17T03:45:00"/>
    <n v="0"/>
    <n v="330"/>
    <n v="296"/>
    <s v="First reheater B"/>
    <s v="F320Boiler Deslag - First ReheaterFull Load Available as Needed"/>
    <s v="Mill Creek"/>
    <x v="1"/>
    <s v="Coal"/>
    <x v="1"/>
    <x v="1"/>
    <n v="3"/>
    <n v="5.25"/>
    <n v="5.25"/>
    <n v="1554"/>
    <n v="296"/>
    <x v="202"/>
  </r>
  <r>
    <x v="8"/>
    <x v="2"/>
    <n v="81"/>
    <n v="310"/>
    <d v="2014-03-24T23:00:00"/>
    <d v="2014-03-25T02:09:00"/>
    <n v="240"/>
    <n v="330"/>
    <n v="296"/>
    <s v="Pulverizer mills"/>
    <s v="F5902C Coal Mill - Bowl Differential Reference Line Repair"/>
    <s v="Mill Creek"/>
    <x v="0"/>
    <s v="Coal"/>
    <x v="1"/>
    <x v="1"/>
    <n v="3"/>
    <n v="3.1499999999650754"/>
    <n v="0.85909090908138419"/>
    <n v="254.29090908808973"/>
    <n v="80.727272727272734"/>
    <x v="240"/>
  </r>
  <r>
    <x v="8"/>
    <x v="3"/>
    <n v="82"/>
    <n v="1160"/>
    <d v="2014-03-25T22:45:00"/>
    <d v="2014-03-26T03:30:00"/>
    <n v="0"/>
    <n v="330"/>
    <n v="296"/>
    <s v="First reheater B"/>
    <s v="F320Boiler Deslag - First ReheaterFull Load Available as Needed"/>
    <s v="Mill Creek"/>
    <x v="1"/>
    <s v="Coal"/>
    <x v="1"/>
    <x v="1"/>
    <n v="3"/>
    <n v="4.7500000001164153"/>
    <n v="4.7500000001164153"/>
    <n v="1406.0000000344589"/>
    <n v="296"/>
    <x v="202"/>
  </r>
  <r>
    <x v="8"/>
    <x v="3"/>
    <n v="83"/>
    <n v="1160"/>
    <d v="2014-03-30T22:35:00"/>
    <d v="2014-03-31T03:04:00"/>
    <n v="0"/>
    <n v="330"/>
    <n v="296"/>
    <s v="First reheater B"/>
    <s v="F320Boiler Deslag - First ReheaterFull Load Available as Needed"/>
    <s v="Mill Creek"/>
    <x v="1"/>
    <s v="Coal"/>
    <x v="1"/>
    <x v="1"/>
    <n v="3"/>
    <n v="4.4833333334536292"/>
    <n v="4.4833333334536292"/>
    <n v="1327.0666667022742"/>
    <n v="296"/>
    <x v="202"/>
  </r>
  <r>
    <x v="8"/>
    <x v="2"/>
    <n v="84"/>
    <n v="1160"/>
    <d v="2014-03-31T22:00:00"/>
    <d v="2014-04-01T03:34:00"/>
    <n v="140"/>
    <n v="330"/>
    <n v="296"/>
    <s v="First reheater B"/>
    <s v="F320Boiler Deslag - First ReheaterFull Load Available as Needed"/>
    <s v="Mill Creek"/>
    <x v="0"/>
    <s v="Coal"/>
    <x v="1"/>
    <x v="1"/>
    <n v="3"/>
    <n v="5.5666666666511446"/>
    <n v="3.2050505050415681"/>
    <n v="948.6949494923042"/>
    <n v="170.42424242424244"/>
    <x v="245"/>
  </r>
  <r>
    <x v="8"/>
    <x v="2"/>
    <n v="85"/>
    <n v="1160"/>
    <d v="2014-04-01T23:55:00"/>
    <d v="2014-04-02T03:10:00"/>
    <n v="140"/>
    <n v="330"/>
    <n v="296"/>
    <s v="First reheater B"/>
    <s v="F320Boiler Deslag - First ReheaterFull Load available as Needed"/>
    <s v="Mill Creek"/>
    <x v="0"/>
    <s v="Coal"/>
    <x v="1"/>
    <x v="1"/>
    <n v="4"/>
    <n v="3.2499999999417923"/>
    <n v="1.8712121211786077"/>
    <n v="553.8787878688679"/>
    <n v="170.42424242424244"/>
    <x v="245"/>
  </r>
  <r>
    <x v="8"/>
    <x v="0"/>
    <n v="86"/>
    <n v="1160"/>
    <d v="2014-04-03T00:05:00"/>
    <d v="2014-04-03T03:45:00"/>
    <n v="140"/>
    <n v="330"/>
    <n v="296"/>
    <s v="First reheater B"/>
    <s v="F320Boiler Deslag - First Reheater"/>
    <s v="Mill Creek"/>
    <x v="0"/>
    <s v="Coal"/>
    <x v="1"/>
    <x v="1"/>
    <n v="4"/>
    <n v="3.6666666667442769"/>
    <n v="2.1111111111557959"/>
    <n v="624.88888890211558"/>
    <n v="170.42424242424244"/>
    <x v="245"/>
  </r>
  <r>
    <x v="8"/>
    <x v="6"/>
    <n v="87"/>
    <n v="1800"/>
    <d v="2014-04-05T01:51:00"/>
    <d v="2014-05-04T22:22:00"/>
    <n v="0"/>
    <n v="330"/>
    <n v="296"/>
    <s v="Major boiler overhaul (720 hours or longer) (use for non-specific overhaul only; see page B-1)"/>
    <s v="F590Planned 4 Week Outage"/>
    <s v="Mill Creek"/>
    <x v="1"/>
    <s v="Coal"/>
    <x v="1"/>
    <x v="1"/>
    <n v="4"/>
    <n v="716.51666666666279"/>
    <n v="716.51666666666279"/>
    <n v="212088.93333333218"/>
    <n v="296"/>
    <x v="202"/>
  </r>
  <r>
    <x v="8"/>
    <x v="2"/>
    <n v="88"/>
    <n v="345"/>
    <d v="2014-05-04T22:22:00"/>
    <d v="2014-05-06T03:39:00"/>
    <n v="240"/>
    <n v="330"/>
    <n v="296"/>
    <s v="Pulverizer overhaul"/>
    <s v="F5902A Coal Mill - Overhaul"/>
    <s v="Mill Creek"/>
    <x v="0"/>
    <s v="Coal"/>
    <x v="1"/>
    <x v="1"/>
    <n v="5"/>
    <n v="29.283333333441988"/>
    <n v="7.9863636363932695"/>
    <n v="2363.9636363724076"/>
    <n v="80.727272727272734"/>
    <x v="240"/>
  </r>
  <r>
    <x v="8"/>
    <x v="2"/>
    <n v="89"/>
    <n v="345"/>
    <d v="2014-05-06T03:39:00"/>
    <d v="2014-05-07T07:59:00"/>
    <n v="257"/>
    <n v="330"/>
    <n v="296"/>
    <s v="Pulverizer overhaul"/>
    <s v="F5902A Coal Mill - Overhaul"/>
    <s v="Mill Creek"/>
    <x v="0"/>
    <s v="Coal"/>
    <x v="1"/>
    <x v="1"/>
    <n v="5"/>
    <n v="28.333333333313931"/>
    <n v="6.2676767676724756"/>
    <n v="1855.2323232310528"/>
    <n v="65.478787878787884"/>
    <x v="127"/>
  </r>
  <r>
    <x v="8"/>
    <x v="2"/>
    <n v="90"/>
    <n v="350"/>
    <d v="2014-05-06T23:00:00"/>
    <d v="2014-05-07T04:09:00"/>
    <n v="145"/>
    <n v="330"/>
    <n v="296"/>
    <s v="Pulverized fuel and air piping (from pulverizer to wind box)"/>
    <s v="F1202D Coal Mill - D2 Coal Conduit Plugged"/>
    <s v="Mill Creek"/>
    <x v="0"/>
    <s v="Coal"/>
    <x v="1"/>
    <x v="1"/>
    <n v="5"/>
    <n v="5.1500000000232831"/>
    <n v="2.8871212121342649"/>
    <n v="854.58787879174236"/>
    <n v="165.93939393939394"/>
    <x v="254"/>
  </r>
  <r>
    <x v="8"/>
    <x v="2"/>
    <n v="91"/>
    <n v="345"/>
    <d v="2014-05-07T07:59:00"/>
    <d v="2014-05-07T17:55:00"/>
    <n v="268"/>
    <n v="330"/>
    <n v="296"/>
    <s v="Pulverizer overhaul"/>
    <s v="F5902A Coal Mill - Overhaul"/>
    <s v="Mill Creek"/>
    <x v="0"/>
    <s v="Coal"/>
    <x v="1"/>
    <x v="1"/>
    <n v="5"/>
    <n v="9.933333333407063"/>
    <n v="1.8662626262764785"/>
    <n v="552.41373737783761"/>
    <n v="55.61212121212121"/>
    <x v="123"/>
  </r>
  <r>
    <x v="8"/>
    <x v="2"/>
    <n v="92"/>
    <n v="310"/>
    <d v="2014-05-07T22:00:00"/>
    <d v="2014-05-08T01:20:00"/>
    <n v="250"/>
    <n v="330"/>
    <n v="296"/>
    <s v="Pulverizer mills"/>
    <s v="F790Coal Mill Air Flow Testing"/>
    <s v="Mill Creek"/>
    <x v="0"/>
    <s v="Coal"/>
    <x v="1"/>
    <x v="1"/>
    <n v="5"/>
    <n v="3.3333333333721384"/>
    <n v="0.80808080809021543"/>
    <n v="239.19191919470376"/>
    <n v="71.757575757575751"/>
    <x v="243"/>
  </r>
  <r>
    <x v="8"/>
    <x v="2"/>
    <n v="93"/>
    <n v="310"/>
    <d v="2014-05-08T22:00:00"/>
    <d v="2014-05-09T02:10:00"/>
    <n v="240"/>
    <n v="330"/>
    <n v="296"/>
    <s v="Pulverizer mills"/>
    <s v="F5902A Coal Mill - Classifier Adjustment"/>
    <s v="Mill Creek"/>
    <x v="0"/>
    <s v="Coal"/>
    <x v="1"/>
    <x v="1"/>
    <n v="5"/>
    <n v="4.1666666668024845"/>
    <n v="1.1363636364006775"/>
    <n v="336.36363637460056"/>
    <n v="80.727272727272734"/>
    <x v="240"/>
  </r>
  <r>
    <x v="8"/>
    <x v="2"/>
    <n v="94"/>
    <n v="310"/>
    <d v="2014-05-14T21:27:00"/>
    <d v="2014-05-15T04:55:00"/>
    <n v="240"/>
    <n v="330"/>
    <n v="296"/>
    <s v="Pulverizer mills"/>
    <s v="F5902B Coal Mill - Adjusted Riffles"/>
    <s v="Mill Creek"/>
    <x v="0"/>
    <s v="Coal"/>
    <x v="1"/>
    <x v="1"/>
    <n v="5"/>
    <n v="7.4666666665580124"/>
    <n v="2.0363636363340034"/>
    <n v="602.76363635486496"/>
    <n v="80.727272727272734"/>
    <x v="240"/>
  </r>
  <r>
    <x v="8"/>
    <x v="2"/>
    <n v="95"/>
    <n v="310"/>
    <d v="2014-05-15T21:51:00"/>
    <d v="2014-05-16T01:41:00"/>
    <n v="240"/>
    <n v="330"/>
    <n v="296"/>
    <s v="Pulverizer mills"/>
    <s v="F5902B Coal Mill - Adjusted Riffles"/>
    <s v="Mill Creek"/>
    <x v="0"/>
    <s v="Coal"/>
    <x v="1"/>
    <x v="1"/>
    <n v="5"/>
    <n v="3.8333333334303461"/>
    <n v="1.0454545454810036"/>
    <n v="309.45454546237704"/>
    <n v="80.727272727272734"/>
    <x v="240"/>
  </r>
  <r>
    <x v="8"/>
    <x v="0"/>
    <n v="96"/>
    <n v="3133"/>
    <d v="2014-05-15T22:35:00"/>
    <d v="2014-05-16T01:27:00"/>
    <n v="141"/>
    <n v="330"/>
    <n v="296"/>
    <s v="Vacuum pumps"/>
    <s v="F8202B Condenser Vacuum Pump - Trip due to Motor Control Center (MCC) Leads to Breaker"/>
    <s v="Mill Creek"/>
    <x v="0"/>
    <s v="Coal"/>
    <x v="1"/>
    <x v="1"/>
    <n v="5"/>
    <n v="2.8666666667559184"/>
    <n v="1.6418181818692987"/>
    <n v="485.97818183331242"/>
    <n v="169.52727272727273"/>
    <x v="245"/>
  </r>
  <r>
    <x v="8"/>
    <x v="0"/>
    <n v="97"/>
    <n v="3133"/>
    <d v="2014-05-16T01:41:00"/>
    <d v="2014-05-16T07:17:00"/>
    <n v="141"/>
    <n v="330"/>
    <n v="296"/>
    <s v="Vacuum pumps"/>
    <s v="F8202B Condenser Vacuum Pump - Trip Due to Motor Control Center (MCC) Leads to Breaker"/>
    <s v="Mill Creek"/>
    <x v="0"/>
    <s v="Coal"/>
    <x v="1"/>
    <x v="1"/>
    <n v="5"/>
    <n v="5.5999999999185093"/>
    <n v="3.2072727272260555"/>
    <n v="949.35272725891241"/>
    <n v="169.52727272727273"/>
    <x v="245"/>
  </r>
  <r>
    <x v="8"/>
    <x v="0"/>
    <n v="98"/>
    <n v="3414"/>
    <d v="2014-05-16T10:24:00"/>
    <d v="2014-05-16T11:06:00"/>
    <n v="300"/>
    <n v="330"/>
    <n v="296"/>
    <s v="Feedwater pump local controls"/>
    <s v="F400Feedwater Master Issue"/>
    <s v="Mill Creek"/>
    <x v="0"/>
    <s v="Coal"/>
    <x v="1"/>
    <x v="1"/>
    <n v="5"/>
    <n v="0.70000000001164153"/>
    <n v="6.3636363637421964E-2"/>
    <n v="18.8363636366769"/>
    <n v="26.90909090909091"/>
    <x v="6"/>
  </r>
  <r>
    <x v="8"/>
    <x v="2"/>
    <n v="99"/>
    <n v="310"/>
    <d v="2014-05-18T22:21:00"/>
    <d v="2014-05-19T04:22:00"/>
    <n v="240"/>
    <n v="330"/>
    <n v="296"/>
    <s v="Pulverizer mills"/>
    <s v="F5902B Coal Mill - Adjusted Riffles"/>
    <s v="Mill Creek"/>
    <x v="0"/>
    <s v="Coal"/>
    <x v="1"/>
    <x v="1"/>
    <n v="5"/>
    <n v="6.0166666665463708"/>
    <n v="1.6409090908762829"/>
    <n v="485.70909089937976"/>
    <n v="80.727272727272734"/>
    <x v="240"/>
  </r>
  <r>
    <x v="8"/>
    <x v="2"/>
    <n v="100"/>
    <n v="310"/>
    <d v="2014-05-19T22:00:00"/>
    <d v="2014-05-20T03:44:00"/>
    <n v="240"/>
    <n v="330"/>
    <n v="296"/>
    <s v="Pulverizer mills"/>
    <s v="F5902D Coal Mill - Adjusted Riffles"/>
    <s v="Mill Creek"/>
    <x v="0"/>
    <s v="Coal"/>
    <x v="1"/>
    <x v="1"/>
    <n v="5"/>
    <n v="5.7333333333372138"/>
    <n v="1.563636363637422"/>
    <n v="462.83636363667688"/>
    <n v="80.727272727272734"/>
    <x v="240"/>
  </r>
  <r>
    <x v="8"/>
    <x v="2"/>
    <n v="101"/>
    <n v="310"/>
    <d v="2014-05-20T22:00:00"/>
    <d v="2014-05-21T04:07:00"/>
    <n v="240"/>
    <n v="330"/>
    <n v="296"/>
    <s v="Pulverizer mills"/>
    <s v="F5902D Coal Mill - Adjusted Riffles"/>
    <s v="Mill Creek"/>
    <x v="0"/>
    <s v="Coal"/>
    <x v="1"/>
    <x v="1"/>
    <n v="5"/>
    <n v="6.1166666666977108"/>
    <n v="1.6681818181902848"/>
    <n v="493.78181818432427"/>
    <n v="80.727272727272734"/>
    <x v="240"/>
  </r>
  <r>
    <x v="8"/>
    <x v="2"/>
    <n v="102"/>
    <n v="310"/>
    <d v="2014-05-21T22:00:00"/>
    <d v="2014-05-22T00:42:00"/>
    <n v="240"/>
    <n v="330"/>
    <n v="296"/>
    <s v="Pulverizer mills"/>
    <s v="F5902D Coal Mill - Adjusted Riffles"/>
    <s v="Mill Creek"/>
    <x v="0"/>
    <s v="Coal"/>
    <x v="1"/>
    <x v="1"/>
    <n v="5"/>
    <n v="2.7000000000698492"/>
    <n v="0.73636363638268609"/>
    <n v="217.96363636927509"/>
    <n v="80.727272727272734"/>
    <x v="240"/>
  </r>
  <r>
    <x v="8"/>
    <x v="2"/>
    <n v="103"/>
    <n v="310"/>
    <d v="2014-05-22T22:00:00"/>
    <d v="2014-05-23T02:23:00"/>
    <n v="240"/>
    <n v="330"/>
    <n v="296"/>
    <s v="Pulverizer mills"/>
    <s v="F5902D Coal Mill - Adjusted Riffles"/>
    <s v="Mill Creek"/>
    <x v="0"/>
    <s v="Coal"/>
    <x v="1"/>
    <x v="1"/>
    <n v="5"/>
    <n v="4.3833333334769122"/>
    <n v="1.1954545454937033"/>
    <n v="353.85454546613619"/>
    <n v="80.727272727272734"/>
    <x v="240"/>
  </r>
  <r>
    <x v="8"/>
    <x v="2"/>
    <n v="104"/>
    <n v="310"/>
    <d v="2014-05-26T22:00:00"/>
    <d v="2014-05-27T03:22:00"/>
    <n v="240"/>
    <n v="330"/>
    <n v="296"/>
    <s v="Pulverizer mills"/>
    <s v="F5902B Coal Mill - Adjusted Riffles"/>
    <s v="Mill Creek"/>
    <x v="0"/>
    <s v="Coal"/>
    <x v="1"/>
    <x v="1"/>
    <n v="5"/>
    <n v="5.3666666666977108"/>
    <n v="1.4636363636448302"/>
    <n v="433.23636363886976"/>
    <n v="80.727272727272734"/>
    <x v="240"/>
  </r>
  <r>
    <x v="8"/>
    <x v="2"/>
    <n v="105"/>
    <n v="310"/>
    <d v="2014-05-27T23:00:00"/>
    <d v="2014-05-28T02:37:00"/>
    <n v="240"/>
    <n v="330"/>
    <n v="296"/>
    <s v="Pulverizer mills"/>
    <s v="F5902B Coal Mill - Adjusted Riffles"/>
    <s v="Mill Creek"/>
    <x v="0"/>
    <s v="Coal"/>
    <x v="1"/>
    <x v="1"/>
    <n v="5"/>
    <n v="3.6166666665812954"/>
    <n v="0.98636363634035329"/>
    <n v="291.96363635674459"/>
    <n v="80.727272727272734"/>
    <x v="240"/>
  </r>
  <r>
    <x v="8"/>
    <x v="2"/>
    <n v="106"/>
    <n v="310"/>
    <d v="2014-05-28T22:00:00"/>
    <d v="2014-05-29T05:00:00"/>
    <n v="240"/>
    <n v="330"/>
    <n v="296"/>
    <s v="Pulverizer mills"/>
    <s v="F5902A Coal Mill - Adjusted Riffles"/>
    <s v="Mill Creek"/>
    <x v="0"/>
    <s v="Coal"/>
    <x v="1"/>
    <x v="1"/>
    <n v="5"/>
    <n v="7.0000000001164153"/>
    <n v="1.9090909091226587"/>
    <n v="565.09090910030693"/>
    <n v="80.727272727272734"/>
    <x v="240"/>
  </r>
  <r>
    <x v="8"/>
    <x v="0"/>
    <n v="107"/>
    <n v="310"/>
    <d v="2014-05-29T05:00:00"/>
    <d v="2014-05-29T05:40:00"/>
    <n v="240"/>
    <n v="330"/>
    <n v="296"/>
    <s v="Pulverizer mills"/>
    <s v="F5902A Coal Mill - Roller Adjustment &amp; Air Flow Test"/>
    <s v="Mill Creek"/>
    <x v="0"/>
    <s v="Coal"/>
    <x v="1"/>
    <x v="1"/>
    <n v="5"/>
    <n v="0.6666666665696539"/>
    <n v="0.18181818179172379"/>
    <n v="53.818181810350239"/>
    <n v="80.727272727272734"/>
    <x v="240"/>
  </r>
  <r>
    <x v="8"/>
    <x v="2"/>
    <n v="108"/>
    <n v="310"/>
    <d v="2014-05-29T23:00:00"/>
    <d v="2014-05-30T03:16:00"/>
    <n v="240"/>
    <n v="330"/>
    <n v="296"/>
    <s v="Pulverizer mills"/>
    <s v="F5902D Coal Mill - Adjusted Riffles"/>
    <s v="Mill Creek"/>
    <x v="0"/>
    <s v="Coal"/>
    <x v="1"/>
    <x v="1"/>
    <n v="5"/>
    <n v="4.2666666666045785"/>
    <n v="1.1636363636194305"/>
    <n v="344.43636363135141"/>
    <n v="80.727272727272734"/>
    <x v="240"/>
  </r>
  <r>
    <x v="8"/>
    <x v="2"/>
    <n v="109"/>
    <n v="3410"/>
    <d v="2014-06-01T22:00:00"/>
    <d v="2014-06-02T03:55:00"/>
    <n v="185"/>
    <n v="330"/>
    <n v="296"/>
    <s v="Feedwater pump"/>
    <s v="F5902B Boiler Feed Pump - Injection Water Line Leak Repair"/>
    <s v="Mill Creek"/>
    <x v="0"/>
    <s v="Coal"/>
    <x v="1"/>
    <x v="1"/>
    <n v="6"/>
    <n v="5.9166666667442769"/>
    <n v="2.5997474747815761"/>
    <n v="769.52525253534657"/>
    <n v="130.06060606060606"/>
    <x v="50"/>
  </r>
  <r>
    <x v="8"/>
    <x v="3"/>
    <n v="110"/>
    <n v="4842"/>
    <d v="2014-06-03T09:00:00"/>
    <d v="2014-06-03T10:45:00"/>
    <n v="0"/>
    <n v="330"/>
    <n v="296"/>
    <s v="Reactive and capability testing"/>
    <s v="F790Generator Reactive Power Capability Test"/>
    <s v="Mill Creek"/>
    <x v="1"/>
    <s v="Coal"/>
    <x v="1"/>
    <x v="1"/>
    <n v="6"/>
    <n v="1.7499999999417923"/>
    <n v="1.7499999999417923"/>
    <n v="517.99999998277053"/>
    <n v="296"/>
    <x v="202"/>
  </r>
  <r>
    <x v="8"/>
    <x v="2"/>
    <n v="111"/>
    <n v="310"/>
    <d v="2014-06-03T21:10:00"/>
    <d v="2014-06-04T03:56:00"/>
    <n v="240"/>
    <n v="330"/>
    <n v="296"/>
    <s v="Pulverizer mills"/>
    <s v="F5902D Coal Mill - Adjusted Riffles"/>
    <s v="Mill Creek"/>
    <x v="0"/>
    <s v="Coal"/>
    <x v="1"/>
    <x v="1"/>
    <n v="6"/>
    <n v="6.7666666667209938"/>
    <n v="1.8454545454693621"/>
    <n v="546.25454545893115"/>
    <n v="80.727272727272734"/>
    <x v="240"/>
  </r>
  <r>
    <x v="8"/>
    <x v="2"/>
    <n v="112"/>
    <n v="310"/>
    <d v="2014-06-04T20:30:00"/>
    <d v="2014-06-05T03:37:00"/>
    <n v="240"/>
    <n v="330"/>
    <n v="296"/>
    <s v="Pulverizer mills"/>
    <s v="F5902D Coal Mill - Adjusted Riffles"/>
    <s v="Mill Creek"/>
    <x v="0"/>
    <s v="Coal"/>
    <x v="1"/>
    <x v="1"/>
    <n v="6"/>
    <n v="7.1166666666395031"/>
    <n v="1.9409090909016826"/>
    <n v="574.50909090689811"/>
    <n v="80.727272727272734"/>
    <x v="240"/>
  </r>
  <r>
    <x v="8"/>
    <x v="2"/>
    <n v="113"/>
    <n v="310"/>
    <d v="2014-06-10T22:00:00"/>
    <d v="2014-06-11T05:00:00"/>
    <n v="240"/>
    <n v="330"/>
    <n v="296"/>
    <s v="Pulverizer mills"/>
    <s v="F5902C Coal Mill - Replace North Roller Door Assembly"/>
    <s v="Mill Creek"/>
    <x v="0"/>
    <s v="Coal"/>
    <x v="1"/>
    <x v="1"/>
    <n v="6"/>
    <n v="7.0000000001164153"/>
    <n v="1.9090909091226587"/>
    <n v="565.09090910030693"/>
    <n v="80.727272727272734"/>
    <x v="240"/>
  </r>
  <r>
    <x v="8"/>
    <x v="0"/>
    <n v="114"/>
    <n v="8280"/>
    <d v="2014-06-19T03:40:00"/>
    <d v="2014-06-19T05:05:00"/>
    <n v="125"/>
    <n v="330"/>
    <n v="296"/>
    <s v="Reagent feed piping"/>
    <s v="F540FGD &quot;A&quot; Reactant Feed Supply Line - Leak"/>
    <s v="Mill Creek"/>
    <x v="0"/>
    <s v="Coal"/>
    <x v="1"/>
    <x v="1"/>
    <n v="6"/>
    <n v="1.4166666665696539"/>
    <n v="0.88005050499023951"/>
    <n v="260.49494947711088"/>
    <n v="183.87878787878788"/>
    <x v="186"/>
  </r>
  <r>
    <x v="8"/>
    <x v="2"/>
    <n v="115"/>
    <n v="310"/>
    <d v="2014-06-19T23:00:00"/>
    <d v="2014-06-20T06:02:00"/>
    <n v="240"/>
    <n v="330"/>
    <n v="296"/>
    <s v="Pulverizer mills"/>
    <s v="F0402C Coal Mill - Balance Exhauster"/>
    <s v="Mill Creek"/>
    <x v="0"/>
    <s v="Coal"/>
    <x v="1"/>
    <x v="1"/>
    <n v="6"/>
    <n v="7.033333333209157"/>
    <n v="1.918181818147952"/>
    <n v="567.78181817179382"/>
    <n v="80.727272727272734"/>
    <x v="240"/>
  </r>
  <r>
    <x v="8"/>
    <x v="0"/>
    <n v="116"/>
    <n v="360"/>
    <d v="2014-06-22T15:37:00"/>
    <d v="2014-06-22T17:15:00"/>
    <n v="295"/>
    <n v="330"/>
    <n v="296"/>
    <s v="Burners"/>
    <s v="F5402B3 Burner - Coal Leak"/>
    <s v="Mill Creek"/>
    <x v="0"/>
    <s v="Coal"/>
    <x v="1"/>
    <x v="1"/>
    <n v="6"/>
    <n v="1.6333333334187046"/>
    <n v="0.17323232324137774"/>
    <n v="51.276767679447815"/>
    <n v="31.393939393939394"/>
    <x v="246"/>
  </r>
  <r>
    <x v="8"/>
    <x v="2"/>
    <n v="117"/>
    <n v="310"/>
    <d v="2014-06-26T22:24:00"/>
    <d v="2014-06-27T03:27:00"/>
    <n v="235"/>
    <n v="330"/>
    <n v="296"/>
    <s v="Pulverizer mills"/>
    <s v="F5902D Coal Mill - Adjust Rollers"/>
    <s v="Mill Creek"/>
    <x v="0"/>
    <s v="Coal"/>
    <x v="1"/>
    <x v="1"/>
    <n v="6"/>
    <n v="5.0500000000465661"/>
    <n v="1.4537878788012841"/>
    <n v="430.32121212518012"/>
    <n v="85.212121212121218"/>
    <x v="196"/>
  </r>
  <r>
    <x v="8"/>
    <x v="3"/>
    <n v="118"/>
    <n v="1990"/>
    <d v="2014-07-02T11:45:00"/>
    <d v="2014-07-02T12:20:00"/>
    <n v="0"/>
    <n v="330"/>
    <n v="296"/>
    <s v="Boiler performance testing (use code 9999 for total unit performance testing)"/>
    <s v="F790Capability Test - Max Fire/Max Load"/>
    <s v="Mill Creek"/>
    <x v="1"/>
    <s v="Coal"/>
    <x v="1"/>
    <x v="1"/>
    <n v="7"/>
    <n v="0.58333333331393078"/>
    <n v="0.58333333331393078"/>
    <n v="172.66666666092351"/>
    <n v="296"/>
    <x v="202"/>
  </r>
  <r>
    <x v="8"/>
    <x v="3"/>
    <n v="119"/>
    <n v="1990"/>
    <d v="2014-07-10T22:00:00"/>
    <d v="2014-07-11T01:18:00"/>
    <n v="0"/>
    <n v="330"/>
    <n v="296"/>
    <s v="Boiler performance testing (use code 9999 for total unit performance testing)"/>
    <s v="F790Boiler Tuning.  Full load if load dispatch needed it."/>
    <s v="Mill Creek"/>
    <x v="1"/>
    <s v="Coal"/>
    <x v="1"/>
    <x v="1"/>
    <n v="7"/>
    <n v="3.3000000001047738"/>
    <n v="3.3000000001047738"/>
    <n v="976.80000003101304"/>
    <n v="296"/>
    <x v="202"/>
  </r>
  <r>
    <x v="8"/>
    <x v="3"/>
    <n v="120"/>
    <n v="1990"/>
    <d v="2014-07-14T23:00:00"/>
    <d v="2014-07-15T01:45:00"/>
    <n v="0"/>
    <n v="330"/>
    <n v="296"/>
    <s v="Boiler performance testing (use code 9999 for total unit performance testing)"/>
    <s v="F790Boiler Tuning.  Full load if load dispatch needed it."/>
    <s v="Mill Creek"/>
    <x v="1"/>
    <s v="Coal"/>
    <x v="1"/>
    <x v="1"/>
    <n v="7"/>
    <n v="2.7499999998835847"/>
    <n v="2.7499999998835847"/>
    <n v="813.99999996554106"/>
    <n v="296"/>
    <x v="202"/>
  </r>
  <r>
    <x v="8"/>
    <x v="4"/>
    <n v="121"/>
    <n v="3344"/>
    <d v="2014-07-15T08:48:00"/>
    <d v="2014-07-17T01:49:00"/>
    <n v="0"/>
    <n v="330"/>
    <n v="296"/>
    <s v="Deaerator (including level control)"/>
    <s v="F540Deaerator Heater Leak"/>
    <s v="Mill Creek"/>
    <x v="2"/>
    <s v="Coal"/>
    <x v="1"/>
    <x v="1"/>
    <n v="7"/>
    <n v="41.016666666604578"/>
    <n v="41.016666666604578"/>
    <n v="12140.933333314955"/>
    <n v="296"/>
    <x v="202"/>
  </r>
  <r>
    <x v="8"/>
    <x v="3"/>
    <n v="122"/>
    <n v="1990"/>
    <d v="2014-07-17T02:50:00"/>
    <d v="2014-07-17T05:04:00"/>
    <n v="0"/>
    <n v="330"/>
    <n v="296"/>
    <s v="Boiler performance testing (use code 9999 for total unit performance testing)"/>
    <s v="F790Combustion Testing"/>
    <s v="Mill Creek"/>
    <x v="1"/>
    <s v="Coal"/>
    <x v="1"/>
    <x v="1"/>
    <n v="7"/>
    <n v="2.2333333332790062"/>
    <n v="2.2333333332790062"/>
    <n v="661.06666665058583"/>
    <n v="296"/>
    <x v="202"/>
  </r>
  <r>
    <x v="8"/>
    <x v="0"/>
    <n v="123"/>
    <n v="1850"/>
    <d v="2014-07-17T09:49:00"/>
    <d v="2014-07-17T15:43:00"/>
    <n v="240"/>
    <n v="330"/>
    <n v="296"/>
    <s v="Boiler water condition (not feedwater water quality)"/>
    <s v="F170High Silica"/>
    <s v="Mill Creek"/>
    <x v="0"/>
    <s v="Coal"/>
    <x v="1"/>
    <x v="1"/>
    <n v="7"/>
    <n v="5.9000000000232831"/>
    <n v="1.6090909090972589"/>
    <n v="476.29090909278864"/>
    <n v="80.727272727272734"/>
    <x v="240"/>
  </r>
  <r>
    <x v="8"/>
    <x v="0"/>
    <n v="124"/>
    <n v="1850"/>
    <d v="2014-07-17T15:43:00"/>
    <d v="2014-07-17T17:00:00"/>
    <n v="300"/>
    <n v="330"/>
    <n v="296"/>
    <s v="Boiler water condition (not feedwater water quality)"/>
    <s v="F170High Silica"/>
    <s v="Mill Creek"/>
    <x v="0"/>
    <s v="Coal"/>
    <x v="1"/>
    <x v="1"/>
    <n v="7"/>
    <n v="1.2833333333255723"/>
    <n v="0.11666666666596112"/>
    <n v="34.533333333124489"/>
    <n v="26.90909090909091"/>
    <x v="6"/>
  </r>
  <r>
    <x v="8"/>
    <x v="0"/>
    <n v="125"/>
    <n v="1850"/>
    <d v="2014-07-17T17:00:00"/>
    <d v="2014-07-17T21:00:00"/>
    <n v="315"/>
    <n v="330"/>
    <n v="296"/>
    <s v="Boiler water condition (not feedwater water quality)"/>
    <s v="F170High Silica"/>
    <s v="Mill Creek"/>
    <x v="0"/>
    <s v="Coal"/>
    <x v="1"/>
    <x v="1"/>
    <n v="7"/>
    <n v="3.9999999999417923"/>
    <n v="0.18181818181553602"/>
    <n v="53.81818181739866"/>
    <n v="13.454545454545455"/>
    <x v="20"/>
  </r>
  <r>
    <x v="8"/>
    <x v="4"/>
    <n v="126"/>
    <n v="3344"/>
    <d v="2014-07-28T00:06:00"/>
    <d v="2014-07-29T00:43:00"/>
    <n v="0"/>
    <n v="330"/>
    <n v="296"/>
    <s v="Deaerator (including level control)"/>
    <s v="F540Deaerator Heater - Leak Repair"/>
    <s v="Mill Creek"/>
    <x v="2"/>
    <s v="Coal"/>
    <x v="1"/>
    <x v="1"/>
    <n v="7"/>
    <n v="24.616666666755918"/>
    <n v="24.616666666755918"/>
    <n v="7286.5333333597519"/>
    <n v="296"/>
    <x v="202"/>
  </r>
  <r>
    <x v="8"/>
    <x v="3"/>
    <n v="127"/>
    <n v="1850"/>
    <d v="2014-07-29T00:43:00"/>
    <d v="2014-07-29T06:23:00"/>
    <n v="0"/>
    <n v="330"/>
    <n v="296"/>
    <s v="Boiler water condition (not feedwater water quality)"/>
    <s v="F170High Silica @ Hot Start Up"/>
    <s v="Mill Creek"/>
    <x v="1"/>
    <s v="Coal"/>
    <x v="1"/>
    <x v="1"/>
    <n v="7"/>
    <n v="5.6666666666278616"/>
    <n v="5.6666666666278616"/>
    <n v="1677.333333321847"/>
    <n v="296"/>
    <x v="202"/>
  </r>
  <r>
    <x v="8"/>
    <x v="0"/>
    <n v="128"/>
    <n v="3410"/>
    <d v="2014-07-29T22:40:00"/>
    <d v="2014-07-30T09:50:00"/>
    <n v="190"/>
    <n v="330"/>
    <n v="296"/>
    <s v="Feedwater pump"/>
    <s v="F5902A Boiler Feed Pump - Flow Transmitter Issue"/>
    <s v="Mill Creek"/>
    <x v="0"/>
    <s v="Coal"/>
    <x v="1"/>
    <x v="1"/>
    <n v="7"/>
    <n v="11.166666666569654"/>
    <n v="4.7373737373325806"/>
    <n v="1402.2626262504439"/>
    <n v="125.57575757575758"/>
    <x v="248"/>
  </r>
  <r>
    <x v="8"/>
    <x v="0"/>
    <n v="129"/>
    <n v="3620"/>
    <d v="2014-07-31T10:08:00"/>
    <d v="2014-07-31T11:34:00"/>
    <n v="120"/>
    <n v="330"/>
    <n v="296"/>
    <s v="Main transformer"/>
    <s v="F5402B Main Transformer - Oil Leak"/>
    <s v="Mill Creek"/>
    <x v="0"/>
    <s v="Coal"/>
    <x v="1"/>
    <x v="1"/>
    <n v="7"/>
    <n v="1.4333333332906477"/>
    <n v="0.91212121209404851"/>
    <n v="269.98787877983835"/>
    <n v="188.36363636363637"/>
    <x v="109"/>
  </r>
  <r>
    <x v="8"/>
    <x v="0"/>
    <n v="130"/>
    <n v="3620"/>
    <d v="2014-07-31T11:34:00"/>
    <d v="2014-07-31T12:48:00"/>
    <n v="230"/>
    <n v="330"/>
    <n v="296"/>
    <s v="Main transformer"/>
    <s v="F5402B Main Transformer - Oil Leak"/>
    <s v="Mill Creek"/>
    <x v="0"/>
    <s v="Coal"/>
    <x v="1"/>
    <x v="1"/>
    <n v="7"/>
    <n v="1.2333333333372138"/>
    <n v="0.37373737373854965"/>
    <n v="110.6262626266107"/>
    <n v="89.696969696969703"/>
    <x v="160"/>
  </r>
  <r>
    <x v="8"/>
    <x v="4"/>
    <n v="131"/>
    <n v="3620"/>
    <d v="2014-08-01T23:15:00"/>
    <d v="2014-08-02T07:31:00"/>
    <n v="0"/>
    <n v="330"/>
    <n v="296"/>
    <s v="Main transformer"/>
    <s v="F5902B Main Transformer - Replace Oil Pump"/>
    <s v="Mill Creek"/>
    <x v="2"/>
    <s v="Coal"/>
    <x v="1"/>
    <x v="1"/>
    <n v="8"/>
    <n v="8.2666666667209938"/>
    <n v="8.2666666667209938"/>
    <n v="2446.9333333494142"/>
    <n v="296"/>
    <x v="202"/>
  </r>
  <r>
    <x v="8"/>
    <x v="3"/>
    <n v="132"/>
    <n v="1850"/>
    <d v="2014-08-02T07:31:00"/>
    <d v="2014-08-02T15:15:00"/>
    <n v="0"/>
    <n v="330"/>
    <n v="296"/>
    <s v="Boiler water condition (not feedwater water quality)"/>
    <s v="F170High Silica @ Hot Start Up"/>
    <s v="Mill Creek"/>
    <x v="1"/>
    <s v="Coal"/>
    <x v="1"/>
    <x v="1"/>
    <n v="8"/>
    <n v="7.7333333332207985"/>
    <n v="7.7333333332207985"/>
    <n v="2289.0666666333564"/>
    <n v="296"/>
    <x v="202"/>
  </r>
  <r>
    <x v="8"/>
    <x v="3"/>
    <n v="133"/>
    <n v="4490"/>
    <d v="2014-08-13T08:15:00"/>
    <d v="2014-08-13T13:03:00"/>
    <n v="0"/>
    <n v="330"/>
    <n v="296"/>
    <s v="Turbine performance testing (use code 9999 for total unit performance testing)"/>
    <s v="F790Full Load Capability Test"/>
    <s v="Mill Creek"/>
    <x v="1"/>
    <s v="Coal"/>
    <x v="1"/>
    <x v="1"/>
    <n v="8"/>
    <n v="4.7999999999301508"/>
    <n v="4.7999999999301508"/>
    <n v="1420.7999999793246"/>
    <n v="296"/>
    <x v="202"/>
  </r>
  <r>
    <x v="8"/>
    <x v="0"/>
    <n v="134"/>
    <n v="310"/>
    <d v="2014-08-15T05:57:00"/>
    <d v="2014-08-15T08:00:00"/>
    <n v="100"/>
    <n v="330"/>
    <n v="296"/>
    <s v="Pulverizer mills"/>
    <s v="F4402D Coal Mill - Puff, Lost C &amp; D Coal Feeders"/>
    <s v="Mill Creek"/>
    <x v="0"/>
    <s v="Coal"/>
    <x v="1"/>
    <x v="1"/>
    <n v="8"/>
    <n v="2.0500000000465661"/>
    <n v="1.4287878788203339"/>
    <n v="422.92121213081884"/>
    <n v="206.30303030303031"/>
    <x v="132"/>
  </r>
  <r>
    <x v="8"/>
    <x v="0"/>
    <n v="135"/>
    <n v="310"/>
    <d v="2014-08-15T08:00:00"/>
    <d v="2014-08-15T18:30:00"/>
    <n v="260"/>
    <n v="330"/>
    <n v="296"/>
    <s v="Pulverizer mills"/>
    <s v="F4402D Coal Mill - Puff, Repairs"/>
    <s v="Mill Creek"/>
    <x v="0"/>
    <s v="Coal"/>
    <x v="1"/>
    <x v="1"/>
    <n v="8"/>
    <n v="10.5"/>
    <n v="2.2272727272727271"/>
    <n v="659.27272727272725"/>
    <n v="62.787878787878789"/>
    <x v="187"/>
  </r>
  <r>
    <x v="8"/>
    <x v="0"/>
    <n v="136"/>
    <n v="310"/>
    <d v="2014-08-16T12:23:00"/>
    <d v="2014-08-17T10:08:00"/>
    <n v="265"/>
    <n v="330"/>
    <n v="296"/>
    <s v="Pulverizer mills"/>
    <s v="F5402A Coal Mill - Discharge Conduit Leak Repair"/>
    <s v="Mill Creek"/>
    <x v="0"/>
    <s v="Coal"/>
    <x v="1"/>
    <x v="1"/>
    <n v="8"/>
    <n v="21.75"/>
    <n v="4.2840909090909092"/>
    <n v="1268.090909090909"/>
    <n v="58.303030303030305"/>
    <x v="237"/>
  </r>
  <r>
    <x v="8"/>
    <x v="2"/>
    <n v="137"/>
    <n v="310"/>
    <d v="2014-08-20T23:00:00"/>
    <d v="2014-08-21T00:57:00"/>
    <n v="240"/>
    <n v="330"/>
    <n v="296"/>
    <s v="Pulverizer mills"/>
    <s v="F5902B Coal Mill - Repaired Cooling Water Line"/>
    <s v="Mill Creek"/>
    <x v="0"/>
    <s v="Coal"/>
    <x v="1"/>
    <x v="1"/>
    <n v="8"/>
    <n v="1.9499999998952262"/>
    <n v="0.53181818178960716"/>
    <n v="157.41818180972371"/>
    <n v="80.727272727272734"/>
    <x v="240"/>
  </r>
  <r>
    <x v="8"/>
    <x v="2"/>
    <n v="138"/>
    <n v="310"/>
    <d v="2014-08-24T22:00:00"/>
    <d v="2014-08-24T23:00:00"/>
    <n v="240"/>
    <n v="330"/>
    <n v="296"/>
    <s v="Pulverizer mills"/>
    <s v="F5902B Coal Mill Exhauster - Flushed Oil"/>
    <s v="Mill Creek"/>
    <x v="0"/>
    <s v="Coal"/>
    <x v="1"/>
    <x v="1"/>
    <n v="8"/>
    <n v="1.0000000001164153"/>
    <n v="0.27272727275902237"/>
    <n v="80.727272736670614"/>
    <n v="80.727272727272734"/>
    <x v="240"/>
  </r>
  <r>
    <x v="8"/>
    <x v="3"/>
    <n v="139"/>
    <n v="1160"/>
    <d v="2014-08-24T23:00:00"/>
    <d v="2014-08-25T03:09:00"/>
    <n v="0"/>
    <n v="330"/>
    <n v="296"/>
    <s v="First reheater B"/>
    <s v="F320Boiler Deslag - First Reheater, Full Load Available as Needed"/>
    <s v="Mill Creek"/>
    <x v="1"/>
    <s v="Coal"/>
    <x v="1"/>
    <x v="1"/>
    <n v="8"/>
    <n v="4.1499999999068677"/>
    <n v="4.1499999999068677"/>
    <n v="1228.3999999724329"/>
    <n v="296"/>
    <x v="202"/>
  </r>
  <r>
    <x v="8"/>
    <x v="3"/>
    <n v="140"/>
    <n v="1160"/>
    <d v="2014-08-28T21:43:00"/>
    <d v="2014-08-29T00:54:00"/>
    <n v="0"/>
    <n v="330"/>
    <n v="296"/>
    <s v="First reheater B"/>
    <s v="F320Boiler Deslag - First Reheater, Full Load Available as Needed"/>
    <s v="Mill Creek"/>
    <x v="1"/>
    <s v="Coal"/>
    <x v="1"/>
    <x v="1"/>
    <n v="8"/>
    <n v="3.1833333332324401"/>
    <n v="3.1833333332324401"/>
    <n v="942.26666663680226"/>
    <n v="296"/>
    <x v="202"/>
  </r>
  <r>
    <x v="8"/>
    <x v="0"/>
    <n v="141"/>
    <n v="310"/>
    <d v="2014-09-03T23:18:00"/>
    <d v="2014-09-04T00:09:00"/>
    <n v="240"/>
    <n v="330"/>
    <n v="296"/>
    <s v="Pulverizer mills"/>
    <s v="F5902C Coal Mill - Exhauster Bearing Oil Change"/>
    <s v="Mill Creek"/>
    <x v="0"/>
    <s v="Coal"/>
    <x v="1"/>
    <x v="1"/>
    <n v="9"/>
    <n v="0.84999999997671694"/>
    <n v="0.23181818181183189"/>
    <n v="68.61818181630224"/>
    <n v="80.727272727272734"/>
    <x v="240"/>
  </r>
  <r>
    <x v="8"/>
    <x v="4"/>
    <n v="142"/>
    <n v="3612"/>
    <d v="2014-09-06T00:02:00"/>
    <d v="2014-09-08T01:30:00"/>
    <n v="0"/>
    <n v="330"/>
    <n v="296"/>
    <s v="Switchyard system protection devices - external"/>
    <s v="F590MC 4532 - Relay Work"/>
    <s v="Mill Creek"/>
    <x v="2"/>
    <s v="Coal"/>
    <x v="1"/>
    <x v="1"/>
    <n v="9"/>
    <n v="49.466666666732635"/>
    <n v="49.466666666732635"/>
    <n v="14642.13333335286"/>
    <n v="296"/>
    <x v="202"/>
  </r>
  <r>
    <x v="8"/>
    <x v="3"/>
    <n v="143"/>
    <n v="1850"/>
    <d v="2014-09-08T01:30:00"/>
    <d v="2014-09-08T09:30:00"/>
    <n v="0"/>
    <n v="330"/>
    <n v="296"/>
    <s v="Boiler water condition (not feedwater water quality)"/>
    <s v="F170High Silica @ Warm Start Up"/>
    <s v="Mill Creek"/>
    <x v="1"/>
    <s v="Coal"/>
    <x v="1"/>
    <x v="1"/>
    <n v="9"/>
    <n v="8.0000000000582077"/>
    <n v="8.0000000000582077"/>
    <n v="2368.0000000172295"/>
    <n v="296"/>
    <x v="202"/>
  </r>
  <r>
    <x v="8"/>
    <x v="0"/>
    <n v="144"/>
    <n v="1850"/>
    <d v="2014-09-08T09:30:00"/>
    <d v="2014-09-08T13:08:00"/>
    <n v="250"/>
    <n v="330"/>
    <n v="296"/>
    <s v="Boiler water condition (not feedwater water quality)"/>
    <s v="F170High Silica"/>
    <s v="Mill Creek"/>
    <x v="0"/>
    <s v="Coal"/>
    <x v="1"/>
    <x v="1"/>
    <n v="9"/>
    <n v="3.6333333333022892"/>
    <n v="0.88080808080055495"/>
    <n v="260.71919191696429"/>
    <n v="71.757575757575751"/>
    <x v="243"/>
  </r>
  <r>
    <x v="8"/>
    <x v="0"/>
    <n v="145"/>
    <n v="1850"/>
    <d v="2014-09-08T13:08:00"/>
    <d v="2014-09-08T17:42:00"/>
    <n v="284"/>
    <n v="330"/>
    <n v="296"/>
    <s v="Boiler water condition (not feedwater water quality)"/>
    <s v="F170High Silica"/>
    <s v="Mill Creek"/>
    <x v="0"/>
    <s v="Coal"/>
    <x v="1"/>
    <x v="1"/>
    <n v="9"/>
    <n v="4.5666666667093523"/>
    <n v="0.63656565657160669"/>
    <n v="188.42343434519557"/>
    <n v="41.260606060606058"/>
    <x v="28"/>
  </r>
  <r>
    <x v="8"/>
    <x v="2"/>
    <n v="146"/>
    <n v="310"/>
    <d v="2014-09-08T22:00:00"/>
    <d v="2014-09-09T02:45:00"/>
    <n v="240"/>
    <n v="330"/>
    <n v="296"/>
    <s v="Pulverizer mills"/>
    <s v="F5902D Coal Mill - Exhauster Inspection"/>
    <s v="Mill Creek"/>
    <x v="0"/>
    <s v="Coal"/>
    <x v="1"/>
    <x v="1"/>
    <n v="9"/>
    <n v="4.7500000001164153"/>
    <n v="1.2954545454862951"/>
    <n v="383.45454546394336"/>
    <n v="80.727272727272734"/>
    <x v="240"/>
  </r>
  <r>
    <x v="8"/>
    <x v="3"/>
    <n v="147"/>
    <n v="8460"/>
    <d v="2014-09-09T08:00:00"/>
    <d v="2014-09-09T16:38:00"/>
    <n v="0"/>
    <n v="330"/>
    <n v="296"/>
    <s v="Testing A"/>
    <s v="F790RATA Test - Full Load"/>
    <s v="Mill Creek"/>
    <x v="1"/>
    <s v="Coal"/>
    <x v="1"/>
    <x v="1"/>
    <n v="9"/>
    <n v="8.6333333333604969"/>
    <n v="8.6333333333604969"/>
    <n v="2555.4666666747071"/>
    <n v="296"/>
    <x v="202"/>
  </r>
  <r>
    <x v="8"/>
    <x v="3"/>
    <n v="148"/>
    <n v="8460"/>
    <d v="2014-09-09T22:00:00"/>
    <d v="2014-09-10T00:50:00"/>
    <n v="0"/>
    <n v="330"/>
    <n v="296"/>
    <s v="Testing A"/>
    <s v="F790RATA Test - Mid Load @ 220 MW"/>
    <s v="Mill Creek"/>
    <x v="1"/>
    <s v="Coal"/>
    <x v="1"/>
    <x v="1"/>
    <n v="9"/>
    <n v="2.8333333333139308"/>
    <n v="2.8333333333139308"/>
    <n v="838.66666666092351"/>
    <n v="296"/>
    <x v="202"/>
  </r>
  <r>
    <x v="8"/>
    <x v="3"/>
    <n v="149"/>
    <n v="8460"/>
    <d v="2014-09-10T08:00:00"/>
    <d v="2014-09-10T11:25:00"/>
    <n v="0"/>
    <n v="330"/>
    <n v="296"/>
    <s v="Testing A"/>
    <s v="F790RATA Test - Full Load"/>
    <s v="Mill Creek"/>
    <x v="1"/>
    <s v="Coal"/>
    <x v="1"/>
    <x v="1"/>
    <n v="9"/>
    <n v="3.4166666666278616"/>
    <n v="3.4166666666278616"/>
    <n v="1011.333333321847"/>
    <n v="296"/>
    <x v="202"/>
  </r>
  <r>
    <x v="8"/>
    <x v="2"/>
    <n v="150"/>
    <n v="3611"/>
    <d v="2014-09-12T23:00:00"/>
    <d v="2014-09-13T00:14:00"/>
    <n v="200"/>
    <n v="330"/>
    <n v="296"/>
    <s v="Switchyard circuit breakers - external"/>
    <s v="F590MC 4502 Breaker Maintenance - Closed In"/>
    <s v="Mill Creek"/>
    <x v="0"/>
    <s v="Coal"/>
    <x v="1"/>
    <x v="1"/>
    <n v="9"/>
    <n v="1.2333333333372138"/>
    <n v="0.48585858586011454"/>
    <n v="143.81414141459391"/>
    <n v="116.60606060606061"/>
    <x v="242"/>
  </r>
  <r>
    <x v="8"/>
    <x v="2"/>
    <n v="151"/>
    <n v="3410"/>
    <d v="2014-09-17T21:15:00"/>
    <d v="2014-09-18T03:36:00"/>
    <n v="190"/>
    <n v="330"/>
    <n v="296"/>
    <s v="Feedwater pump"/>
    <s v="F5902B Boiler Feed Pump - Replace Lube Oil Filter"/>
    <s v="Mill Creek"/>
    <x v="0"/>
    <s v="Coal"/>
    <x v="1"/>
    <x v="1"/>
    <n v="9"/>
    <n v="6.3500000000931323"/>
    <n v="2.6939393939789045"/>
    <n v="797.40606061775577"/>
    <n v="125.57575757575758"/>
    <x v="248"/>
  </r>
  <r>
    <x v="8"/>
    <x v="2"/>
    <n v="152"/>
    <n v="250"/>
    <d v="2014-09-18T03:36:00"/>
    <d v="2014-09-18T05:37:00"/>
    <n v="240"/>
    <n v="330"/>
    <n v="296"/>
    <s v="Pulverizer feeders"/>
    <s v="F0902A Coal Feeder - Calibration &amp; Mill Inspection"/>
    <s v="Mill Creek"/>
    <x v="0"/>
    <s v="Coal"/>
    <x v="1"/>
    <x v="1"/>
    <n v="9"/>
    <n v="2.0166666666045785"/>
    <n v="0.54999999998306681"/>
    <n v="162.79999999498779"/>
    <n v="80.727272727272734"/>
    <x v="240"/>
  </r>
  <r>
    <x v="8"/>
    <x v="2"/>
    <n v="153"/>
    <n v="310"/>
    <d v="2014-09-18T22:00:00"/>
    <d v="2014-09-19T05:27:00"/>
    <n v="240"/>
    <n v="330"/>
    <n v="296"/>
    <s v="Pulverizer mills"/>
    <s v="F5302B Coal Mill - Inspection"/>
    <s v="Mill Creek"/>
    <x v="0"/>
    <s v="Coal"/>
    <x v="1"/>
    <x v="1"/>
    <n v="9"/>
    <n v="7.4500000000116415"/>
    <n v="2.031818181821357"/>
    <n v="601.41818181912163"/>
    <n v="80.727272727272734"/>
    <x v="240"/>
  </r>
  <r>
    <x v="8"/>
    <x v="0"/>
    <n v="154"/>
    <n v="310"/>
    <d v="2014-09-19T08:28:00"/>
    <d v="2014-09-19T11:37:00"/>
    <n v="250"/>
    <n v="330"/>
    <n v="296"/>
    <s v="Pulverizer mills"/>
    <s v="F5302B Coal Mill - Inspection"/>
    <s v="Mill Creek"/>
    <x v="0"/>
    <s v="Coal"/>
    <x v="1"/>
    <x v="1"/>
    <n v="9"/>
    <n v="3.1499999999650754"/>
    <n v="0.76363636362789711"/>
    <n v="226.03636363385755"/>
    <n v="71.757575757575751"/>
    <x v="243"/>
  </r>
  <r>
    <x v="8"/>
    <x v="2"/>
    <n v="155"/>
    <n v="250"/>
    <d v="2014-09-21T22:00:00"/>
    <d v="2014-09-22T03:13:00"/>
    <n v="250"/>
    <n v="330"/>
    <n v="296"/>
    <s v="Pulverizer feeders"/>
    <s v="F0902C Coal Feeder - Calibration &amp; Mill Inspection"/>
    <s v="Mill Creek"/>
    <x v="0"/>
    <s v="Coal"/>
    <x v="1"/>
    <x v="1"/>
    <n v="9"/>
    <n v="5.2166666667326353"/>
    <n v="1.2646464646624571"/>
    <n v="374.33535354008728"/>
    <n v="71.757575757575751"/>
    <x v="243"/>
  </r>
  <r>
    <x v="8"/>
    <x v="2"/>
    <n v="156"/>
    <n v="250"/>
    <d v="2014-09-22T23:00:00"/>
    <d v="2014-09-23T05:33:00"/>
    <n v="250"/>
    <n v="330"/>
    <n v="296"/>
    <s v="Pulverizer feeders"/>
    <s v="F0902D Coal Feeder - Calibration &amp; Mill Inspection"/>
    <s v="Mill Creek"/>
    <x v="0"/>
    <s v="Coal"/>
    <x v="1"/>
    <x v="1"/>
    <n v="9"/>
    <n v="6.5499999998719431"/>
    <n v="1.5878787878477438"/>
    <n v="470.01212120293218"/>
    <n v="71.757575757575751"/>
    <x v="243"/>
  </r>
  <r>
    <x v="8"/>
    <x v="0"/>
    <n v="157"/>
    <n v="310"/>
    <d v="2014-09-23T02:58:00"/>
    <d v="2014-09-23T04:14:00"/>
    <n v="160"/>
    <n v="330"/>
    <n v="296"/>
    <s v="Pulverizer mills"/>
    <s v="F5902B Coal Mill - Replaced Scraper"/>
    <s v="Mill Creek"/>
    <x v="0"/>
    <s v="Coal"/>
    <x v="1"/>
    <x v="1"/>
    <n v="9"/>
    <n v="1.2666666666045785"/>
    <n v="0.65252525249326776"/>
    <n v="193.14747473800725"/>
    <n v="152.4848484848485"/>
    <x v="251"/>
  </r>
  <r>
    <x v="8"/>
    <x v="3"/>
    <n v="158"/>
    <n v="1160"/>
    <d v="2014-10-05T22:30:00"/>
    <d v="2014-10-06T03:15:00"/>
    <n v="0"/>
    <n v="330"/>
    <n v="296"/>
    <s v="First reheater B"/>
    <s v="F320Boiler Deslag - First Reheater, Full Load Available as Needed"/>
    <s v="Mill Creek"/>
    <x v="1"/>
    <s v="Coal"/>
    <x v="1"/>
    <x v="1"/>
    <n v="10"/>
    <n v="4.7499999999417923"/>
    <n v="4.7499999999417923"/>
    <n v="1405.9999999827705"/>
    <n v="296"/>
    <x v="202"/>
  </r>
  <r>
    <x v="8"/>
    <x v="3"/>
    <n v="159"/>
    <n v="1160"/>
    <d v="2014-11-03T23:00:00"/>
    <d v="2014-11-04T02:30:00"/>
    <n v="0"/>
    <n v="330"/>
    <n v="296"/>
    <s v="First reheater B"/>
    <s v="F320Boiler Deslag - First Reheater, Full Load Available as Needed"/>
    <s v="Mill Creek"/>
    <x v="1"/>
    <s v="Coal"/>
    <x v="1"/>
    <x v="1"/>
    <n v="11"/>
    <n v="3.4999999998835847"/>
    <n v="3.4999999998835847"/>
    <n v="1035.9999999655411"/>
    <n v="296"/>
    <x v="202"/>
  </r>
  <r>
    <x v="8"/>
    <x v="0"/>
    <n v="160"/>
    <n v="250"/>
    <d v="2014-11-04T16:54:00"/>
    <d v="2014-11-04T19:37:00"/>
    <n v="240"/>
    <n v="330"/>
    <n v="296"/>
    <s v="Pulverizer feeders"/>
    <s v="F1202D Coal Feeder - Chute Plugged with Rock"/>
    <s v="Mill Creek"/>
    <x v="0"/>
    <s v="Coal"/>
    <x v="1"/>
    <x v="1"/>
    <n v="11"/>
    <n v="2.71666666661622"/>
    <n v="0.74090909089533274"/>
    <n v="219.30909090501848"/>
    <n v="80.727272727272734"/>
    <x v="240"/>
  </r>
  <r>
    <x v="8"/>
    <x v="0"/>
    <n v="161"/>
    <n v="1160"/>
    <d v="2014-11-19T07:21:00"/>
    <d v="2014-11-19T12:32:00"/>
    <n v="270"/>
    <n v="330"/>
    <n v="296"/>
    <s v="First reheater B"/>
    <s v="F320Boiler Slag - First Reheater"/>
    <s v="Mill Creek"/>
    <x v="0"/>
    <s v="Coal"/>
    <x v="1"/>
    <x v="1"/>
    <n v="11"/>
    <n v="5.1833333332906477"/>
    <n v="0.94242424241648137"/>
    <n v="278.95757575527847"/>
    <n v="53.81818181818182"/>
    <x v="158"/>
  </r>
  <r>
    <x v="8"/>
    <x v="0"/>
    <n v="162"/>
    <n v="1160"/>
    <d v="2014-11-19T12:32:00"/>
    <d v="2014-11-19T22:00:00"/>
    <n v="240"/>
    <n v="330"/>
    <n v="296"/>
    <s v="First reheater B"/>
    <s v="F320Boiler Slag - First Reheater"/>
    <s v="Mill Creek"/>
    <x v="0"/>
    <s v="Coal"/>
    <x v="1"/>
    <x v="1"/>
    <n v="11"/>
    <n v="9.46666666661622"/>
    <n v="2.5818181818044237"/>
    <n v="764.21818181410936"/>
    <n v="80.727272727272734"/>
    <x v="240"/>
  </r>
  <r>
    <x v="8"/>
    <x v="2"/>
    <n v="163"/>
    <n v="1160"/>
    <d v="2014-11-19T22:00:00"/>
    <d v="2014-11-20T02:40:00"/>
    <n v="140"/>
    <n v="330"/>
    <n v="296"/>
    <s v="First reheater B"/>
    <s v="F320Boiler Deslag - First Reheater"/>
    <s v="Mill Creek"/>
    <x v="0"/>
    <s v="Coal"/>
    <x v="1"/>
    <x v="1"/>
    <n v="11"/>
    <n v="4.6666666666860692"/>
    <n v="2.6868686868798579"/>
    <n v="795.31313131643799"/>
    <n v="170.42424242424244"/>
    <x v="245"/>
  </r>
  <r>
    <x v="8"/>
    <x v="3"/>
    <n v="164"/>
    <n v="1160"/>
    <d v="2014-11-20T12:00:00"/>
    <d v="2014-11-20T16:45:00"/>
    <n v="0"/>
    <n v="330"/>
    <n v="296"/>
    <s v="First reheater B"/>
    <s v="F320Boiler Deslag - First Reheater"/>
    <s v="Mill Creek"/>
    <x v="1"/>
    <s v="Coal"/>
    <x v="1"/>
    <x v="1"/>
    <n v="11"/>
    <n v="4.7499999999417923"/>
    <n v="4.7499999999417923"/>
    <n v="1405.9999999827705"/>
    <n v="296"/>
    <x v="202"/>
  </r>
  <r>
    <x v="8"/>
    <x v="0"/>
    <n v="165"/>
    <n v="1160"/>
    <d v="2014-11-20T16:45:00"/>
    <d v="2014-11-20T18:33:00"/>
    <n v="264"/>
    <n v="330"/>
    <n v="296"/>
    <s v="First reheater B"/>
    <s v="F320Boiler Slag - First Reheater"/>
    <s v="Mill Creek"/>
    <x v="0"/>
    <s v="Coal"/>
    <x v="1"/>
    <x v="1"/>
    <n v="11"/>
    <n v="1.8000000001047738"/>
    <n v="0.36000000002095478"/>
    <n v="106.56000000620261"/>
    <n v="59.2"/>
    <x v="83"/>
  </r>
  <r>
    <x v="8"/>
    <x v="0"/>
    <n v="166"/>
    <n v="300"/>
    <d v="2014-11-20T19:15:00"/>
    <d v="2014-11-20T20:44:00"/>
    <n v="264"/>
    <n v="330"/>
    <n v="296"/>
    <s v="Pulverizer motors and drives"/>
    <s v="F5902A Coal Mill Motor - Replace Breaker"/>
    <s v="Mill Creek"/>
    <x v="0"/>
    <s v="Coal"/>
    <x v="1"/>
    <x v="1"/>
    <n v="11"/>
    <n v="1.4833333332790062"/>
    <n v="0.29666666665580121"/>
    <n v="87.81333333011716"/>
    <n v="59.2"/>
    <x v="83"/>
  </r>
  <r>
    <x v="8"/>
    <x v="2"/>
    <n v="167"/>
    <n v="1160"/>
    <d v="2014-11-21T23:00:00"/>
    <d v="2014-11-22T05:10:00"/>
    <n v="150"/>
    <n v="330"/>
    <n v="296"/>
    <s v="First reheater B"/>
    <s v="F320Boiler Deslag - First Reheater"/>
    <s v="Mill Creek"/>
    <x v="0"/>
    <s v="Coal"/>
    <x v="1"/>
    <x v="1"/>
    <n v="11"/>
    <n v="6.1666666666860692"/>
    <n v="3.3636363636469468"/>
    <n v="995.63636363949627"/>
    <n v="161.45454545454547"/>
    <x v="177"/>
  </r>
  <r>
    <x v="8"/>
    <x v="0"/>
    <n v="168"/>
    <n v="1160"/>
    <d v="2014-11-25T03:18:00"/>
    <d v="2014-11-25T05:18:00"/>
    <n v="200"/>
    <n v="330"/>
    <n v="296"/>
    <s v="First reheater B"/>
    <s v="F320Boiler Deslag - First Reheater"/>
    <s v="Mill Creek"/>
    <x v="0"/>
    <s v="Coal"/>
    <x v="1"/>
    <x v="1"/>
    <n v="11"/>
    <n v="2.0000000000582077"/>
    <n v="0.78787878790171817"/>
    <n v="233.21212121890858"/>
    <n v="116.60606060606061"/>
    <x v="242"/>
  </r>
  <r>
    <x v="8"/>
    <x v="0"/>
    <n v="169"/>
    <n v="1160"/>
    <d v="2014-11-25T19:20:00"/>
    <d v="2014-11-25T23:00:00"/>
    <n v="300"/>
    <n v="330"/>
    <n v="296"/>
    <s v="First reheater B"/>
    <s v="F320Boiler Deslag - First Reheater"/>
    <s v="Mill Creek"/>
    <x v="0"/>
    <s v="Coal"/>
    <x v="1"/>
    <x v="1"/>
    <n v="11"/>
    <n v="3.6666666667442769"/>
    <n v="0.33333333334038878"/>
    <n v="98.666666668755084"/>
    <n v="26.90909090909091"/>
    <x v="6"/>
  </r>
  <r>
    <x v="8"/>
    <x v="2"/>
    <n v="170"/>
    <n v="1160"/>
    <d v="2014-11-25T23:00:00"/>
    <d v="2014-11-26T04:20:00"/>
    <n v="150"/>
    <n v="330"/>
    <n v="296"/>
    <s v="First reheater B"/>
    <s v="F320Boiler Deslag - First Reheater"/>
    <s v="Mill Creek"/>
    <x v="0"/>
    <s v="Coal"/>
    <x v="1"/>
    <x v="1"/>
    <n v="11"/>
    <n v="5.3333333332557231"/>
    <n v="2.9090909090485764"/>
    <n v="861.09090907837856"/>
    <n v="161.45454545454547"/>
    <x v="177"/>
  </r>
  <r>
    <x v="8"/>
    <x v="3"/>
    <n v="171"/>
    <n v="1160"/>
    <d v="2014-11-26T23:00:00"/>
    <d v="2014-11-27T04:30:00"/>
    <n v="0"/>
    <n v="330"/>
    <n v="296"/>
    <s v="First reheater B"/>
    <s v="F320Boiler Deslag - First Reheater, Full Load Available as Needed"/>
    <s v="Mill Creek"/>
    <x v="1"/>
    <s v="Coal"/>
    <x v="1"/>
    <x v="1"/>
    <n v="11"/>
    <n v="5.4999999999417923"/>
    <n v="5.4999999999417923"/>
    <n v="1627.9999999827705"/>
    <n v="296"/>
    <x v="202"/>
  </r>
  <r>
    <x v="8"/>
    <x v="0"/>
    <n v="172"/>
    <n v="1160"/>
    <d v="2014-11-27T10:10:00"/>
    <d v="2014-11-27T12:00:00"/>
    <n v="275"/>
    <n v="330"/>
    <n v="296"/>
    <s v="First reheater B"/>
    <s v="F320Boiler Slag - First Reheater"/>
    <s v="Mill Creek"/>
    <x v="0"/>
    <s v="Coal"/>
    <x v="1"/>
    <x v="1"/>
    <n v="11"/>
    <n v="1.8333333333721384"/>
    <n v="0.30555555556202307"/>
    <n v="90.44444444635883"/>
    <n v="49.333333333333336"/>
    <x v="227"/>
  </r>
  <r>
    <x v="8"/>
    <x v="0"/>
    <n v="173"/>
    <n v="1160"/>
    <d v="2014-11-27T12:00:00"/>
    <d v="2014-11-27T15:30:00"/>
    <n v="240"/>
    <n v="330"/>
    <n v="296"/>
    <s v="First reheater B"/>
    <s v="F320Boiler Slag - First Reheater"/>
    <s v="Mill Creek"/>
    <x v="0"/>
    <s v="Coal"/>
    <x v="1"/>
    <x v="1"/>
    <n v="11"/>
    <n v="3.5000000000582077"/>
    <n v="0.95454545456132933"/>
    <n v="282.54545455015347"/>
    <n v="80.727272727272734"/>
    <x v="240"/>
  </r>
  <r>
    <x v="8"/>
    <x v="0"/>
    <n v="174"/>
    <n v="1160"/>
    <d v="2014-11-27T15:30:00"/>
    <d v="2014-11-27T20:55:00"/>
    <n v="200"/>
    <n v="330"/>
    <n v="296"/>
    <s v="First reheater B"/>
    <s v="F320Boiler Slag - First Reheater"/>
    <s v="Mill Creek"/>
    <x v="0"/>
    <s v="Coal"/>
    <x v="1"/>
    <x v="1"/>
    <n v="11"/>
    <n v="5.4166666666860692"/>
    <n v="2.1338383838460273"/>
    <n v="631.61616161842403"/>
    <n v="116.60606060606061"/>
    <x v="242"/>
  </r>
  <r>
    <x v="8"/>
    <x v="0"/>
    <n v="175"/>
    <n v="1160"/>
    <d v="2014-11-27T20:55:00"/>
    <d v="2014-11-27T23:00:00"/>
    <n v="180"/>
    <n v="330"/>
    <n v="296"/>
    <s v="First reheater B"/>
    <s v="F320Boiler Slag - First Reheater"/>
    <s v="Mill Creek"/>
    <x v="0"/>
    <s v="Coal"/>
    <x v="1"/>
    <x v="1"/>
    <n v="11"/>
    <n v="2.0833333333139308"/>
    <n v="0.94696969696087763"/>
    <n v="280.30303030041978"/>
    <n v="134.54545454545453"/>
    <x v="162"/>
  </r>
  <r>
    <x v="8"/>
    <x v="0"/>
    <n v="176"/>
    <n v="1160"/>
    <d v="2014-11-27T23:00:00"/>
    <d v="2014-11-28T05:28:00"/>
    <n v="150"/>
    <n v="330"/>
    <n v="296"/>
    <s v="First reheater B"/>
    <s v="F320Boiler Deslag - First Reheater"/>
    <s v="Mill Creek"/>
    <x v="0"/>
    <s v="Coal"/>
    <x v="1"/>
    <x v="1"/>
    <n v="11"/>
    <n v="6.46666666661622"/>
    <n v="3.5272727272452111"/>
    <n v="1044.0727272645825"/>
    <n v="161.45454545454547"/>
    <x v="177"/>
  </r>
  <r>
    <x v="8"/>
    <x v="0"/>
    <n v="177"/>
    <n v="1160"/>
    <d v="2014-11-28T16:45:00"/>
    <d v="2014-11-28T19:50:00"/>
    <n v="275"/>
    <n v="330"/>
    <n v="296"/>
    <s v="First reheater B"/>
    <s v="F320Boiler Slag - First Reheater"/>
    <s v="Mill Creek"/>
    <x v="0"/>
    <s v="Coal"/>
    <x v="1"/>
    <x v="1"/>
    <n v="11"/>
    <n v="3.0833333334303461"/>
    <n v="0.51388888890505768"/>
    <n v="152.11111111589707"/>
    <n v="49.333333333333336"/>
    <x v="227"/>
  </r>
  <r>
    <x v="8"/>
    <x v="0"/>
    <n v="178"/>
    <n v="1160"/>
    <d v="2014-11-28T19:50:00"/>
    <d v="2014-11-28T23:00:00"/>
    <n v="245"/>
    <n v="330"/>
    <n v="296"/>
    <s v="First reheater B"/>
    <s v="F320Boiler Slag - First Reheater"/>
    <s v="Mill Creek"/>
    <x v="0"/>
    <s v="Coal"/>
    <x v="1"/>
    <x v="1"/>
    <n v="11"/>
    <n v="3.1666666666860692"/>
    <n v="0.8156565656615633"/>
    <n v="241.43434343582274"/>
    <n v="76.242424242424249"/>
    <x v="220"/>
  </r>
  <r>
    <x v="8"/>
    <x v="0"/>
    <n v="179"/>
    <n v="1160"/>
    <d v="2014-11-28T23:00:00"/>
    <d v="2014-11-29T03:12:00"/>
    <n v="150"/>
    <n v="330"/>
    <n v="296"/>
    <s v="First reheater B"/>
    <s v="F320Boiler Deslag - First Reheater"/>
    <s v="Mill Creek"/>
    <x v="0"/>
    <s v="Coal"/>
    <x v="1"/>
    <x v="1"/>
    <n v="11"/>
    <n v="4.1999999998952262"/>
    <n v="2.2909090908519416"/>
    <n v="678.10909089217466"/>
    <n v="161.45454545454547"/>
    <x v="177"/>
  </r>
  <r>
    <x v="8"/>
    <x v="0"/>
    <n v="180"/>
    <n v="1160"/>
    <d v="2014-11-29T21:00:00"/>
    <d v="2014-11-30T02:55:00"/>
    <n v="150"/>
    <n v="330"/>
    <n v="296"/>
    <s v="First reheater B"/>
    <s v="F320Boiler Deslag - First Reheater"/>
    <s v="Mill Creek"/>
    <x v="0"/>
    <s v="Coal"/>
    <x v="1"/>
    <x v="1"/>
    <n v="11"/>
    <n v="5.9166666667442769"/>
    <n v="3.2272727273150603"/>
    <n v="955.27272728525782"/>
    <n v="161.45454545454547"/>
    <x v="177"/>
  </r>
  <r>
    <x v="8"/>
    <x v="0"/>
    <n v="181"/>
    <n v="1850"/>
    <d v="2014-11-30T17:59:00"/>
    <d v="2014-11-30T18:27:00"/>
    <n v="310"/>
    <n v="330"/>
    <n v="296"/>
    <s v="Boiler water condition (not feedwater water quality)"/>
    <s v="F170High Silica"/>
    <s v="Mill Creek"/>
    <x v="0"/>
    <s v="Coal"/>
    <x v="1"/>
    <x v="1"/>
    <n v="11"/>
    <n v="0.46666666679084301"/>
    <n v="2.8282828290354122E-2"/>
    <n v="8.3717171739448197"/>
    <n v="17.939393939393938"/>
    <x v="5"/>
  </r>
  <r>
    <x v="8"/>
    <x v="0"/>
    <n v="182"/>
    <n v="1850"/>
    <d v="2014-11-30T18:27:00"/>
    <d v="2014-11-30T20:54:00"/>
    <n v="175"/>
    <n v="330"/>
    <n v="296"/>
    <s v="Boiler water condition (not feedwater water quality)"/>
    <s v="F170High Silica"/>
    <s v="Mill Creek"/>
    <x v="0"/>
    <s v="Coal"/>
    <x v="1"/>
    <x v="1"/>
    <n v="11"/>
    <n v="2.4499999999534339"/>
    <n v="1.1507575757357038"/>
    <n v="340.6242424177683"/>
    <n v="139.03030303030303"/>
    <x v="172"/>
  </r>
  <r>
    <x v="8"/>
    <x v="5"/>
    <n v="183"/>
    <n v="3110"/>
    <d v="2014-11-30T20:54:00"/>
    <d v="2014-12-01T12:58:00"/>
    <n v="0"/>
    <n v="330"/>
    <n v="296"/>
    <s v="Condenser tube leaks"/>
    <s v="F540Condenser Tube Leak"/>
    <s v="Mill Creek"/>
    <x v="3"/>
    <s v="Coal"/>
    <x v="1"/>
    <x v="1"/>
    <n v="11"/>
    <n v="16.066666666651145"/>
    <n v="16.066666666651145"/>
    <n v="4755.7333333287388"/>
    <n v="296"/>
    <x v="202"/>
  </r>
  <r>
    <x v="8"/>
    <x v="4"/>
    <n v="184"/>
    <n v="8230"/>
    <d v="2014-12-01T12:58:00"/>
    <d v="2014-12-04T22:21:00"/>
    <n v="0"/>
    <n v="330"/>
    <n v="296"/>
    <s v="Ducting A"/>
    <s v="F590FGD Expansion Joint Repair/ Boiler Deslag"/>
    <s v="Mill Creek"/>
    <x v="2"/>
    <s v="Coal"/>
    <x v="1"/>
    <x v="1"/>
    <n v="12"/>
    <n v="81.383333333360497"/>
    <n v="81.383333333360497"/>
    <n v="24089.466666674707"/>
    <n v="296"/>
    <x v="202"/>
  </r>
  <r>
    <x v="8"/>
    <x v="7"/>
    <n v="185"/>
    <n v="3619"/>
    <d v="2014-12-04T22:21:00"/>
    <d v="2014-12-05T12:06:00"/>
    <n v="0"/>
    <n v="330"/>
    <n v="296"/>
    <s v="Other switchyard equipment - external"/>
    <s v="F400Relay &amp; Switchyard Issues - Problem Synchronizing"/>
    <s v="Mill Creek"/>
    <x v="3"/>
    <s v="Coal"/>
    <x v="1"/>
    <x v="1"/>
    <n v="12"/>
    <n v="13.749999999941792"/>
    <n v="13.749999999941792"/>
    <n v="4069.9999999827705"/>
    <n v="296"/>
    <x v="202"/>
  </r>
  <r>
    <x v="8"/>
    <x v="3"/>
    <n v="186"/>
    <n v="1850"/>
    <d v="2014-12-05T12:06:00"/>
    <d v="2014-12-05T15:19:00"/>
    <n v="0"/>
    <n v="330"/>
    <n v="296"/>
    <s v="Boiler water condition (not feedwater water quality)"/>
    <s v="F170High Silica @ Warm Start Up"/>
    <s v="Mill Creek"/>
    <x v="1"/>
    <s v="Coal"/>
    <x v="1"/>
    <x v="1"/>
    <n v="12"/>
    <n v="3.2166666666744277"/>
    <n v="3.2166666666744277"/>
    <n v="952.1333333356306"/>
    <n v="296"/>
    <x v="202"/>
  </r>
  <r>
    <x v="8"/>
    <x v="5"/>
    <n v="187"/>
    <n v="3110"/>
    <d v="2014-12-05T15:19:00"/>
    <d v="2014-12-07T16:26:00"/>
    <n v="0"/>
    <n v="330"/>
    <n v="296"/>
    <s v="Condenser tube leaks"/>
    <s v="F540Condenser Tube Leak"/>
    <s v="Mill Creek"/>
    <x v="3"/>
    <s v="Coal"/>
    <x v="1"/>
    <x v="1"/>
    <n v="12"/>
    <n v="49.116666666639503"/>
    <n v="49.116666666639503"/>
    <n v="14538.533333325293"/>
    <n v="296"/>
    <x v="202"/>
  </r>
  <r>
    <x v="8"/>
    <x v="3"/>
    <n v="188"/>
    <n v="1850"/>
    <d v="2014-12-07T16:26:00"/>
    <d v="2014-12-08T04:00:00"/>
    <n v="0"/>
    <n v="330"/>
    <n v="296"/>
    <s v="Boiler water condition (not feedwater water quality)"/>
    <s v="F170High Silica @ Warm Start Up"/>
    <s v="Mill Creek"/>
    <x v="1"/>
    <s v="Coal"/>
    <x v="1"/>
    <x v="1"/>
    <n v="12"/>
    <n v="11.566666666651145"/>
    <n v="11.566666666651145"/>
    <n v="3423.7333333287388"/>
    <n v="296"/>
    <x v="202"/>
  </r>
  <r>
    <x v="8"/>
    <x v="0"/>
    <n v="189"/>
    <n v="1850"/>
    <d v="2014-12-08T04:00:00"/>
    <d v="2014-12-09T09:00:00"/>
    <n v="170"/>
    <n v="330"/>
    <n v="296"/>
    <s v="Boiler water condition (not feedwater water quality)"/>
    <s v="F170High Silica"/>
    <s v="Mill Creek"/>
    <x v="0"/>
    <s v="Coal"/>
    <x v="1"/>
    <x v="1"/>
    <n v="12"/>
    <n v="29.000000000058208"/>
    <n v="14.060606060634283"/>
    <n v="4161.9393939477477"/>
    <n v="143.5151515151515"/>
    <x v="250"/>
  </r>
  <r>
    <x v="8"/>
    <x v="0"/>
    <n v="190"/>
    <n v="1850"/>
    <d v="2014-12-09T09:00:00"/>
    <d v="2014-12-10T20:22:00"/>
    <n v="240"/>
    <n v="330"/>
    <n v="296"/>
    <s v="Boiler water condition (not feedwater water quality)"/>
    <s v="F170High Silica"/>
    <s v="Mill Creek"/>
    <x v="0"/>
    <s v="Coal"/>
    <x v="1"/>
    <x v="1"/>
    <n v="12"/>
    <n v="35.366666666697711"/>
    <n v="9.6454545454630125"/>
    <n v="2855.0545454570515"/>
    <n v="80.727272727272734"/>
    <x v="240"/>
  </r>
  <r>
    <x v="8"/>
    <x v="0"/>
    <n v="191"/>
    <n v="1850"/>
    <d v="2014-12-10T20:22:00"/>
    <d v="2014-12-10T23:55:00"/>
    <n v="210"/>
    <n v="330"/>
    <n v="296"/>
    <s v="Boiler water condition (not feedwater water quality)"/>
    <s v="F170High Silica"/>
    <s v="Mill Creek"/>
    <x v="0"/>
    <s v="Coal"/>
    <x v="1"/>
    <x v="1"/>
    <n v="12"/>
    <n v="3.5500000000465661"/>
    <n v="1.2909090909260241"/>
    <n v="382.10909091410315"/>
    <n v="107.63636363636364"/>
    <x v="255"/>
  </r>
  <r>
    <x v="8"/>
    <x v="0"/>
    <n v="192"/>
    <n v="1850"/>
    <d v="2014-12-10T23:55:00"/>
    <d v="2014-12-12T04:08:00"/>
    <n v="226"/>
    <n v="330"/>
    <n v="296"/>
    <s v="Boiler water condition (not feedwater water quality)"/>
    <s v="F170High Silica"/>
    <s v="Mill Creek"/>
    <x v="0"/>
    <s v="Coal"/>
    <x v="1"/>
    <x v="1"/>
    <n v="12"/>
    <n v="28.21666666661622"/>
    <n v="8.8925252525093548"/>
    <n v="2632.1874747427692"/>
    <n v="93.284848484848482"/>
    <x v="129"/>
  </r>
  <r>
    <x v="8"/>
    <x v="0"/>
    <n v="193"/>
    <n v="1850"/>
    <d v="2014-12-12T04:08:00"/>
    <d v="2014-12-12T13:00:00"/>
    <n v="230"/>
    <n v="330"/>
    <n v="296"/>
    <s v="Boiler water condition (not feedwater water quality)"/>
    <s v="F170High Silica"/>
    <s v="Mill Creek"/>
    <x v="0"/>
    <s v="Coal"/>
    <x v="1"/>
    <x v="1"/>
    <n v="12"/>
    <n v="8.8666666665812954"/>
    <n v="2.6868686868428169"/>
    <n v="795.3131313054738"/>
    <n v="89.696969696969703"/>
    <x v="160"/>
  </r>
  <r>
    <x v="8"/>
    <x v="0"/>
    <n v="194"/>
    <n v="1850"/>
    <d v="2014-12-12T13:00:00"/>
    <d v="2014-12-14T07:42:00"/>
    <n v="260"/>
    <n v="330"/>
    <n v="296"/>
    <s v="Boiler water condition (not feedwater water quality)"/>
    <s v="F170High Silica"/>
    <s v="Mill Creek"/>
    <x v="0"/>
    <s v="Coal"/>
    <x v="1"/>
    <x v="1"/>
    <n v="12"/>
    <n v="42.700000000011642"/>
    <n v="9.0575757575782276"/>
    <n v="2681.0424242431554"/>
    <n v="62.787878787878789"/>
    <x v="187"/>
  </r>
  <r>
    <x v="8"/>
    <x v="0"/>
    <n v="195"/>
    <n v="1850"/>
    <d v="2014-12-14T07:42:00"/>
    <d v="2014-12-14T17:30:00"/>
    <n v="230"/>
    <n v="330"/>
    <n v="296"/>
    <s v="Boiler water condition (not feedwater water quality)"/>
    <s v="F170High Silica"/>
    <s v="Mill Creek"/>
    <x v="0"/>
    <s v="Coal"/>
    <x v="1"/>
    <x v="1"/>
    <n v="12"/>
    <n v="9.7999999999883585"/>
    <n v="2.9696969696934419"/>
    <n v="879.03030302925879"/>
    <n v="89.696969696969703"/>
    <x v="160"/>
  </r>
  <r>
    <x v="8"/>
    <x v="0"/>
    <n v="196"/>
    <n v="1850"/>
    <d v="2014-12-14T17:30:00"/>
    <d v="2014-12-15T02:38:00"/>
    <n v="260"/>
    <n v="330"/>
    <n v="296"/>
    <s v="Boiler water condition (not feedwater water quality)"/>
    <s v="F170High Silica"/>
    <s v="Mill Creek"/>
    <x v="0"/>
    <s v="Coal"/>
    <x v="1"/>
    <x v="1"/>
    <n v="12"/>
    <n v="9.1333333334187046"/>
    <n v="1.9373737373918465"/>
    <n v="573.46262626798659"/>
    <n v="62.787878787878789"/>
    <x v="187"/>
  </r>
  <r>
    <x v="8"/>
    <x v="0"/>
    <n v="197"/>
    <n v="1850"/>
    <d v="2014-12-15T02:38:00"/>
    <d v="2014-12-17T04:08:00"/>
    <n v="270"/>
    <n v="330"/>
    <n v="296"/>
    <s v="Boiler water condition (not feedwater water quality)"/>
    <s v="F170High Silica"/>
    <s v="Mill Creek"/>
    <x v="0"/>
    <s v="Coal"/>
    <x v="1"/>
    <x v="1"/>
    <n v="12"/>
    <n v="49.5"/>
    <n v="9"/>
    <n v="2664"/>
    <n v="53.81818181818182"/>
    <x v="158"/>
  </r>
  <r>
    <x v="8"/>
    <x v="0"/>
    <n v="198"/>
    <n v="1850"/>
    <d v="2014-12-17T04:08:00"/>
    <d v="2014-12-17T22:25:00"/>
    <n v="310"/>
    <n v="330"/>
    <n v="296"/>
    <s v="Boiler water condition (not feedwater water quality)"/>
    <s v="F170High Silica"/>
    <s v="Mill Creek"/>
    <x v="0"/>
    <s v="Coal"/>
    <x v="1"/>
    <x v="1"/>
    <n v="12"/>
    <n v="18.28333333338378"/>
    <n v="1.1080808080838656"/>
    <n v="327.99191919282418"/>
    <n v="17.939393939393938"/>
    <x v="5"/>
  </r>
  <r>
    <x v="8"/>
    <x v="0"/>
    <n v="199"/>
    <n v="1850"/>
    <d v="2014-12-17T22:25:00"/>
    <d v="2014-12-18T08:50:00"/>
    <n v="273"/>
    <n v="330"/>
    <n v="296"/>
    <s v="Boiler water condition (not feedwater water quality)"/>
    <s v="F170High Silica"/>
    <s v="Mill Creek"/>
    <x v="0"/>
    <s v="Coal"/>
    <x v="1"/>
    <x v="1"/>
    <n v="12"/>
    <n v="10.416666666569654"/>
    <n v="1.7992424242256675"/>
    <n v="532.57575757079758"/>
    <n v="51.127272727272725"/>
    <x v="3"/>
  </r>
  <r>
    <x v="8"/>
    <x v="0"/>
    <n v="200"/>
    <n v="1850"/>
    <d v="2014-12-18T08:50:00"/>
    <d v="2014-12-19T21:05:00"/>
    <n v="320"/>
    <n v="330"/>
    <n v="296"/>
    <s v="Boiler water condition (not feedwater water quality)"/>
    <s v="F170High Silica"/>
    <s v="Mill Creek"/>
    <x v="0"/>
    <s v="Coal"/>
    <x v="1"/>
    <x v="1"/>
    <n v="12"/>
    <n v="36.249999999941792"/>
    <n v="1.0984848484830847"/>
    <n v="325.15151515099308"/>
    <n v="8.9696969696969688"/>
    <x v="94"/>
  </r>
  <r>
    <x v="8"/>
    <x v="0"/>
    <n v="201"/>
    <n v="1850"/>
    <d v="2014-12-20T00:40:00"/>
    <d v="2014-12-20T14:49:00"/>
    <n v="310"/>
    <n v="330"/>
    <n v="296"/>
    <s v="Boiler water condition (not feedwater water quality)"/>
    <s v="F170High Silica"/>
    <s v="Mill Creek"/>
    <x v="0"/>
    <s v="Coal"/>
    <x v="1"/>
    <x v="1"/>
    <n v="12"/>
    <n v="14.14999999984866"/>
    <n v="0.85757575756658544"/>
    <n v="253.84242423970929"/>
    <n v="17.939393939393938"/>
    <x v="5"/>
  </r>
  <r>
    <x v="8"/>
    <x v="4"/>
    <n v="202"/>
    <n v="9720"/>
    <d v="2014-12-21T01:01:00"/>
    <d v="2014-12-22T22:26:00"/>
    <n v="0"/>
    <n v="330"/>
    <n v="296"/>
    <s v="Other safety problems"/>
    <s v="FX00FGD Ductwork - Zachry making lift"/>
    <s v="Mill Creek"/>
    <x v="2"/>
    <s v="Coal"/>
    <x v="1"/>
    <x v="1"/>
    <n v="12"/>
    <n v="45.416666666627862"/>
    <n v="45.416666666627862"/>
    <n v="13443.333333321847"/>
    <n v="296"/>
    <x v="202"/>
  </r>
  <r>
    <x v="8"/>
    <x v="7"/>
    <n v="203"/>
    <n v="3620"/>
    <d v="2014-12-22T22:26:00"/>
    <d v="2015-01-01T00:00:00"/>
    <n v="0"/>
    <n v="330"/>
    <n v="296"/>
    <s v="Main transformer"/>
    <s v="F700Main Transformer A Phase"/>
    <s v="Mill Creek"/>
    <x v="3"/>
    <s v="Coal"/>
    <x v="1"/>
    <x v="1"/>
    <n v="12"/>
    <n v="217.56666666670935"/>
    <n v="217.56666666670935"/>
    <n v="64399.733333345968"/>
    <n v="296"/>
    <x v="202"/>
  </r>
  <r>
    <x v="8"/>
    <x v="7"/>
    <n v="1"/>
    <n v="3620"/>
    <d v="2015-01-01T00:00:00"/>
    <d v="2015-01-05T19:15:00"/>
    <n v="0"/>
    <n v="330"/>
    <n v="296"/>
    <s v="Main transformer"/>
    <s v="F700Main Transformer Replacement"/>
    <s v="Mill Creek"/>
    <x v="3"/>
    <s v="Coal"/>
    <x v="1"/>
    <x v="2"/>
    <n v="1"/>
    <n v="115.25000000005821"/>
    <n v="115.25000000005821"/>
    <n v="34114.000000017229"/>
    <n v="296"/>
    <x v="202"/>
  </r>
  <r>
    <x v="8"/>
    <x v="3"/>
    <n v="2"/>
    <n v="1850"/>
    <d v="2015-01-05T19:15:00"/>
    <d v="2015-01-05T20:57:00"/>
    <n v="0"/>
    <n v="330"/>
    <n v="296"/>
    <s v="Boiler water condition (not feedwater water quality)"/>
    <s v="F170High Silica @ Cold Start Up"/>
    <s v="Mill Creek"/>
    <x v="1"/>
    <s v="Coal"/>
    <x v="1"/>
    <x v="2"/>
    <n v="1"/>
    <n v="1.6999999999534339"/>
    <n v="1.6999999999534339"/>
    <n v="503.19999998621643"/>
    <n v="296"/>
    <x v="202"/>
  </r>
  <r>
    <x v="8"/>
    <x v="5"/>
    <n v="3"/>
    <n v="4700"/>
    <d v="2015-01-05T20:57:00"/>
    <d v="2015-01-06T08:19:00"/>
    <n v="0"/>
    <n v="330"/>
    <n v="296"/>
    <s v="Generator voltage control"/>
    <s v="F400Generator Field - Voltage Regulator Issues"/>
    <s v="Mill Creek"/>
    <x v="3"/>
    <s v="Coal"/>
    <x v="1"/>
    <x v="2"/>
    <n v="1"/>
    <n v="11.366666666697711"/>
    <n v="11.366666666697711"/>
    <n v="3364.5333333425224"/>
    <n v="296"/>
    <x v="202"/>
  </r>
  <r>
    <x v="8"/>
    <x v="3"/>
    <n v="4"/>
    <n v="1850"/>
    <d v="2015-01-06T08:19:00"/>
    <d v="2015-01-07T02:46:00"/>
    <n v="0"/>
    <n v="330"/>
    <n v="296"/>
    <s v="Boiler water condition (not feedwater water quality)"/>
    <s v="F170High Silica @ Cold Start Up"/>
    <s v="Mill Creek"/>
    <x v="1"/>
    <s v="Coal"/>
    <x v="1"/>
    <x v="2"/>
    <n v="1"/>
    <n v="18.449999999895226"/>
    <n v="18.449999999895226"/>
    <n v="5461.199999968987"/>
    <n v="296"/>
    <x v="202"/>
  </r>
  <r>
    <x v="8"/>
    <x v="0"/>
    <n v="5"/>
    <n v="1850"/>
    <d v="2015-01-07T08:02:00"/>
    <d v="2015-01-07T21:50:00"/>
    <n v="262"/>
    <n v="330"/>
    <n v="296"/>
    <s v="Boiler water condition (not feedwater water quality)"/>
    <s v="F170High Silica"/>
    <s v="Mill Creek"/>
    <x v="0"/>
    <s v="Coal"/>
    <x v="1"/>
    <x v="2"/>
    <n v="1"/>
    <n v="13.799999999930151"/>
    <n v="2.8436363636219704"/>
    <n v="841.71636363210325"/>
    <n v="60.993939393939392"/>
    <x v="131"/>
  </r>
  <r>
    <x v="8"/>
    <x v="0"/>
    <n v="6"/>
    <n v="1850"/>
    <d v="2015-01-07T21:50:00"/>
    <d v="2015-01-08T04:52:00"/>
    <n v="275"/>
    <n v="330"/>
    <n v="296"/>
    <s v="Boiler water condition (not feedwater water quality)"/>
    <s v="F170High Silica"/>
    <s v="Mill Creek"/>
    <x v="0"/>
    <s v="Coal"/>
    <x v="1"/>
    <x v="2"/>
    <n v="1"/>
    <n v="7.03333333338378"/>
    <n v="1.17222222223063"/>
    <n v="346.97777778026648"/>
    <n v="49.333333333333336"/>
    <x v="227"/>
  </r>
  <r>
    <x v="8"/>
    <x v="0"/>
    <n v="7"/>
    <n v="1850"/>
    <d v="2015-01-08T04:52:00"/>
    <d v="2015-01-08T12:15:00"/>
    <n v="300"/>
    <n v="330"/>
    <n v="296"/>
    <s v="Boiler water condition (not feedwater water quality)"/>
    <s v="F170High Silica"/>
    <s v="Mill Creek"/>
    <x v="0"/>
    <s v="Coal"/>
    <x v="1"/>
    <x v="2"/>
    <n v="1"/>
    <n v="7.3833333333022892"/>
    <n v="0.67121212120929907"/>
    <n v="198.67878787795252"/>
    <n v="26.90909090909091"/>
    <x v="6"/>
  </r>
  <r>
    <x v="8"/>
    <x v="0"/>
    <n v="8"/>
    <n v="1850"/>
    <d v="2015-01-08T12:15:00"/>
    <d v="2015-01-08T16:13:00"/>
    <n v="277"/>
    <n v="330"/>
    <n v="296"/>
    <s v="Boiler water condition (not feedwater water quality)"/>
    <s v="F170High Silica"/>
    <s v="Mill Creek"/>
    <x v="0"/>
    <s v="Coal"/>
    <x v="1"/>
    <x v="2"/>
    <n v="1"/>
    <n v="3.9666666666744277"/>
    <n v="0.63707070707195357"/>
    <n v="188.57292929329824"/>
    <n v="47.539393939393939"/>
    <x v="22"/>
  </r>
  <r>
    <x v="8"/>
    <x v="0"/>
    <n v="9"/>
    <n v="1850"/>
    <d v="2015-01-08T16:13:00"/>
    <d v="2015-01-09T07:45:00"/>
    <n v="296"/>
    <n v="330"/>
    <n v="296"/>
    <s v="Boiler water condition (not feedwater water quality)"/>
    <s v="F170High Silica"/>
    <s v="Mill Creek"/>
    <x v="0"/>
    <s v="Coal"/>
    <x v="1"/>
    <x v="2"/>
    <n v="1"/>
    <n v="15.533333333325572"/>
    <n v="1.6004040404032407"/>
    <n v="473.71959595935925"/>
    <n v="30.496969696969696"/>
    <x v="222"/>
  </r>
  <r>
    <x v="8"/>
    <x v="0"/>
    <n v="10"/>
    <n v="1850"/>
    <d v="2015-01-09T07:45:00"/>
    <d v="2015-01-12T07:44:00"/>
    <n v="315"/>
    <n v="330"/>
    <n v="296"/>
    <s v="Boiler water condition (not feedwater water quality)"/>
    <s v="F170High Silica"/>
    <s v="Mill Creek"/>
    <x v="0"/>
    <s v="Coal"/>
    <x v="1"/>
    <x v="2"/>
    <n v="1"/>
    <n v="71.983333333453629"/>
    <n v="3.271969696975165"/>
    <n v="968.50303030464886"/>
    <n v="13.454545454545455"/>
    <x v="20"/>
  </r>
  <r>
    <x v="8"/>
    <x v="0"/>
    <n v="11"/>
    <n v="1850"/>
    <d v="2015-01-12T07:44:00"/>
    <d v="2015-01-13T06:03:00"/>
    <n v="322"/>
    <n v="330"/>
    <n v="296"/>
    <s v="Boiler water condition (not feedwater water quality)"/>
    <s v="F170High Silica"/>
    <s v="Mill Creek"/>
    <x v="0"/>
    <s v="Coal"/>
    <x v="1"/>
    <x v="2"/>
    <n v="1"/>
    <n v="22.316666666592937"/>
    <n v="0.54101010100831359"/>
    <n v="160.13898989846084"/>
    <n v="7.1757575757575758"/>
    <x v="13"/>
  </r>
  <r>
    <x v="8"/>
    <x v="0"/>
    <n v="12"/>
    <n v="1850"/>
    <d v="2015-01-13T09:37:00"/>
    <d v="2015-01-13T16:38:00"/>
    <n v="300"/>
    <n v="330"/>
    <n v="296"/>
    <s v="Boiler water condition (not feedwater water quality)"/>
    <s v="F170High Silica"/>
    <s v="Mill Creek"/>
    <x v="0"/>
    <s v="Coal"/>
    <x v="1"/>
    <x v="2"/>
    <n v="1"/>
    <n v="7.0166666668374091"/>
    <n v="0.63787878789430996"/>
    <n v="188.81212121671575"/>
    <n v="26.90909090909091"/>
    <x v="6"/>
  </r>
  <r>
    <x v="8"/>
    <x v="4"/>
    <n v="13"/>
    <n v="4619"/>
    <d v="2015-01-17T10:27:00"/>
    <d v="2015-01-19T01:38:00"/>
    <n v="0"/>
    <n v="330"/>
    <n v="296"/>
    <s v="Other hydrogen system problems"/>
    <s v="F540Generator Bushing Box - Hydrogen Leak Repair"/>
    <s v="Mill Creek"/>
    <x v="2"/>
    <s v="Coal"/>
    <x v="1"/>
    <x v="2"/>
    <n v="1"/>
    <n v="39.183333333407063"/>
    <n v="39.183333333407063"/>
    <n v="11598.266666688491"/>
    <n v="296"/>
    <x v="202"/>
  </r>
  <r>
    <x v="8"/>
    <x v="3"/>
    <n v="14"/>
    <n v="1850"/>
    <d v="2015-01-19T01:38:00"/>
    <d v="2015-01-19T07:38:00"/>
    <n v="0"/>
    <n v="330"/>
    <n v="296"/>
    <s v="Boiler water condition (not feedwater water quality)"/>
    <s v="F170High Silica @ Hot Start Up"/>
    <s v="Mill Creek"/>
    <x v="1"/>
    <s v="Coal"/>
    <x v="1"/>
    <x v="2"/>
    <n v="1"/>
    <n v="6"/>
    <n v="6"/>
    <n v="1776"/>
    <n v="296"/>
    <x v="202"/>
  </r>
  <r>
    <x v="8"/>
    <x v="0"/>
    <n v="15"/>
    <n v="1850"/>
    <d v="2015-01-19T07:38:00"/>
    <d v="2015-01-20T03:00:00"/>
    <n v="190"/>
    <n v="330"/>
    <n v="296"/>
    <s v="Boiler water condition (not feedwater water quality)"/>
    <s v="F170High Silica"/>
    <s v="Mill Creek"/>
    <x v="0"/>
    <s v="Coal"/>
    <x v="1"/>
    <x v="2"/>
    <n v="1"/>
    <n v="19.366666666581295"/>
    <n v="8.2161616161253974"/>
    <n v="2431.9838383731176"/>
    <n v="125.57575757575758"/>
    <x v="248"/>
  </r>
  <r>
    <x v="8"/>
    <x v="0"/>
    <n v="16"/>
    <n v="1850"/>
    <d v="2015-01-20T03:00:00"/>
    <d v="2015-01-20T09:55:00"/>
    <n v="240"/>
    <n v="330"/>
    <n v="296"/>
    <s v="Boiler water condition (not feedwater water quality)"/>
    <s v="F170High Silica"/>
    <s v="Mill Creek"/>
    <x v="0"/>
    <s v="Coal"/>
    <x v="1"/>
    <x v="2"/>
    <n v="1"/>
    <n v="6.9166666666860692"/>
    <n v="1.886363636368928"/>
    <n v="558.36363636520264"/>
    <n v="80.727272727272734"/>
    <x v="240"/>
  </r>
  <r>
    <x v="8"/>
    <x v="0"/>
    <n v="17"/>
    <n v="1850"/>
    <d v="2015-01-20T09:55:00"/>
    <d v="2015-01-21T01:56:00"/>
    <n v="295"/>
    <n v="330"/>
    <n v="296"/>
    <s v="Boiler water condition (not feedwater water quality)"/>
    <s v="F170High Silica"/>
    <s v="Mill Creek"/>
    <x v="0"/>
    <s v="Coal"/>
    <x v="1"/>
    <x v="2"/>
    <n v="1"/>
    <n v="16.016666666662786"/>
    <n v="1.6987373737369622"/>
    <n v="502.82626262614082"/>
    <n v="31.393939393939394"/>
    <x v="246"/>
  </r>
  <r>
    <x v="8"/>
    <x v="0"/>
    <n v="18"/>
    <n v="4700"/>
    <d v="2015-01-21T01:56:00"/>
    <d v="2015-01-21T08:01:00"/>
    <n v="235"/>
    <n v="330"/>
    <n v="296"/>
    <s v="Generator voltage control"/>
    <s v="F400Voltage Regulator Issue"/>
    <s v="Mill Creek"/>
    <x v="0"/>
    <s v="Coal"/>
    <x v="1"/>
    <x v="2"/>
    <n v="1"/>
    <n v="6.0833333332557231"/>
    <n v="1.7512626262402839"/>
    <n v="518.37373736712402"/>
    <n v="85.212121212121218"/>
    <x v="196"/>
  </r>
  <r>
    <x v="8"/>
    <x v="3"/>
    <n v="19"/>
    <n v="9999"/>
    <d v="2015-02-03T07:00:00"/>
    <d v="2015-02-03T14:13:00"/>
    <n v="0"/>
    <n v="330"/>
    <n v="296"/>
    <s v="Total unit performance testing (use appropriate codes for individual component testing)"/>
    <s v="F790Winter full load capability test"/>
    <s v="Mill Creek"/>
    <x v="1"/>
    <s v="Coal"/>
    <x v="1"/>
    <x v="2"/>
    <n v="2"/>
    <n v="7.216666666790843"/>
    <n v="7.216666666790843"/>
    <n v="2136.1333333700895"/>
    <n v="296"/>
    <x v="202"/>
  </r>
  <r>
    <x v="8"/>
    <x v="3"/>
    <n v="20"/>
    <n v="1160"/>
    <d v="2015-02-22T08:00:00"/>
    <d v="2015-02-22T12:54:00"/>
    <n v="0"/>
    <n v="330"/>
    <n v="296"/>
    <s v="First reheater B"/>
    <s v="FS00Deslag 1st Reheat"/>
    <s v="Mill Creek"/>
    <x v="1"/>
    <s v="Coal"/>
    <x v="1"/>
    <x v="2"/>
    <n v="2"/>
    <n v="4.8999999999068677"/>
    <n v="4.8999999999068677"/>
    <n v="1450.3999999724329"/>
    <n v="296"/>
    <x v="202"/>
  </r>
  <r>
    <x v="8"/>
    <x v="0"/>
    <n v="21"/>
    <n v="250"/>
    <d v="2015-03-01T00:39:00"/>
    <d v="2015-03-01T02:52:00"/>
    <n v="250"/>
    <n v="330"/>
    <n v="296"/>
    <s v="Pulverizer feeders"/>
    <s v="F1202D Coal Feeder Plugged"/>
    <s v="Mill Creek"/>
    <x v="0"/>
    <s v="Coal"/>
    <x v="1"/>
    <x v="2"/>
    <n v="3"/>
    <n v="2.2166666665580124"/>
    <n v="0.53737373734739691"/>
    <n v="159.0626262548295"/>
    <n v="71.757575757575751"/>
    <x v="243"/>
  </r>
  <r>
    <x v="8"/>
    <x v="2"/>
    <n v="22"/>
    <n v="8280"/>
    <d v="2015-03-03T22:00:00"/>
    <d v="2015-03-04T02:23:00"/>
    <n v="150"/>
    <n v="330"/>
    <n v="296"/>
    <s v="Reagent feed piping"/>
    <s v="F590Reactant Feed Line Repair"/>
    <s v="Mill Creek"/>
    <x v="0"/>
    <s v="Coal"/>
    <x v="1"/>
    <x v="2"/>
    <n v="3"/>
    <n v="4.3833333334769122"/>
    <n v="2.3909090909874067"/>
    <n v="707.70909093227237"/>
    <n v="161.45454545454547"/>
    <x v="177"/>
  </r>
  <r>
    <x v="8"/>
    <x v="0"/>
    <n v="23"/>
    <n v="250"/>
    <d v="2015-03-04T22:30:00"/>
    <d v="2015-03-05T00:33:00"/>
    <n v="230"/>
    <n v="330"/>
    <n v="296"/>
    <s v="Pulverizer feeders"/>
    <s v="FW00Wet Coal"/>
    <s v="Mill Creek"/>
    <x v="0"/>
    <s v="Coal"/>
    <x v="1"/>
    <x v="2"/>
    <n v="3"/>
    <n v="2.0500000000465661"/>
    <n v="0.62121212122623215"/>
    <n v="183.87878788296473"/>
    <n v="89.696969696969703"/>
    <x v="160"/>
  </r>
  <r>
    <x v="8"/>
    <x v="0"/>
    <n v="24"/>
    <n v="250"/>
    <d v="2015-03-05T00:33:00"/>
    <d v="2015-03-05T02:01:00"/>
    <n v="170"/>
    <n v="330"/>
    <n v="296"/>
    <s v="Pulverizer feeders"/>
    <s v="FW00Wet Coal"/>
    <s v="Mill Creek"/>
    <x v="0"/>
    <s v="Coal"/>
    <x v="1"/>
    <x v="2"/>
    <n v="3"/>
    <n v="1.4666666665580124"/>
    <n v="0.71111111105843028"/>
    <n v="210.48888887329537"/>
    <n v="143.5151515151515"/>
    <x v="250"/>
  </r>
  <r>
    <x v="8"/>
    <x v="0"/>
    <n v="25"/>
    <n v="250"/>
    <d v="2015-03-05T02:01:00"/>
    <d v="2015-03-05T18:58:00"/>
    <n v="230"/>
    <n v="330"/>
    <n v="296"/>
    <s v="Pulverizer feeders"/>
    <s v="FW00Wet Coal"/>
    <s v="Mill Creek"/>
    <x v="0"/>
    <s v="Coal"/>
    <x v="1"/>
    <x v="2"/>
    <n v="3"/>
    <n v="16.950000000069849"/>
    <n v="5.1363636363848029"/>
    <n v="1520.3636363699015"/>
    <n v="89.696969696969703"/>
    <x v="160"/>
  </r>
  <r>
    <x v="8"/>
    <x v="0"/>
    <n v="26"/>
    <n v="250"/>
    <d v="2015-03-05T20:36:00"/>
    <d v="2015-03-06T04:30:00"/>
    <n v="230"/>
    <n v="330"/>
    <n v="296"/>
    <s v="Pulverizer feeders"/>
    <s v="FW00Wet Coal"/>
    <s v="Mill Creek"/>
    <x v="0"/>
    <s v="Coal"/>
    <x v="1"/>
    <x v="2"/>
    <n v="3"/>
    <n v="7.9000000000814907"/>
    <n v="2.3939393939640881"/>
    <n v="708.60606061337012"/>
    <n v="89.696969696969703"/>
    <x v="160"/>
  </r>
  <r>
    <x v="8"/>
    <x v="0"/>
    <n v="27"/>
    <n v="250"/>
    <d v="2015-03-06T04:30:00"/>
    <d v="2015-03-07T10:29:00"/>
    <n v="214"/>
    <n v="330"/>
    <n v="296"/>
    <s v="Pulverizer feeders"/>
    <s v="FW00Wet Coal"/>
    <s v="Mill Creek"/>
    <x v="0"/>
    <s v="Coal"/>
    <x v="1"/>
    <x v="2"/>
    <n v="3"/>
    <n v="29.983333333279006"/>
    <n v="10.539595959576863"/>
    <n v="3119.7204040347515"/>
    <n v="104.04848484848485"/>
    <x v="228"/>
  </r>
  <r>
    <x v="8"/>
    <x v="6"/>
    <n v="28"/>
    <n v="8440"/>
    <d v="2015-03-07T10:29:00"/>
    <d v="2015-05-03T20:30:00"/>
    <n v="0"/>
    <n v="330"/>
    <n v="296"/>
    <s v="Major overhaul C"/>
    <s v="F590Planned 8 week Outage"/>
    <s v="Mill Creek"/>
    <x v="1"/>
    <s v="Coal"/>
    <x v="1"/>
    <x v="2"/>
    <n v="3"/>
    <n v="1378.0166666666628"/>
    <n v="1378.0166666666628"/>
    <n v="407892.93333333218"/>
    <n v="296"/>
    <x v="202"/>
  </r>
  <r>
    <x v="8"/>
    <x v="3"/>
    <n v="29"/>
    <n v="1850"/>
    <d v="2015-05-03T20:30:00"/>
    <d v="2015-05-04T03:54:00"/>
    <n v="0"/>
    <n v="330"/>
    <n v="296"/>
    <s v="Boiler water condition (not feedwater water quality)"/>
    <s v="F170High Silica @ Cold Start"/>
    <s v="Mill Creek"/>
    <x v="1"/>
    <s v="Coal"/>
    <x v="1"/>
    <x v="2"/>
    <n v="5"/>
    <n v="7.4000000000232831"/>
    <n v="7.4000000000232831"/>
    <n v="2190.4000000068918"/>
    <n v="296"/>
    <x v="202"/>
  </r>
  <r>
    <x v="8"/>
    <x v="4"/>
    <n v="30"/>
    <n v="4460"/>
    <d v="2015-05-04T03:54:00"/>
    <d v="2015-05-04T13:15:00"/>
    <n v="0"/>
    <n v="330"/>
    <n v="296"/>
    <s v="Turbine overspeed trip test"/>
    <s v="F590Turbine overspeed trip test"/>
    <s v="Mill Creek"/>
    <x v="2"/>
    <s v="Coal"/>
    <x v="1"/>
    <x v="2"/>
    <n v="5"/>
    <n v="9.3500000000931323"/>
    <n v="9.3500000000931323"/>
    <n v="2767.6000000275671"/>
    <n v="296"/>
    <x v="202"/>
  </r>
  <r>
    <x v="8"/>
    <x v="4"/>
    <n v="31"/>
    <n v="4283"/>
    <d v="2015-05-04T13:15:00"/>
    <d v="2015-05-04T14:00:00"/>
    <n v="0"/>
    <n v="330"/>
    <n v="296"/>
    <s v="Lube oil system valves and piping"/>
    <s v="F540#7 Bearing turbine oil leak"/>
    <s v="Mill Creek"/>
    <x v="2"/>
    <s v="Coal"/>
    <x v="1"/>
    <x v="2"/>
    <n v="5"/>
    <n v="0.75"/>
    <n v="0.75"/>
    <n v="222"/>
    <n v="296"/>
    <x v="202"/>
  </r>
  <r>
    <x v="8"/>
    <x v="4"/>
    <n v="32"/>
    <n v="4283"/>
    <d v="2015-05-04T14:00:00"/>
    <d v="2015-05-05T19:47:00"/>
    <n v="0"/>
    <n v="330"/>
    <n v="296"/>
    <s v="Lube oil system valves and piping"/>
    <s v="F540# 7 Bearing turbine oil leak"/>
    <s v="Mill Creek"/>
    <x v="2"/>
    <s v="Coal"/>
    <x v="1"/>
    <x v="2"/>
    <n v="5"/>
    <n v="29.783333333325572"/>
    <n v="29.783333333325572"/>
    <n v="8815.8666666643694"/>
    <n v="296"/>
    <x v="202"/>
  </r>
  <r>
    <x v="8"/>
    <x v="5"/>
    <n v="33"/>
    <n v="3620"/>
    <d v="2015-05-05T19:47:00"/>
    <d v="2015-05-09T09:32:00"/>
    <n v="0"/>
    <n v="330"/>
    <n v="296"/>
    <s v="Main transformer"/>
    <s v="F5902 B phase Main Transformer - Filter and clean the oil"/>
    <s v="Mill Creek"/>
    <x v="3"/>
    <s v="Coal"/>
    <x v="1"/>
    <x v="2"/>
    <n v="5"/>
    <n v="85.749999999941792"/>
    <n v="85.749999999941792"/>
    <n v="25381.999999982771"/>
    <n v="296"/>
    <x v="202"/>
  </r>
  <r>
    <x v="8"/>
    <x v="3"/>
    <n v="34"/>
    <n v="1850"/>
    <d v="2015-05-09T09:32:00"/>
    <d v="2015-05-12T02:00:00"/>
    <n v="0"/>
    <n v="330"/>
    <n v="296"/>
    <s v="Boiler water condition (not feedwater water quality)"/>
    <s v="F170High silica @ Warm Start-up"/>
    <s v="Mill Creek"/>
    <x v="1"/>
    <s v="Coal"/>
    <x v="1"/>
    <x v="2"/>
    <n v="5"/>
    <n v="64.466666666732635"/>
    <n v="64.466666666732635"/>
    <n v="19082.13333335286"/>
    <n v="296"/>
    <x v="202"/>
  </r>
  <r>
    <x v="8"/>
    <x v="0"/>
    <n v="35"/>
    <n v="1850"/>
    <d v="2015-05-12T09:08:00"/>
    <d v="2015-05-12T10:40:00"/>
    <n v="275"/>
    <n v="330"/>
    <n v="296"/>
    <s v="Boiler water condition (not feedwater water quality)"/>
    <s v="F170High silica"/>
    <s v="Mill Creek"/>
    <x v="0"/>
    <s v="Coal"/>
    <x v="1"/>
    <x v="2"/>
    <n v="5"/>
    <n v="1.5333333332673647"/>
    <n v="0.25555555554456078"/>
    <n v="75.644444441189989"/>
    <n v="49.333333333333336"/>
    <x v="227"/>
  </r>
  <r>
    <x v="8"/>
    <x v="0"/>
    <n v="36"/>
    <n v="1850"/>
    <d v="2015-05-12T10:40:00"/>
    <d v="2015-05-12T14:00:00"/>
    <n v="260"/>
    <n v="330"/>
    <n v="296"/>
    <s v="Boiler water condition (not feedwater water quality)"/>
    <s v="F170High Silica"/>
    <s v="Mill Creek"/>
    <x v="0"/>
    <s v="Coal"/>
    <x v="1"/>
    <x v="2"/>
    <n v="5"/>
    <n v="3.3333333333721384"/>
    <n v="0.70707070707893849"/>
    <n v="209.29292929536578"/>
    <n v="62.787878787878789"/>
    <x v="187"/>
  </r>
  <r>
    <x v="8"/>
    <x v="0"/>
    <n v="37"/>
    <n v="1850"/>
    <d v="2015-05-12T14:00:00"/>
    <d v="2015-05-12T17:40:00"/>
    <n v="290"/>
    <n v="330"/>
    <n v="296"/>
    <s v="Boiler water condition (not feedwater water quality)"/>
    <s v="F170High Silica"/>
    <s v="Mill Creek"/>
    <x v="0"/>
    <s v="Coal"/>
    <x v="1"/>
    <x v="2"/>
    <n v="5"/>
    <n v="3.6666666665696539"/>
    <n v="0.44444444443268533"/>
    <n v="131.55555555207485"/>
    <n v="35.878787878787875"/>
    <x v="32"/>
  </r>
  <r>
    <x v="8"/>
    <x v="0"/>
    <n v="38"/>
    <n v="310"/>
    <d v="2015-05-13T00:02:00"/>
    <d v="2015-05-13T01:10:00"/>
    <n v="250"/>
    <n v="330"/>
    <n v="296"/>
    <s v="Pulverizer mills"/>
    <s v="F5302A Mill Inspection"/>
    <s v="Mill Creek"/>
    <x v="0"/>
    <s v="Coal"/>
    <x v="1"/>
    <x v="2"/>
    <n v="5"/>
    <n v="1.1333333333604969"/>
    <n v="0.27474747475405986"/>
    <n v="81.325252527201712"/>
    <n v="71.757575757575751"/>
    <x v="243"/>
  </r>
  <r>
    <x v="8"/>
    <x v="0"/>
    <n v="39"/>
    <n v="310"/>
    <d v="2015-05-13T08:00:00"/>
    <d v="2015-05-13T11:33:00"/>
    <n v="265"/>
    <n v="330"/>
    <n v="296"/>
    <s v="Pulverizer mills"/>
    <s v="F5902A mill breaker - replace"/>
    <s v="Mill Creek"/>
    <x v="0"/>
    <s v="Coal"/>
    <x v="1"/>
    <x v="2"/>
    <n v="5"/>
    <n v="3.5499999998719431"/>
    <n v="0.69924242421720095"/>
    <n v="206.97575756829147"/>
    <n v="58.303030303030305"/>
    <x v="237"/>
  </r>
  <r>
    <x v="8"/>
    <x v="3"/>
    <n v="40"/>
    <n v="8460"/>
    <d v="2015-05-14T05:45:00"/>
    <d v="2015-05-14T20:00:00"/>
    <n v="0"/>
    <n v="330"/>
    <n v="296"/>
    <s v="Testing A"/>
    <s v="F790FGD and Baghouse testing"/>
    <s v="Mill Creek"/>
    <x v="1"/>
    <s v="Coal"/>
    <x v="1"/>
    <x v="2"/>
    <n v="5"/>
    <n v="14.25"/>
    <n v="14.25"/>
    <n v="4218"/>
    <n v="296"/>
    <x v="202"/>
  </r>
  <r>
    <x v="8"/>
    <x v="2"/>
    <n v="41"/>
    <n v="310"/>
    <d v="2015-05-18T22:50:00"/>
    <d v="2015-05-19T00:02:00"/>
    <n v="240"/>
    <n v="330"/>
    <n v="296"/>
    <s v="Pulverizer mills"/>
    <s v="F5902C coal mill roller adjustment"/>
    <s v="Mill Creek"/>
    <x v="0"/>
    <s v="Coal"/>
    <x v="1"/>
    <x v="2"/>
    <n v="5"/>
    <n v="1.1999999998952262"/>
    <n v="0.32727272724415263"/>
    <n v="96.872727264269173"/>
    <n v="80.727272727272734"/>
    <x v="240"/>
  </r>
  <r>
    <x v="8"/>
    <x v="2"/>
    <n v="42"/>
    <n v="310"/>
    <d v="2015-05-19T00:02:00"/>
    <d v="2015-05-19T01:03:00"/>
    <n v="240"/>
    <n v="330"/>
    <n v="296"/>
    <s v="Pulverizer mills"/>
    <s v="F5902D coal mill roller adjustment"/>
    <s v="Mill Creek"/>
    <x v="0"/>
    <s v="Coal"/>
    <x v="1"/>
    <x v="2"/>
    <n v="5"/>
    <n v="1.0166666666627862"/>
    <n v="0.27727272727166896"/>
    <n v="82.072727272414014"/>
    <n v="80.727272727272734"/>
    <x v="240"/>
  </r>
  <r>
    <x v="8"/>
    <x v="4"/>
    <n v="43"/>
    <n v="8450"/>
    <d v="2015-05-19T09:45:00"/>
    <d v="2015-05-21T07:57:00"/>
    <n v="0"/>
    <n v="330"/>
    <n v="296"/>
    <s v="Inspection B"/>
    <s v="F530WFGD Inspection"/>
    <s v="Mill Creek"/>
    <x v="2"/>
    <s v="Coal"/>
    <x v="1"/>
    <x v="2"/>
    <n v="5"/>
    <n v="46.200000000069849"/>
    <n v="46.200000000069849"/>
    <n v="13675.200000020675"/>
    <n v="296"/>
    <x v="202"/>
  </r>
  <r>
    <x v="8"/>
    <x v="3"/>
    <n v="44"/>
    <n v="1850"/>
    <d v="2015-05-21T07:57:00"/>
    <d v="2015-05-21T14:10:00"/>
    <n v="0"/>
    <n v="330"/>
    <n v="296"/>
    <s v="Boiler water condition (not feedwater water quality)"/>
    <s v="F170High silica @ Hot Start"/>
    <s v="Mill Creek"/>
    <x v="1"/>
    <s v="Coal"/>
    <x v="1"/>
    <x v="2"/>
    <n v="5"/>
    <n v="6.2166666666744277"/>
    <n v="6.2166666666744277"/>
    <n v="1840.1333333356306"/>
    <n v="296"/>
    <x v="202"/>
  </r>
  <r>
    <x v="8"/>
    <x v="0"/>
    <n v="45"/>
    <n v="1850"/>
    <d v="2015-05-21T14:10:00"/>
    <d v="2015-05-21T16:00:00"/>
    <n v="220"/>
    <n v="330"/>
    <n v="296"/>
    <s v="Boiler water condition (not feedwater water quality)"/>
    <s v="F170High silica"/>
    <s v="Mill Creek"/>
    <x v="0"/>
    <s v="Coal"/>
    <x v="1"/>
    <x v="2"/>
    <n v="5"/>
    <n v="1.8333333331975155"/>
    <n v="0.61111111106583849"/>
    <n v="180.88888887548819"/>
    <n v="98.666666666666671"/>
    <x v="26"/>
  </r>
  <r>
    <x v="8"/>
    <x v="0"/>
    <n v="46"/>
    <n v="1850"/>
    <d v="2015-05-21T16:00:00"/>
    <d v="2015-05-21T23:40:00"/>
    <n v="250"/>
    <n v="330"/>
    <n v="296"/>
    <s v="Boiler water condition (not feedwater water quality)"/>
    <s v="F170High Silica"/>
    <s v="Mill Creek"/>
    <x v="0"/>
    <s v="Coal"/>
    <x v="1"/>
    <x v="2"/>
    <n v="5"/>
    <n v="7.6666666666860692"/>
    <n v="1.8585858585905621"/>
    <n v="550.14141414280641"/>
    <n v="71.757575757575751"/>
    <x v="243"/>
  </r>
  <r>
    <x v="8"/>
    <x v="0"/>
    <n v="47"/>
    <n v="8499"/>
    <d v="2015-05-22T06:05:00"/>
    <d v="2015-05-22T06:20:00"/>
    <n v="300"/>
    <n v="330"/>
    <n v="296"/>
    <s v="Other miscellaneous wet scrubber problems"/>
    <s v="F590Loss of clearwell pumps"/>
    <s v="Mill Creek"/>
    <x v="0"/>
    <s v="Coal"/>
    <x v="1"/>
    <x v="2"/>
    <n v="5"/>
    <n v="0.25000000011641532"/>
    <n v="2.2727272737855939E-2"/>
    <n v="6.7272727304053577"/>
    <n v="26.90909090909091"/>
    <x v="6"/>
  </r>
  <r>
    <x v="8"/>
    <x v="0"/>
    <n v="48"/>
    <n v="250"/>
    <d v="2015-05-22T21:42:00"/>
    <d v="2015-05-22T23:05:00"/>
    <n v="230"/>
    <n v="330"/>
    <n v="296"/>
    <s v="Pulverizer feeders"/>
    <s v="F5902B Feeder issues"/>
    <s v="Mill Creek"/>
    <x v="0"/>
    <s v="Coal"/>
    <x v="1"/>
    <x v="2"/>
    <n v="5"/>
    <n v="1.3833333333022892"/>
    <n v="0.41919191918251192"/>
    <n v="124.08080807802352"/>
    <n v="89.696969696969703"/>
    <x v="160"/>
  </r>
  <r>
    <x v="8"/>
    <x v="0"/>
    <n v="49"/>
    <n v="250"/>
    <d v="2015-05-25T04:53:00"/>
    <d v="2015-05-25T08:03:00"/>
    <n v="240"/>
    <n v="330"/>
    <n v="296"/>
    <s v="Pulverizer feeders"/>
    <s v="F5902B feeder issues"/>
    <s v="Mill Creek"/>
    <x v="0"/>
    <s v="Coal"/>
    <x v="1"/>
    <x v="2"/>
    <n v="5"/>
    <n v="3.1666666666860692"/>
    <n v="0.86363636364165519"/>
    <n v="255.63636363792995"/>
    <n v="80.727272727272734"/>
    <x v="240"/>
  </r>
  <r>
    <x v="8"/>
    <x v="3"/>
    <n v="50"/>
    <n v="8460"/>
    <d v="2015-05-26T08:00:00"/>
    <d v="2015-05-26T20:14:00"/>
    <n v="0"/>
    <n v="330"/>
    <n v="296"/>
    <s v="Testing A"/>
    <s v="F790WFGD and Baghouse testing"/>
    <s v="Mill Creek"/>
    <x v="1"/>
    <s v="Coal"/>
    <x v="1"/>
    <x v="2"/>
    <n v="5"/>
    <n v="12.233333333220799"/>
    <n v="12.233333333220799"/>
    <n v="3621.0666666333564"/>
    <n v="296"/>
    <x v="202"/>
  </r>
  <r>
    <x v="8"/>
    <x v="2"/>
    <n v="51"/>
    <n v="310"/>
    <d v="2015-05-27T23:00:00"/>
    <d v="2015-05-28T00:36:00"/>
    <n v="240"/>
    <n v="330"/>
    <n v="296"/>
    <s v="Pulverizer mills"/>
    <s v="F5302D Coal Mill - Inspection"/>
    <s v="Mill Creek"/>
    <x v="0"/>
    <s v="Coal"/>
    <x v="1"/>
    <x v="2"/>
    <n v="5"/>
    <n v="1.5999999999767169"/>
    <n v="0.43636363635728642"/>
    <n v="129.16363636175677"/>
    <n v="80.727272727272734"/>
    <x v="240"/>
  </r>
  <r>
    <x v="8"/>
    <x v="3"/>
    <n v="52"/>
    <n v="8650"/>
    <d v="2015-05-28T08:00:00"/>
    <d v="2015-05-28T19:18:00"/>
    <n v="0"/>
    <n v="330"/>
    <n v="296"/>
    <s v="Baghouse systems"/>
    <s v="F790Baghouse Testing"/>
    <s v="Mill Creek"/>
    <x v="1"/>
    <s v="Coal"/>
    <x v="1"/>
    <x v="2"/>
    <n v="5"/>
    <n v="11.299999999988358"/>
    <n v="11.299999999988358"/>
    <n v="3344.7999999965541"/>
    <n v="296"/>
    <x v="202"/>
  </r>
  <r>
    <x v="8"/>
    <x v="3"/>
    <n v="53"/>
    <n v="8650"/>
    <d v="2015-05-29T08:00:00"/>
    <d v="2015-05-29T13:05:00"/>
    <n v="0"/>
    <n v="330"/>
    <n v="296"/>
    <s v="Baghouse systems"/>
    <s v="F790Baghouse testing"/>
    <s v="Mill Creek"/>
    <x v="1"/>
    <s v="Coal"/>
    <x v="1"/>
    <x v="2"/>
    <n v="5"/>
    <n v="5.0833333333139308"/>
    <n v="5.0833333333139308"/>
    <n v="1504.6666666609235"/>
    <n v="296"/>
    <x v="202"/>
  </r>
  <r>
    <x v="8"/>
    <x v="3"/>
    <n v="54"/>
    <n v="8650"/>
    <d v="2015-05-30T08:21:00"/>
    <d v="2015-05-31T23:00:00"/>
    <n v="0"/>
    <n v="330"/>
    <n v="296"/>
    <s v="Baghouse systems"/>
    <s v="F790Baghouse testing"/>
    <s v="Mill Creek"/>
    <x v="1"/>
    <s v="Coal"/>
    <x v="1"/>
    <x v="2"/>
    <n v="5"/>
    <n v="38.650000000081491"/>
    <n v="38.650000000081491"/>
    <n v="11440.400000024121"/>
    <n v="296"/>
    <x v="202"/>
  </r>
  <r>
    <x v="8"/>
    <x v="2"/>
    <n v="55"/>
    <n v="250"/>
    <d v="2015-05-31T23:00:00"/>
    <d v="2015-06-01T03:41:00"/>
    <n v="240"/>
    <n v="330"/>
    <n v="296"/>
    <s v="Pulverizer feeders"/>
    <s v="F5302B Feeder Inspection"/>
    <s v="Mill Creek"/>
    <x v="0"/>
    <s v="Coal"/>
    <x v="1"/>
    <x v="2"/>
    <n v="5"/>
    <n v="4.6833333332324401"/>
    <n v="1.2772727272452109"/>
    <n v="378.07272726458245"/>
    <n v="80.727272727272734"/>
    <x v="240"/>
  </r>
  <r>
    <x v="8"/>
    <x v="3"/>
    <n v="56"/>
    <n v="1990"/>
    <d v="2015-06-04T08:10:00"/>
    <d v="2015-06-04T19:43:00"/>
    <n v="0"/>
    <n v="330"/>
    <n v="296"/>
    <s v="Boiler performance testing (use code 9999 for total unit performance testing)"/>
    <s v="F790Boiler tuning"/>
    <s v="Mill Creek"/>
    <x v="1"/>
    <s v="Coal"/>
    <x v="1"/>
    <x v="2"/>
    <n v="6"/>
    <n v="11.549999999930151"/>
    <n v="11.549999999930151"/>
    <n v="3418.7999999793246"/>
    <n v="296"/>
    <x v="202"/>
  </r>
  <r>
    <x v="8"/>
    <x v="3"/>
    <n v="57"/>
    <n v="8460"/>
    <d v="2015-06-05T07:06:00"/>
    <d v="2015-06-05T15:26:00"/>
    <n v="0"/>
    <n v="330"/>
    <n v="296"/>
    <s v="Testing A"/>
    <s v="F790Full Load Testing"/>
    <s v="Mill Creek"/>
    <x v="1"/>
    <s v="Coal"/>
    <x v="1"/>
    <x v="2"/>
    <n v="6"/>
    <n v="8.3333333334303461"/>
    <n v="8.3333333334303461"/>
    <n v="2466.6666666953824"/>
    <n v="296"/>
    <x v="202"/>
  </r>
  <r>
    <x v="8"/>
    <x v="3"/>
    <n v="58"/>
    <n v="8460"/>
    <d v="2015-06-06T11:42:00"/>
    <d v="2015-06-06T17:30:00"/>
    <n v="0"/>
    <n v="330"/>
    <n v="296"/>
    <s v="Testing A"/>
    <s v="F790Full Load Testing"/>
    <s v="Mill Creek"/>
    <x v="1"/>
    <s v="Coal"/>
    <x v="1"/>
    <x v="2"/>
    <n v="6"/>
    <n v="5.7999999998719431"/>
    <n v="5.7999999998719431"/>
    <n v="1716.7999999620952"/>
    <n v="296"/>
    <x v="202"/>
  </r>
  <r>
    <x v="8"/>
    <x v="3"/>
    <n v="59"/>
    <n v="8460"/>
    <d v="2015-06-07T08:30:00"/>
    <d v="2015-06-07T17:23:00"/>
    <n v="0"/>
    <n v="330"/>
    <n v="296"/>
    <s v="Testing A"/>
    <s v="F790Low load testing - load available if needed"/>
    <s v="Mill Creek"/>
    <x v="1"/>
    <s v="Coal"/>
    <x v="1"/>
    <x v="2"/>
    <n v="6"/>
    <n v="8.8833333334769122"/>
    <n v="8.8833333334769122"/>
    <n v="2629.466666709166"/>
    <n v="296"/>
    <x v="202"/>
  </r>
  <r>
    <x v="8"/>
    <x v="0"/>
    <n v="60"/>
    <n v="310"/>
    <d v="2015-06-08T06:40:00"/>
    <d v="2015-06-08T11:01:00"/>
    <n v="260"/>
    <n v="330"/>
    <n v="296"/>
    <s v="Pulverizer mills"/>
    <s v="F5902A Coal Mill maintenance"/>
    <s v="Mill Creek"/>
    <x v="0"/>
    <s v="Coal"/>
    <x v="1"/>
    <x v="2"/>
    <n v="6"/>
    <n v="4.3499999998603016"/>
    <n v="0.92272727269763977"/>
    <n v="273.12727271850139"/>
    <n v="62.787878787878789"/>
    <x v="187"/>
  </r>
  <r>
    <x v="8"/>
    <x v="3"/>
    <n v="61"/>
    <n v="8460"/>
    <d v="2015-06-08T11:15:00"/>
    <d v="2015-06-08T18:25:00"/>
    <n v="0"/>
    <n v="330"/>
    <n v="296"/>
    <s v="Testing A"/>
    <s v="F790Full load testing"/>
    <s v="Mill Creek"/>
    <x v="1"/>
    <s v="Coal"/>
    <x v="1"/>
    <x v="2"/>
    <n v="6"/>
    <n v="7.1666666666278616"/>
    <n v="7.1666666666278616"/>
    <n v="2121.333333321847"/>
    <n v="296"/>
    <x v="202"/>
  </r>
  <r>
    <x v="8"/>
    <x v="3"/>
    <n v="62"/>
    <n v="8460"/>
    <d v="2015-06-09T12:00:00"/>
    <d v="2015-06-09T14:08:00"/>
    <n v="0"/>
    <n v="330"/>
    <n v="296"/>
    <s v="Testing A"/>
    <s v="F790Full Load Testing"/>
    <s v="Mill Creek"/>
    <x v="1"/>
    <s v="Coal"/>
    <x v="1"/>
    <x v="2"/>
    <n v="6"/>
    <n v="2.1333333333022892"/>
    <n v="2.1333333333022892"/>
    <n v="631.46666665747762"/>
    <n v="296"/>
    <x v="202"/>
  </r>
  <r>
    <x v="8"/>
    <x v="3"/>
    <n v="63"/>
    <n v="8460"/>
    <d v="2015-06-10T02:16:00"/>
    <d v="2015-06-10T04:23:00"/>
    <n v="0"/>
    <n v="330"/>
    <n v="296"/>
    <s v="Testing A"/>
    <s v="F790Low Load RATA Testing - Load available if needed"/>
    <s v="Mill Creek"/>
    <x v="1"/>
    <s v="Coal"/>
    <x v="1"/>
    <x v="2"/>
    <n v="6"/>
    <n v="2.1166666665812954"/>
    <n v="2.1166666665812954"/>
    <n v="626.53333330806345"/>
    <n v="296"/>
    <x v="202"/>
  </r>
  <r>
    <x v="8"/>
    <x v="3"/>
    <n v="64"/>
    <n v="8460"/>
    <d v="2015-06-10T04:23:00"/>
    <d v="2015-06-10T05:48:00"/>
    <n v="0"/>
    <n v="330"/>
    <n v="296"/>
    <s v="Testing A"/>
    <s v="F790Mid Load RATA Testing - Load available if needed"/>
    <s v="Mill Creek"/>
    <x v="1"/>
    <s v="Coal"/>
    <x v="1"/>
    <x v="2"/>
    <n v="6"/>
    <n v="1.4166666667442769"/>
    <n v="1.4166666667442769"/>
    <n v="419.33333335630596"/>
    <n v="296"/>
    <x v="202"/>
  </r>
  <r>
    <x v="8"/>
    <x v="0"/>
    <n v="65"/>
    <n v="310"/>
    <d v="2015-06-10T06:35:00"/>
    <d v="2015-06-10T07:43:00"/>
    <n v="267"/>
    <n v="330"/>
    <n v="296"/>
    <s v="Pulverizer mills"/>
    <s v="F5902A Coal Mill"/>
    <s v="Mill Creek"/>
    <x v="0"/>
    <s v="Coal"/>
    <x v="1"/>
    <x v="2"/>
    <n v="6"/>
    <n v="1.1333333333604969"/>
    <n v="0.21636363636882214"/>
    <n v="64.043636365171352"/>
    <n v="56.509090909090908"/>
    <x v="184"/>
  </r>
  <r>
    <x v="8"/>
    <x v="3"/>
    <n v="66"/>
    <n v="8460"/>
    <d v="2015-06-10T08:00:00"/>
    <d v="2015-06-10T15:53:00"/>
    <n v="0"/>
    <n v="330"/>
    <n v="296"/>
    <s v="Testing A"/>
    <s v="F790Full Load Testing"/>
    <s v="Mill Creek"/>
    <x v="1"/>
    <s v="Coal"/>
    <x v="1"/>
    <x v="2"/>
    <n v="6"/>
    <n v="7.8833333333604969"/>
    <n v="7.8833333333604969"/>
    <n v="2333.4666666747071"/>
    <n v="296"/>
    <x v="202"/>
  </r>
  <r>
    <x v="8"/>
    <x v="3"/>
    <n v="67"/>
    <n v="8460"/>
    <d v="2015-06-11T01:46:00"/>
    <d v="2015-06-11T03:57:00"/>
    <n v="0"/>
    <n v="330"/>
    <n v="296"/>
    <s v="Testing A"/>
    <s v="F790Low Load RATA Testing - Load available if needed"/>
    <s v="Mill Creek"/>
    <x v="1"/>
    <s v="Coal"/>
    <x v="1"/>
    <x v="2"/>
    <n v="6"/>
    <n v="2.1833333332906477"/>
    <n v="2.1833333332906477"/>
    <n v="646.26666665403172"/>
    <n v="296"/>
    <x v="202"/>
  </r>
  <r>
    <x v="8"/>
    <x v="0"/>
    <n v="68"/>
    <n v="310"/>
    <d v="2015-06-11T03:57:00"/>
    <d v="2015-06-11T10:39:00"/>
    <n v="250"/>
    <n v="330"/>
    <n v="296"/>
    <s v="Pulverizer mills"/>
    <s v="F5902A Coal Mill"/>
    <s v="Mill Creek"/>
    <x v="0"/>
    <s v="Coal"/>
    <x v="1"/>
    <x v="2"/>
    <n v="6"/>
    <n v="6.7000000000116415"/>
    <n v="1.6242424242452465"/>
    <n v="480.77575757659292"/>
    <n v="71.757575757575751"/>
    <x v="243"/>
  </r>
  <r>
    <x v="8"/>
    <x v="0"/>
    <n v="69"/>
    <n v="320"/>
    <d v="2015-06-23T05:25:00"/>
    <d v="2015-06-23T07:19:00"/>
    <n v="250"/>
    <n v="330"/>
    <n v="296"/>
    <s v="Foreign object in Pulverizers mill"/>
    <s v="F5302B Coal Mill - Sand in the bowl"/>
    <s v="Mill Creek"/>
    <x v="0"/>
    <s v="Coal"/>
    <x v="1"/>
    <x v="2"/>
    <n v="6"/>
    <n v="1.8999999999068677"/>
    <n v="0.46060606058348308"/>
    <n v="136.339393932711"/>
    <n v="71.757575757575751"/>
    <x v="243"/>
  </r>
  <r>
    <x v="8"/>
    <x v="3"/>
    <n v="70"/>
    <n v="8650"/>
    <d v="2015-06-23T08:00:00"/>
    <d v="2015-06-23T17:26:00"/>
    <n v="0"/>
    <n v="330"/>
    <n v="296"/>
    <s v="Baghouse systems"/>
    <s v="F790Full load PM testing"/>
    <s v="Mill Creek"/>
    <x v="1"/>
    <s v="Coal"/>
    <x v="1"/>
    <x v="2"/>
    <n v="6"/>
    <n v="9.4333333333488554"/>
    <n v="9.4333333333488554"/>
    <n v="2792.2666666712612"/>
    <n v="296"/>
    <x v="202"/>
  </r>
  <r>
    <x v="8"/>
    <x v="3"/>
    <n v="71"/>
    <n v="8460"/>
    <d v="2015-06-24T09:00:00"/>
    <d v="2015-06-24T17:24:00"/>
    <n v="0"/>
    <n v="330"/>
    <n v="296"/>
    <s v="Testing A"/>
    <s v="F790Full load testing"/>
    <s v="Mill Creek"/>
    <x v="1"/>
    <s v="Coal"/>
    <x v="1"/>
    <x v="2"/>
    <n v="6"/>
    <n v="8.3999999999650754"/>
    <n v="8.3999999999650754"/>
    <n v="2486.3999999896623"/>
    <n v="296"/>
    <x v="202"/>
  </r>
  <r>
    <x v="8"/>
    <x v="3"/>
    <n v="72"/>
    <n v="8650"/>
    <d v="2015-06-25T08:00:00"/>
    <d v="2015-06-25T14:26:00"/>
    <n v="0"/>
    <n v="330"/>
    <n v="296"/>
    <s v="Baghouse systems"/>
    <s v="F790Full load PM testing"/>
    <s v="Mill Creek"/>
    <x v="1"/>
    <s v="Coal"/>
    <x v="1"/>
    <x v="2"/>
    <n v="6"/>
    <n v="6.4333333333488554"/>
    <n v="6.4333333333488554"/>
    <n v="1904.2666666712612"/>
    <n v="296"/>
    <x v="202"/>
  </r>
  <r>
    <x v="8"/>
    <x v="3"/>
    <n v="73"/>
    <n v="9999"/>
    <d v="2015-07-10T09:00:00"/>
    <d v="2015-07-10T15:25:00"/>
    <n v="0"/>
    <n v="330"/>
    <n v="296"/>
    <s v="Total unit performance testing (use appropriate codes for individual component testing)"/>
    <s v="F790Summer Full load Capability Test"/>
    <s v="Mill Creek"/>
    <x v="1"/>
    <s v="Coal"/>
    <x v="1"/>
    <x v="2"/>
    <n v="7"/>
    <n v="6.4166666666278616"/>
    <n v="6.4166666666278616"/>
    <n v="1899.333333321847"/>
    <n v="296"/>
    <x v="202"/>
  </r>
  <r>
    <x v="8"/>
    <x v="0"/>
    <n v="74"/>
    <n v="310"/>
    <d v="2015-08-03T12:52:00"/>
    <d v="2015-08-03T15:57:00"/>
    <n v="275"/>
    <n v="330"/>
    <n v="296"/>
    <s v="Pulverizer mills"/>
    <s v="F5902C Coal Mill - Replaced Roller"/>
    <s v="Mill Creek"/>
    <x v="0"/>
    <s v="Coal"/>
    <x v="1"/>
    <x v="2"/>
    <n v="8"/>
    <n v="3.0833333332557231"/>
    <n v="0.51388888887595385"/>
    <n v="152.11111110728234"/>
    <n v="49.333333333333336"/>
    <x v="227"/>
  </r>
  <r>
    <x v="8"/>
    <x v="3"/>
    <n v="75"/>
    <n v="3623"/>
    <d v="2015-08-11T11:32:00"/>
    <d v="2015-08-11T14:00:00"/>
    <n v="0"/>
    <n v="330"/>
    <n v="296"/>
    <s v="Auxiliary generators"/>
    <s v="F790VAR Testing"/>
    <s v="Mill Creek"/>
    <x v="1"/>
    <s v="Coal"/>
    <x v="1"/>
    <x v="2"/>
    <n v="8"/>
    <n v="2.4666666666744277"/>
    <n v="2.4666666666744277"/>
    <n v="730.1333333356306"/>
    <n v="296"/>
    <x v="202"/>
  </r>
  <r>
    <x v="8"/>
    <x v="2"/>
    <n v="76"/>
    <n v="3410"/>
    <d v="2015-08-11T23:00:00"/>
    <d v="2015-08-12T07:33:00"/>
    <n v="190"/>
    <n v="330"/>
    <n v="296"/>
    <s v="Feedwater pump"/>
    <s v="F5902B Boiler Feedwater Pump Warm Up Line - Repair Leak"/>
    <s v="Mill Creek"/>
    <x v="0"/>
    <s v="Coal"/>
    <x v="1"/>
    <x v="2"/>
    <n v="8"/>
    <n v="8.5499999999301508"/>
    <n v="3.6272727272430942"/>
    <n v="1073.6727272639559"/>
    <n v="125.57575757575758"/>
    <x v="248"/>
  </r>
  <r>
    <x v="8"/>
    <x v="4"/>
    <n v="77"/>
    <n v="4263"/>
    <d v="2015-08-17T22:18:00"/>
    <d v="2015-08-22T00:04:00"/>
    <n v="0"/>
    <n v="330"/>
    <n v="296"/>
    <s v="Reheat stop valves"/>
    <s v="F590Turbine Reheat &amp; Main Stop Valves - Remove Screens/Baskets"/>
    <s v="Mill Creek"/>
    <x v="2"/>
    <s v="Coal"/>
    <x v="1"/>
    <x v="2"/>
    <n v="8"/>
    <n v="97.766666666662786"/>
    <n v="97.766666666662786"/>
    <n v="28938.933333332185"/>
    <n v="296"/>
    <x v="202"/>
  </r>
  <r>
    <x v="8"/>
    <x v="3"/>
    <n v="79"/>
    <n v="1850"/>
    <d v="2015-08-23T08:18:00"/>
    <d v="2015-08-24T02:18:00"/>
    <n v="0"/>
    <n v="330"/>
    <n v="296"/>
    <s v="Boiler water condition (not feedwater water quality)"/>
    <s v="F170High Silica @ Cold Start Up"/>
    <s v="Mill Creek"/>
    <x v="1"/>
    <s v="Coal"/>
    <x v="1"/>
    <x v="2"/>
    <n v="8"/>
    <n v="18"/>
    <n v="18"/>
    <n v="5328"/>
    <n v="296"/>
    <x v="202"/>
  </r>
  <r>
    <x v="8"/>
    <x v="0"/>
    <n v="80"/>
    <n v="1850"/>
    <d v="2015-08-24T02:18:00"/>
    <d v="2015-08-24T07:51:00"/>
    <n v="313"/>
    <n v="330"/>
    <n v="296"/>
    <s v="Boiler water condition (not feedwater water quality)"/>
    <s v="F170High Silica"/>
    <s v="Mill Creek"/>
    <x v="0"/>
    <s v="Coal"/>
    <x v="1"/>
    <x v="2"/>
    <n v="8"/>
    <n v="5.5499999999301508"/>
    <n v="0.2859090909054926"/>
    <n v="84.629090908025816"/>
    <n v="15.248484848484848"/>
    <x v="169"/>
  </r>
  <r>
    <x v="8"/>
    <x v="2"/>
    <n v="81"/>
    <n v="1455"/>
    <d v="2015-08-28T22:00:00"/>
    <d v="2015-08-29T00:25:00"/>
    <n v="100"/>
    <n v="330"/>
    <n v="296"/>
    <s v="Induced draft fans"/>
    <s v="F5402A Induced Draft Fan - Oil Leak"/>
    <s v="Mill Creek"/>
    <x v="0"/>
    <s v="Coal"/>
    <x v="1"/>
    <x v="2"/>
    <n v="8"/>
    <n v="2.4166666666860692"/>
    <n v="1.6843434343569574"/>
    <n v="498.56565656965938"/>
    <n v="206.30303030303031"/>
    <x v="132"/>
  </r>
  <r>
    <x v="8"/>
    <x v="0"/>
    <n v="82"/>
    <n v="250"/>
    <d v="2015-09-10T17:25:00"/>
    <d v="2015-09-10T18:54:00"/>
    <n v="250"/>
    <n v="330"/>
    <n v="296"/>
    <s v="Pulverizer feeders"/>
    <s v="F1202B Coal Feeder - Plugged"/>
    <s v="Mill Creek"/>
    <x v="0"/>
    <s v="Coal"/>
    <x v="1"/>
    <x v="2"/>
    <n v="9"/>
    <n v="1.4833333332790062"/>
    <n v="0.35959595958278939"/>
    <n v="106.44040403650565"/>
    <n v="71.757575757575751"/>
    <x v="243"/>
  </r>
  <r>
    <x v="8"/>
    <x v="0"/>
    <n v="83"/>
    <n v="250"/>
    <d v="2015-09-10T19:03:00"/>
    <d v="2015-09-10T21:58:00"/>
    <n v="250"/>
    <n v="330"/>
    <n v="296"/>
    <s v="Pulverizer feeders"/>
    <s v="F1202B Coal Feeder - Plugged, Removed Foreign Metal"/>
    <s v="Mill Creek"/>
    <x v="0"/>
    <s v="Coal"/>
    <x v="1"/>
    <x v="2"/>
    <n v="9"/>
    <n v="2.9166666667442769"/>
    <n v="0.70707070708952169"/>
    <n v="209.29292929849842"/>
    <n v="71.757575757575751"/>
    <x v="243"/>
  </r>
  <r>
    <x v="8"/>
    <x v="2"/>
    <n v="84"/>
    <n v="1457"/>
    <d v="2015-09-15T21:15:00"/>
    <d v="2015-09-16T02:55:00"/>
    <n v="114"/>
    <n v="330"/>
    <n v="296"/>
    <s v="Induced draft fan lubrication systems"/>
    <s v="F5902A Induced Draft Fan - Repair Oil Leaks"/>
    <s v="Mill Creek"/>
    <x v="0"/>
    <s v="Coal"/>
    <x v="1"/>
    <x v="2"/>
    <n v="9"/>
    <n v="5.6666666668024845"/>
    <n v="3.7090909091798081"/>
    <n v="1097.8909091172231"/>
    <n v="193.74545454545455"/>
    <x v="256"/>
  </r>
  <r>
    <x v="8"/>
    <x v="3"/>
    <n v="85"/>
    <n v="8460"/>
    <d v="2015-09-21T10:00:00"/>
    <d v="2015-09-21T11:51:00"/>
    <n v="0"/>
    <n v="330"/>
    <n v="296"/>
    <s v="Testing A"/>
    <s v="F790Mercury Testing"/>
    <s v="Mill Creek"/>
    <x v="1"/>
    <s v="Coal"/>
    <x v="1"/>
    <x v="2"/>
    <n v="9"/>
    <n v="1.8500000000931323"/>
    <n v="1.8500000000931323"/>
    <n v="547.60000002756715"/>
    <n v="296"/>
    <x v="202"/>
  </r>
  <r>
    <x v="8"/>
    <x v="0"/>
    <n v="86"/>
    <n v="1475"/>
    <d v="2015-09-21T11:51:00"/>
    <d v="2015-09-21T14:23:00"/>
    <n v="150"/>
    <n v="330"/>
    <n v="296"/>
    <s v="Induced draft fan controls"/>
    <s v="F8202B Induced Draft Fan Trip - VFD Fault"/>
    <s v="Mill Creek"/>
    <x v="0"/>
    <s v="Coal"/>
    <x v="1"/>
    <x v="2"/>
    <n v="9"/>
    <n v="2.53333333338378"/>
    <n v="1.3818181818456983"/>
    <n v="409.01818182632667"/>
    <n v="161.45454545454547"/>
    <x v="177"/>
  </r>
  <r>
    <x v="8"/>
    <x v="3"/>
    <n v="87"/>
    <n v="8460"/>
    <d v="2015-09-22T10:30:00"/>
    <d v="2015-09-22T19:30:00"/>
    <n v="0"/>
    <n v="330"/>
    <n v="296"/>
    <s v="Testing A"/>
    <s v="F790Mercury Testing"/>
    <s v="Mill Creek"/>
    <x v="1"/>
    <s v="Coal"/>
    <x v="1"/>
    <x v="2"/>
    <n v="9"/>
    <n v="9"/>
    <n v="9"/>
    <n v="2664"/>
    <n v="296"/>
    <x v="202"/>
  </r>
  <r>
    <x v="8"/>
    <x v="3"/>
    <n v="88"/>
    <n v="8460"/>
    <d v="2015-09-23T09:00:00"/>
    <d v="2015-09-23T18:00:00"/>
    <n v="0"/>
    <n v="330"/>
    <n v="296"/>
    <s v="Testing A"/>
    <s v="F790Mercury Testing"/>
    <s v="Mill Creek"/>
    <x v="1"/>
    <s v="Coal"/>
    <x v="1"/>
    <x v="2"/>
    <n v="9"/>
    <n v="9"/>
    <n v="9"/>
    <n v="2664"/>
    <n v="296"/>
    <x v="202"/>
  </r>
  <r>
    <x v="8"/>
    <x v="0"/>
    <n v="89"/>
    <n v="250"/>
    <d v="2015-09-24T02:57:00"/>
    <d v="2015-09-24T05:27:00"/>
    <n v="250"/>
    <n v="330"/>
    <n v="296"/>
    <s v="Pulverizer feeders"/>
    <s v="F5902C Coal Feeder - Cleanout Conveyor Gearbox Issue"/>
    <s v="Mill Creek"/>
    <x v="0"/>
    <s v="Coal"/>
    <x v="1"/>
    <x v="2"/>
    <n v="9"/>
    <n v="2.4999999999417923"/>
    <n v="0.60606060604649514"/>
    <n v="179.39393938976255"/>
    <n v="71.757575757575751"/>
    <x v="243"/>
  </r>
  <r>
    <x v="8"/>
    <x v="3"/>
    <n v="90"/>
    <n v="8460"/>
    <d v="2015-09-24T11:00:00"/>
    <d v="2015-09-24T18:00:00"/>
    <n v="0"/>
    <n v="330"/>
    <n v="296"/>
    <s v="Testing A"/>
    <s v="F790Mercury Testing"/>
    <s v="Mill Creek"/>
    <x v="1"/>
    <s v="Coal"/>
    <x v="1"/>
    <x v="2"/>
    <n v="9"/>
    <n v="6.9999999999417923"/>
    <n v="6.9999999999417923"/>
    <n v="2071.9999999827705"/>
    <n v="296"/>
    <x v="202"/>
  </r>
  <r>
    <x v="8"/>
    <x v="2"/>
    <n v="91"/>
    <n v="250"/>
    <d v="2015-09-24T23:00:00"/>
    <d v="2015-09-25T06:58:00"/>
    <n v="250"/>
    <n v="330"/>
    <n v="296"/>
    <s v="Pulverizer feeders"/>
    <s v="F5902C Coal Feeder Cleanout Conveyor - Replace Gearbox"/>
    <s v="Mill Creek"/>
    <x v="0"/>
    <s v="Coal"/>
    <x v="1"/>
    <x v="2"/>
    <n v="9"/>
    <n v="7.96666666661622"/>
    <n v="1.9313131313009018"/>
    <n v="571.66868686506689"/>
    <n v="71.757575757575751"/>
    <x v="243"/>
  </r>
  <r>
    <x v="8"/>
    <x v="3"/>
    <n v="92"/>
    <n v="8460"/>
    <d v="2015-09-28T07:30:00"/>
    <d v="2015-09-28T21:00:00"/>
    <n v="0"/>
    <n v="330"/>
    <n v="296"/>
    <s v="Testing A"/>
    <s v="F790Mercury Testing"/>
    <s v="Mill Creek"/>
    <x v="1"/>
    <s v="Coal"/>
    <x v="1"/>
    <x v="2"/>
    <n v="9"/>
    <n v="13.5"/>
    <n v="13.5"/>
    <n v="3996"/>
    <n v="296"/>
    <x v="202"/>
  </r>
  <r>
    <x v="8"/>
    <x v="3"/>
    <n v="93"/>
    <n v="8460"/>
    <d v="2015-09-29T09:00:00"/>
    <d v="2015-09-29T17:30:00"/>
    <n v="0"/>
    <n v="330"/>
    <n v="296"/>
    <s v="Testing A"/>
    <s v="F790Mercury Testing"/>
    <s v="Mill Creek"/>
    <x v="1"/>
    <s v="Coal"/>
    <x v="1"/>
    <x v="2"/>
    <n v="9"/>
    <n v="8.4999999999417923"/>
    <n v="8.4999999999417923"/>
    <n v="2515.9999999827705"/>
    <n v="296"/>
    <x v="202"/>
  </r>
  <r>
    <x v="8"/>
    <x v="3"/>
    <n v="94"/>
    <n v="8460"/>
    <d v="2015-09-30T08:40:00"/>
    <d v="2015-09-30T17:00:00"/>
    <n v="0"/>
    <n v="330"/>
    <n v="296"/>
    <s v="Testing A"/>
    <s v="F790Mercury Testing"/>
    <s v="Mill Creek"/>
    <x v="1"/>
    <s v="Coal"/>
    <x v="1"/>
    <x v="2"/>
    <n v="9"/>
    <n v="8.3333333334303461"/>
    <n v="8.3333333334303461"/>
    <n v="2466.6666666953824"/>
    <n v="296"/>
    <x v="202"/>
  </r>
  <r>
    <x v="8"/>
    <x v="3"/>
    <n v="95"/>
    <n v="8460"/>
    <d v="2015-10-01T07:04:00"/>
    <d v="2015-10-01T17:10:00"/>
    <n v="0"/>
    <n v="330"/>
    <n v="296"/>
    <s v="Testing A"/>
    <s v="F790Mercury Testing"/>
    <s v="Mill Creek"/>
    <x v="1"/>
    <s v="Coal"/>
    <x v="1"/>
    <x v="2"/>
    <n v="10"/>
    <n v="10.100000000093132"/>
    <n v="10.100000000093132"/>
    <n v="2989.6000000275671"/>
    <n v="296"/>
    <x v="202"/>
  </r>
  <r>
    <x v="8"/>
    <x v="0"/>
    <n v="96"/>
    <n v="310"/>
    <d v="2015-10-15T13:40:00"/>
    <d v="2015-10-15T17:36:00"/>
    <n v="240"/>
    <n v="330"/>
    <n v="296"/>
    <s v="Pulverizer mills"/>
    <s v="F1202B Coal Mill - Raw Coal Conduit Plugged with Foreign Metal"/>
    <s v="Mill Creek"/>
    <x v="0"/>
    <s v="Coal"/>
    <x v="1"/>
    <x v="2"/>
    <n v="10"/>
    <n v="3.9333333332324401"/>
    <n v="1.0727272726997563"/>
    <n v="317.52727271912789"/>
    <n v="80.727272727272734"/>
    <x v="240"/>
  </r>
  <r>
    <x v="8"/>
    <x v="2"/>
    <n v="97"/>
    <n v="250"/>
    <d v="2015-10-15T23:00:00"/>
    <d v="2015-10-16T03:46:00"/>
    <n v="250"/>
    <n v="330"/>
    <n v="296"/>
    <s v="Pulverizer feeders"/>
    <s v="F5902A Coal Feeder - Replace Cleanout Conveyor"/>
    <s v="Mill Creek"/>
    <x v="0"/>
    <s v="Coal"/>
    <x v="1"/>
    <x v="2"/>
    <n v="10"/>
    <n v="4.7666666666627862"/>
    <n v="1.1555555555546149"/>
    <n v="342.044444444166"/>
    <n v="71.757575757575751"/>
    <x v="243"/>
  </r>
  <r>
    <x v="8"/>
    <x v="4"/>
    <n v="98"/>
    <n v="590"/>
    <d v="2015-10-20T23:10:00"/>
    <d v="2015-10-21T13:56:00"/>
    <n v="0"/>
    <n v="330"/>
    <n v="296"/>
    <s v="Desuperheater/attemperator valves"/>
    <s v="F590Superheater attemperator spray valve leak"/>
    <s v="Mill Creek"/>
    <x v="2"/>
    <s v="Coal"/>
    <x v="1"/>
    <x v="2"/>
    <n v="10"/>
    <n v="14.766666666604578"/>
    <n v="14.766666666604578"/>
    <n v="4370.9333333149552"/>
    <n v="296"/>
    <x v="202"/>
  </r>
  <r>
    <x v="8"/>
    <x v="3"/>
    <n v="99"/>
    <n v="1850"/>
    <d v="2015-10-21T13:36:00"/>
    <d v="2015-10-21T21:58:00"/>
    <n v="0"/>
    <n v="330"/>
    <n v="296"/>
    <s v="Boiler water condition (not feedwater water quality)"/>
    <s v="F170High Silica @ hot start"/>
    <s v="Mill Creek"/>
    <x v="1"/>
    <s v="Coal"/>
    <x v="1"/>
    <x v="2"/>
    <n v="10"/>
    <n v="8.3666666666977108"/>
    <n v="8.3666666666977108"/>
    <n v="2476.5333333425224"/>
    <n v="296"/>
    <x v="202"/>
  </r>
  <r>
    <x v="8"/>
    <x v="2"/>
    <n v="100"/>
    <n v="250"/>
    <d v="2015-10-22T22:00:00"/>
    <d v="2015-10-23T03:50:00"/>
    <n v="245"/>
    <n v="330"/>
    <n v="296"/>
    <s v="Pulverizer feeders"/>
    <s v="F5902A Mill Coal Feeder Cleanout will not run"/>
    <s v="Mill Creek"/>
    <x v="0"/>
    <s v="Coal"/>
    <x v="1"/>
    <x v="2"/>
    <n v="10"/>
    <n v="5.8333333333139308"/>
    <n v="1.5025252525202548"/>
    <n v="444.74747474599542"/>
    <n v="76.242424242424249"/>
    <x v="220"/>
  </r>
  <r>
    <x v="8"/>
    <x v="2"/>
    <n v="101"/>
    <n v="310"/>
    <d v="2015-11-02T23:14:00"/>
    <d v="2015-11-03T04:10:00"/>
    <n v="230"/>
    <n v="330"/>
    <n v="296"/>
    <s v="Pulverizer mills"/>
    <s v="F5302A Mill Inpspection and adjust rollers"/>
    <s v="Mill Creek"/>
    <x v="0"/>
    <s v="Coal"/>
    <x v="1"/>
    <x v="2"/>
    <n v="11"/>
    <n v="4.9333333333488554"/>
    <n v="1.4949494949541986"/>
    <n v="442.50505050644279"/>
    <n v="89.696969696969703"/>
    <x v="160"/>
  </r>
  <r>
    <x v="8"/>
    <x v="2"/>
    <n v="102"/>
    <n v="310"/>
    <d v="2015-11-03T23:00:00"/>
    <d v="2015-11-04T05:01:00"/>
    <n v="230"/>
    <n v="330"/>
    <n v="296"/>
    <s v="Pulverizer mills"/>
    <s v="F5302B mill inspection"/>
    <s v="Mill Creek"/>
    <x v="0"/>
    <s v="Coal"/>
    <x v="1"/>
    <x v="2"/>
    <n v="11"/>
    <n v="6.0166666665463708"/>
    <n v="1.82323232319587"/>
    <n v="539.67676766597754"/>
    <n v="89.696969696969703"/>
    <x v="160"/>
  </r>
  <r>
    <x v="8"/>
    <x v="2"/>
    <n v="103"/>
    <n v="310"/>
    <d v="2015-11-05T23:00:00"/>
    <d v="2015-11-06T05:38:00"/>
    <n v="230"/>
    <n v="330"/>
    <n v="296"/>
    <s v="Pulverizer mills"/>
    <s v="F5302C Mill Roller adjustment"/>
    <s v="Mill Creek"/>
    <x v="0"/>
    <s v="Coal"/>
    <x v="1"/>
    <x v="2"/>
    <n v="11"/>
    <n v="6.6333333333022892"/>
    <n v="2.0101010100916028"/>
    <n v="594.98989898711443"/>
    <n v="89.696969696969703"/>
    <x v="160"/>
  </r>
  <r>
    <x v="8"/>
    <x v="2"/>
    <n v="104"/>
    <n v="310"/>
    <d v="2015-11-09T23:00:00"/>
    <d v="2015-11-10T04:26:00"/>
    <n v="230"/>
    <n v="330"/>
    <n v="296"/>
    <s v="Pulverizer mills"/>
    <s v="F5902D Coal Mill Roller adjustment"/>
    <s v="Mill Creek"/>
    <x v="0"/>
    <s v="Coal"/>
    <x v="1"/>
    <x v="2"/>
    <n v="11"/>
    <n v="5.4333333332324401"/>
    <n v="1.6464646464340726"/>
    <n v="487.35353534448552"/>
    <n v="89.696969696969703"/>
    <x v="160"/>
  </r>
  <r>
    <x v="8"/>
    <x v="3"/>
    <n v="105"/>
    <n v="8460"/>
    <d v="2015-11-16T08:00:00"/>
    <d v="2015-11-16T17:00:00"/>
    <n v="0"/>
    <n v="330"/>
    <n v="296"/>
    <s v="Testing A"/>
    <s v="F790Full load Mercury testing"/>
    <s v="Mill Creek"/>
    <x v="1"/>
    <s v="Coal"/>
    <x v="1"/>
    <x v="2"/>
    <n v="11"/>
    <n v="9"/>
    <n v="9"/>
    <n v="2664"/>
    <n v="296"/>
    <x v="202"/>
  </r>
  <r>
    <x v="8"/>
    <x v="3"/>
    <n v="106"/>
    <n v="8460"/>
    <d v="2015-11-17T07:40:00"/>
    <d v="2015-11-17T17:00:00"/>
    <n v="0"/>
    <n v="330"/>
    <n v="296"/>
    <s v="Testing A"/>
    <s v="F790Full load Mercury testing"/>
    <s v="Mill Creek"/>
    <x v="1"/>
    <s v="Coal"/>
    <x v="1"/>
    <x v="2"/>
    <n v="11"/>
    <n v="9.3333333333721384"/>
    <n v="9.3333333333721384"/>
    <n v="2762.666666678153"/>
    <n v="296"/>
    <x v="202"/>
  </r>
  <r>
    <x v="8"/>
    <x v="0"/>
    <n v="107"/>
    <n v="95"/>
    <d v="2015-11-18T06:00:00"/>
    <d v="2015-11-18T07:45:00"/>
    <n v="240"/>
    <n v="330"/>
    <n v="296"/>
    <s v="Bunker flow problems"/>
    <s v="F1202B Coal Bunker valve stuck"/>
    <s v="Mill Creek"/>
    <x v="0"/>
    <s v="Coal"/>
    <x v="1"/>
    <x v="2"/>
    <n v="11"/>
    <n v="1.7499999999417923"/>
    <n v="0.47727272725685244"/>
    <n v="141.27272726802832"/>
    <n v="80.727272727272734"/>
    <x v="240"/>
  </r>
  <r>
    <x v="8"/>
    <x v="3"/>
    <n v="108"/>
    <n v="8460"/>
    <d v="2015-11-18T08:15:00"/>
    <d v="2015-11-18T17:00:00"/>
    <n v="0"/>
    <n v="330"/>
    <n v="296"/>
    <s v="Testing A"/>
    <s v="F790Full load Mercury testing"/>
    <s v="Mill Creek"/>
    <x v="1"/>
    <s v="Coal"/>
    <x v="1"/>
    <x v="2"/>
    <n v="11"/>
    <n v="8.7500000000582077"/>
    <n v="8.7500000000582077"/>
    <n v="2590.0000000172295"/>
    <n v="296"/>
    <x v="202"/>
  </r>
  <r>
    <x v="8"/>
    <x v="3"/>
    <n v="109"/>
    <n v="8460"/>
    <d v="2015-11-19T07:30:00"/>
    <d v="2015-11-19T17:00:00"/>
    <n v="0"/>
    <n v="330"/>
    <n v="296"/>
    <s v="Testing A"/>
    <s v="F790Full load Mercury testing"/>
    <s v="Mill Creek"/>
    <x v="1"/>
    <s v="Coal"/>
    <x v="1"/>
    <x v="2"/>
    <n v="11"/>
    <n v="9.5000000000582077"/>
    <n v="9.5000000000582077"/>
    <n v="2812.0000000172295"/>
    <n v="296"/>
    <x v="202"/>
  </r>
  <r>
    <x v="8"/>
    <x v="3"/>
    <n v="110"/>
    <n v="8460"/>
    <d v="2015-11-20T09:00:00"/>
    <d v="2015-11-20T19:00:00"/>
    <n v="0"/>
    <n v="330"/>
    <n v="296"/>
    <s v="Testing A"/>
    <s v="F790Full load Mercury testing"/>
    <s v="Mill Creek"/>
    <x v="1"/>
    <s v="Coal"/>
    <x v="1"/>
    <x v="2"/>
    <n v="11"/>
    <n v="9.9999999999417923"/>
    <n v="9.9999999999417923"/>
    <n v="2959.9999999827705"/>
    <n v="296"/>
    <x v="202"/>
  </r>
  <r>
    <x v="8"/>
    <x v="3"/>
    <n v="111"/>
    <n v="8460"/>
    <d v="2015-11-21T08:00:00"/>
    <d v="2015-11-21T18:25:00"/>
    <n v="0"/>
    <n v="330"/>
    <n v="296"/>
    <s v="Testing A"/>
    <s v="F790Full load Mercury testing"/>
    <s v="Mill Creek"/>
    <x v="1"/>
    <s v="Coal"/>
    <x v="1"/>
    <x v="2"/>
    <n v="11"/>
    <n v="10.416666666569654"/>
    <n v="10.416666666569654"/>
    <n v="3083.3333333046176"/>
    <n v="296"/>
    <x v="202"/>
  </r>
  <r>
    <x v="8"/>
    <x v="0"/>
    <n v="112"/>
    <n v="95"/>
    <d v="2015-11-21T18:25:00"/>
    <d v="2015-11-21T18:46:00"/>
    <n v="240"/>
    <n v="330"/>
    <n v="296"/>
    <s v="Bunker flow problems"/>
    <s v="F120Coal clogged in bunker chute"/>
    <s v="Mill Creek"/>
    <x v="0"/>
    <s v="Coal"/>
    <x v="1"/>
    <x v="2"/>
    <n v="11"/>
    <n v="0.35000000009313226"/>
    <n v="9.5454545479945155E-2"/>
    <n v="28.254545462063767"/>
    <n v="80.727272727272734"/>
    <x v="240"/>
  </r>
  <r>
    <x v="8"/>
    <x v="3"/>
    <n v="113"/>
    <n v="8460"/>
    <d v="2015-11-21T18:46:00"/>
    <d v="2015-11-21T19:17:00"/>
    <n v="0"/>
    <n v="330"/>
    <n v="296"/>
    <s v="Testing A"/>
    <s v="F790Full load Mercury testing"/>
    <s v="Mill Creek"/>
    <x v="1"/>
    <s v="Coal"/>
    <x v="1"/>
    <x v="2"/>
    <n v="11"/>
    <n v="0.5166666666045785"/>
    <n v="0.5166666666045785"/>
    <n v="152.93333331495523"/>
    <n v="296"/>
    <x v="202"/>
  </r>
  <r>
    <x v="8"/>
    <x v="0"/>
    <n v="114"/>
    <n v="110"/>
    <d v="2015-11-24T23:05:00"/>
    <d v="2015-11-25T01:28:00"/>
    <n v="125"/>
    <n v="330"/>
    <n v="296"/>
    <s v="Other coal fuel supply problems up through bunkers"/>
    <s v="F590G2 Tripper motor out"/>
    <s v="Mill Creek"/>
    <x v="0"/>
    <s v="Coal"/>
    <x v="1"/>
    <x v="2"/>
    <n v="11"/>
    <n v="2.3833333334187046"/>
    <n v="1.4805555556085892"/>
    <n v="438.2444444601424"/>
    <n v="183.87878787878788"/>
    <x v="186"/>
  </r>
  <r>
    <x v="8"/>
    <x v="2"/>
    <n v="115"/>
    <n v="250"/>
    <d v="2015-11-30T22:13:00"/>
    <d v="2015-12-01T05:12:00"/>
    <n v="240"/>
    <n v="330"/>
    <n v="296"/>
    <s v="Pulverizer feeders"/>
    <s v="F5902B coal feeder - I/E replaced micro switch"/>
    <s v="Mill Creek"/>
    <x v="0"/>
    <s v="Coal"/>
    <x v="1"/>
    <x v="2"/>
    <n v="11"/>
    <n v="6.9833333333954215"/>
    <n v="1.9045454545623877"/>
    <n v="563.74545455046677"/>
    <n v="80.727272727272734"/>
    <x v="240"/>
  </r>
  <r>
    <x v="8"/>
    <x v="2"/>
    <n v="116"/>
    <n v="310"/>
    <d v="2015-12-04T23:00:00"/>
    <d v="2015-12-05T02:41:00"/>
    <n v="245"/>
    <n v="330"/>
    <n v="296"/>
    <s v="Pulverizer mills"/>
    <s v="F5302B Coal Mill Inspection"/>
    <s v="Mill Creek"/>
    <x v="0"/>
    <s v="Coal"/>
    <x v="1"/>
    <x v="2"/>
    <n v="12"/>
    <n v="3.6833333332906477"/>
    <n v="0.94873737372637901"/>
    <n v="280.82626262300818"/>
    <n v="76.242424242424249"/>
    <x v="220"/>
  </r>
  <r>
    <x v="8"/>
    <x v="2"/>
    <n v="117"/>
    <n v="310"/>
    <d v="2015-12-07T23:00:00"/>
    <d v="2015-12-08T04:31:00"/>
    <n v="245"/>
    <n v="330"/>
    <n v="296"/>
    <s v="Pulverizer mills"/>
    <s v="F5902B Mill Maintenance"/>
    <s v="Mill Creek"/>
    <x v="0"/>
    <s v="Coal"/>
    <x v="1"/>
    <x v="2"/>
    <n v="12"/>
    <n v="5.5166666666627862"/>
    <n v="1.4209595959585963"/>
    <n v="420.60404040374453"/>
    <n v="76.242424242424249"/>
    <x v="220"/>
  </r>
  <r>
    <x v="8"/>
    <x v="3"/>
    <n v="118"/>
    <n v="3190"/>
    <d v="2015-12-15T07:23:00"/>
    <d v="2015-12-15T11:04:00"/>
    <n v="0"/>
    <n v="330"/>
    <n v="296"/>
    <s v="Air leakage (for losses not attributable to previously noted equipment related codes)"/>
    <s v="F790Condenser air in-leakage check"/>
    <s v="Mill Creek"/>
    <x v="1"/>
    <s v="Coal"/>
    <x v="1"/>
    <x v="2"/>
    <n v="12"/>
    <n v="3.6833333332906477"/>
    <n v="3.6833333332906477"/>
    <n v="1090.2666666540317"/>
    <n v="296"/>
    <x v="202"/>
  </r>
  <r>
    <x v="8"/>
    <x v="5"/>
    <n v="119"/>
    <n v="770"/>
    <d v="2015-12-18T09:27:00"/>
    <d v="2015-12-18T12:16:00"/>
    <n v="0"/>
    <n v="330"/>
    <n v="296"/>
    <s v="Other boiler recirculation problems"/>
    <s v="F6402B boiler circ. pump lube oil pump motor overloads"/>
    <s v="Mill Creek"/>
    <x v="3"/>
    <s v="Coal"/>
    <x v="1"/>
    <x v="2"/>
    <n v="12"/>
    <n v="2.816666666592937"/>
    <n v="2.816666666592937"/>
    <n v="833.73333331150934"/>
    <n v="296"/>
    <x v="202"/>
  </r>
  <r>
    <x v="8"/>
    <x v="3"/>
    <n v="120"/>
    <n v="1850"/>
    <d v="2015-12-18T12:16:00"/>
    <d v="2015-12-18T16:46:00"/>
    <n v="0"/>
    <n v="330"/>
    <n v="296"/>
    <s v="Boiler water condition (not feedwater water quality)"/>
    <s v="F170High silica at very hot start"/>
    <s v="Mill Creek"/>
    <x v="1"/>
    <s v="Coal"/>
    <x v="1"/>
    <x v="2"/>
    <n v="12"/>
    <n v="4.5"/>
    <n v="4.5"/>
    <n v="1332"/>
    <n v="296"/>
    <x v="202"/>
  </r>
  <r>
    <x v="8"/>
    <x v="0"/>
    <n v="121"/>
    <n v="1850"/>
    <d v="2015-12-18T16:46:00"/>
    <d v="2015-12-19T01:05:00"/>
    <n v="257"/>
    <n v="330"/>
    <n v="296"/>
    <s v="Boiler water condition (not feedwater water quality)"/>
    <s v="F170High silica"/>
    <s v="Mill Creek"/>
    <x v="0"/>
    <s v="Coal"/>
    <x v="1"/>
    <x v="2"/>
    <n v="12"/>
    <n v="8.3166666667093523"/>
    <n v="1.8397474747569174"/>
    <n v="544.56525252804749"/>
    <n v="65.478787878787884"/>
    <x v="127"/>
  </r>
  <r>
    <x v="8"/>
    <x v="0"/>
    <n v="122"/>
    <n v="1850"/>
    <d v="2015-12-19T01:05:00"/>
    <d v="2015-12-19T04:24:00"/>
    <n v="290"/>
    <n v="330"/>
    <n v="296"/>
    <s v="Boiler water condition (not feedwater water quality)"/>
    <s v="F170High silica"/>
    <s v="Mill Creek"/>
    <x v="0"/>
    <s v="Coal"/>
    <x v="1"/>
    <x v="2"/>
    <n v="12"/>
    <n v="3.3166666666511446"/>
    <n v="0.40202020201832056"/>
    <n v="118.99797979742289"/>
    <n v="35.878787878787875"/>
    <x v="32"/>
  </r>
  <r>
    <x v="8"/>
    <x v="4"/>
    <n v="123"/>
    <n v="8499"/>
    <d v="2015-12-19T22:51:00"/>
    <d v="2015-12-23T16:53:00"/>
    <n v="0"/>
    <n v="330"/>
    <n v="296"/>
    <s v="Other miscellaneous wet scrubber problems"/>
    <s v="F590FGD maintenance - replace orifaces in hydrocyclone system"/>
    <s v="Mill Creek"/>
    <x v="2"/>
    <s v="Coal"/>
    <x v="1"/>
    <x v="2"/>
    <n v="12"/>
    <n v="90.033333333441988"/>
    <n v="90.033333333441988"/>
    <n v="26649.866666698828"/>
    <n v="296"/>
    <x v="202"/>
  </r>
  <r>
    <x v="8"/>
    <x v="7"/>
    <n v="124"/>
    <n v="1455"/>
    <d v="2015-12-23T16:53:00"/>
    <d v="2015-12-24T09:46:00"/>
    <n v="0"/>
    <n v="330"/>
    <n v="296"/>
    <s v="Induced draft fans"/>
    <s v="F060Loss of ID Fan Alarm - Blown Fuse in HPM"/>
    <s v="Mill Creek"/>
    <x v="3"/>
    <s v="Coal"/>
    <x v="1"/>
    <x v="2"/>
    <n v="12"/>
    <n v="16.883333333360497"/>
    <n v="16.883333333360497"/>
    <n v="4997.4666666747071"/>
    <n v="296"/>
    <x v="202"/>
  </r>
  <r>
    <x v="8"/>
    <x v="3"/>
    <n v="125"/>
    <n v="8460"/>
    <d v="2015-12-28T08:00:00"/>
    <d v="2015-12-28T10:50:00"/>
    <n v="0"/>
    <n v="330"/>
    <n v="296"/>
    <s v="Testing A"/>
    <s v="F790Full Load Testing of AGC"/>
    <s v="Mill Creek"/>
    <x v="1"/>
    <s v="Coal"/>
    <x v="1"/>
    <x v="2"/>
    <n v="12"/>
    <n v="2.8333333333139308"/>
    <n v="2.8333333333139308"/>
    <n v="838.66666666092351"/>
    <n v="296"/>
    <x v="202"/>
  </r>
  <r>
    <x v="8"/>
    <x v="0"/>
    <n v="126"/>
    <n v="250"/>
    <d v="2015-12-28T21:23:00"/>
    <d v="2015-12-28T22:02:00"/>
    <n v="225"/>
    <n v="330"/>
    <n v="296"/>
    <s v="Pulverizer feeders"/>
    <s v="FW00Wet coal"/>
    <s v="Mill Creek"/>
    <x v="0"/>
    <s v="Coal"/>
    <x v="1"/>
    <x v="2"/>
    <n v="12"/>
    <n v="0.65000000002328306"/>
    <n v="0.20681818182559006"/>
    <n v="61.21818182037466"/>
    <n v="94.181818181818187"/>
    <x v="194"/>
  </r>
  <r>
    <x v="8"/>
    <x v="0"/>
    <n v="127"/>
    <n v="250"/>
    <d v="2015-12-29T14:00:00"/>
    <d v="2015-12-29T15:23:00"/>
    <n v="215"/>
    <n v="330"/>
    <n v="296"/>
    <s v="Pulverizer feeders"/>
    <s v="FW00Wet coal"/>
    <s v="Mill Creek"/>
    <x v="0"/>
    <s v="Coal"/>
    <x v="1"/>
    <x v="2"/>
    <n v="12"/>
    <n v="1.3833333333022892"/>
    <n v="0.48207070705988869"/>
    <n v="142.69292928972706"/>
    <n v="103.15151515151516"/>
    <x v="140"/>
  </r>
  <r>
    <x v="8"/>
    <x v="0"/>
    <n v="128"/>
    <n v="250"/>
    <d v="2015-12-29T15:23:00"/>
    <d v="2015-12-29T20:10:00"/>
    <n v="275"/>
    <n v="330"/>
    <n v="296"/>
    <s v="Pulverizer feeders"/>
    <s v="FW00Wet coal"/>
    <s v="Mill Creek"/>
    <x v="0"/>
    <s v="Coal"/>
    <x v="1"/>
    <x v="2"/>
    <n v="12"/>
    <n v="4.78333333338378"/>
    <n v="0.79722222223063"/>
    <n v="235.97777778026648"/>
    <n v="49.333333333333336"/>
    <x v="227"/>
  </r>
  <r>
    <x v="8"/>
    <x v="0"/>
    <n v="129"/>
    <n v="250"/>
    <d v="2015-12-29T20:10:00"/>
    <d v="2015-12-29T22:04:00"/>
    <n v="230"/>
    <n v="330"/>
    <n v="296"/>
    <s v="Pulverizer feeders"/>
    <s v="FW00Wet coal"/>
    <s v="Mill Creek"/>
    <x v="0"/>
    <s v="Coal"/>
    <x v="1"/>
    <x v="2"/>
    <n v="12"/>
    <n v="1.8999999999068677"/>
    <n v="0.57575757572935382"/>
    <n v="170.42424241588873"/>
    <n v="89.696969696969703"/>
    <x v="160"/>
  </r>
  <r>
    <x v="8"/>
    <x v="0"/>
    <n v="130"/>
    <n v="250"/>
    <d v="2015-12-29T22:04:00"/>
    <d v="2015-12-30T02:35:00"/>
    <n v="150"/>
    <n v="330"/>
    <n v="296"/>
    <s v="Pulverizer feeders"/>
    <s v="FW00Wet coal"/>
    <s v="Mill Creek"/>
    <x v="0"/>
    <s v="Coal"/>
    <x v="1"/>
    <x v="2"/>
    <n v="12"/>
    <n v="4.5166666667209938"/>
    <n v="2.4636363636659966"/>
    <n v="729.23636364513504"/>
    <n v="161.45454545454547"/>
    <x v="177"/>
  </r>
  <r>
    <x v="8"/>
    <x v="0"/>
    <n v="131"/>
    <n v="250"/>
    <d v="2015-12-30T02:35:00"/>
    <d v="2015-12-30T03:38:00"/>
    <n v="230"/>
    <n v="330"/>
    <n v="296"/>
    <s v="Pulverizer feeders"/>
    <s v="FW00Wet coal"/>
    <s v="Mill Creek"/>
    <x v="0"/>
    <s v="Coal"/>
    <x v="1"/>
    <x v="2"/>
    <n v="12"/>
    <n v="1.0499999999301508"/>
    <n v="0.31818181816065177"/>
    <n v="94.18181817555292"/>
    <n v="89.696969696969703"/>
    <x v="160"/>
  </r>
  <r>
    <x v="8"/>
    <x v="2"/>
    <n v="132"/>
    <n v="250"/>
    <d v="2015-12-30T09:05:00"/>
    <d v="2015-12-30T16:18:00"/>
    <n v="245"/>
    <n v="330"/>
    <n v="296"/>
    <s v="Pulverizer feeders"/>
    <s v="F5902D Feeder clean-out conveyor maintenance"/>
    <s v="Mill Creek"/>
    <x v="0"/>
    <s v="Coal"/>
    <x v="1"/>
    <x v="2"/>
    <n v="12"/>
    <n v="7.216666666790843"/>
    <n v="1.8588383838703686"/>
    <n v="550.21616162562907"/>
    <n v="76.242424242424249"/>
    <x v="220"/>
  </r>
  <r>
    <x v="8"/>
    <x v="0"/>
    <n v="133"/>
    <n v="250"/>
    <d v="2015-12-31T08:47:00"/>
    <d v="2015-12-31T08:56:00"/>
    <n v="240"/>
    <n v="330"/>
    <n v="296"/>
    <s v="Pulverizer feeders"/>
    <s v="F5902C coal feeder clean out conveyor maintenance"/>
    <s v="Mill Creek"/>
    <x v="0"/>
    <s v="Coal"/>
    <x v="1"/>
    <x v="2"/>
    <n v="12"/>
    <n v="0.1499999999650754"/>
    <n v="4.0909090899566021E-2"/>
    <n v="12.109090906271541"/>
    <n v="80.727272727272734"/>
    <x v="240"/>
  </r>
  <r>
    <x v="8"/>
    <x v="2"/>
    <n v="1"/>
    <n v="250"/>
    <d v="2016-01-05T23:00:00"/>
    <d v="2016-01-06T04:58:00"/>
    <n v="240"/>
    <n v="330"/>
    <n v="296"/>
    <s v="Pulverizer feeders"/>
    <s v="F5902A Coal feeder clean out conveyor maintenance"/>
    <s v="Mill Creek"/>
    <x v="0"/>
    <s v="Coal"/>
    <x v="1"/>
    <x v="3"/>
    <n v="1"/>
    <n v="5.9666666665580124"/>
    <n v="1.6272727272430942"/>
    <n v="481.67272726395589"/>
    <n v="80.727272727272734"/>
    <x v="240"/>
  </r>
  <r>
    <x v="8"/>
    <x v="2"/>
    <n v="2"/>
    <n v="250"/>
    <d v="2016-01-06T23:00:00"/>
    <d v="2016-01-07T05:44:00"/>
    <n v="240"/>
    <n v="330"/>
    <n v="296"/>
    <s v="Pulverizer feeders"/>
    <s v="F5902A coal feeder clean out conveyor maintenance"/>
    <s v="Mill Creek"/>
    <x v="0"/>
    <s v="Coal"/>
    <x v="1"/>
    <x v="3"/>
    <n v="1"/>
    <n v="6.7333333332790062"/>
    <n v="1.8363636363488198"/>
    <n v="543.56363635925072"/>
    <n v="80.727272727272734"/>
    <x v="240"/>
  </r>
  <r>
    <x v="8"/>
    <x v="0"/>
    <n v="3"/>
    <n v="95"/>
    <d v="2016-01-07T06:10:00"/>
    <d v="2016-01-07T06:38:00"/>
    <n v="210"/>
    <n v="330"/>
    <n v="296"/>
    <s v="Bunker flow problems"/>
    <s v="F1202D Coal feeder no coal flow."/>
    <s v="Mill Creek"/>
    <x v="0"/>
    <s v="Coal"/>
    <x v="1"/>
    <x v="3"/>
    <n v="1"/>
    <n v="0.46666666661622003"/>
    <n v="0.16969696967862546"/>
    <n v="50.230303024873137"/>
    <n v="107.63636363636364"/>
    <x v="255"/>
  </r>
  <r>
    <x v="8"/>
    <x v="0"/>
    <n v="4"/>
    <n v="250"/>
    <d v="2016-01-13T11:21:00"/>
    <d v="2016-01-13T12:07:00"/>
    <n v="235"/>
    <n v="330"/>
    <n v="296"/>
    <s v="Pulverizer feeders"/>
    <s v="F5902B Coal feeder maintenance"/>
    <s v="Mill Creek"/>
    <x v="0"/>
    <s v="Coal"/>
    <x v="1"/>
    <x v="3"/>
    <n v="1"/>
    <n v="0.76666666672099382"/>
    <n v="0.22070707072271034"/>
    <n v="65.329292933922261"/>
    <n v="85.212121212121218"/>
    <x v="196"/>
  </r>
  <r>
    <x v="8"/>
    <x v="3"/>
    <n v="5"/>
    <n v="8700"/>
    <d v="2016-01-19T08:00:00"/>
    <d v="2016-01-19T17:20:00"/>
    <n v="0"/>
    <n v="330"/>
    <n v="296"/>
    <s v="CEMS Certification and Recertification"/>
    <s v="F790Full load RATA testing"/>
    <s v="Mill Creek"/>
    <x v="1"/>
    <s v="Coal"/>
    <x v="1"/>
    <x v="3"/>
    <n v="1"/>
    <n v="9.3333333331975155"/>
    <n v="9.3333333331975155"/>
    <n v="2762.6666666264646"/>
    <n v="296"/>
    <x v="202"/>
  </r>
  <r>
    <x v="8"/>
    <x v="3"/>
    <n v="6"/>
    <n v="8700"/>
    <d v="2016-01-19T22:00:00"/>
    <d v="2016-01-20T01:37:00"/>
    <n v="0"/>
    <n v="330"/>
    <n v="296"/>
    <s v="CEMS Certification and Recertification"/>
    <s v="F790Mid load RATA testing"/>
    <s v="Mill Creek"/>
    <x v="1"/>
    <s v="Coal"/>
    <x v="1"/>
    <x v="3"/>
    <n v="1"/>
    <n v="3.6166666667559184"/>
    <n v="3.6166666667559184"/>
    <n v="1070.5333333597519"/>
    <n v="296"/>
    <x v="202"/>
  </r>
  <r>
    <x v="8"/>
    <x v="3"/>
    <n v="7"/>
    <n v="8700"/>
    <d v="2016-01-20T10:00:00"/>
    <d v="2016-01-20T13:30:00"/>
    <n v="0"/>
    <n v="330"/>
    <n v="296"/>
    <s v="CEMS Certification and Recertification"/>
    <s v="F790Full load RATA testing"/>
    <s v="Mill Creek"/>
    <x v="1"/>
    <s v="Coal"/>
    <x v="1"/>
    <x v="3"/>
    <n v="1"/>
    <n v="3.5000000000582077"/>
    <n v="3.5000000000582077"/>
    <n v="1036.0000000172295"/>
    <n v="296"/>
    <x v="202"/>
  </r>
  <r>
    <x v="8"/>
    <x v="0"/>
    <n v="8"/>
    <n v="4261"/>
    <d v="2016-01-27T00:46:00"/>
    <d v="2016-01-27T01:53:00"/>
    <n v="308"/>
    <n v="330"/>
    <n v="296"/>
    <s v="Control valves"/>
    <s v="F060Control Valve 3 valve stem broken"/>
    <s v="Mill Creek"/>
    <x v="0"/>
    <s v="Coal"/>
    <x v="1"/>
    <x v="3"/>
    <n v="1"/>
    <n v="1.1166666666395031"/>
    <n v="7.4444444442633539E-2"/>
    <n v="22.035555555019528"/>
    <n v="19.733333333333334"/>
    <x v="21"/>
  </r>
  <r>
    <x v="8"/>
    <x v="0"/>
    <n v="9"/>
    <n v="4261"/>
    <d v="2016-01-27T01:53:00"/>
    <d v="2016-01-27T04:24:00"/>
    <n v="308"/>
    <n v="330"/>
    <n v="296"/>
    <s v="Control valves"/>
    <s v="F060Control Valve 3 valve stem broken"/>
    <s v="Mill Creek"/>
    <x v="0"/>
    <s v="Coal"/>
    <x v="1"/>
    <x v="3"/>
    <n v="1"/>
    <n v="2.5166666666627862"/>
    <n v="0.16777777777751907"/>
    <n v="49.662222222145644"/>
    <n v="19.733333333333334"/>
    <x v="21"/>
  </r>
  <r>
    <x v="8"/>
    <x v="0"/>
    <n v="10"/>
    <n v="4261"/>
    <d v="2016-01-27T04:24:00"/>
    <d v="2016-01-29T10:18:00"/>
    <n v="308"/>
    <n v="330"/>
    <n v="296"/>
    <s v="Control valves"/>
    <s v="F060Control valve #3 valve stem broken"/>
    <s v="Mill Creek"/>
    <x v="0"/>
    <s v="Coal"/>
    <x v="1"/>
    <x v="3"/>
    <n v="1"/>
    <n v="53.900000000023283"/>
    <n v="3.5933333333348854"/>
    <n v="1063.6266666671261"/>
    <n v="19.733333333333334"/>
    <x v="21"/>
  </r>
  <r>
    <x v="8"/>
    <x v="4"/>
    <n v="11"/>
    <n v="4261"/>
    <d v="2016-01-29T10:18:00"/>
    <d v="2016-01-31T04:16:00"/>
    <n v="0"/>
    <n v="330"/>
    <n v="296"/>
    <s v="Control valves"/>
    <s v="F060#3 control valve stem broken"/>
    <s v="Mill Creek"/>
    <x v="2"/>
    <s v="Coal"/>
    <x v="1"/>
    <x v="3"/>
    <n v="1"/>
    <n v="41.966666666558012"/>
    <n v="41.966666666558012"/>
    <n v="12422.133333301172"/>
    <n v="296"/>
    <x v="202"/>
  </r>
  <r>
    <x v="8"/>
    <x v="3"/>
    <n v="12"/>
    <n v="1850"/>
    <d v="2016-01-31T04:16:00"/>
    <d v="2016-01-31T10:22:00"/>
    <n v="0"/>
    <n v="330"/>
    <n v="296"/>
    <s v="Boiler water condition (not feedwater water quality)"/>
    <s v="F170High Silica @ Hot Start"/>
    <s v="Mill Creek"/>
    <x v="1"/>
    <s v="Coal"/>
    <x v="1"/>
    <x v="3"/>
    <n v="1"/>
    <n v="6.0999999999767169"/>
    <n v="6.0999999999767169"/>
    <n v="1805.5999999931082"/>
    <n v="296"/>
    <x v="202"/>
  </r>
  <r>
    <x v="8"/>
    <x v="3"/>
    <n v="13"/>
    <n v="9999"/>
    <d v="2016-02-04T08:00:00"/>
    <d v="2016-02-04T13:31:00"/>
    <n v="0"/>
    <n v="330"/>
    <n v="296"/>
    <s v="Total unit performance testing (use appropriate codes for individual component testing)"/>
    <s v="F790Full Load winter capability test"/>
    <s v="Mill Creek"/>
    <x v="1"/>
    <s v="Coal"/>
    <x v="1"/>
    <x v="3"/>
    <n v="2"/>
    <n v="5.5166666666627862"/>
    <n v="5.5166666666627862"/>
    <n v="1632.9333333321847"/>
    <n v="296"/>
    <x v="202"/>
  </r>
  <r>
    <x v="8"/>
    <x v="2"/>
    <n v="14"/>
    <n v="253"/>
    <d v="2016-02-08T23:00:00"/>
    <d v="2016-02-09T06:21:00"/>
    <n v="240"/>
    <n v="330"/>
    <n v="296"/>
    <s v="Pulverizer feeder motor"/>
    <s v="F5902A coal feeder gearbox motor replaced"/>
    <s v="Mill Creek"/>
    <x v="0"/>
    <s v="Coal"/>
    <x v="1"/>
    <x v="3"/>
    <n v="2"/>
    <n v="7.3499999998603016"/>
    <n v="2.0045454545073551"/>
    <n v="593.34545453417707"/>
    <n v="80.727272727272734"/>
    <x v="240"/>
  </r>
  <r>
    <x v="8"/>
    <x v="3"/>
    <n v="15"/>
    <n v="8700"/>
    <d v="2016-02-09T07:30:00"/>
    <d v="2016-02-09T18:00:00"/>
    <n v="0"/>
    <n v="330"/>
    <n v="296"/>
    <s v="CEMS Certification and Recertification"/>
    <s v="F790Full load PM/RRA testing"/>
    <s v="Mill Creek"/>
    <x v="1"/>
    <s v="Coal"/>
    <x v="1"/>
    <x v="3"/>
    <n v="2"/>
    <n v="10.5"/>
    <n v="10.5"/>
    <n v="3108"/>
    <n v="296"/>
    <x v="202"/>
  </r>
  <r>
    <x v="8"/>
    <x v="2"/>
    <n v="16"/>
    <n v="340"/>
    <d v="2016-02-17T23:00:00"/>
    <d v="2016-02-18T03:51:00"/>
    <n v="240"/>
    <n v="330"/>
    <n v="296"/>
    <s v="Other pulverizer problems"/>
    <s v="F5902D Mill pyrite hopper maintenance"/>
    <s v="Mill Creek"/>
    <x v="0"/>
    <s v="Coal"/>
    <x v="1"/>
    <x v="3"/>
    <n v="2"/>
    <n v="4.8499999999185093"/>
    <n v="1.3227272727050481"/>
    <n v="391.52727272069421"/>
    <n v="80.727272727272734"/>
    <x v="240"/>
  </r>
  <r>
    <x v="8"/>
    <x v="3"/>
    <n v="17"/>
    <n v="8460"/>
    <d v="2016-03-08T09:00:00"/>
    <d v="2016-03-08T11:30:00"/>
    <n v="0"/>
    <n v="330"/>
    <n v="296"/>
    <s v="Testing A"/>
    <s v="F790Full load MATS testing"/>
    <s v="Mill Creek"/>
    <x v="1"/>
    <s v="Coal"/>
    <x v="1"/>
    <x v="3"/>
    <n v="3"/>
    <n v="2.4999999999417923"/>
    <n v="2.4999999999417923"/>
    <n v="739.99999998277053"/>
    <n v="296"/>
    <x v="202"/>
  </r>
  <r>
    <x v="8"/>
    <x v="6"/>
    <n v="18"/>
    <n v="3998"/>
    <d v="2016-03-20T20:19:00"/>
    <d v="2016-03-29T15:33:00"/>
    <n v="0"/>
    <n v="330"/>
    <n v="296"/>
    <s v="Balance of plant overhaul/outage"/>
    <s v="F590Planned outage"/>
    <s v="Mill Creek"/>
    <x v="1"/>
    <s v="Coal"/>
    <x v="1"/>
    <x v="3"/>
    <n v="3"/>
    <n v="211.23333333333721"/>
    <n v="211.23333333333721"/>
    <n v="62525.066666667815"/>
    <n v="296"/>
    <x v="202"/>
  </r>
  <r>
    <x v="8"/>
    <x v="3"/>
    <n v="19"/>
    <n v="1850"/>
    <d v="2016-03-29T15:33:00"/>
    <d v="2016-03-30T05:23:00"/>
    <n v="0"/>
    <n v="330"/>
    <n v="296"/>
    <s v="Boiler water condition (not feedwater water quality)"/>
    <s v="F170High silica @ cold start"/>
    <s v="Mill Creek"/>
    <x v="1"/>
    <s v="Coal"/>
    <x v="1"/>
    <x v="3"/>
    <n v="3"/>
    <n v="13.833333333372138"/>
    <n v="13.833333333372138"/>
    <n v="4094.666666678153"/>
    <n v="296"/>
    <x v="202"/>
  </r>
  <r>
    <x v="8"/>
    <x v="3"/>
    <n v="20"/>
    <n v="1990"/>
    <d v="2016-04-01T06:00:00"/>
    <d v="2016-04-01T21:00:00"/>
    <n v="0"/>
    <n v="330"/>
    <n v="296"/>
    <s v="Boiler performance testing (use code 9999 for total unit performance testing)"/>
    <s v="F790Full load testing prior to Nalco feed"/>
    <s v="Mill Creek"/>
    <x v="1"/>
    <s v="Coal"/>
    <x v="1"/>
    <x v="3"/>
    <n v="4"/>
    <n v="15"/>
    <n v="15"/>
    <n v="4440"/>
    <n v="296"/>
    <x v="202"/>
  </r>
  <r>
    <x v="8"/>
    <x v="0"/>
    <n v="21"/>
    <n v="360"/>
    <d v="2016-04-04T11:28:00"/>
    <d v="2016-04-04T12:06:00"/>
    <n v="240"/>
    <n v="330"/>
    <n v="296"/>
    <s v="Burners"/>
    <s v="F7802A1 Burner temps"/>
    <s v="Mill Creek"/>
    <x v="0"/>
    <s v="Coal"/>
    <x v="1"/>
    <x v="3"/>
    <n v="4"/>
    <n v="0.63333333330228925"/>
    <n v="0.17272727271880617"/>
    <n v="51.127272724766627"/>
    <n v="80.727272727272734"/>
    <x v="240"/>
  </r>
  <r>
    <x v="8"/>
    <x v="3"/>
    <n v="22"/>
    <n v="1710"/>
    <d v="2016-04-05T01:00:00"/>
    <d v="2016-04-05T01:40:00"/>
    <n v="0"/>
    <n v="330"/>
    <n v="296"/>
    <s v="Combustion/steam condition controls (report local controls --- burners"/>
    <s v="F7902A mill clean air flow test"/>
    <s v="Mill Creek"/>
    <x v="1"/>
    <s v="Coal"/>
    <x v="1"/>
    <x v="3"/>
    <n v="4"/>
    <n v="0.66666666674427688"/>
    <n v="0.66666666674427688"/>
    <n v="197.33333335630596"/>
    <n v="296"/>
    <x v="202"/>
  </r>
  <r>
    <x v="8"/>
    <x v="3"/>
    <n v="23"/>
    <n v="1710"/>
    <d v="2016-04-06T01:00:00"/>
    <d v="2016-04-06T02:42:00"/>
    <n v="0"/>
    <n v="330"/>
    <n v="296"/>
    <s v="Combustion/steam condition controls (report local controls --- burners"/>
    <s v="F7902B mill clean air flow test"/>
    <s v="Mill Creek"/>
    <x v="1"/>
    <s v="Coal"/>
    <x v="1"/>
    <x v="3"/>
    <n v="4"/>
    <n v="1.7000000001280569"/>
    <n v="1.7000000001280569"/>
    <n v="503.20000003790483"/>
    <n v="296"/>
    <x v="202"/>
  </r>
  <r>
    <x v="8"/>
    <x v="0"/>
    <n v="24"/>
    <n v="360"/>
    <d v="2016-04-08T05:04:00"/>
    <d v="2016-04-08T05:37:00"/>
    <n v="245"/>
    <n v="330"/>
    <n v="296"/>
    <s v="Burners"/>
    <s v="F7802A1 burner temps"/>
    <s v="Mill Creek"/>
    <x v="0"/>
    <s v="Coal"/>
    <x v="1"/>
    <x v="3"/>
    <n v="4"/>
    <n v="0.55000000004656613"/>
    <n v="0.14166666667866099"/>
    <n v="41.933333336883649"/>
    <n v="76.242424242424249"/>
    <x v="220"/>
  </r>
  <r>
    <x v="8"/>
    <x v="3"/>
    <n v="25"/>
    <n v="1710"/>
    <d v="2016-04-13T08:17:00"/>
    <d v="2016-04-13T09:30:00"/>
    <n v="0"/>
    <n v="330"/>
    <n v="296"/>
    <s v="Combustion/steam condition controls (report local controls --- burners"/>
    <s v="F790Air flow testing"/>
    <s v="Mill Creek"/>
    <x v="1"/>
    <s v="Coal"/>
    <x v="1"/>
    <x v="3"/>
    <n v="4"/>
    <n v="1.216666666790843"/>
    <n v="1.216666666790843"/>
    <n v="360.13333337008953"/>
    <n v="296"/>
    <x v="202"/>
  </r>
  <r>
    <x v="8"/>
    <x v="3"/>
    <n v="26"/>
    <n v="1710"/>
    <d v="2016-04-14T08:32:00"/>
    <d v="2016-04-14T10:04:00"/>
    <n v="0"/>
    <n v="330"/>
    <n v="296"/>
    <s v="Combustion/steam condition controls (report local controls --- burners"/>
    <s v="F790Air flow testing"/>
    <s v="Mill Creek"/>
    <x v="1"/>
    <s v="Coal"/>
    <x v="1"/>
    <x v="3"/>
    <n v="4"/>
    <n v="1.5333333332673647"/>
    <n v="1.5333333332673647"/>
    <n v="453.86666664713994"/>
    <n v="296"/>
    <x v="202"/>
  </r>
  <r>
    <x v="8"/>
    <x v="3"/>
    <n v="27"/>
    <n v="1710"/>
    <d v="2016-04-14T12:00:00"/>
    <d v="2016-04-14T14:36:00"/>
    <n v="0"/>
    <n v="330"/>
    <n v="296"/>
    <s v="Combustion/steam condition controls (report local controls --- burners"/>
    <s v="F790Air flow testing"/>
    <s v="Mill Creek"/>
    <x v="1"/>
    <s v="Coal"/>
    <x v="1"/>
    <x v="3"/>
    <n v="4"/>
    <n v="2.5999999999185093"/>
    <n v="2.5999999999185093"/>
    <n v="769.59999997587875"/>
    <n v="296"/>
    <x v="202"/>
  </r>
  <r>
    <x v="8"/>
    <x v="3"/>
    <n v="28"/>
    <n v="8460"/>
    <d v="2016-04-16T15:00:00"/>
    <d v="2016-04-16T18:00:00"/>
    <n v="0"/>
    <n v="330"/>
    <n v="296"/>
    <s v="Testing A"/>
    <s v="F790Hg compliance testing"/>
    <s v="Mill Creek"/>
    <x v="1"/>
    <s v="Coal"/>
    <x v="1"/>
    <x v="3"/>
    <n v="4"/>
    <n v="3"/>
    <n v="3"/>
    <n v="888"/>
    <n v="296"/>
    <x v="202"/>
  </r>
  <r>
    <x v="8"/>
    <x v="3"/>
    <n v="29"/>
    <n v="1710"/>
    <d v="2016-04-22T00:07:00"/>
    <d v="2016-04-22T01:58:00"/>
    <n v="0"/>
    <n v="330"/>
    <n v="296"/>
    <s v="Combustion/steam condition controls (report local controls --- burners"/>
    <s v="F790Air flow testing low load"/>
    <s v="Mill Creek"/>
    <x v="1"/>
    <s v="Coal"/>
    <x v="1"/>
    <x v="3"/>
    <n v="4"/>
    <n v="1.8499999999185093"/>
    <n v="1.8499999999185093"/>
    <n v="547.59999997587875"/>
    <n v="296"/>
    <x v="202"/>
  </r>
  <r>
    <x v="8"/>
    <x v="3"/>
    <n v="30"/>
    <n v="1710"/>
    <d v="2016-05-09T14:45:00"/>
    <d v="2016-05-09T16:24:00"/>
    <n v="0"/>
    <n v="330"/>
    <n v="296"/>
    <s v="Combustion/steam condition controls (report local controls --- burners"/>
    <s v="F790Mid load air flow testing"/>
    <s v="Mill Creek"/>
    <x v="1"/>
    <s v="Coal"/>
    <x v="1"/>
    <x v="3"/>
    <n v="5"/>
    <n v="1.6499999999650754"/>
    <n v="1.6499999999650754"/>
    <n v="488.39999998966232"/>
    <n v="296"/>
    <x v="202"/>
  </r>
  <r>
    <x v="8"/>
    <x v="3"/>
    <n v="31"/>
    <n v="1710"/>
    <d v="2016-05-11T11:55:00"/>
    <d v="2016-05-11T15:00:00"/>
    <n v="0"/>
    <n v="330"/>
    <n v="296"/>
    <s v="Combustion/steam condition controls (report local controls --- burners"/>
    <s v="F790Full load air flow testing"/>
    <s v="Mill Creek"/>
    <x v="1"/>
    <s v="Coal"/>
    <x v="1"/>
    <x v="3"/>
    <n v="5"/>
    <n v="3.0833333332557231"/>
    <n v="3.0833333332557231"/>
    <n v="912.66666664369404"/>
    <n v="296"/>
    <x v="202"/>
  </r>
  <r>
    <x v="8"/>
    <x v="3"/>
    <n v="32"/>
    <n v="1710"/>
    <d v="2016-05-13T02:00:00"/>
    <d v="2016-05-13T03:00:00"/>
    <n v="0"/>
    <n v="330"/>
    <n v="296"/>
    <s v="Combustion/steam condition controls (report local controls --- burners"/>
    <s v="F790Low load air flow testing"/>
    <s v="Mill Creek"/>
    <x v="1"/>
    <s v="Coal"/>
    <x v="1"/>
    <x v="3"/>
    <n v="5"/>
    <n v="0.99999999994179234"/>
    <n v="0.99999999994179234"/>
    <n v="295.99999998277053"/>
    <n v="296"/>
    <x v="202"/>
  </r>
  <r>
    <x v="8"/>
    <x v="2"/>
    <n v="33"/>
    <n v="250"/>
    <d v="2016-06-06T23:00:00"/>
    <d v="2016-06-07T05:05:00"/>
    <n v="240"/>
    <n v="330"/>
    <n v="296"/>
    <s v="Pulverizer feeders"/>
    <s v="F0902A Feeder Calibration &amp; Inspection"/>
    <s v="Mill Creek"/>
    <x v="0"/>
    <s v="Coal"/>
    <x v="1"/>
    <x v="3"/>
    <n v="6"/>
    <n v="6.0833333332557231"/>
    <n v="1.6590909090697428"/>
    <n v="491.09090908464384"/>
    <n v="80.727272727272734"/>
    <x v="240"/>
  </r>
  <r>
    <x v="8"/>
    <x v="0"/>
    <n v="34"/>
    <n v="1520"/>
    <d v="2016-06-07T10:50:00"/>
    <d v="2016-06-07T12:41:00"/>
    <n v="240"/>
    <n v="330"/>
    <n v="296"/>
    <s v="Flue gas dampers (except recirculation)"/>
    <s v="F6902A mill damper issues"/>
    <s v="Mill Creek"/>
    <x v="0"/>
    <s v="Coal"/>
    <x v="1"/>
    <x v="3"/>
    <n v="6"/>
    <n v="1.8499999999185093"/>
    <n v="0.50454545452322985"/>
    <n v="149.34545453887603"/>
    <n v="80.727272727272734"/>
    <x v="240"/>
  </r>
  <r>
    <x v="8"/>
    <x v="2"/>
    <n v="35"/>
    <n v="250"/>
    <d v="2016-06-07T23:00:00"/>
    <d v="2016-06-08T04:20:00"/>
    <n v="240"/>
    <n v="330"/>
    <n v="296"/>
    <s v="Pulverizer feeders"/>
    <s v="F0902B Mill inspection &amp; calibration"/>
    <s v="Mill Creek"/>
    <x v="0"/>
    <s v="Coal"/>
    <x v="1"/>
    <x v="3"/>
    <n v="6"/>
    <n v="5.3333333332557231"/>
    <n v="1.4545454545242882"/>
    <n v="430.54545453918928"/>
    <n v="80.727272727272734"/>
    <x v="240"/>
  </r>
  <r>
    <x v="8"/>
    <x v="2"/>
    <n v="42"/>
    <n v="310"/>
    <d v="2016-06-08T23:12:00"/>
    <d v="2016-06-09T03:16:00"/>
    <n v="240"/>
    <n v="330"/>
    <n v="296"/>
    <s v="Pulverizer mills"/>
    <s v="F0902A Mill Maintenance"/>
    <s v="Mill Creek"/>
    <x v="0"/>
    <s v="Coal"/>
    <x v="1"/>
    <x v="3"/>
    <n v="6"/>
    <n v="4.0666666666511446"/>
    <n v="1.1090909090866758"/>
    <n v="328.29090908965605"/>
    <n v="80.727272727272734"/>
    <x v="240"/>
  </r>
  <r>
    <x v="8"/>
    <x v="2"/>
    <n v="36"/>
    <n v="250"/>
    <d v="2016-06-09T22:00:00"/>
    <d v="2016-06-10T04:16:00"/>
    <n v="240"/>
    <n v="330"/>
    <n v="296"/>
    <s v="Pulverizer feeders"/>
    <s v="F0902D Mill inspection &amp; calibration"/>
    <s v="Mill Creek"/>
    <x v="0"/>
    <s v="Coal"/>
    <x v="1"/>
    <x v="3"/>
    <n v="6"/>
    <n v="6.2666666666627862"/>
    <n v="1.7090909090898507"/>
    <n v="505.89090909059581"/>
    <n v="80.727272727272734"/>
    <x v="240"/>
  </r>
  <r>
    <x v="8"/>
    <x v="0"/>
    <n v="37"/>
    <n v="250"/>
    <d v="2016-06-12T21:00:00"/>
    <d v="2016-06-13T01:59:00"/>
    <n v="245"/>
    <n v="330"/>
    <n v="296"/>
    <s v="Pulverizer feeders"/>
    <s v="F8102C Coal Feeder Belt"/>
    <s v="Mill Creek"/>
    <x v="0"/>
    <s v="Coal"/>
    <x v="1"/>
    <x v="3"/>
    <n v="6"/>
    <n v="4.9833333333372138"/>
    <n v="1.283585858586858"/>
    <n v="379.94141414170997"/>
    <n v="76.242424242424249"/>
    <x v="220"/>
  </r>
  <r>
    <x v="8"/>
    <x v="0"/>
    <n v="43"/>
    <n v="250"/>
    <d v="2016-06-13T07:46:00"/>
    <d v="2016-06-13T11:48:00"/>
    <n v="290"/>
    <n v="330"/>
    <n v="296"/>
    <s v="Pulverizer feeders"/>
    <s v="F8102C Coal Feeder Issue"/>
    <s v="Mill Creek"/>
    <x v="0"/>
    <s v="Coal"/>
    <x v="1"/>
    <x v="3"/>
    <n v="6"/>
    <n v="4.03333333338378"/>
    <n v="0.48888888889500365"/>
    <n v="144.71111111292109"/>
    <n v="35.878787878787875"/>
    <x v="32"/>
  </r>
  <r>
    <x v="8"/>
    <x v="3"/>
    <n v="38"/>
    <n v="8010"/>
    <d v="2016-06-15T00:50:00"/>
    <d v="2016-06-15T04:42:00"/>
    <n v="0"/>
    <n v="330"/>
    <n v="296"/>
    <s v="Crushers/mills"/>
    <s v="F430Lost feed to limestone crusher, cant make slurry"/>
    <s v="Mill Creek"/>
    <x v="1"/>
    <s v="Coal"/>
    <x v="1"/>
    <x v="3"/>
    <n v="6"/>
    <n v="3.8666666666977108"/>
    <n v="3.8666666666977108"/>
    <n v="1144.5333333425224"/>
    <n v="296"/>
    <x v="202"/>
  </r>
  <r>
    <x v="8"/>
    <x v="2"/>
    <n v="39"/>
    <n v="310"/>
    <d v="2016-06-19T22:00:00"/>
    <d v="2016-06-20T02:45:00"/>
    <n v="240"/>
    <n v="330"/>
    <n v="296"/>
    <s v="Pulverizer mills"/>
    <s v="F090C Mill Inspection"/>
    <s v="Mill Creek"/>
    <x v="0"/>
    <s v="Coal"/>
    <x v="1"/>
    <x v="3"/>
    <n v="6"/>
    <n v="4.7500000001164153"/>
    <n v="1.2954545454862951"/>
    <n v="383.45454546394336"/>
    <n v="80.727272727272734"/>
    <x v="240"/>
  </r>
  <r>
    <x v="8"/>
    <x v="0"/>
    <n v="40"/>
    <n v="250"/>
    <d v="2016-06-20T02:45:00"/>
    <d v="2016-06-20T03:16:00"/>
    <n v="125"/>
    <n v="330"/>
    <n v="296"/>
    <s v="Pulverizer feeders"/>
    <s v="F820Lost 2A/B Feeders"/>
    <s v="Mill Creek"/>
    <x v="0"/>
    <s v="Coal"/>
    <x v="1"/>
    <x v="3"/>
    <n v="6"/>
    <n v="0.5166666666045785"/>
    <n v="0.32095959592102602"/>
    <n v="95.004040392623708"/>
    <n v="183.87878787878788"/>
    <x v="186"/>
  </r>
  <r>
    <x v="8"/>
    <x v="0"/>
    <n v="41"/>
    <n v="320"/>
    <d v="2016-06-20T03:16:00"/>
    <d v="2016-06-20T05:04:00"/>
    <n v="240"/>
    <n v="330"/>
    <n v="296"/>
    <s v="Foreign object in Pulverizers mill"/>
    <s v="F1202C Mill Inspection"/>
    <s v="Mill Creek"/>
    <x v="0"/>
    <s v="Coal"/>
    <x v="1"/>
    <x v="3"/>
    <n v="6"/>
    <n v="1.7999999999301508"/>
    <n v="0.49090909089004114"/>
    <n v="145.30909090345219"/>
    <n v="80.727272727272734"/>
    <x v="240"/>
  </r>
  <r>
    <x v="8"/>
    <x v="0"/>
    <n v="44"/>
    <n v="3411"/>
    <d v="2016-06-20T16:55:00"/>
    <d v="2016-06-20T19:00:00"/>
    <n v="160"/>
    <n v="330"/>
    <n v="296"/>
    <s v="Feedwater pump drive - motor"/>
    <s v="F4902A MDBFP - motor"/>
    <s v="Mill Creek"/>
    <x v="0"/>
    <s v="Coal"/>
    <x v="1"/>
    <x v="3"/>
    <n v="6"/>
    <n v="2.0833333333139308"/>
    <n v="1.073232323222328"/>
    <n v="317.67676767380908"/>
    <n v="152.4848484848485"/>
    <x v="251"/>
  </r>
  <r>
    <x v="8"/>
    <x v="0"/>
    <n v="45"/>
    <n v="3411"/>
    <d v="2016-06-20T19:00:00"/>
    <d v="2016-06-21T02:10:00"/>
    <n v="190"/>
    <n v="330"/>
    <n v="296"/>
    <s v="Feedwater pump drive - motor"/>
    <s v="F4902A MDBFP - motor"/>
    <s v="Mill Creek"/>
    <x v="0"/>
    <s v="Coal"/>
    <x v="1"/>
    <x v="3"/>
    <n v="6"/>
    <n v="7.1666666668024845"/>
    <n v="3.0404040404616599"/>
    <n v="899.95959597665137"/>
    <n v="125.57575757575758"/>
    <x v="248"/>
  </r>
  <r>
    <x v="8"/>
    <x v="0"/>
    <n v="46"/>
    <n v="3411"/>
    <d v="2016-06-21T02:10:00"/>
    <d v="2016-06-21T05:30:00"/>
    <n v="205"/>
    <n v="330"/>
    <n v="296"/>
    <s v="Feedwater pump drive - motor"/>
    <s v="F4902A MDBFP - motor"/>
    <s v="Mill Creek"/>
    <x v="0"/>
    <s v="Coal"/>
    <x v="1"/>
    <x v="3"/>
    <n v="6"/>
    <n v="3.3333333331975155"/>
    <n v="1.2626262625748164"/>
    <n v="373.73737372214566"/>
    <n v="112.12121212121212"/>
    <x v="38"/>
  </r>
  <r>
    <x v="8"/>
    <x v="0"/>
    <n v="47"/>
    <n v="3411"/>
    <d v="2016-06-21T05:30:00"/>
    <d v="2016-06-28T05:54:00"/>
    <n v="240"/>
    <n v="330"/>
    <n v="296"/>
    <s v="Feedwater pump drive - motor"/>
    <s v="F4902A MDBFP - motor"/>
    <s v="Mill Creek"/>
    <x v="0"/>
    <s v="Coal"/>
    <x v="1"/>
    <x v="3"/>
    <n v="6"/>
    <n v="168.40000000008149"/>
    <n v="45.927272727294955"/>
    <n v="13594.472727279306"/>
    <n v="80.727272727272734"/>
    <x v="240"/>
  </r>
  <r>
    <x v="8"/>
    <x v="0"/>
    <n v="48"/>
    <n v="95"/>
    <d v="2016-06-28T05:54:00"/>
    <d v="2016-06-28T06:21:00"/>
    <n v="204"/>
    <n v="330"/>
    <n v="296"/>
    <s v="Bunker flow problems"/>
    <s v="F1202C Coal Mill Lost (Lack of coal flow from bunker)"/>
    <s v="Mill Creek"/>
    <x v="0"/>
    <s v="Coal"/>
    <x v="1"/>
    <x v="3"/>
    <n v="6"/>
    <n v="0.44999999989522621"/>
    <n v="0.17181818177817729"/>
    <n v="50.858181806340475"/>
    <n v="113.01818181818182"/>
    <x v="253"/>
  </r>
  <r>
    <x v="8"/>
    <x v="0"/>
    <n v="49"/>
    <n v="3411"/>
    <d v="2016-06-28T06:21:00"/>
    <d v="2016-07-03T22:37:00"/>
    <n v="240"/>
    <n v="330"/>
    <n v="296"/>
    <s v="Feedwater pump drive - motor"/>
    <s v="F4902A MDBFP - motor"/>
    <s v="Mill Creek"/>
    <x v="0"/>
    <s v="Coal"/>
    <x v="1"/>
    <x v="3"/>
    <n v="6"/>
    <n v="136.2666666667792"/>
    <n v="37.163636363667052"/>
    <n v="11000.436363645447"/>
    <n v="80.727272727272734"/>
    <x v="240"/>
  </r>
  <r>
    <x v="8"/>
    <x v="2"/>
    <n v="50"/>
    <n v="310"/>
    <d v="2016-07-26T23:08:00"/>
    <d v="2016-07-27T03:58:00"/>
    <n v="240"/>
    <n v="330"/>
    <n v="296"/>
    <s v="Pulverizer mills"/>
    <s v="F5902B Mill Maintenance"/>
    <s v="Mill Creek"/>
    <x v="0"/>
    <s v="Coal"/>
    <x v="1"/>
    <x v="3"/>
    <n v="7"/>
    <n v="4.8333333333721384"/>
    <n v="1.3181818181924014"/>
    <n v="390.18181818495083"/>
    <n v="80.727272727272734"/>
    <x v="240"/>
  </r>
  <r>
    <x v="8"/>
    <x v="2"/>
    <n v="51"/>
    <n v="310"/>
    <d v="2016-08-07T22:00:00"/>
    <d v="2016-08-08T04:01:00"/>
    <n v="250"/>
    <n v="330"/>
    <n v="296"/>
    <s v="Pulverizer mills"/>
    <s v="F590A Mill Maintenance"/>
    <s v="Mill Creek"/>
    <x v="0"/>
    <s v="Coal"/>
    <x v="1"/>
    <x v="3"/>
    <n v="8"/>
    <n v="6.0166666667209938"/>
    <n v="1.4585858585990288"/>
    <n v="431.74141414531255"/>
    <n v="71.757575757575751"/>
    <x v="243"/>
  </r>
  <r>
    <x v="8"/>
    <x v="2"/>
    <n v="52"/>
    <n v="310"/>
    <d v="2016-08-08T23:04:00"/>
    <d v="2016-08-09T05:21:00"/>
    <n v="250"/>
    <n v="330"/>
    <n v="296"/>
    <s v="Pulverizer mills"/>
    <s v="F590C Mill Maintenance"/>
    <s v="Mill Creek"/>
    <x v="0"/>
    <s v="Coal"/>
    <x v="1"/>
    <x v="3"/>
    <n v="8"/>
    <n v="6.28333333338378"/>
    <n v="1.5232323232445528"/>
    <n v="450.87676768038762"/>
    <n v="71.757575757575751"/>
    <x v="243"/>
  </r>
  <r>
    <x v="8"/>
    <x v="3"/>
    <n v="53"/>
    <n v="4490"/>
    <d v="2016-08-09T20:10:00"/>
    <d v="2016-08-10T01:12:00"/>
    <n v="0"/>
    <n v="330"/>
    <n v="296"/>
    <s v="Turbine performance testing (use code 9999 for total unit performance testing)"/>
    <s v="F790Heat Rate Testing (various loads)"/>
    <s v="Mill Creek"/>
    <x v="1"/>
    <s v="Coal"/>
    <x v="1"/>
    <x v="3"/>
    <n v="8"/>
    <n v="5.0333333333255723"/>
    <n v="5.0333333333255723"/>
    <n v="1489.8666666643694"/>
    <n v="296"/>
    <x v="202"/>
  </r>
  <r>
    <x v="8"/>
    <x v="2"/>
    <n v="54"/>
    <n v="310"/>
    <d v="2016-08-10T23:00:00"/>
    <d v="2016-08-11T04:56:00"/>
    <n v="240"/>
    <n v="330"/>
    <n v="296"/>
    <s v="Pulverizer mills"/>
    <s v="F590D Mill Maintenance"/>
    <s v="Mill Creek"/>
    <x v="0"/>
    <s v="Coal"/>
    <x v="1"/>
    <x v="3"/>
    <n v="8"/>
    <n v="5.9333333332906477"/>
    <n v="1.6181818181701766"/>
    <n v="478.98181817837229"/>
    <n v="80.727272727272734"/>
    <x v="240"/>
  </r>
  <r>
    <x v="8"/>
    <x v="2"/>
    <n v="55"/>
    <n v="344"/>
    <d v="2016-08-18T22:57:00"/>
    <d v="2016-08-19T03:57:00"/>
    <n v="250"/>
    <n v="330"/>
    <n v="296"/>
    <s v="Pulverizer inspection"/>
    <s v="F5902A Mill Maintenance"/>
    <s v="Mill Creek"/>
    <x v="0"/>
    <s v="Coal"/>
    <x v="1"/>
    <x v="3"/>
    <n v="8"/>
    <n v="4.9999999998835847"/>
    <n v="1.2121212120929903"/>
    <n v="358.7878787795251"/>
    <n v="71.757575757575751"/>
    <x v="243"/>
  </r>
  <r>
    <x v="8"/>
    <x v="2"/>
    <n v="56"/>
    <n v="310"/>
    <d v="2016-09-07T23:00:00"/>
    <d v="2016-09-08T03:24:00"/>
    <n v="240"/>
    <n v="330"/>
    <n v="296"/>
    <s v="Pulverizer mills"/>
    <s v="F5302D Coal Mill Maintenance"/>
    <s v="Mill Creek"/>
    <x v="0"/>
    <s v="Coal"/>
    <x v="1"/>
    <x v="3"/>
    <n v="9"/>
    <n v="4.4000000000232831"/>
    <n v="1.20000000000635"/>
    <n v="355.20000000187957"/>
    <n v="80.727272727272734"/>
    <x v="240"/>
  </r>
  <r>
    <x v="8"/>
    <x v="4"/>
    <n v="57"/>
    <n v="1080"/>
    <d v="2016-09-09T22:23:00"/>
    <d v="2016-09-11T13:01:00"/>
    <n v="0"/>
    <n v="330"/>
    <n v="296"/>
    <s v="Economizer B"/>
    <s v="F540Boiler Leak Repair - Economizer"/>
    <s v="Mill Creek"/>
    <x v="2"/>
    <s v="Coal"/>
    <x v="1"/>
    <x v="3"/>
    <n v="9"/>
    <n v="38.633333333360497"/>
    <n v="38.633333333360497"/>
    <n v="11435.466666674707"/>
    <n v="296"/>
    <x v="202"/>
  </r>
  <r>
    <x v="8"/>
    <x v="0"/>
    <n v="58"/>
    <n v="1850"/>
    <d v="2016-09-11T22:58:00"/>
    <d v="2016-09-12T07:48:00"/>
    <n v="280"/>
    <n v="330"/>
    <n v="296"/>
    <s v="Boiler water condition (not feedwater water quality)"/>
    <s v="FA00High Silica - After Startup"/>
    <s v="Mill Creek"/>
    <x v="0"/>
    <s v="Coal"/>
    <x v="1"/>
    <x v="3"/>
    <n v="9"/>
    <n v="8.8333333333139308"/>
    <n v="1.3383838383808986"/>
    <n v="396.16161616074601"/>
    <n v="44.848484848484851"/>
    <x v="23"/>
  </r>
  <r>
    <x v="8"/>
    <x v="2"/>
    <n v="59"/>
    <n v="310"/>
    <d v="2016-09-14T23:00:00"/>
    <d v="2016-09-15T05:34:00"/>
    <n v="240"/>
    <n v="330"/>
    <n v="296"/>
    <s v="Pulverizer mills"/>
    <s v="F5902A Mill Maintenance"/>
    <s v="Mill Creek"/>
    <x v="0"/>
    <s v="Coal"/>
    <x v="1"/>
    <x v="3"/>
    <n v="9"/>
    <n v="6.566666666592937"/>
    <n v="1.7909090908889829"/>
    <n v="530.10909090313896"/>
    <n v="80.727272727272734"/>
    <x v="240"/>
  </r>
  <r>
    <x v="8"/>
    <x v="2"/>
    <n v="60"/>
    <n v="310"/>
    <d v="2016-09-15T23:00:00"/>
    <d v="2016-09-16T05:49:00"/>
    <n v="240"/>
    <n v="330"/>
    <n v="296"/>
    <s v="Pulverizer mills"/>
    <s v="F5902A Mill Maintenance"/>
    <s v="Mill Creek"/>
    <x v="0"/>
    <s v="Coal"/>
    <x v="1"/>
    <x v="3"/>
    <n v="9"/>
    <n v="6.8166666665347293"/>
    <n v="1.8590909090549261"/>
    <n v="550.29090908025819"/>
    <n v="80.727272727272734"/>
    <x v="240"/>
  </r>
  <r>
    <x v="8"/>
    <x v="2"/>
    <n v="61"/>
    <n v="310"/>
    <d v="2016-09-18T23:06:00"/>
    <d v="2016-09-19T05:08:00"/>
    <n v="240"/>
    <n v="330"/>
    <n v="296"/>
    <s v="Pulverizer mills"/>
    <s v="F5902C Mill Maintenance"/>
    <s v="Mill Creek"/>
    <x v="0"/>
    <s v="Coal"/>
    <x v="1"/>
    <x v="3"/>
    <n v="9"/>
    <n v="6.0333333332673647"/>
    <n v="1.6454545454365539"/>
    <n v="487.05454544921997"/>
    <n v="80.727272727272734"/>
    <x v="240"/>
  </r>
  <r>
    <x v="8"/>
    <x v="2"/>
    <n v="62"/>
    <n v="310"/>
    <d v="2016-09-19T23:00:00"/>
    <d v="2016-09-20T04:39:00"/>
    <n v="250"/>
    <n v="330"/>
    <n v="296"/>
    <s v="Pulverizer mills"/>
    <s v="F5902D Mill Maintenance"/>
    <s v="Mill Creek"/>
    <x v="0"/>
    <s v="Coal"/>
    <x v="1"/>
    <x v="3"/>
    <n v="9"/>
    <n v="5.6499999999068677"/>
    <n v="1.3696969696743921"/>
    <n v="405.43030302362007"/>
    <n v="71.757575757575751"/>
    <x v="243"/>
  </r>
  <r>
    <x v="8"/>
    <x v="4"/>
    <n v="63"/>
    <n v="4609"/>
    <d v="2016-09-30T17:51:00"/>
    <d v="2016-09-30T20:36:00"/>
    <n v="0"/>
    <n v="330"/>
    <n v="296"/>
    <s v="Other exciter problems"/>
    <s v="F540Alterex Oil Cooler Gasket Leak - Exciter System"/>
    <s v="Mill Creek"/>
    <x v="2"/>
    <s v="Coal"/>
    <x v="1"/>
    <x v="3"/>
    <n v="9"/>
    <n v="2.7499999998835847"/>
    <n v="2.7499999998835847"/>
    <n v="813.99999996554106"/>
    <n v="296"/>
    <x v="202"/>
  </r>
  <r>
    <x v="8"/>
    <x v="2"/>
    <n v="64"/>
    <n v="250"/>
    <d v="2016-10-11T23:00:00"/>
    <d v="2016-10-12T03:24:00"/>
    <n v="240"/>
    <n v="330"/>
    <n v="296"/>
    <s v="Pulverizer feeders"/>
    <s v="F5902B Feeder Maintenance"/>
    <s v="Mill Creek"/>
    <x v="0"/>
    <s v="Coal"/>
    <x v="1"/>
    <x v="3"/>
    <n v="10"/>
    <n v="4.4000000000232831"/>
    <n v="1.20000000000635"/>
    <n v="355.20000000187957"/>
    <n v="80.727272727272734"/>
    <x v="240"/>
  </r>
  <r>
    <x v="8"/>
    <x v="5"/>
    <n v="65"/>
    <n v="3220"/>
    <d v="2016-10-22T10:51:00"/>
    <d v="2016-10-23T10:45:00"/>
    <n v="0"/>
    <n v="330"/>
    <n v="296"/>
    <s v="Circulating water piping"/>
    <s v="F540Cooling Tower Header Rupture"/>
    <s v="Mill Creek"/>
    <x v="3"/>
    <s v="Coal"/>
    <x v="1"/>
    <x v="3"/>
    <n v="10"/>
    <n v="23.900000000023283"/>
    <n v="23.900000000023283"/>
    <n v="7074.4000000068918"/>
    <n v="296"/>
    <x v="202"/>
  </r>
  <r>
    <x v="8"/>
    <x v="0"/>
    <n v="66"/>
    <n v="340"/>
    <d v="2016-11-01T18:30:00"/>
    <d v="2016-11-01T18:55:00"/>
    <n v="190"/>
    <n v="330"/>
    <n v="296"/>
    <s v="Other pulverizer problems"/>
    <s v="F700Lost B Mill - Breaker Issue"/>
    <s v="Mill Creek"/>
    <x v="0"/>
    <s v="Coal"/>
    <x v="1"/>
    <x v="3"/>
    <n v="11"/>
    <n v="0.41666666662786156"/>
    <n v="0.17676767675121399"/>
    <n v="52.323232318359345"/>
    <n v="125.57575757575758"/>
    <x v="248"/>
  </r>
  <r>
    <x v="8"/>
    <x v="0"/>
    <n v="67"/>
    <n v="340"/>
    <d v="2016-11-01T18:55:00"/>
    <d v="2016-11-01T19:40:00"/>
    <n v="255"/>
    <n v="330"/>
    <n v="296"/>
    <s v="Other pulverizer problems"/>
    <s v="F700Lost B Mill - Breaker Issue"/>
    <s v="Mill Creek"/>
    <x v="0"/>
    <s v="Coal"/>
    <x v="1"/>
    <x v="3"/>
    <n v="11"/>
    <n v="0.75"/>
    <n v="0.17045454545454544"/>
    <n v="50.454545454545453"/>
    <n v="67.272727272727266"/>
    <x v="105"/>
  </r>
  <r>
    <x v="8"/>
    <x v="0"/>
    <n v="68"/>
    <n v="340"/>
    <d v="2016-11-01T19:40:00"/>
    <d v="2016-11-02T01:13:00"/>
    <n v="263"/>
    <n v="330"/>
    <n v="296"/>
    <s v="Other pulverizer problems"/>
    <s v="F700Lost B Mill - Breaker Issue"/>
    <s v="Mill Creek"/>
    <x v="0"/>
    <s v="Coal"/>
    <x v="1"/>
    <x v="3"/>
    <n v="11"/>
    <n v="5.5499999999301508"/>
    <n v="1.1268181818040004"/>
    <n v="333.53818181398412"/>
    <n v="60.096969696969694"/>
    <x v="11"/>
  </r>
  <r>
    <x v="8"/>
    <x v="6"/>
    <n v="69"/>
    <n v="1800"/>
    <d v="2016-11-05T00:58:00"/>
    <d v="2016-12-02T19:42:00"/>
    <n v="0"/>
    <n v="330"/>
    <n v="296"/>
    <s v="Major boiler overhaul (720 hours or longer) (use for non-specific overhaul only; see page B-1)"/>
    <s v="F590Planned Outage "/>
    <s v="Mill Creek"/>
    <x v="1"/>
    <s v="Coal"/>
    <x v="1"/>
    <x v="3"/>
    <n v="11"/>
    <n v="666.73333333327901"/>
    <n v="666.73333333327901"/>
    <n v="197353.06666665059"/>
    <n v="296"/>
    <x v="202"/>
  </r>
  <r>
    <x v="8"/>
    <x v="3"/>
    <n v="70"/>
    <n v="1850"/>
    <d v="2016-12-02T19:42:00"/>
    <d v="2016-12-05T06:49:00"/>
    <n v="0"/>
    <n v="330"/>
    <n v="296"/>
    <s v="Boiler water condition (not feedwater water quality)"/>
    <s v="F170High silica at cold start-up"/>
    <s v="Mill Creek"/>
    <x v="1"/>
    <s v="Coal"/>
    <x v="1"/>
    <x v="3"/>
    <n v="12"/>
    <n v="59.116666666755918"/>
    <n v="59.116666666755918"/>
    <n v="17498.533333359752"/>
    <n v="296"/>
    <x v="202"/>
  </r>
  <r>
    <x v="8"/>
    <x v="2"/>
    <n v="1"/>
    <n v="310"/>
    <d v="2017-01-16T23:00:00"/>
    <d v="2017-01-17T05:09:00"/>
    <n v="240"/>
    <n v="330"/>
    <n v="296"/>
    <s v="Pulverizer mills"/>
    <s v="F5902A Mill Maintenance"/>
    <s v="Mill Creek"/>
    <x v="0"/>
    <s v="Coal"/>
    <x v="1"/>
    <x v="4"/>
    <n v="1"/>
    <n v="6.1499999999650754"/>
    <n v="1.6772727272632024"/>
    <n v="496.47272726990792"/>
    <n v="80.727272727272734"/>
    <x v="240"/>
  </r>
  <r>
    <x v="8"/>
    <x v="2"/>
    <n v="2"/>
    <n v="310"/>
    <d v="2017-01-17T23:20:00"/>
    <d v="2017-01-18T05:19:00"/>
    <n v="240"/>
    <n v="330"/>
    <n v="296"/>
    <s v="Pulverizer mills"/>
    <s v="F5902B Mill Maintenance"/>
    <s v="Mill Creek"/>
    <x v="0"/>
    <s v="Coal"/>
    <x v="1"/>
    <x v="4"/>
    <n v="1"/>
    <n v="5.9833333334536292"/>
    <n v="1.6318181818509898"/>
    <n v="483.01818182789299"/>
    <n v="80.727272727272734"/>
    <x v="240"/>
  </r>
  <r>
    <x v="8"/>
    <x v="3"/>
    <n v="3"/>
    <n v="8460"/>
    <d v="2017-01-18T22:40:00"/>
    <d v="2017-01-19T01:35:00"/>
    <n v="0"/>
    <n v="330"/>
    <n v="296"/>
    <s v="Testing A"/>
    <s v="F790Low Load RATA - 215 MW"/>
    <s v="Mill Creek"/>
    <x v="1"/>
    <s v="Coal"/>
    <x v="1"/>
    <x v="4"/>
    <n v="1"/>
    <n v="2.9166666665696539"/>
    <n v="2.9166666665696539"/>
    <n v="863.33333330461755"/>
    <n v="296"/>
    <x v="202"/>
  </r>
  <r>
    <x v="8"/>
    <x v="2"/>
    <n v="4"/>
    <n v="310"/>
    <d v="2017-01-20T00:00:00"/>
    <d v="2017-01-20T05:50:00"/>
    <n v="240"/>
    <n v="330"/>
    <n v="296"/>
    <s v="Pulverizer mills"/>
    <s v="F5902C Mill Maintenance"/>
    <s v="Mill Creek"/>
    <x v="0"/>
    <s v="Coal"/>
    <x v="1"/>
    <x v="4"/>
    <n v="1"/>
    <n v="5.8333333333139308"/>
    <n v="1.5909090909037993"/>
    <n v="470.90909090752461"/>
    <n v="80.727272727272734"/>
    <x v="240"/>
  </r>
  <r>
    <x v="8"/>
    <x v="0"/>
    <n v="5"/>
    <n v="4261"/>
    <d v="2017-01-20T08:00:00"/>
    <d v="2017-01-20T23:13:00"/>
    <n v="280"/>
    <n v="330"/>
    <n v="296"/>
    <s v="Control valves"/>
    <s v="F720#4 Control Valve Stuck Closed"/>
    <s v="Mill Creek"/>
    <x v="0"/>
    <s v="Coal"/>
    <x v="1"/>
    <x v="4"/>
    <n v="1"/>
    <n v="15.216666666674428"/>
    <n v="2.3055555555567313"/>
    <n v="682.44444444479245"/>
    <n v="44.848484848484851"/>
    <x v="23"/>
  </r>
  <r>
    <x v="8"/>
    <x v="4"/>
    <n v="6"/>
    <n v="4261"/>
    <d v="2017-01-20T23:13:00"/>
    <d v="2017-01-22T21:34:00"/>
    <n v="0"/>
    <n v="330"/>
    <n v="296"/>
    <s v="Control valves"/>
    <s v="F540#4 Control Valve Stuck Closed (and WW repair)"/>
    <s v="Mill Creek"/>
    <x v="2"/>
    <s v="Coal"/>
    <x v="1"/>
    <x v="4"/>
    <n v="1"/>
    <n v="46.349999999860302"/>
    <n v="46.349999999860302"/>
    <n v="13719.599999958649"/>
    <n v="296"/>
    <x v="202"/>
  </r>
  <r>
    <x v="8"/>
    <x v="2"/>
    <n v="7"/>
    <n v="310"/>
    <d v="2017-01-22T23:30:00"/>
    <d v="2017-01-23T04:05:00"/>
    <n v="240"/>
    <n v="330"/>
    <n v="296"/>
    <s v="Pulverizer mills"/>
    <s v="F5902D Mill Maintenance"/>
    <s v="Mill Creek"/>
    <x v="0"/>
    <s v="Coal"/>
    <x v="1"/>
    <x v="4"/>
    <n v="1"/>
    <n v="4.5833333334303461"/>
    <n v="1.2500000000264579"/>
    <n v="370.00000000783155"/>
    <n v="80.727272727272734"/>
    <x v="240"/>
  </r>
  <r>
    <x v="8"/>
    <x v="3"/>
    <n v="8"/>
    <n v="4490"/>
    <d v="2017-02-02T07:30:00"/>
    <d v="2017-02-02T13:45:00"/>
    <n v="0"/>
    <n v="330"/>
    <n v="296"/>
    <s v="Turbine performance testing (use code 9999 for total unit performance testing)"/>
    <s v="F790Full Load Capability Testing"/>
    <s v="Mill Creek"/>
    <x v="1"/>
    <s v="Coal"/>
    <x v="1"/>
    <x v="4"/>
    <n v="2"/>
    <n v="6.2499999999417923"/>
    <n v="6.2499999999417923"/>
    <n v="1849.9999999827705"/>
    <n v="296"/>
    <x v="202"/>
  </r>
  <r>
    <x v="8"/>
    <x v="0"/>
    <n v="9"/>
    <n v="1488"/>
    <d v="2017-02-13T21:30:00"/>
    <d v="2017-02-13T22:07:00"/>
    <n v="200"/>
    <n v="330"/>
    <n v="296"/>
    <s v="Air heater (regenerative)"/>
    <s v="F7802A Air Heater Guide Bearing Tempeature"/>
    <s v="Mill Creek"/>
    <x v="0"/>
    <s v="Coal"/>
    <x v="1"/>
    <x v="4"/>
    <n v="2"/>
    <n v="0.61666666658129543"/>
    <n v="0.24292929289566184"/>
    <n v="71.907070697115898"/>
    <n v="116.60606060606061"/>
    <x v="242"/>
  </r>
  <r>
    <x v="8"/>
    <x v="0"/>
    <n v="10"/>
    <n v="360"/>
    <d v="2017-02-14T08:17:00"/>
    <d v="2017-02-14T09:13:00"/>
    <n v="240"/>
    <n v="330"/>
    <n v="296"/>
    <s v="Burners"/>
    <s v="F7802B Coal Mill Burner Tempeature (B4)"/>
    <s v="Mill Creek"/>
    <x v="0"/>
    <s v="Coal"/>
    <x v="1"/>
    <x v="4"/>
    <n v="2"/>
    <n v="0.93333333340706304"/>
    <n v="0.25454545456556266"/>
    <n v="75.345454551406547"/>
    <n v="80.727272727272734"/>
    <x v="240"/>
  </r>
  <r>
    <x v="8"/>
    <x v="0"/>
    <n v="11"/>
    <n v="580"/>
    <d v="2017-03-06T02:58:00"/>
    <d v="2017-03-06T06:35:00"/>
    <n v="150"/>
    <n v="330"/>
    <n v="296"/>
    <s v="Desuperheater/attemperator piping"/>
    <s v="F540Reheat spray line leak"/>
    <s v="Mill Creek"/>
    <x v="0"/>
    <s v="Coal"/>
    <x v="1"/>
    <x v="4"/>
    <n v="3"/>
    <n v="3.6166666665812954"/>
    <n v="1.9727272726807066"/>
    <n v="583.92727271348917"/>
    <n v="161.45454545454547"/>
    <x v="177"/>
  </r>
  <r>
    <x v="8"/>
    <x v="3"/>
    <n v="12"/>
    <n v="4490"/>
    <d v="2017-03-06T08:00:00"/>
    <d v="2017-03-06T13:13:00"/>
    <n v="0"/>
    <n v="330"/>
    <n v="296"/>
    <s v="Turbine performance testing (use code 9999 for total unit performance testing)"/>
    <s v="F790Full Load Capability Testing"/>
    <s v="Mill Creek"/>
    <x v="1"/>
    <s v="Coal"/>
    <x v="1"/>
    <x v="4"/>
    <n v="3"/>
    <n v="5.2166666665580124"/>
    <n v="5.2166666665580124"/>
    <n v="1544.1333333011717"/>
    <n v="296"/>
    <x v="202"/>
  </r>
  <r>
    <x v="8"/>
    <x v="6"/>
    <n v="13"/>
    <n v="4402"/>
    <d v="2017-04-07T23:10:00"/>
    <d v="2017-04-24T14:19:00"/>
    <n v="0"/>
    <n v="330"/>
    <n v="296"/>
    <s v="Minor turbine overhaul (less than 720 hrs.) (use for non-specific overhaul only; see page B-1)"/>
    <s v="F590Planned Outage - Spring 2017 "/>
    <s v="Mill Creek"/>
    <x v="1"/>
    <s v="Coal"/>
    <x v="1"/>
    <x v="4"/>
    <n v="4"/>
    <n v="399.14999999996508"/>
    <n v="399.14999999996508"/>
    <n v="118148.39999998966"/>
    <n v="296"/>
    <x v="202"/>
  </r>
  <r>
    <x v="8"/>
    <x v="0"/>
    <n v="14"/>
    <n v="1850"/>
    <d v="2017-04-25T08:19:00"/>
    <d v="2017-04-25T11:15:00"/>
    <n v="300"/>
    <n v="330"/>
    <n v="296"/>
    <s v="Boiler water condition (not feedwater water quality)"/>
    <s v="F170High Silica - Startup"/>
    <s v="Mill Creek"/>
    <x v="0"/>
    <s v="Coal"/>
    <x v="1"/>
    <x v="4"/>
    <n v="4"/>
    <n v="2.9333333332906477"/>
    <n v="0.26666666666278616"/>
    <n v="78.933333332184702"/>
    <n v="26.90909090909091"/>
    <x v="6"/>
  </r>
  <r>
    <x v="8"/>
    <x v="0"/>
    <n v="15"/>
    <n v="3133"/>
    <d v="2017-04-25T11:15:00"/>
    <d v="2017-04-25T12:09:00"/>
    <n v="205"/>
    <n v="330"/>
    <n v="296"/>
    <s v="Vacuum pumps"/>
    <s v="F660High Backpressure (Cond. Vac. Pump Operational Issue)"/>
    <s v="Mill Creek"/>
    <x v="0"/>
    <s v="Coal"/>
    <x v="1"/>
    <x v="4"/>
    <n v="4"/>
    <n v="0.8999999999650754"/>
    <n v="0.34090909089586191"/>
    <n v="100.90909090517512"/>
    <n v="112.12121212121212"/>
    <x v="38"/>
  </r>
  <r>
    <x v="8"/>
    <x v="0"/>
    <n v="16"/>
    <n v="3133"/>
    <d v="2017-04-25T12:09:00"/>
    <d v="2017-04-25T14:28:00"/>
    <n v="114"/>
    <n v="330"/>
    <n v="296"/>
    <s v="Vacuum pumps"/>
    <s v="F660High Backpressure (Cond. Vac. Pump Operational Issue)"/>
    <s v="Mill Creek"/>
    <x v="0"/>
    <s v="Coal"/>
    <x v="1"/>
    <x v="4"/>
    <n v="4"/>
    <n v="2.3166666667093523"/>
    <n v="1.516363636391576"/>
    <n v="448.84363637190648"/>
    <n v="193.74545454545455"/>
    <x v="256"/>
  </r>
  <r>
    <x v="8"/>
    <x v="0"/>
    <n v="17"/>
    <n v="580"/>
    <d v="2017-04-26T04:40:00"/>
    <d v="2017-04-26T08:03:00"/>
    <n v="225"/>
    <n v="330"/>
    <n v="296"/>
    <s v="Desuperheater/attemperator piping"/>
    <s v="F540RH spray line steam leak at weld"/>
    <s v="Mill Creek"/>
    <x v="0"/>
    <s v="Coal"/>
    <x v="1"/>
    <x v="4"/>
    <n v="4"/>
    <n v="3.3833333333604969"/>
    <n v="1.0765151515237945"/>
    <n v="318.64848485104318"/>
    <n v="94.181818181818187"/>
    <x v="194"/>
  </r>
  <r>
    <x v="8"/>
    <x v="5"/>
    <n v="18"/>
    <n v="800"/>
    <d v="2017-04-29T07:44:00"/>
    <d v="2017-04-29T12:29:00"/>
    <n v="0"/>
    <n v="330"/>
    <n v="296"/>
    <s v="Drums and drum internals (single drum only)"/>
    <s v="F820Drum Level Trip"/>
    <s v="Mill Creek"/>
    <x v="3"/>
    <s v="Coal"/>
    <x v="1"/>
    <x v="4"/>
    <n v="4"/>
    <n v="4.7499999999417923"/>
    <n v="4.7499999999417923"/>
    <n v="1405.9999999827705"/>
    <n v="296"/>
    <x v="202"/>
  </r>
  <r>
    <x v="8"/>
    <x v="0"/>
    <n v="19"/>
    <n v="1850"/>
    <d v="2017-04-29T17:09:00"/>
    <d v="2017-04-30T01:40:00"/>
    <n v="265"/>
    <n v="330"/>
    <n v="296"/>
    <s v="Boiler water condition (not feedwater water quality)"/>
    <s v="F170High Silica - Startup"/>
    <s v="Mill Creek"/>
    <x v="0"/>
    <s v="Coal"/>
    <x v="1"/>
    <x v="4"/>
    <n v="4"/>
    <n v="8.5166666666627862"/>
    <n v="1.6775252525244881"/>
    <n v="496.54747474724849"/>
    <n v="58.303030303030305"/>
    <x v="237"/>
  </r>
  <r>
    <x v="8"/>
    <x v="0"/>
    <n v="20"/>
    <n v="1850"/>
    <d v="2017-04-30T01:40:00"/>
    <d v="2017-04-30T05:52:00"/>
    <n v="315"/>
    <n v="330"/>
    <n v="296"/>
    <s v="Boiler water condition (not feedwater water quality)"/>
    <s v="F170High Silica - Startup"/>
    <s v="Mill Creek"/>
    <x v="0"/>
    <s v="Coal"/>
    <x v="1"/>
    <x v="4"/>
    <n v="4"/>
    <n v="4.1999999998952262"/>
    <n v="0.19090909090432848"/>
    <n v="56.509090907681227"/>
    <n v="13.454545454545455"/>
    <x v="20"/>
  </r>
  <r>
    <x v="8"/>
    <x v="4"/>
    <n v="21"/>
    <n v="3344"/>
    <d v="2017-05-02T21:20:00"/>
    <d v="2017-05-03T23:37:00"/>
    <n v="0"/>
    <n v="330"/>
    <n v="296"/>
    <s v="Deaerator (including level control)"/>
    <s v="F540Deaerator Heater Access Door Repair "/>
    <s v="Mill Creek"/>
    <x v="2"/>
    <s v="Coal"/>
    <x v="1"/>
    <x v="4"/>
    <n v="5"/>
    <n v="26.283333333267365"/>
    <n v="26.283333333267365"/>
    <n v="7779.8666666471399"/>
    <n v="296"/>
    <x v="202"/>
  </r>
  <r>
    <x v="8"/>
    <x v="0"/>
    <n v="22"/>
    <n v="9940"/>
    <d v="2017-05-04T05:35:00"/>
    <d v="2017-05-04T06:54:00"/>
    <n v="200"/>
    <n v="330"/>
    <n v="296"/>
    <s v="Maintenance procdure error"/>
    <s v="FP002B BFP Unavailable (LOTO issue)"/>
    <s v="Mill Creek"/>
    <x v="0"/>
    <s v="Coal"/>
    <x v="1"/>
    <x v="4"/>
    <n v="5"/>
    <n v="1.316666666592937"/>
    <n v="0.51868686865782365"/>
    <n v="153.5313131227158"/>
    <n v="116.60606060606061"/>
    <x v="242"/>
  </r>
  <r>
    <x v="8"/>
    <x v="0"/>
    <n v="23"/>
    <n v="4499"/>
    <d v="2017-06-03T13:27:00"/>
    <d v="2017-06-04T11:45:00"/>
    <n v="280"/>
    <n v="330"/>
    <n v="296"/>
    <s v="Other miscellaneous steam turbine problems"/>
    <s v="F660Steam/Feedwater Flow Differential Running High"/>
    <s v="Mill Creek"/>
    <x v="0"/>
    <s v="Coal"/>
    <x v="1"/>
    <x v="4"/>
    <n v="6"/>
    <n v="22.300000000046566"/>
    <n v="3.3787878787949341"/>
    <n v="1000.1212121233006"/>
    <n v="44.848484848484851"/>
    <x v="23"/>
  </r>
  <r>
    <x v="8"/>
    <x v="0"/>
    <n v="24"/>
    <n v="4099"/>
    <d v="2017-06-04T11:45:00"/>
    <d v="2017-06-05T13:37:00"/>
    <n v="320"/>
    <n v="330"/>
    <n v="296"/>
    <s v="Other high pressure turbine problems"/>
    <s v="F660Steam/Feedwater Flow Differential Running High"/>
    <s v="Mill Creek"/>
    <x v="0"/>
    <s v="Coal"/>
    <x v="1"/>
    <x v="4"/>
    <n v="6"/>
    <n v="25.866666666639503"/>
    <n v="0.78383838383756066"/>
    <n v="232.01616161591795"/>
    <n v="8.9696969696969688"/>
    <x v="94"/>
  </r>
  <r>
    <x v="8"/>
    <x v="0"/>
    <n v="25"/>
    <n v="4099"/>
    <d v="2017-06-05T13:37:00"/>
    <d v="2017-06-06T06:17:00"/>
    <n v="310"/>
    <n v="330"/>
    <n v="296"/>
    <s v="Other high pressure turbine problems"/>
    <s v="F660Steam/Feedwater Flow Differential Running High"/>
    <s v="Mill Creek"/>
    <x v="0"/>
    <s v="Coal"/>
    <x v="1"/>
    <x v="4"/>
    <n v="6"/>
    <n v="16.666666666686069"/>
    <n v="1.0101010101021861"/>
    <n v="298.98989899024707"/>
    <n v="17.939393939393938"/>
    <x v="5"/>
  </r>
  <r>
    <x v="8"/>
    <x v="2"/>
    <n v="26"/>
    <n v="4266"/>
    <d v="2017-06-06T06:17:00"/>
    <d v="2017-06-06T07:20:00"/>
    <n v="65"/>
    <n v="330"/>
    <n v="296"/>
    <s v="Main stop valve testing"/>
    <s v="F790Valve Testing"/>
    <s v="Mill Creek"/>
    <x v="0"/>
    <s v="Coal"/>
    <x v="1"/>
    <x v="4"/>
    <n v="6"/>
    <n v="1.0499999999301508"/>
    <n v="0.84318181812572712"/>
    <n v="249.58181816521522"/>
    <n v="237.69696969696969"/>
    <x v="257"/>
  </r>
  <r>
    <x v="8"/>
    <x v="0"/>
    <n v="27"/>
    <n v="4099"/>
    <d v="2017-06-06T07:20:00"/>
    <d v="2017-06-06T09:40:00"/>
    <n v="310"/>
    <n v="330"/>
    <n v="296"/>
    <s v="Other high pressure turbine problems"/>
    <s v="F660HP Turbine Restriction (Under Investigation)"/>
    <s v="Mill Creek"/>
    <x v="0"/>
    <s v="Coal"/>
    <x v="1"/>
    <x v="4"/>
    <n v="6"/>
    <n v="2.3333333334303461"/>
    <n v="0.14141414142002098"/>
    <n v="41.858585860326208"/>
    <n v="17.939393939393938"/>
    <x v="5"/>
  </r>
  <r>
    <x v="8"/>
    <x v="0"/>
    <n v="28"/>
    <n v="4099"/>
    <d v="2017-06-07T07:20:00"/>
    <d v="2017-06-07T08:30:00"/>
    <n v="320"/>
    <n v="330"/>
    <n v="296"/>
    <s v="Other high pressure turbine problems"/>
    <s v="F660HP Turbine Restriction (Under Investigation)"/>
    <s v="Mill Creek"/>
    <x v="0"/>
    <s v="Coal"/>
    <x v="1"/>
    <x v="4"/>
    <n v="6"/>
    <n v="1.1666666666278616"/>
    <n v="3.5353535352359439E-2"/>
    <n v="10.464646464298394"/>
    <n v="8.9696969696969688"/>
    <x v="94"/>
  </r>
  <r>
    <x v="8"/>
    <x v="0"/>
    <n v="29"/>
    <n v="4099"/>
    <d v="2017-06-07T08:30:00"/>
    <d v="2017-06-13T23:04:00"/>
    <n v="310"/>
    <n v="330"/>
    <n v="296"/>
    <s v="Other high pressure turbine problems"/>
    <s v="F660HP Turbine Restriction "/>
    <s v="Mill Creek"/>
    <x v="0"/>
    <s v="Coal"/>
    <x v="1"/>
    <x v="4"/>
    <n v="6"/>
    <n v="158.56666666665114"/>
    <n v="9.6101010101000686"/>
    <n v="2844.5898989896205"/>
    <n v="17.939393939393938"/>
    <x v="5"/>
  </r>
  <r>
    <x v="8"/>
    <x v="2"/>
    <n v="30"/>
    <n v="310"/>
    <d v="2017-06-13T23:04:00"/>
    <d v="2017-06-14T02:05:00"/>
    <n v="240"/>
    <n v="330"/>
    <n v="296"/>
    <s v="Pulverizer mills"/>
    <s v="F5902A Mill Maintenance"/>
    <s v="Mill Creek"/>
    <x v="0"/>
    <s v="Coal"/>
    <x v="1"/>
    <x v="4"/>
    <n v="6"/>
    <n v="3.0166666667209938"/>
    <n v="0.82272727274208923"/>
    <n v="243.5272727316584"/>
    <n v="80.727272727272734"/>
    <x v="240"/>
  </r>
  <r>
    <x v="8"/>
    <x v="0"/>
    <n v="31"/>
    <n v="4099"/>
    <d v="2017-06-14T02:05:00"/>
    <d v="2017-06-18T09:24:00"/>
    <n v="310"/>
    <n v="330"/>
    <n v="296"/>
    <s v="Other high pressure turbine problems"/>
    <s v="F660HP Turbine Restriction "/>
    <s v="Mill Creek"/>
    <x v="0"/>
    <s v="Coal"/>
    <x v="1"/>
    <x v="4"/>
    <n v="6"/>
    <n v="103.31666666676756"/>
    <n v="6.2616161616222765"/>
    <n v="1853.4383838401939"/>
    <n v="17.939393939393938"/>
    <x v="5"/>
  </r>
  <r>
    <x v="8"/>
    <x v="0"/>
    <n v="32"/>
    <n v="250"/>
    <d v="2017-06-18T09:24:00"/>
    <d v="2017-06-18T12:01:00"/>
    <n v="235"/>
    <n v="330"/>
    <n v="296"/>
    <s v="Pulverizer feeders"/>
    <s v="F1202B Mill Feeder Maintenance"/>
    <s v="Mill Creek"/>
    <x v="0"/>
    <s v="Coal"/>
    <x v="1"/>
    <x v="4"/>
    <n v="6"/>
    <n v="2.6166666666395031"/>
    <n v="0.75328282827500848"/>
    <n v="222.9717171694025"/>
    <n v="85.212121212121218"/>
    <x v="196"/>
  </r>
  <r>
    <x v="8"/>
    <x v="0"/>
    <n v="33"/>
    <n v="4099"/>
    <d v="2017-06-18T12:01:00"/>
    <d v="2017-06-21T11:47:00"/>
    <n v="310"/>
    <n v="330"/>
    <n v="296"/>
    <s v="Other high pressure turbine problems"/>
    <s v="F660HP Turbine Restriction "/>
    <s v="Mill Creek"/>
    <x v="0"/>
    <s v="Coal"/>
    <x v="1"/>
    <x v="4"/>
    <n v="6"/>
    <n v="71.766666666604578"/>
    <n v="4.349494949491187"/>
    <n v="1287.4505050493913"/>
    <n v="17.939393939393938"/>
    <x v="5"/>
  </r>
  <r>
    <x v="8"/>
    <x v="0"/>
    <n v="34"/>
    <n v="4099"/>
    <d v="2017-06-21T11:47:00"/>
    <d v="2017-06-22T14:10:00"/>
    <n v="315"/>
    <n v="330"/>
    <n v="296"/>
    <s v="Other high pressure turbine problems"/>
    <s v="F660HP Turbine Restriction "/>
    <s v="Mill Creek"/>
    <x v="0"/>
    <s v="Coal"/>
    <x v="1"/>
    <x v="4"/>
    <n v="6"/>
    <n v="26.383333333418705"/>
    <n v="1.1992424242463047"/>
    <n v="354.97575757690618"/>
    <n v="13.454545454545455"/>
    <x v="20"/>
  </r>
  <r>
    <x v="8"/>
    <x v="0"/>
    <n v="35"/>
    <n v="4099"/>
    <d v="2017-06-22T14:10:00"/>
    <d v="2017-06-22T23:00:00"/>
    <n v="319"/>
    <n v="330"/>
    <n v="296"/>
    <s v="Other high pressure turbine problems"/>
    <s v="F660HP Turbine Restriction "/>
    <s v="Mill Creek"/>
    <x v="0"/>
    <s v="Coal"/>
    <x v="1"/>
    <x v="4"/>
    <n v="6"/>
    <n v="8.8333333333139308"/>
    <n v="0.29444444444379769"/>
    <n v="87.155555555364117"/>
    <n v="9.8666666666666671"/>
    <x v="182"/>
  </r>
  <r>
    <x v="8"/>
    <x v="2"/>
    <n v="36"/>
    <n v="310"/>
    <d v="2017-06-22T23:00:00"/>
    <d v="2017-06-23T04:05:00"/>
    <n v="240"/>
    <n v="330"/>
    <n v="296"/>
    <s v="Pulverizer mills"/>
    <s v="F5902A Mill Maintenance"/>
    <s v="Mill Creek"/>
    <x v="0"/>
    <s v="Coal"/>
    <x v="1"/>
    <x v="4"/>
    <n v="6"/>
    <n v="5.0833333333139308"/>
    <n v="1.3863636363583447"/>
    <n v="410.36363636207005"/>
    <n v="80.727272727272734"/>
    <x v="240"/>
  </r>
  <r>
    <x v="8"/>
    <x v="0"/>
    <n v="37"/>
    <n v="4099"/>
    <d v="2017-06-23T04:05:00"/>
    <d v="2017-06-25T23:00:00"/>
    <n v="319"/>
    <n v="330"/>
    <n v="296"/>
    <s v="Other high pressure turbine problems"/>
    <s v="F660HP Turbine Restriction "/>
    <s v="Mill Creek"/>
    <x v="0"/>
    <s v="Coal"/>
    <x v="1"/>
    <x v="4"/>
    <n v="6"/>
    <n v="66.916666666686069"/>
    <n v="2.2305555555562022"/>
    <n v="660.24444444463586"/>
    <n v="9.8666666666666671"/>
    <x v="182"/>
  </r>
  <r>
    <x v="8"/>
    <x v="2"/>
    <n v="38"/>
    <n v="310"/>
    <d v="2017-06-25T23:00:00"/>
    <d v="2017-06-26T04:12:00"/>
    <n v="240"/>
    <n v="330"/>
    <n v="296"/>
    <s v="Pulverizer mills"/>
    <s v="F5902B Mill Maintenance"/>
    <s v="Mill Creek"/>
    <x v="0"/>
    <s v="Coal"/>
    <x v="1"/>
    <x v="4"/>
    <n v="6"/>
    <n v="5.2000000000116415"/>
    <n v="1.4181818181849932"/>
    <n v="419.781818182758"/>
    <n v="80.727272727272734"/>
    <x v="240"/>
  </r>
  <r>
    <x v="8"/>
    <x v="0"/>
    <n v="39"/>
    <n v="4099"/>
    <d v="2017-06-26T04:12:00"/>
    <d v="2017-06-26T23:00:00"/>
    <n v="319"/>
    <n v="330"/>
    <n v="296"/>
    <s v="Other high pressure turbine problems"/>
    <s v="F660HP Turbine Restriction "/>
    <s v="Mill Creek"/>
    <x v="0"/>
    <s v="Coal"/>
    <x v="1"/>
    <x v="4"/>
    <n v="6"/>
    <n v="18.799999999988358"/>
    <n v="0.62666666666627857"/>
    <n v="185.49333333321846"/>
    <n v="9.8666666666666671"/>
    <x v="182"/>
  </r>
  <r>
    <x v="8"/>
    <x v="2"/>
    <n v="40"/>
    <n v="310"/>
    <d v="2017-06-26T23:00:00"/>
    <d v="2017-06-27T04:00:00"/>
    <n v="240"/>
    <n v="330"/>
    <n v="296"/>
    <s v="Pulverizer mills"/>
    <s v="F5902C Mill Maintenance"/>
    <s v="Mill Creek"/>
    <x v="0"/>
    <s v="Coal"/>
    <x v="1"/>
    <x v="4"/>
    <n v="6"/>
    <n v="4.9999999998835847"/>
    <n v="1.363636363604614"/>
    <n v="403.63636362696576"/>
    <n v="80.727272727272734"/>
    <x v="240"/>
  </r>
  <r>
    <x v="8"/>
    <x v="0"/>
    <n v="41"/>
    <n v="4099"/>
    <d v="2017-06-27T04:00:00"/>
    <d v="2017-06-27T23:00:00"/>
    <n v="319"/>
    <n v="330"/>
    <n v="296"/>
    <s v="Other high pressure turbine problems"/>
    <s v="F660HP Turbine Restriction "/>
    <s v="Mill Creek"/>
    <x v="0"/>
    <s v="Coal"/>
    <x v="1"/>
    <x v="4"/>
    <n v="6"/>
    <n v="19.000000000116415"/>
    <n v="0.63333333333721387"/>
    <n v="187.4666666678153"/>
    <n v="9.8666666666666671"/>
    <x v="182"/>
  </r>
  <r>
    <x v="8"/>
    <x v="2"/>
    <n v="42"/>
    <n v="310"/>
    <d v="2017-06-27T23:00:00"/>
    <d v="2017-06-28T04:02:00"/>
    <n v="240"/>
    <n v="330"/>
    <n v="296"/>
    <s v="Pulverizer mills"/>
    <s v="F5902D Mill Maintenance"/>
    <s v="Mill Creek"/>
    <x v="0"/>
    <s v="Coal"/>
    <x v="1"/>
    <x v="4"/>
    <n v="6"/>
    <n v="5.0333333333255723"/>
    <n v="1.372727272725156"/>
    <n v="406.32727272664619"/>
    <n v="80.727272727272734"/>
    <x v="240"/>
  </r>
  <r>
    <x v="8"/>
    <x v="0"/>
    <n v="43"/>
    <n v="4099"/>
    <d v="2017-06-28T04:02:00"/>
    <d v="2017-07-07T12:09:00"/>
    <n v="319"/>
    <n v="330"/>
    <n v="296"/>
    <s v="Other high pressure turbine problems"/>
    <s v="F660HP Turbine Restriction "/>
    <s v="Mill Creek"/>
    <x v="0"/>
    <s v="Coal"/>
    <x v="1"/>
    <x v="4"/>
    <n v="6"/>
    <n v="224.1166666665813"/>
    <n v="7.4705555555527097"/>
    <n v="2211.2844444436018"/>
    <n v="9.8666666666666671"/>
    <x v="182"/>
  </r>
  <r>
    <x v="8"/>
    <x v="0"/>
    <n v="44"/>
    <n v="250"/>
    <d v="2017-07-07T12:09:00"/>
    <d v="2017-07-07T15:48:00"/>
    <n v="250"/>
    <n v="330"/>
    <n v="296"/>
    <s v="Pulverizer feeders"/>
    <s v="F8102A Feeder Belt"/>
    <s v="Mill Creek"/>
    <x v="0"/>
    <s v="Coal"/>
    <x v="1"/>
    <x v="4"/>
    <n v="7"/>
    <n v="3.6500000000232831"/>
    <n v="0.88484848485412926"/>
    <n v="261.91515151682228"/>
    <n v="71.757575757575751"/>
    <x v="243"/>
  </r>
  <r>
    <x v="8"/>
    <x v="0"/>
    <n v="45"/>
    <n v="4099"/>
    <d v="2017-07-07T15:48:00"/>
    <d v="2017-07-13T22:23:00"/>
    <n v="319"/>
    <n v="330"/>
    <n v="296"/>
    <s v="Other high pressure turbine problems"/>
    <s v="F660HP Turbine Restriction "/>
    <s v="Mill Creek"/>
    <x v="0"/>
    <s v="Coal"/>
    <x v="1"/>
    <x v="4"/>
    <n v="7"/>
    <n v="150.58333333331393"/>
    <n v="5.0194444444437973"/>
    <n v="1485.755555555364"/>
    <n v="9.8666666666666671"/>
    <x v="182"/>
  </r>
  <r>
    <x v="8"/>
    <x v="0"/>
    <n v="46"/>
    <n v="270"/>
    <d v="2017-07-13T22:23:00"/>
    <d v="2017-07-14T04:10:00"/>
    <n v="245"/>
    <n v="330"/>
    <n v="296"/>
    <s v="Primary air duct and dampers"/>
    <s v="F5202D Mill Maintenance - Bad PV on Hot Air Gate"/>
    <s v="Mill Creek"/>
    <x v="0"/>
    <s v="Coal"/>
    <x v="1"/>
    <x v="4"/>
    <n v="7"/>
    <n v="5.7833333333255723"/>
    <n v="1.4896464646444656"/>
    <n v="440.93535353476182"/>
    <n v="76.242424242424249"/>
    <x v="220"/>
  </r>
  <r>
    <x v="8"/>
    <x v="0"/>
    <n v="47"/>
    <n v="4099"/>
    <d v="2017-07-14T04:10:00"/>
    <d v="2017-07-21T17:49:00"/>
    <n v="319"/>
    <n v="330"/>
    <n v="296"/>
    <s v="Other high pressure turbine problems"/>
    <s v="F660'HP Turbine Restriction "/>
    <s v="Mill Creek"/>
    <x v="0"/>
    <s v="Coal"/>
    <x v="1"/>
    <x v="4"/>
    <n v="7"/>
    <n v="181.64999999996508"/>
    <n v="6.0549999999988362"/>
    <n v="1792.2799999996555"/>
    <n v="9.8666666666666671"/>
    <x v="182"/>
  </r>
  <r>
    <x v="8"/>
    <x v="0"/>
    <n v="48"/>
    <n v="3620"/>
    <d v="2017-07-21T17:49:00"/>
    <d v="2017-07-21T19:15:00"/>
    <n v="245"/>
    <n v="330"/>
    <n v="296"/>
    <s v="Main transformer"/>
    <s v="F700'2A Main Transformer Cooling Fan &amp; Oil Pump - Replaced Breaker"/>
    <s v="Mill Creek"/>
    <x v="0"/>
    <s v="Coal"/>
    <x v="1"/>
    <x v="4"/>
    <n v="7"/>
    <n v="1.4333333334652707"/>
    <n v="0.36919191922590305"/>
    <n v="109.28080809086731"/>
    <n v="76.242424242424249"/>
    <x v="220"/>
  </r>
  <r>
    <x v="8"/>
    <x v="0"/>
    <n v="49"/>
    <n v="4099"/>
    <d v="2017-07-21T19:15:00"/>
    <d v="2017-07-24T07:52:00"/>
    <n v="319"/>
    <n v="330"/>
    <n v="296"/>
    <s v="Other high pressure turbine problems"/>
    <s v="F660HP Turbine Restriction "/>
    <s v="Mill Creek"/>
    <x v="0"/>
    <s v="Coal"/>
    <x v="1"/>
    <x v="4"/>
    <n v="7"/>
    <n v="60.616666666581295"/>
    <n v="2.0205555555527099"/>
    <n v="598.08444444360214"/>
    <n v="9.8666666666666671"/>
    <x v="182"/>
  </r>
  <r>
    <x v="8"/>
    <x v="5"/>
    <n v="50"/>
    <n v="9930"/>
    <d v="2017-07-24T07:52:00"/>
    <d v="2017-07-24T09:07:00"/>
    <n v="0"/>
    <n v="330"/>
    <n v="296"/>
    <s v="Operating procedure error"/>
    <s v="F820Tripped - Steam/Feedwater Flow "/>
    <s v="Mill Creek"/>
    <x v="3"/>
    <s v="Coal"/>
    <x v="1"/>
    <x v="4"/>
    <n v="7"/>
    <n v="1.2500000000582077"/>
    <n v="1.2500000000582077"/>
    <n v="370.00000001722947"/>
    <n v="296"/>
    <x v="202"/>
  </r>
  <r>
    <x v="8"/>
    <x v="0"/>
    <n v="51"/>
    <n v="4099"/>
    <d v="2017-07-24T09:07:00"/>
    <d v="2017-07-24T13:17:00"/>
    <n v="319"/>
    <n v="330"/>
    <n v="296"/>
    <s v="Other high pressure turbine problems"/>
    <s v="F660HP Turbine Restriction "/>
    <s v="Mill Creek"/>
    <x v="0"/>
    <s v="Coal"/>
    <x v="1"/>
    <x v="4"/>
    <n v="7"/>
    <n v="4.1666666666278616"/>
    <n v="0.13888888888759537"/>
    <n v="41.111111110728231"/>
    <n v="9.8666666666666671"/>
    <x v="182"/>
  </r>
  <r>
    <x v="8"/>
    <x v="0"/>
    <n v="52"/>
    <n v="4099"/>
    <d v="2017-07-24T13:17:00"/>
    <d v="2017-07-24T20:59:00"/>
    <n v="308"/>
    <n v="330"/>
    <n v="296"/>
    <s v="Other high pressure turbine problems"/>
    <s v="F660'HP Turbine Restriction "/>
    <s v="Mill Creek"/>
    <x v="0"/>
    <s v="Coal"/>
    <x v="1"/>
    <x v="4"/>
    <n v="7"/>
    <n v="7.6999999999534339"/>
    <n v="0.5133333333302289"/>
    <n v="151.94666666574776"/>
    <n v="19.733333333333334"/>
    <x v="21"/>
  </r>
  <r>
    <x v="8"/>
    <x v="0"/>
    <n v="53"/>
    <n v="4099"/>
    <d v="2017-07-24T20:59:00"/>
    <d v="2017-07-24T22:00:00"/>
    <n v="319"/>
    <n v="330"/>
    <n v="296"/>
    <s v="Other high pressure turbine problems"/>
    <s v="F660HP Turbine Restriction "/>
    <s v="Mill Creek"/>
    <x v="0"/>
    <s v="Coal"/>
    <x v="1"/>
    <x v="4"/>
    <n v="7"/>
    <n v="1.0166666666627862"/>
    <n v="3.3888888888759537E-2"/>
    <n v="10.031111111072823"/>
    <n v="9.8666666666666671"/>
    <x v="182"/>
  </r>
  <r>
    <x v="8"/>
    <x v="2"/>
    <n v="54"/>
    <n v="310"/>
    <d v="2017-07-24T22:00:00"/>
    <d v="2017-07-25T03:55:00"/>
    <n v="240"/>
    <n v="330"/>
    <n v="296"/>
    <s v="Pulverizer mills"/>
    <s v="F5902A Mill Maintenance"/>
    <s v="Mill Creek"/>
    <x v="0"/>
    <s v="Coal"/>
    <x v="1"/>
    <x v="4"/>
    <n v="7"/>
    <n v="5.9166666667442769"/>
    <n v="1.6136363636575302"/>
    <n v="477.63636364262891"/>
    <n v="80.727272727272734"/>
    <x v="240"/>
  </r>
  <r>
    <x v="8"/>
    <x v="0"/>
    <n v="55"/>
    <n v="4099"/>
    <d v="2017-07-25T03:55:00"/>
    <d v="2017-07-25T23:00:00"/>
    <n v="319"/>
    <n v="330"/>
    <n v="296"/>
    <s v="Other high pressure turbine problems"/>
    <s v="F660HP Turbine Restriction "/>
    <s v="Mill Creek"/>
    <x v="0"/>
    <s v="Coal"/>
    <x v="1"/>
    <x v="4"/>
    <n v="7"/>
    <n v="19.083333333372138"/>
    <n v="0.63611111111240459"/>
    <n v="188.28888888927176"/>
    <n v="9.8666666666666671"/>
    <x v="182"/>
  </r>
  <r>
    <x v="8"/>
    <x v="2"/>
    <n v="56"/>
    <n v="310"/>
    <d v="2017-07-25T23:00:00"/>
    <d v="2017-07-26T04:16:00"/>
    <n v="250"/>
    <n v="330"/>
    <n v="296"/>
    <s v="Pulverizer mills"/>
    <s v="F5902B Mill Maintenance"/>
    <s v="Mill Creek"/>
    <x v="0"/>
    <s v="Coal"/>
    <x v="1"/>
    <x v="4"/>
    <n v="7"/>
    <n v="5.2666666665463708"/>
    <n v="1.2767676767385141"/>
    <n v="377.92323231460017"/>
    <n v="71.757575757575751"/>
    <x v="243"/>
  </r>
  <r>
    <x v="8"/>
    <x v="0"/>
    <n v="57"/>
    <n v="4099"/>
    <d v="2017-07-26T04:16:00"/>
    <d v="2017-07-28T22:00:00"/>
    <n v="319"/>
    <n v="330"/>
    <n v="296"/>
    <s v="Other high pressure turbine problems"/>
    <s v="F660HP Turbine Restriction "/>
    <s v="Mill Creek"/>
    <x v="0"/>
    <s v="Coal"/>
    <x v="1"/>
    <x v="4"/>
    <n v="7"/>
    <n v="65.733333333337214"/>
    <n v="2.1911111111112405"/>
    <n v="648.56888888892718"/>
    <n v="9.8666666666666671"/>
    <x v="182"/>
  </r>
  <r>
    <x v="8"/>
    <x v="2"/>
    <n v="58"/>
    <n v="8620"/>
    <d v="2017-07-28T22:00:00"/>
    <d v="2017-07-29T00:35:00"/>
    <n v="125"/>
    <n v="330"/>
    <n v="296"/>
    <s v="Mercury Abatement Equipment"/>
    <s v="F610FGD Controls - Nalco System Installation"/>
    <s v="Mill Creek"/>
    <x v="0"/>
    <s v="Coal"/>
    <x v="1"/>
    <x v="4"/>
    <n v="7"/>
    <n v="2.5833333333721384"/>
    <n v="1.6047979798220859"/>
    <n v="475.02020202733746"/>
    <n v="183.87878787878788"/>
    <x v="186"/>
  </r>
  <r>
    <x v="8"/>
    <x v="0"/>
    <n v="59"/>
    <n v="4099"/>
    <d v="2017-07-29T00:35:00"/>
    <d v="2017-07-30T22:00:00"/>
    <n v="319"/>
    <n v="330"/>
    <n v="296"/>
    <s v="Other high pressure turbine problems"/>
    <s v="F660HP Turbine Restriction "/>
    <s v="Mill Creek"/>
    <x v="0"/>
    <s v="Coal"/>
    <x v="1"/>
    <x v="4"/>
    <n v="7"/>
    <n v="45.416666666627862"/>
    <n v="1.5138888888875954"/>
    <n v="448.11111111072825"/>
    <n v="9.8666666666666671"/>
    <x v="182"/>
  </r>
  <r>
    <x v="8"/>
    <x v="2"/>
    <n v="60"/>
    <n v="310"/>
    <d v="2017-07-30T22:00:00"/>
    <d v="2017-07-31T03:57:00"/>
    <n v="250"/>
    <n v="330"/>
    <n v="296"/>
    <s v="Pulverizer mills"/>
    <s v="F5902C Mill Maintenance"/>
    <s v="Mill Creek"/>
    <x v="0"/>
    <s v="Coal"/>
    <x v="1"/>
    <x v="4"/>
    <n v="7"/>
    <n v="5.9500000000116415"/>
    <n v="1.4424242424270646"/>
    <n v="426.95757575841111"/>
    <n v="71.757575757575751"/>
    <x v="243"/>
  </r>
  <r>
    <x v="8"/>
    <x v="0"/>
    <n v="61"/>
    <n v="4099"/>
    <d v="2017-07-31T03:57:00"/>
    <d v="2017-07-31T22:00:00"/>
    <n v="319"/>
    <n v="330"/>
    <n v="296"/>
    <s v="Other high pressure turbine problems"/>
    <s v="F660HP Turbine Restriction "/>
    <s v="Mill Creek"/>
    <x v="0"/>
    <s v="Coal"/>
    <x v="1"/>
    <x v="4"/>
    <n v="7"/>
    <n v="18.049999999988358"/>
    <n v="0.60166666666627866"/>
    <n v="178.09333333321848"/>
    <n v="9.8666666666666671"/>
    <x v="182"/>
  </r>
  <r>
    <x v="8"/>
    <x v="2"/>
    <n v="62"/>
    <n v="310"/>
    <d v="2017-07-31T22:00:00"/>
    <d v="2017-08-01T03:47:00"/>
    <n v="250"/>
    <n v="330"/>
    <n v="296"/>
    <s v="Pulverizer mills"/>
    <s v="F5902C Mill Maintenance"/>
    <s v="Mill Creek"/>
    <x v="0"/>
    <s v="Coal"/>
    <x v="1"/>
    <x v="4"/>
    <n v="7"/>
    <n v="5.7833333333255723"/>
    <n v="1.4020202020183206"/>
    <n v="414.99797979742289"/>
    <n v="71.757575757575751"/>
    <x v="243"/>
  </r>
  <r>
    <x v="8"/>
    <x v="0"/>
    <n v="63"/>
    <n v="4099"/>
    <d v="2017-08-01T03:47:00"/>
    <d v="2017-08-08T08:27:00"/>
    <n v="319"/>
    <n v="330"/>
    <n v="296"/>
    <s v="Other high pressure turbine problems"/>
    <s v="F660HP Turbine Restriction "/>
    <s v="Mill Creek"/>
    <x v="0"/>
    <s v="Coal"/>
    <x v="1"/>
    <x v="4"/>
    <n v="8"/>
    <n v="172.66666666668607"/>
    <n v="5.7555555555562021"/>
    <n v="1703.6444444446358"/>
    <n v="9.8666666666666671"/>
    <x v="182"/>
  </r>
  <r>
    <x v="8"/>
    <x v="0"/>
    <n v="64"/>
    <n v="255"/>
    <d v="2017-08-08T08:27:00"/>
    <d v="2017-08-08T10:42:00"/>
    <n v="250"/>
    <n v="330"/>
    <n v="296"/>
    <s v="Pulverizer feeder coal scales"/>
    <s v="F5202C Mill Feeder - No Coal Flow Indication Caused By Debris"/>
    <s v="Mill Creek"/>
    <x v="0"/>
    <s v="Coal"/>
    <x v="1"/>
    <x v="4"/>
    <n v="8"/>
    <n v="2.25"/>
    <n v="0.54545454545454541"/>
    <n v="161.45454545454544"/>
    <n v="71.757575757575751"/>
    <x v="243"/>
  </r>
  <r>
    <x v="8"/>
    <x v="0"/>
    <n v="65"/>
    <n v="4099"/>
    <d v="2017-08-08T10:42:00"/>
    <d v="2017-08-19T00:27:00"/>
    <n v="319"/>
    <n v="330"/>
    <n v="296"/>
    <s v="Other high pressure turbine problems"/>
    <s v="F660HP Turbine Restriction "/>
    <s v="Mill Creek"/>
    <x v="0"/>
    <s v="Coal"/>
    <x v="1"/>
    <x v="4"/>
    <n v="8"/>
    <n v="253.75000000011642"/>
    <n v="8.4583333333372135"/>
    <n v="2503.6666666678152"/>
    <n v="9.8666666666666671"/>
    <x v="182"/>
  </r>
  <r>
    <x v="8"/>
    <x v="0"/>
    <n v="66"/>
    <n v="4099"/>
    <d v="2017-08-19T00:27:00"/>
    <d v="2017-08-19T02:24:00"/>
    <n v="319"/>
    <n v="330"/>
    <n v="296"/>
    <s v="Other high pressure turbine problems"/>
    <s v="F660HP Turbine Restriction (Also Low Load VAR Testing)"/>
    <s v="Mill Creek"/>
    <x v="0"/>
    <s v="Coal"/>
    <x v="1"/>
    <x v="4"/>
    <n v="8"/>
    <n v="1.9499999998952262"/>
    <n v="6.4999999996507546E-2"/>
    <n v="19.239999998966233"/>
    <n v="9.8666666666666671"/>
    <x v="182"/>
  </r>
  <r>
    <x v="8"/>
    <x v="0"/>
    <n v="67"/>
    <n v="4099"/>
    <d v="2017-08-19T02:24:00"/>
    <d v="2017-08-22T22:00:00"/>
    <n v="319"/>
    <n v="330"/>
    <n v="296"/>
    <s v="Other high pressure turbine problems"/>
    <s v="F660HP Turbine Restriction "/>
    <s v="Mill Creek"/>
    <x v="0"/>
    <s v="Coal"/>
    <x v="1"/>
    <x v="4"/>
    <n v="8"/>
    <n v="91.599999999976717"/>
    <n v="3.0533333333325574"/>
    <n v="903.78666666643699"/>
    <n v="9.8666666666666671"/>
    <x v="182"/>
  </r>
  <r>
    <x v="8"/>
    <x v="2"/>
    <n v="68"/>
    <n v="310"/>
    <d v="2017-08-22T22:00:00"/>
    <d v="2017-08-23T00:39:00"/>
    <n v="240"/>
    <n v="330"/>
    <n v="296"/>
    <s v="Pulverizer mills"/>
    <s v="F5902C Mill Maintenance"/>
    <s v="Mill Creek"/>
    <x v="0"/>
    <s v="Coal"/>
    <x v="1"/>
    <x v="4"/>
    <n v="8"/>
    <n v="2.6500000000814907"/>
    <n v="0.72272727274949744"/>
    <n v="213.92727273385125"/>
    <n v="80.727272727272734"/>
    <x v="240"/>
  </r>
  <r>
    <x v="8"/>
    <x v="0"/>
    <n v="69"/>
    <n v="4099"/>
    <d v="2017-08-23T00:39:00"/>
    <d v="2017-08-24T22:00:00"/>
    <n v="319"/>
    <n v="330"/>
    <n v="296"/>
    <s v="Other high pressure turbine problems"/>
    <s v="F660HP Turbine Restriction "/>
    <s v="Mill Creek"/>
    <x v="0"/>
    <s v="Coal"/>
    <x v="1"/>
    <x v="4"/>
    <n v="8"/>
    <n v="45.349999999918509"/>
    <n v="1.5116666666639502"/>
    <n v="447.45333333252927"/>
    <n v="9.8666666666666671"/>
    <x v="182"/>
  </r>
  <r>
    <x v="8"/>
    <x v="2"/>
    <n v="70"/>
    <n v="310"/>
    <d v="2017-08-24T22:00:00"/>
    <d v="2017-08-25T01:51:00"/>
    <n v="240"/>
    <n v="330"/>
    <n v="296"/>
    <s v="Pulverizer mills"/>
    <s v="F5902C Mill Maintenance"/>
    <s v="Mill Creek"/>
    <x v="0"/>
    <s v="Coal"/>
    <x v="1"/>
    <x v="4"/>
    <n v="8"/>
    <n v="3.8499999999767169"/>
    <n v="1.04999999999365"/>
    <n v="310.79999999812043"/>
    <n v="80.727272727272734"/>
    <x v="240"/>
  </r>
  <r>
    <x v="8"/>
    <x v="0"/>
    <n v="71"/>
    <n v="4099"/>
    <d v="2017-08-25T01:51:00"/>
    <d v="2017-08-29T04:02:00"/>
    <n v="319"/>
    <n v="330"/>
    <n v="296"/>
    <s v="Other high pressure turbine problems"/>
    <s v="F660HP Turbine Restriction (OPEN)"/>
    <s v="Mill Creek"/>
    <x v="0"/>
    <s v="Coal"/>
    <x v="1"/>
    <x v="4"/>
    <n v="8"/>
    <n v="98.183333333465271"/>
    <n v="3.2727777777821756"/>
    <n v="968.74222222352398"/>
    <n v="9.8666666666666671"/>
    <x v="182"/>
  </r>
  <r>
    <x v="8"/>
    <x v="5"/>
    <n v="72"/>
    <n v="250"/>
    <d v="2017-08-29T04:02:00"/>
    <d v="2017-08-29T04:59:00"/>
    <n v="0"/>
    <n v="330"/>
    <n v="296"/>
    <s v="Pulverizer feeders"/>
    <s v="F820Loss of Flame - Debris in Coal Feeder"/>
    <s v="Mill Creek"/>
    <x v="3"/>
    <s v="Coal"/>
    <x v="1"/>
    <x v="4"/>
    <n v="8"/>
    <n v="0.94999999995343387"/>
    <n v="0.94999999995343387"/>
    <n v="281.19999998621643"/>
    <n v="296"/>
    <x v="202"/>
  </r>
  <r>
    <x v="8"/>
    <x v="0"/>
    <n v="73"/>
    <n v="250"/>
    <d v="2017-08-29T05:53:00"/>
    <d v="2017-08-29T13:03:00"/>
    <n v="175"/>
    <n v="330"/>
    <n v="296"/>
    <s v="Pulverizer feeders"/>
    <s v="F1202B Mill Plugged W/Debris &amp; C Mill Unavailable"/>
    <s v="Mill Creek"/>
    <x v="0"/>
    <s v="Coal"/>
    <x v="1"/>
    <x v="4"/>
    <n v="8"/>
    <n v="7.1666666666278616"/>
    <n v="3.3661616161433896"/>
    <n v="996.38383837844333"/>
    <n v="139.03030303030303"/>
    <x v="172"/>
  </r>
  <r>
    <x v="8"/>
    <x v="0"/>
    <n v="74"/>
    <n v="4099"/>
    <d v="2017-08-29T13:03:00"/>
    <d v="2017-08-30T22:51:00"/>
    <n v="319"/>
    <n v="330"/>
    <n v="296"/>
    <s v="Other high pressure turbine problems"/>
    <s v="F660HP Turbine Restriction "/>
    <s v="Mill Creek"/>
    <x v="0"/>
    <s v="Coal"/>
    <x v="1"/>
    <x v="4"/>
    <n v="8"/>
    <n v="33.799999999988358"/>
    <n v="1.1266666666662786"/>
    <n v="333.49333333321846"/>
    <n v="9.8666666666666671"/>
    <x v="182"/>
  </r>
  <r>
    <x v="8"/>
    <x v="2"/>
    <n v="75"/>
    <n v="310"/>
    <d v="2017-08-30T22:51:00"/>
    <d v="2017-08-31T04:24:00"/>
    <n v="240"/>
    <n v="330"/>
    <n v="296"/>
    <s v="Pulverizer mills"/>
    <s v="F5902B Mill Maintenance"/>
    <s v="Mill Creek"/>
    <x v="0"/>
    <s v="Coal"/>
    <x v="1"/>
    <x v="4"/>
    <n v="8"/>
    <n v="5.5500000001047738"/>
    <n v="1.5136363636649384"/>
    <n v="448.03636364482173"/>
    <n v="80.727272727272734"/>
    <x v="240"/>
  </r>
  <r>
    <x v="8"/>
    <x v="0"/>
    <n v="76"/>
    <n v="4099"/>
    <d v="2017-08-31T04:24:00"/>
    <d v="2017-09-05T21:27:00"/>
    <n v="319"/>
    <n v="330"/>
    <n v="296"/>
    <s v="Other high pressure turbine problems"/>
    <s v="F660HP Turbine Restriction "/>
    <s v="Mill Creek"/>
    <x v="0"/>
    <s v="Coal"/>
    <x v="1"/>
    <x v="4"/>
    <n v="8"/>
    <n v="137.05000000004657"/>
    <n v="4.5683333333348859"/>
    <n v="1352.2266666671262"/>
    <n v="9.8666666666666671"/>
    <x v="182"/>
  </r>
  <r>
    <x v="8"/>
    <x v="0"/>
    <n v="78"/>
    <n v="4099"/>
    <d v="2017-09-05T21:27:00"/>
    <d v="2017-09-15T00:38:00"/>
    <n v="319"/>
    <n v="330"/>
    <n v="296"/>
    <s v="Other high pressure turbine problems"/>
    <s v="F660Reserve Shutdown (With 11MW Derate Due To HP Turbine) - D1 Hours"/>
    <s v="Mill Creek"/>
    <x v="0"/>
    <s v="Coal"/>
    <x v="1"/>
    <x v="4"/>
    <n v="9"/>
    <n v="219.18333333323244"/>
    <n v="7.3061111111077484"/>
    <n v="2162.6088888878935"/>
    <n v="9.8666666666666671"/>
    <x v="182"/>
  </r>
  <r>
    <x v="8"/>
    <x v="0"/>
    <n v="79"/>
    <n v="4099"/>
    <d v="2017-09-15T00:38:00"/>
    <d v="2017-09-15T15:23:00"/>
    <n v="317"/>
    <n v="330"/>
    <n v="296"/>
    <s v="Other high pressure turbine problems"/>
    <s v="F660HP Turbine Restriction "/>
    <s v="Mill Creek"/>
    <x v="0"/>
    <s v="Coal"/>
    <x v="1"/>
    <x v="4"/>
    <n v="9"/>
    <n v="14.750000000058208"/>
    <n v="0.58106060606289911"/>
    <n v="171.99393939461814"/>
    <n v="11.66060606060606"/>
    <x v="24"/>
  </r>
  <r>
    <x v="8"/>
    <x v="0"/>
    <n v="80"/>
    <n v="4099"/>
    <d v="2017-09-15T15:23:00"/>
    <d v="2017-09-24T12:08:00"/>
    <n v="320"/>
    <n v="330"/>
    <n v="296"/>
    <s v="Other high pressure turbine problems"/>
    <s v="F660HP Turbine Restriction "/>
    <s v="Mill Creek"/>
    <x v="0"/>
    <s v="Coal"/>
    <x v="1"/>
    <x v="4"/>
    <n v="9"/>
    <n v="212.75000000005821"/>
    <n v="6.4469696969714612"/>
    <n v="1908.3030303035525"/>
    <n v="8.9696969696969688"/>
    <x v="94"/>
  </r>
  <r>
    <x v="8"/>
    <x v="0"/>
    <n v="81"/>
    <n v="270"/>
    <d v="2017-09-24T12:08:00"/>
    <d v="2017-09-24T12:55:00"/>
    <n v="250"/>
    <n v="330"/>
    <n v="296"/>
    <s v="Primary air duct and dampers"/>
    <s v="F3402A Mill Hot Air Gate Damper"/>
    <s v="Mill Creek"/>
    <x v="0"/>
    <s v="Coal"/>
    <x v="1"/>
    <x v="4"/>
    <n v="9"/>
    <n v="0.78333333326736465"/>
    <n v="0.1898989898829975"/>
    <n v="56.210101005367257"/>
    <n v="71.757575757575751"/>
    <x v="243"/>
  </r>
  <r>
    <x v="8"/>
    <x v="0"/>
    <n v="82"/>
    <n v="4099"/>
    <d v="2017-09-24T12:55:00"/>
    <d v="2017-10-09T16:32:00"/>
    <n v="320"/>
    <n v="330"/>
    <n v="296"/>
    <s v="Other high pressure turbine problems"/>
    <s v="F660HP Turbine Restriction "/>
    <s v="Mill Creek"/>
    <x v="0"/>
    <s v="Coal"/>
    <x v="1"/>
    <x v="4"/>
    <n v="9"/>
    <n v="363.6166666665813"/>
    <n v="11.018686868684282"/>
    <n v="3261.5313131305475"/>
    <n v="8.9696969696969688"/>
    <x v="94"/>
  </r>
  <r>
    <x v="8"/>
    <x v="0"/>
    <n v="83"/>
    <n v="4099"/>
    <d v="2017-10-09T16:32:00"/>
    <d v="2017-10-10T13:48:00"/>
    <n v="310"/>
    <n v="330"/>
    <n v="296"/>
    <s v="Other high pressure turbine problems"/>
    <s v="F660HP Turbine Restriction"/>
    <s v="Mill Creek"/>
    <x v="0"/>
    <s v="Coal"/>
    <x v="1"/>
    <x v="4"/>
    <n v="10"/>
    <n v="21.266666666662786"/>
    <n v="1.2888888888886536"/>
    <n v="381.51111111104149"/>
    <n v="17.939393939393938"/>
    <x v="5"/>
  </r>
  <r>
    <x v="8"/>
    <x v="0"/>
    <n v="84"/>
    <n v="4099"/>
    <d v="2017-10-10T13:48:00"/>
    <d v="2017-10-14T23:43:00"/>
    <n v="320"/>
    <n v="330"/>
    <n v="296"/>
    <s v="Other high pressure turbine problems"/>
    <s v="F660HP Turbine Restriction "/>
    <s v="Mill Creek"/>
    <x v="0"/>
    <s v="Coal"/>
    <x v="1"/>
    <x v="4"/>
    <n v="10"/>
    <n v="105.91666666668607"/>
    <n v="3.2095959595965478"/>
    <n v="950.0404040405781"/>
    <n v="8.9696969696969688"/>
    <x v="94"/>
  </r>
  <r>
    <x v="8"/>
    <x v="0"/>
    <n v="85"/>
    <n v="250"/>
    <d v="2017-10-14T23:43:00"/>
    <d v="2017-10-14T23:58:00"/>
    <n v="250"/>
    <n v="330"/>
    <n v="296"/>
    <s v="Pulverizer feeders"/>
    <s v="F1202B Feeder - Coal Flow - Silo Pipe Plugged"/>
    <s v="Mill Creek"/>
    <x v="0"/>
    <s v="Coal"/>
    <x v="1"/>
    <x v="4"/>
    <n v="10"/>
    <n v="0.25000000011641532"/>
    <n v="6.0606060634282505E-2"/>
    <n v="17.939393947747622"/>
    <n v="71.757575757575751"/>
    <x v="243"/>
  </r>
  <r>
    <x v="8"/>
    <x v="0"/>
    <n v="86"/>
    <n v="4099"/>
    <d v="2017-10-14T23:58:00"/>
    <d v="2017-10-23T22:25:00"/>
    <n v="320"/>
    <n v="330"/>
    <n v="296"/>
    <s v="Other high pressure turbine problems"/>
    <s v="F660HP Turbine Restriction "/>
    <s v="Mill Creek"/>
    <x v="0"/>
    <s v="Coal"/>
    <x v="1"/>
    <x v="4"/>
    <n v="10"/>
    <n v="214.45000000001164"/>
    <n v="6.4984848484852016"/>
    <n v="1923.5515151516197"/>
    <n v="8.9696969696969688"/>
    <x v="94"/>
  </r>
  <r>
    <x v="8"/>
    <x v="2"/>
    <n v="87"/>
    <n v="310"/>
    <d v="2017-10-23T22:25:00"/>
    <d v="2017-10-24T03:46:00"/>
    <n v="240"/>
    <n v="330"/>
    <n v="296"/>
    <s v="Pulverizer mills"/>
    <s v="F5902D Coal Mill Maintenance"/>
    <s v="Mill Creek"/>
    <x v="0"/>
    <s v="Coal"/>
    <x v="1"/>
    <x v="4"/>
    <n v="10"/>
    <n v="5.3499999999767169"/>
    <n v="1.4590909090845592"/>
    <n v="431.89090908902949"/>
    <n v="80.727272727272734"/>
    <x v="240"/>
  </r>
  <r>
    <x v="8"/>
    <x v="0"/>
    <n v="88"/>
    <n v="4099"/>
    <d v="2017-10-24T03:46:00"/>
    <d v="2017-10-26T10:26:00"/>
    <n v="320"/>
    <n v="330"/>
    <n v="296"/>
    <s v="Other high pressure turbine problems"/>
    <s v="F660HP Turbine Restriction"/>
    <s v="Mill Creek"/>
    <x v="0"/>
    <s v="Coal"/>
    <x v="1"/>
    <x v="4"/>
    <n v="10"/>
    <n v="54.666666666569654"/>
    <n v="1.6565656565627167"/>
    <n v="490.34343434256414"/>
    <n v="8.9696969696969688"/>
    <x v="94"/>
  </r>
  <r>
    <x v="8"/>
    <x v="0"/>
    <n v="89"/>
    <n v="4099"/>
    <d v="2017-10-26T10:26:00"/>
    <d v="2017-10-26T14:52:00"/>
    <n v="323"/>
    <n v="330"/>
    <n v="296"/>
    <s v="Other high pressure turbine problems"/>
    <s v="F660HP Turbine Restriction"/>
    <s v="Mill Creek"/>
    <x v="0"/>
    <s v="Coal"/>
    <x v="1"/>
    <x v="4"/>
    <n v="10"/>
    <n v="4.4333333332906477"/>
    <n v="9.4040404039498593E-2"/>
    <n v="27.835959595691584"/>
    <n v="6.2787878787878784"/>
    <x v="151"/>
  </r>
  <r>
    <x v="8"/>
    <x v="0"/>
    <n v="90"/>
    <n v="310"/>
    <d v="2017-10-26T14:52:00"/>
    <d v="2017-10-26T17:05:00"/>
    <n v="250"/>
    <n v="330"/>
    <n v="296"/>
    <s v="Pulverizer mills"/>
    <s v="F7802C Coal Mill - High Temperature"/>
    <s v="Mill Creek"/>
    <x v="0"/>
    <s v="Coal"/>
    <x v="1"/>
    <x v="4"/>
    <n v="10"/>
    <n v="2.2166666667326353"/>
    <n v="0.53737373738972982"/>
    <n v="159.06262626736003"/>
    <n v="71.757575757575751"/>
    <x v="243"/>
  </r>
  <r>
    <x v="8"/>
    <x v="0"/>
    <n v="91"/>
    <n v="4099"/>
    <d v="2017-10-26T17:05:00"/>
    <d v="2017-10-26T17:40:00"/>
    <n v="320"/>
    <n v="330"/>
    <n v="296"/>
    <s v="Other high pressure turbine problems"/>
    <s v="F660HP Turbine Restriction "/>
    <s v="Mill Creek"/>
    <x v="0"/>
    <s v="Coal"/>
    <x v="1"/>
    <x v="4"/>
    <n v="10"/>
    <n v="0.58333333331393078"/>
    <n v="1.7676767676179719E-2"/>
    <n v="5.2323232321491968"/>
    <n v="8.9696969696969688"/>
    <x v="94"/>
  </r>
  <r>
    <x v="8"/>
    <x v="0"/>
    <n v="92"/>
    <n v="4099"/>
    <d v="2017-10-26T17:40:00"/>
    <d v="2017-11-01T00:00:00"/>
    <n v="324"/>
    <n v="330"/>
    <n v="296"/>
    <s v="Other high pressure turbine problems"/>
    <s v="F660HP Turbine Restriction (SPLITTING EVENT AT EOM, CARRIED TO EVENT 116)"/>
    <s v="Mill Creek"/>
    <x v="0"/>
    <s v="Coal"/>
    <x v="1"/>
    <x v="4"/>
    <n v="10"/>
    <n v="126.33333333337214"/>
    <n v="2.2969696969704025"/>
    <n v="679.90303030323912"/>
    <n v="5.3818181818181818"/>
    <x v="166"/>
  </r>
  <r>
    <x v="8"/>
    <x v="0"/>
    <n v="116"/>
    <n v="4099"/>
    <d v="2017-11-01T00:00:00"/>
    <d v="2017-11-14T22:00:00"/>
    <n v="324"/>
    <n v="330"/>
    <n v="296"/>
    <s v="Other high pressure turbine problems"/>
    <s v="F660HP Turbine Restriction (SPLITTING EVENT AT EOM, CARRIED FROM EVENT 92)"/>
    <s v="Mill Creek"/>
    <x v="0"/>
    <s v="Coal"/>
    <x v="1"/>
    <x v="4"/>
    <n v="11"/>
    <n v="333.99999999994179"/>
    <n v="6.0727272727262145"/>
    <n v="1797.5272727269594"/>
    <n v="5.3818181818181818"/>
    <x v="166"/>
  </r>
  <r>
    <x v="8"/>
    <x v="0"/>
    <n v="93"/>
    <n v="1190"/>
    <d v="2017-11-14T22:00:00"/>
    <d v="2017-11-15T03:50:00"/>
    <n v="240"/>
    <n v="330"/>
    <n v="296"/>
    <s v="Other tube slagging or fouling"/>
    <s v="FS00Deslag"/>
    <s v="Mill Creek"/>
    <x v="0"/>
    <s v="Coal"/>
    <x v="1"/>
    <x v="4"/>
    <n v="11"/>
    <n v="5.8333333333139308"/>
    <n v="1.5909090909037993"/>
    <n v="470.90909090752461"/>
    <n v="80.727272727272734"/>
    <x v="240"/>
  </r>
  <r>
    <x v="8"/>
    <x v="0"/>
    <n v="94"/>
    <n v="4099"/>
    <d v="2017-11-15T03:50:00"/>
    <d v="2017-11-15T21:30:00"/>
    <n v="324"/>
    <n v="330"/>
    <n v="296"/>
    <s v="Other high pressure turbine problems"/>
    <s v="F660HP Turbine Restriction"/>
    <s v="Mill Creek"/>
    <x v="0"/>
    <s v="Coal"/>
    <x v="1"/>
    <x v="4"/>
    <n v="11"/>
    <n v="17.666666666802485"/>
    <n v="0.32121212121459064"/>
    <n v="95.078787879518828"/>
    <n v="5.3818181818181818"/>
    <x v="166"/>
  </r>
  <r>
    <x v="8"/>
    <x v="0"/>
    <n v="95"/>
    <n v="1190"/>
    <d v="2017-11-15T21:30:00"/>
    <d v="2017-11-16T03:00:00"/>
    <n v="140"/>
    <n v="330"/>
    <n v="296"/>
    <s v="Other tube slagging or fouling"/>
    <s v="FS00Deslag"/>
    <s v="Mill Creek"/>
    <x v="0"/>
    <s v="Coal"/>
    <x v="1"/>
    <x v="4"/>
    <n v="11"/>
    <n v="5.4999999999417923"/>
    <n v="3.1666666666331533"/>
    <n v="937.3333333234134"/>
    <n v="170.42424242424244"/>
    <x v="245"/>
  </r>
  <r>
    <x v="8"/>
    <x v="0"/>
    <n v="96"/>
    <n v="4099"/>
    <d v="2017-11-16T03:00:00"/>
    <d v="2017-12-01T00:00:00"/>
    <n v="324"/>
    <n v="330"/>
    <n v="296"/>
    <s v="Other high pressure turbine problems"/>
    <s v="F660HP Turbine Restriction "/>
    <s v="Mill Creek"/>
    <x v="0"/>
    <s v="Coal"/>
    <x v="1"/>
    <x v="4"/>
    <n v="11"/>
    <n v="357"/>
    <n v="6.4909090909090912"/>
    <n v="1921.3090909090911"/>
    <n v="5.3818181818181818"/>
    <x v="166"/>
  </r>
  <r>
    <x v="8"/>
    <x v="0"/>
    <n v="97"/>
    <n v="4099"/>
    <d v="2017-12-01T00:00:00"/>
    <d v="2017-12-03T23:00:00"/>
    <n v="324"/>
    <n v="330"/>
    <n v="296"/>
    <s v="Other high pressure turbine problems"/>
    <s v="F660HP Turbine Restriction"/>
    <s v="Mill Creek"/>
    <x v="0"/>
    <s v="Coal"/>
    <x v="1"/>
    <x v="4"/>
    <n v="12"/>
    <n v="71.000000000058208"/>
    <n v="1.2909090909101493"/>
    <n v="382.10909090940419"/>
    <n v="5.3818181818181818"/>
    <x v="166"/>
  </r>
  <r>
    <x v="8"/>
    <x v="2"/>
    <n v="98"/>
    <n v="310"/>
    <d v="2017-12-03T23:00:00"/>
    <d v="2017-12-04T04:13:00"/>
    <n v="250"/>
    <n v="330"/>
    <n v="296"/>
    <s v="Pulverizer mills"/>
    <s v="F5902D Mill Maintenance"/>
    <s v="Mill Creek"/>
    <x v="0"/>
    <s v="Coal"/>
    <x v="1"/>
    <x v="4"/>
    <n v="12"/>
    <n v="5.2166666665580124"/>
    <n v="1.2646464646201243"/>
    <n v="374.33535352755678"/>
    <n v="71.757575757575751"/>
    <x v="243"/>
  </r>
  <r>
    <x v="8"/>
    <x v="0"/>
    <n v="99"/>
    <n v="4099"/>
    <d v="2017-12-04T04:13:00"/>
    <d v="2017-12-04T22:00:00"/>
    <n v="324"/>
    <n v="330"/>
    <n v="296"/>
    <s v="Other high pressure turbine problems"/>
    <s v="F660HP Turbine Restriction "/>
    <s v="Mill Creek"/>
    <x v="0"/>
    <s v="Coal"/>
    <x v="1"/>
    <x v="4"/>
    <n v="12"/>
    <n v="17.783333333325572"/>
    <n v="0.3233333333331922"/>
    <n v="95.706666666624884"/>
    <n v="5.3818181818181818"/>
    <x v="166"/>
  </r>
  <r>
    <x v="8"/>
    <x v="2"/>
    <n v="100"/>
    <n v="310"/>
    <d v="2017-12-04T22:00:00"/>
    <d v="2017-12-05T04:01:00"/>
    <n v="250"/>
    <n v="330"/>
    <n v="296"/>
    <s v="Pulverizer mills"/>
    <s v="F5902C Mill Maintenance"/>
    <s v="Mill Creek"/>
    <x v="0"/>
    <s v="Coal"/>
    <x v="1"/>
    <x v="4"/>
    <n v="12"/>
    <n v="6.0166666667209938"/>
    <n v="1.4585858585990288"/>
    <n v="431.74141414531255"/>
    <n v="71.757575757575751"/>
    <x v="243"/>
  </r>
  <r>
    <x v="8"/>
    <x v="0"/>
    <n v="102"/>
    <n v="4099"/>
    <d v="2017-12-05T06:15:00"/>
    <d v="2017-12-05T13:20:00"/>
    <n v="324"/>
    <n v="330"/>
    <n v="296"/>
    <s v="Other high pressure turbine problems"/>
    <s v="F660HP Turbine Restriction"/>
    <s v="Mill Creek"/>
    <x v="0"/>
    <s v="Coal"/>
    <x v="1"/>
    <x v="4"/>
    <n v="12"/>
    <n v="7.0833333333721384"/>
    <n v="0.12878787878858433"/>
    <n v="38.12121212142096"/>
    <n v="5.3818181818181818"/>
    <x v="166"/>
  </r>
  <r>
    <x v="8"/>
    <x v="3"/>
    <n v="103"/>
    <n v="4842"/>
    <d v="2017-12-05T13:20:00"/>
    <d v="2017-12-05T13:46:00"/>
    <n v="0"/>
    <n v="330"/>
    <n v="296"/>
    <s v="Reactive and capability testing"/>
    <s v="F790MOD 26 Testing - Out of AGC"/>
    <s v="Mill Creek"/>
    <x v="1"/>
    <s v="Coal"/>
    <x v="1"/>
    <x v="4"/>
    <n v="12"/>
    <n v="0.43333333334885538"/>
    <n v="0.43333333334885538"/>
    <n v="128.26666667126119"/>
    <n v="296"/>
    <x v="202"/>
  </r>
  <r>
    <x v="8"/>
    <x v="0"/>
    <n v="104"/>
    <n v="4099"/>
    <d v="2017-12-05T13:46:00"/>
    <d v="2017-12-05T23:00:00"/>
    <n v="324"/>
    <n v="330"/>
    <n v="296"/>
    <s v="Other high pressure turbine problems"/>
    <s v="F660HP Turbine Restriction"/>
    <s v="Mill Creek"/>
    <x v="0"/>
    <s v="Coal"/>
    <x v="1"/>
    <x v="4"/>
    <n v="12"/>
    <n v="9.2333333333954215"/>
    <n v="0.16787878787991675"/>
    <n v="49.692121212455362"/>
    <n v="5.3818181818181818"/>
    <x v="166"/>
  </r>
  <r>
    <x v="8"/>
    <x v="2"/>
    <n v="105"/>
    <n v="310"/>
    <d v="2017-12-05T23:00:00"/>
    <d v="2017-12-06T05:00:00"/>
    <n v="250"/>
    <n v="330"/>
    <n v="296"/>
    <s v="Pulverizer mills"/>
    <s v="F5902B Mill Maintenance"/>
    <s v="Mill Creek"/>
    <x v="0"/>
    <s v="Coal"/>
    <x v="1"/>
    <x v="4"/>
    <n v="12"/>
    <n v="6"/>
    <n v="1.4545454545454546"/>
    <n v="430.54545454545456"/>
    <n v="71.757575757575751"/>
    <x v="243"/>
  </r>
  <r>
    <x v="8"/>
    <x v="0"/>
    <n v="107"/>
    <n v="4099"/>
    <d v="2017-12-06T06:35:00"/>
    <d v="2017-12-06T22:41:00"/>
    <n v="324"/>
    <n v="330"/>
    <n v="296"/>
    <s v="Other high pressure turbine problems"/>
    <s v="F660HP Turbine Restriction"/>
    <s v="Mill Creek"/>
    <x v="0"/>
    <s v="Coal"/>
    <x v="1"/>
    <x v="4"/>
    <n v="12"/>
    <n v="16.100000000093132"/>
    <n v="0.29272727272896604"/>
    <n v="86.647272727773952"/>
    <n v="5.3818181818181818"/>
    <x v="166"/>
  </r>
  <r>
    <x v="8"/>
    <x v="2"/>
    <n v="108"/>
    <n v="310"/>
    <d v="2017-12-06T22:41:00"/>
    <d v="2017-12-07T03:53:00"/>
    <n v="250"/>
    <n v="330"/>
    <n v="296"/>
    <s v="Pulverizer mills"/>
    <s v="F5902B Mill Maintenance &amp; Feeder Calibration"/>
    <s v="Mill Creek"/>
    <x v="0"/>
    <s v="Coal"/>
    <x v="1"/>
    <x v="4"/>
    <n v="12"/>
    <n v="5.2000000000116415"/>
    <n v="1.2606060606088827"/>
    <n v="373.1393939402293"/>
    <n v="71.757575757575751"/>
    <x v="243"/>
  </r>
  <r>
    <x v="8"/>
    <x v="0"/>
    <n v="109"/>
    <n v="4099"/>
    <d v="2017-12-07T03:53:00"/>
    <d v="2017-12-07T22:00:00"/>
    <n v="324"/>
    <n v="330"/>
    <n v="296"/>
    <s v="Other high pressure turbine problems"/>
    <s v="F660HP Turbine Restriction"/>
    <s v="Mill Creek"/>
    <x v="0"/>
    <s v="Coal"/>
    <x v="1"/>
    <x v="4"/>
    <n v="12"/>
    <n v="18.116666666523088"/>
    <n v="0.32939393939132888"/>
    <n v="97.500606059833345"/>
    <n v="5.3818181818181818"/>
    <x v="166"/>
  </r>
  <r>
    <x v="8"/>
    <x v="2"/>
    <n v="110"/>
    <n v="310"/>
    <d v="2017-12-07T22:00:00"/>
    <d v="2017-12-08T03:05:00"/>
    <n v="250"/>
    <n v="330"/>
    <n v="296"/>
    <s v="Pulverizer mills"/>
    <s v="F5902A Mill Maintenance"/>
    <s v="Mill Creek"/>
    <x v="0"/>
    <s v="Coal"/>
    <x v="1"/>
    <x v="4"/>
    <n v="12"/>
    <n v="5.0833333333139308"/>
    <n v="1.2323232323185287"/>
    <n v="364.76767676628447"/>
    <n v="71.757575757575751"/>
    <x v="243"/>
  </r>
  <r>
    <x v="8"/>
    <x v="0"/>
    <n v="111"/>
    <n v="4099"/>
    <d v="2017-12-08T03:05:00"/>
    <d v="2017-12-08T09:34:00"/>
    <n v="324"/>
    <n v="330"/>
    <n v="296"/>
    <s v="Other high pressure turbine problems"/>
    <s v="F660HP Turbine Restriction"/>
    <s v="Mill Creek"/>
    <x v="0"/>
    <s v="Coal"/>
    <x v="1"/>
    <x v="4"/>
    <n v="12"/>
    <n v="6.4833333333372138"/>
    <n v="0.11787878787885843"/>
    <n v="34.892121212142094"/>
    <n v="5.3818181818181818"/>
    <x v="166"/>
  </r>
  <r>
    <x v="8"/>
    <x v="0"/>
    <n v="112"/>
    <n v="4099"/>
    <d v="2017-12-08T09:34:00"/>
    <d v="2017-12-08T13:00:00"/>
    <n v="316"/>
    <n v="330"/>
    <n v="296"/>
    <s v="Other high pressure turbine problems"/>
    <s v="F660HP Turbine Restriction "/>
    <s v="Mill Creek"/>
    <x v="0"/>
    <s v="Coal"/>
    <x v="1"/>
    <x v="4"/>
    <n v="12"/>
    <n v="3.4333333333488554"/>
    <n v="0.14565656565722418"/>
    <n v="43.114343434538355"/>
    <n v="12.557575757575757"/>
    <x v="20"/>
  </r>
  <r>
    <x v="8"/>
    <x v="0"/>
    <n v="113"/>
    <n v="4099"/>
    <d v="2017-12-08T13:00:00"/>
    <d v="2017-12-11T22:00:00"/>
    <n v="318"/>
    <n v="330"/>
    <n v="296"/>
    <s v="Other high pressure turbine problems"/>
    <s v="F660HP Turbine Restriction"/>
    <s v="Mill Creek"/>
    <x v="0"/>
    <s v="Coal"/>
    <x v="1"/>
    <x v="4"/>
    <n v="12"/>
    <n v="81"/>
    <n v="2.9454545454545453"/>
    <n v="871.85454545454536"/>
    <n v="10.763636363636364"/>
    <x v="197"/>
  </r>
  <r>
    <x v="8"/>
    <x v="3"/>
    <n v="114"/>
    <n v="8460"/>
    <d v="2017-12-11T22:00:00"/>
    <d v="2017-12-12T05:30:00"/>
    <n v="0"/>
    <n v="330"/>
    <n v="296"/>
    <s v="Testing A"/>
    <s v="F790Mercury Testing"/>
    <s v="Mill Creek"/>
    <x v="1"/>
    <s v="Coal"/>
    <x v="1"/>
    <x v="4"/>
    <n v="12"/>
    <n v="7.5"/>
    <n v="7.5"/>
    <n v="2220"/>
    <n v="296"/>
    <x v="202"/>
  </r>
  <r>
    <x v="8"/>
    <x v="0"/>
    <n v="115"/>
    <n v="4099"/>
    <d v="2017-12-12T05:30:00"/>
    <d v="2017-12-19T23:00:00"/>
    <n v="318"/>
    <n v="330"/>
    <n v="296"/>
    <s v="Other high pressure turbine problems"/>
    <s v="F660HP Turbine Restriction"/>
    <s v="Mill Creek"/>
    <x v="0"/>
    <s v="Coal"/>
    <x v="1"/>
    <x v="4"/>
    <n v="12"/>
    <n v="185.50000000011642"/>
    <n v="6.7454545454587791"/>
    <n v="1996.6545454557986"/>
    <n v="10.763636363636364"/>
    <x v="197"/>
  </r>
  <r>
    <x v="8"/>
    <x v="2"/>
    <n v="117"/>
    <n v="310"/>
    <d v="2017-12-19T23:00:00"/>
    <d v="2017-12-20T04:01:00"/>
    <n v="240"/>
    <n v="330"/>
    <n v="296"/>
    <s v="Pulverizer mills"/>
    <s v="F5902B Mill Maintenance"/>
    <s v="Mill Creek"/>
    <x v="0"/>
    <s v="Coal"/>
    <x v="1"/>
    <x v="4"/>
    <n v="12"/>
    <n v="5.0166666666045785"/>
    <n v="1.368181818164885"/>
    <n v="404.98181817680597"/>
    <n v="80.727272727272734"/>
    <x v="240"/>
  </r>
  <r>
    <x v="8"/>
    <x v="0"/>
    <n v="119"/>
    <n v="4099"/>
    <d v="2017-12-20T04:18:00"/>
    <d v="2017-12-31T11:30:00"/>
    <n v="318"/>
    <n v="330"/>
    <n v="296"/>
    <s v="Other high pressure turbine problems"/>
    <s v="F660HP Turbine Restriction "/>
    <s v="Mill Creek"/>
    <x v="0"/>
    <s v="Coal"/>
    <x v="1"/>
    <x v="4"/>
    <n v="12"/>
    <n v="271.19999999989523"/>
    <n v="9.8618181818143711"/>
    <n v="2919.098181817054"/>
    <n v="10.763636363636364"/>
    <x v="197"/>
  </r>
  <r>
    <x v="8"/>
    <x v="3"/>
    <n v="120"/>
    <n v="1190"/>
    <d v="2017-12-31T11:30:00"/>
    <d v="2017-12-31T15:45:00"/>
    <n v="0"/>
    <n v="330"/>
    <n v="296"/>
    <s v="Other tube slagging or fouling"/>
    <s v="FS00Deslag"/>
    <s v="Mill Creek"/>
    <x v="1"/>
    <s v="Coal"/>
    <x v="1"/>
    <x v="4"/>
    <n v="12"/>
    <n v="4.2500000000582077"/>
    <n v="4.2500000000582077"/>
    <n v="1258.0000000172295"/>
    <n v="296"/>
    <x v="202"/>
  </r>
  <r>
    <x v="8"/>
    <x v="0"/>
    <n v="121"/>
    <n v="4099"/>
    <d v="2017-12-31T15:45:00"/>
    <d v="2018-01-01T00:00:00"/>
    <n v="318"/>
    <n v="330"/>
    <n v="296"/>
    <s v="Other high pressure turbine problems"/>
    <s v="F660HP Turbine Restriction (YEAR END - CARRYING OVER TO EVENT 1-2018)"/>
    <s v="Mill Creek"/>
    <x v="0"/>
    <s v="Coal"/>
    <x v="1"/>
    <x v="4"/>
    <n v="12"/>
    <n v="8.25"/>
    <n v="0.3"/>
    <n v="88.8"/>
    <n v="10.763636363636364"/>
    <x v="197"/>
  </r>
  <r>
    <x v="8"/>
    <x v="0"/>
    <n v="1"/>
    <n v="4099"/>
    <d v="2018-01-01T00:00:00"/>
    <d v="2018-01-01T11:32:00"/>
    <n v="318"/>
    <n v="330"/>
    <n v="296"/>
    <s v="Other high pressure turbine problems"/>
    <s v="F660HP Turbine Restriction (YEAR START - CARRYING OVER TO EVENT 121-2017)"/>
    <s v="Mill Creek"/>
    <x v="0"/>
    <s v="Coal"/>
    <x v="1"/>
    <x v="5"/>
    <n v="1"/>
    <n v="11.53333333338378"/>
    <n v="0.4193939393957738"/>
    <n v="124.14060606114904"/>
    <n v="10.763636363636364"/>
    <x v="197"/>
  </r>
  <r>
    <x v="8"/>
    <x v="3"/>
    <n v="2"/>
    <n v="8020"/>
    <d v="2018-01-01T11:32:00"/>
    <d v="2018-01-02T06:35:00"/>
    <n v="0"/>
    <n v="330"/>
    <n v="296"/>
    <s v="Mill slurry tanks supply problems"/>
    <s v="F930Limestone Slurry Levels"/>
    <s v="Mill Creek"/>
    <x v="1"/>
    <s v="Coal"/>
    <x v="1"/>
    <x v="5"/>
    <n v="1"/>
    <n v="19.049999999930151"/>
    <n v="19.049999999930151"/>
    <n v="5638.7999999793246"/>
    <n v="296"/>
    <x v="202"/>
  </r>
  <r>
    <x v="8"/>
    <x v="0"/>
    <n v="3"/>
    <n v="4099"/>
    <d v="2018-01-02T06:35:00"/>
    <d v="2018-02-01T00:00:00"/>
    <n v="318"/>
    <n v="330"/>
    <n v="296"/>
    <s v="Other high pressure turbine problems"/>
    <s v="F660HP Turbine Restriction (ENDED AND STARTED EVENT 4)"/>
    <s v="Mill Creek"/>
    <x v="0"/>
    <s v="Coal"/>
    <x v="1"/>
    <x v="5"/>
    <n v="1"/>
    <n v="713.41666666668607"/>
    <n v="25.942424242424948"/>
    <n v="7678.957575757785"/>
    <n v="10.763636363636364"/>
    <x v="197"/>
  </r>
  <r>
    <x v="8"/>
    <x v="0"/>
    <n v="4"/>
    <n v="4099"/>
    <d v="2018-02-01T00:00:00"/>
    <d v="2018-02-12T23:45:00"/>
    <n v="318"/>
    <n v="330"/>
    <n v="296"/>
    <s v="Other high pressure turbine problems"/>
    <s v="F660HP Turbine Restriction"/>
    <s v="Mill Creek"/>
    <x v="0"/>
    <s v="Coal"/>
    <x v="1"/>
    <x v="5"/>
    <n v="2"/>
    <n v="287.75000000005821"/>
    <n v="10.46363636363848"/>
    <n v="3097.2363636369901"/>
    <n v="10.763636363636364"/>
    <x v="197"/>
  </r>
  <r>
    <x v="8"/>
    <x v="2"/>
    <n v="5"/>
    <n v="310"/>
    <d v="2018-02-12T23:45:00"/>
    <d v="2018-02-13T03:38:00"/>
    <n v="240"/>
    <n v="330"/>
    <n v="296"/>
    <s v="Pulverizer mills"/>
    <s v="F5302B Coal Mill Inspection"/>
    <s v="Mill Creek"/>
    <x v="0"/>
    <s v="Coal"/>
    <x v="1"/>
    <x v="5"/>
    <n v="2"/>
    <n v="3.8833333332440816"/>
    <n v="1.0590909090665677"/>
    <n v="313.49090908370403"/>
    <n v="80.727272727272734"/>
    <x v="240"/>
  </r>
  <r>
    <x v="8"/>
    <x v="0"/>
    <n v="6"/>
    <n v="4099"/>
    <d v="2018-02-13T03:38:00"/>
    <d v="2018-02-19T10:23:00"/>
    <n v="318"/>
    <n v="330"/>
    <n v="296"/>
    <s v="Other high pressure turbine problems"/>
    <s v="F660HP Turbine Restriction"/>
    <s v="Mill Creek"/>
    <x v="0"/>
    <s v="Coal"/>
    <x v="1"/>
    <x v="5"/>
    <n v="2"/>
    <n v="150.75"/>
    <n v="5.4818181818181815"/>
    <n v="1622.6181818181817"/>
    <n v="10.763636363636364"/>
    <x v="197"/>
  </r>
  <r>
    <x v="8"/>
    <x v="5"/>
    <n v="7"/>
    <n v="3211"/>
    <d v="2018-02-19T10:23:00"/>
    <d v="2018-02-20T15:03:00"/>
    <n v="0"/>
    <n v="330"/>
    <n v="296"/>
    <s v="Circulating water pump motors"/>
    <s v="F8204KV Under Voltage - Lost Both Cooling Tower Pumps (Electrical)"/>
    <s v="Mill Creek"/>
    <x v="3"/>
    <s v="Coal"/>
    <x v="1"/>
    <x v="5"/>
    <n v="2"/>
    <n v="28.666666666686069"/>
    <n v="28.666666666686069"/>
    <n v="8485.3333333390765"/>
    <n v="296"/>
    <x v="202"/>
  </r>
  <r>
    <x v="8"/>
    <x v="0"/>
    <n v="8"/>
    <n v="1850"/>
    <d v="2018-02-20T21:03:00"/>
    <d v="2018-02-20T23:43:00"/>
    <n v="240"/>
    <n v="330"/>
    <n v="296"/>
    <s v="Boiler water condition (not feedwater water quality)"/>
    <s v="F170High Silica - Startup"/>
    <s v="Mill Creek"/>
    <x v="0"/>
    <s v="Coal"/>
    <x v="1"/>
    <x v="5"/>
    <n v="2"/>
    <n v="2.6666666666278616"/>
    <n v="0.72727272726214409"/>
    <n v="215.27272726959464"/>
    <n v="80.727272727272734"/>
    <x v="240"/>
  </r>
  <r>
    <x v="8"/>
    <x v="0"/>
    <n v="9"/>
    <n v="4099"/>
    <d v="2018-02-20T23:43:00"/>
    <d v="2018-02-22T00:18:00"/>
    <n v="318"/>
    <n v="330"/>
    <n v="296"/>
    <s v="Other high pressure turbine problems"/>
    <s v="F660HP Turbine Restriction"/>
    <s v="Mill Creek"/>
    <x v="0"/>
    <s v="Coal"/>
    <x v="1"/>
    <x v="5"/>
    <n v="2"/>
    <n v="24.583333333313931"/>
    <n v="0.89393939393868838"/>
    <n v="264.60606060585178"/>
    <n v="10.763636363636364"/>
    <x v="197"/>
  </r>
  <r>
    <x v="8"/>
    <x v="2"/>
    <n v="10"/>
    <n v="310"/>
    <d v="2018-02-22T00:18:00"/>
    <d v="2018-02-22T00:29:00"/>
    <n v="240"/>
    <n v="330"/>
    <n v="296"/>
    <s v="Pulverizer mills"/>
    <s v="F5902A Coal Mill Maintenance"/>
    <s v="Mill Creek"/>
    <x v="0"/>
    <s v="Coal"/>
    <x v="1"/>
    <x v="5"/>
    <n v="2"/>
    <n v="0.18333333340706304"/>
    <n v="5.0000000020108099E-2"/>
    <n v="14.800000005951997"/>
    <n v="80.727272727272734"/>
    <x v="240"/>
  </r>
  <r>
    <x v="8"/>
    <x v="0"/>
    <n v="11"/>
    <n v="4099"/>
    <d v="2018-02-22T00:29:00"/>
    <d v="2018-03-01T00:00:00"/>
    <n v="318"/>
    <n v="330"/>
    <n v="296"/>
    <s v="Other high pressure turbine problems"/>
    <s v="F660HP Turbine Restriction (CLOSED FOR EOM, STARTED EVENT 12)"/>
    <s v="Mill Creek"/>
    <x v="0"/>
    <s v="Coal"/>
    <x v="1"/>
    <x v="5"/>
    <n v="2"/>
    <n v="167.51666666666279"/>
    <n v="6.0915151515150106"/>
    <n v="1803.0884848484432"/>
    <n v="10.763636363636364"/>
    <x v="197"/>
  </r>
  <r>
    <x v="8"/>
    <x v="0"/>
    <n v="12"/>
    <n v="4099"/>
    <d v="2018-03-01T00:00:00"/>
    <d v="2018-03-01T23:02:00"/>
    <n v="318"/>
    <n v="330"/>
    <n v="296"/>
    <s v="Other high pressure turbine problems"/>
    <s v="F660HP Turbine Restriction"/>
    <s v="Mill Creek"/>
    <x v="0"/>
    <s v="Coal"/>
    <x v="1"/>
    <x v="5"/>
    <n v="3"/>
    <n v="23.033333333325572"/>
    <n v="0.83757575757547531"/>
    <n v="247.9224242423407"/>
    <n v="10.763636363636364"/>
    <x v="197"/>
  </r>
  <r>
    <x v="8"/>
    <x v="2"/>
    <n v="13"/>
    <n v="250"/>
    <d v="2018-03-01T23:02:00"/>
    <d v="2018-03-02T04:28:00"/>
    <n v="235"/>
    <n v="330"/>
    <n v="296"/>
    <s v="Pulverizer feeders"/>
    <s v="F5902C Coal Feeder Inspection"/>
    <s v="Mill Creek"/>
    <x v="0"/>
    <s v="Coal"/>
    <x v="1"/>
    <x v="5"/>
    <n v="3"/>
    <n v="5.433333333407063"/>
    <n v="1.5641414141626393"/>
    <n v="462.98585859214126"/>
    <n v="85.212121212121218"/>
    <x v="196"/>
  </r>
  <r>
    <x v="8"/>
    <x v="0"/>
    <n v="14"/>
    <n v="4099"/>
    <d v="2018-03-02T04:28:00"/>
    <d v="2018-03-09T22:37:00"/>
    <n v="318"/>
    <n v="330"/>
    <n v="296"/>
    <s v="Other high pressure turbine problems"/>
    <s v="F660HP Turbine Restriction"/>
    <s v="Mill Creek"/>
    <x v="0"/>
    <s v="Coal"/>
    <x v="1"/>
    <x v="5"/>
    <n v="3"/>
    <n v="186.14999999996508"/>
    <n v="6.7690909090896394"/>
    <n v="2003.6509090905333"/>
    <n v="10.763636363636364"/>
    <x v="197"/>
  </r>
  <r>
    <x v="9"/>
    <x v="2"/>
    <n v="1"/>
    <n v="876"/>
    <d v="2013-01-02T23:30:00"/>
    <d v="2013-01-03T06:37:00"/>
    <n v="280"/>
    <n v="423"/>
    <n v="393"/>
    <s v="Soot blower controls"/>
    <s v="F590Sootblower Regulator - Repair"/>
    <s v="Mill Creek"/>
    <x v="0"/>
    <s v="Coal"/>
    <x v="2"/>
    <x v="0"/>
    <n v="1"/>
    <n v="7.1166666666395031"/>
    <n v="2.4058707643722199"/>
    <n v="945.50721039828238"/>
    <n v="132.8581560283688"/>
    <x v="108"/>
  </r>
  <r>
    <x v="9"/>
    <x v="0"/>
    <n v="2"/>
    <n v="310"/>
    <d v="2013-01-06T20:30:00"/>
    <d v="2013-01-06T22:10:00"/>
    <n v="325"/>
    <n v="423"/>
    <n v="393"/>
    <s v="Pulverizer mills"/>
    <s v="F4003C Coal Mill - Low Primary Air Flow"/>
    <s v="Mill Creek"/>
    <x v="0"/>
    <s v="Coal"/>
    <x v="2"/>
    <x v="0"/>
    <n v="1"/>
    <n v="1.6666666666860692"/>
    <n v="0.38613081166722169"/>
    <n v="151.74940898521811"/>
    <n v="91.049645390070921"/>
    <x v="42"/>
  </r>
  <r>
    <x v="9"/>
    <x v="0"/>
    <n v="3"/>
    <n v="250"/>
    <d v="2013-01-06T23:20:00"/>
    <d v="2013-01-07T04:25:00"/>
    <n v="325"/>
    <n v="423"/>
    <n v="393"/>
    <s v="Pulverizer feeders"/>
    <s v="F5903B Coal Feeder - Replace Belt &amp; Inspect Hot Air Damper"/>
    <s v="Mill Creek"/>
    <x v="0"/>
    <s v="Coal"/>
    <x v="2"/>
    <x v="0"/>
    <n v="1"/>
    <n v="5.0833333334885538"/>
    <n v="1.1776989756072773"/>
    <n v="462.83569741366"/>
    <n v="91.049645390070921"/>
    <x v="42"/>
  </r>
  <r>
    <x v="9"/>
    <x v="0"/>
    <n v="4"/>
    <n v="250"/>
    <d v="2013-01-07T02:20:00"/>
    <d v="2013-01-07T04:25:00"/>
    <n v="240"/>
    <n v="423"/>
    <n v="393"/>
    <s v="Pulverizer feeders"/>
    <s v="F1203A Coal Feeder - Rock on Belt"/>
    <s v="Mill Creek"/>
    <x v="0"/>
    <s v="Coal"/>
    <x v="2"/>
    <x v="0"/>
    <n v="1"/>
    <n v="2.0833333334885538"/>
    <n v="0.90130023647377144"/>
    <n v="354.21099293419218"/>
    <n v="170.02127659574469"/>
    <x v="245"/>
  </r>
  <r>
    <x v="9"/>
    <x v="0"/>
    <n v="5"/>
    <n v="250"/>
    <d v="2013-01-08T16:14:00"/>
    <d v="2013-01-08T16:50:00"/>
    <n v="333"/>
    <n v="423"/>
    <n v="393"/>
    <s v="Pulverizer feeders"/>
    <s v="F8203A Coal Feeder - Trip"/>
    <s v="Mill Creek"/>
    <x v="0"/>
    <s v="Coal"/>
    <x v="2"/>
    <x v="0"/>
    <n v="1"/>
    <n v="0.6000000000349246"/>
    <n v="0.12765957447551587"/>
    <n v="50.17021276887774"/>
    <n v="83.61702127659575"/>
    <x v="136"/>
  </r>
  <r>
    <x v="9"/>
    <x v="0"/>
    <n v="6"/>
    <n v="9270"/>
    <d v="2013-01-14T08:00:00"/>
    <d v="2013-01-14T13:10:00"/>
    <n v="350"/>
    <n v="423"/>
    <n v="393"/>
    <s v="Wet coal"/>
    <s v="FW00Wet Coal Issues"/>
    <s v="Mill Creek"/>
    <x v="0"/>
    <s v="Coal"/>
    <x v="2"/>
    <x v="0"/>
    <n v="1"/>
    <n v="5.1666666665696539"/>
    <n v="0.89164696609830907"/>
    <n v="350.41725767663547"/>
    <n v="67.822695035460995"/>
    <x v="208"/>
  </r>
  <r>
    <x v="9"/>
    <x v="0"/>
    <n v="7"/>
    <n v="1710"/>
    <d v="2013-01-15T06:00:00"/>
    <d v="2013-01-15T07:28:00"/>
    <n v="412"/>
    <n v="423"/>
    <n v="393"/>
    <s v="Combustion/steam condition controls (report local controls --- burners"/>
    <s v="F400Air Flow Issues"/>
    <s v="Mill Creek"/>
    <x v="0"/>
    <s v="Coal"/>
    <x v="2"/>
    <x v="0"/>
    <n v="1"/>
    <n v="1.4666666667326353"/>
    <n v="3.8140267929217465E-2"/>
    <n v="14.989125296182463"/>
    <n v="10.219858156028369"/>
    <x v="182"/>
  </r>
  <r>
    <x v="9"/>
    <x v="0"/>
    <n v="8"/>
    <n v="1710"/>
    <d v="2013-01-15T07:28:00"/>
    <d v="2013-01-15T16:35:00"/>
    <n v="400"/>
    <n v="423"/>
    <n v="393"/>
    <s v="Combustion/steam condition controls (report local controls --- burners"/>
    <s v="F400Air Flow Issues"/>
    <s v="Mill Creek"/>
    <x v="0"/>
    <s v="Coal"/>
    <x v="2"/>
    <x v="0"/>
    <n v="1"/>
    <n v="9.1166666665230878"/>
    <n v="0.49570527974002604"/>
    <n v="194.81217493783024"/>
    <n v="21.368794326241133"/>
    <x v="168"/>
  </r>
  <r>
    <x v="9"/>
    <x v="0"/>
    <n v="9"/>
    <n v="280"/>
    <d v="2013-01-15T14:31:00"/>
    <d v="2013-01-15T16:35:00"/>
    <n v="300"/>
    <n v="423"/>
    <n v="393"/>
    <s v="Pulverizer fires"/>
    <s v="F0703B Coal Mill - Fire &amp; Inspection"/>
    <s v="Mill Creek"/>
    <x v="0"/>
    <s v="Coal"/>
    <x v="2"/>
    <x v="0"/>
    <n v="1"/>
    <n v="2.066666666592937"/>
    <n v="0.60094562645610228"/>
    <n v="236.17163119724819"/>
    <n v="114.27659574468085"/>
    <x v="46"/>
  </r>
  <r>
    <x v="9"/>
    <x v="0"/>
    <n v="10"/>
    <n v="1710"/>
    <d v="2013-01-15T16:35:00"/>
    <d v="2013-01-16T05:10:00"/>
    <n v="393"/>
    <n v="423"/>
    <n v="393"/>
    <s v="Combustion/steam condition controls (report local controls --- burners"/>
    <s v="F400Air Flow Issues"/>
    <s v="Mill Creek"/>
    <x v="0"/>
    <s v="Coal"/>
    <x v="2"/>
    <x v="0"/>
    <n v="1"/>
    <n v="12.583333333488554"/>
    <n v="0.89243498819067757"/>
    <n v="350.72695035893628"/>
    <n v="27.872340425531913"/>
    <x v="67"/>
  </r>
  <r>
    <x v="9"/>
    <x v="0"/>
    <n v="11"/>
    <n v="9270"/>
    <d v="2013-01-16T05:10:00"/>
    <d v="2013-01-16T08:28:00"/>
    <n v="320"/>
    <n v="423"/>
    <n v="393"/>
    <s v="Wet coal"/>
    <s v="FW00Wet Coal Issues"/>
    <s v="Mill Creek"/>
    <x v="0"/>
    <s v="Coal"/>
    <x v="2"/>
    <x v="0"/>
    <n v="1"/>
    <n v="3.2999999999301508"/>
    <n v="0.80354609927377196"/>
    <n v="315.79361701459237"/>
    <n v="95.695035460992912"/>
    <x v="41"/>
  </r>
  <r>
    <x v="9"/>
    <x v="0"/>
    <n v="12"/>
    <n v="310"/>
    <d v="2013-01-21T10:00:00"/>
    <d v="2013-01-21T12:49:00"/>
    <n v="315"/>
    <n v="423"/>
    <n v="393"/>
    <s v="Pulverizer mills"/>
    <s v="F5903D Coal Mill - Primary Air Fan Damper Inspection, Clean Pitot Tubes and Repair Coa"/>
    <s v="Mill Creek"/>
    <x v="0"/>
    <s v="Coal"/>
    <x v="2"/>
    <x v="0"/>
    <n v="1"/>
    <n v="2.8166666667675599"/>
    <n v="0.71914893619597275"/>
    <n v="282.6255319250173"/>
    <n v="100.34042553191489"/>
    <x v="65"/>
  </r>
  <r>
    <x v="9"/>
    <x v="2"/>
    <n v="13"/>
    <n v="310"/>
    <d v="2013-01-31T12:25:00"/>
    <d v="2013-01-31T15:30:00"/>
    <n v="320"/>
    <n v="423"/>
    <n v="393"/>
    <s v="Pulverizer mills"/>
    <s v="F5303A Coal Mill Primary Air Fan - Damper Inspection"/>
    <s v="Mill Creek"/>
    <x v="0"/>
    <s v="Coal"/>
    <x v="2"/>
    <x v="0"/>
    <n v="1"/>
    <n v="3.0833333334303461"/>
    <n v="0.75078802208824036"/>
    <n v="295.05969268067844"/>
    <n v="95.695035460992912"/>
    <x v="41"/>
  </r>
  <r>
    <x v="9"/>
    <x v="5"/>
    <n v="14"/>
    <n v="1040"/>
    <d v="2013-02-06T23:56:00"/>
    <d v="2013-02-08T23:32:00"/>
    <n v="0"/>
    <n v="423"/>
    <n v="393"/>
    <s v="First superheater B"/>
    <s v="F540Boiler Tube Leak - First Superheater"/>
    <s v="Mill Creek"/>
    <x v="3"/>
    <s v="Coal"/>
    <x v="2"/>
    <x v="0"/>
    <n v="2"/>
    <n v="47.600000000093132"/>
    <n v="47.600000000093132"/>
    <n v="18706.800000036601"/>
    <n v="393"/>
    <x v="258"/>
  </r>
  <r>
    <x v="9"/>
    <x v="3"/>
    <n v="15"/>
    <n v="1850"/>
    <d v="2013-02-08T23:32:00"/>
    <d v="2013-02-09T13:10:00"/>
    <n v="0"/>
    <n v="423"/>
    <n v="393"/>
    <s v="Boiler water condition (not feedwater water quality)"/>
    <s v="F170High Silica @ Warm Start Up"/>
    <s v="Mill Creek"/>
    <x v="1"/>
    <s v="Coal"/>
    <x v="2"/>
    <x v="0"/>
    <n v="2"/>
    <n v="13.633333333244082"/>
    <n v="13.633333333244082"/>
    <n v="5357.8999999649241"/>
    <n v="393"/>
    <x v="258"/>
  </r>
  <r>
    <x v="9"/>
    <x v="5"/>
    <n v="16"/>
    <n v="1050"/>
    <d v="2013-02-10T05:33:00"/>
    <d v="2013-02-11T16:45:00"/>
    <n v="0"/>
    <n v="423"/>
    <n v="393"/>
    <s v="Second superheater B"/>
    <s v="F540Boiler Tube Leak - Second Superheater"/>
    <s v="Mill Creek"/>
    <x v="3"/>
    <s v="Coal"/>
    <x v="2"/>
    <x v="0"/>
    <n v="2"/>
    <n v="35.200000000011642"/>
    <n v="35.200000000011642"/>
    <n v="13833.600000004575"/>
    <n v="393"/>
    <x v="258"/>
  </r>
  <r>
    <x v="9"/>
    <x v="3"/>
    <n v="17"/>
    <n v="1850"/>
    <d v="2013-02-11T16:45:00"/>
    <d v="2013-02-12T04:45:00"/>
    <n v="0"/>
    <n v="423"/>
    <n v="393"/>
    <s v="Boiler water condition (not feedwater water quality)"/>
    <s v="F170High Silica @ Hot Start Up"/>
    <s v="Mill Creek"/>
    <x v="1"/>
    <s v="Coal"/>
    <x v="2"/>
    <x v="0"/>
    <n v="2"/>
    <n v="12"/>
    <n v="12"/>
    <n v="4716"/>
    <n v="393"/>
    <x v="258"/>
  </r>
  <r>
    <x v="9"/>
    <x v="5"/>
    <n v="18"/>
    <n v="3235"/>
    <d v="2013-02-14T03:30:00"/>
    <d v="2013-02-14T06:42:00"/>
    <n v="0"/>
    <n v="423"/>
    <n v="393"/>
    <s v="Cooling tower booster pump"/>
    <s v="F8203A Cooling Tower Pump - Trip, Water in E-Stop Button"/>
    <s v="Mill Creek"/>
    <x v="3"/>
    <s v="Coal"/>
    <x v="2"/>
    <x v="0"/>
    <n v="2"/>
    <n v="3.1999999999534339"/>
    <n v="3.1999999999534339"/>
    <n v="1257.5999999816995"/>
    <n v="393"/>
    <x v="258"/>
  </r>
  <r>
    <x v="9"/>
    <x v="3"/>
    <n v="19"/>
    <n v="1850"/>
    <d v="2013-02-14T06:42:00"/>
    <d v="2013-02-14T13:04:00"/>
    <n v="0"/>
    <n v="423"/>
    <n v="393"/>
    <s v="Boiler water condition (not feedwater water quality)"/>
    <s v="F170High Silica @ Very Hot Start Up"/>
    <s v="Mill Creek"/>
    <x v="1"/>
    <s v="Coal"/>
    <x v="2"/>
    <x v="0"/>
    <n v="2"/>
    <n v="6.3666666666395031"/>
    <n v="6.3666666666395031"/>
    <n v="2502.0999999893247"/>
    <n v="393"/>
    <x v="258"/>
  </r>
  <r>
    <x v="9"/>
    <x v="5"/>
    <n v="20"/>
    <n v="1799"/>
    <d v="2013-02-16T16:24:00"/>
    <d v="2013-02-16T21:33:00"/>
    <n v="0"/>
    <n v="423"/>
    <n v="393"/>
    <s v="Other boiler instrumentation and control problems"/>
    <s v="F400HPM Power Loss - Boiler Controls"/>
    <s v="Mill Creek"/>
    <x v="3"/>
    <s v="Coal"/>
    <x v="2"/>
    <x v="0"/>
    <n v="2"/>
    <n v="5.1500000000232831"/>
    <n v="5.1500000000232831"/>
    <n v="2023.9500000091502"/>
    <n v="393"/>
    <x v="258"/>
  </r>
  <r>
    <x v="9"/>
    <x v="3"/>
    <n v="21"/>
    <n v="1850"/>
    <d v="2013-02-16T21:33:00"/>
    <d v="2013-02-16T21:49:00"/>
    <n v="0"/>
    <n v="423"/>
    <n v="393"/>
    <s v="Boiler water condition (not feedwater water quality)"/>
    <s v="F170High Silica @ Very Hot Start Up"/>
    <s v="Mill Creek"/>
    <x v="1"/>
    <s v="Coal"/>
    <x v="2"/>
    <x v="0"/>
    <n v="2"/>
    <n v="0.26666666666278616"/>
    <n v="0.26666666666278616"/>
    <n v="104.79999999847496"/>
    <n v="393"/>
    <x v="258"/>
  </r>
  <r>
    <x v="9"/>
    <x v="5"/>
    <n v="22"/>
    <n v="800"/>
    <d v="2013-02-16T21:49:00"/>
    <d v="2013-02-16T23:03:00"/>
    <n v="0"/>
    <n v="423"/>
    <n v="393"/>
    <s v="Drums and drum internals (single drum only)"/>
    <s v="F420Low Drum Level Trip - Operator Error"/>
    <s v="Mill Creek"/>
    <x v="3"/>
    <s v="Coal"/>
    <x v="2"/>
    <x v="0"/>
    <n v="2"/>
    <n v="1.2333333333372138"/>
    <n v="1.2333333333372138"/>
    <n v="484.70000000152504"/>
    <n v="393"/>
    <x v="258"/>
  </r>
  <r>
    <x v="9"/>
    <x v="3"/>
    <n v="23"/>
    <n v="1850"/>
    <d v="2013-02-16T23:03:00"/>
    <d v="2013-02-17T04:50:00"/>
    <n v="0"/>
    <n v="423"/>
    <n v="393"/>
    <s v="Boiler water condition (not feedwater water quality)"/>
    <s v="F170High Silica @ Very Hot Start Up"/>
    <s v="Mill Creek"/>
    <x v="1"/>
    <s v="Coal"/>
    <x v="2"/>
    <x v="0"/>
    <n v="2"/>
    <n v="5.7833333333255723"/>
    <n v="5.7833333333255723"/>
    <n v="2272.8499999969499"/>
    <n v="393"/>
    <x v="258"/>
  </r>
  <r>
    <x v="9"/>
    <x v="2"/>
    <n v="24"/>
    <n v="267"/>
    <d v="2013-02-25T23:00:00"/>
    <d v="2013-02-26T02:43:00"/>
    <n v="325"/>
    <n v="423"/>
    <n v="393"/>
    <s v="Primary air flow instrumentation"/>
    <s v="F1203C Coal Mill PA fan - cleaned pitot tubes."/>
    <s v="Mill Creek"/>
    <x v="0"/>
    <s v="Coal"/>
    <x v="2"/>
    <x v="0"/>
    <n v="2"/>
    <n v="3.7166666665580124"/>
    <n v="0.86107170998270732"/>
    <n v="338.401182023204"/>
    <n v="91.049645390070921"/>
    <x v="42"/>
  </r>
  <r>
    <x v="9"/>
    <x v="2"/>
    <n v="25"/>
    <n v="264"/>
    <d v="2013-02-26T23:00:00"/>
    <d v="2013-02-27T01:15:00"/>
    <n v="325"/>
    <n v="423"/>
    <n v="393"/>
    <s v="Other primary air fan problems"/>
    <s v="F7803D Mill Maintenance - checked stator temperature on PA Fan."/>
    <s v="Mill Creek"/>
    <x v="0"/>
    <s v="Coal"/>
    <x v="2"/>
    <x v="0"/>
    <n v="2"/>
    <n v="2.25"/>
    <n v="0.52127659574468088"/>
    <n v="204.86170212765958"/>
    <n v="91.049645390070921"/>
    <x v="42"/>
  </r>
  <r>
    <x v="9"/>
    <x v="6"/>
    <n v="26"/>
    <n v="1801"/>
    <d v="2013-03-01T23:23:00"/>
    <d v="2013-03-11T06:23:00"/>
    <n v="0"/>
    <n v="423"/>
    <n v="393"/>
    <s v="Minor boiler overhaul (less than 720 hours) (use for non-specific overhaul only; see page B-1)"/>
    <s v="F590Planned Outage"/>
    <s v="Mill Creek"/>
    <x v="1"/>
    <s v="Coal"/>
    <x v="2"/>
    <x v="0"/>
    <n v="3"/>
    <n v="222.99999999994179"/>
    <n v="222.99999999994179"/>
    <n v="87638.999999977124"/>
    <n v="393"/>
    <x v="258"/>
  </r>
  <r>
    <x v="9"/>
    <x v="3"/>
    <n v="27"/>
    <n v="1850"/>
    <d v="2013-03-11T06:23:00"/>
    <d v="2013-03-11T23:13:00"/>
    <n v="0"/>
    <n v="423"/>
    <n v="393"/>
    <s v="Boiler water condition (not feedwater water quality)"/>
    <s v="F170High Silica @ Cold Start Up"/>
    <s v="Mill Creek"/>
    <x v="1"/>
    <s v="Coal"/>
    <x v="2"/>
    <x v="0"/>
    <n v="3"/>
    <n v="16.833333333372138"/>
    <n v="16.833333333372138"/>
    <n v="6615.5000000152504"/>
    <n v="393"/>
    <x v="258"/>
  </r>
  <r>
    <x v="9"/>
    <x v="5"/>
    <n v="28"/>
    <n v="3620"/>
    <d v="2013-03-12T10:20:00"/>
    <d v="2013-03-12T13:26:00"/>
    <n v="0"/>
    <n v="423"/>
    <n v="393"/>
    <s v="Main transformer"/>
    <s v="F8203-1 Main Aux Transformer - Sudden Pressure Relay Trip"/>
    <s v="Mill Creek"/>
    <x v="3"/>
    <s v="Coal"/>
    <x v="2"/>
    <x v="0"/>
    <n v="3"/>
    <n v="3.0999999999767169"/>
    <n v="3.0999999999767169"/>
    <n v="1218.2999999908498"/>
    <n v="393"/>
    <x v="258"/>
  </r>
  <r>
    <x v="9"/>
    <x v="3"/>
    <n v="29"/>
    <n v="1850"/>
    <d v="2013-03-12T13:26:00"/>
    <d v="2013-03-12T20:40:00"/>
    <n v="0"/>
    <n v="423"/>
    <n v="393"/>
    <s v="Boiler water condition (not feedwater water quality)"/>
    <s v="F170High Silica @ Very Hot Start Up"/>
    <s v="Mill Creek"/>
    <x v="1"/>
    <s v="Coal"/>
    <x v="2"/>
    <x v="0"/>
    <n v="3"/>
    <n v="7.2333333333372138"/>
    <n v="7.2333333333372138"/>
    <n v="2842.700000001525"/>
    <n v="393"/>
    <x v="258"/>
  </r>
  <r>
    <x v="9"/>
    <x v="2"/>
    <n v="30"/>
    <n v="310"/>
    <d v="2013-03-12T23:00:00"/>
    <d v="2013-03-13T03:00:00"/>
    <n v="325"/>
    <n v="423"/>
    <n v="393"/>
    <s v="Pulverizer mills"/>
    <s v="F5903B Coal Mill - Repair Coal Leak"/>
    <s v="Mill Creek"/>
    <x v="0"/>
    <s v="Coal"/>
    <x v="2"/>
    <x v="0"/>
    <n v="3"/>
    <n v="3.9999999999417923"/>
    <n v="0.92671394797705831"/>
    <n v="364.19858155498389"/>
    <n v="91.049645390070921"/>
    <x v="42"/>
  </r>
  <r>
    <x v="9"/>
    <x v="0"/>
    <n v="31"/>
    <n v="876"/>
    <d v="2013-03-13T22:00:00"/>
    <d v="2013-03-14T04:30:00"/>
    <n v="325"/>
    <n v="423"/>
    <n v="393"/>
    <s v="Soot blower controls"/>
    <s v="F590Sootblower Regulator Repair"/>
    <s v="Mill Creek"/>
    <x v="0"/>
    <s v="Coal"/>
    <x v="2"/>
    <x v="0"/>
    <n v="3"/>
    <n v="6.5000000000582077"/>
    <n v="1.5059101654981191"/>
    <n v="591.82269504076078"/>
    <n v="91.049645390070921"/>
    <x v="42"/>
  </r>
  <r>
    <x v="9"/>
    <x v="0"/>
    <n v="32"/>
    <n v="876"/>
    <d v="2013-03-14T04:30:00"/>
    <d v="2013-03-14T07:45:00"/>
    <n v="315"/>
    <n v="423"/>
    <n v="393"/>
    <s v="Soot blower controls"/>
    <s v="F590Sootblower Regulator Repair"/>
    <s v="Mill Creek"/>
    <x v="0"/>
    <s v="Coal"/>
    <x v="2"/>
    <x v="0"/>
    <n v="3"/>
    <n v="3.2499999999417923"/>
    <n v="0.82978723402769161"/>
    <n v="326.10638297288278"/>
    <n v="100.34042553191489"/>
    <x v="65"/>
  </r>
  <r>
    <x v="9"/>
    <x v="0"/>
    <n v="33"/>
    <n v="876"/>
    <d v="2013-03-14T07:45:00"/>
    <d v="2013-03-14T12:42:00"/>
    <n v="300"/>
    <n v="423"/>
    <n v="393"/>
    <s v="Soot blower controls"/>
    <s v="F590Sootblower Regulator Repair"/>
    <s v="Mill Creek"/>
    <x v="0"/>
    <s v="Coal"/>
    <x v="2"/>
    <x v="0"/>
    <n v="3"/>
    <n v="4.9500000000698492"/>
    <n v="1.4393617021479703"/>
    <n v="565.66914894415231"/>
    <n v="114.27659574468085"/>
    <x v="46"/>
  </r>
  <r>
    <x v="9"/>
    <x v="5"/>
    <n v="34"/>
    <n v="3235"/>
    <d v="2013-03-26T02:29:00"/>
    <d v="2013-03-26T07:36:00"/>
    <n v="0"/>
    <n v="423"/>
    <n v="393"/>
    <s v="Cooling tower booster pump"/>
    <s v="F8203B Cooling Tower Pump - Trip"/>
    <s v="Mill Creek"/>
    <x v="3"/>
    <s v="Coal"/>
    <x v="2"/>
    <x v="0"/>
    <n v="3"/>
    <n v="5.1166666665812954"/>
    <n v="5.1166666665812954"/>
    <n v="2010.8499999664491"/>
    <n v="393"/>
    <x v="258"/>
  </r>
  <r>
    <x v="9"/>
    <x v="3"/>
    <n v="35"/>
    <n v="1850"/>
    <d v="2013-03-26T07:36:00"/>
    <d v="2013-03-26T16:05:00"/>
    <n v="0"/>
    <n v="423"/>
    <n v="393"/>
    <s v="Boiler water condition (not feedwater water quality)"/>
    <s v="F170High Silica @ Hot Start Up"/>
    <s v="Mill Creek"/>
    <x v="1"/>
    <s v="Coal"/>
    <x v="2"/>
    <x v="0"/>
    <n v="3"/>
    <n v="8.4833333333954215"/>
    <n v="8.4833333333954215"/>
    <n v="3333.9500000244007"/>
    <n v="393"/>
    <x v="258"/>
  </r>
  <r>
    <x v="9"/>
    <x v="2"/>
    <n v="36"/>
    <n v="310"/>
    <d v="2013-04-01T20:30:00"/>
    <d v="2013-04-02T02:40:00"/>
    <n v="280"/>
    <n v="423"/>
    <n v="393"/>
    <s v="Pulverizer mills"/>
    <s v="F5303A Coal Mill - Inspection"/>
    <s v="Mill Creek"/>
    <x v="0"/>
    <s v="Coal"/>
    <x v="2"/>
    <x v="0"/>
    <n v="4"/>
    <n v="6.1666666666860692"/>
    <n v="2.0847123719529739"/>
    <n v="819.29196217751871"/>
    <n v="132.8581560283688"/>
    <x v="108"/>
  </r>
  <r>
    <x v="9"/>
    <x v="0"/>
    <n v="37"/>
    <n v="310"/>
    <d v="2013-04-02T13:00:00"/>
    <d v="2013-04-02T15:33:00"/>
    <n v="330"/>
    <n v="423"/>
    <n v="393"/>
    <s v="Pulverizer mills"/>
    <s v="F0503A Coal Mill - Trouble with rollers"/>
    <s v="Mill Creek"/>
    <x v="0"/>
    <s v="Coal"/>
    <x v="2"/>
    <x v="0"/>
    <n v="4"/>
    <n v="2.5500000001047738"/>
    <n v="0.56063829789537578"/>
    <n v="220.33085107288269"/>
    <n v="86.40425531914893"/>
    <x v="173"/>
  </r>
  <r>
    <x v="9"/>
    <x v="2"/>
    <n v="38"/>
    <n v="8040"/>
    <d v="2013-04-02T22:00:00"/>
    <d v="2013-04-03T00:28:00"/>
    <n v="280"/>
    <n v="423"/>
    <n v="393"/>
    <s v="Slurry transfer pumps and motors B"/>
    <s v="F590Place blank in 3A-1 Recycle Pump Header"/>
    <s v="Mill Creek"/>
    <x v="0"/>
    <s v="Coal"/>
    <x v="2"/>
    <x v="0"/>
    <n v="4"/>
    <n v="2.4666666666744277"/>
    <n v="0.83388494878118946"/>
    <n v="327.71678487100746"/>
    <n v="132.8581560283688"/>
    <x v="108"/>
  </r>
  <r>
    <x v="9"/>
    <x v="0"/>
    <n v="39"/>
    <n v="260"/>
    <d v="2013-04-07T12:32:00"/>
    <d v="2013-04-08T02:57:00"/>
    <n v="335"/>
    <n v="423"/>
    <n v="393"/>
    <s v="Primary air fan"/>
    <s v="F9203B Coal Mill Primary Air Fan - Inboard Bearing Wiped"/>
    <s v="Mill Creek"/>
    <x v="0"/>
    <s v="Coal"/>
    <x v="2"/>
    <x v="0"/>
    <n v="4"/>
    <n v="14.416666666686069"/>
    <n v="2.9992119779394186"/>
    <n v="1178.6903073301914"/>
    <n v="81.758865248226954"/>
    <x v="48"/>
  </r>
  <r>
    <x v="9"/>
    <x v="2"/>
    <n v="40"/>
    <n v="8125"/>
    <d v="2013-05-06T22:30:00"/>
    <d v="2013-05-07T02:45:00"/>
    <n v="285"/>
    <n v="423"/>
    <n v="393"/>
    <s v="Scrubber recycle (liquid) pumps"/>
    <s v="F590FGD 3A1 Recycle Pump - Removed Blank"/>
    <s v="Mill Creek"/>
    <x v="0"/>
    <s v="Coal"/>
    <x v="2"/>
    <x v="0"/>
    <n v="5"/>
    <n v="4.2500000000582077"/>
    <n v="1.3865248227140252"/>
    <n v="544.90425532661186"/>
    <n v="128.21276595744681"/>
    <x v="259"/>
  </r>
  <r>
    <x v="9"/>
    <x v="2"/>
    <n v="41"/>
    <n v="8125"/>
    <d v="2013-05-08T22:00:00"/>
    <d v="2013-05-09T00:24:00"/>
    <n v="285"/>
    <n v="423"/>
    <n v="393"/>
    <s v="Scrubber recycle (liquid) pumps"/>
    <s v="F590FGD 3A1 Recycle Pump - Installed Blank"/>
    <s v="Mill Creek"/>
    <x v="0"/>
    <s v="Coal"/>
    <x v="2"/>
    <x v="0"/>
    <n v="5"/>
    <n v="2.4000000001396984"/>
    <n v="0.78297872344983066"/>
    <n v="307.71063831578346"/>
    <n v="128.21276595744681"/>
    <x v="259"/>
  </r>
  <r>
    <x v="9"/>
    <x v="0"/>
    <n v="42"/>
    <n v="260"/>
    <d v="2013-05-14T19:20:00"/>
    <d v="2013-05-14T19:53:00"/>
    <n v="355"/>
    <n v="423"/>
    <n v="393"/>
    <s v="Primary air fan"/>
    <s v="F4003D Primary Air Fan - Flow Issue"/>
    <s v="Mill Creek"/>
    <x v="0"/>
    <s v="Coal"/>
    <x v="2"/>
    <x v="0"/>
    <n v="5"/>
    <n v="0.55000000004656613"/>
    <n v="8.841607565760401E-2"/>
    <n v="34.747517733438379"/>
    <n v="63.177304964539005"/>
    <x v="187"/>
  </r>
  <r>
    <x v="9"/>
    <x v="2"/>
    <n v="43"/>
    <n v="310"/>
    <d v="2013-05-14T23:00:00"/>
    <d v="2013-05-15T02:59:00"/>
    <n v="335"/>
    <n v="423"/>
    <n v="393"/>
    <s v="Pulverizer mills"/>
    <s v="F5903D Coal Mill - Clean Pitot Tubes &amp; Check Dampers"/>
    <s v="Mill Creek"/>
    <x v="0"/>
    <s v="Coal"/>
    <x v="2"/>
    <x v="0"/>
    <n v="5"/>
    <n v="3.9833333332207985"/>
    <n v="0.82868400312867674"/>
    <n v="325.67281322956995"/>
    <n v="81.758865248226954"/>
    <x v="48"/>
  </r>
  <r>
    <x v="9"/>
    <x v="3"/>
    <n v="44"/>
    <n v="870"/>
    <d v="2013-05-15T02:59:00"/>
    <d v="2013-05-15T04:40:00"/>
    <n v="0"/>
    <n v="423"/>
    <n v="393"/>
    <s v="Soot blowers - steam"/>
    <s v="F590Wallblowers R1 - R10 Removed Power"/>
    <s v="Mill Creek"/>
    <x v="1"/>
    <s v="Coal"/>
    <x v="2"/>
    <x v="0"/>
    <n v="5"/>
    <n v="1.683333333407063"/>
    <n v="1.683333333407063"/>
    <n v="661.55000002897577"/>
    <n v="393"/>
    <x v="258"/>
  </r>
  <r>
    <x v="9"/>
    <x v="2"/>
    <n v="45"/>
    <n v="876"/>
    <d v="2013-05-16T22:00:00"/>
    <d v="2013-05-17T00:31:00"/>
    <n v="280"/>
    <n v="423"/>
    <n v="393"/>
    <s v="Soot blower controls"/>
    <s v="F590Sootblower Regulator - Repack"/>
    <s v="Mill Creek"/>
    <x v="0"/>
    <s v="Coal"/>
    <x v="2"/>
    <x v="0"/>
    <n v="5"/>
    <n v="2.5166666666627862"/>
    <n v="0.85078802206330595"/>
    <n v="334.35969267087921"/>
    <n v="132.8581560283688"/>
    <x v="108"/>
  </r>
  <r>
    <x v="9"/>
    <x v="2"/>
    <n v="46"/>
    <n v="8125"/>
    <d v="2013-05-23T21:30:00"/>
    <d v="2013-05-24T03:30:00"/>
    <n v="280"/>
    <n v="423"/>
    <n v="393"/>
    <s v="Scrubber recycle (liquid) pumps"/>
    <s v="F590FGD 3A1 Recycle Pump - Remove Blank"/>
    <s v="Mill Creek"/>
    <x v="0"/>
    <s v="Coal"/>
    <x v="2"/>
    <x v="0"/>
    <n v="5"/>
    <n v="6"/>
    <n v="2.0283687943262412"/>
    <n v="797.14893617021278"/>
    <n v="132.8581560283688"/>
    <x v="108"/>
  </r>
  <r>
    <x v="9"/>
    <x v="2"/>
    <n v="47"/>
    <n v="8125"/>
    <d v="2013-05-27T21:00:00"/>
    <d v="2013-05-28T02:10:00"/>
    <n v="280"/>
    <n v="423"/>
    <n v="393"/>
    <s v="Scrubber recycle (liquid) pumps"/>
    <s v="F590FGD 3A1 Recycle Pump - Install Blank"/>
    <s v="Mill Creek"/>
    <x v="0"/>
    <s v="Coal"/>
    <x v="2"/>
    <x v="0"/>
    <n v="5"/>
    <n v="5.1666666667442769"/>
    <n v="1.7466509062516113"/>
    <n v="686.43380615688329"/>
    <n v="132.8581560283688"/>
    <x v="108"/>
  </r>
  <r>
    <x v="9"/>
    <x v="5"/>
    <n v="48"/>
    <n v="1455"/>
    <d v="2013-05-31T00:51:00"/>
    <d v="2013-05-31T03:44:00"/>
    <n v="0"/>
    <n v="423"/>
    <n v="393"/>
    <s v="Induced draft fans"/>
    <s v="F8203A Induced Draft Fan - Suction Pressure High Trip"/>
    <s v="Mill Creek"/>
    <x v="3"/>
    <s v="Coal"/>
    <x v="2"/>
    <x v="0"/>
    <n v="5"/>
    <n v="2.8833333333022892"/>
    <n v="2.8833333333022892"/>
    <n v="1133.1499999877997"/>
    <n v="393"/>
    <x v="258"/>
  </r>
  <r>
    <x v="9"/>
    <x v="3"/>
    <n v="49"/>
    <n v="1850"/>
    <d v="2013-05-31T03:44:00"/>
    <d v="2013-05-31T07:30:00"/>
    <n v="0"/>
    <n v="423"/>
    <n v="393"/>
    <s v="Boiler water condition (not feedwater water quality)"/>
    <s v="F170High Silica @ Very Hot Start Up"/>
    <s v="Mill Creek"/>
    <x v="1"/>
    <s v="Coal"/>
    <x v="2"/>
    <x v="0"/>
    <n v="5"/>
    <n v="3.7666666667209938"/>
    <n v="3.7666666667209938"/>
    <n v="1480.3000000213506"/>
    <n v="393"/>
    <x v="258"/>
  </r>
  <r>
    <x v="9"/>
    <x v="0"/>
    <n v="50"/>
    <n v="8825"/>
    <d v="2013-05-31T07:30:00"/>
    <d v="2013-05-31T11:00:00"/>
    <n v="190"/>
    <n v="423"/>
    <n v="393"/>
    <s v="Other SCR NOx problems"/>
    <s v="F090SCR Dampers - Calibrate"/>
    <s v="Mill Creek"/>
    <x v="0"/>
    <s v="Coal"/>
    <x v="2"/>
    <x v="0"/>
    <n v="5"/>
    <n v="3.5000000000582077"/>
    <n v="1.9278959811195329"/>
    <n v="757.66312057997641"/>
    <n v="216.47517730496455"/>
    <x v="185"/>
  </r>
  <r>
    <x v="9"/>
    <x v="0"/>
    <n v="51"/>
    <n v="8127"/>
    <d v="2013-06-11T18:47:00"/>
    <d v="2013-06-12T08:10:00"/>
    <n v="330"/>
    <n v="423"/>
    <n v="393"/>
    <s v="Scrubber recycle (liquid) pump motors"/>
    <s v="F7803A1 &amp; 3B3 recycle pumps not available - SO2 compliance"/>
    <s v="Mill Creek"/>
    <x v="0"/>
    <s v="Coal"/>
    <x v="2"/>
    <x v="0"/>
    <n v="6"/>
    <n v="13.383333333476912"/>
    <n v="2.9424349882112359"/>
    <n v="1156.3769503670158"/>
    <n v="86.40425531914893"/>
    <x v="173"/>
  </r>
  <r>
    <x v="9"/>
    <x v="2"/>
    <n v="52"/>
    <n v="8125"/>
    <d v="2013-06-12T23:00:00"/>
    <d v="2013-06-12T23:50:00"/>
    <n v="280"/>
    <n v="423"/>
    <n v="393"/>
    <s v="Scrubber recycle (liquid) pumps"/>
    <s v="F590Removed Blank from 3A1 recycle pump"/>
    <s v="Mill Creek"/>
    <x v="0"/>
    <s v="Coal"/>
    <x v="2"/>
    <x v="0"/>
    <n v="6"/>
    <n v="0.83333333325572312"/>
    <n v="0.28171788807462977"/>
    <n v="110.7151300133295"/>
    <n v="132.8581560283688"/>
    <x v="108"/>
  </r>
  <r>
    <x v="9"/>
    <x v="5"/>
    <n v="53"/>
    <n v="4460"/>
    <d v="2013-06-16T23:46:00"/>
    <d v="2013-06-17T01:18:00"/>
    <n v="0"/>
    <n v="423"/>
    <n v="393"/>
    <s v="Turbine overspeed trip test"/>
    <s v="F820Tripped during Turbine Overspeed Test"/>
    <s v="Mill Creek"/>
    <x v="3"/>
    <s v="Coal"/>
    <x v="2"/>
    <x v="0"/>
    <n v="6"/>
    <n v="1.5333333334419876"/>
    <n v="1.5333333334419876"/>
    <n v="602.60000004270114"/>
    <n v="393"/>
    <x v="258"/>
  </r>
  <r>
    <x v="9"/>
    <x v="3"/>
    <n v="54"/>
    <n v="1850"/>
    <d v="2013-06-17T01:18:00"/>
    <d v="2013-06-17T10:47:00"/>
    <n v="0"/>
    <n v="423"/>
    <n v="393"/>
    <s v="Boiler water condition (not feedwater water quality)"/>
    <s v="F170High Silica @ Very Hot Start Up"/>
    <s v="Mill Creek"/>
    <x v="1"/>
    <s v="Coal"/>
    <x v="2"/>
    <x v="0"/>
    <n v="6"/>
    <n v="9.4833333333372138"/>
    <n v="9.4833333333372138"/>
    <n v="3726.950000001525"/>
    <n v="393"/>
    <x v="258"/>
  </r>
  <r>
    <x v="9"/>
    <x v="5"/>
    <n v="55"/>
    <n v="1000"/>
    <d v="2013-06-17T21:30:00"/>
    <d v="2013-06-19T20:26:00"/>
    <n v="0"/>
    <n v="423"/>
    <n v="393"/>
    <s v="Waterwall (Furnace wall) A"/>
    <s v="F540Boiler Tube Leak - Waterwall"/>
    <s v="Mill Creek"/>
    <x v="3"/>
    <s v="Coal"/>
    <x v="2"/>
    <x v="0"/>
    <n v="6"/>
    <n v="46.933333333348855"/>
    <n v="46.933333333348855"/>
    <n v="18444.8000000061"/>
    <n v="393"/>
    <x v="258"/>
  </r>
  <r>
    <x v="9"/>
    <x v="3"/>
    <n v="56"/>
    <n v="1850"/>
    <d v="2013-06-19T20:26:00"/>
    <d v="2013-06-19T20:59:00"/>
    <n v="0"/>
    <n v="423"/>
    <n v="393"/>
    <s v="Boiler water condition (not feedwater water quality)"/>
    <s v="F170High Silica @ Hot Start Up"/>
    <s v="Mill Creek"/>
    <x v="1"/>
    <s v="Coal"/>
    <x v="2"/>
    <x v="0"/>
    <n v="6"/>
    <n v="0.54999999987194315"/>
    <n v="0.54999999987194315"/>
    <n v="216.14999994967366"/>
    <n v="393"/>
    <x v="258"/>
  </r>
  <r>
    <x v="9"/>
    <x v="5"/>
    <n v="57"/>
    <n v="800"/>
    <d v="2013-06-19T20:59:00"/>
    <d v="2013-06-19T21:47:00"/>
    <n v="0"/>
    <n v="423"/>
    <n v="393"/>
    <s v="Drums and drum internals (single drum only)"/>
    <s v="F420Low Drum Level Trip - Operator Error"/>
    <s v="Mill Creek"/>
    <x v="3"/>
    <s v="Coal"/>
    <x v="2"/>
    <x v="0"/>
    <n v="6"/>
    <n v="0.79999999998835847"/>
    <n v="0.79999999998835847"/>
    <n v="314.39999999542488"/>
    <n v="393"/>
    <x v="258"/>
  </r>
  <r>
    <x v="9"/>
    <x v="3"/>
    <n v="58"/>
    <n v="1850"/>
    <d v="2013-06-19T21:47:00"/>
    <d v="2013-06-20T08:30:00"/>
    <n v="0"/>
    <n v="423"/>
    <n v="393"/>
    <s v="Boiler water condition (not feedwater water quality)"/>
    <s v="F170High Silica @ Hot Start Up"/>
    <s v="Mill Creek"/>
    <x v="1"/>
    <s v="Coal"/>
    <x v="2"/>
    <x v="0"/>
    <n v="6"/>
    <n v="10.716666666674428"/>
    <n v="10.716666666674428"/>
    <n v="4211.6500000030501"/>
    <n v="393"/>
    <x v="258"/>
  </r>
  <r>
    <x v="9"/>
    <x v="0"/>
    <n v="59"/>
    <n v="3412"/>
    <d v="2013-06-22T17:50:00"/>
    <d v="2013-06-22T21:10:00"/>
    <n v="200"/>
    <n v="423"/>
    <n v="393"/>
    <s v="Feedwater pump drive - steam turbine"/>
    <s v="F540Turbine Driven Boiler Feed Pump - EHC Leak at High Pressure Stop Valve o-ring"/>
    <s v="Mill Creek"/>
    <x v="0"/>
    <s v="Coal"/>
    <x v="2"/>
    <x v="0"/>
    <n v="6"/>
    <n v="3.3333333333721384"/>
    <n v="1.7572892041181722"/>
    <n v="690.61465721844172"/>
    <n v="207.18439716312056"/>
    <x v="144"/>
  </r>
  <r>
    <x v="9"/>
    <x v="0"/>
    <n v="60"/>
    <n v="3412"/>
    <d v="2013-06-22T21:10:00"/>
    <d v="2013-06-22T23:38:00"/>
    <n v="170"/>
    <n v="423"/>
    <n v="393"/>
    <s v="Feedwater pump drive - steam turbine"/>
    <s v="F540Turbine Driven Boiler Feed Pump - EHC Leak at High Pressure Stop Valve o-ring"/>
    <s v="Mill Creek"/>
    <x v="0"/>
    <s v="Coal"/>
    <x v="2"/>
    <x v="0"/>
    <n v="6"/>
    <n v="2.4666666666744277"/>
    <n v="1.4753349093821044"/>
    <n v="579.80661938716707"/>
    <n v="235.05673758865248"/>
    <x v="260"/>
  </r>
  <r>
    <x v="9"/>
    <x v="2"/>
    <n v="61"/>
    <n v="250"/>
    <d v="2013-06-24T22:00:00"/>
    <d v="2013-06-25T03:00:00"/>
    <n v="325"/>
    <n v="423"/>
    <n v="393"/>
    <s v="Pulverizer feeders"/>
    <s v="F0903A Coal Feeder - Calibration &amp; Mill Inspection"/>
    <s v="Mill Creek"/>
    <x v="0"/>
    <s v="Coal"/>
    <x v="2"/>
    <x v="0"/>
    <n v="6"/>
    <n v="5.0000000000582077"/>
    <n v="1.1583924350016652"/>
    <n v="455.24822695565445"/>
    <n v="91.049645390070921"/>
    <x v="42"/>
  </r>
  <r>
    <x v="9"/>
    <x v="2"/>
    <n v="62"/>
    <n v="250"/>
    <d v="2013-06-25T22:00:00"/>
    <d v="2013-06-26T00:40:00"/>
    <n v="325"/>
    <n v="423"/>
    <n v="393"/>
    <s v="Pulverizer feeders"/>
    <s v="F0903B Coal Feeder - Calibration Cancelled"/>
    <s v="Mill Creek"/>
    <x v="0"/>
    <s v="Coal"/>
    <x v="2"/>
    <x v="0"/>
    <n v="6"/>
    <n v="2.6666666668024845"/>
    <n v="0.61780929869182855"/>
    <n v="242.79905438588861"/>
    <n v="91.049645390070921"/>
    <x v="42"/>
  </r>
  <r>
    <x v="9"/>
    <x v="2"/>
    <n v="63"/>
    <n v="250"/>
    <d v="2013-06-27T22:00:00"/>
    <d v="2013-06-28T04:05:00"/>
    <n v="325"/>
    <n v="423"/>
    <n v="393"/>
    <s v="Pulverizer feeders"/>
    <s v="F0903B Coal Feeder - Calibration &amp; Clean Out Lower Bunker Valve"/>
    <s v="Mill Creek"/>
    <x v="0"/>
    <s v="Coal"/>
    <x v="2"/>
    <x v="0"/>
    <n v="6"/>
    <n v="6.0833333334303461"/>
    <n v="1.4093774625914277"/>
    <n v="553.88534279843111"/>
    <n v="91.049645390070921"/>
    <x v="42"/>
  </r>
  <r>
    <x v="9"/>
    <x v="2"/>
    <n v="64"/>
    <n v="250"/>
    <d v="2013-06-30T23:00:00"/>
    <d v="2013-07-01T03:50:00"/>
    <n v="325"/>
    <n v="423"/>
    <n v="393"/>
    <s v="Pulverizer feeders"/>
    <s v="F0903C Coal Feeder - Calibration"/>
    <s v="Mill Creek"/>
    <x v="0"/>
    <s v="Coal"/>
    <x v="2"/>
    <x v="0"/>
    <n v="6"/>
    <n v="4.8333333331975155"/>
    <n v="1.119779353790441"/>
    <n v="440.07328603964334"/>
    <n v="91.049645390070921"/>
    <x v="42"/>
  </r>
  <r>
    <x v="9"/>
    <x v="2"/>
    <n v="65"/>
    <n v="250"/>
    <d v="2013-07-01T22:30:00"/>
    <d v="2013-07-02T04:16:00"/>
    <n v="325"/>
    <n v="423"/>
    <n v="393"/>
    <s v="Pulverizer feeders"/>
    <s v="F0903D Coal Feeder - Calibration"/>
    <s v="Mill Creek"/>
    <x v="0"/>
    <s v="Coal"/>
    <x v="2"/>
    <x v="0"/>
    <n v="7"/>
    <n v="5.7666666666045785"/>
    <n v="1.3360126083386494"/>
    <n v="525.05295507708922"/>
    <n v="91.049645390070921"/>
    <x v="42"/>
  </r>
  <r>
    <x v="9"/>
    <x v="0"/>
    <n v="66"/>
    <n v="320"/>
    <d v="2013-07-05T05:34:00"/>
    <d v="2013-07-05T08:06:00"/>
    <n v="330"/>
    <n v="423"/>
    <n v="393"/>
    <s v="Foreign object in Pulverizers mill"/>
    <s v="F1203A Coal Mill - Foreign Object in Mill"/>
    <s v="Mill Creek"/>
    <x v="0"/>
    <s v="Coal"/>
    <x v="2"/>
    <x v="0"/>
    <n v="7"/>
    <n v="2.53333333338378"/>
    <n v="0.55697399528295877"/>
    <n v="218.89078014620279"/>
    <n v="86.40425531914893"/>
    <x v="173"/>
  </r>
  <r>
    <x v="9"/>
    <x v="0"/>
    <n v="67"/>
    <n v="1400"/>
    <d v="2013-07-14T16:49:00"/>
    <d v="2013-07-14T20:39:00"/>
    <n v="415"/>
    <n v="423"/>
    <n v="393"/>
    <s v="Forced draft fans"/>
    <s v="F400Forced Draft Fans - Maxed Out"/>
    <s v="Mill Creek"/>
    <x v="0"/>
    <s v="Coal"/>
    <x v="2"/>
    <x v="0"/>
    <n v="7"/>
    <n v="3.8333333334303461"/>
    <n v="7.2498029946673218E-2"/>
    <n v="28.491725769042574"/>
    <n v="7.4326241134751774"/>
    <x v="13"/>
  </r>
  <r>
    <x v="9"/>
    <x v="2"/>
    <n v="68"/>
    <n v="350"/>
    <d v="2013-07-16T23:00:00"/>
    <d v="2013-07-17T03:00:00"/>
    <n v="325"/>
    <n v="423"/>
    <n v="393"/>
    <s v="Pulverized fuel and air piping (from pulverizer to wind box)"/>
    <s v="F5903C Coal Mill - Install Duct Port"/>
    <s v="Mill Creek"/>
    <x v="0"/>
    <s v="Coal"/>
    <x v="2"/>
    <x v="0"/>
    <n v="7"/>
    <n v="3.9999999999417923"/>
    <n v="0.92671394797705831"/>
    <n v="364.19858155498389"/>
    <n v="91.049645390070921"/>
    <x v="42"/>
  </r>
  <r>
    <x v="9"/>
    <x v="0"/>
    <n v="69"/>
    <n v="1710"/>
    <d v="2013-07-23T12:40:00"/>
    <d v="2013-07-23T14:35:00"/>
    <n v="408"/>
    <n v="423"/>
    <n v="393"/>
    <s v="Combustion/steam condition controls (report local controls --- burners"/>
    <s v="F400Max Steam Flow Issue"/>
    <s v="Mill Creek"/>
    <x v="0"/>
    <s v="Coal"/>
    <x v="2"/>
    <x v="0"/>
    <n v="7"/>
    <n v="1.9166666666278616"/>
    <n v="6.7966903071909987E-2"/>
    <n v="26.710992907260625"/>
    <n v="13.936170212765957"/>
    <x v="61"/>
  </r>
  <r>
    <x v="9"/>
    <x v="0"/>
    <n v="70"/>
    <n v="1710"/>
    <d v="2013-07-23T14:35:00"/>
    <d v="2013-07-23T18:04:00"/>
    <n v="416"/>
    <n v="423"/>
    <n v="393"/>
    <s v="Combustion/steam condition controls (report local controls --- burners"/>
    <s v="F400Max Steam Flow Issue"/>
    <s v="Mill Creek"/>
    <x v="0"/>
    <s v="Coal"/>
    <x v="2"/>
    <x v="0"/>
    <n v="7"/>
    <n v="3.4833333333372138"/>
    <n v="5.764381402685697E-2"/>
    <n v="22.65401891255479"/>
    <n v="6.5035460992907801"/>
    <x v="13"/>
  </r>
  <r>
    <x v="9"/>
    <x v="3"/>
    <n v="71"/>
    <n v="9999"/>
    <d v="2013-07-31T09:00:00"/>
    <d v="2013-07-31T13:00:00"/>
    <n v="0"/>
    <n v="423"/>
    <n v="393"/>
    <s v="Total unit performance testing (use appropriate codes for individual component testing)"/>
    <s v="F790Full Load Capability Test"/>
    <s v="Mill Creek"/>
    <x v="1"/>
    <s v="Coal"/>
    <x v="2"/>
    <x v="0"/>
    <n v="7"/>
    <n v="3.9999999999417923"/>
    <n v="3.9999999999417923"/>
    <n v="1571.9999999771244"/>
    <n v="393"/>
    <x v="258"/>
  </r>
  <r>
    <x v="9"/>
    <x v="0"/>
    <n v="72"/>
    <n v="360"/>
    <d v="2013-08-02T02:00:00"/>
    <d v="2013-08-02T02:43:00"/>
    <n v="330"/>
    <n v="423"/>
    <n v="393"/>
    <s v="Burners"/>
    <s v="F7803C3 Coal Burner - Inspection, High Temperature"/>
    <s v="Mill Creek"/>
    <x v="0"/>
    <s v="Coal"/>
    <x v="2"/>
    <x v="0"/>
    <n v="8"/>
    <n v="0.71666666655801237"/>
    <n v="0.15756501179644244"/>
    <n v="61.923049636001878"/>
    <n v="86.40425531914893"/>
    <x v="173"/>
  </r>
  <r>
    <x v="9"/>
    <x v="4"/>
    <n v="73"/>
    <n v="3110"/>
    <d v="2013-08-02T21:24:00"/>
    <d v="2013-08-04T03:27:00"/>
    <n v="0"/>
    <n v="423"/>
    <n v="393"/>
    <s v="Condenser tube leaks"/>
    <s v="F540Condenser Tube Leak"/>
    <s v="Mill Creek"/>
    <x v="2"/>
    <s v="Coal"/>
    <x v="2"/>
    <x v="0"/>
    <n v="8"/>
    <n v="30.049999999988358"/>
    <n v="30.049999999988358"/>
    <n v="11809.649999995425"/>
    <n v="393"/>
    <x v="258"/>
  </r>
  <r>
    <x v="9"/>
    <x v="3"/>
    <n v="74"/>
    <n v="1850"/>
    <d v="2013-08-04T03:27:00"/>
    <d v="2013-08-04T16:11:00"/>
    <n v="0"/>
    <n v="423"/>
    <n v="393"/>
    <s v="Boiler water condition (not feedwater water quality)"/>
    <s v="F170High Silica @ Hot Start Up"/>
    <s v="Mill Creek"/>
    <x v="1"/>
    <s v="Coal"/>
    <x v="2"/>
    <x v="0"/>
    <n v="8"/>
    <n v="12.733333333279006"/>
    <n v="12.733333333279006"/>
    <n v="5004.1999999786494"/>
    <n v="393"/>
    <x v="258"/>
  </r>
  <r>
    <x v="9"/>
    <x v="0"/>
    <n v="75"/>
    <n v="3412"/>
    <d v="2013-08-05T03:26:00"/>
    <d v="2013-08-05T07:01:00"/>
    <n v="140"/>
    <n v="423"/>
    <n v="393"/>
    <s v="Feedwater pump drive - steam turbine"/>
    <s v="F590Boiler Feed Pump Turbine Driven - Mechanical Overspeed Trip Solenoid Stuck"/>
    <s v="Mill Creek"/>
    <x v="0"/>
    <s v="Coal"/>
    <x v="2"/>
    <x v="0"/>
    <n v="8"/>
    <n v="3.5833333333139308"/>
    <n v="2.3973601260705495"/>
    <n v="942.16252954572599"/>
    <n v="262.92907801418437"/>
    <x v="261"/>
  </r>
  <r>
    <x v="9"/>
    <x v="0"/>
    <n v="76"/>
    <n v="360"/>
    <d v="2013-08-05T08:43:00"/>
    <d v="2013-08-05T09:42:00"/>
    <n v="330"/>
    <n v="423"/>
    <n v="393"/>
    <s v="Burners"/>
    <s v="F5303B10 Coal Burner - Inspection"/>
    <s v="Mill Creek"/>
    <x v="0"/>
    <s v="Coal"/>
    <x v="2"/>
    <x v="0"/>
    <n v="8"/>
    <n v="0.9833333333954215"/>
    <n v="0.21619385344154657"/>
    <n v="84.964184402527806"/>
    <n v="86.40425531914893"/>
    <x v="173"/>
  </r>
  <r>
    <x v="9"/>
    <x v="0"/>
    <n v="77"/>
    <n v="360"/>
    <d v="2013-08-07T01:57:00"/>
    <d v="2013-08-07T06:32:00"/>
    <n v="320"/>
    <n v="423"/>
    <n v="393"/>
    <s v="Burners"/>
    <s v="F5903C8 Coal Burner - Blank Installed"/>
    <s v="Mill Creek"/>
    <x v="0"/>
    <s v="Coal"/>
    <x v="2"/>
    <x v="0"/>
    <n v="8"/>
    <n v="4.5833333332557231"/>
    <n v="1.1160362489960745"/>
    <n v="438.60224585545728"/>
    <n v="95.695035460992912"/>
    <x v="41"/>
  </r>
  <r>
    <x v="9"/>
    <x v="0"/>
    <n v="78"/>
    <n v="3149"/>
    <d v="2013-08-07T18:37:00"/>
    <d v="2013-08-07T20:23:00"/>
    <n v="410"/>
    <n v="423"/>
    <n v="393"/>
    <s v="Loss of vacuum not attributable to a particular component such as air ejectors or valves; or"/>
    <s v="F660High Back Pressure due to 3G &amp; 3H Cooling Tower Fans being out of service"/>
    <s v="Mill Creek"/>
    <x v="0"/>
    <s v="Coal"/>
    <x v="2"/>
    <x v="0"/>
    <n v="8"/>
    <n v="1.7666666668374091"/>
    <n v="5.4294720257414462E-2"/>
    <n v="21.337825061163883"/>
    <n v="12.078014184397164"/>
    <x v="24"/>
  </r>
  <r>
    <x v="9"/>
    <x v="0"/>
    <n v="79"/>
    <n v="3149"/>
    <d v="2013-08-09T13:58:00"/>
    <d v="2013-08-09T15:50:00"/>
    <n v="417"/>
    <n v="423"/>
    <n v="393"/>
    <s v="Loss of vacuum not attributable to a particular component such as air ejectors or valves; or"/>
    <s v="F660High Back Pressure"/>
    <s v="Mill Creek"/>
    <x v="0"/>
    <s v="Coal"/>
    <x v="2"/>
    <x v="0"/>
    <n v="8"/>
    <n v="1.8666666666395031"/>
    <n v="2.6477541370773093E-2"/>
    <n v="10.405673758713826"/>
    <n v="5.5744680851063828"/>
    <x v="151"/>
  </r>
  <r>
    <x v="9"/>
    <x v="0"/>
    <n v="80"/>
    <n v="3149"/>
    <d v="2013-08-09T15:50:00"/>
    <d v="2013-08-09T16:05:00"/>
    <n v="410"/>
    <n v="423"/>
    <n v="393"/>
    <s v="Loss of vacuum not attributable to a particular component such as air ejectors or valves; or"/>
    <s v="F660High Back Pressure"/>
    <s v="Mill Creek"/>
    <x v="0"/>
    <s v="Coal"/>
    <x v="2"/>
    <x v="0"/>
    <n v="8"/>
    <n v="0.25000000011641532"/>
    <n v="7.6832151336014166E-3"/>
    <n v="3.0195035475053569"/>
    <n v="12.078014184397164"/>
    <x v="24"/>
  </r>
  <r>
    <x v="9"/>
    <x v="0"/>
    <n v="81"/>
    <n v="3149"/>
    <d v="2013-08-09T16:05:00"/>
    <d v="2013-08-09T18:52:00"/>
    <n v="405"/>
    <n v="423"/>
    <n v="393"/>
    <s v="Loss of vacuum not attributable to a particular component such as air ejectors or valves; or"/>
    <s v="F660High Back Pressure"/>
    <s v="Mill Creek"/>
    <x v="0"/>
    <s v="Coal"/>
    <x v="2"/>
    <x v="0"/>
    <n v="8"/>
    <n v="2.7833333333255723"/>
    <n v="0.11843971631172648"/>
    <n v="46.546808510508505"/>
    <n v="16.723404255319149"/>
    <x v="262"/>
  </r>
  <r>
    <x v="9"/>
    <x v="5"/>
    <n v="82"/>
    <n v="3662"/>
    <d v="2013-08-23T02:03:00"/>
    <d v="2013-08-23T12:47:00"/>
    <n v="0"/>
    <n v="423"/>
    <n v="393"/>
    <s v="4160-volt conductors and buses"/>
    <s v="F8203A2 4KV Bus Undervoltage Trip"/>
    <s v="Mill Creek"/>
    <x v="3"/>
    <s v="Coal"/>
    <x v="2"/>
    <x v="0"/>
    <n v="8"/>
    <n v="10.733333333220799"/>
    <n v="10.733333333220799"/>
    <n v="4218.1999999557738"/>
    <n v="393"/>
    <x v="258"/>
  </r>
  <r>
    <x v="9"/>
    <x v="2"/>
    <n v="83"/>
    <n v="260"/>
    <d v="2013-08-23T12:47:00"/>
    <d v="2013-08-23T22:49:00"/>
    <n v="325"/>
    <n v="423"/>
    <n v="393"/>
    <s v="Primary air fan"/>
    <s v="F5903B Coal Mill - Replace Primary Air Fan Venturi"/>
    <s v="Mill Creek"/>
    <x v="0"/>
    <s v="Coal"/>
    <x v="2"/>
    <x v="0"/>
    <n v="8"/>
    <n v="10.03333333338378"/>
    <n v="2.3245074862213011"/>
    <n v="913.53144208497133"/>
    <n v="91.049645390070921"/>
    <x v="42"/>
  </r>
  <r>
    <x v="9"/>
    <x v="2"/>
    <n v="84"/>
    <n v="260"/>
    <d v="2013-08-23T22:49:00"/>
    <d v="2013-08-25T10:55:00"/>
    <n v="335"/>
    <n v="423"/>
    <n v="393"/>
    <s v="Primary air fan"/>
    <s v="F5903B Coal Mill - Replace Primary Air Fan Venturi"/>
    <s v="Mill Creek"/>
    <x v="0"/>
    <s v="Coal"/>
    <x v="2"/>
    <x v="0"/>
    <n v="8"/>
    <n v="36.099999999976717"/>
    <n v="7.5101654846287262"/>
    <n v="2951.4950354590892"/>
    <n v="81.758865248226954"/>
    <x v="48"/>
  </r>
  <r>
    <x v="9"/>
    <x v="0"/>
    <n v="85"/>
    <n v="3236"/>
    <d v="2013-08-25T13:00:00"/>
    <d v="2013-08-26T03:35:00"/>
    <n v="360"/>
    <n v="423"/>
    <n v="393"/>
    <s v="Cooling tower booster motor"/>
    <s v="F660High Back Pressure due to 3A Cooling Tower Pump Motor Out of Service"/>
    <s v="Mill Creek"/>
    <x v="0"/>
    <s v="Coal"/>
    <x v="2"/>
    <x v="0"/>
    <n v="8"/>
    <n v="14.583333333372138"/>
    <n v="2.1719858156086165"/>
    <n v="853.59042553418624"/>
    <n v="58.531914893617021"/>
    <x v="83"/>
  </r>
  <r>
    <x v="9"/>
    <x v="0"/>
    <n v="86"/>
    <n v="3236"/>
    <d v="2013-08-26T03:35:00"/>
    <d v="2013-08-26T05:00:00"/>
    <n v="385"/>
    <n v="423"/>
    <n v="393"/>
    <s v="Cooling tower booster motor"/>
    <s v="F660High Back Pressure due to 3A Cooling Tower Pump Motor Out of Service"/>
    <s v="Mill Creek"/>
    <x v="0"/>
    <s v="Coal"/>
    <x v="2"/>
    <x v="0"/>
    <n v="8"/>
    <n v="1.4166666667442769"/>
    <n v="0.12726556344274828"/>
    <n v="50.015366433000075"/>
    <n v="35.304964539007095"/>
    <x v="139"/>
  </r>
  <r>
    <x v="9"/>
    <x v="0"/>
    <n v="87"/>
    <n v="3236"/>
    <d v="2013-08-26T05:00:00"/>
    <d v="2013-08-26T10:12:00"/>
    <n v="365"/>
    <n v="423"/>
    <n v="393"/>
    <s v="Cooling tower booster motor"/>
    <s v="F660High Back Pressure due to 3A Cooling Tower Pump Motor Out of Service"/>
    <s v="Mill Creek"/>
    <x v="0"/>
    <s v="Coal"/>
    <x v="2"/>
    <x v="0"/>
    <n v="8"/>
    <n v="5.2000000000116415"/>
    <n v="0.71300236406779005"/>
    <n v="280.20992907864149"/>
    <n v="53.886524822695037"/>
    <x v="158"/>
  </r>
  <r>
    <x v="9"/>
    <x v="0"/>
    <n v="88"/>
    <n v="3236"/>
    <d v="2013-08-26T10:12:00"/>
    <d v="2013-08-26T13:06:00"/>
    <n v="355"/>
    <n v="423"/>
    <n v="393"/>
    <s v="Cooling tower booster motor"/>
    <s v="F660High Back Pressure due to 3A Cooling Tower Pump Motor Out of Service"/>
    <s v="Mill Creek"/>
    <x v="0"/>
    <s v="Coal"/>
    <x v="2"/>
    <x v="0"/>
    <n v="8"/>
    <n v="2.8999999998486601"/>
    <n v="0.46619385340356712"/>
    <n v="183.21418438760188"/>
    <n v="63.177304964539005"/>
    <x v="187"/>
  </r>
  <r>
    <x v="9"/>
    <x v="0"/>
    <n v="89"/>
    <n v="3236"/>
    <d v="2013-08-26T13:06:00"/>
    <d v="2013-08-27T03:40:00"/>
    <n v="350"/>
    <n v="423"/>
    <n v="393"/>
    <s v="Cooling tower booster motor"/>
    <s v="F660High Back Pressure due to 3A Cooling Tower Pump Motor Out of Service"/>
    <s v="Mill Creek"/>
    <x v="0"/>
    <s v="Coal"/>
    <x v="2"/>
    <x v="0"/>
    <n v="8"/>
    <n v="14.566666666825768"/>
    <n v="2.5138691883647306"/>
    <n v="987.9505910273391"/>
    <n v="67.822695035460995"/>
    <x v="208"/>
  </r>
  <r>
    <x v="9"/>
    <x v="0"/>
    <n v="90"/>
    <n v="3236"/>
    <d v="2013-08-27T03:40:00"/>
    <d v="2013-08-27T05:03:00"/>
    <n v="370"/>
    <n v="423"/>
    <n v="393"/>
    <s v="Cooling tower booster motor"/>
    <s v="F660High Back Pressure due to 3A Cooling Tower Pump Motor Out of Service"/>
    <s v="Mill Creek"/>
    <x v="0"/>
    <s v="Coal"/>
    <x v="2"/>
    <x v="0"/>
    <n v="8"/>
    <n v="1.3833333333022892"/>
    <n v="0.17332545310879746"/>
    <n v="68.116903071757406"/>
    <n v="49.241134751773046"/>
    <x v="227"/>
  </r>
  <r>
    <x v="9"/>
    <x v="0"/>
    <n v="91"/>
    <n v="3236"/>
    <d v="2013-08-27T05:03:00"/>
    <d v="2013-08-27T05:55:00"/>
    <n v="350"/>
    <n v="423"/>
    <n v="393"/>
    <s v="Cooling tower booster motor"/>
    <s v="F660High Back Pressure due to 3A Cooling Tower Pump Motor Out of Service"/>
    <s v="Mill Creek"/>
    <x v="0"/>
    <s v="Coal"/>
    <x v="2"/>
    <x v="0"/>
    <n v="8"/>
    <n v="0.86666666669771075"/>
    <n v="0.14956658786981769"/>
    <n v="58.779669032838349"/>
    <n v="67.822695035460995"/>
    <x v="208"/>
  </r>
  <r>
    <x v="9"/>
    <x v="0"/>
    <n v="92"/>
    <n v="3236"/>
    <d v="2013-08-27T05:55:00"/>
    <d v="2013-08-27T10:50:00"/>
    <n v="360"/>
    <n v="423"/>
    <n v="393"/>
    <s v="Cooling tower booster motor"/>
    <s v="F660High Back Pressure due to 3A Cooling Tower Pump Motor Out of Service"/>
    <s v="Mill Creek"/>
    <x v="0"/>
    <s v="Coal"/>
    <x v="2"/>
    <x v="0"/>
    <n v="8"/>
    <n v="4.9166666666278616"/>
    <n v="0.73226950354031983"/>
    <n v="287.78191489134571"/>
    <n v="58.531914893617021"/>
    <x v="83"/>
  </r>
  <r>
    <x v="9"/>
    <x v="0"/>
    <n v="93"/>
    <n v="3236"/>
    <d v="2013-08-27T10:50:00"/>
    <d v="2013-08-27T13:47:00"/>
    <n v="370"/>
    <n v="423"/>
    <n v="393"/>
    <s v="Cooling tower booster motor"/>
    <s v="F660High Back Pressure due to 3A Cooling Tower Pump Motor Out of Service"/>
    <s v="Mill Creek"/>
    <x v="0"/>
    <s v="Coal"/>
    <x v="2"/>
    <x v="0"/>
    <n v="8"/>
    <n v="2.9500000000116415"/>
    <n v="0.36962174941044207"/>
    <n v="145.26134751830372"/>
    <n v="49.241134751773046"/>
    <x v="227"/>
  </r>
  <r>
    <x v="9"/>
    <x v="0"/>
    <n v="94"/>
    <n v="3236"/>
    <d v="2013-08-27T13:47:00"/>
    <d v="2013-08-28T08:55:00"/>
    <n v="350"/>
    <n v="423"/>
    <n v="393"/>
    <s v="Cooling tower booster motor"/>
    <s v="F660High Back Pressure due to 3A Cooling Tower Pump Motor Out of Service"/>
    <s v="Mill Creek"/>
    <x v="0"/>
    <s v="Coal"/>
    <x v="2"/>
    <x v="0"/>
    <n v="8"/>
    <n v="19.133333333360497"/>
    <n v="3.3019700551662323"/>
    <n v="1297.6742316803293"/>
    <n v="67.822695035460995"/>
    <x v="208"/>
  </r>
  <r>
    <x v="9"/>
    <x v="0"/>
    <n v="95"/>
    <n v="3236"/>
    <d v="2013-08-28T08:55:00"/>
    <d v="2013-08-28T11:50:00"/>
    <n v="362"/>
    <n v="423"/>
    <n v="393"/>
    <s v="Cooling tower booster motor"/>
    <s v="F660High Back Pressure due to 3A Cooling Tower Pump Motor Out of Service"/>
    <s v="Mill Creek"/>
    <x v="0"/>
    <s v="Coal"/>
    <x v="2"/>
    <x v="0"/>
    <n v="8"/>
    <n v="2.9166666665696539"/>
    <n v="0.42060677697576571"/>
    <n v="165.29846335147593"/>
    <n v="56.673758865248224"/>
    <x v="184"/>
  </r>
  <r>
    <x v="9"/>
    <x v="0"/>
    <n v="96"/>
    <n v="3236"/>
    <d v="2013-08-28T11:50:00"/>
    <d v="2013-08-28T15:27:00"/>
    <n v="335"/>
    <n v="423"/>
    <n v="393"/>
    <s v="Cooling tower booster motor"/>
    <s v="F660High Back Pressure due to 3A Cooling Tower Pump Motor Out of Service"/>
    <s v="Mill Creek"/>
    <x v="0"/>
    <s v="Coal"/>
    <x v="2"/>
    <x v="0"/>
    <n v="8"/>
    <n v="3.6166666667559184"/>
    <n v="0.75240346731565211"/>
    <n v="295.6945626550513"/>
    <n v="81.758865248226954"/>
    <x v="48"/>
  </r>
  <r>
    <x v="9"/>
    <x v="0"/>
    <n v="97"/>
    <n v="3236"/>
    <d v="2013-08-28T15:27:00"/>
    <d v="2013-08-29T05:20:00"/>
    <n v="345"/>
    <n v="423"/>
    <n v="393"/>
    <s v="Cooling tower booster motor"/>
    <s v="F660High Back Pressure due to 3A Cooling Tower Pump Motor Out of Service"/>
    <s v="Mill Creek"/>
    <x v="0"/>
    <s v="Coal"/>
    <x v="2"/>
    <x v="0"/>
    <n v="8"/>
    <n v="13.883333333185874"/>
    <n v="2.5600472812966859"/>
    <n v="1006.0985815495976"/>
    <n v="72.468085106382972"/>
    <x v="243"/>
  </r>
  <r>
    <x v="9"/>
    <x v="0"/>
    <n v="98"/>
    <n v="3236"/>
    <d v="2013-08-29T05:20:00"/>
    <d v="2013-08-29T09:45:00"/>
    <n v="362"/>
    <n v="423"/>
    <n v="393"/>
    <s v="Cooling tower booster motor"/>
    <s v="F660High Back Pressure due to 3A Cooling Tower Pump Motor Out of Service"/>
    <s v="Mill Creek"/>
    <x v="0"/>
    <s v="Coal"/>
    <x v="2"/>
    <x v="0"/>
    <n v="8"/>
    <n v="4.4166666667442769"/>
    <n v="0.63691883373853642"/>
    <n v="250.30910165924482"/>
    <n v="56.673758865248224"/>
    <x v="184"/>
  </r>
  <r>
    <x v="9"/>
    <x v="0"/>
    <n v="99"/>
    <n v="3236"/>
    <d v="2013-08-29T09:45:00"/>
    <d v="2013-08-29T11:05:00"/>
    <n v="345"/>
    <n v="423"/>
    <n v="393"/>
    <s v="Cooling tower booster motor"/>
    <s v="F660High Back Pressure due to 3A Cooling Tower Pump Motor Out of Service"/>
    <s v="Mill Creek"/>
    <x v="0"/>
    <s v="Coal"/>
    <x v="2"/>
    <x v="0"/>
    <n v="8"/>
    <n v="1.3333333333139308"/>
    <n v="0.24586288415717872"/>
    <n v="96.624113473771231"/>
    <n v="72.468085106382972"/>
    <x v="243"/>
  </r>
  <r>
    <x v="9"/>
    <x v="0"/>
    <n v="100"/>
    <n v="3236"/>
    <d v="2013-08-29T11:05:00"/>
    <d v="2013-08-29T14:11:00"/>
    <n v="336"/>
    <n v="423"/>
    <n v="393"/>
    <s v="Cooling tower booster motor"/>
    <s v="F660High Back Pressure due to 3A Cooling Tower Pump Motor Out of Service"/>
    <s v="Mill Creek"/>
    <x v="0"/>
    <s v="Coal"/>
    <x v="2"/>
    <x v="0"/>
    <n v="8"/>
    <n v="3.0999999999767169"/>
    <n v="0.63758865247748076"/>
    <n v="250.57234042364993"/>
    <n v="80.829787234042556"/>
    <x v="240"/>
  </r>
  <r>
    <x v="9"/>
    <x v="0"/>
    <n v="101"/>
    <n v="3236"/>
    <d v="2013-08-29T14:11:00"/>
    <d v="2013-08-29T18:30:00"/>
    <n v="296"/>
    <n v="423"/>
    <n v="393"/>
    <s v="Cooling tower booster motor"/>
    <s v="F660High Back Pressure due to 3A Cooling Tower Pump Motor Out of Service"/>
    <s v="Mill Creek"/>
    <x v="0"/>
    <s v="Coal"/>
    <x v="2"/>
    <x v="0"/>
    <n v="8"/>
    <n v="4.3166666667675599"/>
    <n v="1.2960204886039719"/>
    <n v="509.33605202136096"/>
    <n v="117.99290780141844"/>
    <x v="40"/>
  </r>
  <r>
    <x v="9"/>
    <x v="0"/>
    <n v="102"/>
    <n v="3236"/>
    <d v="2013-08-29T18:30:00"/>
    <d v="2013-08-30T05:34:00"/>
    <n v="320"/>
    <n v="423"/>
    <n v="393"/>
    <s v="Cooling tower booster motor"/>
    <s v="F660High Back Pressure due to 3A Cooling Tower Pump Motor Out of Service"/>
    <s v="Mill Creek"/>
    <x v="0"/>
    <s v="Coal"/>
    <x v="2"/>
    <x v="0"/>
    <n v="8"/>
    <n v="11.066666666592937"/>
    <n v="2.6947202521491076"/>
    <n v="1059.0250590945993"/>
    <n v="95.695035460992912"/>
    <x v="41"/>
  </r>
  <r>
    <x v="9"/>
    <x v="0"/>
    <n v="103"/>
    <n v="3236"/>
    <d v="2013-08-30T05:34:00"/>
    <d v="2013-08-30T09:56:00"/>
    <n v="345"/>
    <n v="423"/>
    <n v="393"/>
    <s v="Cooling tower booster motor"/>
    <s v="F660High Back Pressure due to 3A Cooling Tower Pump Motor Out of Service"/>
    <s v="Mill Creek"/>
    <x v="0"/>
    <s v="Coal"/>
    <x v="2"/>
    <x v="0"/>
    <n v="8"/>
    <n v="4.3666666667559184"/>
    <n v="0.80520094564293532"/>
    <n v="316.4439716376736"/>
    <n v="72.468085106382972"/>
    <x v="243"/>
  </r>
  <r>
    <x v="9"/>
    <x v="0"/>
    <n v="104"/>
    <n v="3236"/>
    <d v="2013-08-30T09:56:00"/>
    <d v="2013-08-30T13:26:00"/>
    <n v="335"/>
    <n v="423"/>
    <n v="393"/>
    <s v="Cooling tower booster motor"/>
    <s v="F660High Back Pressure due to 3A Cooling Tower Pump Motor Out of Service"/>
    <s v="Mill Creek"/>
    <x v="0"/>
    <s v="Coal"/>
    <x v="2"/>
    <x v="0"/>
    <n v="8"/>
    <n v="3.4999999998835847"/>
    <n v="0.72813238768263699"/>
    <n v="286.15602835927632"/>
    <n v="81.758865248226954"/>
    <x v="48"/>
  </r>
  <r>
    <x v="9"/>
    <x v="0"/>
    <n v="105"/>
    <n v="3236"/>
    <d v="2013-08-30T13:26:00"/>
    <d v="2013-08-30T19:57:00"/>
    <n v="329"/>
    <n v="423"/>
    <n v="393"/>
    <s v="Cooling tower booster motor"/>
    <s v="F660High Back Pressure due to 3A Cooling Tower Pump Motor Out of Service"/>
    <s v="Mill Creek"/>
    <x v="0"/>
    <s v="Coal"/>
    <x v="2"/>
    <x v="0"/>
    <n v="8"/>
    <n v="6.5166666667792015"/>
    <n v="1.448148148173156"/>
    <n v="569.12222223205026"/>
    <n v="87.333333333333329"/>
    <x v="47"/>
  </r>
  <r>
    <x v="9"/>
    <x v="0"/>
    <n v="106"/>
    <n v="3236"/>
    <d v="2013-08-30T19:57:00"/>
    <d v="2013-09-01T09:24:00"/>
    <n v="319"/>
    <n v="423"/>
    <n v="393"/>
    <s v="Cooling tower booster motor"/>
    <s v="F660High Back Pressure due to 3A Cooling Tower Pump Motor Out of Service"/>
    <s v="Mill Creek"/>
    <x v="0"/>
    <s v="Coal"/>
    <x v="2"/>
    <x v="0"/>
    <n v="8"/>
    <n v="37.450000000011642"/>
    <n v="9.2075650118231938"/>
    <n v="3618.5730496465153"/>
    <n v="96.62411347517731"/>
    <x v="249"/>
  </r>
  <r>
    <x v="9"/>
    <x v="0"/>
    <n v="107"/>
    <n v="3236"/>
    <d v="2013-09-01T09:24:00"/>
    <d v="2013-09-01T13:00:00"/>
    <n v="344"/>
    <n v="423"/>
    <n v="393"/>
    <s v="Cooling tower booster motor"/>
    <s v="F660High Back Pressure due to 3A Cooling Tower Pump Motor Out of Service"/>
    <s v="Mill Creek"/>
    <x v="0"/>
    <s v="Coal"/>
    <x v="2"/>
    <x v="0"/>
    <n v="9"/>
    <n v="3.5999999998603016"/>
    <n v="0.67234042550582462"/>
    <n v="264.22978722378906"/>
    <n v="73.39716312056737"/>
    <x v="87"/>
  </r>
  <r>
    <x v="9"/>
    <x v="0"/>
    <n v="108"/>
    <n v="3236"/>
    <d v="2013-09-01T13:00:00"/>
    <d v="2013-09-01T15:52:00"/>
    <n v="337"/>
    <n v="423"/>
    <n v="393"/>
    <s v="Cooling tower booster motor"/>
    <s v="F660High Back Pressure due to 3A Cooling Tower Pump Motor Out of Service"/>
    <s v="Mill Creek"/>
    <x v="0"/>
    <s v="Coal"/>
    <x v="2"/>
    <x v="0"/>
    <n v="9"/>
    <n v="2.8666666667559184"/>
    <n v="0.58282111900947753"/>
    <n v="229.04869977072468"/>
    <n v="79.900709219858157"/>
    <x v="192"/>
  </r>
  <r>
    <x v="9"/>
    <x v="0"/>
    <n v="109"/>
    <n v="3236"/>
    <d v="2013-09-01T15:52:00"/>
    <d v="2013-09-02T17:52:00"/>
    <n v="320"/>
    <n v="423"/>
    <n v="393"/>
    <s v="Cooling tower booster motor"/>
    <s v="F660High Back Pressure due to 3A Cooling Tower Pump Motor Out of Service"/>
    <s v="Mill Creek"/>
    <x v="0"/>
    <s v="Coal"/>
    <x v="2"/>
    <x v="0"/>
    <n v="9"/>
    <n v="25.999999999883585"/>
    <n v="6.3309692671111328"/>
    <n v="2488.070921974675"/>
    <n v="95.695035460992912"/>
    <x v="41"/>
  </r>
  <r>
    <x v="9"/>
    <x v="0"/>
    <n v="110"/>
    <n v="3236"/>
    <d v="2013-09-02T17:52:00"/>
    <d v="2013-09-03T17:18:00"/>
    <n v="330"/>
    <n v="423"/>
    <n v="393"/>
    <s v="Cooling tower booster motor"/>
    <s v="F660High Back Pressure due to 3A Cooling Tower Pump Motor Out of Service"/>
    <s v="Mill Creek"/>
    <x v="0"/>
    <s v="Coal"/>
    <x v="2"/>
    <x v="0"/>
    <n v="9"/>
    <n v="23.433333333407063"/>
    <n v="5.1520094562809851"/>
    <n v="2024.7397163184271"/>
    <n v="86.40425531914893"/>
    <x v="173"/>
  </r>
  <r>
    <x v="9"/>
    <x v="0"/>
    <n v="111"/>
    <n v="3236"/>
    <d v="2013-09-03T17:18:00"/>
    <d v="2013-09-04T08:00:00"/>
    <n v="343"/>
    <n v="423"/>
    <n v="393"/>
    <s v="Cooling tower booster motor"/>
    <s v="F660High Back Pressure due to 3A Cooling Tower Pump Motor Out of Service"/>
    <s v="Mill Creek"/>
    <x v="0"/>
    <s v="Coal"/>
    <x v="2"/>
    <x v="0"/>
    <n v="9"/>
    <n v="14.700000000069849"/>
    <n v="2.7801418439848415"/>
    <n v="1092.5957446860427"/>
    <n v="74.326241134751768"/>
    <x v="29"/>
  </r>
  <r>
    <x v="9"/>
    <x v="0"/>
    <n v="112"/>
    <n v="3236"/>
    <d v="2013-09-04T08:00:00"/>
    <d v="2013-09-04T13:50:00"/>
    <n v="360"/>
    <n v="423"/>
    <n v="393"/>
    <s v="Cooling tower booster motor"/>
    <s v="F660High Back Pressure due to 3A Cooling Tower Pump Motor Out of Service"/>
    <s v="Mill Creek"/>
    <x v="0"/>
    <s v="Coal"/>
    <x v="2"/>
    <x v="0"/>
    <n v="9"/>
    <n v="5.8333333333139308"/>
    <n v="0.86879432623824504"/>
    <n v="341.43617021163033"/>
    <n v="58.531914893617021"/>
    <x v="83"/>
  </r>
  <r>
    <x v="9"/>
    <x v="0"/>
    <n v="113"/>
    <n v="3236"/>
    <d v="2013-09-04T13:50:00"/>
    <d v="2013-09-04T17:45:00"/>
    <n v="375"/>
    <n v="423"/>
    <n v="393"/>
    <s v="Cooling tower booster motor"/>
    <s v="F660High Back Pressure due to 3A Cooling Tower Pump Motor Out of Service"/>
    <s v="Mill Creek"/>
    <x v="0"/>
    <s v="Coal"/>
    <x v="2"/>
    <x v="0"/>
    <n v="9"/>
    <n v="3.9166666666860692"/>
    <n v="0.44444444444664616"/>
    <n v="174.66666666753193"/>
    <n v="44.595744680851062"/>
    <x v="23"/>
  </r>
  <r>
    <x v="9"/>
    <x v="0"/>
    <n v="114"/>
    <n v="3236"/>
    <d v="2013-09-04T17:45:00"/>
    <d v="2013-09-05T07:27:00"/>
    <n v="344"/>
    <n v="423"/>
    <n v="393"/>
    <s v="Cooling tower booster motor"/>
    <s v="F660High Back Pressure due to 3A Cooling Tower Pump Motor Out of Service"/>
    <s v="Mill Creek"/>
    <x v="0"/>
    <s v="Coal"/>
    <x v="2"/>
    <x v="0"/>
    <n v="9"/>
    <n v="13.699999999953434"/>
    <n v="2.5586288415988681"/>
    <n v="1005.5411347483551"/>
    <n v="73.39716312056737"/>
    <x v="87"/>
  </r>
  <r>
    <x v="9"/>
    <x v="0"/>
    <n v="115"/>
    <n v="3236"/>
    <d v="2013-09-05T07:27:00"/>
    <d v="2013-09-05T08:58:00"/>
    <n v="365"/>
    <n v="423"/>
    <n v="393"/>
    <s v="Cooling tower booster motor"/>
    <s v="F660High Back Pressure due to 3A Cooling Tower Pump Motor Out of Service"/>
    <s v="Mill Creek"/>
    <x v="0"/>
    <s v="Coal"/>
    <x v="2"/>
    <x v="0"/>
    <n v="9"/>
    <n v="1.5166666667209938"/>
    <n v="0.20795902286008899"/>
    <n v="81.727895984014978"/>
    <n v="53.886524822695037"/>
    <x v="158"/>
  </r>
  <r>
    <x v="9"/>
    <x v="0"/>
    <n v="116"/>
    <n v="3236"/>
    <d v="2013-09-05T08:58:00"/>
    <d v="2013-09-05T11:36:00"/>
    <n v="355"/>
    <n v="423"/>
    <n v="393"/>
    <s v="Cooling tower booster motor"/>
    <s v="F660High Back Pressure due to 3A Cooling Tower Pump Motor Out of Service"/>
    <s v="Mill Creek"/>
    <x v="0"/>
    <s v="Coal"/>
    <x v="2"/>
    <x v="0"/>
    <n v="9"/>
    <n v="2.6333333331858739"/>
    <n v="0.42332545308898212"/>
    <n v="166.36690306396997"/>
    <n v="63.177304964539005"/>
    <x v="187"/>
  </r>
  <r>
    <x v="9"/>
    <x v="0"/>
    <n v="117"/>
    <n v="3236"/>
    <d v="2013-09-05T11:36:00"/>
    <d v="2013-09-05T19:51:00"/>
    <n v="335"/>
    <n v="423"/>
    <n v="393"/>
    <s v="Cooling tower booster motor"/>
    <s v="F660High Back Pressure due to 3A Cooling Tower Pump Motor Out of Service"/>
    <s v="Mill Creek"/>
    <x v="0"/>
    <s v="Coal"/>
    <x v="2"/>
    <x v="0"/>
    <n v="9"/>
    <n v="8.25"/>
    <n v="1.7163120567375887"/>
    <n v="674.51063829787233"/>
    <n v="81.758865248226954"/>
    <x v="48"/>
  </r>
  <r>
    <x v="9"/>
    <x v="0"/>
    <n v="118"/>
    <n v="3236"/>
    <d v="2013-09-05T19:51:00"/>
    <d v="2013-09-08T09:40:00"/>
    <n v="350"/>
    <n v="423"/>
    <n v="393"/>
    <s v="Cooling tower booster motor"/>
    <s v="F660High Back Pressure due to 3A Cooling Tower Pump Motor Out of Service"/>
    <s v="Mill Creek"/>
    <x v="0"/>
    <s v="Coal"/>
    <x v="2"/>
    <x v="0"/>
    <n v="9"/>
    <n v="61.816666666825768"/>
    <n v="10.668124507513667"/>
    <n v="4192.5729314528717"/>
    <n v="67.822695035460995"/>
    <x v="208"/>
  </r>
  <r>
    <x v="9"/>
    <x v="0"/>
    <n v="119"/>
    <n v="3236"/>
    <d v="2013-09-08T09:40:00"/>
    <d v="2013-09-09T08:23:00"/>
    <n v="315"/>
    <n v="423"/>
    <n v="393"/>
    <s v="Cooling tower booster motor"/>
    <s v="F660High Back Pressure due to 3A Cooling Tower Pump Motor Out of Service"/>
    <s v="Mill Creek"/>
    <x v="0"/>
    <s v="Coal"/>
    <x v="2"/>
    <x v="0"/>
    <n v="9"/>
    <n v="22.716666666674428"/>
    <n v="5.8000000000019813"/>
    <n v="2279.4000000007786"/>
    <n v="100.34042553191489"/>
    <x v="65"/>
  </r>
  <r>
    <x v="9"/>
    <x v="0"/>
    <n v="120"/>
    <n v="3236"/>
    <d v="2013-09-09T08:23:00"/>
    <d v="2013-09-09T09:11:00"/>
    <n v="340"/>
    <n v="423"/>
    <n v="393"/>
    <s v="Cooling tower booster motor"/>
    <s v="F660High Back Pressure due to 3A Cooling Tower Pump Motor Out of Service"/>
    <s v="Mill Creek"/>
    <x v="0"/>
    <s v="Coal"/>
    <x v="2"/>
    <x v="0"/>
    <n v="9"/>
    <n v="0.79999999998835847"/>
    <n v="0.15697399526958333"/>
    <n v="61.690780140946252"/>
    <n v="77.113475177304963"/>
    <x v="128"/>
  </r>
  <r>
    <x v="9"/>
    <x v="0"/>
    <n v="121"/>
    <n v="3236"/>
    <d v="2013-09-09T09:11:00"/>
    <d v="2013-09-09T11:08:00"/>
    <n v="326"/>
    <n v="423"/>
    <n v="393"/>
    <s v="Cooling tower booster motor"/>
    <s v="F660High Back Pressure due to 3A Cooling Tower Pump Motor Out of Service"/>
    <s v="Mill Creek"/>
    <x v="0"/>
    <s v="Coal"/>
    <x v="2"/>
    <x v="0"/>
    <n v="9"/>
    <n v="1.9499999998952262"/>
    <n v="0.44716312054334972"/>
    <n v="175.73510637353644"/>
    <n v="90.120567375886523"/>
    <x v="160"/>
  </r>
  <r>
    <x v="9"/>
    <x v="0"/>
    <n v="122"/>
    <n v="3236"/>
    <d v="2013-09-09T11:08:00"/>
    <d v="2013-09-09T12:26:00"/>
    <n v="292"/>
    <n v="423"/>
    <n v="393"/>
    <s v="Cooling tower booster motor"/>
    <s v="F660High Back Pressure due to 3A Cooling Tower Pump Motor Out of Service"/>
    <s v="Mill Creek"/>
    <x v="0"/>
    <s v="Coal"/>
    <x v="2"/>
    <x v="0"/>
    <n v="9"/>
    <n v="1.3000000000465661"/>
    <n v="0.40260047282765998"/>
    <n v="158.22198582127038"/>
    <n v="121.70921985815603"/>
    <x v="137"/>
  </r>
  <r>
    <x v="9"/>
    <x v="0"/>
    <n v="123"/>
    <n v="3236"/>
    <d v="2013-09-09T12:26:00"/>
    <d v="2013-09-09T22:50:00"/>
    <n v="303"/>
    <n v="423"/>
    <n v="393"/>
    <s v="Cooling tower booster motor"/>
    <s v="F660High Back Pressure due to 3A Cooling Tower Pump Motor Out of Service"/>
    <s v="Mill Creek"/>
    <x v="0"/>
    <s v="Coal"/>
    <x v="2"/>
    <x v="0"/>
    <n v="9"/>
    <n v="10.400000000023283"/>
    <n v="2.9503546099356832"/>
    <n v="1159.4893617047235"/>
    <n v="111.48936170212765"/>
    <x v="205"/>
  </r>
  <r>
    <x v="9"/>
    <x v="0"/>
    <n v="124"/>
    <n v="3236"/>
    <d v="2013-09-09T22:50:00"/>
    <d v="2013-09-09T23:20:00"/>
    <n v="330"/>
    <n v="423"/>
    <n v="393"/>
    <s v="Cooling tower booster motor"/>
    <s v="F660High Back Pressure due to 3A Cooling Tower Pump Motor Out of Service"/>
    <s v="Mill Creek"/>
    <x v="0"/>
    <s v="Coal"/>
    <x v="2"/>
    <x v="0"/>
    <n v="9"/>
    <n v="0.49999999988358468"/>
    <n v="0.10992907798858954"/>
    <n v="43.202127649515688"/>
    <n v="86.40425531914893"/>
    <x v="173"/>
  </r>
  <r>
    <x v="9"/>
    <x v="0"/>
    <n v="125"/>
    <n v="3236"/>
    <d v="2013-09-09T23:20:00"/>
    <d v="2013-09-10T10:21:00"/>
    <n v="320"/>
    <n v="423"/>
    <n v="393"/>
    <s v="Cooling tower booster motor"/>
    <s v="F660High Back Pressure due to 3A Cooling Tower Pump Motor Out of Service"/>
    <s v="Mill Creek"/>
    <x v="0"/>
    <s v="Coal"/>
    <x v="2"/>
    <x v="0"/>
    <n v="9"/>
    <n v="11.016666666779201"/>
    <n v="2.6825453112961175"/>
    <n v="1054.2403073393741"/>
    <n v="95.695035460992912"/>
    <x v="41"/>
  </r>
  <r>
    <x v="9"/>
    <x v="0"/>
    <n v="126"/>
    <n v="3236"/>
    <d v="2013-09-10T10:21:00"/>
    <d v="2013-09-10T10:31:00"/>
    <n v="315"/>
    <n v="423"/>
    <n v="393"/>
    <s v="Cooling tower booster motor"/>
    <s v="F660High Back Pressure due to 3A Cooling Tower Pump Motor Out of Service"/>
    <s v="Mill Creek"/>
    <x v="0"/>
    <s v="Coal"/>
    <x v="2"/>
    <x v="0"/>
    <n v="9"/>
    <n v="0.16666666668606922"/>
    <n v="4.2553191494315544E-2"/>
    <n v="16.723404257266008"/>
    <n v="100.34042553191489"/>
    <x v="65"/>
  </r>
  <r>
    <x v="9"/>
    <x v="0"/>
    <n v="127"/>
    <n v="3236"/>
    <d v="2013-09-10T10:31:00"/>
    <d v="2013-09-10T12:19:00"/>
    <n v="310"/>
    <n v="423"/>
    <n v="393"/>
    <s v="Cooling tower booster motor"/>
    <s v="F660High Back Pressure due to 3A Cooling Tower Pump Motor Out of Service"/>
    <s v="Mill Creek"/>
    <x v="0"/>
    <s v="Coal"/>
    <x v="2"/>
    <x v="0"/>
    <n v="9"/>
    <n v="1.7999999999301508"/>
    <n v="0.48085106381112774"/>
    <n v="188.9744680777732"/>
    <n v="104.98581560283688"/>
    <x v="43"/>
  </r>
  <r>
    <x v="9"/>
    <x v="0"/>
    <n v="128"/>
    <n v="3236"/>
    <d v="2013-09-10T12:19:00"/>
    <d v="2013-09-10T12:50:00"/>
    <n v="305"/>
    <n v="423"/>
    <n v="393"/>
    <s v="Cooling tower booster motor"/>
    <s v="F660High Back Pressure due to 3A Cooling Tower Pump Motor Out of Service"/>
    <s v="Mill Creek"/>
    <x v="0"/>
    <s v="Coal"/>
    <x v="2"/>
    <x v="0"/>
    <n v="9"/>
    <n v="0.5166666666045785"/>
    <n v="0.14412923560127722"/>
    <n v="56.642789591301948"/>
    <n v="109.63120567375887"/>
    <x v="92"/>
  </r>
  <r>
    <x v="9"/>
    <x v="0"/>
    <n v="129"/>
    <n v="3236"/>
    <d v="2013-09-10T12:50:00"/>
    <d v="2013-09-11T01:56:00"/>
    <n v="300"/>
    <n v="423"/>
    <n v="393"/>
    <s v="Cooling tower booster motor"/>
    <s v="F660High Back Pressure due to 3A Cooling Tower Pump Motor Out of Service"/>
    <s v="Mill Creek"/>
    <x v="0"/>
    <s v="Coal"/>
    <x v="2"/>
    <x v="0"/>
    <n v="9"/>
    <n v="13.100000000093132"/>
    <n v="3.8092198581831096"/>
    <n v="1497.023404265962"/>
    <n v="114.27659574468085"/>
    <x v="46"/>
  </r>
  <r>
    <x v="9"/>
    <x v="0"/>
    <n v="130"/>
    <n v="385"/>
    <d v="2013-09-12T21:41:00"/>
    <d v="2013-09-12T22:11:00"/>
    <n v="230"/>
    <n v="423"/>
    <n v="393"/>
    <s v="Igniters"/>
    <s v="F5903D1 Coal Burner - Igniter Issue"/>
    <s v="Mill Creek"/>
    <x v="0"/>
    <s v="Coal"/>
    <x v="2"/>
    <x v="0"/>
    <n v="9"/>
    <n v="0.50000000005820766"/>
    <n v="0.2281323877334139"/>
    <n v="89.656028379231671"/>
    <n v="179.31205673758865"/>
    <x v="93"/>
  </r>
  <r>
    <x v="9"/>
    <x v="2"/>
    <n v="131"/>
    <n v="310"/>
    <d v="2013-09-12T22:11:00"/>
    <d v="2013-09-13T00:55:00"/>
    <n v="325"/>
    <n v="423"/>
    <n v="393"/>
    <s v="Pulverizer mills"/>
    <s v="F5303B Coal Mill - Inspection"/>
    <s v="Mill Creek"/>
    <x v="0"/>
    <s v="Coal"/>
    <x v="2"/>
    <x v="0"/>
    <n v="9"/>
    <n v="2.7333333333372138"/>
    <n v="0.63325453112777064"/>
    <n v="248.86903073321386"/>
    <n v="91.049645390070921"/>
    <x v="42"/>
  </r>
  <r>
    <x v="9"/>
    <x v="2"/>
    <n v="132"/>
    <n v="350"/>
    <d v="2013-09-13T22:00:00"/>
    <d v="2013-09-14T09:45:00"/>
    <n v="370"/>
    <n v="423"/>
    <n v="393"/>
    <s v="Pulverized fuel and air piping (from pulverizer to wind box)"/>
    <s v="F5903A Coal Mill - Replace Venturi"/>
    <s v="Mill Creek"/>
    <x v="0"/>
    <s v="Coal"/>
    <x v="2"/>
    <x v="0"/>
    <n v="9"/>
    <n v="11.750000000058208"/>
    <n v="1.4722222222295154"/>
    <n v="578.58333333619953"/>
    <n v="49.241134751773046"/>
    <x v="227"/>
  </r>
  <r>
    <x v="9"/>
    <x v="2"/>
    <n v="133"/>
    <n v="350"/>
    <d v="2013-09-14T09:45:00"/>
    <d v="2013-09-14T17:45:00"/>
    <n v="345"/>
    <n v="423"/>
    <n v="393"/>
    <s v="Pulverized fuel and air piping (from pulverizer to wind box)"/>
    <s v="F5903A Coal Mill - Replace Venturi"/>
    <s v="Mill Creek"/>
    <x v="0"/>
    <s v="Coal"/>
    <x v="2"/>
    <x v="0"/>
    <n v="9"/>
    <n v="8.0000000000582077"/>
    <n v="1.4751773049752723"/>
    <n v="579.74468085528201"/>
    <n v="72.468085106382972"/>
    <x v="243"/>
  </r>
  <r>
    <x v="9"/>
    <x v="2"/>
    <n v="134"/>
    <n v="350"/>
    <d v="2013-09-14T17:45:00"/>
    <d v="2013-09-15T13:30:00"/>
    <n v="375"/>
    <n v="423"/>
    <n v="393"/>
    <s v="Pulverized fuel and air piping (from pulverizer to wind box)"/>
    <s v="F5903A Coal Mill - Replace Venturi"/>
    <s v="Mill Creek"/>
    <x v="0"/>
    <s v="Coal"/>
    <x v="2"/>
    <x v="0"/>
    <n v="9"/>
    <n v="19.749999999941792"/>
    <n v="2.2411347517664444"/>
    <n v="880.76595744421263"/>
    <n v="44.595744680851062"/>
    <x v="23"/>
  </r>
  <r>
    <x v="9"/>
    <x v="2"/>
    <n v="135"/>
    <n v="350"/>
    <d v="2013-09-16T22:00:00"/>
    <d v="2013-09-17T11:55:00"/>
    <n v="335"/>
    <n v="423"/>
    <n v="393"/>
    <s v="Pulverized fuel and air piping (from pulverizer to wind box)"/>
    <s v="F5903C Coal Mill - Replace Venturi"/>
    <s v="Mill Creek"/>
    <x v="0"/>
    <s v="Coal"/>
    <x v="2"/>
    <x v="0"/>
    <n v="9"/>
    <n v="13.916666666802485"/>
    <n v="2.8951930654340865"/>
    <n v="1137.8108747155959"/>
    <n v="81.758865248226954"/>
    <x v="48"/>
  </r>
  <r>
    <x v="9"/>
    <x v="0"/>
    <n v="136"/>
    <n v="8280"/>
    <d v="2013-09-16T23:55:00"/>
    <d v="2013-09-17T00:36:00"/>
    <n v="275"/>
    <n v="423"/>
    <n v="393"/>
    <s v="Reagent feed piping"/>
    <s v="F120FGD Reactant Feed Line Plugged"/>
    <s v="Mill Creek"/>
    <x v="0"/>
    <s v="Coal"/>
    <x v="2"/>
    <x v="0"/>
    <n v="9"/>
    <n v="0.68333333329064772"/>
    <n v="0.23908589439010841"/>
    <n v="93.960756495312609"/>
    <n v="137.50354609929079"/>
    <x v="115"/>
  </r>
  <r>
    <x v="9"/>
    <x v="2"/>
    <n v="137"/>
    <n v="350"/>
    <d v="2013-09-17T11:55:00"/>
    <d v="2013-09-17T22:01:00"/>
    <n v="350"/>
    <n v="423"/>
    <n v="393"/>
    <s v="Pulverized fuel and air piping (from pulverizer to wind box)"/>
    <s v="F5903C Coal Mill - Replace Venturi"/>
    <s v="Mill Creek"/>
    <x v="0"/>
    <s v="Coal"/>
    <x v="2"/>
    <x v="0"/>
    <n v="9"/>
    <n v="10.099999999918509"/>
    <n v="1.7430260047140689"/>
    <n v="685.00921985262903"/>
    <n v="67.822695035460995"/>
    <x v="208"/>
  </r>
  <r>
    <x v="9"/>
    <x v="2"/>
    <n v="138"/>
    <n v="350"/>
    <d v="2013-09-18T06:00:00"/>
    <d v="2013-09-18T23:21:00"/>
    <n v="350"/>
    <n v="423"/>
    <n v="393"/>
    <s v="Pulverized fuel and air piping (from pulverizer to wind box)"/>
    <s v="F5903D Coal Mill - Replace Venturi"/>
    <s v="Mill Creek"/>
    <x v="0"/>
    <s v="Coal"/>
    <x v="2"/>
    <x v="0"/>
    <n v="9"/>
    <n v="17.349999999976717"/>
    <n v="2.9942080378210409"/>
    <n v="1176.723758863669"/>
    <n v="67.822695035460995"/>
    <x v="208"/>
  </r>
  <r>
    <x v="9"/>
    <x v="5"/>
    <n v="139"/>
    <n v="4270"/>
    <d v="2013-09-18T23:46:00"/>
    <d v="2013-10-20T00:45:00"/>
    <n v="0"/>
    <n v="423"/>
    <n v="393"/>
    <s v="Crossover or under piping"/>
    <s v="F540Turbine Crossover - Expansion Joint Failure"/>
    <s v="Mill Creek"/>
    <x v="3"/>
    <s v="Coal"/>
    <x v="2"/>
    <x v="0"/>
    <n v="9"/>
    <n v="744.98333333339542"/>
    <n v="744.98333333339542"/>
    <n v="292778.4500000244"/>
    <n v="393"/>
    <x v="258"/>
  </r>
  <r>
    <x v="9"/>
    <x v="6"/>
    <n v="140"/>
    <n v="1800"/>
    <d v="2013-10-20T00:45:00"/>
    <d v="2013-11-13T23:47:00"/>
    <n v="0"/>
    <n v="423"/>
    <n v="393"/>
    <s v="Major boiler overhaul (720 hours or longer) (use for non-specific overhaul only; see page B-1)"/>
    <s v="F590Planned Outage"/>
    <s v="Mill Creek"/>
    <x v="1"/>
    <s v="Coal"/>
    <x v="2"/>
    <x v="0"/>
    <n v="10"/>
    <n v="599.03333333332557"/>
    <n v="599.03333333332557"/>
    <n v="235420.09999999695"/>
    <n v="393"/>
    <x v="258"/>
  </r>
  <r>
    <x v="9"/>
    <x v="3"/>
    <n v="141"/>
    <n v="1850"/>
    <d v="2013-11-13T23:47:00"/>
    <d v="2013-11-14T23:47:00"/>
    <n v="0"/>
    <n v="423"/>
    <n v="393"/>
    <s v="Boiler water condition (not feedwater water quality)"/>
    <s v="F170High Silica @ Cold Start Up"/>
    <s v="Mill Creek"/>
    <x v="1"/>
    <s v="Coal"/>
    <x v="2"/>
    <x v="0"/>
    <n v="11"/>
    <n v="24"/>
    <n v="24"/>
    <n v="9432"/>
    <n v="393"/>
    <x v="258"/>
  </r>
  <r>
    <x v="9"/>
    <x v="0"/>
    <n v="142"/>
    <n v="3412"/>
    <d v="2013-11-14T23:47:00"/>
    <d v="2013-11-15T04:18:00"/>
    <n v="155"/>
    <n v="423"/>
    <n v="393"/>
    <s v="Feedwater pump drive - steam turbine"/>
    <s v="F920Turbine Driven Boiler Feed Pump - Low Pressure Journal Bearing Wiped"/>
    <s v="Mill Creek"/>
    <x v="0"/>
    <s v="Coal"/>
    <x v="2"/>
    <x v="0"/>
    <n v="11"/>
    <n v="4.5166666667209938"/>
    <n v="2.8616233254875327"/>
    <n v="1124.6179669166004"/>
    <n v="248.99290780141843"/>
    <x v="44"/>
  </r>
  <r>
    <x v="9"/>
    <x v="0"/>
    <n v="143"/>
    <n v="3412"/>
    <d v="2013-11-15T04:18:00"/>
    <d v="2013-11-17T04:23:00"/>
    <n v="168"/>
    <n v="423"/>
    <n v="393"/>
    <s v="Feedwater pump drive - steam turbine"/>
    <s v="F920Turbine Driven Boiler Feed Pump - Low Pressure Journal Bearing Wiped"/>
    <s v="Mill Creek"/>
    <x v="0"/>
    <s v="Coal"/>
    <x v="2"/>
    <x v="0"/>
    <n v="11"/>
    <n v="48.083333333255723"/>
    <n v="28.986406619338556"/>
    <n v="11391.657801400053"/>
    <n v="236.91489361702128"/>
    <x v="263"/>
  </r>
  <r>
    <x v="9"/>
    <x v="0"/>
    <n v="144"/>
    <n v="3412"/>
    <d v="2013-11-17T04:23:00"/>
    <d v="2013-11-19T02:21:00"/>
    <n v="178"/>
    <n v="423"/>
    <n v="393"/>
    <s v="Feedwater pump drive - steam turbine"/>
    <s v="F920Turbine Driven Boiler Feed Pump - Low Pressure Journal Bearing Wiped"/>
    <s v="Mill Creek"/>
    <x v="0"/>
    <s v="Coal"/>
    <x v="2"/>
    <x v="0"/>
    <n v="11"/>
    <n v="45.966666666674428"/>
    <n v="26.623719464149492"/>
    <n v="10463.12174941075"/>
    <n v="227.6241134751773"/>
    <x v="264"/>
  </r>
  <r>
    <x v="9"/>
    <x v="0"/>
    <n v="145"/>
    <n v="75"/>
    <d v="2013-11-19T02:21:00"/>
    <d v="2013-11-19T04:02:00"/>
    <n v="305"/>
    <n v="423"/>
    <n v="393"/>
    <s v="Storage silos/hoppers"/>
    <s v="F1203A Mill - Silo Plugged"/>
    <s v="Mill Creek"/>
    <x v="0"/>
    <s v="Coal"/>
    <x v="2"/>
    <x v="0"/>
    <n v="11"/>
    <n v="1.683333333407063"/>
    <n v="0.46958234832632018"/>
    <n v="184.54586289224383"/>
    <n v="109.63120567375887"/>
    <x v="92"/>
  </r>
  <r>
    <x v="9"/>
    <x v="0"/>
    <n v="146"/>
    <n v="1850"/>
    <d v="2013-11-19T04:02:00"/>
    <d v="2013-11-19T08:50:00"/>
    <n v="333"/>
    <n v="423"/>
    <n v="393"/>
    <s v="Boiler water condition (not feedwater water quality)"/>
    <s v="F170High Silica"/>
    <s v="Mill Creek"/>
    <x v="0"/>
    <s v="Coal"/>
    <x v="2"/>
    <x v="0"/>
    <n v="11"/>
    <n v="4.7999999999301508"/>
    <n v="1.0212765957298193"/>
    <n v="401.36170212181901"/>
    <n v="83.61702127659575"/>
    <x v="136"/>
  </r>
  <r>
    <x v="9"/>
    <x v="0"/>
    <n v="147"/>
    <n v="1850"/>
    <d v="2013-11-19T08:50:00"/>
    <d v="2013-11-19T15:02:00"/>
    <n v="355"/>
    <n v="423"/>
    <n v="393"/>
    <s v="Boiler water condition (not feedwater water quality)"/>
    <s v="F170High Silica"/>
    <s v="Mill Creek"/>
    <x v="0"/>
    <s v="Coal"/>
    <x v="2"/>
    <x v="0"/>
    <n v="11"/>
    <n v="6.1999999999534339"/>
    <n v="0.99669030732111941"/>
    <n v="391.69929077719991"/>
    <n v="63.177304964539005"/>
    <x v="187"/>
  </r>
  <r>
    <x v="9"/>
    <x v="0"/>
    <n v="148"/>
    <n v="1850"/>
    <d v="2013-11-19T15:02:00"/>
    <d v="2013-11-19T18:00:00"/>
    <n v="360"/>
    <n v="423"/>
    <n v="393"/>
    <s v="Boiler water condition (not feedwater water quality)"/>
    <s v="F170High Silica"/>
    <s v="Mill Creek"/>
    <x v="0"/>
    <s v="Coal"/>
    <x v="2"/>
    <x v="0"/>
    <n v="11"/>
    <n v="2.9666666667326353"/>
    <n v="0.44184397164103079"/>
    <n v="173.6446808549251"/>
    <n v="58.531914893617021"/>
    <x v="83"/>
  </r>
  <r>
    <x v="9"/>
    <x v="0"/>
    <n v="149"/>
    <n v="310"/>
    <d v="2013-11-19T18:00:00"/>
    <d v="2013-11-19T18:20:00"/>
    <n v="365"/>
    <n v="423"/>
    <n v="393"/>
    <s v="Pulverizer mills"/>
    <s v="F5903B Coal Mill - Gearbox Low Oil"/>
    <s v="Mill Creek"/>
    <x v="0"/>
    <s v="Coal"/>
    <x v="2"/>
    <x v="0"/>
    <n v="11"/>
    <n v="0.33333333337213844"/>
    <n v="4.5705279753153735E-2"/>
    <n v="17.962174942989417"/>
    <n v="53.886524822695037"/>
    <x v="158"/>
  </r>
  <r>
    <x v="9"/>
    <x v="2"/>
    <n v="150"/>
    <n v="360"/>
    <d v="2013-11-20T22:00:00"/>
    <d v="2013-11-21T02:00:00"/>
    <n v="320"/>
    <n v="423"/>
    <n v="393"/>
    <s v="Burners"/>
    <s v="F5903D Mill - Burner Taps Repair"/>
    <s v="Mill Creek"/>
    <x v="0"/>
    <s v="Coal"/>
    <x v="2"/>
    <x v="0"/>
    <n v="11"/>
    <n v="4.0000000001164153"/>
    <n v="0.97399527189595925"/>
    <n v="382.78014185511199"/>
    <n v="95.695035460992912"/>
    <x v="41"/>
  </r>
  <r>
    <x v="9"/>
    <x v="0"/>
    <n v="151"/>
    <n v="310"/>
    <d v="2013-11-23T06:38:00"/>
    <d v="2013-11-23T09:18:00"/>
    <n v="330"/>
    <n v="423"/>
    <n v="393"/>
    <s v="Pulverizer mills"/>
    <s v="F4003C Coal Mill - Alarm Logic Issue"/>
    <s v="Mill Creek"/>
    <x v="0"/>
    <s v="Coal"/>
    <x v="2"/>
    <x v="0"/>
    <n v="11"/>
    <n v="2.6666666666278616"/>
    <n v="0.58628841606711846"/>
    <n v="230.41134751437755"/>
    <n v="86.40425531914893"/>
    <x v="173"/>
  </r>
  <r>
    <x v="9"/>
    <x v="0"/>
    <n v="152"/>
    <n v="360"/>
    <d v="2013-11-23T18:37:00"/>
    <d v="2013-11-23T20:49:00"/>
    <n v="355"/>
    <n v="423"/>
    <n v="393"/>
    <s v="Burners"/>
    <s v="F7803A Mill - A2 &amp; A3 Burners High Temperature"/>
    <s v="Mill Creek"/>
    <x v="0"/>
    <s v="Coal"/>
    <x v="2"/>
    <x v="0"/>
    <n v="11"/>
    <n v="2.2000000000116415"/>
    <n v="0.35366430260234427"/>
    <n v="138.99007092272129"/>
    <n v="63.177304964539005"/>
    <x v="187"/>
  </r>
  <r>
    <x v="9"/>
    <x v="0"/>
    <n v="153"/>
    <n v="360"/>
    <d v="2013-11-23T20:49:00"/>
    <d v="2013-11-24T04:04:00"/>
    <n v="347"/>
    <n v="423"/>
    <n v="393"/>
    <s v="Burners"/>
    <s v="F7803A Mill - A2 &amp; A3 Burners High Temperature"/>
    <s v="Mill Creek"/>
    <x v="0"/>
    <s v="Coal"/>
    <x v="2"/>
    <x v="0"/>
    <n v="11"/>
    <n v="7.2500000000582077"/>
    <n v="1.3026004728236968"/>
    <n v="511.92198581971286"/>
    <n v="70.60992907801419"/>
    <x v="165"/>
  </r>
  <r>
    <x v="9"/>
    <x v="0"/>
    <n v="154"/>
    <n v="360"/>
    <d v="2013-11-24T19:05:00"/>
    <d v="2013-11-24T20:08:00"/>
    <n v="390"/>
    <n v="423"/>
    <n v="393"/>
    <s v="Burners"/>
    <s v="F7803A Mill - A2 Burner High Temperature"/>
    <s v="Mill Creek"/>
    <x v="0"/>
    <s v="Coal"/>
    <x v="2"/>
    <x v="0"/>
    <n v="11"/>
    <n v="1.0499999999301508"/>
    <n v="8.1914893611572046E-2"/>
    <n v="32.192553189347812"/>
    <n v="30.659574468085108"/>
    <x v="246"/>
  </r>
  <r>
    <x v="9"/>
    <x v="2"/>
    <n v="155"/>
    <n v="260"/>
    <d v="2013-11-25T08:10:00"/>
    <d v="2013-11-25T09:56:00"/>
    <n v="320"/>
    <n v="423"/>
    <n v="393"/>
    <s v="Primary air fan"/>
    <s v="F5303A Mill Primary Air Fan - Inspect Dampers"/>
    <s v="Mill Creek"/>
    <x v="0"/>
    <s v="Coal"/>
    <x v="2"/>
    <x v="0"/>
    <n v="11"/>
    <n v="1.7666666666627862"/>
    <n v="0.4301812450739172"/>
    <n v="169.06122931404946"/>
    <n v="95.695035460992912"/>
    <x v="41"/>
  </r>
  <r>
    <x v="9"/>
    <x v="2"/>
    <n v="156"/>
    <n v="260"/>
    <d v="2013-11-25T09:56:00"/>
    <d v="2013-11-25T15:26:00"/>
    <n v="330"/>
    <n v="423"/>
    <n v="393"/>
    <s v="Primary air fan"/>
    <s v="F5303A Mill Primary Air Fan - Inspect Dampers"/>
    <s v="Mill Creek"/>
    <x v="0"/>
    <s v="Coal"/>
    <x v="2"/>
    <x v="0"/>
    <n v="11"/>
    <n v="5.4999999999417923"/>
    <n v="1.209219858143231"/>
    <n v="475.22340425028978"/>
    <n v="86.40425531914893"/>
    <x v="173"/>
  </r>
  <r>
    <x v="9"/>
    <x v="2"/>
    <n v="157"/>
    <n v="260"/>
    <d v="2013-11-25T22:00:00"/>
    <d v="2013-11-26T04:11:00"/>
    <n v="330"/>
    <n v="423"/>
    <n v="393"/>
    <s v="Primary air fan"/>
    <s v="F5303A Mill Primary Air Fan - Inspection Cancelled"/>
    <s v="Mill Creek"/>
    <x v="0"/>
    <s v="Coal"/>
    <x v="2"/>
    <x v="0"/>
    <n v="11"/>
    <n v="6.183333333407063"/>
    <n v="1.3594562647916237"/>
    <n v="534.2663120631081"/>
    <n v="86.40425531914893"/>
    <x v="173"/>
  </r>
  <r>
    <x v="9"/>
    <x v="0"/>
    <n v="158"/>
    <n v="360"/>
    <d v="2013-11-27T09:43:00"/>
    <d v="2013-11-27T12:35:00"/>
    <n v="344"/>
    <n v="423"/>
    <n v="393"/>
    <s v="Burners"/>
    <s v="F7803A Mill - 3A3 Coal Burner High Temperature"/>
    <s v="Mill Creek"/>
    <x v="0"/>
    <s v="Coal"/>
    <x v="2"/>
    <x v="0"/>
    <n v="11"/>
    <n v="2.8666666665812954"/>
    <n v="0.53538219068539561"/>
    <n v="210.40520093936047"/>
    <n v="73.39716312056737"/>
    <x v="87"/>
  </r>
  <r>
    <x v="9"/>
    <x v="4"/>
    <n v="159"/>
    <n v="1060"/>
    <d v="2013-11-28T13:07:00"/>
    <d v="2013-12-01T07:10:00"/>
    <n v="0"/>
    <n v="423"/>
    <n v="393"/>
    <s v="First reheater A"/>
    <s v="F540Boiler Tube Leak - First Reheater"/>
    <s v="Mill Creek"/>
    <x v="2"/>
    <s v="Coal"/>
    <x v="2"/>
    <x v="0"/>
    <n v="11"/>
    <n v="66.049999999988358"/>
    <n v="66.049999999988358"/>
    <n v="25957.649999995425"/>
    <n v="393"/>
    <x v="258"/>
  </r>
  <r>
    <x v="9"/>
    <x v="3"/>
    <n v="160"/>
    <n v="1850"/>
    <d v="2013-12-01T07:10:00"/>
    <d v="2013-12-01T07:17:00"/>
    <n v="0"/>
    <n v="423"/>
    <n v="393"/>
    <s v="Boiler water condition (not feedwater water quality)"/>
    <s v="F170High Silica @ Warm Start Up"/>
    <s v="Mill Creek"/>
    <x v="1"/>
    <s v="Coal"/>
    <x v="2"/>
    <x v="0"/>
    <n v="12"/>
    <n v="0.11666666669771075"/>
    <n v="0.11666666669771075"/>
    <n v="45.850000012200326"/>
    <n v="393"/>
    <x v="258"/>
  </r>
  <r>
    <x v="9"/>
    <x v="5"/>
    <n v="161"/>
    <n v="800"/>
    <d v="2013-12-01T07:17:00"/>
    <d v="2013-12-01T09:05:00"/>
    <n v="0"/>
    <n v="423"/>
    <n v="393"/>
    <s v="Drums and drum internals (single drum only)"/>
    <s v="F420Low Drum Level Trip - Operator Error"/>
    <s v="Mill Creek"/>
    <x v="3"/>
    <s v="Coal"/>
    <x v="2"/>
    <x v="0"/>
    <n v="12"/>
    <n v="1.7999999999301508"/>
    <n v="1.7999999999301508"/>
    <n v="707.39999997254927"/>
    <n v="393"/>
    <x v="258"/>
  </r>
  <r>
    <x v="9"/>
    <x v="3"/>
    <n v="162"/>
    <n v="1850"/>
    <d v="2013-12-01T09:05:00"/>
    <d v="2013-12-01T21:04:00"/>
    <n v="0"/>
    <n v="423"/>
    <n v="393"/>
    <s v="Boiler water condition (not feedwater water quality)"/>
    <s v="F170High Silica @ Warm Srart Up"/>
    <s v="Mill Creek"/>
    <x v="1"/>
    <s v="Coal"/>
    <x v="2"/>
    <x v="0"/>
    <n v="12"/>
    <n v="11.983333333453629"/>
    <n v="11.983333333453629"/>
    <n v="4709.4500000472763"/>
    <n v="393"/>
    <x v="258"/>
  </r>
  <r>
    <x v="9"/>
    <x v="3"/>
    <n v="163"/>
    <n v="8460"/>
    <d v="2013-12-02T13:30:00"/>
    <d v="2013-12-02T18:22:00"/>
    <n v="0"/>
    <n v="423"/>
    <n v="393"/>
    <s v="Testing A"/>
    <s v="F790Full Load RATA Testing"/>
    <s v="Mill Creek"/>
    <x v="1"/>
    <s v="Coal"/>
    <x v="2"/>
    <x v="0"/>
    <n v="12"/>
    <n v="4.8666666666395031"/>
    <n v="4.8666666666395031"/>
    <n v="1912.5999999893247"/>
    <n v="393"/>
    <x v="258"/>
  </r>
  <r>
    <x v="9"/>
    <x v="2"/>
    <n v="164"/>
    <n v="260"/>
    <d v="2013-12-03T09:49:00"/>
    <d v="2013-12-03T11:53:00"/>
    <n v="330"/>
    <n v="423"/>
    <n v="393"/>
    <s v="Primary air fan"/>
    <s v="F5303A Mill Primary Air Fan - Inspection"/>
    <s v="Mill Creek"/>
    <x v="0"/>
    <s v="Coal"/>
    <x v="2"/>
    <x v="0"/>
    <n v="12"/>
    <n v="2.066666666592937"/>
    <n v="0.45437352244241874"/>
    <n v="178.56879431987056"/>
    <n v="86.40425531914893"/>
    <x v="173"/>
  </r>
  <r>
    <x v="9"/>
    <x v="2"/>
    <n v="165"/>
    <n v="350"/>
    <d v="2013-12-03T23:23:00"/>
    <d v="2013-12-04T03:45:00"/>
    <n v="330"/>
    <n v="423"/>
    <n v="393"/>
    <s v="Pulverized fuel and air piping (from pulverizer to wind box)"/>
    <s v="F5903A Mill - Inspect Coal Pipe Orifices"/>
    <s v="Mill Creek"/>
    <x v="0"/>
    <s v="Coal"/>
    <x v="2"/>
    <x v="0"/>
    <n v="12"/>
    <n v="4.3666666665812954"/>
    <n v="0.96004728130510752"/>
    <n v="377.29858155290725"/>
    <n v="86.40425531914893"/>
    <x v="173"/>
  </r>
  <r>
    <x v="9"/>
    <x v="2"/>
    <n v="166"/>
    <n v="350"/>
    <d v="2013-12-04T09:00:00"/>
    <d v="2013-12-04T19:13:00"/>
    <n v="330"/>
    <n v="423"/>
    <n v="393"/>
    <s v="Pulverized fuel and air piping (from pulverizer to wind box)"/>
    <s v="F5903A Coal Mill - Adjust Coal Pipe Orifices"/>
    <s v="Mill Creek"/>
    <x v="0"/>
    <s v="Coal"/>
    <x v="2"/>
    <x v="0"/>
    <n v="12"/>
    <n v="10.21666666661622"/>
    <n v="2.2462174940787434"/>
    <n v="882.76347517294619"/>
    <n v="86.40425531914893"/>
    <x v="173"/>
  </r>
  <r>
    <x v="9"/>
    <x v="2"/>
    <n v="167"/>
    <n v="100"/>
    <d v="2013-12-05T09:00:00"/>
    <d v="2013-12-05T11:53:00"/>
    <n v="330"/>
    <n v="423"/>
    <n v="393"/>
    <s v="Bunker gates"/>
    <s v="F5903B Mill - Lower Bunker Valve Repair"/>
    <s v="Mill Creek"/>
    <x v="0"/>
    <s v="Coal"/>
    <x v="2"/>
    <x v="0"/>
    <n v="12"/>
    <n v="2.8833333333022892"/>
    <n v="0.63392434987497137"/>
    <n v="249.13226950086374"/>
    <n v="86.40425531914893"/>
    <x v="173"/>
  </r>
  <r>
    <x v="9"/>
    <x v="0"/>
    <n v="168"/>
    <n v="310"/>
    <d v="2013-12-05T16:45:00"/>
    <d v="2013-12-05T17:03:00"/>
    <n v="340"/>
    <n v="423"/>
    <n v="393"/>
    <s v="Pulverizer mills"/>
    <s v="F4003C Coal Mill - Breaker Issue"/>
    <s v="Mill Creek"/>
    <x v="0"/>
    <s v="Coal"/>
    <x v="2"/>
    <x v="0"/>
    <n v="12"/>
    <n v="0.30000000010477379"/>
    <n v="5.8865248247508807E-2"/>
    <n v="23.134042561270959"/>
    <n v="77.113475177304963"/>
    <x v="128"/>
  </r>
  <r>
    <x v="9"/>
    <x v="0"/>
    <n v="169"/>
    <n v="360"/>
    <d v="2013-12-06T18:22:00"/>
    <d v="2013-12-06T19:35:00"/>
    <n v="330"/>
    <n v="423"/>
    <n v="393"/>
    <s v="Burners"/>
    <s v="F7803A Mill - 3A10 Burner High Temperature Trip"/>
    <s v="Mill Creek"/>
    <x v="0"/>
    <s v="Coal"/>
    <x v="2"/>
    <x v="0"/>
    <n v="12"/>
    <n v="1.21666666661622"/>
    <n v="0.26749408982342426"/>
    <n v="105.12517730060574"/>
    <n v="86.40425531914893"/>
    <x v="173"/>
  </r>
  <r>
    <x v="9"/>
    <x v="0"/>
    <n v="170"/>
    <n v="360"/>
    <d v="2013-12-06T19:35:00"/>
    <d v="2013-12-06T23:43:00"/>
    <n v="305"/>
    <n v="423"/>
    <n v="393"/>
    <s v="Burners"/>
    <s v="F1303A Mill - 3A10 Burner Blank Installed             3A6 Burner Blank Removed"/>
    <s v="Mill Creek"/>
    <x v="0"/>
    <s v="Coal"/>
    <x v="2"/>
    <x v="0"/>
    <n v="12"/>
    <n v="4.1333333333604969"/>
    <n v="1.1530338849563562"/>
    <n v="453.14231678784796"/>
    <n v="109.63120567375887"/>
    <x v="92"/>
  </r>
  <r>
    <x v="9"/>
    <x v="0"/>
    <n v="171"/>
    <n v="360"/>
    <d v="2013-12-07T16:28:00"/>
    <d v="2013-12-07T17:42:00"/>
    <n v="320"/>
    <n v="423"/>
    <n v="393"/>
    <s v="Burners"/>
    <s v="F7803C Mill - 3C4 Burner High Temperature Trip"/>
    <s v="Mill Creek"/>
    <x v="0"/>
    <s v="Coal"/>
    <x v="2"/>
    <x v="0"/>
    <n v="12"/>
    <n v="1.2333333333372138"/>
    <n v="0.30031520882679202"/>
    <n v="118.02387706892927"/>
    <n v="95.695035460992912"/>
    <x v="41"/>
  </r>
  <r>
    <x v="9"/>
    <x v="0"/>
    <n v="172"/>
    <n v="360"/>
    <d v="2013-12-07T17:48:00"/>
    <d v="2013-12-07T22:30:00"/>
    <n v="375"/>
    <n v="423"/>
    <n v="393"/>
    <s v="Burners"/>
    <s v="F7803C Mill - 3C4 Burner High Temperature"/>
    <s v="Mill Creek"/>
    <x v="0"/>
    <s v="Coal"/>
    <x v="2"/>
    <x v="0"/>
    <n v="12"/>
    <n v="4.6999999999534339"/>
    <n v="0.53333333332804922"/>
    <n v="209.59999999792333"/>
    <n v="44.595744680851062"/>
    <x v="23"/>
  </r>
  <r>
    <x v="9"/>
    <x v="0"/>
    <n v="173"/>
    <n v="360"/>
    <d v="2013-12-07T22:30:00"/>
    <d v="2013-12-08T09:52:00"/>
    <n v="405"/>
    <n v="423"/>
    <n v="393"/>
    <s v="Burners"/>
    <s v="F7803C Mill - 3C4 Burner High Temperature"/>
    <s v="Mill Creek"/>
    <x v="0"/>
    <s v="Coal"/>
    <x v="2"/>
    <x v="0"/>
    <n v="12"/>
    <n v="11.366666666697711"/>
    <n v="0.48368794326373238"/>
    <n v="190.08936170264681"/>
    <n v="16.723404255319149"/>
    <x v="262"/>
  </r>
  <r>
    <x v="9"/>
    <x v="0"/>
    <n v="174"/>
    <n v="360"/>
    <d v="2013-12-08T09:52:00"/>
    <d v="2013-12-08T17:11:00"/>
    <n v="324"/>
    <n v="423"/>
    <n v="393"/>
    <s v="Burners"/>
    <s v="F7803C Mill - 3C4 Burner High Temperature Trip"/>
    <s v="Mill Creek"/>
    <x v="0"/>
    <s v="Coal"/>
    <x v="2"/>
    <x v="0"/>
    <n v="12"/>
    <n v="7.316666666592937"/>
    <n v="1.7124113475004745"/>
    <n v="672.97765956768649"/>
    <n v="91.978723404255319"/>
    <x v="31"/>
  </r>
  <r>
    <x v="9"/>
    <x v="3"/>
    <n v="175"/>
    <n v="360"/>
    <d v="2013-12-09T08:00:00"/>
    <d v="2013-12-09T18:00:00"/>
    <n v="0"/>
    <n v="423"/>
    <n v="393"/>
    <s v="Burners"/>
    <s v="F790Full Load - Burner Tuning"/>
    <s v="Mill Creek"/>
    <x v="1"/>
    <s v="Coal"/>
    <x v="2"/>
    <x v="0"/>
    <n v="12"/>
    <n v="9.9999999999417923"/>
    <n v="9.9999999999417923"/>
    <n v="3929.9999999771244"/>
    <n v="393"/>
    <x v="258"/>
  </r>
  <r>
    <x v="9"/>
    <x v="2"/>
    <n v="176"/>
    <n v="360"/>
    <d v="2013-12-09T22:30:00"/>
    <d v="2013-12-10T05:57:00"/>
    <n v="330"/>
    <n v="423"/>
    <n v="393"/>
    <s v="Burners"/>
    <s v="F6303A Mill - 3A1 &amp; 3A5 Burners Removed Blanks"/>
    <s v="Mill Creek"/>
    <x v="0"/>
    <s v="Coal"/>
    <x v="2"/>
    <x v="0"/>
    <n v="12"/>
    <n v="7.4500000000116415"/>
    <n v="1.637943262413907"/>
    <n v="643.71170212866548"/>
    <n v="86.40425531914893"/>
    <x v="173"/>
  </r>
  <r>
    <x v="9"/>
    <x v="0"/>
    <n v="177"/>
    <n v="360"/>
    <d v="2013-12-10T07:15:00"/>
    <d v="2013-12-10T11:15:00"/>
    <n v="340"/>
    <n v="423"/>
    <n v="393"/>
    <s v="Burners"/>
    <s v="F7803A Mill - 3A3 Burner High Temperature"/>
    <s v="Mill Creek"/>
    <x v="0"/>
    <s v="Coal"/>
    <x v="2"/>
    <x v="0"/>
    <n v="12"/>
    <n v="3.9999999999417923"/>
    <n v="0.78486997634791666"/>
    <n v="308.45390070473127"/>
    <n v="77.113475177304963"/>
    <x v="128"/>
  </r>
  <r>
    <x v="9"/>
    <x v="2"/>
    <n v="178"/>
    <n v="310"/>
    <d v="2013-12-10T23:30:00"/>
    <d v="2013-12-11T03:07:00"/>
    <n v="320"/>
    <n v="423"/>
    <n v="393"/>
    <s v="Pulverizer mills"/>
    <s v="F5903C Coal Mill - Pyrite Hopper Repairs"/>
    <s v="Mill Creek"/>
    <x v="0"/>
    <s v="Coal"/>
    <x v="2"/>
    <x v="0"/>
    <n v="12"/>
    <n v="3.6166666667559184"/>
    <n v="0.88065405833536547"/>
    <n v="346.09704492579863"/>
    <n v="95.695035460992912"/>
    <x v="41"/>
  </r>
  <r>
    <x v="9"/>
    <x v="0"/>
    <n v="179"/>
    <n v="360"/>
    <d v="2013-12-11T07:08:00"/>
    <d v="2013-12-11T09:11:00"/>
    <n v="330"/>
    <n v="423"/>
    <n v="393"/>
    <s v="Burners"/>
    <s v="F7803D Mill - 3D1 Burner High Temperature"/>
    <s v="Mill Creek"/>
    <x v="0"/>
    <s v="Coal"/>
    <x v="2"/>
    <x v="0"/>
    <n v="12"/>
    <n v="2.0500000000465661"/>
    <n v="0.45070921986839396"/>
    <n v="177.12872340827883"/>
    <n v="86.40425531914893"/>
    <x v="173"/>
  </r>
  <r>
    <x v="9"/>
    <x v="0"/>
    <n v="180"/>
    <n v="360"/>
    <d v="2013-12-11T21:01:00"/>
    <d v="2013-12-11T23:50:00"/>
    <n v="320"/>
    <n v="423"/>
    <n v="393"/>
    <s v="Burners"/>
    <s v="F7803A Mill - 3A1 &amp; 3A9 Burners High Temperature"/>
    <s v="Mill Creek"/>
    <x v="0"/>
    <s v="Coal"/>
    <x v="2"/>
    <x v="0"/>
    <n v="12"/>
    <n v="2.816666666592937"/>
    <n v="0.68585500392215726"/>
    <n v="269.54101654140783"/>
    <n v="95.695035460992912"/>
    <x v="41"/>
  </r>
  <r>
    <x v="9"/>
    <x v="0"/>
    <n v="181"/>
    <n v="360"/>
    <d v="2013-12-11T23:50:00"/>
    <d v="2013-12-12T03:47:00"/>
    <n v="320"/>
    <n v="423"/>
    <n v="393"/>
    <s v="Burners"/>
    <s v="F1303A Mill - 3A1 Burner Installed Blank            3A5 Burner Removed Blank "/>
    <s v="Mill Creek"/>
    <x v="0"/>
    <s v="Coal"/>
    <x v="2"/>
    <x v="0"/>
    <n v="12"/>
    <n v="3.9499999999534339"/>
    <n v="0.96182033095792829"/>
    <n v="377.9953900664658"/>
    <n v="95.695035460992912"/>
    <x v="41"/>
  </r>
  <r>
    <x v="9"/>
    <x v="0"/>
    <n v="182"/>
    <n v="310"/>
    <d v="2013-12-12T04:09:00"/>
    <d v="2013-12-12T04:41:00"/>
    <n v="320"/>
    <n v="423"/>
    <n v="393"/>
    <s v="Pulverizer mills"/>
    <s v="F5903A Coal Mill - Breaker Issue"/>
    <s v="Mill Creek"/>
    <x v="0"/>
    <s v="Coal"/>
    <x v="2"/>
    <x v="0"/>
    <n v="12"/>
    <n v="0.53333333332557231"/>
    <n v="0.12986603624712517"/>
    <n v="51.037352245120189"/>
    <n v="95.695035460992912"/>
    <x v="41"/>
  </r>
  <r>
    <x v="9"/>
    <x v="0"/>
    <n v="183"/>
    <n v="1850"/>
    <d v="2013-12-12T07:52:00"/>
    <d v="2013-12-12T08:03:00"/>
    <n v="410"/>
    <n v="423"/>
    <n v="393"/>
    <s v="Boiler water condition (not feedwater water quality)"/>
    <s v="F170High Silica"/>
    <s v="Mill Creek"/>
    <x v="0"/>
    <s v="Coal"/>
    <x v="2"/>
    <x v="0"/>
    <n v="12"/>
    <n v="0.18333333340706304"/>
    <n v="5.6343577642832612E-3"/>
    <n v="2.2143026013633218"/>
    <n v="12.078014184397164"/>
    <x v="24"/>
  </r>
  <r>
    <x v="9"/>
    <x v="0"/>
    <n v="184"/>
    <n v="360"/>
    <d v="2013-12-12T08:03:00"/>
    <d v="2013-12-12T10:10:00"/>
    <n v="330"/>
    <n v="423"/>
    <n v="393"/>
    <s v="Burners"/>
    <s v="F5303A Mill - 3A8 Burner Inspection"/>
    <s v="Mill Creek"/>
    <x v="0"/>
    <s v="Coal"/>
    <x v="2"/>
    <x v="0"/>
    <n v="12"/>
    <n v="2.1166666665812954"/>
    <n v="0.46536643024127772"/>
    <n v="182.88900708482214"/>
    <n v="86.40425531914893"/>
    <x v="173"/>
  </r>
  <r>
    <x v="9"/>
    <x v="0"/>
    <n v="185"/>
    <n v="1850"/>
    <d v="2013-12-12T10:10:00"/>
    <d v="2013-12-12T12:10:00"/>
    <n v="400"/>
    <n v="423"/>
    <n v="393"/>
    <s v="Boiler water condition (not feedwater water quality)"/>
    <s v="F170High Silica"/>
    <s v="Mill Creek"/>
    <x v="0"/>
    <s v="Coal"/>
    <x v="2"/>
    <x v="0"/>
    <n v="12"/>
    <n v="2.0000000000582077"/>
    <n v="0.10874704492042264"/>
    <n v="42.7375886537261"/>
    <n v="21.368794326241133"/>
    <x v="168"/>
  </r>
  <r>
    <x v="9"/>
    <x v="0"/>
    <n v="186"/>
    <n v="1850"/>
    <d v="2013-12-12T12:10:00"/>
    <d v="2013-12-12T13:37:00"/>
    <n v="355"/>
    <n v="423"/>
    <n v="393"/>
    <s v="Boiler water condition (not feedwater water quality)"/>
    <s v="F170High Silica/3C Mill Breaker Issue"/>
    <s v="Mill Creek"/>
    <x v="0"/>
    <s v="Coal"/>
    <x v="2"/>
    <x v="0"/>
    <n v="12"/>
    <n v="1.4500000000116415"/>
    <n v="0.23309692671581944"/>
    <n v="91.607092199317037"/>
    <n v="63.177304964539005"/>
    <x v="187"/>
  </r>
  <r>
    <x v="9"/>
    <x v="0"/>
    <n v="187"/>
    <n v="1850"/>
    <d v="2013-12-12T13:37:00"/>
    <d v="2013-12-12T19:57:00"/>
    <n v="330"/>
    <n v="423"/>
    <n v="393"/>
    <s v="Boiler water condition (not feedwater water quality)"/>
    <s v="F170High Silica/3C Mill Breaker Issue"/>
    <s v="Mill Creek"/>
    <x v="0"/>
    <s v="Coal"/>
    <x v="2"/>
    <x v="0"/>
    <n v="12"/>
    <n v="6.3333333333721384"/>
    <n v="1.3924349881882006"/>
    <n v="547.22695035796278"/>
    <n v="86.40425531914893"/>
    <x v="173"/>
  </r>
  <r>
    <x v="9"/>
    <x v="0"/>
    <n v="188"/>
    <n v="1850"/>
    <d v="2013-12-12T19:57:00"/>
    <d v="2013-12-12T20:37:00"/>
    <n v="385"/>
    <n v="423"/>
    <n v="393"/>
    <s v="Boiler water condition (not feedwater water quality)"/>
    <s v="F170High Silica/3C Mill Breaker Issue"/>
    <s v="Mill Creek"/>
    <x v="0"/>
    <s v="Coal"/>
    <x v="2"/>
    <x v="0"/>
    <n v="12"/>
    <n v="0.6666666665696539"/>
    <n v="5.9889676902238412E-2"/>
    <n v="23.536643022579696"/>
    <n v="35.304964539007095"/>
    <x v="139"/>
  </r>
  <r>
    <x v="9"/>
    <x v="2"/>
    <n v="189"/>
    <n v="310"/>
    <d v="2013-12-12T22:00:00"/>
    <d v="2013-12-13T04:43:00"/>
    <n v="330"/>
    <n v="423"/>
    <n v="393"/>
    <s v="Pulverizer mills"/>
    <s v="F5903C Coal Mill - Replace Pyrite Jet Pulsion"/>
    <s v="Mill Creek"/>
    <x v="0"/>
    <s v="Coal"/>
    <x v="2"/>
    <x v="0"/>
    <n v="12"/>
    <n v="6.7166666667326353"/>
    <n v="1.4767139480050475"/>
    <n v="580.34858156598364"/>
    <n v="86.40425531914893"/>
    <x v="173"/>
  </r>
  <r>
    <x v="9"/>
    <x v="0"/>
    <n v="190"/>
    <n v="360"/>
    <d v="2013-12-13T11:36:00"/>
    <d v="2013-12-13T12:28:00"/>
    <n v="330"/>
    <n v="423"/>
    <n v="393"/>
    <s v="Burners"/>
    <s v="F7803B Mill - 3B7 Burner High Temperature"/>
    <s v="Mill Creek"/>
    <x v="0"/>
    <s v="Coal"/>
    <x v="2"/>
    <x v="0"/>
    <n v="12"/>
    <n v="0.86666666669771075"/>
    <n v="0.19054373523141158"/>
    <n v="74.883687945944743"/>
    <n v="86.40425531914893"/>
    <x v="173"/>
  </r>
  <r>
    <x v="9"/>
    <x v="0"/>
    <n v="191"/>
    <n v="360"/>
    <d v="2013-12-13T14:11:00"/>
    <d v="2013-12-13T15:00:00"/>
    <n v="350"/>
    <n v="423"/>
    <n v="393"/>
    <s v="Burners"/>
    <s v="F7803A Mill - 3A2 Burner High Temperature"/>
    <s v="Mill Creek"/>
    <x v="0"/>
    <s v="Coal"/>
    <x v="2"/>
    <x v="0"/>
    <n v="12"/>
    <n v="0.81666666670935228"/>
    <n v="0.14093774626426175"/>
    <n v="55.388534281854866"/>
    <n v="67.822695035460995"/>
    <x v="208"/>
  </r>
  <r>
    <x v="9"/>
    <x v="0"/>
    <n v="192"/>
    <n v="310"/>
    <d v="2013-12-13T15:00:00"/>
    <d v="2013-12-13T18:00:00"/>
    <n v="240"/>
    <n v="423"/>
    <n v="393"/>
    <s v="Pulverizer mills"/>
    <s v="F8303C Mill - Burner High Temperature Trip3D Mill - Coal Feeder Trip"/>
    <s v="Mill Creek"/>
    <x v="0"/>
    <s v="Coal"/>
    <x v="2"/>
    <x v="0"/>
    <n v="12"/>
    <n v="3"/>
    <n v="1.2978723404255319"/>
    <n v="510.06382978723406"/>
    <n v="170.02127659574469"/>
    <x v="245"/>
  </r>
  <r>
    <x v="9"/>
    <x v="0"/>
    <n v="193"/>
    <n v="360"/>
    <d v="2013-12-13T18:00:00"/>
    <d v="2013-12-13T19:42:00"/>
    <n v="304"/>
    <n v="423"/>
    <n v="393"/>
    <s v="Burners"/>
    <s v="F7803A Mill - 3A2 Burner High Temperature"/>
    <s v="Mill Creek"/>
    <x v="0"/>
    <s v="Coal"/>
    <x v="2"/>
    <x v="0"/>
    <n v="12"/>
    <n v="1.6999999999534339"/>
    <n v="0.4782505910034483"/>
    <n v="187.95248226435518"/>
    <n v="110.56028368794327"/>
    <x v="205"/>
  </r>
  <r>
    <x v="9"/>
    <x v="0"/>
    <n v="194"/>
    <n v="360"/>
    <d v="2013-12-15T04:06:00"/>
    <d v="2013-12-15T04:52:00"/>
    <n v="340"/>
    <n v="423"/>
    <n v="393"/>
    <s v="Burners"/>
    <s v="F7803A Mill - 3A2 Burner High Temperature"/>
    <s v="Mill Creek"/>
    <x v="0"/>
    <s v="Coal"/>
    <x v="2"/>
    <x v="0"/>
    <n v="12"/>
    <n v="0.76666666672099382"/>
    <n v="0.15043341214619974"/>
    <n v="59.120330973456497"/>
    <n v="77.113475177304963"/>
    <x v="128"/>
  </r>
  <r>
    <x v="9"/>
    <x v="0"/>
    <n v="195"/>
    <n v="1850"/>
    <d v="2013-12-15T08:45:00"/>
    <d v="2013-12-15T12:00:00"/>
    <n v="400"/>
    <n v="423"/>
    <n v="393"/>
    <s v="Boiler water condition (not feedwater water quality)"/>
    <s v="F170High Silica"/>
    <s v="Mill Creek"/>
    <x v="0"/>
    <s v="Coal"/>
    <x v="2"/>
    <x v="0"/>
    <n v="12"/>
    <n v="3.2499999999417923"/>
    <n v="0.17671394798737877"/>
    <n v="69.448581559039852"/>
    <n v="21.368794326241133"/>
    <x v="168"/>
  </r>
  <r>
    <x v="9"/>
    <x v="0"/>
    <n v="196"/>
    <n v="360"/>
    <d v="2013-12-15T12:00:00"/>
    <d v="2013-12-15T16:20:00"/>
    <n v="350"/>
    <n v="423"/>
    <n v="393"/>
    <s v="Burners"/>
    <s v="F7803A Mill - 3A8 Burner High Temperature &amp; High Silica"/>
    <s v="Mill Creek"/>
    <x v="0"/>
    <s v="Coal"/>
    <x v="2"/>
    <x v="0"/>
    <n v="12"/>
    <n v="4.3333333333139308"/>
    <n v="0.74783293931895256"/>
    <n v="293.89834515234838"/>
    <n v="67.822695035460995"/>
    <x v="208"/>
  </r>
  <r>
    <x v="9"/>
    <x v="0"/>
    <n v="197"/>
    <n v="360"/>
    <d v="2013-12-15T16:20:00"/>
    <d v="2013-12-16T02:54:00"/>
    <n v="350"/>
    <n v="423"/>
    <n v="393"/>
    <s v="Burners"/>
    <s v="F1303C Mill - 3C4 Burner Installed Blank &amp; High Silica"/>
    <s v="Mill Creek"/>
    <x v="0"/>
    <s v="Coal"/>
    <x v="2"/>
    <x v="0"/>
    <n v="12"/>
    <n v="10.566666666709352"/>
    <n v="1.823561859739439"/>
    <n v="716.65981087759951"/>
    <n v="67.822695035460995"/>
    <x v="208"/>
  </r>
  <r>
    <x v="9"/>
    <x v="0"/>
    <n v="198"/>
    <n v="360"/>
    <d v="2013-12-16T10:46:00"/>
    <d v="2013-12-16T14:23:00"/>
    <n v="335"/>
    <n v="423"/>
    <n v="393"/>
    <s v="Burners"/>
    <s v="F7803D Mill - 3D4 Burner High Temperature"/>
    <s v="Mill Creek"/>
    <x v="0"/>
    <s v="Coal"/>
    <x v="2"/>
    <x v="0"/>
    <n v="12"/>
    <n v="3.6166666667559184"/>
    <n v="0.75240346731565211"/>
    <n v="295.6945626550513"/>
    <n v="81.758865248226954"/>
    <x v="48"/>
  </r>
  <r>
    <x v="9"/>
    <x v="0"/>
    <n v="199"/>
    <n v="310"/>
    <d v="2013-12-20T03:47:00"/>
    <d v="2013-12-20T04:28:00"/>
    <n v="335"/>
    <n v="423"/>
    <n v="393"/>
    <s v="Pulverizer mills"/>
    <s v="F5903A Coal Mill - Breaker Issue"/>
    <s v="Mill Creek"/>
    <x v="0"/>
    <s v="Coal"/>
    <x v="2"/>
    <x v="0"/>
    <n v="12"/>
    <n v="0.6833333334652707"/>
    <n v="0.14215918048450077"/>
    <n v="55.868557930408805"/>
    <n v="81.758865248226954"/>
    <x v="48"/>
  </r>
  <r>
    <x v="9"/>
    <x v="0"/>
    <n v="200"/>
    <n v="360"/>
    <d v="2013-12-20T13:25:00"/>
    <d v="2013-12-20T14:58:00"/>
    <n v="330"/>
    <n v="423"/>
    <n v="393"/>
    <s v="Burners"/>
    <s v="F7803B Mill - 3B9 Burner High Temperature"/>
    <s v="Mill Creek"/>
    <x v="0"/>
    <s v="Coal"/>
    <x v="2"/>
    <x v="0"/>
    <n v="12"/>
    <n v="1.5499999999883585"/>
    <n v="0.34078014184141214"/>
    <n v="133.92659574367497"/>
    <n v="86.40425531914893"/>
    <x v="173"/>
  </r>
  <r>
    <x v="9"/>
    <x v="0"/>
    <n v="201"/>
    <n v="250"/>
    <d v="2013-12-23T08:30:00"/>
    <d v="2013-12-23T09:00:00"/>
    <n v="330"/>
    <n v="423"/>
    <n v="393"/>
    <s v="Pulverizer feeders"/>
    <s v="F0103D Coal Mill Feeder - Belt off track"/>
    <s v="Mill Creek"/>
    <x v="0"/>
    <s v="Coal"/>
    <x v="2"/>
    <x v="0"/>
    <n v="12"/>
    <n v="0.50000000005820766"/>
    <n v="0.10992907802698183"/>
    <n v="43.202127664603857"/>
    <n v="86.40425531914893"/>
    <x v="173"/>
  </r>
  <r>
    <x v="9"/>
    <x v="0"/>
    <n v="202"/>
    <n v="310"/>
    <d v="2013-12-23T09:00:00"/>
    <d v="2013-12-23T11:00:00"/>
    <n v="225"/>
    <n v="423"/>
    <n v="393"/>
    <s v="Pulverizer mills"/>
    <s v="F4003C and 3D Coal Mill Failed to start"/>
    <s v="Mill Creek"/>
    <x v="0"/>
    <s v="Coal"/>
    <x v="2"/>
    <x v="0"/>
    <n v="12"/>
    <n v="2.0000000000582077"/>
    <n v="0.93617021279320356"/>
    <n v="367.91489362772899"/>
    <n v="183.95744680851064"/>
    <x v="186"/>
  </r>
  <r>
    <x v="9"/>
    <x v="0"/>
    <n v="203"/>
    <n v="250"/>
    <d v="2013-12-23T11:00:00"/>
    <d v="2013-12-23T15:18:00"/>
    <n v="330"/>
    <n v="423"/>
    <n v="393"/>
    <s v="Pulverizer feeders"/>
    <s v="F0103D Coal Mill Feeder - Belt off track"/>
    <s v="Mill Creek"/>
    <x v="0"/>
    <s v="Coal"/>
    <x v="2"/>
    <x v="0"/>
    <n v="12"/>
    <n v="4.2999999998719431"/>
    <n v="0.94539007089383142"/>
    <n v="371.53829786127574"/>
    <n v="86.40425531914893"/>
    <x v="173"/>
  </r>
  <r>
    <x v="9"/>
    <x v="0"/>
    <n v="204"/>
    <n v="360"/>
    <d v="2013-12-24T06:56:00"/>
    <d v="2013-12-24T09:30:00"/>
    <n v="330"/>
    <n v="423"/>
    <n v="393"/>
    <s v="Burners"/>
    <s v="F7803A Mill - 3A9 Burner high temperature"/>
    <s v="Mill Creek"/>
    <x v="0"/>
    <s v="Coal"/>
    <x v="2"/>
    <x v="0"/>
    <n v="12"/>
    <n v="2.5666666666511446"/>
    <n v="0.56430260046940062"/>
    <n v="221.77092198447446"/>
    <n v="86.40425531914893"/>
    <x v="173"/>
  </r>
  <r>
    <x v="9"/>
    <x v="0"/>
    <n v="205"/>
    <n v="1850"/>
    <d v="2013-12-24T09:30:00"/>
    <d v="2013-12-25T08:15:00"/>
    <n v="325"/>
    <n v="423"/>
    <n v="393"/>
    <s v="Boiler water condition (not feedwater water quality)"/>
    <s v="F170High Silica"/>
    <s v="Mill Creek"/>
    <x v="0"/>
    <s v="Coal"/>
    <x v="2"/>
    <x v="0"/>
    <n v="12"/>
    <n v="22.749999999941792"/>
    <n v="5.2706855791827323"/>
    <n v="2071.379432618814"/>
    <n v="91.049645390070921"/>
    <x v="42"/>
  </r>
  <r>
    <x v="9"/>
    <x v="0"/>
    <n v="206"/>
    <n v="360"/>
    <d v="2013-12-25T08:15:00"/>
    <d v="2013-12-25T11:30:00"/>
    <n v="330"/>
    <n v="423"/>
    <n v="393"/>
    <s v="Burners"/>
    <s v="F7803A and 3D Mill - 3D2 Burner High Temperature"/>
    <s v="Mill Creek"/>
    <x v="0"/>
    <s v="Coal"/>
    <x v="2"/>
    <x v="0"/>
    <n v="12"/>
    <n v="3.2499999999417923"/>
    <n v="0.7145390070794011"/>
    <n v="280.81382978220461"/>
    <n v="86.40425531914893"/>
    <x v="173"/>
  </r>
  <r>
    <x v="9"/>
    <x v="4"/>
    <n v="207"/>
    <n v="3110"/>
    <d v="2013-12-26T10:54:00"/>
    <d v="2013-12-29T10:41:00"/>
    <n v="0"/>
    <n v="423"/>
    <n v="393"/>
    <s v="Condenser tube leaks"/>
    <s v="F540Condenser Tube Leak Repairs"/>
    <s v="Mill Creek"/>
    <x v="2"/>
    <s v="Coal"/>
    <x v="2"/>
    <x v="0"/>
    <n v="12"/>
    <n v="71.783333333325572"/>
    <n v="71.783333333325572"/>
    <n v="28210.84999999695"/>
    <n v="393"/>
    <x v="258"/>
  </r>
  <r>
    <x v="9"/>
    <x v="0"/>
    <n v="208"/>
    <n v="1850"/>
    <d v="2013-12-29T23:05:00"/>
    <d v="2013-12-30T04:08:00"/>
    <n v="313"/>
    <n v="423"/>
    <n v="393"/>
    <s v="Boiler water condition (not feedwater water quality)"/>
    <s v="F170High Silica"/>
    <s v="Mill Creek"/>
    <x v="0"/>
    <s v="Coal"/>
    <x v="2"/>
    <x v="0"/>
    <n v="12"/>
    <n v="5.0500000000465661"/>
    <n v="1.3132387706976887"/>
    <n v="516.10283688419167"/>
    <n v="102.19858156028369"/>
    <x v="265"/>
  </r>
  <r>
    <x v="9"/>
    <x v="2"/>
    <n v="1"/>
    <n v="310"/>
    <d v="2014-01-01T23:20:00"/>
    <d v="2014-01-02T01:35:00"/>
    <n v="320"/>
    <n v="423"/>
    <n v="393"/>
    <s v="Pulverizer mills"/>
    <s v="F5303A Coal Mill - Inspection"/>
    <s v="Mill Creek"/>
    <x v="0"/>
    <s v="Coal"/>
    <x v="2"/>
    <x v="1"/>
    <n v="1"/>
    <n v="2.25"/>
    <n v="0.5478723404255319"/>
    <n v="215.31382978723403"/>
    <n v="95.695035460992912"/>
    <x v="41"/>
  </r>
  <r>
    <x v="9"/>
    <x v="0"/>
    <n v="2"/>
    <n v="360"/>
    <d v="2014-01-05T23:16:00"/>
    <d v="2014-01-06T02:00:00"/>
    <n v="330"/>
    <n v="423"/>
    <n v="393"/>
    <s v="Burners"/>
    <s v="F7803A Mill - Burners High Temperature"/>
    <s v="Mill Creek"/>
    <x v="0"/>
    <s v="Coal"/>
    <x v="2"/>
    <x v="1"/>
    <n v="1"/>
    <n v="2.7333333333372138"/>
    <n v="0.60094562647839456"/>
    <n v="236.17163120600907"/>
    <n v="86.40425531914893"/>
    <x v="173"/>
  </r>
  <r>
    <x v="9"/>
    <x v="3"/>
    <n v="6"/>
    <n v="1990"/>
    <d v="2014-01-14T08:00:00"/>
    <d v="2014-01-14T16:40:00"/>
    <n v="0"/>
    <n v="423"/>
    <n v="393"/>
    <s v="Boiler performance testing (use code 9999 for total unit performance testing)"/>
    <s v="F790Full Load Winter Capability Test"/>
    <s v="Mill Creek"/>
    <x v="1"/>
    <s v="Coal"/>
    <x v="2"/>
    <x v="1"/>
    <n v="1"/>
    <n v="8.6666666666278616"/>
    <n v="8.6666666666278616"/>
    <n v="3405.9999999847496"/>
    <n v="393"/>
    <x v="258"/>
  </r>
  <r>
    <x v="9"/>
    <x v="3"/>
    <n v="3"/>
    <n v="8460"/>
    <d v="2014-01-15T00:00:00"/>
    <d v="2014-01-15T03:06:00"/>
    <n v="0"/>
    <n v="423"/>
    <n v="393"/>
    <s v="Testing A"/>
    <s v="F790Mid Flow RATA Test"/>
    <s v="Mill Creek"/>
    <x v="1"/>
    <s v="Coal"/>
    <x v="2"/>
    <x v="1"/>
    <n v="1"/>
    <n v="3.0999999999767169"/>
    <n v="3.0999999999767169"/>
    <n v="1218.2999999908498"/>
    <n v="393"/>
    <x v="258"/>
  </r>
  <r>
    <x v="9"/>
    <x v="2"/>
    <n v="4"/>
    <n v="360"/>
    <d v="2014-01-15T03:06:00"/>
    <d v="2014-01-15T08:13:00"/>
    <n v="310"/>
    <n v="423"/>
    <n v="393"/>
    <s v="Burners"/>
    <s v="F5903C Mill - Coal Burner Logic Change"/>
    <s v="Mill Creek"/>
    <x v="0"/>
    <s v="Coal"/>
    <x v="2"/>
    <x v="1"/>
    <n v="1"/>
    <n v="5.1166666667559184"/>
    <n v="1.3668636722066638"/>
    <n v="537.17742317721888"/>
    <n v="104.98581560283688"/>
    <x v="43"/>
  </r>
  <r>
    <x v="9"/>
    <x v="2"/>
    <n v="5"/>
    <n v="360"/>
    <d v="2014-01-15T08:13:00"/>
    <d v="2014-01-15T09:42:00"/>
    <n v="372"/>
    <n v="423"/>
    <n v="393"/>
    <s v="Burners"/>
    <s v="F7903C Mill - Coal Burner Logic Testing"/>
    <s v="Mill Creek"/>
    <x v="0"/>
    <s v="Coal"/>
    <x v="2"/>
    <x v="1"/>
    <n v="1"/>
    <n v="1.4833333332790062"/>
    <n v="0.17884160755846173"/>
    <n v="70.284751770475467"/>
    <n v="47.382978723404257"/>
    <x v="119"/>
  </r>
  <r>
    <x v="9"/>
    <x v="3"/>
    <n v="7"/>
    <n v="8460"/>
    <d v="2014-01-15T09:42:00"/>
    <d v="2014-01-15T12:09:00"/>
    <n v="0"/>
    <n v="423"/>
    <n v="393"/>
    <s v="Testing A"/>
    <s v="F790Full Load RATA Test"/>
    <s v="Mill Creek"/>
    <x v="1"/>
    <s v="Coal"/>
    <x v="2"/>
    <x v="1"/>
    <n v="1"/>
    <n v="2.4499999999534339"/>
    <n v="2.4499999999534339"/>
    <n v="962.84999998169951"/>
    <n v="393"/>
    <x v="258"/>
  </r>
  <r>
    <x v="9"/>
    <x v="0"/>
    <n v="8"/>
    <n v="360"/>
    <d v="2014-01-15T12:09:00"/>
    <d v="2014-01-15T13:13:00"/>
    <n v="355"/>
    <n v="423"/>
    <n v="393"/>
    <s v="Burners"/>
    <s v="F7803D Mill - 3D7 Coal Burner High Temperature"/>
    <s v="Mill Creek"/>
    <x v="0"/>
    <s v="Coal"/>
    <x v="2"/>
    <x v="1"/>
    <n v="1"/>
    <n v="1.0666666666511446"/>
    <n v="0.17147360125834005"/>
    <n v="67.389125294527645"/>
    <n v="63.177304964539005"/>
    <x v="187"/>
  </r>
  <r>
    <x v="9"/>
    <x v="3"/>
    <n v="9"/>
    <n v="8460"/>
    <d v="2014-01-15T13:14:00"/>
    <d v="2014-01-15T16:42:00"/>
    <n v="0"/>
    <n v="423"/>
    <n v="393"/>
    <s v="Testing A"/>
    <s v="F790Full Load RATA Test"/>
    <s v="Mill Creek"/>
    <x v="1"/>
    <s v="Coal"/>
    <x v="2"/>
    <x v="1"/>
    <n v="1"/>
    <n v="3.46666666661622"/>
    <n v="3.46666666661622"/>
    <n v="1362.3999999801745"/>
    <n v="393"/>
    <x v="258"/>
  </r>
  <r>
    <x v="9"/>
    <x v="2"/>
    <n v="10"/>
    <n v="310"/>
    <d v="2014-01-17T04:00:00"/>
    <d v="2014-01-17T05:15:00"/>
    <n v="330"/>
    <n v="423"/>
    <n v="393"/>
    <s v="Pulverizer mills"/>
    <s v="F5903B Mill - Coal Burner Logic Change "/>
    <s v="Mill Creek"/>
    <x v="0"/>
    <s v="Coal"/>
    <x v="2"/>
    <x v="1"/>
    <n v="1"/>
    <n v="1.2500000000582077"/>
    <n v="0.2748226950482584"/>
    <n v="108.00531915396556"/>
    <n v="86.40425531914893"/>
    <x v="173"/>
  </r>
  <r>
    <x v="9"/>
    <x v="0"/>
    <n v="11"/>
    <n v="360"/>
    <d v="2014-01-20T08:37:00"/>
    <d v="2014-01-20T09:20:00"/>
    <n v="335"/>
    <n v="423"/>
    <n v="393"/>
    <s v="Burners"/>
    <s v="F7803C Mill - 3C3 Coal Burner High Temperature"/>
    <s v="Mill Creek"/>
    <x v="0"/>
    <s v="Coal"/>
    <x v="2"/>
    <x v="1"/>
    <n v="1"/>
    <n v="0.71666666673263535"/>
    <n v="0.14909377463941351"/>
    <n v="58.59385343328951"/>
    <n v="81.758865248226954"/>
    <x v="48"/>
  </r>
  <r>
    <x v="9"/>
    <x v="2"/>
    <n v="12"/>
    <n v="360"/>
    <d v="2014-01-20T21:00:00"/>
    <d v="2014-01-21T00:55:00"/>
    <n v="325"/>
    <n v="423"/>
    <n v="393"/>
    <s v="Burners"/>
    <s v="F5903A &amp; 3D Mills - Coal Burner Logic Change Over"/>
    <s v="Mill Creek"/>
    <x v="0"/>
    <s v="Coal"/>
    <x v="2"/>
    <x v="1"/>
    <n v="1"/>
    <n v="3.9166666666860692"/>
    <n v="0.90740740741190251"/>
    <n v="356.61111111287767"/>
    <n v="91.049645390070921"/>
    <x v="42"/>
  </r>
  <r>
    <x v="9"/>
    <x v="0"/>
    <n v="13"/>
    <n v="300"/>
    <d v="2014-01-23T17:19:00"/>
    <d v="2014-01-23T23:03:00"/>
    <n v="335"/>
    <n v="423"/>
    <n v="393"/>
    <s v="Pulverizer motors and drives"/>
    <s v="F5903C Coal Mill Motor - Failed to Start, Breaker Issue"/>
    <s v="Mill Creek"/>
    <x v="0"/>
    <s v="Coal"/>
    <x v="2"/>
    <x v="1"/>
    <n v="1"/>
    <n v="5.7333333333372138"/>
    <n v="1.1927501970063235"/>
    <n v="468.75082742348513"/>
    <n v="81.758865248226954"/>
    <x v="48"/>
  </r>
  <r>
    <x v="9"/>
    <x v="0"/>
    <n v="14"/>
    <n v="360"/>
    <d v="2014-01-23T22:08:00"/>
    <d v="2014-01-23T23:03:00"/>
    <n v="225"/>
    <n v="423"/>
    <n v="393"/>
    <s v="Burners"/>
    <s v="F7803D Mill - 3D7 Coal Burner High Temperature"/>
    <s v="Mill Creek"/>
    <x v="0"/>
    <s v="Coal"/>
    <x v="2"/>
    <x v="1"/>
    <n v="1"/>
    <n v="0.91666666668606922"/>
    <n v="0.42907801419347918"/>
    <n v="168.62765957803731"/>
    <n v="183.95744680851064"/>
    <x v="186"/>
  </r>
  <r>
    <x v="9"/>
    <x v="0"/>
    <n v="15"/>
    <n v="300"/>
    <d v="2014-01-23T23:03:00"/>
    <d v="2014-01-23T23:23:00"/>
    <n v="330"/>
    <n v="423"/>
    <n v="393"/>
    <s v="Pulverizer motors and drives"/>
    <s v="F5903C Coal Mill Motor - Failed to Start, Breaker Issue"/>
    <s v="Mill Creek"/>
    <x v="0"/>
    <s v="Coal"/>
    <x v="2"/>
    <x v="1"/>
    <n v="1"/>
    <n v="0.33333333337213844"/>
    <n v="7.3286052017987879E-2"/>
    <n v="28.801418443069238"/>
    <n v="86.40425531914893"/>
    <x v="173"/>
  </r>
  <r>
    <x v="9"/>
    <x v="0"/>
    <n v="16"/>
    <n v="360"/>
    <d v="2014-01-24T23:56:00"/>
    <d v="2014-01-25T01:35:00"/>
    <n v="360"/>
    <n v="423"/>
    <n v="393"/>
    <s v="Burners"/>
    <s v="F7803D Mill - 3D10 Coal Burner High Temperature"/>
    <s v="Mill Creek"/>
    <x v="0"/>
    <s v="Coal"/>
    <x v="2"/>
    <x v="1"/>
    <n v="1"/>
    <n v="1.6499999999650754"/>
    <n v="0.24574468084586229"/>
    <n v="96.577659572423883"/>
    <n v="58.531914893617021"/>
    <x v="83"/>
  </r>
  <r>
    <x v="9"/>
    <x v="0"/>
    <n v="17"/>
    <n v="360"/>
    <d v="2014-01-28T09:43:00"/>
    <d v="2014-01-28T10:42:00"/>
    <n v="360"/>
    <n v="423"/>
    <n v="393"/>
    <s v="Burners"/>
    <s v="F7803C Mill - 3C2 Coal Burner High Temperature"/>
    <s v="Mill Creek"/>
    <x v="0"/>
    <s v="Coal"/>
    <x v="2"/>
    <x v="1"/>
    <n v="1"/>
    <n v="0.98333333322079852"/>
    <n v="0.14645390069245937"/>
    <n v="57.556382972136532"/>
    <n v="58.531914893617021"/>
    <x v="83"/>
  </r>
  <r>
    <x v="9"/>
    <x v="0"/>
    <n v="18"/>
    <n v="360"/>
    <d v="2014-01-28T16:30:00"/>
    <d v="2014-01-28T17:05:00"/>
    <n v="360"/>
    <n v="423"/>
    <n v="393"/>
    <s v="Burners"/>
    <s v="F7803B Mill - 3B6 Coal Burner High Temperature"/>
    <s v="Mill Creek"/>
    <x v="0"/>
    <s v="Coal"/>
    <x v="2"/>
    <x v="1"/>
    <n v="1"/>
    <n v="0.58333333331393078"/>
    <n v="8.6879432621223732E-2"/>
    <n v="34.14361702014093"/>
    <n v="58.531914893617021"/>
    <x v="83"/>
  </r>
  <r>
    <x v="9"/>
    <x v="0"/>
    <n v="19"/>
    <n v="360"/>
    <d v="2014-01-31T08:09:00"/>
    <d v="2014-01-31T09:12:00"/>
    <n v="340"/>
    <n v="423"/>
    <n v="393"/>
    <s v="Burners"/>
    <s v="F7803C Mill - 3C2 Coal Burner High Temperature"/>
    <s v="Mill Creek"/>
    <x v="0"/>
    <s v="Coal"/>
    <x v="2"/>
    <x v="1"/>
    <n v="1"/>
    <n v="1.0499999999301508"/>
    <n v="0.20602836878062061"/>
    <n v="80.969148930783902"/>
    <n v="77.113475177304963"/>
    <x v="128"/>
  </r>
  <r>
    <x v="9"/>
    <x v="0"/>
    <n v="20"/>
    <n v="250"/>
    <d v="2014-02-07T18:02:00"/>
    <d v="2014-02-08T05:30:00"/>
    <n v="325"/>
    <n v="423"/>
    <n v="393"/>
    <s v="Pulverizer feeders"/>
    <s v="F5903C Coal Feeder - Replace Speed Sensor"/>
    <s v="Mill Creek"/>
    <x v="0"/>
    <s v="Coal"/>
    <x v="2"/>
    <x v="1"/>
    <n v="2"/>
    <n v="11.466666666674428"/>
    <n v="2.6565799842413567"/>
    <n v="1044.0359338068531"/>
    <n v="91.049645390070921"/>
    <x v="42"/>
  </r>
  <r>
    <x v="9"/>
    <x v="0"/>
    <n v="21"/>
    <n v="360"/>
    <d v="2014-02-09T09:05:00"/>
    <d v="2014-02-09T10:25:00"/>
    <n v="330"/>
    <n v="423"/>
    <n v="393"/>
    <s v="Burners"/>
    <s v="F7803C Mill - 3C3 Coal Burner High Temperature"/>
    <s v="Mill Creek"/>
    <x v="0"/>
    <s v="Coal"/>
    <x v="2"/>
    <x v="1"/>
    <n v="2"/>
    <n v="1.3333333334885538"/>
    <n v="0.29314420807195152"/>
    <n v="115.20567377227695"/>
    <n v="86.40425531914893"/>
    <x v="173"/>
  </r>
  <r>
    <x v="9"/>
    <x v="0"/>
    <n v="22"/>
    <n v="360"/>
    <d v="2014-02-09T10:50:00"/>
    <d v="2014-02-09T16:36:00"/>
    <n v="330"/>
    <n v="423"/>
    <n v="393"/>
    <s v="Burners"/>
    <s v="F7803C Mill - 3C10 Coal Burner High Temperature"/>
    <s v="Mill Creek"/>
    <x v="0"/>
    <s v="Coal"/>
    <x v="2"/>
    <x v="1"/>
    <n v="2"/>
    <n v="5.7666666666045785"/>
    <n v="1.2678486997499427"/>
    <n v="498.26453900172748"/>
    <n v="86.40425531914893"/>
    <x v="173"/>
  </r>
  <r>
    <x v="9"/>
    <x v="0"/>
    <n v="23"/>
    <n v="310"/>
    <d v="2014-02-09T21:52:00"/>
    <d v="2014-02-10T07:58:00"/>
    <n v="320"/>
    <n v="423"/>
    <n v="393"/>
    <s v="Pulverizer mills"/>
    <s v="F5903C Primary Air Fan Housing InspectionRepair Suction Box &amp; Hot Air Damper Linkage"/>
    <s v="Mill Creek"/>
    <x v="0"/>
    <s v="Coal"/>
    <x v="2"/>
    <x v="1"/>
    <n v="2"/>
    <n v="10.099999999918509"/>
    <n v="2.459338061445878"/>
    <n v="966.51985814823001"/>
    <n v="95.695035460992912"/>
    <x v="41"/>
  </r>
  <r>
    <x v="9"/>
    <x v="2"/>
    <n v="24"/>
    <n v="250"/>
    <d v="2014-02-10T11:00:00"/>
    <d v="2014-02-10T16:05:00"/>
    <n v="330"/>
    <n v="423"/>
    <n v="393"/>
    <s v="Pulverizer feeders"/>
    <s v="F0903C Coal Feeder - Calibration"/>
    <s v="Mill Creek"/>
    <x v="0"/>
    <s v="Coal"/>
    <x v="2"/>
    <x v="1"/>
    <n v="2"/>
    <n v="5.0833333333139308"/>
    <n v="1.1176122931399421"/>
    <n v="439.22163120399728"/>
    <n v="86.40425531914893"/>
    <x v="173"/>
  </r>
  <r>
    <x v="9"/>
    <x v="0"/>
    <n v="25"/>
    <n v="360"/>
    <d v="2014-02-10T19:42:00"/>
    <d v="2014-02-10T19:57:00"/>
    <n v="320"/>
    <n v="423"/>
    <n v="393"/>
    <s v="Burners"/>
    <s v="F7803D Mill - 3D4 Coal Burner High Temperature"/>
    <s v="Mill Creek"/>
    <x v="0"/>
    <s v="Coal"/>
    <x v="2"/>
    <x v="1"/>
    <n v="2"/>
    <n v="0.25000000011641532"/>
    <n v="6.0874704520072764E-2"/>
    <n v="23.923758876388597"/>
    <n v="95.695035460992912"/>
    <x v="41"/>
  </r>
  <r>
    <x v="9"/>
    <x v="0"/>
    <n v="26"/>
    <n v="360"/>
    <d v="2014-02-15T11:11:00"/>
    <d v="2014-02-15T12:43:00"/>
    <n v="360"/>
    <n v="423"/>
    <n v="393"/>
    <s v="Burners"/>
    <s v="F7803C Mill - 3C1 &amp; 3C3 Coal Burners High Temperature"/>
    <s v="Mill Creek"/>
    <x v="0"/>
    <s v="Coal"/>
    <x v="2"/>
    <x v="1"/>
    <n v="2"/>
    <n v="1.5333333334419876"/>
    <n v="0.22836879434242369"/>
    <n v="89.748936176572514"/>
    <n v="58.531914893617021"/>
    <x v="83"/>
  </r>
  <r>
    <x v="9"/>
    <x v="0"/>
    <n v="27"/>
    <n v="360"/>
    <d v="2014-02-15T13:28:00"/>
    <d v="2014-02-15T14:20:00"/>
    <n v="360"/>
    <n v="423"/>
    <n v="393"/>
    <s v="Burners"/>
    <s v="F7803A Mill - 3A4 Coal Burner High Temperature"/>
    <s v="Mill Creek"/>
    <x v="0"/>
    <s v="Coal"/>
    <x v="2"/>
    <x v="1"/>
    <n v="2"/>
    <n v="0.86666666652308777"/>
    <n v="0.12907801416301307"/>
    <n v="50.727659566064133"/>
    <n v="58.531914893617021"/>
    <x v="83"/>
  </r>
  <r>
    <x v="9"/>
    <x v="2"/>
    <n v="28"/>
    <n v="8160"/>
    <d v="2014-02-17T20:00:00"/>
    <d v="2014-02-18T00:46:00"/>
    <n v="330"/>
    <n v="423"/>
    <n v="393"/>
    <s v="Mist eliminators/demisters and washdown"/>
    <s v="F590FGD Demister Wash Line - Relocation"/>
    <s v="Mill Creek"/>
    <x v="0"/>
    <s v="Coal"/>
    <x v="2"/>
    <x v="1"/>
    <n v="2"/>
    <n v="4.7666666666627862"/>
    <n v="1.0479905437343715"/>
    <n v="411.86028368760799"/>
    <n v="86.40425531914893"/>
    <x v="173"/>
  </r>
  <r>
    <x v="9"/>
    <x v="0"/>
    <n v="29"/>
    <n v="360"/>
    <d v="2014-02-21T14:09:00"/>
    <d v="2014-02-21T15:29:00"/>
    <n v="330"/>
    <n v="423"/>
    <n v="393"/>
    <s v="Burners"/>
    <s v="F7803D Mill - 3D1 Coal Burner High Temperature"/>
    <s v="Mill Creek"/>
    <x v="0"/>
    <s v="Coal"/>
    <x v="2"/>
    <x v="1"/>
    <n v="2"/>
    <n v="1.3333333333139308"/>
    <n v="0.29314420803355923"/>
    <n v="115.20567375718878"/>
    <n v="86.40425531914893"/>
    <x v="173"/>
  </r>
  <r>
    <x v="9"/>
    <x v="0"/>
    <n v="30"/>
    <n v="360"/>
    <d v="2014-02-21T18:21:00"/>
    <d v="2014-02-21T19:10:00"/>
    <n v="340"/>
    <n v="423"/>
    <n v="393"/>
    <s v="Burners"/>
    <s v="F7803A Mill - 3A4 Coal Burner High Temperature"/>
    <s v="Mill Creek"/>
    <x v="0"/>
    <s v="Coal"/>
    <x v="2"/>
    <x v="1"/>
    <n v="2"/>
    <n v="0.81666666670935228"/>
    <n v="0.16024428684840719"/>
    <n v="62.976004731424027"/>
    <n v="77.113475177304963"/>
    <x v="128"/>
  </r>
  <r>
    <x v="9"/>
    <x v="0"/>
    <n v="31"/>
    <n v="360"/>
    <d v="2014-02-22T09:20:00"/>
    <d v="2014-02-22T11:18:00"/>
    <n v="330"/>
    <n v="423"/>
    <n v="393"/>
    <s v="Burners"/>
    <s v="F7803C Mill - 3C3 Coal Burner High Temperature"/>
    <s v="Mill Creek"/>
    <x v="0"/>
    <s v="Coal"/>
    <x v="2"/>
    <x v="1"/>
    <n v="2"/>
    <n v="1.96666666661622"/>
    <n v="0.43238770684470085"/>
    <n v="169.92836878996744"/>
    <n v="86.40425531914893"/>
    <x v="173"/>
  </r>
  <r>
    <x v="9"/>
    <x v="0"/>
    <n v="32"/>
    <n v="360"/>
    <d v="2014-02-22T14:45:00"/>
    <d v="2014-02-22T16:15:00"/>
    <n v="220"/>
    <n v="423"/>
    <n v="393"/>
    <s v="Burners"/>
    <s v="F7803D Mill - 3D1 Coal Burner High Temperature3B Mill - 3B7 Coal Burner Fire"/>
    <s v="Mill Creek"/>
    <x v="0"/>
    <s v="Coal"/>
    <x v="2"/>
    <x v="1"/>
    <n v="2"/>
    <n v="1.5"/>
    <n v="0.71985815602836878"/>
    <n v="282.90425531914894"/>
    <n v="188.60283687943263"/>
    <x v="189"/>
  </r>
  <r>
    <x v="9"/>
    <x v="0"/>
    <n v="33"/>
    <n v="360"/>
    <d v="2014-02-22T16:15:00"/>
    <d v="2014-02-22T17:00:00"/>
    <n v="330"/>
    <n v="423"/>
    <n v="393"/>
    <s v="Burners"/>
    <s v="F7803D Mill - 3D1 Coal Burner High Temperature"/>
    <s v="Mill Creek"/>
    <x v="0"/>
    <s v="Coal"/>
    <x v="2"/>
    <x v="1"/>
    <n v="2"/>
    <n v="0.75"/>
    <n v="0.16489361702127658"/>
    <n v="64.803191489361694"/>
    <n v="86.40425531914893"/>
    <x v="173"/>
  </r>
  <r>
    <x v="9"/>
    <x v="0"/>
    <n v="34"/>
    <n v="360"/>
    <d v="2014-02-22T19:25:00"/>
    <d v="2014-02-22T20:28:00"/>
    <n v="330"/>
    <n v="423"/>
    <n v="393"/>
    <s v="Burners"/>
    <s v="F7803D Mill - 3D2 Coal Burner High Temperature"/>
    <s v="Mill Creek"/>
    <x v="0"/>
    <s v="Coal"/>
    <x v="2"/>
    <x v="1"/>
    <n v="2"/>
    <n v="1.0499999999301508"/>
    <n v="0.23085106381443032"/>
    <n v="90.724468079071116"/>
    <n v="86.40425531914893"/>
    <x v="173"/>
  </r>
  <r>
    <x v="9"/>
    <x v="2"/>
    <n v="35"/>
    <n v="310"/>
    <d v="2014-02-24T23:00:00"/>
    <d v="2014-02-25T06:39:00"/>
    <n v="320"/>
    <n v="423"/>
    <n v="393"/>
    <s v="Pulverizer mills"/>
    <s v="F5903C Coal Mill Pyrite Hopper - Replace Top Gate"/>
    <s v="Mill Creek"/>
    <x v="0"/>
    <s v="Coal"/>
    <x v="2"/>
    <x v="1"/>
    <n v="2"/>
    <n v="7.6499999999650754"/>
    <n v="1.8627659574383044"/>
    <n v="732.06702127325366"/>
    <n v="95.695035460992912"/>
    <x v="41"/>
  </r>
  <r>
    <x v="9"/>
    <x v="2"/>
    <n v="36"/>
    <n v="876"/>
    <d v="2014-02-25T20:00:00"/>
    <d v="2014-02-26T04:28:00"/>
    <n v="215"/>
    <n v="423"/>
    <n v="393"/>
    <s v="Soot blower controls"/>
    <s v="F590Sootblower Regulator - Rebuilt"/>
    <s v="Mill Creek"/>
    <x v="0"/>
    <s v="Coal"/>
    <x v="2"/>
    <x v="1"/>
    <n v="2"/>
    <n v="8.4666666666744277"/>
    <n v="4.1632781717926264"/>
    <n v="1636.1683215145022"/>
    <n v="193.24822695035462"/>
    <x v="266"/>
  </r>
  <r>
    <x v="9"/>
    <x v="0"/>
    <n v="37"/>
    <n v="310"/>
    <d v="2014-03-05T05:15:00"/>
    <d v="2014-03-05T05:48:00"/>
    <n v="335"/>
    <n v="423"/>
    <n v="393"/>
    <s v="Pulverizer mills"/>
    <s v="F5903A Coal Mill - Breaker Issue"/>
    <s v="Mill Creek"/>
    <x v="0"/>
    <s v="Coal"/>
    <x v="2"/>
    <x v="1"/>
    <n v="3"/>
    <n v="0.55000000004656613"/>
    <n v="0.11442080379219342"/>
    <n v="44.967375890332015"/>
    <n v="81.758865248226954"/>
    <x v="48"/>
  </r>
  <r>
    <x v="9"/>
    <x v="2"/>
    <n v="38"/>
    <n v="8160"/>
    <d v="2014-03-08T23:30:00"/>
    <d v="2014-03-09T06:36:00"/>
    <n v="325"/>
    <n v="423"/>
    <n v="393"/>
    <s v="Mist eliminators/demisters and washdown"/>
    <s v="F590FGD Mist Eliminator - Wash Line Tie In"/>
    <s v="Mill Creek"/>
    <x v="0"/>
    <s v="Coal"/>
    <x v="2"/>
    <x v="1"/>
    <n v="3"/>
    <n v="7.1000000000931323"/>
    <n v="1.6449172577047919"/>
    <n v="646.45248227798322"/>
    <n v="91.049645390070921"/>
    <x v="42"/>
  </r>
  <r>
    <x v="9"/>
    <x v="0"/>
    <n v="39"/>
    <n v="260"/>
    <d v="2014-03-23T17:17:00"/>
    <d v="2014-03-23T19:18:00"/>
    <n v="320"/>
    <n v="423"/>
    <n v="393"/>
    <s v="Primary air fan"/>
    <s v="F5903C Primary Air Fan Outboard Bearing - High Temperature, Changed Oil"/>
    <s v="Mill Creek"/>
    <x v="0"/>
    <s v="Coal"/>
    <x v="2"/>
    <x v="1"/>
    <n v="3"/>
    <n v="2.0166666667792015"/>
    <n v="0.49105594959398996"/>
    <n v="192.98498819043806"/>
    <n v="95.695035460992912"/>
    <x v="41"/>
  </r>
  <r>
    <x v="9"/>
    <x v="0"/>
    <n v="40"/>
    <n v="380"/>
    <d v="2014-03-24T03:18:00"/>
    <d v="2014-03-24T03:51:00"/>
    <n v="375"/>
    <n v="423"/>
    <n v="393"/>
    <s v="Light-off (igniter) systems (including fuel supply)"/>
    <s v="F4003D Coal Mill - 3D2 Lighter Could Not Get in Service"/>
    <s v="Mill Creek"/>
    <x v="0"/>
    <s v="Coal"/>
    <x v="2"/>
    <x v="1"/>
    <n v="3"/>
    <n v="0.55000000004656613"/>
    <n v="6.2411347523014596E-2"/>
    <n v="24.527659576544735"/>
    <n v="44.595744680851062"/>
    <x v="23"/>
  </r>
  <r>
    <x v="9"/>
    <x v="6"/>
    <n v="41"/>
    <n v="1801"/>
    <d v="2014-04-01T00:39:00"/>
    <d v="2014-04-04T18:43:00"/>
    <n v="0"/>
    <n v="423"/>
    <n v="393"/>
    <s v="Minor boiler overhaul (less than 720 hours) (use for non-specific overhaul only; see page B-1)"/>
    <s v="F590Planned 1 Week Outage"/>
    <s v="Mill Creek"/>
    <x v="1"/>
    <s v="Coal"/>
    <x v="2"/>
    <x v="1"/>
    <n v="4"/>
    <n v="90.066666666709352"/>
    <n v="90.066666666709352"/>
    <n v="35396.200000016775"/>
    <n v="393"/>
    <x v="258"/>
  </r>
  <r>
    <x v="9"/>
    <x v="3"/>
    <n v="42"/>
    <n v="1850"/>
    <d v="2014-04-04T18:43:00"/>
    <d v="2014-04-05T18:44:00"/>
    <n v="0"/>
    <n v="423"/>
    <n v="393"/>
    <s v="Boiler water condition (not feedwater water quality)"/>
    <s v="F170High Silica @ Warm Start Up"/>
    <s v="Mill Creek"/>
    <x v="1"/>
    <s v="Coal"/>
    <x v="2"/>
    <x v="1"/>
    <n v="4"/>
    <n v="24.016666666546371"/>
    <n v="24.016666666546371"/>
    <n v="9438.5499999527237"/>
    <n v="393"/>
    <x v="258"/>
  </r>
  <r>
    <x v="9"/>
    <x v="0"/>
    <n v="43"/>
    <n v="1850"/>
    <d v="2014-04-05T18:44:00"/>
    <d v="2014-04-05T20:21:00"/>
    <n v="340"/>
    <n v="423"/>
    <n v="393"/>
    <s v="Boiler water condition (not feedwater water quality)"/>
    <s v="F170High Silica"/>
    <s v="Mill Creek"/>
    <x v="0"/>
    <s v="Coal"/>
    <x v="2"/>
    <x v="1"/>
    <n v="4"/>
    <n v="1.6166666666977108"/>
    <n v="0.31721828211799052"/>
    <n v="124.66678487237027"/>
    <n v="77.113475177304963"/>
    <x v="128"/>
  </r>
  <r>
    <x v="9"/>
    <x v="0"/>
    <n v="44"/>
    <n v="1850"/>
    <d v="2014-04-05T20:21:00"/>
    <d v="2014-04-06T04:30:00"/>
    <n v="380"/>
    <n v="423"/>
    <n v="393"/>
    <s v="Boiler water condition (not feedwater water quality)"/>
    <s v="F170High Silica"/>
    <s v="Mill Creek"/>
    <x v="0"/>
    <s v="Coal"/>
    <x v="2"/>
    <x v="1"/>
    <n v="4"/>
    <n v="8.1500000000232831"/>
    <n v="0.82848699763830069"/>
    <n v="325.59539007185219"/>
    <n v="39.950354609929079"/>
    <x v="157"/>
  </r>
  <r>
    <x v="9"/>
    <x v="2"/>
    <n v="45"/>
    <n v="360"/>
    <d v="2014-04-06T04:30:00"/>
    <d v="2014-04-06T07:08:00"/>
    <n v="350"/>
    <n v="423"/>
    <n v="393"/>
    <s v="Burners"/>
    <s v="F7803D Mill - 3D7 Coal Burner High Temperature"/>
    <s v="Mill Creek"/>
    <x v="0"/>
    <s v="Coal"/>
    <x v="2"/>
    <x v="1"/>
    <n v="4"/>
    <n v="2.6333333333604969"/>
    <n v="0.45445232466977842"/>
    <n v="178.59976359522292"/>
    <n v="67.822695035460995"/>
    <x v="208"/>
  </r>
  <r>
    <x v="9"/>
    <x v="0"/>
    <n v="46"/>
    <n v="1455"/>
    <d v="2014-04-06T12:45:00"/>
    <d v="2014-04-07T07:30:00"/>
    <n v="400"/>
    <n v="423"/>
    <n v="393"/>
    <s v="Induced draft fans"/>
    <s v="F8503A Induced Draft Fan - Outboard Bearing High Vibration"/>
    <s v="Mill Creek"/>
    <x v="0"/>
    <s v="Coal"/>
    <x v="2"/>
    <x v="1"/>
    <n v="4"/>
    <n v="18.75"/>
    <n v="1.0195035460992907"/>
    <n v="400.66489361702128"/>
    <n v="21.368794326241133"/>
    <x v="168"/>
  </r>
  <r>
    <x v="9"/>
    <x v="0"/>
    <n v="47"/>
    <n v="1455"/>
    <d v="2014-04-07T07:30:00"/>
    <d v="2014-04-07T17:45:00"/>
    <n v="415"/>
    <n v="423"/>
    <n v="393"/>
    <s v="Induced draft fans"/>
    <s v="F8503A Induced Draft Fan - Outboard Bearing High Vibration"/>
    <s v="Mill Creek"/>
    <x v="0"/>
    <s v="Coal"/>
    <x v="2"/>
    <x v="1"/>
    <n v="4"/>
    <n v="10.250000000058208"/>
    <n v="0.19385342789708193"/>
    <n v="76.1843971635532"/>
    <n v="7.4326241134751774"/>
    <x v="13"/>
  </r>
  <r>
    <x v="9"/>
    <x v="0"/>
    <n v="48"/>
    <n v="1455"/>
    <d v="2014-04-07T17:45:00"/>
    <d v="2014-04-09T13:19:00"/>
    <n v="395"/>
    <n v="423"/>
    <n v="393"/>
    <s v="Induced draft fans"/>
    <s v="F8503A Induced Draft Fan - Outboard Bearing High Vibration"/>
    <s v="Mill Creek"/>
    <x v="0"/>
    <s v="Coal"/>
    <x v="2"/>
    <x v="1"/>
    <n v="4"/>
    <n v="43.566666666534729"/>
    <n v="2.8838455476666014"/>
    <n v="1133.3513002329744"/>
    <n v="26.01418439716312"/>
    <x v="16"/>
  </r>
  <r>
    <x v="9"/>
    <x v="0"/>
    <n v="49"/>
    <n v="250"/>
    <d v="2014-04-09T13:19:00"/>
    <d v="2014-04-10T01:00:00"/>
    <n v="310"/>
    <n v="423"/>
    <n v="393"/>
    <s v="Pulverizer feeders"/>
    <s v="FW003C Coal Feeder - Plugged, Wet Coal"/>
    <s v="Mill Creek"/>
    <x v="0"/>
    <s v="Coal"/>
    <x v="2"/>
    <x v="1"/>
    <n v="4"/>
    <n v="11.683333333348855"/>
    <n v="3.1210795902326729"/>
    <n v="1226.5842789614405"/>
    <n v="104.98581560283688"/>
    <x v="43"/>
  </r>
  <r>
    <x v="9"/>
    <x v="0"/>
    <n v="50"/>
    <n v="310"/>
    <d v="2014-04-10T01:00:00"/>
    <d v="2014-04-10T05:33:00"/>
    <n v="310"/>
    <n v="423"/>
    <n v="393"/>
    <s v="Pulverizer mills"/>
    <s v="F5303D Coal Mill - Fire, Inspection"/>
    <s v="Mill Creek"/>
    <x v="0"/>
    <s v="Coal"/>
    <x v="2"/>
    <x v="1"/>
    <n v="4"/>
    <n v="4.5499999999883585"/>
    <n v="1.2154846335666301"/>
    <n v="477.6854609916856"/>
    <n v="104.98581560283688"/>
    <x v="43"/>
  </r>
  <r>
    <x v="9"/>
    <x v="0"/>
    <n v="51"/>
    <n v="250"/>
    <d v="2014-04-11T00:44:00"/>
    <d v="2014-04-11T01:09:00"/>
    <n v="375"/>
    <n v="423"/>
    <n v="393"/>
    <s v="Pulverizer feeders"/>
    <s v="F5903C Coal Feeder - Replaced Shear Pin on Clean Out Conveyor"/>
    <s v="Mill Creek"/>
    <x v="0"/>
    <s v="Coal"/>
    <x v="2"/>
    <x v="1"/>
    <n v="4"/>
    <n v="0.41666666680248454"/>
    <n v="4.7281323892480513E-2"/>
    <n v="18.581560289744843"/>
    <n v="44.595744680851062"/>
    <x v="23"/>
  </r>
  <r>
    <x v="9"/>
    <x v="0"/>
    <n v="52"/>
    <n v="360"/>
    <d v="2014-04-11T14:41:00"/>
    <d v="2014-04-11T15:00:00"/>
    <n v="340"/>
    <n v="423"/>
    <n v="393"/>
    <s v="Burners"/>
    <s v="F7803D Mill - 3D1 Coal Burner High Temperature"/>
    <s v="Mill Creek"/>
    <x v="0"/>
    <s v="Coal"/>
    <x v="2"/>
    <x v="1"/>
    <n v="4"/>
    <n v="0.31666666665114462"/>
    <n v="6.2135539792068567E-2"/>
    <n v="24.419267138282947"/>
    <n v="77.113475177304963"/>
    <x v="128"/>
  </r>
  <r>
    <x v="9"/>
    <x v="0"/>
    <n v="53"/>
    <n v="1455"/>
    <d v="2014-04-14T06:14:00"/>
    <d v="2014-04-14T10:41:00"/>
    <n v="355"/>
    <n v="423"/>
    <n v="393"/>
    <s v="Induced draft fans"/>
    <s v="F8503A Induced Draft Fan - Outboard Bearing High Vibration &amp; Air Flow Issue"/>
    <s v="Mill Creek"/>
    <x v="0"/>
    <s v="Coal"/>
    <x v="2"/>
    <x v="1"/>
    <n v="4"/>
    <n v="4.4500000000116415"/>
    <n v="0.71536643026191871"/>
    <n v="281.13900709293404"/>
    <n v="63.177304964539005"/>
    <x v="187"/>
  </r>
  <r>
    <x v="9"/>
    <x v="0"/>
    <n v="54"/>
    <n v="1455"/>
    <d v="2014-04-14T10:41:00"/>
    <d v="2014-04-14T15:30:00"/>
    <n v="380"/>
    <n v="423"/>
    <n v="393"/>
    <s v="Induced draft fans"/>
    <s v="F8503A Induced Draft Fan - Outboard Bearing High Vibration &amp; Air Flow Issue"/>
    <s v="Mill Creek"/>
    <x v="0"/>
    <s v="Coal"/>
    <x v="2"/>
    <x v="1"/>
    <n v="4"/>
    <n v="4.8166666666511446"/>
    <n v="0.48963750984869792"/>
    <n v="192.42754137053828"/>
    <n v="39.950354609929079"/>
    <x v="157"/>
  </r>
  <r>
    <x v="9"/>
    <x v="0"/>
    <n v="55"/>
    <n v="1455"/>
    <d v="2014-04-14T17:47:00"/>
    <d v="2014-04-14T20:10:00"/>
    <n v="400"/>
    <n v="423"/>
    <n v="393"/>
    <s v="Induced draft fans"/>
    <s v="F8503A Induced Draft Fan - Outboard Bearing High Vibration"/>
    <s v="Mill Creek"/>
    <x v="0"/>
    <s v="Coal"/>
    <x v="2"/>
    <x v="1"/>
    <n v="4"/>
    <n v="2.3833333334187046"/>
    <n v="0.12959022853104069"/>
    <n v="50.928959812698992"/>
    <n v="21.368794326241133"/>
    <x v="168"/>
  </r>
  <r>
    <x v="9"/>
    <x v="0"/>
    <n v="56"/>
    <n v="1455"/>
    <d v="2014-04-14T20:10:00"/>
    <d v="2014-04-14T21:30:00"/>
    <n v="406"/>
    <n v="423"/>
    <n v="393"/>
    <s v="Induced draft fans"/>
    <s v="F8503A Induced Draft Fan - Outboard Bearing High Vibration"/>
    <s v="Mill Creek"/>
    <x v="0"/>
    <s v="Coal"/>
    <x v="2"/>
    <x v="1"/>
    <n v="4"/>
    <n v="1.3333333333139308"/>
    <n v="5.3585500393231261E-2"/>
    <n v="21.059101654539887"/>
    <n v="15.794326241134751"/>
    <x v="167"/>
  </r>
  <r>
    <x v="9"/>
    <x v="2"/>
    <n v="57"/>
    <n v="876"/>
    <d v="2014-04-14T21:30:00"/>
    <d v="2014-04-15T07:43:00"/>
    <n v="260"/>
    <n v="423"/>
    <n v="393"/>
    <s v="Soot blower controls"/>
    <s v="F590Sootblower Regulator - Rebuilt"/>
    <s v="Mill Creek"/>
    <x v="0"/>
    <s v="Coal"/>
    <x v="2"/>
    <x v="1"/>
    <n v="4"/>
    <n v="10.21666666661622"/>
    <n v="3.9369188337079053"/>
    <n v="1547.2091016472068"/>
    <n v="151.43971631205673"/>
    <x v="267"/>
  </r>
  <r>
    <x v="9"/>
    <x v="0"/>
    <n v="58"/>
    <n v="1455"/>
    <d v="2014-04-15T07:43:00"/>
    <d v="2014-04-15T11:45:00"/>
    <n v="406"/>
    <n v="423"/>
    <n v="393"/>
    <s v="Induced draft fans"/>
    <s v="F8503A Induced Draft Fan - Outboard Bearing High Vibration"/>
    <s v="Mill Creek"/>
    <x v="0"/>
    <s v="Coal"/>
    <x v="2"/>
    <x v="1"/>
    <n v="4"/>
    <n v="4.03333333338378"/>
    <n v="0.16209613869391079"/>
    <n v="63.703782506706943"/>
    <n v="15.794326241134751"/>
    <x v="167"/>
  </r>
  <r>
    <x v="9"/>
    <x v="0"/>
    <n v="59"/>
    <n v="1455"/>
    <d v="2014-04-15T11:45:00"/>
    <d v="2014-04-15T15:15:00"/>
    <n v="418"/>
    <n v="423"/>
    <n v="393"/>
    <s v="Induced draft fans"/>
    <s v="F8503A Induced Draft Fan - Outboard Bearing High Vibration"/>
    <s v="Mill Creek"/>
    <x v="0"/>
    <s v="Coal"/>
    <x v="2"/>
    <x v="1"/>
    <n v="4"/>
    <n v="3.4999999998835847"/>
    <n v="4.137115839105892E-2"/>
    <n v="16.258865247686156"/>
    <n v="4.6453900709219855"/>
    <x v="166"/>
  </r>
  <r>
    <x v="9"/>
    <x v="0"/>
    <n v="60"/>
    <n v="1455"/>
    <d v="2014-04-17T03:28:00"/>
    <d v="2014-04-17T06:38:00"/>
    <n v="410"/>
    <n v="423"/>
    <n v="393"/>
    <s v="Induced draft fans"/>
    <s v="F8503A Induced Draft Fan - Outboard Bearing High Vibration"/>
    <s v="Mill Creek"/>
    <x v="0"/>
    <s v="Coal"/>
    <x v="2"/>
    <x v="1"/>
    <n v="4"/>
    <n v="3.1666666666860692"/>
    <n v="9.7320724980895751E-2"/>
    <n v="38.247044917492033"/>
    <n v="12.078014184397164"/>
    <x v="24"/>
  </r>
  <r>
    <x v="9"/>
    <x v="0"/>
    <n v="61"/>
    <n v="360"/>
    <d v="2014-04-20T21:12:00"/>
    <d v="2014-04-20T23:05:00"/>
    <n v="320"/>
    <n v="423"/>
    <n v="393"/>
    <s v="Burners"/>
    <s v="F7803A Mill - 3A1 Coal Burner High Temperature"/>
    <s v="Mill Creek"/>
    <x v="0"/>
    <s v="Coal"/>
    <x v="2"/>
    <x v="1"/>
    <n v="4"/>
    <n v="1.8833333333604969"/>
    <n v="0.45858944051094841"/>
    <n v="180.22565012080273"/>
    <n v="95.695035460992912"/>
    <x v="41"/>
  </r>
  <r>
    <x v="9"/>
    <x v="0"/>
    <n v="62"/>
    <n v="3412"/>
    <d v="2014-04-21T09:58:00"/>
    <d v="2014-04-21T23:40:00"/>
    <n v="400"/>
    <n v="423"/>
    <n v="393"/>
    <s v="Feedwater pump drive - steam turbine"/>
    <s v="F400Turbine Driven Boiler Feed Pump - Surging, Control Issue"/>
    <s v="Mill Creek"/>
    <x v="0"/>
    <s v="Coal"/>
    <x v="2"/>
    <x v="1"/>
    <n v="4"/>
    <n v="13.699999999953434"/>
    <n v="0.74491725768068318"/>
    <n v="292.75248226850852"/>
    <n v="21.368794326241133"/>
    <x v="168"/>
  </r>
  <r>
    <x v="9"/>
    <x v="2"/>
    <n v="63"/>
    <n v="3412"/>
    <d v="2014-04-21T23:40:00"/>
    <d v="2014-04-22T00:20:00"/>
    <n v="335"/>
    <n v="423"/>
    <n v="393"/>
    <s v="Feedwater pump drive - steam turbine"/>
    <s v="F130Turbine Driven Boiler Feed Pump - High Pressure Steam Supply Isolation"/>
    <s v="Mill Creek"/>
    <x v="0"/>
    <s v="Coal"/>
    <x v="2"/>
    <x v="1"/>
    <n v="4"/>
    <n v="0.66666666674427688"/>
    <n v="0.1386918833888803"/>
    <n v="54.50591017182996"/>
    <n v="81.758865248226954"/>
    <x v="48"/>
  </r>
  <r>
    <x v="9"/>
    <x v="0"/>
    <n v="64"/>
    <n v="3412"/>
    <d v="2014-04-22T00:20:00"/>
    <d v="2014-04-22T09:36:00"/>
    <n v="400"/>
    <n v="423"/>
    <n v="393"/>
    <s v="Feedwater pump drive - steam turbine"/>
    <s v="F400Turbine Driven Boiler Feed Pump - Surging, Control Issue"/>
    <s v="Mill Creek"/>
    <x v="0"/>
    <s v="Coal"/>
    <x v="2"/>
    <x v="1"/>
    <n v="4"/>
    <n v="9.2666666666627862"/>
    <n v="0.50386130811641627"/>
    <n v="198.01749408975161"/>
    <n v="21.368794326241133"/>
    <x v="168"/>
  </r>
  <r>
    <x v="9"/>
    <x v="4"/>
    <n v="65"/>
    <n v="1455"/>
    <d v="2014-04-22T09:36:00"/>
    <d v="2014-04-24T03:07:00"/>
    <n v="0"/>
    <n v="423"/>
    <n v="393"/>
    <s v="Induced draft fans"/>
    <s v="F3203A &amp; 3B Induced Draft Fans - Clean &amp; Balance"/>
    <s v="Mill Creek"/>
    <x v="2"/>
    <s v="Coal"/>
    <x v="2"/>
    <x v="1"/>
    <n v="4"/>
    <n v="41.516666666662786"/>
    <n v="41.516666666662786"/>
    <n v="16316.049999998475"/>
    <n v="393"/>
    <x v="258"/>
  </r>
  <r>
    <x v="9"/>
    <x v="3"/>
    <n v="66"/>
    <n v="1850"/>
    <d v="2014-04-24T03:07:00"/>
    <d v="2014-04-24T11:07:00"/>
    <n v="0"/>
    <n v="423"/>
    <n v="393"/>
    <s v="Boiler water condition (not feedwater water quality)"/>
    <s v="F170High Silica @ Hot Start Up"/>
    <s v="Mill Creek"/>
    <x v="1"/>
    <s v="Coal"/>
    <x v="2"/>
    <x v="1"/>
    <n v="4"/>
    <n v="7.9999999998835847"/>
    <n v="7.9999999998835847"/>
    <n v="3143.9999999542488"/>
    <n v="393"/>
    <x v="258"/>
  </r>
  <r>
    <x v="9"/>
    <x v="0"/>
    <n v="67"/>
    <n v="3412"/>
    <d v="2014-04-24T11:07:00"/>
    <d v="2014-04-24T13:17:00"/>
    <n v="335"/>
    <n v="423"/>
    <n v="393"/>
    <s v="Feedwater pump drive - steam turbine"/>
    <s v="F400Turbine Driven Boiler Feed Pump - Swinging, Control Valve Issue"/>
    <s v="Mill Creek"/>
    <x v="0"/>
    <s v="Coal"/>
    <x v="2"/>
    <x v="1"/>
    <n v="4"/>
    <n v="2.1666666667442769"/>
    <n v="0.45074862097753277"/>
    <n v="177.14420804417037"/>
    <n v="81.758865248226954"/>
    <x v="48"/>
  </r>
  <r>
    <x v="9"/>
    <x v="0"/>
    <n v="68"/>
    <n v="1850"/>
    <d v="2014-04-24T13:17:00"/>
    <d v="2014-04-24T13:47:00"/>
    <n v="375"/>
    <n v="423"/>
    <n v="393"/>
    <s v="Boiler water condition (not feedwater water quality)"/>
    <s v="F170High Silica"/>
    <s v="Mill Creek"/>
    <x v="0"/>
    <s v="Coal"/>
    <x v="2"/>
    <x v="1"/>
    <n v="4"/>
    <n v="0.50000000005820766"/>
    <n v="5.6737588659087394E-2"/>
    <n v="22.297872343021346"/>
    <n v="44.595744680851062"/>
    <x v="23"/>
  </r>
  <r>
    <x v="9"/>
    <x v="0"/>
    <n v="69"/>
    <n v="1850"/>
    <d v="2014-04-24T13:47:00"/>
    <d v="2014-04-24T14:29:00"/>
    <n v="395"/>
    <n v="423"/>
    <n v="393"/>
    <s v="Boiler water condition (not feedwater water quality)"/>
    <s v="F170High Silica"/>
    <s v="Mill Creek"/>
    <x v="0"/>
    <s v="Coal"/>
    <x v="2"/>
    <x v="1"/>
    <n v="4"/>
    <n v="0.70000000001164153"/>
    <n v="4.6335697400297783E-2"/>
    <n v="18.209929078317028"/>
    <n v="26.01418439716312"/>
    <x v="16"/>
  </r>
  <r>
    <x v="9"/>
    <x v="0"/>
    <n v="70"/>
    <n v="3412"/>
    <d v="2014-04-24T15:34:00"/>
    <d v="2014-04-24T19:30:00"/>
    <n v="325"/>
    <n v="423"/>
    <n v="393"/>
    <s v="Feedwater pump drive - steam turbine"/>
    <s v="F790Turbine Driven Boiler Feed Pump - Testing"/>
    <s v="Mill Creek"/>
    <x v="0"/>
    <s v="Coal"/>
    <x v="2"/>
    <x v="1"/>
    <n v="4"/>
    <n v="3.933333333407063"/>
    <n v="0.91126871554111621"/>
    <n v="358.12860520765867"/>
    <n v="91.049645390070921"/>
    <x v="42"/>
  </r>
  <r>
    <x v="9"/>
    <x v="0"/>
    <n v="71"/>
    <n v="3149"/>
    <d v="2014-04-28T06:26:00"/>
    <d v="2014-04-28T06:42:00"/>
    <n v="405"/>
    <n v="423"/>
    <n v="393"/>
    <s v="Loss of vacuum not attributable to a particular component such as air ejectors or valves; or"/>
    <s v="F660High Back Pressure"/>
    <s v="Mill Creek"/>
    <x v="0"/>
    <s v="Coal"/>
    <x v="2"/>
    <x v="1"/>
    <n v="4"/>
    <n v="0.26666666666278616"/>
    <n v="1.1347517730331326E-2"/>
    <n v="4.459574468020211"/>
    <n v="16.723404255319149"/>
    <x v="262"/>
  </r>
  <r>
    <x v="9"/>
    <x v="0"/>
    <n v="72"/>
    <n v="250"/>
    <d v="2014-04-28T15:17:00"/>
    <d v="2014-04-28T19:00:00"/>
    <n v="320"/>
    <n v="423"/>
    <n v="393"/>
    <s v="Pulverizer feeders"/>
    <s v="F5903C Coal Feeder - Breaker Issue, Water in Cabinet"/>
    <s v="Mill Creek"/>
    <x v="0"/>
    <s v="Coal"/>
    <x v="2"/>
    <x v="1"/>
    <n v="4"/>
    <n v="3.7166666665580124"/>
    <n v="0.90500394008386587"/>
    <n v="355.66654845295926"/>
    <n v="95.695035460992912"/>
    <x v="41"/>
  </r>
  <r>
    <x v="9"/>
    <x v="2"/>
    <n v="73"/>
    <n v="310"/>
    <d v="2014-04-28T22:00:00"/>
    <d v="2014-04-28T22:40:00"/>
    <n v="340"/>
    <n v="423"/>
    <n v="393"/>
    <s v="Pulverizer mills"/>
    <s v="F5903C Mill Primary Air Fan - Maintenance Cancelled"/>
    <s v="Mill Creek"/>
    <x v="0"/>
    <s v="Coal"/>
    <x v="2"/>
    <x v="1"/>
    <n v="4"/>
    <n v="0.66666666674427688"/>
    <n v="0.13081166274178482"/>
    <n v="51.408983457521437"/>
    <n v="77.113475177304963"/>
    <x v="128"/>
  </r>
  <r>
    <x v="9"/>
    <x v="0"/>
    <n v="74"/>
    <n v="250"/>
    <d v="2014-04-29T05:00:00"/>
    <d v="2014-04-29T05:30:00"/>
    <n v="325"/>
    <n v="423"/>
    <n v="393"/>
    <s v="Pulverizer feeders"/>
    <s v="F5903C Coal Feeder - Breaker Trip Button Issue"/>
    <s v="Mill Creek"/>
    <x v="0"/>
    <s v="Coal"/>
    <x v="2"/>
    <x v="1"/>
    <n v="4"/>
    <n v="0.49999999988358468"/>
    <n v="0.11583924347184704"/>
    <n v="45.52482268443589"/>
    <n v="91.049645390070921"/>
    <x v="42"/>
  </r>
  <r>
    <x v="9"/>
    <x v="2"/>
    <n v="75"/>
    <n v="310"/>
    <d v="2014-04-29T23:00:00"/>
    <d v="2014-04-30T02:50:00"/>
    <n v="325"/>
    <n v="423"/>
    <n v="393"/>
    <s v="Pulverizer mills"/>
    <s v="F5903C Coal Mill - Primary Air Fan Outboard Bearing Replaced Oil"/>
    <s v="Mill Creek"/>
    <x v="0"/>
    <s v="Coal"/>
    <x v="2"/>
    <x v="1"/>
    <n v="4"/>
    <n v="3.8333333332557231"/>
    <n v="0.88810086680629041"/>
    <n v="349.02364065487211"/>
    <n v="91.049645390070921"/>
    <x v="42"/>
  </r>
  <r>
    <x v="9"/>
    <x v="0"/>
    <n v="76"/>
    <n v="3149"/>
    <d v="2014-05-02T10:00:00"/>
    <d v="2014-05-02T12:15:00"/>
    <n v="360"/>
    <n v="423"/>
    <n v="393"/>
    <s v="Loss of vacuum not attributable to a particular component such as air ejectors or valves; or"/>
    <s v="F660High Back Pressure"/>
    <s v="Mill Creek"/>
    <x v="0"/>
    <s v="Coal"/>
    <x v="2"/>
    <x v="1"/>
    <n v="5"/>
    <n v="2.25"/>
    <n v="0.33510638297872342"/>
    <n v="131.69680851063831"/>
    <n v="58.531914893617021"/>
    <x v="83"/>
  </r>
  <r>
    <x v="9"/>
    <x v="0"/>
    <n v="77"/>
    <n v="3242"/>
    <d v="2014-05-02T12:15:00"/>
    <d v="2014-05-02T13:41:00"/>
    <n v="275"/>
    <n v="423"/>
    <n v="393"/>
    <s v="Cooling tower fill damage"/>
    <s v="F1203A Cooling Tower Pump - Backflush"/>
    <s v="Mill Creek"/>
    <x v="0"/>
    <s v="Coal"/>
    <x v="2"/>
    <x v="1"/>
    <n v="5"/>
    <n v="1.4333333334652707"/>
    <n v="0.5014972419689363"/>
    <n v="197.08841609379198"/>
    <n v="137.50354609929079"/>
    <x v="115"/>
  </r>
  <r>
    <x v="9"/>
    <x v="5"/>
    <n v="78"/>
    <n v="1710"/>
    <d v="2014-05-03T02:37:00"/>
    <d v="2014-05-03T08:04:00"/>
    <n v="0"/>
    <n v="423"/>
    <n v="393"/>
    <s v="Combustion/steam condition controls (report local controls --- burners"/>
    <s v="F420High Furnace Pressure Trip - Operator Error"/>
    <s v="Mill Creek"/>
    <x v="3"/>
    <s v="Coal"/>
    <x v="2"/>
    <x v="1"/>
    <n v="5"/>
    <n v="5.4499999999534339"/>
    <n v="5.4499999999534339"/>
    <n v="2141.8499999816995"/>
    <n v="393"/>
    <x v="258"/>
  </r>
  <r>
    <x v="9"/>
    <x v="3"/>
    <n v="79"/>
    <n v="1850"/>
    <d v="2014-05-03T08:04:00"/>
    <d v="2014-05-03T16:20:00"/>
    <n v="0"/>
    <n v="423"/>
    <n v="393"/>
    <s v="Boiler water condition (not feedwater water quality)"/>
    <s v="F170High Silica @ Very Hot Start Up"/>
    <s v="Mill Creek"/>
    <x v="1"/>
    <s v="Coal"/>
    <x v="2"/>
    <x v="1"/>
    <n v="5"/>
    <n v="8.2666666667209938"/>
    <n v="8.2666666667209938"/>
    <n v="3248.8000000213506"/>
    <n v="393"/>
    <x v="258"/>
  </r>
  <r>
    <x v="9"/>
    <x v="0"/>
    <n v="80"/>
    <n v="1850"/>
    <d v="2014-05-03T16:20:00"/>
    <d v="2014-05-03T19:56:00"/>
    <n v="410"/>
    <n v="423"/>
    <n v="393"/>
    <s v="Boiler water condition (not feedwater water quality)"/>
    <s v="F170High Silica"/>
    <s v="Mill Creek"/>
    <x v="0"/>
    <s v="Coal"/>
    <x v="2"/>
    <x v="1"/>
    <n v="5"/>
    <n v="3.6000000000349246"/>
    <n v="0.11063829787341375"/>
    <n v="43.480851064251603"/>
    <n v="12.078014184397164"/>
    <x v="24"/>
  </r>
  <r>
    <x v="9"/>
    <x v="2"/>
    <n v="81"/>
    <n v="310"/>
    <d v="2014-05-04T22:05:00"/>
    <d v="2014-05-05T03:59:00"/>
    <n v="320"/>
    <n v="423"/>
    <n v="393"/>
    <s v="Pulverizer mills"/>
    <s v="F5903C Coal Mill Primary Air Fan - Changed Oil in Outboard Bearing"/>
    <s v="Mill Creek"/>
    <x v="0"/>
    <s v="Coal"/>
    <x v="2"/>
    <x v="1"/>
    <n v="5"/>
    <n v="5.9000000000232831"/>
    <n v="1.4366430260103975"/>
    <n v="564.60070922208627"/>
    <n v="95.695035460992912"/>
    <x v="41"/>
  </r>
  <r>
    <x v="9"/>
    <x v="0"/>
    <n v="82"/>
    <n v="250"/>
    <d v="2014-05-05T09:51:00"/>
    <d v="2014-05-05T10:33:00"/>
    <n v="385"/>
    <n v="423"/>
    <n v="393"/>
    <s v="Pulverizer feeders"/>
    <s v="F8203D Coal Feeder - Trip"/>
    <s v="Mill Creek"/>
    <x v="0"/>
    <s v="Coal"/>
    <x v="2"/>
    <x v="1"/>
    <n v="5"/>
    <n v="0.70000000001164153"/>
    <n v="6.2884160757546992E-2"/>
    <n v="24.713475177715967"/>
    <n v="35.304964539007095"/>
    <x v="139"/>
  </r>
  <r>
    <x v="9"/>
    <x v="0"/>
    <n v="83"/>
    <n v="3149"/>
    <d v="2014-05-06T14:34:00"/>
    <d v="2014-05-06T22:00:00"/>
    <n v="390"/>
    <n v="423"/>
    <n v="393"/>
    <s v="Loss of vacuum not attributable to a particular component such as air ejectors or valves; or"/>
    <s v="F660High Back Pressure"/>
    <s v="Mill Creek"/>
    <x v="0"/>
    <s v="Coal"/>
    <x v="2"/>
    <x v="1"/>
    <n v="5"/>
    <n v="7.4333333332906477"/>
    <n v="0.57990543734891575"/>
    <n v="227.90283687812388"/>
    <n v="30.659574468085108"/>
    <x v="246"/>
  </r>
  <r>
    <x v="9"/>
    <x v="0"/>
    <n v="84"/>
    <n v="3149"/>
    <d v="2014-05-07T09:13:00"/>
    <d v="2014-05-07T10:11:00"/>
    <n v="400"/>
    <n v="423"/>
    <n v="393"/>
    <s v="Loss of vacuum not attributable to a particular component such as air ejectors or valves; or"/>
    <s v="F660High Back Pressure"/>
    <s v="Mill Creek"/>
    <x v="0"/>
    <s v="Coal"/>
    <x v="2"/>
    <x v="1"/>
    <n v="5"/>
    <n v="0.96666666667442769"/>
    <n v="5.2561071710429876E-2"/>
    <n v="20.656501182198941"/>
    <n v="21.368794326241133"/>
    <x v="168"/>
  </r>
  <r>
    <x v="9"/>
    <x v="0"/>
    <n v="85"/>
    <n v="3149"/>
    <d v="2014-05-07T10:11:00"/>
    <d v="2014-05-07T20:20:00"/>
    <n v="378"/>
    <n v="423"/>
    <n v="393"/>
    <s v="Loss of vacuum not attributable to a particular component such as air ejectors or valves; or"/>
    <s v="F660High Back Pressure"/>
    <s v="Mill Creek"/>
    <x v="0"/>
    <s v="Coal"/>
    <x v="2"/>
    <x v="1"/>
    <n v="5"/>
    <n v="10.149999999906868"/>
    <n v="1.0797872340326455"/>
    <n v="424.35638297482967"/>
    <n v="41.808510638297875"/>
    <x v="117"/>
  </r>
  <r>
    <x v="9"/>
    <x v="0"/>
    <n v="86"/>
    <n v="3149"/>
    <d v="2014-05-07T20:20:00"/>
    <d v="2014-05-08T08:30:00"/>
    <n v="400"/>
    <n v="423"/>
    <n v="393"/>
    <s v="Loss of vacuum not attributable to a particular component such as air ejectors or valves; or"/>
    <s v="F660High Back Pressure"/>
    <s v="Mill Creek"/>
    <x v="0"/>
    <s v="Coal"/>
    <x v="2"/>
    <x v="1"/>
    <n v="5"/>
    <n v="12.166666666686069"/>
    <n v="0.66154452324770585"/>
    <n v="259.98699763634841"/>
    <n v="21.368794326241133"/>
    <x v="168"/>
  </r>
  <r>
    <x v="9"/>
    <x v="0"/>
    <n v="87"/>
    <n v="3149"/>
    <d v="2014-05-08T08:30:00"/>
    <d v="2014-05-08T10:30:00"/>
    <n v="370"/>
    <n v="423"/>
    <n v="393"/>
    <s v="Loss of vacuum not attributable to a particular component such as air ejectors or valves; or"/>
    <s v="F660High Back Pressure"/>
    <s v="Mill Creek"/>
    <x v="0"/>
    <s v="Coal"/>
    <x v="2"/>
    <x v="1"/>
    <n v="5"/>
    <n v="2.0000000000582077"/>
    <n v="0.2505910165557565"/>
    <n v="98.482269506412308"/>
    <n v="49.241134751773046"/>
    <x v="227"/>
  </r>
  <r>
    <x v="9"/>
    <x v="2"/>
    <n v="88"/>
    <n v="620"/>
    <d v="2014-05-08T22:00:00"/>
    <d v="2014-05-09T04:41:00"/>
    <n v="230"/>
    <n v="423"/>
    <n v="393"/>
    <s v="Other desuperheater/attemperator problems"/>
    <s v="F590Superheat Spray Regulator - Replace Bonnet Gasket"/>
    <s v="Mill Creek"/>
    <x v="0"/>
    <s v="Coal"/>
    <x v="2"/>
    <x v="1"/>
    <n v="5"/>
    <n v="6.6833333334652707"/>
    <n v="3.0493695824085041"/>
    <n v="1198.402245886542"/>
    <n v="179.31205673758865"/>
    <x v="93"/>
  </r>
  <r>
    <x v="9"/>
    <x v="2"/>
    <n v="89"/>
    <n v="310"/>
    <d v="2014-05-11T22:00:00"/>
    <d v="2014-05-12T01:59:00"/>
    <n v="325"/>
    <n v="423"/>
    <n v="393"/>
    <s v="Pulverizer mills"/>
    <s v="F5903C Coal Mill - Primary Air Fan Bearing Changed Oil"/>
    <s v="Mill Creek"/>
    <x v="0"/>
    <s v="Coal"/>
    <x v="2"/>
    <x v="1"/>
    <n v="5"/>
    <n v="3.9833333333954215"/>
    <n v="0.92285263988830102"/>
    <n v="362.68108747610228"/>
    <n v="91.049645390070921"/>
    <x v="42"/>
  </r>
  <r>
    <x v="9"/>
    <x v="0"/>
    <n v="90"/>
    <n v="360"/>
    <d v="2014-05-15T14:05:00"/>
    <d v="2014-05-15T16:56:00"/>
    <n v="350"/>
    <n v="423"/>
    <n v="393"/>
    <s v="Burners"/>
    <s v="F7803C Coal Mill - 3C3 Burner High Temperature"/>
    <s v="Mill Creek"/>
    <x v="0"/>
    <s v="Coal"/>
    <x v="2"/>
    <x v="1"/>
    <n v="5"/>
    <n v="2.8500000000349246"/>
    <n v="0.49184397163723287"/>
    <n v="193.29468085343251"/>
    <n v="67.822695035460995"/>
    <x v="208"/>
  </r>
  <r>
    <x v="9"/>
    <x v="2"/>
    <n v="91"/>
    <n v="310"/>
    <d v="2014-05-16T03:16:00"/>
    <d v="2014-05-16T04:01:00"/>
    <n v="355"/>
    <n v="423"/>
    <n v="393"/>
    <s v="Pulverizer mills"/>
    <s v="F5903B Coal Mill - Replaced Motor Overload Relay"/>
    <s v="Mill Creek"/>
    <x v="0"/>
    <s v="Coal"/>
    <x v="2"/>
    <x v="1"/>
    <n v="5"/>
    <n v="0.75"/>
    <n v="0.12056737588652482"/>
    <n v="47.38297872340425"/>
    <n v="63.177304964539005"/>
    <x v="187"/>
  </r>
  <r>
    <x v="9"/>
    <x v="5"/>
    <n v="92"/>
    <n v="1080"/>
    <d v="2014-05-20T05:32:00"/>
    <d v="2014-05-23T18:02:00"/>
    <n v="0"/>
    <n v="423"/>
    <n v="393"/>
    <s v="Economizer B"/>
    <s v="F540Boiler Tube Leak - Economizer Inlet"/>
    <s v="Mill Creek"/>
    <x v="3"/>
    <s v="Coal"/>
    <x v="2"/>
    <x v="1"/>
    <n v="5"/>
    <n v="84.499999999883585"/>
    <n v="84.499999999883585"/>
    <n v="33208.499999954249"/>
    <n v="393"/>
    <x v="258"/>
  </r>
  <r>
    <x v="9"/>
    <x v="3"/>
    <n v="93"/>
    <n v="1850"/>
    <d v="2014-05-23T18:02:00"/>
    <d v="2014-05-24T08:51:00"/>
    <n v="0"/>
    <n v="423"/>
    <n v="393"/>
    <s v="Boiler water condition (not feedwater water quality)"/>
    <s v="F170High Silica @ Warm Start Up"/>
    <s v="Mill Creek"/>
    <x v="1"/>
    <s v="Coal"/>
    <x v="2"/>
    <x v="1"/>
    <n v="5"/>
    <n v="14.81666666676756"/>
    <n v="14.81666666676756"/>
    <n v="5822.9500000396511"/>
    <n v="393"/>
    <x v="258"/>
  </r>
  <r>
    <x v="9"/>
    <x v="0"/>
    <n v="94"/>
    <n v="1799"/>
    <d v="2014-05-24T09:46:00"/>
    <d v="2014-05-24T11:55:00"/>
    <n v="250"/>
    <n v="423"/>
    <n v="393"/>
    <s v="Other boiler instrumentation and control problems"/>
    <s v="F400Boiler Swing"/>
    <s v="Mill Creek"/>
    <x v="0"/>
    <s v="Coal"/>
    <x v="2"/>
    <x v="1"/>
    <n v="5"/>
    <n v="2.1500000000232831"/>
    <n v="0.87931442081330491"/>
    <n v="345.57056737962881"/>
    <n v="160.73049645390071"/>
    <x v="177"/>
  </r>
  <r>
    <x v="9"/>
    <x v="0"/>
    <n v="95"/>
    <n v="360"/>
    <d v="2014-06-03T08:57:00"/>
    <d v="2014-06-03T10:17:00"/>
    <n v="325"/>
    <n v="423"/>
    <n v="393"/>
    <s v="Burners"/>
    <s v="F7803C Coal Mill - 3C1 Burner High Temperature"/>
    <s v="Mill Creek"/>
    <x v="0"/>
    <s v="Coal"/>
    <x v="2"/>
    <x v="1"/>
    <n v="6"/>
    <n v="1.3333333333139308"/>
    <n v="0.30890464932568606"/>
    <n v="121.39952718499462"/>
    <n v="91.049645390070921"/>
    <x v="42"/>
  </r>
  <r>
    <x v="9"/>
    <x v="5"/>
    <n v="96"/>
    <n v="1080"/>
    <d v="2014-06-05T18:39:00"/>
    <d v="2014-06-09T02:50:00"/>
    <n v="0"/>
    <n v="423"/>
    <n v="393"/>
    <s v="Economizer B"/>
    <s v="F540Boiler Tube Leak - Economizer"/>
    <s v="Mill Creek"/>
    <x v="3"/>
    <s v="Coal"/>
    <x v="2"/>
    <x v="1"/>
    <n v="6"/>
    <n v="80.183333333290648"/>
    <n v="80.183333333290648"/>
    <n v="31512.049999983225"/>
    <n v="393"/>
    <x v="258"/>
  </r>
  <r>
    <x v="9"/>
    <x v="5"/>
    <n v="97"/>
    <n v="4302"/>
    <d v="2014-06-09T02:51:00"/>
    <d v="2014-06-09T07:03:00"/>
    <n v="0"/>
    <n v="423"/>
    <n v="393"/>
    <s v="Turbine trip devices (including instruments)"/>
    <s v="F400Unit Trip - 2% Load Set Timer Issues"/>
    <s v="Mill Creek"/>
    <x v="3"/>
    <s v="Coal"/>
    <x v="2"/>
    <x v="1"/>
    <n v="6"/>
    <n v="4.1999999998952262"/>
    <n v="4.1999999998952262"/>
    <n v="1650.5999999588239"/>
    <n v="393"/>
    <x v="258"/>
  </r>
  <r>
    <x v="9"/>
    <x v="3"/>
    <n v="98"/>
    <n v="4842"/>
    <d v="2014-06-11T10:00:00"/>
    <d v="2014-06-11T12:47:00"/>
    <n v="0"/>
    <n v="423"/>
    <n v="393"/>
    <s v="Reactive and capability testing"/>
    <s v="F790Generator Reactive Power Capability Test"/>
    <s v="Mill Creek"/>
    <x v="1"/>
    <s v="Coal"/>
    <x v="2"/>
    <x v="1"/>
    <n v="6"/>
    <n v="2.7833333333255723"/>
    <n v="2.7833333333255723"/>
    <n v="1093.8499999969499"/>
    <n v="393"/>
    <x v="258"/>
  </r>
  <r>
    <x v="9"/>
    <x v="5"/>
    <n v="99"/>
    <n v="1799"/>
    <d v="2014-07-02T18:54:00"/>
    <d v="2014-07-03T08:30:00"/>
    <n v="0"/>
    <n v="423"/>
    <n v="393"/>
    <s v="Other boiler instrumentation and control problems"/>
    <s v="F820Master Fuel Trip"/>
    <s v="Mill Creek"/>
    <x v="3"/>
    <s v="Coal"/>
    <x v="2"/>
    <x v="1"/>
    <n v="7"/>
    <n v="13.599999999976717"/>
    <n v="13.599999999976717"/>
    <n v="5344.7999999908498"/>
    <n v="393"/>
    <x v="258"/>
  </r>
  <r>
    <x v="9"/>
    <x v="5"/>
    <n v="100"/>
    <n v="3431"/>
    <d v="2014-07-03T16:04:00"/>
    <d v="2014-07-03T19:02:00"/>
    <n v="0"/>
    <n v="423"/>
    <n v="393"/>
    <s v="Other feedwater valves"/>
    <s v="F690Low Drum Level - TDBFP Recirc Valve Issues"/>
    <s v="Mill Creek"/>
    <x v="3"/>
    <s v="Coal"/>
    <x v="2"/>
    <x v="1"/>
    <n v="7"/>
    <n v="2.9666666667326353"/>
    <n v="2.9666666667326353"/>
    <n v="1165.9000000259257"/>
    <n v="393"/>
    <x v="258"/>
  </r>
  <r>
    <x v="9"/>
    <x v="0"/>
    <n v="101"/>
    <n v="1850"/>
    <d v="2014-07-04T05:18:00"/>
    <d v="2014-07-04T08:35:00"/>
    <n v="390"/>
    <n v="423"/>
    <n v="393"/>
    <s v="Boiler water condition (not feedwater water quality)"/>
    <s v="F170High Silica"/>
    <s v="Mill Creek"/>
    <x v="0"/>
    <s v="Coal"/>
    <x v="2"/>
    <x v="1"/>
    <n v="7"/>
    <n v="3.28333333338378"/>
    <n v="0.25614657210795444"/>
    <n v="100.6656028384261"/>
    <n v="30.659574468085108"/>
    <x v="246"/>
  </r>
  <r>
    <x v="9"/>
    <x v="0"/>
    <n v="102"/>
    <n v="1850"/>
    <d v="2014-07-04T08:35:00"/>
    <d v="2014-07-04T09:21:00"/>
    <n v="410"/>
    <n v="423"/>
    <n v="393"/>
    <s v="Boiler water condition (not feedwater water quality)"/>
    <s v="F170High Silica"/>
    <s v="Mill Creek"/>
    <x v="0"/>
    <s v="Coal"/>
    <x v="2"/>
    <x v="1"/>
    <n v="7"/>
    <n v="0.76666666654637083"/>
    <n v="2.3561859728375462E-2"/>
    <n v="9.2598108732515563"/>
    <n v="12.078014184397164"/>
    <x v="24"/>
  </r>
  <r>
    <x v="9"/>
    <x v="2"/>
    <n v="103"/>
    <n v="260"/>
    <d v="2014-07-06T21:00:00"/>
    <d v="2014-07-07T00:25:00"/>
    <n v="320"/>
    <n v="423"/>
    <n v="393"/>
    <s v="Primary air fan"/>
    <s v="F530C Coal Mill PA Fan Inspection"/>
    <s v="Mill Creek"/>
    <x v="0"/>
    <s v="Coal"/>
    <x v="2"/>
    <x v="1"/>
    <n v="7"/>
    <n v="3.4166666666278616"/>
    <n v="0.83195429471080318"/>
    <n v="326.95803782134567"/>
    <n v="95.695035460992912"/>
    <x v="41"/>
  </r>
  <r>
    <x v="9"/>
    <x v="3"/>
    <n v="104"/>
    <n v="9656"/>
    <d v="2014-07-07T12:13:00"/>
    <d v="2014-07-07T15:17:00"/>
    <n v="0"/>
    <n v="423"/>
    <n v="393"/>
    <s v="Other stack or exhaust emissions testing - fossil"/>
    <s v="F790Full Load SO3 Testing"/>
    <s v="Mill Creek"/>
    <x v="1"/>
    <s v="Coal"/>
    <x v="2"/>
    <x v="1"/>
    <n v="7"/>
    <n v="3.0666666667093523"/>
    <n v="3.0666666667093523"/>
    <n v="1205.2000000167754"/>
    <n v="393"/>
    <x v="258"/>
  </r>
  <r>
    <x v="9"/>
    <x v="2"/>
    <n v="105"/>
    <n v="310"/>
    <d v="2014-07-08T22:00:00"/>
    <d v="2014-07-09T03:32:00"/>
    <n v="320"/>
    <n v="423"/>
    <n v="393"/>
    <s v="Pulverizer mills"/>
    <s v="F5303A Coal Mill Maintenance - Inspection and Feeder Calibration"/>
    <s v="Mill Creek"/>
    <x v="0"/>
    <s v="Coal"/>
    <x v="2"/>
    <x v="1"/>
    <n v="7"/>
    <n v="5.53333333338378"/>
    <n v="1.3473601260958141"/>
    <n v="529.51252955565496"/>
    <n v="95.695035460992912"/>
    <x v="41"/>
  </r>
  <r>
    <x v="9"/>
    <x v="2"/>
    <n v="106"/>
    <n v="310"/>
    <d v="2014-07-09T22:00:00"/>
    <d v="2014-07-10T04:08:00"/>
    <n v="320"/>
    <n v="423"/>
    <n v="393"/>
    <s v="Pulverizer mills"/>
    <s v="F5303B Coal Mill Maintenance - Inspection and Feeder Calibration"/>
    <s v="Mill Creek"/>
    <x v="0"/>
    <s v="Coal"/>
    <x v="2"/>
    <x v="1"/>
    <n v="7"/>
    <n v="6.1333333334187046"/>
    <n v="1.4934594168844599"/>
    <n v="586.92955083559275"/>
    <n v="95.695035460992912"/>
    <x v="41"/>
  </r>
  <r>
    <x v="9"/>
    <x v="0"/>
    <n v="107"/>
    <n v="310"/>
    <d v="2014-07-10T17:16:00"/>
    <d v="2014-07-10T18:33:00"/>
    <n v="320"/>
    <n v="423"/>
    <n v="393"/>
    <s v="Pulverizer mills"/>
    <s v="F5303D Coal Mill Maintenance - Inspection and Feeder Calibration"/>
    <s v="Mill Creek"/>
    <x v="0"/>
    <s v="Coal"/>
    <x v="2"/>
    <x v="1"/>
    <n v="7"/>
    <n v="1.2833333333255723"/>
    <n v="0.31249014972230249"/>
    <n v="122.80862884086488"/>
    <n v="95.695035460992912"/>
    <x v="41"/>
  </r>
  <r>
    <x v="9"/>
    <x v="2"/>
    <n v="108"/>
    <n v="312"/>
    <d v="2014-07-10T22:00:00"/>
    <d v="2014-07-11T03:59:00"/>
    <n v="320"/>
    <n v="423"/>
    <n v="393"/>
    <s v="Pulverizer mill classifiers"/>
    <s v="F5303C Coal Mill Maintenance - Inspection and Feeder Calibration"/>
    <s v="Mill Creek"/>
    <x v="0"/>
    <s v="Coal"/>
    <x v="2"/>
    <x v="1"/>
    <n v="7"/>
    <n v="5.9833333334536292"/>
    <n v="1.4569345941979286"/>
    <n v="572.57529551978598"/>
    <n v="95.695035460992912"/>
    <x v="41"/>
  </r>
  <r>
    <x v="9"/>
    <x v="0"/>
    <n v="109"/>
    <n v="360"/>
    <d v="2014-07-13T09:56:00"/>
    <d v="2014-07-13T10:51:00"/>
    <n v="320"/>
    <n v="423"/>
    <n v="393"/>
    <s v="Burners"/>
    <s v="F7803C8 Burner - High Temperature"/>
    <s v="Mill Creek"/>
    <x v="0"/>
    <s v="Coal"/>
    <x v="2"/>
    <x v="1"/>
    <n v="7"/>
    <n v="0.91666666651144624"/>
    <n v="0.22320724976519848"/>
    <n v="87.72044915772301"/>
    <n v="95.695035460992912"/>
    <x v="41"/>
  </r>
  <r>
    <x v="9"/>
    <x v="0"/>
    <n v="110"/>
    <n v="360"/>
    <d v="2014-07-15T10:08:00"/>
    <d v="2014-07-15T11:28:00"/>
    <n v="320"/>
    <n v="423"/>
    <n v="393"/>
    <s v="Burners"/>
    <s v="F7803D10 Burner High Temperature"/>
    <s v="Mill Creek"/>
    <x v="0"/>
    <s v="Coal"/>
    <x v="2"/>
    <x v="1"/>
    <n v="7"/>
    <n v="1.3333333333139308"/>
    <n v="0.32466509061781296"/>
    <n v="127.59338061280049"/>
    <n v="95.695035460992912"/>
    <x v="41"/>
  </r>
  <r>
    <x v="9"/>
    <x v="2"/>
    <n v="111"/>
    <n v="310"/>
    <d v="2014-07-20T21:15:00"/>
    <d v="2014-07-21T01:12:00"/>
    <n v="320"/>
    <n v="423"/>
    <n v="393"/>
    <s v="Pulverizer mills"/>
    <s v="F5903C Coal Mill - Inspect Primary Air Fan Dampers"/>
    <s v="Mill Creek"/>
    <x v="0"/>
    <s v="Coal"/>
    <x v="2"/>
    <x v="1"/>
    <n v="7"/>
    <n v="3.9500000001280569"/>
    <n v="0.96182033100044884"/>
    <n v="377.9953900831764"/>
    <n v="95.695035460992912"/>
    <x v="41"/>
  </r>
  <r>
    <x v="9"/>
    <x v="3"/>
    <n v="112"/>
    <n v="4490"/>
    <d v="2014-07-21T10:30:00"/>
    <d v="2014-07-21T12:00:00"/>
    <n v="0"/>
    <n v="423"/>
    <n v="393"/>
    <s v="Turbine performance testing (use code 9999 for total unit performance testing)"/>
    <s v="F790Reactive Power Capability Test - Full Load"/>
    <s v="Mill Creek"/>
    <x v="1"/>
    <s v="Coal"/>
    <x v="2"/>
    <x v="1"/>
    <n v="7"/>
    <n v="1.5"/>
    <n v="1.5"/>
    <n v="589.5"/>
    <n v="393"/>
    <x v="258"/>
  </r>
  <r>
    <x v="9"/>
    <x v="3"/>
    <n v="113"/>
    <n v="8460"/>
    <d v="2014-07-24T10:10:00"/>
    <d v="2014-07-24T12:53:00"/>
    <n v="0"/>
    <n v="423"/>
    <n v="393"/>
    <s v="Testing A"/>
    <s v="F790SO3 Test - Full Load"/>
    <s v="Mill Creek"/>
    <x v="1"/>
    <s v="Coal"/>
    <x v="2"/>
    <x v="1"/>
    <n v="7"/>
    <n v="2.716666666790843"/>
    <n v="2.716666666790843"/>
    <n v="1067.6500000488013"/>
    <n v="393"/>
    <x v="258"/>
  </r>
  <r>
    <x v="9"/>
    <x v="0"/>
    <n v="114"/>
    <n v="360"/>
    <d v="2014-07-25T21:28:00"/>
    <d v="2014-07-25T22:19:00"/>
    <n v="320"/>
    <n v="423"/>
    <n v="393"/>
    <s v="Burners"/>
    <s v="F7803C Coal Mill - 3C1 Burner High Temperature"/>
    <s v="Mill Creek"/>
    <x v="0"/>
    <s v="Coal"/>
    <x v="2"/>
    <x v="1"/>
    <n v="7"/>
    <n v="0.84999999997671694"/>
    <n v="0.20697399526619822"/>
    <n v="81.340780139615902"/>
    <n v="95.695035460992912"/>
    <x v="41"/>
  </r>
  <r>
    <x v="9"/>
    <x v="0"/>
    <n v="115"/>
    <n v="3149"/>
    <d v="2014-07-27T17:00:00"/>
    <d v="2014-07-27T19:25:00"/>
    <n v="400"/>
    <n v="423"/>
    <n v="393"/>
    <s v="Loss of vacuum not attributable to a particular component such as air ejectors or valves; or"/>
    <s v="F660High Back Pressure - 3A Cooling Tower Fan Trip"/>
    <s v="Mill Creek"/>
    <x v="0"/>
    <s v="Coal"/>
    <x v="2"/>
    <x v="1"/>
    <n v="7"/>
    <n v="2.4166666666860692"/>
    <n v="0.13140267927607469"/>
    <n v="51.64125295549735"/>
    <n v="21.368794326241133"/>
    <x v="168"/>
  </r>
  <r>
    <x v="9"/>
    <x v="2"/>
    <n v="116"/>
    <n v="310"/>
    <d v="2014-08-05T22:00:00"/>
    <d v="2014-08-06T04:00:00"/>
    <n v="320"/>
    <n v="423"/>
    <n v="393"/>
    <s v="Pulverizer mills"/>
    <s v="F5903B Coal Mill - Repair Seal Air Line"/>
    <s v="Mill Creek"/>
    <x v="0"/>
    <s v="Coal"/>
    <x v="2"/>
    <x v="1"/>
    <n v="8"/>
    <n v="6"/>
    <n v="1.4609929078014185"/>
    <n v="574.17021276595744"/>
    <n v="95.695035460992912"/>
    <x v="41"/>
  </r>
  <r>
    <x v="9"/>
    <x v="4"/>
    <n v="117"/>
    <n v="3110"/>
    <d v="2014-08-07T21:34:00"/>
    <d v="2014-08-09T01:52:00"/>
    <n v="0"/>
    <n v="423"/>
    <n v="393"/>
    <s v="Condenser tube leaks"/>
    <s v="F540Condenser Tube Leak"/>
    <s v="Mill Creek"/>
    <x v="2"/>
    <s v="Coal"/>
    <x v="2"/>
    <x v="1"/>
    <n v="8"/>
    <n v="28.300000000046566"/>
    <n v="28.300000000046566"/>
    <n v="11121.9000000183"/>
    <n v="393"/>
    <x v="258"/>
  </r>
  <r>
    <x v="9"/>
    <x v="3"/>
    <n v="118"/>
    <n v="1850"/>
    <d v="2014-08-09T01:52:00"/>
    <d v="2014-08-09T10:55:00"/>
    <n v="0"/>
    <n v="423"/>
    <n v="393"/>
    <s v="Boiler water condition (not feedwater water quality)"/>
    <s v="F170High Silica @ Hot Start Up"/>
    <s v="Mill Creek"/>
    <x v="1"/>
    <s v="Coal"/>
    <x v="2"/>
    <x v="1"/>
    <n v="8"/>
    <n v="9.0499999999883585"/>
    <n v="9.0499999999883585"/>
    <n v="3556.6499999954249"/>
    <n v="393"/>
    <x v="258"/>
  </r>
  <r>
    <x v="9"/>
    <x v="0"/>
    <n v="119"/>
    <n v="1850"/>
    <d v="2014-08-09T10:55:00"/>
    <d v="2014-08-09T12:15:00"/>
    <n v="385"/>
    <n v="423"/>
    <n v="393"/>
    <s v="Boiler water condition (not feedwater water quality)"/>
    <s v="F170High Silica"/>
    <s v="Mill Creek"/>
    <x v="0"/>
    <s v="Coal"/>
    <x v="2"/>
    <x v="1"/>
    <n v="8"/>
    <n v="1.3333333333139308"/>
    <n v="0.119779353820164"/>
    <n v="47.073286051324452"/>
    <n v="35.304964539007095"/>
    <x v="139"/>
  </r>
  <r>
    <x v="9"/>
    <x v="3"/>
    <n v="120"/>
    <n v="4490"/>
    <d v="2014-08-14T08:27:00"/>
    <d v="2014-08-14T13:11:00"/>
    <n v="0"/>
    <n v="423"/>
    <n v="393"/>
    <s v="Turbine performance testing (use code 9999 for total unit performance testing)"/>
    <s v="F790Full Load Capability Test"/>
    <s v="Mill Creek"/>
    <x v="1"/>
    <s v="Coal"/>
    <x v="2"/>
    <x v="1"/>
    <n v="8"/>
    <n v="4.7333333333954215"/>
    <n v="4.7333333333954215"/>
    <n v="1860.2000000244007"/>
    <n v="393"/>
    <x v="258"/>
  </r>
  <r>
    <x v="9"/>
    <x v="5"/>
    <n v="121"/>
    <n v="1400"/>
    <d v="2014-08-14T23:41:00"/>
    <d v="2014-08-15T01:25:00"/>
    <n v="0"/>
    <n v="423"/>
    <n v="393"/>
    <s v="Forced draft fans"/>
    <s v="F820High Furnace Vacuum Trip - 3B Forced Draft Fan Inlet Damper Stuck"/>
    <s v="Mill Creek"/>
    <x v="3"/>
    <s v="Coal"/>
    <x v="2"/>
    <x v="1"/>
    <n v="8"/>
    <n v="1.7333333333954215"/>
    <n v="1.7333333333954215"/>
    <n v="681.20000002440065"/>
    <n v="393"/>
    <x v="258"/>
  </r>
  <r>
    <x v="9"/>
    <x v="3"/>
    <n v="122"/>
    <n v="1850"/>
    <d v="2014-08-15T01:25:00"/>
    <d v="2014-08-15T06:32:00"/>
    <n v="0"/>
    <n v="423"/>
    <n v="393"/>
    <s v="Boiler water condition (not feedwater water quality)"/>
    <s v="F170High Silica @ Very Hot Start Up"/>
    <s v="Mill Creek"/>
    <x v="1"/>
    <s v="Coal"/>
    <x v="2"/>
    <x v="1"/>
    <n v="8"/>
    <n v="5.1166666665812954"/>
    <n v="5.1166666665812954"/>
    <n v="2010.8499999664491"/>
    <n v="393"/>
    <x v="258"/>
  </r>
  <r>
    <x v="9"/>
    <x v="0"/>
    <n v="123"/>
    <n v="250"/>
    <d v="2014-08-19T09:38:00"/>
    <d v="2014-08-19T11:04:00"/>
    <n v="320"/>
    <n v="423"/>
    <n v="393"/>
    <s v="Pulverizer feeders"/>
    <s v="F8203D Coal Feeder - Trip"/>
    <s v="Mill Creek"/>
    <x v="0"/>
    <s v="Coal"/>
    <x v="2"/>
    <x v="1"/>
    <n v="8"/>
    <n v="1.4333333332906477"/>
    <n v="0.34901497240883383"/>
    <n v="137.16288415667171"/>
    <n v="95.695035460992912"/>
    <x v="41"/>
  </r>
  <r>
    <x v="9"/>
    <x v="0"/>
    <n v="124"/>
    <n v="360"/>
    <d v="2014-08-25T18:04:00"/>
    <d v="2014-08-25T21:12:00"/>
    <n v="320"/>
    <n v="423"/>
    <n v="393"/>
    <s v="Burners"/>
    <s v="F7803C Coal Mill - 3C1 Burner High Temperature"/>
    <s v="Mill Creek"/>
    <x v="0"/>
    <s v="Coal"/>
    <x v="2"/>
    <x v="1"/>
    <n v="8"/>
    <n v="3.1333333332440816"/>
    <n v="0.76296296294123023"/>
    <n v="299.84444443590348"/>
    <n v="95.695035460992912"/>
    <x v="41"/>
  </r>
  <r>
    <x v="9"/>
    <x v="2"/>
    <n v="125"/>
    <n v="310"/>
    <d v="2014-08-25T21:24:00"/>
    <d v="2014-08-26T06:24:00"/>
    <n v="340"/>
    <n v="423"/>
    <n v="393"/>
    <s v="Pulverizer mills"/>
    <s v="F5903C Coal Mill &amp; Primary Air Fan - Inspection"/>
    <s v="Mill Creek"/>
    <x v="0"/>
    <s v="Coal"/>
    <x v="2"/>
    <x v="1"/>
    <n v="8"/>
    <n v="9"/>
    <n v="1.7659574468085106"/>
    <n v="694.02127659574467"/>
    <n v="77.113475177304963"/>
    <x v="128"/>
  </r>
  <r>
    <x v="9"/>
    <x v="0"/>
    <n v="126"/>
    <n v="9620"/>
    <d v="2014-08-26T18:09:00"/>
    <d v="2014-08-26T18:33:00"/>
    <n v="385"/>
    <n v="423"/>
    <n v="393"/>
    <s v="Particulate stack emissions (fossil)"/>
    <s v="F400Particulate Matter Monitor - Faulty Readings"/>
    <s v="Mill Creek"/>
    <x v="0"/>
    <s v="Coal"/>
    <x v="2"/>
    <x v="1"/>
    <n v="8"/>
    <n v="0.40000000008149073"/>
    <n v="3.5933806153892786E-2"/>
    <n v="14.121985818479866"/>
    <n v="35.304964539007095"/>
    <x v="139"/>
  </r>
  <r>
    <x v="9"/>
    <x v="0"/>
    <n v="127"/>
    <n v="9620"/>
    <d v="2014-08-26T18:33:00"/>
    <d v="2014-08-26T19:15:00"/>
    <n v="330"/>
    <n v="423"/>
    <n v="393"/>
    <s v="Particulate stack emissions (fossil)"/>
    <s v="F400Particulate Matter Monitor - Faulty Readings"/>
    <s v="Mill Creek"/>
    <x v="0"/>
    <s v="Coal"/>
    <x v="2"/>
    <x v="1"/>
    <n v="8"/>
    <n v="0.70000000001164153"/>
    <n v="0.15390070922241764"/>
    <n v="60.482978724410131"/>
    <n v="86.40425531914893"/>
    <x v="173"/>
  </r>
  <r>
    <x v="9"/>
    <x v="0"/>
    <n v="128"/>
    <n v="9620"/>
    <d v="2014-08-26T19:15:00"/>
    <d v="2014-08-26T20:10:00"/>
    <n v="285"/>
    <n v="423"/>
    <n v="393"/>
    <s v="Particulate stack emissions (fossil)"/>
    <s v="F400Particulate Matter Monitor - Faulty Readings"/>
    <s v="Mill Creek"/>
    <x v="0"/>
    <s v="Coal"/>
    <x v="2"/>
    <x v="1"/>
    <n v="8"/>
    <n v="0.91666666668606922"/>
    <n v="0.29905437352878855"/>
    <n v="117.52836879681391"/>
    <n v="128.21276595744681"/>
    <x v="259"/>
  </r>
  <r>
    <x v="9"/>
    <x v="2"/>
    <n v="129"/>
    <n v="310"/>
    <d v="2014-08-26T23:00:00"/>
    <d v="2014-08-27T02:26:00"/>
    <n v="320"/>
    <n v="423"/>
    <n v="393"/>
    <s v="Pulverizer mills"/>
    <s v="F5903C Coal Mill PA Fan - Replace Amp Reading Transducer"/>
    <s v="Mill Creek"/>
    <x v="0"/>
    <s v="Coal"/>
    <x v="2"/>
    <x v="1"/>
    <n v="8"/>
    <n v="3.4333333333488554"/>
    <n v="0.83601260835681346"/>
    <n v="328.55295508422768"/>
    <n v="95.695035460992912"/>
    <x v="41"/>
  </r>
  <r>
    <x v="9"/>
    <x v="2"/>
    <n v="130"/>
    <n v="310"/>
    <d v="2014-09-10T00:01:00"/>
    <d v="2014-09-10T04:33:00"/>
    <n v="340"/>
    <n v="423"/>
    <n v="393"/>
    <s v="Pulverizer mills"/>
    <s v="F5903A Coal Mill - Clean Lube Oil Pump Motor"/>
    <s v="Mill Creek"/>
    <x v="0"/>
    <s v="Coal"/>
    <x v="2"/>
    <x v="1"/>
    <n v="9"/>
    <n v="4.5333333332673647"/>
    <n v="0.88951930652763889"/>
    <n v="349.58108746536209"/>
    <n v="77.113475177304963"/>
    <x v="128"/>
  </r>
  <r>
    <x v="9"/>
    <x v="2"/>
    <n v="131"/>
    <n v="8125"/>
    <d v="2014-09-12T23:00:00"/>
    <d v="2014-09-13T03:16:00"/>
    <n v="300"/>
    <n v="423"/>
    <n v="393"/>
    <s v="Scrubber recycle (liquid) pumps"/>
    <s v="F590FGD 3A1 Recycle Pump - Installed Blank"/>
    <s v="Mill Creek"/>
    <x v="0"/>
    <s v="Coal"/>
    <x v="2"/>
    <x v="1"/>
    <n v="9"/>
    <n v="4.2666666666045785"/>
    <n v="1.240661938516225"/>
    <n v="487.58014183687641"/>
    <n v="114.27659574468085"/>
    <x v="46"/>
  </r>
  <r>
    <x v="9"/>
    <x v="3"/>
    <n v="132"/>
    <n v="8460"/>
    <d v="2014-09-16T08:00:00"/>
    <d v="2014-09-16T14:00:00"/>
    <n v="0"/>
    <n v="423"/>
    <n v="393"/>
    <s v="Testing A"/>
    <s v="F790RATA Test - Full Load"/>
    <s v="Mill Creek"/>
    <x v="1"/>
    <s v="Coal"/>
    <x v="2"/>
    <x v="1"/>
    <n v="9"/>
    <n v="6"/>
    <n v="6"/>
    <n v="2358"/>
    <n v="393"/>
    <x v="258"/>
  </r>
  <r>
    <x v="9"/>
    <x v="3"/>
    <n v="133"/>
    <n v="8460"/>
    <d v="2014-09-16T22:00:00"/>
    <d v="2014-09-17T01:00:00"/>
    <n v="0"/>
    <n v="423"/>
    <n v="393"/>
    <s v="Testing A"/>
    <s v="F790RATA Test - Mid Load @ 310 MW"/>
    <s v="Mill Creek"/>
    <x v="1"/>
    <s v="Coal"/>
    <x v="2"/>
    <x v="1"/>
    <n v="9"/>
    <n v="3"/>
    <n v="3"/>
    <n v="1179"/>
    <n v="393"/>
    <x v="258"/>
  </r>
  <r>
    <x v="9"/>
    <x v="3"/>
    <n v="134"/>
    <n v="8460"/>
    <d v="2014-09-17T08:00:00"/>
    <d v="2014-09-17T19:08:00"/>
    <n v="0"/>
    <n v="423"/>
    <n v="393"/>
    <s v="Testing A"/>
    <s v="F790RATA Test - Full Load"/>
    <s v="Mill Creek"/>
    <x v="1"/>
    <s v="Coal"/>
    <x v="2"/>
    <x v="1"/>
    <n v="9"/>
    <n v="11.133333333302289"/>
    <n v="11.133333333302289"/>
    <n v="4375.3999999877997"/>
    <n v="393"/>
    <x v="258"/>
  </r>
  <r>
    <x v="9"/>
    <x v="0"/>
    <n v="135"/>
    <n v="8125"/>
    <d v="2014-09-22T23:29:00"/>
    <d v="2014-09-23T00:15:00"/>
    <n v="300"/>
    <n v="423"/>
    <n v="393"/>
    <s v="Scrubber recycle (liquid) pumps"/>
    <s v="F590FGD 3A1 Recycle Pump - Remove Blank"/>
    <s v="Mill Creek"/>
    <x v="0"/>
    <s v="Coal"/>
    <x v="2"/>
    <x v="1"/>
    <n v="9"/>
    <n v="0.76666666654637083"/>
    <n v="0.22293144204539861"/>
    <n v="87.612056723841647"/>
    <n v="114.27659574468085"/>
    <x v="46"/>
  </r>
  <r>
    <x v="9"/>
    <x v="2"/>
    <n v="136"/>
    <n v="8125"/>
    <d v="2014-09-23T23:00:00"/>
    <d v="2014-09-24T00:00:00"/>
    <n v="330"/>
    <n v="423"/>
    <n v="393"/>
    <s v="Scrubber recycle (liquid) pumps"/>
    <s v="F590FGD 3A1 Recycle Pump - Installed Blank"/>
    <s v="Mill Creek"/>
    <x v="0"/>
    <s v="Coal"/>
    <x v="2"/>
    <x v="1"/>
    <n v="9"/>
    <n v="0.99999999994179234"/>
    <n v="0.21985815601557138"/>
    <n v="86.404255314119553"/>
    <n v="86.40425531914893"/>
    <x v="173"/>
  </r>
  <r>
    <x v="9"/>
    <x v="0"/>
    <n v="137"/>
    <n v="310"/>
    <d v="2014-09-28T13:32:00"/>
    <d v="2014-09-28T14:18:00"/>
    <n v="320"/>
    <n v="423"/>
    <n v="393"/>
    <s v="Pulverizer mills"/>
    <s v="F8203D Coal Mill - Tripped"/>
    <s v="Mill Creek"/>
    <x v="0"/>
    <s v="Coal"/>
    <x v="2"/>
    <x v="1"/>
    <n v="9"/>
    <n v="0.76666666672099382"/>
    <n v="0.18668242712118763"/>
    <n v="73.366193858626744"/>
    <n v="95.695035460992912"/>
    <x v="41"/>
  </r>
  <r>
    <x v="9"/>
    <x v="0"/>
    <n v="138"/>
    <n v="360"/>
    <d v="2014-09-28T16:28:00"/>
    <d v="2014-09-29T00:06:00"/>
    <n v="320"/>
    <n v="423"/>
    <n v="393"/>
    <s v="Burners"/>
    <s v="F7803D Coal Mill - 3D7 Burner High Temperature"/>
    <s v="Mill Creek"/>
    <x v="0"/>
    <s v="Coal"/>
    <x v="2"/>
    <x v="1"/>
    <n v="9"/>
    <n v="7.6333333332440816"/>
    <n v="1.858707643792294"/>
    <n v="730.47210401037159"/>
    <n v="95.695035460992912"/>
    <x v="41"/>
  </r>
  <r>
    <x v="9"/>
    <x v="0"/>
    <n v="139"/>
    <n v="310"/>
    <d v="2014-09-29T00:12:00"/>
    <d v="2014-09-29T03:56:00"/>
    <n v="320"/>
    <n v="423"/>
    <n v="393"/>
    <s v="Pulverizer mills"/>
    <s v="F5903D Coal Mill - Primary Air Fan Trip, Replaced Light Resistor"/>
    <s v="Mill Creek"/>
    <x v="0"/>
    <s v="Coal"/>
    <x v="2"/>
    <x v="1"/>
    <n v="9"/>
    <n v="3.7333333334536292"/>
    <n v="0.90906225377239669"/>
    <n v="357.26146573255193"/>
    <n v="95.695035460992912"/>
    <x v="41"/>
  </r>
  <r>
    <x v="9"/>
    <x v="0"/>
    <n v="140"/>
    <n v="360"/>
    <d v="2014-09-30T07:38:00"/>
    <d v="2014-09-30T08:40:00"/>
    <n v="320"/>
    <n v="423"/>
    <n v="393"/>
    <s v="Burners"/>
    <s v="F7803B Coal Mill - 3B7 Burner High Temperature"/>
    <s v="Mill Creek"/>
    <x v="0"/>
    <s v="Coal"/>
    <x v="2"/>
    <x v="1"/>
    <n v="9"/>
    <n v="1.033333333209157"/>
    <n v="0.25161544520222973"/>
    <n v="98.88486996447628"/>
    <n v="95.695035460992912"/>
    <x v="41"/>
  </r>
  <r>
    <x v="9"/>
    <x v="0"/>
    <n v="141"/>
    <n v="310"/>
    <d v="2014-10-01T05:58:00"/>
    <d v="2014-10-01T06:50:00"/>
    <n v="331"/>
    <n v="423"/>
    <n v="393"/>
    <s v="Pulverizer mills"/>
    <s v="F8203D Coal Mill - Primary Air Fan Trip"/>
    <s v="Mill Creek"/>
    <x v="0"/>
    <s v="Coal"/>
    <x v="2"/>
    <x v="1"/>
    <n v="10"/>
    <n v="0.86666666652308777"/>
    <n v="0.18849487782535243"/>
    <n v="74.078486985363512"/>
    <n v="85.475177304964532"/>
    <x v="196"/>
  </r>
  <r>
    <x v="9"/>
    <x v="2"/>
    <n v="142"/>
    <n v="250"/>
    <d v="2014-10-01T22:00:00"/>
    <d v="2014-10-02T03:49:00"/>
    <n v="326"/>
    <n v="423"/>
    <n v="393"/>
    <s v="Pulverizer feeders"/>
    <s v="F0903C Coal Feeder - Calibration"/>
    <s v="Mill Creek"/>
    <x v="0"/>
    <s v="Coal"/>
    <x v="2"/>
    <x v="1"/>
    <n v="10"/>
    <n v="5.8166666667675599"/>
    <n v="1.3338455476984712"/>
    <n v="524.20130024549917"/>
    <n v="90.120567375886523"/>
    <x v="160"/>
  </r>
  <r>
    <x v="9"/>
    <x v="2"/>
    <n v="143"/>
    <n v="250"/>
    <d v="2014-10-02T22:00:00"/>
    <d v="2014-10-03T03:30:00"/>
    <n v="320"/>
    <n v="423"/>
    <n v="393"/>
    <s v="Pulverizer feeders"/>
    <s v="F0903B Coal Feeder - Calibration"/>
    <s v="Mill Creek"/>
    <x v="0"/>
    <s v="Coal"/>
    <x v="2"/>
    <x v="1"/>
    <n v="10"/>
    <n v="5.5000000001164153"/>
    <n v="1.339243498846314"/>
    <n v="526.32269504660144"/>
    <n v="95.695035460992912"/>
    <x v="41"/>
  </r>
  <r>
    <x v="9"/>
    <x v="0"/>
    <n v="144"/>
    <n v="360"/>
    <d v="2014-10-03T14:40:00"/>
    <d v="2014-10-03T15:30:00"/>
    <n v="325"/>
    <n v="423"/>
    <n v="393"/>
    <s v="Burners"/>
    <s v="F7803D Coal Mill - 3D7 Burner High Temperature"/>
    <s v="Mill Creek"/>
    <x v="0"/>
    <s v="Coal"/>
    <x v="2"/>
    <x v="1"/>
    <n v="10"/>
    <n v="0.8333333334303461"/>
    <n v="0.19306540585383905"/>
    <n v="75.874704500558749"/>
    <n v="91.049645390070921"/>
    <x v="42"/>
  </r>
  <r>
    <x v="9"/>
    <x v="6"/>
    <n v="145"/>
    <n v="1801"/>
    <d v="2014-10-03T23:16:00"/>
    <d v="2014-10-12T09:07:00"/>
    <n v="0"/>
    <n v="423"/>
    <n v="393"/>
    <s v="Minor boiler overhaul (less than 720 hours) (use for non-specific overhaul only; see page B-1)"/>
    <s v="F590Planned One Week Outage"/>
    <s v="Mill Creek"/>
    <x v="1"/>
    <s v="Coal"/>
    <x v="2"/>
    <x v="1"/>
    <n v="10"/>
    <n v="201.84999999997672"/>
    <n v="201.84999999997672"/>
    <n v="79327.04999999085"/>
    <n v="393"/>
    <x v="258"/>
  </r>
  <r>
    <x v="9"/>
    <x v="7"/>
    <n v="146"/>
    <n v="4309"/>
    <d v="2014-10-12T09:07:00"/>
    <d v="2014-10-12T10:10:00"/>
    <n v="0"/>
    <n v="423"/>
    <n v="393"/>
    <s v="Other turbine instrument and control problems"/>
    <s v="F820Turbine Master Trip"/>
    <s v="Mill Creek"/>
    <x v="3"/>
    <s v="Coal"/>
    <x v="2"/>
    <x v="1"/>
    <n v="10"/>
    <n v="1.0499999999301508"/>
    <n v="1.0499999999301508"/>
    <n v="412.64999997254927"/>
    <n v="393"/>
    <x v="258"/>
  </r>
  <r>
    <x v="9"/>
    <x v="3"/>
    <n v="147"/>
    <n v="1850"/>
    <d v="2014-10-12T10:10:00"/>
    <d v="2014-10-13T10:27:00"/>
    <n v="0"/>
    <n v="423"/>
    <n v="393"/>
    <s v="Boiler water condition (not feedwater water quality)"/>
    <s v="F170High Silica @ Cold Start Up"/>
    <s v="Mill Creek"/>
    <x v="1"/>
    <s v="Coal"/>
    <x v="2"/>
    <x v="1"/>
    <n v="10"/>
    <n v="24.28333333338378"/>
    <n v="24.28333333338378"/>
    <n v="9543.3500000198255"/>
    <n v="393"/>
    <x v="258"/>
  </r>
  <r>
    <x v="9"/>
    <x v="0"/>
    <n v="148"/>
    <n v="1850"/>
    <d v="2014-10-13T10:27:00"/>
    <d v="2014-10-13T11:50:00"/>
    <n v="337"/>
    <n v="423"/>
    <n v="393"/>
    <s v="Boiler water condition (not feedwater water quality)"/>
    <s v="F170High Silica"/>
    <s v="Mill Creek"/>
    <x v="0"/>
    <s v="Coal"/>
    <x v="2"/>
    <x v="1"/>
    <n v="10"/>
    <n v="1.3833333333022892"/>
    <n v="0.28124507485578459"/>
    <n v="110.52931441832335"/>
    <n v="79.900709219858157"/>
    <x v="192"/>
  </r>
  <r>
    <x v="9"/>
    <x v="0"/>
    <n v="149"/>
    <n v="1850"/>
    <d v="2014-10-13T11:50:00"/>
    <d v="2014-10-13T14:48:00"/>
    <n v="315"/>
    <n v="423"/>
    <n v="393"/>
    <s v="Boiler water condition (not feedwater water quality)"/>
    <s v="F170High Silica"/>
    <s v="Mill Creek"/>
    <x v="0"/>
    <s v="Coal"/>
    <x v="2"/>
    <x v="1"/>
    <n v="10"/>
    <n v="2.9666666667326353"/>
    <n v="0.75744680852748136"/>
    <n v="297.67659575130017"/>
    <n v="100.34042553191489"/>
    <x v="65"/>
  </r>
  <r>
    <x v="9"/>
    <x v="0"/>
    <n v="150"/>
    <n v="1850"/>
    <d v="2014-10-13T14:48:00"/>
    <d v="2014-10-13T15:43:00"/>
    <n v="291"/>
    <n v="423"/>
    <n v="393"/>
    <s v="Boiler water condition (not feedwater water quality)"/>
    <s v="F170High Silica/Recycle Pump Trip - Reaction Tank Low Level"/>
    <s v="Mill Creek"/>
    <x v="0"/>
    <s v="Coal"/>
    <x v="2"/>
    <x v="1"/>
    <n v="10"/>
    <n v="0.91666666668606922"/>
    <n v="0.28605200946231946"/>
    <n v="112.41843971869154"/>
    <n v="122.63829787234043"/>
    <x v="52"/>
  </r>
  <r>
    <x v="9"/>
    <x v="0"/>
    <n v="151"/>
    <n v="1850"/>
    <d v="2014-10-13T15:43:00"/>
    <d v="2014-10-14T00:39:00"/>
    <n v="312"/>
    <n v="423"/>
    <n v="393"/>
    <s v="Boiler water condition (not feedwater water quality)"/>
    <s v="F170High Silica"/>
    <s v="Mill Creek"/>
    <x v="0"/>
    <s v="Coal"/>
    <x v="2"/>
    <x v="1"/>
    <n v="10"/>
    <n v="8.9333333332906477"/>
    <n v="2.3442080378138579"/>
    <n v="921.2737588608461"/>
    <n v="103.12765957446808"/>
    <x v="140"/>
  </r>
  <r>
    <x v="9"/>
    <x v="0"/>
    <n v="152"/>
    <n v="1850"/>
    <d v="2014-10-14T00:39:00"/>
    <d v="2014-10-14T02:30:00"/>
    <n v="390"/>
    <n v="423"/>
    <n v="393"/>
    <s v="Boiler water condition (not feedwater water quality)"/>
    <s v="F170High Silica"/>
    <s v="Mill Creek"/>
    <x v="0"/>
    <s v="Coal"/>
    <x v="2"/>
    <x v="1"/>
    <n v="10"/>
    <n v="1.8499999999185093"/>
    <n v="0.14432624112839434"/>
    <n v="56.720212763458974"/>
    <n v="30.659574468085108"/>
    <x v="246"/>
  </r>
  <r>
    <x v="9"/>
    <x v="0"/>
    <n v="153"/>
    <n v="1850"/>
    <d v="2014-10-14T02:30:00"/>
    <d v="2014-10-14T09:47:00"/>
    <n v="410"/>
    <n v="423"/>
    <n v="393"/>
    <s v="Boiler water condition (not feedwater water quality)"/>
    <s v="F170High Silica"/>
    <s v="Mill Creek"/>
    <x v="0"/>
    <s v="Coal"/>
    <x v="2"/>
    <x v="1"/>
    <n v="10"/>
    <n v="7.2833333333255723"/>
    <n v="0.22383766745445022"/>
    <n v="87.968203309598934"/>
    <n v="12.078014184397164"/>
    <x v="24"/>
  </r>
  <r>
    <x v="9"/>
    <x v="2"/>
    <n v="154"/>
    <n v="8125"/>
    <d v="2014-10-15T23:00:00"/>
    <d v="2014-10-15T23:46:00"/>
    <n v="300"/>
    <n v="423"/>
    <n v="393"/>
    <s v="Scrubber recycle (liquid) pumps"/>
    <s v="F130FGD 3A1 Recycle Pump - Installed Blank"/>
    <s v="Mill Creek"/>
    <x v="0"/>
    <s v="Coal"/>
    <x v="2"/>
    <x v="1"/>
    <n v="10"/>
    <n v="0.76666666654637083"/>
    <n v="0.22293144204539861"/>
    <n v="87.612056723841647"/>
    <n v="114.27659574468085"/>
    <x v="46"/>
  </r>
  <r>
    <x v="9"/>
    <x v="2"/>
    <n v="155"/>
    <n v="360"/>
    <d v="2014-10-21T22:00:00"/>
    <d v="2014-10-22T04:01:00"/>
    <n v="340"/>
    <n v="423"/>
    <n v="393"/>
    <s v="Burners"/>
    <s v="F5303D Coal Mill - 3D5 Burner Inspection"/>
    <s v="Mill Creek"/>
    <x v="0"/>
    <s v="Coal"/>
    <x v="2"/>
    <x v="1"/>
    <n v="10"/>
    <n v="6.0166666667209938"/>
    <n v="1.1805752561178309"/>
    <n v="463.96607565430753"/>
    <n v="77.113475177304963"/>
    <x v="128"/>
  </r>
  <r>
    <x v="9"/>
    <x v="0"/>
    <n v="156"/>
    <n v="360"/>
    <d v="2014-10-22T04:01:00"/>
    <d v="2014-10-22T08:13:00"/>
    <n v="340"/>
    <n v="423"/>
    <n v="393"/>
    <s v="Burners"/>
    <s v="F1203D Coal Mill - 3D5 Conduit Plugged, Installing Blank at Burner"/>
    <s v="Mill Creek"/>
    <x v="0"/>
    <s v="Coal"/>
    <x v="2"/>
    <x v="1"/>
    <n v="10"/>
    <n v="4.2000000000698492"/>
    <n v="0.82411347519101064"/>
    <n v="323.87659575006717"/>
    <n v="77.113475177304963"/>
    <x v="128"/>
  </r>
  <r>
    <x v="9"/>
    <x v="2"/>
    <n v="157"/>
    <n v="360"/>
    <d v="2014-10-23T22:00:00"/>
    <d v="2014-10-24T06:20:00"/>
    <n v="340"/>
    <n v="423"/>
    <n v="393"/>
    <s v="Burners"/>
    <s v="F6303D Coal Mill - 3D5 Burner Removed Blank after Conduit Cleaned Out"/>
    <s v="Mill Creek"/>
    <x v="0"/>
    <s v="Coal"/>
    <x v="2"/>
    <x v="1"/>
    <n v="10"/>
    <n v="8.3333333334303461"/>
    <n v="1.63514578410099"/>
    <n v="642.61229315168907"/>
    <n v="77.113475177304963"/>
    <x v="128"/>
  </r>
  <r>
    <x v="9"/>
    <x v="0"/>
    <n v="158"/>
    <n v="360"/>
    <d v="2014-10-24T08:05:00"/>
    <d v="2014-10-24T08:45:00"/>
    <n v="320"/>
    <n v="423"/>
    <n v="393"/>
    <s v="Burners"/>
    <s v="F7803D Coal Mill - 3D10 Burner High Temperature"/>
    <s v="Mill Creek"/>
    <x v="0"/>
    <s v="Coal"/>
    <x v="2"/>
    <x v="1"/>
    <n v="10"/>
    <n v="0.66666666674427688"/>
    <n v="0.16233254533016672"/>
    <n v="63.796690314755523"/>
    <n v="95.695035460992912"/>
    <x v="41"/>
  </r>
  <r>
    <x v="9"/>
    <x v="0"/>
    <n v="159"/>
    <n v="331"/>
    <d v="2014-10-27T23:16:00"/>
    <d v="2014-10-28T03:21:00"/>
    <n v="320"/>
    <n v="423"/>
    <n v="393"/>
    <s v="Pulverizer system coal leaks (other than pulverizers"/>
    <s v="F5403C Coal Mill - Raw Coal Conduit Leak"/>
    <s v="Mill Creek"/>
    <x v="0"/>
    <s v="Coal"/>
    <x v="2"/>
    <x v="1"/>
    <n v="10"/>
    <n v="4.0833333331975155"/>
    <n v="0.99428683999844936"/>
    <n v="390.75472811939062"/>
    <n v="95.695035460992912"/>
    <x v="41"/>
  </r>
  <r>
    <x v="9"/>
    <x v="0"/>
    <n v="160"/>
    <n v="260"/>
    <d v="2014-10-29T06:55:00"/>
    <d v="2014-10-29T10:43:00"/>
    <n v="330"/>
    <n v="423"/>
    <n v="393"/>
    <s v="Primary air fan"/>
    <s v="F5903D Coal Mill Primary Air Fan - Breaker Issue"/>
    <s v="Mill Creek"/>
    <x v="0"/>
    <s v="Coal"/>
    <x v="2"/>
    <x v="1"/>
    <n v="10"/>
    <n v="3.7999999999883585"/>
    <n v="0.83546099290524189"/>
    <n v="328.33617021176008"/>
    <n v="86.40425531914893"/>
    <x v="173"/>
  </r>
  <r>
    <x v="9"/>
    <x v="0"/>
    <n v="161"/>
    <n v="260"/>
    <d v="2014-10-30T05:25:00"/>
    <d v="2014-10-30T05:58:00"/>
    <n v="330"/>
    <n v="423"/>
    <n v="393"/>
    <s v="Primary air fan"/>
    <s v="F5903D Coal Mill Primary Air Fan - Breaker Issue"/>
    <s v="Mill Creek"/>
    <x v="0"/>
    <s v="Coal"/>
    <x v="2"/>
    <x v="1"/>
    <n v="10"/>
    <n v="0.55000000004656613"/>
    <n v="0.12092198582584078"/>
    <n v="47.522340429555427"/>
    <n v="86.40425531914893"/>
    <x v="173"/>
  </r>
  <r>
    <x v="9"/>
    <x v="2"/>
    <n v="162"/>
    <n v="250"/>
    <d v="2014-11-05T23:00:00"/>
    <d v="2014-11-06T03:36:00"/>
    <n v="330"/>
    <n v="423"/>
    <n v="393"/>
    <s v="Pulverizer feeders"/>
    <s v="F5903D Coal Feeder - Replace Door Gasket"/>
    <s v="Mill Creek"/>
    <x v="0"/>
    <s v="Coal"/>
    <x v="2"/>
    <x v="1"/>
    <n v="11"/>
    <n v="4.5999999999767169"/>
    <n v="1.0113475177253775"/>
    <n v="397.45957446607332"/>
    <n v="86.40425531914893"/>
    <x v="173"/>
  </r>
  <r>
    <x v="9"/>
    <x v="0"/>
    <n v="163"/>
    <n v="360"/>
    <d v="2014-11-08T13:44:00"/>
    <d v="2014-11-08T15:05:00"/>
    <n v="330"/>
    <n v="423"/>
    <n v="393"/>
    <s v="Burners"/>
    <s v="F7803C Coal Mill - 3C8 Burner High Temperature"/>
    <s v="Mill Creek"/>
    <x v="0"/>
    <s v="Coal"/>
    <x v="2"/>
    <x v="1"/>
    <n v="11"/>
    <n v="1.3499999998603016"/>
    <n v="0.29680851060758406"/>
    <n v="116.64574466878054"/>
    <n v="86.40425531914893"/>
    <x v="173"/>
  </r>
  <r>
    <x v="9"/>
    <x v="0"/>
    <n v="164"/>
    <n v="360"/>
    <d v="2014-11-09T02:45:00"/>
    <d v="2014-11-09T03:40:00"/>
    <n v="330"/>
    <n v="423"/>
    <n v="393"/>
    <s v="Burners"/>
    <s v="F7803C Coal Mill - 3C8 Burner High Temperature"/>
    <s v="Mill Creek"/>
    <x v="0"/>
    <s v="Coal"/>
    <x v="2"/>
    <x v="1"/>
    <n v="11"/>
    <n v="0.91666666668606922"/>
    <n v="0.20153664303027055"/>
    <n v="79.20390071089632"/>
    <n v="86.40425531914893"/>
    <x v="173"/>
  </r>
  <r>
    <x v="9"/>
    <x v="0"/>
    <n v="165"/>
    <n v="260"/>
    <d v="2014-11-09T18:00:00"/>
    <d v="2014-11-09T21:00:00"/>
    <n v="320"/>
    <n v="423"/>
    <n v="393"/>
    <s v="Primary air fan"/>
    <s v="F5903D Coal Mill Primary Air Fan - Breaker Issues"/>
    <s v="Mill Creek"/>
    <x v="0"/>
    <s v="Coal"/>
    <x v="2"/>
    <x v="1"/>
    <n v="11"/>
    <n v="3"/>
    <n v="0.73049645390070927"/>
    <n v="287.08510638297872"/>
    <n v="95.695035460992912"/>
    <x v="41"/>
  </r>
  <r>
    <x v="9"/>
    <x v="2"/>
    <n v="166"/>
    <n v="260"/>
    <d v="2014-11-11T00:00:00"/>
    <d v="2014-11-11T04:03:00"/>
    <n v="320"/>
    <n v="423"/>
    <n v="393"/>
    <s v="Primary air fan"/>
    <s v="F5903D Coal Mill Primary Air Fan - Replaced Breaker"/>
    <s v="Mill Creek"/>
    <x v="0"/>
    <s v="Coal"/>
    <x v="2"/>
    <x v="1"/>
    <n v="11"/>
    <n v="4.0499999999301508"/>
    <n v="0.98617021274894923"/>
    <n v="387.56489361033704"/>
    <n v="95.695035460992912"/>
    <x v="41"/>
  </r>
  <r>
    <x v="9"/>
    <x v="3"/>
    <n v="167"/>
    <n v="8700"/>
    <d v="2014-11-12T07:16:00"/>
    <d v="2014-11-12T18:41:00"/>
    <n v="0"/>
    <n v="423"/>
    <n v="393"/>
    <s v="CEMS Certification and Recertification"/>
    <s v="F790Particulate Matter Test - Full Load"/>
    <s v="Mill Creek"/>
    <x v="1"/>
    <s v="Coal"/>
    <x v="2"/>
    <x v="1"/>
    <n v="11"/>
    <n v="11.416666666686069"/>
    <n v="11.416666666686069"/>
    <n v="4486.7500000076252"/>
    <n v="393"/>
    <x v="258"/>
  </r>
  <r>
    <x v="9"/>
    <x v="3"/>
    <n v="168"/>
    <n v="8700"/>
    <d v="2014-11-13T07:20:00"/>
    <d v="2014-11-13T17:20:00"/>
    <n v="0"/>
    <n v="423"/>
    <n v="393"/>
    <s v="CEMS Certification and Recertification"/>
    <s v="F790Particulate Matter Test - Full Load"/>
    <s v="Mill Creek"/>
    <x v="1"/>
    <s v="Coal"/>
    <x v="2"/>
    <x v="1"/>
    <n v="11"/>
    <n v="9.9999999999417923"/>
    <n v="9.9999999999417923"/>
    <n v="3929.9999999771244"/>
    <n v="393"/>
    <x v="258"/>
  </r>
  <r>
    <x v="9"/>
    <x v="3"/>
    <n v="169"/>
    <n v="8700"/>
    <d v="2014-11-14T07:00:00"/>
    <d v="2014-11-14T12:42:00"/>
    <n v="0"/>
    <n v="423"/>
    <n v="393"/>
    <s v="CEMS Certification and Recertification"/>
    <s v="F790Particulate Matter Test @ Full Load"/>
    <s v="Mill Creek"/>
    <x v="1"/>
    <s v="Coal"/>
    <x v="2"/>
    <x v="1"/>
    <n v="11"/>
    <n v="5.7000000000698492"/>
    <n v="5.7000000000698492"/>
    <n v="2240.1000000274507"/>
    <n v="393"/>
    <x v="258"/>
  </r>
  <r>
    <x v="9"/>
    <x v="0"/>
    <n v="170"/>
    <n v="360"/>
    <d v="2014-11-25T09:52:00"/>
    <d v="2014-11-25T10:40:00"/>
    <n v="335"/>
    <n v="423"/>
    <n v="393"/>
    <s v="Burners"/>
    <s v="F7803C Coal Mill - 3C8 Burner High Temperature"/>
    <s v="Mill Creek"/>
    <x v="0"/>
    <s v="Coal"/>
    <x v="2"/>
    <x v="1"/>
    <n v="11"/>
    <n v="0.79999999998835847"/>
    <n v="0.16643026004485945"/>
    <n v="65.407092197629765"/>
    <n v="81.758865248226954"/>
    <x v="48"/>
  </r>
  <r>
    <x v="9"/>
    <x v="0"/>
    <n v="171"/>
    <n v="360"/>
    <d v="2014-11-25T14:39:00"/>
    <d v="2014-11-25T16:16:00"/>
    <n v="335"/>
    <n v="423"/>
    <n v="393"/>
    <s v="Burners"/>
    <s v="F7803C Coal Mill - 3C8 Burner High Temperature"/>
    <s v="Mill Creek"/>
    <x v="0"/>
    <s v="Coal"/>
    <x v="2"/>
    <x v="1"/>
    <n v="11"/>
    <n v="1.6166666665230878"/>
    <n v="0.33632781714901117"/>
    <n v="132.17683213956138"/>
    <n v="81.758865248226954"/>
    <x v="48"/>
  </r>
  <r>
    <x v="9"/>
    <x v="0"/>
    <n v="172"/>
    <n v="360"/>
    <d v="2014-11-25T18:40:00"/>
    <d v="2014-11-25T19:32:00"/>
    <n v="330"/>
    <n v="423"/>
    <n v="393"/>
    <s v="Burners"/>
    <s v="F7803C Coal Mill - 3C8 Burner High Temperature"/>
    <s v="Mill Creek"/>
    <x v="0"/>
    <s v="Coal"/>
    <x v="2"/>
    <x v="1"/>
    <n v="11"/>
    <n v="0.86666666652308777"/>
    <n v="0.19054373519301929"/>
    <n v="74.883687930856581"/>
    <n v="86.40425531914893"/>
    <x v="173"/>
  </r>
  <r>
    <x v="9"/>
    <x v="0"/>
    <n v="173"/>
    <n v="360"/>
    <d v="2014-11-29T20:50:00"/>
    <d v="2014-11-29T22:11:00"/>
    <n v="330"/>
    <n v="423"/>
    <n v="393"/>
    <s v="Burners"/>
    <s v="F7803B Coal Mill - 3B7 Burner High Temperature"/>
    <s v="Mill Creek"/>
    <x v="0"/>
    <s v="Coal"/>
    <x v="2"/>
    <x v="1"/>
    <n v="11"/>
    <n v="1.3500000000349246"/>
    <n v="0.29680851064597635"/>
    <n v="116.64574468386871"/>
    <n v="86.40425531914893"/>
    <x v="173"/>
  </r>
  <r>
    <x v="9"/>
    <x v="2"/>
    <n v="174"/>
    <n v="1160"/>
    <d v="2014-12-04T23:59:00"/>
    <d v="2014-12-05T04:00:00"/>
    <n v="300"/>
    <n v="423"/>
    <n v="393"/>
    <s v="First reheater B"/>
    <s v="F320Boiler Deslag - First Reheater"/>
    <s v="Mill Creek"/>
    <x v="0"/>
    <s v="Coal"/>
    <x v="2"/>
    <x v="1"/>
    <n v="12"/>
    <n v="4.0166666666627862"/>
    <n v="1.1679669030721578"/>
    <n v="459.010992907358"/>
    <n v="114.27659574468085"/>
    <x v="46"/>
  </r>
  <r>
    <x v="9"/>
    <x v="3"/>
    <n v="175"/>
    <n v="1160"/>
    <d v="2014-12-05T23:28:00"/>
    <d v="2014-12-06T02:20:00"/>
    <n v="0"/>
    <n v="423"/>
    <n v="393"/>
    <s v="First reheater B"/>
    <s v="F320Boiler Deslag - First Reheater, Full Load Available as Needed"/>
    <s v="Mill Creek"/>
    <x v="1"/>
    <s v="Coal"/>
    <x v="2"/>
    <x v="1"/>
    <n v="12"/>
    <n v="2.8666666665812954"/>
    <n v="2.8666666665812954"/>
    <n v="1126.5999999664491"/>
    <n v="393"/>
    <x v="258"/>
  </r>
  <r>
    <x v="9"/>
    <x v="3"/>
    <n v="176"/>
    <n v="1160"/>
    <d v="2014-12-07T00:00:00"/>
    <d v="2014-12-07T04:12:00"/>
    <n v="0"/>
    <n v="423"/>
    <n v="393"/>
    <s v="First reheater B"/>
    <s v="F320Boiler Deslag - First Reheater, Full Load Available as Needed"/>
    <s v="Mill Creek"/>
    <x v="1"/>
    <s v="Coal"/>
    <x v="2"/>
    <x v="1"/>
    <n v="12"/>
    <n v="4.2000000000698492"/>
    <n v="4.2000000000698492"/>
    <n v="1650.6000000274507"/>
    <n v="393"/>
    <x v="258"/>
  </r>
  <r>
    <x v="9"/>
    <x v="0"/>
    <n v="177"/>
    <n v="360"/>
    <d v="2014-12-09T16:04:00"/>
    <d v="2014-12-09T17:50:00"/>
    <n v="320"/>
    <n v="423"/>
    <n v="393"/>
    <s v="Burners"/>
    <s v="F7803C Coal Mill - 3C8 Burner High Temperature"/>
    <s v="Mill Creek"/>
    <x v="0"/>
    <s v="Coal"/>
    <x v="2"/>
    <x v="1"/>
    <n v="12"/>
    <n v="1.7666666666627862"/>
    <n v="0.4301812450739172"/>
    <n v="169.06122931404946"/>
    <n v="95.695035460992912"/>
    <x v="41"/>
  </r>
  <r>
    <x v="9"/>
    <x v="0"/>
    <n v="178"/>
    <n v="1850"/>
    <d v="2014-12-10T15:00:00"/>
    <d v="2014-12-10T20:22:00"/>
    <n v="388"/>
    <n v="423"/>
    <n v="393"/>
    <s v="Boiler water condition (not feedwater water quality)"/>
    <s v="F170High Silica"/>
    <s v="Mill Creek"/>
    <x v="0"/>
    <s v="Coal"/>
    <x v="2"/>
    <x v="1"/>
    <n v="12"/>
    <n v="5.3666666666977108"/>
    <n v="0.44405043341470418"/>
    <n v="174.51182033197875"/>
    <n v="32.5177304964539"/>
    <x v="17"/>
  </r>
  <r>
    <x v="9"/>
    <x v="0"/>
    <n v="179"/>
    <n v="1850"/>
    <d v="2014-12-10T20:22:00"/>
    <d v="2014-12-10T21:43:00"/>
    <n v="367"/>
    <n v="423"/>
    <n v="393"/>
    <s v="Boiler water condition (not feedwater water quality)"/>
    <s v="F170High Silica"/>
    <s v="Mill Creek"/>
    <x v="0"/>
    <s v="Coal"/>
    <x v="2"/>
    <x v="1"/>
    <n v="12"/>
    <n v="1.3500000000349246"/>
    <n v="0.17872340425994274"/>
    <n v="70.238297874157496"/>
    <n v="52.028368794326241"/>
    <x v="18"/>
  </r>
  <r>
    <x v="9"/>
    <x v="0"/>
    <n v="180"/>
    <n v="1850"/>
    <d v="2014-12-10T21:43:00"/>
    <d v="2014-12-14T01:40:00"/>
    <n v="325"/>
    <n v="423"/>
    <n v="393"/>
    <s v="Boiler water condition (not feedwater water quality)"/>
    <s v="F170High Silica"/>
    <s v="Mill Creek"/>
    <x v="0"/>
    <s v="Coal"/>
    <x v="2"/>
    <x v="1"/>
    <n v="12"/>
    <n v="75.949999999953434"/>
    <n v="17.595981087459659"/>
    <n v="6915.2205673716462"/>
    <n v="91.049645390070921"/>
    <x v="42"/>
  </r>
  <r>
    <x v="9"/>
    <x v="0"/>
    <n v="181"/>
    <n v="8280"/>
    <d v="2014-12-10T22:20:00"/>
    <d v="2014-12-10T22:55:00"/>
    <n v="215"/>
    <n v="423"/>
    <n v="393"/>
    <s v="Reagent feed piping"/>
    <s v="F590FGD Reactive Feed Return Line - Broken, Demo Issue"/>
    <s v="Mill Creek"/>
    <x v="0"/>
    <s v="Coal"/>
    <x v="2"/>
    <x v="1"/>
    <n v="12"/>
    <n v="0.58333333331393078"/>
    <n v="0.28684003151134185"/>
    <n v="112.72813238395734"/>
    <n v="193.24822695035462"/>
    <x v="266"/>
  </r>
  <r>
    <x v="9"/>
    <x v="4"/>
    <n v="182"/>
    <n v="3110"/>
    <d v="2014-12-14T01:40:00"/>
    <d v="2014-12-16T00:31:00"/>
    <n v="0"/>
    <n v="423"/>
    <n v="393"/>
    <s v="Condenser tube leaks"/>
    <s v="F540Condenser Tube Leaks"/>
    <s v="Mill Creek"/>
    <x v="2"/>
    <s v="Coal"/>
    <x v="2"/>
    <x v="1"/>
    <n v="12"/>
    <n v="46.849999999918509"/>
    <n v="46.849999999918509"/>
    <n v="18412.049999967974"/>
    <n v="393"/>
    <x v="258"/>
  </r>
  <r>
    <x v="9"/>
    <x v="3"/>
    <n v="183"/>
    <n v="1850"/>
    <d v="2014-12-16T00:31:00"/>
    <d v="2014-12-16T12:31:00"/>
    <n v="0"/>
    <n v="423"/>
    <n v="393"/>
    <s v="Boiler water condition (not feedwater water quality)"/>
    <s v="F170High Silica @ Warm Start Up"/>
    <s v="Mill Creek"/>
    <x v="1"/>
    <s v="Coal"/>
    <x v="2"/>
    <x v="1"/>
    <n v="12"/>
    <n v="12"/>
    <n v="12"/>
    <n v="4716"/>
    <n v="393"/>
    <x v="258"/>
  </r>
  <r>
    <x v="9"/>
    <x v="0"/>
    <n v="184"/>
    <n v="1850"/>
    <d v="2014-12-16T12:31:00"/>
    <d v="2014-12-16T14:06:00"/>
    <n v="240"/>
    <n v="423"/>
    <n v="393"/>
    <s v="Boiler water condition (not feedwater water quality)"/>
    <s v="F170High Silica"/>
    <s v="Mill Creek"/>
    <x v="0"/>
    <s v="Coal"/>
    <x v="2"/>
    <x v="1"/>
    <n v="12"/>
    <n v="1.5833333334303461"/>
    <n v="0.68498817971100079"/>
    <n v="269.20035462642329"/>
    <n v="170.02127659574469"/>
    <x v="245"/>
  </r>
  <r>
    <x v="9"/>
    <x v="0"/>
    <n v="185"/>
    <n v="1850"/>
    <d v="2014-12-16T14:06:00"/>
    <d v="2014-12-16T22:37:00"/>
    <n v="335"/>
    <n v="423"/>
    <n v="393"/>
    <s v="Boiler water condition (not feedwater water quality)"/>
    <s v="F170High Silica"/>
    <s v="Mill Creek"/>
    <x v="0"/>
    <s v="Coal"/>
    <x v="2"/>
    <x v="1"/>
    <n v="12"/>
    <n v="8.5166666666627862"/>
    <n v="1.7717888100858752"/>
    <n v="696.31300236374898"/>
    <n v="81.758865248226954"/>
    <x v="48"/>
  </r>
  <r>
    <x v="9"/>
    <x v="0"/>
    <n v="186"/>
    <n v="1850"/>
    <d v="2014-12-16T22:37:00"/>
    <d v="2014-12-17T08:00:00"/>
    <n v="400"/>
    <n v="423"/>
    <n v="393"/>
    <s v="Boiler water condition (not feedwater water quality)"/>
    <s v="F170High Silica"/>
    <s v="Mill Creek"/>
    <x v="0"/>
    <s v="Coal"/>
    <x v="2"/>
    <x v="1"/>
    <n v="12"/>
    <n v="9.3833333333604969"/>
    <n v="0.5102048857382776"/>
    <n v="200.51052009514311"/>
    <n v="21.368794326241133"/>
    <x v="168"/>
  </r>
  <r>
    <x v="9"/>
    <x v="0"/>
    <n v="187"/>
    <n v="1160"/>
    <d v="2014-12-19T23:45:00"/>
    <d v="2014-12-20T04:35:00"/>
    <n v="210"/>
    <n v="423"/>
    <n v="393"/>
    <s v="First reheater B"/>
    <s v="F320Boiler Deslag - First Reheater"/>
    <s v="Mill Creek"/>
    <x v="0"/>
    <s v="Coal"/>
    <x v="2"/>
    <x v="1"/>
    <n v="12"/>
    <n v="4.8333333331975155"/>
    <n v="2.4338061465037133"/>
    <n v="956.48581557595935"/>
    <n v="197.89361702127658"/>
    <x v="268"/>
  </r>
  <r>
    <x v="9"/>
    <x v="0"/>
    <n v="188"/>
    <n v="360"/>
    <d v="2014-12-20T06:51:00"/>
    <d v="2014-12-20T08:29:00"/>
    <n v="320"/>
    <n v="423"/>
    <n v="393"/>
    <s v="Burners"/>
    <s v="F7803C Coal Mill - 3C8 Burner High Temperature"/>
    <s v="Mill Creek"/>
    <x v="0"/>
    <s v="Coal"/>
    <x v="2"/>
    <x v="1"/>
    <n v="12"/>
    <n v="1.6333333334187046"/>
    <n v="0.39771473603339613"/>
    <n v="156.30189126112467"/>
    <n v="95.695035460992912"/>
    <x v="41"/>
  </r>
  <r>
    <x v="9"/>
    <x v="0"/>
    <n v="189"/>
    <n v="360"/>
    <d v="2014-12-21T17:20:00"/>
    <d v="2014-12-21T18:20:00"/>
    <n v="320"/>
    <n v="423"/>
    <n v="393"/>
    <s v="Burners"/>
    <s v="F7803D Coal Mill - 3D6 &amp; 3D7 Burner High Temperature - blanked"/>
    <s v="Mill Creek"/>
    <x v="0"/>
    <s v="Coal"/>
    <x v="2"/>
    <x v="1"/>
    <n v="12"/>
    <n v="1.0000000001164153"/>
    <n v="0.24349881799525006"/>
    <n v="95.69503547213327"/>
    <n v="95.695035460992912"/>
    <x v="41"/>
  </r>
  <r>
    <x v="9"/>
    <x v="0"/>
    <n v="190"/>
    <n v="360"/>
    <d v="2014-12-21T18:47:00"/>
    <d v="2014-12-21T20:11:00"/>
    <n v="320"/>
    <n v="423"/>
    <n v="393"/>
    <s v="Burners"/>
    <s v="F7803D Coal Mill - 3D6 &amp; 3D7 Burner High Temperature - blanked"/>
    <s v="Mill Creek"/>
    <x v="0"/>
    <s v="Coal"/>
    <x v="2"/>
    <x v="1"/>
    <n v="12"/>
    <n v="1.4000000000232831"/>
    <n v="0.3408983451593337"/>
    <n v="133.97304964761815"/>
    <n v="95.695035460992912"/>
    <x v="41"/>
  </r>
  <r>
    <x v="9"/>
    <x v="0"/>
    <n v="191"/>
    <n v="360"/>
    <d v="2014-12-22T16:06:00"/>
    <d v="2014-12-22T17:11:00"/>
    <n v="340"/>
    <n v="423"/>
    <n v="393"/>
    <s v="Burners"/>
    <s v="F7803C Coal Mill - 3C8 Burner High Temperature"/>
    <s v="Mill Creek"/>
    <x v="0"/>
    <s v="Coal"/>
    <x v="2"/>
    <x v="1"/>
    <n v="12"/>
    <n v="1.0833333333721384"/>
    <n v="0.2125689519382683"/>
    <n v="83.539598111739437"/>
    <n v="77.113475177304963"/>
    <x v="128"/>
  </r>
  <r>
    <x v="9"/>
    <x v="0"/>
    <n v="192"/>
    <n v="360"/>
    <d v="2014-12-28T10:10:00"/>
    <d v="2014-12-28T11:00:00"/>
    <n v="320"/>
    <n v="423"/>
    <n v="393"/>
    <s v="Burners"/>
    <s v="F7803C Coal Mill - 3C3 Burner High Temperature"/>
    <s v="Mill Creek"/>
    <x v="0"/>
    <s v="Coal"/>
    <x v="2"/>
    <x v="1"/>
    <n v="12"/>
    <n v="0.8333333334303461"/>
    <n v="0.2029156816627084"/>
    <n v="79.745862893444396"/>
    <n v="95.695035460992912"/>
    <x v="41"/>
  </r>
  <r>
    <x v="9"/>
    <x v="3"/>
    <n v="193"/>
    <n v="8825"/>
    <d v="2014-12-30T09:00:00"/>
    <d v="2014-12-30T14:18:00"/>
    <n v="0"/>
    <n v="423"/>
    <n v="393"/>
    <s v="Other SCR NOx problems"/>
    <s v="F790SCR Tuniing - Full Load"/>
    <s v="Mill Creek"/>
    <x v="1"/>
    <s v="Coal"/>
    <x v="2"/>
    <x v="1"/>
    <n v="12"/>
    <n v="5.2999999999883585"/>
    <n v="5.2999999999883585"/>
    <n v="2082.8999999954249"/>
    <n v="393"/>
    <x v="258"/>
  </r>
  <r>
    <x v="9"/>
    <x v="0"/>
    <n v="194"/>
    <n v="95"/>
    <d v="2014-12-30T17:20:00"/>
    <d v="2014-12-30T17:33:00"/>
    <n v="320"/>
    <n v="423"/>
    <n v="393"/>
    <s v="Bunker flow problems"/>
    <s v="F1203C Coal Feeder - Plugged in Silo"/>
    <s v="Mill Creek"/>
    <x v="0"/>
    <s v="Coal"/>
    <x v="2"/>
    <x v="1"/>
    <n v="12"/>
    <n v="0.21666666667442769"/>
    <n v="5.2758077228052133E-2"/>
    <n v="20.733924350624488"/>
    <n v="95.695035460992912"/>
    <x v="41"/>
  </r>
  <r>
    <x v="9"/>
    <x v="0"/>
    <n v="1"/>
    <n v="8657"/>
    <d v="2015-01-08T07:36:00"/>
    <d v="2015-01-09T11:45:00"/>
    <n v="400"/>
    <n v="423"/>
    <n v="393"/>
    <s v="Ash handling system and hoppers"/>
    <s v="F480Particulate Matter Issue - Frozen Air Lines"/>
    <s v="Mill Creek"/>
    <x v="0"/>
    <s v="Coal"/>
    <x v="2"/>
    <x v="2"/>
    <n v="1"/>
    <n v="28.150000000081491"/>
    <n v="1.5306146572148329"/>
    <n v="601.53156028542935"/>
    <n v="21.368794326241133"/>
    <x v="168"/>
  </r>
  <r>
    <x v="9"/>
    <x v="0"/>
    <n v="2"/>
    <n v="250"/>
    <d v="2015-02-02T22:24:00"/>
    <d v="2015-02-03T04:23:00"/>
    <n v="230"/>
    <n v="423"/>
    <n v="393"/>
    <s v="Pulverizer feeders"/>
    <s v="F1203B Mill coal feeder conduit plugged"/>
    <s v="Mill Creek"/>
    <x v="0"/>
    <s v="Coal"/>
    <x v="2"/>
    <x v="2"/>
    <n v="2"/>
    <n v="5.9833333332790062"/>
    <n v="2.7299842395339202"/>
    <n v="1072.8838061368306"/>
    <n v="179.31205673758865"/>
    <x v="93"/>
  </r>
  <r>
    <x v="9"/>
    <x v="2"/>
    <n v="3"/>
    <n v="250"/>
    <d v="2015-02-02T22:24:00"/>
    <d v="2015-02-03T06:43:00"/>
    <n v="330"/>
    <n v="423"/>
    <n v="393"/>
    <s v="Pulverizer feeders"/>
    <s v="F0903A mill feeder planned calibration"/>
    <s v="Mill Creek"/>
    <x v="0"/>
    <s v="Coal"/>
    <x v="2"/>
    <x v="2"/>
    <n v="2"/>
    <n v="8.3166666667093523"/>
    <n v="1.8284869976453186"/>
    <n v="718.59539007461024"/>
    <n v="86.40425531914893"/>
    <x v="173"/>
  </r>
  <r>
    <x v="9"/>
    <x v="2"/>
    <n v="5"/>
    <n v="250"/>
    <d v="2015-02-03T23:00:00"/>
    <d v="2015-02-04T04:38:00"/>
    <n v="320"/>
    <n v="423"/>
    <n v="393"/>
    <s v="Pulverizer feeders"/>
    <s v="F0903B Mill feeder planned calibration and mill inspection"/>
    <s v="Mill Creek"/>
    <x v="0"/>
    <s v="Coal"/>
    <x v="2"/>
    <x v="2"/>
    <n v="2"/>
    <n v="5.6333333333604969"/>
    <n v="1.3717100078868349"/>
    <n v="539.08203309952614"/>
    <n v="95.695035460992912"/>
    <x v="41"/>
  </r>
  <r>
    <x v="9"/>
    <x v="3"/>
    <n v="4"/>
    <n v="9999"/>
    <d v="2015-02-04T07:00:00"/>
    <d v="2015-02-04T13:35:00"/>
    <n v="0"/>
    <n v="423"/>
    <n v="393"/>
    <s v="Total unit performance testing (use appropriate codes for individual component testing)"/>
    <s v="F790Winter Full Load Capability Test"/>
    <s v="Mill Creek"/>
    <x v="1"/>
    <s v="Coal"/>
    <x v="2"/>
    <x v="2"/>
    <n v="2"/>
    <n v="6.5833333333139308"/>
    <n v="6.5833333333139308"/>
    <n v="2587.2499999923748"/>
    <n v="393"/>
    <x v="258"/>
  </r>
  <r>
    <x v="9"/>
    <x v="2"/>
    <n v="6"/>
    <n v="250"/>
    <d v="2015-02-04T23:00:00"/>
    <d v="2015-02-05T04:35:00"/>
    <n v="320"/>
    <n v="423"/>
    <n v="393"/>
    <s v="Pulverizer feeders"/>
    <s v="F0903C Coal Feeder - Calibration &amp; Mill Inspection"/>
    <s v="Mill Creek"/>
    <x v="0"/>
    <s v="Coal"/>
    <x v="2"/>
    <x v="2"/>
    <n v="2"/>
    <n v="5.5833333331975155"/>
    <n v="1.359535066948804"/>
    <n v="534.29728131087995"/>
    <n v="95.695035460992912"/>
    <x v="41"/>
  </r>
  <r>
    <x v="9"/>
    <x v="2"/>
    <n v="7"/>
    <n v="250"/>
    <d v="2015-02-05T23:00:00"/>
    <d v="2015-02-06T04:58:00"/>
    <n v="320"/>
    <n v="423"/>
    <n v="393"/>
    <s v="Pulverizer feeders"/>
    <s v="F0903D Feeder - Calibration and mill inspection"/>
    <s v="Mill Creek"/>
    <x v="0"/>
    <s v="Coal"/>
    <x v="2"/>
    <x v="2"/>
    <n v="2"/>
    <n v="5.9666666665580124"/>
    <n v="1.4528762805093978"/>
    <n v="570.98037824019332"/>
    <n v="95.695035460992912"/>
    <x v="41"/>
  </r>
  <r>
    <x v="9"/>
    <x v="0"/>
    <n v="8"/>
    <n v="360"/>
    <d v="2015-02-11T20:31:00"/>
    <d v="2015-02-11T22:46:00"/>
    <n v="330"/>
    <n v="423"/>
    <n v="393"/>
    <s v="Burners"/>
    <s v="F7803B Coal Mill - 3B6 Burner High Temperature"/>
    <s v="Mill Creek"/>
    <x v="0"/>
    <s v="Coal"/>
    <x v="2"/>
    <x v="2"/>
    <n v="2"/>
    <n v="2.25"/>
    <n v="0.49468085106382981"/>
    <n v="194.40957446808511"/>
    <n v="86.40425531914893"/>
    <x v="173"/>
  </r>
  <r>
    <x v="9"/>
    <x v="0"/>
    <n v="9"/>
    <n v="250"/>
    <d v="2015-02-22T21:37:00"/>
    <d v="2015-02-23T00:02:00"/>
    <n v="320"/>
    <n v="423"/>
    <n v="393"/>
    <s v="Pulverizer feeders"/>
    <s v="F4003A coal feeder.  Feeder kept tripping."/>
    <s v="Mill Creek"/>
    <x v="0"/>
    <s v="Coal"/>
    <x v="2"/>
    <x v="2"/>
    <n v="2"/>
    <n v="2.4166666666860692"/>
    <n v="0.58845547675807364"/>
    <n v="231.26300236592294"/>
    <n v="95.695035460992912"/>
    <x v="41"/>
  </r>
  <r>
    <x v="9"/>
    <x v="0"/>
    <n v="10"/>
    <n v="9620"/>
    <d v="2015-02-27T01:07:00"/>
    <d v="2015-02-27T09:15:00"/>
    <n v="375"/>
    <n v="423"/>
    <n v="393"/>
    <s v="Particulate stack emissions (fossil)"/>
    <s v="FE00PM Compliance - Fly Ash Hoppers Full"/>
    <s v="Mill Creek"/>
    <x v="0"/>
    <s v="Coal"/>
    <x v="2"/>
    <x v="2"/>
    <n v="2"/>
    <n v="8.1333333333022892"/>
    <n v="0.92293144207685551"/>
    <n v="362.7120567362042"/>
    <n v="44.595744680851062"/>
    <x v="23"/>
  </r>
  <r>
    <x v="9"/>
    <x v="0"/>
    <n v="11"/>
    <n v="9620"/>
    <d v="2015-02-27T09:15:00"/>
    <d v="2015-02-27T14:54:00"/>
    <n v="400"/>
    <n v="423"/>
    <n v="393"/>
    <s v="Particulate stack emissions (fossil)"/>
    <s v="FE00PM Compliance - Fly Ash Hoppers full"/>
    <s v="Mill Creek"/>
    <x v="0"/>
    <s v="Coal"/>
    <x v="2"/>
    <x v="2"/>
    <n v="2"/>
    <n v="5.6500000000814907"/>
    <n v="0.30721040189568388"/>
    <n v="120.73368794500377"/>
    <n v="21.368794326241133"/>
    <x v="168"/>
  </r>
  <r>
    <x v="9"/>
    <x v="4"/>
    <n v="12"/>
    <n v="3110"/>
    <d v="2015-02-28T10:27:00"/>
    <d v="2015-03-03T01:17:00"/>
    <n v="0"/>
    <n v="423"/>
    <n v="393"/>
    <s v="Condenser tube leaks"/>
    <s v="F540Condenser leak"/>
    <s v="Mill Creek"/>
    <x v="2"/>
    <s v="Coal"/>
    <x v="2"/>
    <x v="2"/>
    <n v="2"/>
    <n v="62.833333333313931"/>
    <n v="62.833333333313931"/>
    <n v="24693.499999992375"/>
    <n v="393"/>
    <x v="258"/>
  </r>
  <r>
    <x v="9"/>
    <x v="3"/>
    <n v="13"/>
    <n v="1850"/>
    <d v="2015-03-03T01:17:00"/>
    <d v="2015-03-03T13:17:00"/>
    <n v="0"/>
    <n v="423"/>
    <n v="393"/>
    <s v="Boiler water condition (not feedwater water quality)"/>
    <s v="F170High silica @ Warm Start-up"/>
    <s v="Mill Creek"/>
    <x v="1"/>
    <s v="Coal"/>
    <x v="2"/>
    <x v="2"/>
    <n v="3"/>
    <n v="12"/>
    <n v="12"/>
    <n v="4716"/>
    <n v="393"/>
    <x v="258"/>
  </r>
  <r>
    <x v="9"/>
    <x v="0"/>
    <n v="14"/>
    <n v="1850"/>
    <d v="2015-03-03T13:17:00"/>
    <d v="2015-03-03T18:11:00"/>
    <n v="228"/>
    <n v="423"/>
    <n v="393"/>
    <s v="Boiler water condition (not feedwater water quality)"/>
    <s v="F170High Silica"/>
    <s v="Mill Creek"/>
    <x v="0"/>
    <s v="Coal"/>
    <x v="2"/>
    <x v="2"/>
    <n v="3"/>
    <n v="4.9000000000814907"/>
    <n v="2.2588652482645171"/>
    <n v="887.73404256795516"/>
    <n v="181.17021276595744"/>
    <x v="269"/>
  </r>
  <r>
    <x v="9"/>
    <x v="0"/>
    <n v="15"/>
    <n v="1850"/>
    <d v="2015-03-03T18:11:00"/>
    <d v="2015-03-03T18:48:00"/>
    <n v="323"/>
    <n v="423"/>
    <n v="393"/>
    <s v="Boiler water condition (not feedwater water quality)"/>
    <s v="F170High Silica"/>
    <s v="Mill Creek"/>
    <x v="0"/>
    <s v="Coal"/>
    <x v="2"/>
    <x v="2"/>
    <n v="3"/>
    <n v="0.61666666658129543"/>
    <n v="0.14578408193411241"/>
    <n v="57.293144200106177"/>
    <n v="92.907801418439718"/>
    <x v="129"/>
  </r>
  <r>
    <x v="9"/>
    <x v="0"/>
    <n v="16"/>
    <n v="1850"/>
    <d v="2015-03-03T18:48:00"/>
    <d v="2015-03-04T06:30:00"/>
    <n v="353"/>
    <n v="423"/>
    <n v="393"/>
    <s v="Boiler water condition (not feedwater water quality)"/>
    <s v="F170High Silica"/>
    <s v="Mill Creek"/>
    <x v="0"/>
    <s v="Coal"/>
    <x v="2"/>
    <x v="2"/>
    <n v="3"/>
    <n v="11.700000000069849"/>
    <n v="1.9361702127775164"/>
    <n v="760.91489362156392"/>
    <n v="65.035460992907801"/>
    <x v="127"/>
  </r>
  <r>
    <x v="9"/>
    <x v="0"/>
    <n v="17"/>
    <n v="360"/>
    <d v="2015-03-07T07:00:00"/>
    <d v="2015-03-07T08:00:00"/>
    <n v="340"/>
    <n v="423"/>
    <n v="393"/>
    <s v="Burners"/>
    <s v="F7803D Coal Mill - High Burner Temp"/>
    <s v="Mill Creek"/>
    <x v="0"/>
    <s v="Coal"/>
    <x v="2"/>
    <x v="2"/>
    <n v="3"/>
    <n v="1.0000000001164153"/>
    <n v="0.19621749411267725"/>
    <n v="77.113475186282159"/>
    <n v="77.113475177304963"/>
    <x v="128"/>
  </r>
  <r>
    <x v="9"/>
    <x v="0"/>
    <n v="18"/>
    <n v="262"/>
    <d v="2015-03-08T01:22:00"/>
    <d v="2015-03-08T03:06:00"/>
    <n v="325"/>
    <n v="423"/>
    <n v="393"/>
    <s v="Primary air fan lube oil system"/>
    <s v="F5703C Mill PA Fan - Oil Change"/>
    <s v="Mill Creek"/>
    <x v="0"/>
    <s v="Coal"/>
    <x v="2"/>
    <x v="2"/>
    <n v="3"/>
    <n v="1.7333333333954215"/>
    <n v="0.40157604414362014"/>
    <n v="157.81938534844272"/>
    <n v="91.049645390070921"/>
    <x v="42"/>
  </r>
  <r>
    <x v="9"/>
    <x v="0"/>
    <n v="19"/>
    <n v="360"/>
    <d v="2015-03-09T08:38:00"/>
    <d v="2015-03-09T08:49:00"/>
    <n v="320"/>
    <n v="423"/>
    <n v="393"/>
    <s v="Burners"/>
    <s v="F7803D Mill - High Burner Temp"/>
    <s v="Mill Creek"/>
    <x v="0"/>
    <s v="Coal"/>
    <x v="2"/>
    <x v="2"/>
    <n v="3"/>
    <n v="0.18333333323244005"/>
    <n v="4.4641449936031502E-2"/>
    <n v="17.544089824860379"/>
    <n v="95.695035460992912"/>
    <x v="41"/>
  </r>
  <r>
    <x v="9"/>
    <x v="0"/>
    <n v="20"/>
    <n v="360"/>
    <d v="2015-03-09T08:49:00"/>
    <d v="2015-03-09T09:42:00"/>
    <n v="320"/>
    <n v="423"/>
    <n v="393"/>
    <s v="Burners"/>
    <s v="F7803B Mill - High Burner Temp"/>
    <s v="Mill Creek"/>
    <x v="0"/>
    <s v="Coal"/>
    <x v="2"/>
    <x v="2"/>
    <n v="3"/>
    <n v="0.88333333341870457"/>
    <n v="0.21509062255821884"/>
    <n v="84.53061466538"/>
    <n v="95.695035460992912"/>
    <x v="41"/>
  </r>
  <r>
    <x v="9"/>
    <x v="0"/>
    <n v="21"/>
    <n v="1455"/>
    <d v="2015-03-09T19:28:00"/>
    <d v="2015-03-09T20:53:00"/>
    <n v="395"/>
    <n v="423"/>
    <n v="393"/>
    <s v="Induced draft fans"/>
    <s v="F540ID Fan Runback"/>
    <s v="Mill Creek"/>
    <x v="0"/>
    <s v="Coal"/>
    <x v="2"/>
    <x v="2"/>
    <n v="3"/>
    <n v="1.4166666665696539"/>
    <n v="9.3774625683097662E-2"/>
    <n v="36.853427893457379"/>
    <n v="26.01418439716312"/>
    <x v="16"/>
  </r>
  <r>
    <x v="9"/>
    <x v="0"/>
    <n v="22"/>
    <n v="360"/>
    <d v="2015-03-11T10:22:00"/>
    <d v="2015-03-11T10:47:00"/>
    <n v="320"/>
    <n v="423"/>
    <n v="393"/>
    <s v="Burners"/>
    <s v="F7803D Mill Burner Temps"/>
    <s v="Mill Creek"/>
    <x v="0"/>
    <s v="Coal"/>
    <x v="2"/>
    <x v="2"/>
    <n v="3"/>
    <n v="0.41666666680248454"/>
    <n v="0.10145784085261444"/>
    <n v="39.872931455077477"/>
    <n v="95.695035460992912"/>
    <x v="41"/>
  </r>
  <r>
    <x v="9"/>
    <x v="0"/>
    <n v="23"/>
    <n v="360"/>
    <d v="2015-03-11T18:44:00"/>
    <d v="2015-03-11T21:46:00"/>
    <n v="320"/>
    <n v="423"/>
    <n v="393"/>
    <s v="Burners"/>
    <s v="F7803D Mill Burner Temps"/>
    <s v="Mill Creek"/>
    <x v="0"/>
    <s v="Coal"/>
    <x v="2"/>
    <x v="2"/>
    <n v="3"/>
    <n v="3.0333333334419876"/>
    <n v="0.73861308119272984"/>
    <n v="290.27494090874285"/>
    <n v="95.695035460992912"/>
    <x v="41"/>
  </r>
  <r>
    <x v="9"/>
    <x v="0"/>
    <n v="24"/>
    <n v="360"/>
    <d v="2015-03-16T11:28:00"/>
    <d v="2015-03-16T12:21:00"/>
    <n v="390"/>
    <n v="423"/>
    <n v="393"/>
    <s v="Burners"/>
    <s v="F7803D Coal Mill - 3D10 Burner High Temperature"/>
    <s v="Mill Creek"/>
    <x v="0"/>
    <s v="Coal"/>
    <x v="2"/>
    <x v="2"/>
    <n v="3"/>
    <n v="0.88333333324408159"/>
    <n v="6.8912529543864523E-2"/>
    <n v="27.082624110738756"/>
    <n v="30.659574468085108"/>
    <x v="246"/>
  </r>
  <r>
    <x v="9"/>
    <x v="0"/>
    <n v="25"/>
    <n v="360"/>
    <d v="2015-03-17T22:52:00"/>
    <d v="2015-03-17T23:39:00"/>
    <n v="330"/>
    <n v="423"/>
    <n v="393"/>
    <s v="Burners"/>
    <s v="F7803D Coal Mill - 3D10 Burner High Temperature"/>
    <s v="Mill Creek"/>
    <x v="0"/>
    <s v="Coal"/>
    <x v="2"/>
    <x v="2"/>
    <n v="3"/>
    <n v="0.78333333344198763"/>
    <n v="0.17222222224611075"/>
    <n v="67.683333342721525"/>
    <n v="86.40425531914893"/>
    <x v="173"/>
  </r>
  <r>
    <x v="9"/>
    <x v="0"/>
    <n v="26"/>
    <n v="360"/>
    <d v="2015-03-18T08:16:00"/>
    <d v="2015-03-18T08:40:00"/>
    <n v="335"/>
    <n v="423"/>
    <n v="393"/>
    <s v="Burners"/>
    <s v="F7803D Coal Mill - 3D10 Burner High Temperature"/>
    <s v="Mill Creek"/>
    <x v="0"/>
    <s v="Coal"/>
    <x v="2"/>
    <x v="2"/>
    <n v="3"/>
    <n v="0.39999999990686774"/>
    <n v="8.3215130004265628E-2"/>
    <n v="32.703546091676394"/>
    <n v="81.758865248226954"/>
    <x v="48"/>
  </r>
  <r>
    <x v="9"/>
    <x v="4"/>
    <n v="27"/>
    <n v="8425"/>
    <d v="2015-03-20T15:14:00"/>
    <d v="2015-03-22T22:56:00"/>
    <n v="0"/>
    <n v="423"/>
    <n v="393"/>
    <s v="Miscellaneous mechanical failures"/>
    <s v="F590Cleaned chevrons"/>
    <s v="Mill Creek"/>
    <x v="2"/>
    <s v="Coal"/>
    <x v="2"/>
    <x v="2"/>
    <n v="3"/>
    <n v="55.699999999953434"/>
    <n v="55.699999999953434"/>
    <n v="21890.0999999817"/>
    <n v="393"/>
    <x v="258"/>
  </r>
  <r>
    <x v="9"/>
    <x v="3"/>
    <n v="28"/>
    <n v="1850"/>
    <d v="2015-03-22T22:56:00"/>
    <d v="2015-03-23T11:26:00"/>
    <n v="0"/>
    <n v="423"/>
    <n v="393"/>
    <s v="Boiler water condition (not feedwater water quality)"/>
    <s v="F170High Silica @ Warm Start"/>
    <s v="Mill Creek"/>
    <x v="1"/>
    <s v="Coal"/>
    <x v="2"/>
    <x v="2"/>
    <n v="3"/>
    <n v="12.500000000058208"/>
    <n v="12.500000000058208"/>
    <n v="4912.5000000228756"/>
    <n v="393"/>
    <x v="258"/>
  </r>
  <r>
    <x v="9"/>
    <x v="0"/>
    <n v="29"/>
    <n v="1850"/>
    <d v="2015-03-23T11:26:00"/>
    <d v="2015-03-23T21:09:00"/>
    <n v="300"/>
    <n v="423"/>
    <n v="393"/>
    <s v="Boiler water condition (not feedwater water quality)"/>
    <s v="F170High Silica"/>
    <s v="Mill Creek"/>
    <x v="0"/>
    <s v="Coal"/>
    <x v="2"/>
    <x v="2"/>
    <n v="3"/>
    <n v="9.7166666665580124"/>
    <n v="2.8254137115523297"/>
    <n v="1110.3875886400656"/>
    <n v="114.27659574468085"/>
    <x v="46"/>
  </r>
  <r>
    <x v="9"/>
    <x v="0"/>
    <n v="30"/>
    <n v="1455"/>
    <d v="2015-03-26T07:28:00"/>
    <d v="2015-03-26T07:59:00"/>
    <n v="405"/>
    <n v="423"/>
    <n v="393"/>
    <s v="Induced draft fans"/>
    <s v="F8503A ID Fan Vibration"/>
    <s v="Mill Creek"/>
    <x v="0"/>
    <s v="Coal"/>
    <x v="2"/>
    <x v="2"/>
    <n v="3"/>
    <n v="0.5166666666045785"/>
    <n v="2.198581560019483E-2"/>
    <n v="8.6404255308765681"/>
    <n v="16.723404255319149"/>
    <x v="262"/>
  </r>
  <r>
    <x v="9"/>
    <x v="0"/>
    <n v="31"/>
    <n v="1455"/>
    <d v="2015-03-27T06:01:00"/>
    <d v="2015-03-27T20:58:00"/>
    <n v="405"/>
    <n v="423"/>
    <n v="393"/>
    <s v="Induced draft fans"/>
    <s v="F8503A ID Fan Vibration"/>
    <s v="Mill Creek"/>
    <x v="0"/>
    <s v="Coal"/>
    <x v="2"/>
    <x v="2"/>
    <n v="3"/>
    <n v="14.950000000011642"/>
    <n v="0.6361702127664528"/>
    <n v="250.01489361721596"/>
    <n v="16.723404255319149"/>
    <x v="262"/>
  </r>
  <r>
    <x v="9"/>
    <x v="0"/>
    <n v="32"/>
    <n v="360"/>
    <d v="2015-03-27T20:58:00"/>
    <d v="2015-03-27T21:30:00"/>
    <n v="340"/>
    <n v="423"/>
    <n v="393"/>
    <s v="Burners"/>
    <s v="F7803D Mill Burner Temp"/>
    <s v="Mill Creek"/>
    <x v="0"/>
    <s v="Coal"/>
    <x v="2"/>
    <x v="2"/>
    <n v="3"/>
    <n v="0.53333333332557231"/>
    <n v="0.10464933017972222"/>
    <n v="41.127186760630835"/>
    <n v="77.113475177304963"/>
    <x v="128"/>
  </r>
  <r>
    <x v="9"/>
    <x v="0"/>
    <n v="33"/>
    <n v="1455"/>
    <d v="2015-03-27T21:30:00"/>
    <d v="2015-03-29T22:00:00"/>
    <n v="405"/>
    <n v="423"/>
    <n v="393"/>
    <s v="Induced draft fans"/>
    <s v="F8503A ID Fan Vibration"/>
    <s v="Mill Creek"/>
    <x v="0"/>
    <s v="Coal"/>
    <x v="2"/>
    <x v="2"/>
    <n v="3"/>
    <n v="48.499999999883585"/>
    <n v="2.0638297872290887"/>
    <n v="811.08510638103189"/>
    <n v="16.723404255319149"/>
    <x v="262"/>
  </r>
  <r>
    <x v="9"/>
    <x v="2"/>
    <n v="34"/>
    <n v="250"/>
    <d v="2015-03-29T22:00:00"/>
    <d v="2015-03-30T03:08:00"/>
    <n v="320"/>
    <n v="423"/>
    <n v="393"/>
    <s v="Pulverizer feeders"/>
    <s v="F5903B Coal Mill Feeder hatch repair"/>
    <s v="Mill Creek"/>
    <x v="0"/>
    <s v="Coal"/>
    <x v="2"/>
    <x v="2"/>
    <n v="3"/>
    <n v="5.1333333334769122"/>
    <n v="1.2499605989317304"/>
    <n v="491.23451538017002"/>
    <n v="95.695035460992912"/>
    <x v="41"/>
  </r>
  <r>
    <x v="9"/>
    <x v="0"/>
    <n v="35"/>
    <n v="1455"/>
    <d v="2015-03-30T03:08:00"/>
    <d v="2015-04-04T19:11:00"/>
    <n v="406"/>
    <n v="423"/>
    <n v="393"/>
    <s v="Induced draft fans"/>
    <s v="F8503A ID Fan Vibration"/>
    <s v="Mill Creek"/>
    <x v="0"/>
    <s v="Coal"/>
    <x v="2"/>
    <x v="2"/>
    <n v="3"/>
    <n v="136.04999999993015"/>
    <n v="5.4677304964510931"/>
    <n v="2148.8180851052798"/>
    <n v="15.794326241134751"/>
    <x v="167"/>
  </r>
  <r>
    <x v="9"/>
    <x v="0"/>
    <n v="36"/>
    <n v="360"/>
    <d v="2015-04-04T19:11:00"/>
    <d v="2015-04-05T11:58:00"/>
    <n v="335"/>
    <n v="423"/>
    <n v="393"/>
    <s v="Burners"/>
    <s v="FR003C Coal Mill Burner - Coal smoldering"/>
    <s v="Mill Creek"/>
    <x v="0"/>
    <s v="Coal"/>
    <x v="2"/>
    <x v="2"/>
    <n v="4"/>
    <n v="16.78333333338378"/>
    <n v="3.4915681639190841"/>
    <n v="1372.1862884202001"/>
    <n v="81.758865248226954"/>
    <x v="48"/>
  </r>
  <r>
    <x v="9"/>
    <x v="0"/>
    <n v="37"/>
    <n v="1455"/>
    <d v="2015-04-05T11:58:00"/>
    <d v="2015-04-06T06:18:00"/>
    <n v="405"/>
    <n v="423"/>
    <n v="393"/>
    <s v="Induced draft fans"/>
    <s v="F8503A ID Fan Vibration"/>
    <s v="Mill Creek"/>
    <x v="0"/>
    <s v="Coal"/>
    <x v="2"/>
    <x v="2"/>
    <n v="4"/>
    <n v="18.333333333197515"/>
    <n v="0.78014184396585173"/>
    <n v="306.59574467857971"/>
    <n v="16.723404255319149"/>
    <x v="262"/>
  </r>
  <r>
    <x v="9"/>
    <x v="0"/>
    <n v="38"/>
    <n v="1455"/>
    <d v="2015-04-06T06:18:00"/>
    <d v="2015-04-07T06:13:00"/>
    <n v="390"/>
    <n v="423"/>
    <n v="393"/>
    <s v="Induced draft fans"/>
    <s v="F8503A ID Fan Vibration"/>
    <s v="Mill Creek"/>
    <x v="0"/>
    <s v="Coal"/>
    <x v="2"/>
    <x v="2"/>
    <n v="4"/>
    <n v="23.916666666744277"/>
    <n v="1.8658392435048727"/>
    <n v="733.27482269741495"/>
    <n v="30.659574468085108"/>
    <x v="246"/>
  </r>
  <r>
    <x v="9"/>
    <x v="0"/>
    <n v="39"/>
    <n v="260"/>
    <d v="2015-04-07T06:13:00"/>
    <d v="2015-04-07T07:23:00"/>
    <n v="320"/>
    <n v="423"/>
    <n v="393"/>
    <s v="Primary air fan"/>
    <s v="F7803C Coal Mill PA Fan Bearing Temp"/>
    <s v="Mill Creek"/>
    <x v="0"/>
    <s v="Coal"/>
    <x v="2"/>
    <x v="2"/>
    <n v="4"/>
    <n v="1.1666666666278616"/>
    <n v="0.28408195428527128"/>
    <n v="111.64420803411161"/>
    <n v="95.695035460992912"/>
    <x v="41"/>
  </r>
  <r>
    <x v="9"/>
    <x v="2"/>
    <n v="40"/>
    <n v="260"/>
    <d v="2015-04-07T07:23:00"/>
    <d v="2015-04-07T18:22:00"/>
    <n v="340"/>
    <n v="423"/>
    <n v="393"/>
    <s v="Primary air fan"/>
    <s v="F7803C Coal Mill Primary Air Fan Bearing Temp"/>
    <s v="Mill Creek"/>
    <x v="0"/>
    <s v="Coal"/>
    <x v="2"/>
    <x v="2"/>
    <n v="4"/>
    <n v="10.983333333337214"/>
    <n v="2.155122143420777"/>
    <n v="846.96300236436537"/>
    <n v="77.113475177304963"/>
    <x v="128"/>
  </r>
  <r>
    <x v="9"/>
    <x v="0"/>
    <n v="41"/>
    <n v="1455"/>
    <d v="2015-04-07T18:22:00"/>
    <d v="2015-04-08T05:52:00"/>
    <n v="405"/>
    <n v="423"/>
    <n v="393"/>
    <s v="Induced draft fans"/>
    <s v="F8503A ID Fan Vibration"/>
    <s v="Mill Creek"/>
    <x v="0"/>
    <s v="Coal"/>
    <x v="2"/>
    <x v="2"/>
    <n v="4"/>
    <n v="11.499999999941792"/>
    <n v="0.48936170212518265"/>
    <n v="192.31914893519678"/>
    <n v="16.723404255319149"/>
    <x v="262"/>
  </r>
  <r>
    <x v="9"/>
    <x v="0"/>
    <n v="42"/>
    <n v="260"/>
    <d v="2015-04-08T05:52:00"/>
    <d v="2015-04-08T14:02:00"/>
    <n v="320"/>
    <n v="423"/>
    <n v="393"/>
    <s v="Primary air fan"/>
    <s v="F7803C Coal Mill PA Fan Bearing Temp"/>
    <s v="Mill Creek"/>
    <x v="0"/>
    <s v="Coal"/>
    <x v="2"/>
    <x v="2"/>
    <n v="4"/>
    <n v="8.1666666667442769"/>
    <n v="1.9885736800819398"/>
    <n v="781.50945627220233"/>
    <n v="95.695035460992912"/>
    <x v="41"/>
  </r>
  <r>
    <x v="9"/>
    <x v="0"/>
    <n v="43"/>
    <n v="1455"/>
    <d v="2015-04-08T14:02:00"/>
    <d v="2015-04-10T23:39:00"/>
    <n v="405"/>
    <n v="423"/>
    <n v="393"/>
    <s v="Induced draft fans"/>
    <s v="F8503A ID Fan Vibration"/>
    <s v="Mill Creek"/>
    <x v="0"/>
    <s v="Coal"/>
    <x v="2"/>
    <x v="2"/>
    <n v="4"/>
    <n v="57.616666666755918"/>
    <n v="2.4517730496491881"/>
    <n v="963.54680851213095"/>
    <n v="16.723404255319149"/>
    <x v="262"/>
  </r>
  <r>
    <x v="9"/>
    <x v="4"/>
    <n v="44"/>
    <n v="1455"/>
    <d v="2015-04-10T23:39:00"/>
    <d v="2015-04-12T08:03:00"/>
    <n v="0"/>
    <n v="423"/>
    <n v="393"/>
    <s v="Induced draft fans"/>
    <s v="FC003A ID Fan Cleaning"/>
    <s v="Mill Creek"/>
    <x v="2"/>
    <s v="Coal"/>
    <x v="2"/>
    <x v="2"/>
    <n v="4"/>
    <n v="32.399999999965075"/>
    <n v="32.399999999965075"/>
    <n v="12733.199999986275"/>
    <n v="393"/>
    <x v="258"/>
  </r>
  <r>
    <x v="9"/>
    <x v="3"/>
    <n v="45"/>
    <n v="1850"/>
    <d v="2015-04-12T08:03:00"/>
    <d v="2015-04-12T14:31:00"/>
    <n v="0"/>
    <n v="423"/>
    <n v="393"/>
    <s v="Boiler water condition (not feedwater water quality)"/>
    <s v="F170High Silica @ Hot Start"/>
    <s v="Mill Creek"/>
    <x v="1"/>
    <s v="Coal"/>
    <x v="2"/>
    <x v="2"/>
    <n v="4"/>
    <n v="6.46666666661622"/>
    <n v="6.46666666661622"/>
    <n v="2541.3999999801745"/>
    <n v="393"/>
    <x v="258"/>
  </r>
  <r>
    <x v="9"/>
    <x v="0"/>
    <n v="46"/>
    <n v="360"/>
    <d v="2015-04-13T07:45:00"/>
    <d v="2015-04-13T08:07:00"/>
    <n v="350"/>
    <n v="423"/>
    <n v="393"/>
    <s v="Burners"/>
    <s v="F7803D Mill - High Burner Temps"/>
    <s v="Mill Creek"/>
    <x v="0"/>
    <s v="Coal"/>
    <x v="2"/>
    <x v="2"/>
    <n v="4"/>
    <n v="0.36666666663950309"/>
    <n v="6.3278171784122289E-2"/>
    <n v="24.868321511160058"/>
    <n v="67.822695035460995"/>
    <x v="208"/>
  </r>
  <r>
    <x v="9"/>
    <x v="0"/>
    <n v="47"/>
    <n v="360"/>
    <d v="2015-04-14T05:09:00"/>
    <d v="2015-04-14T05:31:00"/>
    <n v="374"/>
    <n v="423"/>
    <n v="393"/>
    <s v="Burners"/>
    <s v="F7803D Mill - High Burner Temps"/>
    <s v="Mill Creek"/>
    <x v="0"/>
    <s v="Coal"/>
    <x v="2"/>
    <x v="2"/>
    <n v="4"/>
    <n v="0.36666666663950309"/>
    <n v="4.2474389279753312E-2"/>
    <n v="16.692434986943052"/>
    <n v="45.524822695035461"/>
    <x v="10"/>
  </r>
  <r>
    <x v="9"/>
    <x v="0"/>
    <n v="48"/>
    <n v="360"/>
    <d v="2015-04-14T05:54:00"/>
    <d v="2015-04-14T07:06:00"/>
    <n v="370"/>
    <n v="423"/>
    <n v="393"/>
    <s v="Burners"/>
    <s v="F7803D Mill - High Burner Temps"/>
    <s v="Mill Creek"/>
    <x v="0"/>
    <s v="Coal"/>
    <x v="2"/>
    <x v="2"/>
    <n v="4"/>
    <n v="1.1999999998952262"/>
    <n v="0.15035460991595032"/>
    <n v="59.089361696968474"/>
    <n v="49.241134751773046"/>
    <x v="227"/>
  </r>
  <r>
    <x v="9"/>
    <x v="0"/>
    <n v="49"/>
    <n v="385"/>
    <d v="2015-04-21T19:57:00"/>
    <d v="2015-04-21T20:29:00"/>
    <n v="360"/>
    <n v="423"/>
    <n v="393"/>
    <s v="Igniters"/>
    <s v="F400Igniter issues"/>
    <s v="Mill Creek"/>
    <x v="0"/>
    <s v="Coal"/>
    <x v="2"/>
    <x v="2"/>
    <n v="4"/>
    <n v="0.53333333332557231"/>
    <n v="7.9432624112319286E-2"/>
    <n v="31.21702127614148"/>
    <n v="58.531914893617021"/>
    <x v="83"/>
  </r>
  <r>
    <x v="9"/>
    <x v="0"/>
    <n v="50"/>
    <n v="360"/>
    <d v="2015-04-25T06:57:00"/>
    <d v="2015-04-25T08:45:00"/>
    <n v="325"/>
    <n v="423"/>
    <n v="393"/>
    <s v="Burners"/>
    <s v="F7803D Mill Burner Temperature"/>
    <s v="Mill Creek"/>
    <x v="0"/>
    <s v="Coal"/>
    <x v="2"/>
    <x v="2"/>
    <n v="4"/>
    <n v="1.8000000001047738"/>
    <n v="0.41702127662001853"/>
    <n v="163.88936171166728"/>
    <n v="91.049645390070921"/>
    <x v="42"/>
  </r>
  <r>
    <x v="9"/>
    <x v="4"/>
    <n v="51"/>
    <n v="1488"/>
    <d v="2015-05-01T00:22:00"/>
    <d v="2015-05-04T06:12:00"/>
    <n v="0"/>
    <n v="423"/>
    <n v="393"/>
    <s v="Air heater (regenerative)"/>
    <s v="F320Air Pre heater wash"/>
    <s v="Mill Creek"/>
    <x v="2"/>
    <s v="Coal"/>
    <x v="2"/>
    <x v="2"/>
    <n v="5"/>
    <n v="77.833333333313931"/>
    <n v="77.833333333313931"/>
    <n v="30588.499999992375"/>
    <n v="393"/>
    <x v="258"/>
  </r>
  <r>
    <x v="9"/>
    <x v="3"/>
    <n v="52"/>
    <n v="1850"/>
    <d v="2015-05-04T06:12:00"/>
    <d v="2015-05-05T06:12:00"/>
    <n v="0"/>
    <n v="423"/>
    <n v="393"/>
    <s v="Boiler water condition (not feedwater water quality)"/>
    <s v="F170High silica at Warm Start-up"/>
    <s v="Mill Creek"/>
    <x v="1"/>
    <s v="Coal"/>
    <x v="2"/>
    <x v="2"/>
    <n v="5"/>
    <n v="24"/>
    <n v="24"/>
    <n v="9432"/>
    <n v="393"/>
    <x v="258"/>
  </r>
  <r>
    <x v="9"/>
    <x v="0"/>
    <n v="53"/>
    <n v="360"/>
    <d v="2015-05-07T15:12:00"/>
    <d v="2015-05-07T16:06:00"/>
    <n v="330"/>
    <n v="423"/>
    <n v="393"/>
    <s v="Burners"/>
    <s v="F7803D Coal Mill Burner Temps"/>
    <s v="Mill Creek"/>
    <x v="0"/>
    <s v="Coal"/>
    <x v="2"/>
    <x v="2"/>
    <n v="5"/>
    <n v="0.8999999999650754"/>
    <n v="0.19787234041785345"/>
    <n v="77.763829784216412"/>
    <n v="86.40425531914893"/>
    <x v="173"/>
  </r>
  <r>
    <x v="9"/>
    <x v="0"/>
    <n v="54"/>
    <n v="3149"/>
    <d v="2015-05-11T12:00:00"/>
    <d v="2015-05-11T18:22:00"/>
    <n v="400"/>
    <n v="423"/>
    <n v="393"/>
    <s v="Loss of vacuum not attributable to a particular component such as air ejectors or valves; or"/>
    <s v="F660High backpressure"/>
    <s v="Mill Creek"/>
    <x v="0"/>
    <s v="Coal"/>
    <x v="2"/>
    <x v="2"/>
    <n v="5"/>
    <n v="6.3666666666395031"/>
    <n v="0.34617809298512664"/>
    <n v="136.04799054315478"/>
    <n v="21.368794326241133"/>
    <x v="168"/>
  </r>
  <r>
    <x v="9"/>
    <x v="0"/>
    <n v="55"/>
    <n v="1710"/>
    <d v="2015-05-11T18:22:00"/>
    <d v="2015-05-11T20:34:00"/>
    <n v="415"/>
    <n v="423"/>
    <n v="393"/>
    <s v="Combustion/steam condition controls (report local controls --- burners"/>
    <s v="F400Max steam flow"/>
    <s v="Mill Creek"/>
    <x v="0"/>
    <s v="Coal"/>
    <x v="2"/>
    <x v="2"/>
    <n v="5"/>
    <n v="2.2000000000116415"/>
    <n v="4.16075650120405E-2"/>
    <n v="16.351773049731918"/>
    <n v="7.4326241134751774"/>
    <x v="13"/>
  </r>
  <r>
    <x v="9"/>
    <x v="0"/>
    <n v="56"/>
    <n v="3149"/>
    <d v="2015-05-17T15:20:00"/>
    <d v="2015-05-17T18:38:00"/>
    <n v="410"/>
    <n v="423"/>
    <n v="393"/>
    <s v="Loss of vacuum not attributable to a particular component such as air ejectors or valves; or"/>
    <s v="F660High backpressure"/>
    <s v="Mill Creek"/>
    <x v="0"/>
    <s v="Coal"/>
    <x v="2"/>
    <x v="2"/>
    <n v="5"/>
    <n v="3.2999999999301508"/>
    <n v="0.10141843971416539"/>
    <n v="39.857446807666996"/>
    <n v="12.078014184397164"/>
    <x v="24"/>
  </r>
  <r>
    <x v="9"/>
    <x v="5"/>
    <n v="57"/>
    <n v="3661"/>
    <d v="2015-05-31T15:57:00"/>
    <d v="2015-06-01T09:18:00"/>
    <n v="0"/>
    <n v="423"/>
    <n v="393"/>
    <s v="4160-volt circuit breakers"/>
    <s v="FR003A-2 Main Aux. breaker fire"/>
    <s v="Mill Creek"/>
    <x v="3"/>
    <s v="Coal"/>
    <x v="2"/>
    <x v="2"/>
    <n v="5"/>
    <n v="17.349999999976717"/>
    <n v="17.349999999976717"/>
    <n v="6818.5499999908498"/>
    <n v="393"/>
    <x v="258"/>
  </r>
  <r>
    <x v="9"/>
    <x v="3"/>
    <n v="58"/>
    <n v="1850"/>
    <d v="2015-06-01T09:18:00"/>
    <d v="2015-06-01T09:19:00"/>
    <n v="0"/>
    <n v="423"/>
    <n v="393"/>
    <s v="Boiler water condition (not feedwater water quality)"/>
    <s v="F170High Silica @ Hot Start"/>
    <s v="Mill Creek"/>
    <x v="1"/>
    <s v="Coal"/>
    <x v="2"/>
    <x v="2"/>
    <n v="6"/>
    <n v="1.6666666720993817E-2"/>
    <n v="1.6666666720993817E-2"/>
    <n v="6.55000002135057"/>
    <n v="393"/>
    <x v="258"/>
  </r>
  <r>
    <x v="9"/>
    <x v="5"/>
    <n v="59"/>
    <n v="4740"/>
    <d v="2015-06-01T09:19:00"/>
    <d v="2015-06-01T10:22:00"/>
    <n v="0"/>
    <n v="423"/>
    <n v="393"/>
    <s v="Emergency generator trip devices"/>
    <s v="F420Sequential trip"/>
    <s v="Mill Creek"/>
    <x v="3"/>
    <s v="Coal"/>
    <x v="2"/>
    <x v="2"/>
    <n v="6"/>
    <n v="1.0499999999301508"/>
    <n v="1.0499999999301508"/>
    <n v="412.64999997254927"/>
    <n v="393"/>
    <x v="258"/>
  </r>
  <r>
    <x v="9"/>
    <x v="3"/>
    <n v="60"/>
    <n v="1850"/>
    <d v="2015-06-01T10:22:00"/>
    <d v="2015-06-01T13:00:00"/>
    <n v="0"/>
    <n v="423"/>
    <n v="393"/>
    <s v="Boiler water condition (not feedwater water quality)"/>
    <s v="F170High Silica @ hot start"/>
    <s v="Mill Creek"/>
    <x v="1"/>
    <s v="Coal"/>
    <x v="2"/>
    <x v="2"/>
    <n v="6"/>
    <n v="2.6333333333604969"/>
    <n v="2.6333333333604969"/>
    <n v="1034.9000000106753"/>
    <n v="393"/>
    <x v="258"/>
  </r>
  <r>
    <x v="9"/>
    <x v="0"/>
    <n v="61"/>
    <n v="3661"/>
    <d v="2015-06-01T13:00:00"/>
    <d v="2015-06-03T16:12:00"/>
    <n v="210"/>
    <n v="423"/>
    <n v="393"/>
    <s v="4160-volt circuit breakers"/>
    <s v="F5903A - 2 Main Aux Breaker work"/>
    <s v="Mill Creek"/>
    <x v="0"/>
    <s v="Coal"/>
    <x v="2"/>
    <x v="2"/>
    <n v="6"/>
    <n v="51.200000000128057"/>
    <n v="25.781560283752427"/>
    <n v="10132.153191514704"/>
    <n v="197.89361702127658"/>
    <x v="268"/>
  </r>
  <r>
    <x v="9"/>
    <x v="0"/>
    <n v="62"/>
    <n v="3661"/>
    <d v="2015-06-03T16:12:00"/>
    <d v="2015-06-04T03:13:00"/>
    <n v="175"/>
    <n v="423"/>
    <n v="393"/>
    <s v="4160-volt circuit breakers"/>
    <s v="F5903A-2 Main Aux Breaker work"/>
    <s v="Mill Creek"/>
    <x v="0"/>
    <s v="Coal"/>
    <x v="2"/>
    <x v="2"/>
    <n v="6"/>
    <n v="11.016666666604578"/>
    <n v="6.4589440503970108"/>
    <n v="2538.3650118060254"/>
    <n v="230.41134751773049"/>
    <x v="188"/>
  </r>
  <r>
    <x v="9"/>
    <x v="0"/>
    <n v="63"/>
    <n v="3210"/>
    <d v="2015-06-04T03:13:00"/>
    <d v="2015-06-04T04:02:00"/>
    <n v="330"/>
    <n v="423"/>
    <n v="393"/>
    <s v="Circulating water pumps"/>
    <s v="F5903A Cooling Tower pump"/>
    <s v="Mill Creek"/>
    <x v="0"/>
    <s v="Coal"/>
    <x v="2"/>
    <x v="2"/>
    <n v="6"/>
    <n v="0.81666666670935228"/>
    <n v="0.17955082743255263"/>
    <n v="70.56347518099318"/>
    <n v="86.40425531914893"/>
    <x v="173"/>
  </r>
  <r>
    <x v="9"/>
    <x v="0"/>
    <n v="64"/>
    <n v="8580"/>
    <d v="2015-06-08T06:55:00"/>
    <d v="2015-06-08T20:20:00"/>
    <n v="290"/>
    <n v="423"/>
    <n v="393"/>
    <s v="Mechanical precipitator problems"/>
    <s v="F590&quot;A&quot; Side precipitator hopper full"/>
    <s v="Mill Creek"/>
    <x v="0"/>
    <s v="Coal"/>
    <x v="2"/>
    <x v="2"/>
    <n v="6"/>
    <n v="13.416666666569654"/>
    <n v="4.2184791173847849"/>
    <n v="1657.8622931322204"/>
    <n v="123.56737588652483"/>
    <x v="236"/>
  </r>
  <r>
    <x v="9"/>
    <x v="4"/>
    <n v="65"/>
    <n v="8550"/>
    <d v="2015-06-12T22:19:00"/>
    <d v="2015-06-15T06:27:00"/>
    <n v="0"/>
    <n v="423"/>
    <n v="393"/>
    <s v="Electrostatic precipitator fouling"/>
    <s v="F3203A Precipitator - Clean Hopper"/>
    <s v="Mill Creek"/>
    <x v="2"/>
    <s v="Coal"/>
    <x v="2"/>
    <x v="2"/>
    <n v="6"/>
    <n v="56.133333333476912"/>
    <n v="56.133333333476912"/>
    <n v="22060.400000056427"/>
    <n v="393"/>
    <x v="258"/>
  </r>
  <r>
    <x v="9"/>
    <x v="3"/>
    <n v="66"/>
    <n v="1850"/>
    <d v="2015-06-15T06:27:00"/>
    <d v="2015-06-15T18:37:00"/>
    <n v="0"/>
    <n v="423"/>
    <n v="393"/>
    <s v="Boiler water condition (not feedwater water quality)"/>
    <s v="F170High Silica @ Warm Start Up"/>
    <s v="Mill Creek"/>
    <x v="1"/>
    <s v="Coal"/>
    <x v="2"/>
    <x v="2"/>
    <n v="6"/>
    <n v="12.166666666511446"/>
    <n v="12.166666666511446"/>
    <n v="4781.4999999389984"/>
    <n v="393"/>
    <x v="258"/>
  </r>
  <r>
    <x v="9"/>
    <x v="0"/>
    <n v="67"/>
    <n v="1455"/>
    <d v="2015-06-15T22:58:00"/>
    <d v="2015-06-16T10:39:00"/>
    <n v="400"/>
    <n v="423"/>
    <n v="393"/>
    <s v="Induced draft fans"/>
    <s v="F400Induced Draft Fans - Maxed Out"/>
    <s v="Mill Creek"/>
    <x v="0"/>
    <s v="Coal"/>
    <x v="2"/>
    <x v="2"/>
    <n v="6"/>
    <n v="11.683333333348855"/>
    <n v="0.6352639873924909"/>
    <n v="249.65874704524893"/>
    <n v="21.368794326241133"/>
    <x v="168"/>
  </r>
  <r>
    <x v="9"/>
    <x v="4"/>
    <n v="68"/>
    <n v="8550"/>
    <d v="2015-06-17T09:41:00"/>
    <d v="2015-06-21T20:12:00"/>
    <n v="0"/>
    <n v="423"/>
    <n v="393"/>
    <s v="Electrostatic precipitator fouling"/>
    <s v="F320Precipitator Hoppers - Clean Out"/>
    <s v="Mill Creek"/>
    <x v="2"/>
    <s v="Coal"/>
    <x v="2"/>
    <x v="2"/>
    <n v="6"/>
    <n v="106.51666666672099"/>
    <n v="106.51666666672099"/>
    <n v="41861.050000021351"/>
    <n v="393"/>
    <x v="258"/>
  </r>
  <r>
    <x v="9"/>
    <x v="3"/>
    <n v="69"/>
    <n v="1850"/>
    <d v="2015-06-21T20:12:00"/>
    <d v="2015-06-22T12:05:00"/>
    <n v="0"/>
    <n v="423"/>
    <n v="393"/>
    <s v="Boiler water condition (not feedwater water quality)"/>
    <s v="F170High Silica @ Cold Start"/>
    <s v="Mill Creek"/>
    <x v="1"/>
    <s v="Coal"/>
    <x v="2"/>
    <x v="2"/>
    <n v="6"/>
    <n v="15.883333333244082"/>
    <n v="15.883333333244082"/>
    <n v="6242.1499999649241"/>
    <n v="393"/>
    <x v="258"/>
  </r>
  <r>
    <x v="9"/>
    <x v="5"/>
    <n v="70"/>
    <n v="3220"/>
    <d v="2015-06-22T12:05:00"/>
    <d v="2015-06-22T14:32:00"/>
    <n v="0"/>
    <n v="423"/>
    <n v="393"/>
    <s v="Circulating water piping"/>
    <s v="F820Cooling tower pump trip"/>
    <s v="Mill Creek"/>
    <x v="3"/>
    <s v="Coal"/>
    <x v="2"/>
    <x v="2"/>
    <n v="6"/>
    <n v="2.4500000001280569"/>
    <n v="2.4500000001280569"/>
    <n v="962.85000005032634"/>
    <n v="393"/>
    <x v="258"/>
  </r>
  <r>
    <x v="9"/>
    <x v="3"/>
    <n v="71"/>
    <n v="1850"/>
    <d v="2015-06-22T14:32:00"/>
    <d v="2015-06-22T20:43:00"/>
    <n v="0"/>
    <n v="423"/>
    <n v="393"/>
    <s v="Boiler water condition (not feedwater water quality)"/>
    <s v="F170High silica @ Cold start"/>
    <s v="Mill Creek"/>
    <x v="1"/>
    <s v="Coal"/>
    <x v="2"/>
    <x v="2"/>
    <n v="6"/>
    <n v="6.1833333332324401"/>
    <n v="6.1833333332324401"/>
    <n v="2430.0499999603489"/>
    <n v="393"/>
    <x v="258"/>
  </r>
  <r>
    <x v="9"/>
    <x v="3"/>
    <n v="72"/>
    <n v="8548"/>
    <d v="2015-06-23T11:08:00"/>
    <d v="2015-06-23T17:46:00"/>
    <n v="0"/>
    <n v="423"/>
    <n v="393"/>
    <s v="Testing B"/>
    <s v="F790Full Load testing"/>
    <s v="Mill Creek"/>
    <x v="1"/>
    <s v="Coal"/>
    <x v="2"/>
    <x v="2"/>
    <n v="6"/>
    <n v="6.6333333333022892"/>
    <n v="6.6333333333022892"/>
    <n v="2606.8999999877997"/>
    <n v="393"/>
    <x v="258"/>
  </r>
  <r>
    <x v="9"/>
    <x v="3"/>
    <n v="73"/>
    <n v="1160"/>
    <d v="2015-06-23T23:30:00"/>
    <d v="2015-06-24T05:13:00"/>
    <n v="0"/>
    <n v="423"/>
    <n v="393"/>
    <s v="First reheater B"/>
    <s v="F320Boiler deslag - Load available if needed"/>
    <s v="Mill Creek"/>
    <x v="1"/>
    <s v="Coal"/>
    <x v="2"/>
    <x v="2"/>
    <n v="6"/>
    <n v="5.716666666790843"/>
    <n v="5.716666666790843"/>
    <n v="2246.6500000488013"/>
    <n v="393"/>
    <x v="258"/>
  </r>
  <r>
    <x v="9"/>
    <x v="3"/>
    <n v="74"/>
    <n v="8817"/>
    <d v="2015-06-24T10:00:00"/>
    <d v="2015-06-24T17:24:00"/>
    <n v="0"/>
    <n v="423"/>
    <n v="393"/>
    <s v="SCR NOx Control system"/>
    <s v="F790Full load SCR testing"/>
    <s v="Mill Creek"/>
    <x v="1"/>
    <s v="Coal"/>
    <x v="2"/>
    <x v="2"/>
    <n v="6"/>
    <n v="7.4000000000232831"/>
    <n v="7.4000000000232831"/>
    <n v="2908.2000000091502"/>
    <n v="393"/>
    <x v="258"/>
  </r>
  <r>
    <x v="9"/>
    <x v="3"/>
    <n v="75"/>
    <n v="8817"/>
    <d v="2015-06-24T17:43:00"/>
    <d v="2015-06-24T18:30:00"/>
    <n v="0"/>
    <n v="423"/>
    <n v="393"/>
    <s v="SCR NOx Control system"/>
    <s v="F790Full load SCR Testing"/>
    <s v="Mill Creek"/>
    <x v="1"/>
    <s v="Coal"/>
    <x v="2"/>
    <x v="2"/>
    <n v="6"/>
    <n v="0.78333333344198763"/>
    <n v="0.78333333344198763"/>
    <n v="307.85000004270114"/>
    <n v="393"/>
    <x v="258"/>
  </r>
  <r>
    <x v="9"/>
    <x v="2"/>
    <n v="76"/>
    <n v="1999"/>
    <d v="2015-06-24T22:00:00"/>
    <d v="2015-06-25T04:47:00"/>
    <n v="200"/>
    <n v="423"/>
    <n v="393"/>
    <s v="Boiler"/>
    <s v="F5903A Superheater reg. valve flange replacement"/>
    <s v="Mill Creek"/>
    <x v="0"/>
    <s v="Coal"/>
    <x v="2"/>
    <x v="2"/>
    <n v="6"/>
    <n v="6.7833333334419876"/>
    <n v="3.5760835303961307"/>
    <n v="1405.4008274456794"/>
    <n v="207.18439716312056"/>
    <x v="144"/>
  </r>
  <r>
    <x v="9"/>
    <x v="0"/>
    <n v="77"/>
    <n v="8426"/>
    <d v="2015-06-26T10:41:00"/>
    <d v="2015-06-26T11:02:00"/>
    <n v="300"/>
    <n v="423"/>
    <n v="393"/>
    <s v="Miscellaneous electrical failures"/>
    <s v="F820Oxidation air compressor trip - bad contact"/>
    <s v="Mill Creek"/>
    <x v="0"/>
    <s v="Coal"/>
    <x v="2"/>
    <x v="2"/>
    <n v="6"/>
    <n v="0.34999999991850927"/>
    <n v="0.10177304962169419"/>
    <n v="39.996808501325816"/>
    <n v="114.27659574468085"/>
    <x v="46"/>
  </r>
  <r>
    <x v="9"/>
    <x v="0"/>
    <n v="78"/>
    <n v="8426"/>
    <d v="2015-06-26T11:02:00"/>
    <d v="2015-06-26T13:02:00"/>
    <n v="200"/>
    <n v="423"/>
    <n v="393"/>
    <s v="Miscellaneous electrical failures"/>
    <s v="F820Oxidation air compressor trip - bad contact"/>
    <s v="Mill Creek"/>
    <x v="0"/>
    <s v="Coal"/>
    <x v="2"/>
    <x v="2"/>
    <n v="6"/>
    <n v="2.0000000000582077"/>
    <n v="1.0543735224893152"/>
    <n v="414.36879433830086"/>
    <n v="207.18439716312056"/>
    <x v="144"/>
  </r>
  <r>
    <x v="9"/>
    <x v="4"/>
    <n v="79"/>
    <n v="8550"/>
    <d v="2015-06-30T22:16:00"/>
    <d v="2015-07-06T05:52:00"/>
    <n v="0"/>
    <n v="423"/>
    <n v="393"/>
    <s v="Electrostatic precipitator fouling"/>
    <s v="F320Precipitator hoppers - clean out"/>
    <s v="Mill Creek"/>
    <x v="2"/>
    <s v="Coal"/>
    <x v="2"/>
    <x v="2"/>
    <n v="6"/>
    <n v="127.59999999997672"/>
    <n v="127.59999999997672"/>
    <n v="50146.79999999085"/>
    <n v="393"/>
    <x v="258"/>
  </r>
  <r>
    <x v="9"/>
    <x v="3"/>
    <n v="80"/>
    <n v="1850"/>
    <d v="2015-07-06T05:52:00"/>
    <d v="2015-07-06T22:20:00"/>
    <n v="0"/>
    <n v="423"/>
    <n v="393"/>
    <s v="Boiler water condition (not feedwater water quality)"/>
    <s v="F170High silica @ cold start"/>
    <s v="Mill Creek"/>
    <x v="1"/>
    <s v="Coal"/>
    <x v="2"/>
    <x v="2"/>
    <n v="7"/>
    <n v="16.466666666732635"/>
    <n v="16.466666666732635"/>
    <n v="6471.4000000259257"/>
    <n v="393"/>
    <x v="258"/>
  </r>
  <r>
    <x v="9"/>
    <x v="0"/>
    <n v="81"/>
    <n v="260"/>
    <d v="2015-07-06T22:20:00"/>
    <d v="2015-07-08T01:23:00"/>
    <n v="350"/>
    <n v="423"/>
    <n v="393"/>
    <s v="Primary air fan"/>
    <s v="F7803C PA Fan inboard bearing temp - bad bearing"/>
    <s v="Mill Creek"/>
    <x v="0"/>
    <s v="Coal"/>
    <x v="2"/>
    <x v="2"/>
    <n v="7"/>
    <n v="27.049999999988358"/>
    <n v="4.6682033096906626"/>
    <n v="1834.6039007084303"/>
    <n v="67.822695035460995"/>
    <x v="208"/>
  </r>
  <r>
    <x v="9"/>
    <x v="0"/>
    <n v="82"/>
    <n v="8040"/>
    <d v="2015-07-13T09:15:00"/>
    <d v="2015-07-13T10:48:00"/>
    <n v="350"/>
    <n v="423"/>
    <n v="393"/>
    <s v="Slurry transfer pumps and motors B"/>
    <s v="F120Reatant Feed Line - Pluggage on Regulator"/>
    <s v="Mill Creek"/>
    <x v="0"/>
    <s v="Coal"/>
    <x v="2"/>
    <x v="2"/>
    <n v="7"/>
    <n v="1.5499999999883585"/>
    <n v="0.26749408983250633"/>
    <n v="105.12517730417498"/>
    <n v="67.822695035460995"/>
    <x v="208"/>
  </r>
  <r>
    <x v="9"/>
    <x v="0"/>
    <n v="83"/>
    <n v="1450"/>
    <d v="2015-07-13T10:48:00"/>
    <d v="2015-07-13T14:30:00"/>
    <n v="400"/>
    <n v="423"/>
    <n v="393"/>
    <s v="Other air supply problems"/>
    <s v="F400Boiler Air Flow Issues - Controls"/>
    <s v="Mill Creek"/>
    <x v="0"/>
    <s v="Coal"/>
    <x v="2"/>
    <x v="2"/>
    <n v="7"/>
    <n v="3.7000000000116415"/>
    <n v="0.20118203309755969"/>
    <n v="79.064539007340954"/>
    <n v="21.368794326241133"/>
    <x v="168"/>
  </r>
  <r>
    <x v="9"/>
    <x v="3"/>
    <n v="84"/>
    <n v="9999"/>
    <d v="2015-07-16T08:30:00"/>
    <d v="2015-07-16T15:57:00"/>
    <n v="0"/>
    <n v="423"/>
    <n v="393"/>
    <s v="Total unit performance testing (use appropriate codes for individual component testing)"/>
    <s v="F790Summer Full Load Capability Test"/>
    <s v="Mill Creek"/>
    <x v="1"/>
    <s v="Coal"/>
    <x v="2"/>
    <x v="2"/>
    <n v="7"/>
    <n v="7.4500000000116415"/>
    <n v="7.4500000000116415"/>
    <n v="2927.8500000045751"/>
    <n v="393"/>
    <x v="258"/>
  </r>
  <r>
    <x v="9"/>
    <x v="0"/>
    <n v="85"/>
    <n v="380"/>
    <d v="2015-07-19T09:08:00"/>
    <d v="2015-07-19T09:19:00"/>
    <n v="230"/>
    <n v="423"/>
    <n v="393"/>
    <s v="Light-off (igniter) systems (including fuel supply)"/>
    <s v="F4003D5 Igniter would not go in"/>
    <s v="Mill Creek"/>
    <x v="0"/>
    <s v="Coal"/>
    <x v="2"/>
    <x v="2"/>
    <n v="7"/>
    <n v="0.18333333323244005"/>
    <n v="8.3648542113146401E-2"/>
    <n v="32.873877050466533"/>
    <n v="179.31205673758865"/>
    <x v="93"/>
  </r>
  <r>
    <x v="9"/>
    <x v="0"/>
    <n v="86"/>
    <n v="380"/>
    <d v="2015-07-19T10:00:00"/>
    <d v="2015-07-19T12:26:00"/>
    <n v="360"/>
    <n v="423"/>
    <n v="393"/>
    <s v="Light-off (igniter) systems (including fuel supply)"/>
    <s v="F4003D5 igniter work"/>
    <s v="Mill Creek"/>
    <x v="0"/>
    <s v="Coal"/>
    <x v="2"/>
    <x v="2"/>
    <n v="7"/>
    <n v="2.433333333407063"/>
    <n v="0.36241134752871151"/>
    <n v="142.42765957878362"/>
    <n v="58.531914893617021"/>
    <x v="83"/>
  </r>
  <r>
    <x v="9"/>
    <x v="0"/>
    <n v="87"/>
    <n v="250"/>
    <d v="2015-07-25T08:53:00"/>
    <d v="2015-07-25T09:06:00"/>
    <n v="365"/>
    <n v="423"/>
    <n v="393"/>
    <s v="Pulverizer feeders"/>
    <s v="F1203D Coal Feeder - No coal flow at feeder intlet, coal flow issue"/>
    <s v="Mill Creek"/>
    <x v="0"/>
    <s v="Coal"/>
    <x v="2"/>
    <x v="2"/>
    <n v="7"/>
    <n v="0.21666666667442769"/>
    <n v="2.9708431837155571E-2"/>
    <n v="11.67541371200214"/>
    <n v="53.886524822695037"/>
    <x v="158"/>
  </r>
  <r>
    <x v="9"/>
    <x v="0"/>
    <n v="88"/>
    <n v="3149"/>
    <d v="2015-07-26T17:32:00"/>
    <d v="2015-07-26T19:15:00"/>
    <n v="410"/>
    <n v="423"/>
    <n v="393"/>
    <s v="Loss of vacuum not attributable to a particular component such as air ejectors or valves; or"/>
    <s v="F660High Backpressure"/>
    <s v="Mill Creek"/>
    <x v="0"/>
    <s v="Coal"/>
    <x v="2"/>
    <x v="2"/>
    <n v="7"/>
    <n v="1.7166666666744277"/>
    <n v="5.275807722640085E-2"/>
    <n v="20.733924349975535"/>
    <n v="12.078014184397164"/>
    <x v="24"/>
  </r>
  <r>
    <x v="9"/>
    <x v="0"/>
    <n v="89"/>
    <n v="3240"/>
    <d v="2015-08-06T07:19:00"/>
    <d v="2015-08-06T08:07:00"/>
    <n v="200"/>
    <n v="423"/>
    <n v="393"/>
    <s v="Cooling tower fans"/>
    <s v="F820Cooling Tower Fan Bus Trip"/>
    <s v="Mill Creek"/>
    <x v="0"/>
    <s v="Coal"/>
    <x v="2"/>
    <x v="2"/>
    <n v="8"/>
    <n v="0.79999999998835847"/>
    <n v="0.42174940897731428"/>
    <n v="165.74751772808452"/>
    <n v="207.18439716312056"/>
    <x v="144"/>
  </r>
  <r>
    <x v="9"/>
    <x v="0"/>
    <n v="90"/>
    <n v="3240"/>
    <d v="2015-08-06T08:07:00"/>
    <d v="2015-08-06T09:25:00"/>
    <n v="300"/>
    <n v="423"/>
    <n v="393"/>
    <s v="Cooling tower fans"/>
    <s v="F820Cooling Tower Fan Bus Trip"/>
    <s v="Mill Creek"/>
    <x v="0"/>
    <s v="Coal"/>
    <x v="2"/>
    <x v="2"/>
    <n v="8"/>
    <n v="1.3000000000465661"/>
    <n v="0.37801418441070361"/>
    <n v="148.55957447340651"/>
    <n v="114.27659574468085"/>
    <x v="46"/>
  </r>
  <r>
    <x v="9"/>
    <x v="0"/>
    <n v="91"/>
    <n v="3240"/>
    <d v="2015-08-06T09:25:00"/>
    <d v="2015-08-06T14:45:00"/>
    <n v="360"/>
    <n v="423"/>
    <n v="393"/>
    <s v="Cooling tower fans"/>
    <s v="F820Cooling Tower Fan Bus Trip"/>
    <s v="Mill Creek"/>
    <x v="0"/>
    <s v="Coal"/>
    <x v="2"/>
    <x v="2"/>
    <n v="8"/>
    <n v="5.3333333334303461"/>
    <n v="0.79432624114920047"/>
    <n v="312.17021277163576"/>
    <n v="58.531914893617021"/>
    <x v="83"/>
  </r>
  <r>
    <x v="9"/>
    <x v="0"/>
    <n v="92"/>
    <n v="3240"/>
    <d v="2015-08-06T14:45:00"/>
    <d v="2015-08-07T18:58:00"/>
    <n v="350"/>
    <n v="423"/>
    <n v="393"/>
    <s v="Cooling tower fans"/>
    <s v="F590Cooling Tower Fans D,F &amp; H Out of Service - Electrical Issues"/>
    <s v="Mill Creek"/>
    <x v="0"/>
    <s v="Coal"/>
    <x v="2"/>
    <x v="2"/>
    <n v="8"/>
    <n v="28.21666666661622"/>
    <n v="4.8695429471938159"/>
    <n v="1913.7303782471697"/>
    <n v="67.822695035460995"/>
    <x v="208"/>
  </r>
  <r>
    <x v="9"/>
    <x v="0"/>
    <n v="93"/>
    <n v="3149"/>
    <d v="2015-08-10T19:39:00"/>
    <d v="2015-08-10T23:58:00"/>
    <n v="396"/>
    <n v="423"/>
    <n v="393"/>
    <s v="Loss of vacuum not attributable to a particular component such as air ejectors or valves; or"/>
    <s v="F660High Back Pressure - Cooling Tower H Fan VFD Fault"/>
    <s v="Mill Creek"/>
    <x v="0"/>
    <s v="Coal"/>
    <x v="2"/>
    <x v="2"/>
    <n v="8"/>
    <n v="4.3166666667675599"/>
    <n v="0.27553191490005702"/>
    <n v="108.28404255572241"/>
    <n v="25.085106382978722"/>
    <x v="80"/>
  </r>
  <r>
    <x v="9"/>
    <x v="0"/>
    <n v="94"/>
    <n v="3149"/>
    <d v="2015-08-11T12:06:00"/>
    <d v="2015-08-11T13:44:00"/>
    <n v="390"/>
    <n v="423"/>
    <n v="393"/>
    <s v="Loss of vacuum not attributable to a particular component such as air ejectors or valves; or"/>
    <s v="F660High Back Pressure - Cooling Tower H Fan Out of Service"/>
    <s v="Mill Creek"/>
    <x v="0"/>
    <s v="Coal"/>
    <x v="2"/>
    <x v="2"/>
    <n v="8"/>
    <n v="1.6333333334187046"/>
    <n v="0.12742316785535993"/>
    <n v="50.077304967156451"/>
    <n v="30.659574468085108"/>
    <x v="246"/>
  </r>
  <r>
    <x v="9"/>
    <x v="3"/>
    <n v="95"/>
    <n v="3623"/>
    <d v="2015-08-12T12:00:00"/>
    <d v="2015-08-12T14:12:00"/>
    <n v="0"/>
    <n v="423"/>
    <n v="393"/>
    <s v="Auxiliary generators"/>
    <s v="F790VAR Testing"/>
    <s v="Mill Creek"/>
    <x v="1"/>
    <s v="Coal"/>
    <x v="2"/>
    <x v="2"/>
    <n v="8"/>
    <n v="2.2000000000116415"/>
    <n v="2.2000000000116415"/>
    <n v="864.60000000457512"/>
    <n v="393"/>
    <x v="258"/>
  </r>
  <r>
    <x v="9"/>
    <x v="2"/>
    <n v="96"/>
    <n v="3240"/>
    <d v="2015-08-13T21:00:00"/>
    <d v="2015-08-14T05:11:00"/>
    <n v="180"/>
    <n v="423"/>
    <n v="393"/>
    <s v="Cooling tower fans"/>
    <s v="F590Cooling Tower Fan H - Breaker Issue"/>
    <s v="Mill Creek"/>
    <x v="0"/>
    <s v="Coal"/>
    <x v="2"/>
    <x v="2"/>
    <n v="8"/>
    <n v="8.1833333332906477"/>
    <n v="4.7010638297627123"/>
    <n v="1847.5180850967458"/>
    <n v="225.7659574468085"/>
    <x v="270"/>
  </r>
  <r>
    <x v="9"/>
    <x v="0"/>
    <n v="97"/>
    <n v="3149"/>
    <d v="2015-08-19T14:11:00"/>
    <d v="2015-08-19T15:53:00"/>
    <n v="400"/>
    <n v="423"/>
    <n v="393"/>
    <s v="Loss of vacuum not attributable to a particular component such as air ejectors or valves; or"/>
    <s v="F660High Back Pressure - Cooling Tower H Fan Out of Service"/>
    <s v="Mill Creek"/>
    <x v="0"/>
    <s v="Coal"/>
    <x v="2"/>
    <x v="2"/>
    <n v="8"/>
    <n v="1.7000000001280569"/>
    <n v="9.2434988186631928E-2"/>
    <n v="36.326950357346348"/>
    <n v="21.368794326241133"/>
    <x v="168"/>
  </r>
  <r>
    <x v="9"/>
    <x v="2"/>
    <n v="98"/>
    <n v="310"/>
    <d v="2015-08-19T23:00:00"/>
    <d v="2015-08-20T06:01:00"/>
    <n v="350"/>
    <n v="423"/>
    <n v="393"/>
    <s v="Pulverizer mills"/>
    <s v="F5903C Coal Mill - Inspection &amp; Roller Repair"/>
    <s v="Mill Creek"/>
    <x v="0"/>
    <s v="Coal"/>
    <x v="2"/>
    <x v="2"/>
    <n v="8"/>
    <n v="7.0166666666627862"/>
    <n v="1.2109141055942869"/>
    <n v="475.88924349855478"/>
    <n v="67.822695035460995"/>
    <x v="208"/>
  </r>
  <r>
    <x v="9"/>
    <x v="2"/>
    <n v="99"/>
    <n v="3240"/>
    <d v="2015-08-22T00:00:00"/>
    <d v="2015-08-22T05:11:00"/>
    <n v="200"/>
    <n v="423"/>
    <n v="393"/>
    <s v="Cooling tower fans"/>
    <s v="F590Cooling Tower Fan H - Breaker Maintenance"/>
    <s v="Mill Creek"/>
    <x v="0"/>
    <s v="Coal"/>
    <x v="2"/>
    <x v="2"/>
    <n v="8"/>
    <n v="5.1833333332906477"/>
    <n v="2.7325847123494431"/>
    <n v="1073.9057919533311"/>
    <n v="207.18439716312056"/>
    <x v="144"/>
  </r>
  <r>
    <x v="9"/>
    <x v="2"/>
    <n v="100"/>
    <n v="250"/>
    <d v="2015-08-24T22:00:00"/>
    <d v="2015-08-25T04:30:00"/>
    <n v="325"/>
    <n v="423"/>
    <n v="393"/>
    <s v="Pulverizer feeders"/>
    <s v="F5903B Coal Feeder - Repair Discharge Flood Flapper"/>
    <s v="Mill Creek"/>
    <x v="0"/>
    <s v="Coal"/>
    <x v="2"/>
    <x v="2"/>
    <n v="8"/>
    <n v="6.5000000000582077"/>
    <n v="1.5059101654981191"/>
    <n v="591.82269504076078"/>
    <n v="91.049645390070921"/>
    <x v="42"/>
  </r>
  <r>
    <x v="9"/>
    <x v="2"/>
    <n v="101"/>
    <n v="3240"/>
    <d v="2015-08-25T20:00:00"/>
    <d v="2015-08-26T03:25:00"/>
    <n v="300"/>
    <n v="423"/>
    <n v="393"/>
    <s v="Cooling tower fans"/>
    <s v="F590Cooling Tower H Fan - Switchgear Repair"/>
    <s v="Mill Creek"/>
    <x v="0"/>
    <s v="Coal"/>
    <x v="2"/>
    <x v="2"/>
    <n v="8"/>
    <n v="7.4166666665696539"/>
    <n v="2.1566193853145803"/>
    <n v="847.55141842863009"/>
    <n v="114.27659574468085"/>
    <x v="46"/>
  </r>
  <r>
    <x v="9"/>
    <x v="0"/>
    <n v="102"/>
    <n v="360"/>
    <d v="2015-08-28T11:49:00"/>
    <d v="2015-08-28T13:42:00"/>
    <n v="325"/>
    <n v="423"/>
    <n v="393"/>
    <s v="Burners"/>
    <s v="F7803D10 Coal Mill Burner - High Temperature"/>
    <s v="Mill Creek"/>
    <x v="0"/>
    <s v="Coal"/>
    <x v="2"/>
    <x v="2"/>
    <n v="8"/>
    <n v="1.8833333333604969"/>
    <n v="0.43632781718517422"/>
    <n v="171.47683215377347"/>
    <n v="91.049645390070921"/>
    <x v="42"/>
  </r>
  <r>
    <x v="9"/>
    <x v="5"/>
    <n v="103"/>
    <n v="3412"/>
    <d v="2015-08-31T04:23:00"/>
    <d v="2015-08-31T05:46:00"/>
    <n v="0"/>
    <n v="423"/>
    <n v="393"/>
    <s v="Feedwater pump drive - steam turbine"/>
    <s v="F820Boiler Feed Pump Turbine Driven - Tripped, HMI Failure"/>
    <s v="Mill Creek"/>
    <x v="3"/>
    <s v="Coal"/>
    <x v="2"/>
    <x v="2"/>
    <n v="8"/>
    <n v="1.3833333333022892"/>
    <n v="1.3833333333022892"/>
    <n v="543.64999998779967"/>
    <n v="393"/>
    <x v="258"/>
  </r>
  <r>
    <x v="9"/>
    <x v="3"/>
    <n v="104"/>
    <n v="1850"/>
    <d v="2015-08-31T05:46:00"/>
    <d v="2015-08-31T14:09:00"/>
    <n v="0"/>
    <n v="423"/>
    <n v="393"/>
    <s v="Boiler water condition (not feedwater water quality)"/>
    <s v="F170High Silica @ Very Hot Start Up"/>
    <s v="Mill Creek"/>
    <x v="1"/>
    <s v="Coal"/>
    <x v="2"/>
    <x v="2"/>
    <n v="8"/>
    <n v="8.3833333334187046"/>
    <n v="8.3833333334187046"/>
    <n v="3294.6500000335509"/>
    <n v="393"/>
    <x v="258"/>
  </r>
  <r>
    <x v="9"/>
    <x v="0"/>
    <n v="105"/>
    <n v="310"/>
    <d v="2015-09-16T16:23:00"/>
    <d v="2015-09-17T16:52:00"/>
    <n v="340"/>
    <n v="423"/>
    <n v="393"/>
    <s v="Pulverizer mills"/>
    <s v="F5903C Coal Mill Primary Air Fan - Replace Inboard Bearing"/>
    <s v="Mill Creek"/>
    <x v="0"/>
    <s v="Coal"/>
    <x v="2"/>
    <x v="2"/>
    <n v="9"/>
    <n v="24.483333333337214"/>
    <n v="4.8040583136335435"/>
    <n v="1887.9949172579827"/>
    <n v="77.113475177304963"/>
    <x v="128"/>
  </r>
  <r>
    <x v="9"/>
    <x v="4"/>
    <n v="106"/>
    <n v="1050"/>
    <d v="2015-09-18T18:54:00"/>
    <d v="2015-09-23T08:10:00"/>
    <n v="0"/>
    <n v="423"/>
    <n v="393"/>
    <s v="Second superheater B"/>
    <s v="F540Boiler Tube Leak - Secondary Superheat"/>
    <s v="Mill Creek"/>
    <x v="2"/>
    <s v="Coal"/>
    <x v="2"/>
    <x v="2"/>
    <n v="9"/>
    <n v="109.2666666667792"/>
    <n v="109.2666666667792"/>
    <n v="42941.800000044226"/>
    <n v="393"/>
    <x v="258"/>
  </r>
  <r>
    <x v="9"/>
    <x v="3"/>
    <n v="107"/>
    <n v="1850"/>
    <d v="2015-09-23T08:10:00"/>
    <d v="2015-09-24T01:31:00"/>
    <n v="0"/>
    <n v="423"/>
    <n v="393"/>
    <s v="Boiler water condition (not feedwater water quality)"/>
    <s v="F170High Silica @ Cold Start Up"/>
    <s v="Mill Creek"/>
    <x v="1"/>
    <s v="Coal"/>
    <x v="2"/>
    <x v="2"/>
    <n v="9"/>
    <n v="17.349999999976717"/>
    <n v="17.349999999976717"/>
    <n v="6818.5499999908498"/>
    <n v="393"/>
    <x v="258"/>
  </r>
  <r>
    <x v="9"/>
    <x v="3"/>
    <n v="108"/>
    <n v="8700"/>
    <d v="2015-09-29T04:00:00"/>
    <d v="2015-09-29T07:40:00"/>
    <n v="0"/>
    <n v="423"/>
    <n v="393"/>
    <s v="CEMS Certification and Recertification"/>
    <s v="F790RATA Test @ 300 MW"/>
    <s v="Mill Creek"/>
    <x v="1"/>
    <s v="Coal"/>
    <x v="2"/>
    <x v="2"/>
    <n v="9"/>
    <n v="3.6666666667442769"/>
    <n v="3.6666666667442769"/>
    <n v="1441.0000000305008"/>
    <n v="393"/>
    <x v="258"/>
  </r>
  <r>
    <x v="9"/>
    <x v="3"/>
    <n v="109"/>
    <n v="8700"/>
    <d v="2015-09-29T07:40:00"/>
    <d v="2015-09-29T14:10:00"/>
    <n v="0"/>
    <n v="423"/>
    <n v="393"/>
    <s v="CEMS Certification and Recertification"/>
    <s v="F790RATA Test @ Full Load"/>
    <s v="Mill Creek"/>
    <x v="1"/>
    <s v="Coal"/>
    <x v="2"/>
    <x v="2"/>
    <n v="9"/>
    <n v="6.5000000000582077"/>
    <n v="6.5000000000582077"/>
    <n v="2554.5000000228756"/>
    <n v="393"/>
    <x v="258"/>
  </r>
  <r>
    <x v="9"/>
    <x v="3"/>
    <n v="110"/>
    <n v="8700"/>
    <d v="2015-09-30T07:03:00"/>
    <d v="2015-09-30T12:39:00"/>
    <n v="0"/>
    <n v="423"/>
    <n v="393"/>
    <s v="CEMS Certification and Recertification"/>
    <s v="F790RATA Test @ Full Load"/>
    <s v="Mill Creek"/>
    <x v="1"/>
    <s v="Coal"/>
    <x v="2"/>
    <x v="2"/>
    <n v="9"/>
    <n v="5.6000000000931323"/>
    <n v="5.6000000000931323"/>
    <n v="2200.800000036601"/>
    <n v="393"/>
    <x v="258"/>
  </r>
  <r>
    <x v="9"/>
    <x v="0"/>
    <n v="111"/>
    <n v="250"/>
    <d v="2015-10-05T07:06:00"/>
    <d v="2015-10-05T08:58:00"/>
    <n v="330"/>
    <n v="423"/>
    <n v="393"/>
    <s v="Pulverizer feeders"/>
    <s v="F8203D Coal Feeder -Trouble Alarm In, Would Not Start"/>
    <s v="Mill Creek"/>
    <x v="0"/>
    <s v="Coal"/>
    <x v="2"/>
    <x v="2"/>
    <n v="10"/>
    <n v="1.8666666668141261"/>
    <n v="0.41040189128537524"/>
    <n v="161.28794327515246"/>
    <n v="86.40425531914893"/>
    <x v="173"/>
  </r>
  <r>
    <x v="9"/>
    <x v="2"/>
    <n v="112"/>
    <n v="100"/>
    <d v="2015-10-05T22:00:00"/>
    <d v="2015-10-06T02:06:00"/>
    <n v="325"/>
    <n v="423"/>
    <n v="393"/>
    <s v="Bunker gates"/>
    <s v="F1203C Bunker Valve - Cleaned Out"/>
    <s v="Mill Creek"/>
    <x v="0"/>
    <s v="Coal"/>
    <x v="2"/>
    <x v="2"/>
    <n v="10"/>
    <n v="4.1000000000931323"/>
    <n v="0.94988179671188411"/>
    <n v="373.30354610777044"/>
    <n v="91.049645390070921"/>
    <x v="42"/>
  </r>
  <r>
    <x v="9"/>
    <x v="2"/>
    <n v="113"/>
    <n v="250"/>
    <d v="2015-10-07T11:40:00"/>
    <d v="2015-10-07T17:11:00"/>
    <n v="340"/>
    <n v="423"/>
    <n v="393"/>
    <s v="Pulverizer feeders"/>
    <s v="F5903A Coal Feeder - Cleanout Conveyor Gearbox Broke"/>
    <s v="Mill Creek"/>
    <x v="0"/>
    <s v="Coal"/>
    <x v="2"/>
    <x v="2"/>
    <n v="10"/>
    <n v="5.5166666666627862"/>
    <n v="1.0824665090614922"/>
    <n v="425.40933806116647"/>
    <n v="77.113475177304963"/>
    <x v="128"/>
  </r>
  <r>
    <x v="9"/>
    <x v="2"/>
    <n v="114"/>
    <n v="250"/>
    <d v="2015-10-07T23:30:00"/>
    <d v="2015-10-08T06:41:00"/>
    <n v="340"/>
    <n v="423"/>
    <n v="393"/>
    <s v="Pulverizer feeders"/>
    <s v="F5903A Coal Feeder - Replace Cleanout Conveyor Gearbox"/>
    <s v="Mill Creek"/>
    <x v="0"/>
    <s v="Coal"/>
    <x v="2"/>
    <x v="2"/>
    <n v="10"/>
    <n v="7.1833333333488554"/>
    <n v="1.4094956658816904"/>
    <n v="553.93179669150436"/>
    <n v="77.113475177304963"/>
    <x v="128"/>
  </r>
  <r>
    <x v="9"/>
    <x v="0"/>
    <n v="115"/>
    <n v="260"/>
    <d v="2015-10-08T11:12:00"/>
    <d v="2015-10-08T13:15:00"/>
    <n v="330"/>
    <n v="423"/>
    <n v="393"/>
    <s v="Primary air fan"/>
    <s v="F5903A Coal Mill Primary Air Fan - Breaker Issues"/>
    <s v="Mill Creek"/>
    <x v="0"/>
    <s v="Coal"/>
    <x v="2"/>
    <x v="2"/>
    <n v="10"/>
    <n v="2.0500000000465661"/>
    <n v="0.45070921986839396"/>
    <n v="177.12872340827883"/>
    <n v="86.40425531914893"/>
    <x v="173"/>
  </r>
  <r>
    <x v="9"/>
    <x v="3"/>
    <n v="116"/>
    <n v="8670"/>
    <d v="2015-10-12T16:22:00"/>
    <d v="2015-10-13T00:00:00"/>
    <n v="0"/>
    <n v="423"/>
    <n v="393"/>
    <s v="Emission monitors (other than CEMS) A"/>
    <s v="F790CEM Testing"/>
    <s v="Mill Creek"/>
    <x v="1"/>
    <s v="Coal"/>
    <x v="2"/>
    <x v="2"/>
    <n v="10"/>
    <n v="7.6333333334187046"/>
    <n v="7.6333333334187046"/>
    <n v="2999.9000000335509"/>
    <n v="393"/>
    <x v="258"/>
  </r>
  <r>
    <x v="9"/>
    <x v="5"/>
    <n v="117"/>
    <n v="3412"/>
    <d v="2015-10-18T15:09:00"/>
    <d v="2015-10-18T17:58:00"/>
    <n v="0"/>
    <n v="423"/>
    <n v="393"/>
    <s v="Feedwater pump drive - steam turbine"/>
    <s v="F820Turbine Driven Boiler Feed Pump - Trip, Unexpected Reboot"/>
    <s v="Mill Creek"/>
    <x v="3"/>
    <s v="Coal"/>
    <x v="2"/>
    <x v="2"/>
    <n v="10"/>
    <n v="2.8166666667675599"/>
    <n v="2.8166666667675599"/>
    <n v="1106.9500000396511"/>
    <n v="393"/>
    <x v="258"/>
  </r>
  <r>
    <x v="9"/>
    <x v="3"/>
    <n v="118"/>
    <n v="1850"/>
    <d v="2015-10-18T17:58:00"/>
    <d v="2015-10-18T23:52:00"/>
    <n v="0"/>
    <n v="423"/>
    <n v="393"/>
    <s v="Boiler water condition (not feedwater water quality)"/>
    <s v="F170High Silica @ Very Hot Start Up"/>
    <s v="Mill Creek"/>
    <x v="1"/>
    <s v="Coal"/>
    <x v="2"/>
    <x v="2"/>
    <n v="10"/>
    <n v="5.8999999998486601"/>
    <n v="5.8999999998486601"/>
    <n v="2318.6999999405234"/>
    <n v="393"/>
    <x v="258"/>
  </r>
  <r>
    <x v="9"/>
    <x v="6"/>
    <n v="119"/>
    <n v="1310"/>
    <d v="2015-10-23T23:15:00"/>
    <d v="2015-11-09T11:17:00"/>
    <n v="0"/>
    <n v="423"/>
    <n v="393"/>
    <s v="Water side cleaning (acid cleaning)"/>
    <s v="F590Planned Outage"/>
    <s v="Mill Creek"/>
    <x v="1"/>
    <s v="Coal"/>
    <x v="2"/>
    <x v="2"/>
    <n v="10"/>
    <n v="396.03333333326736"/>
    <n v="396.03333333326736"/>
    <n v="155641.09999997407"/>
    <n v="393"/>
    <x v="258"/>
  </r>
  <r>
    <x v="9"/>
    <x v="2"/>
    <n v="120"/>
    <n v="345"/>
    <d v="2015-11-09T11:17:00"/>
    <d v="2015-11-10T09:51:00"/>
    <n v="330"/>
    <n v="423"/>
    <n v="393"/>
    <s v="Pulverizer overhaul"/>
    <s v="F5903D Coal Mill Overahaul"/>
    <s v="Mill Creek"/>
    <x v="0"/>
    <s v="Coal"/>
    <x v="2"/>
    <x v="2"/>
    <n v="11"/>
    <n v="22.566666666709352"/>
    <n v="4.9614657210495743"/>
    <n v="1949.8560283724828"/>
    <n v="86.40425531914893"/>
    <x v="173"/>
  </r>
  <r>
    <x v="9"/>
    <x v="0"/>
    <n v="121"/>
    <n v="1700"/>
    <d v="2015-11-10T03:44:00"/>
    <d v="2015-11-10T05:17:00"/>
    <n v="200"/>
    <n v="423"/>
    <n v="393"/>
    <s v="Feedwater controls (report local controls --- feedwater pump"/>
    <s v="F720TDBFP Recirc valve stuck"/>
    <s v="Mill Creek"/>
    <x v="0"/>
    <s v="Coal"/>
    <x v="2"/>
    <x v="2"/>
    <n v="11"/>
    <n v="1.5499999999883585"/>
    <n v="0.81713947989930014"/>
    <n v="321.13581560042496"/>
    <n v="207.18439716312056"/>
    <x v="144"/>
  </r>
  <r>
    <x v="9"/>
    <x v="0"/>
    <n v="122"/>
    <n v="1700"/>
    <d v="2015-11-10T05:17:00"/>
    <d v="2015-11-10T09:51:00"/>
    <n v="243"/>
    <n v="423"/>
    <n v="393"/>
    <s v="Feedwater controls (report local controls --- feedwater pump"/>
    <s v="F720TDBFP recirc valve stuck"/>
    <s v="Mill Creek"/>
    <x v="0"/>
    <s v="Coal"/>
    <x v="2"/>
    <x v="2"/>
    <n v="11"/>
    <n v="4.5666666667093523"/>
    <n v="1.9432624113656818"/>
    <n v="763.70212766671295"/>
    <n v="167.2340425531915"/>
    <x v="27"/>
  </r>
  <r>
    <x v="9"/>
    <x v="2"/>
    <n v="123"/>
    <n v="345"/>
    <d v="2015-11-10T09:51:00"/>
    <d v="2015-11-10T19:30:00"/>
    <n v="366"/>
    <n v="423"/>
    <n v="393"/>
    <s v="Pulverizer overhaul"/>
    <s v="F5903D Coal Mill - Overhaul"/>
    <s v="Mill Creek"/>
    <x v="0"/>
    <s v="Coal"/>
    <x v="2"/>
    <x v="2"/>
    <n v="11"/>
    <n v="9.6500000000232831"/>
    <n v="1.3003546099322154"/>
    <n v="511.03936170336067"/>
    <n v="52.957446808510639"/>
    <x v="179"/>
  </r>
  <r>
    <x v="9"/>
    <x v="2"/>
    <n v="124"/>
    <n v="260"/>
    <d v="2015-11-11T22:10:00"/>
    <d v="2015-11-12T07:09:00"/>
    <n v="330"/>
    <n v="423"/>
    <n v="393"/>
    <s v="Primary air fan"/>
    <s v="F0403D PA Fan Balance"/>
    <s v="Mill Creek"/>
    <x v="0"/>
    <s v="Coal"/>
    <x v="2"/>
    <x v="2"/>
    <n v="11"/>
    <n v="8.9833333334536292"/>
    <n v="1.9750591016812944"/>
    <n v="776.19822696074868"/>
    <n v="86.40425531914893"/>
    <x v="173"/>
  </r>
  <r>
    <x v="9"/>
    <x v="0"/>
    <n v="125"/>
    <n v="360"/>
    <d v="2015-11-19T20:12:00"/>
    <d v="2015-11-19T20:54:00"/>
    <n v="335"/>
    <n v="423"/>
    <n v="393"/>
    <s v="Burners"/>
    <s v="F7803C2 Burner temps"/>
    <s v="Mill Creek"/>
    <x v="0"/>
    <s v="Coal"/>
    <x v="2"/>
    <x v="2"/>
    <n v="11"/>
    <n v="0.70000000001164153"/>
    <n v="0.14562647754379304"/>
    <n v="57.231205674710665"/>
    <n v="81.758865248226954"/>
    <x v="48"/>
  </r>
  <r>
    <x v="9"/>
    <x v="5"/>
    <n v="126"/>
    <n v="1080"/>
    <d v="2015-11-20T17:33:00"/>
    <d v="2015-11-23T06:40:00"/>
    <n v="0"/>
    <n v="423"/>
    <n v="393"/>
    <s v="Economizer B"/>
    <s v="F540Boiler tube leak - economizer"/>
    <s v="Mill Creek"/>
    <x v="3"/>
    <s v="Coal"/>
    <x v="2"/>
    <x v="2"/>
    <n v="11"/>
    <n v="61.116666666814126"/>
    <n v="61.116666666814126"/>
    <n v="24018.850000057952"/>
    <n v="393"/>
    <x v="258"/>
  </r>
  <r>
    <x v="9"/>
    <x v="3"/>
    <n v="127"/>
    <n v="1850"/>
    <d v="2015-11-23T06:40:00"/>
    <d v="2015-11-23T18:55:00"/>
    <n v="0"/>
    <n v="423"/>
    <n v="393"/>
    <s v="Boiler water condition (not feedwater water quality)"/>
    <s v="F170High silica @ Warm Start"/>
    <s v="Mill Creek"/>
    <x v="1"/>
    <s v="Coal"/>
    <x v="2"/>
    <x v="2"/>
    <n v="11"/>
    <n v="12.249999999941792"/>
    <n v="12.249999999941792"/>
    <n v="4814.2499999771244"/>
    <n v="393"/>
    <x v="258"/>
  </r>
  <r>
    <x v="9"/>
    <x v="0"/>
    <n v="128"/>
    <n v="1850"/>
    <d v="2015-11-23T18:55:00"/>
    <d v="2015-11-24T04:05:00"/>
    <n v="330"/>
    <n v="423"/>
    <n v="393"/>
    <s v="Boiler water condition (not feedwater water quality)"/>
    <s v="F170High silica"/>
    <s v="Mill Creek"/>
    <x v="0"/>
    <s v="Coal"/>
    <x v="2"/>
    <x v="2"/>
    <n v="11"/>
    <n v="9.1666666666860692"/>
    <n v="2.0153664302643133"/>
    <n v="792.03900709387517"/>
    <n v="86.40425531914893"/>
    <x v="173"/>
  </r>
  <r>
    <x v="9"/>
    <x v="0"/>
    <n v="129"/>
    <n v="1850"/>
    <d v="2015-11-24T04:05:00"/>
    <d v="2015-11-24T08:31:00"/>
    <n v="400"/>
    <n v="423"/>
    <n v="393"/>
    <s v="Boiler water condition (not feedwater water quality)"/>
    <s v="F170High silica"/>
    <s v="Mill Creek"/>
    <x v="0"/>
    <s v="Coal"/>
    <x v="2"/>
    <x v="2"/>
    <n v="11"/>
    <n v="4.4333333332906477"/>
    <n v="0.2410559495642669"/>
    <n v="94.734988178756893"/>
    <n v="21.368794326241133"/>
    <x v="168"/>
  </r>
  <r>
    <x v="9"/>
    <x v="3"/>
    <n v="130"/>
    <n v="8460"/>
    <d v="2015-11-24T08:31:00"/>
    <d v="2015-11-24T16:34:00"/>
    <n v="0"/>
    <n v="423"/>
    <n v="393"/>
    <s v="Testing A"/>
    <s v="F790SCR Flue gas testing"/>
    <s v="Mill Creek"/>
    <x v="1"/>
    <s v="Coal"/>
    <x v="2"/>
    <x v="2"/>
    <n v="11"/>
    <n v="8.0500000000465661"/>
    <n v="8.0500000000465661"/>
    <n v="3163.6500000183005"/>
    <n v="393"/>
    <x v="258"/>
  </r>
  <r>
    <x v="9"/>
    <x v="0"/>
    <n v="131"/>
    <n v="385"/>
    <d v="2015-11-25T16:36:00"/>
    <d v="2015-11-25T18:27:00"/>
    <n v="350"/>
    <n v="423"/>
    <n v="393"/>
    <s v="Igniters"/>
    <s v="F3403D1 ignitor would not go in"/>
    <s v="Mill Creek"/>
    <x v="0"/>
    <s v="Coal"/>
    <x v="2"/>
    <x v="2"/>
    <n v="11"/>
    <n v="1.8500000000931323"/>
    <n v="0.3192671394959779"/>
    <n v="125.47198582191932"/>
    <n v="67.822695035460995"/>
    <x v="208"/>
  </r>
  <r>
    <x v="9"/>
    <x v="0"/>
    <n v="132"/>
    <n v="260"/>
    <d v="2015-12-02T13:34:00"/>
    <d v="2015-12-02T16:22:00"/>
    <n v="320"/>
    <n v="423"/>
    <n v="393"/>
    <s v="Primary air fan"/>
    <s v="F8503C Mill PA fan vibration"/>
    <s v="Mill Creek"/>
    <x v="0"/>
    <s v="Coal"/>
    <x v="2"/>
    <x v="2"/>
    <n v="12"/>
    <n v="2.7999999998719431"/>
    <n v="0.68179669027614687"/>
    <n v="267.94609927852571"/>
    <n v="95.695035460992912"/>
    <x v="41"/>
  </r>
  <r>
    <x v="9"/>
    <x v="2"/>
    <n v="133"/>
    <n v="262"/>
    <d v="2015-12-15T23:00:00"/>
    <d v="2015-12-16T06:17:00"/>
    <n v="320"/>
    <n v="423"/>
    <n v="393"/>
    <s v="Primary air fan lube oil system"/>
    <s v="F540PA Fan oil leak"/>
    <s v="Mill Creek"/>
    <x v="0"/>
    <s v="Coal"/>
    <x v="2"/>
    <x v="2"/>
    <n v="12"/>
    <n v="7.2833333333255723"/>
    <n v="1.7734830575237208"/>
    <n v="696.97884160682224"/>
    <n v="95.695035460992912"/>
    <x v="41"/>
  </r>
  <r>
    <x v="9"/>
    <x v="3"/>
    <n v="134"/>
    <n v="310"/>
    <d v="2015-12-16T08:28:00"/>
    <d v="2015-12-16T12:10:00"/>
    <n v="0"/>
    <n v="423"/>
    <n v="393"/>
    <s v="Pulverizer mills"/>
    <s v="F790Coal fineness test"/>
    <s v="Mill Creek"/>
    <x v="1"/>
    <s v="Coal"/>
    <x v="2"/>
    <x v="2"/>
    <n v="12"/>
    <n v="3.7000000000116415"/>
    <n v="3.7000000000116415"/>
    <n v="1454.1000000045751"/>
    <n v="393"/>
    <x v="258"/>
  </r>
  <r>
    <x v="9"/>
    <x v="0"/>
    <n v="135"/>
    <n v="8790"/>
    <d v="2015-12-18T10:26:00"/>
    <d v="2015-12-18T10:53:00"/>
    <n v="375"/>
    <n v="423"/>
    <n v="393"/>
    <s v="Miscellaneous CEMS problems"/>
    <s v="F400Blower trip in CEMS"/>
    <s v="Mill Creek"/>
    <x v="0"/>
    <s v="Coal"/>
    <x v="2"/>
    <x v="2"/>
    <n v="12"/>
    <n v="0.45000000006984919"/>
    <n v="5.1063829795160193E-2"/>
    <n v="20.068085109497957"/>
    <n v="44.595744680851062"/>
    <x v="23"/>
  </r>
  <r>
    <x v="9"/>
    <x v="0"/>
    <n v="136"/>
    <n v="260"/>
    <d v="2015-12-18T10:53:00"/>
    <d v="2015-12-18T12:36:00"/>
    <n v="325"/>
    <n v="423"/>
    <n v="393"/>
    <s v="Primary air fan"/>
    <s v="F0603C PA fan shaft broke"/>
    <s v="Mill Creek"/>
    <x v="0"/>
    <s v="Coal"/>
    <x v="2"/>
    <x v="2"/>
    <n v="12"/>
    <n v="1.7166666666744277"/>
    <n v="0.39771473601440643"/>
    <n v="156.30189125366172"/>
    <n v="91.049645390070921"/>
    <x v="42"/>
  </r>
  <r>
    <x v="9"/>
    <x v="0"/>
    <n v="137"/>
    <n v="260"/>
    <d v="2015-12-18T12:36:00"/>
    <d v="2015-12-18T12:44:00"/>
    <n v="330"/>
    <n v="423"/>
    <n v="393"/>
    <s v="Primary air fan"/>
    <s v="F0603C PA fan shaft broke"/>
    <s v="Mill Creek"/>
    <x v="0"/>
    <s v="Coal"/>
    <x v="2"/>
    <x v="2"/>
    <n v="12"/>
    <n v="0.13333333324408159"/>
    <n v="2.9314420784159783E-2"/>
    <n v="11.520567368174795"/>
    <n v="86.40425531914893"/>
    <x v="173"/>
  </r>
  <r>
    <x v="9"/>
    <x v="0"/>
    <n v="138"/>
    <n v="260"/>
    <d v="2015-12-18T12:44:00"/>
    <d v="2015-12-23T08:32:00"/>
    <n v="350"/>
    <n v="423"/>
    <n v="393"/>
    <s v="Primary air fan"/>
    <s v="F0603C PA fan shaft broke"/>
    <s v="Mill Creek"/>
    <x v="0"/>
    <s v="Coal"/>
    <x v="2"/>
    <x v="2"/>
    <n v="12"/>
    <n v="115.80000000010477"/>
    <n v="19.984397163138649"/>
    <n v="7853.8680851134886"/>
    <n v="67.822695035460995"/>
    <x v="208"/>
  </r>
  <r>
    <x v="9"/>
    <x v="0"/>
    <n v="139"/>
    <n v="480"/>
    <d v="2015-12-23T08:32:00"/>
    <d v="2015-12-23T08:40:00"/>
    <n v="235"/>
    <n v="423"/>
    <n v="393"/>
    <s v="Other oil and gas fuel supply problems (see codes 0360-0410 for burner problems)"/>
    <s v="F1203D-1 Gas Gun/Gas Flow Valve Issues"/>
    <s v="Mill Creek"/>
    <x v="0"/>
    <s v="Coal"/>
    <x v="2"/>
    <x v="2"/>
    <n v="12"/>
    <n v="0.13333333324408159"/>
    <n v="5.9259259219591819E-2"/>
    <n v="23.288888873299584"/>
    <n v="174.66666666666666"/>
    <x v="217"/>
  </r>
  <r>
    <x v="9"/>
    <x v="0"/>
    <n v="140"/>
    <n v="260"/>
    <d v="2015-12-23T08:40:00"/>
    <d v="2015-12-25T05:07:00"/>
    <n v="350"/>
    <n v="423"/>
    <n v="393"/>
    <s v="Primary air fan"/>
    <s v="F0603C PA Fan shaft broke"/>
    <s v="Mill Creek"/>
    <x v="0"/>
    <s v="Coal"/>
    <x v="2"/>
    <x v="2"/>
    <n v="12"/>
    <n v="44.449999999953434"/>
    <n v="7.6710401891172593"/>
    <n v="3014.7187943230829"/>
    <n v="67.822695035460995"/>
    <x v="208"/>
  </r>
  <r>
    <x v="9"/>
    <x v="0"/>
    <n v="142"/>
    <n v="260"/>
    <d v="2015-12-27T21:37:00"/>
    <d v="2015-12-28T05:24:00"/>
    <n v="350"/>
    <n v="423"/>
    <n v="393"/>
    <s v="Primary air fan"/>
    <s v="F0603C PA Fan shaft broke"/>
    <s v="Mill Creek"/>
    <x v="0"/>
    <s v="Coal"/>
    <x v="2"/>
    <x v="2"/>
    <n v="12"/>
    <n v="7.78333333338378"/>
    <n v="1.3432230102529927"/>
    <n v="527.88664302942618"/>
    <n v="67.822695035460995"/>
    <x v="208"/>
  </r>
  <r>
    <x v="9"/>
    <x v="0"/>
    <n v="143"/>
    <n v="1850"/>
    <d v="2015-12-28T08:00:00"/>
    <d v="2015-12-28T14:40:00"/>
    <n v="410"/>
    <n v="423"/>
    <n v="393"/>
    <s v="Boiler water condition (not feedwater water quality)"/>
    <s v="F170High Silica"/>
    <s v="Mill Creek"/>
    <x v="0"/>
    <s v="Coal"/>
    <x v="2"/>
    <x v="2"/>
    <n v="12"/>
    <n v="6.6666666665696539"/>
    <n v="0.20488573679764893"/>
    <n v="80.520094561476029"/>
    <n v="12.078014184397164"/>
    <x v="24"/>
  </r>
  <r>
    <x v="9"/>
    <x v="0"/>
    <n v="144"/>
    <n v="250"/>
    <d v="2015-12-28T20:33:00"/>
    <d v="2015-12-28T21:48:00"/>
    <n v="340"/>
    <n v="423"/>
    <n v="393"/>
    <s v="Pulverizer feeders"/>
    <s v="FW00Wet coal"/>
    <s v="Mill Creek"/>
    <x v="0"/>
    <s v="Coal"/>
    <x v="2"/>
    <x v="2"/>
    <n v="12"/>
    <n v="1.2500000000582077"/>
    <n v="0.2452718676237145"/>
    <n v="96.391843976119802"/>
    <n v="77.113475177304963"/>
    <x v="128"/>
  </r>
  <r>
    <x v="9"/>
    <x v="2"/>
    <n v="145"/>
    <n v="262"/>
    <d v="2015-12-28T23:00:00"/>
    <d v="2015-12-29T01:58:00"/>
    <n v="330"/>
    <n v="423"/>
    <n v="393"/>
    <s v="Primary air fan lube oil system"/>
    <s v="F5903C PA Fan oil change"/>
    <s v="Mill Creek"/>
    <x v="0"/>
    <s v="Coal"/>
    <x v="2"/>
    <x v="2"/>
    <n v="12"/>
    <n v="2.9666666665580124"/>
    <n v="0.6522458628602722"/>
    <n v="256.33262410408696"/>
    <n v="86.40425531914893"/>
    <x v="173"/>
  </r>
  <r>
    <x v="9"/>
    <x v="2"/>
    <n v="146"/>
    <n v="260"/>
    <d v="2015-12-30T21:32:00"/>
    <d v="2015-12-31T01:58:00"/>
    <n v="330"/>
    <n v="423"/>
    <n v="393"/>
    <s v="Primary air fan"/>
    <s v="F5303A PA fan inspection"/>
    <s v="Mill Creek"/>
    <x v="0"/>
    <s v="Coal"/>
    <x v="2"/>
    <x v="2"/>
    <n v="12"/>
    <n v="4.4333333332906477"/>
    <n v="0.97470449171638351"/>
    <n v="383.05886524453871"/>
    <n v="86.40425531914893"/>
    <x v="173"/>
  </r>
  <r>
    <x v="9"/>
    <x v="2"/>
    <n v="1"/>
    <n v="260"/>
    <d v="2016-01-03T22:00:00"/>
    <d v="2016-01-04T05:00:00"/>
    <n v="330"/>
    <n v="423"/>
    <n v="393"/>
    <s v="Primary air fan"/>
    <s v="F5303D PA Fan inspection"/>
    <s v="Mill Creek"/>
    <x v="0"/>
    <s v="Coal"/>
    <x v="2"/>
    <x v="3"/>
    <n v="1"/>
    <n v="7.0000000001164153"/>
    <n v="1.5390070922241763"/>
    <n v="604.82978724410134"/>
    <n v="86.40425531914893"/>
    <x v="173"/>
  </r>
  <r>
    <x v="9"/>
    <x v="0"/>
    <n v="2"/>
    <n v="260"/>
    <d v="2016-01-05T03:51:00"/>
    <d v="2016-01-05T07:37:00"/>
    <n v="320"/>
    <n v="423"/>
    <n v="393"/>
    <s v="Primary air fan"/>
    <s v="FR003C PA Fan insulation fire"/>
    <s v="Mill Creek"/>
    <x v="0"/>
    <s v="Coal"/>
    <x v="2"/>
    <x v="3"/>
    <n v="1"/>
    <n v="3.7666666667209938"/>
    <n v="0.91717888102189682"/>
    <n v="360.45130024160545"/>
    <n v="95.695035460992912"/>
    <x v="41"/>
  </r>
  <r>
    <x v="9"/>
    <x v="2"/>
    <n v="3"/>
    <n v="270"/>
    <d v="2016-01-07T23:00:00"/>
    <d v="2016-01-08T04:28:00"/>
    <n v="320"/>
    <n v="423"/>
    <n v="393"/>
    <s v="Primary air duct and dampers"/>
    <s v="F5303D PA fan damper inspection"/>
    <s v="Mill Creek"/>
    <x v="0"/>
    <s v="Coal"/>
    <x v="2"/>
    <x v="3"/>
    <n v="1"/>
    <n v="5.4666666666744277"/>
    <n v="1.3311268715542932"/>
    <n v="523.1328605208372"/>
    <n v="95.695035460992912"/>
    <x v="41"/>
  </r>
  <r>
    <x v="9"/>
    <x v="2"/>
    <n v="4"/>
    <n v="260"/>
    <d v="2016-01-08T08:15:00"/>
    <d v="2016-01-08T12:12:00"/>
    <n v="320"/>
    <n v="423"/>
    <n v="393"/>
    <s v="Primary air fan"/>
    <s v="F5903C PA Fan maintenance"/>
    <s v="Mill Creek"/>
    <x v="0"/>
    <s v="Coal"/>
    <x v="2"/>
    <x v="3"/>
    <n v="1"/>
    <n v="3.9499999999534339"/>
    <n v="0.96182033095792829"/>
    <n v="377.9953900664658"/>
    <n v="95.695035460992912"/>
    <x v="41"/>
  </r>
  <r>
    <x v="9"/>
    <x v="4"/>
    <n v="5"/>
    <n v="1000"/>
    <d v="2016-01-13T22:26:00"/>
    <d v="2016-01-16T03:32:00"/>
    <n v="0"/>
    <n v="423"/>
    <n v="393"/>
    <s v="Waterwall (Furnace wall) A"/>
    <s v="F540Boiler tube leak "/>
    <s v="Mill Creek"/>
    <x v="2"/>
    <s v="Coal"/>
    <x v="2"/>
    <x v="3"/>
    <n v="1"/>
    <n v="53.100000000034925"/>
    <n v="53.100000000034925"/>
    <n v="20868.300000013725"/>
    <n v="393"/>
    <x v="258"/>
  </r>
  <r>
    <x v="9"/>
    <x v="3"/>
    <n v="6"/>
    <n v="1850"/>
    <d v="2016-01-16T03:32:00"/>
    <d v="2016-01-16T15:32:00"/>
    <n v="0"/>
    <n v="423"/>
    <n v="393"/>
    <s v="Boiler water condition (not feedwater water quality)"/>
    <s v="F170High Silica @ Warm Start Up"/>
    <s v="Mill Creek"/>
    <x v="1"/>
    <s v="Coal"/>
    <x v="2"/>
    <x v="3"/>
    <n v="1"/>
    <n v="12"/>
    <n v="12"/>
    <n v="4716"/>
    <n v="393"/>
    <x v="258"/>
  </r>
  <r>
    <x v="9"/>
    <x v="0"/>
    <n v="7"/>
    <n v="1850"/>
    <d v="2016-01-16T15:32:00"/>
    <d v="2016-01-17T04:36:00"/>
    <n v="360"/>
    <n v="423"/>
    <n v="393"/>
    <s v="Boiler water condition (not feedwater water quality)"/>
    <s v="F170High Silica"/>
    <s v="Mill Creek"/>
    <x v="0"/>
    <s v="Coal"/>
    <x v="2"/>
    <x v="3"/>
    <n v="1"/>
    <n v="13.066666666651145"/>
    <n v="1.9460992907778301"/>
    <n v="764.81702127568724"/>
    <n v="58.531914893617021"/>
    <x v="83"/>
  </r>
  <r>
    <x v="9"/>
    <x v="0"/>
    <n v="8"/>
    <n v="1850"/>
    <d v="2016-01-17T04:36:00"/>
    <d v="2016-01-17T16:33:00"/>
    <n v="370"/>
    <n v="423"/>
    <n v="393"/>
    <s v="Boiler water condition (not feedwater water quality)"/>
    <s v="F170High Silica"/>
    <s v="Mill Creek"/>
    <x v="0"/>
    <s v="Coal"/>
    <x v="2"/>
    <x v="3"/>
    <n v="1"/>
    <n v="11.950000000011642"/>
    <n v="1.4972813238785272"/>
    <n v="588.4315602842612"/>
    <n v="49.241134751773046"/>
    <x v="227"/>
  </r>
  <r>
    <x v="9"/>
    <x v="0"/>
    <n v="9"/>
    <n v="1850"/>
    <d v="2016-01-17T16:33:00"/>
    <d v="2016-01-17T19:57:00"/>
    <n v="387"/>
    <n v="423"/>
    <n v="393"/>
    <s v="Boiler water condition (not feedwater water quality)"/>
    <s v="F170High Silica"/>
    <s v="Mill Creek"/>
    <x v="0"/>
    <s v="Coal"/>
    <x v="2"/>
    <x v="3"/>
    <n v="1"/>
    <n v="3.4000000000814907"/>
    <n v="0.28936170213459494"/>
    <n v="113.71914893889581"/>
    <n v="33.446808510638299"/>
    <x v="17"/>
  </r>
  <r>
    <x v="9"/>
    <x v="0"/>
    <n v="10"/>
    <n v="385"/>
    <d v="2016-01-27T17:30:00"/>
    <d v="2016-01-27T18:33:00"/>
    <n v="350"/>
    <n v="423"/>
    <n v="393"/>
    <s v="Igniters"/>
    <s v="F3403B Mill ignitor would not light"/>
    <s v="Mill Creek"/>
    <x v="0"/>
    <s v="Coal"/>
    <x v="2"/>
    <x v="3"/>
    <n v="1"/>
    <n v="1.0500000001047738"/>
    <n v="0.18120567377694677"/>
    <n v="71.213829794340086"/>
    <n v="67.822695035460995"/>
    <x v="208"/>
  </r>
  <r>
    <x v="9"/>
    <x v="2"/>
    <n v="11"/>
    <n v="350"/>
    <d v="2016-01-27T23:00:00"/>
    <d v="2016-01-28T00:22:00"/>
    <n v="335"/>
    <n v="423"/>
    <n v="393"/>
    <s v="Pulverized fuel and air piping (from pulverizer to wind box)"/>
    <s v="F520Replace A6 swing valve proximity switch."/>
    <s v="Mill Creek"/>
    <x v="0"/>
    <s v="Coal"/>
    <x v="2"/>
    <x v="3"/>
    <n v="1"/>
    <n v="1.3666666665812954"/>
    <n v="0.28431836089634516"/>
    <n v="111.73711583226364"/>
    <n v="81.758865248226954"/>
    <x v="48"/>
  </r>
  <r>
    <x v="9"/>
    <x v="2"/>
    <n v="12"/>
    <n v="350"/>
    <d v="2016-01-28T00:22:00"/>
    <d v="2016-01-28T01:24:00"/>
    <n v="320"/>
    <n v="423"/>
    <n v="393"/>
    <s v="Pulverized fuel and air piping (from pulverizer to wind box)"/>
    <s v="F520Replace A6 swing valve proximity switch."/>
    <s v="Mill Creek"/>
    <x v="0"/>
    <s v="Coal"/>
    <x v="2"/>
    <x v="3"/>
    <n v="1"/>
    <n v="1.03333333338378"/>
    <n v="0.25161544524475021"/>
    <n v="98.884869981186839"/>
    <n v="95.695035460992912"/>
    <x v="41"/>
  </r>
  <r>
    <x v="9"/>
    <x v="3"/>
    <n v="13"/>
    <n v="9999"/>
    <d v="2016-02-05T08:13:00"/>
    <d v="2016-02-05T13:23:00"/>
    <n v="0"/>
    <n v="423"/>
    <n v="393"/>
    <s v="Total unit performance testing (use appropriate codes for individual component testing)"/>
    <s v="F790Full load winter capability test"/>
    <s v="Mill Creek"/>
    <x v="1"/>
    <s v="Coal"/>
    <x v="2"/>
    <x v="3"/>
    <n v="2"/>
    <n v="5.1666666665696539"/>
    <n v="5.1666666665696539"/>
    <n v="2030.499999961874"/>
    <n v="393"/>
    <x v="258"/>
  </r>
  <r>
    <x v="9"/>
    <x v="0"/>
    <n v="14"/>
    <n v="1850"/>
    <d v="2016-02-09T12:33:00"/>
    <d v="2016-02-10T08:10:00"/>
    <n v="404"/>
    <n v="423"/>
    <n v="393"/>
    <s v="Boiler water condition (not feedwater water quality)"/>
    <s v="F170High silica"/>
    <s v="Mill Creek"/>
    <x v="0"/>
    <s v="Coal"/>
    <x v="2"/>
    <x v="3"/>
    <n v="2"/>
    <n v="19.616666666697711"/>
    <n v="0.88112687155379787"/>
    <n v="346.28286052064254"/>
    <n v="17.652482269503547"/>
    <x v="5"/>
  </r>
  <r>
    <x v="9"/>
    <x v="0"/>
    <n v="15"/>
    <n v="3869"/>
    <d v="2016-02-13T14:13:00"/>
    <d v="2016-02-14T09:05:00"/>
    <n v="340"/>
    <n v="423"/>
    <n v="393"/>
    <s v="Other fire protection system problems"/>
    <s v="F060Sprinlker head broke, water leaked into 3B Mill cabinet"/>
    <s v="Mill Creek"/>
    <x v="0"/>
    <s v="Coal"/>
    <x v="2"/>
    <x v="3"/>
    <n v="2"/>
    <n v="18.866666666523088"/>
    <n v="3.7019700551333719"/>
    <n v="1454.8742316674152"/>
    <n v="77.113475177304963"/>
    <x v="128"/>
  </r>
  <r>
    <x v="9"/>
    <x v="0"/>
    <n v="16"/>
    <n v="360"/>
    <d v="2016-02-22T10:12:00"/>
    <d v="2016-02-22T14:59:00"/>
    <n v="325"/>
    <n v="423"/>
    <n v="393"/>
    <s v="Burners"/>
    <s v="F7803A Mill burner temps"/>
    <s v="Mill Creek"/>
    <x v="0"/>
    <s v="Coal"/>
    <x v="2"/>
    <x v="3"/>
    <n v="2"/>
    <n v="4.783333333209157"/>
    <n v="1.1081954294432563"/>
    <n v="435.52080377119972"/>
    <n v="91.049645390070921"/>
    <x v="42"/>
  </r>
  <r>
    <x v="9"/>
    <x v="2"/>
    <n v="17"/>
    <n v="260"/>
    <d v="2016-02-29T22:00:00"/>
    <d v="2016-03-01T05:21:00"/>
    <n v="330"/>
    <n v="423"/>
    <n v="393"/>
    <s v="Primary air fan"/>
    <s v="F8503C Mill PA fan maintenance for vibration"/>
    <s v="Mill Creek"/>
    <x v="0"/>
    <s v="Coal"/>
    <x v="2"/>
    <x v="3"/>
    <n v="2"/>
    <n v="7.3500000000349246"/>
    <n v="1.615957446816189"/>
    <n v="635.07127659876232"/>
    <n v="86.40425531914893"/>
    <x v="173"/>
  </r>
  <r>
    <x v="9"/>
    <x v="2"/>
    <n v="18"/>
    <n v="260"/>
    <d v="2016-03-02T23:00:00"/>
    <d v="2016-03-03T06:55:00"/>
    <n v="330"/>
    <n v="423"/>
    <n v="393"/>
    <s v="Primary air fan"/>
    <s v="F850Balanced 3C PA Fan"/>
    <s v="Mill Creek"/>
    <x v="0"/>
    <s v="Coal"/>
    <x v="2"/>
    <x v="3"/>
    <n v="3"/>
    <n v="7.9166666666278616"/>
    <n v="1.7405437352160547"/>
    <n v="684.03368793990944"/>
    <n v="86.40425531914893"/>
    <x v="173"/>
  </r>
  <r>
    <x v="9"/>
    <x v="0"/>
    <n v="19"/>
    <n v="1850"/>
    <d v="2016-03-06T18:40:00"/>
    <d v="2016-03-07T03:49:00"/>
    <n v="350"/>
    <n v="423"/>
    <n v="393"/>
    <s v="Boiler water condition (not feedwater water quality)"/>
    <s v="F170High silica"/>
    <s v="Mill Creek"/>
    <x v="0"/>
    <s v="Coal"/>
    <x v="2"/>
    <x v="3"/>
    <n v="3"/>
    <n v="9.1499999999650754"/>
    <n v="1.57907801417837"/>
    <n v="620.57765957209938"/>
    <n v="67.822695035460995"/>
    <x v="208"/>
  </r>
  <r>
    <x v="9"/>
    <x v="0"/>
    <n v="20"/>
    <n v="1850"/>
    <d v="2016-03-07T03:49:00"/>
    <d v="2016-03-08T11:28:00"/>
    <n v="300"/>
    <n v="423"/>
    <n v="393"/>
    <s v="Boiler water condition (not feedwater water quality)"/>
    <s v="F170High silica"/>
    <s v="Mill Creek"/>
    <x v="0"/>
    <s v="Coal"/>
    <x v="2"/>
    <x v="3"/>
    <n v="3"/>
    <n v="31.649999999965075"/>
    <n v="9.2031914893515463"/>
    <n v="3616.8542553151578"/>
    <n v="114.27659574468085"/>
    <x v="46"/>
  </r>
  <r>
    <x v="9"/>
    <x v="4"/>
    <n v="21"/>
    <n v="3110"/>
    <d v="2016-03-08T11:28:00"/>
    <d v="2016-03-10T06:33:00"/>
    <n v="0"/>
    <n v="423"/>
    <n v="393"/>
    <s v="Condenser tube leaks"/>
    <s v="F540Condenser tube leak"/>
    <s v="Mill Creek"/>
    <x v="2"/>
    <s v="Coal"/>
    <x v="2"/>
    <x v="3"/>
    <n v="3"/>
    <n v="43.083333333372138"/>
    <n v="43.083333333372138"/>
    <n v="16931.75000001525"/>
    <n v="393"/>
    <x v="258"/>
  </r>
  <r>
    <x v="9"/>
    <x v="4"/>
    <n v="22"/>
    <n v="1060"/>
    <d v="2016-03-10T18:13:00"/>
    <d v="2016-03-12T00:02:00"/>
    <n v="0"/>
    <n v="423"/>
    <n v="393"/>
    <s v="First reheater A"/>
    <s v="F540Boiler Tube Leak - Front SCW Hanger Tube"/>
    <s v="Mill Creek"/>
    <x v="2"/>
    <s v="Coal"/>
    <x v="2"/>
    <x v="3"/>
    <n v="3"/>
    <n v="29.816666666592937"/>
    <n v="29.816666666592937"/>
    <n v="11717.949999971024"/>
    <n v="393"/>
    <x v="258"/>
  </r>
  <r>
    <x v="9"/>
    <x v="3"/>
    <n v="28"/>
    <n v="1850"/>
    <d v="2016-03-12T00:02:00"/>
    <d v="2016-03-12T01:15:00"/>
    <n v="0"/>
    <n v="423"/>
    <n v="393"/>
    <s v="Boiler water condition (not feedwater water quality)"/>
    <s v="F170High silica @ warm start-up"/>
    <s v="Mill Creek"/>
    <x v="1"/>
    <s v="Coal"/>
    <x v="2"/>
    <x v="3"/>
    <n v="3"/>
    <n v="1.216666666790843"/>
    <n v="1.216666666790843"/>
    <n v="478.1500000488013"/>
    <n v="393"/>
    <x v="258"/>
  </r>
  <r>
    <x v="9"/>
    <x v="0"/>
    <n v="23"/>
    <n v="3412"/>
    <d v="2016-03-12T01:15:00"/>
    <d v="2016-03-12T18:04:00"/>
    <n v="125"/>
    <n v="423"/>
    <n v="393"/>
    <s v="Feedwater pump drive - steam turbine"/>
    <s v="F540EHC Leak on TDBFP valve"/>
    <s v="Mill Creek"/>
    <x v="0"/>
    <s v="Coal"/>
    <x v="2"/>
    <x v="3"/>
    <n v="3"/>
    <n v="16.816666666651145"/>
    <n v="11.847202521659671"/>
    <n v="4655.9505910122507"/>
    <n v="276.86524822695037"/>
    <x v="271"/>
  </r>
  <r>
    <x v="9"/>
    <x v="0"/>
    <n v="24"/>
    <n v="3412"/>
    <d v="2016-03-12T18:04:00"/>
    <d v="2016-03-14T13:24:00"/>
    <n v="160"/>
    <n v="423"/>
    <n v="393"/>
    <s v="Feedwater pump drive - steam turbine"/>
    <s v="F540EHC Leak on TDBFP valve"/>
    <s v="Mill Creek"/>
    <x v="0"/>
    <s v="Coal"/>
    <x v="2"/>
    <x v="3"/>
    <n v="3"/>
    <n v="43.333333333313931"/>
    <n v="26.942474389270835"/>
    <n v="10588.392434983438"/>
    <n v="244.34751773049646"/>
    <x v="272"/>
  </r>
  <r>
    <x v="9"/>
    <x v="0"/>
    <n v="25"/>
    <n v="1850"/>
    <d v="2016-03-14T13:24:00"/>
    <d v="2016-03-15T05:00:00"/>
    <n v="328"/>
    <n v="423"/>
    <n v="393"/>
    <s v="Boiler water condition (not feedwater water quality)"/>
    <s v="F170High silica"/>
    <s v="Mill Creek"/>
    <x v="0"/>
    <s v="Coal"/>
    <x v="2"/>
    <x v="3"/>
    <n v="3"/>
    <n v="15.600000000034925"/>
    <n v="3.5035460992986236"/>
    <n v="1376.8936170243592"/>
    <n v="88.262411347517727"/>
    <x v="273"/>
  </r>
  <r>
    <x v="9"/>
    <x v="0"/>
    <n v="26"/>
    <n v="1850"/>
    <d v="2016-03-15T05:00:00"/>
    <d v="2016-03-15T11:51:00"/>
    <n v="385"/>
    <n v="423"/>
    <n v="393"/>
    <s v="Boiler water condition (not feedwater water quality)"/>
    <s v="F170High silica"/>
    <s v="Mill Creek"/>
    <x v="0"/>
    <s v="Coal"/>
    <x v="2"/>
    <x v="3"/>
    <n v="3"/>
    <n v="6.8499999999767169"/>
    <n v="0.61536643025795568"/>
    <n v="241.83900709137657"/>
    <n v="35.304964539007095"/>
    <x v="139"/>
  </r>
  <r>
    <x v="9"/>
    <x v="0"/>
    <n v="29"/>
    <n v="1850"/>
    <d v="2016-03-15T11:51:00"/>
    <d v="2016-03-15T12:04:00"/>
    <n v="405"/>
    <n v="423"/>
    <n v="393"/>
    <s v="Boiler water condition (not feedwater water quality)"/>
    <s v="F170High silica"/>
    <s v="Mill Creek"/>
    <x v="0"/>
    <s v="Coal"/>
    <x v="2"/>
    <x v="3"/>
    <n v="3"/>
    <n v="0.21666666667442769"/>
    <n v="9.2198581563586249E-3"/>
    <n v="3.6234042554489396"/>
    <n v="16.723404255319149"/>
    <x v="262"/>
  </r>
  <r>
    <x v="9"/>
    <x v="5"/>
    <n v="30"/>
    <n v="3620"/>
    <d v="2016-03-15T18:07:00"/>
    <d v="2016-03-25T02:11:00"/>
    <n v="0"/>
    <n v="423"/>
    <n v="393"/>
    <s v="Main transformer"/>
    <s v="FR00&quot;A&quot; Phase main transformer fire"/>
    <s v="Mill Creek"/>
    <x v="3"/>
    <s v="Coal"/>
    <x v="2"/>
    <x v="3"/>
    <n v="3"/>
    <n v="224.06666666659294"/>
    <n v="224.06666666659294"/>
    <n v="88058.199999971024"/>
    <n v="393"/>
    <x v="258"/>
  </r>
  <r>
    <x v="9"/>
    <x v="3"/>
    <n v="31"/>
    <n v="1850"/>
    <d v="2016-03-25T02:11:00"/>
    <d v="2016-03-26T02:30:00"/>
    <n v="0"/>
    <n v="423"/>
    <n v="393"/>
    <s v="Boiler water condition (not feedwater water quality)"/>
    <s v="F170High silica @ cold start"/>
    <s v="Mill Creek"/>
    <x v="1"/>
    <s v="Coal"/>
    <x v="2"/>
    <x v="3"/>
    <n v="3"/>
    <n v="24.316666666651145"/>
    <n v="24.316666666651145"/>
    <n v="9556.4499999938998"/>
    <n v="393"/>
    <x v="258"/>
  </r>
  <r>
    <x v="9"/>
    <x v="0"/>
    <n v="32"/>
    <n v="1850"/>
    <d v="2016-03-26T02:30:00"/>
    <d v="2016-03-27T18:45:00"/>
    <n v="280"/>
    <n v="423"/>
    <n v="393"/>
    <s v="Boiler water condition (not feedwater water quality)"/>
    <s v="F170High silica"/>
    <s v="Mill Creek"/>
    <x v="0"/>
    <s v="Coal"/>
    <x v="2"/>
    <x v="3"/>
    <n v="3"/>
    <n v="40.250000000058208"/>
    <n v="13.606973995291545"/>
    <n v="5347.5407801495776"/>
    <n v="132.8581560283688"/>
    <x v="108"/>
  </r>
  <r>
    <x v="9"/>
    <x v="0"/>
    <n v="33"/>
    <n v="1488"/>
    <d v="2016-03-27T18:45:00"/>
    <d v="2016-03-27T19:30:00"/>
    <n v="265"/>
    <n v="423"/>
    <n v="393"/>
    <s v="Air heater (regenerative)"/>
    <s v="F7603A air heater guide bearing lube oil pump motor tripped"/>
    <s v="Mill Creek"/>
    <x v="0"/>
    <s v="Coal"/>
    <x v="2"/>
    <x v="3"/>
    <n v="3"/>
    <n v="0.75"/>
    <n v="0.28014184397163122"/>
    <n v="110.09574468085107"/>
    <n v="146.79432624113474"/>
    <x v="252"/>
  </r>
  <r>
    <x v="9"/>
    <x v="0"/>
    <n v="34"/>
    <n v="1488"/>
    <d v="2016-03-27T19:30:00"/>
    <d v="2016-03-27T21:49:00"/>
    <n v="200"/>
    <n v="423"/>
    <n v="393"/>
    <s v="Air heater (regenerative)"/>
    <s v="F760Replaced 3A air heater guide bearing LOP motor"/>
    <s v="Mill Creek"/>
    <x v="0"/>
    <s v="Coal"/>
    <x v="2"/>
    <x v="3"/>
    <n v="3"/>
    <n v="2.3166666667093523"/>
    <n v="1.221315996870415"/>
    <n v="479.9771867700731"/>
    <n v="207.18439716312056"/>
    <x v="144"/>
  </r>
  <r>
    <x v="9"/>
    <x v="0"/>
    <n v="35"/>
    <n v="1850"/>
    <d v="2016-03-27T21:49:00"/>
    <d v="2016-03-28T08:55:00"/>
    <n v="280"/>
    <n v="423"/>
    <n v="393"/>
    <s v="Boiler water condition (not feedwater water quality)"/>
    <s v="F170High silica"/>
    <s v="Mill Creek"/>
    <x v="0"/>
    <s v="Coal"/>
    <x v="2"/>
    <x v="3"/>
    <n v="3"/>
    <n v="11.100000000034925"/>
    <n v="3.7524822695153528"/>
    <n v="1474.7255319195338"/>
    <n v="132.8581560283688"/>
    <x v="108"/>
  </r>
  <r>
    <x v="9"/>
    <x v="0"/>
    <n v="36"/>
    <n v="1850"/>
    <d v="2016-03-28T08:55:00"/>
    <d v="2016-03-29T11:43:00"/>
    <n v="250"/>
    <n v="423"/>
    <n v="393"/>
    <s v="Boiler water condition (not feedwater water quality)"/>
    <s v="F170High silica"/>
    <s v="Mill Creek"/>
    <x v="0"/>
    <s v="Coal"/>
    <x v="2"/>
    <x v="3"/>
    <n v="3"/>
    <n v="26.799999999871943"/>
    <n v="10.96075650112966"/>
    <n v="4307.5773049439567"/>
    <n v="160.73049645390071"/>
    <x v="177"/>
  </r>
  <r>
    <x v="9"/>
    <x v="0"/>
    <n v="37"/>
    <n v="1850"/>
    <d v="2016-03-29T11:43:00"/>
    <d v="2016-03-29T20:18:00"/>
    <n v="270"/>
    <n v="423"/>
    <n v="393"/>
    <s v="Boiler water condition (not feedwater water quality)"/>
    <s v="F170High silica"/>
    <s v="Mill Creek"/>
    <x v="0"/>
    <s v="Coal"/>
    <x v="2"/>
    <x v="3"/>
    <n v="3"/>
    <n v="8.5833333333721384"/>
    <n v="3.1046099290920499"/>
    <n v="1220.1117021331756"/>
    <n v="142.14893617021278"/>
    <x v="106"/>
  </r>
  <r>
    <x v="9"/>
    <x v="0"/>
    <n v="38"/>
    <n v="1850"/>
    <d v="2016-03-29T20:18:00"/>
    <d v="2016-04-01T00:06:00"/>
    <n v="320"/>
    <n v="423"/>
    <n v="393"/>
    <s v="Boiler water condition (not feedwater water quality)"/>
    <s v="F170High silica"/>
    <s v="Mill Creek"/>
    <x v="0"/>
    <s v="Coal"/>
    <x v="2"/>
    <x v="3"/>
    <n v="3"/>
    <n v="51.799999999988358"/>
    <n v="12.613238770682745"/>
    <n v="4957.0028368783187"/>
    <n v="95.695035460992912"/>
    <x v="41"/>
  </r>
  <r>
    <x v="9"/>
    <x v="4"/>
    <n v="39"/>
    <n v="3110"/>
    <d v="2016-04-01T00:06:00"/>
    <d v="2016-04-02T15:21:00"/>
    <n v="0"/>
    <n v="423"/>
    <n v="393"/>
    <s v="Condenser tube leaks"/>
    <s v="F540Condenser tube leak"/>
    <s v="Mill Creek"/>
    <x v="2"/>
    <s v="Coal"/>
    <x v="2"/>
    <x v="3"/>
    <n v="4"/>
    <n v="39.249999999941792"/>
    <n v="39.249999999941792"/>
    <n v="15425.249999977124"/>
    <n v="393"/>
    <x v="258"/>
  </r>
  <r>
    <x v="9"/>
    <x v="3"/>
    <n v="40"/>
    <n v="1850"/>
    <d v="2016-04-02T15:21:00"/>
    <d v="2016-04-02T23:21:00"/>
    <n v="0"/>
    <n v="423"/>
    <n v="393"/>
    <s v="Boiler water condition (not feedwater water quality)"/>
    <s v="FA00High silica @ Hot Start"/>
    <s v="Mill Creek"/>
    <x v="1"/>
    <s v="Coal"/>
    <x v="2"/>
    <x v="3"/>
    <n v="4"/>
    <n v="8.0000000000582077"/>
    <n v="8.0000000000582077"/>
    <n v="3144.0000000228756"/>
    <n v="393"/>
    <x v="258"/>
  </r>
  <r>
    <x v="9"/>
    <x v="0"/>
    <n v="41"/>
    <n v="1850"/>
    <d v="2016-04-02T23:21:00"/>
    <d v="2016-04-03T11:00:00"/>
    <n v="295"/>
    <n v="423"/>
    <n v="393"/>
    <s v="Boiler water condition (not feedwater water quality)"/>
    <s v="FA00High silica"/>
    <s v="Mill Creek"/>
    <x v="0"/>
    <s v="Coal"/>
    <x v="2"/>
    <x v="3"/>
    <n v="4"/>
    <n v="11.650000000081491"/>
    <n v="3.5252955082988908"/>
    <n v="1385.4411347614641"/>
    <n v="118.92198581560284"/>
    <x v="95"/>
  </r>
  <r>
    <x v="9"/>
    <x v="0"/>
    <n v="42"/>
    <n v="1850"/>
    <d v="2016-04-03T11:00:00"/>
    <d v="2016-04-04T11:34:00"/>
    <n v="325"/>
    <n v="423"/>
    <n v="393"/>
    <s v="Boiler water condition (not feedwater water quality)"/>
    <s v="FA00High silica"/>
    <s v="Mill Creek"/>
    <x v="0"/>
    <s v="Coal"/>
    <x v="2"/>
    <x v="3"/>
    <n v="4"/>
    <n v="24.566666666592937"/>
    <n v="5.6915681638915077"/>
    <n v="2236.7862884093624"/>
    <n v="91.049645390070921"/>
    <x v="42"/>
  </r>
  <r>
    <x v="9"/>
    <x v="0"/>
    <n v="43"/>
    <n v="1850"/>
    <d v="2016-04-04T11:34:00"/>
    <d v="2016-04-04T12:41:00"/>
    <n v="395"/>
    <n v="423"/>
    <n v="393"/>
    <s v="Boiler water condition (not feedwater water quality)"/>
    <s v="FA00High silica"/>
    <s v="Mill Creek"/>
    <x v="0"/>
    <s v="Coal"/>
    <x v="2"/>
    <x v="3"/>
    <n v="4"/>
    <n v="1.1166666666395031"/>
    <n v="7.3916469659352446E-2"/>
    <n v="29.04917257612551"/>
    <n v="26.01418439716312"/>
    <x v="16"/>
  </r>
  <r>
    <x v="9"/>
    <x v="0"/>
    <n v="44"/>
    <n v="1850"/>
    <d v="2016-04-04T12:41:00"/>
    <d v="2016-04-04T15:26:00"/>
    <n v="410"/>
    <n v="423"/>
    <n v="393"/>
    <s v="Boiler water condition (not feedwater water quality)"/>
    <s v="FA00High silica"/>
    <s v="Mill Creek"/>
    <x v="0"/>
    <s v="Coal"/>
    <x v="2"/>
    <x v="3"/>
    <n v="4"/>
    <n v="2.7500000000582077"/>
    <n v="8.4515366432048933E-2"/>
    <n v="33.214539007795231"/>
    <n v="12.078014184397164"/>
    <x v="24"/>
  </r>
  <r>
    <x v="9"/>
    <x v="0"/>
    <n v="45"/>
    <n v="1850"/>
    <d v="2016-04-04T15:26:00"/>
    <d v="2016-04-05T01:20:00"/>
    <n v="390"/>
    <n v="423"/>
    <n v="393"/>
    <s v="Boiler water condition (not feedwater water quality)"/>
    <s v="FA00High silica"/>
    <s v="Mill Creek"/>
    <x v="0"/>
    <s v="Coal"/>
    <x v="2"/>
    <x v="3"/>
    <n v="4"/>
    <n v="9.8999999999650754"/>
    <n v="0.77234042552919024"/>
    <n v="303.52978723297178"/>
    <n v="30.659574468085108"/>
    <x v="246"/>
  </r>
  <r>
    <x v="9"/>
    <x v="0"/>
    <n v="46"/>
    <n v="1850"/>
    <d v="2016-04-05T10:02:00"/>
    <d v="2016-04-06T00:45:00"/>
    <n v="382"/>
    <n v="423"/>
    <n v="393"/>
    <s v="Boiler water condition (not feedwater water quality)"/>
    <s v="FA00High silica"/>
    <s v="Mill Creek"/>
    <x v="0"/>
    <s v="Coal"/>
    <x v="2"/>
    <x v="3"/>
    <n v="4"/>
    <n v="14.71666666661622"/>
    <n v="1.4264381402630379"/>
    <n v="560.59018912337388"/>
    <n v="38.092198581560282"/>
    <x v="15"/>
  </r>
  <r>
    <x v="9"/>
    <x v="0"/>
    <n v="47"/>
    <n v="1850"/>
    <d v="2016-04-06T00:45:00"/>
    <d v="2016-04-06T06:58:00"/>
    <n v="400"/>
    <n v="423"/>
    <n v="393"/>
    <s v="Boiler water condition (not feedwater water quality)"/>
    <s v="FA00High silica"/>
    <s v="Mill Creek"/>
    <x v="0"/>
    <s v="Coal"/>
    <x v="2"/>
    <x v="3"/>
    <n v="4"/>
    <n v="6.2166666666744277"/>
    <n v="0.33802206461823131"/>
    <n v="132.8426713949649"/>
    <n v="21.368794326241133"/>
    <x v="168"/>
  </r>
  <r>
    <x v="9"/>
    <x v="3"/>
    <n v="48"/>
    <n v="8460"/>
    <d v="2016-04-06T10:00:00"/>
    <d v="2016-04-06T11:21:00"/>
    <n v="0"/>
    <n v="423"/>
    <n v="393"/>
    <s v="Testing A"/>
    <s v="F790Pre outage full load MATS testing"/>
    <s v="Mill Creek"/>
    <x v="1"/>
    <s v="Coal"/>
    <x v="2"/>
    <x v="3"/>
    <n v="4"/>
    <n v="1.3500000000349246"/>
    <n v="1.3500000000349246"/>
    <n v="530.55000001372537"/>
    <n v="393"/>
    <x v="258"/>
  </r>
  <r>
    <x v="9"/>
    <x v="6"/>
    <n v="49"/>
    <n v="8440"/>
    <d v="2016-04-09T14:58:00"/>
    <d v="2016-06-03T20:08:00"/>
    <n v="0"/>
    <n v="423"/>
    <n v="393"/>
    <s v="Major overhaul C"/>
    <s v="F590Planned 8 week outage Install new WFGD"/>
    <s v="Mill Creek"/>
    <x v="1"/>
    <s v="Coal"/>
    <x v="2"/>
    <x v="3"/>
    <n v="4"/>
    <n v="1325.1666666665697"/>
    <n v="1325.1666666665699"/>
    <n v="520790.49999996199"/>
    <n v="393"/>
    <x v="258"/>
  </r>
  <r>
    <x v="9"/>
    <x v="7"/>
    <n v="50"/>
    <n v="1475"/>
    <d v="2016-06-03T20:08:00"/>
    <d v="2016-06-04T16:04:00"/>
    <n v="0"/>
    <n v="423"/>
    <n v="393"/>
    <s v="Induced draft fan controls"/>
    <s v="F430Relay on breaker took out ID fans"/>
    <s v="Mill Creek"/>
    <x v="3"/>
    <s v="Coal"/>
    <x v="2"/>
    <x v="3"/>
    <n v="6"/>
    <n v="19.933333333348855"/>
    <n v="19.933333333348855"/>
    <n v="7833.8000000061002"/>
    <n v="393"/>
    <x v="258"/>
  </r>
  <r>
    <x v="9"/>
    <x v="5"/>
    <n v="51"/>
    <n v="1475"/>
    <d v="2016-06-06T11:30:00"/>
    <d v="2016-06-06T12:44:00"/>
    <n v="0"/>
    <n v="423"/>
    <n v="393"/>
    <s v="Induced draft fan controls"/>
    <s v="F660ID Fan Index Trip"/>
    <s v="Mill Creek"/>
    <x v="3"/>
    <s v="Coal"/>
    <x v="2"/>
    <x v="3"/>
    <n v="6"/>
    <n v="1.2333333333372138"/>
    <n v="1.2333333333372138"/>
    <n v="484.70000000152504"/>
    <n v="393"/>
    <x v="258"/>
  </r>
  <r>
    <x v="9"/>
    <x v="0"/>
    <n v="52"/>
    <n v="380"/>
    <d v="2016-06-08T04:14:00"/>
    <d v="2016-06-08T04:58:00"/>
    <n v="330"/>
    <n v="423"/>
    <n v="393"/>
    <s v="Light-off (igniter) systems (including fuel supply)"/>
    <s v="F4303-D mill gas guns (3D7)"/>
    <s v="Mill Creek"/>
    <x v="0"/>
    <s v="Coal"/>
    <x v="2"/>
    <x v="3"/>
    <n v="6"/>
    <n v="0.73333333327900618"/>
    <n v="0.16122931440885951"/>
    <n v="63.363120562681786"/>
    <n v="86.40425531914893"/>
    <x v="173"/>
  </r>
  <r>
    <x v="9"/>
    <x v="3"/>
    <n v="53"/>
    <n v="8010"/>
    <d v="2016-06-15T00:50:00"/>
    <d v="2016-06-15T04:42:00"/>
    <n v="0"/>
    <n v="423"/>
    <n v="393"/>
    <s v="Crushers/mills"/>
    <s v="F430Lost feed to limestone crusher, cant make slurry"/>
    <s v="Mill Creek"/>
    <x v="1"/>
    <s v="Coal"/>
    <x v="2"/>
    <x v="3"/>
    <n v="6"/>
    <n v="3.8666666666977108"/>
    <n v="3.8666666666977108"/>
    <n v="1519.6000000122003"/>
    <n v="393"/>
    <x v="258"/>
  </r>
  <r>
    <x v="9"/>
    <x v="4"/>
    <n v="54"/>
    <n v="1512"/>
    <d v="2016-06-17T00:51:00"/>
    <d v="2016-06-18T05:52:00"/>
    <n v="0"/>
    <n v="423"/>
    <n v="393"/>
    <s v="Flue gas expansion joints"/>
    <s v="F8103B ID Fan Expansion Joint Replacment"/>
    <s v="Mill Creek"/>
    <x v="2"/>
    <s v="Coal"/>
    <x v="2"/>
    <x v="3"/>
    <n v="6"/>
    <n v="29.016666666604578"/>
    <n v="29.016666666604578"/>
    <n v="11403.549999975599"/>
    <n v="393"/>
    <x v="258"/>
  </r>
  <r>
    <x v="9"/>
    <x v="5"/>
    <n v="55"/>
    <n v="1470"/>
    <d v="2016-06-25T14:58:00"/>
    <d v="2016-06-25T20:55:00"/>
    <n v="0"/>
    <n v="423"/>
    <n v="393"/>
    <s v="Induced draft fan motors and drives"/>
    <s v="F8503A ID Fan trip - high vibration"/>
    <s v="Mill Creek"/>
    <x v="3"/>
    <s v="Coal"/>
    <x v="2"/>
    <x v="3"/>
    <n v="6"/>
    <n v="5.9500000000116415"/>
    <n v="5.9500000000116415"/>
    <n v="2338.3500000045751"/>
    <n v="393"/>
    <x v="258"/>
  </r>
  <r>
    <x v="9"/>
    <x v="2"/>
    <n v="70"/>
    <n v="310"/>
    <d v="2016-07-01T00:00:00"/>
    <d v="2016-07-01T04:22:00"/>
    <n v="330"/>
    <n v="423"/>
    <n v="393"/>
    <s v="Pulverizer mills"/>
    <s v="F590B Mill Maint."/>
    <s v="Mill Creek"/>
    <x v="0"/>
    <s v="Coal"/>
    <x v="2"/>
    <x v="3"/>
    <n v="7"/>
    <n v="4.3666666665812954"/>
    <n v="0.96004728130510752"/>
    <n v="377.29858155290725"/>
    <n v="86.40425531914893"/>
    <x v="173"/>
  </r>
  <r>
    <x v="9"/>
    <x v="2"/>
    <n v="57"/>
    <n v="260"/>
    <d v="2016-07-05T23:37:00"/>
    <d v="2016-07-06T00:33:00"/>
    <n v="350"/>
    <n v="423"/>
    <n v="393"/>
    <s v="Primary air fan"/>
    <s v="F5903D PA Fan Oil Change"/>
    <s v="Mill Creek"/>
    <x v="0"/>
    <s v="Coal"/>
    <x v="2"/>
    <x v="3"/>
    <n v="7"/>
    <n v="0.93333333340706304"/>
    <n v="0.16107171002060425"/>
    <n v="63.301182038097473"/>
    <n v="67.822695035460995"/>
    <x v="208"/>
  </r>
  <r>
    <x v="9"/>
    <x v="3"/>
    <n v="58"/>
    <n v="9999"/>
    <d v="2016-07-06T00:33:00"/>
    <d v="2016-07-06T02:02:00"/>
    <n v="0"/>
    <n v="423"/>
    <n v="393"/>
    <s v="Total unit performance testing (use appropriate codes for individual component testing)"/>
    <s v="F790IHR Testing"/>
    <s v="Mill Creek"/>
    <x v="1"/>
    <s v="Coal"/>
    <x v="2"/>
    <x v="3"/>
    <n v="7"/>
    <n v="1.4833333332790062"/>
    <n v="1.4833333332790062"/>
    <n v="582.94999997864943"/>
    <n v="393"/>
    <x v="258"/>
  </r>
  <r>
    <x v="9"/>
    <x v="3"/>
    <n v="59"/>
    <n v="9999"/>
    <d v="2016-07-06T02:02:00"/>
    <d v="2016-07-06T04:00:00"/>
    <n v="0"/>
    <n v="423"/>
    <n v="393"/>
    <s v="Total unit performance testing (use appropriate codes for individual component testing)"/>
    <s v="F790IHR Testing"/>
    <s v="Mill Creek"/>
    <x v="1"/>
    <s v="Coal"/>
    <x v="2"/>
    <x v="3"/>
    <n v="7"/>
    <n v="1.96666666661622"/>
    <n v="1.96666666661622"/>
    <n v="772.89999998017447"/>
    <n v="393"/>
    <x v="258"/>
  </r>
  <r>
    <x v="9"/>
    <x v="3"/>
    <n v="60"/>
    <n v="9999"/>
    <d v="2016-07-06T04:00:00"/>
    <d v="2016-07-06T06:05:00"/>
    <n v="0"/>
    <n v="423"/>
    <n v="393"/>
    <s v="Total unit performance testing (use appropriate codes for individual component testing)"/>
    <s v="F790IHR Testing"/>
    <s v="Mill Creek"/>
    <x v="1"/>
    <s v="Coal"/>
    <x v="2"/>
    <x v="3"/>
    <n v="7"/>
    <n v="2.0833333333139308"/>
    <n v="2.0833333333139308"/>
    <n v="818.7499999923748"/>
    <n v="393"/>
    <x v="258"/>
  </r>
  <r>
    <x v="9"/>
    <x v="0"/>
    <n v="61"/>
    <n v="380"/>
    <d v="2016-07-06T14:30:00"/>
    <d v="2016-07-06T14:41:00"/>
    <n v="345"/>
    <n v="423"/>
    <n v="393"/>
    <s v="Light-off (igniter) systems (including fuel supply)"/>
    <s v="F700D mill gas gun"/>
    <s v="Mill Creek"/>
    <x v="0"/>
    <s v="Coal"/>
    <x v="2"/>
    <x v="3"/>
    <n v="7"/>
    <n v="0.18333333340706304"/>
    <n v="3.3806146585699567E-2"/>
    <n v="13.285815608179931"/>
    <n v="72.468085106382972"/>
    <x v="243"/>
  </r>
  <r>
    <x v="9"/>
    <x v="3"/>
    <n v="62"/>
    <n v="9656"/>
    <d v="2016-07-07T03:10:00"/>
    <d v="2016-07-07T03:31:00"/>
    <n v="0"/>
    <n v="423"/>
    <n v="393"/>
    <s v="Other stack or exhaust emissions testing - fossil"/>
    <s v="F790Unit Testing"/>
    <s v="Mill Creek"/>
    <x v="1"/>
    <s v="Coal"/>
    <x v="2"/>
    <x v="3"/>
    <n v="7"/>
    <n v="0.34999999991850927"/>
    <n v="0.34999999991850927"/>
    <n v="137.54999996797414"/>
    <n v="393"/>
    <x v="258"/>
  </r>
  <r>
    <x v="9"/>
    <x v="3"/>
    <n v="63"/>
    <n v="9656"/>
    <d v="2016-07-07T04:00:00"/>
    <d v="2016-07-07T05:30:00"/>
    <n v="0"/>
    <n v="423"/>
    <n v="393"/>
    <s v="Other stack or exhaust emissions testing - fossil"/>
    <s v="F790Unit Testing"/>
    <s v="Mill Creek"/>
    <x v="1"/>
    <s v="Coal"/>
    <x v="2"/>
    <x v="3"/>
    <n v="7"/>
    <n v="1.5"/>
    <n v="1.5"/>
    <n v="589.5"/>
    <n v="393"/>
    <x v="258"/>
  </r>
  <r>
    <x v="9"/>
    <x v="2"/>
    <n v="64"/>
    <n v="260"/>
    <d v="2016-07-07T21:55:00"/>
    <d v="2016-07-07T23:30:00"/>
    <n v="330"/>
    <n v="423"/>
    <n v="393"/>
    <s v="Primary air fan"/>
    <s v="F5903A PA Fan Maintenance"/>
    <s v="Mill Creek"/>
    <x v="0"/>
    <s v="Coal"/>
    <x v="2"/>
    <x v="3"/>
    <n v="7"/>
    <n v="1.5833333332557231"/>
    <n v="0.34810874702785399"/>
    <n v="136.80673758194661"/>
    <n v="86.40425531914893"/>
    <x v="173"/>
  </r>
  <r>
    <x v="9"/>
    <x v="3"/>
    <n v="65"/>
    <n v="9620"/>
    <d v="2016-07-07T23:30:00"/>
    <d v="2016-07-08T02:33:00"/>
    <n v="0"/>
    <n v="423"/>
    <n v="393"/>
    <s v="Particulate stack emissions (fossil)"/>
    <s v="F790Mid Load RATA Testing"/>
    <s v="Mill Creek"/>
    <x v="1"/>
    <s v="Coal"/>
    <x v="2"/>
    <x v="3"/>
    <n v="7"/>
    <n v="3.0499999999883585"/>
    <n v="3.0499999999883585"/>
    <n v="1198.6499999954249"/>
    <n v="393"/>
    <x v="258"/>
  </r>
  <r>
    <x v="9"/>
    <x v="3"/>
    <n v="66"/>
    <n v="9620"/>
    <d v="2016-07-08T03:21:00"/>
    <d v="2016-07-08T06:15:00"/>
    <n v="0"/>
    <n v="423"/>
    <n v="393"/>
    <s v="Particulate stack emissions (fossil)"/>
    <s v="F790Low Load RATA Testing"/>
    <s v="Mill Creek"/>
    <x v="1"/>
    <s v="Coal"/>
    <x v="2"/>
    <x v="3"/>
    <n v="7"/>
    <n v="2.9000000000232831"/>
    <n v="2.9000000000232831"/>
    <n v="1139.7000000091502"/>
    <n v="393"/>
    <x v="258"/>
  </r>
  <r>
    <x v="9"/>
    <x v="0"/>
    <n v="67"/>
    <n v="300"/>
    <d v="2016-07-10T08:53:00"/>
    <d v="2016-07-10T09:53:00"/>
    <n v="325"/>
    <n v="423"/>
    <n v="393"/>
    <s v="Pulverizer motors and drives"/>
    <s v="F7803B Mill motor stator temperature indication"/>
    <s v="Mill Creek"/>
    <x v="0"/>
    <s v="Coal"/>
    <x v="2"/>
    <x v="3"/>
    <n v="7"/>
    <n v="1.0000000001164153"/>
    <n v="0.23167848702460686"/>
    <n v="91.049645400670499"/>
    <n v="91.049645390070921"/>
    <x v="42"/>
  </r>
  <r>
    <x v="9"/>
    <x v="2"/>
    <n v="68"/>
    <n v="262"/>
    <d v="2016-07-10T23:00:00"/>
    <d v="2016-07-11T02:05:00"/>
    <n v="340"/>
    <n v="423"/>
    <n v="393"/>
    <s v="Primary air fan lube oil system"/>
    <s v="F5903C Mill Maintenance - Change oil in PA fan and inspect feeder"/>
    <s v="Mill Creek"/>
    <x v="0"/>
    <s v="Coal"/>
    <x v="2"/>
    <x v="3"/>
    <n v="7"/>
    <n v="3.0833333332557231"/>
    <n v="0.60500394009509462"/>
    <n v="237.76654845737218"/>
    <n v="77.113475177304963"/>
    <x v="128"/>
  </r>
  <r>
    <x v="9"/>
    <x v="5"/>
    <n v="69"/>
    <n v="9900"/>
    <d v="2016-07-15T02:40:00"/>
    <d v="2016-07-15T06:07:00"/>
    <n v="0"/>
    <n v="423"/>
    <n v="393"/>
    <s v="Operator error"/>
    <s v="FP00Furnace Pressure Trip"/>
    <s v="Mill Creek"/>
    <x v="3"/>
    <s v="Coal"/>
    <x v="2"/>
    <x v="3"/>
    <n v="7"/>
    <n v="3.4500000000698492"/>
    <n v="3.4500000000698492"/>
    <n v="1355.8500000274507"/>
    <n v="393"/>
    <x v="258"/>
  </r>
  <r>
    <x v="9"/>
    <x v="0"/>
    <n v="71"/>
    <n v="385"/>
    <d v="2016-07-21T05:13:00"/>
    <d v="2016-07-21T06:44:00"/>
    <n v="122"/>
    <n v="423"/>
    <n v="393"/>
    <s v="Igniters"/>
    <s v="F520Could not get D6 igniter in &amp; Lost A Mill"/>
    <s v="Mill Creek"/>
    <x v="0"/>
    <s v="Coal"/>
    <x v="2"/>
    <x v="3"/>
    <n v="7"/>
    <n v="1.5166666665463708"/>
    <n v="1.0792356185117202"/>
    <n v="424.13959807510605"/>
    <n v="279.65248226950354"/>
    <x v="56"/>
  </r>
  <r>
    <x v="9"/>
    <x v="3"/>
    <n v="72"/>
    <n v="1999"/>
    <d v="2016-07-26T23:00:00"/>
    <d v="2016-07-27T01:40:00"/>
    <n v="0"/>
    <n v="423"/>
    <n v="393"/>
    <s v="Boiler"/>
    <s v="F790Boiler Tuning"/>
    <s v="Mill Creek"/>
    <x v="1"/>
    <s v="Coal"/>
    <x v="2"/>
    <x v="3"/>
    <n v="7"/>
    <n v="2.6666666666278616"/>
    <n v="2.6666666666278616"/>
    <n v="1047.9999999847496"/>
    <n v="393"/>
    <x v="258"/>
  </r>
  <r>
    <x v="9"/>
    <x v="0"/>
    <n v="73"/>
    <n v="260"/>
    <d v="2016-07-27T06:27:00"/>
    <d v="2016-07-27T07:28:00"/>
    <n v="370"/>
    <n v="423"/>
    <n v="393"/>
    <s v="Primary air fan"/>
    <s v="F820'3C Primary Air Fan Breaker"/>
    <s v="Mill Creek"/>
    <x v="0"/>
    <s v="Coal"/>
    <x v="2"/>
    <x v="3"/>
    <n v="7"/>
    <n v="1.0166666666627862"/>
    <n v="0.12738376674498267"/>
    <n v="50.06182033077819"/>
    <n v="49.241134751773046"/>
    <x v="227"/>
  </r>
  <r>
    <x v="9"/>
    <x v="3"/>
    <n v="74"/>
    <n v="1999"/>
    <d v="2016-07-28T00:01:00"/>
    <d v="2016-07-28T02:20:00"/>
    <n v="0"/>
    <n v="423"/>
    <n v="393"/>
    <s v="Boiler"/>
    <s v="F790Boiler Tuning"/>
    <s v="Mill Creek"/>
    <x v="1"/>
    <s v="Coal"/>
    <x v="2"/>
    <x v="3"/>
    <n v="7"/>
    <n v="2.3166666665347293"/>
    <n v="2.3166666665347293"/>
    <n v="910.44999994814862"/>
    <n v="393"/>
    <x v="258"/>
  </r>
  <r>
    <x v="9"/>
    <x v="5"/>
    <n v="75"/>
    <n v="8656"/>
    <d v="2016-08-04T12:18:00"/>
    <d v="2016-08-05T02:56:00"/>
    <n v="0"/>
    <n v="423"/>
    <n v="393"/>
    <s v="Controls and instrumentation B"/>
    <s v="F410'Loss of UPS &amp; Fire on 3A oxidation air compressor"/>
    <s v="Mill Creek"/>
    <x v="3"/>
    <s v="Coal"/>
    <x v="2"/>
    <x v="3"/>
    <n v="8"/>
    <n v="14.633333333360497"/>
    <n v="14.633333333360497"/>
    <n v="5750.9000000106753"/>
    <n v="393"/>
    <x v="258"/>
  </r>
  <r>
    <x v="9"/>
    <x v="0"/>
    <n v="76"/>
    <n v="1530"/>
    <d v="2016-08-05T11:30:00"/>
    <d v="2016-08-05T11:50:00"/>
    <n v="362"/>
    <n v="423"/>
    <n v="393"/>
    <s v="Other flue gas problems"/>
    <s v="F0903B1 &amp; 3B2 O2 Prob Issues "/>
    <s v="Mill Creek"/>
    <x v="0"/>
    <s v="Coal"/>
    <x v="2"/>
    <x v="3"/>
    <n v="8"/>
    <n v="0.33333333337213844"/>
    <n v="4.8069345947282377E-2"/>
    <n v="18.891252957281974"/>
    <n v="56.673758865248224"/>
    <x v="184"/>
  </r>
  <r>
    <x v="9"/>
    <x v="3"/>
    <n v="77"/>
    <n v="4490"/>
    <d v="2016-08-17T19:30:00"/>
    <d v="2016-08-17T22:00:00"/>
    <n v="0"/>
    <n v="423"/>
    <n v="393"/>
    <s v="Turbine performance testing (use code 9999 for total unit performance testing)"/>
    <s v="F790Heat Rate Testing"/>
    <s v="Mill Creek"/>
    <x v="1"/>
    <s v="Coal"/>
    <x v="2"/>
    <x v="3"/>
    <n v="8"/>
    <n v="2.4999999999417923"/>
    <n v="2.4999999999417923"/>
    <n v="982.49999997712439"/>
    <n v="393"/>
    <x v="258"/>
  </r>
  <r>
    <x v="9"/>
    <x v="3"/>
    <n v="78"/>
    <n v="4490"/>
    <d v="2016-08-17T22:00:00"/>
    <d v="2016-08-17T23:00:00"/>
    <n v="0"/>
    <n v="423"/>
    <n v="393"/>
    <s v="Turbine performance testing (use code 9999 for total unit performance testing)"/>
    <s v="F790Heat Rate Testing"/>
    <s v="Mill Creek"/>
    <x v="1"/>
    <s v="Coal"/>
    <x v="2"/>
    <x v="3"/>
    <n v="8"/>
    <n v="1.0000000001164153"/>
    <n v="1.0000000001164153"/>
    <n v="393.00000004575122"/>
    <n v="393"/>
    <x v="258"/>
  </r>
  <r>
    <x v="9"/>
    <x v="2"/>
    <n v="79"/>
    <n v="310"/>
    <d v="2016-08-17T23:00:00"/>
    <d v="2016-08-18T00:30:00"/>
    <n v="320"/>
    <n v="423"/>
    <n v="393"/>
    <s v="Pulverizer mills"/>
    <s v="F590D Mill Maintenance"/>
    <s v="Mill Creek"/>
    <x v="0"/>
    <s v="Coal"/>
    <x v="2"/>
    <x v="3"/>
    <n v="8"/>
    <n v="1.5"/>
    <n v="0.36524822695035464"/>
    <n v="143.54255319148936"/>
    <n v="95.695035460992912"/>
    <x v="41"/>
  </r>
  <r>
    <x v="9"/>
    <x v="3"/>
    <n v="80"/>
    <n v="4490"/>
    <d v="2016-08-18T00:30:00"/>
    <d v="2016-08-18T02:30:00"/>
    <n v="0"/>
    <n v="423"/>
    <n v="393"/>
    <s v="Turbine performance testing (use code 9999 for total unit performance testing)"/>
    <s v="F790Heat Rate Testing"/>
    <s v="Mill Creek"/>
    <x v="1"/>
    <s v="Coal"/>
    <x v="2"/>
    <x v="3"/>
    <n v="8"/>
    <n v="1.9999999998835847"/>
    <n v="1.9999999998835847"/>
    <n v="785.99999995424878"/>
    <n v="393"/>
    <x v="258"/>
  </r>
  <r>
    <x v="9"/>
    <x v="0"/>
    <n v="81"/>
    <n v="260"/>
    <d v="2016-08-19T07:01:00"/>
    <d v="2016-08-19T12:02:00"/>
    <n v="330"/>
    <n v="423"/>
    <n v="393"/>
    <s v="Primary air fan"/>
    <s v="F5903B Mill PA fan air flow"/>
    <s v="Mill Creek"/>
    <x v="0"/>
    <s v="Coal"/>
    <x v="2"/>
    <x v="3"/>
    <n v="8"/>
    <n v="5.0166666666045785"/>
    <n v="1.1029550827286663"/>
    <n v="433.46134751236582"/>
    <n v="86.40425531914893"/>
    <x v="173"/>
  </r>
  <r>
    <x v="9"/>
    <x v="0"/>
    <n v="82"/>
    <n v="250"/>
    <d v="2016-08-24T14:21:00"/>
    <d v="2016-08-24T15:09:00"/>
    <n v="350"/>
    <n v="423"/>
    <n v="393"/>
    <s v="Pulverizer feeders"/>
    <s v="F8203A Mill and Feeder Trip"/>
    <s v="Mill Creek"/>
    <x v="0"/>
    <s v="Coal"/>
    <x v="2"/>
    <x v="3"/>
    <n v="8"/>
    <n v="0.79999999998835847"/>
    <n v="0.13806146571903113"/>
    <n v="54.258156027579233"/>
    <n v="67.822695035460995"/>
    <x v="208"/>
  </r>
  <r>
    <x v="9"/>
    <x v="0"/>
    <n v="83"/>
    <n v="250"/>
    <d v="2016-08-24T15:09:00"/>
    <d v="2016-08-24T17:32:00"/>
    <n v="400"/>
    <n v="423"/>
    <n v="393"/>
    <s v="Pulverizer feeders"/>
    <s v="F8203A Mill and Feeder Trip"/>
    <s v="Mill Creek"/>
    <x v="0"/>
    <s v="Coal"/>
    <x v="2"/>
    <x v="3"/>
    <n v="8"/>
    <n v="2.3833333334187046"/>
    <n v="0.12959022853104069"/>
    <n v="50.928959812698992"/>
    <n v="21.368794326241133"/>
    <x v="168"/>
  </r>
  <r>
    <x v="9"/>
    <x v="2"/>
    <n v="84"/>
    <n v="310"/>
    <d v="2016-08-25T23:00:00"/>
    <d v="2016-08-26T11:52:00"/>
    <n v="330"/>
    <n v="423"/>
    <n v="393"/>
    <s v="Pulverizer mills"/>
    <s v="F5903A Coal Mill Maintenance - Repaired Floor"/>
    <s v="Mill Creek"/>
    <x v="0"/>
    <s v="Coal"/>
    <x v="2"/>
    <x v="3"/>
    <n v="8"/>
    <n v="12.866666666523088"/>
    <n v="2.828841607533445"/>
    <n v="1111.7347517606438"/>
    <n v="86.40425531914893"/>
    <x v="173"/>
  </r>
  <r>
    <x v="9"/>
    <x v="0"/>
    <n v="85"/>
    <n v="3979"/>
    <d v="2016-08-27T12:45:00"/>
    <d v="2016-08-27T14:22:00"/>
    <n v="395"/>
    <n v="423"/>
    <n v="393"/>
    <s v="Other DCS problems"/>
    <s v="F490125v DC Issue - DCS Ground - Gave false HTR Flooding Indication, causing the HTRs "/>
    <s v="Mill Creek"/>
    <x v="0"/>
    <s v="Coal"/>
    <x v="2"/>
    <x v="3"/>
    <n v="8"/>
    <n v="1.6166666666977108"/>
    <n v="0.10701339637715343"/>
    <n v="42.056264776221298"/>
    <n v="26.01418439716312"/>
    <x v="16"/>
  </r>
  <r>
    <x v="9"/>
    <x v="2"/>
    <n v="86"/>
    <n v="310"/>
    <d v="2016-09-20T23:00:00"/>
    <d v="2016-09-21T05:51:00"/>
    <n v="330"/>
    <n v="423"/>
    <n v="393"/>
    <s v="Pulverizer mills"/>
    <s v="F5903A Mill Maintenance"/>
    <s v="Mill Creek"/>
    <x v="0"/>
    <s v="Coal"/>
    <x v="2"/>
    <x v="3"/>
    <n v="9"/>
    <n v="6.8499999999767169"/>
    <n v="1.5060283687892073"/>
    <n v="591.86914893415849"/>
    <n v="86.40425531914893"/>
    <x v="173"/>
  </r>
  <r>
    <x v="9"/>
    <x v="2"/>
    <n v="87"/>
    <n v="310"/>
    <d v="2016-09-21T23:00:00"/>
    <d v="2016-09-22T04:32:00"/>
    <n v="330"/>
    <n v="423"/>
    <n v="393"/>
    <s v="Pulverizer mills"/>
    <s v="F5903A Mill Maintenance"/>
    <s v="Mill Creek"/>
    <x v="0"/>
    <s v="Coal"/>
    <x v="2"/>
    <x v="3"/>
    <n v="9"/>
    <n v="5.533333333209157"/>
    <n v="1.2165484633296728"/>
    <n v="478.10354608856142"/>
    <n v="86.40425531914893"/>
    <x v="173"/>
  </r>
  <r>
    <x v="9"/>
    <x v="2"/>
    <n v="88"/>
    <n v="3410"/>
    <d v="2016-09-24T22:00:00"/>
    <d v="2016-09-25T05:52:00"/>
    <n v="130"/>
    <n v="423"/>
    <n v="393"/>
    <s v="Feedwater pump"/>
    <s v="F540TDFP Maintenance (Small steam leak at valve)"/>
    <s v="Mill Creek"/>
    <x v="0"/>
    <s v="Coal"/>
    <x v="2"/>
    <x v="3"/>
    <n v="9"/>
    <n v="7.8666666666395031"/>
    <n v="5.4490149724004127"/>
    <n v="2141.4628841533622"/>
    <n v="272.21985815602835"/>
    <x v="274"/>
  </r>
  <r>
    <x v="9"/>
    <x v="2"/>
    <n v="89"/>
    <n v="310"/>
    <d v="2016-09-26T23:00:00"/>
    <d v="2016-09-27T05:13:00"/>
    <n v="330"/>
    <n v="423"/>
    <n v="393"/>
    <s v="Pulverizer mills"/>
    <s v="F5903B Mill Maintenance"/>
    <s v="Mill Creek"/>
    <x v="0"/>
    <s v="Coal"/>
    <x v="2"/>
    <x v="3"/>
    <n v="9"/>
    <n v="6.2166666666744277"/>
    <n v="1.3667848699780656"/>
    <n v="537.1464539013798"/>
    <n v="86.40425531914893"/>
    <x v="173"/>
  </r>
  <r>
    <x v="9"/>
    <x v="2"/>
    <n v="90"/>
    <n v="250"/>
    <d v="2016-09-27T23:00:00"/>
    <d v="2016-09-28T05:41:00"/>
    <n v="330"/>
    <n v="423"/>
    <n v="393"/>
    <s v="Pulverizer feeders"/>
    <s v="F0903C Coal Feeder Calibration"/>
    <s v="Mill Creek"/>
    <x v="0"/>
    <s v="Coal"/>
    <x v="2"/>
    <x v="3"/>
    <n v="9"/>
    <n v="6.6833333332906477"/>
    <n v="1.4693853427802133"/>
    <n v="577.46843971262376"/>
    <n v="86.40425531914893"/>
    <x v="173"/>
  </r>
  <r>
    <x v="9"/>
    <x v="2"/>
    <n v="91"/>
    <n v="310"/>
    <d v="2016-09-28T23:00:00"/>
    <d v="2016-09-29T05:41:00"/>
    <n v="330"/>
    <n v="423"/>
    <n v="393"/>
    <s v="Pulverizer mills"/>
    <s v="F5903D Mill Inspection "/>
    <s v="Mill Creek"/>
    <x v="0"/>
    <s v="Coal"/>
    <x v="2"/>
    <x v="3"/>
    <n v="9"/>
    <n v="6.6833333332906477"/>
    <n v="1.4693853427802133"/>
    <n v="577.46843971262376"/>
    <n v="86.40425531914893"/>
    <x v="173"/>
  </r>
  <r>
    <x v="9"/>
    <x v="0"/>
    <n v="92"/>
    <n v="360"/>
    <d v="2016-10-10T07:04:00"/>
    <d v="2016-10-10T08:22:00"/>
    <n v="330"/>
    <n v="423"/>
    <n v="393"/>
    <s v="Burners"/>
    <s v="F7803A Mill Burner Temps"/>
    <s v="Mill Creek"/>
    <x v="0"/>
    <s v="Coal"/>
    <x v="2"/>
    <x v="3"/>
    <n v="10"/>
    <n v="1.3000000000465661"/>
    <n v="0.28581560284711738"/>
    <n v="112.32553191891714"/>
    <n v="86.40425531914893"/>
    <x v="173"/>
  </r>
  <r>
    <x v="9"/>
    <x v="6"/>
    <n v="93"/>
    <n v="8450"/>
    <d v="2016-10-21T22:16:00"/>
    <d v="2016-10-30T11:18:00"/>
    <n v="0"/>
    <n v="423"/>
    <n v="393"/>
    <s v="Inspection B"/>
    <s v="F590Planned Outage"/>
    <s v="Mill Creek"/>
    <x v="1"/>
    <s v="Coal"/>
    <x v="2"/>
    <x v="3"/>
    <n v="10"/>
    <n v="205.03333333338378"/>
    <n v="205.03333333338378"/>
    <n v="80578.100000019826"/>
    <n v="393"/>
    <x v="258"/>
  </r>
  <r>
    <x v="9"/>
    <x v="5"/>
    <n v="94"/>
    <n v="1480"/>
    <d v="2016-10-30T16:22:00"/>
    <d v="2016-10-30T23:30:00"/>
    <n v="0"/>
    <n v="423"/>
    <n v="393"/>
    <s v="Other induced draft fan problems"/>
    <s v="F1903A ID Fan Coolant"/>
    <s v="Mill Creek"/>
    <x v="3"/>
    <s v="Coal"/>
    <x v="2"/>
    <x v="3"/>
    <n v="10"/>
    <n v="7.1333333333604969"/>
    <n v="7.1333333333604969"/>
    <n v="2803.4000000106753"/>
    <n v="393"/>
    <x v="258"/>
  </r>
  <r>
    <x v="9"/>
    <x v="2"/>
    <n v="95"/>
    <n v="310"/>
    <d v="2016-11-07T22:30:00"/>
    <d v="2016-11-08T05:29:00"/>
    <n v="330"/>
    <n v="423"/>
    <n v="393"/>
    <s v="Pulverizer mills"/>
    <s v="F5903B Coal Mill Maintenance"/>
    <s v="Mill Creek"/>
    <x v="0"/>
    <s v="Coal"/>
    <x v="2"/>
    <x v="3"/>
    <n v="11"/>
    <n v="6.9833333333954215"/>
    <n v="1.5353427896117593"/>
    <n v="603.3897163174214"/>
    <n v="86.40425531914893"/>
    <x v="173"/>
  </r>
  <r>
    <x v="9"/>
    <x v="0"/>
    <n v="96"/>
    <n v="270"/>
    <d v="2016-11-12T07:39:00"/>
    <d v="2016-11-12T09:40:00"/>
    <n v="370"/>
    <n v="423"/>
    <n v="393"/>
    <s v="Primary air duct and dampers"/>
    <s v="F4003A Mill PA fan dampers will not operate"/>
    <s v="Mill Creek"/>
    <x v="0"/>
    <s v="Coal"/>
    <x v="2"/>
    <x v="3"/>
    <n v="11"/>
    <n v="2.0166666667792015"/>
    <n v="0.25267927503380067"/>
    <n v="99.302955088283667"/>
    <n v="49.241134751773046"/>
    <x v="227"/>
  </r>
  <r>
    <x v="9"/>
    <x v="0"/>
    <n v="97"/>
    <n v="360"/>
    <d v="2016-11-12T13:20:00"/>
    <d v="2016-11-12T14:00:00"/>
    <n v="370"/>
    <n v="423"/>
    <n v="393"/>
    <s v="Burners"/>
    <s v="F7803A Mill burner temps too high, caused dampers to close"/>
    <s v="Mill Creek"/>
    <x v="0"/>
    <s v="Coal"/>
    <x v="2"/>
    <x v="3"/>
    <n v="11"/>
    <n v="0.66666666674427688"/>
    <n v="8.3530338859212003E-2"/>
    <n v="32.827423171670318"/>
    <n v="49.241134751773046"/>
    <x v="227"/>
  </r>
  <r>
    <x v="9"/>
    <x v="5"/>
    <n v="98"/>
    <n v="9300"/>
    <d v="2016-11-14T08:45:00"/>
    <d v="2016-11-14T11:07:00"/>
    <n v="0"/>
    <n v="423"/>
    <n v="393"/>
    <s v="Transmission system problems other than catastrophes (do not include switchyard problems in this category; see codes 3600 to 3629)"/>
    <s v="F820Power Circuit Breaker Trip "/>
    <s v="Mill Creek"/>
    <x v="3"/>
    <s v="Coal"/>
    <x v="2"/>
    <x v="3"/>
    <n v="11"/>
    <n v="2.3666666665230878"/>
    <n v="2.3666666665230878"/>
    <n v="930.09999994357349"/>
    <n v="393"/>
    <x v="258"/>
  </r>
  <r>
    <x v="9"/>
    <x v="2"/>
    <n v="99"/>
    <n v="250"/>
    <d v="2016-11-17T23:00:00"/>
    <d v="2016-11-18T05:10:00"/>
    <n v="340"/>
    <n v="423"/>
    <n v="393"/>
    <s v="Pulverizer feeders"/>
    <s v="F5903B Coal Mill Maintenance"/>
    <s v="Mill Creek"/>
    <x v="0"/>
    <s v="Coal"/>
    <x v="2"/>
    <x v="3"/>
    <n v="11"/>
    <n v="6.1666666666860692"/>
    <n v="1.2100078802244534"/>
    <n v="475.53309692821017"/>
    <n v="77.113475177304963"/>
    <x v="128"/>
  </r>
  <r>
    <x v="9"/>
    <x v="0"/>
    <n v="100"/>
    <n v="264"/>
    <d v="2016-11-21T05:07:00"/>
    <d v="2016-11-21T07:33:00"/>
    <n v="330"/>
    <n v="423"/>
    <n v="393"/>
    <s v="Other primary air fan problems"/>
    <s v="F1203A PA Fan Would Not Start (clogged sensing line)"/>
    <s v="Mill Creek"/>
    <x v="0"/>
    <s v="Coal"/>
    <x v="2"/>
    <x v="3"/>
    <n v="11"/>
    <n v="2.433333333407063"/>
    <n v="0.53498817968524082"/>
    <n v="210.25035461629963"/>
    <n v="86.40425531914893"/>
    <x v="173"/>
  </r>
  <r>
    <x v="9"/>
    <x v="2"/>
    <n v="101"/>
    <n v="250"/>
    <d v="2016-12-07T23:00:00"/>
    <d v="2016-12-08T03:26:00"/>
    <n v="330"/>
    <n v="423"/>
    <n v="393"/>
    <s v="Pulverizer feeders"/>
    <s v="F5903A Mill Maintenance"/>
    <s v="Mill Creek"/>
    <x v="0"/>
    <s v="Coal"/>
    <x v="2"/>
    <x v="3"/>
    <n v="12"/>
    <n v="4.4333333332906477"/>
    <n v="0.97470449171638351"/>
    <n v="383.05886524453871"/>
    <n v="86.40425531914893"/>
    <x v="173"/>
  </r>
  <r>
    <x v="9"/>
    <x v="2"/>
    <n v="102"/>
    <n v="310"/>
    <d v="2016-12-13T23:00:00"/>
    <d v="2016-12-14T05:10:00"/>
    <n v="330"/>
    <n v="423"/>
    <n v="393"/>
    <s v="Pulverizer mills"/>
    <s v="F5903A Mill Maintenance"/>
    <s v="Mill Creek"/>
    <x v="0"/>
    <s v="Coal"/>
    <x v="2"/>
    <x v="3"/>
    <n v="12"/>
    <n v="6.1666666666860692"/>
    <n v="1.3557919621792067"/>
    <n v="532.82624113642828"/>
    <n v="86.40425531914893"/>
    <x v="173"/>
  </r>
  <r>
    <x v="9"/>
    <x v="5"/>
    <n v="103"/>
    <n v="3416"/>
    <d v="2016-12-18T18:40:00"/>
    <d v="2016-12-18T21:19:00"/>
    <n v="0"/>
    <n v="423"/>
    <n v="393"/>
    <s v="Other feedwater pump problems"/>
    <s v="F820Feedwater Flow (Tripped during TDBFP Testing)"/>
    <s v="Mill Creek"/>
    <x v="3"/>
    <s v="Coal"/>
    <x v="2"/>
    <x v="3"/>
    <n v="12"/>
    <n v="2.6499999999068677"/>
    <n v="2.6499999999068677"/>
    <n v="1041.449999963399"/>
    <n v="393"/>
    <x v="258"/>
  </r>
  <r>
    <x v="9"/>
    <x v="2"/>
    <n v="104"/>
    <n v="310"/>
    <d v="2016-12-20T23:02:00"/>
    <d v="2016-12-21T03:29:00"/>
    <n v="330"/>
    <n v="423"/>
    <n v="393"/>
    <s v="Pulverizer mills"/>
    <s v="F5903B Mill Maintenance"/>
    <s v="Mill Creek"/>
    <x v="0"/>
    <s v="Coal"/>
    <x v="2"/>
    <x v="3"/>
    <n v="12"/>
    <n v="4.4500000000116415"/>
    <n v="0.97836879432880064"/>
    <n v="384.49893617121865"/>
    <n v="86.40425531914893"/>
    <x v="173"/>
  </r>
  <r>
    <x v="9"/>
    <x v="2"/>
    <n v="1"/>
    <n v="310"/>
    <d v="2017-01-23T23:00:00"/>
    <d v="2017-01-24T08:36:00"/>
    <n v="325"/>
    <n v="423"/>
    <n v="393"/>
    <s v="Pulverizer mills"/>
    <s v="F5903A Mill Maintenance"/>
    <s v="Mill Creek"/>
    <x v="0"/>
    <s v="Coal"/>
    <x v="2"/>
    <x v="4"/>
    <n v="1"/>
    <n v="9.5999999998603016"/>
    <n v="2.2241134751449398"/>
    <n v="874.07659573196133"/>
    <n v="91.049645390070921"/>
    <x v="42"/>
  </r>
  <r>
    <x v="9"/>
    <x v="2"/>
    <n v="2"/>
    <n v="310"/>
    <d v="2017-02-01T23:00:00"/>
    <d v="2017-02-02T05:20:00"/>
    <n v="330"/>
    <n v="423"/>
    <n v="393"/>
    <s v="Pulverizer mills"/>
    <s v="F5903D Mill Maintenance"/>
    <s v="Mill Creek"/>
    <x v="0"/>
    <s v="Coal"/>
    <x v="2"/>
    <x v="4"/>
    <n v="2"/>
    <n v="6.3333333331975155"/>
    <n v="1.3924349881498084"/>
    <n v="547.22695034287472"/>
    <n v="86.40425531914893"/>
    <x v="173"/>
  </r>
  <r>
    <x v="9"/>
    <x v="2"/>
    <n v="3"/>
    <n v="310"/>
    <d v="2017-02-02T23:00:00"/>
    <d v="2017-02-03T06:40:00"/>
    <n v="330"/>
    <n v="423"/>
    <n v="393"/>
    <s v="Pulverizer mills"/>
    <s v="F5903C Mill Maintenance"/>
    <s v="Mill Creek"/>
    <x v="0"/>
    <s v="Coal"/>
    <x v="2"/>
    <x v="4"/>
    <n v="2"/>
    <n v="7.6666666666860692"/>
    <n v="1.6855791962217599"/>
    <n v="662.43262411515161"/>
    <n v="86.40425531914893"/>
    <x v="173"/>
  </r>
  <r>
    <x v="9"/>
    <x v="3"/>
    <n v="4"/>
    <n v="4490"/>
    <d v="2017-02-03T08:00:00"/>
    <d v="2017-02-03T09:23:00"/>
    <n v="0"/>
    <n v="423"/>
    <n v="393"/>
    <s v="Turbine performance testing (use code 9999 for total unit performance testing)"/>
    <s v="F790Full Load Capability Testing"/>
    <s v="Mill Creek"/>
    <x v="1"/>
    <s v="Coal"/>
    <x v="2"/>
    <x v="4"/>
    <n v="2"/>
    <n v="1.3833333333022892"/>
    <n v="1.3833333333022892"/>
    <n v="543.64999998779967"/>
    <n v="393"/>
    <x v="258"/>
  </r>
  <r>
    <x v="9"/>
    <x v="2"/>
    <n v="5"/>
    <n v="310"/>
    <d v="2017-02-05T23:00:00"/>
    <d v="2017-02-06T05:18:00"/>
    <n v="330"/>
    <n v="423"/>
    <n v="393"/>
    <s v="Pulverizer mills"/>
    <s v="F7903B Mill Maintenance"/>
    <s v="Mill Creek"/>
    <x v="0"/>
    <s v="Coal"/>
    <x v="2"/>
    <x v="4"/>
    <n v="2"/>
    <n v="6.2999999999301508"/>
    <n v="1.3851063829633665"/>
    <n v="544.34680850460302"/>
    <n v="86.40425531914893"/>
    <x v="173"/>
  </r>
  <r>
    <x v="9"/>
    <x v="3"/>
    <n v="6"/>
    <n v="9999"/>
    <d v="2017-02-09T07:30:00"/>
    <d v="2017-02-09T14:31:00"/>
    <n v="0"/>
    <n v="423"/>
    <n v="393"/>
    <s v="Total unit performance testing (use appropriate codes for individual component testing)"/>
    <s v="F790Full Load Capability Testing"/>
    <s v="Mill Creek"/>
    <x v="1"/>
    <s v="Coal"/>
    <x v="2"/>
    <x v="4"/>
    <n v="2"/>
    <n v="7.0166666666627862"/>
    <n v="7.0166666666627862"/>
    <n v="2757.549999998475"/>
    <n v="393"/>
    <x v="258"/>
  </r>
  <r>
    <x v="9"/>
    <x v="5"/>
    <n v="7"/>
    <n v="370"/>
    <d v="2017-02-26T22:49:00"/>
    <d v="2017-02-27T03:01:00"/>
    <n v="0"/>
    <n v="423"/>
    <n v="393"/>
    <s v="Burner instruments and controls (except light-off)"/>
    <s v="F820Master Fuel Trip (Lost Flame Scanner)"/>
    <s v="Mill Creek"/>
    <x v="3"/>
    <s v="Coal"/>
    <x v="2"/>
    <x v="4"/>
    <n v="2"/>
    <n v="4.2000000000698492"/>
    <n v="4.2000000000698492"/>
    <n v="1650.6000000274507"/>
    <n v="393"/>
    <x v="258"/>
  </r>
  <r>
    <x v="9"/>
    <x v="2"/>
    <n v="8"/>
    <n v="310"/>
    <d v="2017-03-05T23:37:00"/>
    <d v="2017-03-06T01:39:00"/>
    <n v="330"/>
    <n v="423"/>
    <n v="393"/>
    <s v="Pulverizer mills"/>
    <s v="F5903A Mill Maintenance"/>
    <s v="Mill Creek"/>
    <x v="0"/>
    <s v="Coal"/>
    <x v="2"/>
    <x v="4"/>
    <n v="3"/>
    <n v="2.0333333333255723"/>
    <n v="0.44704491725597689"/>
    <n v="175.68865248159892"/>
    <n v="86.40425531914893"/>
    <x v="173"/>
  </r>
  <r>
    <x v="9"/>
    <x v="3"/>
    <n v="9"/>
    <n v="370"/>
    <d v="2017-03-10T22:53:00"/>
    <d v="2017-03-11T05:58:00"/>
    <n v="0"/>
    <n v="423"/>
    <n v="393"/>
    <s v="Burner instruments and controls (except light-off)"/>
    <s v="F590Scanner Tuning - Various Loads"/>
    <s v="Mill Creek"/>
    <x v="1"/>
    <s v="Coal"/>
    <x v="2"/>
    <x v="4"/>
    <n v="3"/>
    <n v="7.0833333333721384"/>
    <n v="7.0833333333721384"/>
    <n v="2783.7500000152504"/>
    <n v="393"/>
    <x v="258"/>
  </r>
  <r>
    <x v="9"/>
    <x v="3"/>
    <n v="10"/>
    <n v="370"/>
    <d v="2017-03-11T22:32:00"/>
    <d v="2017-03-12T01:08:00"/>
    <n v="0"/>
    <n v="423"/>
    <n v="393"/>
    <s v="Burner instruments and controls (except light-off)"/>
    <s v="F590Scanner Tuning - Various Loads"/>
    <s v="Mill Creek"/>
    <x v="1"/>
    <s v="Coal"/>
    <x v="2"/>
    <x v="4"/>
    <n v="3"/>
    <n v="2.6000000000931323"/>
    <n v="2.6000000000931323"/>
    <n v="1021.800000036601"/>
    <n v="393"/>
    <x v="258"/>
  </r>
  <r>
    <x v="9"/>
    <x v="6"/>
    <n v="11"/>
    <n v="520"/>
    <d v="2017-03-17T22:03:00"/>
    <d v="2017-03-25T03:08:00"/>
    <n v="0"/>
    <n v="423"/>
    <n v="393"/>
    <s v="Other main steam valves (including vent and drain valves but not including the turbine stop valves) A"/>
    <s v="F530Planned Outage"/>
    <s v="Mill Creek"/>
    <x v="1"/>
    <s v="Coal"/>
    <x v="2"/>
    <x v="4"/>
    <n v="3"/>
    <n v="173.08333333348855"/>
    <n v="173.08333333348855"/>
    <n v="68021.750000061002"/>
    <n v="393"/>
    <x v="258"/>
  </r>
  <r>
    <x v="9"/>
    <x v="0"/>
    <n v="12"/>
    <n v="280"/>
    <d v="2017-03-25T20:15:00"/>
    <d v="2017-03-26T01:41:00"/>
    <n v="360"/>
    <n v="423"/>
    <n v="393"/>
    <s v="Pulverizer fires"/>
    <s v="F7803A Coal Mill Fire"/>
    <s v="Mill Creek"/>
    <x v="0"/>
    <s v="Coal"/>
    <x v="2"/>
    <x v="4"/>
    <n v="3"/>
    <n v="5.433333333407063"/>
    <n v="0.80921985816700936"/>
    <n v="318.02340425963467"/>
    <n v="58.531914893617021"/>
    <x v="83"/>
  </r>
  <r>
    <x v="9"/>
    <x v="3"/>
    <n v="13"/>
    <n v="1990"/>
    <d v="2017-04-17T23:09:00"/>
    <d v="2017-04-18T04:37:00"/>
    <n v="0"/>
    <n v="423"/>
    <n v="393"/>
    <s v="Boiler performance testing (use code 9999 for total unit performance testing)"/>
    <s v="F790Boiler Tuning - Various Loads"/>
    <s v="Mill Creek"/>
    <x v="1"/>
    <s v="Coal"/>
    <x v="2"/>
    <x v="4"/>
    <n v="4"/>
    <n v="5.4666666666744277"/>
    <n v="5.4666666666744277"/>
    <n v="2148.4000000030501"/>
    <n v="393"/>
    <x v="258"/>
  </r>
  <r>
    <x v="9"/>
    <x v="3"/>
    <n v="14"/>
    <n v="1990"/>
    <d v="2017-04-18T23:00:00"/>
    <d v="2017-04-19T04:45:00"/>
    <n v="0"/>
    <n v="423"/>
    <n v="393"/>
    <s v="Boiler performance testing (use code 9999 for total unit performance testing)"/>
    <s v="F790Boiler Tuning - Various Loads"/>
    <s v="Mill Creek"/>
    <x v="1"/>
    <s v="Coal"/>
    <x v="2"/>
    <x v="4"/>
    <n v="4"/>
    <n v="5.7499999998835847"/>
    <n v="5.7499999998835847"/>
    <n v="2259.7499999542488"/>
    <n v="393"/>
    <x v="258"/>
  </r>
  <r>
    <x v="9"/>
    <x v="2"/>
    <n v="15"/>
    <n v="310"/>
    <d v="2017-04-20T23:00:00"/>
    <d v="2017-04-21T03:48:00"/>
    <n v="330"/>
    <n v="423"/>
    <n v="393"/>
    <s v="Pulverizer mills"/>
    <s v="F5903A Mill Maintenance"/>
    <s v="Mill Creek"/>
    <x v="0"/>
    <s v="Coal"/>
    <x v="2"/>
    <x v="4"/>
    <n v="4"/>
    <n v="4.7999999999301508"/>
    <n v="1.0553191489208134"/>
    <n v="414.74042552587963"/>
    <n v="86.40425531914893"/>
    <x v="173"/>
  </r>
  <r>
    <x v="9"/>
    <x v="2"/>
    <n v="16"/>
    <n v="310"/>
    <d v="2017-04-23T23:00:00"/>
    <d v="2017-04-24T03:27:00"/>
    <n v="330"/>
    <n v="423"/>
    <n v="393"/>
    <s v="Pulverizer mills"/>
    <s v="F5903A Mill &amp; Feeder Maintenance"/>
    <s v="Mill Creek"/>
    <x v="0"/>
    <s v="Coal"/>
    <x v="2"/>
    <x v="4"/>
    <n v="4"/>
    <n v="4.4500000000116415"/>
    <n v="0.97836879432880064"/>
    <n v="384.49893617121865"/>
    <n v="86.40425531914893"/>
    <x v="173"/>
  </r>
  <r>
    <x v="9"/>
    <x v="2"/>
    <n v="17"/>
    <n v="310"/>
    <d v="2017-04-30T23:00:00"/>
    <d v="2017-05-01T05:00:00"/>
    <n v="340"/>
    <n v="423"/>
    <n v="393"/>
    <s v="Pulverizer mills"/>
    <s v="F5903D Mill Maintenance"/>
    <s v="Mill Creek"/>
    <x v="0"/>
    <s v="Coal"/>
    <x v="2"/>
    <x v="4"/>
    <n v="4"/>
    <n v="6"/>
    <n v="1.177304964539007"/>
    <n v="462.68085106382978"/>
    <n v="77.113475177304963"/>
    <x v="128"/>
  </r>
  <r>
    <x v="9"/>
    <x v="2"/>
    <n v="19"/>
    <n v="310"/>
    <d v="2017-05-01T22:00:00"/>
    <d v="2017-05-02T02:38:00"/>
    <n v="340"/>
    <n v="423"/>
    <n v="393"/>
    <s v="Pulverizer mills"/>
    <s v="F5903D Mill Maintenance"/>
    <s v="Mill Creek"/>
    <x v="0"/>
    <s v="Coal"/>
    <x v="2"/>
    <x v="4"/>
    <n v="5"/>
    <n v="4.6333333334187046"/>
    <n v="0.90914105596631789"/>
    <n v="357.29243499476291"/>
    <n v="77.113475177304963"/>
    <x v="128"/>
  </r>
  <r>
    <x v="9"/>
    <x v="2"/>
    <n v="20"/>
    <n v="312"/>
    <d v="2017-05-02T22:00:00"/>
    <d v="2017-05-03T04:00:00"/>
    <n v="340"/>
    <n v="423"/>
    <n v="393"/>
    <s v="Pulverizer mill classifiers"/>
    <s v="F5903D Mill Maintenance"/>
    <s v="Mill Creek"/>
    <x v="0"/>
    <s v="Coal"/>
    <x v="2"/>
    <x v="4"/>
    <n v="5"/>
    <n v="6"/>
    <n v="1.177304964539007"/>
    <n v="462.68085106382978"/>
    <n v="77.113475177304963"/>
    <x v="128"/>
  </r>
  <r>
    <x v="9"/>
    <x v="2"/>
    <n v="22"/>
    <n v="310"/>
    <d v="2017-05-03T22:00:00"/>
    <d v="2017-05-04T03:52:00"/>
    <n v="340"/>
    <n v="423"/>
    <n v="393"/>
    <s v="Pulverizer mills"/>
    <s v="F5903B Mill Maintenance"/>
    <s v="Mill Creek"/>
    <x v="0"/>
    <s v="Coal"/>
    <x v="2"/>
    <x v="4"/>
    <n v="5"/>
    <n v="5.8666666667559184"/>
    <n v="1.1511426320112086"/>
    <n v="452.39905438040495"/>
    <n v="77.113475177304963"/>
    <x v="128"/>
  </r>
  <r>
    <x v="9"/>
    <x v="2"/>
    <n v="23"/>
    <n v="310"/>
    <d v="2017-05-04T22:00:00"/>
    <d v="2017-05-05T03:47:00"/>
    <n v="340"/>
    <n v="423"/>
    <n v="393"/>
    <s v="Pulverizer mills"/>
    <s v="F5903C Mill Maintenance"/>
    <s v="Mill Creek"/>
    <x v="0"/>
    <s v="Coal"/>
    <x v="2"/>
    <x v="4"/>
    <n v="5"/>
    <n v="5.7833333333255723"/>
    <n v="1.1347911741513534"/>
    <n v="445.97293144148188"/>
    <n v="77.113475177304963"/>
    <x v="128"/>
  </r>
  <r>
    <x v="9"/>
    <x v="2"/>
    <n v="24"/>
    <n v="310"/>
    <d v="2017-05-09T22:00:00"/>
    <d v="2017-05-10T03:20:00"/>
    <n v="340"/>
    <n v="423"/>
    <n v="393"/>
    <s v="Pulverizer mills"/>
    <s v="F5903C Mill Maintenance"/>
    <s v="Mill Creek"/>
    <x v="0"/>
    <s v="Coal"/>
    <x v="2"/>
    <x v="4"/>
    <n v="5"/>
    <n v="5.3333333334303461"/>
    <n v="1.0464933018314864"/>
    <n v="411.27186761977413"/>
    <n v="77.113475177304963"/>
    <x v="128"/>
  </r>
  <r>
    <x v="9"/>
    <x v="2"/>
    <n v="25"/>
    <n v="310"/>
    <d v="2017-05-11T22:25:00"/>
    <d v="2017-05-12T04:20:00"/>
    <n v="340"/>
    <n v="423"/>
    <n v="393"/>
    <s v="Pulverizer mills"/>
    <s v="F5903A Mill Maintenance"/>
    <s v="Mill Creek"/>
    <x v="0"/>
    <s v="Coal"/>
    <x v="2"/>
    <x v="4"/>
    <n v="5"/>
    <n v="5.9166666665696539"/>
    <n v="1.1609535066791519"/>
    <n v="456.25472812490671"/>
    <n v="77.113475177304963"/>
    <x v="128"/>
  </r>
  <r>
    <x v="9"/>
    <x v="5"/>
    <n v="26"/>
    <n v="520"/>
    <d v="2017-05-20T01:17:00"/>
    <d v="2017-05-20T16:41:00"/>
    <n v="0"/>
    <n v="423"/>
    <n v="393"/>
    <s v="Other main steam valves (including vent and drain valves but not including the turbine stop valves) A"/>
    <s v="F830Main Steam Non-Return Valve Packing Leak"/>
    <s v="Mill Creek"/>
    <x v="3"/>
    <s v="Coal"/>
    <x v="2"/>
    <x v="4"/>
    <n v="5"/>
    <n v="15.400000000081491"/>
    <n v="15.400000000081491"/>
    <n v="6052.2000000320259"/>
    <n v="393"/>
    <x v="258"/>
  </r>
  <r>
    <x v="9"/>
    <x v="4"/>
    <n v="27"/>
    <n v="1487"/>
    <d v="2017-05-20T16:41:00"/>
    <d v="2017-05-23T00:01:00"/>
    <n v="0"/>
    <n v="423"/>
    <n v="393"/>
    <s v="Air heater (tubular)"/>
    <s v="FF00Clean Water Coils &amp; Boiler Deslag"/>
    <s v="Mill Creek"/>
    <x v="2"/>
    <s v="Coal"/>
    <x v="2"/>
    <x v="4"/>
    <n v="5"/>
    <n v="55.333333333313931"/>
    <n v="55.333333333313931"/>
    <n v="21745.999999992375"/>
    <n v="393"/>
    <x v="258"/>
  </r>
  <r>
    <x v="9"/>
    <x v="5"/>
    <n v="28"/>
    <n v="800"/>
    <d v="2017-05-25T06:02:00"/>
    <d v="2017-05-25T07:15:00"/>
    <n v="0"/>
    <n v="423"/>
    <n v="393"/>
    <s v="Drums and drum internals (single drum only)"/>
    <s v="F820High Drum Level (Lost B Mill)"/>
    <s v="Mill Creek"/>
    <x v="3"/>
    <s v="Coal"/>
    <x v="2"/>
    <x v="4"/>
    <n v="5"/>
    <n v="1.216666666790843"/>
    <n v="1.216666666790843"/>
    <n v="478.1500000488013"/>
    <n v="393"/>
    <x v="258"/>
  </r>
  <r>
    <x v="9"/>
    <x v="5"/>
    <n v="29"/>
    <n v="1475"/>
    <d v="2017-06-08T09:09:00"/>
    <d v="2017-06-08T12:53:00"/>
    <n v="0"/>
    <n v="423"/>
    <n v="393"/>
    <s v="Induced draft fan controls"/>
    <s v="F820ID Fan Trip"/>
    <s v="Mill Creek"/>
    <x v="3"/>
    <s v="Coal"/>
    <x v="2"/>
    <x v="4"/>
    <n v="6"/>
    <n v="3.7333333334536292"/>
    <n v="3.7333333334536292"/>
    <n v="1467.2000000472763"/>
    <n v="393"/>
    <x v="258"/>
  </r>
  <r>
    <x v="9"/>
    <x v="0"/>
    <n v="30"/>
    <n v="1850"/>
    <d v="2017-06-08T18:53:00"/>
    <d v="2017-06-08T23:27:00"/>
    <n v="355"/>
    <n v="423"/>
    <n v="393"/>
    <s v="Boiler water condition (not feedwater water quality)"/>
    <s v="F170High Silica - Startup"/>
    <s v="Mill Creek"/>
    <x v="0"/>
    <s v="Coal"/>
    <x v="2"/>
    <x v="4"/>
    <n v="6"/>
    <n v="4.5666666665347293"/>
    <n v="0.73412135537674139"/>
    <n v="288.50969266305935"/>
    <n v="63.177304964539005"/>
    <x v="187"/>
  </r>
  <r>
    <x v="9"/>
    <x v="0"/>
    <n v="31"/>
    <n v="310"/>
    <d v="2017-06-11T06:34:00"/>
    <d v="2017-06-11T07:20:00"/>
    <n v="370"/>
    <n v="423"/>
    <n v="393"/>
    <s v="Pulverizer mills"/>
    <s v="F7803C Mill Bearing Temperature Indication"/>
    <s v="Mill Creek"/>
    <x v="0"/>
    <s v="Coal"/>
    <x v="2"/>
    <x v="4"/>
    <n v="6"/>
    <n v="0.76666666672099382"/>
    <n v="9.6059889683717897E-2"/>
    <n v="37.751536645701137"/>
    <n v="49.241134751773046"/>
    <x v="227"/>
  </r>
  <r>
    <x v="9"/>
    <x v="0"/>
    <n v="32"/>
    <n v="1456"/>
    <d v="2017-06-16T14:03:00"/>
    <d v="2017-06-16T22:00:00"/>
    <n v="405"/>
    <n v="423"/>
    <n v="393"/>
    <s v="Induced draft fan dampers"/>
    <s v="F0603A ID Fan Beck Drive Linkage"/>
    <s v="Mill Creek"/>
    <x v="0"/>
    <s v="Coal"/>
    <x v="2"/>
    <x v="4"/>
    <n v="6"/>
    <n v="7.9499999998952262"/>
    <n v="0.33829787233596709"/>
    <n v="132.95106382803507"/>
    <n v="16.723404255319149"/>
    <x v="262"/>
  </r>
  <r>
    <x v="9"/>
    <x v="2"/>
    <n v="33"/>
    <n v="1456"/>
    <d v="2017-06-16T22:00:00"/>
    <d v="2017-06-16T23:45:00"/>
    <n v="200"/>
    <n v="423"/>
    <n v="393"/>
    <s v="Induced draft fan dampers"/>
    <s v="F0603A ID Fan Beck Drive Linkage"/>
    <s v="Mill Creek"/>
    <x v="0"/>
    <s v="Coal"/>
    <x v="2"/>
    <x v="4"/>
    <n v="6"/>
    <n v="1.7500000001164153"/>
    <n v="0.92257683221267284"/>
    <n v="362.57269505958044"/>
    <n v="207.18439716312056"/>
    <x v="144"/>
  </r>
  <r>
    <x v="9"/>
    <x v="0"/>
    <n v="34"/>
    <n v="380"/>
    <d v="2017-06-21T03:02:00"/>
    <d v="2017-06-21T03:33:00"/>
    <n v="230"/>
    <n v="423"/>
    <n v="393"/>
    <s v="Light-off (igniter) systems (including fuel supply)"/>
    <s v="F520Gas Gun Unavailable - Vent Line Issue"/>
    <s v="Mill Creek"/>
    <x v="0"/>
    <s v="Coal"/>
    <x v="2"/>
    <x v="4"/>
    <n v="6"/>
    <n v="0.51666666677920148"/>
    <n v="0.23573680068176331"/>
    <n v="92.644562667932973"/>
    <n v="179.31205673758865"/>
    <x v="93"/>
  </r>
  <r>
    <x v="9"/>
    <x v="0"/>
    <n v="35"/>
    <n v="310"/>
    <d v="2017-06-24T13:07:00"/>
    <d v="2017-06-24T18:00:00"/>
    <n v="365"/>
    <n v="423"/>
    <n v="393"/>
    <s v="Pulverizer mills"/>
    <s v="F0603C Coal Mill"/>
    <s v="Mill Creek"/>
    <x v="0"/>
    <s v="Coal"/>
    <x v="2"/>
    <x v="4"/>
    <n v="6"/>
    <n v="4.8833333333604969"/>
    <n v="0.66958234830947716"/>
    <n v="263.14586288562452"/>
    <n v="53.886524822695037"/>
    <x v="158"/>
  </r>
  <r>
    <x v="9"/>
    <x v="0"/>
    <n v="36"/>
    <n v="250"/>
    <d v="2017-06-25T20:50:00"/>
    <d v="2017-06-26T04:47:00"/>
    <n v="340"/>
    <n v="423"/>
    <n v="393"/>
    <s v="Pulverizer feeders"/>
    <s v="F0603C Feeder Belt"/>
    <s v="Mill Creek"/>
    <x v="0"/>
    <s v="Coal"/>
    <x v="2"/>
    <x v="4"/>
    <n v="6"/>
    <n v="7.9500000000698492"/>
    <n v="1.55992907802789"/>
    <n v="613.05212766496084"/>
    <n v="77.113475177304963"/>
    <x v="128"/>
  </r>
  <r>
    <x v="9"/>
    <x v="2"/>
    <n v="37"/>
    <n v="310"/>
    <d v="2017-07-06T23:00:00"/>
    <d v="2017-07-07T04:56:00"/>
    <n v="340"/>
    <n v="423"/>
    <n v="393"/>
    <s v="Pulverizer mills"/>
    <s v="F5903A Mill Maintenance"/>
    <s v="Mill Creek"/>
    <x v="0"/>
    <s v="Coal"/>
    <x v="2"/>
    <x v="4"/>
    <n v="7"/>
    <n v="5.9333333332906477"/>
    <n v="1.1642237982579757"/>
    <n v="457.53995271538446"/>
    <n v="77.113475177304963"/>
    <x v="128"/>
  </r>
  <r>
    <x v="9"/>
    <x v="2"/>
    <n v="38"/>
    <n v="310"/>
    <d v="2017-07-11T23:00:00"/>
    <d v="2017-07-12T04:00:00"/>
    <n v="330"/>
    <n v="423"/>
    <n v="393"/>
    <s v="Pulverizer mills"/>
    <s v="F5903B Mill Maintenance"/>
    <s v="Mill Creek"/>
    <x v="0"/>
    <s v="Coal"/>
    <x v="2"/>
    <x v="4"/>
    <n v="7"/>
    <n v="4.9999999998835847"/>
    <n v="1.099290780116249"/>
    <n v="432.02127658568588"/>
    <n v="86.40425531914893"/>
    <x v="173"/>
  </r>
  <r>
    <x v="9"/>
    <x v="2"/>
    <n v="39"/>
    <n v="310"/>
    <d v="2017-07-12T04:00:00"/>
    <d v="2017-07-12T04:53:00"/>
    <n v="330"/>
    <n v="423"/>
    <n v="393"/>
    <s v="Pulverizer mills"/>
    <s v="F5903B Mill Maintenance (Extension)"/>
    <s v="Mill Creek"/>
    <x v="0"/>
    <s v="Coal"/>
    <x v="2"/>
    <x v="4"/>
    <n v="7"/>
    <n v="0.88333333341870457"/>
    <n v="0.19420803784382867"/>
    <n v="76.323758872624666"/>
    <n v="86.40425531914893"/>
    <x v="173"/>
  </r>
  <r>
    <x v="9"/>
    <x v="0"/>
    <n v="40"/>
    <n v="250"/>
    <d v="2017-07-12T05:42:00"/>
    <d v="2017-07-12T06:28:00"/>
    <n v="320"/>
    <n v="423"/>
    <n v="393"/>
    <s v="Pulverizer feeders"/>
    <s v="F5203B Mill - Feeder Plugged Alarm"/>
    <s v="Mill Creek"/>
    <x v="0"/>
    <s v="Coal"/>
    <x v="2"/>
    <x v="4"/>
    <n v="7"/>
    <n v="0.76666666654637083"/>
    <n v="0.18668242707866714"/>
    <n v="73.366193841916186"/>
    <n v="95.695035460992912"/>
    <x v="41"/>
  </r>
  <r>
    <x v="9"/>
    <x v="2"/>
    <n v="41"/>
    <n v="310"/>
    <d v="2017-07-12T23:00:00"/>
    <d v="2017-07-13T02:51:00"/>
    <n v="320"/>
    <n v="423"/>
    <n v="393"/>
    <s v="Pulverizer mills"/>
    <s v="F5903D Mill Maintenance"/>
    <s v="Mill Creek"/>
    <x v="0"/>
    <s v="Coal"/>
    <x v="2"/>
    <x v="4"/>
    <n v="7"/>
    <n v="3.8499999999767169"/>
    <n v="0.93747044916690747"/>
    <n v="368.42588652259462"/>
    <n v="95.695035460992912"/>
    <x v="41"/>
  </r>
  <r>
    <x v="9"/>
    <x v="0"/>
    <n v="42"/>
    <n v="340"/>
    <d v="2017-07-13T02:51:00"/>
    <d v="2017-07-13T16:40:00"/>
    <n v="320"/>
    <n v="423"/>
    <n v="393"/>
    <s v="Other pulverizer problems"/>
    <s v="F0603D Mill Maintenance - Tension Cable Broken"/>
    <s v="Mill Creek"/>
    <x v="0"/>
    <s v="Coal"/>
    <x v="2"/>
    <x v="4"/>
    <n v="7"/>
    <n v="13.816666666651145"/>
    <n v="3.3643420015722647"/>
    <n v="1322.1864066179"/>
    <n v="95.695035460992912"/>
    <x v="41"/>
  </r>
  <r>
    <x v="9"/>
    <x v="2"/>
    <n v="43"/>
    <n v="310"/>
    <d v="2017-07-16T23:00:00"/>
    <d v="2017-07-17T04:00:00"/>
    <n v="350"/>
    <n v="423"/>
    <n v="393"/>
    <s v="Pulverizer mills"/>
    <s v="F5903C Mill Maintenance"/>
    <s v="Mill Creek"/>
    <x v="0"/>
    <s v="Coal"/>
    <x v="2"/>
    <x v="4"/>
    <n v="7"/>
    <n v="4.9999999998835847"/>
    <n v="0.86288416073641061"/>
    <n v="339.11347516940936"/>
    <n v="67.822695035460995"/>
    <x v="208"/>
  </r>
  <r>
    <x v="9"/>
    <x v="2"/>
    <n v="45"/>
    <n v="310"/>
    <d v="2017-07-17T22:00:00"/>
    <d v="2017-07-18T04:09:00"/>
    <n v="350"/>
    <n v="423"/>
    <n v="393"/>
    <s v="Pulverizer mills"/>
    <s v="F5903D Mill Maintenance"/>
    <s v="Mill Creek"/>
    <x v="0"/>
    <s v="Coal"/>
    <x v="2"/>
    <x v="4"/>
    <n v="7"/>
    <n v="6.1500000001396984"/>
    <n v="1.0613475177546052"/>
    <n v="417.10957447755987"/>
    <n v="67.822695035460995"/>
    <x v="208"/>
  </r>
  <r>
    <x v="9"/>
    <x v="0"/>
    <n v="46"/>
    <n v="250"/>
    <d v="2017-07-27T16:12:00"/>
    <d v="2017-07-27T17:00:00"/>
    <n v="380"/>
    <n v="423"/>
    <n v="393"/>
    <s v="Pulverizer feeders"/>
    <s v="F7003C Coal Feeder Won't Start - Water In Control Box"/>
    <s v="Mill Creek"/>
    <x v="0"/>
    <s v="Coal"/>
    <x v="2"/>
    <x v="4"/>
    <n v="7"/>
    <n v="0.79999999998835847"/>
    <n v="8.1323877067374498E-2"/>
    <n v="31.960283687478178"/>
    <n v="39.950354609929079"/>
    <x v="157"/>
  </r>
  <r>
    <x v="9"/>
    <x v="2"/>
    <n v="47"/>
    <n v="590"/>
    <d v="2017-08-04T21:30:00"/>
    <d v="2017-08-05T10:00:00"/>
    <n v="116"/>
    <n v="423"/>
    <n v="393"/>
    <s v="Desuperheater/attemperator valves"/>
    <s v="F540Repair Packing On SH Spray Block Valve"/>
    <s v="Mill Creek"/>
    <x v="0"/>
    <s v="Coal"/>
    <x v="2"/>
    <x v="4"/>
    <n v="8"/>
    <n v="12.499999999883585"/>
    <n v="9.0721040188280391"/>
    <n v="3565.3368793994196"/>
    <n v="285.22695035460993"/>
    <x v="77"/>
  </r>
  <r>
    <x v="9"/>
    <x v="2"/>
    <n v="48"/>
    <n v="310"/>
    <d v="2017-08-07T23:37:00"/>
    <d v="2017-08-08T04:24:00"/>
    <n v="320"/>
    <n v="423"/>
    <n v="393"/>
    <s v="Pulverizer mills"/>
    <s v="F5903A Mill Maintenance"/>
    <s v="Mill Creek"/>
    <x v="0"/>
    <s v="Coal"/>
    <x v="2"/>
    <x v="4"/>
    <n v="8"/>
    <n v="4.78333333338378"/>
    <n v="1.1647360126206368"/>
    <n v="457.74125295991024"/>
    <n v="95.695035460992912"/>
    <x v="41"/>
  </r>
  <r>
    <x v="9"/>
    <x v="2"/>
    <n v="49"/>
    <n v="310"/>
    <d v="2017-08-08T21:46:00"/>
    <d v="2017-08-09T00:53:00"/>
    <n v="320"/>
    <n v="423"/>
    <n v="393"/>
    <s v="Pulverizer mills"/>
    <s v="F5903C Mill Maintenance"/>
    <s v="Mill Creek"/>
    <x v="0"/>
    <s v="Coal"/>
    <x v="2"/>
    <x v="4"/>
    <n v="8"/>
    <n v="3.1166666666977108"/>
    <n v="0.75890464933774049"/>
    <n v="298.24952718973202"/>
    <n v="95.695035460992912"/>
    <x v="41"/>
  </r>
  <r>
    <x v="9"/>
    <x v="0"/>
    <n v="50"/>
    <n v="310"/>
    <d v="2017-08-09T00:53:00"/>
    <d v="2017-08-09T05:16:00"/>
    <n v="225"/>
    <n v="423"/>
    <n v="393"/>
    <s v="Pulverizer mills"/>
    <s v="F6203C Mill Maint. &amp; 3A Coal Mill Inspection For Suspected Light Off During Purge"/>
    <s v="Mill Creek"/>
    <x v="0"/>
    <s v="Coal"/>
    <x v="2"/>
    <x v="4"/>
    <n v="8"/>
    <n v="4.3833333333022892"/>
    <n v="2.0517730496308588"/>
    <n v="806.34680850492748"/>
    <n v="183.95744680851064"/>
    <x v="186"/>
  </r>
  <r>
    <x v="9"/>
    <x v="0"/>
    <n v="51"/>
    <n v="310"/>
    <d v="2017-08-09T05:16:00"/>
    <d v="2017-08-09T06:25:00"/>
    <n v="330"/>
    <n v="423"/>
    <n v="393"/>
    <s v="Pulverizer mills"/>
    <s v="F5303A Coal Mill Inspection For Suspected Light Off During Purge (Debris Found)"/>
    <s v="Mill Creek"/>
    <x v="0"/>
    <s v="Coal"/>
    <x v="2"/>
    <x v="4"/>
    <n v="8"/>
    <n v="1.1499999999068677"/>
    <n v="0.25283687941214822"/>
    <n v="99.364893608974256"/>
    <n v="86.40425531914893"/>
    <x v="173"/>
  </r>
  <r>
    <x v="9"/>
    <x v="2"/>
    <n v="52"/>
    <n v="310"/>
    <d v="2017-08-09T22:00:00"/>
    <d v="2017-08-10T01:47:00"/>
    <n v="330"/>
    <n v="423"/>
    <n v="393"/>
    <s v="Pulverizer mills"/>
    <s v="F5903D Mill Maintenance"/>
    <s v="Mill Creek"/>
    <x v="0"/>
    <s v="Coal"/>
    <x v="2"/>
    <x v="4"/>
    <n v="8"/>
    <n v="3.7833333334419876"/>
    <n v="0.83179669033121717"/>
    <n v="326.89609930016837"/>
    <n v="86.40425531914893"/>
    <x v="173"/>
  </r>
  <r>
    <x v="9"/>
    <x v="2"/>
    <n v="53"/>
    <n v="310"/>
    <d v="2017-08-13T23:00:00"/>
    <d v="2017-08-14T01:20:00"/>
    <n v="320"/>
    <n v="423"/>
    <n v="393"/>
    <s v="Pulverizer mills"/>
    <s v="F5903D Mill Maintenance"/>
    <s v="Mill Creek"/>
    <x v="0"/>
    <s v="Coal"/>
    <x v="2"/>
    <x v="4"/>
    <n v="8"/>
    <n v="2.3333333332557231"/>
    <n v="0.56816390857054255"/>
    <n v="223.28841606822323"/>
    <n v="95.695035460992912"/>
    <x v="41"/>
  </r>
  <r>
    <x v="9"/>
    <x v="2"/>
    <n v="54"/>
    <n v="310"/>
    <d v="2017-08-15T22:00:00"/>
    <d v="2017-08-16T04:30:00"/>
    <n v="330"/>
    <n v="423"/>
    <n v="393"/>
    <s v="Pulverizer mills"/>
    <s v="F5903D Mill Maintenance"/>
    <s v="Mill Creek"/>
    <x v="0"/>
    <s v="Coal"/>
    <x v="2"/>
    <x v="4"/>
    <n v="8"/>
    <n v="6.5000000000582077"/>
    <n v="1.4290780141971946"/>
    <n v="561.6276595794975"/>
    <n v="86.40425531914893"/>
    <x v="173"/>
  </r>
  <r>
    <x v="9"/>
    <x v="2"/>
    <n v="56"/>
    <n v="260"/>
    <d v="2017-08-17T22:00:00"/>
    <d v="2017-08-18T01:18:00"/>
    <n v="330"/>
    <n v="423"/>
    <n v="393"/>
    <s v="Primary air fan"/>
    <s v="F5903A Mill PA Fan Maintenance"/>
    <s v="Mill Creek"/>
    <x v="0"/>
    <s v="Coal"/>
    <x v="2"/>
    <x v="4"/>
    <n v="8"/>
    <n v="3.3000000001047738"/>
    <n v="0.72553191491665237"/>
    <n v="285.13404256224436"/>
    <n v="86.40425531914893"/>
    <x v="173"/>
  </r>
  <r>
    <x v="9"/>
    <x v="0"/>
    <n v="57"/>
    <n v="3210"/>
    <d v="2017-08-20T13:43:00"/>
    <d v="2017-08-20T17:55:00"/>
    <n v="400"/>
    <n v="423"/>
    <n v="393"/>
    <s v="Circulating water pumps"/>
    <s v="F660High Back Pressure"/>
    <s v="Mill Creek"/>
    <x v="0"/>
    <s v="Coal"/>
    <x v="2"/>
    <x v="4"/>
    <n v="8"/>
    <n v="4.2000000000698492"/>
    <n v="0.22836879433003909"/>
    <n v="89.748936171705367"/>
    <n v="21.368794326241133"/>
    <x v="168"/>
  </r>
  <r>
    <x v="9"/>
    <x v="0"/>
    <n v="58"/>
    <n v="3210"/>
    <d v="2017-08-21T12:40:00"/>
    <d v="2017-08-21T15:00:00"/>
    <n v="406"/>
    <n v="423"/>
    <n v="393"/>
    <s v="Circulating water pumps"/>
    <s v="F660High Back Pressure - Low Circulating Water Flow"/>
    <s v="Mill Creek"/>
    <x v="0"/>
    <s v="Coal"/>
    <x v="2"/>
    <x v="4"/>
    <n v="8"/>
    <n v="2.3333333332557231"/>
    <n v="9.3774625686400215E-2"/>
    <n v="36.853427894755285"/>
    <n v="15.794326241134751"/>
    <x v="167"/>
  </r>
  <r>
    <x v="9"/>
    <x v="0"/>
    <n v="59"/>
    <n v="3210"/>
    <d v="2017-08-21T15:00:00"/>
    <d v="2017-08-22T05:30:00"/>
    <n v="400"/>
    <n v="423"/>
    <n v="393"/>
    <s v="Circulating water pumps"/>
    <s v="F660High Back Pressure - Low Circulating Water Flow"/>
    <s v="Mill Creek"/>
    <x v="0"/>
    <s v="Coal"/>
    <x v="2"/>
    <x v="4"/>
    <n v="8"/>
    <n v="14.499999999941792"/>
    <n v="0.78841607564695326"/>
    <n v="309.84751772925262"/>
    <n v="21.368794326241133"/>
    <x v="168"/>
  </r>
  <r>
    <x v="9"/>
    <x v="0"/>
    <n v="60"/>
    <n v="3210"/>
    <d v="2017-08-22T08:15:00"/>
    <d v="2017-08-22T14:19:00"/>
    <n v="400"/>
    <n v="423"/>
    <n v="393"/>
    <s v="Circulating water pumps"/>
    <s v="F660High Back Pressure - Low Circulating Water Flow"/>
    <s v="Mill Creek"/>
    <x v="0"/>
    <s v="Coal"/>
    <x v="2"/>
    <x v="4"/>
    <n v="8"/>
    <n v="6.0666666667093523"/>
    <n v="0.32986603625133593"/>
    <n v="129.63735224677501"/>
    <n v="21.368794326241133"/>
    <x v="168"/>
  </r>
  <r>
    <x v="9"/>
    <x v="2"/>
    <n v="61"/>
    <n v="3210"/>
    <d v="2017-08-22T23:00:00"/>
    <d v="2017-08-22T23:35:00"/>
    <n v="200"/>
    <n v="423"/>
    <n v="393"/>
    <s v="Circulating water pumps"/>
    <s v="F6603A CTP Removed From Service"/>
    <s v="Mill Creek"/>
    <x v="0"/>
    <s v="Coal"/>
    <x v="2"/>
    <x v="4"/>
    <n v="8"/>
    <n v="0.58333333331393078"/>
    <n v="0.30752561070687129"/>
    <n v="120.85756500780042"/>
    <n v="207.18439716312056"/>
    <x v="144"/>
  </r>
  <r>
    <x v="9"/>
    <x v="2"/>
    <n v="62"/>
    <n v="3210"/>
    <d v="2017-08-23T23:00:00"/>
    <d v="2017-08-24T02:00:00"/>
    <n v="200"/>
    <n v="423"/>
    <n v="393"/>
    <s v="Circulating water pumps"/>
    <s v="F6603A CTP Removed From Service"/>
    <s v="Mill Creek"/>
    <x v="0"/>
    <s v="Coal"/>
    <x v="2"/>
    <x v="4"/>
    <n v="8"/>
    <n v="3"/>
    <n v="1.5815602836879432"/>
    <n v="621.55319148936167"/>
    <n v="207.18439716312056"/>
    <x v="144"/>
  </r>
  <r>
    <x v="9"/>
    <x v="2"/>
    <n v="63"/>
    <n v="310"/>
    <d v="2017-08-29T01:32:00"/>
    <d v="2017-08-29T03:04:00"/>
    <n v="350"/>
    <n v="423"/>
    <n v="393"/>
    <s v="Pulverizer mills"/>
    <s v="F5903A Mill Maintenance"/>
    <s v="Mill Creek"/>
    <x v="0"/>
    <s v="Coal"/>
    <x v="2"/>
    <x v="4"/>
    <n v="8"/>
    <n v="1.5333333334419876"/>
    <n v="0.26461780931741158"/>
    <n v="103.99479906174275"/>
    <n v="67.822695035460995"/>
    <x v="208"/>
  </r>
  <r>
    <x v="9"/>
    <x v="2"/>
    <n v="64"/>
    <n v="310"/>
    <d v="2017-08-31T22:43:00"/>
    <d v="2017-09-01T03:19:00"/>
    <n v="325"/>
    <n v="423"/>
    <n v="393"/>
    <s v="Pulverizer mills"/>
    <s v="F5903A Mill Maintenance"/>
    <s v="Mill Creek"/>
    <x v="0"/>
    <s v="Coal"/>
    <x v="2"/>
    <x v="4"/>
    <n v="8"/>
    <n v="4.5999999999767169"/>
    <n v="1.0657210401837311"/>
    <n v="418.82836879220633"/>
    <n v="91.049645390070921"/>
    <x v="42"/>
  </r>
  <r>
    <x v="9"/>
    <x v="0"/>
    <n v="65"/>
    <n v="3210"/>
    <d v="2017-09-20T12:52:00"/>
    <d v="2017-09-20T20:47:00"/>
    <n v="399"/>
    <n v="423"/>
    <n v="393"/>
    <s v="Circulating water pumps"/>
    <s v="F660High Back Pressure - Low Circulating Water Flow"/>
    <s v="Mill Creek"/>
    <x v="0"/>
    <s v="Coal"/>
    <x v="2"/>
    <x v="4"/>
    <n v="9"/>
    <n v="7.9166666666278616"/>
    <n v="0.4491725768299496"/>
    <n v="176.52482269417018"/>
    <n v="22.297872340425531"/>
    <x v="7"/>
  </r>
  <r>
    <x v="9"/>
    <x v="0"/>
    <n v="66"/>
    <n v="3210"/>
    <d v="2017-09-21T13:00:00"/>
    <d v="2017-09-21T20:37:00"/>
    <n v="403"/>
    <n v="423"/>
    <n v="393"/>
    <s v="Circulating water pumps"/>
    <s v="F660High Back Pressure - Low Circulating Water Flow"/>
    <s v="Mill Creek"/>
    <x v="0"/>
    <s v="Coal"/>
    <x v="2"/>
    <x v="4"/>
    <n v="9"/>
    <n v="7.6166666666977108"/>
    <n v="0.36012608353180664"/>
    <n v="141.529550828"/>
    <n v="18.581560283687942"/>
    <x v="54"/>
  </r>
  <r>
    <x v="9"/>
    <x v="0"/>
    <n v="67"/>
    <n v="3210"/>
    <d v="2017-09-22T12:00:00"/>
    <d v="2017-09-22T21:18:00"/>
    <n v="404"/>
    <n v="423"/>
    <n v="393"/>
    <s v="Circulating water pumps"/>
    <s v="F660High Back Pressure - Low Circulating Water Flow"/>
    <s v="Mill Creek"/>
    <x v="0"/>
    <s v="Coal"/>
    <x v="2"/>
    <x v="4"/>
    <n v="9"/>
    <n v="9.2999999999301508"/>
    <n v="0.41773049645076327"/>
    <n v="164.16808510514997"/>
    <n v="17.652482269503547"/>
    <x v="5"/>
  </r>
  <r>
    <x v="9"/>
    <x v="2"/>
    <n v="68"/>
    <n v="250"/>
    <d v="2017-09-24T22:00:00"/>
    <d v="2017-09-25T03:35:00"/>
    <n v="325"/>
    <n v="423"/>
    <n v="393"/>
    <s v="Pulverizer feeders"/>
    <s v="F5903B Feeder Belt Replacment"/>
    <s v="Mill Creek"/>
    <x v="0"/>
    <s v="Coal"/>
    <x v="2"/>
    <x v="4"/>
    <n v="9"/>
    <n v="5.5833333333721384"/>
    <n v="1.2935382190791243"/>
    <n v="508.36052009809583"/>
    <n v="91.049645390070921"/>
    <x v="42"/>
  </r>
  <r>
    <x v="9"/>
    <x v="0"/>
    <n v="69"/>
    <n v="3210"/>
    <d v="2017-09-25T12:26:00"/>
    <d v="2017-09-25T18:52:00"/>
    <n v="407"/>
    <n v="423"/>
    <n v="393"/>
    <s v="Circulating water pumps"/>
    <s v="F660High Back Pressure - Low Circulating Water Flow"/>
    <s v="Mill Creek"/>
    <x v="0"/>
    <s v="Coal"/>
    <x v="2"/>
    <x v="4"/>
    <n v="9"/>
    <n v="6.4333333333488554"/>
    <n v="0.24334121355456664"/>
    <n v="95.633096926944688"/>
    <n v="14.865248226950355"/>
    <x v="169"/>
  </r>
  <r>
    <x v="9"/>
    <x v="0"/>
    <n v="70"/>
    <n v="3210"/>
    <d v="2017-09-27T11:22:00"/>
    <d v="2017-09-27T22:33:00"/>
    <n v="410"/>
    <n v="423"/>
    <n v="393"/>
    <s v="Circulating water pumps"/>
    <s v="F660High Back Pressure - Low Circulating Water Flow"/>
    <s v="Mill Creek"/>
    <x v="0"/>
    <s v="Coal"/>
    <x v="2"/>
    <x v="4"/>
    <n v="9"/>
    <n v="11.183333333290648"/>
    <n v="0.34369582348174565"/>
    <n v="135.07245862832605"/>
    <n v="12.078014184397164"/>
    <x v="24"/>
  </r>
  <r>
    <x v="9"/>
    <x v="2"/>
    <n v="71"/>
    <n v="335"/>
    <d v="2017-09-29T22:00:00"/>
    <d v="2017-09-30T07:12:00"/>
    <n v="330"/>
    <n v="423"/>
    <n v="393"/>
    <s v="Pulverizer lube oil system"/>
    <s v="F5903B Mill Maintenance - Change oil in rollers"/>
    <s v="Mill Creek"/>
    <x v="0"/>
    <s v="Coal"/>
    <x v="2"/>
    <x v="4"/>
    <n v="9"/>
    <n v="9.2000000001280569"/>
    <n v="2.0226950354891473"/>
    <n v="794.91914894723493"/>
    <n v="86.40425531914893"/>
    <x v="173"/>
  </r>
  <r>
    <x v="9"/>
    <x v="2"/>
    <n v="72"/>
    <n v="335"/>
    <d v="2017-09-30T22:00:00"/>
    <d v="2017-10-01T05:15:00"/>
    <n v="330"/>
    <n v="423"/>
    <n v="393"/>
    <s v="Pulverizer lube oil system"/>
    <s v="F5903D Mill Maintenance - Change oil in rollers"/>
    <s v="Mill Creek"/>
    <x v="0"/>
    <s v="Coal"/>
    <x v="2"/>
    <x v="4"/>
    <n v="9"/>
    <n v="7.2500000000582077"/>
    <n v="1.5939716312184713"/>
    <n v="626.43085106885917"/>
    <n v="86.40425531914893"/>
    <x v="173"/>
  </r>
  <r>
    <x v="9"/>
    <x v="0"/>
    <n v="73"/>
    <n v="385"/>
    <d v="2017-10-01T05:50:00"/>
    <d v="2017-10-01T06:08:00"/>
    <n v="350"/>
    <n v="423"/>
    <n v="393"/>
    <s v="Igniters"/>
    <s v="F5203B Mill Gas Guns"/>
    <s v="Mill Creek"/>
    <x v="0"/>
    <s v="Coal"/>
    <x v="2"/>
    <x v="4"/>
    <n v="10"/>
    <n v="0.30000000010477379"/>
    <n v="5.1773049663471599E-2"/>
    <n v="20.346808517744339"/>
    <n v="67.822695035460995"/>
    <x v="208"/>
  </r>
  <r>
    <x v="9"/>
    <x v="0"/>
    <n v="74"/>
    <n v="310"/>
    <d v="2017-10-09T04:48:00"/>
    <d v="2017-10-09T05:42:00"/>
    <n v="330"/>
    <n v="423"/>
    <n v="393"/>
    <s v="Pulverizer mills"/>
    <s v="F5903D Coal Mill Unavailable (No call to dispatch)"/>
    <s v="Mill Creek"/>
    <x v="0"/>
    <s v="Coal"/>
    <x v="2"/>
    <x v="4"/>
    <n v="10"/>
    <n v="0.90000000013969839"/>
    <n v="0.19787234045624574"/>
    <n v="77.763829799304574"/>
    <n v="86.40425531914893"/>
    <x v="173"/>
  </r>
  <r>
    <x v="9"/>
    <x v="2"/>
    <n v="75"/>
    <n v="310"/>
    <d v="2017-10-09T23:00:00"/>
    <d v="2017-10-10T04:01:00"/>
    <n v="330"/>
    <n v="423"/>
    <n v="393"/>
    <s v="Pulverizer mills"/>
    <s v="F5903C Mill Maintenance"/>
    <s v="Mill Creek"/>
    <x v="0"/>
    <s v="Coal"/>
    <x v="2"/>
    <x v="4"/>
    <n v="10"/>
    <n v="5.0166666666045785"/>
    <n v="1.1029550827286663"/>
    <n v="433.46134751236582"/>
    <n v="86.40425531914893"/>
    <x v="173"/>
  </r>
  <r>
    <x v="9"/>
    <x v="2"/>
    <n v="77"/>
    <n v="310"/>
    <d v="2017-10-10T22:30:00"/>
    <d v="2017-10-11T03:31:00"/>
    <n v="330"/>
    <n v="423"/>
    <n v="393"/>
    <s v="Pulverizer mills"/>
    <s v="F5903B Mill Maintenance"/>
    <s v="Mill Creek"/>
    <x v="0"/>
    <s v="Coal"/>
    <x v="2"/>
    <x v="4"/>
    <n v="10"/>
    <n v="5.0166666666045785"/>
    <n v="1.1029550827286663"/>
    <n v="433.46134751236582"/>
    <n v="86.40425531914893"/>
    <x v="173"/>
  </r>
  <r>
    <x v="9"/>
    <x v="0"/>
    <n v="78"/>
    <n v="335"/>
    <d v="2017-10-11T05:09:00"/>
    <d v="2017-10-11T05:40:00"/>
    <n v="340"/>
    <n v="423"/>
    <n v="393"/>
    <s v="Pulverizer lube oil system"/>
    <s v="F6603B Mill Maintenance - Lube Oil Pump"/>
    <s v="Mill Creek"/>
    <x v="0"/>
    <s v="Coal"/>
    <x v="2"/>
    <x v="4"/>
    <n v="10"/>
    <n v="0.5166666666045785"/>
    <n v="0.10137903860089838"/>
    <n v="39.84196217015306"/>
    <n v="77.113475177304963"/>
    <x v="128"/>
  </r>
  <r>
    <x v="9"/>
    <x v="2"/>
    <n v="79"/>
    <n v="310"/>
    <d v="2017-10-11T21:45:00"/>
    <d v="2017-10-12T03:17:00"/>
    <n v="340"/>
    <n v="423"/>
    <n v="393"/>
    <s v="Pulverizer mills"/>
    <s v="F5903A Mill Maintenance"/>
    <s v="Mill Creek"/>
    <x v="0"/>
    <s v="Coal"/>
    <x v="2"/>
    <x v="4"/>
    <n v="10"/>
    <n v="5.53333333338378"/>
    <n v="1.0857368006403161"/>
    <n v="426.69456265164422"/>
    <n v="77.113475177304963"/>
    <x v="128"/>
  </r>
  <r>
    <x v="9"/>
    <x v="0"/>
    <n v="80"/>
    <n v="250"/>
    <d v="2017-11-01T12:06:00"/>
    <d v="2017-11-01T12:57:00"/>
    <n v="340"/>
    <n v="423"/>
    <n v="393"/>
    <s v="Pulverizer feeders"/>
    <s v="F1203C Coal Feeder - Wet Coal"/>
    <s v="Mill Creek"/>
    <x v="0"/>
    <s v="Coal"/>
    <x v="2"/>
    <x v="4"/>
    <n v="11"/>
    <n v="0.84999999997671694"/>
    <n v="0.16678486997179079"/>
    <n v="65.546453898913782"/>
    <n v="77.113475177304963"/>
    <x v="128"/>
  </r>
  <r>
    <x v="9"/>
    <x v="0"/>
    <n v="81"/>
    <n v="3210"/>
    <d v="2017-11-05T23:35:00"/>
    <d v="2017-11-06T02:40:00"/>
    <n v="375"/>
    <n v="423"/>
    <n v="393"/>
    <s v="Circulating water pumps"/>
    <s v="F660High Back Pressure - Low Circulating Water Flow"/>
    <s v="Mill Creek"/>
    <x v="0"/>
    <s v="Coal"/>
    <x v="2"/>
    <x v="4"/>
    <n v="11"/>
    <n v="3.0833333332557231"/>
    <n v="0.34988179668150049"/>
    <n v="137.50354609582971"/>
    <n v="44.595744680851062"/>
    <x v="23"/>
  </r>
  <r>
    <x v="9"/>
    <x v="3"/>
    <n v="82"/>
    <n v="3690"/>
    <d v="2017-11-12T12:00:00"/>
    <d v="2017-11-12T13:51:00"/>
    <n v="0"/>
    <n v="423"/>
    <n v="393"/>
    <s v="Station Service Power Distribution System - General"/>
    <s v="F610MC4 Controls Work"/>
    <s v="Mill Creek"/>
    <x v="1"/>
    <s v="Coal"/>
    <x v="2"/>
    <x v="4"/>
    <n v="11"/>
    <n v="1.8499999999185093"/>
    <n v="1.8499999999185093"/>
    <n v="727.04999996797414"/>
    <n v="393"/>
    <x v="258"/>
  </r>
  <r>
    <x v="9"/>
    <x v="2"/>
    <n v="83"/>
    <n v="260"/>
    <d v="2017-11-21T23:00:00"/>
    <d v="2017-11-22T04:00:00"/>
    <n v="325"/>
    <n v="423"/>
    <n v="393"/>
    <s v="Primary air fan"/>
    <s v="F5903B PA Fan Maintenance"/>
    <s v="Mill Creek"/>
    <x v="0"/>
    <s v="Coal"/>
    <x v="2"/>
    <x v="4"/>
    <n v="11"/>
    <n v="4.9999999998835847"/>
    <n v="1.1583924349612087"/>
    <n v="455.248226939755"/>
    <n v="91.049645390070921"/>
    <x v="42"/>
  </r>
  <r>
    <x v="9"/>
    <x v="3"/>
    <n v="85"/>
    <n v="3650"/>
    <d v="2017-11-24T09:00:00"/>
    <d v="2017-11-24T14:25:00"/>
    <n v="0"/>
    <n v="423"/>
    <n v="393"/>
    <s v="DC instrument power battery chargers"/>
    <s v="F790Placing New Batteries in Service (Unit 4)"/>
    <s v="Mill Creek"/>
    <x v="1"/>
    <s v="Coal"/>
    <x v="2"/>
    <x v="4"/>
    <n v="11"/>
    <n v="5.4166666666860692"/>
    <n v="5.4166666666860692"/>
    <n v="2128.7500000076252"/>
    <n v="393"/>
    <x v="258"/>
  </r>
  <r>
    <x v="9"/>
    <x v="5"/>
    <n v="86"/>
    <n v="110"/>
    <d v="2017-11-25T02:32:00"/>
    <d v="2017-11-25T16:52:00"/>
    <n v="0"/>
    <n v="423"/>
    <n v="393"/>
    <s v="Other coal fuel supply problems up through bunkers"/>
    <s v="F490Coal Supply To Bunker Issues - Conveyor"/>
    <s v="Mill Creek"/>
    <x v="3"/>
    <s v="Coal"/>
    <x v="2"/>
    <x v="4"/>
    <n v="11"/>
    <n v="14.333333333255723"/>
    <n v="14.333333333255723"/>
    <n v="5632.9999999694992"/>
    <n v="393"/>
    <x v="258"/>
  </r>
  <r>
    <x v="9"/>
    <x v="0"/>
    <n v="87"/>
    <n v="1850"/>
    <d v="2017-11-26T01:20:00"/>
    <d v="2017-11-26T03:05:00"/>
    <n v="385"/>
    <n v="423"/>
    <n v="393"/>
    <s v="Boiler water condition (not feedwater water quality)"/>
    <s v="F170High Silica - Startup"/>
    <s v="Mill Creek"/>
    <x v="0"/>
    <s v="Coal"/>
    <x v="2"/>
    <x v="4"/>
    <n v="11"/>
    <n v="1.7499999999417923"/>
    <n v="0.15721040188602389"/>
    <n v="61.78368794120739"/>
    <n v="35.304964539007095"/>
    <x v="139"/>
  </r>
  <r>
    <x v="9"/>
    <x v="3"/>
    <n v="88"/>
    <n v="4842"/>
    <d v="2017-12-05T13:58:00"/>
    <d v="2017-12-05T15:49:00"/>
    <n v="0"/>
    <n v="423"/>
    <n v="393"/>
    <s v="Reactive and capability testing"/>
    <s v="F790MOD 36 Testing - Out of AGC"/>
    <s v="Mill Creek"/>
    <x v="1"/>
    <s v="Coal"/>
    <x v="2"/>
    <x v="4"/>
    <n v="12"/>
    <n v="1.8500000000931323"/>
    <n v="1.8500000000931323"/>
    <n v="727.05000003660098"/>
    <n v="393"/>
    <x v="258"/>
  </r>
  <r>
    <x v="9"/>
    <x v="0"/>
    <n v="89"/>
    <n v="385"/>
    <d v="2017-12-13T03:58:00"/>
    <d v="2017-12-13T04:28:00"/>
    <n v="365"/>
    <n v="423"/>
    <n v="393"/>
    <s v="Igniters"/>
    <s v="F690Igniter Issues"/>
    <s v="Mill Creek"/>
    <x v="0"/>
    <s v="Coal"/>
    <x v="2"/>
    <x v="4"/>
    <n v="12"/>
    <n v="0.50000000005820766"/>
    <n v="6.8557919629730596E-2"/>
    <n v="26.943262414484124"/>
    <n v="53.886524822695037"/>
    <x v="158"/>
  </r>
  <r>
    <x v="9"/>
    <x v="2"/>
    <n v="90"/>
    <n v="260"/>
    <d v="2017-12-15T22:48:00"/>
    <d v="2017-12-16T12:00:00"/>
    <n v="330"/>
    <n v="423"/>
    <n v="393"/>
    <s v="Primary air fan"/>
    <s v="F5903B PA Fan Maintenance"/>
    <s v="Mill Creek"/>
    <x v="0"/>
    <s v="Coal"/>
    <x v="2"/>
    <x v="4"/>
    <n v="12"/>
    <n v="13.200000000069849"/>
    <n v="2.9021276595898251"/>
    <n v="1140.5361702188013"/>
    <n v="86.40425531914893"/>
    <x v="173"/>
  </r>
  <r>
    <x v="9"/>
    <x v="2"/>
    <n v="92"/>
    <n v="260"/>
    <d v="2017-12-18T22:00:00"/>
    <d v="2017-12-19T01:07:00"/>
    <n v="330"/>
    <n v="423"/>
    <n v="393"/>
    <s v="Primary air fan"/>
    <s v="F5903B Mill Maintenance"/>
    <s v="Mill Creek"/>
    <x v="0"/>
    <s v="Coal"/>
    <x v="2"/>
    <x v="4"/>
    <n v="12"/>
    <n v="3.1166666666977108"/>
    <n v="0.68522458629524141"/>
    <n v="269.29326241402987"/>
    <n v="86.40425531914893"/>
    <x v="173"/>
  </r>
  <r>
    <x v="9"/>
    <x v="2"/>
    <n v="93"/>
    <n v="260"/>
    <d v="2017-12-19T23:00:00"/>
    <d v="2017-12-20T03:34:00"/>
    <n v="340"/>
    <n v="423"/>
    <n v="393"/>
    <s v="Primary air fan"/>
    <s v="F5903B PA Fan Maintenance"/>
    <s v="Mill Creek"/>
    <x v="0"/>
    <s v="Coal"/>
    <x v="2"/>
    <x v="4"/>
    <n v="12"/>
    <n v="4.5666666665347293"/>
    <n v="0.89605988965102257"/>
    <n v="352.15153663285184"/>
    <n v="77.113475177304963"/>
    <x v="128"/>
  </r>
  <r>
    <x v="9"/>
    <x v="2"/>
    <n v="94"/>
    <n v="260"/>
    <d v="2017-12-20T23:00:00"/>
    <d v="2017-12-21T00:47:00"/>
    <n v="340"/>
    <n v="423"/>
    <n v="393"/>
    <s v="Primary air fan"/>
    <s v="F8503B PA Fan Maintenance"/>
    <s v="Mill Creek"/>
    <x v="0"/>
    <s v="Coal"/>
    <x v="2"/>
    <x v="4"/>
    <n v="12"/>
    <n v="1.783333333209157"/>
    <n v="0.34992119776917263"/>
    <n v="137.51903072328486"/>
    <n v="77.113475177304963"/>
    <x v="128"/>
  </r>
  <r>
    <x v="9"/>
    <x v="2"/>
    <n v="95"/>
    <n v="260"/>
    <d v="2017-12-21T21:38:00"/>
    <d v="2017-12-22T18:05:00"/>
    <n v="340"/>
    <n v="423"/>
    <n v="393"/>
    <s v="Primary air fan"/>
    <s v="F8503B PA Fan Coupling Replacement"/>
    <s v="Mill Creek"/>
    <x v="0"/>
    <s v="Coal"/>
    <x v="2"/>
    <x v="4"/>
    <n v="12"/>
    <n v="20.449999999953434"/>
    <n v="4.012647754127979"/>
    <n v="1576.9705673722958"/>
    <n v="77.113475177304963"/>
    <x v="128"/>
  </r>
  <r>
    <x v="9"/>
    <x v="0"/>
    <n v="96"/>
    <n v="250"/>
    <d v="2017-12-25T10:37:00"/>
    <d v="2017-12-25T13:30:00"/>
    <n v="340"/>
    <n v="423"/>
    <n v="393"/>
    <s v="Pulverizer feeders"/>
    <s v="F8103A Coal Feeder Belt Torn"/>
    <s v="Mill Creek"/>
    <x v="0"/>
    <s v="Coal"/>
    <x v="2"/>
    <x v="4"/>
    <n v="12"/>
    <n v="2.8833333333022892"/>
    <n v="0.56576044128626479"/>
    <n v="222.34385342550206"/>
    <n v="77.113475177304963"/>
    <x v="128"/>
  </r>
  <r>
    <x v="9"/>
    <x v="0"/>
    <n v="97"/>
    <n v="250"/>
    <d v="2017-12-25T13:30:00"/>
    <d v="2017-12-25T19:10:00"/>
    <n v="230"/>
    <n v="423"/>
    <n v="393"/>
    <s v="Pulverizer feeders"/>
    <s v="F8103A and 3C Coal Feeders Unavailable"/>
    <s v="Mill Creek"/>
    <x v="0"/>
    <s v="Coal"/>
    <x v="2"/>
    <x v="4"/>
    <n v="12"/>
    <n v="5.6666666666278616"/>
    <n v="2.585500393993327"/>
    <n v="1016.1016548393775"/>
    <n v="179.31205673758865"/>
    <x v="93"/>
  </r>
  <r>
    <x v="9"/>
    <x v="0"/>
    <n v="98"/>
    <n v="250"/>
    <d v="2017-12-25T19:10:00"/>
    <d v="2017-12-25T22:15:00"/>
    <n v="340"/>
    <n v="423"/>
    <n v="393"/>
    <s v="Pulverizer feeders"/>
    <s v="F7203C Coal Feeder Unavailable - Lower Bunker Valve"/>
    <s v="Mill Creek"/>
    <x v="0"/>
    <s v="Coal"/>
    <x v="2"/>
    <x v="4"/>
    <n v="12"/>
    <n v="3.0833333334303461"/>
    <n v="0.60500394012935865"/>
    <n v="237.76654847083796"/>
    <n v="77.113475177304963"/>
    <x v="128"/>
  </r>
  <r>
    <x v="9"/>
    <x v="2"/>
    <n v="1"/>
    <n v="250"/>
    <d v="2018-01-03T23:00:00"/>
    <d v="2018-01-04T02:38:00"/>
    <n v="330"/>
    <n v="423"/>
    <n v="393"/>
    <s v="Pulverizer feeders"/>
    <s v="F5903A Coal Feeder Bearing Replacement"/>
    <s v="Mill Creek"/>
    <x v="0"/>
    <s v="Coal"/>
    <x v="2"/>
    <x v="5"/>
    <n v="1"/>
    <n v="3.6333333333022892"/>
    <n v="0.79881796689624796"/>
    <n v="313.93546099022547"/>
    <n v="86.40425531914893"/>
    <x v="173"/>
  </r>
  <r>
    <x v="9"/>
    <x v="2"/>
    <n v="2"/>
    <n v="253"/>
    <d v="2018-01-07T22:00:00"/>
    <d v="2018-01-08T02:40:00"/>
    <n v="330"/>
    <n v="423"/>
    <n v="393"/>
    <s v="Pulverizer feeder motor"/>
    <s v="F5903A Coal Feeder Maintenance"/>
    <s v="Mill Creek"/>
    <x v="0"/>
    <s v="Coal"/>
    <x v="2"/>
    <x v="5"/>
    <n v="1"/>
    <n v="4.6666666666860692"/>
    <n v="1.0260047281366536"/>
    <n v="403.21985815770483"/>
    <n v="86.40425531914893"/>
    <x v="173"/>
  </r>
  <r>
    <x v="9"/>
    <x v="0"/>
    <n v="3"/>
    <n v="350"/>
    <d v="2018-01-09T05:48:00"/>
    <d v="2018-01-09T06:48:00"/>
    <n v="330"/>
    <n v="423"/>
    <n v="393"/>
    <s v="Pulverized fuel and air piping (from pulverizer to wind box)"/>
    <s v="F5203B Coal Mill Swing Valve Indication"/>
    <s v="Mill Creek"/>
    <x v="0"/>
    <s v="Coal"/>
    <x v="2"/>
    <x v="5"/>
    <n v="1"/>
    <n v="0.99999999994179234"/>
    <n v="0.21985815601557138"/>
    <n v="86.404255314119553"/>
    <n v="86.40425531914893"/>
    <x v="173"/>
  </r>
  <r>
    <x v="9"/>
    <x v="2"/>
    <n v="4"/>
    <n v="310"/>
    <d v="2018-01-09T23:00:00"/>
    <d v="2018-01-10T04:00:00"/>
    <n v="330"/>
    <n v="423"/>
    <n v="393"/>
    <s v="Pulverizer mills"/>
    <s v="F5903A Coal Mill Maintenance"/>
    <s v="Mill Creek"/>
    <x v="0"/>
    <s v="Coal"/>
    <x v="2"/>
    <x v="5"/>
    <n v="1"/>
    <n v="4.9999999998835847"/>
    <n v="1.099290780116249"/>
    <n v="432.02127658568588"/>
    <n v="86.40425531914893"/>
    <x v="173"/>
  </r>
  <r>
    <x v="9"/>
    <x v="2"/>
    <n v="6"/>
    <n v="310"/>
    <d v="2018-01-10T23:00:00"/>
    <d v="2018-01-11T04:00:00"/>
    <n v="330"/>
    <n v="423"/>
    <n v="393"/>
    <s v="Pulverizer mills"/>
    <s v="F5903B Coal Mill Maintenance"/>
    <s v="Mill Creek"/>
    <x v="0"/>
    <s v="Coal"/>
    <x v="2"/>
    <x v="5"/>
    <n v="1"/>
    <n v="4.9999999998835847"/>
    <n v="1.099290780116249"/>
    <n v="432.02127658568588"/>
    <n v="86.40425531914893"/>
    <x v="173"/>
  </r>
  <r>
    <x v="9"/>
    <x v="2"/>
    <n v="8"/>
    <n v="310"/>
    <d v="2018-01-11T22:00:00"/>
    <d v="2018-01-12T04:00:00"/>
    <n v="330"/>
    <n v="423"/>
    <n v="393"/>
    <s v="Pulverizer mills"/>
    <s v="F5903C Coal Mill Maintenance"/>
    <s v="Mill Creek"/>
    <x v="0"/>
    <s v="Coal"/>
    <x v="2"/>
    <x v="5"/>
    <n v="1"/>
    <n v="6"/>
    <n v="1.3191489361702127"/>
    <n v="518.42553191489355"/>
    <n v="86.40425531914893"/>
    <x v="173"/>
  </r>
  <r>
    <x v="9"/>
    <x v="2"/>
    <n v="10"/>
    <n v="310"/>
    <d v="2018-01-21T22:00:00"/>
    <d v="2018-01-22T04:00:00"/>
    <n v="330"/>
    <n v="423"/>
    <n v="393"/>
    <s v="Pulverizer mills"/>
    <s v="F5903D Coal Mill Maintenance"/>
    <s v="Mill Creek"/>
    <x v="0"/>
    <s v="Coal"/>
    <x v="2"/>
    <x v="5"/>
    <n v="1"/>
    <n v="6"/>
    <n v="1.3191489361702127"/>
    <n v="518.42553191489355"/>
    <n v="86.40425531914893"/>
    <x v="173"/>
  </r>
  <r>
    <x v="9"/>
    <x v="2"/>
    <n v="12"/>
    <n v="260"/>
    <d v="2018-01-25T21:00:00"/>
    <d v="2018-01-26T05:00:00"/>
    <n v="330"/>
    <n v="423"/>
    <n v="393"/>
    <s v="Primary air fan"/>
    <s v="F5903B PA Fan Maintenance"/>
    <s v="Mill Creek"/>
    <x v="0"/>
    <s v="Coal"/>
    <x v="2"/>
    <x v="5"/>
    <n v="1"/>
    <n v="8.0000000000582077"/>
    <n v="1.7588652482397478"/>
    <n v="691.23404255822084"/>
    <n v="86.40425531914893"/>
    <x v="173"/>
  </r>
  <r>
    <x v="9"/>
    <x v="2"/>
    <n v="14"/>
    <n v="255"/>
    <d v="2018-01-28T22:30:00"/>
    <d v="2018-01-29T03:52:00"/>
    <n v="330"/>
    <n v="423"/>
    <n v="393"/>
    <s v="Pulverizer feeder coal scales"/>
    <s v="F0903D Coal Feeder Calibration"/>
    <s v="Mill Creek"/>
    <x v="0"/>
    <s v="Coal"/>
    <x v="2"/>
    <x v="5"/>
    <n v="1"/>
    <n v="5.3666666666977108"/>
    <n v="1.1799054373590712"/>
    <n v="463.70283688211498"/>
    <n v="86.40425531914893"/>
    <x v="173"/>
  </r>
  <r>
    <x v="9"/>
    <x v="0"/>
    <n v="15"/>
    <n v="250"/>
    <d v="2018-01-29T06:42:00"/>
    <d v="2018-01-29T13:10:00"/>
    <n v="340"/>
    <n v="423"/>
    <n v="393"/>
    <s v="Pulverizer feeders"/>
    <s v="F8103A Coal Feeder Belt Torn"/>
    <s v="Mill Creek"/>
    <x v="0"/>
    <s v="Coal"/>
    <x v="2"/>
    <x v="5"/>
    <n v="1"/>
    <n v="6.46666666661622"/>
    <n v="1.268873128437698"/>
    <n v="498.66713947601528"/>
    <n v="77.113475177304963"/>
    <x v="128"/>
  </r>
  <r>
    <x v="9"/>
    <x v="0"/>
    <n v="16"/>
    <n v="3110"/>
    <d v="2018-02-05T09:02:00"/>
    <d v="2018-02-05T10:20:00"/>
    <n v="375"/>
    <n v="423"/>
    <n v="393"/>
    <s v="Condenser tube leaks"/>
    <s v="F540High Silica - Condenser Tube Leak"/>
    <s v="Mill Creek"/>
    <x v="0"/>
    <s v="Coal"/>
    <x v="2"/>
    <x v="5"/>
    <n v="2"/>
    <n v="1.3000000000465661"/>
    <n v="0.147517730501738"/>
    <n v="57.974468087183034"/>
    <n v="44.595744680851062"/>
    <x v="23"/>
  </r>
  <r>
    <x v="9"/>
    <x v="4"/>
    <n v="17"/>
    <n v="3110"/>
    <d v="2018-02-05T22:36:00"/>
    <d v="2018-02-06T21:23:00"/>
    <n v="0"/>
    <n v="423"/>
    <n v="393"/>
    <s v="Condenser tube leaks"/>
    <s v="F540Condenser Tube Leak Repairs"/>
    <s v="Mill Creek"/>
    <x v="2"/>
    <s v="Coal"/>
    <x v="2"/>
    <x v="5"/>
    <n v="2"/>
    <n v="22.78333333338378"/>
    <n v="22.78333333338378"/>
    <n v="8953.8500000198255"/>
    <n v="393"/>
    <x v="258"/>
  </r>
  <r>
    <x v="9"/>
    <x v="0"/>
    <n v="18"/>
    <n v="3110"/>
    <d v="2018-02-07T05:23:00"/>
    <d v="2018-02-08T05:16:00"/>
    <n v="298"/>
    <n v="423"/>
    <n v="393"/>
    <s v="Condenser tube leaks"/>
    <s v="F540High Silica - Return From Condenser Leak (Variable Derate: Avg Load 298 MW)"/>
    <s v="Mill Creek"/>
    <x v="0"/>
    <s v="Coal"/>
    <x v="2"/>
    <x v="5"/>
    <n v="2"/>
    <n v="23.883333333302289"/>
    <n v="7.0577226162240807"/>
    <n v="2773.6849881760636"/>
    <n v="116.13475177304964"/>
    <x v="164"/>
  </r>
  <r>
    <x v="9"/>
    <x v="0"/>
    <n v="19"/>
    <n v="3112"/>
    <d v="2018-02-19T14:10:00"/>
    <d v="2018-02-19T22:37:00"/>
    <n v="385"/>
    <n v="423"/>
    <n v="393"/>
    <s v="Condenser tube fouling tube side"/>
    <s v="F660High Condenser Backpressure"/>
    <s v="Mill Creek"/>
    <x v="0"/>
    <s v="Coal"/>
    <x v="2"/>
    <x v="5"/>
    <n v="2"/>
    <n v="8.4499999999534339"/>
    <n v="0.75910165484215242"/>
    <n v="298.32695035296592"/>
    <n v="35.304964539007095"/>
    <x v="139"/>
  </r>
  <r>
    <x v="9"/>
    <x v="5"/>
    <n v="20"/>
    <n v="1050"/>
    <d v="2018-02-19T22:37:00"/>
    <d v="2018-02-22T09:16:00"/>
    <n v="0"/>
    <n v="423"/>
    <n v="393"/>
    <s v="Second superheater B"/>
    <s v="F830Boiler Tube Leak - Secondary Superheat "/>
    <s v="Mill Creek"/>
    <x v="3"/>
    <s v="Coal"/>
    <x v="2"/>
    <x v="5"/>
    <n v="2"/>
    <n v="58.649999999965075"/>
    <n v="58.649999999965075"/>
    <n v="23049.449999986275"/>
    <n v="393"/>
    <x v="258"/>
  </r>
  <r>
    <x v="9"/>
    <x v="0"/>
    <n v="21"/>
    <n v="1850"/>
    <d v="2018-02-22T21:16:00"/>
    <d v="2018-02-23T04:10:00"/>
    <n v="350"/>
    <n v="423"/>
    <n v="393"/>
    <s v="Boiler water condition (not feedwater water quality)"/>
    <s v="F170High Silica - Startup"/>
    <s v="Mill Creek"/>
    <x v="0"/>
    <s v="Coal"/>
    <x v="2"/>
    <x v="5"/>
    <n v="2"/>
    <n v="6.8999999999650754"/>
    <n v="1.1907801418379445"/>
    <n v="467.97659574231216"/>
    <n v="67.822695035460995"/>
    <x v="208"/>
  </r>
  <r>
    <x v="9"/>
    <x v="0"/>
    <n v="22"/>
    <n v="1850"/>
    <d v="2018-02-24T17:53:00"/>
    <d v="2018-02-24T18:55:00"/>
    <n v="401"/>
    <n v="423"/>
    <n v="393"/>
    <s v="Boiler water condition (not feedwater water quality)"/>
    <s v="F170High Silica"/>
    <s v="Mill Creek"/>
    <x v="0"/>
    <s v="Coal"/>
    <x v="2"/>
    <x v="5"/>
    <n v="2"/>
    <n v="1.03333333338378"/>
    <n v="5.3743104809558295E-2"/>
    <n v="21.12104019015641"/>
    <n v="20.439716312056738"/>
    <x v="21"/>
  </r>
  <r>
    <x v="9"/>
    <x v="2"/>
    <n v="23"/>
    <n v="1455"/>
    <d v="2018-03-01T23:00:00"/>
    <d v="2018-03-01T23:29:00"/>
    <n v="240"/>
    <n v="423"/>
    <n v="393"/>
    <s v="Induced draft fans"/>
    <s v="F5203A ID Fan Indication Issue"/>
    <s v="Mill Creek"/>
    <x v="0"/>
    <s v="Coal"/>
    <x v="2"/>
    <x v="5"/>
    <n v="3"/>
    <n v="0.48333333333721384"/>
    <n v="0.20910165484801449"/>
    <n v="82.176950355269696"/>
    <n v="170.02127659574469"/>
    <x v="245"/>
  </r>
  <r>
    <x v="9"/>
    <x v="0"/>
    <n v="24"/>
    <n v="262"/>
    <d v="2018-03-13T07:02:00"/>
    <d v="2018-03-13T17:24:00"/>
    <n v="340"/>
    <n v="423"/>
    <n v="393"/>
    <s v="Primary air fan lube oil system"/>
    <s v="F7603D PA Fan Bearing Oil Temperature High"/>
    <s v="Mill Creek"/>
    <x v="0"/>
    <s v="Coal"/>
    <x v="2"/>
    <x v="5"/>
    <n v="3"/>
    <n v="10.366666666581295"/>
    <n v="2.0341213553811999"/>
    <n v="799.40969266481159"/>
    <n v="77.113475177304963"/>
    <x v="128"/>
  </r>
  <r>
    <x v="9"/>
    <x v="6"/>
    <n v="25"/>
    <n v="1801"/>
    <d v="2018-03-30T21:59:00"/>
    <d v="2018-04-30T00:00:00"/>
    <m/>
    <n v="423"/>
    <n v="393"/>
    <s v="Minor boiler overhaul (less than 720 hours) (use for non-specific overhaul only; see page B-1)"/>
    <s v="F590Planned Outage - 4 Weeks - Spring 2018"/>
    <s v="Mill Creek"/>
    <x v="1"/>
    <s v="Coal"/>
    <x v="2"/>
    <x v="5"/>
    <n v="3"/>
    <n v="722.01666666660458"/>
    <n v="722.01666666660458"/>
    <n v="283752.5499999756"/>
    <n v="393"/>
    <x v="258"/>
  </r>
  <r>
    <x v="10"/>
    <x v="5"/>
    <n v="1"/>
    <n v="1060"/>
    <d v="2013-01-01T00:00:00"/>
    <d v="2013-01-02T03:15:00"/>
    <n v="0"/>
    <n v="521"/>
    <n v="482"/>
    <s v="First reheater A"/>
    <s v="F540Boiler Tube Leak - First Reheater"/>
    <s v="Mill Creek"/>
    <x v="3"/>
    <s v="Coal"/>
    <x v="2"/>
    <x v="0"/>
    <n v="1"/>
    <n v="27.249999999941792"/>
    <n v="27.249999999941792"/>
    <n v="13134.499999971944"/>
    <n v="482"/>
    <x v="275"/>
  </r>
  <r>
    <x v="10"/>
    <x v="3"/>
    <n v="2"/>
    <n v="1850"/>
    <d v="2013-01-02T03:15:00"/>
    <d v="2013-01-02T15:12:00"/>
    <n v="0"/>
    <n v="521"/>
    <n v="482"/>
    <s v="Boiler water condition (not feedwater water quality)"/>
    <s v="F170High Silica @ Warm Start Up"/>
    <s v="Mill Creek"/>
    <x v="1"/>
    <s v="Coal"/>
    <x v="2"/>
    <x v="0"/>
    <n v="1"/>
    <n v="11.950000000011642"/>
    <n v="11.950000000011642"/>
    <n v="5759.9000000056112"/>
    <n v="482"/>
    <x v="275"/>
  </r>
  <r>
    <x v="10"/>
    <x v="0"/>
    <n v="3"/>
    <n v="1850"/>
    <d v="2013-01-02T15:12:00"/>
    <d v="2013-01-02T22:00:00"/>
    <n v="365"/>
    <n v="521"/>
    <n v="482"/>
    <s v="Boiler water condition (not feedwater water quality)"/>
    <s v="F170High Silica"/>
    <s v="Mill Creek"/>
    <x v="0"/>
    <s v="Coal"/>
    <x v="2"/>
    <x v="0"/>
    <n v="1"/>
    <n v="6.7999999999883585"/>
    <n v="2.0360844529715623"/>
    <n v="981.39270633229296"/>
    <n v="144.32245681381957"/>
    <x v="250"/>
  </r>
  <r>
    <x v="10"/>
    <x v="0"/>
    <n v="4"/>
    <n v="1850"/>
    <d v="2013-01-02T22:00:00"/>
    <d v="2013-01-02T23:59:00"/>
    <n v="385"/>
    <n v="521"/>
    <n v="482"/>
    <s v="Boiler water condition (not feedwater water quality)"/>
    <s v="F170High Silica"/>
    <s v="Mill Creek"/>
    <x v="0"/>
    <s v="Coal"/>
    <x v="2"/>
    <x v="0"/>
    <n v="1"/>
    <n v="1.9833333333372138"/>
    <n v="0.5177223288557794"/>
    <n v="249.54216250848566"/>
    <n v="125.81957773512477"/>
    <x v="248"/>
  </r>
  <r>
    <x v="10"/>
    <x v="0"/>
    <n v="5"/>
    <n v="1850"/>
    <d v="2013-01-02T23:59:00"/>
    <d v="2013-01-03T01:20:00"/>
    <n v="460"/>
    <n v="521"/>
    <n v="482"/>
    <s v="Boiler water condition (not feedwater water quality)"/>
    <s v="F170High Silica"/>
    <s v="Mill Creek"/>
    <x v="0"/>
    <s v="Coal"/>
    <x v="2"/>
    <x v="0"/>
    <n v="1"/>
    <n v="1.3500000000349246"/>
    <n v="0.15806142034957851"/>
    <n v="76.185604608496845"/>
    <n v="56.433781190019197"/>
    <x v="123"/>
  </r>
  <r>
    <x v="10"/>
    <x v="0"/>
    <n v="6"/>
    <n v="1850"/>
    <d v="2013-01-03T01:20:00"/>
    <d v="2013-01-03T05:10:00"/>
    <n v="485"/>
    <n v="521"/>
    <n v="482"/>
    <s v="Boiler water condition (not feedwater water quality)"/>
    <s v="F170High Silica"/>
    <s v="Mill Creek"/>
    <x v="0"/>
    <s v="Coal"/>
    <x v="2"/>
    <x v="0"/>
    <n v="1"/>
    <n v="3.8333333334303461"/>
    <n v="0.26487523992992795"/>
    <n v="127.66986564622528"/>
    <n v="33.305182341650671"/>
    <x v="17"/>
  </r>
  <r>
    <x v="10"/>
    <x v="0"/>
    <n v="7"/>
    <n v="310"/>
    <d v="2013-01-03T05:17:00"/>
    <d v="2013-01-03T08:01:00"/>
    <n v="425"/>
    <n v="521"/>
    <n v="482"/>
    <s v="Pulverizer mills"/>
    <s v="F5904C Coal Mill - Primary Air Fan Discharge Damper Repair"/>
    <s v="Mill Creek"/>
    <x v="0"/>
    <s v="Coal"/>
    <x v="2"/>
    <x v="0"/>
    <n v="1"/>
    <n v="2.7333333333372138"/>
    <n v="0.5036468330141507"/>
    <n v="242.75777351282065"/>
    <n v="88.813819577735131"/>
    <x v="145"/>
  </r>
  <r>
    <x v="10"/>
    <x v="0"/>
    <n v="8"/>
    <n v="9270"/>
    <d v="2013-01-14T00:19:00"/>
    <d v="2013-01-14T03:54:00"/>
    <n v="425"/>
    <n v="521"/>
    <n v="482"/>
    <s v="Wet coal"/>
    <s v="FW004D Coal Mill - Wet Coal Issues"/>
    <s v="Mill Creek"/>
    <x v="0"/>
    <s v="Coal"/>
    <x v="2"/>
    <x v="0"/>
    <n v="1"/>
    <n v="3.5833333333139308"/>
    <n v="0.66026871400794118"/>
    <n v="318.24952015182765"/>
    <n v="88.813819577735131"/>
    <x v="145"/>
  </r>
  <r>
    <x v="10"/>
    <x v="0"/>
    <n v="9"/>
    <n v="9270"/>
    <d v="2013-01-14T07:05:00"/>
    <d v="2013-01-14T08:47:00"/>
    <n v="425"/>
    <n v="521"/>
    <n v="482"/>
    <s v="Wet coal"/>
    <s v="FW004D Coal Feeder - Plugged, Wet Coal"/>
    <s v="Mill Creek"/>
    <x v="0"/>
    <s v="Coal"/>
    <x v="2"/>
    <x v="0"/>
    <n v="1"/>
    <n v="1.6999999999534339"/>
    <n v="0.31324376198758092"/>
    <n v="150.98349327801401"/>
    <n v="88.813819577735131"/>
    <x v="145"/>
  </r>
  <r>
    <x v="10"/>
    <x v="0"/>
    <n v="10"/>
    <n v="9270"/>
    <d v="2013-01-14T08:47:00"/>
    <d v="2013-01-15T01:59:00"/>
    <n v="420"/>
    <n v="521"/>
    <n v="482"/>
    <s v="Wet coal"/>
    <s v="FW004D Coal Feeder - Plugged, Wet Coal"/>
    <s v="Mill Creek"/>
    <x v="0"/>
    <s v="Coal"/>
    <x v="2"/>
    <x v="0"/>
    <n v="1"/>
    <n v="17.200000000011642"/>
    <n v="3.3343570057604142"/>
    <n v="1607.1600767765196"/>
    <n v="93.439539347408825"/>
    <x v="129"/>
  </r>
  <r>
    <x v="10"/>
    <x v="5"/>
    <n v="11"/>
    <n v="4267"/>
    <d v="2013-01-15T01:59:00"/>
    <d v="2013-01-15T05:03:00"/>
    <n v="0"/>
    <n v="521"/>
    <n v="482"/>
    <s v="Control valve testing"/>
    <s v="F820Turbine Control Valve Test - Trip"/>
    <s v="Mill Creek"/>
    <x v="3"/>
    <s v="Coal"/>
    <x v="2"/>
    <x v="0"/>
    <n v="1"/>
    <n v="3.0666666667093523"/>
    <n v="3.0666666667093523"/>
    <n v="1478.1333333539078"/>
    <n v="482"/>
    <x v="275"/>
  </r>
  <r>
    <x v="10"/>
    <x v="3"/>
    <n v="12"/>
    <n v="1850"/>
    <d v="2013-01-15T05:03:00"/>
    <d v="2013-01-15T05:19:00"/>
    <n v="0"/>
    <n v="521"/>
    <n v="482"/>
    <s v="Boiler water condition (not feedwater water quality)"/>
    <s v="F170High Silica @ Very Hot Start Up"/>
    <s v="Mill Creek"/>
    <x v="1"/>
    <s v="Coal"/>
    <x v="2"/>
    <x v="0"/>
    <n v="1"/>
    <n v="0.26666666666278616"/>
    <n v="0.26666666666278616"/>
    <n v="128.53333333146293"/>
    <n v="482"/>
    <x v="275"/>
  </r>
  <r>
    <x v="10"/>
    <x v="5"/>
    <n v="13"/>
    <n v="800"/>
    <d v="2013-01-15T05:19:00"/>
    <d v="2013-01-15T06:58:00"/>
    <n v="0"/>
    <n v="521"/>
    <n v="482"/>
    <s v="Drums and drum internals (single drum only)"/>
    <s v="F820Low Drum Level Trip"/>
    <s v="Mill Creek"/>
    <x v="3"/>
    <s v="Coal"/>
    <x v="2"/>
    <x v="0"/>
    <n v="1"/>
    <n v="1.6499999999650754"/>
    <n v="1.6499999999650754"/>
    <n v="795.29999998316634"/>
    <n v="482"/>
    <x v="275"/>
  </r>
  <r>
    <x v="10"/>
    <x v="3"/>
    <n v="14"/>
    <n v="1850"/>
    <d v="2013-01-15T06:58:00"/>
    <d v="2013-01-15T13:10:00"/>
    <n v="0"/>
    <n v="521"/>
    <n v="482"/>
    <s v="Boiler water condition (not feedwater water quality)"/>
    <s v="F170High Silica @ Very Hot Start Up"/>
    <s v="Mill Creek"/>
    <x v="1"/>
    <s v="Coal"/>
    <x v="2"/>
    <x v="0"/>
    <n v="1"/>
    <n v="6.1999999999534339"/>
    <n v="6.1999999999534339"/>
    <n v="2988.3999999775551"/>
    <n v="482"/>
    <x v="275"/>
  </r>
  <r>
    <x v="10"/>
    <x v="0"/>
    <n v="15"/>
    <n v="310"/>
    <d v="2013-01-15T13:10:00"/>
    <d v="2013-01-16T07:02:00"/>
    <n v="400"/>
    <n v="521"/>
    <n v="482"/>
    <s v="Pulverizer mills"/>
    <s v="F5904B Coal Mill Primary Air Fan - Replace Inboard Bearing"/>
    <s v="Mill Creek"/>
    <x v="0"/>
    <s v="Coal"/>
    <x v="2"/>
    <x v="0"/>
    <n v="1"/>
    <n v="17.866666666755918"/>
    <n v="4.1494561740450404"/>
    <n v="2000.0378758897095"/>
    <n v="111.94241842610364"/>
    <x v="38"/>
  </r>
  <r>
    <x v="10"/>
    <x v="0"/>
    <n v="16"/>
    <n v="310"/>
    <d v="2013-01-16T07:02:00"/>
    <d v="2013-01-16T14:37:00"/>
    <n v="410"/>
    <n v="521"/>
    <n v="482"/>
    <s v="Pulverizer mills"/>
    <s v="F5904B Coal Mill Primary Air Fan - Replace Inboard Bearing"/>
    <s v="Mill Creek"/>
    <x v="0"/>
    <s v="Coal"/>
    <x v="2"/>
    <x v="0"/>
    <n v="1"/>
    <n v="7.5833333332557231"/>
    <n v="1.6156429942253077"/>
    <n v="778.7399232165983"/>
    <n v="102.69097888675624"/>
    <x v="140"/>
  </r>
  <r>
    <x v="10"/>
    <x v="0"/>
    <n v="17"/>
    <n v="9270"/>
    <d v="2013-01-16T10:25:00"/>
    <d v="2013-01-16T13:20:00"/>
    <n v="340"/>
    <n v="521"/>
    <n v="482"/>
    <s v="Wet coal"/>
    <s v="FW004E Coal Feeder - Wet Coal"/>
    <s v="Mill Creek"/>
    <x v="0"/>
    <s v="Coal"/>
    <x v="2"/>
    <x v="0"/>
    <n v="1"/>
    <n v="2.9166666665696539"/>
    <n v="1.0132757517257338"/>
    <n v="488.39891233180367"/>
    <n v="167.45105566218811"/>
    <x v="27"/>
  </r>
  <r>
    <x v="10"/>
    <x v="0"/>
    <n v="18"/>
    <n v="9270"/>
    <d v="2013-01-16T13:20:00"/>
    <d v="2013-01-16T14:37:00"/>
    <n v="305"/>
    <n v="521"/>
    <n v="482"/>
    <s v="Wet coal"/>
    <s v="FW004E Coal Feeder - Wet Coal"/>
    <s v="Mill Creek"/>
    <x v="0"/>
    <s v="Coal"/>
    <x v="2"/>
    <x v="0"/>
    <n v="1"/>
    <n v="1.2833333333255723"/>
    <n v="0.53205374279908568"/>
    <n v="256.44990402915931"/>
    <n v="199.83109404990404"/>
    <x v="225"/>
  </r>
  <r>
    <x v="10"/>
    <x v="0"/>
    <n v="19"/>
    <n v="310"/>
    <d v="2013-01-16T14:37:00"/>
    <d v="2013-01-16T16:00:00"/>
    <n v="405"/>
    <n v="521"/>
    <n v="482"/>
    <s v="Pulverizer mills"/>
    <s v="F5904B Coal Mill Primary Air Fan - Replace Inboard Bearing"/>
    <s v="Mill Creek"/>
    <x v="0"/>
    <s v="Coal"/>
    <x v="2"/>
    <x v="0"/>
    <n v="1"/>
    <n v="1.3833333333022892"/>
    <n v="0.30799744081202601"/>
    <n v="148.45476647139654"/>
    <n v="107.31669865642995"/>
    <x v="4"/>
  </r>
  <r>
    <x v="10"/>
    <x v="0"/>
    <n v="20"/>
    <n v="1710"/>
    <d v="2013-01-16T16:00:00"/>
    <d v="2013-01-17T11:04:00"/>
    <n v="523"/>
    <n v="521"/>
    <n v="482"/>
    <s v="Combustion/steam condition controls (report local controls --- burners"/>
    <s v="F400Steam Flow Issue"/>
    <s v="Mill Creek"/>
    <x v="0"/>
    <s v="Coal"/>
    <x v="2"/>
    <x v="0"/>
    <n v="1"/>
    <n v="19.066666666651145"/>
    <n v="-7.3192578374860442E-2"/>
    <n v="-35.27882277668273"/>
    <n v="0"/>
    <x v="152"/>
  </r>
  <r>
    <x v="10"/>
    <x v="0"/>
    <n v="21"/>
    <n v="4609"/>
    <d v="2013-01-18T14:03:00"/>
    <d v="2013-01-18T14:25:00"/>
    <n v="420"/>
    <n v="521"/>
    <n v="482"/>
    <s v="Other exciter problems"/>
    <s v="F540Rectifier - Repair Cooling Water Leak"/>
    <s v="Mill Creek"/>
    <x v="0"/>
    <s v="Coal"/>
    <x v="2"/>
    <x v="0"/>
    <n v="1"/>
    <n v="0.36666666663950309"/>
    <n v="7.1081253993454538E-2"/>
    <n v="34.261164424845084"/>
    <n v="93.439539347408825"/>
    <x v="129"/>
  </r>
  <r>
    <x v="10"/>
    <x v="2"/>
    <n v="22"/>
    <n v="310"/>
    <d v="2013-01-21T21:00:00"/>
    <d v="2013-01-22T00:01:00"/>
    <n v="410"/>
    <n v="521"/>
    <n v="482"/>
    <s v="Pulverizer mills"/>
    <s v="F5904B Coal Mill Primary Air Fan - Damper Repair"/>
    <s v="Mill Creek"/>
    <x v="0"/>
    <s v="Coal"/>
    <x v="2"/>
    <x v="0"/>
    <n v="1"/>
    <n v="3.0166666667209938"/>
    <n v="0.64270633398470312"/>
    <n v="309.7844529806269"/>
    <n v="102.69097888675624"/>
    <x v="140"/>
  </r>
  <r>
    <x v="10"/>
    <x v="0"/>
    <n v="23"/>
    <n v="1710"/>
    <d v="2013-01-25T09:20:00"/>
    <d v="2013-01-26T21:34:00"/>
    <n v="520"/>
    <n v="521"/>
    <n v="482"/>
    <s v="Combustion/steam condition controls (report local controls --- burners"/>
    <s v="F400Steam Flow Issue"/>
    <s v="Mill Creek"/>
    <x v="0"/>
    <s v="Coal"/>
    <x v="2"/>
    <x v="0"/>
    <n v="1"/>
    <n v="36.233333333220799"/>
    <n v="6.9545745361268327E-2"/>
    <n v="33.521049264131335"/>
    <n v="0.92514395393474091"/>
    <x v="276"/>
  </r>
  <r>
    <x v="10"/>
    <x v="5"/>
    <n v="24"/>
    <n v="1040"/>
    <d v="2013-01-26T21:34:00"/>
    <d v="2013-01-29T05:05:00"/>
    <n v="0"/>
    <n v="521"/>
    <n v="482"/>
    <s v="First superheater B"/>
    <s v="F540Boiler Tube Leak - First Superheater"/>
    <s v="Mill Creek"/>
    <x v="3"/>
    <s v="Coal"/>
    <x v="2"/>
    <x v="0"/>
    <n v="1"/>
    <n v="55.516666666720994"/>
    <n v="55.516666666720994"/>
    <n v="26759.033333359519"/>
    <n v="482"/>
    <x v="275"/>
  </r>
  <r>
    <x v="10"/>
    <x v="3"/>
    <n v="25"/>
    <n v="1850"/>
    <d v="2013-01-29T05:05:00"/>
    <d v="2013-01-29T06:08:00"/>
    <n v="0"/>
    <n v="521"/>
    <n v="482"/>
    <s v="Boiler water condition (not feedwater water quality)"/>
    <s v="F170High Silica @ Warm Start Up"/>
    <s v="Mill Creek"/>
    <x v="1"/>
    <s v="Coal"/>
    <x v="2"/>
    <x v="0"/>
    <n v="1"/>
    <n v="1.0500000001047738"/>
    <n v="1.0500000001047738"/>
    <n v="506.10000005050097"/>
    <n v="482"/>
    <x v="275"/>
  </r>
  <r>
    <x v="10"/>
    <x v="5"/>
    <n v="26"/>
    <n v="4650"/>
    <d v="2013-01-29T06:08:00"/>
    <d v="2013-01-29T12:07:00"/>
    <n v="0"/>
    <n v="521"/>
    <n v="482"/>
    <s v="Other cooling system problems"/>
    <s v="F820Generator - Stator Coolant System Low Flow Trip"/>
    <s v="Mill Creek"/>
    <x v="3"/>
    <s v="Coal"/>
    <x v="2"/>
    <x v="0"/>
    <n v="1"/>
    <n v="5.9833333332790062"/>
    <n v="5.9833333332790062"/>
    <n v="2883.966666640481"/>
    <n v="482"/>
    <x v="275"/>
  </r>
  <r>
    <x v="10"/>
    <x v="3"/>
    <n v="27"/>
    <n v="1850"/>
    <d v="2013-01-29T12:07:00"/>
    <d v="2013-01-29T23:00:00"/>
    <n v="0"/>
    <n v="521"/>
    <n v="482"/>
    <s v="Boiler water condition (not feedwater water quality)"/>
    <s v="F170High Silica @ Warm Start Up"/>
    <s v="Mill Creek"/>
    <x v="1"/>
    <s v="Coal"/>
    <x v="2"/>
    <x v="0"/>
    <n v="1"/>
    <n v="10.883333333360497"/>
    <n v="10.883333333360497"/>
    <n v="5245.7666666797595"/>
    <n v="482"/>
    <x v="275"/>
  </r>
  <r>
    <x v="10"/>
    <x v="0"/>
    <n v="28"/>
    <n v="1850"/>
    <d v="2013-01-29T23:00:00"/>
    <d v="2013-01-30T04:40:00"/>
    <n v="435"/>
    <n v="521"/>
    <n v="482"/>
    <s v="Boiler water condition (not feedwater water quality)"/>
    <s v="F170High Silica"/>
    <s v="Mill Creek"/>
    <x v="0"/>
    <s v="Coal"/>
    <x v="2"/>
    <x v="0"/>
    <n v="1"/>
    <n v="5.6666666666278616"/>
    <n v="0.935380678176576"/>
    <n v="450.85348688110963"/>
    <n v="79.562380038387715"/>
    <x v="192"/>
  </r>
  <r>
    <x v="10"/>
    <x v="2"/>
    <n v="29"/>
    <n v="360"/>
    <d v="2013-02-06T22:53:00"/>
    <d v="2013-02-07T00:55:00"/>
    <n v="420"/>
    <n v="521"/>
    <n v="482"/>
    <s v="Burners"/>
    <s v="F5904A2 Coal Burner - Blanked Burner"/>
    <s v="Mill Creek"/>
    <x v="0"/>
    <s v="Coal"/>
    <x v="2"/>
    <x v="0"/>
    <n v="2"/>
    <n v="2.0333333333255723"/>
    <n v="0.39417786308230862"/>
    <n v="189.99373000567275"/>
    <n v="93.439539347408825"/>
    <x v="129"/>
  </r>
  <r>
    <x v="10"/>
    <x v="0"/>
    <n v="30"/>
    <n v="360"/>
    <d v="2013-02-07T00:55:00"/>
    <d v="2013-02-07T04:25:00"/>
    <n v="420"/>
    <n v="521"/>
    <n v="482"/>
    <s v="Burners"/>
    <s v="F5904C7 Coal Burner - Blanked Burner"/>
    <s v="Mill Creek"/>
    <x v="0"/>
    <s v="Coal"/>
    <x v="2"/>
    <x v="0"/>
    <n v="2"/>
    <n v="3.5000000000582077"/>
    <n v="0.67850287908997886"/>
    <n v="327.03838772136982"/>
    <n v="93.439539347408825"/>
    <x v="129"/>
  </r>
  <r>
    <x v="10"/>
    <x v="2"/>
    <n v="31"/>
    <n v="250"/>
    <d v="2013-02-17T22:15:00"/>
    <d v="2013-02-18T01:30:00"/>
    <n v="425"/>
    <n v="521"/>
    <n v="482"/>
    <s v="Pulverizer feeders"/>
    <s v="F5904A Coal Feeder - Adjust Belt"/>
    <s v="Mill Creek"/>
    <x v="0"/>
    <s v="Coal"/>
    <x v="2"/>
    <x v="0"/>
    <n v="2"/>
    <n v="3.2499999999417923"/>
    <n v="0.59884836851134748"/>
    <n v="288.64491362246946"/>
    <n v="88.813819577735131"/>
    <x v="145"/>
  </r>
  <r>
    <x v="10"/>
    <x v="5"/>
    <n v="32"/>
    <n v="1050"/>
    <d v="2013-02-18T21:34:00"/>
    <d v="2013-02-20T20:24:00"/>
    <n v="0"/>
    <n v="521"/>
    <n v="482"/>
    <s v="Second superheater B"/>
    <s v="F540Boiler Tube Leak - Second Superheater"/>
    <s v="Mill Creek"/>
    <x v="3"/>
    <s v="Coal"/>
    <x v="2"/>
    <x v="0"/>
    <n v="2"/>
    <n v="46.833333333372138"/>
    <n v="46.833333333372138"/>
    <n v="22573.666666685371"/>
    <n v="482"/>
    <x v="275"/>
  </r>
  <r>
    <x v="10"/>
    <x v="3"/>
    <n v="33"/>
    <n v="1850"/>
    <d v="2013-02-20T20:24:00"/>
    <d v="2013-02-21T08:45:00"/>
    <n v="0"/>
    <n v="521"/>
    <n v="482"/>
    <s v="Boiler water condition (not feedwater water quality)"/>
    <s v="F170High Silica @ Warm Start Up"/>
    <s v="Mill Creek"/>
    <x v="1"/>
    <s v="Coal"/>
    <x v="2"/>
    <x v="0"/>
    <n v="2"/>
    <n v="12.350000000093132"/>
    <n v="12.350000000093132"/>
    <n v="5952.7000000448897"/>
    <n v="482"/>
    <x v="275"/>
  </r>
  <r>
    <x v="10"/>
    <x v="0"/>
    <n v="34"/>
    <n v="1850"/>
    <d v="2013-02-21T08:45:00"/>
    <d v="2013-02-21T15:10:00"/>
    <n v="390"/>
    <n v="521"/>
    <n v="482"/>
    <s v="Boiler water condition (not feedwater water quality)"/>
    <s v="F170High Silica"/>
    <s v="Mill Creek"/>
    <x v="0"/>
    <s v="Coal"/>
    <x v="2"/>
    <x v="0"/>
    <n v="2"/>
    <n v="6.4166666666278616"/>
    <n v="1.6134037108027828"/>
    <n v="777.66058860694125"/>
    <n v="121.19385796545106"/>
    <x v="277"/>
  </r>
  <r>
    <x v="10"/>
    <x v="0"/>
    <n v="35"/>
    <n v="1850"/>
    <d v="2013-02-21T15:10:00"/>
    <d v="2013-02-21T17:02:00"/>
    <n v="506"/>
    <n v="521"/>
    <n v="482"/>
    <s v="Boiler water condition (not feedwater water quality)"/>
    <s v="F170High Silica"/>
    <s v="Mill Creek"/>
    <x v="0"/>
    <s v="Coal"/>
    <x v="2"/>
    <x v="0"/>
    <n v="2"/>
    <n v="1.8666666666395031"/>
    <n v="5.3742802302480894E-2"/>
    <n v="25.904030709795791"/>
    <n v="13.877159309021113"/>
    <x v="61"/>
  </r>
  <r>
    <x v="10"/>
    <x v="5"/>
    <n v="36"/>
    <n v="1480"/>
    <d v="2013-02-27T13:12:00"/>
    <d v="2013-02-27T16:56:00"/>
    <n v="0"/>
    <n v="521"/>
    <n v="482"/>
    <s v="Other induced draft fan problems"/>
    <s v="F820Loss of all FD &amp; ID Fans; 4B2 breaker trip"/>
    <s v="Mill Creek"/>
    <x v="3"/>
    <s v="Coal"/>
    <x v="2"/>
    <x v="0"/>
    <n v="2"/>
    <n v="3.7333333332790062"/>
    <n v="3.7333333332790062"/>
    <n v="1799.466666640481"/>
    <n v="482"/>
    <x v="275"/>
  </r>
  <r>
    <x v="10"/>
    <x v="7"/>
    <n v="37"/>
    <n v="800"/>
    <d v="2013-02-27T16:56:00"/>
    <d v="2013-02-27T21:22:00"/>
    <n v="0"/>
    <n v="521"/>
    <n v="482"/>
    <s v="Drums and drum internals (single drum only)"/>
    <s v="F460Low Drum Level"/>
    <s v="Mill Creek"/>
    <x v="3"/>
    <s v="Coal"/>
    <x v="2"/>
    <x v="0"/>
    <n v="2"/>
    <n v="4.4333333332906477"/>
    <n v="4.4333333332906477"/>
    <n v="2136.8666666460922"/>
    <n v="482"/>
    <x v="275"/>
  </r>
  <r>
    <x v="10"/>
    <x v="0"/>
    <n v="38"/>
    <n v="8560"/>
    <d v="2013-02-28T05:10:00"/>
    <d v="2013-02-28T05:48:00"/>
    <n v="440"/>
    <n v="521"/>
    <n v="482"/>
    <s v="Electrostatic precipitator problems"/>
    <s v="F820Particulate Matter Exceedance Alarm"/>
    <s v="Mill Creek"/>
    <x v="0"/>
    <s v="Coal"/>
    <x v="2"/>
    <x v="0"/>
    <n v="2"/>
    <n v="0.63333333330228925"/>
    <n v="9.8464491357937486E-2"/>
    <n v="47.459884834525866"/>
    <n v="74.936660268714007"/>
    <x v="34"/>
  </r>
  <r>
    <x v="10"/>
    <x v="0"/>
    <n v="39"/>
    <n v="8560"/>
    <d v="2013-02-28T05:48:00"/>
    <d v="2013-02-28T08:06:00"/>
    <n v="425"/>
    <n v="521"/>
    <n v="482"/>
    <s v="Electrostatic precipitator problems"/>
    <s v="F820Particulate Matter Exceedance"/>
    <s v="Mill Creek"/>
    <x v="0"/>
    <s v="Coal"/>
    <x v="2"/>
    <x v="0"/>
    <n v="2"/>
    <n v="2.2999999999883585"/>
    <n v="0.42380038387501423"/>
    <n v="204.27178502775686"/>
    <n v="88.813819577735131"/>
    <x v="145"/>
  </r>
  <r>
    <x v="10"/>
    <x v="0"/>
    <n v="40"/>
    <n v="1710"/>
    <d v="2013-02-28T10:00:00"/>
    <d v="2013-03-01T12:56:00"/>
    <n v="521"/>
    <n v="521"/>
    <n v="482"/>
    <s v="Combustion/steam condition controls (report local controls --- burners"/>
    <s v="F400Max Steam Flow"/>
    <s v="Mill Creek"/>
    <x v="0"/>
    <s v="Coal"/>
    <x v="2"/>
    <x v="0"/>
    <n v="2"/>
    <n v="26.933333333465271"/>
    <n v="0"/>
    <n v="0"/>
    <n v="0"/>
    <x v="152"/>
  </r>
  <r>
    <x v="10"/>
    <x v="6"/>
    <n v="41"/>
    <n v="1801"/>
    <d v="2013-03-01T12:56:00"/>
    <d v="2013-03-17T20:36:00"/>
    <n v="0"/>
    <n v="521"/>
    <n v="482"/>
    <s v="Minor boiler overhaul (less than 720 hours) (use for non-specific overhaul only; see page B-1)"/>
    <s v="F590Planned Outage"/>
    <s v="Mill Creek"/>
    <x v="1"/>
    <s v="Coal"/>
    <x v="2"/>
    <x v="0"/>
    <n v="3"/>
    <n v="391.66666666651145"/>
    <n v="391.66666666651145"/>
    <n v="188783.33333325852"/>
    <n v="482"/>
    <x v="275"/>
  </r>
  <r>
    <x v="10"/>
    <x v="3"/>
    <n v="42"/>
    <n v="1850"/>
    <d v="2013-03-17T20:36:00"/>
    <d v="2013-03-18T12:44:00"/>
    <n v="0"/>
    <n v="521"/>
    <n v="482"/>
    <s v="Boiler water condition (not feedwater water quality)"/>
    <s v="F170High Silica @ Cold Start Up"/>
    <s v="Mill Creek"/>
    <x v="1"/>
    <s v="Coal"/>
    <x v="2"/>
    <x v="0"/>
    <n v="3"/>
    <n v="16.133333333360497"/>
    <n v="16.133333333360497"/>
    <n v="7776.2666666797595"/>
    <n v="482"/>
    <x v="275"/>
  </r>
  <r>
    <x v="10"/>
    <x v="5"/>
    <n v="43"/>
    <n v="8125"/>
    <d v="2013-03-18T12:44:00"/>
    <d v="2013-03-18T16:19:00"/>
    <n v="0"/>
    <n v="521"/>
    <n v="482"/>
    <s v="Scrubber recycle (liquid) pumps"/>
    <s v="F520FGD Recycle Pumps - False Trip Indication"/>
    <s v="Mill Creek"/>
    <x v="3"/>
    <s v="Coal"/>
    <x v="2"/>
    <x v="0"/>
    <n v="3"/>
    <n v="3.5833333333139308"/>
    <n v="3.5833333333139308"/>
    <n v="1727.1666666573146"/>
    <n v="482"/>
    <x v="275"/>
  </r>
  <r>
    <x v="10"/>
    <x v="3"/>
    <n v="44"/>
    <n v="1850"/>
    <d v="2013-03-18T16:19:00"/>
    <d v="2013-03-18T23:45:00"/>
    <n v="0"/>
    <n v="521"/>
    <n v="482"/>
    <s v="Boiler water condition (not feedwater water quality)"/>
    <s v="F170High Silica @ Hot Start Up"/>
    <s v="Mill Creek"/>
    <x v="1"/>
    <s v="Coal"/>
    <x v="2"/>
    <x v="0"/>
    <n v="3"/>
    <n v="7.4333333334652707"/>
    <n v="7.4333333334652707"/>
    <n v="3582.8666667302605"/>
    <n v="482"/>
    <x v="275"/>
  </r>
  <r>
    <x v="10"/>
    <x v="0"/>
    <n v="45"/>
    <n v="310"/>
    <d v="2013-03-18T23:45:00"/>
    <d v="2013-03-19T02:46:00"/>
    <n v="430"/>
    <n v="521"/>
    <n v="482"/>
    <s v="Pulverizer mills"/>
    <s v="F5904A Coal Mill - Breaker Issue"/>
    <s v="Mill Creek"/>
    <x v="0"/>
    <s v="Coal"/>
    <x v="2"/>
    <x v="0"/>
    <n v="3"/>
    <n v="3.0166666665463708"/>
    <n v="0.52690339089389582"/>
    <n v="253.96743441085778"/>
    <n v="84.188099808061423"/>
    <x v="136"/>
  </r>
  <r>
    <x v="10"/>
    <x v="0"/>
    <n v="46"/>
    <n v="9270"/>
    <d v="2013-03-19T04:02:00"/>
    <d v="2013-03-19T12:25:00"/>
    <n v="430"/>
    <n v="521"/>
    <n v="482"/>
    <s v="Wet coal"/>
    <s v="FW004D Coal Feeder - Wet Coal"/>
    <s v="Mill Creek"/>
    <x v="0"/>
    <s v="Coal"/>
    <x v="2"/>
    <x v="0"/>
    <n v="3"/>
    <n v="8.3833333332440816"/>
    <n v="1.4642674344053963"/>
    <n v="705.77690338340096"/>
    <n v="84.188099808061423"/>
    <x v="136"/>
  </r>
  <r>
    <x v="10"/>
    <x v="2"/>
    <n v="47"/>
    <n v="3412"/>
    <d v="2013-03-23T22:00:00"/>
    <d v="2013-03-24T08:26:00"/>
    <n v="100"/>
    <n v="521"/>
    <n v="482"/>
    <s v="Feedwater pump drive - steam turbine"/>
    <s v="F590Turbine Driven Boiler Feed Pump - Replace Suction Flow Transmitter"/>
    <s v="Mill Creek"/>
    <x v="0"/>
    <s v="Coal"/>
    <x v="2"/>
    <x v="0"/>
    <n v="3"/>
    <n v="10.433333333465271"/>
    <n v="8.4307741523778859"/>
    <n v="4063.6331414461411"/>
    <n v="389.4856046065259"/>
    <x v="278"/>
  </r>
  <r>
    <x v="10"/>
    <x v="5"/>
    <n v="48"/>
    <n v="800"/>
    <d v="2013-03-24T08:26:00"/>
    <d v="2013-03-24T10:35:00"/>
    <n v="0"/>
    <n v="521"/>
    <n v="482"/>
    <s v="Drums and drum internals (single drum only)"/>
    <s v="F820Low Drum Level Trip"/>
    <s v="Mill Creek"/>
    <x v="3"/>
    <s v="Coal"/>
    <x v="2"/>
    <x v="0"/>
    <n v="3"/>
    <n v="2.1499999998486601"/>
    <n v="2.1499999998486601"/>
    <n v="1036.2999999270542"/>
    <n v="482"/>
    <x v="275"/>
  </r>
  <r>
    <x v="10"/>
    <x v="3"/>
    <n v="49"/>
    <n v="1850"/>
    <d v="2013-03-24T10:35:00"/>
    <d v="2013-03-24T16:35:00"/>
    <n v="0"/>
    <n v="521"/>
    <n v="482"/>
    <s v="Boiler water condition (not feedwater water quality)"/>
    <s v="F170High Silica @ Very Hot Start Up"/>
    <s v="Mill Creek"/>
    <x v="1"/>
    <s v="Coal"/>
    <x v="2"/>
    <x v="0"/>
    <n v="3"/>
    <n v="6"/>
    <n v="6"/>
    <n v="2892"/>
    <n v="482"/>
    <x v="275"/>
  </r>
  <r>
    <x v="10"/>
    <x v="0"/>
    <n v="50"/>
    <n v="1850"/>
    <d v="2013-03-24T16:35:00"/>
    <d v="2013-03-24T19:55:00"/>
    <n v="410"/>
    <n v="521"/>
    <n v="482"/>
    <s v="Boiler water condition (not feedwater water quality)"/>
    <s v="F170High Silica"/>
    <s v="Mill Creek"/>
    <x v="0"/>
    <s v="Coal"/>
    <x v="2"/>
    <x v="0"/>
    <n v="3"/>
    <n v="3.3333333333721384"/>
    <n v="0.71017274472995651"/>
    <n v="342.30326295983906"/>
    <n v="102.69097888675624"/>
    <x v="140"/>
  </r>
  <r>
    <x v="10"/>
    <x v="0"/>
    <n v="51"/>
    <n v="8551"/>
    <d v="2013-03-24T19:55:00"/>
    <d v="2013-03-24T22:03:00"/>
    <n v="390"/>
    <n v="521"/>
    <n v="482"/>
    <s v="Electrostatic precipitator field out of service"/>
    <s v="F400Particulate Matter Issue"/>
    <s v="Mill Creek"/>
    <x v="0"/>
    <s v="Coal"/>
    <x v="2"/>
    <x v="0"/>
    <n v="3"/>
    <n v="2.1333333333022892"/>
    <n v="0.5364043505999998"/>
    <n v="258.54689698919992"/>
    <n v="121.19385796545106"/>
    <x v="277"/>
  </r>
  <r>
    <x v="10"/>
    <x v="5"/>
    <n v="52"/>
    <n v="4730"/>
    <d v="2013-03-24T22:03:00"/>
    <d v="2013-03-25T08:54:00"/>
    <n v="0"/>
    <n v="521"/>
    <n v="482"/>
    <s v="Generator current and potential transformers"/>
    <s v="F430Generator Lock-Out: Broken Wire on Current Transformer"/>
    <s v="Mill Creek"/>
    <x v="3"/>
    <s v="Coal"/>
    <x v="2"/>
    <x v="0"/>
    <n v="3"/>
    <n v="10.850000000093132"/>
    <n v="10.850000000093132"/>
    <n v="5229.7000000448897"/>
    <n v="482"/>
    <x v="275"/>
  </r>
  <r>
    <x v="10"/>
    <x v="3"/>
    <n v="53"/>
    <n v="1850"/>
    <d v="2013-03-25T08:54:00"/>
    <d v="2013-03-25T17:00:00"/>
    <n v="0"/>
    <n v="521"/>
    <n v="482"/>
    <s v="Boiler water condition (not feedwater water quality)"/>
    <s v="F170High Silica @ Hot Start Up"/>
    <s v="Mill Creek"/>
    <x v="1"/>
    <s v="Coal"/>
    <x v="2"/>
    <x v="0"/>
    <n v="3"/>
    <n v="8.1000000000349246"/>
    <n v="8.1000000000349246"/>
    <n v="3904.2000000168337"/>
    <n v="482"/>
    <x v="275"/>
  </r>
  <r>
    <x v="10"/>
    <x v="0"/>
    <n v="54"/>
    <n v="1850"/>
    <d v="2013-03-25T17:00:00"/>
    <d v="2013-03-26T03:20:00"/>
    <n v="379"/>
    <n v="521"/>
    <n v="482"/>
    <s v="Boiler water condition (not feedwater water quality)"/>
    <s v="F170High Silica"/>
    <s v="Mill Creek"/>
    <x v="0"/>
    <s v="Coal"/>
    <x v="2"/>
    <x v="0"/>
    <n v="3"/>
    <n v="10.333333333313931"/>
    <n v="2.8163787587918967"/>
    <n v="1357.4945617376943"/>
    <n v="131.37044145873321"/>
    <x v="241"/>
  </r>
  <r>
    <x v="10"/>
    <x v="0"/>
    <n v="55"/>
    <n v="4499"/>
    <d v="2013-04-06T05:30:00"/>
    <d v="2013-04-06T12:51:00"/>
    <n v="200"/>
    <n v="521"/>
    <n v="482"/>
    <s v="Other miscellaneous steam turbine problems"/>
    <s v="F780Turbine - Force Cool"/>
    <s v="Mill Creek"/>
    <x v="0"/>
    <s v="Coal"/>
    <x v="2"/>
    <x v="0"/>
    <n v="4"/>
    <n v="7.3500000000349246"/>
    <n v="4.5285028791002127"/>
    <n v="2182.7383877263023"/>
    <n v="296.97120921305185"/>
    <x v="279"/>
  </r>
  <r>
    <x v="10"/>
    <x v="4"/>
    <n v="56"/>
    <n v="4550"/>
    <d v="2013-04-06T12:51:00"/>
    <d v="2013-04-12T07:21:00"/>
    <n v="0"/>
    <n v="521"/>
    <n v="482"/>
    <s v="Generator bearings and lube oil system (including thrust bearings on hydro units)"/>
    <s v="F920Generator - #8 Bearing Wiped"/>
    <s v="Mill Creek"/>
    <x v="2"/>
    <s v="Coal"/>
    <x v="2"/>
    <x v="0"/>
    <n v="4"/>
    <n v="138.50000000005821"/>
    <n v="138.50000000005821"/>
    <n v="66757.000000028056"/>
    <n v="482"/>
    <x v="275"/>
  </r>
  <r>
    <x v="10"/>
    <x v="3"/>
    <n v="57"/>
    <n v="1850"/>
    <d v="2013-04-12T07:21:00"/>
    <d v="2013-04-13T01:40:00"/>
    <n v="0"/>
    <n v="521"/>
    <n v="482"/>
    <s v="Boiler water condition (not feedwater water quality)"/>
    <s v="F170High Silica @ Cold Start Up"/>
    <s v="Mill Creek"/>
    <x v="1"/>
    <s v="Coal"/>
    <x v="2"/>
    <x v="0"/>
    <n v="4"/>
    <n v="18.316666666651145"/>
    <n v="18.316666666651145"/>
    <n v="8828.6333333258517"/>
    <n v="482"/>
    <x v="275"/>
  </r>
  <r>
    <x v="10"/>
    <x v="0"/>
    <n v="58"/>
    <n v="4613"/>
    <d v="2013-04-13T01:40:00"/>
    <d v="2013-04-13T03:57:00"/>
    <n v="441"/>
    <n v="521"/>
    <n v="482"/>
    <s v="Hydrogen seals"/>
    <s v="F540Generator - Hydrogen Seal Leak"/>
    <s v="Mill Creek"/>
    <x v="0"/>
    <s v="Coal"/>
    <x v="2"/>
    <x v="0"/>
    <n v="4"/>
    <n v="2.2833333332673647"/>
    <n v="0.35060780549210974"/>
    <n v="168.99296224719689"/>
    <n v="74.011516314779271"/>
    <x v="29"/>
  </r>
  <r>
    <x v="10"/>
    <x v="10"/>
    <n v="59"/>
    <n v="4613"/>
    <d v="2013-04-13T03:57:00"/>
    <d v="2013-04-17T19:12:00"/>
    <n v="0"/>
    <n v="521"/>
    <n v="482"/>
    <s v="Hydrogen seals"/>
    <s v="F540Generator - Hydrogen Seal Leak"/>
    <s v="Mill Creek"/>
    <x v="3"/>
    <s v="Coal"/>
    <x v="2"/>
    <x v="0"/>
    <n v="4"/>
    <n v="111.25000000011642"/>
    <n v="111.25000000011642"/>
    <n v="53622.500000056112"/>
    <n v="482"/>
    <x v="275"/>
  </r>
  <r>
    <x v="10"/>
    <x v="7"/>
    <n v="60"/>
    <n v="4550"/>
    <d v="2013-04-17T19:12:00"/>
    <d v="2013-04-23T07:20:00"/>
    <n v="0"/>
    <n v="521"/>
    <n v="482"/>
    <s v="Generator bearings and lube oil system (including thrust bearings on hydro units)"/>
    <s v="F920Generator - #8 Bearing Wiped"/>
    <s v="Mill Creek"/>
    <x v="3"/>
    <s v="Coal"/>
    <x v="2"/>
    <x v="0"/>
    <n v="4"/>
    <n v="132.13333333324408"/>
    <n v="132.13333333324408"/>
    <n v="63688.266666623647"/>
    <n v="482"/>
    <x v="275"/>
  </r>
  <r>
    <x v="10"/>
    <x v="3"/>
    <n v="61"/>
    <n v="1850"/>
    <d v="2013-04-23T07:20:00"/>
    <d v="2013-04-23T21:19:00"/>
    <n v="0"/>
    <n v="521"/>
    <n v="482"/>
    <s v="Boiler water condition (not feedwater water quality)"/>
    <s v="F170High Silica @ Cold Start Up"/>
    <s v="Mill Creek"/>
    <x v="1"/>
    <s v="Coal"/>
    <x v="2"/>
    <x v="0"/>
    <n v="4"/>
    <n v="13.983333333337214"/>
    <n v="13.983333333337214"/>
    <n v="6739.9666666685371"/>
    <n v="482"/>
    <x v="275"/>
  </r>
  <r>
    <x v="10"/>
    <x v="5"/>
    <n v="62"/>
    <n v="4730"/>
    <d v="2013-04-23T21:19:00"/>
    <d v="2013-04-24T11:23:00"/>
    <n v="0"/>
    <n v="521"/>
    <n v="482"/>
    <s v="Generator current and potential transformers"/>
    <s v="F430Generator C Phase Current Transformer - Wiring Issue"/>
    <s v="Mill Creek"/>
    <x v="3"/>
    <s v="Coal"/>
    <x v="2"/>
    <x v="0"/>
    <n v="4"/>
    <n v="14.06666666676756"/>
    <n v="14.06666666676756"/>
    <n v="6780.1333333819639"/>
    <n v="482"/>
    <x v="275"/>
  </r>
  <r>
    <x v="10"/>
    <x v="3"/>
    <n v="63"/>
    <n v="1850"/>
    <d v="2013-04-24T11:23:00"/>
    <d v="2013-04-24T20:00:00"/>
    <n v="0"/>
    <n v="521"/>
    <n v="482"/>
    <s v="Boiler water condition (not feedwater water quality)"/>
    <s v="F170High Silica @ Hot Start Up"/>
    <s v="Mill Creek"/>
    <x v="1"/>
    <s v="Coal"/>
    <x v="2"/>
    <x v="0"/>
    <n v="4"/>
    <n v="8.6166666666395031"/>
    <n v="8.6166666666395031"/>
    <n v="4153.2333333202405"/>
    <n v="482"/>
    <x v="275"/>
  </r>
  <r>
    <x v="10"/>
    <x v="0"/>
    <n v="64"/>
    <n v="1850"/>
    <d v="2013-04-24T20:00:00"/>
    <d v="2013-04-25T00:31:00"/>
    <n v="400"/>
    <n v="521"/>
    <n v="482"/>
    <s v="Boiler water condition (not feedwater water quality)"/>
    <s v="F170High Silica"/>
    <s v="Mill Creek"/>
    <x v="0"/>
    <s v="Coal"/>
    <x v="2"/>
    <x v="0"/>
    <n v="4"/>
    <n v="4.5166666665463708"/>
    <n v="1.0489763275472377"/>
    <n v="505.60658987776856"/>
    <n v="111.94241842610364"/>
    <x v="38"/>
  </r>
  <r>
    <x v="10"/>
    <x v="0"/>
    <n v="65"/>
    <n v="1850"/>
    <d v="2013-04-30T19:45:00"/>
    <d v="2013-04-30T20:40:00"/>
    <n v="511"/>
    <n v="521"/>
    <n v="482"/>
    <s v="Boiler water condition (not feedwater water quality)"/>
    <s v="F170High Silica"/>
    <s v="Mill Creek"/>
    <x v="0"/>
    <s v="Coal"/>
    <x v="2"/>
    <x v="0"/>
    <n v="4"/>
    <n v="0.91666666668606922"/>
    <n v="1.7594369802035877E-2"/>
    <n v="8.480486244581293"/>
    <n v="9.2514395393474089"/>
    <x v="94"/>
  </r>
  <r>
    <x v="10"/>
    <x v="0"/>
    <n v="66"/>
    <n v="1850"/>
    <d v="2013-04-30T20:40:00"/>
    <d v="2013-05-01T05:40:00"/>
    <n v="450"/>
    <n v="521"/>
    <n v="482"/>
    <s v="Boiler water condition (not feedwater water quality)"/>
    <s v="F170High Silica"/>
    <s v="Mill Creek"/>
    <x v="0"/>
    <s v="Coal"/>
    <x v="2"/>
    <x v="0"/>
    <n v="4"/>
    <n v="9"/>
    <n v="1.2264875239923225"/>
    <n v="591.16698656429946"/>
    <n v="65.685220729366605"/>
    <x v="244"/>
  </r>
  <r>
    <x v="10"/>
    <x v="0"/>
    <n v="67"/>
    <n v="1850"/>
    <d v="2013-05-01T05:40:00"/>
    <d v="2013-05-01T10:06:00"/>
    <n v="400"/>
    <n v="521"/>
    <n v="482"/>
    <s v="Boiler water condition (not feedwater water quality)"/>
    <s v="F170High Silica"/>
    <s v="Mill Creek"/>
    <x v="0"/>
    <s v="Coal"/>
    <x v="2"/>
    <x v="0"/>
    <n v="5"/>
    <n v="4.4333333332906477"/>
    <n v="1.0296225207834326"/>
    <n v="496.27805501761452"/>
    <n v="111.94241842610364"/>
    <x v="38"/>
  </r>
  <r>
    <x v="10"/>
    <x v="5"/>
    <n v="68"/>
    <n v="3110"/>
    <d v="2013-05-01T10:06:00"/>
    <d v="2013-05-02T22:13:00"/>
    <n v="0"/>
    <n v="521"/>
    <n v="482"/>
    <s v="Condenser tube leaks"/>
    <s v="F540Condenser Tube Leaks"/>
    <s v="Mill Creek"/>
    <x v="3"/>
    <s v="Coal"/>
    <x v="2"/>
    <x v="0"/>
    <n v="5"/>
    <n v="36.116666666697711"/>
    <n v="36.116666666697711"/>
    <n v="17408.233333348297"/>
    <n v="482"/>
    <x v="275"/>
  </r>
  <r>
    <x v="10"/>
    <x v="3"/>
    <n v="69"/>
    <n v="1850"/>
    <d v="2013-05-02T22:13:00"/>
    <d v="2013-05-03T07:41:00"/>
    <n v="0"/>
    <n v="521"/>
    <n v="482"/>
    <s v="Boiler water condition (not feedwater water quality)"/>
    <s v="F170High Silica @ Hot Start Up"/>
    <s v="Mill Creek"/>
    <x v="1"/>
    <s v="Coal"/>
    <x v="2"/>
    <x v="0"/>
    <n v="5"/>
    <n v="9.466666666790843"/>
    <n v="9.466666666790843"/>
    <n v="4562.9333333931863"/>
    <n v="482"/>
    <x v="275"/>
  </r>
  <r>
    <x v="10"/>
    <x v="0"/>
    <n v="70"/>
    <n v="1850"/>
    <d v="2013-05-03T07:41:00"/>
    <d v="2013-05-03T22:21:00"/>
    <n v="447"/>
    <n v="521"/>
    <n v="482"/>
    <s v="Boiler water condition (not feedwater water quality)"/>
    <s v="F170High Silica"/>
    <s v="Mill Creek"/>
    <x v="0"/>
    <s v="Coal"/>
    <x v="2"/>
    <x v="0"/>
    <n v="5"/>
    <n v="14.666666666627862"/>
    <n v="2.0831733845114431"/>
    <n v="1004.0895713345155"/>
    <n v="68.460652591170827"/>
    <x v="208"/>
  </r>
  <r>
    <x v="10"/>
    <x v="0"/>
    <n v="71"/>
    <n v="1710"/>
    <d v="2013-05-14T18:27:00"/>
    <d v="2013-05-14T19:11:00"/>
    <n v="510"/>
    <n v="521"/>
    <n v="482"/>
    <s v="Combustion/steam condition controls (report local controls --- burners"/>
    <s v="F400Max Steam Flow Issue"/>
    <s v="Mill Creek"/>
    <x v="0"/>
    <s v="Coal"/>
    <x v="2"/>
    <x v="0"/>
    <n v="5"/>
    <n v="0.73333333327900618"/>
    <n v="1.5483045424316829E-2"/>
    <n v="7.4628278945207116"/>
    <n v="10.17658349328215"/>
    <x v="182"/>
  </r>
  <r>
    <x v="10"/>
    <x v="3"/>
    <n v="72"/>
    <n v="1160"/>
    <d v="2013-05-20T00:00:00"/>
    <d v="2013-05-20T04:00:00"/>
    <n v="0"/>
    <n v="521"/>
    <n v="482"/>
    <s v="First reheater B"/>
    <s v="F320Boiler Deslag - First Reheater"/>
    <s v="Mill Creek"/>
    <x v="1"/>
    <s v="Coal"/>
    <x v="2"/>
    <x v="0"/>
    <n v="5"/>
    <n v="3.9999999999417923"/>
    <n v="3.9999999999417923"/>
    <n v="1927.9999999719439"/>
    <n v="482"/>
    <x v="275"/>
  </r>
  <r>
    <x v="10"/>
    <x v="2"/>
    <n v="73"/>
    <n v="1160"/>
    <d v="2013-05-20T22:30:00"/>
    <d v="2013-05-21T03:57:00"/>
    <n v="300"/>
    <n v="521"/>
    <n v="482"/>
    <s v="First reheater B"/>
    <s v="F320Boiler Deslag - First Reheater4C Coal Mill - Clean Bowl Differential Reference L"/>
    <s v="Mill Creek"/>
    <x v="0"/>
    <s v="Coal"/>
    <x v="2"/>
    <x v="0"/>
    <n v="5"/>
    <n v="5.4499999999534339"/>
    <n v="2.3118042226289996"/>
    <n v="1114.2896353071778"/>
    <n v="204.45681381957775"/>
    <x v="113"/>
  </r>
  <r>
    <x v="10"/>
    <x v="5"/>
    <n v="74"/>
    <n v="4619"/>
    <d v="2013-05-21T12:17:00"/>
    <d v="2013-05-23T06:00:00"/>
    <n v="0"/>
    <n v="521"/>
    <n v="482"/>
    <s v="Other hydrogen system problems"/>
    <s v="F540Generator Hydrogen Leak"/>
    <s v="Mill Creek"/>
    <x v="3"/>
    <s v="Coal"/>
    <x v="2"/>
    <x v="0"/>
    <n v="5"/>
    <n v="41.71666666661622"/>
    <n v="41.71666666661622"/>
    <n v="20107.433333309018"/>
    <n v="482"/>
    <x v="275"/>
  </r>
  <r>
    <x v="10"/>
    <x v="4"/>
    <n v="75"/>
    <n v="8100"/>
    <d v="2013-05-23T06:00:00"/>
    <d v="2013-05-23T21:10:00"/>
    <n v="0"/>
    <n v="521"/>
    <n v="482"/>
    <s v="Scrubber/absorber tower or module"/>
    <s v="F590FGD Module - Cleaning"/>
    <s v="Mill Creek"/>
    <x v="2"/>
    <s v="Coal"/>
    <x v="2"/>
    <x v="0"/>
    <n v="5"/>
    <n v="15.166666666686069"/>
    <n v="15.166666666686069"/>
    <n v="7310.3333333426854"/>
    <n v="482"/>
    <x v="275"/>
  </r>
  <r>
    <x v="10"/>
    <x v="3"/>
    <n v="76"/>
    <n v="1850"/>
    <d v="2013-05-23T21:10:00"/>
    <d v="2013-05-24T04:55:00"/>
    <n v="0"/>
    <n v="521"/>
    <n v="482"/>
    <s v="Boiler water condition (not feedwater water quality)"/>
    <s v="F170High Silica @ Warm Start Up"/>
    <s v="Mill Creek"/>
    <x v="1"/>
    <s v="Coal"/>
    <x v="2"/>
    <x v="0"/>
    <n v="5"/>
    <n v="7.7499999999417923"/>
    <n v="7.7499999999417923"/>
    <n v="3735.4999999719439"/>
    <n v="482"/>
    <x v="275"/>
  </r>
  <r>
    <x v="10"/>
    <x v="0"/>
    <n v="77"/>
    <n v="4619"/>
    <d v="2013-05-24T04:55:00"/>
    <d v="2013-05-24T08:07:00"/>
    <n v="400"/>
    <n v="521"/>
    <n v="482"/>
    <s v="Other hydrogen system problems"/>
    <s v="F540Generator Hydrogen Leak - Bushing Box Drain"/>
    <s v="Mill Creek"/>
    <x v="0"/>
    <s v="Coal"/>
    <x v="2"/>
    <x v="0"/>
    <n v="5"/>
    <n v="3.1999999999534339"/>
    <n v="0.74318618041145013"/>
    <n v="358.21573895831898"/>
    <n v="111.94241842610364"/>
    <x v="38"/>
  </r>
  <r>
    <x v="10"/>
    <x v="10"/>
    <n v="78"/>
    <n v="4619"/>
    <d v="2013-05-24T08:07:00"/>
    <d v="2013-05-25T05:28:00"/>
    <n v="0"/>
    <n v="521"/>
    <n v="482"/>
    <s v="Other hydrogen system problems"/>
    <s v="F540Generator Hydrogen Leak - Bushing Box Drain"/>
    <s v="Mill Creek"/>
    <x v="3"/>
    <s v="Coal"/>
    <x v="2"/>
    <x v="0"/>
    <n v="5"/>
    <n v="21.350000000093132"/>
    <n v="21.350000000093132"/>
    <n v="10290.70000004489"/>
    <n v="482"/>
    <x v="275"/>
  </r>
  <r>
    <x v="10"/>
    <x v="3"/>
    <n v="79"/>
    <n v="1850"/>
    <d v="2013-05-25T05:28:00"/>
    <d v="2013-05-25T11:23:00"/>
    <n v="0"/>
    <n v="521"/>
    <n v="482"/>
    <s v="Boiler water condition (not feedwater water quality)"/>
    <s v="F170High Silica @ Hot Start Up"/>
    <s v="Mill Creek"/>
    <x v="1"/>
    <s v="Coal"/>
    <x v="2"/>
    <x v="0"/>
    <n v="5"/>
    <n v="5.9166666667442769"/>
    <n v="5.9166666667442769"/>
    <n v="2851.8333333707415"/>
    <n v="482"/>
    <x v="275"/>
  </r>
  <r>
    <x v="10"/>
    <x v="5"/>
    <n v="80"/>
    <n v="800"/>
    <d v="2013-05-25T12:07:00"/>
    <d v="2013-05-25T14:34:00"/>
    <n v="0"/>
    <n v="521"/>
    <n v="482"/>
    <s v="Drums and drum internals (single drum only)"/>
    <s v="F420Low Drum Level Trip - Operator Error"/>
    <s v="Mill Creek"/>
    <x v="3"/>
    <s v="Coal"/>
    <x v="2"/>
    <x v="0"/>
    <n v="5"/>
    <n v="2.4499999999534339"/>
    <n v="2.4499999999534339"/>
    <n v="1180.8999999775551"/>
    <n v="482"/>
    <x v="275"/>
  </r>
  <r>
    <x v="10"/>
    <x v="3"/>
    <n v="81"/>
    <n v="1850"/>
    <d v="2013-05-25T14:34:00"/>
    <d v="2013-05-25T20:34:00"/>
    <n v="0"/>
    <n v="521"/>
    <n v="482"/>
    <s v="Boiler water condition (not feedwater water quality)"/>
    <s v="F170High Silica @ Very Hot Start Up"/>
    <s v="Mill Creek"/>
    <x v="1"/>
    <s v="Coal"/>
    <x v="2"/>
    <x v="0"/>
    <n v="5"/>
    <n v="6"/>
    <n v="6"/>
    <n v="2892"/>
    <n v="482"/>
    <x v="275"/>
  </r>
  <r>
    <x v="10"/>
    <x v="0"/>
    <n v="82"/>
    <n v="1850"/>
    <d v="2013-05-25T20:34:00"/>
    <d v="2013-05-25T21:50:00"/>
    <n v="400"/>
    <n v="521"/>
    <n v="482"/>
    <s v="Boiler water condition (not feedwater water quality)"/>
    <s v="F170High Silica"/>
    <s v="Mill Creek"/>
    <x v="0"/>
    <s v="Coal"/>
    <x v="2"/>
    <x v="0"/>
    <n v="5"/>
    <n v="1.2666666666045785"/>
    <n v="0.29417786306939347"/>
    <n v="141.79372999944766"/>
    <n v="111.94241842610364"/>
    <x v="38"/>
  </r>
  <r>
    <x v="10"/>
    <x v="0"/>
    <n v="83"/>
    <n v="3499"/>
    <d v="2013-06-06T13:42:00"/>
    <d v="2013-06-07T13:35:00"/>
    <n v="511"/>
    <n v="521"/>
    <n v="482"/>
    <s v="Other feedwater system problems"/>
    <s v="F520Feedwater Flow - ExcessiveBlowdown Valve - Not Completely Closed"/>
    <s v="Mill Creek"/>
    <x v="0"/>
    <s v="Coal"/>
    <x v="2"/>
    <x v="0"/>
    <n v="6"/>
    <n v="23.883333333302289"/>
    <n v="0.45841330774092687"/>
    <n v="220.95521433112674"/>
    <n v="9.2514395393474089"/>
    <x v="94"/>
  </r>
  <r>
    <x v="10"/>
    <x v="0"/>
    <n v="84"/>
    <n v="3499"/>
    <d v="2013-06-07T13:35:00"/>
    <d v="2013-06-07T14:30:00"/>
    <n v="500"/>
    <n v="521"/>
    <n v="482"/>
    <s v="Other feedwater system problems"/>
    <s v="F520Feedwater Flow - ExcessiveBlowdown Valve - Not Completely Closed"/>
    <s v="Mill Creek"/>
    <x v="0"/>
    <s v="Coal"/>
    <x v="2"/>
    <x v="0"/>
    <n v="6"/>
    <n v="0.91666666668606922"/>
    <n v="3.6948176584275343E-2"/>
    <n v="17.809021113620716"/>
    <n v="19.428023032629557"/>
    <x v="54"/>
  </r>
  <r>
    <x v="10"/>
    <x v="0"/>
    <n v="85"/>
    <n v="3499"/>
    <d v="2013-06-07T14:30:00"/>
    <d v="2013-06-11T12:20:00"/>
    <n v="513"/>
    <n v="521"/>
    <n v="482"/>
    <s v="Other feedwater system problems"/>
    <s v="F520Feedwater Flow - ExcessiveBlowdown Valve - Not Completely Closed"/>
    <s v="Mill Creek"/>
    <x v="0"/>
    <s v="Coal"/>
    <x v="2"/>
    <x v="0"/>
    <n v="6"/>
    <n v="93.833333333430346"/>
    <n v="1.440818937941349"/>
    <n v="694.47472808773023"/>
    <n v="7.4011516314779273"/>
    <x v="13"/>
  </r>
  <r>
    <x v="10"/>
    <x v="2"/>
    <n v="86"/>
    <n v="3412"/>
    <d v="2013-06-14T20:00:00"/>
    <d v="2013-06-14T20:12:00"/>
    <n v="170"/>
    <n v="521"/>
    <n v="482"/>
    <s v="Feedwater pump drive - steam turbine"/>
    <s v="F590Turbine Driven Boiler Feed Pump - Replace Suction Relief Valve"/>
    <s v="Mill Creek"/>
    <x v="0"/>
    <s v="Coal"/>
    <x v="2"/>
    <x v="0"/>
    <n v="6"/>
    <n v="0.19999999995343387"/>
    <n v="0.13474088288609459"/>
    <n v="64.945105551097598"/>
    <n v="324.72552783109404"/>
    <x v="70"/>
  </r>
  <r>
    <x v="10"/>
    <x v="5"/>
    <n v="87"/>
    <n v="800"/>
    <d v="2013-06-14T20:12:00"/>
    <d v="2013-06-14T22:18:00"/>
    <n v="0"/>
    <n v="521"/>
    <n v="482"/>
    <s v="Drums and drum internals (single drum only)"/>
    <s v="F420High Drum Level Trip - Operator Error"/>
    <s v="Mill Creek"/>
    <x v="3"/>
    <s v="Coal"/>
    <x v="2"/>
    <x v="0"/>
    <n v="6"/>
    <n v="2.1000000000349246"/>
    <n v="2.1000000000349246"/>
    <n v="1012.2000000168337"/>
    <n v="482"/>
    <x v="275"/>
  </r>
  <r>
    <x v="10"/>
    <x v="3"/>
    <n v="88"/>
    <n v="1850"/>
    <d v="2013-06-14T22:18:00"/>
    <d v="2013-06-15T01:00:00"/>
    <n v="0"/>
    <n v="521"/>
    <n v="482"/>
    <s v="Boiler water condition (not feedwater water quality)"/>
    <s v="F170High Silica @ Very Hot Start Up"/>
    <s v="Mill Creek"/>
    <x v="1"/>
    <s v="Coal"/>
    <x v="2"/>
    <x v="0"/>
    <n v="6"/>
    <n v="2.6999999998952262"/>
    <n v="2.6999999998952262"/>
    <n v="1301.399999949499"/>
    <n v="482"/>
    <x v="275"/>
  </r>
  <r>
    <x v="10"/>
    <x v="2"/>
    <n v="89"/>
    <n v="3412"/>
    <d v="2013-06-15T01:00:00"/>
    <d v="2013-06-15T07:56:00"/>
    <n v="125"/>
    <n v="521"/>
    <n v="482"/>
    <s v="Feedwater pump drive - steam turbine"/>
    <s v="F590Turbine Driven Boiler Feed Pump - Replace Suction Relief Valve"/>
    <s v="Mill Creek"/>
    <x v="0"/>
    <s v="Coal"/>
    <x v="2"/>
    <x v="0"/>
    <n v="6"/>
    <n v="6.933333333407063"/>
    <n v="5.2698656430502817"/>
    <n v="2540.0752399502358"/>
    <n v="366.35700575815741"/>
    <x v="193"/>
  </r>
  <r>
    <x v="10"/>
    <x v="0"/>
    <n v="90"/>
    <n v="3123"/>
    <d v="2013-06-16T11:09:00"/>
    <d v="2013-06-16T12:29:00"/>
    <n v="420"/>
    <n v="521"/>
    <n v="482"/>
    <s v="Hot well"/>
    <s v="F5904C Hotwell Pump Motor - Replace Outboard Bearing Sightglass"/>
    <s v="Mill Creek"/>
    <x v="0"/>
    <s v="Coal"/>
    <x v="2"/>
    <x v="0"/>
    <n v="6"/>
    <n v="1.3333333333139308"/>
    <n v="0.25847728726431285"/>
    <n v="124.58605246139879"/>
    <n v="93.439539347408825"/>
    <x v="129"/>
  </r>
  <r>
    <x v="10"/>
    <x v="5"/>
    <n v="91"/>
    <n v="3662"/>
    <d v="2013-06-19T16:06:00"/>
    <d v="2013-06-19T17:43:00"/>
    <n v="0"/>
    <n v="521"/>
    <n v="482"/>
    <s v="4160-volt conductors and buses"/>
    <s v="F8204KV Bus Under Voltage Trip"/>
    <s v="Mill Creek"/>
    <x v="3"/>
    <s v="Coal"/>
    <x v="2"/>
    <x v="0"/>
    <n v="6"/>
    <n v="1.6166666666977108"/>
    <n v="1.6166666666977108"/>
    <n v="779.23333334829658"/>
    <n v="482"/>
    <x v="275"/>
  </r>
  <r>
    <x v="10"/>
    <x v="3"/>
    <n v="92"/>
    <n v="1850"/>
    <d v="2013-06-19T17:43:00"/>
    <d v="2013-06-19T20:27:00"/>
    <n v="0"/>
    <n v="521"/>
    <n v="482"/>
    <s v="Boiler water condition (not feedwater water quality)"/>
    <s v="F170High Silica @ Very Hot Start Up"/>
    <s v="Mill Creek"/>
    <x v="1"/>
    <s v="Coal"/>
    <x v="2"/>
    <x v="0"/>
    <n v="6"/>
    <n v="2.7333333333372138"/>
    <n v="2.7333333333372138"/>
    <n v="1317.4666666685371"/>
    <n v="482"/>
    <x v="275"/>
  </r>
  <r>
    <x v="10"/>
    <x v="0"/>
    <n v="93"/>
    <n v="3149"/>
    <d v="2013-06-25T13:32:00"/>
    <d v="2013-06-25T17:57:00"/>
    <n v="507"/>
    <n v="521"/>
    <n v="482"/>
    <s v="Loss of vacuum not attributable to a particular component such as air ejectors or valves; or"/>
    <s v="F660High Back Pressure"/>
    <s v="Mill Creek"/>
    <x v="0"/>
    <s v="Coal"/>
    <x v="2"/>
    <x v="0"/>
    <n v="6"/>
    <n v="4.4166666667442769"/>
    <n v="0.11868202175512452"/>
    <n v="57.204734485970015"/>
    <n v="12.952015355086372"/>
    <x v="20"/>
  </r>
  <r>
    <x v="10"/>
    <x v="0"/>
    <n v="94"/>
    <n v="1710"/>
    <d v="2013-06-25T17:57:00"/>
    <d v="2013-06-27T13:25:00"/>
    <n v="511"/>
    <n v="521"/>
    <n v="482"/>
    <s v="Combustion/steam condition controls (report local controls --- burners"/>
    <s v="F400Max Steam Flow Issue"/>
    <s v="Mill Creek"/>
    <x v="0"/>
    <s v="Coal"/>
    <x v="2"/>
    <x v="0"/>
    <n v="6"/>
    <n v="43.466666666732635"/>
    <n v="0.83429302623287205"/>
    <n v="402.12923864424431"/>
    <n v="9.2514395393474089"/>
    <x v="94"/>
  </r>
  <r>
    <x v="10"/>
    <x v="0"/>
    <n v="95"/>
    <n v="1710"/>
    <d v="2013-06-27T13:25:00"/>
    <d v="2013-06-28T22:44:00"/>
    <n v="504"/>
    <n v="521"/>
    <n v="482"/>
    <s v="Combustion/steam condition controls (report local controls --- burners"/>
    <s v="F400Max Steam Flow Issue"/>
    <s v="Mill Creek"/>
    <x v="0"/>
    <s v="Coal"/>
    <x v="2"/>
    <x v="0"/>
    <n v="6"/>
    <n v="33.316666666651145"/>
    <n v="1.0871081253993655"/>
    <n v="523.98611644249422"/>
    <n v="15.727447216890596"/>
    <x v="167"/>
  </r>
  <r>
    <x v="10"/>
    <x v="0"/>
    <n v="96"/>
    <n v="260"/>
    <d v="2013-06-28T07:50:00"/>
    <d v="2013-06-28T08:13:00"/>
    <n v="325"/>
    <n v="521"/>
    <n v="482"/>
    <s v="Primary air fan"/>
    <s v="F4004B &amp; 4C Coal Feeders Trip - Low PA Flow"/>
    <s v="Mill Creek"/>
    <x v="0"/>
    <s v="Coal"/>
    <x v="2"/>
    <x v="0"/>
    <n v="6"/>
    <n v="0.38333333336049691"/>
    <n v="0.14420985285730786"/>
    <n v="69.509149077222389"/>
    <n v="181.32821497120921"/>
    <x v="269"/>
  </r>
  <r>
    <x v="10"/>
    <x v="4"/>
    <n v="97"/>
    <n v="1000"/>
    <d v="2013-06-28T22:44:00"/>
    <d v="2013-06-30T13:49:00"/>
    <n v="0"/>
    <n v="521"/>
    <n v="482"/>
    <s v="Waterwall (Furnace wall) A"/>
    <s v="F540Boiler Tube Leak - Waterwall"/>
    <s v="Mill Creek"/>
    <x v="2"/>
    <s v="Coal"/>
    <x v="2"/>
    <x v="0"/>
    <n v="6"/>
    <n v="39.083333333255723"/>
    <n v="39.083333333255723"/>
    <n v="18838.166666629259"/>
    <n v="482"/>
    <x v="275"/>
  </r>
  <r>
    <x v="10"/>
    <x v="3"/>
    <n v="98"/>
    <n v="1850"/>
    <d v="2013-06-30T13:49:00"/>
    <d v="2013-06-30T22:30:00"/>
    <n v="0"/>
    <n v="521"/>
    <n v="482"/>
    <s v="Boiler water condition (not feedwater water quality)"/>
    <s v="F170High Silica @ Hot Start Up"/>
    <s v="Mill Creek"/>
    <x v="1"/>
    <s v="Coal"/>
    <x v="2"/>
    <x v="0"/>
    <n v="6"/>
    <n v="8.6833333333488554"/>
    <n v="8.6833333333488554"/>
    <n v="4185.3666666741483"/>
    <n v="482"/>
    <x v="275"/>
  </r>
  <r>
    <x v="10"/>
    <x v="0"/>
    <n v="99"/>
    <n v="250"/>
    <d v="2013-06-30T22:30:00"/>
    <d v="2013-07-01T08:09:00"/>
    <n v="425"/>
    <n v="521"/>
    <n v="482"/>
    <s v="Pulverizer feeders"/>
    <s v="F5904E Coal Feeder - Replace Load Cell"/>
    <s v="Mill Creek"/>
    <x v="0"/>
    <s v="Coal"/>
    <x v="2"/>
    <x v="0"/>
    <n v="6"/>
    <n v="9.6500000000232831"/>
    <n v="1.7781190019236759"/>
    <n v="857.05335892721178"/>
    <n v="88.813819577735131"/>
    <x v="145"/>
  </r>
  <r>
    <x v="10"/>
    <x v="0"/>
    <n v="100"/>
    <n v="385"/>
    <d v="2013-07-01T07:20:00"/>
    <d v="2013-07-01T08:09:00"/>
    <n v="305"/>
    <n v="521"/>
    <n v="482"/>
    <s v="Igniters"/>
    <s v="F5904D Igniters - Replace Solenoid"/>
    <s v="Mill Creek"/>
    <x v="0"/>
    <s v="Coal"/>
    <x v="2"/>
    <x v="0"/>
    <n v="7"/>
    <n v="0.81666666670935228"/>
    <n v="0.33857965452825356"/>
    <n v="163.19539348261821"/>
    <n v="199.83109404990404"/>
    <x v="225"/>
  </r>
  <r>
    <x v="10"/>
    <x v="0"/>
    <n v="101"/>
    <n v="250"/>
    <d v="2013-07-01T08:09:00"/>
    <d v="2013-07-01T08:33:00"/>
    <n v="430"/>
    <n v="521"/>
    <n v="482"/>
    <s v="Pulverizer feeders"/>
    <s v="F5904E Coal Feeder - Replace Load Cell"/>
    <s v="Mill Creek"/>
    <x v="0"/>
    <s v="Coal"/>
    <x v="2"/>
    <x v="0"/>
    <n v="7"/>
    <n v="0.39999999990686774"/>
    <n v="6.9865642977974984E-2"/>
    <n v="33.675239915383941"/>
    <n v="84.188099808061423"/>
    <x v="136"/>
  </r>
  <r>
    <x v="10"/>
    <x v="0"/>
    <n v="102"/>
    <n v="1710"/>
    <d v="2013-07-01T13:59:00"/>
    <d v="2013-07-02T01:34:00"/>
    <n v="509"/>
    <n v="521"/>
    <n v="482"/>
    <s v="Combustion/steam condition controls (report local controls --- burners"/>
    <s v="F400Max Steam Flow Issue"/>
    <s v="Mill Creek"/>
    <x v="0"/>
    <s v="Coal"/>
    <x v="2"/>
    <x v="0"/>
    <n v="7"/>
    <n v="11.583333333372138"/>
    <n v="0.26679462572066348"/>
    <n v="128.59500959735979"/>
    <n v="11.101727447216891"/>
    <x v="197"/>
  </r>
  <r>
    <x v="10"/>
    <x v="5"/>
    <n v="103"/>
    <n v="4268"/>
    <d v="2013-07-02T01:34:00"/>
    <d v="2013-07-02T03:15:00"/>
    <n v="0"/>
    <n v="521"/>
    <n v="482"/>
    <s v="Reheat/intercept valve testing"/>
    <s v="F790Sudden Load Rejection during Turbine Reheat/Intercept Valve Test"/>
    <s v="Mill Creek"/>
    <x v="3"/>
    <s v="Coal"/>
    <x v="2"/>
    <x v="0"/>
    <n v="7"/>
    <n v="1.6833333332324401"/>
    <n v="1.6833333332324401"/>
    <n v="811.36666661803611"/>
    <n v="482"/>
    <x v="275"/>
  </r>
  <r>
    <x v="10"/>
    <x v="3"/>
    <n v="104"/>
    <n v="1850"/>
    <d v="2013-07-02T03:15:00"/>
    <d v="2013-07-02T09:17:00"/>
    <n v="0"/>
    <n v="521"/>
    <n v="482"/>
    <s v="Boiler water condition (not feedwater water quality)"/>
    <s v="F170High Silica @ Very Hot Start Up"/>
    <s v="Mill Creek"/>
    <x v="1"/>
    <s v="Coal"/>
    <x v="2"/>
    <x v="0"/>
    <n v="7"/>
    <n v="6.0333333334419876"/>
    <n v="6.0333333334419876"/>
    <n v="2908.066666719038"/>
    <n v="482"/>
    <x v="275"/>
  </r>
  <r>
    <x v="10"/>
    <x v="0"/>
    <n v="105"/>
    <n v="1850"/>
    <d v="2013-07-02T09:17:00"/>
    <d v="2013-07-02T09:33:00"/>
    <n v="483"/>
    <n v="521"/>
    <n v="482"/>
    <s v="Boiler water condition (not feedwater water quality)"/>
    <s v="F170High Silica"/>
    <s v="Mill Creek"/>
    <x v="0"/>
    <s v="Coal"/>
    <x v="2"/>
    <x v="0"/>
    <n v="7"/>
    <n v="0.26666666666278616"/>
    <n v="1.9449776071374037E-2"/>
    <n v="9.3747920664022857"/>
    <n v="35.155470249520157"/>
    <x v="139"/>
  </r>
  <r>
    <x v="10"/>
    <x v="0"/>
    <n v="106"/>
    <n v="1710"/>
    <d v="2013-07-02T10:06:00"/>
    <d v="2013-07-02T11:37:00"/>
    <n v="485"/>
    <n v="521"/>
    <n v="482"/>
    <s v="Combustion/steam condition controls (report local controls --- burners"/>
    <s v="F400Max Feedwater Flow"/>
    <s v="Mill Creek"/>
    <x v="0"/>
    <s v="Coal"/>
    <x v="2"/>
    <x v="0"/>
    <n v="7"/>
    <n v="1.5166666667209938"/>
    <n v="0.10479846449511665"/>
    <n v="50.512859886646226"/>
    <n v="33.305182341650671"/>
    <x v="17"/>
  </r>
  <r>
    <x v="10"/>
    <x v="0"/>
    <n v="107"/>
    <n v="1710"/>
    <d v="2013-07-02T11:37:00"/>
    <d v="2013-07-03T16:06:00"/>
    <n v="510"/>
    <n v="521"/>
    <n v="482"/>
    <s v="Combustion/steam condition controls (report local controls --- burners"/>
    <s v="F400Max Steam Flow Issue"/>
    <s v="Mill Creek"/>
    <x v="0"/>
    <s v="Coal"/>
    <x v="2"/>
    <x v="0"/>
    <n v="7"/>
    <n v="28.483333333279006"/>
    <n v="0.60137555981971025"/>
    <n v="289.86301983310034"/>
    <n v="10.17658349328215"/>
    <x v="182"/>
  </r>
  <r>
    <x v="10"/>
    <x v="5"/>
    <n v="108"/>
    <n v="4730"/>
    <d v="2013-07-03T16:06:00"/>
    <d v="2013-07-03T19:56:00"/>
    <n v="0"/>
    <n v="521"/>
    <n v="482"/>
    <s v="Generator current and potential transformers"/>
    <s v="F430Current Transformer - Wiring Issues"/>
    <s v="Mill Creek"/>
    <x v="3"/>
    <s v="Coal"/>
    <x v="2"/>
    <x v="0"/>
    <n v="7"/>
    <n v="3.8333333334303461"/>
    <n v="3.8333333334303461"/>
    <n v="1847.6666667134268"/>
    <n v="482"/>
    <x v="275"/>
  </r>
  <r>
    <x v="10"/>
    <x v="3"/>
    <n v="109"/>
    <n v="1850"/>
    <d v="2013-07-03T19:56:00"/>
    <d v="2013-07-04T00:54:00"/>
    <n v="0"/>
    <n v="521"/>
    <n v="482"/>
    <s v="Boiler water condition (not feedwater water quality)"/>
    <s v="F170High Silica @ Very Hot Start Up"/>
    <s v="Mill Creek"/>
    <x v="1"/>
    <s v="Coal"/>
    <x v="2"/>
    <x v="0"/>
    <n v="7"/>
    <n v="4.96666666661622"/>
    <n v="4.96666666661622"/>
    <n v="2393.9333333090181"/>
    <n v="482"/>
    <x v="275"/>
  </r>
  <r>
    <x v="10"/>
    <x v="0"/>
    <n v="110"/>
    <n v="310"/>
    <d v="2013-07-06T07:50:00"/>
    <d v="2013-07-06T10:57:00"/>
    <n v="425"/>
    <n v="521"/>
    <n v="482"/>
    <s v="Pulverizer mills"/>
    <s v="F5304C Coal Mill - Inspection, Bowl Seal Leak"/>
    <s v="Mill Creek"/>
    <x v="0"/>
    <s v="Coal"/>
    <x v="2"/>
    <x v="0"/>
    <n v="7"/>
    <n v="3.1166666666977108"/>
    <n v="0.57428023033201581"/>
    <n v="276.80307102003161"/>
    <n v="88.813819577735131"/>
    <x v="145"/>
  </r>
  <r>
    <x v="10"/>
    <x v="2"/>
    <n v="111"/>
    <n v="250"/>
    <d v="2013-07-07T22:00:00"/>
    <d v="2013-07-08T05:27:00"/>
    <n v="425"/>
    <n v="521"/>
    <n v="482"/>
    <s v="Pulverizer feeders"/>
    <s v="F0904D Coal Feeder - Calibration"/>
    <s v="Mill Creek"/>
    <x v="0"/>
    <s v="Coal"/>
    <x v="2"/>
    <x v="0"/>
    <n v="7"/>
    <n v="7.4500000000116415"/>
    <n v="1.3727447216912045"/>
    <n v="661.66295585516059"/>
    <n v="88.813819577735131"/>
    <x v="145"/>
  </r>
  <r>
    <x v="10"/>
    <x v="0"/>
    <n v="112"/>
    <n v="1710"/>
    <d v="2013-07-08T10:35:00"/>
    <d v="2013-07-08T22:30:00"/>
    <n v="509"/>
    <n v="521"/>
    <n v="482"/>
    <s v="Combustion/steam condition controls (report local controls --- burners"/>
    <s v="F400Max Steam Flow Issue"/>
    <s v="Mill Creek"/>
    <x v="0"/>
    <s v="Coal"/>
    <x v="2"/>
    <x v="0"/>
    <n v="7"/>
    <n v="11.916666666744277"/>
    <n v="0.27447216890773768"/>
    <n v="132.29558541352955"/>
    <n v="11.101727447216891"/>
    <x v="197"/>
  </r>
  <r>
    <x v="10"/>
    <x v="2"/>
    <n v="113"/>
    <n v="250"/>
    <d v="2013-07-08T22:30:00"/>
    <d v="2013-07-09T03:05:00"/>
    <n v="425"/>
    <n v="521"/>
    <n v="482"/>
    <s v="Pulverizer feeders"/>
    <s v="F0904A Coal Feeder - Calibration"/>
    <s v="Mill Creek"/>
    <x v="0"/>
    <s v="Coal"/>
    <x v="2"/>
    <x v="0"/>
    <n v="7"/>
    <n v="4.5833333332557231"/>
    <n v="0.8445297504655459"/>
    <n v="407.06333972439313"/>
    <n v="88.813819577735131"/>
    <x v="145"/>
  </r>
  <r>
    <x v="10"/>
    <x v="0"/>
    <n v="114"/>
    <n v="1710"/>
    <d v="2013-07-09T09:48:00"/>
    <d v="2013-07-09T12:12:00"/>
    <n v="511"/>
    <n v="521"/>
    <n v="482"/>
    <s v="Combustion/steam condition controls (report local controls --- burners"/>
    <s v="F400Max Steam Flow Issue"/>
    <s v="Mill Creek"/>
    <x v="0"/>
    <s v="Coal"/>
    <x v="2"/>
    <x v="0"/>
    <n v="7"/>
    <n v="2.3999999999650754"/>
    <n v="4.6065259116412197E-2"/>
    <n v="22.203454894110678"/>
    <n v="9.2514395393474089"/>
    <x v="94"/>
  </r>
  <r>
    <x v="10"/>
    <x v="0"/>
    <n v="115"/>
    <n v="3149"/>
    <d v="2013-07-09T12:12:00"/>
    <d v="2013-07-09T23:00:00"/>
    <n v="500"/>
    <n v="521"/>
    <n v="482"/>
    <s v="Loss of vacuum not attributable to a particular component such as air ejectors or valves; or"/>
    <s v="F660High Back Pressure"/>
    <s v="Mill Creek"/>
    <x v="0"/>
    <s v="Coal"/>
    <x v="2"/>
    <x v="0"/>
    <n v="7"/>
    <n v="10.800000000104774"/>
    <n v="0.43531669866065309"/>
    <n v="209.82264875443479"/>
    <n v="19.428023032629557"/>
    <x v="54"/>
  </r>
  <r>
    <x v="10"/>
    <x v="2"/>
    <n v="116"/>
    <n v="250"/>
    <d v="2013-07-09T23:00:00"/>
    <d v="2013-07-10T04:11:00"/>
    <n v="425"/>
    <n v="521"/>
    <n v="482"/>
    <s v="Pulverizer feeders"/>
    <s v="F0904B Coal Feeder - Calibration"/>
    <s v="Mill Creek"/>
    <x v="0"/>
    <s v="Coal"/>
    <x v="2"/>
    <x v="0"/>
    <n v="7"/>
    <n v="5.1833333332906477"/>
    <n v="0.95508637235297922"/>
    <n v="460.35163147413596"/>
    <n v="88.813819577735131"/>
    <x v="145"/>
  </r>
  <r>
    <x v="10"/>
    <x v="0"/>
    <n v="117"/>
    <n v="310"/>
    <d v="2013-07-10T04:11:00"/>
    <d v="2013-07-10T23:30:00"/>
    <n v="425"/>
    <n v="521"/>
    <n v="482"/>
    <s v="Pulverizer mills"/>
    <s v="F5904B Coal Mill - Breaker Issue, Racking Mechanism"/>
    <s v="Mill Creek"/>
    <x v="0"/>
    <s v="Coal"/>
    <x v="2"/>
    <x v="0"/>
    <n v="7"/>
    <n v="19.316666666592937"/>
    <n v="3.5593090210996583"/>
    <n v="1715.5869481700354"/>
    <n v="88.813819577735131"/>
    <x v="145"/>
  </r>
  <r>
    <x v="10"/>
    <x v="2"/>
    <n v="118"/>
    <n v="3662"/>
    <d v="2013-07-10T23:30:00"/>
    <d v="2013-07-11T07:37:00"/>
    <n v="180"/>
    <n v="521"/>
    <n v="482"/>
    <s v="4160-volt conductors and buses"/>
    <s v="F5904KV Bus - Section 4B1 Repair"/>
    <s v="Mill Creek"/>
    <x v="0"/>
    <s v="Coal"/>
    <x v="2"/>
    <x v="0"/>
    <n v="7"/>
    <n v="8.1166666667559184"/>
    <n v="5.312444017972684"/>
    <n v="2560.5980166628337"/>
    <n v="315.47408829174663"/>
    <x v="280"/>
  </r>
  <r>
    <x v="10"/>
    <x v="0"/>
    <n v="119"/>
    <n v="1710"/>
    <d v="2013-07-11T13:20:00"/>
    <d v="2013-07-13T16:58:00"/>
    <n v="505"/>
    <n v="521"/>
    <n v="482"/>
    <s v="Combustion/steam condition controls (report local controls --- burners"/>
    <s v="F400Max Steam Flow Issue"/>
    <s v="Mill Creek"/>
    <x v="0"/>
    <s v="Coal"/>
    <x v="2"/>
    <x v="0"/>
    <n v="7"/>
    <n v="51.633333333302289"/>
    <n v="1.5856685860515098"/>
    <n v="764.29225847682778"/>
    <n v="14.802303262955855"/>
    <x v="169"/>
  </r>
  <r>
    <x v="10"/>
    <x v="0"/>
    <n v="120"/>
    <n v="1710"/>
    <d v="2013-07-13T16:58:00"/>
    <d v="2013-07-14T20:40:00"/>
    <n v="515"/>
    <n v="521"/>
    <n v="482"/>
    <s v="Combustion/steam condition controls (report local controls --- burners"/>
    <s v="F400Max Steam Flow Issue"/>
    <s v="Mill Creek"/>
    <x v="0"/>
    <s v="Coal"/>
    <x v="2"/>
    <x v="0"/>
    <n v="7"/>
    <n v="27.700000000011642"/>
    <n v="0.31900191938593059"/>
    <n v="153.75892514401855"/>
    <n v="5.5508637236084457"/>
    <x v="151"/>
  </r>
  <r>
    <x v="10"/>
    <x v="0"/>
    <n v="121"/>
    <n v="1710"/>
    <d v="2013-07-14T20:40:00"/>
    <d v="2013-07-16T11:03:00"/>
    <n v="510"/>
    <n v="521"/>
    <n v="482"/>
    <s v="Combustion/steam condition controls (report local controls --- burners"/>
    <s v="F400Max Steam Flow Issue"/>
    <s v="Mill Creek"/>
    <x v="0"/>
    <s v="Coal"/>
    <x v="2"/>
    <x v="0"/>
    <n v="7"/>
    <n v="38.383333333418705"/>
    <n v="0.81039667306642182"/>
    <n v="390.61119641801531"/>
    <n v="10.17658349328215"/>
    <x v="182"/>
  </r>
  <r>
    <x v="10"/>
    <x v="2"/>
    <n v="122"/>
    <n v="250"/>
    <d v="2013-07-15T23:00:00"/>
    <d v="2013-07-16T03:54:00"/>
    <n v="425"/>
    <n v="521"/>
    <n v="482"/>
    <s v="Pulverizer feeders"/>
    <s v="F0904C Coal Feeder - Calibration"/>
    <s v="Mill Creek"/>
    <x v="0"/>
    <s v="Coal"/>
    <x v="2"/>
    <x v="0"/>
    <n v="7"/>
    <n v="4.8999999999068677"/>
    <n v="0.90287907867765704"/>
    <n v="435.18771592263067"/>
    <n v="88.813819577735131"/>
    <x v="145"/>
  </r>
  <r>
    <x v="10"/>
    <x v="0"/>
    <n v="123"/>
    <n v="1710"/>
    <d v="2013-07-16T11:03:00"/>
    <d v="2013-07-18T06:00:00"/>
    <n v="504"/>
    <n v="521"/>
    <n v="482"/>
    <s v="Combustion/steam condition controls (report local controls --- burners"/>
    <s v="F400Max Steam Flow Issue"/>
    <s v="Mill Creek"/>
    <x v="0"/>
    <s v="Coal"/>
    <x v="2"/>
    <x v="0"/>
    <n v="7"/>
    <n v="42.949999999953434"/>
    <n v="1.4014395393458894"/>
    <n v="675.4938579647187"/>
    <n v="15.727447216890596"/>
    <x v="167"/>
  </r>
  <r>
    <x v="10"/>
    <x v="0"/>
    <n v="124"/>
    <n v="1710"/>
    <d v="2013-07-18T06:00:00"/>
    <d v="2013-07-18T09:54:00"/>
    <n v="510"/>
    <n v="521"/>
    <n v="482"/>
    <s v="Combustion/steam condition controls (report local controls --- burners"/>
    <s v="F400Max Steam Flow Issue"/>
    <s v="Mill Creek"/>
    <x v="0"/>
    <s v="Coal"/>
    <x v="2"/>
    <x v="0"/>
    <n v="7"/>
    <n v="3.8999999999650754"/>
    <n v="8.234165067104765E-2"/>
    <n v="39.688675623444965"/>
    <n v="10.17658349328215"/>
    <x v="182"/>
  </r>
  <r>
    <x v="10"/>
    <x v="0"/>
    <n v="125"/>
    <n v="1710"/>
    <d v="2013-07-18T09:54:00"/>
    <d v="2013-07-19T08:49:00"/>
    <n v="506"/>
    <n v="521"/>
    <n v="482"/>
    <s v="Combustion/steam condition controls (report local controls --- burners"/>
    <s v="F400Max Steam Flow Issue"/>
    <s v="Mill Creek"/>
    <x v="0"/>
    <s v="Coal"/>
    <x v="2"/>
    <x v="0"/>
    <n v="7"/>
    <n v="22.916666666627862"/>
    <n v="0.65978886756126276"/>
    <n v="318.01823416452868"/>
    <n v="13.877159309021113"/>
    <x v="61"/>
  </r>
  <r>
    <x v="10"/>
    <x v="0"/>
    <n v="126"/>
    <n v="1710"/>
    <d v="2013-07-19T10:46:00"/>
    <d v="2013-07-22T20:15:00"/>
    <n v="512"/>
    <n v="521"/>
    <n v="482"/>
    <s v="Combustion/steam condition controls (report local controls --- burners"/>
    <s v="F400Max Steam Flow Issue"/>
    <s v="Mill Creek"/>
    <x v="0"/>
    <s v="Coal"/>
    <x v="2"/>
    <x v="0"/>
    <n v="7"/>
    <n v="81.483333333337214"/>
    <n v="1.4075815738964201"/>
    <n v="678.45431861807447"/>
    <n v="8.3262955854126677"/>
    <x v="1"/>
  </r>
  <r>
    <x v="10"/>
    <x v="2"/>
    <n v="127"/>
    <n v="260"/>
    <d v="2013-07-22T22:00:00"/>
    <d v="2013-07-23T03:20:00"/>
    <n v="425"/>
    <n v="521"/>
    <n v="482"/>
    <s v="Primary air fan"/>
    <s v="F5904E Coal Mill PA Fan - Repair Discharge Damper Linkage"/>
    <s v="Mill Creek"/>
    <x v="0"/>
    <s v="Coal"/>
    <x v="2"/>
    <x v="0"/>
    <n v="7"/>
    <n v="5.3333333334303461"/>
    <n v="0.98272552784896972"/>
    <n v="473.67370442320339"/>
    <n v="88.813819577735131"/>
    <x v="145"/>
  </r>
  <r>
    <x v="10"/>
    <x v="0"/>
    <n v="128"/>
    <n v="385"/>
    <d v="2013-07-23T10:15:00"/>
    <d v="2013-07-23T10:32:00"/>
    <n v="440"/>
    <n v="521"/>
    <n v="482"/>
    <s v="Igniters"/>
    <s v="F4004E Coal Mill - 4E6 Igniter Issue"/>
    <s v="Mill Creek"/>
    <x v="0"/>
    <s v="Coal"/>
    <x v="2"/>
    <x v="0"/>
    <n v="7"/>
    <n v="0.28333333320915699"/>
    <n v="4.4049904011404448E-2"/>
    <n v="21.232053733496944"/>
    <n v="74.936660268714007"/>
    <x v="34"/>
  </r>
  <r>
    <x v="10"/>
    <x v="0"/>
    <n v="129"/>
    <n v="1710"/>
    <d v="2013-07-23T12:40:00"/>
    <d v="2013-07-28T17:18:00"/>
    <n v="514"/>
    <n v="521"/>
    <n v="482"/>
    <s v="Combustion/steam condition controls (report local controls --- burners"/>
    <s v="F400Max Steam Flow Issue"/>
    <s v="Mill Creek"/>
    <x v="0"/>
    <s v="Coal"/>
    <x v="2"/>
    <x v="0"/>
    <n v="7"/>
    <n v="124.63333333324408"/>
    <n v="1.6745361484313024"/>
    <n v="807.12642354388777"/>
    <n v="6.4760076775431861"/>
    <x v="151"/>
  </r>
  <r>
    <x v="10"/>
    <x v="3"/>
    <n v="130"/>
    <n v="9999"/>
    <d v="2013-08-01T08:35:00"/>
    <d v="2013-08-01T13:10:00"/>
    <n v="0"/>
    <n v="521"/>
    <n v="482"/>
    <s v="Total unit performance testing (use appropriate codes for individual component testing)"/>
    <s v="F790Full Load Capability Test"/>
    <s v="Mill Creek"/>
    <x v="1"/>
    <s v="Coal"/>
    <x v="2"/>
    <x v="0"/>
    <n v="8"/>
    <n v="4.5833333332557231"/>
    <n v="4.5833333332557231"/>
    <n v="2209.1666666292585"/>
    <n v="482"/>
    <x v="275"/>
  </r>
  <r>
    <x v="10"/>
    <x v="0"/>
    <n v="131"/>
    <n v="310"/>
    <d v="2013-08-01T17:05:00"/>
    <d v="2013-08-02T10:50:00"/>
    <n v="430"/>
    <n v="521"/>
    <n v="482"/>
    <s v="Pulverizer mills"/>
    <s v="F5904A Coal Mill - Seal Air Line Plugged"/>
    <s v="Mill Creek"/>
    <x v="0"/>
    <s v="Coal"/>
    <x v="2"/>
    <x v="0"/>
    <n v="8"/>
    <n v="17.750000000058208"/>
    <n v="3.1002879078796486"/>
    <n v="1494.3387715979907"/>
    <n v="84.188099808061423"/>
    <x v="136"/>
  </r>
  <r>
    <x v="10"/>
    <x v="2"/>
    <n v="132"/>
    <n v="260"/>
    <d v="2013-08-04T19:30:00"/>
    <d v="2013-08-05T02:48:00"/>
    <n v="420"/>
    <n v="521"/>
    <n v="482"/>
    <s v="Primary air fan"/>
    <s v="F3204B, D &amp; E Coal Mill Primary Air Fans - Clean Pitot Tubes"/>
    <s v="Mill Creek"/>
    <x v="0"/>
    <s v="Coal"/>
    <x v="2"/>
    <x v="0"/>
    <n v="8"/>
    <n v="7.3000000000465661"/>
    <n v="1.4151631478017335"/>
    <n v="682.10863724043554"/>
    <n v="93.439539347408825"/>
    <x v="129"/>
  </r>
  <r>
    <x v="10"/>
    <x v="0"/>
    <n v="133"/>
    <n v="260"/>
    <d v="2013-08-05T05:36:00"/>
    <d v="2013-08-05T14:07:00"/>
    <n v="430"/>
    <n v="521"/>
    <n v="482"/>
    <s v="Primary air fan"/>
    <s v="F4004A Coal Mill Primary Air Fan - Flow Issue"/>
    <s v="Mill Creek"/>
    <x v="0"/>
    <s v="Coal"/>
    <x v="2"/>
    <x v="0"/>
    <n v="8"/>
    <n v="8.5166666666627862"/>
    <n v="1.4875559820850548"/>
    <n v="717.00198336499636"/>
    <n v="84.188099808061423"/>
    <x v="136"/>
  </r>
  <r>
    <x v="10"/>
    <x v="0"/>
    <n v="134"/>
    <n v="310"/>
    <d v="2013-08-05T17:34:00"/>
    <d v="2013-08-08T03:42:00"/>
    <n v="455"/>
    <n v="521"/>
    <n v="482"/>
    <s v="Pulverizer mills"/>
    <s v="F5904A Coal Mill - Replace Rollers"/>
    <s v="Mill Creek"/>
    <x v="0"/>
    <s v="Coal"/>
    <x v="2"/>
    <x v="0"/>
    <n v="8"/>
    <n v="58.133333333360497"/>
    <n v="7.3642994241877018"/>
    <n v="3549.5923224584722"/>
    <n v="61.059500959692897"/>
    <x v="131"/>
  </r>
  <r>
    <x v="10"/>
    <x v="0"/>
    <n v="135"/>
    <n v="3149"/>
    <d v="2013-08-08T14:44:00"/>
    <d v="2013-08-08T17:16:00"/>
    <n v="485"/>
    <n v="521"/>
    <n v="482"/>
    <s v="Loss of vacuum not attributable to a particular component such as air ejectors or valves; or"/>
    <s v="F660High Back Pressure"/>
    <s v="Mill Creek"/>
    <x v="0"/>
    <s v="Coal"/>
    <x v="2"/>
    <x v="0"/>
    <n v="8"/>
    <n v="2.53333333338378"/>
    <n v="0.17504798464839938"/>
    <n v="84.373128600528503"/>
    <n v="33.305182341650671"/>
    <x v="17"/>
  </r>
  <r>
    <x v="10"/>
    <x v="0"/>
    <n v="136"/>
    <n v="3149"/>
    <d v="2013-08-08T17:16:00"/>
    <d v="2013-08-08T20:20:00"/>
    <n v="505"/>
    <n v="521"/>
    <n v="482"/>
    <s v="Loss of vacuum not attributable to a particular component such as air ejectors or valves; or"/>
    <s v="F660High Back Pressure"/>
    <s v="Mill Creek"/>
    <x v="0"/>
    <s v="Coal"/>
    <x v="2"/>
    <x v="0"/>
    <n v="8"/>
    <n v="3.0666666665347293"/>
    <n v="9.4177863079761365E-2"/>
    <n v="45.393730004444976"/>
    <n v="14.802303262955855"/>
    <x v="169"/>
  </r>
  <r>
    <x v="10"/>
    <x v="0"/>
    <n v="137"/>
    <n v="1710"/>
    <d v="2013-08-08T20:20:00"/>
    <d v="2013-08-11T10:56:00"/>
    <n v="514"/>
    <n v="521"/>
    <n v="482"/>
    <s v="Combustion/steam condition controls (report local controls --- burners"/>
    <s v="F400Max Steam Flow Issue"/>
    <s v="Mill Creek"/>
    <x v="0"/>
    <s v="Coal"/>
    <x v="2"/>
    <x v="0"/>
    <n v="8"/>
    <n v="62.600000000093132"/>
    <n v="0.84107485604731658"/>
    <n v="405.39808061480659"/>
    <n v="6.4760076775431861"/>
    <x v="151"/>
  </r>
  <r>
    <x v="10"/>
    <x v="0"/>
    <n v="138"/>
    <n v="335"/>
    <d v="2013-08-11T10:56:00"/>
    <d v="2013-08-11T16:00:00"/>
    <n v="235"/>
    <n v="521"/>
    <n v="482"/>
    <s v="Pulverizer lube oil system"/>
    <s v="F4904B, D &amp; E Coal Mills - Loss Lube Oil Pumps, 480V Feed to MCC (Motor Control Center"/>
    <s v="Mill Creek"/>
    <x v="0"/>
    <s v="Coal"/>
    <x v="2"/>
    <x v="0"/>
    <n v="8"/>
    <n v="5.066666666592937"/>
    <n v="2.7813179782064874"/>
    <n v="1340.595265495527"/>
    <n v="264.59117082533589"/>
    <x v="281"/>
  </r>
  <r>
    <x v="10"/>
    <x v="0"/>
    <n v="139"/>
    <n v="1710"/>
    <d v="2013-08-11T16:00:00"/>
    <d v="2013-08-12T10:23:00"/>
    <n v="500"/>
    <n v="521"/>
    <n v="482"/>
    <s v="Combustion/steam condition controls (report local controls --- burners"/>
    <s v="F400Max Steam Flow Issue"/>
    <s v="Mill Creek"/>
    <x v="0"/>
    <s v="Coal"/>
    <x v="2"/>
    <x v="0"/>
    <n v="8"/>
    <n v="18.383333333360497"/>
    <n v="0.74097888675733292"/>
    <n v="357.15182341703445"/>
    <n v="19.428023032629557"/>
    <x v="54"/>
  </r>
  <r>
    <x v="10"/>
    <x v="0"/>
    <n v="140"/>
    <n v="1710"/>
    <d v="2013-08-12T10:23:00"/>
    <d v="2013-08-12T11:33:00"/>
    <n v="503"/>
    <n v="521"/>
    <n v="482"/>
    <s v="Combustion/steam condition controls (report local controls --- burners"/>
    <s v="F400Max Steam Flow Issue"/>
    <s v="Mill Creek"/>
    <x v="0"/>
    <s v="Coal"/>
    <x v="2"/>
    <x v="0"/>
    <n v="8"/>
    <n v="1.1666666666278616"/>
    <n v="4.0307101726106541E-2"/>
    <n v="19.428023031983354"/>
    <n v="16.652591170825335"/>
    <x v="262"/>
  </r>
  <r>
    <x v="10"/>
    <x v="0"/>
    <n v="141"/>
    <n v="3149"/>
    <d v="2013-08-12T11:33:00"/>
    <d v="2013-08-12T12:23:00"/>
    <n v="496"/>
    <n v="521"/>
    <n v="482"/>
    <s v="Loss of vacuum not attributable to a particular component such as air ejectors or valves; or"/>
    <s v="F660High Back Pressure"/>
    <s v="Mill Creek"/>
    <x v="0"/>
    <s v="Coal"/>
    <x v="2"/>
    <x v="0"/>
    <n v="8"/>
    <n v="0.8333333334303461"/>
    <n v="3.9987204099344822E-2"/>
    <n v="19.273832375884204"/>
    <n v="23.128598848368522"/>
    <x v="0"/>
  </r>
  <r>
    <x v="10"/>
    <x v="0"/>
    <n v="142"/>
    <n v="3149"/>
    <d v="2013-08-12T12:23:00"/>
    <d v="2013-08-12T12:45:00"/>
    <n v="485"/>
    <n v="521"/>
    <n v="482"/>
    <s v="Loss of vacuum not attributable to a particular component such as air ejectors or valves; or"/>
    <s v="F660High Back Pressure"/>
    <s v="Mill Creek"/>
    <x v="0"/>
    <s v="Coal"/>
    <x v="2"/>
    <x v="0"/>
    <n v="8"/>
    <n v="0.36666666663950309"/>
    <n v="2.5335892512518447E-2"/>
    <n v="12.211900191033891"/>
    <n v="33.305182341650671"/>
    <x v="17"/>
  </r>
  <r>
    <x v="10"/>
    <x v="0"/>
    <n v="143"/>
    <n v="3149"/>
    <d v="2013-08-12T12:45:00"/>
    <d v="2013-08-12T17:30:00"/>
    <n v="482"/>
    <n v="521"/>
    <n v="482"/>
    <s v="Loss of vacuum not attributable to a particular component such as air ejectors or valves; or"/>
    <s v="F660High Back Pressure"/>
    <s v="Mill Creek"/>
    <x v="0"/>
    <s v="Coal"/>
    <x v="2"/>
    <x v="0"/>
    <n v="8"/>
    <n v="4.7499999999417923"/>
    <n v="0.35556621880562361"/>
    <n v="171.38291746431059"/>
    <n v="36.080614203454893"/>
    <x v="32"/>
  </r>
  <r>
    <x v="10"/>
    <x v="0"/>
    <n v="144"/>
    <n v="1710"/>
    <d v="2013-08-12T17:30:00"/>
    <d v="2013-08-13T12:32:00"/>
    <n v="502"/>
    <n v="521"/>
    <n v="482"/>
    <s v="Combustion/steam condition controls (report local controls --- burners"/>
    <s v="F400Max Steam Flow Issue"/>
    <s v="Mill Creek"/>
    <x v="0"/>
    <s v="Coal"/>
    <x v="2"/>
    <x v="0"/>
    <n v="8"/>
    <n v="19.03333333338378"/>
    <n v="0.69411388355910142"/>
    <n v="334.56289187548691"/>
    <n v="17.577735124760078"/>
    <x v="5"/>
  </r>
  <r>
    <x v="10"/>
    <x v="0"/>
    <n v="145"/>
    <n v="1710"/>
    <d v="2013-08-13T12:32:00"/>
    <d v="2013-08-16T21:12:00"/>
    <n v="510"/>
    <n v="521"/>
    <n v="482"/>
    <s v="Combustion/steam condition controls (report local controls --- burners"/>
    <s v="F400Max Steam Flow Issue"/>
    <s v="Mill Creek"/>
    <x v="0"/>
    <s v="Coal"/>
    <x v="2"/>
    <x v="0"/>
    <n v="8"/>
    <n v="80.666666666627862"/>
    <n v="1.7031349968002043"/>
    <n v="820.91106845769843"/>
    <n v="10.17658349328215"/>
    <x v="182"/>
  </r>
  <r>
    <x v="10"/>
    <x v="4"/>
    <n v="146"/>
    <n v="8230"/>
    <d v="2013-08-16T21:12:00"/>
    <d v="2013-08-19T01:45:00"/>
    <n v="0"/>
    <n v="521"/>
    <n v="482"/>
    <s v="Ducting A"/>
    <s v="F5904B1 FGD Wet-Dry Interface Ductwork Repair"/>
    <s v="Mill Creek"/>
    <x v="2"/>
    <s v="Coal"/>
    <x v="2"/>
    <x v="0"/>
    <n v="8"/>
    <n v="52.549999999988358"/>
    <n v="52.549999999988358"/>
    <n v="25329.099999994389"/>
    <n v="482"/>
    <x v="275"/>
  </r>
  <r>
    <x v="10"/>
    <x v="3"/>
    <n v="147"/>
    <n v="1850"/>
    <d v="2013-08-19T01:45:00"/>
    <d v="2013-08-19T13:50:00"/>
    <n v="0"/>
    <n v="521"/>
    <n v="482"/>
    <s v="Boiler water condition (not feedwater water quality)"/>
    <s v="F170High Silica @ Warm Start Up"/>
    <s v="Mill Creek"/>
    <x v="1"/>
    <s v="Coal"/>
    <x v="2"/>
    <x v="0"/>
    <n v="8"/>
    <n v="12.083333333430346"/>
    <n v="12.083333333430346"/>
    <n v="5824.1666667134268"/>
    <n v="482"/>
    <x v="275"/>
  </r>
  <r>
    <x v="10"/>
    <x v="0"/>
    <n v="148"/>
    <n v="1710"/>
    <d v="2013-08-19T13:50:00"/>
    <d v="2013-08-19T16:50:00"/>
    <n v="513"/>
    <n v="521"/>
    <n v="482"/>
    <s v="Combustion/steam condition controls (report local controls --- burners"/>
    <s v="F400Max Steam Flow Issue"/>
    <s v="Mill Creek"/>
    <x v="0"/>
    <s v="Coal"/>
    <x v="2"/>
    <x v="0"/>
    <n v="8"/>
    <n v="3"/>
    <n v="4.6065259117082535E-2"/>
    <n v="22.203454894433783"/>
    <n v="7.4011516314779273"/>
    <x v="13"/>
  </r>
  <r>
    <x v="10"/>
    <x v="5"/>
    <n v="149"/>
    <n v="4609"/>
    <d v="2013-08-20T10:40:00"/>
    <d v="2013-08-20T13:50:00"/>
    <n v="0"/>
    <n v="521"/>
    <n v="482"/>
    <s v="Other exciter problems"/>
    <s v="F540Exciter Rectifier - Cooling Water Line Leak"/>
    <s v="Mill Creek"/>
    <x v="3"/>
    <s v="Coal"/>
    <x v="2"/>
    <x v="0"/>
    <n v="8"/>
    <n v="3.1666666666860692"/>
    <n v="3.1666666666860692"/>
    <n v="1526.3333333426854"/>
    <n v="482"/>
    <x v="275"/>
  </r>
  <r>
    <x v="10"/>
    <x v="3"/>
    <n v="150"/>
    <n v="1850"/>
    <d v="2013-08-20T13:50:00"/>
    <d v="2013-08-20T19:23:00"/>
    <n v="0"/>
    <n v="521"/>
    <n v="482"/>
    <s v="Boiler water condition (not feedwater water quality)"/>
    <s v="F170High Silica @ Very Hot Start Up"/>
    <s v="Mill Creek"/>
    <x v="1"/>
    <s v="Coal"/>
    <x v="2"/>
    <x v="0"/>
    <n v="8"/>
    <n v="5.5499999999301508"/>
    <n v="5.5499999999301508"/>
    <n v="2675.0999999663327"/>
    <n v="482"/>
    <x v="275"/>
  </r>
  <r>
    <x v="10"/>
    <x v="0"/>
    <n v="151"/>
    <n v="3149"/>
    <d v="2013-08-23T13:50:00"/>
    <d v="2013-08-23T18:20:00"/>
    <n v="512"/>
    <n v="521"/>
    <n v="482"/>
    <s v="Loss of vacuum not attributable to a particular component such as air ejectors or valves; or"/>
    <s v="F660High Back Pressure"/>
    <s v="Mill Creek"/>
    <x v="0"/>
    <s v="Coal"/>
    <x v="2"/>
    <x v="0"/>
    <n v="8"/>
    <n v="4.5"/>
    <n v="7.7735124760076782E-2"/>
    <n v="37.468330134357011"/>
    <n v="8.3262955854126677"/>
    <x v="1"/>
  </r>
  <r>
    <x v="10"/>
    <x v="0"/>
    <n v="152"/>
    <n v="1710"/>
    <d v="2013-08-26T15:50:00"/>
    <d v="2013-08-26T21:05:00"/>
    <n v="511"/>
    <n v="521"/>
    <n v="482"/>
    <s v="Combustion/steam condition controls (report local controls --- burners"/>
    <s v="F400Max Steam Flow Issue"/>
    <s v="Mill Creek"/>
    <x v="0"/>
    <s v="Coal"/>
    <x v="2"/>
    <x v="0"/>
    <n v="8"/>
    <n v="5.25"/>
    <n v="0.10076775431861804"/>
    <n v="48.570057581573892"/>
    <n v="9.2514395393474089"/>
    <x v="94"/>
  </r>
  <r>
    <x v="10"/>
    <x v="0"/>
    <n v="153"/>
    <n v="1710"/>
    <d v="2013-08-27T13:46:00"/>
    <d v="2013-08-29T23:00:00"/>
    <n v="510"/>
    <n v="521"/>
    <n v="482"/>
    <s v="Combustion/steam condition controls (report local controls --- burners"/>
    <s v="F400Max Steam Flow Issue"/>
    <s v="Mill Creek"/>
    <x v="0"/>
    <s v="Coal"/>
    <x v="2"/>
    <x v="0"/>
    <n v="8"/>
    <n v="57.233333333395422"/>
    <n v="1.2083813179795579"/>
    <n v="582.43979526614692"/>
    <n v="10.17658349328215"/>
    <x v="182"/>
  </r>
  <r>
    <x v="10"/>
    <x v="2"/>
    <n v="154"/>
    <n v="250"/>
    <d v="2013-08-29T23:00:00"/>
    <d v="2013-08-30T04:00:00"/>
    <n v="425"/>
    <n v="521"/>
    <n v="482"/>
    <s v="Pulverizer feeders"/>
    <s v="F5904B Coal Feeder - Replace Cabinet Display Panel"/>
    <s v="Mill Creek"/>
    <x v="0"/>
    <s v="Coal"/>
    <x v="2"/>
    <x v="0"/>
    <n v="8"/>
    <n v="4.9999999998835847"/>
    <n v="0.92130518232019987"/>
    <n v="444.06909787833632"/>
    <n v="88.813819577735131"/>
    <x v="145"/>
  </r>
  <r>
    <x v="10"/>
    <x v="0"/>
    <n v="155"/>
    <n v="8590"/>
    <d v="2013-08-30T21:30:00"/>
    <d v="2013-08-30T22:30:00"/>
    <n v="425"/>
    <n v="521"/>
    <n v="482"/>
    <s v="Other precipitator problems"/>
    <s v="F4104A Precipitator Power Supply - Lost Feed Breaker"/>
    <s v="Mill Creek"/>
    <x v="0"/>
    <s v="Coal"/>
    <x v="2"/>
    <x v="0"/>
    <n v="8"/>
    <n v="0.99999999994179234"/>
    <n v="0.18426103645760472"/>
    <n v="88.813819572565478"/>
    <n v="88.813819577735131"/>
    <x v="145"/>
  </r>
  <r>
    <x v="10"/>
    <x v="0"/>
    <n v="156"/>
    <n v="8590"/>
    <d v="2013-08-30T22:30:00"/>
    <d v="2013-08-31T06:14:00"/>
    <n v="330"/>
    <n v="521"/>
    <n v="482"/>
    <s v="Other precipitator problems"/>
    <s v="F4104A Precipitator Power Supply - Lost Feed Breaker"/>
    <s v="Mill Creek"/>
    <x v="0"/>
    <s v="Coal"/>
    <x v="2"/>
    <x v="0"/>
    <n v="8"/>
    <n v="7.7333333333954215"/>
    <n v="2.8350607805729857"/>
    <n v="1366.4992962361791"/>
    <n v="176.7024952015355"/>
    <x v="84"/>
  </r>
  <r>
    <x v="10"/>
    <x v="0"/>
    <n v="157"/>
    <n v="8590"/>
    <d v="2013-08-31T06:14:00"/>
    <d v="2013-08-31T07:20:00"/>
    <n v="410"/>
    <n v="521"/>
    <n v="482"/>
    <s v="Other precipitator problems"/>
    <s v="F4104A Precipitator Power Supply - Lost Feed Breaker"/>
    <s v="Mill Creek"/>
    <x v="0"/>
    <s v="Coal"/>
    <x v="2"/>
    <x v="0"/>
    <n v="8"/>
    <n v="1.0999999999185093"/>
    <n v="0.23435700574079565"/>
    <n v="112.96007676706351"/>
    <n v="102.69097888675624"/>
    <x v="140"/>
  </r>
  <r>
    <x v="10"/>
    <x v="5"/>
    <n v="158"/>
    <n v="1415"/>
    <d v="2013-09-06T06:28:00"/>
    <d v="2013-09-06T08:37:00"/>
    <n v="0"/>
    <n v="521"/>
    <n v="482"/>
    <s v="Forced draft fan controls"/>
    <s v="F820Forced Draft Fans Trip due to Induced Draft Fan Speed Signal Loss"/>
    <s v="Mill Creek"/>
    <x v="3"/>
    <s v="Coal"/>
    <x v="2"/>
    <x v="0"/>
    <n v="9"/>
    <n v="2.1500000000232831"/>
    <n v="2.1500000000232831"/>
    <n v="1036.3000000112224"/>
    <n v="482"/>
    <x v="275"/>
  </r>
  <r>
    <x v="10"/>
    <x v="3"/>
    <n v="159"/>
    <n v="1850"/>
    <d v="2013-09-06T08:37:00"/>
    <d v="2013-09-06T17:50:00"/>
    <n v="0"/>
    <n v="521"/>
    <n v="482"/>
    <s v="Boiler water condition (not feedwater water quality)"/>
    <s v="F170High Silica @ Very Hot Start Up"/>
    <s v="Mill Creek"/>
    <x v="1"/>
    <s v="Coal"/>
    <x v="2"/>
    <x v="0"/>
    <n v="9"/>
    <n v="9.2166666666744277"/>
    <n v="9.2166666666744277"/>
    <n v="4442.4333333370741"/>
    <n v="482"/>
    <x v="275"/>
  </r>
  <r>
    <x v="10"/>
    <x v="0"/>
    <n v="160"/>
    <n v="1710"/>
    <d v="2013-09-09T12:08:00"/>
    <d v="2013-09-10T09:07:00"/>
    <n v="511"/>
    <n v="521"/>
    <n v="482"/>
    <s v="Combustion/steam condition controls (report local controls --- burners"/>
    <s v="F400Max Steam Flow Issue"/>
    <s v="Mill Creek"/>
    <x v="0"/>
    <s v="Coal"/>
    <x v="2"/>
    <x v="0"/>
    <n v="9"/>
    <n v="20.983333333279006"/>
    <n v="0.4027511196406719"/>
    <n v="194.12603966680385"/>
    <n v="9.2514395393474089"/>
    <x v="94"/>
  </r>
  <r>
    <x v="10"/>
    <x v="0"/>
    <n v="161"/>
    <n v="1710"/>
    <d v="2013-09-10T09:07:00"/>
    <d v="2013-09-10T11:15:00"/>
    <n v="515"/>
    <n v="521"/>
    <n v="482"/>
    <s v="Combustion/steam condition controls (report local controls --- burners"/>
    <s v="F400Max Steam Flow Issue"/>
    <s v="Mill Creek"/>
    <x v="0"/>
    <s v="Coal"/>
    <x v="2"/>
    <x v="0"/>
    <n v="9"/>
    <n v="2.1333333333022892"/>
    <n v="2.4568138195419836E-2"/>
    <n v="11.84184261019236"/>
    <n v="5.5508637236084457"/>
    <x v="151"/>
  </r>
  <r>
    <x v="10"/>
    <x v="0"/>
    <n v="162"/>
    <n v="1710"/>
    <d v="2013-09-10T11:15:00"/>
    <d v="2013-09-12T13:01:00"/>
    <n v="508"/>
    <n v="521"/>
    <n v="482"/>
    <s v="Combustion/steam condition controls (report local controls --- burners"/>
    <s v="F400Max Steam Flow Issue"/>
    <s v="Mill Creek"/>
    <x v="0"/>
    <s v="Coal"/>
    <x v="2"/>
    <x v="0"/>
    <n v="9"/>
    <n v="49.766666666662786"/>
    <n v="1.241778630838035"/>
    <n v="598.53730006393289"/>
    <n v="12.026871401151631"/>
    <x v="24"/>
  </r>
  <r>
    <x v="10"/>
    <x v="2"/>
    <n v="163"/>
    <n v="310"/>
    <d v="2013-09-17T22:00:00"/>
    <d v="2013-09-18T02:15:00"/>
    <n v="425"/>
    <n v="521"/>
    <n v="482"/>
    <s v="Pulverizer mills"/>
    <s v="F5304A Coal Mill - Inspect Wear Plates"/>
    <s v="Mill Creek"/>
    <x v="0"/>
    <s v="Coal"/>
    <x v="2"/>
    <x v="0"/>
    <n v="9"/>
    <n v="4.2500000000582077"/>
    <n v="0.78310940500112847"/>
    <n v="377.45873321054393"/>
    <n v="88.813819577735131"/>
    <x v="145"/>
  </r>
  <r>
    <x v="10"/>
    <x v="2"/>
    <n v="164"/>
    <n v="310"/>
    <d v="2013-09-18T22:00:00"/>
    <d v="2013-09-19T03:16:00"/>
    <n v="435"/>
    <n v="521"/>
    <n v="482"/>
    <s v="Pulverizer mills"/>
    <s v="F5904C Coal Mill - Replace Scraper"/>
    <s v="Mill Creek"/>
    <x v="0"/>
    <s v="Coal"/>
    <x v="2"/>
    <x v="0"/>
    <n v="9"/>
    <n v="5.2666666667209938"/>
    <n v="0.86935380679079743"/>
    <n v="419.02853487316435"/>
    <n v="79.562380038387715"/>
    <x v="192"/>
  </r>
  <r>
    <x v="10"/>
    <x v="0"/>
    <n v="165"/>
    <n v="385"/>
    <d v="2013-09-29T06:43:00"/>
    <d v="2013-09-29T08:32:00"/>
    <n v="425"/>
    <n v="521"/>
    <n v="482"/>
    <s v="Igniters"/>
    <s v="F5904D Coal Mill - 4D9 Gas Igniter Maintenance"/>
    <s v="Mill Creek"/>
    <x v="0"/>
    <s v="Coal"/>
    <x v="2"/>
    <x v="0"/>
    <n v="9"/>
    <n v="1.8166666666511446"/>
    <n v="0.3347408829146063"/>
    <n v="161.34510556484022"/>
    <n v="88.813819577735131"/>
    <x v="145"/>
  </r>
  <r>
    <x v="10"/>
    <x v="0"/>
    <n v="166"/>
    <n v="1488"/>
    <d v="2013-09-30T11:13:00"/>
    <d v="2013-10-01T00:00:00"/>
    <n v="500"/>
    <n v="521"/>
    <n v="482"/>
    <s v="Air heater (regenerative)"/>
    <s v="F3204B Air Heater - High Differential, Dirty"/>
    <s v="Mill Creek"/>
    <x v="0"/>
    <s v="Coal"/>
    <x v="2"/>
    <x v="0"/>
    <n v="9"/>
    <n v="12.783333333267365"/>
    <n v="0.5152591170798746"/>
    <n v="248.35489443249955"/>
    <n v="19.428023032629557"/>
    <x v="54"/>
  </r>
  <r>
    <x v="10"/>
    <x v="0"/>
    <n v="167"/>
    <n v="1488"/>
    <d v="2013-10-01T00:00:00"/>
    <d v="2013-10-07T21:47:00"/>
    <n v="500"/>
    <n v="521"/>
    <n v="482"/>
    <s v="Air heater (regenerative)"/>
    <s v="F3204B Air Heater - High Differential, Dirty"/>
    <s v="Mill Creek"/>
    <x v="0"/>
    <s v="Coal"/>
    <x v="2"/>
    <x v="0"/>
    <n v="10"/>
    <n v="165.78333333326736"/>
    <n v="6.6822456813792988"/>
    <n v="3220.842418424822"/>
    <n v="19.428023032629557"/>
    <x v="54"/>
  </r>
  <r>
    <x v="10"/>
    <x v="4"/>
    <n v="168"/>
    <n v="1488"/>
    <d v="2013-10-07T21:47:00"/>
    <d v="2013-10-12T00:13:00"/>
    <n v="0"/>
    <n v="521"/>
    <n v="482"/>
    <s v="Air heater (regenerative)"/>
    <s v="F320Air Heaters - Wash"/>
    <s v="Mill Creek"/>
    <x v="2"/>
    <s v="Coal"/>
    <x v="2"/>
    <x v="0"/>
    <n v="10"/>
    <n v="98.433333333407063"/>
    <n v="98.433333333407063"/>
    <n v="47444.866666702204"/>
    <n v="482"/>
    <x v="275"/>
  </r>
  <r>
    <x v="10"/>
    <x v="3"/>
    <n v="169"/>
    <n v="1850"/>
    <d v="2013-10-12T00:13:00"/>
    <d v="2013-10-12T19:22:00"/>
    <n v="0"/>
    <n v="521"/>
    <n v="482"/>
    <s v="Boiler water condition (not feedwater water quality)"/>
    <s v="F170High Silica @ Cold Start Up"/>
    <s v="Mill Creek"/>
    <x v="1"/>
    <s v="Coal"/>
    <x v="2"/>
    <x v="0"/>
    <n v="10"/>
    <n v="19.149999999906868"/>
    <n v="19.149999999906868"/>
    <n v="9230.2999999551103"/>
    <n v="482"/>
    <x v="275"/>
  </r>
  <r>
    <x v="10"/>
    <x v="0"/>
    <n v="170"/>
    <n v="4609"/>
    <d v="2013-10-13T15:58:00"/>
    <d v="2013-10-13T18:29:00"/>
    <n v="420"/>
    <n v="521"/>
    <n v="482"/>
    <s v="Other exciter problems"/>
    <s v="F850Turbine Exciter #9 Bearing - Vibration"/>
    <s v="Mill Creek"/>
    <x v="0"/>
    <s v="Coal"/>
    <x v="2"/>
    <x v="0"/>
    <n v="10"/>
    <n v="2.5166666666627862"/>
    <n v="0.48787587971773783"/>
    <n v="235.15617402394963"/>
    <n v="93.439539347408825"/>
    <x v="129"/>
  </r>
  <r>
    <x v="10"/>
    <x v="0"/>
    <n v="171"/>
    <n v="4609"/>
    <d v="2013-10-13T18:29:00"/>
    <d v="2013-10-14T06:00:00"/>
    <n v="430"/>
    <n v="521"/>
    <n v="482"/>
    <s v="Other exciter problems"/>
    <s v="F850Turbine Exciter #9 Bearing - Vibration"/>
    <s v="Mill Creek"/>
    <x v="0"/>
    <s v="Coal"/>
    <x v="2"/>
    <x v="0"/>
    <n v="10"/>
    <n v="11.516666666662786"/>
    <n v="2.0115483045418685"/>
    <n v="969.5662827891806"/>
    <n v="84.188099808061423"/>
    <x v="136"/>
  </r>
  <r>
    <x v="10"/>
    <x v="0"/>
    <n v="172"/>
    <n v="4609"/>
    <d v="2013-10-14T06:00:00"/>
    <d v="2013-10-14T08:00:00"/>
    <n v="300"/>
    <n v="521"/>
    <n v="482"/>
    <s v="Other exciter problems"/>
    <s v="F850Turbine Exciter #9 Bearing - Vibration"/>
    <s v="Mill Creek"/>
    <x v="0"/>
    <s v="Coal"/>
    <x v="2"/>
    <x v="0"/>
    <n v="10"/>
    <n v="2.0000000000582077"/>
    <n v="0.84836852209762748"/>
    <n v="408.91362765105646"/>
    <n v="204.45681381957775"/>
    <x v="113"/>
  </r>
  <r>
    <x v="10"/>
    <x v="0"/>
    <n v="173"/>
    <n v="4609"/>
    <d v="2013-10-14T08:00:00"/>
    <d v="2013-10-14T10:00:00"/>
    <n v="480"/>
    <n v="521"/>
    <n v="482"/>
    <s v="Other exciter problems"/>
    <s v="F850Turbine Exciter #9 Bearing - Vibration"/>
    <s v="Mill Creek"/>
    <x v="0"/>
    <s v="Coal"/>
    <x v="2"/>
    <x v="0"/>
    <n v="10"/>
    <n v="1.9999999998835847"/>
    <n v="0.15738963530753738"/>
    <n v="75.861804218233019"/>
    <n v="37.930902111324379"/>
    <x v="15"/>
  </r>
  <r>
    <x v="10"/>
    <x v="0"/>
    <n v="174"/>
    <n v="1710"/>
    <d v="2013-10-14T10:00:00"/>
    <d v="2013-10-17T22:16:00"/>
    <n v="520"/>
    <n v="521"/>
    <n v="482"/>
    <s v="Combustion/steam condition controls (report local controls --- burners"/>
    <s v="F400Max Steam Flow Issue"/>
    <s v="Mill Creek"/>
    <x v="0"/>
    <s v="Coal"/>
    <x v="2"/>
    <x v="0"/>
    <n v="10"/>
    <n v="84.266666666662786"/>
    <n v="0.16174024312219346"/>
    <n v="77.95879718489725"/>
    <n v="0.92514395393474091"/>
    <x v="276"/>
  </r>
  <r>
    <x v="10"/>
    <x v="4"/>
    <n v="175"/>
    <n v="4609"/>
    <d v="2013-10-17T22:16:00"/>
    <d v="2013-10-18T23:12:00"/>
    <n v="0"/>
    <n v="521"/>
    <n v="482"/>
    <s v="Other exciter problems"/>
    <s v="F850Turbine Exciter Bearing #9 Vibration - Balance ShotClosed Cooling Water System L"/>
    <s v="Mill Creek"/>
    <x v="2"/>
    <s v="Coal"/>
    <x v="2"/>
    <x v="0"/>
    <n v="10"/>
    <n v="24.933333333407063"/>
    <n v="24.933333333407063"/>
    <n v="12017.866666702204"/>
    <n v="482"/>
    <x v="275"/>
  </r>
  <r>
    <x v="10"/>
    <x v="3"/>
    <n v="176"/>
    <n v="1850"/>
    <d v="2013-10-18T23:12:00"/>
    <d v="2013-10-19T16:09:00"/>
    <n v="0"/>
    <n v="521"/>
    <n v="482"/>
    <s v="Boiler water condition (not feedwater water quality)"/>
    <s v="F170High Silica @ Hot Start Up"/>
    <s v="Mill Creek"/>
    <x v="1"/>
    <s v="Coal"/>
    <x v="2"/>
    <x v="0"/>
    <n v="10"/>
    <n v="16.950000000069849"/>
    <n v="16.950000000069849"/>
    <n v="8169.9000000336673"/>
    <n v="482"/>
    <x v="275"/>
  </r>
  <r>
    <x v="10"/>
    <x v="5"/>
    <n v="177"/>
    <n v="1060"/>
    <d v="2013-11-04T15:59:00"/>
    <d v="2013-11-09T03:52:00"/>
    <n v="0"/>
    <n v="521"/>
    <n v="482"/>
    <s v="First reheater A"/>
    <s v="F540Boiler Tube Leak - First Reheater and Main Steam Safety Repairs"/>
    <s v="Mill Creek"/>
    <x v="3"/>
    <s v="Coal"/>
    <x v="2"/>
    <x v="0"/>
    <n v="11"/>
    <n v="107.88333333330229"/>
    <n v="107.88333333330229"/>
    <n v="51999.766666651703"/>
    <n v="482"/>
    <x v="275"/>
  </r>
  <r>
    <x v="10"/>
    <x v="0"/>
    <n v="178"/>
    <n v="300"/>
    <d v="2013-11-09T18:00:00"/>
    <d v="2013-11-09T19:45:00"/>
    <n v="465"/>
    <n v="521"/>
    <n v="482"/>
    <s v="Pulverizer motors and drives"/>
    <s v="F4904A Coal Mill - Breaker Issues"/>
    <s v="Mill Creek"/>
    <x v="0"/>
    <s v="Coal"/>
    <x v="2"/>
    <x v="0"/>
    <n v="11"/>
    <n v="1.7499999999417923"/>
    <n v="0.18809980805516385"/>
    <n v="90.664107482588975"/>
    <n v="51.808061420345489"/>
    <x v="18"/>
  </r>
  <r>
    <x v="10"/>
    <x v="0"/>
    <n v="179"/>
    <n v="9620"/>
    <d v="2013-11-11T12:52:00"/>
    <d v="2013-11-11T17:55:00"/>
    <n v="410"/>
    <n v="521"/>
    <n v="482"/>
    <s v="Particulate stack emissions (fossil)"/>
    <s v="F320Particulate Matter Alarm"/>
    <s v="Mill Creek"/>
    <x v="0"/>
    <s v="Coal"/>
    <x v="2"/>
    <x v="0"/>
    <n v="11"/>
    <n v="5.0500000000465661"/>
    <n v="1.0759117082632799"/>
    <n v="518.58944338290087"/>
    <n v="102.69097888675624"/>
    <x v="140"/>
  </r>
  <r>
    <x v="10"/>
    <x v="0"/>
    <n v="180"/>
    <n v="9620"/>
    <d v="2013-11-11T17:55:00"/>
    <d v="2013-11-11T22:25:00"/>
    <n v="320"/>
    <n v="521"/>
    <n v="482"/>
    <s v="Particulate stack emissions (fossil)"/>
    <s v="F320Particulate Matter Alarm"/>
    <s v="Mill Creek"/>
    <x v="0"/>
    <s v="Coal"/>
    <x v="2"/>
    <x v="0"/>
    <n v="11"/>
    <n v="4.5"/>
    <n v="1.7360844529750479"/>
    <n v="836.79270633397311"/>
    <n v="185.95393474088291"/>
    <x v="60"/>
  </r>
  <r>
    <x v="10"/>
    <x v="0"/>
    <n v="181"/>
    <n v="9620"/>
    <d v="2013-11-11T22:25:00"/>
    <d v="2013-11-11T22:40:00"/>
    <n v="420"/>
    <n v="521"/>
    <n v="482"/>
    <s v="Particulate stack emissions (fossil)"/>
    <s v="F320Particulate Matter Alarm"/>
    <s v="Mill Creek"/>
    <x v="0"/>
    <s v="Coal"/>
    <x v="2"/>
    <x v="0"/>
    <n v="11"/>
    <n v="0.24999999994179234"/>
    <n v="4.8464491351479899E-2"/>
    <n v="23.359884831413311"/>
    <n v="93.439539347408825"/>
    <x v="129"/>
  </r>
  <r>
    <x v="10"/>
    <x v="0"/>
    <n v="182"/>
    <n v="270"/>
    <d v="2013-11-12T01:40:00"/>
    <d v="2013-11-12T06:49:00"/>
    <n v="440"/>
    <n v="521"/>
    <n v="482"/>
    <s v="Primary air duct and dampers"/>
    <s v="F5504C Coal Mill PA Fan Damper Loose"/>
    <s v="Mill Creek"/>
    <x v="0"/>
    <s v="Coal"/>
    <x v="2"/>
    <x v="0"/>
    <n v="11"/>
    <n v="5.1500000000232831"/>
    <n v="0.80067178503241065"/>
    <n v="385.92380038562192"/>
    <n v="74.936660268714007"/>
    <x v="34"/>
  </r>
  <r>
    <x v="10"/>
    <x v="0"/>
    <n v="183"/>
    <n v="380"/>
    <d v="2013-11-12T07:25:00"/>
    <d v="2013-11-12T08:35:00"/>
    <n v="440"/>
    <n v="521"/>
    <n v="482"/>
    <s v="Light-off (igniter) systems (including fuel supply)"/>
    <s v="F4004C1 Scanner Issues, not reading"/>
    <s v="Mill Creek"/>
    <x v="0"/>
    <s v="Coal"/>
    <x v="2"/>
    <x v="0"/>
    <n v="11"/>
    <n v="1.1666666666278616"/>
    <n v="0.18138195776747942"/>
    <n v="87.426103643925089"/>
    <n v="74.936660268714007"/>
    <x v="34"/>
  </r>
  <r>
    <x v="10"/>
    <x v="0"/>
    <n v="184"/>
    <n v="1710"/>
    <d v="2013-11-13T08:00:00"/>
    <d v="2013-11-13T09:34:00"/>
    <n v="517"/>
    <n v="521"/>
    <n v="482"/>
    <s v="Combustion/steam condition controls (report local controls --- burners"/>
    <s v="F400Maximum Steam Flow Issue"/>
    <s v="Mill Creek"/>
    <x v="0"/>
    <s v="Coal"/>
    <x v="2"/>
    <x v="0"/>
    <n v="11"/>
    <n v="1.5666666665347293"/>
    <n v="1.2028150990669707E-2"/>
    <n v="5.7975687775027991"/>
    <n v="3.7005758157389637"/>
    <x v="9"/>
  </r>
  <r>
    <x v="10"/>
    <x v="0"/>
    <n v="185"/>
    <n v="385"/>
    <d v="2013-11-15T13:40:00"/>
    <d v="2013-11-15T13:55:00"/>
    <n v="420"/>
    <n v="521"/>
    <n v="482"/>
    <s v="Igniters"/>
    <s v="F4004E Coal Mill - Igniter Issue"/>
    <s v="Mill Creek"/>
    <x v="0"/>
    <s v="Coal"/>
    <x v="2"/>
    <x v="0"/>
    <n v="11"/>
    <n v="0.24999999994179234"/>
    <n v="4.8464491351479899E-2"/>
    <n v="23.359884831413311"/>
    <n v="93.439539347408825"/>
    <x v="129"/>
  </r>
  <r>
    <x v="10"/>
    <x v="3"/>
    <n v="186"/>
    <n v="8460"/>
    <d v="2013-11-18T12:00:00"/>
    <d v="2013-11-18T12:42:00"/>
    <n v="0"/>
    <n v="521"/>
    <n v="482"/>
    <s v="Testing A"/>
    <s v="F790RATA Testing Full Load"/>
    <s v="Mill Creek"/>
    <x v="1"/>
    <s v="Coal"/>
    <x v="2"/>
    <x v="0"/>
    <n v="11"/>
    <n v="0.70000000001164153"/>
    <n v="0.70000000001164153"/>
    <n v="337.40000000561122"/>
    <n v="482"/>
    <x v="275"/>
  </r>
  <r>
    <x v="10"/>
    <x v="0"/>
    <n v="187"/>
    <n v="1710"/>
    <d v="2013-11-18T12:42:00"/>
    <d v="2013-11-19T12:00:00"/>
    <n v="517"/>
    <n v="521"/>
    <n v="482"/>
    <s v="Combustion/steam condition controls (report local controls --- burners"/>
    <s v="F400Max Steam Flow Issue"/>
    <s v="Mill Creek"/>
    <x v="0"/>
    <s v="Coal"/>
    <x v="2"/>
    <x v="0"/>
    <n v="11"/>
    <n v="23.299999999988358"/>
    <n v="0.17888675623791447"/>
    <n v="86.223416506674781"/>
    <n v="3.7005758157389637"/>
    <x v="9"/>
  </r>
  <r>
    <x v="10"/>
    <x v="0"/>
    <n v="188"/>
    <n v="360"/>
    <d v="2013-11-18T20:04:00"/>
    <d v="2013-11-18T21:05:00"/>
    <n v="430"/>
    <n v="521"/>
    <n v="482"/>
    <s v="Burners"/>
    <s v="F7804C7 Coal Burner - High Temperature"/>
    <s v="Mill Creek"/>
    <x v="0"/>
    <s v="Coal"/>
    <x v="2"/>
    <x v="0"/>
    <n v="11"/>
    <n v="1.0166666666627862"/>
    <n v="0.17757517594302022"/>
    <n v="85.591234804535745"/>
    <n v="84.188099808061423"/>
    <x v="136"/>
  </r>
  <r>
    <x v="10"/>
    <x v="3"/>
    <n v="189"/>
    <n v="8460"/>
    <d v="2013-11-19T07:45:00"/>
    <d v="2013-11-19T15:40:00"/>
    <n v="0"/>
    <n v="521"/>
    <n v="482"/>
    <s v="Testing A"/>
    <s v="F790RATA Testing Full Load"/>
    <s v="Mill Creek"/>
    <x v="1"/>
    <s v="Coal"/>
    <x v="2"/>
    <x v="0"/>
    <n v="11"/>
    <n v="7.9166666668024845"/>
    <n v="7.9166666668024845"/>
    <n v="3815.8333333987975"/>
    <n v="482"/>
    <x v="275"/>
  </r>
  <r>
    <x v="10"/>
    <x v="0"/>
    <n v="190"/>
    <n v="1710"/>
    <d v="2013-11-19T12:00:00"/>
    <d v="2013-11-19T18:00:00"/>
    <n v="520"/>
    <n v="521"/>
    <n v="482"/>
    <s v="Combustion/steam condition controls (report local controls --- burners"/>
    <s v="F400Max Steam Flow Issue"/>
    <s v="Mill Creek"/>
    <x v="0"/>
    <s v="Coal"/>
    <x v="2"/>
    <x v="0"/>
    <n v="11"/>
    <n v="6"/>
    <n v="1.1516314779270634E-2"/>
    <n v="5.5508637236084457"/>
    <n v="0.92514395393474091"/>
    <x v="276"/>
  </r>
  <r>
    <x v="10"/>
    <x v="3"/>
    <n v="191"/>
    <n v="8460"/>
    <d v="2013-11-20T01:00:00"/>
    <d v="2013-11-20T04:48:00"/>
    <n v="0"/>
    <n v="521"/>
    <n v="482"/>
    <s v="Testing A"/>
    <s v="F790RATA Testing Mid Load"/>
    <s v="Mill Creek"/>
    <x v="1"/>
    <s v="Coal"/>
    <x v="2"/>
    <x v="0"/>
    <n v="11"/>
    <n v="3.7999999999883585"/>
    <n v="3.7999999999883585"/>
    <n v="1831.5999999943888"/>
    <n v="482"/>
    <x v="275"/>
  </r>
  <r>
    <x v="10"/>
    <x v="3"/>
    <n v="192"/>
    <n v="8460"/>
    <d v="2013-11-20T08:35:00"/>
    <d v="2013-11-20T15:00:00"/>
    <n v="0"/>
    <n v="521"/>
    <n v="482"/>
    <s v="Testing A"/>
    <s v="F790RATA Testing - Full Load"/>
    <s v="Mill Creek"/>
    <x v="1"/>
    <s v="Coal"/>
    <x v="2"/>
    <x v="0"/>
    <n v="11"/>
    <n v="6.4166666666278616"/>
    <n v="6.4166666666278616"/>
    <n v="3092.8333333146293"/>
    <n v="482"/>
    <x v="275"/>
  </r>
  <r>
    <x v="10"/>
    <x v="0"/>
    <n v="193"/>
    <n v="310"/>
    <d v="2013-11-21T18:00:00"/>
    <d v="2013-11-21T20:00:00"/>
    <n v="465"/>
    <n v="521"/>
    <n v="482"/>
    <s v="Pulverizer mills"/>
    <s v="F5904A Coal Mill Primary Air Fan - Motor Bearing Low Oil"/>
    <s v="Mill Creek"/>
    <x v="0"/>
    <s v="Coal"/>
    <x v="2"/>
    <x v="0"/>
    <n v="11"/>
    <n v="2.0000000000582077"/>
    <n v="0.21497120921930832"/>
    <n v="103.61612284370661"/>
    <n v="51.808061420345489"/>
    <x v="18"/>
  </r>
  <r>
    <x v="10"/>
    <x v="0"/>
    <n v="194"/>
    <n v="1710"/>
    <d v="2013-11-27T08:20:00"/>
    <d v="2013-11-29T03:50:00"/>
    <n v="520"/>
    <n v="521"/>
    <n v="482"/>
    <s v="Combustion/steam condition controls (report local controls --- burners"/>
    <s v="F400Max Steam Flow Issue"/>
    <s v="Mill Creek"/>
    <x v="0"/>
    <s v="Coal"/>
    <x v="2"/>
    <x v="0"/>
    <n v="11"/>
    <n v="43.5"/>
    <n v="8.3493282149712092E-2"/>
    <n v="40.243761996161226"/>
    <n v="0.92514395393474091"/>
    <x v="276"/>
  </r>
  <r>
    <x v="10"/>
    <x v="0"/>
    <n v="195"/>
    <n v="1710"/>
    <d v="2013-11-29T03:50:00"/>
    <d v="2013-12-06T18:48:00"/>
    <n v="523"/>
    <n v="521"/>
    <n v="482"/>
    <s v="Combustion/steam condition controls (report local controls --- burners"/>
    <s v="F400Max Steam Flow Issue"/>
    <s v="Mill Creek"/>
    <x v="0"/>
    <s v="Coal"/>
    <x v="2"/>
    <x v="0"/>
    <n v="11"/>
    <n v="182.96666666673264"/>
    <n v="-0.70236724248265892"/>
    <n v="-338.54101087664162"/>
    <n v="0"/>
    <x v="152"/>
  </r>
  <r>
    <x v="10"/>
    <x v="0"/>
    <n v="196"/>
    <n v="1710"/>
    <d v="2013-12-06T19:25:00"/>
    <d v="2013-12-07T11:07:00"/>
    <n v="516"/>
    <n v="521"/>
    <n v="482"/>
    <s v="Combustion/steam condition controls (report local controls --- burners"/>
    <s v="F400Max Steam Flow Issue"/>
    <s v="Mill Creek"/>
    <x v="0"/>
    <s v="Coal"/>
    <x v="2"/>
    <x v="0"/>
    <n v="12"/>
    <n v="15.699999999837019"/>
    <n v="0.15067178502722667"/>
    <n v="72.623800383123253"/>
    <n v="4.6257197696737045"/>
    <x v="166"/>
  </r>
  <r>
    <x v="10"/>
    <x v="0"/>
    <n v="197"/>
    <n v="3341"/>
    <d v="2013-12-07T01:52:00"/>
    <d v="2013-12-07T04:20:00"/>
    <n v="450"/>
    <n v="521"/>
    <n v="482"/>
    <s v="Other LP heater - general"/>
    <s v="F400Heater 2B Low Pressure Feedwater Heater - High Level"/>
    <s v="Mill Creek"/>
    <x v="0"/>
    <s v="Coal"/>
    <x v="2"/>
    <x v="0"/>
    <n v="12"/>
    <n v="2.4666666666744277"/>
    <n v="0.33614843250265714"/>
    <n v="162.02354446628073"/>
    <n v="65.685220729366605"/>
    <x v="244"/>
  </r>
  <r>
    <x v="10"/>
    <x v="0"/>
    <n v="198"/>
    <n v="385"/>
    <d v="2013-12-10T06:07:00"/>
    <d v="2013-12-10T06:33:00"/>
    <n v="420"/>
    <n v="521"/>
    <n v="482"/>
    <s v="Igniters"/>
    <s v="F4004A Mill - 4A2 Igniter Issue"/>
    <s v="Mill Creek"/>
    <x v="0"/>
    <s v="Coal"/>
    <x v="2"/>
    <x v="0"/>
    <n v="12"/>
    <n v="0.43333333334885538"/>
    <n v="8.4005118365133191E-2"/>
    <n v="40.490467051994202"/>
    <n v="93.439539347408825"/>
    <x v="129"/>
  </r>
  <r>
    <x v="10"/>
    <x v="0"/>
    <n v="199"/>
    <n v="385"/>
    <d v="2013-12-10T06:33:00"/>
    <d v="2013-12-10T07:04:00"/>
    <n v="430"/>
    <n v="521"/>
    <n v="482"/>
    <s v="Igniters"/>
    <s v="F4004A Mill - 4A2 Igniter Issue"/>
    <s v="Mill Creek"/>
    <x v="0"/>
    <s v="Coal"/>
    <x v="2"/>
    <x v="0"/>
    <n v="12"/>
    <n v="0.5166666666045785"/>
    <n v="9.0243122190051137E-2"/>
    <n v="43.497184895604647"/>
    <n v="84.188099808061423"/>
    <x v="136"/>
  </r>
  <r>
    <x v="10"/>
    <x v="2"/>
    <n v="200"/>
    <n v="385"/>
    <d v="2013-12-10T14:05:00"/>
    <d v="2013-12-10T16:10:00"/>
    <n v="430"/>
    <n v="521"/>
    <n v="482"/>
    <s v="Igniters"/>
    <s v="F5904A Mill - 4A2 Igniter Replaced Actuator"/>
    <s v="Mill Creek"/>
    <x v="0"/>
    <s v="Coal"/>
    <x v="2"/>
    <x v="0"/>
    <n v="12"/>
    <n v="2.0833333333139308"/>
    <n v="0.36388355725828736"/>
    <n v="175.3918745984945"/>
    <n v="84.188099808061423"/>
    <x v="136"/>
  </r>
  <r>
    <x v="10"/>
    <x v="2"/>
    <n v="201"/>
    <n v="3235"/>
    <d v="2013-12-13T22:00:00"/>
    <d v="2013-12-13T22:40:00"/>
    <n v="330"/>
    <n v="521"/>
    <n v="482"/>
    <s v="Cooling tower booster pump"/>
    <s v="F3204A Cooling Tower Pump - Backflush"/>
    <s v="Mill Creek"/>
    <x v="0"/>
    <s v="Coal"/>
    <x v="2"/>
    <x v="0"/>
    <n v="12"/>
    <n v="0.66666666674427688"/>
    <n v="0.24440179145519556"/>
    <n v="117.80166348140426"/>
    <n v="176.7024952015355"/>
    <x v="84"/>
  </r>
  <r>
    <x v="10"/>
    <x v="0"/>
    <n v="202"/>
    <n v="3149"/>
    <d v="2013-12-14T10:30:00"/>
    <d v="2013-12-16T06:43:00"/>
    <n v="518"/>
    <n v="521"/>
    <n v="482"/>
    <s v="Loss of vacuum not attributable to a particular component such as air ejectors or valves; or"/>
    <s v="F660High Back Pressure"/>
    <s v="Mill Creek"/>
    <x v="0"/>
    <s v="Coal"/>
    <x v="2"/>
    <x v="0"/>
    <n v="12"/>
    <n v="44.216666666732635"/>
    <n v="0.2546065259120881"/>
    <n v="122.72034548962647"/>
    <n v="2.7754318618042229"/>
    <x v="183"/>
  </r>
  <r>
    <x v="10"/>
    <x v="3"/>
    <n v="203"/>
    <n v="1160"/>
    <d v="2013-12-17T00:30:00"/>
    <d v="2013-12-17T05:22:00"/>
    <n v="0"/>
    <n v="521"/>
    <n v="482"/>
    <s v="First reheater B"/>
    <s v="F320Boiler Deslag - First Reheater, Overheating Prevention"/>
    <s v="Mill Creek"/>
    <x v="1"/>
    <s v="Coal"/>
    <x v="2"/>
    <x v="0"/>
    <n v="12"/>
    <n v="4.8666666666395031"/>
    <n v="4.8666666666395031"/>
    <n v="2345.7333333202405"/>
    <n v="482"/>
    <x v="275"/>
  </r>
  <r>
    <x v="10"/>
    <x v="0"/>
    <n v="204"/>
    <n v="3340"/>
    <d v="2013-12-18T17:30:00"/>
    <d v="2013-12-18T18:15:00"/>
    <n v="493"/>
    <n v="521"/>
    <n v="482"/>
    <s v="LP heater tube leaks"/>
    <s v="F5402B Low Pressure Feedwater Heater - Leak"/>
    <s v="Mill Creek"/>
    <x v="0"/>
    <s v="Coal"/>
    <x v="2"/>
    <x v="0"/>
    <n v="12"/>
    <n v="0.75"/>
    <n v="4.0307101727447218E-2"/>
    <n v="19.428023032629561"/>
    <n v="25.904030710172744"/>
    <x v="16"/>
  </r>
  <r>
    <x v="10"/>
    <x v="0"/>
    <n v="205"/>
    <n v="3340"/>
    <d v="2013-12-18T18:15:00"/>
    <d v="2013-12-18T20:10:00"/>
    <n v="340"/>
    <n v="521"/>
    <n v="482"/>
    <s v="LP heater tube leaks"/>
    <s v="F5402B Low Pressure Feedwater Heater - LeakBypassed Heaters 1A,1B, 2A &amp; 2B"/>
    <s v="Mill Creek"/>
    <x v="0"/>
    <s v="Coal"/>
    <x v="2"/>
    <x v="0"/>
    <n v="12"/>
    <n v="1.9166666668024845"/>
    <n v="0.66586692263195724"/>
    <n v="320.94785670860341"/>
    <n v="167.45105566218811"/>
    <x v="27"/>
  </r>
  <r>
    <x v="10"/>
    <x v="0"/>
    <n v="206"/>
    <n v="3340"/>
    <d v="2013-12-18T20:10:00"/>
    <d v="2013-12-19T22:42:00"/>
    <n v="330"/>
    <n v="521"/>
    <n v="482"/>
    <s v="LP heater tube leaks"/>
    <s v="F540#2B Low Pressure Feedwater Heater - LeakBypassed Heaters 1A,1B, 2A &amp; 2B"/>
    <s v="Mill Creek"/>
    <x v="0"/>
    <s v="Coal"/>
    <x v="2"/>
    <x v="0"/>
    <n v="12"/>
    <n v="26.533333333209157"/>
    <n v="9.727191298738866"/>
    <n v="4688.5062059921338"/>
    <n v="176.7024952015355"/>
    <x v="84"/>
  </r>
  <r>
    <x v="10"/>
    <x v="4"/>
    <n v="207"/>
    <n v="3340"/>
    <d v="2013-12-19T22:42:00"/>
    <d v="2013-12-23T08:21:00"/>
    <n v="0"/>
    <n v="521"/>
    <n v="482"/>
    <s v="LP heater tube leaks"/>
    <s v="F590#2B Low Pressure Feedwater Heater - Leak Repairs"/>
    <s v="Mill Creek"/>
    <x v="2"/>
    <s v="Coal"/>
    <x v="2"/>
    <x v="0"/>
    <n v="12"/>
    <n v="81.650000000023283"/>
    <n v="81.650000000023283"/>
    <n v="39355.300000011222"/>
    <n v="482"/>
    <x v="275"/>
  </r>
  <r>
    <x v="10"/>
    <x v="0"/>
    <n v="208"/>
    <n v="1850"/>
    <d v="2013-12-23T20:30:00"/>
    <d v="2013-12-23T23:30:00"/>
    <n v="330"/>
    <n v="521"/>
    <n v="482"/>
    <s v="Boiler water condition (not feedwater water quality)"/>
    <s v="F170High Silica"/>
    <s v="Mill Creek"/>
    <x v="0"/>
    <s v="Coal"/>
    <x v="2"/>
    <x v="0"/>
    <n v="12"/>
    <n v="3"/>
    <n v="1.0998080614203456"/>
    <n v="530.10748560460661"/>
    <n v="176.7024952015355"/>
    <x v="84"/>
  </r>
  <r>
    <x v="10"/>
    <x v="0"/>
    <n v="209"/>
    <n v="1850"/>
    <d v="2013-12-23T23:30:00"/>
    <d v="2013-12-24T09:45:00"/>
    <n v="460"/>
    <n v="521"/>
    <n v="482"/>
    <s v="Boiler water condition (not feedwater water quality)"/>
    <s v="F170High Silica"/>
    <s v="Mill Creek"/>
    <x v="0"/>
    <s v="Coal"/>
    <x v="2"/>
    <x v="0"/>
    <n v="12"/>
    <n v="10.250000000058208"/>
    <n v="1.2000959692966424"/>
    <n v="578.44625720098168"/>
    <n v="56.433781190019197"/>
    <x v="123"/>
  </r>
  <r>
    <x v="10"/>
    <x v="0"/>
    <n v="210"/>
    <n v="1710"/>
    <d v="2013-12-24T09:45:00"/>
    <d v="2013-12-26T10:27:00"/>
    <n v="522"/>
    <n v="521"/>
    <n v="482"/>
    <s v="Combustion/steam condition controls (report local controls --- burners"/>
    <s v="F400Max Steam Flow Issues"/>
    <s v="Mill Creek"/>
    <x v="0"/>
    <s v="Coal"/>
    <x v="2"/>
    <x v="0"/>
    <n v="12"/>
    <n v="48.700000000011642"/>
    <n v="-9.3474088291768981E-2"/>
    <n v="-45.05451055663265"/>
    <n v="0"/>
    <x v="152"/>
  </r>
  <r>
    <x v="10"/>
    <x v="0"/>
    <n v="211"/>
    <n v="3149"/>
    <d v="2013-12-26T10:27:00"/>
    <d v="2013-12-26T11:03:00"/>
    <n v="484"/>
    <n v="521"/>
    <n v="482"/>
    <s v="Loss of vacuum not attributable to a particular component such as air ejectors or valves; or"/>
    <s v="F660High Back Pressure/Max Steam Flow Issues"/>
    <s v="Mill Creek"/>
    <x v="0"/>
    <s v="Coal"/>
    <x v="2"/>
    <x v="0"/>
    <n v="12"/>
    <n v="0.6000000000349246"/>
    <n v="4.2610364685781596E-2"/>
    <n v="20.538195778546729"/>
    <n v="34.230326295585414"/>
    <x v="81"/>
  </r>
  <r>
    <x v="10"/>
    <x v="0"/>
    <n v="212"/>
    <n v="3149"/>
    <d v="2013-12-26T11:03:00"/>
    <d v="2013-12-26T18:28:00"/>
    <n v="480"/>
    <n v="521"/>
    <n v="482"/>
    <s v="Loss of vacuum not attributable to a particular component such as air ejectors or valves; or"/>
    <s v="F660High Back Pressure/Max Steam Flow Issues"/>
    <s v="Mill Creek"/>
    <x v="0"/>
    <s v="Coal"/>
    <x v="2"/>
    <x v="0"/>
    <n v="12"/>
    <n v="7.4166666665696539"/>
    <n v="0.58365323095845645"/>
    <n v="281.32085732197601"/>
    <n v="37.930902111324379"/>
    <x v="15"/>
  </r>
  <r>
    <x v="10"/>
    <x v="0"/>
    <n v="213"/>
    <n v="3235"/>
    <d v="2013-12-26T18:28:00"/>
    <d v="2013-12-27T23:20:00"/>
    <n v="425"/>
    <n v="521"/>
    <n v="482"/>
    <s v="Cooling tower booster pump"/>
    <s v="F8504B Cooling Tower Pump Vibrations/High Back Pressure"/>
    <s v="Mill Creek"/>
    <x v="0"/>
    <s v="Coal"/>
    <x v="2"/>
    <x v="0"/>
    <n v="12"/>
    <n v="28.866666666639503"/>
    <n v="5.3190019193807911"/>
    <n v="2563.7589251415411"/>
    <n v="88.813819577735131"/>
    <x v="145"/>
  </r>
  <r>
    <x v="10"/>
    <x v="2"/>
    <n v="214"/>
    <n v="3235"/>
    <d v="2013-12-27T23:20:00"/>
    <d v="2013-12-28T00:57:00"/>
    <n v="335"/>
    <n v="521"/>
    <n v="482"/>
    <s v="Cooling tower booster pump"/>
    <s v="F5904B Cooling Tower Pump"/>
    <s v="Mill Creek"/>
    <x v="0"/>
    <s v="Coal"/>
    <x v="2"/>
    <x v="0"/>
    <n v="12"/>
    <n v="1.6166666666977108"/>
    <n v="0.57715930903219614"/>
    <n v="278.19078695351857"/>
    <n v="172.07677543186179"/>
    <x v="282"/>
  </r>
  <r>
    <x v="10"/>
    <x v="0"/>
    <n v="215"/>
    <n v="1710"/>
    <d v="2013-12-28T00:57:00"/>
    <d v="2013-12-28T01:03:00"/>
    <n v="522"/>
    <n v="521"/>
    <n v="482"/>
    <s v="Combustion/steam condition controls (report local controls --- burners"/>
    <s v="F400Max Steam Flow Issues"/>
    <s v="Mill Creek"/>
    <x v="0"/>
    <s v="Coal"/>
    <x v="2"/>
    <x v="0"/>
    <n v="12"/>
    <n v="9.9999999976716936E-2"/>
    <n v="-1.9193857960982138E-4"/>
    <n v="-9.25143953719339E-2"/>
    <n v="0"/>
    <x v="152"/>
  </r>
  <r>
    <x v="10"/>
    <x v="5"/>
    <n v="216"/>
    <n v="4730"/>
    <d v="2013-12-28T01:03:00"/>
    <d v="2013-12-30T20:50:00"/>
    <n v="0"/>
    <n v="521"/>
    <n v="482"/>
    <s v="Generator current and potential transformers"/>
    <s v="F430Generator Lock out - Broken Wire on Current Transformer"/>
    <s v="Mill Creek"/>
    <x v="3"/>
    <s v="Coal"/>
    <x v="2"/>
    <x v="0"/>
    <n v="12"/>
    <n v="67.78333333338378"/>
    <n v="67.78333333338378"/>
    <n v="32671.566666690982"/>
    <n v="482"/>
    <x v="275"/>
  </r>
  <r>
    <x v="10"/>
    <x v="3"/>
    <n v="217"/>
    <n v="1850"/>
    <d v="2013-12-30T20:50:00"/>
    <d v="2013-12-31T08:55:00"/>
    <n v="0"/>
    <n v="521"/>
    <n v="482"/>
    <s v="Boiler water condition (not feedwater water quality)"/>
    <s v="F170High Silica @ Warm Start Up"/>
    <s v="Mill Creek"/>
    <x v="1"/>
    <s v="Coal"/>
    <x v="2"/>
    <x v="0"/>
    <n v="12"/>
    <n v="12.083333333430346"/>
    <n v="12.083333333430346"/>
    <n v="5824.1666667134268"/>
    <n v="482"/>
    <x v="275"/>
  </r>
  <r>
    <x v="10"/>
    <x v="0"/>
    <n v="218"/>
    <n v="95"/>
    <d v="2013-12-31T08:55:00"/>
    <d v="2013-12-31T15:44:00"/>
    <n v="430"/>
    <n v="521"/>
    <n v="482"/>
    <s v="Bunker flow problems"/>
    <s v="FW004B Coal Silo - Plugged, Wet Coal"/>
    <s v="Mill Creek"/>
    <x v="0"/>
    <s v="Coal"/>
    <x v="2"/>
    <x v="0"/>
    <n v="12"/>
    <n v="6.8166666665347293"/>
    <n v="1.1906269993371601"/>
    <n v="573.8822136805112"/>
    <n v="84.188099808061423"/>
    <x v="136"/>
  </r>
  <r>
    <x v="10"/>
    <x v="0"/>
    <n v="219"/>
    <n v="360"/>
    <d v="2013-12-31T23:30:00"/>
    <d v="2014-01-01T00:00:00"/>
    <n v="420"/>
    <n v="521"/>
    <n v="482"/>
    <s v="Burners"/>
    <s v="F7804C Mill - 4C7 &amp; 4C9 Burners High Temperature"/>
    <s v="Mill Creek"/>
    <x v="0"/>
    <s v="Coal"/>
    <x v="2"/>
    <x v="0"/>
    <n v="12"/>
    <n v="0.50000000005820766"/>
    <n v="9.6928982736811845E-2"/>
    <n v="46.719769679143312"/>
    <n v="93.439539347408825"/>
    <x v="129"/>
  </r>
  <r>
    <x v="10"/>
    <x v="0"/>
    <n v="1"/>
    <n v="360"/>
    <d v="2014-01-01T00:00:00"/>
    <d v="2014-01-01T03:30:00"/>
    <n v="420"/>
    <n v="521"/>
    <n v="482"/>
    <s v="Burners"/>
    <s v="F7804C Mill - 4C7 &amp; 4C9 Burners High Temperature"/>
    <s v="Mill Creek"/>
    <x v="0"/>
    <s v="Coal"/>
    <x v="2"/>
    <x v="1"/>
    <n v="1"/>
    <n v="3.5000000000582077"/>
    <n v="0.67850287908997886"/>
    <n v="327.03838772136982"/>
    <n v="93.439539347408825"/>
    <x v="129"/>
  </r>
  <r>
    <x v="10"/>
    <x v="0"/>
    <n v="2"/>
    <n v="4261"/>
    <d v="2014-01-02T11:34:00"/>
    <d v="2014-01-02T12:11:00"/>
    <n v="500"/>
    <n v="521"/>
    <n v="482"/>
    <s v="Control valves"/>
    <s v="F400Turbine Control Valves - EHC Issue"/>
    <s v="Mill Creek"/>
    <x v="0"/>
    <s v="Coal"/>
    <x v="2"/>
    <x v="1"/>
    <n v="1"/>
    <n v="0.61666666675591841"/>
    <n v="2.4856046068856597E-2"/>
    <n v="11.98061420518888"/>
    <n v="19.428023032629557"/>
    <x v="54"/>
  </r>
  <r>
    <x v="10"/>
    <x v="0"/>
    <n v="3"/>
    <n v="380"/>
    <d v="2014-01-06T05:40:00"/>
    <d v="2014-01-06T05:48:00"/>
    <n v="255"/>
    <n v="521"/>
    <n v="482"/>
    <s v="Light-off (igniter) systems (including fuel supply)"/>
    <s v="F4004C Mill - Gas Igniter Issue"/>
    <s v="Mill Creek"/>
    <x v="0"/>
    <s v="Coal"/>
    <x v="2"/>
    <x v="1"/>
    <n v="1"/>
    <n v="0.13333333341870457"/>
    <n v="6.8074216294386591E-2"/>
    <n v="32.81177225389434"/>
    <n v="246.08829174664106"/>
    <x v="283"/>
  </r>
  <r>
    <x v="10"/>
    <x v="0"/>
    <n v="4"/>
    <n v="380"/>
    <d v="2014-01-06T06:40:00"/>
    <d v="2014-01-06T08:55:00"/>
    <n v="340"/>
    <n v="521"/>
    <n v="482"/>
    <s v="Light-off (igniter) systems (including fuel supply)"/>
    <s v="F4004B &amp; 4C Mills - Gas Igniter Issues"/>
    <s v="Mill Creek"/>
    <x v="0"/>
    <s v="Coal"/>
    <x v="2"/>
    <x v="1"/>
    <n v="1"/>
    <n v="2.25"/>
    <n v="0.78166986564299423"/>
    <n v="376.76487523992324"/>
    <n v="167.45105566218811"/>
    <x v="27"/>
  </r>
  <r>
    <x v="10"/>
    <x v="0"/>
    <n v="5"/>
    <n v="380"/>
    <d v="2014-01-06T08:55:00"/>
    <d v="2014-01-06T12:30:00"/>
    <n v="420"/>
    <n v="521"/>
    <n v="482"/>
    <s v="Light-off (igniter) systems (including fuel supply)"/>
    <s v="F7204C Mill - Gas Vent Valve Stuck Open"/>
    <s v="Mill Creek"/>
    <x v="0"/>
    <s v="Coal"/>
    <x v="2"/>
    <x v="1"/>
    <n v="1"/>
    <n v="3.5833333333139308"/>
    <n v="0.69465770952918815"/>
    <n v="334.82501599306869"/>
    <n v="93.439539347408825"/>
    <x v="129"/>
  </r>
  <r>
    <x v="10"/>
    <x v="2"/>
    <n v="6"/>
    <n v="360"/>
    <d v="2014-01-08T21:00:00"/>
    <d v="2014-01-08T21:55:00"/>
    <n v="410"/>
    <n v="521"/>
    <n v="482"/>
    <s v="Burners"/>
    <s v="F5304B Mill - Coal Burners Inspection"/>
    <s v="Mill Creek"/>
    <x v="0"/>
    <s v="Coal"/>
    <x v="2"/>
    <x v="1"/>
    <n v="1"/>
    <n v="0.91666666668606922"/>
    <n v="0.19529750480259825"/>
    <n v="94.13339731485236"/>
    <n v="102.69097888675624"/>
    <x v="140"/>
  </r>
  <r>
    <x v="10"/>
    <x v="0"/>
    <n v="7"/>
    <n v="250"/>
    <d v="2014-01-08T21:55:00"/>
    <d v="2014-01-09T05:00:00"/>
    <n v="410"/>
    <n v="521"/>
    <n v="482"/>
    <s v="Pulverizer feeders"/>
    <s v="F5904A Coal Feeder - VFD Beck Drive Bad Card"/>
    <s v="Mill Creek"/>
    <x v="0"/>
    <s v="Coal"/>
    <x v="2"/>
    <x v="1"/>
    <n v="1"/>
    <n v="7.0833333333721384"/>
    <n v="1.5091170825418567"/>
    <n v="727.3944337851749"/>
    <n v="102.69097888675624"/>
    <x v="140"/>
  </r>
  <r>
    <x v="10"/>
    <x v="0"/>
    <n v="8"/>
    <n v="310"/>
    <d v="2014-01-09T07:00:00"/>
    <d v="2014-01-09T08:38:00"/>
    <n v="475"/>
    <n v="521"/>
    <n v="482"/>
    <s v="Pulverizer mills"/>
    <s v="F5904A Coal Mill - Breaker Issue"/>
    <s v="Mill Creek"/>
    <x v="0"/>
    <s v="Coal"/>
    <x v="2"/>
    <x v="1"/>
    <n v="1"/>
    <n v="1.6333333334187046"/>
    <n v="0.14420985285462651"/>
    <n v="69.509149075929983"/>
    <n v="42.55662188099808"/>
    <x v="82"/>
  </r>
  <r>
    <x v="10"/>
    <x v="0"/>
    <n v="9"/>
    <n v="360"/>
    <d v="2014-01-12T02:48:00"/>
    <d v="2014-01-12T09:33:00"/>
    <n v="430"/>
    <n v="521"/>
    <n v="482"/>
    <s v="Burners"/>
    <s v="F0704B Mill - Fire, 4B1 Burner Blanked Off"/>
    <s v="Mill Creek"/>
    <x v="0"/>
    <s v="Coal"/>
    <x v="2"/>
    <x v="1"/>
    <n v="1"/>
    <n v="6.75"/>
    <n v="1.1789827255278311"/>
    <n v="568.26967370441457"/>
    <n v="84.188099808061423"/>
    <x v="136"/>
  </r>
  <r>
    <x v="10"/>
    <x v="3"/>
    <n v="10"/>
    <n v="1160"/>
    <d v="2014-01-18T21:00:00"/>
    <d v="2014-01-19T07:41:00"/>
    <n v="0"/>
    <n v="521"/>
    <n v="482"/>
    <s v="First reheater B"/>
    <s v="F320Boiler Deslag - First Reheater.  Full load available if needed."/>
    <s v="Mill Creek"/>
    <x v="1"/>
    <s v="Coal"/>
    <x v="2"/>
    <x v="1"/>
    <n v="1"/>
    <n v="10.683333333407063"/>
    <n v="10.683333333407063"/>
    <n v="5149.3666667022044"/>
    <n v="482"/>
    <x v="275"/>
  </r>
  <r>
    <x v="10"/>
    <x v="3"/>
    <n v="11"/>
    <n v="8825"/>
    <d v="2014-01-22T10:35:00"/>
    <d v="2014-01-22T20:00:00"/>
    <n v="0"/>
    <n v="521"/>
    <n v="482"/>
    <s v="Other SCR NOx problems"/>
    <s v="F790SCR Flow Test @ Full Load"/>
    <s v="Mill Creek"/>
    <x v="1"/>
    <s v="Coal"/>
    <x v="2"/>
    <x v="1"/>
    <n v="1"/>
    <n v="9.4166666668024845"/>
    <n v="9.4166666668024845"/>
    <n v="4538.8333333987975"/>
    <n v="482"/>
    <x v="275"/>
  </r>
  <r>
    <x v="10"/>
    <x v="3"/>
    <n v="12"/>
    <n v="8825"/>
    <d v="2014-01-23T08:47:00"/>
    <d v="2014-01-23T15:10:00"/>
    <n v="0"/>
    <n v="521"/>
    <n v="482"/>
    <s v="Other SCR NOx problems"/>
    <s v="F790SCR Flow Test @ Full Load"/>
    <s v="Mill Creek"/>
    <x v="1"/>
    <s v="Coal"/>
    <x v="2"/>
    <x v="1"/>
    <n v="1"/>
    <n v="6.3833333333604969"/>
    <n v="6.3833333333604969"/>
    <n v="3076.7666666797595"/>
    <n v="482"/>
    <x v="275"/>
  </r>
  <r>
    <x v="10"/>
    <x v="3"/>
    <n v="13"/>
    <n v="8825"/>
    <d v="2014-01-24T12:20:00"/>
    <d v="2014-01-24T18:02:00"/>
    <n v="0"/>
    <n v="521"/>
    <n v="482"/>
    <s v="Other SCR NOx problems"/>
    <s v="F790SCR Flow Test - Full Load"/>
    <s v="Mill Creek"/>
    <x v="1"/>
    <s v="Coal"/>
    <x v="2"/>
    <x v="1"/>
    <n v="1"/>
    <n v="5.6999999998952262"/>
    <n v="5.6999999998952262"/>
    <n v="2747.399999949499"/>
    <n v="482"/>
    <x v="275"/>
  </r>
  <r>
    <x v="10"/>
    <x v="3"/>
    <n v="14"/>
    <n v="1160"/>
    <d v="2014-01-26T11:35:00"/>
    <d v="2014-01-27T05:50:00"/>
    <n v="0"/>
    <n v="521"/>
    <n v="482"/>
    <s v="First reheater B"/>
    <s v="F320Boiler Deslag - First Reheater.  Full load available if needed."/>
    <s v="Mill Creek"/>
    <x v="1"/>
    <s v="Coal"/>
    <x v="2"/>
    <x v="1"/>
    <n v="1"/>
    <n v="18.249999999941792"/>
    <n v="18.249999999941792"/>
    <n v="8796.4999999719439"/>
    <n v="482"/>
    <x v="275"/>
  </r>
  <r>
    <x v="10"/>
    <x v="0"/>
    <n v="15"/>
    <n v="310"/>
    <d v="2014-01-30T02:30:00"/>
    <d v="2014-01-30T06:55:00"/>
    <n v="420"/>
    <n v="521"/>
    <n v="482"/>
    <s v="Pulverizer mills"/>
    <s v="F5904E Coal Mill - Primary Air Fan Flow Issues"/>
    <s v="Mill Creek"/>
    <x v="0"/>
    <s v="Coal"/>
    <x v="2"/>
    <x v="1"/>
    <n v="1"/>
    <n v="4.4166666667442769"/>
    <n v="0.8562060140905412"/>
    <n v="412.69129879164086"/>
    <n v="93.439539347408825"/>
    <x v="129"/>
  </r>
  <r>
    <x v="10"/>
    <x v="2"/>
    <n v="16"/>
    <n v="310"/>
    <d v="2014-02-02T23:00:00"/>
    <d v="2014-02-03T03:55:00"/>
    <n v="420"/>
    <n v="521"/>
    <n v="482"/>
    <s v="Pulverizer mills"/>
    <s v="F5304C Coal Mill - Inspection"/>
    <s v="Mill Creek"/>
    <x v="0"/>
    <s v="Coal"/>
    <x v="2"/>
    <x v="1"/>
    <n v="2"/>
    <n v="4.9166666666278616"/>
    <n v="0.953134996793501"/>
    <n v="459.41106845446745"/>
    <n v="93.439539347408825"/>
    <x v="129"/>
  </r>
  <r>
    <x v="10"/>
    <x v="0"/>
    <n v="17"/>
    <n v="360"/>
    <d v="2014-02-03T03:55:00"/>
    <d v="2014-02-03T06:08:00"/>
    <n v="330"/>
    <n v="521"/>
    <n v="482"/>
    <s v="Burners"/>
    <s v="F7804B Mill - 4B3 Coal Burner High Temperature4C Coal Mill - Inspection"/>
    <s v="Mill Creek"/>
    <x v="0"/>
    <s v="Coal"/>
    <x v="2"/>
    <x v="1"/>
    <n v="2"/>
    <n v="2.2166666667326353"/>
    <n v="0.81263595651810627"/>
    <n v="391.69053104172724"/>
    <n v="176.7024952015355"/>
    <x v="84"/>
  </r>
  <r>
    <x v="10"/>
    <x v="0"/>
    <n v="18"/>
    <n v="1710"/>
    <d v="2014-02-04T14:30:00"/>
    <d v="2014-02-19T06:00:00"/>
    <n v="518"/>
    <n v="521"/>
    <n v="482"/>
    <s v="Combustion/steam condition controls (report local controls --- burners"/>
    <s v="F400Max Steam Flow Issues"/>
    <s v="Mill Creek"/>
    <x v="0"/>
    <s v="Coal"/>
    <x v="2"/>
    <x v="1"/>
    <n v="2"/>
    <n v="351.50000000005821"/>
    <n v="2.0239923224571488"/>
    <n v="975.56429942434568"/>
    <n v="2.7754318618042229"/>
    <x v="183"/>
  </r>
  <r>
    <x v="10"/>
    <x v="0"/>
    <n v="19"/>
    <n v="310"/>
    <d v="2014-02-07T06:50:00"/>
    <d v="2014-02-07T07:05:00"/>
    <n v="460"/>
    <n v="521"/>
    <n v="482"/>
    <s v="Pulverizer mills"/>
    <s v="F5904B Coal Mill - Swing Valve &amp; Ignitor Gas Valve Issues"/>
    <s v="Mill Creek"/>
    <x v="0"/>
    <s v="Coal"/>
    <x v="2"/>
    <x v="1"/>
    <n v="2"/>
    <n v="0.25000000011641532"/>
    <n v="2.9270633410943062E-2"/>
    <n v="14.108445304074555"/>
    <n v="56.433781190019197"/>
    <x v="123"/>
  </r>
  <r>
    <x v="10"/>
    <x v="0"/>
    <n v="20"/>
    <n v="250"/>
    <d v="2014-02-11T09:10:00"/>
    <d v="2014-02-11T09:20:00"/>
    <n v="430"/>
    <n v="521"/>
    <n v="482"/>
    <s v="Pulverizer feeders"/>
    <s v="F4004C Coal Feeder - Microprocessor Issue"/>
    <s v="Mill Creek"/>
    <x v="0"/>
    <s v="Coal"/>
    <x v="2"/>
    <x v="1"/>
    <n v="2"/>
    <n v="0.16666666668606922"/>
    <n v="2.9110684584323032E-2"/>
    <n v="14.031349969643701"/>
    <n v="84.188099808061423"/>
    <x v="136"/>
  </r>
  <r>
    <x v="10"/>
    <x v="3"/>
    <n v="21"/>
    <n v="1160"/>
    <d v="2014-02-12T23:59:00"/>
    <d v="2014-02-13T04:20:00"/>
    <n v="0"/>
    <n v="521"/>
    <n v="482"/>
    <s v="First reheater B"/>
    <s v="F320Boiler Deslag - First ReheaterFull Load Available as Needed"/>
    <s v="Mill Creek"/>
    <x v="1"/>
    <s v="Coal"/>
    <x v="2"/>
    <x v="1"/>
    <n v="2"/>
    <n v="4.3500000000349246"/>
    <n v="4.3500000000349246"/>
    <n v="2096.7000000168337"/>
    <n v="482"/>
    <x v="275"/>
  </r>
  <r>
    <x v="10"/>
    <x v="2"/>
    <n v="22"/>
    <n v="8160"/>
    <d v="2014-02-17T20:00:00"/>
    <d v="2014-02-18T00:24:00"/>
    <n v="330"/>
    <n v="521"/>
    <n v="482"/>
    <s v="Mist eliminators/demisters and washdown"/>
    <s v="F590FGD Demister Wash Line - Relocation"/>
    <s v="Mill Creek"/>
    <x v="0"/>
    <s v="Coal"/>
    <x v="2"/>
    <x v="1"/>
    <n v="2"/>
    <n v="4.4000000000232831"/>
    <n v="1.6130518234250424"/>
    <n v="777.49097889087045"/>
    <n v="176.7024952015355"/>
    <x v="84"/>
  </r>
  <r>
    <x v="10"/>
    <x v="3"/>
    <n v="23"/>
    <n v="4490"/>
    <d v="2014-02-19T06:00:00"/>
    <d v="2014-02-19T12:30:00"/>
    <n v="0"/>
    <n v="521"/>
    <n v="482"/>
    <s v="Turbine performance testing (use code 9999 for total unit performance testing)"/>
    <s v="F790Full Load Capability Test"/>
    <s v="Mill Creek"/>
    <x v="1"/>
    <s v="Coal"/>
    <x v="2"/>
    <x v="1"/>
    <n v="2"/>
    <n v="6.5000000000582077"/>
    <n v="6.5000000000582077"/>
    <n v="3133.0000000280561"/>
    <n v="482"/>
    <x v="275"/>
  </r>
  <r>
    <x v="10"/>
    <x v="0"/>
    <n v="24"/>
    <n v="1710"/>
    <d v="2014-02-19T17:42:00"/>
    <d v="2014-02-21T10:13:00"/>
    <n v="518"/>
    <n v="521"/>
    <n v="482"/>
    <s v="Combustion/steam condition controls (report local controls --- burners"/>
    <s v="F400Max Steam Flow Issue"/>
    <s v="Mill Creek"/>
    <x v="0"/>
    <s v="Coal"/>
    <x v="2"/>
    <x v="1"/>
    <n v="2"/>
    <n v="40.516666666546371"/>
    <n v="0.23330134356936491"/>
    <n v="112.45124760043389"/>
    <n v="2.7754318618042229"/>
    <x v="183"/>
  </r>
  <r>
    <x v="10"/>
    <x v="3"/>
    <n v="25"/>
    <n v="1160"/>
    <d v="2014-02-20T23:00:00"/>
    <d v="2014-02-21T04:00:00"/>
    <n v="0"/>
    <n v="521"/>
    <n v="482"/>
    <s v="First reheater B"/>
    <s v="F320Boiler Deslag - First ReheaterFull Load Available as Needed"/>
    <s v="Mill Creek"/>
    <x v="1"/>
    <s v="Coal"/>
    <x v="2"/>
    <x v="1"/>
    <n v="2"/>
    <n v="4.9999999998835847"/>
    <n v="4.9999999998835847"/>
    <n v="2409.9999999438878"/>
    <n v="482"/>
    <x v="275"/>
  </r>
  <r>
    <x v="10"/>
    <x v="0"/>
    <n v="26"/>
    <n v="1710"/>
    <d v="2014-02-21T10:13:00"/>
    <d v="2014-03-04T06:41:00"/>
    <n v="522"/>
    <n v="521"/>
    <n v="482"/>
    <s v="Combustion/steam condition controls (report local controls --- burners"/>
    <s v="F400Max Steam Flow Issue"/>
    <s v="Mill Creek"/>
    <x v="0"/>
    <s v="Coal"/>
    <x v="2"/>
    <x v="1"/>
    <n v="2"/>
    <n v="260.46666666667443"/>
    <n v="-0.49993602047346342"/>
    <n v="-240.96916186820937"/>
    <n v="0"/>
    <x v="152"/>
  </r>
  <r>
    <x v="10"/>
    <x v="0"/>
    <n v="27"/>
    <n v="4460"/>
    <d v="2014-02-23T04:00:00"/>
    <d v="2014-02-23T04:33:00"/>
    <n v="220"/>
    <n v="521"/>
    <n v="482"/>
    <s v="Turbine overspeed trip test"/>
    <s v="F720Turbine Overspeed Test - Linkage Stuck"/>
    <s v="Mill Creek"/>
    <x v="0"/>
    <s v="Coal"/>
    <x v="2"/>
    <x v="1"/>
    <n v="2"/>
    <n v="0.55000000004656613"/>
    <n v="0.31775431864494513"/>
    <n v="153.15758158686356"/>
    <n v="278.46833013435702"/>
    <x v="213"/>
  </r>
  <r>
    <x v="10"/>
    <x v="0"/>
    <n v="28"/>
    <n v="1520"/>
    <d v="2014-02-25T08:16:00"/>
    <d v="2014-02-25T09:00:00"/>
    <n v="475"/>
    <n v="521"/>
    <n v="482"/>
    <s v="Flue gas dampers (except recirculation)"/>
    <s v="F3404A Economizer Outlet Damper - Failed to Open Completely"/>
    <s v="Mill Creek"/>
    <x v="0"/>
    <s v="Coal"/>
    <x v="2"/>
    <x v="1"/>
    <n v="2"/>
    <n v="0.73333333327900618"/>
    <n v="6.4747280865324927E-2"/>
    <n v="31.208189377086615"/>
    <n v="42.55662188099808"/>
    <x v="82"/>
  </r>
  <r>
    <x v="10"/>
    <x v="0"/>
    <n v="29"/>
    <n v="250"/>
    <d v="2014-03-01T19:00:00"/>
    <d v="2014-03-01T22:35:00"/>
    <n v="430"/>
    <n v="521"/>
    <n v="482"/>
    <s v="Pulverizer feeders"/>
    <s v="F4304C Coal Feeder - Loose Connection @ Control Board"/>
    <s v="Mill Creek"/>
    <x v="0"/>
    <s v="Coal"/>
    <x v="2"/>
    <x v="1"/>
    <n v="3"/>
    <n v="3.5833333333139308"/>
    <n v="0.62587971848669421"/>
    <n v="301.67402431058662"/>
    <n v="84.188099808061423"/>
    <x v="136"/>
  </r>
  <r>
    <x v="10"/>
    <x v="0"/>
    <n v="30"/>
    <n v="360"/>
    <d v="2014-03-02T11:41:00"/>
    <d v="2014-03-02T12:14:00"/>
    <n v="445"/>
    <n v="521"/>
    <n v="482"/>
    <s v="Burners"/>
    <s v="F7804B Mill - 4B7 Coal Burner High Temperature"/>
    <s v="Mill Creek"/>
    <x v="0"/>
    <s v="Coal"/>
    <x v="2"/>
    <x v="1"/>
    <n v="3"/>
    <n v="0.55000000004656613"/>
    <n v="8.0230326302378169E-2"/>
    <n v="38.67101727774628"/>
    <n v="70.310940499040314"/>
    <x v="284"/>
  </r>
  <r>
    <x v="10"/>
    <x v="0"/>
    <n v="31"/>
    <n v="1710"/>
    <d v="2014-03-04T08:45:00"/>
    <d v="2014-03-12T18:14:00"/>
    <n v="522"/>
    <n v="521"/>
    <n v="482"/>
    <s v="Combustion/steam condition controls (report local controls --- burners"/>
    <s v="F400Max Steam Flow Issue"/>
    <s v="Mill Creek"/>
    <x v="0"/>
    <s v="Coal"/>
    <x v="2"/>
    <x v="1"/>
    <n v="3"/>
    <n v="201.48333333333721"/>
    <n v="-0.38672424824057045"/>
    <n v="-186.40108765195495"/>
    <n v="0"/>
    <x v="152"/>
  </r>
  <r>
    <x v="10"/>
    <x v="0"/>
    <n v="32"/>
    <n v="876"/>
    <d v="2014-03-07T23:20:00"/>
    <d v="2014-03-08T03:55:00"/>
    <n v="320"/>
    <n v="521"/>
    <n v="482"/>
    <s v="Soot blower controls"/>
    <s v="F590Sootblower Regulator - Repair Positioner"/>
    <s v="Mill Creek"/>
    <x v="0"/>
    <s v="Coal"/>
    <x v="2"/>
    <x v="1"/>
    <n v="3"/>
    <n v="4.5833333334303461"/>
    <n v="1.7682341651046056"/>
    <n v="852.28886758041995"/>
    <n v="185.95393474088291"/>
    <x v="60"/>
  </r>
  <r>
    <x v="10"/>
    <x v="2"/>
    <n v="33"/>
    <n v="8160"/>
    <d v="2014-03-08T23:30:00"/>
    <d v="2014-03-09T06:36:00"/>
    <n v="340"/>
    <n v="521"/>
    <n v="482"/>
    <s v="Mist eliminators/demisters and washdown"/>
    <s v="F590FGD Mist Eliminator - Wash Line Tie In"/>
    <s v="Mill Creek"/>
    <x v="0"/>
    <s v="Coal"/>
    <x v="2"/>
    <x v="1"/>
    <n v="3"/>
    <n v="7.1000000000931323"/>
    <n v="2.46660268717247"/>
    <n v="1188.9024952171305"/>
    <n v="167.45105566218811"/>
    <x v="27"/>
  </r>
  <r>
    <x v="10"/>
    <x v="0"/>
    <n v="34"/>
    <n v="1710"/>
    <d v="2014-03-13T06:15:00"/>
    <d v="2014-03-14T23:47:00"/>
    <n v="522"/>
    <n v="521"/>
    <n v="482"/>
    <s v="Combustion/steam condition controls (report local controls --- burners"/>
    <s v="F400Max Steam Flow Issue"/>
    <s v="Mill Creek"/>
    <x v="0"/>
    <s v="Coal"/>
    <x v="2"/>
    <x v="1"/>
    <n v="3"/>
    <n v="41.53333333338378"/>
    <n v="-7.9718490083270213E-2"/>
    <n v="-38.424312220136244"/>
    <n v="0"/>
    <x v="152"/>
  </r>
  <r>
    <x v="10"/>
    <x v="6"/>
    <n v="35"/>
    <n v="1801"/>
    <d v="2014-03-14T23:47:00"/>
    <d v="2014-03-30T19:15:00"/>
    <n v="0"/>
    <n v="521"/>
    <n v="482"/>
    <s v="Minor boiler overhaul (less than 720 hours) (use for non-specific overhaul only; see page B-1)"/>
    <s v="F590Planned 2 Week Outage"/>
    <s v="Mill Creek"/>
    <x v="1"/>
    <s v="Coal"/>
    <x v="2"/>
    <x v="1"/>
    <n v="3"/>
    <n v="379.46666666673264"/>
    <n v="379.46666666673264"/>
    <n v="182902.93333336513"/>
    <n v="482"/>
    <x v="275"/>
  </r>
  <r>
    <x v="10"/>
    <x v="3"/>
    <n v="36"/>
    <n v="1850"/>
    <d v="2014-03-30T19:15:00"/>
    <d v="2014-03-31T19:30:00"/>
    <n v="0"/>
    <n v="521"/>
    <n v="482"/>
    <s v="Boiler water condition (not feedwater water quality)"/>
    <s v="F170High Silica @ Cold Start Up"/>
    <s v="Mill Creek"/>
    <x v="1"/>
    <s v="Coal"/>
    <x v="2"/>
    <x v="1"/>
    <n v="3"/>
    <n v="24.249999999941792"/>
    <n v="24.249999999941792"/>
    <n v="11688.499999971944"/>
    <n v="482"/>
    <x v="275"/>
  </r>
  <r>
    <x v="10"/>
    <x v="0"/>
    <n v="37"/>
    <n v="1850"/>
    <d v="2014-03-31T19:30:00"/>
    <d v="2014-04-01T03:35:00"/>
    <n v="335"/>
    <n v="521"/>
    <n v="482"/>
    <s v="Boiler water condition (not feedwater water quality)"/>
    <s v="F170High Silica"/>
    <s v="Mill Creek"/>
    <x v="0"/>
    <s v="Coal"/>
    <x v="2"/>
    <x v="1"/>
    <n v="3"/>
    <n v="8.0833333333139308"/>
    <n v="2.8857965450986396"/>
    <n v="1390.9539347375444"/>
    <n v="172.07677543186179"/>
    <x v="282"/>
  </r>
  <r>
    <x v="10"/>
    <x v="0"/>
    <n v="38"/>
    <n v="1850"/>
    <d v="2014-04-01T03:35:00"/>
    <d v="2014-04-01T12:00:00"/>
    <n v="392"/>
    <n v="521"/>
    <n v="482"/>
    <s v="Boiler water condition (not feedwater water quality)"/>
    <s v="F170High Silica"/>
    <s v="Mill Creek"/>
    <x v="0"/>
    <s v="Coal"/>
    <x v="2"/>
    <x v="1"/>
    <n v="4"/>
    <n v="8.4166666666860692"/>
    <n v="2.0839731286036525"/>
    <n v="1004.4750479869605"/>
    <n v="119.34357005758157"/>
    <x v="95"/>
  </r>
  <r>
    <x v="10"/>
    <x v="0"/>
    <n v="39"/>
    <n v="1850"/>
    <d v="2014-04-01T12:00:00"/>
    <d v="2014-04-01T19:53:00"/>
    <n v="472"/>
    <n v="521"/>
    <n v="482"/>
    <s v="Boiler water condition (not feedwater water quality)"/>
    <s v="F170High Silica"/>
    <s v="Mill Creek"/>
    <x v="0"/>
    <s v="Coal"/>
    <x v="2"/>
    <x v="1"/>
    <n v="4"/>
    <n v="7.8833333333604969"/>
    <n v="0.74142674344465331"/>
    <n v="357.36769034032289"/>
    <n v="45.332053742802302"/>
    <x v="23"/>
  </r>
  <r>
    <x v="10"/>
    <x v="0"/>
    <n v="40"/>
    <n v="1710"/>
    <d v="2014-04-01T19:53:00"/>
    <d v="2014-04-02T06:10:00"/>
    <n v="499"/>
    <n v="521"/>
    <n v="482"/>
    <s v="Combustion/steam condition controls (report local controls --- burners"/>
    <s v="F400Max Steam Flow Issue"/>
    <s v="Mill Creek"/>
    <x v="0"/>
    <s v="Coal"/>
    <x v="2"/>
    <x v="1"/>
    <n v="4"/>
    <n v="10.283333333325572"/>
    <n v="0.43422904670472667"/>
    <n v="209.29840051167827"/>
    <n v="20.3531669865643"/>
    <x v="21"/>
  </r>
  <r>
    <x v="10"/>
    <x v="0"/>
    <n v="41"/>
    <n v="800"/>
    <d v="2014-04-02T08:30:00"/>
    <d v="2014-04-02T18:11:00"/>
    <n v="492"/>
    <n v="521"/>
    <n v="482"/>
    <s v="Drums and drum internals (single drum only)"/>
    <s v="F400Low Drum Level"/>
    <s v="Mill Creek"/>
    <x v="0"/>
    <s v="Coal"/>
    <x v="2"/>
    <x v="1"/>
    <n v="4"/>
    <n v="9.6833333334652707"/>
    <n v="0.53899552144048535"/>
    <n v="259.79584133431393"/>
    <n v="26.829174664107487"/>
    <x v="6"/>
  </r>
  <r>
    <x v="10"/>
    <x v="0"/>
    <n v="42"/>
    <n v="1710"/>
    <d v="2014-04-02T18:11:00"/>
    <d v="2014-04-02T19:55:00"/>
    <n v="507"/>
    <n v="521"/>
    <n v="482"/>
    <s v="Combustion/steam condition controls (report local controls --- burners"/>
    <s v="F400Max Steam Flow Issue"/>
    <s v="Mill Creek"/>
    <x v="0"/>
    <s v="Coal"/>
    <x v="2"/>
    <x v="1"/>
    <n v="4"/>
    <n v="1.7333333332207985"/>
    <n v="4.6577095326470593E-2"/>
    <n v="22.450159947358827"/>
    <n v="12.952015355086372"/>
    <x v="20"/>
  </r>
  <r>
    <x v="10"/>
    <x v="2"/>
    <n v="43"/>
    <n v="310"/>
    <d v="2014-04-03T21:30:00"/>
    <d v="2014-04-04T02:54:00"/>
    <n v="407"/>
    <n v="521"/>
    <n v="482"/>
    <s v="Pulverizer mills"/>
    <s v="F5904E Coal Mill - Pitot Tube Cleaning4C Coal Mill - Air Tap Cleaninng"/>
    <s v="Mill Creek"/>
    <x v="0"/>
    <s v="Coal"/>
    <x v="2"/>
    <x v="1"/>
    <n v="4"/>
    <n v="5.3999999999650754"/>
    <n v="1.1815738963455251"/>
    <n v="569.51861803854308"/>
    <n v="105.46641074856046"/>
    <x v="43"/>
  </r>
  <r>
    <x v="10"/>
    <x v="0"/>
    <n v="44"/>
    <n v="310"/>
    <d v="2014-04-04T06:00:00"/>
    <d v="2014-04-04T09:12:00"/>
    <n v="430"/>
    <n v="521"/>
    <n v="482"/>
    <s v="Pulverizer mills"/>
    <s v="F1204E Coal Mill - Excessive PyritesCooling Tower Chemistry - Brominate"/>
    <s v="Mill Creek"/>
    <x v="0"/>
    <s v="Coal"/>
    <x v="2"/>
    <x v="1"/>
    <n v="4"/>
    <n v="3.1999999999534339"/>
    <n v="0.55892514394580128"/>
    <n v="269.40191938187621"/>
    <n v="84.188099808061423"/>
    <x v="136"/>
  </r>
  <r>
    <x v="10"/>
    <x v="2"/>
    <n v="45"/>
    <n v="310"/>
    <d v="2014-04-06T21:00:00"/>
    <d v="2014-04-07T05:34:00"/>
    <n v="430"/>
    <n v="521"/>
    <n v="482"/>
    <s v="Pulverizer mills"/>
    <s v="F5904E Coal Mill - Clean Pitot Tubes"/>
    <s v="Mill Creek"/>
    <x v="0"/>
    <s v="Coal"/>
    <x v="2"/>
    <x v="1"/>
    <n v="4"/>
    <n v="8.5666666666511446"/>
    <n v="1.4962891874573017"/>
    <n v="721.21138835441946"/>
    <n v="84.188099808061423"/>
    <x v="136"/>
  </r>
  <r>
    <x v="10"/>
    <x v="2"/>
    <n v="46"/>
    <n v="310"/>
    <d v="2014-04-07T22:20:00"/>
    <d v="2014-04-08T04:00:00"/>
    <n v="430"/>
    <n v="521"/>
    <n v="482"/>
    <s v="Pulverizer mills"/>
    <s v="F5304B Coal Mill - Inspection"/>
    <s v="Mill Creek"/>
    <x v="0"/>
    <s v="Coal"/>
    <x v="2"/>
    <x v="1"/>
    <n v="4"/>
    <n v="5.6666666666278616"/>
    <n v="0.98976327574498157"/>
    <n v="477.06589890908111"/>
    <n v="84.188099808061423"/>
    <x v="136"/>
  </r>
  <r>
    <x v="10"/>
    <x v="0"/>
    <n v="47"/>
    <n v="310"/>
    <d v="2014-04-08T04:00:00"/>
    <d v="2014-04-08T05:45:00"/>
    <n v="430"/>
    <n v="521"/>
    <n v="482"/>
    <s v="Pulverizer mills"/>
    <s v="F5904B Coal Mill - Replace Pyrite Scrapper"/>
    <s v="Mill Creek"/>
    <x v="0"/>
    <s v="Coal"/>
    <x v="2"/>
    <x v="1"/>
    <n v="4"/>
    <n v="1.7500000001164153"/>
    <n v="0.30566218812014162"/>
    <n v="147.32917467390826"/>
    <n v="84.188099808061423"/>
    <x v="136"/>
  </r>
  <r>
    <x v="10"/>
    <x v="0"/>
    <n v="48"/>
    <n v="310"/>
    <d v="2014-04-08T05:45:00"/>
    <d v="2014-04-08T07:15:00"/>
    <n v="485"/>
    <n v="521"/>
    <n v="482"/>
    <s v="Pulverizer mills"/>
    <s v="F5904B Coal Mill - Replace Pyrite Scrapper (Gas Guns In)"/>
    <s v="Mill Creek"/>
    <x v="0"/>
    <s v="Coal"/>
    <x v="2"/>
    <x v="1"/>
    <n v="4"/>
    <n v="1.5"/>
    <n v="0.1036468330134357"/>
    <n v="49.95777351247601"/>
    <n v="33.305182341650671"/>
    <x v="17"/>
  </r>
  <r>
    <x v="10"/>
    <x v="3"/>
    <n v="49"/>
    <n v="9620"/>
    <d v="2014-04-08T08:30:00"/>
    <d v="2014-04-08T13:31:00"/>
    <n v="0"/>
    <n v="521"/>
    <n v="482"/>
    <s v="Particulate stack emissions (fossil)"/>
    <s v="F790Particulate Matter Testing - Full Load"/>
    <s v="Mill Creek"/>
    <x v="1"/>
    <s v="Coal"/>
    <x v="2"/>
    <x v="1"/>
    <n v="4"/>
    <n v="5.0166666667792015"/>
    <n v="5.0166666667792015"/>
    <n v="2418.0333333875751"/>
    <n v="482"/>
    <x v="275"/>
  </r>
  <r>
    <x v="10"/>
    <x v="3"/>
    <n v="50"/>
    <n v="9620"/>
    <d v="2014-04-09T07:20:00"/>
    <d v="2014-04-09T10:53:00"/>
    <n v="0"/>
    <n v="521"/>
    <n v="482"/>
    <s v="Particulate stack emissions (fossil)"/>
    <s v="F790Particulate Matter Testing - Full Load"/>
    <s v="Mill Creek"/>
    <x v="1"/>
    <s v="Coal"/>
    <x v="2"/>
    <x v="1"/>
    <n v="4"/>
    <n v="3.5500000000465661"/>
    <n v="3.5500000000465661"/>
    <n v="1711.1000000224449"/>
    <n v="482"/>
    <x v="275"/>
  </r>
  <r>
    <x v="10"/>
    <x v="2"/>
    <n v="51"/>
    <n v="1160"/>
    <d v="2014-04-09T21:47:00"/>
    <d v="2014-04-10T03:51:00"/>
    <n v="300"/>
    <n v="521"/>
    <n v="482"/>
    <s v="First reheater B"/>
    <s v="F320Boiler Deslag - First ReheaterFull Load Available as Needed"/>
    <s v="Mill Creek"/>
    <x v="0"/>
    <s v="Coal"/>
    <x v="2"/>
    <x v="1"/>
    <n v="4"/>
    <n v="6.0666666667093523"/>
    <n v="2.573384516972681"/>
    <n v="1240.3713371808321"/>
    <n v="204.45681381957775"/>
    <x v="113"/>
  </r>
  <r>
    <x v="10"/>
    <x v="3"/>
    <n v="52"/>
    <n v="9620"/>
    <d v="2014-04-10T06:30:00"/>
    <d v="2014-04-10T06:58:00"/>
    <n v="0"/>
    <n v="521"/>
    <n v="482"/>
    <s v="Particulate stack emissions (fossil)"/>
    <s v="F790Particulate Matter Testing - Full Load"/>
    <s v="Mill Creek"/>
    <x v="1"/>
    <s v="Coal"/>
    <x v="2"/>
    <x v="1"/>
    <n v="4"/>
    <n v="0.46666666661622003"/>
    <n v="0.46666666661622003"/>
    <n v="224.93333330901805"/>
    <n v="482"/>
    <x v="275"/>
  </r>
  <r>
    <x v="10"/>
    <x v="2"/>
    <n v="53"/>
    <n v="1160"/>
    <d v="2014-04-10T22:00:00"/>
    <d v="2014-04-11T03:30:00"/>
    <n v="300"/>
    <n v="521"/>
    <n v="482"/>
    <s v="First reheater B"/>
    <s v="F320Boiler Deslag - First ReheaterFull Load Available as Needed"/>
    <s v="Mill Creek"/>
    <x v="0"/>
    <s v="Coal"/>
    <x v="2"/>
    <x v="1"/>
    <n v="4"/>
    <n v="5.5000000001164153"/>
    <n v="2.3330134357499572"/>
    <n v="1124.5124760314793"/>
    <n v="204.45681381957775"/>
    <x v="113"/>
  </r>
  <r>
    <x v="10"/>
    <x v="3"/>
    <n v="54"/>
    <n v="9620"/>
    <d v="2014-04-11T07:00:00"/>
    <d v="2014-04-11T12:39:00"/>
    <n v="0"/>
    <n v="521"/>
    <n v="482"/>
    <s v="Particulate stack emissions (fossil)"/>
    <s v="F790Particulate Matter Testing - Full Load"/>
    <s v="Mill Creek"/>
    <x v="1"/>
    <s v="Coal"/>
    <x v="2"/>
    <x v="1"/>
    <n v="4"/>
    <n v="5.6500000000814907"/>
    <n v="5.6500000000814907"/>
    <n v="2723.3000000392785"/>
    <n v="482"/>
    <x v="275"/>
  </r>
  <r>
    <x v="10"/>
    <x v="0"/>
    <n v="55"/>
    <n v="310"/>
    <d v="2014-04-11T12:39:00"/>
    <d v="2014-04-11T15:52:00"/>
    <n v="450"/>
    <n v="521"/>
    <n v="482"/>
    <s v="Pulverizer mills"/>
    <s v="F5904A Coal Mill - Repair A5 Conduit Coal Sample Port"/>
    <s v="Mill Creek"/>
    <x v="0"/>
    <s v="Coal"/>
    <x v="2"/>
    <x v="1"/>
    <n v="4"/>
    <n v="3.2166666666744277"/>
    <n v="0.43835572616868401"/>
    <n v="211.28746001330569"/>
    <n v="65.685220729366605"/>
    <x v="244"/>
  </r>
  <r>
    <x v="10"/>
    <x v="3"/>
    <n v="56"/>
    <n v="9620"/>
    <d v="2014-04-11T15:52:00"/>
    <d v="2014-04-11T16:14:00"/>
    <n v="0"/>
    <n v="521"/>
    <n v="482"/>
    <s v="Particulate stack emissions (fossil)"/>
    <s v="F790Particulate Matter Testing - Full Load"/>
    <s v="Mill Creek"/>
    <x v="1"/>
    <s v="Coal"/>
    <x v="2"/>
    <x v="1"/>
    <n v="4"/>
    <n v="0.36666666663950309"/>
    <n v="0.36666666663950309"/>
    <n v="176.73333332024049"/>
    <n v="482"/>
    <x v="275"/>
  </r>
  <r>
    <x v="10"/>
    <x v="2"/>
    <n v="57"/>
    <n v="1160"/>
    <d v="2014-04-11T22:25:00"/>
    <d v="2014-04-12T04:15:00"/>
    <n v="300"/>
    <n v="521"/>
    <n v="482"/>
    <s v="First reheater B"/>
    <s v="F320Boiler Deslag - First ReheaterFull Load Available as Needed"/>
    <s v="Mill Creek"/>
    <x v="0"/>
    <s v="Coal"/>
    <x v="2"/>
    <x v="1"/>
    <n v="4"/>
    <n v="5.8333333333139308"/>
    <n v="2.4744081893711685"/>
    <n v="1192.6647472769032"/>
    <n v="204.45681381957775"/>
    <x v="113"/>
  </r>
  <r>
    <x v="10"/>
    <x v="0"/>
    <n v="58"/>
    <n v="4309"/>
    <d v="2014-04-12T15:36:00"/>
    <d v="2014-04-12T17:30:00"/>
    <n v="365"/>
    <n v="521"/>
    <n v="482"/>
    <s v="Other turbine instrument and control problems"/>
    <s v="F400Turbine EHC Control Issue - Primary Air Fan Flow"/>
    <s v="Mill Creek"/>
    <x v="0"/>
    <s v="Coal"/>
    <x v="2"/>
    <x v="1"/>
    <n v="4"/>
    <n v="1.8999999999068677"/>
    <n v="0.5689059500680832"/>
    <n v="274.21266793281609"/>
    <n v="144.32245681381957"/>
    <x v="250"/>
  </r>
  <r>
    <x v="10"/>
    <x v="2"/>
    <n v="59"/>
    <n v="1160"/>
    <d v="2014-04-12T21:15:00"/>
    <d v="2014-04-13T04:00:00"/>
    <n v="325"/>
    <n v="521"/>
    <n v="482"/>
    <s v="First reheater B"/>
    <s v="F320Boiler Deslag - First ReheaterFull Load Available as Needed"/>
    <s v="Mill Creek"/>
    <x v="0"/>
    <s v="Coal"/>
    <x v="2"/>
    <x v="1"/>
    <n v="4"/>
    <n v="6.75"/>
    <n v="2.5393474088291748"/>
    <n v="1223.9654510556622"/>
    <n v="181.32821497120921"/>
    <x v="269"/>
  </r>
  <r>
    <x v="10"/>
    <x v="5"/>
    <n v="60"/>
    <n v="4309"/>
    <d v="2014-04-13T16:27:00"/>
    <d v="2014-04-13T18:03:00"/>
    <n v="0"/>
    <n v="521"/>
    <n v="482"/>
    <s v="Other turbine instrument and control problems"/>
    <s v="F400Turbine EHC Control Issue - Lost All Feeders"/>
    <s v="Mill Creek"/>
    <x v="3"/>
    <s v="Coal"/>
    <x v="2"/>
    <x v="1"/>
    <n v="4"/>
    <n v="1.5999999999767169"/>
    <n v="1.5999999999767169"/>
    <n v="771.19999998877756"/>
    <n v="482"/>
    <x v="275"/>
  </r>
  <r>
    <x v="10"/>
    <x v="3"/>
    <n v="61"/>
    <n v="1850"/>
    <d v="2014-04-13T18:03:00"/>
    <d v="2014-04-14T02:20:00"/>
    <n v="0"/>
    <n v="521"/>
    <n v="482"/>
    <s v="Boiler water condition (not feedwater water quality)"/>
    <s v="F170High Silica @ Very Hot Start Up"/>
    <s v="Mill Creek"/>
    <x v="1"/>
    <s v="Coal"/>
    <x v="2"/>
    <x v="1"/>
    <n v="4"/>
    <n v="8.2833333332673647"/>
    <n v="8.2833333332673647"/>
    <n v="3992.5666666348698"/>
    <n v="482"/>
    <x v="275"/>
  </r>
  <r>
    <x v="10"/>
    <x v="0"/>
    <n v="62"/>
    <n v="1850"/>
    <d v="2014-04-14T02:20:00"/>
    <d v="2014-04-14T05:19:00"/>
    <n v="400"/>
    <n v="521"/>
    <n v="482"/>
    <s v="Boiler water condition (not feedwater water quality)"/>
    <s v="F170High Silica"/>
    <s v="Mill Creek"/>
    <x v="0"/>
    <s v="Coal"/>
    <x v="2"/>
    <x v="1"/>
    <n v="4"/>
    <n v="2.9833333334536292"/>
    <n v="0.69286628281744556"/>
    <n v="333.96154831800874"/>
    <n v="111.94241842610364"/>
    <x v="38"/>
  </r>
  <r>
    <x v="10"/>
    <x v="0"/>
    <n v="63"/>
    <n v="3412"/>
    <d v="2014-04-14T07:30:00"/>
    <d v="2014-04-14T09:41:00"/>
    <n v="500"/>
    <n v="521"/>
    <n v="482"/>
    <s v="Feedwater pump drive - steam turbine"/>
    <s v="F400Turbine Driven Boiler Feed Pump - Feed Water Flow Issue"/>
    <s v="Mill Creek"/>
    <x v="0"/>
    <s v="Coal"/>
    <x v="2"/>
    <x v="1"/>
    <n v="4"/>
    <n v="2.1833333332906477"/>
    <n v="8.8003838769872555E-2"/>
    <n v="42.417850287078572"/>
    <n v="19.428023032629557"/>
    <x v="54"/>
  </r>
  <r>
    <x v="10"/>
    <x v="2"/>
    <n v="64"/>
    <n v="310"/>
    <d v="2014-04-17T22:00:00"/>
    <d v="2014-04-18T03:25:00"/>
    <n v="430"/>
    <n v="521"/>
    <n v="482"/>
    <s v="Pulverizer mills"/>
    <s v="F5304C Coal Mill - Inspection"/>
    <s v="Mill Creek"/>
    <x v="0"/>
    <s v="Coal"/>
    <x v="2"/>
    <x v="1"/>
    <n v="4"/>
    <n v="5.4166666666860692"/>
    <n v="0.94609724888374724"/>
    <n v="456.01887396196616"/>
    <n v="84.188099808061423"/>
    <x v="136"/>
  </r>
  <r>
    <x v="10"/>
    <x v="0"/>
    <n v="65"/>
    <n v="250"/>
    <d v="2014-04-18T09:20:00"/>
    <d v="2014-04-18T21:30:00"/>
    <n v="420"/>
    <n v="521"/>
    <n v="482"/>
    <s v="Pulverizer feeders"/>
    <s v="F0904C Coal Feeder - Calibration4C Coal Mill - Classifiers Blade Brackets Correction"/>
    <s v="Mill Creek"/>
    <x v="0"/>
    <s v="Coal"/>
    <x v="2"/>
    <x v="1"/>
    <n v="4"/>
    <n v="12.166666666686069"/>
    <n v="2.3586052463249385"/>
    <n v="1136.8477287286203"/>
    <n v="93.439539347408825"/>
    <x v="129"/>
  </r>
  <r>
    <x v="10"/>
    <x v="3"/>
    <n v="66"/>
    <n v="1160"/>
    <d v="2014-04-20T21:25:00"/>
    <d v="2014-04-21T03:00:00"/>
    <n v="0"/>
    <n v="521"/>
    <n v="482"/>
    <s v="First reheater B"/>
    <s v="F320Boiler Deslag - First ReheaterFull Load Available as Needed"/>
    <s v="Mill Creek"/>
    <x v="1"/>
    <s v="Coal"/>
    <x v="2"/>
    <x v="1"/>
    <n v="4"/>
    <n v="5.5833333333721384"/>
    <n v="5.5833333333721384"/>
    <n v="2691.1666666853707"/>
    <n v="482"/>
    <x v="275"/>
  </r>
  <r>
    <x v="10"/>
    <x v="2"/>
    <n v="67"/>
    <n v="350"/>
    <d v="2014-04-21T23:00:00"/>
    <d v="2014-04-22T00:23:00"/>
    <n v="420"/>
    <n v="521"/>
    <n v="482"/>
    <s v="Pulverized fuel and air piping (from pulverizer to wind box)"/>
    <s v="F5304C Raw Coal Conduit to Mill - Inspection"/>
    <s v="Mill Creek"/>
    <x v="0"/>
    <s v="Coal"/>
    <x v="2"/>
    <x v="1"/>
    <n v="4"/>
    <n v="1.3833333333022892"/>
    <n v="0.26817018553460886"/>
    <n v="129.25802942768146"/>
    <n v="93.439539347408825"/>
    <x v="129"/>
  </r>
  <r>
    <x v="10"/>
    <x v="2"/>
    <n v="68"/>
    <n v="310"/>
    <d v="2014-04-22T22:00:00"/>
    <d v="2014-04-23T04:00:00"/>
    <n v="430"/>
    <n v="521"/>
    <n v="482"/>
    <s v="Pulverizer mills"/>
    <s v="F5304C Coal Mill - Inspection"/>
    <s v="Mill Creek"/>
    <x v="0"/>
    <s v="Coal"/>
    <x v="2"/>
    <x v="1"/>
    <n v="4"/>
    <n v="6"/>
    <n v="1.0479846449136276"/>
    <n v="505.12859884836854"/>
    <n v="84.188099808061423"/>
    <x v="136"/>
  </r>
  <r>
    <x v="10"/>
    <x v="0"/>
    <n v="69"/>
    <n v="310"/>
    <d v="2014-04-23T04:00:00"/>
    <d v="2014-04-23T10:15:00"/>
    <n v="430"/>
    <n v="521"/>
    <n v="482"/>
    <s v="Pulverizer mills"/>
    <s v="F1204C Coal Mill - Classifier Plugged"/>
    <s v="Mill Creek"/>
    <x v="0"/>
    <s v="Coal"/>
    <x v="2"/>
    <x v="1"/>
    <n v="4"/>
    <n v="6.2500000001164153"/>
    <n v="1.0916506718053625"/>
    <n v="526.17562381018467"/>
    <n v="84.188099808061423"/>
    <x v="136"/>
  </r>
  <r>
    <x v="10"/>
    <x v="0"/>
    <n v="70"/>
    <n v="310"/>
    <d v="2014-04-23T10:15:00"/>
    <d v="2014-04-23T12:20:00"/>
    <n v="512"/>
    <n v="521"/>
    <n v="482"/>
    <s v="Pulverizer mills"/>
    <s v="F1204C Coal Mill - Classifier Plugged ( Gas In)"/>
    <s v="Mill Creek"/>
    <x v="0"/>
    <s v="Coal"/>
    <x v="2"/>
    <x v="1"/>
    <n v="4"/>
    <n v="2.0833333333139308"/>
    <n v="3.598848368488556E-2"/>
    <n v="17.346449136114838"/>
    <n v="8.3262955854126677"/>
    <x v="1"/>
  </r>
  <r>
    <x v="10"/>
    <x v="3"/>
    <n v="71"/>
    <n v="1160"/>
    <d v="2014-04-26T22:00:00"/>
    <d v="2014-04-27T07:30:00"/>
    <n v="0"/>
    <n v="521"/>
    <n v="482"/>
    <s v="First reheater B"/>
    <s v="F320Boiler Deslag - First ReheaterFull Load Available as Needed"/>
    <s v="Mill Creek"/>
    <x v="1"/>
    <s v="Coal"/>
    <x v="2"/>
    <x v="1"/>
    <n v="4"/>
    <n v="9.5000000000582077"/>
    <n v="9.5000000000582077"/>
    <n v="4579.0000000280561"/>
    <n v="482"/>
    <x v="275"/>
  </r>
  <r>
    <x v="10"/>
    <x v="0"/>
    <n v="72"/>
    <n v="3149"/>
    <d v="2014-04-27T14:00:00"/>
    <d v="2014-04-27T16:00:00"/>
    <n v="475"/>
    <n v="521"/>
    <n v="482"/>
    <s v="Loss of vacuum not attributable to a particular component such as air ejectors or valves; or"/>
    <s v="F660High Back Pressure - Cooling Tower Fan Issues"/>
    <s v="Mill Creek"/>
    <x v="0"/>
    <s v="Coal"/>
    <x v="2"/>
    <x v="1"/>
    <n v="4"/>
    <n v="1.9999999998835847"/>
    <n v="0.1765834932718712"/>
    <n v="85.113243757041914"/>
    <n v="42.55662188099808"/>
    <x v="82"/>
  </r>
  <r>
    <x v="10"/>
    <x v="0"/>
    <n v="73"/>
    <n v="3149"/>
    <d v="2014-04-27T16:00:00"/>
    <d v="2014-04-28T05:53:00"/>
    <n v="500"/>
    <n v="521"/>
    <n v="482"/>
    <s v="Loss of vacuum not attributable to a particular component such as air ejectors or valves; or"/>
    <s v="F660High Back Pressure - Cooling Tower Fan Issues"/>
    <s v="Mill Creek"/>
    <x v="0"/>
    <s v="Coal"/>
    <x v="2"/>
    <x v="1"/>
    <n v="4"/>
    <n v="13.883333333360497"/>
    <n v="0.55959692898382041"/>
    <n v="269.72571977020141"/>
    <n v="19.428023032629557"/>
    <x v="54"/>
  </r>
  <r>
    <x v="10"/>
    <x v="0"/>
    <n v="74"/>
    <n v="3149"/>
    <d v="2014-04-28T05:53:00"/>
    <d v="2014-04-28T08:31:00"/>
    <n v="510"/>
    <n v="521"/>
    <n v="482"/>
    <s v="Loss of vacuum not attributable to a particular component such as air ejectors or valves; or"/>
    <s v="F660High Back Pressure - Cooling Tower Fan Issues"/>
    <s v="Mill Creek"/>
    <x v="0"/>
    <s v="Coal"/>
    <x v="2"/>
    <x v="1"/>
    <n v="4"/>
    <n v="2.6333333333604969"/>
    <n v="5.559820857383007E-2"/>
    <n v="26.798336532586095"/>
    <n v="10.17658349328215"/>
    <x v="182"/>
  </r>
  <r>
    <x v="10"/>
    <x v="0"/>
    <n v="75"/>
    <n v="3149"/>
    <d v="2014-04-28T09:50:00"/>
    <d v="2014-04-28T13:34:00"/>
    <n v="495"/>
    <n v="521"/>
    <n v="482"/>
    <s v="Loss of vacuum not attributable to a particular component such as air ejectors or valves; or"/>
    <s v="F660High Back Pressure - Cooling Tower Fan Issues"/>
    <s v="Mill Creek"/>
    <x v="0"/>
    <s v="Coal"/>
    <x v="2"/>
    <x v="1"/>
    <n v="4"/>
    <n v="3.7333333334536292"/>
    <n v="0.1863083813239815"/>
    <n v="89.800639798159082"/>
    <n v="24.053742802303262"/>
    <x v="107"/>
  </r>
  <r>
    <x v="10"/>
    <x v="2"/>
    <n v="76"/>
    <n v="1160"/>
    <d v="2014-04-28T23:00:00"/>
    <d v="2014-04-29T05:00:00"/>
    <n v="330"/>
    <n v="521"/>
    <n v="482"/>
    <s v="First reheater B"/>
    <s v="F320Boiler Deslag - First ReheaterFull Load Available as Needed"/>
    <s v="Mill Creek"/>
    <x v="0"/>
    <s v="Coal"/>
    <x v="2"/>
    <x v="1"/>
    <n v="4"/>
    <n v="6"/>
    <n v="2.1996161228406912"/>
    <n v="1060.2149712092132"/>
    <n v="176.7024952015355"/>
    <x v="84"/>
  </r>
  <r>
    <x v="10"/>
    <x v="2"/>
    <n v="77"/>
    <n v="1160"/>
    <d v="2014-04-29T23:00:00"/>
    <d v="2014-04-30T01:13:00"/>
    <n v="325"/>
    <n v="521"/>
    <n v="482"/>
    <s v="First reheater B"/>
    <s v="F320Boiler Deslag - First ReheaterFull Load Available as Needed"/>
    <s v="Mill Creek"/>
    <x v="0"/>
    <s v="Coal"/>
    <x v="2"/>
    <x v="1"/>
    <n v="4"/>
    <n v="2.2166666665580124"/>
    <n v="0.8339091490314211"/>
    <n v="401.94420983314495"/>
    <n v="181.32821497120921"/>
    <x v="269"/>
  </r>
  <r>
    <x v="10"/>
    <x v="3"/>
    <n v="78"/>
    <n v="1160"/>
    <d v="2014-04-30T23:00:00"/>
    <d v="2014-05-01T05:00:00"/>
    <n v="0"/>
    <n v="521"/>
    <n v="482"/>
    <s v="First reheater B"/>
    <s v="F320Boiler Deslag - First ReheaterFull Load Available as Needed"/>
    <s v="Mill Creek"/>
    <x v="1"/>
    <s v="Coal"/>
    <x v="2"/>
    <x v="1"/>
    <n v="4"/>
    <n v="6"/>
    <n v="6"/>
    <n v="2892"/>
    <n v="482"/>
    <x v="275"/>
  </r>
  <r>
    <x v="10"/>
    <x v="3"/>
    <n v="79"/>
    <n v="1160"/>
    <d v="2014-05-01T22:15:00"/>
    <d v="2014-05-02T04:00:00"/>
    <n v="0"/>
    <n v="521"/>
    <n v="482"/>
    <s v="First reheater B"/>
    <s v="F320Boiler Deslag - First ReheaterFull Load Available as Needed"/>
    <s v="Mill Creek"/>
    <x v="1"/>
    <s v="Coal"/>
    <x v="2"/>
    <x v="1"/>
    <n v="5"/>
    <n v="5.7499999998835847"/>
    <n v="5.7499999998835847"/>
    <n v="2771.4999999438878"/>
    <n v="482"/>
    <x v="275"/>
  </r>
  <r>
    <x v="10"/>
    <x v="3"/>
    <n v="80"/>
    <n v="1160"/>
    <d v="2014-05-02T22:45:00"/>
    <d v="2014-05-03T02:39:00"/>
    <n v="0"/>
    <n v="521"/>
    <n v="482"/>
    <s v="First reheater B"/>
    <s v="F320Boiler Deslag - First Reheater Full Load Available as Needed"/>
    <s v="Mill Creek"/>
    <x v="1"/>
    <s v="Coal"/>
    <x v="2"/>
    <x v="1"/>
    <n v="5"/>
    <n v="3.9000000001396984"/>
    <n v="3.9000000001396984"/>
    <n v="1879.8000000673346"/>
    <n v="482"/>
    <x v="275"/>
  </r>
  <r>
    <x v="10"/>
    <x v="0"/>
    <n v="81"/>
    <n v="360"/>
    <d v="2014-05-06T14:55:00"/>
    <d v="2014-05-06T22:00:00"/>
    <n v="420"/>
    <n v="521"/>
    <n v="482"/>
    <s v="Burners"/>
    <s v="F7804B Mill - 4B6 Coal Burner High Temperature"/>
    <s v="Mill Creek"/>
    <x v="0"/>
    <s v="Coal"/>
    <x v="2"/>
    <x v="1"/>
    <n v="5"/>
    <n v="7.0833333331975155"/>
    <n v="1.3731605885853149"/>
    <n v="661.86340369812172"/>
    <n v="93.439539347408825"/>
    <x v="129"/>
  </r>
  <r>
    <x v="10"/>
    <x v="0"/>
    <n v="82"/>
    <n v="360"/>
    <d v="2014-05-07T06:40:00"/>
    <d v="2014-05-07T11:10:00"/>
    <n v="420"/>
    <n v="521"/>
    <n v="482"/>
    <s v="Burners"/>
    <s v="F5904B Mill - 4B6 Coal Burner Install Blank"/>
    <s v="Mill Creek"/>
    <x v="0"/>
    <s v="Coal"/>
    <x v="2"/>
    <x v="1"/>
    <n v="5"/>
    <n v="4.5"/>
    <n v="0.87236084452975049"/>
    <n v="420.47792706333973"/>
    <n v="93.439539347408825"/>
    <x v="129"/>
  </r>
  <r>
    <x v="10"/>
    <x v="0"/>
    <n v="83"/>
    <n v="3149"/>
    <d v="2014-05-12T09:10:00"/>
    <d v="2014-05-12T17:40:00"/>
    <n v="500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8.4999999999417923"/>
    <n v="0.34261036468095518"/>
    <n v="165.13819577622039"/>
    <n v="19.428023032629557"/>
    <x v="54"/>
  </r>
  <r>
    <x v="10"/>
    <x v="0"/>
    <n v="84"/>
    <n v="3149"/>
    <d v="2014-05-12T17:40:00"/>
    <d v="2014-05-12T20:49:00"/>
    <n v="512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3.1499999999650754"/>
    <n v="5.4414587331450437E-2"/>
    <n v="26.227831093759111"/>
    <n v="8.3262955854126677"/>
    <x v="1"/>
  </r>
  <r>
    <x v="10"/>
    <x v="2"/>
    <n v="85"/>
    <n v="310"/>
    <d v="2014-05-12T22:28:00"/>
    <d v="2014-05-13T03:58:00"/>
    <n v="420"/>
    <n v="521"/>
    <n v="482"/>
    <s v="Pulverizer mills"/>
    <s v="F5904A Coal Mill - Clean Pitot Tubes &amp; Repair Swing Valves"/>
    <s v="Mill Creek"/>
    <x v="0"/>
    <s v="Coal"/>
    <x v="2"/>
    <x v="1"/>
    <n v="5"/>
    <n v="5.4999999999417923"/>
    <n v="1.0662188099695222"/>
    <n v="513.91746640530971"/>
    <n v="93.439539347408825"/>
    <x v="129"/>
  </r>
  <r>
    <x v="10"/>
    <x v="0"/>
    <n v="86"/>
    <n v="3149"/>
    <d v="2014-05-13T12:30:00"/>
    <d v="2014-05-14T06:15:00"/>
    <n v="510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17.749999999883585"/>
    <n v="0.37476007677297396"/>
    <n v="180.63435700457345"/>
    <n v="10.17658349328215"/>
    <x v="182"/>
  </r>
  <r>
    <x v="10"/>
    <x v="2"/>
    <n v="87"/>
    <n v="300"/>
    <d v="2014-05-13T22:11:00"/>
    <d v="2014-05-14T00:01:00"/>
    <n v="425"/>
    <n v="521"/>
    <n v="482"/>
    <s v="Pulverizer motors and drives"/>
    <s v="F5904B Coal Mill Motor Stator Temperature - RTD Change Out"/>
    <s v="Mill Creek"/>
    <x v="0"/>
    <s v="Coal"/>
    <x v="2"/>
    <x v="1"/>
    <n v="5"/>
    <n v="1.8333333333721384"/>
    <n v="0.33781190019908885"/>
    <n v="162.82533589596082"/>
    <n v="88.813819577735131"/>
    <x v="145"/>
  </r>
  <r>
    <x v="10"/>
    <x v="2"/>
    <n v="88"/>
    <n v="3412"/>
    <d v="2014-05-14T23:38:00"/>
    <d v="2014-05-15T08:18:00"/>
    <n v="140"/>
    <n v="521"/>
    <n v="482"/>
    <s v="Feedwater pump drive - steam turbine"/>
    <s v="F590Turbine Driven Boiler Feed Pump - Replace Suction Safety"/>
    <s v="Mill Creek"/>
    <x v="0"/>
    <s v="Coal"/>
    <x v="2"/>
    <x v="1"/>
    <n v="5"/>
    <n v="8.6666666666278616"/>
    <n v="6.3378119001635609"/>
    <n v="3054.8253358788365"/>
    <n v="352.47984644913629"/>
    <x v="285"/>
  </r>
  <r>
    <x v="10"/>
    <x v="0"/>
    <n v="89"/>
    <n v="1710"/>
    <d v="2014-05-20T14:25:00"/>
    <d v="2014-05-22T08:21:00"/>
    <n v="510"/>
    <n v="521"/>
    <n v="482"/>
    <s v="Combustion/steam condition controls (report local controls --- burners"/>
    <s v="F400Max Steam Flow Issue"/>
    <s v="Mill Creek"/>
    <x v="0"/>
    <s v="Coal"/>
    <x v="2"/>
    <x v="1"/>
    <n v="5"/>
    <n v="41.933333333290648"/>
    <n v="0.88534868841880443"/>
    <n v="426.73806781786374"/>
    <n v="10.17658349328215"/>
    <x v="182"/>
  </r>
  <r>
    <x v="10"/>
    <x v="0"/>
    <n v="90"/>
    <n v="3149"/>
    <d v="2014-05-21T13:33:00"/>
    <d v="2014-05-21T21:18:00"/>
    <n v="495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7.7499999999417923"/>
    <n v="0.38675623800093395"/>
    <n v="186.41650671645016"/>
    <n v="24.053742802303262"/>
    <x v="107"/>
  </r>
  <r>
    <x v="10"/>
    <x v="0"/>
    <n v="91"/>
    <n v="1710"/>
    <d v="2014-05-22T08:21:00"/>
    <d v="2014-05-22T08:43:00"/>
    <n v="513"/>
    <n v="521"/>
    <n v="482"/>
    <s v="Combustion/steam condition controls (report local controls --- burners"/>
    <s v="F400Max Steam Flow Issue"/>
    <s v="Mill Creek"/>
    <x v="0"/>
    <s v="Coal"/>
    <x v="2"/>
    <x v="1"/>
    <n v="5"/>
    <n v="0.36666666663950309"/>
    <n v="5.6301983361152106E-3"/>
    <n v="2.7137555980075314"/>
    <n v="7.4011516314779273"/>
    <x v="13"/>
  </r>
  <r>
    <x v="10"/>
    <x v="0"/>
    <n v="92"/>
    <n v="3149"/>
    <d v="2014-05-22T13:34:00"/>
    <d v="2014-05-23T05:56:00"/>
    <n v="508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16.366666666581295"/>
    <n v="0.40838131797611676"/>
    <n v="196.83979526448829"/>
    <n v="12.026871401151631"/>
    <x v="24"/>
  </r>
  <r>
    <x v="10"/>
    <x v="0"/>
    <n v="93"/>
    <n v="250"/>
    <d v="2014-05-23T05:56:00"/>
    <d v="2014-05-23T06:20:00"/>
    <n v="460"/>
    <n v="521"/>
    <n v="482"/>
    <s v="Pulverizer feeders"/>
    <s v="F1204B Coal Feeder - Plugged Foreign Material"/>
    <s v="Mill Creek"/>
    <x v="0"/>
    <s v="Coal"/>
    <x v="2"/>
    <x v="1"/>
    <n v="5"/>
    <n v="0.40000000008149073"/>
    <n v="4.6833013445241718E-2"/>
    <n v="22.573512480606507"/>
    <n v="56.433781190019197"/>
    <x v="123"/>
  </r>
  <r>
    <x v="10"/>
    <x v="0"/>
    <n v="94"/>
    <n v="250"/>
    <d v="2014-05-23T06:20:00"/>
    <d v="2014-05-23T07:52:00"/>
    <n v="440"/>
    <n v="521"/>
    <n v="482"/>
    <s v="Pulverizer feeders"/>
    <s v="F1204B Coal Feeder - Plugged Foreign Material"/>
    <s v="Mill Creek"/>
    <x v="0"/>
    <s v="Coal"/>
    <x v="2"/>
    <x v="1"/>
    <n v="5"/>
    <n v="1.5333333332673647"/>
    <n v="0.23838771592064595"/>
    <n v="114.90287907375135"/>
    <n v="74.936660268714007"/>
    <x v="34"/>
  </r>
  <r>
    <x v="10"/>
    <x v="0"/>
    <n v="95"/>
    <n v="3149"/>
    <d v="2014-05-26T16:45:00"/>
    <d v="2014-05-27T22:30:00"/>
    <n v="495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29.750000000058208"/>
    <n v="1.484644913630544"/>
    <n v="715.59884836992217"/>
    <n v="24.053742802303262"/>
    <x v="107"/>
  </r>
  <r>
    <x v="10"/>
    <x v="0"/>
    <n v="96"/>
    <n v="1710"/>
    <d v="2014-05-27T08:35:00"/>
    <d v="2014-05-27T12:07:00"/>
    <n v="510"/>
    <n v="521"/>
    <n v="482"/>
    <s v="Combustion/steam condition controls (report local controls --- burners"/>
    <s v="F400Max Steam Flow Issues"/>
    <s v="Mill Creek"/>
    <x v="0"/>
    <s v="Coal"/>
    <x v="2"/>
    <x v="1"/>
    <n v="5"/>
    <n v="3.5333333333255723"/>
    <n v="7.4600127958889248E-2"/>
    <n v="35.957261676184615"/>
    <n v="10.17658349328215"/>
    <x v="182"/>
  </r>
  <r>
    <x v="10"/>
    <x v="0"/>
    <n v="97"/>
    <n v="3149"/>
    <d v="2014-05-27T12:07:00"/>
    <d v="2014-05-27T17:09:00"/>
    <n v="495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5.0333333333255723"/>
    <n v="0.2511836212408155"/>
    <n v="121.07050543807307"/>
    <n v="24.053742802303262"/>
    <x v="107"/>
  </r>
  <r>
    <x v="10"/>
    <x v="0"/>
    <n v="98"/>
    <n v="3149"/>
    <d v="2014-05-27T17:09:00"/>
    <d v="2014-05-27T18:21:00"/>
    <n v="510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1.1999999998952262"/>
    <n v="2.5335892512183281E-2"/>
    <n v="12.211900190872342"/>
    <n v="10.17658349328215"/>
    <x v="182"/>
  </r>
  <r>
    <x v="10"/>
    <x v="0"/>
    <n v="99"/>
    <n v="3149"/>
    <d v="2014-05-27T18:21:00"/>
    <d v="2014-05-27T21:26:00"/>
    <n v="495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3.0833333334303461"/>
    <n v="0.15387076136120728"/>
    <n v="74.165706976101916"/>
    <n v="24.053742802303262"/>
    <x v="107"/>
  </r>
  <r>
    <x v="10"/>
    <x v="0"/>
    <n v="100"/>
    <n v="1710"/>
    <d v="2014-05-27T21:26:00"/>
    <d v="2014-05-28T11:39:00"/>
    <n v="510"/>
    <n v="521"/>
    <n v="482"/>
    <s v="Combustion/steam condition controls (report local controls --- burners"/>
    <s v="F400Max Steam Flow Issues"/>
    <s v="Mill Creek"/>
    <x v="0"/>
    <s v="Coal"/>
    <x v="2"/>
    <x v="1"/>
    <n v="5"/>
    <n v="14.216666666732635"/>
    <n v="0.30015994881777158"/>
    <n v="144.67709533016591"/>
    <n v="10.17658349328215"/>
    <x v="182"/>
  </r>
  <r>
    <x v="10"/>
    <x v="0"/>
    <n v="101"/>
    <n v="3149"/>
    <d v="2014-05-28T11:39:00"/>
    <d v="2014-05-28T15:03:00"/>
    <n v="495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3.3999999999068677"/>
    <n v="0.16967370440993965"/>
    <n v="81.782725525590905"/>
    <n v="24.053742802303262"/>
    <x v="107"/>
  </r>
  <r>
    <x v="10"/>
    <x v="0"/>
    <n v="102"/>
    <n v="3149"/>
    <d v="2014-05-28T15:03:00"/>
    <d v="2014-05-28T15:53:00"/>
    <n v="502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0.8333333334303461"/>
    <n v="3.0390275115502064E-2"/>
    <n v="14.648112605671995"/>
    <n v="17.577735124760078"/>
    <x v="5"/>
  </r>
  <r>
    <x v="10"/>
    <x v="0"/>
    <n v="103"/>
    <n v="3149"/>
    <d v="2014-05-28T15:53:00"/>
    <d v="2014-05-28T17:01:00"/>
    <n v="492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1.1333333331858739"/>
    <n v="6.3083813171574563E-2"/>
    <n v="30.406397948698938"/>
    <n v="26.829174664107487"/>
    <x v="6"/>
  </r>
  <r>
    <x v="10"/>
    <x v="0"/>
    <n v="104"/>
    <n v="3149"/>
    <d v="2014-05-28T17:01:00"/>
    <d v="2014-05-29T07:29:00"/>
    <n v="473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14.466666666674428"/>
    <n v="1.3328214971216363"/>
    <n v="642.41996161262875"/>
    <n v="44.406909788867566"/>
    <x v="176"/>
  </r>
  <r>
    <x v="10"/>
    <x v="0"/>
    <n v="105"/>
    <n v="1710"/>
    <d v="2014-05-29T07:29:00"/>
    <d v="2014-05-29T13:18:00"/>
    <n v="515"/>
    <n v="521"/>
    <n v="482"/>
    <s v="Combustion/steam condition controls (report local controls --- burners"/>
    <s v="F400Max Steam Flow Issue"/>
    <s v="Mill Creek"/>
    <x v="0"/>
    <s v="Coal"/>
    <x v="2"/>
    <x v="1"/>
    <n v="5"/>
    <n v="5.8166666667675599"/>
    <n v="6.6986564300586096E-2"/>
    <n v="32.287523992882498"/>
    <n v="5.5508637236084457"/>
    <x v="151"/>
  </r>
  <r>
    <x v="10"/>
    <x v="0"/>
    <n v="106"/>
    <n v="3149"/>
    <d v="2014-05-29T13:18:00"/>
    <d v="2014-05-29T15:54:00"/>
    <n v="505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2.5999999999185093"/>
    <n v="7.9846449133773797E-2"/>
    <n v="38.485988482478973"/>
    <n v="14.802303262955855"/>
    <x v="169"/>
  </r>
  <r>
    <x v="10"/>
    <x v="0"/>
    <n v="107"/>
    <n v="3149"/>
    <d v="2014-05-29T15:54:00"/>
    <d v="2014-05-30T08:27:00"/>
    <n v="492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16.549999999988358"/>
    <n v="0.92120921305117542"/>
    <n v="444.02284069066656"/>
    <n v="26.829174664107487"/>
    <x v="6"/>
  </r>
  <r>
    <x v="10"/>
    <x v="0"/>
    <n v="108"/>
    <n v="1710"/>
    <d v="2014-05-30T08:27:00"/>
    <d v="2014-05-30T09:39:00"/>
    <n v="506"/>
    <n v="521"/>
    <n v="482"/>
    <s v="Combustion/steam condition controls (report local controls --- burners"/>
    <s v="F400Max Steam Flow Issue"/>
    <s v="Mill Creek"/>
    <x v="0"/>
    <s v="Coal"/>
    <x v="2"/>
    <x v="1"/>
    <n v="5"/>
    <n v="1.2000000000698492"/>
    <n v="3.4548944339822911E-2"/>
    <n v="16.652591171794644"/>
    <n v="13.877159309021113"/>
    <x v="61"/>
  </r>
  <r>
    <x v="10"/>
    <x v="0"/>
    <n v="109"/>
    <n v="3149"/>
    <d v="2014-05-30T09:39:00"/>
    <d v="2014-05-30T14:50:00"/>
    <n v="495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5.1833333332906477"/>
    <n v="0.25866922584559854"/>
    <n v="124.6785668575785"/>
    <n v="24.053742802303262"/>
    <x v="107"/>
  </r>
  <r>
    <x v="10"/>
    <x v="0"/>
    <n v="110"/>
    <n v="3149"/>
    <d v="2014-05-30T14:50:00"/>
    <d v="2014-05-30T15:09:00"/>
    <n v="490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0.31666666665114462"/>
    <n v="1.884197056849421E-2"/>
    <n v="9.0818298140142097"/>
    <n v="28.679462571976966"/>
    <x v="206"/>
  </r>
  <r>
    <x v="10"/>
    <x v="0"/>
    <n v="111"/>
    <n v="310"/>
    <d v="2014-05-30T15:09:00"/>
    <d v="2014-05-30T17:40:00"/>
    <n v="420"/>
    <n v="521"/>
    <n v="482"/>
    <s v="Pulverizer mills"/>
    <s v="F5904A Coal Mill - Bowl Differential Transmitter Repair"/>
    <s v="Mill Creek"/>
    <x v="0"/>
    <s v="Coal"/>
    <x v="2"/>
    <x v="1"/>
    <n v="5"/>
    <n v="2.5166666666627862"/>
    <n v="0.48787587971773783"/>
    <n v="235.15617402394963"/>
    <n v="93.439539347408825"/>
    <x v="129"/>
  </r>
  <r>
    <x v="10"/>
    <x v="0"/>
    <n v="112"/>
    <n v="3149"/>
    <d v="2014-05-30T17:40:00"/>
    <d v="2014-05-30T22:56:00"/>
    <n v="495"/>
    <n v="521"/>
    <n v="482"/>
    <s v="Loss of vacuum not attributable to a particular component such as air ejectors or valves; or"/>
    <s v="F660High Back Pressure"/>
    <s v="Mill Creek"/>
    <x v="0"/>
    <s v="Coal"/>
    <x v="2"/>
    <x v="1"/>
    <n v="5"/>
    <n v="5.2666666667209938"/>
    <n v="0.26282789507628762"/>
    <n v="126.68304542677063"/>
    <n v="24.053742802303262"/>
    <x v="107"/>
  </r>
  <r>
    <x v="10"/>
    <x v="4"/>
    <n v="113"/>
    <n v="3113"/>
    <d v="2014-05-30T22:56:00"/>
    <d v="2014-06-01T12:39:00"/>
    <n v="0"/>
    <n v="521"/>
    <n v="482"/>
    <s v="Condenser tube and water box cleaning (including circulating water flow reversal)"/>
    <s v="F320Condenser - Clean Water Box Tubesheets"/>
    <s v="Mill Creek"/>
    <x v="2"/>
    <s v="Coal"/>
    <x v="2"/>
    <x v="1"/>
    <n v="5"/>
    <n v="37.716666666674428"/>
    <n v="37.716666666674428"/>
    <n v="18179.433333337074"/>
    <n v="482"/>
    <x v="275"/>
  </r>
  <r>
    <x v="10"/>
    <x v="12"/>
    <n v="114"/>
    <n v="1040"/>
    <d v="2014-06-01T12:39:00"/>
    <d v="2014-06-02T08:03:00"/>
    <n v="0"/>
    <n v="521"/>
    <n v="482"/>
    <s v="First superheater B"/>
    <s v="F540Boiler Tube Leak - First Superheater"/>
    <s v="Mill Creek"/>
    <x v="2"/>
    <s v="Coal"/>
    <x v="2"/>
    <x v="1"/>
    <n v="6"/>
    <n v="19.400000000023283"/>
    <n v="19.400000000023283"/>
    <n v="9350.8000000112224"/>
    <n v="482"/>
    <x v="275"/>
  </r>
  <r>
    <x v="10"/>
    <x v="3"/>
    <n v="115"/>
    <n v="1850"/>
    <d v="2014-06-02T08:03:00"/>
    <d v="2014-06-02T20:10:00"/>
    <n v="0"/>
    <n v="521"/>
    <n v="482"/>
    <s v="Boiler water condition (not feedwater water quality)"/>
    <s v="F170High Silica @ Warm Start Up"/>
    <s v="Mill Creek"/>
    <x v="1"/>
    <s v="Coal"/>
    <x v="2"/>
    <x v="1"/>
    <n v="6"/>
    <n v="12.116666666697711"/>
    <n v="12.116666666697711"/>
    <n v="5840.2333333482966"/>
    <n v="482"/>
    <x v="275"/>
  </r>
  <r>
    <x v="10"/>
    <x v="0"/>
    <n v="116"/>
    <n v="1850"/>
    <d v="2014-06-02T20:10:00"/>
    <d v="2014-06-03T01:49:00"/>
    <n v="455"/>
    <n v="521"/>
    <n v="482"/>
    <s v="Boiler water condition (not feedwater water quality)"/>
    <s v="F170High Silica"/>
    <s v="Mill Creek"/>
    <x v="0"/>
    <s v="Coal"/>
    <x v="2"/>
    <x v="1"/>
    <n v="6"/>
    <n v="5.6499999999068677"/>
    <n v="0.71573896351987187"/>
    <n v="344.98618041657824"/>
    <n v="61.059500959692897"/>
    <x v="131"/>
  </r>
  <r>
    <x v="10"/>
    <x v="0"/>
    <n v="117"/>
    <n v="1850"/>
    <d v="2014-06-03T01:49:00"/>
    <d v="2014-06-03T02:31:00"/>
    <n v="485"/>
    <n v="521"/>
    <n v="482"/>
    <s v="Boiler water condition (not feedwater water quality)"/>
    <s v="F170High Silica"/>
    <s v="Mill Creek"/>
    <x v="0"/>
    <s v="Coal"/>
    <x v="2"/>
    <x v="1"/>
    <n v="6"/>
    <n v="0.70000000001164153"/>
    <n v="4.8368522073741066E-2"/>
    <n v="23.313627639543192"/>
    <n v="33.305182341650671"/>
    <x v="17"/>
  </r>
  <r>
    <x v="10"/>
    <x v="0"/>
    <n v="118"/>
    <n v="1710"/>
    <d v="2014-06-03T12:46:00"/>
    <d v="2014-06-05T13:16:00"/>
    <n v="501"/>
    <n v="521"/>
    <n v="482"/>
    <s v="Combustion/steam condition controls (report local controls --- burners"/>
    <s v="F400Max Steam Flow Issue"/>
    <s v="Mill Creek"/>
    <x v="0"/>
    <s v="Coal"/>
    <x v="2"/>
    <x v="1"/>
    <n v="6"/>
    <n v="48.499999999883585"/>
    <n v="1.8618042226442835"/>
    <n v="897.38963531454465"/>
    <n v="18.502879078694818"/>
    <x v="54"/>
  </r>
  <r>
    <x v="10"/>
    <x v="0"/>
    <n v="119"/>
    <n v="1710"/>
    <d v="2014-06-05T13:16:00"/>
    <d v="2014-06-08T03:25:00"/>
    <n v="510"/>
    <n v="521"/>
    <n v="482"/>
    <s v="Combustion/steam condition controls (report local controls --- burners"/>
    <s v="F400Max Steam Flow Issue"/>
    <s v="Mill Creek"/>
    <x v="0"/>
    <s v="Coal"/>
    <x v="2"/>
    <x v="1"/>
    <n v="6"/>
    <n v="62.150000000023283"/>
    <n v="1.3121880998085531"/>
    <n v="632.47466410772256"/>
    <n v="10.17658349328215"/>
    <x v="182"/>
  </r>
  <r>
    <x v="10"/>
    <x v="5"/>
    <n v="120"/>
    <n v="1060"/>
    <d v="2014-06-08T03:25:00"/>
    <d v="2014-06-09T16:15:00"/>
    <n v="0"/>
    <n v="521"/>
    <n v="482"/>
    <s v="First reheater A"/>
    <s v="F540Boiler Tube Leak - First Reheater"/>
    <s v="Mill Creek"/>
    <x v="3"/>
    <s v="Coal"/>
    <x v="2"/>
    <x v="1"/>
    <n v="6"/>
    <n v="36.833333333430346"/>
    <n v="36.833333333430346"/>
    <n v="17753.666666713427"/>
    <n v="482"/>
    <x v="275"/>
  </r>
  <r>
    <x v="10"/>
    <x v="4"/>
    <n v="121"/>
    <n v="360"/>
    <d v="2014-06-09T16:15:00"/>
    <d v="2014-06-10T18:26:00"/>
    <n v="0"/>
    <n v="521"/>
    <n v="482"/>
    <s v="Burners"/>
    <s v="F530Burner Inspection/Maintenance"/>
    <s v="Mill Creek"/>
    <x v="2"/>
    <s v="Coal"/>
    <x v="2"/>
    <x v="1"/>
    <n v="6"/>
    <n v="26.183333333290648"/>
    <n v="26.183333333290648"/>
    <n v="12620.366666646092"/>
    <n v="482"/>
    <x v="275"/>
  </r>
  <r>
    <x v="10"/>
    <x v="0"/>
    <n v="122"/>
    <n v="1850"/>
    <d v="2014-06-11T06:35:00"/>
    <d v="2014-06-11T07:09:00"/>
    <n v="482"/>
    <n v="521"/>
    <n v="482"/>
    <s v="Boiler water condition (not feedwater water quality)"/>
    <s v="F170High Silica"/>
    <s v="Mill Creek"/>
    <x v="0"/>
    <s v="Coal"/>
    <x v="2"/>
    <x v="1"/>
    <n v="6"/>
    <n v="0.56666666676755995"/>
    <n v="4.2418426111199302E-2"/>
    <n v="20.445681385598064"/>
    <n v="36.080614203454893"/>
    <x v="32"/>
  </r>
  <r>
    <x v="10"/>
    <x v="2"/>
    <n v="123"/>
    <n v="8125"/>
    <d v="2014-06-11T22:00:00"/>
    <d v="2014-06-11T23:41:00"/>
    <n v="380"/>
    <n v="521"/>
    <n v="482"/>
    <s v="Scrubber recycle (liquid) pumps"/>
    <s v="F590FGD Maintenance - Attempt to Install blank in 4A1 Recycle Pump"/>
    <s v="Mill Creek"/>
    <x v="0"/>
    <s v="Coal"/>
    <x v="2"/>
    <x v="1"/>
    <n v="6"/>
    <n v="1.683333333407063"/>
    <n v="0.45556621882993453"/>
    <n v="219.58291747602846"/>
    <n v="130.44529750479848"/>
    <x v="50"/>
  </r>
  <r>
    <x v="10"/>
    <x v="2"/>
    <n v="124"/>
    <n v="1710"/>
    <d v="2014-06-12T11:00:00"/>
    <d v="2014-06-12T12:20:00"/>
    <n v="500"/>
    <n v="521"/>
    <n v="482"/>
    <s v="Combustion/steam condition controls (report local controls --- burners"/>
    <s v="F400Max Steam Flow Issues"/>
    <s v="Mill Creek"/>
    <x v="0"/>
    <s v="Coal"/>
    <x v="2"/>
    <x v="1"/>
    <n v="6"/>
    <n v="1.3333333333139308"/>
    <n v="5.3742802302480894E-2"/>
    <n v="25.904030709795791"/>
    <n v="19.428023032629557"/>
    <x v="54"/>
  </r>
  <r>
    <x v="10"/>
    <x v="0"/>
    <n v="125"/>
    <n v="800"/>
    <d v="2014-06-12T12:20:00"/>
    <d v="2014-06-12T13:07:00"/>
    <n v="415"/>
    <n v="521"/>
    <n v="482"/>
    <s v="Drums and drum internals (single drum only)"/>
    <s v="F660Boiler Pressure Swing"/>
    <s v="Mill Creek"/>
    <x v="0"/>
    <s v="Coal"/>
    <x v="2"/>
    <x v="1"/>
    <n v="6"/>
    <n v="0.78333333326736465"/>
    <n v="0.15937300062637361"/>
    <n v="76.817786301912079"/>
    <n v="98.065259117082533"/>
    <x v="190"/>
  </r>
  <r>
    <x v="10"/>
    <x v="0"/>
    <n v="126"/>
    <n v="800"/>
    <d v="2014-06-12T13:07:00"/>
    <d v="2014-06-12T15:22:00"/>
    <n v="465"/>
    <n v="521"/>
    <n v="482"/>
    <s v="Drums and drum internals (single drum only)"/>
    <s v="F660Boiler Pressure Swing"/>
    <s v="Mill Creek"/>
    <x v="0"/>
    <s v="Coal"/>
    <x v="2"/>
    <x v="1"/>
    <n v="6"/>
    <n v="2.25"/>
    <n v="0.2418426103646833"/>
    <n v="116.56813819577735"/>
    <n v="51.808061420345489"/>
    <x v="18"/>
  </r>
  <r>
    <x v="10"/>
    <x v="0"/>
    <n v="127"/>
    <n v="800"/>
    <d v="2014-06-12T15:22:00"/>
    <d v="2014-06-12T17:30:00"/>
    <n v="490"/>
    <n v="521"/>
    <n v="482"/>
    <s v="Drums and drum internals (single drum only)"/>
    <s v="F660Boiler Pressure Swing"/>
    <s v="Mill Creek"/>
    <x v="0"/>
    <s v="Coal"/>
    <x v="2"/>
    <x v="1"/>
    <n v="6"/>
    <n v="2.1333333333022892"/>
    <n v="0.12693538067633583"/>
    <n v="61.182853485993874"/>
    <n v="28.679462571976966"/>
    <x v="206"/>
  </r>
  <r>
    <x v="10"/>
    <x v="0"/>
    <n v="128"/>
    <n v="1710"/>
    <d v="2014-06-12T17:30:00"/>
    <d v="2014-06-12T22:23:00"/>
    <n v="500"/>
    <n v="521"/>
    <n v="482"/>
    <s v="Combustion/steam condition controls (report local controls --- burners"/>
    <s v="F400Max Steam Flow Issues"/>
    <s v="Mill Creek"/>
    <x v="0"/>
    <s v="Coal"/>
    <x v="2"/>
    <x v="1"/>
    <n v="6"/>
    <n v="4.8833333333604969"/>
    <n v="0.19683301343679546"/>
    <n v="94.87351247653541"/>
    <n v="19.428023032629557"/>
    <x v="54"/>
  </r>
  <r>
    <x v="10"/>
    <x v="2"/>
    <n v="129"/>
    <n v="260"/>
    <d v="2014-06-12T22:23:00"/>
    <d v="2014-06-13T04:15:00"/>
    <n v="430"/>
    <n v="521"/>
    <n v="482"/>
    <s v="Primary air fan"/>
    <s v="F5304E Coal Mill - PA Fan Inspection"/>
    <s v="Mill Creek"/>
    <x v="0"/>
    <s v="Coal"/>
    <x v="2"/>
    <x v="1"/>
    <n v="6"/>
    <n v="5.8666666667559184"/>
    <n v="1.0246960972644694"/>
    <n v="493.90351888147427"/>
    <n v="84.188099808061423"/>
    <x v="136"/>
  </r>
  <r>
    <x v="10"/>
    <x v="0"/>
    <n v="130"/>
    <n v="1710"/>
    <d v="2014-06-13T04:15:00"/>
    <d v="2014-06-19T11:00:00"/>
    <n v="500"/>
    <n v="521"/>
    <n v="482"/>
    <s v="Combustion/steam condition controls (report local controls --- burners"/>
    <s v="F400Max Steam Flow Issue"/>
    <s v="Mill Creek"/>
    <x v="0"/>
    <s v="Coal"/>
    <x v="2"/>
    <x v="1"/>
    <n v="6"/>
    <n v="150.75"/>
    <n v="6.0762955854126677"/>
    <n v="2928.774472168906"/>
    <n v="19.428023032629557"/>
    <x v="54"/>
  </r>
  <r>
    <x v="10"/>
    <x v="2"/>
    <n v="131"/>
    <n v="8125"/>
    <d v="2014-06-15T22:00:00"/>
    <d v="2014-06-16T03:08:00"/>
    <n v="380"/>
    <n v="521"/>
    <n v="482"/>
    <s v="Scrubber recycle (liquid) pumps"/>
    <s v="F130FGD 4A1 Recycle Pump - Installed Blank"/>
    <s v="Mill Creek"/>
    <x v="0"/>
    <s v="Coal"/>
    <x v="2"/>
    <x v="1"/>
    <n v="6"/>
    <n v="5.1333333334769122"/>
    <n v="1.3892514395782047"/>
    <n v="669.61919387669468"/>
    <n v="130.44529750479848"/>
    <x v="50"/>
  </r>
  <r>
    <x v="10"/>
    <x v="2"/>
    <n v="132"/>
    <n v="8125"/>
    <d v="2014-06-17T23:00:00"/>
    <d v="2014-06-18T03:05:00"/>
    <n v="380"/>
    <n v="521"/>
    <n v="482"/>
    <s v="Scrubber recycle (liquid) pumps"/>
    <s v="F130FGD 4A1 Recycle Pump - Adjusted Blank"/>
    <s v="Mill Creek"/>
    <x v="0"/>
    <s v="Coal"/>
    <x v="2"/>
    <x v="1"/>
    <n v="6"/>
    <n v="4.0833333331975155"/>
    <n v="1.1050863723240876"/>
    <n v="532.65163146021018"/>
    <n v="130.44529750479848"/>
    <x v="50"/>
  </r>
  <r>
    <x v="10"/>
    <x v="2"/>
    <n v="133"/>
    <n v="8125"/>
    <d v="2014-06-18T23:00:00"/>
    <d v="2014-06-19T05:29:00"/>
    <n v="380"/>
    <n v="521"/>
    <n v="482"/>
    <s v="Scrubber recycle (liquid) pumps"/>
    <s v="F130FGD 4A1 Recycle Pump - Relocated Blank"/>
    <s v="Mill Creek"/>
    <x v="0"/>
    <s v="Coal"/>
    <x v="2"/>
    <x v="1"/>
    <n v="6"/>
    <n v="6.4833333333372138"/>
    <n v="1.7546065259127583"/>
    <n v="845.72034548994952"/>
    <n v="130.44529750479848"/>
    <x v="50"/>
  </r>
  <r>
    <x v="10"/>
    <x v="0"/>
    <n v="134"/>
    <n v="1710"/>
    <d v="2014-06-19T11:00:00"/>
    <d v="2014-06-22T22:00:00"/>
    <n v="505"/>
    <n v="521"/>
    <n v="482"/>
    <s v="Combustion/steam condition controls (report local controls --- burners"/>
    <s v="F400Max Steam Flow Issue"/>
    <s v="Mill Creek"/>
    <x v="0"/>
    <s v="Coal"/>
    <x v="2"/>
    <x v="1"/>
    <n v="6"/>
    <n v="82.999999999883585"/>
    <n v="2.548944337808325"/>
    <n v="1228.5911708236126"/>
    <n v="14.802303262955855"/>
    <x v="169"/>
  </r>
  <r>
    <x v="10"/>
    <x v="2"/>
    <n v="135"/>
    <n v="310"/>
    <d v="2014-06-22T22:00:00"/>
    <d v="2014-06-23T04:35:00"/>
    <n v="472"/>
    <n v="521"/>
    <n v="482"/>
    <s v="Pulverizer mills"/>
    <s v="F5304A Coal Mill - Inspection"/>
    <s v="Mill Creek"/>
    <x v="0"/>
    <s v="Coal"/>
    <x v="2"/>
    <x v="1"/>
    <n v="6"/>
    <n v="6.5833333333139308"/>
    <n v="0.61916186820035046"/>
    <n v="298.43602047256894"/>
    <n v="45.332053742802302"/>
    <x v="23"/>
  </r>
  <r>
    <x v="10"/>
    <x v="0"/>
    <n v="136"/>
    <n v="1710"/>
    <d v="2014-06-23T04:35:00"/>
    <d v="2014-06-30T13:09:00"/>
    <n v="505"/>
    <n v="521"/>
    <n v="482"/>
    <s v="Combustion/steam condition controls (report local controls --- burners"/>
    <s v="F400Max Steam Flow Issue"/>
    <s v="Mill Creek"/>
    <x v="0"/>
    <s v="Coal"/>
    <x v="2"/>
    <x v="1"/>
    <n v="6"/>
    <n v="176.56666666682577"/>
    <n v="5.422392834297912"/>
    <n v="2613.5933461315935"/>
    <n v="14.802303262955855"/>
    <x v="169"/>
  </r>
  <r>
    <x v="10"/>
    <x v="0"/>
    <n v="137"/>
    <n v="310"/>
    <d v="2014-06-23T08:40:00"/>
    <d v="2014-06-23T09:07:00"/>
    <n v="420"/>
    <n v="521"/>
    <n v="482"/>
    <s v="Pulverizer mills"/>
    <s v="F5904A Coal Mill - Swing Valve Issue"/>
    <s v="Mill Creek"/>
    <x v="0"/>
    <s v="Coal"/>
    <x v="2"/>
    <x v="1"/>
    <n v="6"/>
    <n v="0.45000000006984919"/>
    <n v="8.7236084466515873E-2"/>
    <n v="42.047792712860648"/>
    <n v="93.439539347408825"/>
    <x v="129"/>
  </r>
  <r>
    <x v="10"/>
    <x v="0"/>
    <n v="138"/>
    <n v="3341"/>
    <d v="2014-06-26T15:10:00"/>
    <d v="2014-06-26T16:44:00"/>
    <n v="480"/>
    <n v="521"/>
    <n v="482"/>
    <s v="Other LP heater - general"/>
    <s v="F130Feedwater Heaters #1 thru #4 - Bypassed"/>
    <s v="Mill Creek"/>
    <x v="0"/>
    <s v="Coal"/>
    <x v="2"/>
    <x v="1"/>
    <n v="6"/>
    <n v="1.5666666667093523"/>
    <n v="0.12328854766810642"/>
    <n v="59.425079976027291"/>
    <n v="37.930902111324379"/>
    <x v="15"/>
  </r>
  <r>
    <x v="10"/>
    <x v="0"/>
    <n v="139"/>
    <n v="3341"/>
    <d v="2014-06-27T10:10:00"/>
    <d v="2014-06-27T11:46:00"/>
    <n v="480"/>
    <n v="521"/>
    <n v="482"/>
    <s v="Other LP heater - general"/>
    <s v="F130Feedwater Heaters #1 thru 4 - Bypassed"/>
    <s v="Mill Creek"/>
    <x v="0"/>
    <s v="Coal"/>
    <x v="2"/>
    <x v="1"/>
    <n v="6"/>
    <n v="1.5999999999767169"/>
    <n v="0.12591170825152667"/>
    <n v="60.689443377235854"/>
    <n v="37.930902111324379"/>
    <x v="15"/>
  </r>
  <r>
    <x v="10"/>
    <x v="0"/>
    <n v="140"/>
    <n v="3149"/>
    <d v="2014-06-30T13:09:00"/>
    <d v="2014-07-01T07:21:00"/>
    <n v="500"/>
    <n v="521"/>
    <n v="482"/>
    <s v="Loss of vacuum not attributable to a particular component such as air ejectors or valves; or"/>
    <s v="F660High Back Pressure"/>
    <s v="Mill Creek"/>
    <x v="0"/>
    <s v="Coal"/>
    <x v="2"/>
    <x v="1"/>
    <n v="6"/>
    <n v="18.199999999953434"/>
    <n v="0.7335892514376624"/>
    <n v="353.59001919295326"/>
    <n v="19.428023032629557"/>
    <x v="54"/>
  </r>
  <r>
    <x v="10"/>
    <x v="0"/>
    <n v="141"/>
    <n v="1710"/>
    <d v="2014-07-01T07:21:00"/>
    <d v="2014-07-01T08:11:00"/>
    <n v="510"/>
    <n v="521"/>
    <n v="482"/>
    <s v="Combustion/steam condition controls (report local controls --- burners"/>
    <s v="F400Max Steam Flow Issue"/>
    <s v="Mill Creek"/>
    <x v="0"/>
    <s v="Coal"/>
    <x v="2"/>
    <x v="1"/>
    <n v="7"/>
    <n v="0.83333333325572312"/>
    <n v="1.7594369800024864E-2"/>
    <n v="8.4804862436119848"/>
    <n v="10.17658349328215"/>
    <x v="182"/>
  </r>
  <r>
    <x v="10"/>
    <x v="0"/>
    <n v="142"/>
    <n v="3149"/>
    <d v="2014-07-01T08:11:00"/>
    <d v="2014-07-01T13:43:00"/>
    <n v="505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5.53333333338378"/>
    <n v="0.16992962252234256"/>
    <n v="81.906078055769115"/>
    <n v="14.802303262955855"/>
    <x v="169"/>
  </r>
  <r>
    <x v="10"/>
    <x v="0"/>
    <n v="143"/>
    <n v="3149"/>
    <d v="2014-07-01T13:43:00"/>
    <d v="2014-07-01T22:00:00"/>
    <n v="495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8.2833333332673647"/>
    <n v="0.41337172104597214"/>
    <n v="199.24516954415859"/>
    <n v="24.053742802303262"/>
    <x v="107"/>
  </r>
  <r>
    <x v="10"/>
    <x v="2"/>
    <n v="144"/>
    <n v="250"/>
    <d v="2014-07-01T22:00:00"/>
    <d v="2014-07-02T05:00:00"/>
    <n v="430"/>
    <n v="521"/>
    <n v="482"/>
    <s v="Pulverizer feeders"/>
    <s v="F0904E Coal Feeder - Calibration &amp; Primary Air Fan Damper Repair"/>
    <s v="Mill Creek"/>
    <x v="0"/>
    <s v="Coal"/>
    <x v="2"/>
    <x v="1"/>
    <n v="7"/>
    <n v="7.0000000001164153"/>
    <n v="1.2226487524195657"/>
    <n v="589.31669866623065"/>
    <n v="84.188099808061423"/>
    <x v="136"/>
  </r>
  <r>
    <x v="10"/>
    <x v="0"/>
    <n v="145"/>
    <n v="1710"/>
    <d v="2014-07-02T05:00:00"/>
    <d v="2014-07-02T10:30:00"/>
    <n v="500"/>
    <n v="521"/>
    <n v="482"/>
    <s v="Combustion/steam condition controls (report local controls --- burners"/>
    <s v="F400Max Steam Flow Issue"/>
    <s v="Mill Creek"/>
    <x v="0"/>
    <s v="Coal"/>
    <x v="2"/>
    <x v="1"/>
    <n v="7"/>
    <n v="5.4999999999417923"/>
    <n v="0.22168905949861351"/>
    <n v="106.85412667833171"/>
    <n v="19.428023032629557"/>
    <x v="54"/>
  </r>
  <r>
    <x v="10"/>
    <x v="0"/>
    <n v="146"/>
    <n v="1710"/>
    <d v="2014-07-02T10:30:00"/>
    <d v="2014-07-06T12:28:00"/>
    <n v="505"/>
    <n v="521"/>
    <n v="482"/>
    <s v="Combustion/steam condition controls (report local controls --- burners"/>
    <s v="F400Max Steam Flow Issue"/>
    <s v="Mill Creek"/>
    <x v="0"/>
    <s v="Coal"/>
    <x v="2"/>
    <x v="1"/>
    <n v="7"/>
    <n v="97.96666666661622"/>
    <n v="3.0085732565563523"/>
    <n v="1450.1323096601618"/>
    <n v="14.802303262955855"/>
    <x v="169"/>
  </r>
  <r>
    <x v="10"/>
    <x v="0"/>
    <n v="147"/>
    <n v="360"/>
    <d v="2014-07-06T12:28:00"/>
    <d v="2014-07-06T13:17:00"/>
    <n v="420"/>
    <n v="521"/>
    <n v="482"/>
    <s v="Burners"/>
    <s v="F7804B4 Burner Tip - High Temperature"/>
    <s v="Mill Creek"/>
    <x v="0"/>
    <s v="Coal"/>
    <x v="2"/>
    <x v="1"/>
    <n v="7"/>
    <n v="0.81666666670935228"/>
    <n v="0.1583173384599704"/>
    <n v="76.308957137705733"/>
    <n v="93.439539347408825"/>
    <x v="129"/>
  </r>
  <r>
    <x v="10"/>
    <x v="0"/>
    <n v="148"/>
    <n v="1710"/>
    <d v="2014-07-06T13:17:00"/>
    <d v="2014-07-10T08:30:00"/>
    <n v="505"/>
    <n v="521"/>
    <n v="482"/>
    <s v="Combustion/steam condition controls (report local controls --- burners"/>
    <s v="F400Max Steam Flow Issue"/>
    <s v="Mill Creek"/>
    <x v="0"/>
    <s v="Coal"/>
    <x v="2"/>
    <x v="1"/>
    <n v="7"/>
    <n v="91.21666666661622"/>
    <n v="2.8012795905294809"/>
    <n v="1350.2167626352098"/>
    <n v="14.802303262955855"/>
    <x v="169"/>
  </r>
  <r>
    <x v="10"/>
    <x v="0"/>
    <n v="149"/>
    <n v="270"/>
    <d v="2014-07-10T08:30:00"/>
    <d v="2014-07-10T11:16:00"/>
    <n v="420"/>
    <n v="521"/>
    <n v="482"/>
    <s v="Primary air duct and dampers"/>
    <s v="F7204C PA Fan - Hot Air Damper not operating"/>
    <s v="Mill Creek"/>
    <x v="0"/>
    <s v="Coal"/>
    <x v="2"/>
    <x v="1"/>
    <n v="7"/>
    <n v="2.7666666667792015"/>
    <n v="0.53634037110306976"/>
    <n v="258.5160588716796"/>
    <n v="93.439539347408825"/>
    <x v="129"/>
  </r>
  <r>
    <x v="10"/>
    <x v="0"/>
    <n v="150"/>
    <n v="1710"/>
    <d v="2014-07-10T11:16:00"/>
    <d v="2014-07-10T18:27:00"/>
    <n v="505"/>
    <n v="521"/>
    <n v="482"/>
    <s v="Combustion/steam condition controls (report local controls --- burners"/>
    <s v="F400Max Steam Flow Issues"/>
    <s v="Mill Creek"/>
    <x v="0"/>
    <s v="Coal"/>
    <x v="2"/>
    <x v="1"/>
    <n v="7"/>
    <n v="7.1833333333488554"/>
    <n v="0.22060140755006083"/>
    <n v="106.32987843912932"/>
    <n v="14.802303262955855"/>
    <x v="169"/>
  </r>
  <r>
    <x v="10"/>
    <x v="0"/>
    <n v="151"/>
    <n v="3341"/>
    <d v="2014-07-10T18:27:00"/>
    <d v="2014-07-10T23:57:00"/>
    <n v="300"/>
    <n v="521"/>
    <n v="482"/>
    <s v="Other LP heater - general"/>
    <s v="F660LP Heater 1&amp;2A and 1&amp;2B Bypassed - High Level"/>
    <s v="Mill Creek"/>
    <x v="0"/>
    <s v="Coal"/>
    <x v="2"/>
    <x v="1"/>
    <n v="7"/>
    <n v="5.4999999999417923"/>
    <n v="2.3330134356758849"/>
    <n v="1124.5124759957766"/>
    <n v="204.45681381957775"/>
    <x v="113"/>
  </r>
  <r>
    <x v="10"/>
    <x v="0"/>
    <n v="152"/>
    <n v="3341"/>
    <d v="2014-07-10T23:57:00"/>
    <d v="2014-07-11T04:13:00"/>
    <n v="390"/>
    <n v="521"/>
    <n v="482"/>
    <s v="Other LP heater - general"/>
    <s v="F660LP Heater 1&amp;2A and 1&amp;2B Bypassed - High Level"/>
    <s v="Mill Creek"/>
    <x v="0"/>
    <s v="Coal"/>
    <x v="2"/>
    <x v="1"/>
    <n v="7"/>
    <n v="4.2666666666045785"/>
    <n v="1.0728087011999996"/>
    <n v="517.09379397839984"/>
    <n v="121.19385796545106"/>
    <x v="277"/>
  </r>
  <r>
    <x v="10"/>
    <x v="0"/>
    <n v="153"/>
    <n v="3341"/>
    <d v="2014-07-11T04:13:00"/>
    <d v="2014-07-11T07:00:00"/>
    <n v="360"/>
    <n v="521"/>
    <n v="482"/>
    <s v="Other LP heater - general"/>
    <s v="F660LP Heater 1&amp;2A and 1&amp;2B Bypassed - High Level"/>
    <s v="Mill Creek"/>
    <x v="0"/>
    <s v="Coal"/>
    <x v="2"/>
    <x v="1"/>
    <n v="7"/>
    <n v="2.7833333333255723"/>
    <n v="0.86010876519273927"/>
    <n v="414.5724248229003"/>
    <n v="148.94817658349328"/>
    <x v="286"/>
  </r>
  <r>
    <x v="10"/>
    <x v="0"/>
    <n v="154"/>
    <n v="3341"/>
    <d v="2014-07-11T07:00:00"/>
    <d v="2014-07-11T08:54:00"/>
    <n v="375"/>
    <n v="521"/>
    <n v="482"/>
    <s v="Other LP heater - general"/>
    <s v="F660LP Heater 1&amp;2A and 1&amp;2B Bypassed - High Level"/>
    <s v="Mill Creek"/>
    <x v="0"/>
    <s v="Coal"/>
    <x v="2"/>
    <x v="1"/>
    <n v="7"/>
    <n v="1.9000000000814907"/>
    <n v="0.5324376199844485"/>
    <n v="256.63493283250415"/>
    <n v="135.07101727447218"/>
    <x v="162"/>
  </r>
  <r>
    <x v="10"/>
    <x v="0"/>
    <n v="155"/>
    <n v="3341"/>
    <d v="2014-07-11T08:54:00"/>
    <d v="2014-07-11T09:25:00"/>
    <n v="495"/>
    <n v="521"/>
    <n v="482"/>
    <s v="Other LP heater - general"/>
    <s v="F660LP Heater 1&amp;2A and 1&amp;2B Bypassed - High Level"/>
    <s v="Mill Creek"/>
    <x v="0"/>
    <s v="Coal"/>
    <x v="2"/>
    <x v="1"/>
    <n v="7"/>
    <n v="0.5166666666045785"/>
    <n v="2.5783749197157469E-2"/>
    <n v="12.427767113029899"/>
    <n v="24.053742802303262"/>
    <x v="107"/>
  </r>
  <r>
    <x v="10"/>
    <x v="0"/>
    <n v="156"/>
    <n v="1710"/>
    <d v="2014-07-12T09:25:00"/>
    <d v="2014-07-12T11:27:00"/>
    <n v="505"/>
    <n v="521"/>
    <n v="482"/>
    <s v="Combustion/steam condition controls (report local controls --- burners"/>
    <s v="F400Max Steam Flow Issues"/>
    <s v="Mill Creek"/>
    <x v="0"/>
    <s v="Coal"/>
    <x v="2"/>
    <x v="1"/>
    <n v="7"/>
    <n v="2.0333333333255723"/>
    <n v="6.2444017914029093E-2"/>
    <n v="30.098016634562022"/>
    <n v="14.802303262955855"/>
    <x v="169"/>
  </r>
  <r>
    <x v="10"/>
    <x v="0"/>
    <n v="157"/>
    <n v="1710"/>
    <d v="2014-07-12T11:27:00"/>
    <d v="2014-07-12T18:08:00"/>
    <n v="500"/>
    <n v="521"/>
    <n v="482"/>
    <s v="Combustion/steam condition controls (report local controls --- burners"/>
    <s v="F400Max Steam Flow Issues"/>
    <s v="Mill Creek"/>
    <x v="0"/>
    <s v="Coal"/>
    <x v="2"/>
    <x v="1"/>
    <n v="7"/>
    <n v="6.6833333334652707"/>
    <n v="0.26938579655042361"/>
    <n v="129.84395393730418"/>
    <n v="19.428023032629557"/>
    <x v="54"/>
  </r>
  <r>
    <x v="10"/>
    <x v="0"/>
    <n v="158"/>
    <n v="3149"/>
    <d v="2014-07-12T18:08:00"/>
    <d v="2014-07-12T20:10:00"/>
    <n v="490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2.0333333333255723"/>
    <n v="0.12098528470843137"/>
    <n v="58.31490722946392"/>
    <n v="28.679462571976966"/>
    <x v="206"/>
  </r>
  <r>
    <x v="10"/>
    <x v="0"/>
    <n v="159"/>
    <n v="3149"/>
    <d v="2014-07-12T20:10:00"/>
    <d v="2014-07-12T22:50:00"/>
    <n v="480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2.6666666666278616"/>
    <n v="0.20985284708587779"/>
    <n v="101.1490722953931"/>
    <n v="37.930902111324379"/>
    <x v="15"/>
  </r>
  <r>
    <x v="10"/>
    <x v="0"/>
    <n v="160"/>
    <n v="3149"/>
    <d v="2014-07-12T22:50:00"/>
    <d v="2014-07-13T09:03:00"/>
    <n v="495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10.21666666661622"/>
    <n v="0.5098528470864141"/>
    <n v="245.74907229565159"/>
    <n v="24.053742802303262"/>
    <x v="107"/>
  </r>
  <r>
    <x v="10"/>
    <x v="0"/>
    <n v="161"/>
    <n v="3149"/>
    <d v="2014-07-13T09:03:00"/>
    <d v="2014-07-13T10:20:00"/>
    <n v="490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1.2833333333255723"/>
    <n v="7.635956493875766E-2"/>
    <n v="36.805310300481189"/>
    <n v="28.679462571976966"/>
    <x v="206"/>
  </r>
  <r>
    <x v="10"/>
    <x v="0"/>
    <n v="162"/>
    <n v="3149"/>
    <d v="2014-07-13T10:20:00"/>
    <d v="2014-07-13T10:54:00"/>
    <n v="480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0.56666666676755995"/>
    <n v="4.459373001433773E-2"/>
    <n v="21.494177866910785"/>
    <n v="37.930902111324379"/>
    <x v="15"/>
  </r>
  <r>
    <x v="10"/>
    <x v="0"/>
    <n v="163"/>
    <n v="3149"/>
    <d v="2014-07-13T10:54:00"/>
    <d v="2014-07-14T11:43:00"/>
    <n v="470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24.816666666534729"/>
    <n v="2.4292706333843976"/>
    <n v="1170.9084452912796"/>
    <n v="47.182341650671788"/>
    <x v="119"/>
  </r>
  <r>
    <x v="10"/>
    <x v="0"/>
    <n v="164"/>
    <n v="3149"/>
    <d v="2014-07-14T11:43:00"/>
    <d v="2014-07-14T13:42:00"/>
    <n v="490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1.9833333333372138"/>
    <n v="0.11801023672447913"/>
    <n v="56.880934101198946"/>
    <n v="28.679462571976966"/>
    <x v="206"/>
  </r>
  <r>
    <x v="10"/>
    <x v="0"/>
    <n v="165"/>
    <n v="3149"/>
    <d v="2014-07-14T13:42:00"/>
    <d v="2014-07-14T23:25:00"/>
    <n v="480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9.7166666667326353"/>
    <n v="0.76465131158548572"/>
    <n v="368.56193218420412"/>
    <n v="37.930902111324379"/>
    <x v="15"/>
  </r>
  <r>
    <x v="10"/>
    <x v="4"/>
    <n v="166"/>
    <n v="3340"/>
    <d v="2014-07-14T23:25:00"/>
    <d v="2014-07-17T20:55:00"/>
    <n v="0"/>
    <n v="521"/>
    <n v="482"/>
    <s v="LP heater tube leaks"/>
    <s v="F540LP Heater 2A Leak Repair"/>
    <s v="Mill Creek"/>
    <x v="2"/>
    <s v="Coal"/>
    <x v="2"/>
    <x v="1"/>
    <n v="7"/>
    <n v="69.500000000058208"/>
    <n v="69.500000000058208"/>
    <n v="33499.000000028056"/>
    <n v="482"/>
    <x v="275"/>
  </r>
  <r>
    <x v="10"/>
    <x v="5"/>
    <n v="167"/>
    <n v="800"/>
    <d v="2014-07-17T21:56:00"/>
    <d v="2014-07-17T23:26:00"/>
    <n v="0"/>
    <n v="521"/>
    <n v="482"/>
    <s v="Drums and drum internals (single drum only)"/>
    <s v="F420Low Drum Level"/>
    <s v="Mill Creek"/>
    <x v="3"/>
    <s v="Coal"/>
    <x v="2"/>
    <x v="1"/>
    <n v="7"/>
    <n v="1.5"/>
    <n v="1.5"/>
    <n v="723"/>
    <n v="482"/>
    <x v="275"/>
  </r>
  <r>
    <x v="10"/>
    <x v="0"/>
    <n v="168"/>
    <n v="4261"/>
    <d v="2014-07-18T05:48:00"/>
    <d v="2014-07-18T06:11:00"/>
    <n v="155"/>
    <n v="521"/>
    <n v="482"/>
    <s v="Control valves"/>
    <s v="F400#2 Turbine Control Valve - Turbine EHC system"/>
    <s v="Mill Creek"/>
    <x v="0"/>
    <s v="Coal"/>
    <x v="2"/>
    <x v="1"/>
    <n v="7"/>
    <n v="0.38333333336049691"/>
    <n v="0.26928982727436057"/>
    <n v="129.7976967462418"/>
    <n v="338.60268714011517"/>
    <x v="287"/>
  </r>
  <r>
    <x v="10"/>
    <x v="0"/>
    <n v="169"/>
    <n v="1850"/>
    <d v="2014-07-18T10:26:00"/>
    <d v="2014-07-18T14:10:00"/>
    <n v="382"/>
    <n v="521"/>
    <n v="482"/>
    <s v="Boiler water condition (not feedwater water quality)"/>
    <s v="F170High Silica"/>
    <s v="Mill Creek"/>
    <x v="0"/>
    <s v="Coal"/>
    <x v="2"/>
    <x v="1"/>
    <n v="7"/>
    <n v="3.7333333334536292"/>
    <n v="0.99603326938590109"/>
    <n v="480.08803584400431"/>
    <n v="128.59500959692897"/>
    <x v="288"/>
  </r>
  <r>
    <x v="10"/>
    <x v="0"/>
    <n v="170"/>
    <n v="1850"/>
    <d v="2014-07-18T14:10:00"/>
    <d v="2014-07-18T16:05:00"/>
    <n v="490"/>
    <n v="521"/>
    <n v="482"/>
    <s v="Boiler water condition (not feedwater water quality)"/>
    <s v="F170High Silica"/>
    <s v="Mill Creek"/>
    <x v="0"/>
    <s v="Coal"/>
    <x v="2"/>
    <x v="1"/>
    <n v="7"/>
    <n v="1.9166666666278616"/>
    <n v="0.11404350607574608"/>
    <n v="54.968969928509608"/>
    <n v="28.679462571976966"/>
    <x v="206"/>
  </r>
  <r>
    <x v="10"/>
    <x v="0"/>
    <n v="171"/>
    <n v="1710"/>
    <d v="2014-07-18T16:05:00"/>
    <d v="2014-07-19T13:34:00"/>
    <n v="498"/>
    <n v="521"/>
    <n v="482"/>
    <s v="Combustion/steam condition controls (report local controls --- burners"/>
    <s v="F400Max Steam Flow Issue"/>
    <s v="Mill Creek"/>
    <x v="0"/>
    <s v="Coal"/>
    <x v="2"/>
    <x v="1"/>
    <n v="7"/>
    <n v="21.483333333337214"/>
    <n v="0.94840051183638374"/>
    <n v="457.12904670513694"/>
    <n v="21.27831094049904"/>
    <x v="168"/>
  </r>
  <r>
    <x v="10"/>
    <x v="0"/>
    <n v="172"/>
    <n v="1710"/>
    <d v="2014-07-19T13:34:00"/>
    <d v="2014-07-25T01:43:00"/>
    <n v="502"/>
    <n v="521"/>
    <n v="482"/>
    <s v="Combustion/steam condition controls (report local controls --- burners"/>
    <s v="F400Max Steam Flow Issue"/>
    <s v="Mill Creek"/>
    <x v="0"/>
    <s v="Coal"/>
    <x v="2"/>
    <x v="1"/>
    <n v="7"/>
    <n v="132.14999999996508"/>
    <n v="4.8192898272540043"/>
    <n v="2322.8976967364301"/>
    <n v="17.577735124760078"/>
    <x v="5"/>
  </r>
  <r>
    <x v="10"/>
    <x v="0"/>
    <n v="173"/>
    <n v="3149"/>
    <d v="2014-07-22T19:09:00"/>
    <d v="2014-07-22T22:15:00"/>
    <n v="490"/>
    <n v="521"/>
    <n v="482"/>
    <s v="Loss of vacuum not attributable to a particular component such as air ejectors or valves; or"/>
    <s v="F660High Back Pressure"/>
    <s v="Mill Creek"/>
    <x v="0"/>
    <s v="Coal"/>
    <x v="2"/>
    <x v="1"/>
    <n v="7"/>
    <n v="3.0999999999767169"/>
    <n v="0.18445297504659927"/>
    <n v="88.906333972460843"/>
    <n v="28.679462571976966"/>
    <x v="206"/>
  </r>
  <r>
    <x v="10"/>
    <x v="2"/>
    <n v="174"/>
    <n v="310"/>
    <d v="2014-07-22T23:53:00"/>
    <d v="2014-07-23T03:09:00"/>
    <n v="425"/>
    <n v="521"/>
    <n v="482"/>
    <s v="Pulverizer mills"/>
    <s v="F5904E Coal Mill - Clean Pitot Tubes"/>
    <s v="Mill Creek"/>
    <x v="0"/>
    <s v="Coal"/>
    <x v="2"/>
    <x v="1"/>
    <n v="7"/>
    <n v="3.2666666666627862"/>
    <n v="0.60191938579583004"/>
    <n v="290.12514395359005"/>
    <n v="88.813819577735131"/>
    <x v="145"/>
  </r>
  <r>
    <x v="10"/>
    <x v="5"/>
    <n v="175"/>
    <n v="1000"/>
    <d v="2014-07-25T01:43:00"/>
    <d v="2014-07-27T17:10:00"/>
    <n v="0"/>
    <n v="521"/>
    <n v="482"/>
    <s v="Waterwall (Furnace wall) A"/>
    <s v="F540Boiler Tube Leak - Lower Slope Waterwall"/>
    <s v="Mill Creek"/>
    <x v="3"/>
    <s v="Coal"/>
    <x v="2"/>
    <x v="1"/>
    <n v="7"/>
    <n v="63.450000000069849"/>
    <n v="63.450000000069849"/>
    <n v="30582.900000033667"/>
    <n v="482"/>
    <x v="275"/>
  </r>
  <r>
    <x v="10"/>
    <x v="3"/>
    <n v="176"/>
    <n v="1850"/>
    <d v="2014-07-27T17:10:00"/>
    <d v="2014-07-27T17:30:00"/>
    <n v="0"/>
    <n v="521"/>
    <n v="482"/>
    <s v="Boiler water condition (not feedwater water quality)"/>
    <s v="F170High Silica @ Warm Start Up"/>
    <s v="Mill Creek"/>
    <x v="1"/>
    <s v="Coal"/>
    <x v="2"/>
    <x v="1"/>
    <n v="7"/>
    <n v="0.33333333319751546"/>
    <n v="0.33333333319751546"/>
    <n v="160.66666660120245"/>
    <n v="482"/>
    <x v="275"/>
  </r>
  <r>
    <x v="10"/>
    <x v="5"/>
    <n v="177"/>
    <n v="800"/>
    <d v="2014-07-27T17:30:00"/>
    <d v="2014-07-27T19:10:00"/>
    <n v="0"/>
    <n v="521"/>
    <n v="482"/>
    <s v="Drums and drum internals (single drum only)"/>
    <s v="F820Low Drum Level Trip - Boiler Feed Pump Low Pressure Steam Supply Check Valve Stuck"/>
    <s v="Mill Creek"/>
    <x v="3"/>
    <s v="Coal"/>
    <x v="2"/>
    <x v="1"/>
    <n v="7"/>
    <n v="1.6666666666860692"/>
    <n v="1.6666666666860692"/>
    <n v="803.33333334268536"/>
    <n v="482"/>
    <x v="275"/>
  </r>
  <r>
    <x v="10"/>
    <x v="3"/>
    <n v="178"/>
    <n v="1850"/>
    <d v="2014-07-27T19:10:00"/>
    <d v="2014-07-28T03:04:00"/>
    <n v="0"/>
    <n v="521"/>
    <n v="482"/>
    <s v="Boiler water condition (not feedwater water quality)"/>
    <s v="F170High Silica @ Warm Start Up"/>
    <s v="Mill Creek"/>
    <x v="1"/>
    <s v="Coal"/>
    <x v="2"/>
    <x v="1"/>
    <n v="7"/>
    <n v="7.9000000000814907"/>
    <n v="7.9000000000814907"/>
    <n v="3807.8000000392785"/>
    <n v="482"/>
    <x v="275"/>
  </r>
  <r>
    <x v="10"/>
    <x v="5"/>
    <n v="179"/>
    <n v="800"/>
    <d v="2014-07-28T03:04:00"/>
    <d v="2014-07-28T05:13:00"/>
    <n v="0"/>
    <n v="521"/>
    <n v="482"/>
    <s v="Drums and drum internals (single drum only)"/>
    <s v="F400Low Drum Level Trip"/>
    <s v="Mill Creek"/>
    <x v="3"/>
    <s v="Coal"/>
    <x v="2"/>
    <x v="1"/>
    <n v="7"/>
    <n v="2.1500000000232831"/>
    <n v="2.1500000000232831"/>
    <n v="1036.3000000112224"/>
    <n v="482"/>
    <x v="275"/>
  </r>
  <r>
    <x v="10"/>
    <x v="3"/>
    <n v="180"/>
    <n v="1850"/>
    <d v="2014-07-28T05:13:00"/>
    <d v="2014-07-28T11:13:00"/>
    <n v="0"/>
    <n v="521"/>
    <n v="482"/>
    <s v="Boiler water condition (not feedwater water quality)"/>
    <s v="F170High Silica @ Very Hot Start Up"/>
    <s v="Mill Creek"/>
    <x v="1"/>
    <s v="Coal"/>
    <x v="2"/>
    <x v="1"/>
    <n v="7"/>
    <n v="6"/>
    <n v="6"/>
    <n v="2892"/>
    <n v="482"/>
    <x v="275"/>
  </r>
  <r>
    <x v="10"/>
    <x v="0"/>
    <n v="181"/>
    <n v="1850"/>
    <d v="2014-07-28T11:13:00"/>
    <d v="2014-07-28T15:15:00"/>
    <n v="370"/>
    <n v="521"/>
    <n v="482"/>
    <s v="Boiler water condition (not feedwater water quality)"/>
    <s v="F170High Silica"/>
    <s v="Mill Creek"/>
    <x v="0"/>
    <s v="Coal"/>
    <x v="2"/>
    <x v="1"/>
    <n v="7"/>
    <n v="4.033333333209157"/>
    <n v="1.168969929586531"/>
    <n v="563.44350606070793"/>
    <n v="139.69673704414586"/>
    <x v="135"/>
  </r>
  <r>
    <x v="10"/>
    <x v="0"/>
    <n v="182"/>
    <n v="1850"/>
    <d v="2014-07-28T15:15:00"/>
    <d v="2014-07-28T20:38:00"/>
    <n v="485"/>
    <n v="521"/>
    <n v="482"/>
    <s v="Boiler water condition (not feedwater water quality)"/>
    <s v="F170High Silica"/>
    <s v="Mill Creek"/>
    <x v="0"/>
    <s v="Coal"/>
    <x v="2"/>
    <x v="1"/>
    <n v="7"/>
    <n v="5.3833333334187046"/>
    <n v="0.37197696737634045"/>
    <n v="179.29289827539608"/>
    <n v="33.305182341650671"/>
    <x v="17"/>
  </r>
  <r>
    <x v="10"/>
    <x v="0"/>
    <n v="183"/>
    <n v="1710"/>
    <d v="2014-07-28T20:38:00"/>
    <d v="2014-07-29T02:24:00"/>
    <n v="498"/>
    <n v="521"/>
    <n v="482"/>
    <s v="Combustion/steam condition controls (report local controls --- burners"/>
    <s v="F400Max Steam Flow Issue"/>
    <s v="Mill Creek"/>
    <x v="0"/>
    <s v="Coal"/>
    <x v="2"/>
    <x v="1"/>
    <n v="7"/>
    <n v="5.7666666666045785"/>
    <n v="0.25457453614569159"/>
    <n v="122.70492642222335"/>
    <n v="21.27831094049904"/>
    <x v="168"/>
  </r>
  <r>
    <x v="10"/>
    <x v="5"/>
    <n v="184"/>
    <n v="1060"/>
    <d v="2014-07-29T02:24:00"/>
    <d v="2014-07-31T09:57:00"/>
    <n v="0"/>
    <n v="521"/>
    <n v="482"/>
    <s v="First reheater A"/>
    <s v="F540Boiler Tube Leak - First Reheater"/>
    <s v="Mill Creek"/>
    <x v="3"/>
    <s v="Coal"/>
    <x v="2"/>
    <x v="1"/>
    <n v="7"/>
    <n v="55.549999999988358"/>
    <n v="55.549999999988358"/>
    <n v="26775.099999994389"/>
    <n v="482"/>
    <x v="275"/>
  </r>
  <r>
    <x v="10"/>
    <x v="3"/>
    <n v="185"/>
    <n v="1850"/>
    <d v="2014-07-31T09:57:00"/>
    <d v="2014-07-31T10:13:00"/>
    <n v="0"/>
    <n v="521"/>
    <n v="482"/>
    <s v="Boiler water condition (not feedwater water quality)"/>
    <s v="F170High Silica @ Warm Start Up"/>
    <s v="Mill Creek"/>
    <x v="1"/>
    <s v="Coal"/>
    <x v="2"/>
    <x v="1"/>
    <n v="7"/>
    <n v="0.26666666666278616"/>
    <n v="0.26666666666278616"/>
    <n v="128.53333333146293"/>
    <n v="482"/>
    <x v="275"/>
  </r>
  <r>
    <x v="10"/>
    <x v="5"/>
    <n v="186"/>
    <n v="800"/>
    <d v="2014-07-31T10:13:00"/>
    <d v="2014-07-31T11:37:00"/>
    <n v="0"/>
    <n v="521"/>
    <n v="482"/>
    <s v="Drums and drum internals (single drum only)"/>
    <s v="F820Low Drum Level Trip - Turbine Driven Boiler Feed Pump Issues"/>
    <s v="Mill Creek"/>
    <x v="3"/>
    <s v="Coal"/>
    <x v="2"/>
    <x v="1"/>
    <n v="7"/>
    <n v="1.4000000000232831"/>
    <n v="1.4000000000232831"/>
    <n v="674.80000001122244"/>
    <n v="482"/>
    <x v="275"/>
  </r>
  <r>
    <x v="10"/>
    <x v="3"/>
    <n v="187"/>
    <n v="1850"/>
    <d v="2014-07-31T11:37:00"/>
    <d v="2014-07-31T20:45:00"/>
    <n v="0"/>
    <n v="521"/>
    <n v="482"/>
    <s v="Boiler water condition (not feedwater water quality)"/>
    <s v="F170High Silica @ Warm Start Up"/>
    <s v="Mill Creek"/>
    <x v="1"/>
    <s v="Coal"/>
    <x v="2"/>
    <x v="1"/>
    <n v="7"/>
    <n v="9.1333333334187046"/>
    <n v="9.1333333334187046"/>
    <n v="4402.2666667078156"/>
    <n v="482"/>
    <x v="275"/>
  </r>
  <r>
    <x v="10"/>
    <x v="0"/>
    <n v="188"/>
    <n v="250"/>
    <d v="2014-07-31T20:45:00"/>
    <d v="2014-08-01T01:00:00"/>
    <n v="420"/>
    <n v="521"/>
    <n v="482"/>
    <s v="Pulverizer feeders"/>
    <s v="F1204B Coal Feeder - Coal Under Belt"/>
    <s v="Mill Creek"/>
    <x v="0"/>
    <s v="Coal"/>
    <x v="2"/>
    <x v="1"/>
    <n v="7"/>
    <n v="4.2499999998835847"/>
    <n v="0.82389635314441856"/>
    <n v="397.11804221560976"/>
    <n v="93.439539347408825"/>
    <x v="129"/>
  </r>
  <r>
    <x v="10"/>
    <x v="0"/>
    <n v="189"/>
    <n v="8125"/>
    <d v="2014-08-01T09:48:00"/>
    <d v="2014-08-01T22:04:00"/>
    <n v="495"/>
    <n v="521"/>
    <n v="482"/>
    <s v="Scrubber recycle (liquid) pumps"/>
    <s v="F590SO2 Compliance - 4A1 &amp; 4B2 Recycle Pumps Out of Service"/>
    <s v="Mill Creek"/>
    <x v="0"/>
    <s v="Coal"/>
    <x v="2"/>
    <x v="1"/>
    <n v="8"/>
    <n v="12.266666666662786"/>
    <n v="0.61215611004459203"/>
    <n v="295.05924504149334"/>
    <n v="24.053742802303262"/>
    <x v="107"/>
  </r>
  <r>
    <x v="10"/>
    <x v="5"/>
    <n v="190"/>
    <n v="1060"/>
    <d v="2014-08-01T22:04:00"/>
    <d v="2014-08-03T07:43:00"/>
    <n v="0"/>
    <n v="521"/>
    <n v="482"/>
    <s v="First reheater A"/>
    <s v="F540Boiler Tube Leak - First Reheater"/>
    <s v="Mill Creek"/>
    <x v="3"/>
    <s v="Coal"/>
    <x v="2"/>
    <x v="1"/>
    <n v="8"/>
    <n v="33.650000000023283"/>
    <n v="33.650000000023283"/>
    <n v="16219.300000011222"/>
    <n v="482"/>
    <x v="275"/>
  </r>
  <r>
    <x v="10"/>
    <x v="3"/>
    <n v="191"/>
    <n v="1850"/>
    <d v="2014-08-03T07:43:00"/>
    <d v="2014-08-03T19:39:00"/>
    <n v="0"/>
    <n v="521"/>
    <n v="482"/>
    <s v="Boiler water condition (not feedwater water quality)"/>
    <s v="F170High Silica @ Hot Start Up"/>
    <s v="Mill Creek"/>
    <x v="1"/>
    <s v="Coal"/>
    <x v="2"/>
    <x v="1"/>
    <n v="8"/>
    <n v="11.933333333290648"/>
    <n v="11.933333333290648"/>
    <n v="5751.8666666460922"/>
    <n v="482"/>
    <x v="275"/>
  </r>
  <r>
    <x v="10"/>
    <x v="0"/>
    <n v="192"/>
    <n v="3499"/>
    <d v="2014-08-03T19:39:00"/>
    <d v="2014-08-03T22:53:00"/>
    <n v="485"/>
    <n v="521"/>
    <n v="482"/>
    <s v="Other feedwater system problems"/>
    <s v="F150Feedwater Flow Maxed Out"/>
    <s v="Mill Creek"/>
    <x v="0"/>
    <s v="Coal"/>
    <x v="2"/>
    <x v="1"/>
    <n v="8"/>
    <n v="3.2333333333954215"/>
    <n v="0.22341650672214045"/>
    <n v="107.68675624007169"/>
    <n v="33.305182341650671"/>
    <x v="17"/>
  </r>
  <r>
    <x v="10"/>
    <x v="0"/>
    <n v="193"/>
    <n v="3499"/>
    <d v="2014-08-03T22:53:00"/>
    <d v="2014-09-04T10:03:00"/>
    <n v="496"/>
    <n v="521"/>
    <n v="482"/>
    <s v="Other feedwater system problems"/>
    <s v="F150Feedwater Flow Maxed Out"/>
    <s v="Mill Creek"/>
    <x v="0"/>
    <s v="Coal"/>
    <x v="2"/>
    <x v="1"/>
    <n v="8"/>
    <n v="755.16666666656965"/>
    <n v="36.236404350603152"/>
    <n v="17465.946896990718"/>
    <n v="23.128598848368522"/>
    <x v="0"/>
  </r>
  <r>
    <x v="10"/>
    <x v="0"/>
    <n v="194"/>
    <n v="360"/>
    <d v="2014-08-07T16:40:00"/>
    <d v="2014-08-07T17:35:00"/>
    <n v="430"/>
    <n v="521"/>
    <n v="482"/>
    <s v="Burners"/>
    <s v="F7804B Coal Mill - 4B4 Burner High Temperature"/>
    <s v="Mill Creek"/>
    <x v="0"/>
    <s v="Coal"/>
    <x v="2"/>
    <x v="1"/>
    <n v="8"/>
    <n v="0.91666666668606922"/>
    <n v="0.16010876519852649"/>
    <n v="77.172424825689774"/>
    <n v="84.188099808061423"/>
    <x v="136"/>
  </r>
  <r>
    <x v="10"/>
    <x v="0"/>
    <n v="195"/>
    <n v="310"/>
    <d v="2014-08-08T06:56:00"/>
    <d v="2014-08-08T09:57:00"/>
    <n v="430"/>
    <n v="521"/>
    <n v="482"/>
    <s v="Pulverizer mills"/>
    <s v="F5904D Coal Mill - Replace Breaker Housing Switch"/>
    <s v="Mill Creek"/>
    <x v="0"/>
    <s v="Coal"/>
    <x v="2"/>
    <x v="1"/>
    <n v="8"/>
    <n v="3.0166666665463708"/>
    <n v="0.52690339089389582"/>
    <n v="253.96743441085778"/>
    <n v="84.188099808061423"/>
    <x v="136"/>
  </r>
  <r>
    <x v="10"/>
    <x v="0"/>
    <n v="196"/>
    <n v="8670"/>
    <d v="2014-08-10T16:58:00"/>
    <d v="2014-08-10T18:04:00"/>
    <n v="430"/>
    <n v="521"/>
    <n v="482"/>
    <s v="Emission monitors (other than CEMS) A"/>
    <s v="F320Particulate Matter Limitation - Cleaned Probes"/>
    <s v="Mill Creek"/>
    <x v="0"/>
    <s v="Coal"/>
    <x v="2"/>
    <x v="1"/>
    <n v="8"/>
    <n v="1.1000000000931323"/>
    <n v="0.19213051825043193"/>
    <n v="92.606909796708194"/>
    <n v="84.188099808061423"/>
    <x v="136"/>
  </r>
  <r>
    <x v="10"/>
    <x v="2"/>
    <n v="197"/>
    <n v="1470"/>
    <d v="2014-08-18T22:00:00"/>
    <d v="2014-08-19T02:35:00"/>
    <n v="290"/>
    <n v="521"/>
    <n v="482"/>
    <s v="Induced draft fan motors and drives"/>
    <s v="F5904B Induced Draft Fan - Replace Beck Drive Motor"/>
    <s v="Mill Creek"/>
    <x v="0"/>
    <s v="Coal"/>
    <x v="2"/>
    <x v="1"/>
    <n v="8"/>
    <n v="4.5833333334303461"/>
    <n v="2.0321497121351437"/>
    <n v="979.49616124913928"/>
    <n v="213.70825335892513"/>
    <x v="219"/>
  </r>
  <r>
    <x v="10"/>
    <x v="0"/>
    <n v="198"/>
    <n v="3149"/>
    <d v="2014-08-20T14:20:00"/>
    <d v="2014-08-20T16:58:00"/>
    <n v="485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2.6333333333604969"/>
    <n v="0.18195777351435297"/>
    <n v="87.703646833918128"/>
    <n v="33.305182341650671"/>
    <x v="17"/>
  </r>
  <r>
    <x v="10"/>
    <x v="0"/>
    <n v="199"/>
    <n v="250"/>
    <d v="2014-08-22T08:20:00"/>
    <d v="2014-08-22T09:55:00"/>
    <n v="450"/>
    <n v="521"/>
    <n v="482"/>
    <s v="Pulverizer feeders"/>
    <s v="F8204B Coal Feeder - Trip"/>
    <s v="Mill Creek"/>
    <x v="0"/>
    <s v="Coal"/>
    <x v="2"/>
    <x v="1"/>
    <n v="8"/>
    <n v="1.5833333334303461"/>
    <n v="0.21577095330816617"/>
    <n v="104.00159949453609"/>
    <n v="65.685220729366605"/>
    <x v="244"/>
  </r>
  <r>
    <x v="10"/>
    <x v="0"/>
    <n v="200"/>
    <n v="3149"/>
    <d v="2014-08-22T15:18:00"/>
    <d v="2014-08-24T12:34:00"/>
    <n v="485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45.266666666662786"/>
    <n v="3.1278310940496361"/>
    <n v="1507.6145873319247"/>
    <n v="33.305182341650671"/>
    <x v="17"/>
  </r>
  <r>
    <x v="10"/>
    <x v="0"/>
    <n v="201"/>
    <n v="3149"/>
    <d v="2014-08-24T12:34:00"/>
    <d v="2014-08-24T19:07:00"/>
    <n v="475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6.5500000000465661"/>
    <n v="0.57831094050315168"/>
    <n v="278.74587332251912"/>
    <n v="42.55662188099808"/>
    <x v="82"/>
  </r>
  <r>
    <x v="10"/>
    <x v="0"/>
    <n v="202"/>
    <n v="3149"/>
    <d v="2014-08-24T19:07:00"/>
    <d v="2014-08-25T09:54:00"/>
    <n v="465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14.783333333325572"/>
    <n v="1.5889955214323073"/>
    <n v="765.89584133037215"/>
    <n v="51.808061420345489"/>
    <x v="18"/>
  </r>
  <r>
    <x v="10"/>
    <x v="0"/>
    <n v="203"/>
    <n v="3149"/>
    <d v="2014-08-25T09:54:00"/>
    <d v="2014-08-25T10:36:00"/>
    <n v="490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0.70000000001164153"/>
    <n v="4.1650671785721474E-2"/>
    <n v="20.07562380071775"/>
    <n v="28.679462571976966"/>
    <x v="206"/>
  </r>
  <r>
    <x v="10"/>
    <x v="0"/>
    <n v="204"/>
    <n v="3149"/>
    <d v="2014-08-25T10:36:00"/>
    <d v="2014-08-25T11:36:00"/>
    <n v="480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0.99999999994179234"/>
    <n v="7.8694817653768692E-2"/>
    <n v="37.930902109116509"/>
    <n v="37.930902111324379"/>
    <x v="15"/>
  </r>
  <r>
    <x v="10"/>
    <x v="0"/>
    <n v="205"/>
    <n v="3149"/>
    <d v="2014-08-25T11:36:00"/>
    <d v="2014-08-26T07:45:00"/>
    <n v="465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20.150000000023283"/>
    <n v="2.1658349328239996"/>
    <n v="1043.9324376211678"/>
    <n v="51.808061420345489"/>
    <x v="18"/>
  </r>
  <r>
    <x v="10"/>
    <x v="0"/>
    <n v="206"/>
    <n v="3149"/>
    <d v="2014-08-26T07:45:00"/>
    <d v="2014-08-26T10:47:00"/>
    <n v="490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3.0333333334419876"/>
    <n v="0.18048624440825647"/>
    <n v="86.994369804779623"/>
    <n v="28.679462571976966"/>
    <x v="206"/>
  </r>
  <r>
    <x v="10"/>
    <x v="0"/>
    <n v="207"/>
    <n v="3149"/>
    <d v="2014-08-26T10:47:00"/>
    <d v="2014-08-26T13:50:00"/>
    <n v="480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3.0499999999883585"/>
    <n v="0.24001919385704931"/>
    <n v="115.68925143909777"/>
    <n v="37.930902111324379"/>
    <x v="15"/>
  </r>
  <r>
    <x v="10"/>
    <x v="0"/>
    <n v="208"/>
    <n v="3149"/>
    <d v="2014-08-26T13:50:00"/>
    <d v="2014-08-26T19:25:00"/>
    <n v="470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5.5833333333721384"/>
    <n v="0.54654510557001734"/>
    <n v="263.43474088474835"/>
    <n v="47.182341650671788"/>
    <x v="119"/>
  </r>
  <r>
    <x v="10"/>
    <x v="0"/>
    <n v="209"/>
    <n v="3149"/>
    <d v="2014-08-26T19:25:00"/>
    <d v="2014-08-26T22:00:00"/>
    <n v="480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2.5833333331975155"/>
    <n v="0.20329494560671427"/>
    <n v="97.988163782436274"/>
    <n v="37.930902111324379"/>
    <x v="15"/>
  </r>
  <r>
    <x v="10"/>
    <x v="2"/>
    <n v="210"/>
    <n v="3240"/>
    <d v="2014-08-26T22:00:00"/>
    <d v="2014-08-27T02:26:00"/>
    <n v="280"/>
    <n v="521"/>
    <n v="482"/>
    <s v="Cooling tower fans"/>
    <s v="F5904D Cooling Tower Fan - Maintenance4A Coal Mill PA Fan - Repair Discharge Duct"/>
    <s v="Mill Creek"/>
    <x v="0"/>
    <s v="Coal"/>
    <x v="2"/>
    <x v="1"/>
    <n v="8"/>
    <n v="4.4333333334652707"/>
    <n v="2.0507357646163729"/>
    <n v="988.45463854509171"/>
    <n v="222.95969289827255"/>
    <x v="223"/>
  </r>
  <r>
    <x v="10"/>
    <x v="0"/>
    <n v="211"/>
    <n v="3149"/>
    <d v="2014-08-27T02:26:00"/>
    <d v="2014-08-27T11:18:00"/>
    <n v="480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8.8666666665812954"/>
    <n v="0.69776071656397909"/>
    <n v="336.32066538383793"/>
    <n v="37.930902111324379"/>
    <x v="15"/>
  </r>
  <r>
    <x v="10"/>
    <x v="0"/>
    <n v="212"/>
    <n v="3133"/>
    <d v="2014-08-27T11:18:00"/>
    <d v="2014-08-27T11:59:00"/>
    <n v="470"/>
    <n v="521"/>
    <n v="482"/>
    <s v="Vacuum pumps"/>
    <s v="F8204A Condenser Vacuum Pump - Trip, Breaker Overheated"/>
    <s v="Mill Creek"/>
    <x v="0"/>
    <s v="Coal"/>
    <x v="2"/>
    <x v="1"/>
    <n v="8"/>
    <n v="0.68333333329064772"/>
    <n v="6.6890595005418496E-2"/>
    <n v="32.241266792611718"/>
    <n v="47.182341650671788"/>
    <x v="119"/>
  </r>
  <r>
    <x v="10"/>
    <x v="0"/>
    <n v="213"/>
    <n v="3149"/>
    <d v="2014-08-27T11:59:00"/>
    <d v="2014-08-27T13:54:00"/>
    <n v="480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1.9166666668024845"/>
    <n v="0.15083173385585771"/>
    <n v="72.700895718523412"/>
    <n v="37.930902111324379"/>
    <x v="15"/>
  </r>
  <r>
    <x v="10"/>
    <x v="0"/>
    <n v="214"/>
    <n v="3149"/>
    <d v="2014-08-27T13:54:00"/>
    <d v="2014-08-27T17:30:00"/>
    <n v="465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3.5999999998603016"/>
    <n v="0.38694817656847774"/>
    <n v="186.50902110600626"/>
    <n v="51.808061420345489"/>
    <x v="18"/>
  </r>
  <r>
    <x v="10"/>
    <x v="0"/>
    <n v="215"/>
    <n v="3149"/>
    <d v="2014-08-27T17:30:00"/>
    <d v="2014-08-28T10:40:00"/>
    <n v="485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17.166666666744277"/>
    <n v="1.1861804222702379"/>
    <n v="571.73896353425471"/>
    <n v="33.305182341650671"/>
    <x v="17"/>
  </r>
  <r>
    <x v="10"/>
    <x v="0"/>
    <n v="216"/>
    <n v="3149"/>
    <d v="2014-08-28T10:40:00"/>
    <d v="2014-08-28T23:19:00"/>
    <n v="475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12.650000000023283"/>
    <n v="1.1168905950116526"/>
    <n v="538.34126679561655"/>
    <n v="42.55662188099808"/>
    <x v="82"/>
  </r>
  <r>
    <x v="10"/>
    <x v="0"/>
    <n v="217"/>
    <n v="3149"/>
    <d v="2014-08-28T23:19:00"/>
    <d v="2014-08-29T12:16:00"/>
    <n v="485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12.949999999953434"/>
    <n v="0.8948176583461106"/>
    <n v="431.30211132282528"/>
    <n v="33.305182341650671"/>
    <x v="17"/>
  </r>
  <r>
    <x v="10"/>
    <x v="0"/>
    <n v="218"/>
    <n v="360"/>
    <d v="2014-08-29T05:36:00"/>
    <d v="2014-08-29T06:38:00"/>
    <n v="420"/>
    <n v="521"/>
    <n v="482"/>
    <s v="Burners"/>
    <s v="F7804C Coal Mill - 4C2 Burner High Temperature"/>
    <s v="Mill Creek"/>
    <x v="0"/>
    <s v="Coal"/>
    <x v="2"/>
    <x v="1"/>
    <n v="8"/>
    <n v="1.03333333338378"/>
    <n v="0.20031989764253699"/>
    <n v="96.554190663702826"/>
    <n v="93.439539347408825"/>
    <x v="129"/>
  </r>
  <r>
    <x v="10"/>
    <x v="0"/>
    <n v="219"/>
    <n v="3149"/>
    <d v="2014-08-29T12:16:00"/>
    <d v="2014-08-29T18:55:00"/>
    <n v="470"/>
    <n v="521"/>
    <n v="482"/>
    <s v="Loss of vacuum not attributable to a particular component such as air ejectors or valves; or"/>
    <s v="F660High Back Pressure"/>
    <s v="Mill Creek"/>
    <x v="0"/>
    <s v="Coal"/>
    <x v="2"/>
    <x v="1"/>
    <n v="8"/>
    <n v="6.6500000000232831"/>
    <n v="0.65095969290055167"/>
    <n v="313.76257197806592"/>
    <n v="47.182341650671788"/>
    <x v="119"/>
  </r>
  <r>
    <x v="10"/>
    <x v="0"/>
    <n v="220"/>
    <n v="360"/>
    <d v="2014-08-31T12:45:00"/>
    <d v="2014-08-31T13:33:00"/>
    <n v="420"/>
    <n v="521"/>
    <n v="482"/>
    <s v="Burners"/>
    <s v="F7804A Coal Mill - 4A2 Burner High Temperature"/>
    <s v="Mill Creek"/>
    <x v="0"/>
    <s v="Coal"/>
    <x v="2"/>
    <x v="1"/>
    <n v="8"/>
    <n v="0.79999999998835847"/>
    <n v="0.15508637235858772"/>
    <n v="74.751631476839279"/>
    <n v="93.439539347408825"/>
    <x v="129"/>
  </r>
  <r>
    <x v="10"/>
    <x v="2"/>
    <n v="221"/>
    <n v="310"/>
    <d v="2014-09-02T22:00:00"/>
    <d v="2014-09-03T00:47:00"/>
    <n v="420"/>
    <n v="521"/>
    <n v="482"/>
    <s v="Pulverizer mills"/>
    <s v="F7904E Coal Mill - Clean Air Test"/>
    <s v="Mill Creek"/>
    <x v="0"/>
    <s v="Coal"/>
    <x v="2"/>
    <x v="1"/>
    <n v="9"/>
    <n v="2.7833333333255723"/>
    <n v="0.53957133717060035"/>
    <n v="260.0733845162294"/>
    <n v="93.439539347408825"/>
    <x v="129"/>
  </r>
  <r>
    <x v="10"/>
    <x v="0"/>
    <n v="222"/>
    <n v="1488"/>
    <d v="2014-09-03T10:20:00"/>
    <d v="2014-09-03T12:00:00"/>
    <n v="485"/>
    <n v="521"/>
    <n v="482"/>
    <s v="Air heater (regenerative)"/>
    <s v="F6604A Air Heater - High Differential"/>
    <s v="Mill Creek"/>
    <x v="0"/>
    <s v="Coal"/>
    <x v="2"/>
    <x v="1"/>
    <n v="9"/>
    <n v="1.6666666666860692"/>
    <n v="0.11516314779404702"/>
    <n v="55.508637236730664"/>
    <n v="33.305182341650671"/>
    <x v="17"/>
  </r>
  <r>
    <x v="10"/>
    <x v="0"/>
    <n v="223"/>
    <n v="3499"/>
    <d v="2014-09-04T10:03:00"/>
    <d v="2014-09-04T14:50:00"/>
    <n v="480"/>
    <n v="521"/>
    <n v="482"/>
    <s v="Other feedwater system problems"/>
    <s v="F150Feedwater Flow Maxed Out"/>
    <s v="Mill Creek"/>
    <x v="0"/>
    <s v="Coal"/>
    <x v="2"/>
    <x v="1"/>
    <n v="9"/>
    <n v="4.78333333338378"/>
    <n v="0.37642354446974086"/>
    <n v="181.43614843441509"/>
    <n v="37.930902111324379"/>
    <x v="15"/>
  </r>
  <r>
    <x v="10"/>
    <x v="0"/>
    <n v="224"/>
    <n v="3499"/>
    <d v="2014-09-04T14:50:00"/>
    <d v="2014-09-05T12:18:00"/>
    <n v="495"/>
    <n v="521"/>
    <n v="482"/>
    <s v="Other feedwater system problems"/>
    <s v="F150Feedwater Flow Maxed Out"/>
    <s v="Mill Creek"/>
    <x v="0"/>
    <s v="Coal"/>
    <x v="2"/>
    <x v="1"/>
    <n v="9"/>
    <n v="21.46666666661622"/>
    <n v="1.0712731925758574"/>
    <n v="516.35367882156322"/>
    <n v="24.053742802303262"/>
    <x v="107"/>
  </r>
  <r>
    <x v="10"/>
    <x v="0"/>
    <n v="225"/>
    <n v="3499"/>
    <d v="2014-09-05T12:18:00"/>
    <d v="2014-09-05T14:33:00"/>
    <n v="490"/>
    <n v="521"/>
    <n v="482"/>
    <s v="Other feedwater system problems"/>
    <s v="F150Feedwater Flow Maxed Out"/>
    <s v="Mill Creek"/>
    <x v="0"/>
    <s v="Coal"/>
    <x v="2"/>
    <x v="1"/>
    <n v="9"/>
    <n v="2.25"/>
    <n v="0.13387715930902111"/>
    <n v="64.528790786948178"/>
    <n v="28.679462571976966"/>
    <x v="206"/>
  </r>
  <r>
    <x v="10"/>
    <x v="0"/>
    <n v="226"/>
    <n v="3499"/>
    <d v="2014-09-05T14:33:00"/>
    <d v="2014-09-10T02:54:00"/>
    <n v="496"/>
    <n v="521"/>
    <n v="482"/>
    <s v="Other feedwater system problems"/>
    <s v="F150Feedwater Flow Maxed Out"/>
    <s v="Mill Creek"/>
    <x v="0"/>
    <s v="Coal"/>
    <x v="2"/>
    <x v="1"/>
    <n v="9"/>
    <n v="108.35000000009313"/>
    <n v="5.1991362763960236"/>
    <n v="2505.9836852228832"/>
    <n v="23.128598848368522"/>
    <x v="0"/>
  </r>
  <r>
    <x v="10"/>
    <x v="5"/>
    <n v="227"/>
    <n v="800"/>
    <d v="2014-09-10T02:54:00"/>
    <d v="2014-09-10T05:39:00"/>
    <n v="0"/>
    <n v="521"/>
    <n v="482"/>
    <s v="Drums and drum internals (single drum only)"/>
    <s v="F420Low Drum Level Trip - Operator Error"/>
    <s v="Mill Creek"/>
    <x v="3"/>
    <s v="Coal"/>
    <x v="2"/>
    <x v="1"/>
    <n v="9"/>
    <n v="2.7500000000582077"/>
    <n v="2.7500000000582077"/>
    <n v="1325.5000000280561"/>
    <n v="482"/>
    <x v="275"/>
  </r>
  <r>
    <x v="10"/>
    <x v="0"/>
    <n v="228"/>
    <n v="3499"/>
    <d v="2014-09-10T05:39:00"/>
    <d v="2014-09-18T13:10:00"/>
    <n v="496"/>
    <n v="521"/>
    <n v="482"/>
    <s v="Other feedwater system problems"/>
    <s v="F150Feedwater Flow Maxed Out"/>
    <s v="Mill Creek"/>
    <x v="0"/>
    <s v="Coal"/>
    <x v="2"/>
    <x v="1"/>
    <n v="9"/>
    <n v="199.51666666654637"/>
    <n v="9.5737364043448352"/>
    <n v="4614.5409468942107"/>
    <n v="23.128598848368522"/>
    <x v="0"/>
  </r>
  <r>
    <x v="10"/>
    <x v="0"/>
    <n v="229"/>
    <n v="1850"/>
    <d v="2014-09-10T11:39:00"/>
    <d v="2014-09-10T20:00:00"/>
    <n v="370"/>
    <n v="521"/>
    <n v="482"/>
    <s v="Boiler water condition (not feedwater water quality)"/>
    <s v="F170High Silica"/>
    <s v="Mill Creek"/>
    <x v="0"/>
    <s v="Coal"/>
    <x v="2"/>
    <x v="1"/>
    <n v="9"/>
    <n v="8.3499999999767169"/>
    <n v="2.4200575815671481"/>
    <n v="1166.4677543153655"/>
    <n v="139.69673704414586"/>
    <x v="135"/>
  </r>
  <r>
    <x v="10"/>
    <x v="3"/>
    <n v="230"/>
    <n v="9690"/>
    <d v="2014-09-11T10:00:00"/>
    <d v="2014-09-11T12:00:00"/>
    <n v="0"/>
    <n v="521"/>
    <n v="482"/>
    <s v="Other miscellaneous operational environmental limits (fossil and nuclear)"/>
    <s v="F790MAT Testing - Full Load"/>
    <s v="Mill Creek"/>
    <x v="1"/>
    <s v="Coal"/>
    <x v="2"/>
    <x v="1"/>
    <n v="9"/>
    <n v="2.0000000000582077"/>
    <n v="2.0000000000582077"/>
    <n v="964.00000002805609"/>
    <n v="482"/>
    <x v="275"/>
  </r>
  <r>
    <x v="10"/>
    <x v="0"/>
    <n v="231"/>
    <n v="1470"/>
    <d v="2014-09-16T05:15:00"/>
    <d v="2014-09-16T05:56:00"/>
    <n v="395"/>
    <n v="521"/>
    <n v="482"/>
    <s v="Induced draft fan motors and drives"/>
    <s v="F5904B Induced Draft Fan - Beck Drive Issue"/>
    <s v="Mill Creek"/>
    <x v="0"/>
    <s v="Coal"/>
    <x v="2"/>
    <x v="1"/>
    <n v="9"/>
    <n v="0.68333333329064772"/>
    <n v="0.16525911707221039"/>
    <n v="79.654894428805406"/>
    <n v="116.56813819577735"/>
    <x v="242"/>
  </r>
  <r>
    <x v="10"/>
    <x v="0"/>
    <n v="232"/>
    <n v="570"/>
    <d v="2014-09-16T15:53:00"/>
    <d v="2014-09-17T10:15:00"/>
    <n v="485"/>
    <n v="521"/>
    <n v="482"/>
    <s v="Other reheat steam problems"/>
    <s v="F780Reheat Spray Issue - High Temperature"/>
    <s v="Mill Creek"/>
    <x v="0"/>
    <s v="Coal"/>
    <x v="2"/>
    <x v="1"/>
    <n v="9"/>
    <n v="18.366666666639503"/>
    <n v="1.269097888673747"/>
    <n v="611.70518234074598"/>
    <n v="33.305182341650671"/>
    <x v="17"/>
  </r>
  <r>
    <x v="10"/>
    <x v="0"/>
    <n v="233"/>
    <n v="560"/>
    <d v="2014-09-18T13:10:00"/>
    <d v="2014-09-18T14:35:00"/>
    <n v="220"/>
    <n v="521"/>
    <n v="482"/>
    <s v="Other hot reheat steam valves (not including turbine stop or intercept valves)"/>
    <s v="F780Reheat Spray Issue - High Temperature, Block Valve Closed"/>
    <s v="Mill Creek"/>
    <x v="0"/>
    <s v="Coal"/>
    <x v="2"/>
    <x v="1"/>
    <n v="9"/>
    <n v="1.4166666667442769"/>
    <n v="0.81845809345494691"/>
    <n v="394.49680104528443"/>
    <n v="278.46833013435702"/>
    <x v="213"/>
  </r>
  <r>
    <x v="10"/>
    <x v="5"/>
    <n v="234"/>
    <n v="3649"/>
    <d v="2014-09-18T14:35:00"/>
    <d v="2014-09-23T14:46:00"/>
    <n v="0"/>
    <n v="521"/>
    <n v="482"/>
    <s v="Other AC instrument power problems"/>
    <s v="F430Electrical Wiring - Burnt Wiring in Cable Tray"/>
    <s v="Mill Creek"/>
    <x v="3"/>
    <s v="Coal"/>
    <x v="2"/>
    <x v="1"/>
    <n v="9"/>
    <n v="120.18333333323244"/>
    <n v="120.18333333323244"/>
    <n v="57928.366666618036"/>
    <n v="482"/>
    <x v="275"/>
  </r>
  <r>
    <x v="10"/>
    <x v="3"/>
    <n v="235"/>
    <n v="1850"/>
    <d v="2014-09-23T14:46:00"/>
    <d v="2014-09-24T05:05:00"/>
    <n v="0"/>
    <n v="521"/>
    <n v="482"/>
    <s v="Boiler water condition (not feedwater water quality)"/>
    <s v="F170High Silica @ Cold Start Up"/>
    <s v="Mill Creek"/>
    <x v="1"/>
    <s v="Coal"/>
    <x v="2"/>
    <x v="1"/>
    <n v="9"/>
    <n v="14.316666666709352"/>
    <n v="14.316666666709352"/>
    <n v="6900.6333333539078"/>
    <n v="482"/>
    <x v="275"/>
  </r>
  <r>
    <x v="10"/>
    <x v="0"/>
    <n v="236"/>
    <n v="3499"/>
    <d v="2014-09-24T05:05:00"/>
    <d v="2014-09-24T06:54:00"/>
    <n v="496"/>
    <n v="521"/>
    <n v="482"/>
    <s v="Other feedwater system problems"/>
    <s v="F150Feedwater Flow Maxed Out"/>
    <s v="Mill Creek"/>
    <x v="0"/>
    <s v="Coal"/>
    <x v="2"/>
    <x v="1"/>
    <n v="9"/>
    <n v="1.8166666666511446"/>
    <n v="8.7172104925678728E-2"/>
    <n v="42.016954574177149"/>
    <n v="23.128598848368522"/>
    <x v="0"/>
  </r>
  <r>
    <x v="10"/>
    <x v="5"/>
    <n v="237"/>
    <n v="800"/>
    <d v="2014-09-24T06:54:00"/>
    <d v="2014-09-24T08:05:00"/>
    <n v="0"/>
    <n v="521"/>
    <n v="482"/>
    <s v="Drums and drum internals (single drum only)"/>
    <s v="F820Low Drum Level Trip - Boiler Pressure Swing"/>
    <s v="Mill Creek"/>
    <x v="3"/>
    <s v="Coal"/>
    <x v="2"/>
    <x v="1"/>
    <n v="9"/>
    <n v="1.1833333333488554"/>
    <n v="1.1833333333488554"/>
    <n v="570.36666667414829"/>
    <n v="482"/>
    <x v="275"/>
  </r>
  <r>
    <x v="10"/>
    <x v="3"/>
    <n v="238"/>
    <n v="1850"/>
    <d v="2014-09-24T08:05:00"/>
    <d v="2014-09-24T09:45:00"/>
    <n v="0"/>
    <n v="521"/>
    <n v="482"/>
    <s v="Boiler water condition (not feedwater water quality)"/>
    <s v="F170High Silica @ Very Hot Start Up"/>
    <s v="Mill Creek"/>
    <x v="1"/>
    <s v="Coal"/>
    <x v="2"/>
    <x v="1"/>
    <n v="9"/>
    <n v="1.6666666666860692"/>
    <n v="1.6666666666860692"/>
    <n v="803.33333334268536"/>
    <n v="482"/>
    <x v="275"/>
  </r>
  <r>
    <x v="10"/>
    <x v="5"/>
    <n v="239"/>
    <n v="800"/>
    <d v="2014-09-24T09:45:00"/>
    <d v="2014-09-24T11:02:00"/>
    <n v="0"/>
    <n v="521"/>
    <n v="482"/>
    <s v="Drums and drum internals (single drum only)"/>
    <s v="F820Low Drum Level Trip"/>
    <s v="Mill Creek"/>
    <x v="3"/>
    <s v="Coal"/>
    <x v="2"/>
    <x v="1"/>
    <n v="9"/>
    <n v="1.2833333333255723"/>
    <n v="1.2833333333255723"/>
    <n v="618.56666666292585"/>
    <n v="482"/>
    <x v="275"/>
  </r>
  <r>
    <x v="10"/>
    <x v="0"/>
    <n v="240"/>
    <n v="3499"/>
    <d v="2014-09-24T11:03:00"/>
    <d v="2014-09-24T23:47:00"/>
    <n v="496"/>
    <n v="521"/>
    <n v="482"/>
    <s v="Other feedwater system problems"/>
    <s v="F150Feedwater Flow Maxed Out"/>
    <s v="Mill Creek"/>
    <x v="0"/>
    <s v="Coal"/>
    <x v="2"/>
    <x v="1"/>
    <n v="9"/>
    <n v="12.733333333279006"/>
    <n v="0.61100447856425177"/>
    <n v="294.50415866796936"/>
    <n v="23.128598848368522"/>
    <x v="0"/>
  </r>
  <r>
    <x v="10"/>
    <x v="6"/>
    <n v="241"/>
    <n v="4400"/>
    <d v="2014-09-24T23:47:00"/>
    <d v="2014-12-02T18:05:00"/>
    <n v="0"/>
    <n v="521"/>
    <n v="482"/>
    <s v="Major turbine overhaul (720 hrs or longer) (use for non-specific overhaul only; see page B-1)"/>
    <s v="F590Planned 10 Week Outage"/>
    <s v="Mill Creek"/>
    <x v="1"/>
    <s v="Coal"/>
    <x v="2"/>
    <x v="1"/>
    <n v="9"/>
    <n v="1650.2999999999302"/>
    <n v="1650.2999999999302"/>
    <n v="795444.59999996633"/>
    <n v="482"/>
    <x v="275"/>
  </r>
  <r>
    <x v="10"/>
    <x v="6"/>
    <n v="242"/>
    <n v="8460"/>
    <d v="2014-12-02T18:15:00"/>
    <d v="2014-12-03T10:13:00"/>
    <n v="0"/>
    <n v="521"/>
    <n v="482"/>
    <s v="Testing A"/>
    <s v="F790FGD Testing"/>
    <s v="Mill Creek"/>
    <x v="1"/>
    <s v="Coal"/>
    <x v="2"/>
    <x v="1"/>
    <n v="12"/>
    <n v="15.966666666674428"/>
    <n v="15.966666666674428"/>
    <n v="7695.9333333370741"/>
    <n v="482"/>
    <x v="275"/>
  </r>
  <r>
    <x v="10"/>
    <x v="5"/>
    <n v="243"/>
    <n v="800"/>
    <d v="2014-12-03T10:19:00"/>
    <d v="2014-12-03T11:00:00"/>
    <n v="0"/>
    <n v="521"/>
    <n v="482"/>
    <s v="Drums and drum internals (single drum only)"/>
    <s v="F820Low Drum Level Trip"/>
    <s v="Mill Creek"/>
    <x v="3"/>
    <s v="Coal"/>
    <x v="2"/>
    <x v="1"/>
    <n v="12"/>
    <n v="0.6833333334652707"/>
    <n v="0.6833333334652707"/>
    <n v="329.36666673026048"/>
    <n v="482"/>
    <x v="275"/>
  </r>
  <r>
    <x v="10"/>
    <x v="4"/>
    <n v="244"/>
    <n v="4240"/>
    <d v="2014-12-03T17:46:00"/>
    <d v="2014-12-04T09:42:00"/>
    <n v="0"/>
    <n v="521"/>
    <n v="482"/>
    <s v="Bearings E"/>
    <s v="F850Turbine #3 Bearing - High Vibration"/>
    <s v="Mill Creek"/>
    <x v="2"/>
    <s v="Coal"/>
    <x v="2"/>
    <x v="1"/>
    <n v="12"/>
    <n v="15.933333333407063"/>
    <n v="15.933333333407063"/>
    <n v="7679.8666667022044"/>
    <n v="482"/>
    <x v="275"/>
  </r>
  <r>
    <x v="10"/>
    <x v="4"/>
    <n v="245"/>
    <n v="4560"/>
    <d v="2014-12-04T17:07:00"/>
    <d v="2014-12-06T11:53:00"/>
    <n v="0"/>
    <n v="521"/>
    <n v="482"/>
    <s v="Generator vibration (excluding vibration due to failed bearing and other components)"/>
    <s v="F850Generator - Balance Shot"/>
    <s v="Mill Creek"/>
    <x v="2"/>
    <s v="Coal"/>
    <x v="2"/>
    <x v="1"/>
    <n v="12"/>
    <n v="42.766666666720994"/>
    <n v="42.766666666720994"/>
    <n v="20613.533333359519"/>
    <n v="482"/>
    <x v="275"/>
  </r>
  <r>
    <x v="10"/>
    <x v="3"/>
    <n v="246"/>
    <n v="1850"/>
    <d v="2014-12-06T11:53:00"/>
    <d v="2014-12-06T11:58:00"/>
    <n v="0"/>
    <n v="521"/>
    <n v="482"/>
    <s v="Boiler water condition (not feedwater water quality)"/>
    <s v="F170High Silica @ Hot Start Up"/>
    <s v="Mill Creek"/>
    <x v="1"/>
    <s v="Coal"/>
    <x v="2"/>
    <x v="1"/>
    <n v="12"/>
    <n v="8.3333333430346102E-2"/>
    <n v="8.3333333430346102E-2"/>
    <n v="40.166666713426821"/>
    <n v="482"/>
    <x v="275"/>
  </r>
  <r>
    <x v="10"/>
    <x v="5"/>
    <n v="247"/>
    <n v="800"/>
    <d v="2014-12-06T11:58:00"/>
    <d v="2014-12-06T12:35:00"/>
    <n v="0"/>
    <n v="521"/>
    <n v="482"/>
    <s v="Drums and drum internals (single drum only)"/>
    <s v="F420Low Drum Level Trip - Operator Error"/>
    <s v="Mill Creek"/>
    <x v="3"/>
    <s v="Coal"/>
    <x v="2"/>
    <x v="1"/>
    <n v="12"/>
    <n v="0.61666666658129543"/>
    <n v="0.61666666658129543"/>
    <n v="297.2333332921844"/>
    <n v="482"/>
    <x v="275"/>
  </r>
  <r>
    <x v="10"/>
    <x v="3"/>
    <n v="248"/>
    <n v="1850"/>
    <d v="2014-12-06T12:35:00"/>
    <d v="2014-12-07T12:35:00"/>
    <n v="0"/>
    <n v="521"/>
    <n v="482"/>
    <s v="Boiler water condition (not feedwater water quality)"/>
    <s v="F170High Silica @ Cold Start Up"/>
    <s v="Mill Creek"/>
    <x v="1"/>
    <s v="Coal"/>
    <x v="2"/>
    <x v="1"/>
    <n v="12"/>
    <n v="24"/>
    <n v="24"/>
    <n v="11568"/>
    <n v="482"/>
    <x v="275"/>
  </r>
  <r>
    <x v="10"/>
    <x v="0"/>
    <n v="249"/>
    <n v="1850"/>
    <d v="2014-12-07T12:35:00"/>
    <d v="2014-12-08T06:00:00"/>
    <n v="360"/>
    <n v="521"/>
    <n v="482"/>
    <s v="Boiler water condition (not feedwater water quality)"/>
    <s v="F170High Silica"/>
    <s v="Mill Creek"/>
    <x v="0"/>
    <s v="Coal"/>
    <x v="2"/>
    <x v="1"/>
    <n v="12"/>
    <n v="17.416666666686069"/>
    <n v="5.3821177223348506"/>
    <n v="2594.180742165398"/>
    <n v="148.94817658349328"/>
    <x v="286"/>
  </r>
  <r>
    <x v="10"/>
    <x v="0"/>
    <n v="250"/>
    <n v="1850"/>
    <d v="2014-12-08T06:00:00"/>
    <d v="2014-12-08T15:20:00"/>
    <n v="370"/>
    <n v="521"/>
    <n v="482"/>
    <s v="Boiler water condition (not feedwater water quality)"/>
    <s v="F170High Silica"/>
    <s v="Mill Creek"/>
    <x v="0"/>
    <s v="Coal"/>
    <x v="2"/>
    <x v="1"/>
    <n v="12"/>
    <n v="9.3333333333721384"/>
    <n v="2.7050543826088154"/>
    <n v="1303.8362124174489"/>
    <n v="139.69673704414586"/>
    <x v="135"/>
  </r>
  <r>
    <x v="10"/>
    <x v="0"/>
    <n v="251"/>
    <n v="1850"/>
    <d v="2014-12-08T15:20:00"/>
    <d v="2014-12-08T22:30:00"/>
    <n v="340"/>
    <n v="521"/>
    <n v="482"/>
    <s v="Boiler water condition (not feedwater water quality)"/>
    <s v="F170High Silica"/>
    <s v="Mill Creek"/>
    <x v="0"/>
    <s v="Coal"/>
    <x v="2"/>
    <x v="1"/>
    <n v="12"/>
    <n v="7.1666666666278616"/>
    <n v="2.4897632757382784"/>
    <n v="1200.0658989058502"/>
    <n v="167.45105566218811"/>
    <x v="27"/>
  </r>
  <r>
    <x v="10"/>
    <x v="0"/>
    <n v="252"/>
    <n v="1850"/>
    <d v="2014-12-08T22:30:00"/>
    <d v="2014-12-09T16:40:00"/>
    <n v="365"/>
    <n v="521"/>
    <n v="482"/>
    <s v="Boiler water condition (not feedwater water quality)"/>
    <s v="F170High Silica"/>
    <s v="Mill Creek"/>
    <x v="0"/>
    <s v="Coal"/>
    <x v="2"/>
    <x v="1"/>
    <n v="12"/>
    <n v="18.166666666686069"/>
    <n v="5.4395393474146392"/>
    <n v="2621.8579654538562"/>
    <n v="144.32245681381957"/>
    <x v="250"/>
  </r>
  <r>
    <x v="10"/>
    <x v="0"/>
    <n v="253"/>
    <n v="1850"/>
    <d v="2014-12-09T16:40:00"/>
    <d v="2014-12-09T20:50:00"/>
    <n v="445"/>
    <n v="521"/>
    <n v="482"/>
    <s v="Boiler water condition (not feedwater water quality)"/>
    <s v="F170High Silica"/>
    <s v="Mill Creek"/>
    <x v="0"/>
    <s v="Coal"/>
    <x v="2"/>
    <x v="1"/>
    <n v="12"/>
    <n v="4.1666666666278616"/>
    <n v="0.60780550223362284"/>
    <n v="292.96225207660621"/>
    <n v="70.310940499040314"/>
    <x v="284"/>
  </r>
  <r>
    <x v="10"/>
    <x v="0"/>
    <n v="254"/>
    <n v="3412"/>
    <d v="2014-12-09T20:50:00"/>
    <d v="2014-12-09T22:10:00"/>
    <n v="390"/>
    <n v="521"/>
    <n v="482"/>
    <s v="Feedwater pump drive - steam turbine"/>
    <s v="F400Turbine Driven Boiler Feed Pump - Control Issue"/>
    <s v="Mill Creek"/>
    <x v="0"/>
    <s v="Coal"/>
    <x v="2"/>
    <x v="1"/>
    <n v="12"/>
    <n v="1.3333333333139308"/>
    <n v="0.33525271912499988"/>
    <n v="161.59181061824995"/>
    <n v="121.19385796545106"/>
    <x v="277"/>
  </r>
  <r>
    <x v="10"/>
    <x v="0"/>
    <n v="255"/>
    <n v="3412"/>
    <d v="2014-12-09T22:10:00"/>
    <d v="2014-12-09T22:15:00"/>
    <n v="330"/>
    <n v="521"/>
    <n v="482"/>
    <s v="Feedwater pump drive - steam turbine"/>
    <s v="F400Turbine Driven Boiler Feed Pump - Control Issue"/>
    <s v="Mill Creek"/>
    <x v="0"/>
    <s v="Coal"/>
    <x v="2"/>
    <x v="1"/>
    <n v="12"/>
    <n v="8.3333333430346102E-2"/>
    <n v="3.0550223963908073E-2"/>
    <n v="14.725207950603691"/>
    <n v="176.7024952015355"/>
    <x v="84"/>
  </r>
  <r>
    <x v="10"/>
    <x v="5"/>
    <n v="256"/>
    <n v="1455"/>
    <d v="2014-12-09T22:15:00"/>
    <d v="2014-12-10T02:09:00"/>
    <n v="0"/>
    <n v="521"/>
    <n v="482"/>
    <s v="Induced draft fans"/>
    <s v="F8204A Induced Draft Fan - Trip"/>
    <s v="Mill Creek"/>
    <x v="3"/>
    <s v="Coal"/>
    <x v="2"/>
    <x v="1"/>
    <n v="12"/>
    <n v="3.8999999999650754"/>
    <n v="3.8999999999650754"/>
    <n v="1879.7999999831663"/>
    <n v="482"/>
    <x v="275"/>
  </r>
  <r>
    <x v="10"/>
    <x v="3"/>
    <n v="257"/>
    <n v="1850"/>
    <d v="2014-12-10T02:09:00"/>
    <d v="2014-12-10T03:20:00"/>
    <n v="0"/>
    <n v="521"/>
    <n v="482"/>
    <s v="Boiler water condition (not feedwater water quality)"/>
    <s v="F170High Silica @ Very Hot Start Up"/>
    <s v="Mill Creek"/>
    <x v="1"/>
    <s v="Coal"/>
    <x v="2"/>
    <x v="1"/>
    <n v="12"/>
    <n v="1.1833333333488554"/>
    <n v="1.1833333333488554"/>
    <n v="570.36666667414829"/>
    <n v="482"/>
    <x v="275"/>
  </r>
  <r>
    <x v="10"/>
    <x v="0"/>
    <n v="258"/>
    <n v="3412"/>
    <d v="2014-12-10T03:20:00"/>
    <d v="2014-12-10T04:12:00"/>
    <n v="130"/>
    <n v="521"/>
    <n v="482"/>
    <s v="Feedwater pump drive - steam turbine"/>
    <s v="F400Turbine Driven Boiler Feed Pump - Control Issue"/>
    <s v="Mill Creek"/>
    <x v="0"/>
    <s v="Coal"/>
    <x v="2"/>
    <x v="1"/>
    <n v="12"/>
    <n v="0.86666666669771075"/>
    <n v="0.65041586694588271"/>
    <n v="313.50044786791545"/>
    <n v="361.73128598848371"/>
    <x v="289"/>
  </r>
  <r>
    <x v="10"/>
    <x v="0"/>
    <n v="259"/>
    <n v="3412"/>
    <d v="2014-12-10T04:12:00"/>
    <d v="2014-12-10T06:39:00"/>
    <n v="156"/>
    <n v="521"/>
    <n v="482"/>
    <s v="Feedwater pump drive - steam turbine"/>
    <s v="F400Turbine Driven Boiler Feed Pump - Control Issue"/>
    <s v="Mill Creek"/>
    <x v="0"/>
    <s v="Coal"/>
    <x v="2"/>
    <x v="1"/>
    <n v="12"/>
    <n v="2.4499999999534339"/>
    <n v="1.7164107485278375"/>
    <n v="827.30998079041763"/>
    <n v="337.6775431861804"/>
    <x v="200"/>
  </r>
  <r>
    <x v="10"/>
    <x v="5"/>
    <n v="260"/>
    <n v="800"/>
    <d v="2014-12-10T06:39:00"/>
    <d v="2014-12-10T08:39:00"/>
    <n v="0"/>
    <n v="521"/>
    <n v="482"/>
    <s v="Drums and drum internals (single drum only)"/>
    <s v="F420Low Drum Level Trip - Operator Error"/>
    <s v="Mill Creek"/>
    <x v="3"/>
    <s v="Coal"/>
    <x v="2"/>
    <x v="1"/>
    <n v="12"/>
    <n v="2.0000000000582077"/>
    <n v="2.0000000000582077"/>
    <n v="964.00000002805609"/>
    <n v="482"/>
    <x v="275"/>
  </r>
  <r>
    <x v="10"/>
    <x v="3"/>
    <n v="261"/>
    <n v="1850"/>
    <d v="2014-12-10T08:39:00"/>
    <d v="2014-12-10T19:25:00"/>
    <n v="0"/>
    <n v="521"/>
    <n v="482"/>
    <s v="Boiler water condition (not feedwater water quality)"/>
    <s v="F170High Silica @ Very Hot Start Up"/>
    <s v="Mill Creek"/>
    <x v="1"/>
    <s v="Coal"/>
    <x v="2"/>
    <x v="1"/>
    <n v="12"/>
    <n v="10.766666666662786"/>
    <n v="10.766666666662786"/>
    <n v="5189.5333333314629"/>
    <n v="482"/>
    <x v="275"/>
  </r>
  <r>
    <x v="10"/>
    <x v="5"/>
    <n v="262"/>
    <n v="3110"/>
    <d v="2014-12-10T19:25:00"/>
    <d v="2014-12-13T22:03:00"/>
    <n v="0"/>
    <n v="521"/>
    <n v="482"/>
    <s v="Condenser tube leaks"/>
    <s v="F540Condenser Tube Leaks"/>
    <s v="Mill Creek"/>
    <x v="3"/>
    <s v="Coal"/>
    <x v="2"/>
    <x v="1"/>
    <n v="12"/>
    <n v="74.633333333185874"/>
    <n v="74.633333333185874"/>
    <n v="35973.266666595591"/>
    <n v="482"/>
    <x v="275"/>
  </r>
  <r>
    <x v="10"/>
    <x v="3"/>
    <n v="263"/>
    <n v="1850"/>
    <d v="2014-12-13T22:03:00"/>
    <d v="2014-12-14T13:30:00"/>
    <n v="0"/>
    <n v="521"/>
    <n v="482"/>
    <s v="Boiler water condition (not feedwater water quality)"/>
    <s v="F170High Silica @ Warm Start Up"/>
    <s v="Mill Creek"/>
    <x v="1"/>
    <s v="Coal"/>
    <x v="2"/>
    <x v="1"/>
    <n v="12"/>
    <n v="15.450000000069849"/>
    <n v="15.450000000069849"/>
    <n v="7446.9000000336673"/>
    <n v="482"/>
    <x v="275"/>
  </r>
  <r>
    <x v="10"/>
    <x v="0"/>
    <n v="264"/>
    <n v="1850"/>
    <d v="2014-12-14T13:30:00"/>
    <d v="2014-12-14T16:30:00"/>
    <n v="240"/>
    <n v="521"/>
    <n v="482"/>
    <s v="Boiler water condition (not feedwater water quality)"/>
    <s v="F170High Silica"/>
    <s v="Mill Creek"/>
    <x v="0"/>
    <s v="Coal"/>
    <x v="2"/>
    <x v="1"/>
    <n v="12"/>
    <n v="3"/>
    <n v="1.618042226487524"/>
    <n v="779.89635316698661"/>
    <n v="259.96545105566219"/>
    <x v="290"/>
  </r>
  <r>
    <x v="10"/>
    <x v="0"/>
    <n v="265"/>
    <n v="1850"/>
    <d v="2014-12-14T16:30:00"/>
    <d v="2014-12-14T17:05:00"/>
    <n v="320"/>
    <n v="521"/>
    <n v="482"/>
    <s v="Boiler water condition (not feedwater water quality)"/>
    <s v="F170High Silica"/>
    <s v="Mill Creek"/>
    <x v="0"/>
    <s v="Coal"/>
    <x v="2"/>
    <x v="1"/>
    <n v="12"/>
    <n v="0.58333333331393078"/>
    <n v="0.2250479846374282"/>
    <n v="108.4731285952404"/>
    <n v="185.95393474088291"/>
    <x v="60"/>
  </r>
  <r>
    <x v="10"/>
    <x v="0"/>
    <n v="266"/>
    <n v="1850"/>
    <d v="2014-12-14T17:05:00"/>
    <d v="2014-12-14T21:45:00"/>
    <n v="200"/>
    <n v="521"/>
    <n v="482"/>
    <s v="Boiler water condition (not feedwater water quality)"/>
    <s v="F170High Silica/ Condensate Valve Sticking"/>
    <s v="Mill Creek"/>
    <x v="0"/>
    <s v="Coal"/>
    <x v="2"/>
    <x v="1"/>
    <n v="12"/>
    <n v="4.6666666666860692"/>
    <n v="2.8752399232365224"/>
    <n v="1385.8656430000037"/>
    <n v="296.97120921305185"/>
    <x v="279"/>
  </r>
  <r>
    <x v="10"/>
    <x v="0"/>
    <n v="267"/>
    <n v="1850"/>
    <d v="2014-12-14T21:45:00"/>
    <d v="2014-12-15T00:57:00"/>
    <n v="310"/>
    <n v="521"/>
    <n v="482"/>
    <s v="Boiler water condition (not feedwater water quality)"/>
    <s v="F170High Silica"/>
    <s v="Mill Creek"/>
    <x v="0"/>
    <s v="Coal"/>
    <x v="2"/>
    <x v="1"/>
    <n v="12"/>
    <n v="3.1999999999534339"/>
    <n v="1.2959692898083965"/>
    <n v="624.65719768764711"/>
    <n v="195.20537428023033"/>
    <x v="71"/>
  </r>
  <r>
    <x v="10"/>
    <x v="0"/>
    <n v="268"/>
    <n v="1850"/>
    <d v="2014-12-15T00:57:00"/>
    <d v="2014-12-15T05:36:00"/>
    <n v="345"/>
    <n v="521"/>
    <n v="482"/>
    <s v="Boiler water condition (not feedwater water quality)"/>
    <s v="F170High Silica"/>
    <s v="Mill Creek"/>
    <x v="0"/>
    <s v="Coal"/>
    <x v="2"/>
    <x v="1"/>
    <n v="12"/>
    <n v="4.6499999999650754"/>
    <n v="1.5708253358807165"/>
    <n v="757.13781189450538"/>
    <n v="162.8253358925144"/>
    <x v="58"/>
  </r>
  <r>
    <x v="10"/>
    <x v="0"/>
    <n v="269"/>
    <n v="1850"/>
    <d v="2014-12-15T05:36:00"/>
    <d v="2014-12-15T16:39:00"/>
    <n v="390"/>
    <n v="521"/>
    <n v="482"/>
    <s v="Boiler water condition (not feedwater water quality)"/>
    <s v="F170High Silica"/>
    <s v="Mill Creek"/>
    <x v="0"/>
    <s v="Coal"/>
    <x v="2"/>
    <x v="1"/>
    <n v="12"/>
    <n v="11.050000000046566"/>
    <n v="2.7784069098005761"/>
    <n v="1339.1921305238777"/>
    <n v="121.19385796545106"/>
    <x v="277"/>
  </r>
  <r>
    <x v="10"/>
    <x v="0"/>
    <n v="270"/>
    <n v="1850"/>
    <d v="2014-12-15T16:39:00"/>
    <d v="2014-12-16T06:50:00"/>
    <n v="430"/>
    <n v="521"/>
    <n v="482"/>
    <s v="Boiler water condition (not feedwater water quality)"/>
    <s v="F170High Silica"/>
    <s v="Mill Creek"/>
    <x v="0"/>
    <s v="Coal"/>
    <x v="2"/>
    <x v="1"/>
    <n v="12"/>
    <n v="14.183333333290648"/>
    <n v="2.4773192578300365"/>
    <n v="1194.0678822740776"/>
    <n v="84.188099808061423"/>
    <x v="136"/>
  </r>
  <r>
    <x v="10"/>
    <x v="0"/>
    <n v="271"/>
    <n v="1850"/>
    <d v="2014-12-16T06:50:00"/>
    <d v="2014-12-16T09:12:00"/>
    <n v="275"/>
    <n v="521"/>
    <n v="482"/>
    <s v="Boiler water condition (not feedwater water quality)"/>
    <s v="F170High Silica"/>
    <s v="Mill Creek"/>
    <x v="0"/>
    <s v="Coal"/>
    <x v="2"/>
    <x v="1"/>
    <n v="12"/>
    <n v="2.3666666666977108"/>
    <n v="1.1174664107632186"/>
    <n v="538.61880998787137"/>
    <n v="227.58541266794626"/>
    <x v="264"/>
  </r>
  <r>
    <x v="10"/>
    <x v="5"/>
    <n v="272"/>
    <n v="3110"/>
    <d v="2014-12-16T09:12:00"/>
    <d v="2014-12-18T11:49:00"/>
    <n v="0"/>
    <n v="521"/>
    <n v="482"/>
    <s v="Condenser tube leaks"/>
    <s v="F540Condenser Tube Leaks"/>
    <s v="Mill Creek"/>
    <x v="3"/>
    <s v="Coal"/>
    <x v="2"/>
    <x v="1"/>
    <n v="12"/>
    <n v="50.616666666639503"/>
    <n v="50.616666666639503"/>
    <n v="24397.23333332024"/>
    <n v="482"/>
    <x v="275"/>
  </r>
  <r>
    <x v="10"/>
    <x v="3"/>
    <n v="273"/>
    <n v="1850"/>
    <d v="2014-12-18T11:49:00"/>
    <d v="2014-12-19T01:23:00"/>
    <n v="0"/>
    <n v="521"/>
    <n v="482"/>
    <s v="Boiler water condition (not feedwater water quality)"/>
    <s v="F170High Silica @ Warm Start Up"/>
    <s v="Mill Creek"/>
    <x v="1"/>
    <s v="Coal"/>
    <x v="2"/>
    <x v="1"/>
    <n v="12"/>
    <n v="13.566666666709352"/>
    <n v="13.566666666709352"/>
    <n v="6539.1333333539078"/>
    <n v="482"/>
    <x v="275"/>
  </r>
  <r>
    <x v="10"/>
    <x v="0"/>
    <n v="274"/>
    <n v="1850"/>
    <d v="2014-12-19T01:23:00"/>
    <d v="2014-12-19T12:50:00"/>
    <n v="275"/>
    <n v="521"/>
    <n v="482"/>
    <s v="Boiler water condition (not feedwater water quality)"/>
    <s v="F170High Silica"/>
    <s v="Mill Creek"/>
    <x v="0"/>
    <s v="Coal"/>
    <x v="2"/>
    <x v="1"/>
    <n v="12"/>
    <n v="11.449999999953434"/>
    <n v="5.4063339731066113"/>
    <n v="2605.8529750373868"/>
    <n v="227.58541266794626"/>
    <x v="264"/>
  </r>
  <r>
    <x v="10"/>
    <x v="0"/>
    <n v="275"/>
    <n v="1850"/>
    <d v="2014-12-19T12:50:00"/>
    <d v="2014-12-20T03:10:00"/>
    <n v="332"/>
    <n v="521"/>
    <n v="482"/>
    <s v="Boiler water condition (not feedwater water quality)"/>
    <s v="F170High Silica"/>
    <s v="Mill Creek"/>
    <x v="0"/>
    <s v="Coal"/>
    <x v="2"/>
    <x v="1"/>
    <n v="12"/>
    <n v="14.333333333430346"/>
    <n v="5.1996161228758835"/>
    <n v="2506.2149712261757"/>
    <n v="174.85220729366603"/>
    <x v="217"/>
  </r>
  <r>
    <x v="10"/>
    <x v="0"/>
    <n v="276"/>
    <n v="1850"/>
    <d v="2014-12-20T03:10:00"/>
    <d v="2014-12-20T11:17:00"/>
    <n v="350"/>
    <n v="521"/>
    <n v="482"/>
    <s v="Boiler water condition (not feedwater water quality)"/>
    <s v="F170High Silica"/>
    <s v="Mill Creek"/>
    <x v="0"/>
    <s v="Coal"/>
    <x v="2"/>
    <x v="1"/>
    <n v="12"/>
    <n v="8.1166666665812954"/>
    <n v="2.664011516286759"/>
    <n v="1284.0535508502178"/>
    <n v="158.19961612284069"/>
    <x v="37"/>
  </r>
  <r>
    <x v="10"/>
    <x v="0"/>
    <n v="277"/>
    <n v="1850"/>
    <d v="2014-12-20T11:17:00"/>
    <d v="2014-12-20T16:25:00"/>
    <n v="400"/>
    <n v="521"/>
    <n v="482"/>
    <s v="Boiler water condition (not feedwater water quality)"/>
    <s v="F170High Silica"/>
    <s v="Mill Creek"/>
    <x v="0"/>
    <s v="Coal"/>
    <x v="2"/>
    <x v="1"/>
    <n v="12"/>
    <n v="5.1333333334769122"/>
    <n v="1.1921944977940622"/>
    <n v="574.63774793673792"/>
    <n v="111.94241842610364"/>
    <x v="38"/>
  </r>
  <r>
    <x v="10"/>
    <x v="0"/>
    <n v="278"/>
    <n v="1850"/>
    <d v="2014-12-20T16:25:00"/>
    <d v="2014-12-20T21:30:00"/>
    <n v="430"/>
    <n v="521"/>
    <n v="482"/>
    <s v="Boiler water condition (not feedwater water quality)"/>
    <s v="F170High Silica"/>
    <s v="Mill Creek"/>
    <x v="0"/>
    <s v="Coal"/>
    <x v="2"/>
    <x v="1"/>
    <n v="12"/>
    <n v="5.0833333333139308"/>
    <n v="0.88787587971510118"/>
    <n v="427.95617402267879"/>
    <n v="84.188099808061423"/>
    <x v="136"/>
  </r>
  <r>
    <x v="10"/>
    <x v="0"/>
    <n v="279"/>
    <n v="1850"/>
    <d v="2014-12-20T21:30:00"/>
    <d v="2014-12-21T06:28:00"/>
    <n v="405"/>
    <n v="521"/>
    <n v="482"/>
    <s v="Boiler water condition (not feedwater water quality)"/>
    <s v="F170High Silica"/>
    <s v="Mill Creek"/>
    <x v="0"/>
    <s v="Coal"/>
    <x v="2"/>
    <x v="1"/>
    <n v="12"/>
    <n v="8.9666666665580124"/>
    <n v="1.996417146488924"/>
    <n v="962.27306460766135"/>
    <n v="107.31669865642995"/>
    <x v="4"/>
  </r>
  <r>
    <x v="10"/>
    <x v="0"/>
    <n v="280"/>
    <n v="1850"/>
    <d v="2014-12-21T06:28:00"/>
    <d v="2014-12-21T16:06:00"/>
    <n v="420"/>
    <n v="521"/>
    <n v="482"/>
    <s v="Boiler water condition (not feedwater water quality)"/>
    <s v="F170High Silica"/>
    <s v="Mill Creek"/>
    <x v="0"/>
    <s v="Coal"/>
    <x v="2"/>
    <x v="1"/>
    <n v="12"/>
    <n v="9.6333333333022892"/>
    <n v="1.8674984005058182"/>
    <n v="900.13422904380434"/>
    <n v="93.439539347408825"/>
    <x v="129"/>
  </r>
  <r>
    <x v="10"/>
    <x v="0"/>
    <n v="281"/>
    <n v="1850"/>
    <d v="2014-12-21T16:06:00"/>
    <d v="2014-12-22T07:00:00"/>
    <n v="440"/>
    <n v="521"/>
    <n v="482"/>
    <s v="Boiler water condition (not feedwater water quality)"/>
    <s v="F170High Silica"/>
    <s v="Mill Creek"/>
    <x v="0"/>
    <s v="Coal"/>
    <x v="2"/>
    <x v="1"/>
    <n v="12"/>
    <n v="14.900000000023283"/>
    <n v="2.3165067178539078"/>
    <n v="1116.5562380055835"/>
    <n v="74.936660268714007"/>
    <x v="34"/>
  </r>
  <r>
    <x v="10"/>
    <x v="0"/>
    <n v="282"/>
    <n v="1850"/>
    <d v="2014-12-22T07:00:00"/>
    <d v="2014-12-22T12:36:00"/>
    <n v="463"/>
    <n v="521"/>
    <n v="482"/>
    <s v="Boiler water condition (not feedwater water quality)"/>
    <s v="F170High Silica"/>
    <s v="Mill Creek"/>
    <x v="0"/>
    <s v="Coal"/>
    <x v="2"/>
    <x v="1"/>
    <n v="12"/>
    <n v="5.6000000000931323"/>
    <n v="0.62341650672821813"/>
    <n v="300.48675624300114"/>
    <n v="53.658349328214975"/>
    <x v="158"/>
  </r>
  <r>
    <x v="10"/>
    <x v="2"/>
    <n v="283"/>
    <n v="331"/>
    <d v="2014-12-22T21:00:00"/>
    <d v="2014-12-23T04:40:00"/>
    <n v="420"/>
    <n v="521"/>
    <n v="482"/>
    <s v="Pulverizer system coal leaks (other than pulverizers"/>
    <s v="F5404A Coal Mill Maintenance - Coal Conduit Leaks"/>
    <s v="Mill Creek"/>
    <x v="0"/>
    <s v="Coal"/>
    <x v="2"/>
    <x v="1"/>
    <n v="12"/>
    <n v="7.6666666666860692"/>
    <n v="1.4862444017951881"/>
    <n v="716.36980166528065"/>
    <n v="93.439539347408825"/>
    <x v="129"/>
  </r>
  <r>
    <x v="10"/>
    <x v="0"/>
    <n v="284"/>
    <n v="260"/>
    <d v="2014-12-23T04:40:00"/>
    <d v="2014-12-23T08:47:00"/>
    <n v="420"/>
    <n v="521"/>
    <n v="482"/>
    <s v="Primary air fan"/>
    <s v="F4004A PA Fan 4kV Breaker issues"/>
    <s v="Mill Creek"/>
    <x v="0"/>
    <s v="Coal"/>
    <x v="2"/>
    <x v="1"/>
    <n v="12"/>
    <n v="4.1166666666395031"/>
    <n v="0.79804862443491331"/>
    <n v="384.65943697762822"/>
    <n v="93.439539347408825"/>
    <x v="129"/>
  </r>
  <r>
    <x v="10"/>
    <x v="0"/>
    <n v="285"/>
    <n v="310"/>
    <d v="2014-12-23T10:13:00"/>
    <d v="2014-12-23T13:21:00"/>
    <n v="490"/>
    <n v="521"/>
    <n v="482"/>
    <s v="Pulverizer mills"/>
    <s v="F7804B Coal Mill Fire"/>
    <s v="Mill Creek"/>
    <x v="0"/>
    <s v="Coal"/>
    <x v="2"/>
    <x v="1"/>
    <n v="12"/>
    <n v="3.1333333334187046"/>
    <n v="0.18643634037616091"/>
    <n v="89.862316061309556"/>
    <n v="28.679462571976966"/>
    <x v="206"/>
  </r>
  <r>
    <x v="10"/>
    <x v="0"/>
    <n v="286"/>
    <n v="250"/>
    <d v="2014-12-23T16:22:00"/>
    <d v="2014-12-23T19:12:00"/>
    <n v="450"/>
    <n v="521"/>
    <n v="482"/>
    <s v="Pulverizer feeders"/>
    <s v="F8204B Coal Mill Feeder Trip"/>
    <s v="Mill Creek"/>
    <x v="0"/>
    <s v="Coal"/>
    <x v="2"/>
    <x v="1"/>
    <n v="12"/>
    <n v="2.8333333334885538"/>
    <n v="0.3861164427594766"/>
    <n v="186.10812541006771"/>
    <n v="65.685220729366605"/>
    <x v="244"/>
  </r>
  <r>
    <x v="10"/>
    <x v="0"/>
    <n v="287"/>
    <n v="270"/>
    <d v="2014-12-23T21:08:00"/>
    <d v="2014-12-23T23:37:00"/>
    <n v="500"/>
    <n v="521"/>
    <n v="482"/>
    <s v="Primary air duct and dampers"/>
    <s v="F7804B Coal Mill PA Duct - Hot Spot"/>
    <s v="Mill Creek"/>
    <x v="0"/>
    <s v="Coal"/>
    <x v="2"/>
    <x v="1"/>
    <n v="12"/>
    <n v="2.4833333332207985"/>
    <n v="0.1000959692852913"/>
    <n v="48.246257195510402"/>
    <n v="19.428023032629557"/>
    <x v="54"/>
  </r>
  <r>
    <x v="10"/>
    <x v="0"/>
    <n v="288"/>
    <n v="310"/>
    <d v="2014-12-24T01:00:00"/>
    <d v="2014-12-24T06:20:00"/>
    <n v="450"/>
    <n v="521"/>
    <n v="482"/>
    <s v="Pulverizer mills"/>
    <s v="F5304B Coal Mill Inspection"/>
    <s v="Mill Creek"/>
    <x v="0"/>
    <s v="Coal"/>
    <x v="2"/>
    <x v="1"/>
    <n v="12"/>
    <n v="5.3333333334303461"/>
    <n v="0.72680742163830048"/>
    <n v="350.3211772296608"/>
    <n v="65.685220729366605"/>
    <x v="244"/>
  </r>
  <r>
    <x v="10"/>
    <x v="0"/>
    <n v="289"/>
    <n v="331"/>
    <d v="2014-12-25T16:56:00"/>
    <d v="2014-12-25T22:11:00"/>
    <n v="430"/>
    <n v="521"/>
    <n v="482"/>
    <s v="Pulverizer system coal leaks (other than pulverizers"/>
    <s v="F5404A Coal Mill - 4A3 Coal Conduit Leak"/>
    <s v="Mill Creek"/>
    <x v="0"/>
    <s v="Coal"/>
    <x v="2"/>
    <x v="1"/>
    <n v="12"/>
    <n v="5.25"/>
    <n v="0.91698656429942416"/>
    <n v="441.98752399232245"/>
    <n v="84.188099808061423"/>
    <x v="136"/>
  </r>
  <r>
    <x v="10"/>
    <x v="0"/>
    <n v="290"/>
    <n v="250"/>
    <d v="2014-12-26T14:20:00"/>
    <d v="2014-12-26T15:00:00"/>
    <n v="420"/>
    <n v="521"/>
    <n v="482"/>
    <s v="Pulverizer feeders"/>
    <s v="F4004C Feeder - Fuse block issue"/>
    <s v="Mill Creek"/>
    <x v="0"/>
    <s v="Coal"/>
    <x v="2"/>
    <x v="1"/>
    <n v="12"/>
    <n v="0.66666666674427688"/>
    <n v="0.12923864364908247"/>
    <n v="62.293026238857749"/>
    <n v="93.439539347408825"/>
    <x v="129"/>
  </r>
  <r>
    <x v="10"/>
    <x v="0"/>
    <n v="291"/>
    <n v="260"/>
    <d v="2014-12-26T22:14:00"/>
    <d v="2014-12-27T02:08:00"/>
    <n v="500"/>
    <n v="521"/>
    <n v="482"/>
    <s v="Primary air fan"/>
    <s v="F0604A PA Fan 4kV breaker racking mechanism"/>
    <s v="Mill Creek"/>
    <x v="0"/>
    <s v="Coal"/>
    <x v="2"/>
    <x v="1"/>
    <n v="12"/>
    <n v="3.8999999999650754"/>
    <n v="0.15719769673563644"/>
    <n v="75.769289826576767"/>
    <n v="19.428023032629557"/>
    <x v="54"/>
  </r>
  <r>
    <x v="10"/>
    <x v="0"/>
    <n v="292"/>
    <n v="330"/>
    <d v="2014-12-28T16:48:00"/>
    <d v="2014-12-28T18:11:00"/>
    <n v="440"/>
    <n v="521"/>
    <n v="482"/>
    <s v="Pulverizer coal leak (pulverizers only)"/>
    <s v="F5404A Coal Mill Leak"/>
    <s v="Mill Creek"/>
    <x v="0"/>
    <s v="Coal"/>
    <x v="2"/>
    <x v="1"/>
    <n v="12"/>
    <n v="1.3833333334769122"/>
    <n v="0.21506717852520132"/>
    <n v="103.66238004914703"/>
    <n v="74.936660268714007"/>
    <x v="34"/>
  </r>
  <r>
    <x v="10"/>
    <x v="2"/>
    <n v="1"/>
    <n v="250"/>
    <d v="2015-01-04T23:00:00"/>
    <d v="2015-01-05T03:20:00"/>
    <n v="420"/>
    <n v="521"/>
    <n v="482"/>
    <s v="Pulverizer feeders"/>
    <s v="F5904A Coal Feeder - Replaced Power Supply Board"/>
    <s v="Mill Creek"/>
    <x v="0"/>
    <s v="Coal"/>
    <x v="2"/>
    <x v="2"/>
    <n v="1"/>
    <n v="4.3333333333139308"/>
    <n v="0.84005118361747988"/>
    <n v="404.90467050362531"/>
    <n v="93.439539347408825"/>
    <x v="129"/>
  </r>
  <r>
    <x v="10"/>
    <x v="3"/>
    <n v="2"/>
    <n v="1990"/>
    <d v="2015-01-07T08:00:00"/>
    <d v="2015-01-07T16:18:00"/>
    <n v="0"/>
    <n v="521"/>
    <n v="482"/>
    <s v="Boiler performance testing (use code 9999 for total unit performance testing)"/>
    <s v="F790Combustion Tuning - Full Load Test"/>
    <s v="Mill Creek"/>
    <x v="1"/>
    <s v="Coal"/>
    <x v="2"/>
    <x v="2"/>
    <n v="1"/>
    <n v="8.2999999999883585"/>
    <n v="8.2999999999883585"/>
    <n v="4000.5999999943888"/>
    <n v="482"/>
    <x v="275"/>
  </r>
  <r>
    <x v="10"/>
    <x v="0"/>
    <n v="3"/>
    <n v="1599"/>
    <d v="2015-01-10T18:33:00"/>
    <d v="2015-01-10T19:05:00"/>
    <n v="355"/>
    <n v="521"/>
    <n v="482"/>
    <s v="Other miscellaneous boiler air and gas system problems"/>
    <s v="F400Air Flow Issues"/>
    <s v="Mill Creek"/>
    <x v="0"/>
    <s v="Coal"/>
    <x v="2"/>
    <x v="2"/>
    <n v="1"/>
    <n v="0.53333333332557231"/>
    <n v="0.16992962251832056"/>
    <n v="81.906078053830512"/>
    <n v="153.57389635316699"/>
    <x v="66"/>
  </r>
  <r>
    <x v="10"/>
    <x v="3"/>
    <n v="4"/>
    <n v="8460"/>
    <d v="2015-01-12T08:30:00"/>
    <d v="2015-01-12T18:20:00"/>
    <n v="0"/>
    <n v="521"/>
    <n v="482"/>
    <s v="Testing A"/>
    <s v="F790FGD  Performance Testing - Full Load"/>
    <s v="Mill Creek"/>
    <x v="1"/>
    <s v="Coal"/>
    <x v="2"/>
    <x v="2"/>
    <n v="1"/>
    <n v="9.8333333334303461"/>
    <n v="9.8333333334303461"/>
    <n v="4739.6666667134268"/>
    <n v="482"/>
    <x v="275"/>
  </r>
  <r>
    <x v="10"/>
    <x v="3"/>
    <n v="5"/>
    <n v="8460"/>
    <d v="2015-01-13T07:00:00"/>
    <d v="2015-01-13T18:00:00"/>
    <n v="0"/>
    <n v="521"/>
    <n v="482"/>
    <s v="Testing A"/>
    <s v="F790FGD Performance Testing - Full Load"/>
    <s v="Mill Creek"/>
    <x v="1"/>
    <s v="Coal"/>
    <x v="2"/>
    <x v="2"/>
    <n v="1"/>
    <n v="11.000000000058208"/>
    <n v="11.000000000058208"/>
    <n v="5302.0000000280561"/>
    <n v="482"/>
    <x v="275"/>
  </r>
  <r>
    <x v="10"/>
    <x v="3"/>
    <n v="6"/>
    <n v="8460"/>
    <d v="2015-01-14T07:00:00"/>
    <d v="2015-01-15T02:34:00"/>
    <n v="0"/>
    <n v="521"/>
    <n v="482"/>
    <s v="Testing A"/>
    <s v="F790FGD Performance Testing - Full Load"/>
    <s v="Mill Creek"/>
    <x v="1"/>
    <s v="Coal"/>
    <x v="2"/>
    <x v="2"/>
    <n v="1"/>
    <n v="19.566666666709352"/>
    <n v="19.566666666709352"/>
    <n v="9431.1333333539078"/>
    <n v="482"/>
    <x v="275"/>
  </r>
  <r>
    <x v="10"/>
    <x v="5"/>
    <n v="7"/>
    <n v="1480"/>
    <d v="2015-01-15T02:34:00"/>
    <d v="2015-01-15T07:18:00"/>
    <n v="0"/>
    <n v="521"/>
    <n v="482"/>
    <s v="Other induced draft fan problems"/>
    <s v="F820Induced Draft Fan Suction Pressure Trip"/>
    <s v="Mill Creek"/>
    <x v="3"/>
    <s v="Coal"/>
    <x v="2"/>
    <x v="2"/>
    <n v="1"/>
    <n v="4.7333333333954215"/>
    <n v="4.7333333333954215"/>
    <n v="2281.4666666965932"/>
    <n v="482"/>
    <x v="275"/>
  </r>
  <r>
    <x v="10"/>
    <x v="3"/>
    <n v="8"/>
    <n v="1850"/>
    <d v="2015-01-15T07:18:00"/>
    <d v="2015-01-15T13:20:00"/>
    <n v="0"/>
    <n v="521"/>
    <n v="482"/>
    <s v="Boiler water condition (not feedwater water quality)"/>
    <s v="F170High Silica @ Very Hot Start Up"/>
    <s v="Mill Creek"/>
    <x v="1"/>
    <s v="Coal"/>
    <x v="2"/>
    <x v="2"/>
    <n v="1"/>
    <n v="6.0333333332673647"/>
    <n v="6.0333333332673647"/>
    <n v="2908.0666666348698"/>
    <n v="482"/>
    <x v="275"/>
  </r>
  <r>
    <x v="10"/>
    <x v="0"/>
    <n v="9"/>
    <n v="1850"/>
    <d v="2015-01-15T13:20:00"/>
    <d v="2015-01-15T15:15:00"/>
    <n v="408"/>
    <n v="521"/>
    <n v="482"/>
    <s v="Boiler water condition (not feedwater water quality)"/>
    <s v="F170High Silica"/>
    <s v="Mill Creek"/>
    <x v="0"/>
    <s v="Coal"/>
    <x v="2"/>
    <x v="2"/>
    <n v="1"/>
    <n v="1.9166666666278616"/>
    <n v="0.41570697375997767"/>
    <n v="200.37076135230924"/>
    <n v="104.54126679462571"/>
    <x v="43"/>
  </r>
  <r>
    <x v="10"/>
    <x v="0"/>
    <n v="10"/>
    <n v="1850"/>
    <d v="2015-01-15T15:15:00"/>
    <d v="2015-01-15T16:45:00"/>
    <n v="500"/>
    <n v="521"/>
    <n v="482"/>
    <s v="Boiler water condition (not feedwater water quality)"/>
    <s v="F170High Silica"/>
    <s v="Mill Creek"/>
    <x v="0"/>
    <s v="Coal"/>
    <x v="2"/>
    <x v="2"/>
    <n v="1"/>
    <n v="1.5"/>
    <n v="6.0460652591170824E-2"/>
    <n v="29.142034548944338"/>
    <n v="19.428023032629557"/>
    <x v="54"/>
  </r>
  <r>
    <x v="10"/>
    <x v="5"/>
    <n v="11"/>
    <n v="4299"/>
    <d v="2015-01-16T20:40:00"/>
    <d v="2015-01-17T03:02:00"/>
    <n v="0"/>
    <n v="521"/>
    <n v="482"/>
    <s v="Other hydraulic system problems"/>
    <s v="F540Turbine Left Intercept Valve - EHC Leak"/>
    <s v="Mill Creek"/>
    <x v="3"/>
    <s v="Coal"/>
    <x v="2"/>
    <x v="2"/>
    <n v="1"/>
    <n v="6.3666666666395031"/>
    <n v="6.3666666666395031"/>
    <n v="3068.7333333202405"/>
    <n v="482"/>
    <x v="275"/>
  </r>
  <r>
    <x v="10"/>
    <x v="3"/>
    <n v="12"/>
    <n v="1850"/>
    <d v="2015-01-17T03:02:00"/>
    <d v="2015-01-17T11:58:00"/>
    <n v="0"/>
    <n v="521"/>
    <n v="482"/>
    <s v="Boiler water condition (not feedwater water quality)"/>
    <s v="F170High Silica @ Hot Start Up"/>
    <s v="Mill Creek"/>
    <x v="1"/>
    <s v="Coal"/>
    <x v="2"/>
    <x v="2"/>
    <n v="1"/>
    <n v="8.9333333334652707"/>
    <n v="8.9333333334652707"/>
    <n v="4305.8666667302605"/>
    <n v="482"/>
    <x v="275"/>
  </r>
  <r>
    <x v="10"/>
    <x v="2"/>
    <n v="13"/>
    <n v="8460"/>
    <d v="2015-01-18T03:00:00"/>
    <d v="2015-01-18T18:05:00"/>
    <n v="300"/>
    <n v="521"/>
    <n v="482"/>
    <s v="Testing A"/>
    <s v="F790FGD Performance Testing"/>
    <s v="Mill Creek"/>
    <x v="0"/>
    <s v="Coal"/>
    <x v="2"/>
    <x v="2"/>
    <n v="1"/>
    <n v="15.083333333255723"/>
    <n v="6.3981126039338099"/>
    <n v="3083.8902750960965"/>
    <n v="204.45681381957775"/>
    <x v="113"/>
  </r>
  <r>
    <x v="10"/>
    <x v="5"/>
    <n v="14"/>
    <n v="4268"/>
    <d v="2015-01-18T22:43:00"/>
    <d v="2015-01-19T01:41:00"/>
    <n v="0"/>
    <n v="521"/>
    <n v="482"/>
    <s v="Reheat/intercept valve testing"/>
    <s v="F820Turbine Reheat/Intercept Valve Check - Trip"/>
    <s v="Mill Creek"/>
    <x v="3"/>
    <s v="Coal"/>
    <x v="2"/>
    <x v="2"/>
    <n v="1"/>
    <n v="2.9666666667326353"/>
    <n v="2.9666666667326353"/>
    <n v="1429.9333333651302"/>
    <n v="482"/>
    <x v="275"/>
  </r>
  <r>
    <x v="10"/>
    <x v="3"/>
    <n v="15"/>
    <n v="1850"/>
    <d v="2015-01-19T01:41:00"/>
    <d v="2015-01-19T10:00:00"/>
    <n v="0"/>
    <n v="521"/>
    <n v="482"/>
    <s v="Boiler water condition (not feedwater water quality)"/>
    <s v="F170High Silica @ Very Hot Start Up"/>
    <s v="Mill Creek"/>
    <x v="1"/>
    <s v="Coal"/>
    <x v="2"/>
    <x v="2"/>
    <n v="1"/>
    <n v="8.3166666665347293"/>
    <n v="8.3166666665347293"/>
    <n v="4008.6333332697395"/>
    <n v="482"/>
    <x v="275"/>
  </r>
  <r>
    <x v="10"/>
    <x v="0"/>
    <n v="16"/>
    <n v="1850"/>
    <d v="2015-01-19T10:00:00"/>
    <d v="2015-01-19T11:54:00"/>
    <n v="400"/>
    <n v="521"/>
    <n v="482"/>
    <s v="Boiler water condition (not feedwater water quality)"/>
    <s v="F170High Silica"/>
    <s v="Mill Creek"/>
    <x v="0"/>
    <s v="Coal"/>
    <x v="2"/>
    <x v="2"/>
    <n v="1"/>
    <n v="1.9000000000814907"/>
    <n v="0.44126679464464563"/>
    <n v="212.69059501871919"/>
    <n v="111.94241842610364"/>
    <x v="38"/>
  </r>
  <r>
    <x v="10"/>
    <x v="3"/>
    <n v="17"/>
    <n v="8460"/>
    <d v="2015-01-20T04:00:00"/>
    <d v="2015-01-20T17:15:00"/>
    <n v="0"/>
    <n v="521"/>
    <n v="482"/>
    <s v="Testing A"/>
    <s v="F790FGD Performance Testing - Full Load"/>
    <s v="Mill Creek"/>
    <x v="1"/>
    <s v="Coal"/>
    <x v="2"/>
    <x v="2"/>
    <n v="1"/>
    <n v="13.250000000058208"/>
    <n v="13.250000000058208"/>
    <n v="6386.5000000280561"/>
    <n v="482"/>
    <x v="275"/>
  </r>
  <r>
    <x v="10"/>
    <x v="3"/>
    <n v="18"/>
    <n v="8650"/>
    <d v="2015-01-21T14:00:00"/>
    <d v="2015-01-21T17:15:00"/>
    <n v="0"/>
    <n v="521"/>
    <n v="482"/>
    <s v="Baghouse systems"/>
    <s v="F790FGD Pulse Jet Fabric Filter (PJFF) - Control Efficiency Test at Full Load"/>
    <s v="Mill Creek"/>
    <x v="1"/>
    <s v="Coal"/>
    <x v="2"/>
    <x v="2"/>
    <n v="1"/>
    <n v="3.2499999999417923"/>
    <n v="3.2499999999417923"/>
    <n v="1566.4999999719439"/>
    <n v="482"/>
    <x v="275"/>
  </r>
  <r>
    <x v="10"/>
    <x v="3"/>
    <n v="19"/>
    <n v="510"/>
    <d v="2015-01-21T20:26:00"/>
    <d v="2015-01-22T03:55:00"/>
    <n v="0"/>
    <n v="521"/>
    <n v="482"/>
    <s v="Main steam relief/safety valves off superheater"/>
    <s v="F590Main Steam, Reheat &amp; Superheat Safeties - Set"/>
    <s v="Mill Creek"/>
    <x v="1"/>
    <s v="Coal"/>
    <x v="2"/>
    <x v="2"/>
    <n v="1"/>
    <n v="7.4833333332790062"/>
    <n v="7.4833333332790062"/>
    <n v="3606.966666640481"/>
    <n v="482"/>
    <x v="275"/>
  </r>
  <r>
    <x v="10"/>
    <x v="3"/>
    <n v="20"/>
    <n v="8650"/>
    <d v="2015-01-22T08:00:00"/>
    <d v="2015-01-22T15:30:00"/>
    <n v="0"/>
    <n v="521"/>
    <n v="482"/>
    <s v="Baghouse systems"/>
    <s v="F790FGD PJFF - Control Efficiency Test at Full Load"/>
    <s v="Mill Creek"/>
    <x v="1"/>
    <s v="Coal"/>
    <x v="2"/>
    <x v="2"/>
    <n v="1"/>
    <n v="7.5"/>
    <n v="7.5"/>
    <n v="3615"/>
    <n v="482"/>
    <x v="275"/>
  </r>
  <r>
    <x v="10"/>
    <x v="3"/>
    <n v="21"/>
    <n v="8650"/>
    <d v="2015-01-22T15:30:00"/>
    <d v="2015-01-22T19:06:00"/>
    <n v="0"/>
    <n v="521"/>
    <n v="482"/>
    <s v="Baghouse systems"/>
    <s v="F790FGD PJFF - Pressure Drop Test at Full Load"/>
    <s v="Mill Creek"/>
    <x v="1"/>
    <s v="Coal"/>
    <x v="2"/>
    <x v="2"/>
    <n v="1"/>
    <n v="3.5999999998603016"/>
    <n v="3.5999999998603016"/>
    <n v="1735.1999999326654"/>
    <n v="482"/>
    <x v="275"/>
  </r>
  <r>
    <x v="10"/>
    <x v="3"/>
    <n v="22"/>
    <n v="8460"/>
    <d v="2015-01-27T06:00:00"/>
    <d v="2015-01-27T14:38:00"/>
    <n v="0"/>
    <n v="521"/>
    <n v="482"/>
    <s v="Testing A"/>
    <s v="F790RATA Testing - Full Load"/>
    <s v="Mill Creek"/>
    <x v="1"/>
    <s v="Coal"/>
    <x v="2"/>
    <x v="2"/>
    <n v="1"/>
    <n v="8.6333333333604969"/>
    <n v="8.6333333333604969"/>
    <n v="4161.2666666797595"/>
    <n v="482"/>
    <x v="275"/>
  </r>
  <r>
    <x v="10"/>
    <x v="3"/>
    <n v="23"/>
    <n v="8460"/>
    <d v="2015-01-27T22:30:00"/>
    <d v="2015-01-28T03:00:00"/>
    <n v="0"/>
    <n v="521"/>
    <n v="482"/>
    <s v="Testing A"/>
    <s v="F790RATA Testing - Low Load @ 290 MW"/>
    <s v="Mill Creek"/>
    <x v="1"/>
    <s v="Coal"/>
    <x v="2"/>
    <x v="2"/>
    <n v="1"/>
    <n v="4.5"/>
    <n v="4.5"/>
    <n v="2169"/>
    <n v="482"/>
    <x v="275"/>
  </r>
  <r>
    <x v="10"/>
    <x v="3"/>
    <n v="24"/>
    <n v="8460"/>
    <d v="2015-01-28T03:00:00"/>
    <d v="2015-01-28T06:32:00"/>
    <n v="0"/>
    <n v="521"/>
    <n v="482"/>
    <s v="Testing A"/>
    <s v="F790RATA Testing - Mid Load @ 390 MW"/>
    <s v="Mill Creek"/>
    <x v="1"/>
    <s v="Coal"/>
    <x v="2"/>
    <x v="2"/>
    <n v="1"/>
    <n v="3.5333333333255723"/>
    <n v="3.5333333333255723"/>
    <n v="1703.0666666629259"/>
    <n v="482"/>
    <x v="275"/>
  </r>
  <r>
    <x v="10"/>
    <x v="4"/>
    <n v="25"/>
    <n v="8650"/>
    <d v="2015-01-28T11:26:00"/>
    <d v="2015-01-31T14:55:00"/>
    <n v="0"/>
    <n v="521"/>
    <n v="482"/>
    <s v="Baghouse systems"/>
    <s v="F530Baghouse inspection"/>
    <s v="Mill Creek"/>
    <x v="2"/>
    <s v="Coal"/>
    <x v="2"/>
    <x v="2"/>
    <n v="1"/>
    <n v="75.483333333337214"/>
    <n v="75.483333333337214"/>
    <n v="36382.966666668537"/>
    <n v="482"/>
    <x v="275"/>
  </r>
  <r>
    <x v="10"/>
    <x v="3"/>
    <n v="26"/>
    <n v="1850"/>
    <d v="2015-01-31T14:55:00"/>
    <d v="2015-02-01T03:20:00"/>
    <n v="0"/>
    <n v="521"/>
    <n v="482"/>
    <s v="Boiler water condition (not feedwater water quality)"/>
    <s v="F170High silica at warm start-up"/>
    <s v="Mill Creek"/>
    <x v="1"/>
    <s v="Coal"/>
    <x v="2"/>
    <x v="2"/>
    <n v="1"/>
    <n v="12.416666666627862"/>
    <n v="12.416666666627862"/>
    <n v="5984.8333333146293"/>
    <n v="482"/>
    <x v="275"/>
  </r>
  <r>
    <x v="10"/>
    <x v="0"/>
    <n v="27"/>
    <n v="1850"/>
    <d v="2015-02-01T03:20:00"/>
    <d v="2015-02-01T07:52:00"/>
    <n v="465"/>
    <n v="521"/>
    <n v="482"/>
    <s v="Boiler water condition (not feedwater water quality)"/>
    <s v="F170High silica"/>
    <s v="Mill Creek"/>
    <x v="0"/>
    <s v="Coal"/>
    <x v="2"/>
    <x v="2"/>
    <n v="2"/>
    <n v="4.5333333332673647"/>
    <n v="0.48726807420916013"/>
    <n v="234.86321176881518"/>
    <n v="51.808061420345489"/>
    <x v="18"/>
  </r>
  <r>
    <x v="10"/>
    <x v="3"/>
    <n v="28"/>
    <n v="8650"/>
    <d v="2015-02-04T04:00:00"/>
    <d v="2015-02-04T18:00:00"/>
    <n v="0"/>
    <n v="521"/>
    <n v="482"/>
    <s v="Baghouse systems"/>
    <s v="F790Baghouse testing at Full Load"/>
    <s v="Mill Creek"/>
    <x v="1"/>
    <s v="Coal"/>
    <x v="2"/>
    <x v="2"/>
    <n v="2"/>
    <n v="14.000000000058208"/>
    <n v="14.000000000058208"/>
    <n v="6748.0000000280561"/>
    <n v="482"/>
    <x v="275"/>
  </r>
  <r>
    <x v="10"/>
    <x v="3"/>
    <n v="29"/>
    <n v="8650"/>
    <d v="2015-02-05T04:00:00"/>
    <d v="2015-02-06T19:00:00"/>
    <n v="0"/>
    <n v="521"/>
    <n v="482"/>
    <s v="Baghouse systems"/>
    <s v="F790Baghouse - Testing at Full Load"/>
    <s v="Mill Creek"/>
    <x v="1"/>
    <s v="Coal"/>
    <x v="2"/>
    <x v="2"/>
    <n v="2"/>
    <n v="39"/>
    <n v="39"/>
    <n v="18798"/>
    <n v="482"/>
    <x v="275"/>
  </r>
  <r>
    <x v="10"/>
    <x v="3"/>
    <n v="30"/>
    <n v="1990"/>
    <d v="2015-02-06T22:00:00"/>
    <d v="2015-02-07T05:19:00"/>
    <n v="0"/>
    <n v="521"/>
    <n v="482"/>
    <s v="Boiler performance testing (use code 9999 for total unit performance testing)"/>
    <s v="F790Boiler tuning - Full load available if needed."/>
    <s v="Mill Creek"/>
    <x v="1"/>
    <s v="Coal"/>
    <x v="2"/>
    <x v="2"/>
    <n v="2"/>
    <n v="7.3166666667675599"/>
    <n v="7.3166666667675599"/>
    <n v="3526.6333333819639"/>
    <n v="482"/>
    <x v="275"/>
  </r>
  <r>
    <x v="10"/>
    <x v="0"/>
    <n v="31"/>
    <n v="3504"/>
    <d v="2015-02-09T09:38:00"/>
    <d v="2015-02-09T11:27:00"/>
    <n v="430"/>
    <n v="521"/>
    <n v="482"/>
    <s v="Heater drain valves"/>
    <s v="F590Heater 5 Drain valve regulator issue"/>
    <s v="Mill Creek"/>
    <x v="0"/>
    <s v="Coal"/>
    <x v="2"/>
    <x v="2"/>
    <n v="2"/>
    <n v="1.8166666666511446"/>
    <n v="0.31730646192947054"/>
    <n v="152.9417146500048"/>
    <n v="84.188099808061423"/>
    <x v="136"/>
  </r>
  <r>
    <x v="10"/>
    <x v="3"/>
    <n v="32"/>
    <n v="360"/>
    <d v="2015-02-09T11:27:00"/>
    <d v="2015-02-09T17:22:00"/>
    <n v="0"/>
    <n v="521"/>
    <n v="482"/>
    <s v="Burners"/>
    <s v="F790Burner testing"/>
    <s v="Mill Creek"/>
    <x v="1"/>
    <s v="Coal"/>
    <x v="2"/>
    <x v="2"/>
    <n v="2"/>
    <n v="5.9166666667442769"/>
    <n v="5.9166666667442769"/>
    <n v="2851.8333333707415"/>
    <n v="482"/>
    <x v="275"/>
  </r>
  <r>
    <x v="10"/>
    <x v="3"/>
    <n v="33"/>
    <n v="8460"/>
    <d v="2015-02-11T08:00:00"/>
    <d v="2015-02-11T17:00:00"/>
    <n v="0"/>
    <n v="521"/>
    <n v="482"/>
    <s v="Testing A"/>
    <s v="F790FGD Power Consumption Test @ Full Load"/>
    <s v="Mill Creek"/>
    <x v="1"/>
    <s v="Coal"/>
    <x v="2"/>
    <x v="2"/>
    <n v="2"/>
    <n v="9"/>
    <n v="9"/>
    <n v="4338"/>
    <n v="482"/>
    <x v="275"/>
  </r>
  <r>
    <x v="10"/>
    <x v="0"/>
    <n v="34"/>
    <n v="260"/>
    <d v="2015-02-11T23:00:00"/>
    <d v="2015-02-12T05:00:00"/>
    <n v="430"/>
    <n v="521"/>
    <n v="482"/>
    <s v="Primary air fan"/>
    <s v="F5904D Coal Mill Primary Air Fan Inboard Bearing - Replaced Shaft Seal"/>
    <s v="Mill Creek"/>
    <x v="0"/>
    <s v="Coal"/>
    <x v="2"/>
    <x v="2"/>
    <n v="2"/>
    <n v="6"/>
    <n v="1.0479846449136276"/>
    <n v="505.12859884836854"/>
    <n v="84.188099808061423"/>
    <x v="136"/>
  </r>
  <r>
    <x v="10"/>
    <x v="0"/>
    <n v="35"/>
    <n v="260"/>
    <d v="2015-02-13T07:31:00"/>
    <d v="2015-02-13T08:20:00"/>
    <n v="430"/>
    <n v="521"/>
    <n v="482"/>
    <s v="Primary air fan"/>
    <s v="F5904A Coal Mill Primary Air Fan - Breaker Issue"/>
    <s v="Mill Creek"/>
    <x v="0"/>
    <s v="Coal"/>
    <x v="2"/>
    <x v="2"/>
    <n v="2"/>
    <n v="0.8166666665347293"/>
    <n v="0.14264235442353237"/>
    <n v="68.753614832142603"/>
    <n v="84.188099808061423"/>
    <x v="136"/>
  </r>
  <r>
    <x v="10"/>
    <x v="3"/>
    <n v="36"/>
    <n v="360"/>
    <d v="2015-02-13T09:30:00"/>
    <d v="2015-02-13T15:50:00"/>
    <n v="0"/>
    <n v="521"/>
    <n v="482"/>
    <s v="Burners"/>
    <s v="F790Burner Tuning @ Full Load"/>
    <s v="Mill Creek"/>
    <x v="1"/>
    <s v="Coal"/>
    <x v="2"/>
    <x v="2"/>
    <n v="2"/>
    <n v="6.3333333331975155"/>
    <n v="6.3333333331975155"/>
    <n v="3052.6666666012025"/>
    <n v="482"/>
    <x v="275"/>
  </r>
  <r>
    <x v="10"/>
    <x v="3"/>
    <n v="37"/>
    <n v="8700"/>
    <d v="2015-02-24T08:00:00"/>
    <d v="2015-02-24T16:00:00"/>
    <n v="0"/>
    <n v="521"/>
    <n v="482"/>
    <s v="CEMS Certification and Recertification"/>
    <s v="F790PM and RATA - Full Load Test"/>
    <s v="Mill Creek"/>
    <x v="1"/>
    <s v="Coal"/>
    <x v="2"/>
    <x v="2"/>
    <n v="2"/>
    <n v="7.9999999998835847"/>
    <n v="7.9999999998835847"/>
    <n v="3855.9999999438878"/>
    <n v="482"/>
    <x v="275"/>
  </r>
  <r>
    <x v="10"/>
    <x v="3"/>
    <n v="38"/>
    <n v="8460"/>
    <d v="2015-02-25T08:00:00"/>
    <d v="2015-02-25T17:00:00"/>
    <n v="0"/>
    <n v="521"/>
    <n v="482"/>
    <s v="Testing A"/>
    <s v="F790RATA Testing"/>
    <s v="Mill Creek"/>
    <x v="1"/>
    <s v="Coal"/>
    <x v="2"/>
    <x v="2"/>
    <n v="2"/>
    <n v="9"/>
    <n v="9"/>
    <n v="4338"/>
    <n v="482"/>
    <x v="275"/>
  </r>
  <r>
    <x v="10"/>
    <x v="3"/>
    <n v="39"/>
    <n v="8460"/>
    <d v="2015-02-26T08:00:00"/>
    <d v="2015-02-26T15:54:00"/>
    <n v="0"/>
    <n v="521"/>
    <n v="482"/>
    <s v="Testing A"/>
    <s v="F790RATA Testing - Full Load"/>
    <s v="Mill Creek"/>
    <x v="1"/>
    <s v="Coal"/>
    <x v="2"/>
    <x v="2"/>
    <n v="2"/>
    <n v="7.8999999999068677"/>
    <n v="7.8999999999068677"/>
    <n v="3807.7999999551103"/>
    <n v="482"/>
    <x v="275"/>
  </r>
  <r>
    <x v="10"/>
    <x v="3"/>
    <n v="40"/>
    <n v="9999"/>
    <d v="2015-03-02T08:00:00"/>
    <d v="2015-03-02T13:00:00"/>
    <n v="0"/>
    <n v="521"/>
    <n v="482"/>
    <s v="Total unit performance testing (use appropriate codes for individual component testing)"/>
    <s v="F790Winter Capability Test - Full Load"/>
    <s v="Mill Creek"/>
    <x v="1"/>
    <s v="Coal"/>
    <x v="2"/>
    <x v="2"/>
    <n v="3"/>
    <n v="4.9999999998835847"/>
    <n v="4.9999999998835847"/>
    <n v="2409.9999999438878"/>
    <n v="482"/>
    <x v="275"/>
  </r>
  <r>
    <x v="10"/>
    <x v="0"/>
    <n v="41"/>
    <n v="1488"/>
    <d v="2015-03-06T04:55:00"/>
    <d v="2015-03-12T08:54:00"/>
    <n v="512"/>
    <n v="521"/>
    <n v="482"/>
    <s v="Air heater (regenerative)"/>
    <s v="F6604B Air Heater Differential Pressure"/>
    <s v="Mill Creek"/>
    <x v="0"/>
    <s v="Coal"/>
    <x v="2"/>
    <x v="2"/>
    <n v="3"/>
    <n v="147.98333333339542"/>
    <n v="2.5563339731296715"/>
    <n v="1232.1529750485017"/>
    <n v="8.3262955854126677"/>
    <x v="1"/>
  </r>
  <r>
    <x v="10"/>
    <x v="0"/>
    <n v="42"/>
    <n v="1488"/>
    <d v="2015-03-12T08:54:00"/>
    <d v="2015-03-13T00:16:00"/>
    <n v="500"/>
    <n v="521"/>
    <n v="482"/>
    <s v="Air heater (regenerative)"/>
    <s v="F660Air heater high differential pressure - B side"/>
    <s v="Mill Creek"/>
    <x v="0"/>
    <s v="Coal"/>
    <x v="2"/>
    <x v="2"/>
    <n v="3"/>
    <n v="15.366666666639503"/>
    <n v="0.61938579654401071"/>
    <n v="298.54395393421316"/>
    <n v="19.428023032629557"/>
    <x v="54"/>
  </r>
  <r>
    <x v="10"/>
    <x v="4"/>
    <n v="43"/>
    <n v="1488"/>
    <d v="2015-03-13T00:16:00"/>
    <d v="2015-03-16T15:44:00"/>
    <n v="0"/>
    <n v="521"/>
    <n v="482"/>
    <s v="Air heater (regenerative)"/>
    <s v="F320Air Heaters - Wash"/>
    <s v="Mill Creek"/>
    <x v="2"/>
    <s v="Coal"/>
    <x v="2"/>
    <x v="2"/>
    <n v="3"/>
    <n v="87.46666666661622"/>
    <n v="87.46666666661622"/>
    <n v="42158.933333309018"/>
    <n v="482"/>
    <x v="275"/>
  </r>
  <r>
    <x v="10"/>
    <x v="3"/>
    <n v="44"/>
    <n v="1850"/>
    <d v="2015-03-16T15:44:00"/>
    <d v="2015-03-17T03:45:00"/>
    <n v="0"/>
    <n v="521"/>
    <n v="482"/>
    <s v="Boiler water condition (not feedwater water quality)"/>
    <s v="F170High Silica @ Warm Start Up"/>
    <s v="Mill Creek"/>
    <x v="1"/>
    <s v="Coal"/>
    <x v="2"/>
    <x v="2"/>
    <n v="3"/>
    <n v="12.016666666720994"/>
    <n v="12.016666666720994"/>
    <n v="5792.033333359519"/>
    <n v="482"/>
    <x v="275"/>
  </r>
  <r>
    <x v="10"/>
    <x v="0"/>
    <n v="45"/>
    <n v="1850"/>
    <d v="2015-03-17T03:45:00"/>
    <d v="2015-03-17T21:22:00"/>
    <n v="459"/>
    <n v="521"/>
    <n v="482"/>
    <s v="Boiler water condition (not feedwater water quality)"/>
    <s v="F170High Silica"/>
    <s v="Mill Creek"/>
    <x v="0"/>
    <s v="Coal"/>
    <x v="2"/>
    <x v="2"/>
    <n v="3"/>
    <n v="17.616666666639503"/>
    <n v="2.0964171465098831"/>
    <n v="1010.4730646177636"/>
    <n v="57.358925143953932"/>
    <x v="184"/>
  </r>
  <r>
    <x v="10"/>
    <x v="5"/>
    <n v="46"/>
    <n v="800"/>
    <d v="2015-03-25T15:24:00"/>
    <d v="2015-03-25T19:31:00"/>
    <n v="0"/>
    <n v="521"/>
    <n v="482"/>
    <s v="Drums and drum internals (single drum only)"/>
    <s v="F820Low Drum Level Trip"/>
    <s v="Mill Creek"/>
    <x v="3"/>
    <s v="Coal"/>
    <x v="2"/>
    <x v="2"/>
    <n v="3"/>
    <n v="4.1166666666395031"/>
    <n v="4.1166666666395031"/>
    <n v="1984.2333333202405"/>
    <n v="482"/>
    <x v="275"/>
  </r>
  <r>
    <x v="10"/>
    <x v="3"/>
    <n v="47"/>
    <n v="1850"/>
    <d v="2015-03-25T19:31:00"/>
    <d v="2015-03-26T00:00:00"/>
    <n v="0"/>
    <n v="521"/>
    <n v="482"/>
    <s v="Boiler water condition (not feedwater water quality)"/>
    <s v="F170High Silica @ Very Hot Start"/>
    <s v="Mill Creek"/>
    <x v="1"/>
    <s v="Coal"/>
    <x v="2"/>
    <x v="2"/>
    <n v="3"/>
    <n v="4.4833333332790062"/>
    <n v="4.4833333332790062"/>
    <n v="2160.966666640481"/>
    <n v="482"/>
    <x v="275"/>
  </r>
  <r>
    <x v="10"/>
    <x v="0"/>
    <n v="56"/>
    <n v="1850"/>
    <d v="2015-03-26T00:00:00"/>
    <d v="2015-03-26T01:31:00"/>
    <n v="450"/>
    <n v="521"/>
    <n v="482"/>
    <s v="Boiler water condition (not feedwater water quality)"/>
    <s v="F170High Silica"/>
    <s v="Mill Creek"/>
    <x v="0"/>
    <s v="Coal"/>
    <x v="2"/>
    <x v="2"/>
    <n v="3"/>
    <n v="1.5166666667209938"/>
    <n v="0.20668586053203564"/>
    <n v="99.622584776441172"/>
    <n v="65.685220729366605"/>
    <x v="244"/>
  </r>
  <r>
    <x v="10"/>
    <x v="0"/>
    <n v="48"/>
    <n v="1850"/>
    <d v="2015-03-26T01:31:00"/>
    <d v="2015-03-26T03:00:00"/>
    <n v="350"/>
    <n v="521"/>
    <n v="482"/>
    <s v="Boiler water condition (not feedwater water quality)"/>
    <s v="F170High Silica"/>
    <s v="Mill Creek"/>
    <x v="0"/>
    <s v="Coal"/>
    <x v="2"/>
    <x v="2"/>
    <n v="3"/>
    <n v="1.4833333332790062"/>
    <n v="0.48685220727583506"/>
    <n v="234.66276390695251"/>
    <n v="158.19961612284069"/>
    <x v="37"/>
  </r>
  <r>
    <x v="10"/>
    <x v="0"/>
    <n v="49"/>
    <n v="1850"/>
    <d v="2015-03-26T03:00:00"/>
    <d v="2015-03-26T06:21:00"/>
    <n v="370"/>
    <n v="521"/>
    <n v="482"/>
    <s v="Boiler water condition (not feedwater water quality)"/>
    <s v="F170High Silica"/>
    <s v="Mill Creek"/>
    <x v="0"/>
    <s v="Coal"/>
    <x v="2"/>
    <x v="2"/>
    <n v="3"/>
    <n v="3.3499999999185093"/>
    <n v="0.97092130515872344"/>
    <n v="467.98406908650469"/>
    <n v="139.69673704414586"/>
    <x v="135"/>
  </r>
  <r>
    <x v="10"/>
    <x v="0"/>
    <n v="50"/>
    <n v="1850"/>
    <d v="2015-03-26T06:21:00"/>
    <d v="2015-03-26T07:24:00"/>
    <n v="437"/>
    <n v="521"/>
    <n v="482"/>
    <s v="Boiler water condition (not feedwater water quality)"/>
    <s v="F170High silica"/>
    <s v="Mill Creek"/>
    <x v="0"/>
    <s v="Coal"/>
    <x v="2"/>
    <x v="2"/>
    <n v="3"/>
    <n v="1.0500000001047738"/>
    <n v="0.16928982727217082"/>
    <n v="81.59769674518634"/>
    <n v="77.712092130518229"/>
    <x v="53"/>
  </r>
  <r>
    <x v="10"/>
    <x v="0"/>
    <n v="51"/>
    <n v="1850"/>
    <d v="2015-03-26T07:24:00"/>
    <d v="2015-03-26T10:10:00"/>
    <n v="450"/>
    <n v="521"/>
    <n v="482"/>
    <s v="Boiler water condition (not feedwater water quality)"/>
    <s v="F170High Silica"/>
    <s v="Mill Creek"/>
    <x v="0"/>
    <s v="Coal"/>
    <x v="2"/>
    <x v="2"/>
    <n v="3"/>
    <n v="2.7666666666045785"/>
    <n v="0.37703134995954907"/>
    <n v="181.72911068050266"/>
    <n v="65.685220729366605"/>
    <x v="244"/>
  </r>
  <r>
    <x v="10"/>
    <x v="0"/>
    <n v="52"/>
    <n v="360"/>
    <d v="2015-03-27T23:36:00"/>
    <d v="2015-03-28T00:56:00"/>
    <n v="380"/>
    <n v="521"/>
    <n v="482"/>
    <s v="Burners"/>
    <s v="F7804A Mill Burner Temp"/>
    <s v="Mill Creek"/>
    <x v="0"/>
    <s v="Coal"/>
    <x v="2"/>
    <x v="2"/>
    <n v="3"/>
    <n v="1.3333333334885538"/>
    <n v="0.36084452979248766"/>
    <n v="173.92706335997906"/>
    <n v="130.44529750479848"/>
    <x v="50"/>
  </r>
  <r>
    <x v="10"/>
    <x v="0"/>
    <n v="53"/>
    <n v="360"/>
    <d v="2015-03-28T02:00:00"/>
    <d v="2015-03-28T02:27:00"/>
    <n v="430"/>
    <n v="521"/>
    <n v="482"/>
    <s v="Burners"/>
    <s v="F7804D Mill Burner Temp"/>
    <s v="Mill Creek"/>
    <x v="0"/>
    <s v="Coal"/>
    <x v="2"/>
    <x v="2"/>
    <n v="3"/>
    <n v="0.44999999989522621"/>
    <n v="7.859884835022185E-2"/>
    <n v="37.884644904806933"/>
    <n v="84.188099808061423"/>
    <x v="136"/>
  </r>
  <r>
    <x v="10"/>
    <x v="2"/>
    <n v="54"/>
    <n v="310"/>
    <d v="2015-03-30T22:00:00"/>
    <d v="2015-03-31T04:17:00"/>
    <n v="390"/>
    <n v="521"/>
    <n v="482"/>
    <s v="Pulverizer mills"/>
    <s v="F790Coal Mill Air Flow Testing"/>
    <s v="Mill Creek"/>
    <x v="0"/>
    <s v="Coal"/>
    <x v="2"/>
    <x v="2"/>
    <n v="3"/>
    <n v="6.28333333338378"/>
    <n v="1.5798784389122364"/>
    <n v="761.50140755569794"/>
    <n v="121.19385796545106"/>
    <x v="277"/>
  </r>
  <r>
    <x v="10"/>
    <x v="2"/>
    <n v="55"/>
    <n v="310"/>
    <d v="2015-03-31T23:00:00"/>
    <d v="2015-04-01T02:23:00"/>
    <n v="350"/>
    <n v="521"/>
    <n v="482"/>
    <s v="Pulverizer mills"/>
    <s v="F790Coal Mill Air Flow Testing"/>
    <s v="Mill Creek"/>
    <x v="0"/>
    <s v="Coal"/>
    <x v="2"/>
    <x v="2"/>
    <n v="3"/>
    <n v="3.3833333333604969"/>
    <n v="1.1104606526000864"/>
    <n v="535.24203455324164"/>
    <n v="158.19961612284069"/>
    <x v="37"/>
  </r>
  <r>
    <x v="10"/>
    <x v="5"/>
    <n v="57"/>
    <n v="1455"/>
    <d v="2015-04-01T18:22:00"/>
    <d v="2015-04-01T20:30:00"/>
    <n v="0"/>
    <n v="521"/>
    <n v="482"/>
    <s v="Induced draft fans"/>
    <s v="F8204A Induced Draft Fan - Tripped"/>
    <s v="Mill Creek"/>
    <x v="3"/>
    <s v="Coal"/>
    <x v="2"/>
    <x v="2"/>
    <n v="4"/>
    <n v="2.1333333333022892"/>
    <n v="2.1333333333022892"/>
    <n v="1028.2666666517034"/>
    <n v="482"/>
    <x v="275"/>
  </r>
  <r>
    <x v="10"/>
    <x v="3"/>
    <n v="58"/>
    <n v="1850"/>
    <d v="2015-04-01T20:30:00"/>
    <d v="2015-04-01T23:22:00"/>
    <n v="0"/>
    <n v="521"/>
    <n v="482"/>
    <s v="Boiler water condition (not feedwater water quality)"/>
    <s v="F170High Silica @ Very Hot Start Up"/>
    <s v="Mill Creek"/>
    <x v="1"/>
    <s v="Coal"/>
    <x v="2"/>
    <x v="2"/>
    <n v="4"/>
    <n v="2.8666666667559184"/>
    <n v="2.8666666667559184"/>
    <n v="1381.7333333763527"/>
    <n v="482"/>
    <x v="275"/>
  </r>
  <r>
    <x v="10"/>
    <x v="2"/>
    <n v="59"/>
    <n v="1471"/>
    <d v="2015-04-03T00:00:00"/>
    <d v="2015-04-03T00:08:00"/>
    <n v="300"/>
    <n v="521"/>
    <n v="482"/>
    <s v="Induced draft fan motors - variable speed"/>
    <s v="F590ID Fan VFD Cooling Water - Changed filters"/>
    <s v="Mill Creek"/>
    <x v="0"/>
    <s v="Coal"/>
    <x v="2"/>
    <x v="2"/>
    <n v="4"/>
    <n v="0.13333333341870457"/>
    <n v="5.6557901507742245E-2"/>
    <n v="27.260908526731761"/>
    <n v="204.45681381957775"/>
    <x v="113"/>
  </r>
  <r>
    <x v="10"/>
    <x v="0"/>
    <n v="60"/>
    <n v="250"/>
    <d v="2015-04-06T11:00:00"/>
    <d v="2015-04-06T15:00:00"/>
    <n v="510"/>
    <n v="521"/>
    <n v="482"/>
    <s v="Pulverizer feeders"/>
    <s v="FW00Wet coal"/>
    <s v="Mill Creek"/>
    <x v="0"/>
    <s v="Coal"/>
    <x v="2"/>
    <x v="2"/>
    <n v="4"/>
    <n v="3.9999999999417923"/>
    <n v="8.4452975046755696E-2"/>
    <n v="40.706333972536243"/>
    <n v="10.17658349328215"/>
    <x v="182"/>
  </r>
  <r>
    <x v="10"/>
    <x v="2"/>
    <n v="61"/>
    <n v="250"/>
    <d v="2015-04-07T22:50:00"/>
    <d v="2015-04-08T04:30:00"/>
    <n v="425"/>
    <n v="521"/>
    <n v="482"/>
    <s v="Pulverizer feeders"/>
    <s v="F0904E Coal Mill Feeder Calibration"/>
    <s v="Mill Creek"/>
    <x v="0"/>
    <s v="Coal"/>
    <x v="2"/>
    <x v="2"/>
    <n v="4"/>
    <n v="5.6666666666278616"/>
    <n v="1.0441458733133873"/>
    <n v="503.27831093705265"/>
    <n v="88.813819577735131"/>
    <x v="145"/>
  </r>
  <r>
    <x v="10"/>
    <x v="0"/>
    <n v="62"/>
    <n v="1488"/>
    <d v="2015-05-11T12:00:00"/>
    <d v="2015-05-14T10:40:00"/>
    <n v="500"/>
    <n v="521"/>
    <n v="482"/>
    <s v="Air heater (regenerative)"/>
    <s v="F6604A air heater pressure differential"/>
    <s v="Mill Creek"/>
    <x v="0"/>
    <s v="Coal"/>
    <x v="2"/>
    <x v="2"/>
    <n v="5"/>
    <n v="70.666666666686069"/>
    <n v="2.8483685220737187"/>
    <n v="1372.9136276395325"/>
    <n v="19.428023032629557"/>
    <x v="54"/>
  </r>
  <r>
    <x v="10"/>
    <x v="5"/>
    <n v="63"/>
    <n v="1455"/>
    <d v="2015-05-14T10:40:00"/>
    <d v="2015-05-14T12:39:00"/>
    <n v="0"/>
    <n v="521"/>
    <n v="482"/>
    <s v="Induced draft fans"/>
    <s v="F820ID fan sunction pressure trip"/>
    <s v="Mill Creek"/>
    <x v="3"/>
    <s v="Coal"/>
    <x v="2"/>
    <x v="2"/>
    <n v="5"/>
    <n v="1.9833333333372138"/>
    <n v="1.9833333333372138"/>
    <n v="955.96666666853707"/>
    <n v="482"/>
    <x v="275"/>
  </r>
  <r>
    <x v="10"/>
    <x v="3"/>
    <n v="64"/>
    <n v="1850"/>
    <d v="2015-05-14T12:39:00"/>
    <d v="2015-05-14T13:42:00"/>
    <n v="0"/>
    <n v="521"/>
    <n v="482"/>
    <s v="Boiler water condition (not feedwater water quality)"/>
    <s v="F170High silica @ very hot start"/>
    <s v="Mill Creek"/>
    <x v="1"/>
    <s v="Coal"/>
    <x v="2"/>
    <x v="2"/>
    <n v="5"/>
    <n v="1.0499999999301508"/>
    <n v="1.0499999999301508"/>
    <n v="506.09999996633269"/>
    <n v="482"/>
    <x v="275"/>
  </r>
  <r>
    <x v="10"/>
    <x v="5"/>
    <n v="65"/>
    <n v="800"/>
    <d v="2015-05-14T13:42:00"/>
    <d v="2015-05-14T14:10:00"/>
    <n v="0"/>
    <n v="521"/>
    <n v="482"/>
    <s v="Drums and drum internals (single drum only)"/>
    <s v="F820High drum level trip"/>
    <s v="Mill Creek"/>
    <x v="3"/>
    <s v="Coal"/>
    <x v="2"/>
    <x v="2"/>
    <n v="5"/>
    <n v="0.46666666679084301"/>
    <n v="0.46666666679084301"/>
    <n v="224.93333339318633"/>
    <n v="482"/>
    <x v="275"/>
  </r>
  <r>
    <x v="10"/>
    <x v="3"/>
    <n v="66"/>
    <n v="1850"/>
    <d v="2015-05-14T14:10:00"/>
    <d v="2015-05-14T20:10:00"/>
    <n v="0"/>
    <n v="521"/>
    <n v="482"/>
    <s v="Boiler water condition (not feedwater water quality)"/>
    <s v="F170High silica @ very hot start"/>
    <s v="Mill Creek"/>
    <x v="1"/>
    <s v="Coal"/>
    <x v="2"/>
    <x v="2"/>
    <n v="5"/>
    <n v="6"/>
    <n v="6"/>
    <n v="2892"/>
    <n v="482"/>
    <x v="275"/>
  </r>
  <r>
    <x v="10"/>
    <x v="0"/>
    <n v="67"/>
    <n v="1850"/>
    <d v="2015-05-14T20:10:00"/>
    <d v="2015-05-15T03:00:00"/>
    <n v="350"/>
    <n v="521"/>
    <n v="482"/>
    <s v="Boiler water condition (not feedwater water quality)"/>
    <s v="F170High silica"/>
    <s v="Mill Creek"/>
    <x v="0"/>
    <s v="Coal"/>
    <x v="2"/>
    <x v="2"/>
    <n v="5"/>
    <n v="6.8333333332557231"/>
    <n v="2.2428023032374829"/>
    <n v="1081.0307101604667"/>
    <n v="158.19961612284069"/>
    <x v="37"/>
  </r>
  <r>
    <x v="10"/>
    <x v="0"/>
    <n v="68"/>
    <n v="1850"/>
    <d v="2015-05-15T03:00:00"/>
    <d v="2015-05-15T06:50:00"/>
    <n v="400"/>
    <n v="521"/>
    <n v="482"/>
    <s v="Boiler water condition (not feedwater water quality)"/>
    <s v="F170High silica"/>
    <s v="Mill Creek"/>
    <x v="0"/>
    <s v="Coal"/>
    <x v="2"/>
    <x v="2"/>
    <n v="5"/>
    <n v="3.8333333332557231"/>
    <n v="0.89027511194614684"/>
    <n v="429.11260395804277"/>
    <n v="111.94241842610364"/>
    <x v="38"/>
  </r>
  <r>
    <x v="10"/>
    <x v="0"/>
    <n v="69"/>
    <n v="1850"/>
    <d v="2015-05-15T06:50:00"/>
    <d v="2015-05-15T09:44:00"/>
    <n v="460"/>
    <n v="521"/>
    <n v="482"/>
    <s v="Boiler water condition (not feedwater water quality)"/>
    <s v="F170High Silica"/>
    <s v="Mill Creek"/>
    <x v="0"/>
    <s v="Coal"/>
    <x v="2"/>
    <x v="2"/>
    <n v="5"/>
    <n v="2.9000000000232831"/>
    <n v="0.33953934741155523"/>
    <n v="163.65796545236961"/>
    <n v="56.433781190019197"/>
    <x v="123"/>
  </r>
  <r>
    <x v="10"/>
    <x v="0"/>
    <n v="70"/>
    <n v="1488"/>
    <d v="2015-05-15T09:44:00"/>
    <d v="2015-05-21T13:14:00"/>
    <n v="500"/>
    <n v="521"/>
    <n v="482"/>
    <s v="Air heater (regenerative)"/>
    <s v="F6604A Air heater pressure differential"/>
    <s v="Mill Creek"/>
    <x v="0"/>
    <s v="Coal"/>
    <x v="2"/>
    <x v="2"/>
    <n v="5"/>
    <n v="147.50000000005821"/>
    <n v="5.945297504800811"/>
    <n v="2865.6333973139908"/>
    <n v="19.428023032629557"/>
    <x v="54"/>
  </r>
  <r>
    <x v="10"/>
    <x v="4"/>
    <n v="71"/>
    <n v="1488"/>
    <d v="2015-05-21T13:14:00"/>
    <d v="2015-05-23T20:30:00"/>
    <n v="0"/>
    <n v="521"/>
    <n v="482"/>
    <s v="Air heater (regenerative)"/>
    <s v="F320Air heater wash"/>
    <s v="Mill Creek"/>
    <x v="2"/>
    <s v="Coal"/>
    <x v="2"/>
    <x v="2"/>
    <n v="5"/>
    <n v="55.266666666604578"/>
    <n v="55.266666666604578"/>
    <n v="26638.533333303407"/>
    <n v="482"/>
    <x v="275"/>
  </r>
  <r>
    <x v="10"/>
    <x v="3"/>
    <n v="73"/>
    <n v="1850"/>
    <d v="2015-05-25T09:19:00"/>
    <d v="2015-05-26T05:10:00"/>
    <n v="0"/>
    <n v="521"/>
    <n v="482"/>
    <s v="Boiler water condition (not feedwater water quality)"/>
    <s v="F170High Silica at Cold Start"/>
    <s v="Mill Creek"/>
    <x v="1"/>
    <s v="Coal"/>
    <x v="2"/>
    <x v="2"/>
    <n v="5"/>
    <n v="19.850000000093132"/>
    <n v="19.850000000093132"/>
    <n v="9567.7000000448897"/>
    <n v="482"/>
    <x v="275"/>
  </r>
  <r>
    <x v="10"/>
    <x v="3"/>
    <n v="74"/>
    <n v="8460"/>
    <d v="2015-06-10T09:20:00"/>
    <d v="2015-06-10T19:41:00"/>
    <n v="0"/>
    <n v="521"/>
    <n v="482"/>
    <s v="Testing A"/>
    <s v="F790Full Load Testing"/>
    <s v="Mill Creek"/>
    <x v="1"/>
    <s v="Coal"/>
    <x v="2"/>
    <x v="2"/>
    <n v="6"/>
    <n v="10.350000000034925"/>
    <n v="10.350000000034925"/>
    <n v="4988.7000000168337"/>
    <n v="482"/>
    <x v="275"/>
  </r>
  <r>
    <x v="10"/>
    <x v="3"/>
    <n v="75"/>
    <n v="8460"/>
    <d v="2015-06-11T09:15:00"/>
    <d v="2015-06-11T16:27:00"/>
    <n v="0"/>
    <n v="521"/>
    <n v="482"/>
    <s v="Testing A"/>
    <s v="F790Full Load Testing"/>
    <s v="Mill Creek"/>
    <x v="1"/>
    <s v="Coal"/>
    <x v="2"/>
    <x v="2"/>
    <n v="6"/>
    <n v="7.2000000000698492"/>
    <n v="7.2000000000698492"/>
    <n v="3470.4000000336673"/>
    <n v="482"/>
    <x v="275"/>
  </r>
  <r>
    <x v="10"/>
    <x v="3"/>
    <n v="76"/>
    <n v="9999"/>
    <d v="2015-07-08T10:16:00"/>
    <d v="2015-07-08T11:32:00"/>
    <n v="0"/>
    <n v="521"/>
    <n v="482"/>
    <s v="Total unit performance testing (use appropriate codes for individual component testing)"/>
    <s v="F790Summer capability test"/>
    <s v="Mill Creek"/>
    <x v="1"/>
    <s v="Coal"/>
    <x v="2"/>
    <x v="2"/>
    <n v="7"/>
    <n v="1.2666666667792015"/>
    <n v="1.2666666667792015"/>
    <n v="610.53333338757511"/>
    <n v="482"/>
    <x v="275"/>
  </r>
  <r>
    <x v="10"/>
    <x v="3"/>
    <n v="77"/>
    <n v="3240"/>
    <d v="2015-07-09T09:27:00"/>
    <d v="2015-07-09T19:55:00"/>
    <n v="0"/>
    <n v="521"/>
    <n v="482"/>
    <s v="Cooling tower fans"/>
    <s v="F790Cooling Tower Test"/>
    <s v="Mill Creek"/>
    <x v="1"/>
    <s v="Coal"/>
    <x v="2"/>
    <x v="2"/>
    <n v="7"/>
    <n v="10.466666666558012"/>
    <n v="10.466666666558012"/>
    <n v="5044.933333280962"/>
    <n v="482"/>
    <x v="275"/>
  </r>
  <r>
    <x v="10"/>
    <x v="3"/>
    <n v="78"/>
    <n v="3240"/>
    <d v="2015-07-10T09:00:00"/>
    <d v="2015-07-10T22:54:00"/>
    <n v="0"/>
    <n v="521"/>
    <n v="482"/>
    <s v="Cooling tower fans"/>
    <s v="F790Cooling Tower Test"/>
    <s v="Mill Creek"/>
    <x v="1"/>
    <s v="Coal"/>
    <x v="2"/>
    <x v="2"/>
    <n v="7"/>
    <n v="13.900000000081491"/>
    <n v="13.900000000081491"/>
    <n v="6699.8000000392785"/>
    <n v="482"/>
    <x v="275"/>
  </r>
  <r>
    <x v="10"/>
    <x v="0"/>
    <n v="79"/>
    <n v="310"/>
    <d v="2015-07-15T15:28:00"/>
    <d v="2015-07-15T18:27:00"/>
    <n v="402"/>
    <n v="521"/>
    <n v="482"/>
    <s v="Pulverizer mills"/>
    <s v="F5904A Coal Mill - Breaker Issue"/>
    <s v="Mill Creek"/>
    <x v="0"/>
    <s v="Coal"/>
    <x v="2"/>
    <x v="2"/>
    <n v="7"/>
    <n v="2.9833333334536292"/>
    <n v="0.68141394756426465"/>
    <n v="328.44152272597557"/>
    <n v="110.09213051823417"/>
    <x v="92"/>
  </r>
  <r>
    <x v="10"/>
    <x v="3"/>
    <n v="80"/>
    <n v="9999"/>
    <d v="2015-07-17T08:42:00"/>
    <d v="2015-07-17T14:27:00"/>
    <n v="0"/>
    <n v="521"/>
    <n v="482"/>
    <s v="Total unit performance testing (use appropriate codes for individual component testing)"/>
    <s v="F790Summer capability test"/>
    <s v="Mill Creek"/>
    <x v="1"/>
    <s v="Coal"/>
    <x v="2"/>
    <x v="2"/>
    <n v="7"/>
    <n v="5.7499999998835847"/>
    <n v="5.7499999998835847"/>
    <n v="2771.4999999438878"/>
    <n v="482"/>
    <x v="275"/>
  </r>
  <r>
    <x v="10"/>
    <x v="0"/>
    <n v="81"/>
    <n v="95"/>
    <d v="2015-07-18T23:17:00"/>
    <d v="2015-07-19T01:53:00"/>
    <n v="375"/>
    <n v="521"/>
    <n v="482"/>
    <s v="Bunker flow problems"/>
    <s v="F1204A Conduit pluggage"/>
    <s v="Mill Creek"/>
    <x v="0"/>
    <s v="Coal"/>
    <x v="2"/>
    <x v="2"/>
    <n v="7"/>
    <n v="2.6000000000931323"/>
    <n v="0.72859884839462052"/>
    <n v="351.18464492620711"/>
    <n v="135.07101727447218"/>
    <x v="162"/>
  </r>
  <r>
    <x v="10"/>
    <x v="3"/>
    <n v="82"/>
    <n v="8460"/>
    <d v="2015-07-22T09:10:00"/>
    <d v="2015-07-22T13:49:00"/>
    <n v="0"/>
    <n v="521"/>
    <n v="482"/>
    <s v="Testing A"/>
    <s v="F790Sulfuric Acid Mist (SAM's) Testing "/>
    <s v="Mill Creek"/>
    <x v="1"/>
    <s v="Coal"/>
    <x v="2"/>
    <x v="2"/>
    <n v="7"/>
    <n v="4.6499999999650754"/>
    <n v="4.6499999999650754"/>
    <n v="2241.2999999831663"/>
    <n v="482"/>
    <x v="275"/>
  </r>
  <r>
    <x v="10"/>
    <x v="2"/>
    <n v="83"/>
    <n v="1407"/>
    <d v="2015-07-22T22:00:00"/>
    <d v="2015-07-22T22:26:00"/>
    <n v="200"/>
    <n v="521"/>
    <n v="482"/>
    <s v="Forced draft fan lubrication system"/>
    <s v="F5904A Forced Draft Fan Lube Oil System - Alternate Filter"/>
    <s v="Mill Creek"/>
    <x v="0"/>
    <s v="Coal"/>
    <x v="2"/>
    <x v="2"/>
    <n v="7"/>
    <n v="0.43333333334885538"/>
    <n v="0.26698656430898765"/>
    <n v="128.68752399693204"/>
    <n v="296.97120921305185"/>
    <x v="279"/>
  </r>
  <r>
    <x v="10"/>
    <x v="5"/>
    <n v="84"/>
    <n v="4264"/>
    <d v="2015-08-02T02:27:00"/>
    <d v="2015-08-02T09:10:00"/>
    <n v="0"/>
    <n v="521"/>
    <n v="482"/>
    <s v="Combined intercept valves"/>
    <s v="F540Turbine #2 Reheat/Intercept Valve - EHC Leak"/>
    <s v="Mill Creek"/>
    <x v="3"/>
    <s v="Coal"/>
    <x v="2"/>
    <x v="2"/>
    <n v="8"/>
    <n v="6.7166666667326353"/>
    <n v="6.7166666667326353"/>
    <n v="3237.4333333651302"/>
    <n v="482"/>
    <x v="275"/>
  </r>
  <r>
    <x v="10"/>
    <x v="3"/>
    <n v="85"/>
    <n v="1850"/>
    <d v="2015-08-02T09:10:00"/>
    <d v="2015-08-02T17:26:00"/>
    <n v="0"/>
    <n v="521"/>
    <n v="482"/>
    <s v="Boiler water condition (not feedwater water quality)"/>
    <s v="F170High Silica @ Hot Start Up"/>
    <s v="Mill Creek"/>
    <x v="1"/>
    <s v="Coal"/>
    <x v="2"/>
    <x v="2"/>
    <n v="8"/>
    <n v="8.2666666667209938"/>
    <n v="8.2666666667209938"/>
    <n v="3984.533333359519"/>
    <n v="482"/>
    <x v="275"/>
  </r>
  <r>
    <x v="10"/>
    <x v="5"/>
    <n v="86"/>
    <n v="800"/>
    <d v="2015-08-02T17:26:00"/>
    <d v="2015-08-02T20:09:00"/>
    <n v="0"/>
    <n v="521"/>
    <n v="482"/>
    <s v="Drums and drum internals (single drum only)"/>
    <s v="F820High Drum Level Trip"/>
    <s v="Mill Creek"/>
    <x v="3"/>
    <s v="Coal"/>
    <x v="2"/>
    <x v="2"/>
    <n v="8"/>
    <n v="2.71666666661622"/>
    <n v="2.71666666661622"/>
    <n v="1309.4333333090181"/>
    <n v="482"/>
    <x v="275"/>
  </r>
  <r>
    <x v="10"/>
    <x v="3"/>
    <n v="87"/>
    <n v="1850"/>
    <d v="2015-08-02T20:09:00"/>
    <d v="2015-08-03T02:21:00"/>
    <n v="0"/>
    <n v="521"/>
    <n v="482"/>
    <s v="Boiler water condition (not feedwater water quality)"/>
    <s v="F170High Silica @ Very Hot Start Up"/>
    <s v="Mill Creek"/>
    <x v="1"/>
    <s v="Coal"/>
    <x v="2"/>
    <x v="2"/>
    <n v="8"/>
    <n v="6.1999999999534339"/>
    <n v="6.1999999999534339"/>
    <n v="2988.3999999775551"/>
    <n v="482"/>
    <x v="275"/>
  </r>
  <r>
    <x v="10"/>
    <x v="0"/>
    <n v="88"/>
    <n v="1850"/>
    <d v="2015-08-03T02:21:00"/>
    <d v="2015-08-03T06:52:00"/>
    <n v="495"/>
    <n v="521"/>
    <n v="482"/>
    <s v="Boiler water condition (not feedwater water quality)"/>
    <s v="F170High Silica"/>
    <s v="Mill Creek"/>
    <x v="0"/>
    <s v="Coal"/>
    <x v="2"/>
    <x v="2"/>
    <n v="8"/>
    <n v="4.5166666667209938"/>
    <n v="0.22539987204365805"/>
    <n v="108.64273832504318"/>
    <n v="24.053742802303262"/>
    <x v="107"/>
  </r>
  <r>
    <x v="10"/>
    <x v="5"/>
    <n v="89"/>
    <n v="800"/>
    <d v="2015-08-04T02:33:00"/>
    <d v="2015-08-04T04:58:00"/>
    <n v="0"/>
    <n v="521"/>
    <n v="482"/>
    <s v="Drums and drum internals (single drum only)"/>
    <s v="F820High Drum Level Trip - Feedwater Heater Bypass"/>
    <s v="Mill Creek"/>
    <x v="3"/>
    <s v="Coal"/>
    <x v="2"/>
    <x v="2"/>
    <n v="8"/>
    <n v="2.4166666666860692"/>
    <n v="2.4166666666860692"/>
    <n v="1164.8333333426854"/>
    <n v="482"/>
    <x v="275"/>
  </r>
  <r>
    <x v="10"/>
    <x v="3"/>
    <n v="90"/>
    <n v="1850"/>
    <d v="2015-08-04T04:58:00"/>
    <d v="2015-08-04T11:50:00"/>
    <n v="0"/>
    <n v="521"/>
    <n v="482"/>
    <s v="Boiler water condition (not feedwater water quality)"/>
    <s v="F170High Silica @ Very Hot Start Up"/>
    <s v="Mill Creek"/>
    <x v="1"/>
    <s v="Coal"/>
    <x v="2"/>
    <x v="2"/>
    <n v="8"/>
    <n v="6.8666666666977108"/>
    <n v="6.8666666666977108"/>
    <n v="3309.7333333482966"/>
    <n v="482"/>
    <x v="275"/>
  </r>
  <r>
    <x v="10"/>
    <x v="0"/>
    <n v="91"/>
    <n v="1850"/>
    <d v="2015-08-04T11:50:00"/>
    <d v="2015-08-04T16:08:00"/>
    <n v="355"/>
    <n v="521"/>
    <n v="482"/>
    <s v="Boiler water condition (not feedwater water quality)"/>
    <s v="F170High Silica"/>
    <s v="Mill Creek"/>
    <x v="0"/>
    <s v="Coal"/>
    <x v="2"/>
    <x v="2"/>
    <n v="8"/>
    <n v="4.3000000000465661"/>
    <n v="1.3700575815887333"/>
    <n v="660.3677543257694"/>
    <n v="153.57389635316699"/>
    <x v="66"/>
  </r>
  <r>
    <x v="10"/>
    <x v="3"/>
    <n v="92"/>
    <n v="3623"/>
    <d v="2015-08-13T12:00:00"/>
    <d v="2015-08-13T13:54:00"/>
    <n v="0"/>
    <n v="521"/>
    <n v="482"/>
    <s v="Auxiliary generators"/>
    <s v="F790VAR Testing"/>
    <s v="Mill Creek"/>
    <x v="1"/>
    <s v="Coal"/>
    <x v="2"/>
    <x v="2"/>
    <n v="8"/>
    <n v="1.9000000000814907"/>
    <n v="1.9000000000814907"/>
    <n v="915.80000003927853"/>
    <n v="482"/>
    <x v="275"/>
  </r>
  <r>
    <x v="10"/>
    <x v="2"/>
    <n v="93"/>
    <n v="876"/>
    <d v="2015-08-26T23:00:00"/>
    <d v="2015-08-27T05:02:00"/>
    <n v="280"/>
    <n v="521"/>
    <n v="482"/>
    <s v="Soot blower controls"/>
    <s v="F590Sootblower Regulator Repair"/>
    <s v="Mill Creek"/>
    <x v="0"/>
    <s v="Coal"/>
    <x v="2"/>
    <x v="2"/>
    <n v="8"/>
    <n v="6.0333333332673647"/>
    <n v="2.7908509276726199"/>
    <n v="1345.1901471382027"/>
    <n v="222.95969289827255"/>
    <x v="223"/>
  </r>
  <r>
    <x v="10"/>
    <x v="0"/>
    <n v="94"/>
    <n v="380"/>
    <d v="2015-08-30T12:00:00"/>
    <d v="2015-08-30T12:22:00"/>
    <n v="370"/>
    <n v="521"/>
    <n v="482"/>
    <s v="Light-off (igniter) systems (including fuel supply)"/>
    <s v="F5904C &amp; 4E Coal Mills - Lighter Issues"/>
    <s v="Mill Creek"/>
    <x v="0"/>
    <s v="Coal"/>
    <x v="2"/>
    <x v="2"/>
    <n v="8"/>
    <n v="0.36666666663950309"/>
    <n v="0.10626999359417461"/>
    <n v="51.222136912392159"/>
    <n v="139.69673704414586"/>
    <x v="135"/>
  </r>
  <r>
    <x v="10"/>
    <x v="4"/>
    <n v="95"/>
    <n v="3110"/>
    <d v="2015-09-05T19:57:00"/>
    <d v="2015-09-07T18:53:00"/>
    <n v="0"/>
    <n v="521"/>
    <n v="482"/>
    <s v="Condenser tube leaks"/>
    <s v="F540Condenser Tube Leak Repair"/>
    <s v="Mill Creek"/>
    <x v="2"/>
    <s v="Coal"/>
    <x v="2"/>
    <x v="2"/>
    <n v="9"/>
    <n v="46.933333333348855"/>
    <n v="46.933333333348855"/>
    <n v="22621.866666674148"/>
    <n v="482"/>
    <x v="275"/>
  </r>
  <r>
    <x v="10"/>
    <x v="3"/>
    <n v="96"/>
    <n v="1850"/>
    <d v="2015-09-07T18:53:00"/>
    <d v="2015-09-08T05:00:00"/>
    <n v="0"/>
    <n v="521"/>
    <n v="482"/>
    <s v="Boiler water condition (not feedwater water quality)"/>
    <s v="F170High Silica @ Hot Start Up"/>
    <s v="Mill Creek"/>
    <x v="1"/>
    <s v="Coal"/>
    <x v="2"/>
    <x v="2"/>
    <n v="9"/>
    <n v="10.116666666639503"/>
    <n v="10.116666666639503"/>
    <n v="4876.2333333202405"/>
    <n v="482"/>
    <x v="275"/>
  </r>
  <r>
    <x v="10"/>
    <x v="0"/>
    <n v="97"/>
    <n v="1850"/>
    <d v="2015-09-08T05:00:00"/>
    <d v="2015-09-08T06:32:00"/>
    <n v="350"/>
    <n v="521"/>
    <n v="482"/>
    <s v="Boiler water condition (not feedwater water quality)"/>
    <s v="F170High Silica"/>
    <s v="Mill Creek"/>
    <x v="0"/>
    <s v="Coal"/>
    <x v="2"/>
    <x v="2"/>
    <n v="9"/>
    <n v="1.5333333332673647"/>
    <n v="0.50326295583247482"/>
    <n v="242.57274471125285"/>
    <n v="158.19961612284069"/>
    <x v="37"/>
  </r>
  <r>
    <x v="10"/>
    <x v="3"/>
    <n v="98"/>
    <n v="3623"/>
    <d v="2015-09-09T12:41:00"/>
    <d v="2015-09-09T14:10:00"/>
    <n v="0"/>
    <n v="521"/>
    <n v="482"/>
    <s v="Auxiliary generators"/>
    <s v="F790VAR Testing"/>
    <s v="Mill Creek"/>
    <x v="1"/>
    <s v="Coal"/>
    <x v="2"/>
    <x v="2"/>
    <n v="9"/>
    <n v="1.4833333334536292"/>
    <n v="1.4833333334536292"/>
    <n v="714.96666672464926"/>
    <n v="482"/>
    <x v="275"/>
  </r>
  <r>
    <x v="10"/>
    <x v="6"/>
    <n v="99"/>
    <n v="1801"/>
    <d v="2015-09-24T21:27:00"/>
    <d v="2015-10-08T01:27:00"/>
    <n v="0"/>
    <n v="521"/>
    <n v="482"/>
    <s v="Minor boiler overhaul (less than 720 hours) (use for non-specific overhaul only; see page B-1)"/>
    <s v="F590Planned Outage"/>
    <s v="Mill Creek"/>
    <x v="1"/>
    <s v="Coal"/>
    <x v="2"/>
    <x v="2"/>
    <n v="9"/>
    <n v="315.99999999994179"/>
    <n v="315.99999999994179"/>
    <n v="152311.99999997194"/>
    <n v="482"/>
    <x v="275"/>
  </r>
  <r>
    <x v="10"/>
    <x v="3"/>
    <n v="100"/>
    <n v="1850"/>
    <d v="2015-10-08T01:27:00"/>
    <d v="2015-10-09T01:30:00"/>
    <n v="0"/>
    <n v="521"/>
    <n v="482"/>
    <s v="Boiler water condition (not feedwater water quality)"/>
    <s v="F170High Silica @ Cold Start Up"/>
    <s v="Mill Creek"/>
    <x v="1"/>
    <s v="Coal"/>
    <x v="2"/>
    <x v="2"/>
    <n v="10"/>
    <n v="24.049999999988358"/>
    <n v="24.049999999988358"/>
    <n v="11592.099999994389"/>
    <n v="482"/>
    <x v="275"/>
  </r>
  <r>
    <x v="10"/>
    <x v="0"/>
    <n v="101"/>
    <n v="310"/>
    <d v="2015-10-14T11:05:00"/>
    <d v="2015-10-14T11:26:00"/>
    <n v="400"/>
    <n v="521"/>
    <n v="482"/>
    <s v="Pulverizer mills"/>
    <s v="F8204D Coal Mill - Trip, Breaker Issue"/>
    <s v="Mill Creek"/>
    <x v="0"/>
    <s v="Coal"/>
    <x v="2"/>
    <x v="2"/>
    <n v="10"/>
    <n v="0.35000000009313226"/>
    <n v="8.128598850531478E-2"/>
    <n v="39.179846459561723"/>
    <n v="111.94241842610364"/>
    <x v="38"/>
  </r>
  <r>
    <x v="10"/>
    <x v="5"/>
    <n v="102"/>
    <n v="1000"/>
    <d v="2015-10-18T00:22:00"/>
    <d v="2015-10-19T14:53:00"/>
    <n v="0"/>
    <n v="521"/>
    <n v="482"/>
    <s v="Waterwall (Furnace wall) A"/>
    <s v="F540Boiler Tube Leak - Waterwall"/>
    <s v="Mill Creek"/>
    <x v="3"/>
    <s v="Coal"/>
    <x v="2"/>
    <x v="2"/>
    <n v="10"/>
    <n v="38.516666666662786"/>
    <n v="38.516666666662786"/>
    <n v="18565.033333331463"/>
    <n v="482"/>
    <x v="275"/>
  </r>
  <r>
    <x v="10"/>
    <x v="3"/>
    <n v="103"/>
    <n v="1850"/>
    <d v="2015-10-19T14:53:00"/>
    <d v="2015-10-19T22:55:00"/>
    <n v="0"/>
    <n v="521"/>
    <n v="482"/>
    <s v="Boiler water condition (not feedwater water quality)"/>
    <s v="F170High Silica @ Hot Start Up"/>
    <s v="Mill Creek"/>
    <x v="1"/>
    <s v="Coal"/>
    <x v="2"/>
    <x v="2"/>
    <n v="10"/>
    <n v="8.0333333333255723"/>
    <n v="8.0333333333255723"/>
    <n v="3872.0666666629259"/>
    <n v="482"/>
    <x v="275"/>
  </r>
  <r>
    <x v="10"/>
    <x v="4"/>
    <n v="104"/>
    <n v="1000"/>
    <d v="2015-10-30T21:53:00"/>
    <d v="2015-10-31T18:45:00"/>
    <n v="0"/>
    <n v="521"/>
    <n v="482"/>
    <s v="Waterwall (Furnace wall) A"/>
    <s v="F540Boiler tube leak - waterwall"/>
    <s v="Mill Creek"/>
    <x v="2"/>
    <s v="Coal"/>
    <x v="2"/>
    <x v="2"/>
    <n v="10"/>
    <n v="20.866666666581295"/>
    <n v="20.866666666581295"/>
    <n v="10057.733333292184"/>
    <n v="482"/>
    <x v="275"/>
  </r>
  <r>
    <x v="10"/>
    <x v="3"/>
    <n v="105"/>
    <n v="1850"/>
    <d v="2015-10-31T18:45:00"/>
    <d v="2015-11-01T01:54:00"/>
    <n v="0"/>
    <n v="521"/>
    <n v="482"/>
    <s v="Boiler water condition (not feedwater water quality)"/>
    <s v="F170High silica @ hot start"/>
    <s v="Mill Creek"/>
    <x v="1"/>
    <s v="Coal"/>
    <x v="2"/>
    <x v="2"/>
    <n v="10"/>
    <n v="7.1500000000814907"/>
    <n v="7.1500000000814907"/>
    <n v="3446.3000000392785"/>
    <n v="482"/>
    <x v="275"/>
  </r>
  <r>
    <x v="10"/>
    <x v="0"/>
    <n v="106"/>
    <n v="95"/>
    <d v="2015-11-18T04:18:00"/>
    <d v="2015-11-18T07:03:00"/>
    <n v="390"/>
    <n v="521"/>
    <n v="482"/>
    <s v="Bunker flow problems"/>
    <s v="F1204B Coal bunker valve stuck"/>
    <s v="Mill Creek"/>
    <x v="0"/>
    <s v="Coal"/>
    <x v="2"/>
    <x v="2"/>
    <n v="11"/>
    <n v="2.7499999998835847"/>
    <n v="0.69145873317610285"/>
    <n v="333.28310939088158"/>
    <n v="121.19385796545106"/>
    <x v="277"/>
  </r>
  <r>
    <x v="10"/>
    <x v="3"/>
    <n v="107"/>
    <n v="8460"/>
    <d v="2015-11-23T09:45:00"/>
    <d v="2015-11-23T16:35:00"/>
    <n v="0"/>
    <n v="521"/>
    <n v="482"/>
    <s v="Testing A"/>
    <s v="F790SCR Flue gas testing"/>
    <s v="Mill Creek"/>
    <x v="1"/>
    <s v="Coal"/>
    <x v="2"/>
    <x v="2"/>
    <n v="11"/>
    <n v="6.8333333332557231"/>
    <n v="6.8333333332557231"/>
    <n v="3293.6666666292585"/>
    <n v="482"/>
    <x v="275"/>
  </r>
  <r>
    <x v="10"/>
    <x v="3"/>
    <n v="108"/>
    <n v="8460"/>
    <d v="2015-11-24T09:00:00"/>
    <d v="2015-11-24T16:34:00"/>
    <n v="0"/>
    <n v="521"/>
    <n v="482"/>
    <s v="Testing A"/>
    <s v="F790WFGD testing for Babcock Power"/>
    <s v="Mill Creek"/>
    <x v="1"/>
    <s v="Coal"/>
    <x v="2"/>
    <x v="2"/>
    <n v="11"/>
    <n v="7.5666666667093523"/>
    <n v="7.5666666667093523"/>
    <n v="3647.1333333539078"/>
    <n v="482"/>
    <x v="275"/>
  </r>
  <r>
    <x v="10"/>
    <x v="4"/>
    <n v="109"/>
    <n v="1310"/>
    <d v="2015-11-27T06:48:00"/>
    <d v="2015-12-05T22:15:00"/>
    <n v="0"/>
    <n v="521"/>
    <n v="482"/>
    <s v="Water side cleaning (acid cleaning)"/>
    <s v="FC00Boiler chemical clean"/>
    <s v="Mill Creek"/>
    <x v="2"/>
    <s v="Coal"/>
    <x v="2"/>
    <x v="2"/>
    <n v="11"/>
    <n v="207.45000000006985"/>
    <n v="207.45000000006985"/>
    <n v="99990.900000033667"/>
    <n v="482"/>
    <x v="275"/>
  </r>
  <r>
    <x v="10"/>
    <x v="3"/>
    <n v="110"/>
    <n v="1850"/>
    <d v="2015-12-05T22:15:00"/>
    <d v="2015-12-06T20:40:00"/>
    <n v="0"/>
    <n v="521"/>
    <n v="482"/>
    <s v="Boiler water condition (not feedwater water quality)"/>
    <s v="F170High silica @ Cold Start"/>
    <s v="Mill Creek"/>
    <x v="1"/>
    <s v="Coal"/>
    <x v="2"/>
    <x v="2"/>
    <n v="12"/>
    <n v="22.416666666569654"/>
    <n v="22.416666666569654"/>
    <n v="10804.833333286573"/>
    <n v="482"/>
    <x v="275"/>
  </r>
  <r>
    <x v="10"/>
    <x v="3"/>
    <n v="111"/>
    <n v="8460"/>
    <d v="2015-12-08T22:00:00"/>
    <d v="2015-12-09T05:15:00"/>
    <n v="0"/>
    <n v="521"/>
    <n v="482"/>
    <s v="Testing A"/>
    <s v="F790FGD Low Load Testing"/>
    <s v="Mill Creek"/>
    <x v="1"/>
    <s v="Coal"/>
    <x v="2"/>
    <x v="2"/>
    <n v="12"/>
    <n v="7.2500000000582077"/>
    <n v="7.2500000000582077"/>
    <n v="3494.5000000280561"/>
    <n v="482"/>
    <x v="275"/>
  </r>
  <r>
    <x v="10"/>
    <x v="0"/>
    <n v="112"/>
    <n v="310"/>
    <d v="2015-12-23T08:17:00"/>
    <d v="2015-12-23T08:38:00"/>
    <n v="190"/>
    <n v="521"/>
    <n v="482"/>
    <s v="Pulverizer mills"/>
    <s v="F400Lost 4A and 4D Coal Mills - Electrical Trips"/>
    <s v="Mill Creek"/>
    <x v="0"/>
    <s v="Coal"/>
    <x v="2"/>
    <x v="2"/>
    <n v="12"/>
    <n v="0.35000000009313226"/>
    <n v="0.22236084458891897"/>
    <n v="107.17792709185895"/>
    <n v="306.22264875239921"/>
    <x v="291"/>
  </r>
  <r>
    <x v="10"/>
    <x v="0"/>
    <n v="113"/>
    <n v="310"/>
    <d v="2015-12-23T08:38:00"/>
    <d v="2015-12-23T09:28:00"/>
    <n v="205"/>
    <n v="521"/>
    <n v="482"/>
    <s v="Pulverizer mills"/>
    <s v="F400Lost 4A and 4D Coal Mills - Electrical Trips"/>
    <s v="Mill Creek"/>
    <x v="0"/>
    <s v="Coal"/>
    <x v="2"/>
    <x v="2"/>
    <n v="12"/>
    <n v="0.83333333325572312"/>
    <n v="0.50543825970980516"/>
    <n v="243.62124118012608"/>
    <n v="292.34548944337814"/>
    <x v="292"/>
  </r>
  <r>
    <x v="10"/>
    <x v="0"/>
    <n v="114"/>
    <n v="4269"/>
    <d v="2015-12-23T09:28:00"/>
    <d v="2015-12-23T10:42:00"/>
    <n v="100"/>
    <n v="521"/>
    <n v="482"/>
    <s v="Other turbine valves"/>
    <s v="F660Transfer Turbine Valves from Full Arc to Partial Arc"/>
    <s v="Mill Creek"/>
    <x v="0"/>
    <s v="Coal"/>
    <x v="2"/>
    <x v="2"/>
    <n v="12"/>
    <n v="1.2333333333372138"/>
    <n v="0.99660908509590596"/>
    <n v="480.36557901622666"/>
    <n v="389.4856046065259"/>
    <x v="278"/>
  </r>
  <r>
    <x v="10"/>
    <x v="0"/>
    <n v="115"/>
    <n v="310"/>
    <d v="2015-12-24T00:19:00"/>
    <d v="2015-12-24T01:10:00"/>
    <n v="125"/>
    <n v="521"/>
    <n v="482"/>
    <s v="Pulverizer mills"/>
    <s v="F400Lost 4A and 4D Coal Mills - Electrical Trips"/>
    <s v="Mill Creek"/>
    <x v="0"/>
    <s v="Coal"/>
    <x v="2"/>
    <x v="2"/>
    <n v="12"/>
    <n v="0.84999999997671694"/>
    <n v="0.64606525909938561"/>
    <n v="311.40345488590384"/>
    <n v="366.35700575815741"/>
    <x v="193"/>
  </r>
  <r>
    <x v="10"/>
    <x v="0"/>
    <n v="116"/>
    <n v="310"/>
    <d v="2015-12-24T15:01:00"/>
    <d v="2015-12-24T17:40:00"/>
    <n v="140"/>
    <n v="521"/>
    <n v="482"/>
    <s v="Pulverizer mills"/>
    <s v="F400Lost 4A and 4C Coal Mills - Electrical Trips"/>
    <s v="Mill Creek"/>
    <x v="0"/>
    <s v="Coal"/>
    <x v="2"/>
    <x v="2"/>
    <n v="12"/>
    <n v="2.6499999999068677"/>
    <n v="1.9379078694136596"/>
    <n v="934.07159305738389"/>
    <n v="352.47984644913629"/>
    <x v="285"/>
  </r>
  <r>
    <x v="10"/>
    <x v="2"/>
    <n v="117"/>
    <n v="360"/>
    <d v="2015-12-30T21:32:00"/>
    <d v="2015-12-30T21:54:00"/>
    <n v="380"/>
    <n v="521"/>
    <n v="482"/>
    <s v="Burners"/>
    <s v="F5304A Mill burner inspection"/>
    <s v="Mill Creek"/>
    <x v="0"/>
    <s v="Coal"/>
    <x v="2"/>
    <x v="2"/>
    <n v="12"/>
    <n v="0.36666666663950309"/>
    <n v="9.9232245674030592E-2"/>
    <n v="47.829942414882744"/>
    <n v="130.44529750479848"/>
    <x v="50"/>
  </r>
  <r>
    <x v="10"/>
    <x v="0"/>
    <n v="1"/>
    <n v="250"/>
    <d v="2016-01-04T00:30:00"/>
    <d v="2016-01-04T03:00:00"/>
    <n v="420"/>
    <n v="521"/>
    <n v="482"/>
    <s v="Pulverizer feeders"/>
    <s v="F120E Mill feeder plugged"/>
    <s v="Mill Creek"/>
    <x v="0"/>
    <s v="Coal"/>
    <x v="2"/>
    <x v="3"/>
    <n v="1"/>
    <n v="2.4999999999417923"/>
    <n v="0.48464491361635514"/>
    <n v="233.59884836308319"/>
    <n v="93.439539347408825"/>
    <x v="129"/>
  </r>
  <r>
    <x v="10"/>
    <x v="0"/>
    <n v="2"/>
    <n v="310"/>
    <d v="2016-01-06T05:16:00"/>
    <d v="2016-01-06T10:50:00"/>
    <n v="390"/>
    <n v="521"/>
    <n v="482"/>
    <s v="Pulverizer mills"/>
    <s v="F8204E Mill tripped with instantaneous targets on the A &amp; B Phases."/>
    <s v="Mill Creek"/>
    <x v="0"/>
    <s v="Coal"/>
    <x v="2"/>
    <x v="3"/>
    <n v="1"/>
    <n v="5.5666666666511446"/>
    <n v="1.3996801023633396"/>
    <n v="674.64580933912964"/>
    <n v="121.19385796545106"/>
    <x v="277"/>
  </r>
  <r>
    <x v="10"/>
    <x v="0"/>
    <n v="3"/>
    <n v="270"/>
    <d v="2016-01-07T06:15:00"/>
    <d v="2016-01-07T06:45:00"/>
    <n v="440"/>
    <n v="521"/>
    <n v="482"/>
    <s v="Primary air duct and dampers"/>
    <s v="F3404E mill hot air damper switch"/>
    <s v="Mill Creek"/>
    <x v="0"/>
    <s v="Coal"/>
    <x v="2"/>
    <x v="3"/>
    <n v="1"/>
    <n v="0.50000000005820766"/>
    <n v="7.7735124769126335E-2"/>
    <n v="37.468330138718891"/>
    <n v="74.936660268714007"/>
    <x v="34"/>
  </r>
  <r>
    <x v="10"/>
    <x v="0"/>
    <n v="4"/>
    <n v="360"/>
    <d v="2016-01-10T07:52:00"/>
    <d v="2016-01-10T09:20:00"/>
    <n v="270"/>
    <n v="521"/>
    <n v="482"/>
    <s v="Burners"/>
    <s v="F780A Mill high burner temps"/>
    <s v="Mill Creek"/>
    <x v="0"/>
    <s v="Coal"/>
    <x v="2"/>
    <x v="3"/>
    <n v="1"/>
    <n v="1.4666666667326353"/>
    <n v="0.70658989126658633"/>
    <n v="340.5763275904946"/>
    <n v="232.21113243761997"/>
    <x v="221"/>
  </r>
  <r>
    <x v="10"/>
    <x v="0"/>
    <n v="5"/>
    <n v="260"/>
    <d v="2016-01-10T11:33:00"/>
    <d v="2016-01-10T13:50:00"/>
    <n v="360"/>
    <n v="521"/>
    <n v="482"/>
    <s v="Primary air fan"/>
    <s v="F4004D PA Fan tripping out"/>
    <s v="Mill Creek"/>
    <x v="0"/>
    <s v="Coal"/>
    <x v="2"/>
    <x v="3"/>
    <n v="1"/>
    <n v="2.2833333334419876"/>
    <n v="0.70559820860683298"/>
    <n v="340.09833654849348"/>
    <n v="148.94817658349328"/>
    <x v="286"/>
  </r>
  <r>
    <x v="10"/>
    <x v="3"/>
    <n v="6"/>
    <n v="8700"/>
    <d v="2016-01-12T08:00:00"/>
    <d v="2016-01-12T18:18:00"/>
    <n v="0"/>
    <n v="521"/>
    <n v="482"/>
    <s v="CEMS Certification and Recertification"/>
    <s v="F790Full load RATA testing"/>
    <s v="Mill Creek"/>
    <x v="1"/>
    <s v="Coal"/>
    <x v="2"/>
    <x v="3"/>
    <n v="1"/>
    <n v="10.299999999871943"/>
    <n v="10.299999999871943"/>
    <n v="4964.5999999382766"/>
    <n v="482"/>
    <x v="275"/>
  </r>
  <r>
    <x v="10"/>
    <x v="3"/>
    <n v="7"/>
    <n v="8700"/>
    <d v="2016-01-13T10:23:00"/>
    <d v="2016-01-13T13:56:00"/>
    <n v="0"/>
    <n v="521"/>
    <n v="482"/>
    <s v="CEMS Certification and Recertification"/>
    <s v="F790Full load RATA testing"/>
    <s v="Mill Creek"/>
    <x v="1"/>
    <s v="Coal"/>
    <x v="2"/>
    <x v="3"/>
    <n v="1"/>
    <n v="3.5500000000465661"/>
    <n v="3.5500000000465661"/>
    <n v="1711.1000000224449"/>
    <n v="482"/>
    <x v="275"/>
  </r>
  <r>
    <x v="10"/>
    <x v="3"/>
    <n v="8"/>
    <n v="8700"/>
    <d v="2016-01-13T22:00:00"/>
    <d v="2016-01-14T00:59:00"/>
    <n v="0"/>
    <n v="521"/>
    <n v="482"/>
    <s v="CEMS Certification and Recertification"/>
    <s v="F790Mid load RATA testing"/>
    <s v="Mill Creek"/>
    <x v="1"/>
    <s v="Coal"/>
    <x v="2"/>
    <x v="3"/>
    <n v="1"/>
    <n v="2.9833333334536292"/>
    <n v="2.9833333334536292"/>
    <n v="1437.9666667246493"/>
    <n v="482"/>
    <x v="275"/>
  </r>
  <r>
    <x v="10"/>
    <x v="0"/>
    <n v="9"/>
    <n v="335"/>
    <d v="2016-01-27T11:16:00"/>
    <d v="2016-01-27T20:09:00"/>
    <n v="395"/>
    <n v="521"/>
    <n v="482"/>
    <s v="Pulverizer lube oil system"/>
    <s v="F820A mill lube oil pump motor trip "/>
    <s v="Mill Creek"/>
    <x v="0"/>
    <s v="Coal"/>
    <x v="2"/>
    <x v="3"/>
    <n v="1"/>
    <n v="8.8833333333022892"/>
    <n v="2.1483685220654287"/>
    <n v="1035.5136276355367"/>
    <n v="116.56813819577735"/>
    <x v="242"/>
  </r>
  <r>
    <x v="10"/>
    <x v="3"/>
    <n v="10"/>
    <n v="9999"/>
    <d v="2016-02-02T09:00:00"/>
    <d v="2016-02-02T13:01:00"/>
    <n v="0"/>
    <n v="521"/>
    <n v="482"/>
    <s v="Total unit performance testing (use appropriate codes for individual component testing)"/>
    <s v="F790Full Load winter capability test"/>
    <s v="Mill Creek"/>
    <x v="1"/>
    <s v="Coal"/>
    <x v="2"/>
    <x v="3"/>
    <n v="2"/>
    <n v="4.0166666666627862"/>
    <n v="4.0166666666627862"/>
    <n v="1936.0333333314629"/>
    <n v="482"/>
    <x v="275"/>
  </r>
  <r>
    <x v="10"/>
    <x v="5"/>
    <n v="11"/>
    <n v="1470"/>
    <d v="2016-02-02T13:01:00"/>
    <d v="2016-02-02T16:34:00"/>
    <n v="0"/>
    <n v="521"/>
    <n v="482"/>
    <s v="Induced draft fan motors and drives"/>
    <s v="F8204B ID fan trip on high stator temp."/>
    <s v="Mill Creek"/>
    <x v="3"/>
    <s v="Coal"/>
    <x v="2"/>
    <x v="3"/>
    <n v="2"/>
    <n v="3.5500000000465661"/>
    <n v="3.5500000000465661"/>
    <n v="1711.1000000224449"/>
    <n v="482"/>
    <x v="275"/>
  </r>
  <r>
    <x v="10"/>
    <x v="3"/>
    <n v="12"/>
    <n v="1850"/>
    <d v="2016-02-02T16:34:00"/>
    <d v="2016-02-02T20:34:00"/>
    <n v="0"/>
    <n v="521"/>
    <n v="482"/>
    <s v="Boiler water condition (not feedwater water quality)"/>
    <s v="F170High silica at very hot start"/>
    <s v="Mill Creek"/>
    <x v="1"/>
    <s v="Coal"/>
    <x v="2"/>
    <x v="3"/>
    <n v="2"/>
    <n v="3.9999999999417923"/>
    <n v="3.9999999999417923"/>
    <n v="1927.9999999719439"/>
    <n v="482"/>
    <x v="275"/>
  </r>
  <r>
    <x v="10"/>
    <x v="2"/>
    <n v="13"/>
    <n v="360"/>
    <d v="2016-02-02T22:00:00"/>
    <d v="2016-02-03T03:08:00"/>
    <n v="360"/>
    <n v="521"/>
    <n v="482"/>
    <s v="Burners"/>
    <s v="F5904D mill burner maintenance"/>
    <s v="Mill Creek"/>
    <x v="0"/>
    <s v="Coal"/>
    <x v="2"/>
    <x v="3"/>
    <n v="2"/>
    <n v="5.1333333334769122"/>
    <n v="1.5863083813623471"/>
    <n v="764.60063981665132"/>
    <n v="148.94817658349328"/>
    <x v="286"/>
  </r>
  <r>
    <x v="10"/>
    <x v="0"/>
    <n v="14"/>
    <n v="360"/>
    <d v="2016-02-09T11:45:00"/>
    <d v="2016-02-09T12:46:00"/>
    <n v="415"/>
    <n v="521"/>
    <n v="482"/>
    <s v="Burners"/>
    <s v="F7804C mill high burner temps"/>
    <s v="Mill Creek"/>
    <x v="0"/>
    <s v="Coal"/>
    <x v="2"/>
    <x v="3"/>
    <n v="2"/>
    <n v="1.0166666666627862"/>
    <n v="0.20684580934022137"/>
    <n v="99.699680101986701"/>
    <n v="98.065259117082533"/>
    <x v="190"/>
  </r>
  <r>
    <x v="10"/>
    <x v="3"/>
    <n v="15"/>
    <n v="8700"/>
    <d v="2016-02-10T08:00:00"/>
    <d v="2016-02-10T15:50:00"/>
    <n v="0"/>
    <n v="521"/>
    <n v="482"/>
    <s v="CEMS Certification and Recertification"/>
    <s v="F790Full load PM/RRA Testing"/>
    <s v="Mill Creek"/>
    <x v="1"/>
    <s v="Coal"/>
    <x v="2"/>
    <x v="3"/>
    <n v="2"/>
    <n v="7.8333333331975155"/>
    <n v="7.8333333331975155"/>
    <n v="3775.6666666012025"/>
    <n v="482"/>
    <x v="275"/>
  </r>
  <r>
    <x v="10"/>
    <x v="5"/>
    <n v="16"/>
    <n v="250"/>
    <d v="2016-02-27T14:37:00"/>
    <d v="2016-02-27T16:18:00"/>
    <n v="0"/>
    <n v="521"/>
    <n v="482"/>
    <s v="Pulverizer feeders"/>
    <s v="F8204A and 4B Mill feeders tripped."/>
    <s v="Mill Creek"/>
    <x v="3"/>
    <s v="Coal"/>
    <x v="2"/>
    <x v="3"/>
    <n v="2"/>
    <n v="1.683333333407063"/>
    <n v="1.683333333407063"/>
    <n v="811.36666670220438"/>
    <n v="482"/>
    <x v="275"/>
  </r>
  <r>
    <x v="10"/>
    <x v="3"/>
    <n v="17"/>
    <n v="1850"/>
    <d v="2016-02-27T16:18:00"/>
    <d v="2016-02-27T21:44:00"/>
    <n v="0"/>
    <n v="521"/>
    <n v="482"/>
    <s v="Boiler water condition (not feedwater water quality)"/>
    <s v="F170High silica @ very hot start"/>
    <s v="Mill Creek"/>
    <x v="1"/>
    <s v="Coal"/>
    <x v="2"/>
    <x v="3"/>
    <n v="2"/>
    <n v="5.4333333332324401"/>
    <n v="5.4333333332324401"/>
    <n v="2618.8666666180361"/>
    <n v="482"/>
    <x v="275"/>
  </r>
  <r>
    <x v="10"/>
    <x v="5"/>
    <n v="18"/>
    <n v="1470"/>
    <d v="2016-02-27T21:44:00"/>
    <d v="2016-02-28T00:57:00"/>
    <n v="0"/>
    <n v="521"/>
    <n v="482"/>
    <s v="Induced draft fan motors and drives"/>
    <s v="F8204A ID fan inlet load index trip"/>
    <s v="Mill Creek"/>
    <x v="3"/>
    <s v="Coal"/>
    <x v="2"/>
    <x v="3"/>
    <n v="2"/>
    <n v="3.2166666666744277"/>
    <n v="3.2166666666744277"/>
    <n v="1550.4333333370741"/>
    <n v="482"/>
    <x v="275"/>
  </r>
  <r>
    <x v="10"/>
    <x v="3"/>
    <n v="19"/>
    <n v="1850"/>
    <d v="2016-02-28T00:57:00"/>
    <d v="2016-02-28T06:57:00"/>
    <n v="0"/>
    <n v="521"/>
    <n v="482"/>
    <s v="Boiler water condition (not feedwater water quality)"/>
    <s v="F170High silica @ very hot start"/>
    <s v="Mill Creek"/>
    <x v="1"/>
    <s v="Coal"/>
    <x v="2"/>
    <x v="3"/>
    <n v="2"/>
    <n v="6"/>
    <n v="6"/>
    <n v="2892"/>
    <n v="482"/>
    <x v="275"/>
  </r>
  <r>
    <x v="10"/>
    <x v="0"/>
    <n v="20"/>
    <n v="1850"/>
    <d v="2016-02-28T06:57:00"/>
    <d v="2016-02-28T08:15:00"/>
    <n v="490"/>
    <n v="521"/>
    <n v="482"/>
    <s v="Boiler water condition (not feedwater water quality)"/>
    <s v="F170High silica"/>
    <s v="Mill Creek"/>
    <x v="0"/>
    <s v="Coal"/>
    <x v="2"/>
    <x v="3"/>
    <n v="2"/>
    <n v="1.3000000000465661"/>
    <n v="7.7351247603538481E-2"/>
    <n v="37.283301344905546"/>
    <n v="28.679462571976966"/>
    <x v="206"/>
  </r>
  <r>
    <x v="10"/>
    <x v="3"/>
    <n v="21"/>
    <n v="1999"/>
    <d v="2016-03-01T09:30:00"/>
    <d v="2016-03-01T12:00:00"/>
    <n v="0"/>
    <n v="521"/>
    <n v="482"/>
    <s v="Boiler"/>
    <s v="F790Full load windbox testing"/>
    <s v="Mill Creek"/>
    <x v="1"/>
    <s v="Coal"/>
    <x v="2"/>
    <x v="3"/>
    <n v="3"/>
    <n v="2.4999999999417923"/>
    <n v="2.4999999999417923"/>
    <n v="1204.9999999719439"/>
    <n v="482"/>
    <x v="275"/>
  </r>
  <r>
    <x v="10"/>
    <x v="3"/>
    <n v="22"/>
    <n v="8460"/>
    <d v="2016-04-16T15:00:00"/>
    <d v="2016-04-16T18:00:00"/>
    <n v="0"/>
    <n v="521"/>
    <n v="482"/>
    <s v="Testing A"/>
    <s v="F790Hg compliance testing"/>
    <s v="Mill Creek"/>
    <x v="1"/>
    <s v="Coal"/>
    <x v="2"/>
    <x v="3"/>
    <n v="4"/>
    <n v="3"/>
    <n v="3"/>
    <n v="1446"/>
    <n v="482"/>
    <x v="275"/>
  </r>
  <r>
    <x v="10"/>
    <x v="5"/>
    <n v="23"/>
    <n v="1040"/>
    <d v="2016-04-28T10:34:00"/>
    <d v="2016-05-01T23:27:00"/>
    <n v="0"/>
    <n v="521"/>
    <n v="482"/>
    <s v="First superheater B"/>
    <s v="F540Boiler tube leak - superheat"/>
    <s v="Mill Creek"/>
    <x v="3"/>
    <s v="Coal"/>
    <x v="2"/>
    <x v="3"/>
    <n v="4"/>
    <n v="84.883333333244082"/>
    <n v="84.883333333244082"/>
    <n v="40913.766666623647"/>
    <n v="482"/>
    <x v="275"/>
  </r>
  <r>
    <x v="10"/>
    <x v="3"/>
    <n v="24"/>
    <n v="1850"/>
    <d v="2016-05-01T23:27:00"/>
    <d v="2016-05-02T14:06:00"/>
    <n v="0"/>
    <n v="521"/>
    <n v="482"/>
    <s v="Boiler water condition (not feedwater water quality)"/>
    <s v="F170High silica @ warm start"/>
    <s v="Mill Creek"/>
    <x v="1"/>
    <s v="Coal"/>
    <x v="2"/>
    <x v="3"/>
    <n v="5"/>
    <n v="14.650000000081491"/>
    <n v="14.650000000081491"/>
    <n v="7061.3000000392785"/>
    <n v="482"/>
    <x v="275"/>
  </r>
  <r>
    <x v="10"/>
    <x v="0"/>
    <n v="25"/>
    <n v="3150"/>
    <d v="2016-06-04T09:07:00"/>
    <d v="2016-06-04T09:21:00"/>
    <n v="307"/>
    <n v="521"/>
    <n v="482"/>
    <s v="Hot well level controls"/>
    <s v="F690Make up to hotwell not operating"/>
    <s v="Mill Creek"/>
    <x v="0"/>
    <s v="Coal"/>
    <x v="2"/>
    <x v="3"/>
    <n v="6"/>
    <n v="0.23333333322079852"/>
    <n v="9.5841330727928761E-2"/>
    <n v="46.195521410861666"/>
    <n v="197.98080614203454"/>
    <x v="268"/>
  </r>
  <r>
    <x v="10"/>
    <x v="0"/>
    <n v="26"/>
    <n v="260"/>
    <d v="2016-06-14T08:14:00"/>
    <d v="2016-06-14T08:25:00"/>
    <n v="430"/>
    <n v="521"/>
    <n v="482"/>
    <s v="Primary air fan"/>
    <s v="F5904A mill not available, 4C PA fan not available"/>
    <s v="Mill Creek"/>
    <x v="0"/>
    <s v="Coal"/>
    <x v="2"/>
    <x v="3"/>
    <n v="6"/>
    <n v="0.18333333340706304"/>
    <n v="3.2021753051905445E-2"/>
    <n v="15.434484971018424"/>
    <n v="84.188099808061423"/>
    <x v="136"/>
  </r>
  <r>
    <x v="10"/>
    <x v="3"/>
    <n v="27"/>
    <n v="8010"/>
    <d v="2016-06-15T00:50:00"/>
    <d v="2016-06-15T04:42:00"/>
    <n v="0"/>
    <n v="521"/>
    <n v="482"/>
    <s v="Crushers/mills"/>
    <s v="F430Lost feed to limestone crusher, cant make slurry"/>
    <s v="Mill Creek"/>
    <x v="1"/>
    <s v="Coal"/>
    <x v="2"/>
    <x v="3"/>
    <n v="6"/>
    <n v="3.8666666666977108"/>
    <n v="3.8666666666977108"/>
    <n v="1863.7333333482966"/>
    <n v="482"/>
    <x v="275"/>
  </r>
  <r>
    <x v="10"/>
    <x v="0"/>
    <n v="28"/>
    <n v="335"/>
    <d v="2016-07-30T23:09:00"/>
    <d v="2016-07-31T00:06:00"/>
    <n v="220"/>
    <n v="521"/>
    <n v="482"/>
    <s v="Pulverizer lube oil system"/>
    <s v="F490Lost two mills (A&amp;C) - Power to lube oil lost(Grounded 480V Transformer 4A1)"/>
    <s v="Mill Creek"/>
    <x v="0"/>
    <s v="Coal"/>
    <x v="2"/>
    <x v="3"/>
    <n v="7"/>
    <n v="0.94999999995343387"/>
    <n v="0.54884836849517005"/>
    <n v="264.54491361467194"/>
    <n v="278.46833013435702"/>
    <x v="213"/>
  </r>
  <r>
    <x v="10"/>
    <x v="3"/>
    <n v="29"/>
    <n v="4490"/>
    <d v="2016-08-10T20:00:00"/>
    <d v="2016-08-11T01:03:00"/>
    <n v="0"/>
    <n v="521"/>
    <n v="482"/>
    <s v="Turbine performance testing (use code 9999 for total unit performance testing)"/>
    <s v="F790Heat Rate Testing (various loads)"/>
    <s v="Mill Creek"/>
    <x v="1"/>
    <s v="Coal"/>
    <x v="2"/>
    <x v="3"/>
    <n v="8"/>
    <n v="5.0499999998719431"/>
    <n v="5.0499999998719431"/>
    <n v="2434.0999999382766"/>
    <n v="482"/>
    <x v="275"/>
  </r>
  <r>
    <x v="10"/>
    <x v="3"/>
    <n v="30"/>
    <n v="1190"/>
    <d v="2016-08-31T20:55:00"/>
    <d v="2016-09-01T03:02:00"/>
    <n v="0"/>
    <n v="521"/>
    <n v="482"/>
    <s v="Other tube slagging or fouling"/>
    <s v="FS00Boiler Deslag"/>
    <s v="Mill Creek"/>
    <x v="1"/>
    <s v="Coal"/>
    <x v="2"/>
    <x v="3"/>
    <n v="8"/>
    <n v="6.1166666665230878"/>
    <n v="6.1166666665230878"/>
    <n v="2948.2333332641283"/>
    <n v="482"/>
    <x v="275"/>
  </r>
  <r>
    <x v="10"/>
    <x v="5"/>
    <n v="31"/>
    <n v="1040"/>
    <d v="2016-09-20T09:36:00"/>
    <d v="2016-09-24T10:55:00"/>
    <n v="0"/>
    <n v="521"/>
    <n v="482"/>
    <s v="First superheater B"/>
    <s v="F830Boiler tube leak - superheater "/>
    <s v="Mill Creek"/>
    <x v="3"/>
    <s v="Coal"/>
    <x v="2"/>
    <x v="3"/>
    <n v="9"/>
    <n v="97.316666666592937"/>
    <n v="97.316666666592937"/>
    <n v="46906.633333297796"/>
    <n v="482"/>
    <x v="275"/>
  </r>
  <r>
    <x v="10"/>
    <x v="5"/>
    <n v="32"/>
    <n v="380"/>
    <d v="2016-09-24T12:09:00"/>
    <d v="2016-09-24T12:39:00"/>
    <n v="0"/>
    <n v="521"/>
    <n v="482"/>
    <s v="Light-off (igniter) systems (including fuel supply)"/>
    <s v="F820'Trip - Loss of Fuel "/>
    <s v="Mill Creek"/>
    <x v="3"/>
    <s v="Coal"/>
    <x v="2"/>
    <x v="3"/>
    <n v="9"/>
    <n v="0.50000000005820766"/>
    <n v="0.50000000005820766"/>
    <n v="241.00000002805609"/>
    <n v="482"/>
    <x v="275"/>
  </r>
  <r>
    <x v="10"/>
    <x v="0"/>
    <n v="33"/>
    <n v="3431"/>
    <d v="2016-09-27T15:10:00"/>
    <d v="2016-09-27T18:25:00"/>
    <n v="420"/>
    <n v="521"/>
    <n v="482"/>
    <s v="Other feedwater valves"/>
    <s v="F630'TDBFP Recirc Valve Stuck Open"/>
    <s v="Mill Creek"/>
    <x v="0"/>
    <s v="Coal"/>
    <x v="2"/>
    <x v="3"/>
    <n v="9"/>
    <n v="3.2499999999417923"/>
    <n v="0.63003838770464693"/>
    <n v="303.67850287363984"/>
    <n v="93.439539347408825"/>
    <x v="129"/>
  </r>
  <r>
    <x v="10"/>
    <x v="6"/>
    <n v="34"/>
    <n v="1800"/>
    <d v="2016-09-30T01:23:00"/>
    <d v="2016-11-07T00:00:00"/>
    <n v="0"/>
    <n v="521"/>
    <n v="482"/>
    <s v="Major boiler overhaul (720 hours or longer) (use for non-specific overhaul only; see page B-1)"/>
    <s v="F590Planned Outage"/>
    <s v="Mill Creek"/>
    <x v="1"/>
    <s v="Coal"/>
    <x v="2"/>
    <x v="3"/>
    <n v="9"/>
    <n v="910.61666666669771"/>
    <n v="910.61666666669771"/>
    <n v="438917.2333333483"/>
    <n v="482"/>
    <x v="275"/>
  </r>
  <r>
    <x v="10"/>
    <x v="8"/>
    <n v="35"/>
    <n v="1800"/>
    <d v="2016-11-07T00:00:00"/>
    <d v="2016-11-21T07:48:00"/>
    <n v="0"/>
    <n v="521"/>
    <n v="482"/>
    <s v="Major boiler overhaul (720 hours or longer) (use for non-specific overhaul only; see page B-1)"/>
    <s v="F590Planned Outage Extension "/>
    <s v="Mill Creek"/>
    <x v="1"/>
    <s v="Coal"/>
    <x v="2"/>
    <x v="3"/>
    <n v="11"/>
    <n v="343.79999999993015"/>
    <n v="343.79999999993015"/>
    <n v="165711.59999996633"/>
    <n v="482"/>
    <x v="275"/>
  </r>
  <r>
    <x v="10"/>
    <x v="3"/>
    <n v="36"/>
    <n v="1850"/>
    <d v="2016-11-21T07:48:00"/>
    <d v="2016-11-23T05:06:00"/>
    <n v="0"/>
    <n v="521"/>
    <n v="482"/>
    <s v="Boiler water condition (not feedwater water quality)"/>
    <s v="F170High silica at cold start-up"/>
    <s v="Mill Creek"/>
    <x v="1"/>
    <s v="Coal"/>
    <x v="2"/>
    <x v="3"/>
    <n v="11"/>
    <n v="45.300000000104774"/>
    <n v="45.300000000104774"/>
    <n v="21834.600000050501"/>
    <n v="482"/>
    <x v="275"/>
  </r>
  <r>
    <x v="10"/>
    <x v="0"/>
    <n v="37"/>
    <n v="300"/>
    <d v="2016-12-02T17:04:00"/>
    <d v="2016-12-02T17:50:00"/>
    <n v="430"/>
    <n v="521"/>
    <n v="482"/>
    <s v="Pulverizer motors and drives"/>
    <s v="F410A Mill Breaker"/>
    <s v="Mill Creek"/>
    <x v="0"/>
    <s v="Coal"/>
    <x v="2"/>
    <x v="3"/>
    <n v="12"/>
    <n v="0.76666666672099382"/>
    <n v="0.13390914908178586"/>
    <n v="64.544209857420782"/>
    <n v="84.188099808061423"/>
    <x v="136"/>
  </r>
  <r>
    <x v="10"/>
    <x v="0"/>
    <n v="38"/>
    <n v="260"/>
    <d v="2016-12-10T04:58:00"/>
    <d v="2016-12-10T05:30:00"/>
    <n v="385"/>
    <n v="521"/>
    <n v="482"/>
    <s v="Primary air fan"/>
    <s v="F780C Mill PA Fan Bearing Temperature Spiked"/>
    <s v="Mill Creek"/>
    <x v="0"/>
    <s v="Coal"/>
    <x v="2"/>
    <x v="3"/>
    <n v="12"/>
    <n v="0.53333333332557231"/>
    <n v="0.13921944977404574"/>
    <n v="67.103774791090046"/>
    <n v="125.81957773512477"/>
    <x v="248"/>
  </r>
  <r>
    <x v="10"/>
    <x v="0"/>
    <n v="39"/>
    <n v="267"/>
    <d v="2016-12-10T07:55:00"/>
    <d v="2016-12-11T04:29:00"/>
    <n v="500"/>
    <n v="521"/>
    <n v="482"/>
    <s v="Primary air flow instrumentation"/>
    <s v="F120Air Fuel Flow Issues"/>
    <s v="Mill Creek"/>
    <x v="0"/>
    <s v="Coal"/>
    <x v="2"/>
    <x v="3"/>
    <n v="12"/>
    <n v="20.566666666651145"/>
    <n v="0.82898272552720542"/>
    <n v="399.56967370411303"/>
    <n v="19.428023032629557"/>
    <x v="54"/>
  </r>
  <r>
    <x v="10"/>
    <x v="2"/>
    <n v="40"/>
    <n v="510"/>
    <d v="2016-12-11T22:38:00"/>
    <d v="2016-12-12T00:17:00"/>
    <n v="400"/>
    <n v="521"/>
    <n v="482"/>
    <s v="Main steam relief/safety valves off superheater"/>
    <s v="F790Set Safeties "/>
    <s v="Mill Creek"/>
    <x v="0"/>
    <s v="Coal"/>
    <x v="2"/>
    <x v="3"/>
    <n v="12"/>
    <n v="1.6499999999650754"/>
    <n v="0.38320537427211926"/>
    <n v="184.70499039916149"/>
    <n v="111.94241842610364"/>
    <x v="38"/>
  </r>
  <r>
    <x v="10"/>
    <x v="0"/>
    <n v="41"/>
    <n v="3344"/>
    <d v="2016-12-21T05:50:00"/>
    <d v="2016-12-21T09:31:00"/>
    <n v="450"/>
    <n v="521"/>
    <n v="482"/>
    <s v="Deaerator (including level control)"/>
    <s v="F430Dearator Level Transmitter"/>
    <s v="Mill Creek"/>
    <x v="0"/>
    <s v="Coal"/>
    <x v="2"/>
    <x v="3"/>
    <n v="12"/>
    <n v="3.6833333332906477"/>
    <n v="0.50195137555400382"/>
    <n v="241.94056301702983"/>
    <n v="65.685220729366605"/>
    <x v="244"/>
  </r>
  <r>
    <x v="10"/>
    <x v="0"/>
    <n v="42"/>
    <n v="250"/>
    <d v="2016-12-29T11:27:00"/>
    <d v="2016-12-29T13:35:00"/>
    <n v="150"/>
    <n v="521"/>
    <n v="482"/>
    <s v="Pulverizer feeders"/>
    <s v="F820Lost 4A/4B Mill feeders"/>
    <s v="Mill Creek"/>
    <x v="0"/>
    <s v="Coal"/>
    <x v="2"/>
    <x v="3"/>
    <n v="12"/>
    <n v="2.1333333333022892"/>
    <n v="1.5191298784167933"/>
    <n v="732.22060139689438"/>
    <n v="343.22840690978887"/>
    <x v="293"/>
  </r>
  <r>
    <x v="10"/>
    <x v="0"/>
    <n v="43"/>
    <n v="264"/>
    <d v="2016-12-29T18:30:00"/>
    <d v="2016-12-29T19:34:00"/>
    <n v="450"/>
    <n v="521"/>
    <n v="482"/>
    <s v="Other primary air fan problems"/>
    <s v="F720Air flow issues"/>
    <s v="Mill Creek"/>
    <x v="0"/>
    <s v="Coal"/>
    <x v="2"/>
    <x v="3"/>
    <n v="12"/>
    <n v="1.0666666666511446"/>
    <n v="0.14536148432290072"/>
    <n v="70.06423544363814"/>
    <n v="65.685220729366605"/>
    <x v="244"/>
  </r>
  <r>
    <x v="10"/>
    <x v="0"/>
    <n v="44"/>
    <n v="250"/>
    <d v="2016-12-29T19:34:00"/>
    <d v="2016-12-30T07:54:00"/>
    <n v="510"/>
    <n v="521"/>
    <n v="482"/>
    <s v="Pulverizer feeders"/>
    <s v="F5504E Feeder belt slipping"/>
    <s v="Mill Creek"/>
    <x v="0"/>
    <s v="Coal"/>
    <x v="2"/>
    <x v="3"/>
    <n v="12"/>
    <n v="12.333333333372138"/>
    <n v="0.26039667306543862"/>
    <n v="125.51119641754141"/>
    <n v="10.17658349328215"/>
    <x v="182"/>
  </r>
  <r>
    <x v="10"/>
    <x v="0"/>
    <n v="1"/>
    <n v="250"/>
    <d v="2017-01-05T19:02:00"/>
    <d v="2017-01-05T19:40:00"/>
    <n v="406"/>
    <n v="521"/>
    <n v="482"/>
    <s v="Pulverizer feeders"/>
    <s v="F8204C Feeder Tripped"/>
    <s v="Mill Creek"/>
    <x v="0"/>
    <s v="Coal"/>
    <x v="2"/>
    <x v="4"/>
    <n v="1"/>
    <n v="0.63333333330228925"/>
    <n v="0.13979526550818286"/>
    <n v="67.381317974944139"/>
    <n v="106.3915547024952"/>
    <x v="207"/>
  </r>
  <r>
    <x v="10"/>
    <x v="4"/>
    <n v="2"/>
    <n v="3110"/>
    <d v="2017-01-09T14:25:00"/>
    <d v="2017-01-10T13:47:00"/>
    <n v="0"/>
    <n v="521"/>
    <n v="482"/>
    <s v="Condenser tube leaks"/>
    <s v="F540Condenser Tube Leak"/>
    <s v="Mill Creek"/>
    <x v="2"/>
    <s v="Coal"/>
    <x v="2"/>
    <x v="4"/>
    <n v="1"/>
    <n v="23.366666666697711"/>
    <n v="23.366666666697711"/>
    <n v="11262.733333348297"/>
    <n v="482"/>
    <x v="275"/>
  </r>
  <r>
    <x v="10"/>
    <x v="0"/>
    <n v="3"/>
    <n v="1850"/>
    <d v="2017-01-10T22:20:00"/>
    <d v="2017-01-11T06:55:00"/>
    <n v="437"/>
    <n v="521"/>
    <n v="482"/>
    <s v="Boiler water condition (not feedwater water quality)"/>
    <s v="F170High Silica From Statup"/>
    <s v="Mill Creek"/>
    <x v="0"/>
    <s v="Coal"/>
    <x v="2"/>
    <x v="4"/>
    <n v="1"/>
    <n v="8.5833333333721384"/>
    <n v="1.3838771593152777"/>
    <n v="667.02879078996386"/>
    <n v="77.712092130518229"/>
    <x v="53"/>
  </r>
  <r>
    <x v="10"/>
    <x v="0"/>
    <n v="4"/>
    <n v="1850"/>
    <d v="2017-01-11T06:55:00"/>
    <d v="2017-01-11T09:18:00"/>
    <n v="475"/>
    <n v="521"/>
    <n v="482"/>
    <s v="Boiler water condition (not feedwater water quality)"/>
    <s v="F170High Silica From Startup"/>
    <s v="Mill Creek"/>
    <x v="0"/>
    <s v="Coal"/>
    <x v="2"/>
    <x v="4"/>
    <n v="1"/>
    <n v="2.3833333332440816"/>
    <n v="0.21042866282001488"/>
    <n v="101.42661547924718"/>
    <n v="42.55662188099808"/>
    <x v="82"/>
  </r>
  <r>
    <x v="10"/>
    <x v="3"/>
    <n v="5"/>
    <n v="8460"/>
    <d v="2017-01-11T21:22:00"/>
    <d v="2017-01-12T02:03:00"/>
    <n v="0"/>
    <n v="521"/>
    <n v="482"/>
    <s v="Testing A"/>
    <s v="F790Low Load RATA Testing"/>
    <s v="Mill Creek"/>
    <x v="1"/>
    <s v="Coal"/>
    <x v="2"/>
    <x v="4"/>
    <n v="1"/>
    <n v="4.683333333407063"/>
    <n v="4.683333333407063"/>
    <n v="2257.3666667022044"/>
    <n v="482"/>
    <x v="275"/>
  </r>
  <r>
    <x v="10"/>
    <x v="3"/>
    <n v="6"/>
    <n v="1990"/>
    <d v="2017-01-23T22:30:00"/>
    <d v="2017-01-24T00:30:00"/>
    <n v="0"/>
    <n v="521"/>
    <n v="482"/>
    <s v="Boiler performance testing (use code 9999 for total unit performance testing)"/>
    <s v="F7903 Mill Testing - Boiler Tuning"/>
    <s v="Mill Creek"/>
    <x v="1"/>
    <s v="Coal"/>
    <x v="2"/>
    <x v="4"/>
    <n v="1"/>
    <n v="2.0000000000582077"/>
    <n v="2.0000000000582077"/>
    <n v="964.00000002805609"/>
    <n v="482"/>
    <x v="275"/>
  </r>
  <r>
    <x v="10"/>
    <x v="3"/>
    <n v="7"/>
    <n v="1990"/>
    <d v="2017-01-24T00:30:00"/>
    <d v="2017-01-24T02:30:00"/>
    <n v="0"/>
    <n v="521"/>
    <n v="482"/>
    <s v="Boiler performance testing (use code 9999 for total unit performance testing)"/>
    <s v="F7903 Mill Testing - Boiler Tuning"/>
    <s v="Mill Creek"/>
    <x v="1"/>
    <s v="Coal"/>
    <x v="2"/>
    <x v="4"/>
    <n v="1"/>
    <n v="1.9999999998835847"/>
    <n v="1.9999999998835847"/>
    <n v="963.99999994388781"/>
    <n v="482"/>
    <x v="275"/>
  </r>
  <r>
    <x v="10"/>
    <x v="3"/>
    <n v="8"/>
    <n v="1990"/>
    <d v="2017-01-24T02:30:00"/>
    <d v="2017-01-24T04:16:00"/>
    <n v="0"/>
    <n v="521"/>
    <n v="482"/>
    <s v="Boiler performance testing (use code 9999 for total unit performance testing)"/>
    <s v="F7903 Mill Testing - Boiler Tuning"/>
    <s v="Mill Creek"/>
    <x v="1"/>
    <s v="Coal"/>
    <x v="2"/>
    <x v="4"/>
    <n v="1"/>
    <n v="1.7666666666627862"/>
    <n v="1.7666666666627862"/>
    <n v="851.53333333146293"/>
    <n v="482"/>
    <x v="275"/>
  </r>
  <r>
    <x v="10"/>
    <x v="3"/>
    <n v="9"/>
    <n v="1990"/>
    <d v="2017-01-24T22:00:00"/>
    <d v="2017-01-25T03:36:00"/>
    <n v="0"/>
    <n v="521"/>
    <n v="482"/>
    <s v="Boiler performance testing (use code 9999 for total unit performance testing)"/>
    <s v="F790Mill Testing - Boiler Tuning"/>
    <s v="Mill Creek"/>
    <x v="1"/>
    <s v="Coal"/>
    <x v="2"/>
    <x v="4"/>
    <n v="1"/>
    <n v="5.6000000000931323"/>
    <n v="5.6000000000931323"/>
    <n v="2699.2000000448897"/>
    <n v="482"/>
    <x v="275"/>
  </r>
  <r>
    <x v="10"/>
    <x v="3"/>
    <n v="10"/>
    <n v="9999"/>
    <d v="2017-02-06T08:00:00"/>
    <d v="2017-02-06T13:00:00"/>
    <n v="0"/>
    <n v="521"/>
    <n v="482"/>
    <s v="Total unit performance testing (use appropriate codes for individual component testing)"/>
    <s v="F790Full Load Capability Testing"/>
    <s v="Mill Creek"/>
    <x v="1"/>
    <s v="Coal"/>
    <x v="2"/>
    <x v="4"/>
    <n v="2"/>
    <n v="4.9999999998835847"/>
    <n v="4.9999999998835847"/>
    <n v="2409.9999999438878"/>
    <n v="482"/>
    <x v="275"/>
  </r>
  <r>
    <x v="10"/>
    <x v="3"/>
    <n v="11"/>
    <n v="1990"/>
    <d v="2017-02-09T10:09:00"/>
    <d v="2017-02-09T11:20:00"/>
    <n v="0"/>
    <n v="521"/>
    <n v="482"/>
    <s v="Boiler performance testing (use code 9999 for total unit performance testing)"/>
    <s v="F790Full Load Boiler Tuning"/>
    <s v="Mill Creek"/>
    <x v="1"/>
    <s v="Coal"/>
    <x v="2"/>
    <x v="4"/>
    <n v="2"/>
    <n v="1.1833333331742324"/>
    <n v="1.1833333331742324"/>
    <n v="570.36666658998001"/>
    <n v="482"/>
    <x v="275"/>
  </r>
  <r>
    <x v="10"/>
    <x v="3"/>
    <n v="12"/>
    <n v="1999"/>
    <d v="2017-02-13T08:00:00"/>
    <d v="2017-02-13T15:33:00"/>
    <n v="0"/>
    <n v="521"/>
    <n v="482"/>
    <s v="Boiler"/>
    <s v="F790Full Load Boiler Tuning"/>
    <s v="Mill Creek"/>
    <x v="1"/>
    <s v="Coal"/>
    <x v="2"/>
    <x v="4"/>
    <n v="2"/>
    <n v="7.5499999999883585"/>
    <n v="7.5499999999883585"/>
    <n v="3639.0999999943888"/>
    <n v="482"/>
    <x v="275"/>
  </r>
  <r>
    <x v="10"/>
    <x v="5"/>
    <n v="13"/>
    <n v="4268"/>
    <d v="2017-02-14T02:13:00"/>
    <d v="2017-02-14T04:11:00"/>
    <n v="0"/>
    <n v="521"/>
    <n v="482"/>
    <s v="Reheat/intercept valve testing"/>
    <s v="F820Trip During Valve Testing (Under Investigation)"/>
    <s v="Mill Creek"/>
    <x v="3"/>
    <s v="Coal"/>
    <x v="2"/>
    <x v="4"/>
    <n v="2"/>
    <n v="1.96666666661622"/>
    <n v="1.96666666661622"/>
    <n v="947.93333330901805"/>
    <n v="482"/>
    <x v="275"/>
  </r>
  <r>
    <x v="10"/>
    <x v="0"/>
    <n v="14"/>
    <n v="1850"/>
    <d v="2017-02-14T10:15:00"/>
    <d v="2017-02-14T12:04:00"/>
    <n v="420"/>
    <n v="521"/>
    <n v="482"/>
    <s v="Boiler water condition (not feedwater water quality)"/>
    <s v="F170Boiler Chemistry - High Silica After Startup"/>
    <s v="Mill Creek"/>
    <x v="0"/>
    <s v="Coal"/>
    <x v="2"/>
    <x v="4"/>
    <n v="2"/>
    <n v="1.8166666666511446"/>
    <n v="0.35217530389974205"/>
    <n v="169.74849647967568"/>
    <n v="93.439539347408825"/>
    <x v="129"/>
  </r>
  <r>
    <x v="10"/>
    <x v="0"/>
    <n v="15"/>
    <n v="260"/>
    <d v="2017-02-20T06:46:00"/>
    <d v="2017-02-20T07:03:00"/>
    <n v="380"/>
    <n v="521"/>
    <n v="482"/>
    <s v="Primary air fan"/>
    <s v="F4104C PA Fan breaker issue &amp; 4D-10 igniter malfunctioning"/>
    <s v="Mill Creek"/>
    <x v="0"/>
    <s v="Coal"/>
    <x v="2"/>
    <x v="4"/>
    <n v="2"/>
    <n v="0.28333333320915699"/>
    <n v="7.6679462538370699E-2"/>
    <n v="36.959500943494675"/>
    <n v="130.44529750479848"/>
    <x v="50"/>
  </r>
  <r>
    <x v="10"/>
    <x v="5"/>
    <n v="16"/>
    <n v="370"/>
    <d v="2017-02-25T18:00:00"/>
    <d v="2017-02-26T20:49:00"/>
    <n v="0"/>
    <n v="521"/>
    <n v="482"/>
    <s v="Burner instruments and controls (except light-off)"/>
    <s v="F820Master Fuel Trip (Lost Flame Scanner)"/>
    <s v="Mill Creek"/>
    <x v="3"/>
    <s v="Coal"/>
    <x v="2"/>
    <x v="4"/>
    <n v="2"/>
    <n v="26.816666666592937"/>
    <n v="26.816666666592937"/>
    <n v="12925.633333297796"/>
    <n v="482"/>
    <x v="275"/>
  </r>
  <r>
    <x v="10"/>
    <x v="0"/>
    <n v="17"/>
    <n v="1850"/>
    <d v="2017-02-27T04:52:00"/>
    <d v="2017-02-27T07:38:00"/>
    <n v="382"/>
    <n v="521"/>
    <n v="482"/>
    <s v="Boiler water condition (not feedwater water quality)"/>
    <s v="F170High Silica From Startup and Scanner Issues"/>
    <s v="Mill Creek"/>
    <x v="0"/>
    <s v="Coal"/>
    <x v="2"/>
    <x v="4"/>
    <n v="2"/>
    <n v="2.7666666667792015"/>
    <n v="0.73813179785471983"/>
    <n v="355.77952656597495"/>
    <n v="128.59500959692897"/>
    <x v="288"/>
  </r>
  <r>
    <x v="10"/>
    <x v="3"/>
    <n v="18"/>
    <n v="9999"/>
    <d v="2017-02-28T08:00:00"/>
    <d v="2017-02-28T13:26:00"/>
    <n v="0"/>
    <n v="521"/>
    <n v="482"/>
    <s v="Total unit performance testing (use appropriate codes for individual component testing)"/>
    <s v="F790MATS Testing - Full Load"/>
    <s v="Mill Creek"/>
    <x v="1"/>
    <s v="Coal"/>
    <x v="2"/>
    <x v="4"/>
    <n v="2"/>
    <n v="5.4333333332324401"/>
    <n v="5.4333333332324401"/>
    <n v="2618.8666666180361"/>
    <n v="482"/>
    <x v="275"/>
  </r>
  <r>
    <x v="10"/>
    <x v="3"/>
    <n v="19"/>
    <n v="370"/>
    <d v="2017-03-12T00:58:00"/>
    <d v="2017-03-12T06:13:00"/>
    <n v="0"/>
    <n v="521"/>
    <n v="482"/>
    <s v="Burner instruments and controls (except light-off)"/>
    <s v="F590Scanner Tuning - Various Loads"/>
    <s v="Mill Creek"/>
    <x v="1"/>
    <s v="Coal"/>
    <x v="2"/>
    <x v="4"/>
    <n v="3"/>
    <n v="5.25"/>
    <n v="5.25"/>
    <n v="2530.5"/>
    <n v="482"/>
    <x v="275"/>
  </r>
  <r>
    <x v="10"/>
    <x v="5"/>
    <n v="20"/>
    <n v="4268"/>
    <d v="2017-03-25T08:50:00"/>
    <d v="2017-03-25T08:55:00"/>
    <n v="0"/>
    <n v="521"/>
    <n v="482"/>
    <s v="Reheat/intercept valve testing"/>
    <s v="F820Trip During Valve Testing (Under Investigation)"/>
    <s v="Mill Creek"/>
    <x v="3"/>
    <s v="Coal"/>
    <x v="2"/>
    <x v="4"/>
    <n v="3"/>
    <n v="8.3333333430346102E-2"/>
    <n v="8.3333333430346102E-2"/>
    <n v="40.166666713426821"/>
    <n v="482"/>
    <x v="275"/>
  </r>
  <r>
    <x v="10"/>
    <x v="4"/>
    <n v="21"/>
    <n v="1493"/>
    <d v="2017-03-25T08:55:00"/>
    <d v="2017-03-28T19:48:00"/>
    <n v="0"/>
    <n v="521"/>
    <n v="482"/>
    <s v="Air heater fouling (regenerative)"/>
    <s v="F660Air Heater Wash "/>
    <s v="Mill Creek"/>
    <x v="2"/>
    <s v="Coal"/>
    <x v="2"/>
    <x v="4"/>
    <n v="3"/>
    <n v="82.883333333185874"/>
    <n v="82.883333333185874"/>
    <n v="39949.766666595591"/>
    <n v="482"/>
    <x v="275"/>
  </r>
  <r>
    <x v="10"/>
    <x v="0"/>
    <n v="22"/>
    <n v="1850"/>
    <d v="2017-03-29T08:27:00"/>
    <d v="2017-03-29T09:42:00"/>
    <n v="473"/>
    <n v="521"/>
    <n v="482"/>
    <s v="Boiler water condition (not feedwater water quality)"/>
    <s v="F170High Silica From Startup"/>
    <s v="Mill Creek"/>
    <x v="0"/>
    <s v="Coal"/>
    <x v="2"/>
    <x v="4"/>
    <n v="3"/>
    <n v="1.2500000000582077"/>
    <n v="0.11516314779806903"/>
    <n v="55.508637238669273"/>
    <n v="44.406909788867566"/>
    <x v="176"/>
  </r>
  <r>
    <x v="10"/>
    <x v="0"/>
    <n v="23"/>
    <n v="1850"/>
    <d v="2017-03-29T09:42:00"/>
    <d v="2017-03-29T12:10:00"/>
    <n v="490"/>
    <n v="521"/>
    <n v="482"/>
    <s v="Boiler water condition (not feedwater water quality)"/>
    <s v="F170High Silica From Startup"/>
    <s v="Mill Creek"/>
    <x v="0"/>
    <s v="Coal"/>
    <x v="2"/>
    <x v="4"/>
    <n v="3"/>
    <n v="2.4666666666744277"/>
    <n v="0.14676903390961085"/>
    <n v="70.74267434443243"/>
    <n v="28.679462571976966"/>
    <x v="206"/>
  </r>
  <r>
    <x v="10"/>
    <x v="5"/>
    <n v="24"/>
    <n v="4810"/>
    <d v="2017-03-30T14:49:00"/>
    <d v="2017-04-02T08:34:00"/>
    <n v="0"/>
    <n v="521"/>
    <n v="482"/>
    <s v="Generator output breaker"/>
    <s v="F820Generator Lockout Trip (Electrical Ground Indication) "/>
    <s v="Mill Creek"/>
    <x v="3"/>
    <s v="Coal"/>
    <x v="2"/>
    <x v="4"/>
    <n v="3"/>
    <n v="65.750000000058208"/>
    <n v="65.750000000058208"/>
    <n v="31691.500000028056"/>
    <n v="482"/>
    <x v="275"/>
  </r>
  <r>
    <x v="10"/>
    <x v="5"/>
    <n v="25"/>
    <n v="800"/>
    <d v="2017-04-02T09:22:00"/>
    <d v="2017-04-02T11:06:00"/>
    <n v="0"/>
    <n v="521"/>
    <n v="482"/>
    <s v="Drums and drum internals (single drum only)"/>
    <s v="F820Drum Level Trip"/>
    <s v="Mill Creek"/>
    <x v="3"/>
    <s v="Coal"/>
    <x v="2"/>
    <x v="4"/>
    <n v="4"/>
    <n v="1.7333333333954215"/>
    <n v="1.7333333333954215"/>
    <n v="835.46666669659317"/>
    <n v="482"/>
    <x v="275"/>
  </r>
  <r>
    <x v="10"/>
    <x v="0"/>
    <n v="26"/>
    <n v="1850"/>
    <d v="2017-04-02T19:06:00"/>
    <d v="2017-04-02T19:50:00"/>
    <n v="450"/>
    <n v="521"/>
    <n v="482"/>
    <s v="Boiler water condition (not feedwater water quality)"/>
    <s v="F170High Silica From Startup"/>
    <s v="Mill Creek"/>
    <x v="0"/>
    <s v="Coal"/>
    <x v="2"/>
    <x v="4"/>
    <n v="4"/>
    <n v="0.73333333345362917"/>
    <n v="9.9936020489841973E-2"/>
    <n v="48.169161876103828"/>
    <n v="65.685220729366605"/>
    <x v="244"/>
  </r>
  <r>
    <x v="10"/>
    <x v="0"/>
    <n v="27"/>
    <n v="1850"/>
    <d v="2017-04-02T19:50:00"/>
    <d v="2017-04-02T22:18:00"/>
    <n v="470"/>
    <n v="521"/>
    <n v="482"/>
    <s v="Boiler water condition (not feedwater water quality)"/>
    <s v="F170High Silica From Startup"/>
    <s v="Mill Creek"/>
    <x v="0"/>
    <s v="Coal"/>
    <x v="2"/>
    <x v="4"/>
    <n v="4"/>
    <n v="2.4666666666744277"/>
    <n v="0.24145873320613401"/>
    <n v="116.38310940535659"/>
    <n v="47.182341650671788"/>
    <x v="119"/>
  </r>
  <r>
    <x v="10"/>
    <x v="2"/>
    <n v="28"/>
    <n v="4268"/>
    <d v="2017-04-03T20:00:00"/>
    <d v="2017-04-03T21:20:00"/>
    <n v="200"/>
    <n v="521"/>
    <n v="482"/>
    <s v="Reheat/intercept valve testing"/>
    <s v="F790Turbine Valve Testing"/>
    <s v="Mill Creek"/>
    <x v="0"/>
    <s v="Coal"/>
    <x v="2"/>
    <x v="4"/>
    <n v="4"/>
    <n v="1.3333333333139308"/>
    <n v="0.82149712090935079"/>
    <n v="395.96161227830709"/>
    <n v="296.97120921305185"/>
    <x v="279"/>
  </r>
  <r>
    <x v="10"/>
    <x v="5"/>
    <n v="29"/>
    <n v="4268"/>
    <d v="2017-04-07T00:50:00"/>
    <d v="2017-04-07T03:41:00"/>
    <n v="0"/>
    <n v="521"/>
    <n v="482"/>
    <s v="Reheat/intercept valve testing"/>
    <s v="F820Trip During Valve Testing "/>
    <s v="Mill Creek"/>
    <x v="3"/>
    <s v="Coal"/>
    <x v="2"/>
    <x v="4"/>
    <n v="4"/>
    <n v="2.8500000000349246"/>
    <n v="2.8500000000349246"/>
    <n v="1373.7000000168337"/>
    <n v="482"/>
    <x v="275"/>
  </r>
  <r>
    <x v="10"/>
    <x v="0"/>
    <n v="30"/>
    <n v="1850"/>
    <d v="2017-04-07T09:41:00"/>
    <d v="2017-04-07T14:26:00"/>
    <n v="390"/>
    <n v="521"/>
    <n v="482"/>
    <s v="Boiler water condition (not feedwater water quality)"/>
    <s v="F170High Silica From Startup"/>
    <s v="Mill Creek"/>
    <x v="0"/>
    <s v="Coal"/>
    <x v="2"/>
    <x v="4"/>
    <n v="4"/>
    <n v="4.7500000001164153"/>
    <n v="1.1943378119294634"/>
    <n v="575.67082535000134"/>
    <n v="121.19385796545106"/>
    <x v="277"/>
  </r>
  <r>
    <x v="10"/>
    <x v="3"/>
    <n v="31"/>
    <n v="1990"/>
    <d v="2017-04-20T01:04:00"/>
    <d v="2017-04-20T03:41:00"/>
    <n v="0"/>
    <n v="521"/>
    <n v="482"/>
    <s v="Boiler performance testing (use code 9999 for total unit performance testing)"/>
    <s v="F790Boiler Tuning - Various Loads"/>
    <s v="Mill Creek"/>
    <x v="1"/>
    <s v="Coal"/>
    <x v="2"/>
    <x v="4"/>
    <n v="4"/>
    <n v="2.6166666666395031"/>
    <n v="2.6166666666395031"/>
    <n v="1261.2333333202405"/>
    <n v="482"/>
    <x v="275"/>
  </r>
  <r>
    <x v="10"/>
    <x v="5"/>
    <n v="32"/>
    <n v="4266"/>
    <d v="2017-05-08T01:46:00"/>
    <d v="2017-05-08T03:03:00"/>
    <n v="0"/>
    <n v="521"/>
    <n v="482"/>
    <s v="Main stop valve testing"/>
    <s v="F820Drum Level Trip (During Main Stop Valve Testing)"/>
    <s v="Mill Creek"/>
    <x v="3"/>
    <s v="Coal"/>
    <x v="2"/>
    <x v="4"/>
    <n v="5"/>
    <n v="1.2833333333255723"/>
    <n v="1.2833333333255723"/>
    <n v="618.56666666292585"/>
    <n v="482"/>
    <x v="275"/>
  </r>
  <r>
    <x v="10"/>
    <x v="5"/>
    <n v="33"/>
    <n v="4268"/>
    <d v="2017-05-12T21:07:00"/>
    <d v="2017-05-12T21:22:00"/>
    <n v="0"/>
    <n v="521"/>
    <n v="482"/>
    <s v="Reheat/intercept valve testing"/>
    <s v="F820Trip During Valve Testing "/>
    <s v="Mill Creek"/>
    <x v="3"/>
    <s v="Coal"/>
    <x v="2"/>
    <x v="4"/>
    <n v="5"/>
    <n v="0.24999999994179234"/>
    <n v="0.24999999994179234"/>
    <n v="120.49999997194391"/>
    <n v="482"/>
    <x v="275"/>
  </r>
  <r>
    <x v="10"/>
    <x v="4"/>
    <n v="34"/>
    <n v="4263"/>
    <d v="2017-05-12T21:22:00"/>
    <d v="2017-05-13T16:41:00"/>
    <n v="0"/>
    <n v="521"/>
    <n v="482"/>
    <s v="Reheat stop valves"/>
    <s v="F610Reheat and Stop Valve Maintenance"/>
    <s v="Mill Creek"/>
    <x v="2"/>
    <s v="Coal"/>
    <x v="2"/>
    <x v="4"/>
    <n v="5"/>
    <n v="19.31666666676756"/>
    <n v="19.31666666676756"/>
    <n v="9310.6333333819639"/>
    <n v="482"/>
    <x v="275"/>
  </r>
  <r>
    <x v="10"/>
    <x v="5"/>
    <n v="35"/>
    <n v="4810"/>
    <d v="2017-05-19T02:11:00"/>
    <d v="2017-05-19T07:58:00"/>
    <n v="0"/>
    <n v="521"/>
    <n v="482"/>
    <s v="Generator output breaker"/>
    <s v="F820Generator Lockout Trip "/>
    <s v="Mill Creek"/>
    <x v="3"/>
    <s v="Coal"/>
    <x v="2"/>
    <x v="4"/>
    <n v="5"/>
    <n v="5.7833333333255723"/>
    <n v="5.7833333333255723"/>
    <n v="2787.5666666629259"/>
    <n v="482"/>
    <x v="275"/>
  </r>
  <r>
    <x v="10"/>
    <x v="0"/>
    <n v="36"/>
    <n v="3110"/>
    <d v="2017-05-30T21:45:00"/>
    <d v="2017-05-31T22:04:00"/>
    <n v="370"/>
    <n v="521"/>
    <n v="482"/>
    <s v="Condenser tube leaks"/>
    <s v="F540High Silica - Suspected Condenser Leak"/>
    <s v="Mill Creek"/>
    <x v="0"/>
    <s v="Coal"/>
    <x v="2"/>
    <x v="4"/>
    <n v="5"/>
    <n v="24.316666666651145"/>
    <n v="7.0476327575130959"/>
    <n v="3396.9589891213122"/>
    <n v="139.69673704414586"/>
    <x v="135"/>
  </r>
  <r>
    <x v="10"/>
    <x v="0"/>
    <n v="37"/>
    <n v="3110"/>
    <d v="2017-05-31T22:04:00"/>
    <d v="2017-06-01T04:10:00"/>
    <n v="391"/>
    <n v="521"/>
    <n v="482"/>
    <s v="Condenser tube leaks"/>
    <s v="F540High Silica - Suspected Condenser Leak"/>
    <s v="Mill Creek"/>
    <x v="0"/>
    <s v="Coal"/>
    <x v="2"/>
    <x v="4"/>
    <n v="5"/>
    <n v="6.0999999999767169"/>
    <n v="1.5220729366544592"/>
    <n v="733.63915546744931"/>
    <n v="120.26871401151631"/>
    <x v="161"/>
  </r>
  <r>
    <x v="10"/>
    <x v="0"/>
    <n v="38"/>
    <n v="100"/>
    <d v="2017-06-21T07:24:00"/>
    <d v="2017-06-21T07:33:00"/>
    <n v="356"/>
    <n v="521"/>
    <n v="482"/>
    <s v="Bunker gates"/>
    <s v="F520Coal Swing Valves"/>
    <s v="Mill Creek"/>
    <x v="0"/>
    <s v="Coal"/>
    <x v="2"/>
    <x v="4"/>
    <n v="6"/>
    <n v="0.1499999999650754"/>
    <n v="4.7504798453430787E-2"/>
    <n v="22.89731285455364"/>
    <n v="152.64875239923225"/>
    <x v="35"/>
  </r>
  <r>
    <x v="10"/>
    <x v="0"/>
    <n v="39"/>
    <n v="3110"/>
    <d v="2017-06-27T07:28:00"/>
    <d v="2017-06-27T12:32:00"/>
    <n v="418"/>
    <n v="521"/>
    <n v="482"/>
    <s v="Condenser tube leaks"/>
    <s v="F540High Silica - Condenser Leak"/>
    <s v="Mill Creek"/>
    <x v="0"/>
    <s v="Coal"/>
    <x v="2"/>
    <x v="4"/>
    <n v="6"/>
    <n v="5.066666666592937"/>
    <n v="1.001663467675763"/>
    <n v="482.80179141971774"/>
    <n v="95.289827255278311"/>
    <x v="19"/>
  </r>
  <r>
    <x v="10"/>
    <x v="5"/>
    <n v="40"/>
    <n v="3110"/>
    <d v="2017-06-27T12:32:00"/>
    <d v="2017-06-28T14:01:00"/>
    <n v="0"/>
    <n v="521"/>
    <n v="482"/>
    <s v="Condenser tube leaks"/>
    <s v="F830Condenser Leak"/>
    <s v="Mill Creek"/>
    <x v="3"/>
    <s v="Coal"/>
    <x v="2"/>
    <x v="4"/>
    <n v="6"/>
    <n v="25.483333333279006"/>
    <n v="25.483333333279006"/>
    <n v="12282.966666640481"/>
    <n v="482"/>
    <x v="275"/>
  </r>
  <r>
    <x v="10"/>
    <x v="0"/>
    <n v="41"/>
    <n v="3110"/>
    <d v="2017-06-28T22:18:00"/>
    <d v="2017-06-29T05:32:00"/>
    <n v="275"/>
    <n v="521"/>
    <n v="482"/>
    <s v="Condenser tube leaks"/>
    <s v="F540High Silica - Startup After Condenser Leak"/>
    <s v="Mill Creek"/>
    <x v="0"/>
    <s v="Coal"/>
    <x v="2"/>
    <x v="4"/>
    <n v="6"/>
    <n v="7.2333333333372138"/>
    <n v="3.415355086374193"/>
    <n v="1646.201151632361"/>
    <n v="227.58541266794626"/>
    <x v="264"/>
  </r>
  <r>
    <x v="10"/>
    <x v="0"/>
    <n v="42"/>
    <n v="3110"/>
    <d v="2017-06-29T05:32:00"/>
    <d v="2017-06-29T18:53:00"/>
    <n v="350"/>
    <n v="521"/>
    <n v="482"/>
    <s v="Condenser tube leaks"/>
    <s v="F540High Silica - Startup After Condenser Leak"/>
    <s v="Mill Creek"/>
    <x v="0"/>
    <s v="Coal"/>
    <x v="2"/>
    <x v="4"/>
    <n v="6"/>
    <n v="13.350000000034925"/>
    <n v="4.381669865654457"/>
    <n v="2111.9648752454482"/>
    <n v="158.19961612284069"/>
    <x v="37"/>
  </r>
  <r>
    <x v="10"/>
    <x v="0"/>
    <n v="43"/>
    <n v="3110"/>
    <d v="2017-06-29T18:53:00"/>
    <d v="2017-06-29T19:32:00"/>
    <n v="250"/>
    <n v="521"/>
    <n v="482"/>
    <s v="Condenser tube leaks"/>
    <s v="F540High Silica - Startup After Condenser Leak (A,E &amp; D Mill Issues)"/>
    <s v="Mill Creek"/>
    <x v="0"/>
    <s v="Coal"/>
    <x v="2"/>
    <x v="4"/>
    <n v="6"/>
    <n v="0.64999999984866008"/>
    <n v="0.33809980798270034"/>
    <n v="162.96410744766158"/>
    <n v="250.71401151631477"/>
    <x v="294"/>
  </r>
  <r>
    <x v="10"/>
    <x v="0"/>
    <n v="44"/>
    <n v="3110"/>
    <d v="2017-06-29T19:32:00"/>
    <d v="2017-06-30T05:30:00"/>
    <n v="385"/>
    <n v="521"/>
    <n v="482"/>
    <s v="Condenser tube leaks"/>
    <s v="F540High Silica - Startup After Condenser Leak (A Mill Issue)"/>
    <s v="Mill Creek"/>
    <x v="0"/>
    <s v="Coal"/>
    <x v="2"/>
    <x v="4"/>
    <n v="6"/>
    <n v="9.9666666666744277"/>
    <n v="2.6016634676923651"/>
    <n v="1254.00179142772"/>
    <n v="125.81957773512477"/>
    <x v="248"/>
  </r>
  <r>
    <x v="10"/>
    <x v="0"/>
    <n v="45"/>
    <n v="3110"/>
    <d v="2017-06-30T05:30:00"/>
    <d v="2017-06-30T15:36:00"/>
    <n v="460"/>
    <n v="521"/>
    <n v="482"/>
    <s v="Condenser tube leaks"/>
    <s v="F540High Silica - Startup After Condenser Leak "/>
    <s v="Mill Creek"/>
    <x v="0"/>
    <s v="Coal"/>
    <x v="2"/>
    <x v="4"/>
    <n v="6"/>
    <n v="10.100000000093132"/>
    <n v="1.1825335892623436"/>
    <n v="569.98119002444969"/>
    <n v="56.433781190019197"/>
    <x v="123"/>
  </r>
  <r>
    <x v="10"/>
    <x v="0"/>
    <n v="46"/>
    <n v="3110"/>
    <d v="2017-06-30T15:36:00"/>
    <d v="2017-06-30T19:58:00"/>
    <n v="500"/>
    <n v="521"/>
    <n v="482"/>
    <s v="Condenser tube leaks"/>
    <s v="F540High Silica - Startup After Condenser Leak "/>
    <s v="Mill Creek"/>
    <x v="0"/>
    <s v="Coal"/>
    <x v="2"/>
    <x v="4"/>
    <n v="6"/>
    <n v="4.3666666665812954"/>
    <n v="0.17600767753974511"/>
    <n v="84.835700574157144"/>
    <n v="19.428023032629557"/>
    <x v="54"/>
  </r>
  <r>
    <x v="10"/>
    <x v="2"/>
    <n v="47"/>
    <n v="300"/>
    <d v="2017-07-23T22:00:00"/>
    <d v="2017-07-24T02:37:00"/>
    <n v="370"/>
    <n v="521"/>
    <n v="482"/>
    <s v="Pulverizer motors and drives"/>
    <s v="F5304D Mill Motor Bearing Inspection &amp; 4A Mill Maintenance"/>
    <s v="Mill Creek"/>
    <x v="0"/>
    <s v="Coal"/>
    <x v="2"/>
    <x v="4"/>
    <n v="7"/>
    <n v="4.6166666666977108"/>
    <n v="1.3380358285438663"/>
    <n v="644.93326935814355"/>
    <n v="139.69673704414586"/>
    <x v="135"/>
  </r>
  <r>
    <x v="10"/>
    <x v="2"/>
    <n v="48"/>
    <n v="8620"/>
    <d v="2017-07-29T00:35:00"/>
    <d v="2017-07-29T04:38:00"/>
    <n v="300"/>
    <n v="521"/>
    <n v="482"/>
    <s v="Mercury Abatement Equipment"/>
    <s v="F610FGD Controls - Nalco System Installation"/>
    <s v="Mill Creek"/>
    <x v="0"/>
    <s v="Coal"/>
    <x v="2"/>
    <x v="4"/>
    <n v="7"/>
    <n v="4.0500000001047738"/>
    <n v="1.7179462572421402"/>
    <n v="828.05009599071161"/>
    <n v="204.45681381957775"/>
    <x v="113"/>
  </r>
  <r>
    <x v="10"/>
    <x v="6"/>
    <n v="49"/>
    <n v="1801"/>
    <d v="2017-10-27T23:31:00"/>
    <d v="2017-11-26T00:00:00"/>
    <n v="0"/>
    <n v="521"/>
    <n v="482"/>
    <s v="Minor boiler overhaul (less than 720 hours) (use for non-specific overhaul only; see page B-1)"/>
    <s v="F590Planned Outage - Fall 2017"/>
    <s v="Mill Creek"/>
    <x v="1"/>
    <s v="Coal"/>
    <x v="2"/>
    <x v="4"/>
    <n v="10"/>
    <n v="696.48333333333721"/>
    <n v="696.48333333333721"/>
    <n v="335704.96666666854"/>
    <n v="482"/>
    <x v="275"/>
  </r>
  <r>
    <x v="10"/>
    <x v="8"/>
    <n v="50"/>
    <n v="1801"/>
    <d v="2017-11-26T00:00:00"/>
    <d v="2017-11-29T04:13:00"/>
    <n v="0"/>
    <n v="521"/>
    <n v="482"/>
    <s v="Minor boiler overhaul (less than 720 hours) (use for non-specific overhaul only; see page B-1)"/>
    <s v="F590Planned Outage Extension - Fall 2017 "/>
    <s v="Mill Creek"/>
    <x v="1"/>
    <s v="Coal"/>
    <x v="2"/>
    <x v="4"/>
    <n v="11"/>
    <n v="76.21666666661622"/>
    <n v="76.21666666661622"/>
    <n v="36736.433333309018"/>
    <n v="482"/>
    <x v="275"/>
  </r>
  <r>
    <x v="10"/>
    <x v="5"/>
    <n v="51"/>
    <n v="520"/>
    <d v="2017-11-29T04:47:00"/>
    <d v="2017-11-30T13:16:00"/>
    <n v="0"/>
    <n v="521"/>
    <n v="482"/>
    <s v="Other main steam valves (including vent and drain valves but not including the turbine stop valves) A"/>
    <s v="F540Steam Leaks (Blowdown Tank &amp; Stop Valve Drain) "/>
    <s v="Mill Creek"/>
    <x v="3"/>
    <s v="Coal"/>
    <x v="2"/>
    <x v="4"/>
    <n v="11"/>
    <n v="32.483333333220799"/>
    <n v="32.483333333220799"/>
    <n v="15656.966666612425"/>
    <n v="482"/>
    <x v="275"/>
  </r>
  <r>
    <x v="10"/>
    <x v="3"/>
    <n v="52"/>
    <n v="4842"/>
    <d v="2017-12-05T15:52:00"/>
    <d v="2017-12-05T17:36:00"/>
    <n v="0"/>
    <n v="521"/>
    <n v="482"/>
    <s v="Reactive and capability testing"/>
    <s v="F790MOD 36 Testing - Out of AGC"/>
    <s v="Mill Creek"/>
    <x v="1"/>
    <s v="Coal"/>
    <x v="2"/>
    <x v="4"/>
    <n v="12"/>
    <n v="1.7333333332207985"/>
    <n v="1.7333333332207985"/>
    <n v="835.46666661242489"/>
    <n v="482"/>
    <x v="275"/>
  </r>
  <r>
    <x v="10"/>
    <x v="5"/>
    <n v="53"/>
    <n v="3700"/>
    <d v="2017-12-06T14:35:00"/>
    <d v="2017-12-06T17:01:00"/>
    <n v="0"/>
    <n v="521"/>
    <n v="482"/>
    <s v="Powerhouse switchyard (non generating unit equipment)"/>
    <s v="F820Generator Protective Trip - Switchyard Work"/>
    <s v="Mill Creek"/>
    <x v="3"/>
    <s v="Coal"/>
    <x v="2"/>
    <x v="4"/>
    <n v="12"/>
    <n v="2.4333333332324401"/>
    <n v="2.4333333332324401"/>
    <n v="1172.8666666180361"/>
    <n v="482"/>
    <x v="275"/>
  </r>
  <r>
    <x v="10"/>
    <x v="0"/>
    <n v="54"/>
    <n v="1850"/>
    <d v="2017-12-06T23:06:00"/>
    <d v="2017-12-07T00:40:00"/>
    <n v="390"/>
    <n v="521"/>
    <n v="482"/>
    <s v="Boiler water condition (not feedwater water quality)"/>
    <s v="FA00High Silica From Startup"/>
    <s v="Mill Creek"/>
    <x v="0"/>
    <s v="Coal"/>
    <x v="2"/>
    <x v="4"/>
    <n v="12"/>
    <n v="1.5666666667093523"/>
    <n v="0.39392194498834004"/>
    <n v="189.8703774843799"/>
    <n v="121.19385796545106"/>
    <x v="277"/>
  </r>
  <r>
    <x v="10"/>
    <x v="0"/>
    <n v="55"/>
    <n v="3632"/>
    <d v="2017-12-11T18:45:00"/>
    <d v="2017-12-12T03:00:00"/>
    <n v="500"/>
    <n v="521"/>
    <n v="482"/>
    <s v="480-volt conductors and buses"/>
    <s v="F490Cooling Tower Fan Bus Issue"/>
    <s v="Mill Creek"/>
    <x v="0"/>
    <s v="Coal"/>
    <x v="2"/>
    <x v="4"/>
    <n v="12"/>
    <n v="8.25"/>
    <n v="0.33253358925143955"/>
    <n v="160.28119001919387"/>
    <n v="19.428023032629557"/>
    <x v="54"/>
  </r>
  <r>
    <x v="10"/>
    <x v="0"/>
    <n v="56"/>
    <n v="1400"/>
    <d v="2017-12-12T06:52:00"/>
    <d v="2017-12-12T09:37:00"/>
    <n v="517"/>
    <n v="521"/>
    <n v="482"/>
    <s v="Forced draft fans"/>
    <s v="F660FD Fan Maxed Out "/>
    <s v="Mill Creek"/>
    <x v="0"/>
    <s v="Coal"/>
    <x v="2"/>
    <x v="4"/>
    <n v="12"/>
    <n v="2.7499999998835847"/>
    <n v="2.1113243761102376E-2"/>
    <n v="10.176583492851345"/>
    <n v="3.7005758157389637"/>
    <x v="9"/>
  </r>
  <r>
    <x v="10"/>
    <x v="0"/>
    <n v="57"/>
    <n v="3415"/>
    <d v="2017-12-12T09:37:00"/>
    <d v="2017-12-12T12:10:00"/>
    <n v="300"/>
    <n v="521"/>
    <n v="482"/>
    <s v="Feedwater pump/drive lube oil system"/>
    <s v="F6604A EHC Pump"/>
    <s v="Mill Creek"/>
    <x v="0"/>
    <s v="Coal"/>
    <x v="2"/>
    <x v="4"/>
    <n v="12"/>
    <n v="2.5500000001047738"/>
    <n v="1.0816698656874377"/>
    <n v="521.36487526134499"/>
    <n v="204.45681381957775"/>
    <x v="113"/>
  </r>
  <r>
    <x v="10"/>
    <x v="2"/>
    <n v="58"/>
    <n v="3670"/>
    <d v="2017-12-15T23:55:00"/>
    <d v="2017-12-16T00:04:00"/>
    <n v="300"/>
    <n v="521"/>
    <n v="482"/>
    <s v="12kV transformers"/>
    <s v="F4304A2 Main Aux Feed - Replaced Fuse Holder"/>
    <s v="Mill Creek"/>
    <x v="0"/>
    <s v="Coal"/>
    <x v="2"/>
    <x v="4"/>
    <n v="12"/>
    <n v="0.1499999999650754"/>
    <n v="6.3627639140655778E-2"/>
    <n v="30.668522065796086"/>
    <n v="204.45681381957775"/>
    <x v="113"/>
  </r>
  <r>
    <x v="10"/>
    <x v="2"/>
    <n v="1"/>
    <n v="1190"/>
    <d v="2018-01-05T20:30:00"/>
    <d v="2018-01-06T02:33:00"/>
    <n v="300"/>
    <n v="521"/>
    <n v="482"/>
    <s v="Other tube slagging or fouling"/>
    <s v="FS00Boiler Deslag"/>
    <s v="Mill Creek"/>
    <x v="0"/>
    <s v="Coal"/>
    <x v="2"/>
    <x v="5"/>
    <n v="1"/>
    <n v="6.0499999999883585"/>
    <n v="2.5663147792656953"/>
    <n v="1236.9637236060651"/>
    <n v="204.45681381957775"/>
    <x v="113"/>
  </r>
  <r>
    <x v="10"/>
    <x v="2"/>
    <n v="2"/>
    <n v="1190"/>
    <d v="2018-01-06T19:40:00"/>
    <d v="2018-01-07T01:30:00"/>
    <n v="285"/>
    <n v="521"/>
    <n v="482"/>
    <s v="Other tube slagging or fouling"/>
    <s v="FS00Boiler Deslag"/>
    <s v="Mill Creek"/>
    <x v="0"/>
    <s v="Coal"/>
    <x v="2"/>
    <x v="5"/>
    <n v="1"/>
    <n v="5.8333333333139308"/>
    <n v="2.6423544465683064"/>
    <n v="1273.6148432459238"/>
    <n v="218.33397312859884"/>
    <x v="295"/>
  </r>
  <r>
    <x v="10"/>
    <x v="2"/>
    <n v="3"/>
    <n v="1190"/>
    <d v="2018-01-07T12:30:00"/>
    <d v="2018-01-07T18:00:00"/>
    <n v="300"/>
    <n v="521"/>
    <n v="482"/>
    <s v="Other tube slagging or fouling"/>
    <s v="FS00Boiler Deslag"/>
    <s v="Mill Creek"/>
    <x v="0"/>
    <s v="Coal"/>
    <x v="2"/>
    <x v="5"/>
    <n v="1"/>
    <n v="5.4999999999417923"/>
    <n v="2.3330134356758849"/>
    <n v="1124.5124759957766"/>
    <n v="204.45681381957775"/>
    <x v="113"/>
  </r>
  <r>
    <x v="10"/>
    <x v="2"/>
    <n v="4"/>
    <n v="1190"/>
    <d v="2018-01-07T18:00:00"/>
    <d v="2018-01-08T01:00:00"/>
    <n v="285"/>
    <n v="521"/>
    <n v="482"/>
    <s v="Other tube slagging or fouling"/>
    <s v="FS00Boiler Deslag"/>
    <s v="Mill Creek"/>
    <x v="0"/>
    <s v="Coal"/>
    <x v="2"/>
    <x v="5"/>
    <n v="1"/>
    <n v="6.9999999999417923"/>
    <n v="3.1708253358661476"/>
    <n v="1528.3378118874832"/>
    <n v="218.33397312859884"/>
    <x v="295"/>
  </r>
  <r>
    <x v="10"/>
    <x v="3"/>
    <n v="5"/>
    <n v="1190"/>
    <d v="2018-01-08T21:55:00"/>
    <d v="2018-01-09T03:50:00"/>
    <n v="0"/>
    <n v="521"/>
    <n v="482"/>
    <s v="Other tube slagging or fouling"/>
    <s v="FS00Boiler Deslag"/>
    <s v="Mill Creek"/>
    <x v="1"/>
    <s v="Coal"/>
    <x v="2"/>
    <x v="5"/>
    <n v="1"/>
    <n v="5.9166666665696539"/>
    <n v="5.9166666665696539"/>
    <n v="2851.8333332865732"/>
    <n v="482"/>
    <x v="275"/>
  </r>
  <r>
    <x v="10"/>
    <x v="3"/>
    <n v="6"/>
    <n v="1190"/>
    <d v="2018-01-09T23:00:00"/>
    <d v="2018-01-10T04:00:00"/>
    <n v="0"/>
    <n v="521"/>
    <n v="482"/>
    <s v="Other tube slagging or fouling"/>
    <s v="FS00Boiler Deslag"/>
    <s v="Mill Creek"/>
    <x v="1"/>
    <s v="Coal"/>
    <x v="2"/>
    <x v="5"/>
    <n v="1"/>
    <n v="4.9999999998835847"/>
    <n v="4.9999999998835847"/>
    <n v="2409.9999999438878"/>
    <n v="482"/>
    <x v="275"/>
  </r>
  <r>
    <x v="10"/>
    <x v="3"/>
    <n v="7"/>
    <n v="1190"/>
    <d v="2018-01-10T22:00:00"/>
    <d v="2018-01-11T04:00:00"/>
    <n v="0"/>
    <n v="521"/>
    <n v="482"/>
    <s v="Other tube slagging or fouling"/>
    <s v="FS00Boiler Deslag"/>
    <s v="Mill Creek"/>
    <x v="1"/>
    <s v="Coal"/>
    <x v="2"/>
    <x v="5"/>
    <n v="1"/>
    <n v="6"/>
    <n v="6"/>
    <n v="2892"/>
    <n v="482"/>
    <x v="275"/>
  </r>
  <r>
    <x v="10"/>
    <x v="3"/>
    <n v="8"/>
    <n v="1190"/>
    <d v="2018-01-11T06:40:00"/>
    <d v="2018-01-11T20:00:00"/>
    <n v="0"/>
    <n v="521"/>
    <n v="482"/>
    <s v="Other tube slagging or fouling"/>
    <s v="FS00Boiler Deslag - Top Mills Off"/>
    <s v="Mill Creek"/>
    <x v="1"/>
    <s v="Coal"/>
    <x v="2"/>
    <x v="5"/>
    <n v="1"/>
    <n v="13.333333333313931"/>
    <n v="13.333333333313931"/>
    <n v="6426.6666666573146"/>
    <n v="482"/>
    <x v="275"/>
  </r>
  <r>
    <x v="10"/>
    <x v="3"/>
    <n v="9"/>
    <n v="1190"/>
    <d v="2018-01-11T20:00:00"/>
    <d v="2018-01-12T05:00:00"/>
    <n v="0"/>
    <n v="521"/>
    <n v="482"/>
    <s v="Other tube slagging or fouling"/>
    <s v="FS00Boiler Deslag"/>
    <s v="Mill Creek"/>
    <x v="1"/>
    <s v="Coal"/>
    <x v="2"/>
    <x v="5"/>
    <n v="1"/>
    <n v="9"/>
    <n v="9"/>
    <n v="4338"/>
    <n v="482"/>
    <x v="275"/>
  </r>
  <r>
    <x v="10"/>
    <x v="3"/>
    <n v="10"/>
    <n v="1190"/>
    <d v="2018-01-15T20:00:00"/>
    <d v="2018-01-16T03:49:00"/>
    <n v="0"/>
    <n v="521"/>
    <n v="482"/>
    <s v="Other tube slagging or fouling"/>
    <s v="FS00Boiler Deslag"/>
    <s v="Mill Creek"/>
    <x v="1"/>
    <s v="Coal"/>
    <x v="2"/>
    <x v="5"/>
    <n v="1"/>
    <n v="7.8166666666511446"/>
    <n v="7.8166666666511446"/>
    <n v="3767.6333333258517"/>
    <n v="482"/>
    <x v="275"/>
  </r>
  <r>
    <x v="10"/>
    <x v="0"/>
    <n v="11"/>
    <n v="1455"/>
    <d v="2018-01-19T19:15:00"/>
    <d v="2018-01-20T02:08:00"/>
    <n v="510"/>
    <n v="521"/>
    <n v="482"/>
    <s v="Induced draft fans"/>
    <s v="F660ID Fan Suction Pressure"/>
    <s v="Mill Creek"/>
    <x v="0"/>
    <s v="Coal"/>
    <x v="2"/>
    <x v="5"/>
    <n v="1"/>
    <n v="6.8833333332440816"/>
    <n v="0.14532949455985586"/>
    <n v="70.048816377850528"/>
    <n v="10.17658349328215"/>
    <x v="182"/>
  </r>
  <r>
    <x v="10"/>
    <x v="4"/>
    <n v="12"/>
    <n v="1493"/>
    <d v="2018-01-20T02:08:00"/>
    <d v="2018-01-23T00:00:00"/>
    <n v="0"/>
    <n v="521"/>
    <n v="482"/>
    <s v="Air heater fouling (regenerative)"/>
    <s v="F660Air Pre-Heater Wash"/>
    <s v="Mill Creek"/>
    <x v="2"/>
    <s v="Coal"/>
    <x v="2"/>
    <x v="5"/>
    <n v="1"/>
    <n v="69.866666666697711"/>
    <n v="69.866666666697711"/>
    <n v="33675.733333348297"/>
    <n v="482"/>
    <x v="275"/>
  </r>
  <r>
    <x v="10"/>
    <x v="12"/>
    <n v="13"/>
    <n v="1493"/>
    <d v="2018-01-23T00:00:00"/>
    <d v="2018-01-23T03:25:00"/>
    <n v="0"/>
    <n v="521"/>
    <n v="482"/>
    <s v="Air heater fouling (regenerative)"/>
    <s v="F660Air Pre-Heater Wash (Extension)"/>
    <s v="Mill Creek"/>
    <x v="2"/>
    <s v="Coal"/>
    <x v="2"/>
    <x v="5"/>
    <n v="1"/>
    <n v="3.4166666666278616"/>
    <n v="3.4166666666278616"/>
    <n v="1646.8333333146293"/>
    <n v="482"/>
    <x v="275"/>
  </r>
  <r>
    <x v="10"/>
    <x v="5"/>
    <n v="14"/>
    <n v="800"/>
    <d v="2018-01-23T03:45:00"/>
    <d v="2018-01-23T04:24:00"/>
    <n v="0"/>
    <n v="521"/>
    <n v="482"/>
    <s v="Drums and drum internals (single drum only)"/>
    <s v="F820Low Drum Level Trip"/>
    <s v="Mill Creek"/>
    <x v="3"/>
    <s v="Coal"/>
    <x v="2"/>
    <x v="5"/>
    <n v="1"/>
    <n v="0.65000000002328306"/>
    <n v="0.65000000002328306"/>
    <n v="313.30000001122244"/>
    <n v="482"/>
    <x v="275"/>
  </r>
  <r>
    <x v="10"/>
    <x v="0"/>
    <n v="15"/>
    <n v="1400"/>
    <d v="2018-01-23T16:32:00"/>
    <d v="2018-01-24T07:13:00"/>
    <n v="500"/>
    <n v="521"/>
    <n v="482"/>
    <s v="Forced draft fans"/>
    <s v="F660Air Flow (FD Fans Maxed Out)"/>
    <s v="Mill Creek"/>
    <x v="0"/>
    <s v="Coal"/>
    <x v="2"/>
    <x v="5"/>
    <n v="1"/>
    <n v="14.683333333348855"/>
    <n v="0.59184261036530894"/>
    <n v="285.26813819607889"/>
    <n v="19.428023032629557"/>
    <x v="54"/>
  </r>
  <r>
    <x v="10"/>
    <x v="4"/>
    <n v="16"/>
    <n v="1495"/>
    <d v="2018-02-08T23:16:00"/>
    <d v="2018-02-11T17:02:00"/>
    <n v="0"/>
    <n v="521"/>
    <n v="482"/>
    <s v="Other air heater fouling (heat pipe"/>
    <s v="F660Clean Plugged WCAHs "/>
    <s v="Mill Creek"/>
    <x v="2"/>
    <s v="Coal"/>
    <x v="2"/>
    <x v="5"/>
    <n v="2"/>
    <n v="65.766666666604578"/>
    <n v="65.766666666604578"/>
    <n v="31699.533333303407"/>
    <n v="482"/>
    <x v="275"/>
  </r>
  <r>
    <x v="10"/>
    <x v="3"/>
    <n v="17"/>
    <n v="1471"/>
    <d v="2018-02-16T23:00:00"/>
    <d v="2018-02-17T00:43:00"/>
    <n v="0"/>
    <n v="521"/>
    <n v="482"/>
    <s v="Induced draft fan motors - variable speed"/>
    <s v="F5304A ID Fan VFD Cooling Water Pump Check"/>
    <s v="Mill Creek"/>
    <x v="1"/>
    <s v="Coal"/>
    <x v="2"/>
    <x v="5"/>
    <n v="2"/>
    <n v="1.7166666666744277"/>
    <n v="1.7166666666744277"/>
    <n v="827.43333333707415"/>
    <n v="482"/>
    <x v="275"/>
  </r>
  <r>
    <x v="10"/>
    <x v="5"/>
    <n v="18"/>
    <n v="800"/>
    <d v="2018-02-25T06:50:00"/>
    <d v="2018-02-25T08:50:00"/>
    <n v="0"/>
    <n v="521"/>
    <n v="482"/>
    <s v="Drums and drum internals (single drum only)"/>
    <s v="F820Drum Level Trip - Low Level"/>
    <s v="Mill Creek"/>
    <x v="3"/>
    <s v="Coal"/>
    <x v="2"/>
    <x v="5"/>
    <n v="2"/>
    <n v="2.0000000000582077"/>
    <n v="2.0000000000582077"/>
    <n v="964.00000002805609"/>
    <n v="482"/>
    <x v="275"/>
  </r>
  <r>
    <x v="10"/>
    <x v="3"/>
    <n v="19"/>
    <n v="1471"/>
    <d v="2018-02-27T09:02:00"/>
    <d v="2018-02-27T09:18:00"/>
    <n v="0"/>
    <n v="521"/>
    <n v="482"/>
    <s v="Induced draft fan motors - variable speed"/>
    <s v="F5304B ID Fan VFD Cooling Water Pump Check"/>
    <s v="Mill Creek"/>
    <x v="1"/>
    <s v="Coal"/>
    <x v="2"/>
    <x v="5"/>
    <n v="2"/>
    <n v="0.26666666666278616"/>
    <n v="0.26666666666278616"/>
    <n v="128.53333333146293"/>
    <n v="482"/>
    <x v="275"/>
  </r>
  <r>
    <x v="10"/>
    <x v="4"/>
    <n v="20"/>
    <n v="1493"/>
    <d v="2018-03-02T23:35:00"/>
    <d v="2018-03-06T00:00:00"/>
    <n v="0"/>
    <n v="521"/>
    <n v="482"/>
    <s v="Air heater fouling (regenerative)"/>
    <s v="F660Air Pre-Heater Wash "/>
    <s v="Mill Creek"/>
    <x v="2"/>
    <s v="Coal"/>
    <x v="2"/>
    <x v="5"/>
    <n v="3"/>
    <n v="72.416666666627862"/>
    <n v="72.416666666627862"/>
    <n v="34904.833333314629"/>
    <n v="482"/>
    <x v="275"/>
  </r>
  <r>
    <x v="10"/>
    <x v="12"/>
    <n v="21"/>
    <n v="1493"/>
    <d v="2018-03-06T00:00:00"/>
    <d v="2018-03-07T02:33:00"/>
    <n v="0"/>
    <n v="521"/>
    <n v="482"/>
    <s v="Air heater fouling (regenerative)"/>
    <s v="F660Air Pre-Heater Wash (Extension)"/>
    <s v="Mill Creek"/>
    <x v="2"/>
    <s v="Coal"/>
    <x v="2"/>
    <x v="5"/>
    <n v="3"/>
    <n v="26.549999999930151"/>
    <n v="26.549999999930151"/>
    <n v="12797.099999966333"/>
    <n v="482"/>
    <x v="275"/>
  </r>
  <r>
    <x v="10"/>
    <x v="7"/>
    <n v="22"/>
    <n v="8280"/>
    <d v="2018-03-07T02:33:00"/>
    <d v="2018-03-07T07:56:00"/>
    <n v="0"/>
    <n v="521"/>
    <n v="482"/>
    <s v="Reagent feed piping"/>
    <s v="F120Plugged Limestone Feed (SUF)"/>
    <s v="Mill Creek"/>
    <x v="3"/>
    <s v="Coal"/>
    <x v="2"/>
    <x v="5"/>
    <n v="3"/>
    <n v="5.3833333334187046"/>
    <n v="5.3833333334187046"/>
    <n v="2594.7666667078156"/>
    <n v="482"/>
    <x v="275"/>
  </r>
  <r>
    <x v="10"/>
    <x v="2"/>
    <n v="23"/>
    <n v="3211"/>
    <d v="2018-04-20T22:00:00"/>
    <d v="2018-04-21T04:00:00"/>
    <n v="290"/>
    <n v="521"/>
    <n v="482"/>
    <s v="Circulating water pump motors"/>
    <s v="F7804A CTP Maintenance"/>
    <s v="Mill Creek"/>
    <x v="0"/>
    <s v="Coal"/>
    <x v="2"/>
    <x v="5"/>
    <n v="4"/>
    <n v="6"/>
    <n v="2.6602687140115164"/>
    <n v="1282.249520153551"/>
    <n v="213.70825335892513"/>
    <x v="219"/>
  </r>
  <r>
    <x v="11"/>
    <x v="10"/>
    <n v="2"/>
    <n v="1000"/>
    <d v="2013-01-01T00:00:00"/>
    <d v="2013-01-01T02:42:00"/>
    <n v="0"/>
    <n v="530"/>
    <n v="493"/>
    <s v="Waterwall (Furnace wall) A"/>
    <s v="F540The unit was removed from service to repair the lower slope boiler tube leak. The "/>
    <s v="Trimble"/>
    <x v="3"/>
    <s v="Coal"/>
    <x v="2"/>
    <x v="0"/>
    <n v="1"/>
    <n v="2.7000000000698492"/>
    <n v="2.7000000000698492"/>
    <n v="1331.1000000344357"/>
    <n v="493"/>
    <x v="296"/>
  </r>
  <r>
    <x v="11"/>
    <x v="3"/>
    <n v="1"/>
    <n v="1850"/>
    <d v="2013-01-01T02:42:00"/>
    <d v="2013-01-01T08:43:00"/>
    <n v="0"/>
    <n v="530"/>
    <n v="493"/>
    <s v="Boiler water condition (not feedwater water quality)"/>
    <s v="FA00TC-1 was on line and ramping up. The load was held down some due to silica from th"/>
    <s v="Trimble"/>
    <x v="1"/>
    <s v="Coal"/>
    <x v="2"/>
    <x v="0"/>
    <n v="1"/>
    <n v="6.0166666665463708"/>
    <n v="6.0166666665463708"/>
    <n v="2966.2166666073608"/>
    <n v="493"/>
    <x v="296"/>
  </r>
  <r>
    <x v="11"/>
    <x v="3"/>
    <n v="3"/>
    <n v="4261"/>
    <d v="2013-01-06T01:00:00"/>
    <d v="2013-01-06T01:08:00"/>
    <n v="0"/>
    <n v="530"/>
    <n v="493"/>
    <s v="Control valves"/>
    <s v="F790This de-rate was for testing of control valves. This is a weekly test of the contr"/>
    <s v="Trimble"/>
    <x v="1"/>
    <s v="Coal"/>
    <x v="2"/>
    <x v="0"/>
    <n v="1"/>
    <n v="0.13333333341870457"/>
    <n v="0.13333333341870457"/>
    <n v="65.733333375421353"/>
    <n v="493"/>
    <x v="296"/>
  </r>
  <r>
    <x v="11"/>
    <x v="5"/>
    <n v="4"/>
    <n v="1000"/>
    <d v="2013-01-09T22:27:00"/>
    <d v="2013-01-09T23:27:00"/>
    <n v="0"/>
    <n v="530"/>
    <n v="493"/>
    <s v="Waterwall (Furnace wall) A"/>
    <s v="F540The unit tripped off when we were removing the unit from service for boiler tube r"/>
    <s v="Trimble"/>
    <x v="3"/>
    <s v="Coal"/>
    <x v="2"/>
    <x v="0"/>
    <n v="1"/>
    <n v="0.99999999994179234"/>
    <n v="0.99999999994179234"/>
    <n v="492.99999997130362"/>
    <n v="493"/>
    <x v="296"/>
  </r>
  <r>
    <x v="11"/>
    <x v="4"/>
    <n v="5"/>
    <n v="1000"/>
    <d v="2013-01-09T23:27:00"/>
    <d v="2013-01-14T06:00:00"/>
    <n v="0"/>
    <n v="530"/>
    <n v="493"/>
    <s v="Waterwall (Furnace wall) A"/>
    <s v="F540This outage was to replace the tube panels on the East side of the lower slope. Th"/>
    <s v="Trimble"/>
    <x v="2"/>
    <s v="Coal"/>
    <x v="2"/>
    <x v="0"/>
    <n v="1"/>
    <n v="102.55000000004657"/>
    <n v="102.55000000004657"/>
    <n v="50557.150000022957"/>
    <n v="493"/>
    <x v="296"/>
  </r>
  <r>
    <x v="11"/>
    <x v="12"/>
    <n v="6"/>
    <n v="1000"/>
    <d v="2013-01-14T06:00:00"/>
    <d v="2013-01-14T23:56:00"/>
    <n v="0"/>
    <n v="530"/>
    <n v="493"/>
    <s v="Waterwall (Furnace wall) A"/>
    <s v="F540This outage was to replace the tube panels on the East side of the lower slope. Th"/>
    <s v="Trimble"/>
    <x v="2"/>
    <s v="Coal"/>
    <x v="2"/>
    <x v="0"/>
    <n v="1"/>
    <n v="17.933333333290648"/>
    <n v="17.933333333290648"/>
    <n v="8841.1333333122893"/>
    <n v="493"/>
    <x v="296"/>
  </r>
  <r>
    <x v="11"/>
    <x v="3"/>
    <n v="8"/>
    <n v="1850"/>
    <d v="2013-01-14T23:56:00"/>
    <d v="2013-01-15T14:10:00"/>
    <n v="0"/>
    <n v="530"/>
    <n v="493"/>
    <s v="Boiler water condition (not feedwater water quality)"/>
    <s v="FA00TC-1 was on line and ramping up. The load was held down some due to silica from th"/>
    <s v="Trimble"/>
    <x v="1"/>
    <s v="Coal"/>
    <x v="2"/>
    <x v="0"/>
    <n v="1"/>
    <n v="14.233333333453629"/>
    <n v="14.233333333453629"/>
    <n v="7017.0333333926392"/>
    <n v="493"/>
    <x v="296"/>
  </r>
  <r>
    <x v="11"/>
    <x v="0"/>
    <n v="9"/>
    <n v="310"/>
    <d v="2013-01-16T05:56:00"/>
    <d v="2013-01-16T07:15:00"/>
    <n v="510"/>
    <n v="530"/>
    <n v="493"/>
    <s v="Pulverizer mills"/>
    <s v="FR00TC1 coal mill A had a fire and D coal mill was unavailable and required a unit de-"/>
    <s v="Trimble"/>
    <x v="0"/>
    <s v="Coal"/>
    <x v="2"/>
    <x v="0"/>
    <n v="1"/>
    <n v="1.3166666667675599"/>
    <n v="4.9685534595002259E-2"/>
    <n v="24.494968555336115"/>
    <n v="18.60377358490566"/>
    <x v="54"/>
  </r>
  <r>
    <x v="11"/>
    <x v="0"/>
    <n v="10"/>
    <n v="250"/>
    <d v="2013-01-17T06:04:00"/>
    <d v="2013-01-17T06:40:00"/>
    <n v="510"/>
    <n v="530"/>
    <n v="493"/>
    <s v="Pulverizer feeders"/>
    <s v="F820TC1 had the 1C coal feeder belt track north tripped the feeder.  Maintenance repla"/>
    <s v="Trimble"/>
    <x v="0"/>
    <s v="Coal"/>
    <x v="2"/>
    <x v="0"/>
    <n v="1"/>
    <n v="0.6000000000349246"/>
    <n v="2.2641509435280174E-2"/>
    <n v="11.162264151593126"/>
    <n v="18.60377358490566"/>
    <x v="54"/>
  </r>
  <r>
    <x v="11"/>
    <x v="2"/>
    <n v="11"/>
    <n v="360"/>
    <d v="2013-01-17T07:38:00"/>
    <d v="2013-01-17T08:40:00"/>
    <n v="510"/>
    <n v="530"/>
    <n v="493"/>
    <s v="Burners"/>
    <s v="F780The 1D burner was getting hot, removed mill and inspected for cause"/>
    <s v="Trimble"/>
    <x v="0"/>
    <s v="Coal"/>
    <x v="2"/>
    <x v="0"/>
    <n v="1"/>
    <n v="1.033333333209157"/>
    <n v="3.8993710687138E-2"/>
    <n v="19.223899368759035"/>
    <n v="18.60377358490566"/>
    <x v="54"/>
  </r>
  <r>
    <x v="11"/>
    <x v="0"/>
    <n v="12"/>
    <n v="310"/>
    <d v="2013-01-19T08:18:00"/>
    <d v="2013-01-19T11:43:00"/>
    <n v="500"/>
    <n v="530"/>
    <n v="493"/>
    <s v="Pulverizer mills"/>
    <s v="FR00A mill fire caused derate.  Unable to put A mill back on after washing it out due "/>
    <s v="Trimble"/>
    <x v="0"/>
    <s v="Coal"/>
    <x v="2"/>
    <x v="0"/>
    <n v="1"/>
    <n v="3.4166666666278616"/>
    <n v="0.19339622641289783"/>
    <n v="95.344339621558632"/>
    <n v="27.90566037735849"/>
    <x v="67"/>
  </r>
  <r>
    <x v="11"/>
    <x v="5"/>
    <n v="13"/>
    <n v="3110"/>
    <d v="2013-01-20T09:59:00"/>
    <d v="2013-01-21T04:58:00"/>
    <n v="0"/>
    <n v="530"/>
    <n v="493"/>
    <s v="Condenser tube leaks"/>
    <s v="F540Condenser tube leaks found in LP 1A1 condenser.  15 tubes plugged and unit returne"/>
    <s v="Trimble"/>
    <x v="3"/>
    <s v="Coal"/>
    <x v="2"/>
    <x v="0"/>
    <n v="1"/>
    <n v="18.983333333220799"/>
    <n v="18.983333333220799"/>
    <n v="9358.7833332778537"/>
    <n v="493"/>
    <x v="296"/>
  </r>
  <r>
    <x v="11"/>
    <x v="3"/>
    <n v="14"/>
    <n v="1850"/>
    <d v="2013-01-21T04:58:00"/>
    <d v="2013-01-21T15:08:00"/>
    <n v="0"/>
    <n v="530"/>
    <n v="493"/>
    <s v="Boiler water condition (not feedwater water quality)"/>
    <s v="FA00Unit was online and ramping.  Held on silica restriction.  Followed the condenser "/>
    <s v="Trimble"/>
    <x v="1"/>
    <s v="Coal"/>
    <x v="2"/>
    <x v="0"/>
    <n v="1"/>
    <n v="10.166666666802485"/>
    <n v="10.166666666802485"/>
    <n v="5012.1666667336249"/>
    <n v="493"/>
    <x v="296"/>
  </r>
  <r>
    <x v="11"/>
    <x v="0"/>
    <n v="15"/>
    <n v="310"/>
    <d v="2013-01-22T22:02:00"/>
    <d v="2013-01-22T22:32:00"/>
    <n v="480"/>
    <n v="530"/>
    <n v="493"/>
    <s v="Pulverizer mills"/>
    <s v="FR00A coal caught fire and resulted in unit derate to 480 MW"/>
    <s v="Trimble"/>
    <x v="0"/>
    <s v="Coal"/>
    <x v="2"/>
    <x v="0"/>
    <n v="1"/>
    <n v="0.49999999988358468"/>
    <n v="4.7169811309772137E-2"/>
    <n v="23.254716975717663"/>
    <n v="46.509433962264154"/>
    <x v="119"/>
  </r>
  <r>
    <x v="11"/>
    <x v="0"/>
    <n v="16"/>
    <n v="250"/>
    <d v="2013-01-24T07:30:00"/>
    <d v="2013-01-24T08:33:00"/>
    <n v="490"/>
    <n v="530"/>
    <n v="493"/>
    <s v="Pulverizer feeders"/>
    <s v="F820Unit 1 A coal mill feeder tripped causing the A mill to be tripped resulting in a "/>
    <s v="Trimble"/>
    <x v="0"/>
    <s v="Coal"/>
    <x v="2"/>
    <x v="0"/>
    <n v="1"/>
    <n v="1.0499999999301508"/>
    <n v="7.924528301359629E-2"/>
    <n v="39.067924525702971"/>
    <n v="37.20754716981132"/>
    <x v="12"/>
  </r>
  <r>
    <x v="11"/>
    <x v="0"/>
    <n v="17"/>
    <n v="360"/>
    <d v="2013-01-30T22:25:00"/>
    <d v="2013-01-30T23:00:00"/>
    <n v="450"/>
    <n v="530"/>
    <n v="493"/>
    <s v="Burners"/>
    <s v="F8201B3 coal burner had a fire which ended up tripping the B coal mill.  Derate requir"/>
    <s v="Trimble"/>
    <x v="0"/>
    <s v="Coal"/>
    <x v="2"/>
    <x v="0"/>
    <n v="1"/>
    <n v="0.58333333331393078"/>
    <n v="8.8050314462480114E-2"/>
    <n v="43.408805030002696"/>
    <n v="74.415094339622641"/>
    <x v="29"/>
  </r>
  <r>
    <x v="11"/>
    <x v="0"/>
    <n v="18"/>
    <n v="3710"/>
    <d v="2013-02-05T01:10:00"/>
    <d v="2013-02-05T01:46:00"/>
    <n v="500"/>
    <n v="530"/>
    <n v="493"/>
    <s v="Transmission line (connected to powerhouse switchyard to 1st Substation)"/>
    <s v="F700At 0106 there was an event at the switchyard. The 4542 A-phase coupling capacitor/"/>
    <s v="Trimble"/>
    <x v="0"/>
    <s v="Coal"/>
    <x v="2"/>
    <x v="0"/>
    <n v="2"/>
    <n v="0.6000000000349246"/>
    <n v="3.3962264152920259E-2"/>
    <n v="16.743396227389688"/>
    <n v="27.90566037735849"/>
    <x v="67"/>
  </r>
  <r>
    <x v="11"/>
    <x v="2"/>
    <n v="19"/>
    <n v="920"/>
    <d v="2013-02-16T00:00:00"/>
    <d v="2013-02-16T04:00:00"/>
    <n v="300"/>
    <n v="530"/>
    <n v="493"/>
    <s v="Other slag and ash removal problems A"/>
    <s v="FC00Unit 1 was derated to 300MW for deslag of the boiler.  This derate was also used t"/>
    <s v="Trimble"/>
    <x v="0"/>
    <s v="Coal"/>
    <x v="2"/>
    <x v="0"/>
    <n v="2"/>
    <n v="3.9999999999417923"/>
    <n v="1.7358490565785136"/>
    <n v="855.77358489320727"/>
    <n v="213.9433962264151"/>
    <x v="219"/>
  </r>
  <r>
    <x v="11"/>
    <x v="0"/>
    <n v="20"/>
    <n v="310"/>
    <d v="2013-02-20T05:53:00"/>
    <d v="2013-02-20T06:26:00"/>
    <n v="500"/>
    <n v="530"/>
    <n v="493"/>
    <s v="Pulverizer mills"/>
    <s v="FR00Unit 1 had the B coal mill on fire and was taken offline and load reduced to 500MW"/>
    <s v="Trimble"/>
    <x v="0"/>
    <s v="Coal"/>
    <x v="2"/>
    <x v="0"/>
    <n v="2"/>
    <n v="0.55000000004656613"/>
    <n v="3.1132075474333932E-2"/>
    <n v="15.348113208846629"/>
    <n v="27.90566037735849"/>
    <x v="67"/>
  </r>
  <r>
    <x v="11"/>
    <x v="0"/>
    <n v="21"/>
    <n v="310"/>
    <d v="2013-02-20T06:26:00"/>
    <d v="2013-02-20T09:39:00"/>
    <n v="520"/>
    <n v="530"/>
    <n v="493"/>
    <s v="Pulverizer mills"/>
    <s v="FR00Unit 1 was increased to 520MW while the previous work was being conducted on the B"/>
    <s v="Trimble"/>
    <x v="0"/>
    <s v="Coal"/>
    <x v="2"/>
    <x v="0"/>
    <n v="2"/>
    <n v="3.2166666666744277"/>
    <n v="6.0691823899517501E-2"/>
    <n v="29.921069182462126"/>
    <n v="9.3018867924528301"/>
    <x v="94"/>
  </r>
  <r>
    <x v="11"/>
    <x v="0"/>
    <n v="22"/>
    <n v="4899"/>
    <d v="2013-02-27T07:14:00"/>
    <d v="2013-02-27T07:20:00"/>
    <n v="527"/>
    <n v="530"/>
    <n v="493"/>
    <s v="Other miscellaneous generator problems"/>
    <s v="F780The generator field temperature indication began reading high and came into alarm "/>
    <s v="Trimble"/>
    <x v="0"/>
    <s v="Coal"/>
    <x v="2"/>
    <x v="0"/>
    <n v="2"/>
    <n v="9.9999999976716936E-2"/>
    <n v="5.6603773571726568E-4"/>
    <n v="0.27905660370861196"/>
    <n v="2.7905660377358492"/>
    <x v="183"/>
  </r>
  <r>
    <x v="11"/>
    <x v="0"/>
    <n v="23"/>
    <n v="4899"/>
    <d v="2013-02-27T07:20:00"/>
    <d v="2013-02-27T09:25:00"/>
    <n v="507"/>
    <n v="530"/>
    <n v="493"/>
    <s v="Other miscellaneous generator problems"/>
    <s v="F780Generator field temperature remained high.  Unit was reduced another 20MW bringing"/>
    <s v="Trimble"/>
    <x v="0"/>
    <s v="Coal"/>
    <x v="2"/>
    <x v="0"/>
    <n v="2"/>
    <n v="2.0833333333139308"/>
    <n v="9.0408805030604542E-2"/>
    <n v="44.571540880088037"/>
    <n v="21.39433962264151"/>
    <x v="168"/>
  </r>
  <r>
    <x v="11"/>
    <x v="3"/>
    <n v="24"/>
    <n v="1305"/>
    <d v="2013-03-02T00:01:00"/>
    <d v="2013-03-02T05:00:00"/>
    <n v="0"/>
    <n v="530"/>
    <n v="493"/>
    <s v="Fireside cleaning (which requires a full outage) Use code 1200 for cleanings that cause deratings."/>
    <s v="FS00U1 was reduced to 250 MW for a planned de-slag of the boiler."/>
    <s v="Trimble"/>
    <x v="1"/>
    <s v="Coal"/>
    <x v="2"/>
    <x v="0"/>
    <n v="3"/>
    <n v="4.9833333333372138"/>
    <n v="4.9833333333372138"/>
    <n v="2456.7833333352464"/>
    <n v="493"/>
    <x v="296"/>
  </r>
  <r>
    <x v="11"/>
    <x v="0"/>
    <n v="25"/>
    <n v="760"/>
    <d v="2013-03-02T05:58:00"/>
    <d v="2013-03-02T08:11:00"/>
    <n v="525"/>
    <n v="530"/>
    <n v="493"/>
    <s v="Boiler recirculation valves"/>
    <s v="F690The 1A TDBFP valve would not operate properly and was taken out of service to inve"/>
    <s v="Trimble"/>
    <x v="0"/>
    <s v="Coal"/>
    <x v="2"/>
    <x v="0"/>
    <n v="3"/>
    <n v="2.2166666665580124"/>
    <n v="2.0911949684509552E-2"/>
    <n v="10.309591194463209"/>
    <n v="4.6509433962264151"/>
    <x v="166"/>
  </r>
  <r>
    <x v="11"/>
    <x v="0"/>
    <n v="26"/>
    <n v="310"/>
    <d v="2013-03-10T11:10:00"/>
    <d v="2013-03-10T13:00:00"/>
    <n v="515"/>
    <n v="530"/>
    <n v="493"/>
    <s v="Pulverizer mills"/>
    <s v="F180The D mill on Unit 1 lit off and required the mill to be shut down in order for th"/>
    <s v="Trimble"/>
    <x v="0"/>
    <s v="Coal"/>
    <x v="2"/>
    <x v="0"/>
    <n v="3"/>
    <n v="1.8333333331975155"/>
    <n v="5.1886792448986287E-2"/>
    <n v="25.58018867735024"/>
    <n v="13.952830188679245"/>
    <x v="61"/>
  </r>
  <r>
    <x v="11"/>
    <x v="0"/>
    <n v="27"/>
    <n v="340"/>
    <d v="2013-03-12T04:20:00"/>
    <d v="2013-03-12T05:00:00"/>
    <n v="510"/>
    <n v="530"/>
    <n v="493"/>
    <s v="Other pulverizer problems"/>
    <s v="F060The solenoid on the 1F coal mill broke causing the derate.  The solenoid grounded "/>
    <s v="Trimble"/>
    <x v="0"/>
    <s v="Coal"/>
    <x v="2"/>
    <x v="0"/>
    <n v="3"/>
    <n v="0.66666666674427688"/>
    <n v="2.5157232707331202E-2"/>
    <n v="12.402515724714283"/>
    <n v="18.60377358490566"/>
    <x v="54"/>
  </r>
  <r>
    <x v="11"/>
    <x v="0"/>
    <n v="28"/>
    <n v="340"/>
    <d v="2013-03-12T05:00:00"/>
    <d v="2013-03-12T07:53:00"/>
    <n v="520"/>
    <n v="530"/>
    <n v="493"/>
    <s v="Other pulverizer problems"/>
    <s v="F060Operations was able to increase unit load by 10MW (up to 520MW) after F Mill was r"/>
    <s v="Trimble"/>
    <x v="0"/>
    <s v="Coal"/>
    <x v="2"/>
    <x v="0"/>
    <n v="3"/>
    <n v="2.8833333333022892"/>
    <n v="5.4402515722684702E-2"/>
    <n v="26.820440251283557"/>
    <n v="9.3018867924528301"/>
    <x v="94"/>
  </r>
  <r>
    <x v="11"/>
    <x v="0"/>
    <n v="29"/>
    <n v="340"/>
    <d v="2013-03-18T09:30:00"/>
    <d v="2013-03-18T12:20:00"/>
    <n v="515"/>
    <n v="530"/>
    <n v="493"/>
    <s v="Other pulverizer problems"/>
    <s v="F540Removed the 1B Coal Mill from service and carded for inspection after water backed"/>
    <s v="Trimble"/>
    <x v="0"/>
    <s v="Coal"/>
    <x v="2"/>
    <x v="0"/>
    <n v="3"/>
    <n v="2.8333333333139308"/>
    <n v="8.0188679244733885E-2"/>
    <n v="39.533018867653809"/>
    <n v="13.952830188679245"/>
    <x v="61"/>
  </r>
  <r>
    <x v="11"/>
    <x v="3"/>
    <n v="30"/>
    <n v="1305"/>
    <d v="2013-03-23T23:00:00"/>
    <d v="2013-03-24T05:00:00"/>
    <n v="0"/>
    <n v="530"/>
    <n v="493"/>
    <s v="Fireside cleaning (which requires a full outage) Use code 1200 for cleanings that cause deratings."/>
    <s v="FS00Unit was derated to 350MW to perform a deslag.  Unit load was readily available sh"/>
    <s v="Trimble"/>
    <x v="1"/>
    <s v="Coal"/>
    <x v="2"/>
    <x v="0"/>
    <n v="3"/>
    <n v="6"/>
    <n v="6"/>
    <n v="2958"/>
    <n v="493"/>
    <x v="296"/>
  </r>
  <r>
    <x v="11"/>
    <x v="0"/>
    <n v="31"/>
    <n v="1360"/>
    <d v="2013-03-27T22:00:00"/>
    <d v="2013-03-27T23:21:00"/>
    <n v="300"/>
    <n v="530"/>
    <n v="493"/>
    <s v="Boiler drains system"/>
    <s v="F540Variable derate moving into forced outage due to SH-9 drain line leak"/>
    <s v="Trimble"/>
    <x v="0"/>
    <s v="Coal"/>
    <x v="2"/>
    <x v="0"/>
    <n v="3"/>
    <n v="1.3500000000349246"/>
    <n v="0.5858490566189295"/>
    <n v="288.82358491313227"/>
    <n v="213.9433962264151"/>
    <x v="219"/>
  </r>
  <r>
    <x v="11"/>
    <x v="5"/>
    <n v="32"/>
    <n v="1360"/>
    <d v="2013-03-27T23:21:00"/>
    <d v="2013-03-28T16:04:00"/>
    <n v="0"/>
    <n v="530"/>
    <n v="493"/>
    <s v="Boiler drains system"/>
    <s v="F540Forced outage due to SH-9 drain line leak, repairs were completed and changed into"/>
    <s v="Trimble"/>
    <x v="3"/>
    <s v="Coal"/>
    <x v="2"/>
    <x v="0"/>
    <n v="3"/>
    <n v="16.716666666674428"/>
    <n v="16.716666666674428"/>
    <n v="8241.3166666704929"/>
    <n v="493"/>
    <x v="296"/>
  </r>
  <r>
    <x v="11"/>
    <x v="4"/>
    <n v="33"/>
    <n v="1489"/>
    <d v="2013-03-28T16:04:00"/>
    <d v="2013-03-30T22:02:00"/>
    <n v="0"/>
    <n v="530"/>
    <n v="493"/>
    <s v="Air heater (heat pipe"/>
    <s v="F320Maintenance outage in order to perform an air heater wash after the forced outage."/>
    <s v="Trimble"/>
    <x v="2"/>
    <s v="Coal"/>
    <x v="2"/>
    <x v="0"/>
    <n v="3"/>
    <n v="53.966666666732635"/>
    <n v="53.966666666732635"/>
    <n v="26605.566666699189"/>
    <n v="493"/>
    <x v="296"/>
  </r>
  <r>
    <x v="11"/>
    <x v="0"/>
    <n v="34"/>
    <n v="3641"/>
    <d v="2013-04-02T08:00:00"/>
    <d v="2013-04-02T08:25:00"/>
    <n v="450"/>
    <n v="530"/>
    <n v="493"/>
    <s v="AC Circuit breakers"/>
    <s v="F700Problems with breaker MOD 4511. One phase shorted out, switched to reserve. Lowere"/>
    <s v="Trimble"/>
    <x v="0"/>
    <s v="Coal"/>
    <x v="2"/>
    <x v="0"/>
    <n v="4"/>
    <n v="0.41666666662786156"/>
    <n v="6.2893081755148919E-2"/>
    <n v="31.006289305288416"/>
    <n v="74.415094339622641"/>
    <x v="29"/>
  </r>
  <r>
    <x v="11"/>
    <x v="0"/>
    <n v="35"/>
    <n v="3431"/>
    <d v="2013-04-02T23:00:00"/>
    <d v="2013-04-03T04:31:00"/>
    <n v="525"/>
    <n v="530"/>
    <n v="493"/>
    <s v="Other feedwater valves"/>
    <s v="F610The unit was derated to 525 MW to allow TDBFP swapping so I/E could make logic cha"/>
    <s v="Trimble"/>
    <x v="0"/>
    <s v="Coal"/>
    <x v="2"/>
    <x v="0"/>
    <n v="4"/>
    <n v="5.5166666666627862"/>
    <n v="5.2044025157196097E-2"/>
    <n v="25.657704402497675"/>
    <n v="4.6509433962264151"/>
    <x v="166"/>
  </r>
  <r>
    <x v="11"/>
    <x v="0"/>
    <n v="36"/>
    <n v="3431"/>
    <d v="2013-04-03T05:40:00"/>
    <d v="2013-04-03T07:35:00"/>
    <n v="525"/>
    <n v="530"/>
    <n v="493"/>
    <s v="Other feedwater valves"/>
    <s v="F590There was an issue with the TDBFP-A recirc valve when bringing the unit to full lo"/>
    <s v="Trimble"/>
    <x v="0"/>
    <s v="Coal"/>
    <x v="2"/>
    <x v="0"/>
    <n v="4"/>
    <n v="1.9166666666278616"/>
    <n v="1.8081761005923222E-2"/>
    <n v="8.9143081759201479"/>
    <n v="4.6509433962264151"/>
    <x v="166"/>
  </r>
  <r>
    <x v="11"/>
    <x v="0"/>
    <n v="37"/>
    <n v="310"/>
    <d v="2013-04-21T12:51:00"/>
    <d v="2013-04-21T13:51:00"/>
    <n v="525"/>
    <n v="530"/>
    <n v="493"/>
    <s v="Pulverizer mills"/>
    <s v="FR001B Coal mill fire required mill swap, however the O/S mill, Mill 1A, had issues ge"/>
    <s v="Trimble"/>
    <x v="0"/>
    <s v="Coal"/>
    <x v="2"/>
    <x v="0"/>
    <n v="4"/>
    <n v="0.99999999994179234"/>
    <n v="9.4339622636018146E-3"/>
    <n v="4.6509433959556947"/>
    <n v="4.6509433962264151"/>
    <x v="166"/>
  </r>
  <r>
    <x v="11"/>
    <x v="3"/>
    <n v="38"/>
    <n v="4269"/>
    <d v="2013-05-01T00:00:00"/>
    <d v="2013-05-01T01:00:00"/>
    <n v="0"/>
    <n v="530"/>
    <n v="493"/>
    <s v="Other turbine valves"/>
    <s v="F530Planned de-rate (non-curtailing) to inspect turbine valves (490 MW)"/>
    <s v="Trimble"/>
    <x v="1"/>
    <s v="Coal"/>
    <x v="2"/>
    <x v="0"/>
    <n v="5"/>
    <n v="0.99999999994179234"/>
    <n v="0.99999999994179234"/>
    <n v="492.99999997130362"/>
    <n v="493"/>
    <x v="296"/>
  </r>
  <r>
    <x v="11"/>
    <x v="2"/>
    <n v="39"/>
    <n v="3410"/>
    <d v="2013-05-03T20:00:00"/>
    <d v="2013-05-03T22:40:00"/>
    <n v="525"/>
    <n v="530"/>
    <n v="493"/>
    <s v="Feedwater pump"/>
    <s v="F5401A TDBFP has had an oil leak.  The derate was to attempt to repair the valve. A ne"/>
    <s v="Trimble"/>
    <x v="0"/>
    <s v="Coal"/>
    <x v="2"/>
    <x v="0"/>
    <n v="5"/>
    <n v="2.6666666666278616"/>
    <n v="2.5157232704036431E-2"/>
    <n v="12.402515723089961"/>
    <n v="4.6509433962264151"/>
    <x v="166"/>
  </r>
  <r>
    <x v="11"/>
    <x v="5"/>
    <n v="40"/>
    <n v="4609"/>
    <d v="2013-05-03T22:40:00"/>
    <d v="2013-05-04T18:21:00"/>
    <n v="0"/>
    <n v="530"/>
    <n v="493"/>
    <s v="Other exciter problems"/>
    <s v="F820TC1 began having exciter field voltage issues going HI and LOW.  Megavars were als"/>
    <s v="Trimble"/>
    <x v="3"/>
    <s v="Coal"/>
    <x v="2"/>
    <x v="0"/>
    <n v="5"/>
    <n v="19.68333333323244"/>
    <n v="19.68333333323244"/>
    <n v="9703.8833332835929"/>
    <n v="493"/>
    <x v="296"/>
  </r>
  <r>
    <x v="11"/>
    <x v="3"/>
    <n v="41"/>
    <n v="1850"/>
    <d v="2013-05-04T18:21:00"/>
    <d v="2013-05-05T04:28:00"/>
    <n v="0"/>
    <n v="530"/>
    <n v="493"/>
    <s v="Boiler water condition (not feedwater water quality)"/>
    <s v="FA00Unit was on-line and ramping and hold was placed for silica"/>
    <s v="Trimble"/>
    <x v="1"/>
    <s v="Coal"/>
    <x v="2"/>
    <x v="0"/>
    <n v="5"/>
    <n v="10.116666666814126"/>
    <n v="10.116666666814126"/>
    <n v="4987.5166667393642"/>
    <n v="493"/>
    <x v="296"/>
  </r>
  <r>
    <x v="11"/>
    <x v="3"/>
    <n v="42"/>
    <n v="4267"/>
    <d v="2013-05-12T01:00:00"/>
    <d v="2013-05-12T01:15:00"/>
    <n v="0"/>
    <n v="530"/>
    <n v="493"/>
    <s v="Control valve testing"/>
    <s v="F790Completed a valve test on unit one turbine valves to ensure working order.  #3 and"/>
    <s v="Trimble"/>
    <x v="1"/>
    <s v="Coal"/>
    <x v="2"/>
    <x v="0"/>
    <n v="5"/>
    <n v="0.25000000011641532"/>
    <n v="0.25000000011641532"/>
    <n v="123.25000005739275"/>
    <n v="493"/>
    <x v="296"/>
  </r>
  <r>
    <x v="11"/>
    <x v="0"/>
    <n v="43"/>
    <n v="310"/>
    <d v="2013-05-13T08:00:00"/>
    <d v="2013-05-13T08:25:00"/>
    <n v="525"/>
    <n v="530"/>
    <n v="493"/>
    <s v="Pulverizer mills"/>
    <s v="F780Unit 1 B Coal Mill came in at high temperature. More information in following even"/>
    <s v="Trimble"/>
    <x v="0"/>
    <s v="Coal"/>
    <x v="2"/>
    <x v="0"/>
    <n v="5"/>
    <n v="0.41666666662786156"/>
    <n v="3.9308176096968074E-3"/>
    <n v="1.937893081580526"/>
    <n v="4.6509433962264151"/>
    <x v="166"/>
  </r>
  <r>
    <x v="11"/>
    <x v="0"/>
    <n v="44"/>
    <n v="310"/>
    <d v="2013-05-13T08:25:00"/>
    <d v="2013-05-13T09:55:00"/>
    <n v="515"/>
    <n v="530"/>
    <n v="493"/>
    <s v="Pulverizer mills"/>
    <s v="F780TC1 B Coal mill continued to increase in temperature and load was reduced further."/>
    <s v="Trimble"/>
    <x v="0"/>
    <s v="Coal"/>
    <x v="2"/>
    <x v="0"/>
    <n v="5"/>
    <n v="1.5"/>
    <n v="4.2452830188679243E-2"/>
    <n v="20.929245283018865"/>
    <n v="13.952830188679245"/>
    <x v="61"/>
  </r>
  <r>
    <x v="11"/>
    <x v="0"/>
    <n v="45"/>
    <n v="310"/>
    <d v="2013-05-13T09:55:00"/>
    <d v="2013-05-13T11:13:00"/>
    <n v="530"/>
    <n v="530"/>
    <n v="493"/>
    <s v="Pulverizer mills"/>
    <s v="FR00TC1 B Coal mill caught fire as temperatures continued to rise.  C Mill was brought"/>
    <s v="Trimble"/>
    <x v="0"/>
    <s v="Coal"/>
    <x v="2"/>
    <x v="0"/>
    <n v="5"/>
    <n v="1.3000000000465661"/>
    <n v="0"/>
    <n v="0"/>
    <n v="0"/>
    <x v="152"/>
  </r>
  <r>
    <x v="11"/>
    <x v="3"/>
    <n v="46"/>
    <n v="4267"/>
    <d v="2013-05-18T22:30:00"/>
    <d v="2013-05-18T23:03:00"/>
    <n v="0"/>
    <n v="530"/>
    <n v="493"/>
    <s v="Control valve testing"/>
    <s v="F790Performed weekly valve test over the weekend.  "/>
    <s v="Trimble"/>
    <x v="1"/>
    <s v="Coal"/>
    <x v="2"/>
    <x v="0"/>
    <n v="5"/>
    <n v="0.55000000004656613"/>
    <n v="0.55000000004656613"/>
    <n v="271.1500000229571"/>
    <n v="493"/>
    <x v="296"/>
  </r>
  <r>
    <x v="11"/>
    <x v="5"/>
    <n v="47"/>
    <n v="800"/>
    <d v="2013-05-25T11:20:00"/>
    <d v="2013-05-25T15:41:00"/>
    <n v="0"/>
    <n v="530"/>
    <n v="493"/>
    <s v="Drums and drum internals (single drum only)"/>
    <s v="F820When attempting to isolate the north hydrastep which was leaking and in need of re"/>
    <s v="Trimble"/>
    <x v="3"/>
    <s v="Coal"/>
    <x v="2"/>
    <x v="0"/>
    <n v="5"/>
    <n v="4.3500000000349246"/>
    <n v="4.3500000000349246"/>
    <n v="2144.5500000172178"/>
    <n v="493"/>
    <x v="296"/>
  </r>
  <r>
    <x v="11"/>
    <x v="3"/>
    <n v="48"/>
    <n v="1850"/>
    <d v="2013-05-25T15:41:00"/>
    <d v="2013-05-25T23:15:00"/>
    <n v="0"/>
    <n v="530"/>
    <n v="493"/>
    <s v="Boiler water condition (not feedwater water quality)"/>
    <s v="FA00Following the MFT and before returning to full-load the unit was placed on a silic"/>
    <s v="Trimble"/>
    <x v="1"/>
    <s v="Coal"/>
    <x v="2"/>
    <x v="0"/>
    <n v="5"/>
    <n v="7.5666666667093523"/>
    <n v="7.5666666667093523"/>
    <n v="3730.3666666877107"/>
    <n v="493"/>
    <x v="296"/>
  </r>
  <r>
    <x v="11"/>
    <x v="0"/>
    <n v="49"/>
    <n v="3410"/>
    <d v="2013-06-13T12:15:00"/>
    <d v="2013-06-14T01:37:00"/>
    <n v="525"/>
    <n v="530"/>
    <n v="493"/>
    <s v="Feedwater pump"/>
    <s v="F5401A TDBFP suction header annubar found leaking.  Repaired with pump O/S and returne"/>
    <s v="Trimble"/>
    <x v="0"/>
    <s v="Coal"/>
    <x v="2"/>
    <x v="0"/>
    <n v="6"/>
    <n v="13.366666666755918"/>
    <n v="0.1261006289316596"/>
    <n v="62.167610063308182"/>
    <n v="4.6509433962264151"/>
    <x v="166"/>
  </r>
  <r>
    <x v="11"/>
    <x v="3"/>
    <n v="50"/>
    <n v="4267"/>
    <d v="2013-06-16T01:00:00"/>
    <d v="2013-06-16T01:20:00"/>
    <n v="0"/>
    <n v="530"/>
    <n v="493"/>
    <s v="Control valve testing"/>
    <s v="F790Weekly valve test conducted over weekend.  Non-curtailing load drop to 500MW to co"/>
    <s v="Trimble"/>
    <x v="1"/>
    <s v="Coal"/>
    <x v="2"/>
    <x v="0"/>
    <n v="6"/>
    <n v="0.33333333337213844"/>
    <n v="0.33333333337213844"/>
    <n v="164.33333335246425"/>
    <n v="493"/>
    <x v="296"/>
  </r>
  <r>
    <x v="11"/>
    <x v="3"/>
    <n v="51"/>
    <n v="4267"/>
    <d v="2013-06-22T01:00:00"/>
    <d v="2013-06-22T01:50:00"/>
    <n v="0"/>
    <n v="530"/>
    <n v="493"/>
    <s v="Control valve testing"/>
    <s v="F790Weekly valve test for Unit 1."/>
    <s v="Trimble"/>
    <x v="1"/>
    <s v="Coal"/>
    <x v="2"/>
    <x v="0"/>
    <n v="6"/>
    <n v="0.8333333334303461"/>
    <n v="0.8333333334303461"/>
    <n v="410.83333338116063"/>
    <n v="493"/>
    <x v="296"/>
  </r>
  <r>
    <x v="11"/>
    <x v="2"/>
    <n v="52"/>
    <n v="3410"/>
    <d v="2013-06-28T21:00:00"/>
    <d v="2013-06-29T09:00:00"/>
    <n v="525"/>
    <n v="530"/>
    <n v="493"/>
    <s v="Feedwater pump"/>
    <s v="F590Planned maintenance to repair 1A TDBFP."/>
    <s v="Trimble"/>
    <x v="0"/>
    <s v="Coal"/>
    <x v="2"/>
    <x v="0"/>
    <n v="6"/>
    <n v="12"/>
    <n v="0.11320754716981132"/>
    <n v="55.811320754716981"/>
    <n v="4.6509433962264151"/>
    <x v="166"/>
  </r>
  <r>
    <x v="11"/>
    <x v="3"/>
    <n v="53"/>
    <n v="4267"/>
    <d v="2013-06-29T00:00:00"/>
    <d v="2013-06-29T01:08:00"/>
    <n v="0"/>
    <n v="530"/>
    <n v="493"/>
    <s v="Control valve testing"/>
    <s v="F790Weekly valve test for Unit 1."/>
    <s v="Trimble"/>
    <x v="1"/>
    <s v="Coal"/>
    <x v="2"/>
    <x v="0"/>
    <n v="6"/>
    <n v="1.1333333333604969"/>
    <n v="1.1333333333604969"/>
    <n v="558.73333334672498"/>
    <n v="493"/>
    <x v="296"/>
  </r>
  <r>
    <x v="11"/>
    <x v="2"/>
    <n v="54"/>
    <n v="3110"/>
    <d v="2013-07-05T23:00:00"/>
    <d v="2013-07-05T23:26:00"/>
    <n v="300"/>
    <n v="530"/>
    <n v="493"/>
    <s v="Condenser tube leaks"/>
    <s v="F530Variable de-rate to come offline for a condenser inspection due to potential tube "/>
    <s v="Trimble"/>
    <x v="0"/>
    <s v="Coal"/>
    <x v="2"/>
    <x v="0"/>
    <n v="7"/>
    <n v="0.43333333334885538"/>
    <n v="0.18805031447214479"/>
    <n v="92.70880503476738"/>
    <n v="213.9433962264151"/>
    <x v="219"/>
  </r>
  <r>
    <x v="11"/>
    <x v="4"/>
    <n v="55"/>
    <n v="3110"/>
    <d v="2013-07-05T23:26:00"/>
    <d v="2013-07-07T04:22:00"/>
    <n v="0"/>
    <n v="530"/>
    <n v="493"/>
    <s v="Condenser tube leaks"/>
    <s v="F540Outage for a condenser inspection for potential tube leak as well as meter mainten"/>
    <s v="Trimble"/>
    <x v="2"/>
    <s v="Coal"/>
    <x v="2"/>
    <x v="0"/>
    <n v="7"/>
    <n v="28.933333333174232"/>
    <n v="28.933333333174232"/>
    <n v="14264.133333254897"/>
    <n v="493"/>
    <x v="296"/>
  </r>
  <r>
    <x v="11"/>
    <x v="3"/>
    <n v="56"/>
    <n v="1850"/>
    <d v="2013-07-07T04:22:00"/>
    <d v="2013-07-07T04:23:00"/>
    <n v="0"/>
    <n v="530"/>
    <n v="493"/>
    <s v="Boiler water condition (not feedwater water quality)"/>
    <s v="FA00Silica hold following outage."/>
    <s v="Trimble"/>
    <x v="1"/>
    <s v="Coal"/>
    <x v="2"/>
    <x v="0"/>
    <n v="7"/>
    <n v="1.6666666720993817E-2"/>
    <n v="1.6666666720993817E-2"/>
    <n v="8.2166666934499517"/>
    <n v="493"/>
    <x v="296"/>
  </r>
  <r>
    <x v="11"/>
    <x v="5"/>
    <n v="57"/>
    <n v="3624"/>
    <d v="2013-07-07T04:23:00"/>
    <d v="2013-07-07T08:42:00"/>
    <n v="0"/>
    <n v="530"/>
    <n v="493"/>
    <s v="Generator Voltage Supply System"/>
    <s v="F820Generator phase angle trip"/>
    <s v="Trimble"/>
    <x v="3"/>
    <s v="Coal"/>
    <x v="2"/>
    <x v="0"/>
    <n v="7"/>
    <n v="4.3166666667675599"/>
    <n v="4.3166666667675599"/>
    <n v="2128.1166667164071"/>
    <n v="493"/>
    <x v="296"/>
  </r>
  <r>
    <x v="11"/>
    <x v="3"/>
    <n v="58"/>
    <n v="1850"/>
    <d v="2013-07-07T08:42:00"/>
    <d v="2013-07-07T18:50:00"/>
    <n v="0"/>
    <n v="530"/>
    <n v="493"/>
    <s v="Boiler water condition (not feedwater water quality)"/>
    <s v="FA00Silica hold following unit trip"/>
    <s v="Trimble"/>
    <x v="1"/>
    <s v="Coal"/>
    <x v="2"/>
    <x v="0"/>
    <n v="7"/>
    <n v="10.133333333185874"/>
    <n v="10.133333333185874"/>
    <n v="4995.7333332606358"/>
    <n v="493"/>
    <x v="296"/>
  </r>
  <r>
    <x v="11"/>
    <x v="0"/>
    <n v="59"/>
    <n v="1850"/>
    <d v="2013-07-07T18:50:00"/>
    <d v="2013-07-07T21:30:00"/>
    <n v="525"/>
    <n v="530"/>
    <n v="493"/>
    <s v="Boiler water condition (not feedwater water quality)"/>
    <s v="FA00Derate due to silica conditions for water chemistry."/>
    <s v="Trimble"/>
    <x v="0"/>
    <s v="Coal"/>
    <x v="2"/>
    <x v="0"/>
    <n v="7"/>
    <n v="2.6666666668024845"/>
    <n v="2.5157232705683815E-2"/>
    <n v="12.402515723902122"/>
    <n v="4.6509433962264151"/>
    <x v="166"/>
  </r>
  <r>
    <x v="11"/>
    <x v="0"/>
    <n v="60"/>
    <n v="1850"/>
    <d v="2013-07-07T21:30:00"/>
    <d v="2013-07-08T00:20:00"/>
    <n v="535"/>
    <n v="530"/>
    <n v="493"/>
    <s v="Boiler water condition (not feedwater water quality)"/>
    <s v="FA00Derate due to silica conditions for water chemistry."/>
    <s v="Trimble"/>
    <x v="0"/>
    <s v="Coal"/>
    <x v="2"/>
    <x v="0"/>
    <n v="7"/>
    <n v="2.8333333333139308"/>
    <n v="-2.6729559748244629E-2"/>
    <n v="-13.177672955884603"/>
    <n v="0"/>
    <x v="152"/>
  </r>
  <r>
    <x v="11"/>
    <x v="0"/>
    <n v="61"/>
    <n v="1850"/>
    <d v="2013-07-08T11:10:00"/>
    <d v="2013-07-10T07:15:00"/>
    <n v="520"/>
    <n v="530"/>
    <n v="493"/>
    <s v="Boiler water condition (not feedwater water quality)"/>
    <s v="FA00Boiler chemistry has a silica issue requiring a derate to the boiler."/>
    <s v="Trimble"/>
    <x v="0"/>
    <s v="Coal"/>
    <x v="2"/>
    <x v="0"/>
    <n v="7"/>
    <n v="44.083333333313931"/>
    <n v="0.83176100628894212"/>
    <n v="410.05817610044846"/>
    <n v="9.3018867924528301"/>
    <x v="94"/>
  </r>
  <r>
    <x v="11"/>
    <x v="0"/>
    <n v="62"/>
    <n v="1850"/>
    <d v="2013-07-10T07:15:00"/>
    <d v="2013-07-12T22:06:00"/>
    <n v="525"/>
    <n v="530"/>
    <n v="493"/>
    <s v="Boiler water condition (not feedwater water quality)"/>
    <s v="FA00Boiler water chemistry has silica issues requiring derate."/>
    <s v="Trimble"/>
    <x v="0"/>
    <s v="Coal"/>
    <x v="2"/>
    <x v="0"/>
    <n v="7"/>
    <n v="62.849999999860302"/>
    <n v="0.59292452830056885"/>
    <n v="292.31179245218044"/>
    <n v="4.6509433962264151"/>
    <x v="166"/>
  </r>
  <r>
    <x v="11"/>
    <x v="4"/>
    <n v="63"/>
    <n v="3110"/>
    <d v="2013-07-12T22:06:00"/>
    <d v="2013-07-13T23:58:00"/>
    <n v="0"/>
    <n v="530"/>
    <n v="493"/>
    <s v="Condenser tube leaks"/>
    <s v="F540Suspected condenser tube leak from silica issues in condenser lead to this mainten"/>
    <s v="Trimble"/>
    <x v="2"/>
    <s v="Coal"/>
    <x v="2"/>
    <x v="0"/>
    <n v="7"/>
    <n v="25.866666666814126"/>
    <n v="25.866666666814126"/>
    <n v="12752.266666739364"/>
    <n v="493"/>
    <x v="296"/>
  </r>
  <r>
    <x v="11"/>
    <x v="3"/>
    <n v="64"/>
    <n v="1850"/>
    <d v="2013-07-13T23:58:00"/>
    <d v="2013-07-14T11:15:00"/>
    <n v="0"/>
    <n v="530"/>
    <n v="493"/>
    <s v="Boiler water condition (not feedwater water quality)"/>
    <s v="FA00Silica-hold following outage."/>
    <s v="Trimble"/>
    <x v="1"/>
    <s v="Coal"/>
    <x v="2"/>
    <x v="0"/>
    <n v="7"/>
    <n v="11.283333333267365"/>
    <n v="11.283333333267365"/>
    <n v="5562.6833333008108"/>
    <n v="493"/>
    <x v="296"/>
  </r>
  <r>
    <x v="11"/>
    <x v="0"/>
    <n v="65"/>
    <n v="310"/>
    <d v="2013-07-17T05:12:00"/>
    <d v="2013-07-17T06:50:00"/>
    <n v="525"/>
    <n v="530"/>
    <n v="493"/>
    <s v="Pulverizer mills"/>
    <s v="F070U1 B coal mill had a fire.  When attempting to put the A/B oil gun in service ther"/>
    <s v="Trimble"/>
    <x v="0"/>
    <s v="Coal"/>
    <x v="2"/>
    <x v="0"/>
    <n v="7"/>
    <n v="1.6333333332440816"/>
    <n v="1.5408805030604543E-2"/>
    <n v="7.5965408800880398"/>
    <n v="4.6509433962264151"/>
    <x v="166"/>
  </r>
  <r>
    <x v="11"/>
    <x v="0"/>
    <n v="66"/>
    <n v="310"/>
    <d v="2013-07-27T17:32:00"/>
    <d v="2013-07-27T17:47:00"/>
    <n v="525"/>
    <n v="530"/>
    <n v="493"/>
    <s v="Pulverizer mills"/>
    <s v="F660E coal mill began having air flow issues."/>
    <s v="Trimble"/>
    <x v="0"/>
    <s v="Coal"/>
    <x v="2"/>
    <x v="0"/>
    <n v="7"/>
    <n v="0.24999999994179234"/>
    <n v="2.3584905654886069E-3"/>
    <n v="1.1627358487858832"/>
    <n v="4.6509433962264151"/>
    <x v="166"/>
  </r>
  <r>
    <x v="11"/>
    <x v="0"/>
    <n v="67"/>
    <n v="310"/>
    <d v="2013-07-27T17:47:00"/>
    <d v="2013-07-28T03:48:00"/>
    <n v="500"/>
    <n v="530"/>
    <n v="493"/>
    <s v="Pulverizer mills"/>
    <s v="F780E coal mill continued to have air flow issues.  With mill temperature continuing t"/>
    <s v="Trimble"/>
    <x v="0"/>
    <s v="Coal"/>
    <x v="2"/>
    <x v="0"/>
    <n v="7"/>
    <n v="10.016666666662786"/>
    <n v="0.56698113207525203"/>
    <n v="279.52169811309926"/>
    <n v="27.90566037735849"/>
    <x v="67"/>
  </r>
  <r>
    <x v="11"/>
    <x v="2"/>
    <n v="68"/>
    <n v="3410"/>
    <d v="2013-07-31T03:00:00"/>
    <d v="2013-07-31T05:42:00"/>
    <n v="525"/>
    <n v="530"/>
    <n v="493"/>
    <s v="Feedwater pump"/>
    <s v="F590Planned derate to perform maintenance on 1A TDBFP in order to attempt possible sol"/>
    <s v="Trimble"/>
    <x v="0"/>
    <s v="Coal"/>
    <x v="2"/>
    <x v="0"/>
    <n v="7"/>
    <n v="2.7000000000698492"/>
    <n v="2.5471698113866501E-2"/>
    <n v="12.557547170136186"/>
    <n v="4.6509433962264151"/>
    <x v="166"/>
  </r>
  <r>
    <x v="11"/>
    <x v="2"/>
    <n v="69"/>
    <n v="790"/>
    <d v="2013-08-28T00:00:00"/>
    <d v="2013-08-28T03:00:00"/>
    <n v="525"/>
    <n v="530"/>
    <n v="493"/>
    <s v="Pipe hangers"/>
    <s v="F790Planned derate to perform testing on Bolier Feed Pump piping hangers with Generati"/>
    <s v="Trimble"/>
    <x v="0"/>
    <s v="Coal"/>
    <x v="2"/>
    <x v="0"/>
    <n v="8"/>
    <n v="3"/>
    <n v="2.8301886792452831E-2"/>
    <n v="13.952830188679245"/>
    <n v="4.6509433962264151"/>
    <x v="166"/>
  </r>
  <r>
    <x v="11"/>
    <x v="2"/>
    <n v="70"/>
    <n v="3624"/>
    <d v="2013-09-05T04:00:00"/>
    <d v="2013-09-05T05:00:00"/>
    <n v="450"/>
    <n v="530"/>
    <n v="493"/>
    <s v="Generator Voltage Supply System"/>
    <s v="F790Planned derate to run required VAR testing on the generator electrical supply syst"/>
    <s v="Trimble"/>
    <x v="0"/>
    <s v="Coal"/>
    <x v="2"/>
    <x v="0"/>
    <n v="9"/>
    <n v="1.0000000001164153"/>
    <n v="0.15094339624398723"/>
    <n v="74.415094348285706"/>
    <n v="74.415094339622641"/>
    <x v="29"/>
  </r>
  <r>
    <x v="11"/>
    <x v="3"/>
    <n v="71"/>
    <n v="1190"/>
    <d v="2013-09-08T00:00:00"/>
    <d v="2013-09-08T04:19:00"/>
    <n v="0"/>
    <n v="530"/>
    <n v="493"/>
    <s v="Other tube slagging or fouling"/>
    <s v="FS00Planned deslag of the boiler to prepare for coal test burn operation.  Unit was av"/>
    <s v="Trimble"/>
    <x v="1"/>
    <s v="Coal"/>
    <x v="2"/>
    <x v="0"/>
    <n v="9"/>
    <n v="4.316666666592937"/>
    <n v="4.316666666592937"/>
    <n v="2128.1166666303179"/>
    <n v="493"/>
    <x v="296"/>
  </r>
  <r>
    <x v="11"/>
    <x v="2"/>
    <n v="72"/>
    <n v="1487"/>
    <d v="2013-09-17T00:00:00"/>
    <d v="2013-09-17T00:30:00"/>
    <n v="450"/>
    <n v="530"/>
    <n v="493"/>
    <s v="Air heater (tubular)"/>
    <s v="F540Water coil airheater leaks were repaired and required a maintenance derate to corr"/>
    <s v="Trimble"/>
    <x v="0"/>
    <s v="Coal"/>
    <x v="2"/>
    <x v="0"/>
    <n v="9"/>
    <n v="0.50000000005820766"/>
    <n v="7.5471698121993613E-2"/>
    <n v="37.207547174142853"/>
    <n v="74.415094339622641"/>
    <x v="29"/>
  </r>
  <r>
    <x v="11"/>
    <x v="2"/>
    <n v="73"/>
    <n v="1487"/>
    <d v="2013-09-17T00:30:00"/>
    <d v="2013-09-17T04:00:00"/>
    <n v="400"/>
    <n v="530"/>
    <n v="493"/>
    <s v="Air heater (tubular)"/>
    <s v="F540Water coil airheater leaks were repaired and required a maintenance derate to corr"/>
    <s v="Trimble"/>
    <x v="0"/>
    <s v="Coal"/>
    <x v="2"/>
    <x v="0"/>
    <n v="9"/>
    <n v="3.4999999998835847"/>
    <n v="0.85849056600918117"/>
    <n v="423.2358490425263"/>
    <n v="120.9245283018868"/>
    <x v="277"/>
  </r>
  <r>
    <x v="11"/>
    <x v="0"/>
    <n v="74"/>
    <n v="1455"/>
    <d v="2013-09-20T11:15:00"/>
    <d v="2013-09-20T12:17:00"/>
    <n v="520"/>
    <n v="530"/>
    <n v="493"/>
    <s v="Induced draft fans"/>
    <s v="F790Fuel testing being conducted is causing the unit to run with high O2 putting a lim"/>
    <s v="Trimble"/>
    <x v="0"/>
    <s v="Coal"/>
    <x v="2"/>
    <x v="0"/>
    <n v="9"/>
    <n v="1.03333333338378"/>
    <n v="1.9496855346863774E-2"/>
    <n v="9.6119496860038414"/>
    <n v="9.3018867924528301"/>
    <x v="94"/>
  </r>
  <r>
    <x v="11"/>
    <x v="0"/>
    <n v="75"/>
    <n v="1455"/>
    <d v="2013-09-20T12:17:00"/>
    <d v="2013-09-21T06:00:00"/>
    <n v="510"/>
    <n v="530"/>
    <n v="493"/>
    <s v="Induced draft fans"/>
    <s v="F790Fuel testing being conducted is causing the unit to run with high O2 putting a lim"/>
    <s v="Trimble"/>
    <x v="0"/>
    <s v="Coal"/>
    <x v="2"/>
    <x v="0"/>
    <n v="9"/>
    <n v="17.71666666661622"/>
    <n v="0.66855345911759323"/>
    <n v="329.59685534497345"/>
    <n v="18.60377358490566"/>
    <x v="54"/>
  </r>
  <r>
    <x v="11"/>
    <x v="0"/>
    <n v="76"/>
    <n v="1455"/>
    <d v="2013-09-21T06:00:00"/>
    <d v="2013-09-21T09:15:00"/>
    <n v="505"/>
    <n v="530"/>
    <n v="493"/>
    <s v="Induced draft fans"/>
    <s v="F790Fuel testing being conducted is causing the unit to run with high O2 putting a lim"/>
    <s v="Trimble"/>
    <x v="0"/>
    <s v="Coal"/>
    <x v="2"/>
    <x v="0"/>
    <n v="9"/>
    <n v="3.2499999999417923"/>
    <n v="0.15330188678970719"/>
    <n v="75.577830187325645"/>
    <n v="23.254716981132077"/>
    <x v="0"/>
  </r>
  <r>
    <x v="11"/>
    <x v="0"/>
    <n v="77"/>
    <n v="1455"/>
    <d v="2013-09-21T09:15:00"/>
    <d v="2013-09-23T08:15:00"/>
    <n v="515"/>
    <n v="530"/>
    <n v="493"/>
    <s v="Induced draft fans"/>
    <s v="F790Fuel testing being conducted is causing the unit to run with high O2 putting a lim"/>
    <s v="Trimble"/>
    <x v="0"/>
    <s v="Coal"/>
    <x v="2"/>
    <x v="0"/>
    <n v="9"/>
    <n v="47.000000000058208"/>
    <n v="1.3301886792469304"/>
    <n v="655.78301886873669"/>
    <n v="13.952830188679245"/>
    <x v="61"/>
  </r>
  <r>
    <x v="11"/>
    <x v="0"/>
    <n v="78"/>
    <n v="1455"/>
    <d v="2013-09-23T08:15:00"/>
    <d v="2013-09-23T11:00:00"/>
    <n v="525"/>
    <n v="530"/>
    <n v="493"/>
    <s v="Induced draft fans"/>
    <s v="F790Fuel testing being conducted is causing the unit to run with high O2 putting a lim"/>
    <s v="Trimble"/>
    <x v="0"/>
    <s v="Coal"/>
    <x v="2"/>
    <x v="0"/>
    <n v="9"/>
    <n v="2.7500000000582077"/>
    <n v="2.5943396226964222E-2"/>
    <n v="12.790094339893361"/>
    <n v="4.6509433962264151"/>
    <x v="166"/>
  </r>
  <r>
    <x v="11"/>
    <x v="0"/>
    <n v="79"/>
    <n v="1455"/>
    <d v="2013-09-23T17:24:00"/>
    <d v="2013-09-23T18:09:00"/>
    <n v="535"/>
    <n v="530"/>
    <n v="493"/>
    <s v="Induced draft fans"/>
    <s v="F790Fuel testing being conducted is causing the unit to run with high O2 putting a lim"/>
    <s v="Trimble"/>
    <x v="0"/>
    <s v="Coal"/>
    <x v="2"/>
    <x v="0"/>
    <n v="9"/>
    <n v="0.75"/>
    <n v="-7.0754716981132077E-3"/>
    <n v="-3.4882075471698113"/>
    <n v="0"/>
    <x v="152"/>
  </r>
  <r>
    <x v="11"/>
    <x v="0"/>
    <n v="80"/>
    <n v="1455"/>
    <d v="2013-09-23T18:09:00"/>
    <d v="2013-09-25T16:30:00"/>
    <n v="540"/>
    <n v="530"/>
    <n v="493"/>
    <s v="Induced draft fans"/>
    <s v="F790Fuel testing being conducted is causing the unit to run with high O2 putting a lim"/>
    <s v="Trimble"/>
    <x v="0"/>
    <s v="Coal"/>
    <x v="2"/>
    <x v="0"/>
    <n v="9"/>
    <n v="46.350000000034925"/>
    <n v="-0.87452830188745145"/>
    <n v="-431.14245283051355"/>
    <n v="0"/>
    <x v="152"/>
  </r>
  <r>
    <x v="11"/>
    <x v="0"/>
    <n v="81"/>
    <n v="1455"/>
    <d v="2013-09-25T16:30:00"/>
    <d v="2013-09-25T19:45:00"/>
    <n v="535"/>
    <n v="530"/>
    <n v="493"/>
    <s v="Induced draft fans"/>
    <s v="F790Fuel testing being conducted is causing the unit to run with high O2 putting a lim"/>
    <s v="Trimble"/>
    <x v="0"/>
    <s v="Coal"/>
    <x v="2"/>
    <x v="0"/>
    <n v="9"/>
    <n v="3.2499999999417923"/>
    <n v="-3.0660377357941436E-2"/>
    <n v="-15.115566037465127"/>
    <n v="0"/>
    <x v="152"/>
  </r>
  <r>
    <x v="11"/>
    <x v="0"/>
    <n v="82"/>
    <n v="1455"/>
    <d v="2013-09-25T19:45:00"/>
    <d v="2013-09-26T08:35:00"/>
    <n v="515"/>
    <n v="530"/>
    <n v="493"/>
    <s v="Induced draft fans"/>
    <s v="F790Fuel testing being conducted is causing the unit to run with high O2 putting a lim"/>
    <s v="Trimble"/>
    <x v="0"/>
    <s v="Coal"/>
    <x v="2"/>
    <x v="0"/>
    <n v="9"/>
    <n v="12.833333333430346"/>
    <n v="0.36320754717255699"/>
    <n v="179.06132075607059"/>
    <n v="13.952830188679245"/>
    <x v="61"/>
  </r>
  <r>
    <x v="11"/>
    <x v="0"/>
    <n v="83"/>
    <n v="1455"/>
    <d v="2013-09-26T08:35:00"/>
    <d v="2013-09-26T12:55:00"/>
    <n v="525"/>
    <n v="530"/>
    <n v="493"/>
    <s v="Induced draft fans"/>
    <s v="F790Fuel testing being conducted is causing the unit to run with high O2 putting a lim"/>
    <s v="Trimble"/>
    <x v="0"/>
    <s v="Coal"/>
    <x v="2"/>
    <x v="0"/>
    <n v="9"/>
    <n v="4.3333333333139308"/>
    <n v="4.0880503144471045E-2"/>
    <n v="20.154088050224225"/>
    <n v="4.6509433962264151"/>
    <x v="166"/>
  </r>
  <r>
    <x v="11"/>
    <x v="0"/>
    <n v="84"/>
    <n v="1455"/>
    <d v="2013-09-26T12:55:00"/>
    <d v="2013-09-27T12:14:00"/>
    <n v="520"/>
    <n v="530"/>
    <n v="493"/>
    <s v="Induced draft fans"/>
    <s v="F790Fuel testing being conducted is causing the unit to run with high O2 putting a lim"/>
    <s v="Trimble"/>
    <x v="0"/>
    <s v="Coal"/>
    <x v="2"/>
    <x v="0"/>
    <n v="9"/>
    <n v="23.316666666709352"/>
    <n v="0.43993710691904436"/>
    <n v="216.88899371108886"/>
    <n v="9.3018867924528301"/>
    <x v="94"/>
  </r>
  <r>
    <x v="11"/>
    <x v="0"/>
    <n v="85"/>
    <n v="1455"/>
    <d v="2013-09-27T12:14:00"/>
    <d v="2013-09-28T04:20:00"/>
    <n v="525"/>
    <n v="530"/>
    <n v="493"/>
    <s v="Induced draft fans"/>
    <s v="F790Fuel testing being conducted is causing the unit to run with high O2 putting a lim"/>
    <s v="Trimble"/>
    <x v="0"/>
    <s v="Coal"/>
    <x v="2"/>
    <x v="0"/>
    <n v="9"/>
    <n v="16.099999999918509"/>
    <n v="0.15188679245206141"/>
    <n v="74.880188678866276"/>
    <n v="4.6509433962264151"/>
    <x v="166"/>
  </r>
  <r>
    <x v="11"/>
    <x v="2"/>
    <n v="86"/>
    <n v="75"/>
    <d v="2013-10-04T21:00:00"/>
    <d v="2013-10-04T22:00:00"/>
    <n v="445"/>
    <n v="530"/>
    <n v="493"/>
    <s v="Storage silos/hoppers"/>
    <s v="F590Planned derate going into the outage to purge coal silos."/>
    <s v="Trimble"/>
    <x v="0"/>
    <s v="Coal"/>
    <x v="2"/>
    <x v="0"/>
    <n v="10"/>
    <n v="0.99999999994179234"/>
    <n v="0.16037735848123086"/>
    <n v="79.066037731246809"/>
    <n v="79.066037735849051"/>
    <x v="297"/>
  </r>
  <r>
    <x v="11"/>
    <x v="2"/>
    <n v="87"/>
    <n v="75"/>
    <d v="2013-10-04T22:00:00"/>
    <d v="2013-10-05T00:15:00"/>
    <n v="340"/>
    <n v="530"/>
    <n v="493"/>
    <s v="Storage silos/hoppers"/>
    <s v="F590Planned derate going into the outage to purge coal silos."/>
    <s v="Trimble"/>
    <x v="0"/>
    <s v="Coal"/>
    <x v="2"/>
    <x v="0"/>
    <n v="10"/>
    <n v="2.25"/>
    <n v="0.80660377358490565"/>
    <n v="397.65566037735846"/>
    <n v="176.73584905660377"/>
    <x v="84"/>
  </r>
  <r>
    <x v="11"/>
    <x v="6"/>
    <n v="88"/>
    <n v="1801"/>
    <d v="2013-10-05T00:15:00"/>
    <d v="2013-11-05T07:02:00"/>
    <n v="0"/>
    <n v="530"/>
    <n v="493"/>
    <s v="Minor boiler overhaul (less than 720 hours) (use for non-specific overhaul only; see page B-1)"/>
    <s v="F590Planned outage for boiler overhaul.  Details of boiler tube work and of other majo"/>
    <s v="Trimble"/>
    <x v="1"/>
    <s v="Coal"/>
    <x v="2"/>
    <x v="0"/>
    <n v="10"/>
    <n v="750.78333333344199"/>
    <n v="750.78333333344199"/>
    <n v="370136.1833333869"/>
    <n v="493"/>
    <x v="296"/>
  </r>
  <r>
    <x v="11"/>
    <x v="7"/>
    <n v="89"/>
    <n v="1500"/>
    <d v="2013-11-05T07:02:00"/>
    <d v="2013-11-05T11:25:00"/>
    <n v="0"/>
    <n v="530"/>
    <n v="493"/>
    <s v="Air heater soot blowers"/>
    <s v="F150The power to the A and B sootblowers was tripped, potential cause was from the boi"/>
    <s v="Trimble"/>
    <x v="3"/>
    <s v="Coal"/>
    <x v="2"/>
    <x v="0"/>
    <n v="11"/>
    <n v="4.3833333333022892"/>
    <n v="4.3833333333022892"/>
    <n v="2160.9833333180286"/>
    <n v="493"/>
    <x v="296"/>
  </r>
  <r>
    <x v="11"/>
    <x v="5"/>
    <n v="90"/>
    <n v="1000"/>
    <d v="2013-11-05T11:25:00"/>
    <d v="2013-11-06T16:24:00"/>
    <n v="0"/>
    <n v="530"/>
    <n v="493"/>
    <s v="Waterwall (Furnace wall) A"/>
    <s v="F540Tube failure was found after the start up failure.  Leak was at the upper arch, 8t"/>
    <s v="Trimble"/>
    <x v="3"/>
    <s v="Coal"/>
    <x v="2"/>
    <x v="0"/>
    <n v="11"/>
    <n v="28.983333333337214"/>
    <n v="28.983333333337214"/>
    <n v="14288.783333335246"/>
    <n v="493"/>
    <x v="296"/>
  </r>
  <r>
    <x v="11"/>
    <x v="3"/>
    <n v="91"/>
    <n v="1850"/>
    <d v="2013-11-06T16:24:00"/>
    <d v="2013-11-07T05:16:00"/>
    <n v="0"/>
    <n v="530"/>
    <n v="493"/>
    <s v="Boiler water condition (not feedwater water quality)"/>
    <s v="FA00TC1 was online and ramping.  The load was held down some due to silica from the un"/>
    <s v="Trimble"/>
    <x v="1"/>
    <s v="Coal"/>
    <x v="2"/>
    <x v="0"/>
    <n v="11"/>
    <n v="12.866666666697711"/>
    <n v="12.866666666697711"/>
    <n v="6343.2666666819714"/>
    <n v="493"/>
    <x v="296"/>
  </r>
  <r>
    <x v="11"/>
    <x v="0"/>
    <n v="92"/>
    <n v="1850"/>
    <d v="2013-11-07T05:16:00"/>
    <d v="2013-11-07T08:21:00"/>
    <n v="305"/>
    <n v="530"/>
    <n v="493"/>
    <s v="Boiler water condition (not feedwater water quality)"/>
    <s v="FA00Boiler chemistry, specifically silica, was causing start-up issues and unit derate"/>
    <s v="Trimble"/>
    <x v="0"/>
    <s v="Coal"/>
    <x v="2"/>
    <x v="0"/>
    <n v="11"/>
    <n v="3.0833333332557231"/>
    <n v="1.3089622641179957"/>
    <n v="645.31839621017184"/>
    <n v="209.29245283018867"/>
    <x v="231"/>
  </r>
  <r>
    <x v="11"/>
    <x v="3"/>
    <n v="93"/>
    <n v="1850"/>
    <d v="2013-11-07T08:21:00"/>
    <d v="2013-11-07T16:50:00"/>
    <n v="0"/>
    <n v="530"/>
    <n v="493"/>
    <s v="Boiler water condition (not feedwater water quality)"/>
    <s v="FA00Unit was online and ramping following a chemistry issue, and load was held down fo"/>
    <s v="Trimble"/>
    <x v="1"/>
    <s v="Coal"/>
    <x v="2"/>
    <x v="0"/>
    <n v="11"/>
    <n v="8.4833333333954215"/>
    <n v="8.4833333333954215"/>
    <n v="4182.2833333639428"/>
    <n v="493"/>
    <x v="296"/>
  </r>
  <r>
    <x v="11"/>
    <x v="0"/>
    <n v="94"/>
    <n v="1850"/>
    <d v="2013-11-07T16:50:00"/>
    <d v="2013-11-07T17:51:00"/>
    <n v="305"/>
    <n v="530"/>
    <n v="493"/>
    <s v="Boiler water condition (not feedwater water quality)"/>
    <s v="FA00Silica in the boiler water chemistry did not get to acceptable levels and derate r"/>
    <s v="Trimble"/>
    <x v="0"/>
    <s v="Coal"/>
    <x v="2"/>
    <x v="0"/>
    <n v="11"/>
    <n v="1.0166666666627862"/>
    <n v="0.4316037735832583"/>
    <n v="212.78066037654634"/>
    <n v="209.29245283018867"/>
    <x v="231"/>
  </r>
  <r>
    <x v="11"/>
    <x v="5"/>
    <n v="95"/>
    <n v="400"/>
    <d v="2013-11-07T17:51:00"/>
    <d v="2013-11-08T14:09:00"/>
    <n v="0"/>
    <n v="530"/>
    <n v="493"/>
    <s v="Burner wind box fires"/>
    <s v="F830Coal fire outside of boiler, #2 corner, C-D elevation of the burner windbox.  Came"/>
    <s v="Trimble"/>
    <x v="3"/>
    <s v="Coal"/>
    <x v="2"/>
    <x v="0"/>
    <n v="11"/>
    <n v="20.299999999988358"/>
    <n v="20.299999999988358"/>
    <n v="10007.899999994261"/>
    <n v="493"/>
    <x v="296"/>
  </r>
  <r>
    <x v="11"/>
    <x v="3"/>
    <n v="96"/>
    <n v="1850"/>
    <d v="2013-11-08T14:09:00"/>
    <d v="2013-11-09T03:40:00"/>
    <n v="0"/>
    <n v="530"/>
    <n v="493"/>
    <s v="Boiler water condition (not feedwater water quality)"/>
    <s v="FA00Unit on-line and ramping.  Load held down some due to silica from the unit outage."/>
    <s v="Trimble"/>
    <x v="1"/>
    <s v="Coal"/>
    <x v="2"/>
    <x v="0"/>
    <n v="11"/>
    <n v="13.516666666720994"/>
    <n v="13.516666666720994"/>
    <n v="6663.71666669345"/>
    <n v="493"/>
    <x v="296"/>
  </r>
  <r>
    <x v="11"/>
    <x v="0"/>
    <n v="97"/>
    <n v="8140"/>
    <d v="2013-11-09T03:40:00"/>
    <d v="2013-11-10T09:10:00"/>
    <n v="300"/>
    <n v="530"/>
    <n v="493"/>
    <s v="Reaction tanks including agitators"/>
    <s v="F170Scrubber chemistry, low solids due to over dilution was the main driver of the der"/>
    <s v="Trimble"/>
    <x v="0"/>
    <s v="Coal"/>
    <x v="2"/>
    <x v="0"/>
    <n v="11"/>
    <n v="29.499999999941792"/>
    <n v="12.80188679242757"/>
    <n v="6311.3301886667923"/>
    <n v="213.9433962264151"/>
    <x v="219"/>
  </r>
  <r>
    <x v="11"/>
    <x v="0"/>
    <n v="98"/>
    <n v="1850"/>
    <d v="2013-11-10T09:10:00"/>
    <d v="2013-11-10T12:00:00"/>
    <n v="375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2.8333333333139308"/>
    <n v="0.82861635219558349"/>
    <n v="408.50786163242265"/>
    <n v="144.17924528301887"/>
    <x v="250"/>
  </r>
  <r>
    <x v="11"/>
    <x v="0"/>
    <n v="99"/>
    <n v="1850"/>
    <d v="2013-11-10T12:00:00"/>
    <d v="2013-11-10T16:10:00"/>
    <n v="390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4.1666666666278616"/>
    <n v="1.1006289308073596"/>
    <n v="542.61006288802832"/>
    <n v="130.22641509433961"/>
    <x v="50"/>
  </r>
  <r>
    <x v="11"/>
    <x v="0"/>
    <n v="100"/>
    <n v="1850"/>
    <d v="2013-11-10T16:10:00"/>
    <d v="2013-11-10T20:30:00"/>
    <n v="360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4.3333333333139308"/>
    <n v="1.3899371069120154"/>
    <n v="685.23899370762365"/>
    <n v="158.1320754716981"/>
    <x v="37"/>
  </r>
  <r>
    <x v="11"/>
    <x v="0"/>
    <n v="101"/>
    <n v="1850"/>
    <d v="2013-11-10T20:30:00"/>
    <d v="2013-11-11T00:10:00"/>
    <n v="385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3.6666666667442769"/>
    <n v="1.0031446541092832"/>
    <n v="494.55031447587663"/>
    <n v="134.87735849056602"/>
    <x v="162"/>
  </r>
  <r>
    <x v="11"/>
    <x v="0"/>
    <n v="102"/>
    <n v="1850"/>
    <d v="2013-11-11T00:10:00"/>
    <d v="2013-11-11T00:35:00"/>
    <n v="355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0.41666666662786156"/>
    <n v="0.13757861633938825"/>
    <n v="67.826257855318403"/>
    <n v="162.78301886792454"/>
    <x v="58"/>
  </r>
  <r>
    <x v="11"/>
    <x v="0"/>
    <n v="103"/>
    <n v="1850"/>
    <d v="2013-11-11T00:35:00"/>
    <d v="2013-11-11T05:40:00"/>
    <n v="380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5.0833333333139308"/>
    <n v="1.4386792452775277"/>
    <n v="709.26886792182108"/>
    <n v="139.52830188679246"/>
    <x v="135"/>
  </r>
  <r>
    <x v="11"/>
    <x v="0"/>
    <n v="104"/>
    <n v="1850"/>
    <d v="2013-11-11T05:40:00"/>
    <d v="2013-11-11T07:40:00"/>
    <n v="405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2.0000000000582077"/>
    <n v="0.47169811322127542"/>
    <n v="232.54716981808878"/>
    <n v="116.27358490566037"/>
    <x v="164"/>
  </r>
  <r>
    <x v="11"/>
    <x v="0"/>
    <n v="105"/>
    <n v="1850"/>
    <d v="2013-11-11T07:40:00"/>
    <d v="2013-11-11T14:13:00"/>
    <n v="415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6.5500000000465661"/>
    <n v="1.4212264151044436"/>
    <n v="700.66462264649067"/>
    <n v="106.97169811320755"/>
    <x v="4"/>
  </r>
  <r>
    <x v="11"/>
    <x v="0"/>
    <n v="106"/>
    <n v="1850"/>
    <d v="2013-11-11T14:13:00"/>
    <d v="2013-11-12T05:00:00"/>
    <n v="432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14.783333333325572"/>
    <n v="2.7335220125771813"/>
    <n v="1347.6263522005504"/>
    <n v="91.158490566037742"/>
    <x v="42"/>
  </r>
  <r>
    <x v="11"/>
    <x v="0"/>
    <n v="107"/>
    <n v="1850"/>
    <d v="2013-11-12T05:00:00"/>
    <d v="2013-11-12T11:40:00"/>
    <n v="448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6.6666666665696539"/>
    <n v="1.0314465408654936"/>
    <n v="508.50314464668833"/>
    <n v="76.275471698113208"/>
    <x v="220"/>
  </r>
  <r>
    <x v="11"/>
    <x v="0"/>
    <n v="108"/>
    <n v="1850"/>
    <d v="2013-11-12T11:40:00"/>
    <d v="2013-11-12T13:45:00"/>
    <n v="462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2.0833333333139308"/>
    <n v="0.26729559748178733"/>
    <n v="131.77672955852114"/>
    <n v="63.252830188679248"/>
    <x v="187"/>
  </r>
  <r>
    <x v="11"/>
    <x v="0"/>
    <n v="109"/>
    <n v="1850"/>
    <d v="2013-11-12T13:45:00"/>
    <d v="2013-11-13T01:00:00"/>
    <n v="475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11.25"/>
    <n v="1.1674528301886793"/>
    <n v="575.55424528301887"/>
    <n v="51.160377358490564"/>
    <x v="3"/>
  </r>
  <r>
    <x v="11"/>
    <x v="0"/>
    <n v="110"/>
    <n v="1850"/>
    <d v="2013-11-13T01:00:00"/>
    <d v="2013-11-13T08:15:00"/>
    <n v="493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7.2500000000582077"/>
    <n v="0.50613207547576167"/>
    <n v="249.5231132095505"/>
    <n v="34.41698113207547"/>
    <x v="81"/>
  </r>
  <r>
    <x v="11"/>
    <x v="0"/>
    <n v="111"/>
    <n v="1850"/>
    <d v="2013-11-13T08:15:00"/>
    <d v="2013-11-13T16:15:00"/>
    <n v="510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8.0000000000582077"/>
    <n v="0.3018867924550267"/>
    <n v="148.83018868032815"/>
    <n v="18.60377358490566"/>
    <x v="54"/>
  </r>
  <r>
    <x v="11"/>
    <x v="0"/>
    <n v="112"/>
    <n v="1850"/>
    <d v="2013-11-13T16:15:00"/>
    <d v="2013-11-14T02:54:00"/>
    <n v="520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10.649999999965075"/>
    <n v="0.20094339622575613"/>
    <n v="99.065094339297772"/>
    <n v="9.3018867924528301"/>
    <x v="94"/>
  </r>
  <r>
    <x v="11"/>
    <x v="0"/>
    <n v="113"/>
    <n v="1850"/>
    <d v="2013-11-14T02:54:00"/>
    <d v="2013-11-14T09:45:00"/>
    <n v="525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6.8499999999767169"/>
    <n v="6.4622641509214304E-2"/>
    <n v="31.858962264042653"/>
    <n v="4.6509433962264151"/>
    <x v="166"/>
  </r>
  <r>
    <x v="11"/>
    <x v="0"/>
    <n v="114"/>
    <n v="1850"/>
    <d v="2013-11-14T09:45:00"/>
    <d v="2013-11-14T20:42:00"/>
    <n v="532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10.950000000069849"/>
    <n v="-4.1320754717244716E-2"/>
    <n v="-20.371132075601643"/>
    <n v="0"/>
    <x v="152"/>
  </r>
  <r>
    <x v="11"/>
    <x v="0"/>
    <n v="115"/>
    <n v="1850"/>
    <d v="2013-11-14T20:42:00"/>
    <d v="2013-11-15T03:20:00"/>
    <n v="538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6.6333333333022892"/>
    <n v="-0.10012578616305343"/>
    <n v="-49.36201257838534"/>
    <n v="0"/>
    <x v="152"/>
  </r>
  <r>
    <x v="11"/>
    <x v="0"/>
    <n v="116"/>
    <n v="1850"/>
    <d v="2013-11-15T03:20:00"/>
    <d v="2013-11-17T06:15:00"/>
    <n v="543"/>
    <n v="530"/>
    <n v="493"/>
    <s v="Boiler water condition (not feedwater water quality)"/>
    <s v="FA00Boiler chemistry issues continue. Silica in the boiler water not meeting required "/>
    <s v="Trimble"/>
    <x v="0"/>
    <s v="Coal"/>
    <x v="2"/>
    <x v="0"/>
    <n v="11"/>
    <n v="50.916666666569654"/>
    <n v="-1.2488993710668028"/>
    <n v="-615.70738993593375"/>
    <n v="0"/>
    <x v="152"/>
  </r>
  <r>
    <x v="11"/>
    <x v="0"/>
    <n v="117"/>
    <n v="3979"/>
    <d v="2013-11-17T06:15:00"/>
    <d v="2013-11-17T07:00:00"/>
    <n v="432"/>
    <n v="530"/>
    <n v="493"/>
    <s v="Other DCS problems"/>
    <s v="F410A hard wired, DCS input for the coal feeders read &quot;no coal on feeder&quot; for 1 second"/>
    <s v="Trimble"/>
    <x v="0"/>
    <s v="Coal"/>
    <x v="2"/>
    <x v="0"/>
    <n v="11"/>
    <n v="0.75"/>
    <n v="0.13867924528301886"/>
    <n v="68.368867924528303"/>
    <n v="91.158490566037742"/>
    <x v="42"/>
  </r>
  <r>
    <x v="11"/>
    <x v="3"/>
    <n v="118"/>
    <n v="530"/>
    <d v="2013-11-17T22:27:00"/>
    <d v="2013-11-18T16:51:00"/>
    <n v="0"/>
    <n v="530"/>
    <n v="493"/>
    <s v="Other main steam system problems"/>
    <s v="F660With Unit 2 coming online following a weekend outage, TC1 is being locked into low"/>
    <s v="Trimble"/>
    <x v="1"/>
    <s v="Coal"/>
    <x v="2"/>
    <x v="0"/>
    <n v="11"/>
    <n v="18.399999999906868"/>
    <n v="18.399999999906868"/>
    <n v="9071.1999999540858"/>
    <n v="493"/>
    <x v="296"/>
  </r>
  <r>
    <x v="11"/>
    <x v="0"/>
    <n v="119"/>
    <n v="1850"/>
    <d v="2013-11-19T07:54:00"/>
    <d v="2013-11-19T08:50:00"/>
    <n v="500"/>
    <n v="530"/>
    <n v="493"/>
    <s v="Boiler water condition (not feedwater water quality)"/>
    <s v="FA00Silica continued to run high requiring unit derate to avoid additional issues/dama"/>
    <s v="Trimble"/>
    <x v="0"/>
    <s v="Coal"/>
    <x v="2"/>
    <x v="0"/>
    <n v="11"/>
    <n v="0.93333333323244005"/>
    <n v="5.283018867353434E-2"/>
    <n v="26.04528301605243"/>
    <n v="27.90566037735849"/>
    <x v="67"/>
  </r>
  <r>
    <x v="11"/>
    <x v="0"/>
    <n v="120"/>
    <n v="3110"/>
    <d v="2013-11-19T08:50:00"/>
    <d v="2013-11-19T12:20:00"/>
    <n v="470"/>
    <n v="530"/>
    <n v="493"/>
    <s v="Condenser tube leaks"/>
    <s v="F540Due to the continued high silica, a condenser tube leak was suspect.  The decision"/>
    <s v="Trimble"/>
    <x v="0"/>
    <s v="Coal"/>
    <x v="2"/>
    <x v="0"/>
    <n v="11"/>
    <n v="3.5000000000582077"/>
    <n v="0.39622641510092915"/>
    <n v="195.33962264475807"/>
    <n v="55.811320754716981"/>
    <x v="123"/>
  </r>
  <r>
    <x v="11"/>
    <x v="5"/>
    <n v="121"/>
    <n v="3110"/>
    <d v="2013-11-19T12:20:00"/>
    <d v="2013-11-20T13:14:00"/>
    <n v="0"/>
    <n v="530"/>
    <n v="493"/>
    <s v="Condenser tube leaks"/>
    <s v="F830The suspected condenser tube leak from the continued high silica readings brought "/>
    <s v="Trimble"/>
    <x v="3"/>
    <s v="Coal"/>
    <x v="2"/>
    <x v="0"/>
    <n v="11"/>
    <n v="24.899999999965075"/>
    <n v="24.899999999965075"/>
    <n v="12275.699999982782"/>
    <n v="493"/>
    <x v="296"/>
  </r>
  <r>
    <x v="11"/>
    <x v="4"/>
    <n v="122"/>
    <n v="1455"/>
    <d v="2013-11-20T13:14:00"/>
    <d v="2013-11-21T05:30:00"/>
    <n v="0"/>
    <n v="530"/>
    <n v="493"/>
    <s v="Induced draft fans"/>
    <s v="F040The A ID fan required balancing and was completed during this maintenance outage p"/>
    <s v="Trimble"/>
    <x v="2"/>
    <s v="Coal"/>
    <x v="2"/>
    <x v="0"/>
    <n v="11"/>
    <n v="16.266666666604578"/>
    <n v="16.266666666604578"/>
    <n v="8019.4666666360572"/>
    <n v="493"/>
    <x v="296"/>
  </r>
  <r>
    <x v="11"/>
    <x v="7"/>
    <n v="123"/>
    <n v="3624"/>
    <d v="2013-11-21T05:30:00"/>
    <d v="2013-11-21T09:38:00"/>
    <n v="0"/>
    <n v="530"/>
    <n v="493"/>
    <s v="Generator Voltage Supply System"/>
    <s v="F870There were issues with the generator terminal voltage feedback.  Two issues were f"/>
    <s v="Trimble"/>
    <x v="3"/>
    <s v="Coal"/>
    <x v="2"/>
    <x v="0"/>
    <n v="11"/>
    <n v="4.1333333333604969"/>
    <n v="4.1333333333604969"/>
    <n v="2037.733333346725"/>
    <n v="493"/>
    <x v="296"/>
  </r>
  <r>
    <x v="11"/>
    <x v="0"/>
    <n v="124"/>
    <n v="1850"/>
    <d v="2013-11-21T20:00:00"/>
    <d v="2013-11-22T00:00:00"/>
    <n v="475"/>
    <n v="530"/>
    <n v="493"/>
    <s v="Boiler water condition (not feedwater water quality)"/>
    <s v="FA00Following return from outage, silica remained high and required continued blow dow"/>
    <s v="Trimble"/>
    <x v="0"/>
    <s v="Coal"/>
    <x v="2"/>
    <x v="0"/>
    <n v="11"/>
    <n v="3.9999999999417923"/>
    <n v="0.41509433961660108"/>
    <n v="204.64150943098434"/>
    <n v="51.160377358490564"/>
    <x v="3"/>
  </r>
  <r>
    <x v="11"/>
    <x v="0"/>
    <n v="125"/>
    <n v="1850"/>
    <d v="2013-11-22T00:00:00"/>
    <d v="2013-11-22T05:48:00"/>
    <n v="500"/>
    <n v="530"/>
    <n v="493"/>
    <s v="Boiler water condition (not feedwater water quality)"/>
    <s v="FA00Silica remained high, but was decreasing with blow down."/>
    <s v="Trimble"/>
    <x v="0"/>
    <s v="Coal"/>
    <x v="2"/>
    <x v="0"/>
    <n v="11"/>
    <n v="5.8000000000465661"/>
    <n v="0.32830188679508865"/>
    <n v="161.8528301899787"/>
    <n v="27.90566037735849"/>
    <x v="67"/>
  </r>
  <r>
    <x v="11"/>
    <x v="0"/>
    <n v="126"/>
    <n v="1850"/>
    <d v="2013-11-22T05:48:00"/>
    <d v="2013-11-22T06:27:00"/>
    <n v="510"/>
    <n v="530"/>
    <n v="493"/>
    <s v="Boiler water condition (not feedwater water quality)"/>
    <s v="FA00Silica nearing acceptable levels, last derated needed before full load possible."/>
    <s v="Trimble"/>
    <x v="0"/>
    <s v="Coal"/>
    <x v="2"/>
    <x v="0"/>
    <n v="11"/>
    <n v="0.65000000002328306"/>
    <n v="2.4528301887671061E-2"/>
    <n v="12.092452830621832"/>
    <n v="18.60377358490566"/>
    <x v="54"/>
  </r>
  <r>
    <x v="11"/>
    <x v="0"/>
    <n v="127"/>
    <n v="3441"/>
    <d v="2013-11-22T17:40:00"/>
    <d v="2013-11-22T19:04:00"/>
    <n v="500"/>
    <n v="530"/>
    <n v="493"/>
    <s v="Other high pressure heater problems (see condensate system for LP and IP heater codes)"/>
    <s v="F540During start-up, BFP's began getting taxed and couldn't keep load up.  This was tr"/>
    <s v="Trimble"/>
    <x v="0"/>
    <s v="Coal"/>
    <x v="2"/>
    <x v="0"/>
    <n v="11"/>
    <n v="1.4000000000232831"/>
    <n v="7.9245283020185839E-2"/>
    <n v="39.067924528951622"/>
    <n v="27.90566037735849"/>
    <x v="67"/>
  </r>
  <r>
    <x v="11"/>
    <x v="0"/>
    <n v="128"/>
    <n v="280"/>
    <d v="2013-11-25T17:16:00"/>
    <d v="2013-11-25T17:56:00"/>
    <n v="520"/>
    <n v="530"/>
    <n v="493"/>
    <s v="Pulverizer fires"/>
    <s v="F780Derate due to fires in the 1D and 1E coal mills."/>
    <s v="Trimble"/>
    <x v="0"/>
    <s v="Coal"/>
    <x v="2"/>
    <x v="0"/>
    <n v="11"/>
    <n v="0.6666666665696539"/>
    <n v="1.2578616350370829E-2"/>
    <n v="6.2012578607328184"/>
    <n v="9.3018867924528301"/>
    <x v="94"/>
  </r>
  <r>
    <x v="11"/>
    <x v="0"/>
    <n v="129"/>
    <n v="280"/>
    <d v="2013-11-25T17:56:00"/>
    <d v="2013-11-25T20:19:00"/>
    <n v="380"/>
    <n v="530"/>
    <n v="493"/>
    <s v="Pulverizer fires"/>
    <s v="F780Derate due to fires in the 1B, 1D, and 1E coal mills."/>
    <s v="Trimble"/>
    <x v="0"/>
    <s v="Coal"/>
    <x v="2"/>
    <x v="0"/>
    <n v="11"/>
    <n v="2.3833333334187046"/>
    <n v="0.67452830191095414"/>
    <n v="332.54245284210037"/>
    <n v="139.52830188679246"/>
    <x v="135"/>
  </r>
  <r>
    <x v="11"/>
    <x v="0"/>
    <n v="130"/>
    <n v="280"/>
    <d v="2013-11-25T21:00:00"/>
    <d v="2013-11-25T21:32:00"/>
    <n v="435"/>
    <n v="530"/>
    <n v="493"/>
    <s v="Pulverizer fires"/>
    <s v="F780Derate due to fires in the 1F coal mill."/>
    <s v="Trimble"/>
    <x v="0"/>
    <s v="Coal"/>
    <x v="2"/>
    <x v="0"/>
    <n v="11"/>
    <n v="0.53333333332557231"/>
    <n v="9.5597484275338429E-2"/>
    <n v="47.129559747741844"/>
    <n v="88.367924528301884"/>
    <x v="273"/>
  </r>
  <r>
    <x v="11"/>
    <x v="0"/>
    <n v="131"/>
    <n v="280"/>
    <d v="2013-11-27T20:32:00"/>
    <d v="2013-11-27T21:00:00"/>
    <n v="488"/>
    <n v="530"/>
    <n v="493"/>
    <s v="Pulverizer fires"/>
    <s v="F780Derate due to fires in the 1A and 1E coal mills."/>
    <s v="Trimble"/>
    <x v="0"/>
    <s v="Coal"/>
    <x v="2"/>
    <x v="0"/>
    <n v="11"/>
    <n v="0.46666666661622003"/>
    <n v="3.6981132071474042E-2"/>
    <n v="18.231698111236703"/>
    <n v="39.067924528301887"/>
    <x v="104"/>
  </r>
  <r>
    <x v="11"/>
    <x v="0"/>
    <n v="132"/>
    <n v="280"/>
    <d v="2013-12-04T13:59:00"/>
    <d v="2013-12-04T14:39:00"/>
    <n v="410"/>
    <n v="530"/>
    <n v="493"/>
    <s v="Pulverizer fires"/>
    <s v="F780The 1D Mill caught fire and was taken out of service to investigate in the mill an"/>
    <s v="Trimble"/>
    <x v="0"/>
    <s v="Coal"/>
    <x v="2"/>
    <x v="0"/>
    <n v="12"/>
    <n v="0.66666666674427688"/>
    <n v="0.15094339624398723"/>
    <n v="74.415094348285706"/>
    <n v="111.62264150943396"/>
    <x v="38"/>
  </r>
  <r>
    <x v="11"/>
    <x v="0"/>
    <n v="133"/>
    <n v="280"/>
    <d v="2013-12-06T13:47:00"/>
    <d v="2013-12-06T15:10:00"/>
    <n v="485"/>
    <n v="530"/>
    <n v="493"/>
    <s v="Pulverizer fires"/>
    <s v="F780The 1B mill caught fire requiring unit derate."/>
    <s v="Trimble"/>
    <x v="0"/>
    <s v="Coal"/>
    <x v="2"/>
    <x v="0"/>
    <n v="12"/>
    <n v="1.3833333333022892"/>
    <n v="0.11745283018604342"/>
    <n v="57.904245281719412"/>
    <n v="41.858490566037737"/>
    <x v="117"/>
  </r>
  <r>
    <x v="11"/>
    <x v="3"/>
    <n v="134"/>
    <n v="4268"/>
    <d v="2013-12-08T01:00:00"/>
    <d v="2013-12-08T01:35:00"/>
    <n v="0"/>
    <n v="530"/>
    <n v="493"/>
    <s v="Reheat/intercept valve testing"/>
    <s v="F790Completed a valve test on unit one turbine valves to ensure working order.  Unit a"/>
    <s v="Trimble"/>
    <x v="1"/>
    <s v="Coal"/>
    <x v="2"/>
    <x v="0"/>
    <n v="12"/>
    <n v="0.58333333331393078"/>
    <n v="0.58333333331393078"/>
    <n v="287.58333332376787"/>
    <n v="493"/>
    <x v="296"/>
  </r>
  <r>
    <x v="11"/>
    <x v="0"/>
    <n v="135"/>
    <n v="280"/>
    <d v="2013-12-10T09:01:00"/>
    <d v="2013-12-10T14:11:00"/>
    <n v="500"/>
    <n v="530"/>
    <n v="493"/>
    <s v="Pulverizer fires"/>
    <s v="F780TC1 1B Coal mill fire caused derate on unit."/>
    <s v="Trimble"/>
    <x v="0"/>
    <s v="Coal"/>
    <x v="2"/>
    <x v="0"/>
    <n v="12"/>
    <n v="5.1666666665696539"/>
    <n v="0.29245283018318796"/>
    <n v="144.17924528031168"/>
    <n v="27.90566037735849"/>
    <x v="67"/>
  </r>
  <r>
    <x v="11"/>
    <x v="3"/>
    <n v="141"/>
    <n v="8813"/>
    <d v="2013-12-10T14:11:00"/>
    <d v="2013-12-10T15:26:00"/>
    <n v="0"/>
    <n v="530"/>
    <n v="493"/>
    <s v="SCR NOx Injection grid piping/valves"/>
    <s v="F790Conducted testing on the U1 Ammonia Injection system.  Clean Combustion &amp; Energy w"/>
    <s v="Trimble"/>
    <x v="1"/>
    <s v="Coal"/>
    <x v="2"/>
    <x v="0"/>
    <n v="12"/>
    <n v="1.2500000000582077"/>
    <n v="1.2500000000582077"/>
    <n v="616.25000002869638"/>
    <n v="493"/>
    <x v="296"/>
  </r>
  <r>
    <x v="11"/>
    <x v="0"/>
    <n v="136"/>
    <n v="280"/>
    <d v="2013-12-10T15:26:00"/>
    <d v="2013-12-10T15:37:00"/>
    <n v="500"/>
    <n v="530"/>
    <n v="493"/>
    <s v="Pulverizer fires"/>
    <s v="F780TC1 1B Coal mill fire caused derate on unit."/>
    <s v="Trimble"/>
    <x v="0"/>
    <s v="Coal"/>
    <x v="2"/>
    <x v="0"/>
    <n v="12"/>
    <n v="0.18333333323244005"/>
    <n v="1.0377358484855097E-2"/>
    <n v="5.1160377330335631"/>
    <n v="27.90566037735849"/>
    <x v="67"/>
  </r>
  <r>
    <x v="11"/>
    <x v="3"/>
    <n v="142"/>
    <n v="8813"/>
    <d v="2013-12-11T07:00:00"/>
    <d v="2013-12-11T14:20:00"/>
    <n v="0"/>
    <n v="530"/>
    <n v="493"/>
    <s v="SCR NOx Injection grid piping/valves"/>
    <s v="F790Continued testing on the U1 Ammonia Injection system.  Clean Combustion &amp; Energy w"/>
    <s v="Trimble"/>
    <x v="1"/>
    <s v="Coal"/>
    <x v="2"/>
    <x v="0"/>
    <n v="12"/>
    <n v="7.3333333333139308"/>
    <n v="7.3333333333139308"/>
    <n v="3615.3333333237679"/>
    <n v="493"/>
    <x v="296"/>
  </r>
  <r>
    <x v="11"/>
    <x v="0"/>
    <n v="137"/>
    <n v="280"/>
    <d v="2013-12-11T14:20:00"/>
    <d v="2013-12-11T15:10:00"/>
    <n v="500"/>
    <n v="530"/>
    <n v="493"/>
    <s v="Pulverizer fires"/>
    <s v="F780TC1 1A and 1B Coal mill fires caused derate on unit."/>
    <s v="Trimble"/>
    <x v="0"/>
    <s v="Coal"/>
    <x v="2"/>
    <x v="0"/>
    <n v="12"/>
    <n v="0.8333333334303461"/>
    <n v="4.7169811326246008E-2"/>
    <n v="23.25471698383928"/>
    <n v="27.90566037735849"/>
    <x v="67"/>
  </r>
  <r>
    <x v="11"/>
    <x v="3"/>
    <n v="143"/>
    <n v="8813"/>
    <d v="2013-12-12T07:30:00"/>
    <d v="2013-12-12T19:27:00"/>
    <n v="0"/>
    <n v="530"/>
    <n v="493"/>
    <s v="SCR NOx Injection grid piping/valves"/>
    <s v="F790Continued testing on the U1 Ammonia Injection system.  Clean Combustion &amp; Energy w"/>
    <s v="Trimble"/>
    <x v="1"/>
    <s v="Coal"/>
    <x v="2"/>
    <x v="0"/>
    <n v="12"/>
    <n v="11.950000000011642"/>
    <n v="11.950000000011642"/>
    <n v="5891.3500000057393"/>
    <n v="493"/>
    <x v="296"/>
  </r>
  <r>
    <x v="11"/>
    <x v="0"/>
    <n v="138"/>
    <n v="385"/>
    <d v="2013-12-12T23:05:00"/>
    <d v="2013-12-13T02:39:00"/>
    <n v="510"/>
    <n v="530"/>
    <n v="493"/>
    <s v="Igniters"/>
    <s v="F460Oil gun failure caused unit derate."/>
    <s v="Trimble"/>
    <x v="0"/>
    <s v="Coal"/>
    <x v="2"/>
    <x v="0"/>
    <n v="12"/>
    <n v="3.5666666667675599"/>
    <n v="0.13459119497236074"/>
    <n v="66.353459121373845"/>
    <n v="18.60377358490566"/>
    <x v="54"/>
  </r>
  <r>
    <x v="11"/>
    <x v="4"/>
    <n v="139"/>
    <n v="1000"/>
    <d v="2013-12-13T13:03:00"/>
    <d v="2013-12-16T01:05:00"/>
    <n v="0"/>
    <n v="530"/>
    <n v="493"/>
    <s v="Waterwall (Furnace wall) A"/>
    <s v="F540Boiler tube leak was located in the penthouse at the waterwall stub that extended "/>
    <s v="Trimble"/>
    <x v="2"/>
    <s v="Coal"/>
    <x v="2"/>
    <x v="0"/>
    <n v="12"/>
    <n v="60.033333333441988"/>
    <n v="60.033333333441988"/>
    <n v="29596.4333333869"/>
    <n v="493"/>
    <x v="296"/>
  </r>
  <r>
    <x v="11"/>
    <x v="0"/>
    <n v="144"/>
    <n v="280"/>
    <d v="2013-12-20T06:06:00"/>
    <d v="2013-12-20T06:27:00"/>
    <n v="470"/>
    <n v="530"/>
    <n v="493"/>
    <s v="Pulverizer fires"/>
    <s v="F780Derate due to fires on A and D coal mills requiring derate due to running with 4 m"/>
    <s v="Trimble"/>
    <x v="0"/>
    <s v="Coal"/>
    <x v="2"/>
    <x v="0"/>
    <n v="12"/>
    <n v="0.35000000009313226"/>
    <n v="3.9622641519977235E-2"/>
    <n v="19.533962269348777"/>
    <n v="55.811320754716981"/>
    <x v="123"/>
  </r>
  <r>
    <x v="11"/>
    <x v="0"/>
    <n v="145"/>
    <n v="280"/>
    <d v="2013-12-25T08:25:00"/>
    <d v="2013-12-25T11:47:00"/>
    <n v="485"/>
    <n v="530"/>
    <n v="493"/>
    <s v="Pulverizer fires"/>
    <s v="F780Derate due to fires in the B and D coal mills."/>
    <s v="Trimble"/>
    <x v="0"/>
    <s v="Coal"/>
    <x v="2"/>
    <x v="0"/>
    <n v="12"/>
    <n v="3.3666666666395031"/>
    <n v="0.28584905660146726"/>
    <n v="140.92358490452335"/>
    <n v="41.858490566037737"/>
    <x v="117"/>
  </r>
  <r>
    <x v="11"/>
    <x v="0"/>
    <n v="146"/>
    <n v="280"/>
    <d v="2013-12-26T06:00:00"/>
    <d v="2013-12-26T07:25:00"/>
    <n v="475"/>
    <n v="530"/>
    <n v="493"/>
    <s v="Pulverizer fires"/>
    <s v="F780Derate due to fires in the B and D coal mills."/>
    <s v="Trimble"/>
    <x v="0"/>
    <s v="Coal"/>
    <x v="2"/>
    <x v="0"/>
    <n v="12"/>
    <n v="1.4166666667442769"/>
    <n v="0.14701257862440609"/>
    <n v="72.477201261832207"/>
    <n v="51.160377358490564"/>
    <x v="3"/>
  </r>
  <r>
    <x v="11"/>
    <x v="0"/>
    <n v="147"/>
    <n v="280"/>
    <d v="2013-12-26T07:25:00"/>
    <d v="2013-12-26T09:03:00"/>
    <n v="525"/>
    <n v="530"/>
    <n v="493"/>
    <s v="Pulverizer fires"/>
    <s v="F780Derate due to fire in the D coal mill."/>
    <s v="Trimble"/>
    <x v="0"/>
    <s v="Coal"/>
    <x v="2"/>
    <x v="0"/>
    <n v="12"/>
    <n v="1.6333333332440816"/>
    <n v="1.5408805030604543E-2"/>
    <n v="7.5965408800880398"/>
    <n v="4.6509433962264151"/>
    <x v="166"/>
  </r>
  <r>
    <x v="11"/>
    <x v="0"/>
    <n v="148"/>
    <n v="280"/>
    <d v="2013-12-28T17:45:00"/>
    <d v="2013-12-28T18:09:00"/>
    <n v="505"/>
    <n v="530"/>
    <n v="493"/>
    <s v="Pulverizer fires"/>
    <s v="F780Derate due to fires in the B and D coal mills."/>
    <s v="Trimble"/>
    <x v="0"/>
    <s v="Coal"/>
    <x v="2"/>
    <x v="0"/>
    <n v="12"/>
    <n v="0.39999999990686774"/>
    <n v="1.8867924523908855E-2"/>
    <n v="9.3018867902870657"/>
    <n v="23.254716981132077"/>
    <x v="0"/>
  </r>
  <r>
    <x v="11"/>
    <x v="0"/>
    <n v="149"/>
    <n v="280"/>
    <d v="2013-12-28T18:09:00"/>
    <d v="2013-12-28T19:32:00"/>
    <n v="510"/>
    <n v="530"/>
    <n v="493"/>
    <s v="Pulverizer fires"/>
    <s v="F780Derate due to fires in the B and D coal mills."/>
    <s v="Trimble"/>
    <x v="0"/>
    <s v="Coal"/>
    <x v="2"/>
    <x v="0"/>
    <n v="12"/>
    <n v="1.3833333333022892"/>
    <n v="5.2201257860463743E-2"/>
    <n v="25.735220125208624"/>
    <n v="18.60377358490566"/>
    <x v="54"/>
  </r>
  <r>
    <x v="11"/>
    <x v="3"/>
    <n v="150"/>
    <n v="1489"/>
    <d v="2013-12-30T07:00:00"/>
    <d v="2013-12-30T13:00:00"/>
    <n v="0"/>
    <n v="530"/>
    <n v="493"/>
    <s v="Air heater (heat pipe"/>
    <s v="F790Holding load over 525 MW for air heater slip testing to be conducted."/>
    <s v="Trimble"/>
    <x v="1"/>
    <s v="Coal"/>
    <x v="2"/>
    <x v="0"/>
    <n v="12"/>
    <n v="6"/>
    <n v="6"/>
    <n v="2958"/>
    <n v="493"/>
    <x v="296"/>
  </r>
  <r>
    <x v="11"/>
    <x v="3"/>
    <n v="151"/>
    <n v="1489"/>
    <d v="2013-12-31T06:45:00"/>
    <d v="2013-12-31T13:00:00"/>
    <n v="0"/>
    <n v="530"/>
    <n v="493"/>
    <s v="Air heater (heat pipe"/>
    <s v="F790Holding load over 525 MW to conduct air heater slip testing."/>
    <s v="Trimble"/>
    <x v="1"/>
    <s v="Coal"/>
    <x v="2"/>
    <x v="0"/>
    <n v="12"/>
    <n v="6.2499999999417923"/>
    <n v="6.2499999999417923"/>
    <n v="3081.2499999713036"/>
    <n v="493"/>
    <x v="296"/>
  </r>
  <r>
    <x v="11"/>
    <x v="3"/>
    <n v="1"/>
    <n v="1489"/>
    <d v="2014-01-02T09:00:00"/>
    <d v="2014-01-02T15:00:00"/>
    <n v="0"/>
    <n v="530"/>
    <n v="493"/>
    <s v="Air heater (heat pipe"/>
    <s v="F790Holding the unit above 525 MW's for Air Heater Slip Testing to be conducted.  Unit"/>
    <s v="Trimble"/>
    <x v="1"/>
    <s v="Coal"/>
    <x v="2"/>
    <x v="1"/>
    <n v="1"/>
    <n v="6"/>
    <n v="6"/>
    <n v="2958"/>
    <n v="493"/>
    <x v="296"/>
  </r>
  <r>
    <x v="11"/>
    <x v="3"/>
    <n v="2"/>
    <n v="1489"/>
    <d v="2014-01-03T05:00:00"/>
    <d v="2014-01-03T09:40:00"/>
    <n v="0"/>
    <n v="530"/>
    <n v="493"/>
    <s v="Air heater (heat pipe"/>
    <s v="F790Holding load above 525 MW's for ammonia slip testing for the air heaters.  Unit av"/>
    <s v="Trimble"/>
    <x v="1"/>
    <s v="Coal"/>
    <x v="2"/>
    <x v="1"/>
    <n v="1"/>
    <n v="4.6666666666860692"/>
    <n v="4.6666666666860692"/>
    <n v="2300.6666666762321"/>
    <n v="493"/>
    <x v="296"/>
  </r>
  <r>
    <x v="11"/>
    <x v="0"/>
    <n v="3"/>
    <n v="280"/>
    <d v="2014-01-03T09:40:00"/>
    <d v="2014-01-03T11:31:00"/>
    <n v="505"/>
    <n v="530"/>
    <n v="493"/>
    <s v="Pulverizer fires"/>
    <s v="F780Derate due to fires in the B and D coal mills."/>
    <s v="Trimble"/>
    <x v="0"/>
    <s v="Coal"/>
    <x v="2"/>
    <x v="1"/>
    <n v="1"/>
    <n v="1.8499999999185093"/>
    <n v="8.7264150939552323E-2"/>
    <n v="43.021226413199294"/>
    <n v="23.254716981132077"/>
    <x v="0"/>
  </r>
  <r>
    <x v="11"/>
    <x v="0"/>
    <n v="4"/>
    <n v="280"/>
    <d v="2014-01-04T02:47:00"/>
    <d v="2014-01-04T03:56:00"/>
    <n v="500"/>
    <n v="530"/>
    <n v="493"/>
    <s v="Pulverizer fires"/>
    <s v="F780Derate due to fire in the D coal mill."/>
    <s v="Trimble"/>
    <x v="0"/>
    <s v="Coal"/>
    <x v="2"/>
    <x v="1"/>
    <n v="1"/>
    <n v="1.1500000000814907"/>
    <n v="6.5094339627254194E-2"/>
    <n v="32.091509436236315"/>
    <n v="27.90566037735849"/>
    <x v="67"/>
  </r>
  <r>
    <x v="11"/>
    <x v="0"/>
    <n v="5"/>
    <n v="280"/>
    <d v="2014-01-04T05:09:00"/>
    <d v="2014-01-04T08:18:00"/>
    <n v="489"/>
    <n v="530"/>
    <n v="493"/>
    <s v="Pulverizer fires"/>
    <s v="F780Derate due to fires in the D coal mill and the E coal mill was unavailable for a m"/>
    <s v="Trimble"/>
    <x v="0"/>
    <s v="Coal"/>
    <x v="2"/>
    <x v="1"/>
    <n v="1"/>
    <n v="3.1499999999650754"/>
    <n v="0.24367924528031715"/>
    <n v="120.13386792319635"/>
    <n v="38.137735849056604"/>
    <x v="15"/>
  </r>
  <r>
    <x v="11"/>
    <x v="0"/>
    <n v="6"/>
    <n v="280"/>
    <d v="2014-01-07T17:25:00"/>
    <d v="2014-01-07T21:08:00"/>
    <n v="490"/>
    <n v="530"/>
    <n v="493"/>
    <s v="Pulverizer fires"/>
    <s v="F780Derate required due to A &amp; B coal mill fires."/>
    <s v="Trimble"/>
    <x v="0"/>
    <s v="Coal"/>
    <x v="2"/>
    <x v="1"/>
    <n v="1"/>
    <n v="3.7166666667326353"/>
    <n v="0.28050314465906684"/>
    <n v="138.28805031691996"/>
    <n v="37.20754716981132"/>
    <x v="12"/>
  </r>
  <r>
    <x v="11"/>
    <x v="0"/>
    <n v="7"/>
    <n v="590"/>
    <d v="2014-01-08T12:00:00"/>
    <d v="2014-01-08T17:26:00"/>
    <n v="500"/>
    <n v="530"/>
    <n v="493"/>
    <s v="Desuperheater/attemperator valves"/>
    <s v="F540The SH Spray control valve was leaking and required a unit derate to accomplish th"/>
    <s v="Trimble"/>
    <x v="0"/>
    <s v="Coal"/>
    <x v="2"/>
    <x v="1"/>
    <n v="1"/>
    <n v="5.433333333407063"/>
    <n v="0.30754716981549413"/>
    <n v="151.62075471903862"/>
    <n v="27.90566037735849"/>
    <x v="67"/>
  </r>
  <r>
    <x v="11"/>
    <x v="3"/>
    <n v="8"/>
    <n v="1489"/>
    <d v="2014-01-09T07:00:00"/>
    <d v="2014-01-09T13:00:00"/>
    <n v="0"/>
    <n v="530"/>
    <n v="493"/>
    <s v="Air heater (heat pipe"/>
    <s v="F790A 525 MW minimum limit was set on the unit to accomplish air heater slip testing. "/>
    <s v="Trimble"/>
    <x v="1"/>
    <s v="Coal"/>
    <x v="2"/>
    <x v="1"/>
    <n v="1"/>
    <n v="6"/>
    <n v="6"/>
    <n v="2958"/>
    <n v="493"/>
    <x v="296"/>
  </r>
  <r>
    <x v="11"/>
    <x v="3"/>
    <n v="9"/>
    <n v="1489"/>
    <d v="2014-01-10T06:30:00"/>
    <d v="2014-01-10T15:00:00"/>
    <n v="0"/>
    <n v="530"/>
    <n v="493"/>
    <s v="Air heater (heat pipe"/>
    <s v="F790A 525 MW minimum limit was set on the unit to accomplish air heater slip testing. "/>
    <s v="Trimble"/>
    <x v="1"/>
    <s v="Coal"/>
    <x v="2"/>
    <x v="1"/>
    <n v="1"/>
    <n v="8.4999999999417923"/>
    <n v="8.4999999999417923"/>
    <n v="4190.4999999713036"/>
    <n v="493"/>
    <x v="296"/>
  </r>
  <r>
    <x v="11"/>
    <x v="0"/>
    <n v="10"/>
    <n v="8000"/>
    <d v="2014-01-11T05:23:00"/>
    <d v="2014-01-11T19:09:00"/>
    <n v="450"/>
    <n v="530"/>
    <n v="493"/>
    <s v="Chemical feed storage"/>
    <s v="F060Reactant supply C Limestone conveyor belt broke and issues with running backup con"/>
    <s v="Trimble"/>
    <x v="0"/>
    <s v="Coal"/>
    <x v="2"/>
    <x v="1"/>
    <n v="1"/>
    <n v="13.766666666662786"/>
    <n v="2.077987421383062"/>
    <n v="1024.4477987418495"/>
    <n v="74.415094339622641"/>
    <x v="29"/>
  </r>
  <r>
    <x v="11"/>
    <x v="0"/>
    <n v="11"/>
    <n v="8000"/>
    <d v="2014-01-11T19:09:00"/>
    <d v="2014-01-11T21:03:00"/>
    <n v="275"/>
    <n v="530"/>
    <n v="493"/>
    <s v="Chemical feed storage"/>
    <s v="F060Reactant supply C Limestone conveyor belt broke and issues with running backup con"/>
    <s v="Trimble"/>
    <x v="0"/>
    <s v="Coal"/>
    <x v="2"/>
    <x v="1"/>
    <n v="1"/>
    <n v="1.8999999999068677"/>
    <n v="0.91415094335141744"/>
    <n v="450.6764150722488"/>
    <n v="237.19811320754718"/>
    <x v="263"/>
  </r>
  <r>
    <x v="11"/>
    <x v="5"/>
    <n v="12"/>
    <n v="9900"/>
    <d v="2014-01-11T21:03:00"/>
    <d v="2014-01-12T07:57:00"/>
    <n v="0"/>
    <n v="530"/>
    <n v="493"/>
    <s v="Operator error"/>
    <s v="F820During load drop, operator error in valve closing caused the TDBFP main extraction"/>
    <s v="Trimble"/>
    <x v="3"/>
    <s v="Coal"/>
    <x v="2"/>
    <x v="1"/>
    <n v="1"/>
    <n v="10.900000000081491"/>
    <n v="10.900000000081491"/>
    <n v="5373.7000000401749"/>
    <n v="493"/>
    <x v="296"/>
  </r>
  <r>
    <x v="11"/>
    <x v="0"/>
    <n v="13"/>
    <n v="280"/>
    <d v="2014-01-13T06:39:00"/>
    <d v="2014-01-13T10:33:00"/>
    <n v="500"/>
    <n v="530"/>
    <n v="493"/>
    <s v="Pulverizer fires"/>
    <s v="F780Unit derate due to two coal mill issues:  1E mill had a fire that needed to be put"/>
    <s v="Trimble"/>
    <x v="0"/>
    <s v="Coal"/>
    <x v="2"/>
    <x v="1"/>
    <n v="1"/>
    <n v="3.8999999999650754"/>
    <n v="0.22075471697915522"/>
    <n v="108.83207547072352"/>
    <n v="27.90566037735849"/>
    <x v="67"/>
  </r>
  <r>
    <x v="11"/>
    <x v="0"/>
    <n v="14"/>
    <n v="280"/>
    <d v="2014-01-14T08:36:00"/>
    <d v="2014-01-14T10:39:00"/>
    <n v="500"/>
    <n v="530"/>
    <n v="493"/>
    <s v="Pulverizer fires"/>
    <s v="F780Derate due to fire in the 1B Coal Mill."/>
    <s v="Trimble"/>
    <x v="0"/>
    <s v="Coal"/>
    <x v="2"/>
    <x v="1"/>
    <n v="1"/>
    <n v="2.0500000000465661"/>
    <n v="0.11603773585169243"/>
    <n v="57.206603774884364"/>
    <n v="27.90566037735849"/>
    <x v="67"/>
  </r>
  <r>
    <x v="11"/>
    <x v="5"/>
    <n v="15"/>
    <n v="3344"/>
    <d v="2014-01-14T10:39:00"/>
    <d v="2014-01-16T22:16:00"/>
    <n v="0"/>
    <n v="530"/>
    <n v="493"/>
    <s v="Deaerator (including level control)"/>
    <s v="F540Leak in the deaerator heater head was discovered.  Unit was taken offline to repai"/>
    <s v="Trimble"/>
    <x v="3"/>
    <s v="Coal"/>
    <x v="2"/>
    <x v="1"/>
    <n v="1"/>
    <n v="59.616666666639503"/>
    <n v="59.616666666639503"/>
    <n v="29391.016666653275"/>
    <n v="493"/>
    <x v="296"/>
  </r>
  <r>
    <x v="11"/>
    <x v="0"/>
    <n v="16"/>
    <n v="280"/>
    <d v="2014-01-17T15:20:00"/>
    <d v="2014-01-17T16:00:00"/>
    <n v="510"/>
    <n v="530"/>
    <n v="493"/>
    <s v="Pulverizer fires"/>
    <s v="F780Fires in the 1A and 1B coal mills required unit derate."/>
    <s v="Trimble"/>
    <x v="0"/>
    <s v="Coal"/>
    <x v="2"/>
    <x v="1"/>
    <n v="1"/>
    <n v="0.6666666665696539"/>
    <n v="2.5157232700741657E-2"/>
    <n v="12.402515721465637"/>
    <n v="18.60377358490566"/>
    <x v="54"/>
  </r>
  <r>
    <x v="11"/>
    <x v="0"/>
    <n v="17"/>
    <n v="280"/>
    <d v="2014-01-17T16:00:00"/>
    <d v="2014-01-17T16:45:00"/>
    <n v="380"/>
    <n v="530"/>
    <n v="493"/>
    <s v="Pulverizer fires"/>
    <s v="F780Additional fire in the 1C mill following 1A and 1B mill fires required further der"/>
    <s v="Trimble"/>
    <x v="0"/>
    <s v="Coal"/>
    <x v="2"/>
    <x v="1"/>
    <n v="1"/>
    <n v="0.75"/>
    <n v="0.21226415094339623"/>
    <n v="104.64622641509435"/>
    <n v="139.52830188679246"/>
    <x v="135"/>
  </r>
  <r>
    <x v="11"/>
    <x v="0"/>
    <n v="18"/>
    <n v="280"/>
    <d v="2014-01-17T16:45:00"/>
    <d v="2014-01-17T19:40:00"/>
    <n v="250"/>
    <n v="530"/>
    <n v="493"/>
    <s v="Pulverizer fires"/>
    <s v="F780Additional fire in the 1D mill after fires in the 1A, 1B, and 1C mills required ad"/>
    <s v="Trimble"/>
    <x v="0"/>
    <s v="Coal"/>
    <x v="2"/>
    <x v="1"/>
    <n v="1"/>
    <n v="2.9166666667442769"/>
    <n v="1.5408805031856556"/>
    <n v="759.65408807052825"/>
    <n v="260.45283018867923"/>
    <x v="290"/>
  </r>
  <r>
    <x v="11"/>
    <x v="0"/>
    <n v="19"/>
    <n v="280"/>
    <d v="2014-01-17T19:40:00"/>
    <d v="2014-01-17T20:08:00"/>
    <n v="480"/>
    <n v="530"/>
    <n v="493"/>
    <s v="Pulverizer fires"/>
    <s v="F780Some of the mills were returned to service.  However, unit derate was still necess"/>
    <s v="Trimble"/>
    <x v="0"/>
    <s v="Coal"/>
    <x v="2"/>
    <x v="1"/>
    <n v="1"/>
    <n v="0.46666666661622003"/>
    <n v="4.4025157227945283E-2"/>
    <n v="21.704402513377026"/>
    <n v="46.509433962264154"/>
    <x v="119"/>
  </r>
  <r>
    <x v="11"/>
    <x v="3"/>
    <n v="20"/>
    <n v="4267"/>
    <d v="2014-01-19T01:00:00"/>
    <d v="2014-01-19T01:30:00"/>
    <n v="0"/>
    <n v="530"/>
    <n v="493"/>
    <s v="Control valve testing"/>
    <s v="F790Weekly valve check on the unit,  Unit available to return to full load if required"/>
    <s v="Trimble"/>
    <x v="1"/>
    <s v="Coal"/>
    <x v="2"/>
    <x v="1"/>
    <n v="1"/>
    <n v="0.50000000005820766"/>
    <n v="0.50000000005820766"/>
    <n v="246.50000002869638"/>
    <n v="493"/>
    <x v="296"/>
  </r>
  <r>
    <x v="11"/>
    <x v="3"/>
    <n v="21"/>
    <n v="1489"/>
    <d v="2014-01-21T18:00:00"/>
    <d v="2014-01-21T23:59:00"/>
    <n v="0"/>
    <n v="530"/>
    <n v="493"/>
    <s v="Air heater (heat pipe"/>
    <s v="FF00Unit was running and good for full load but with a 525 MW limit set for ammonia sl"/>
    <s v="Trimble"/>
    <x v="1"/>
    <s v="Coal"/>
    <x v="2"/>
    <x v="1"/>
    <n v="1"/>
    <n v="5.9833333332790062"/>
    <n v="5.9833333332790062"/>
    <n v="2949.78333330655"/>
    <n v="493"/>
    <x v="296"/>
  </r>
  <r>
    <x v="11"/>
    <x v="3"/>
    <n v="22"/>
    <n v="1489"/>
    <d v="2014-01-29T06:00:00"/>
    <d v="2014-01-29T08:00:00"/>
    <n v="0"/>
    <n v="530"/>
    <n v="493"/>
    <s v="Air heater (heat pipe"/>
    <s v="FF00Unit was running and good for full load but with a 525 MW limit set for ammonia sl"/>
    <s v="Trimble"/>
    <x v="1"/>
    <s v="Coal"/>
    <x v="2"/>
    <x v="1"/>
    <n v="1"/>
    <n v="2.0000000000582077"/>
    <n v="2.0000000000582077"/>
    <n v="986.00000002869638"/>
    <n v="493"/>
    <x v="296"/>
  </r>
  <r>
    <x v="11"/>
    <x v="3"/>
    <n v="23"/>
    <n v="9999"/>
    <d v="2014-01-29T08:00:00"/>
    <d v="2014-01-29T10:00:00"/>
    <n v="0"/>
    <n v="530"/>
    <n v="493"/>
    <s v="Total unit performance testing (use appropriate codes for individual component testing)"/>
    <s v="F790Unit was running and requested full load production to allow for the full-load tes"/>
    <s v="Trimble"/>
    <x v="1"/>
    <s v="Coal"/>
    <x v="2"/>
    <x v="1"/>
    <n v="1"/>
    <n v="1.9999999998835847"/>
    <n v="1.9999999998835847"/>
    <n v="985.99999994260725"/>
    <n v="493"/>
    <x v="296"/>
  </r>
  <r>
    <x v="11"/>
    <x v="3"/>
    <n v="24"/>
    <n v="1489"/>
    <d v="2014-01-29T10:00:00"/>
    <d v="2014-01-29T14:37:00"/>
    <n v="0"/>
    <n v="530"/>
    <n v="493"/>
    <s v="Air heater (heat pipe"/>
    <s v="FF00Unit was running and good for full load but with a 525 MW limit set for ammonia sl"/>
    <s v="Trimble"/>
    <x v="1"/>
    <s v="Coal"/>
    <x v="2"/>
    <x v="1"/>
    <n v="1"/>
    <n v="4.6166666666977108"/>
    <n v="4.6166666666977108"/>
    <n v="2276.0166666819714"/>
    <n v="493"/>
    <x v="296"/>
  </r>
  <r>
    <x v="11"/>
    <x v="3"/>
    <n v="25"/>
    <n v="1489"/>
    <d v="2014-01-31T13:00:00"/>
    <d v="2014-01-31T20:00:00"/>
    <n v="0"/>
    <n v="530"/>
    <n v="493"/>
    <s v="Air heater (heat pipe"/>
    <s v="FF00Unit was running &amp; good for full load with a 525 MW limit set for ammonia slip mit"/>
    <s v="Trimble"/>
    <x v="1"/>
    <s v="Coal"/>
    <x v="2"/>
    <x v="1"/>
    <n v="1"/>
    <n v="7.0000000001164153"/>
    <n v="7.0000000001164153"/>
    <n v="3451.0000000573928"/>
    <n v="493"/>
    <x v="296"/>
  </r>
  <r>
    <x v="11"/>
    <x v="3"/>
    <n v="147"/>
    <n v="1489"/>
    <d v="2014-01-31T13:00:00"/>
    <d v="2014-01-31T20:00:00"/>
    <n v="0"/>
    <n v="530"/>
    <n v="493"/>
    <s v="Air heater (heat pipe"/>
    <s v="FF00Unit was running and good for full load with a 525 MW limit set for ammonia slip m"/>
    <s v="Trimble"/>
    <x v="1"/>
    <s v="Coal"/>
    <x v="2"/>
    <x v="1"/>
    <n v="1"/>
    <n v="7.0000000001164153"/>
    <n v="7.0000000001164153"/>
    <n v="3451.0000000573928"/>
    <n v="493"/>
    <x v="296"/>
  </r>
  <r>
    <x v="11"/>
    <x v="3"/>
    <n v="26"/>
    <n v="9999"/>
    <d v="2014-02-05T10:45:00"/>
    <d v="2014-02-05T16:26:00"/>
    <n v="0"/>
    <n v="530"/>
    <n v="493"/>
    <s v="Total unit performance testing (use appropriate codes for individual component testing)"/>
    <s v="F790Unit running and good for full load, this non-curtailing event was for the complet"/>
    <s v="Trimble"/>
    <x v="1"/>
    <s v="Coal"/>
    <x v="2"/>
    <x v="1"/>
    <n v="2"/>
    <n v="5.6833333333488554"/>
    <n v="5.6833333333488554"/>
    <n v="2801.8833333409857"/>
    <n v="493"/>
    <x v="296"/>
  </r>
  <r>
    <x v="11"/>
    <x v="0"/>
    <n v="27"/>
    <n v="310"/>
    <d v="2014-02-10T07:22:00"/>
    <d v="2014-02-10T07:45:00"/>
    <n v="500"/>
    <n v="530"/>
    <n v="493"/>
    <s v="Pulverizer mills"/>
    <s v="F780Derate on TC1 to 500 MW's due to D coal mill fire.  Additional issue with the E co"/>
    <s v="Trimble"/>
    <x v="0"/>
    <s v="Coal"/>
    <x v="2"/>
    <x v="1"/>
    <n v="2"/>
    <n v="0.38333333336049691"/>
    <n v="2.169811320908473E-2"/>
    <n v="10.697169812078773"/>
    <n v="27.90566037735849"/>
    <x v="67"/>
  </r>
  <r>
    <x v="11"/>
    <x v="0"/>
    <n v="28"/>
    <n v="310"/>
    <d v="2014-02-10T10:00:00"/>
    <d v="2014-02-10T13:58:00"/>
    <n v="500"/>
    <n v="530"/>
    <n v="493"/>
    <s v="Pulverizer mills"/>
    <s v="F780Derate required due to fire on the 1D coal mill."/>
    <s v="Trimble"/>
    <x v="0"/>
    <s v="Coal"/>
    <x v="2"/>
    <x v="1"/>
    <n v="2"/>
    <n v="3.9666666666744277"/>
    <n v="0.22452830188723175"/>
    <n v="110.69245283040524"/>
    <n v="27.90566037735849"/>
    <x v="67"/>
  </r>
  <r>
    <x v="11"/>
    <x v="0"/>
    <n v="29"/>
    <n v="310"/>
    <d v="2014-02-11T22:17:00"/>
    <d v="2014-02-11T23:30:00"/>
    <n v="500"/>
    <n v="530"/>
    <n v="493"/>
    <s v="Pulverizer mills"/>
    <s v="F780Derate required due to high temperature on the 1B coal mill."/>
    <s v="Trimble"/>
    <x v="0"/>
    <s v="Coal"/>
    <x v="2"/>
    <x v="1"/>
    <n v="2"/>
    <n v="1.21666666661622"/>
    <n v="6.886792452544642E-2"/>
    <n v="33.951886791045084"/>
    <n v="27.90566037735849"/>
    <x v="67"/>
  </r>
  <r>
    <x v="11"/>
    <x v="3"/>
    <n v="30"/>
    <n v="9999"/>
    <d v="2014-02-19T08:00:00"/>
    <d v="2014-02-19T14:00:00"/>
    <n v="0"/>
    <n v="530"/>
    <n v="493"/>
    <s v="Total unit performance testing (use appropriate codes for individual component testing)"/>
    <s v="F790Test run at full load to maintain high temperatures for unit testing."/>
    <s v="Trimble"/>
    <x v="1"/>
    <s v="Coal"/>
    <x v="2"/>
    <x v="1"/>
    <n v="2"/>
    <n v="6"/>
    <n v="6"/>
    <n v="2958"/>
    <n v="493"/>
    <x v="296"/>
  </r>
  <r>
    <x v="11"/>
    <x v="3"/>
    <n v="31"/>
    <n v="510"/>
    <d v="2014-03-02T01:00:00"/>
    <d v="2014-03-02T01:20:00"/>
    <n v="0"/>
    <n v="530"/>
    <n v="493"/>
    <s v="Main steam relief/safety valves off superheater"/>
    <s v="F790Non-curtailing derate for a planned, weekly valve check.  Unit was available to re"/>
    <s v="Trimble"/>
    <x v="1"/>
    <s v="Coal"/>
    <x v="2"/>
    <x v="1"/>
    <n v="3"/>
    <n v="0.33333333337213844"/>
    <n v="0.33333333337213844"/>
    <n v="164.33333335246425"/>
    <n v="493"/>
    <x v="296"/>
  </r>
  <r>
    <x v="11"/>
    <x v="5"/>
    <n v="32"/>
    <n v="1471"/>
    <d v="2014-03-06T01:06:00"/>
    <d v="2014-03-06T12:48:00"/>
    <n v="0"/>
    <n v="530"/>
    <n v="493"/>
    <s v="Induced draft fan motors - variable speed"/>
    <s v="F820The VFD on the 1B ID fan sent a false alarm due to a low-low cooling supply alarm "/>
    <s v="Trimble"/>
    <x v="3"/>
    <s v="Coal"/>
    <x v="2"/>
    <x v="1"/>
    <n v="3"/>
    <n v="11.700000000069849"/>
    <n v="11.700000000069849"/>
    <n v="5768.1000000344357"/>
    <n v="493"/>
    <x v="296"/>
  </r>
  <r>
    <x v="11"/>
    <x v="0"/>
    <n v="33"/>
    <n v="280"/>
    <d v="2014-03-09T09:00:00"/>
    <d v="2014-03-09T10:15:00"/>
    <n v="500"/>
    <n v="530"/>
    <n v="493"/>
    <s v="Pulverizer fires"/>
    <s v="F780TC1 D coal mill had a fire and required a derate."/>
    <s v="Trimble"/>
    <x v="0"/>
    <s v="Coal"/>
    <x v="2"/>
    <x v="1"/>
    <n v="3"/>
    <n v="1.2500000000582077"/>
    <n v="7.0754716984426855E-2"/>
    <n v="34.882075473322438"/>
    <n v="27.90566037735849"/>
    <x v="67"/>
  </r>
  <r>
    <x v="11"/>
    <x v="0"/>
    <n v="34"/>
    <n v="310"/>
    <d v="2014-03-09T10:15:00"/>
    <d v="2014-03-09T12:45:00"/>
    <n v="500"/>
    <n v="530"/>
    <n v="493"/>
    <s v="Pulverizer mills"/>
    <s v="F060TC1 D coal mill breaker had an issue requiring replacement."/>
    <s v="Trimble"/>
    <x v="0"/>
    <s v="Coal"/>
    <x v="2"/>
    <x v="1"/>
    <n v="3"/>
    <n v="2.4999999999417923"/>
    <n v="0.14150943395896937"/>
    <n v="69.764150941771902"/>
    <n v="27.90566037735849"/>
    <x v="67"/>
  </r>
  <r>
    <x v="11"/>
    <x v="0"/>
    <n v="35"/>
    <n v="340"/>
    <d v="2014-03-13T08:15:00"/>
    <d v="2014-03-13T10:20:00"/>
    <n v="510"/>
    <n v="530"/>
    <n v="493"/>
    <s v="Other pulverizer problems"/>
    <s v="F400The 1D Mill discharge valve was behaving erratically affecting mill control."/>
    <s v="Trimble"/>
    <x v="0"/>
    <s v="Coal"/>
    <x v="2"/>
    <x v="1"/>
    <n v="3"/>
    <n v="2.0833333333139308"/>
    <n v="7.8616352200525694E-2"/>
    <n v="38.757861634859168"/>
    <n v="18.60377358490566"/>
    <x v="54"/>
  </r>
  <r>
    <x v="11"/>
    <x v="0"/>
    <n v="36"/>
    <n v="280"/>
    <d v="2014-03-13T10:20:00"/>
    <d v="2014-03-13T10:46:00"/>
    <n v="435"/>
    <n v="530"/>
    <n v="493"/>
    <s v="Pulverizer fires"/>
    <s v="F7801B mill fire required unit derate until OOS mill could be started"/>
    <s v="Trimble"/>
    <x v="0"/>
    <s v="Coal"/>
    <x v="2"/>
    <x v="1"/>
    <n v="3"/>
    <n v="0.43333333334885538"/>
    <n v="7.7672955977625024E-2"/>
    <n v="38.292767296969139"/>
    <n v="88.367924528301884"/>
    <x v="273"/>
  </r>
  <r>
    <x v="11"/>
    <x v="0"/>
    <n v="37"/>
    <n v="340"/>
    <d v="2014-03-13T10:46:00"/>
    <d v="2014-03-13T11:30:00"/>
    <n v="510"/>
    <n v="530"/>
    <n v="493"/>
    <s v="Other pulverizer problems"/>
    <s v="F4001D mill discharge valve was operating erratically affecting mill control."/>
    <s v="Trimble"/>
    <x v="0"/>
    <s v="Coal"/>
    <x v="2"/>
    <x v="1"/>
    <n v="3"/>
    <n v="0.73333333327900618"/>
    <n v="2.7672955972792686E-2"/>
    <n v="13.642767294586793"/>
    <n v="18.60377358490566"/>
    <x v="54"/>
  </r>
  <r>
    <x v="11"/>
    <x v="0"/>
    <n v="38"/>
    <n v="340"/>
    <d v="2014-03-14T14:00:00"/>
    <d v="2014-03-14T16:15:00"/>
    <n v="510"/>
    <n v="530"/>
    <n v="493"/>
    <s v="Other pulverizer problems"/>
    <s v="F4001D coal mill discharge valve was operating erratically affecting mill control.  Ad"/>
    <s v="Trimble"/>
    <x v="0"/>
    <s v="Coal"/>
    <x v="2"/>
    <x v="1"/>
    <n v="3"/>
    <n v="2.25"/>
    <n v="8.4905660377358486E-2"/>
    <n v="41.85849056603773"/>
    <n v="18.60377358490566"/>
    <x v="54"/>
  </r>
  <r>
    <x v="11"/>
    <x v="0"/>
    <n v="39"/>
    <n v="3412"/>
    <d v="2014-03-15T01:55:00"/>
    <d v="2014-03-15T08:50:00"/>
    <n v="525"/>
    <n v="530"/>
    <n v="493"/>
    <s v="Feedwater pump drive - steam turbine"/>
    <s v="F820The 1A TDBFP had an emergency governor trip removing it from service."/>
    <s v="Trimble"/>
    <x v="0"/>
    <s v="Coal"/>
    <x v="2"/>
    <x v="1"/>
    <n v="3"/>
    <n v="6.9166666666860692"/>
    <n v="6.5251572327227073E-2"/>
    <n v="32.169025157322949"/>
    <n v="4.6509433962264151"/>
    <x v="166"/>
  </r>
  <r>
    <x v="11"/>
    <x v="0"/>
    <n v="40"/>
    <n v="3412"/>
    <d v="2014-03-15T11:32:00"/>
    <d v="2014-03-15T13:33:00"/>
    <n v="525"/>
    <n v="530"/>
    <n v="493"/>
    <s v="Feedwater pump drive - steam turbine"/>
    <s v="F540The 1A TDBFP had an oil leak which required removal from service to repair."/>
    <s v="Trimble"/>
    <x v="0"/>
    <s v="Coal"/>
    <x v="2"/>
    <x v="1"/>
    <n v="3"/>
    <n v="2.0166666666045785"/>
    <n v="1.9025157232118665E-2"/>
    <n v="9.3794025154345029"/>
    <n v="4.6509433962264151"/>
    <x v="166"/>
  </r>
  <r>
    <x v="11"/>
    <x v="0"/>
    <n v="41"/>
    <n v="280"/>
    <d v="2014-03-17T18:20:00"/>
    <d v="2014-03-17T21:55:00"/>
    <n v="525"/>
    <n v="530"/>
    <n v="493"/>
    <s v="Pulverizer fires"/>
    <s v="F780TC1 B Coal Mill had a fire and required removal from service and unit derate."/>
    <s v="Trimble"/>
    <x v="0"/>
    <s v="Coal"/>
    <x v="2"/>
    <x v="1"/>
    <n v="3"/>
    <n v="3.5833333333139308"/>
    <n v="3.3805031446357839E-2"/>
    <n v="16.665880503054414"/>
    <n v="4.6509433962264151"/>
    <x v="166"/>
  </r>
  <r>
    <x v="11"/>
    <x v="3"/>
    <n v="42"/>
    <n v="1100"/>
    <d v="2014-03-29T00:00:00"/>
    <d v="2014-03-29T05:00:00"/>
    <n v="0"/>
    <n v="530"/>
    <n v="493"/>
    <s v="Waterwall (Furnace wall) B"/>
    <s v="FS00Non-curtailing derate was placed on the unit to complete a planned boiler deslag. "/>
    <s v="Trimble"/>
    <x v="1"/>
    <s v="Coal"/>
    <x v="2"/>
    <x v="1"/>
    <n v="3"/>
    <n v="5.0000000000582077"/>
    <n v="5.0000000000582077"/>
    <n v="2465.0000000286964"/>
    <n v="493"/>
    <x v="296"/>
  </r>
  <r>
    <x v="11"/>
    <x v="4"/>
    <n v="43"/>
    <n v="1000"/>
    <d v="2014-04-05T00:00:00"/>
    <d v="2014-04-06T16:49:00"/>
    <n v="0"/>
    <n v="530"/>
    <n v="493"/>
    <s v="Waterwall (Furnace wall) A"/>
    <s v="F540TC1 boiler tube leak on 12th landing.  The waterwall tube was located on the left "/>
    <s v="Trimble"/>
    <x v="2"/>
    <s v="Coal"/>
    <x v="2"/>
    <x v="1"/>
    <n v="4"/>
    <n v="40.816666666651145"/>
    <n v="40.816666666651145"/>
    <n v="20122.616666659014"/>
    <n v="493"/>
    <x v="296"/>
  </r>
  <r>
    <x v="11"/>
    <x v="0"/>
    <n v="44"/>
    <n v="1455"/>
    <d v="2014-04-07T10:59:00"/>
    <d v="2014-04-14T18:45:00"/>
    <n v="525"/>
    <n v="530"/>
    <n v="493"/>
    <s v="Induced draft fans"/>
    <s v="F8501B ID Fan Bearing vibrations required unit derate to keep vibrations within limits"/>
    <s v="Trimble"/>
    <x v="0"/>
    <s v="Coal"/>
    <x v="2"/>
    <x v="1"/>
    <n v="4"/>
    <n v="175.76666666666279"/>
    <n v="1.6581761006288942"/>
    <n v="817.48081761004482"/>
    <n v="4.6509433962264151"/>
    <x v="166"/>
  </r>
  <r>
    <x v="11"/>
    <x v="3"/>
    <n v="45"/>
    <n v="4267"/>
    <d v="2014-04-13T01:00:00"/>
    <d v="2014-04-13T01:24:00"/>
    <n v="0"/>
    <n v="530"/>
    <n v="493"/>
    <s v="Control valve testing"/>
    <s v="F790TC1 had a non-curtailing event for the weekly valve test.  The unit was available "/>
    <s v="Trimble"/>
    <x v="1"/>
    <s v="Coal"/>
    <x v="2"/>
    <x v="1"/>
    <n v="4"/>
    <n v="0.40000000008149073"/>
    <n v="0.40000000008149073"/>
    <n v="197.20000004017493"/>
    <n v="493"/>
    <x v="296"/>
  </r>
  <r>
    <x v="11"/>
    <x v="0"/>
    <n v="46"/>
    <n v="895"/>
    <d v="2014-04-14T18:45:00"/>
    <d v="2014-04-14T20:53:00"/>
    <n v="450"/>
    <n v="530"/>
    <n v="493"/>
    <s v="Ashpit trouble"/>
    <s v="F060Derate was required to make necessary repairs to the ash pit hopper doors after a "/>
    <s v="Trimble"/>
    <x v="0"/>
    <s v="Coal"/>
    <x v="2"/>
    <x v="1"/>
    <n v="4"/>
    <n v="2.1333333333022892"/>
    <n v="0.32201257861166632"/>
    <n v="158.75220125555148"/>
    <n v="74.415094339622641"/>
    <x v="29"/>
  </r>
  <r>
    <x v="11"/>
    <x v="0"/>
    <n v="47"/>
    <n v="1455"/>
    <d v="2014-04-14T20:53:00"/>
    <d v="2014-04-16T02:46:00"/>
    <n v="525"/>
    <n v="530"/>
    <n v="493"/>
    <s v="Induced draft fans"/>
    <s v="F8501B ID Fan Bearing vibrations required unit derate to keep vibrations within limits"/>
    <s v="Trimble"/>
    <x v="0"/>
    <s v="Coal"/>
    <x v="2"/>
    <x v="1"/>
    <n v="4"/>
    <n v="29.883333333302289"/>
    <n v="0.28191823899341784"/>
    <n v="138.98569182375499"/>
    <n v="4.6509433962264151"/>
    <x v="166"/>
  </r>
  <r>
    <x v="11"/>
    <x v="0"/>
    <n v="48"/>
    <n v="385"/>
    <d v="2014-04-16T02:46:00"/>
    <d v="2014-04-16T03:16:00"/>
    <n v="480"/>
    <n v="530"/>
    <n v="493"/>
    <s v="Igniters"/>
    <s v="F400Derate was required due to AB oil gun issues related to B coal mill issues."/>
    <s v="Trimble"/>
    <x v="0"/>
    <s v="Coal"/>
    <x v="2"/>
    <x v="1"/>
    <n v="4"/>
    <n v="0.50000000005820766"/>
    <n v="4.7169811326246008E-2"/>
    <n v="23.25471698383928"/>
    <n v="46.509433962264154"/>
    <x v="119"/>
  </r>
  <r>
    <x v="11"/>
    <x v="0"/>
    <n v="49"/>
    <n v="1455"/>
    <d v="2014-04-16T03:16:00"/>
    <d v="2014-04-16T12:10:00"/>
    <n v="525"/>
    <n v="530"/>
    <n v="493"/>
    <s v="Induced draft fans"/>
    <s v="F8501B ID Fan Bearing vibrations required unit derate to keep vibrations within limits"/>
    <s v="Trimble"/>
    <x v="0"/>
    <s v="Coal"/>
    <x v="2"/>
    <x v="1"/>
    <n v="4"/>
    <n v="8.9000000000232831"/>
    <n v="8.3962264151163049E-2"/>
    <n v="41.393396226523386"/>
    <n v="4.6509433962264151"/>
    <x v="166"/>
  </r>
  <r>
    <x v="11"/>
    <x v="0"/>
    <n v="50"/>
    <n v="310"/>
    <d v="2014-04-16T12:10:00"/>
    <d v="2014-04-16T12:35:00"/>
    <n v="450"/>
    <n v="530"/>
    <n v="493"/>
    <s v="Pulverizer mills"/>
    <s v="F780Derate required when E Coal Mill tripped after it lit off."/>
    <s v="Trimble"/>
    <x v="0"/>
    <s v="Coal"/>
    <x v="2"/>
    <x v="1"/>
    <n v="4"/>
    <n v="0.41666666662786156"/>
    <n v="6.2893081755148919E-2"/>
    <n v="31.006289305288416"/>
    <n v="74.415094339622641"/>
    <x v="29"/>
  </r>
  <r>
    <x v="11"/>
    <x v="0"/>
    <n v="51"/>
    <n v="310"/>
    <d v="2014-04-16T12:35:00"/>
    <d v="2014-04-16T14:30:00"/>
    <n v="479"/>
    <n v="530"/>
    <n v="493"/>
    <s v="Pulverizer mills"/>
    <s v="F780Load raised to 479MW, but derate was still due to E Coal Mill trip."/>
    <s v="Trimble"/>
    <x v="0"/>
    <s v="Coal"/>
    <x v="2"/>
    <x v="1"/>
    <n v="4"/>
    <n v="1.9166666666278616"/>
    <n v="0.18443396226041686"/>
    <n v="90.925943394385513"/>
    <n v="47.43962264150943"/>
    <x v="119"/>
  </r>
  <r>
    <x v="11"/>
    <x v="0"/>
    <n v="52"/>
    <n v="310"/>
    <d v="2014-04-16T14:30:00"/>
    <d v="2014-04-16T18:41:00"/>
    <n v="370"/>
    <n v="530"/>
    <n v="493"/>
    <s v="Pulverizer mills"/>
    <s v="F820Derate to 370MW due to mill runback caused by mill issues/trips."/>
    <s v="Trimble"/>
    <x v="0"/>
    <s v="Coal"/>
    <x v="2"/>
    <x v="1"/>
    <n v="4"/>
    <n v="4.1833333333488554"/>
    <n v="1.2628930817656923"/>
    <n v="622.60628931048632"/>
    <n v="148.83018867924528"/>
    <x v="286"/>
  </r>
  <r>
    <x v="11"/>
    <x v="0"/>
    <n v="53"/>
    <n v="310"/>
    <d v="2014-04-16T18:41:00"/>
    <d v="2014-04-16T21:31:00"/>
    <n v="480"/>
    <n v="530"/>
    <n v="493"/>
    <s v="Pulverizer mills"/>
    <s v="F820Derate to 480MW due to mill runback caused by mill issues/trips."/>
    <s v="Trimble"/>
    <x v="0"/>
    <s v="Coal"/>
    <x v="2"/>
    <x v="1"/>
    <n v="4"/>
    <n v="2.8333333333139308"/>
    <n v="0.2672955974824463"/>
    <n v="131.77672955884603"/>
    <n v="46.509433962264154"/>
    <x v="119"/>
  </r>
  <r>
    <x v="11"/>
    <x v="0"/>
    <n v="54"/>
    <n v="1455"/>
    <d v="2014-04-16T21:31:00"/>
    <d v="2014-04-17T07:05:00"/>
    <n v="525"/>
    <n v="530"/>
    <n v="493"/>
    <s v="Induced draft fans"/>
    <s v="F8501B ID Fan Bearing vibrations required unit derate to keep vibrations within limits"/>
    <s v="Trimble"/>
    <x v="0"/>
    <s v="Coal"/>
    <x v="2"/>
    <x v="1"/>
    <n v="4"/>
    <n v="9.5666666667675599"/>
    <n v="9.0251572327995855E-2"/>
    <n v="44.494025157701955"/>
    <n v="4.6509433962264151"/>
    <x v="166"/>
  </r>
  <r>
    <x v="11"/>
    <x v="0"/>
    <n v="55"/>
    <n v="310"/>
    <d v="2014-04-17T07:05:00"/>
    <d v="2014-04-17T07:55:00"/>
    <n v="475"/>
    <n v="530"/>
    <n v="493"/>
    <s v="Pulverizer mills"/>
    <s v="F780Derate required due to 1B coal mill fire"/>
    <s v="Trimble"/>
    <x v="0"/>
    <s v="Coal"/>
    <x v="2"/>
    <x v="1"/>
    <n v="4"/>
    <n v="0.83333333325572312"/>
    <n v="8.6477987413329752E-2"/>
    <n v="42.633647794771569"/>
    <n v="51.160377358490564"/>
    <x v="3"/>
  </r>
  <r>
    <x v="11"/>
    <x v="0"/>
    <n v="56"/>
    <n v="1455"/>
    <d v="2014-04-17T07:55:00"/>
    <d v="2014-04-17T08:57:00"/>
    <n v="525"/>
    <n v="530"/>
    <n v="493"/>
    <s v="Induced draft fans"/>
    <s v="F8501B ID Fan Bearing vibrations required unit derate to keep vibrations within limits"/>
    <s v="Trimble"/>
    <x v="0"/>
    <s v="Coal"/>
    <x v="2"/>
    <x v="1"/>
    <n v="4"/>
    <n v="1.03333333338378"/>
    <n v="9.7484276734318871E-3"/>
    <n v="4.8059748430019207"/>
    <n v="4.6509433962264151"/>
    <x v="166"/>
  </r>
  <r>
    <x v="11"/>
    <x v="0"/>
    <n v="57"/>
    <n v="310"/>
    <d v="2014-04-17T08:57:00"/>
    <d v="2014-04-17T12:08:00"/>
    <n v="475"/>
    <n v="530"/>
    <n v="493"/>
    <s v="Pulverizer mills"/>
    <s v="F780Mill fires required unit derate."/>
    <s v="Trimble"/>
    <x v="0"/>
    <s v="Coal"/>
    <x v="2"/>
    <x v="1"/>
    <n v="4"/>
    <n v="3.183333333407063"/>
    <n v="0.33034591195733676"/>
    <n v="162.86053459496702"/>
    <n v="51.160377358490564"/>
    <x v="3"/>
  </r>
  <r>
    <x v="11"/>
    <x v="0"/>
    <n v="58"/>
    <n v="1455"/>
    <d v="2014-04-17T12:08:00"/>
    <d v="2014-04-17T16:33:00"/>
    <n v="525"/>
    <n v="530"/>
    <n v="493"/>
    <s v="Induced draft fans"/>
    <s v="F8501B ID Fan Bearing vibrations required unit derate to keep vibrations within limits"/>
    <s v="Trimble"/>
    <x v="0"/>
    <s v="Coal"/>
    <x v="2"/>
    <x v="1"/>
    <n v="4"/>
    <n v="4.4166666665696539"/>
    <n v="4.1666666665751452E-2"/>
    <n v="20.541666666215466"/>
    <n v="4.6509433962264151"/>
    <x v="166"/>
  </r>
  <r>
    <x v="11"/>
    <x v="0"/>
    <n v="59"/>
    <n v="310"/>
    <d v="2014-04-17T16:33:00"/>
    <d v="2014-04-17T19:08:00"/>
    <n v="450"/>
    <n v="530"/>
    <n v="493"/>
    <s v="Pulverizer mills"/>
    <s v="F780Mill fires required unit derate to 450MW."/>
    <s v="Trimble"/>
    <x v="0"/>
    <s v="Coal"/>
    <x v="2"/>
    <x v="1"/>
    <n v="4"/>
    <n v="2.5833333333721384"/>
    <n v="0.38993710692409639"/>
    <n v="192.23899371357953"/>
    <n v="74.415094339622641"/>
    <x v="29"/>
  </r>
  <r>
    <x v="11"/>
    <x v="0"/>
    <n v="60"/>
    <n v="1455"/>
    <d v="2014-04-17T19:08:00"/>
    <d v="2014-04-23T12:52:00"/>
    <n v="525"/>
    <n v="530"/>
    <n v="493"/>
    <s v="Induced draft fans"/>
    <s v="F8501B ID fan vibrations are high requiring unit derate to keep the vibrations within "/>
    <s v="Trimble"/>
    <x v="0"/>
    <s v="Coal"/>
    <x v="2"/>
    <x v="1"/>
    <n v="4"/>
    <n v="137.73333333333721"/>
    <n v="1.2993710691824265"/>
    <n v="640.5899371069363"/>
    <n v="4.6509433962264151"/>
    <x v="166"/>
  </r>
  <r>
    <x v="11"/>
    <x v="0"/>
    <n v="61"/>
    <n v="310"/>
    <d v="2014-04-23T12:52:00"/>
    <d v="2014-04-23T18:07:00"/>
    <n v="475"/>
    <n v="530"/>
    <n v="493"/>
    <s v="Pulverizer mills"/>
    <s v="F780Derate was required after 1B Coal mill became unavailable due to a fire and the 1D"/>
    <s v="Trimble"/>
    <x v="0"/>
    <s v="Coal"/>
    <x v="2"/>
    <x v="1"/>
    <n v="4"/>
    <n v="5.25"/>
    <n v="0.54481132075471694"/>
    <n v="268.59198113207543"/>
    <n v="51.160377358490564"/>
    <x v="3"/>
  </r>
  <r>
    <x v="11"/>
    <x v="0"/>
    <n v="62"/>
    <n v="1455"/>
    <d v="2014-04-23T18:07:00"/>
    <d v="2014-04-24T08:15:00"/>
    <n v="525"/>
    <n v="530"/>
    <n v="493"/>
    <s v="Induced draft fans"/>
    <s v="F8501B ID fan vibrations are high requiring unit derate to keep the vibrations within "/>
    <s v="Trimble"/>
    <x v="0"/>
    <s v="Coal"/>
    <x v="2"/>
    <x v="1"/>
    <n v="4"/>
    <n v="14.133333333302289"/>
    <n v="0.13333333333304045"/>
    <n v="65.733333333188938"/>
    <n v="4.6509433962264151"/>
    <x v="166"/>
  </r>
  <r>
    <x v="11"/>
    <x v="0"/>
    <n v="63"/>
    <n v="3235"/>
    <d v="2014-04-24T08:15:00"/>
    <d v="2014-04-24T08:47:00"/>
    <n v="300"/>
    <n v="530"/>
    <n v="493"/>
    <s v="Cooling tower booster pump"/>
    <s v="F820The &quot;A&quot; cooling tower pump tripped, the unit went into a runback which in turn tri"/>
    <s v="Trimble"/>
    <x v="0"/>
    <s v="Coal"/>
    <x v="2"/>
    <x v="1"/>
    <n v="4"/>
    <n v="0.53333333332557231"/>
    <n v="0.23144654087713515"/>
    <n v="114.10314465242763"/>
    <n v="213.9433962264151"/>
    <x v="219"/>
  </r>
  <r>
    <x v="11"/>
    <x v="0"/>
    <n v="64"/>
    <n v="3235"/>
    <d v="2014-04-24T08:47:00"/>
    <d v="2014-04-24T10:35:00"/>
    <n v="375"/>
    <n v="530"/>
    <n v="493"/>
    <s v="Cooling tower booster pump"/>
    <s v="F820Following the initial run back on the unit from the cooling tower pump trip and su"/>
    <s v="Trimble"/>
    <x v="0"/>
    <s v="Coal"/>
    <x v="2"/>
    <x v="1"/>
    <n v="4"/>
    <n v="1.7999999999301508"/>
    <n v="0.52641509431919509"/>
    <n v="259.5226414993632"/>
    <n v="144.17924528301887"/>
    <x v="250"/>
  </r>
  <r>
    <x v="11"/>
    <x v="0"/>
    <n v="65"/>
    <n v="1455"/>
    <d v="2014-04-24T10:35:00"/>
    <d v="2014-04-24T14:58:00"/>
    <n v="525"/>
    <n v="530"/>
    <n v="493"/>
    <s v="Induced draft fans"/>
    <s v="F8501B ID fan vibrations are high requiring unit derate to keep the vibrations within "/>
    <s v="Trimble"/>
    <x v="0"/>
    <s v="Coal"/>
    <x v="2"/>
    <x v="1"/>
    <n v="4"/>
    <n v="4.3833333334769122"/>
    <n v="4.1352201259216154E-2"/>
    <n v="20.386635220793565"/>
    <n v="4.6509433962264151"/>
    <x v="166"/>
  </r>
  <r>
    <x v="11"/>
    <x v="0"/>
    <n v="66"/>
    <n v="310"/>
    <d v="2014-04-24T14:58:00"/>
    <d v="2014-04-24T20:01:00"/>
    <n v="475"/>
    <n v="530"/>
    <n v="493"/>
    <s v="Pulverizer mills"/>
    <s v="F7801B coal mill caught fire and the 1A and 1D mills were unavailable requiring unit d"/>
    <s v="Trimble"/>
    <x v="0"/>
    <s v="Coal"/>
    <x v="2"/>
    <x v="1"/>
    <n v="4"/>
    <n v="5.0499999998719431"/>
    <n v="0.52405660376029595"/>
    <n v="258.35990565382588"/>
    <n v="51.160377358490564"/>
    <x v="3"/>
  </r>
  <r>
    <x v="11"/>
    <x v="0"/>
    <n v="67"/>
    <n v="1455"/>
    <d v="2014-04-24T20:01:00"/>
    <d v="2014-05-09T00:24:00"/>
    <n v="525"/>
    <n v="530"/>
    <n v="493"/>
    <s v="Induced draft fans"/>
    <s v="F8501B ID fan vibrations are high requiring unit derate to keep the vibrations within "/>
    <s v="Trimble"/>
    <x v="0"/>
    <s v="Coal"/>
    <x v="2"/>
    <x v="1"/>
    <n v="4"/>
    <n v="340.38333333347691"/>
    <n v="3.211163522013933"/>
    <n v="1583.103616352869"/>
    <n v="4.6509433962264151"/>
    <x v="166"/>
  </r>
  <r>
    <x v="11"/>
    <x v="0"/>
    <n v="68"/>
    <n v="310"/>
    <d v="2014-04-29T09:00:00"/>
    <d v="2014-04-29T16:33:00"/>
    <n v="500"/>
    <n v="530"/>
    <n v="493"/>
    <s v="Pulverizer mills"/>
    <s v="F850Unit derated an additional 25 MW due to various mill issues during this period.  A"/>
    <s v="Trimble"/>
    <x v="0"/>
    <s v="Coal"/>
    <x v="2"/>
    <x v="1"/>
    <n v="4"/>
    <n v="7.5499999999883585"/>
    <n v="0.42735849056537878"/>
    <n v="210.68773584873173"/>
    <n v="27.90566037735849"/>
    <x v="67"/>
  </r>
  <r>
    <x v="11"/>
    <x v="4"/>
    <n v="69"/>
    <n v="1495"/>
    <d v="2014-05-09T00:24:00"/>
    <d v="2014-05-12T10:31:00"/>
    <n v="0"/>
    <n v="530"/>
    <n v="493"/>
    <s v="Other air heater fouling (heat pipe"/>
    <s v="F320TC1 required a maintenance outage to conduct an air heater wash due to increased d"/>
    <s v="Trimble"/>
    <x v="2"/>
    <s v="Coal"/>
    <x v="2"/>
    <x v="1"/>
    <n v="5"/>
    <n v="82.116666666639503"/>
    <n v="82.116666666639503"/>
    <n v="40483.516666653275"/>
    <n v="493"/>
    <x v="296"/>
  </r>
  <r>
    <x v="11"/>
    <x v="3"/>
    <n v="70"/>
    <n v="1850"/>
    <d v="2014-05-12T20:04:00"/>
    <d v="2014-05-13T00:24:00"/>
    <n v="0"/>
    <n v="530"/>
    <n v="493"/>
    <s v="Boiler water condition (not feedwater water quality)"/>
    <s v="FA00This non-curtailing derate was due to a silica hold on the unit until boiler water"/>
    <s v="Trimble"/>
    <x v="1"/>
    <s v="Coal"/>
    <x v="2"/>
    <x v="1"/>
    <n v="5"/>
    <n v="4.3333333334885538"/>
    <n v="4.3333333334885538"/>
    <n v="2136.333333409857"/>
    <n v="493"/>
    <x v="296"/>
  </r>
  <r>
    <x v="11"/>
    <x v="3"/>
    <n v="71"/>
    <n v="8813"/>
    <d v="2014-05-20T08:15:00"/>
    <d v="2014-05-20T18:15:00"/>
    <n v="0"/>
    <n v="530"/>
    <n v="493"/>
    <s v="SCR NOx Injection grid piping/valves"/>
    <s v="F790Testing of the TC1 SCR was conducted to compare inlet/outlet/CEMS data for SCR NOx"/>
    <s v="Trimble"/>
    <x v="1"/>
    <s v="Coal"/>
    <x v="2"/>
    <x v="1"/>
    <n v="5"/>
    <n v="9.9999999999417923"/>
    <n v="9.9999999999417923"/>
    <n v="4929.9999999713036"/>
    <n v="493"/>
    <x v="296"/>
  </r>
  <r>
    <x v="11"/>
    <x v="0"/>
    <n v="72"/>
    <n v="330"/>
    <d v="2014-05-21T05:29:00"/>
    <d v="2014-05-21T06:15:00"/>
    <n v="525"/>
    <n v="530"/>
    <n v="493"/>
    <s v="Pulverizer coal leak (pulverizers only)"/>
    <s v="F540Derate was required on TC1 to 525MW due to a coal leak on the 1E mill.  The 1C Mil"/>
    <s v="Trimble"/>
    <x v="0"/>
    <s v="Coal"/>
    <x v="2"/>
    <x v="1"/>
    <n v="5"/>
    <n v="0.76666666654637083"/>
    <n v="7.2327044013808569E-3"/>
    <n v="3.5657232698807624"/>
    <n v="4.6509433962264151"/>
    <x v="166"/>
  </r>
  <r>
    <x v="11"/>
    <x v="3"/>
    <n v="73"/>
    <n v="8813"/>
    <d v="2014-05-21T07:17:00"/>
    <d v="2014-05-21T17:30:00"/>
    <n v="0"/>
    <n v="530"/>
    <n v="493"/>
    <s v="SCR NOx Injection grid piping/valves"/>
    <s v="F790Testing of the TC1 SCR was conducted to compare inlet/outlet/CEMS data for SCR NOx"/>
    <s v="Trimble"/>
    <x v="1"/>
    <s v="Coal"/>
    <x v="2"/>
    <x v="1"/>
    <n v="5"/>
    <n v="10.21666666661622"/>
    <n v="10.21666666661622"/>
    <n v="5036.8166666417965"/>
    <n v="493"/>
    <x v="296"/>
  </r>
  <r>
    <x v="11"/>
    <x v="3"/>
    <n v="74"/>
    <n v="8813"/>
    <d v="2014-05-22T06:25:00"/>
    <d v="2014-05-22T11:10:00"/>
    <n v="0"/>
    <n v="530"/>
    <n v="493"/>
    <s v="SCR NOx Injection grid piping/valves"/>
    <s v="F790Testing of the TC1 SCR was conducted to compare inlet/outlet/CEMS data for SCR NOx"/>
    <s v="Trimble"/>
    <x v="1"/>
    <s v="Coal"/>
    <x v="2"/>
    <x v="1"/>
    <n v="5"/>
    <n v="4.7500000001164153"/>
    <n v="4.7500000001164153"/>
    <n v="2341.7500000573928"/>
    <n v="493"/>
    <x v="296"/>
  </r>
  <r>
    <x v="11"/>
    <x v="0"/>
    <n v="75"/>
    <n v="1420"/>
    <d v="2014-05-22T13:38:00"/>
    <d v="2014-05-27T11:04:00"/>
    <n v="530"/>
    <n v="530"/>
    <n v="493"/>
    <s v="Other forced draft fan problems"/>
    <s v="F640Derate to 530MW is required on TC1 due to high air flow on the unit from excess st"/>
    <s v="Trimble"/>
    <x v="0"/>
    <s v="Coal"/>
    <x v="2"/>
    <x v="1"/>
    <n v="5"/>
    <n v="117.43333333317423"/>
    <n v="0"/>
    <n v="0"/>
    <n v="0"/>
    <x v="152"/>
  </r>
  <r>
    <x v="11"/>
    <x v="3"/>
    <n v="76"/>
    <n v="4267"/>
    <d v="2014-05-25T01:00:00"/>
    <d v="2014-05-25T01:30:00"/>
    <n v="0"/>
    <n v="530"/>
    <n v="493"/>
    <s v="Control valve testing"/>
    <s v="F790Non-curtailing derate to 485MW for a weekly valve check on the unit.  Unit was rea"/>
    <s v="Trimble"/>
    <x v="1"/>
    <s v="Coal"/>
    <x v="2"/>
    <x v="1"/>
    <n v="5"/>
    <n v="0.50000000005820766"/>
    <n v="0.50000000005820766"/>
    <n v="246.50000002869638"/>
    <n v="493"/>
    <x v="296"/>
  </r>
  <r>
    <x v="11"/>
    <x v="0"/>
    <n v="77"/>
    <n v="1470"/>
    <d v="2014-05-29T13:58:00"/>
    <d v="2014-05-29T15:00:00"/>
    <n v="530"/>
    <n v="530"/>
    <n v="493"/>
    <s v="Induced draft fan motors and drives"/>
    <s v="F870Derate to 530MW due to high amps on the ID Fans."/>
    <s v="Trimble"/>
    <x v="0"/>
    <s v="Coal"/>
    <x v="2"/>
    <x v="1"/>
    <n v="5"/>
    <n v="1.03333333338378"/>
    <n v="0"/>
    <n v="0"/>
    <n v="0"/>
    <x v="152"/>
  </r>
  <r>
    <x v="11"/>
    <x v="2"/>
    <n v="78"/>
    <n v="1305"/>
    <d v="2014-06-04T23:04:00"/>
    <d v="2014-06-05T01:04:00"/>
    <n v="450"/>
    <n v="530"/>
    <n v="493"/>
    <s v="Fireside cleaning (which requires a full outage) Use code 1200 for cleanings that cause deratings."/>
    <s v="FS00TC1 had a planned maintenance derate to conduct a boiler deslag on the furnace."/>
    <s v="Trimble"/>
    <x v="0"/>
    <s v="Coal"/>
    <x v="2"/>
    <x v="1"/>
    <n v="6"/>
    <n v="2.0000000000582077"/>
    <n v="0.30188679246161626"/>
    <n v="148.83018868357681"/>
    <n v="74.415094339622641"/>
    <x v="29"/>
  </r>
  <r>
    <x v="11"/>
    <x v="3"/>
    <n v="79"/>
    <n v="1599"/>
    <d v="2014-06-10T08:45:00"/>
    <d v="2014-06-10T09:38:00"/>
    <n v="0"/>
    <n v="530"/>
    <n v="493"/>
    <s v="Other miscellaneous boiler air and gas system problems"/>
    <s v="F090Unit was not derated, but load was controlled to allow for O2 probe calibration."/>
    <s v="Trimble"/>
    <x v="1"/>
    <s v="Coal"/>
    <x v="2"/>
    <x v="1"/>
    <n v="6"/>
    <n v="0.88333333324408159"/>
    <n v="0.88333333324408159"/>
    <n v="435.48333328933222"/>
    <n v="493"/>
    <x v="296"/>
  </r>
  <r>
    <x v="11"/>
    <x v="2"/>
    <n v="80"/>
    <n v="1160"/>
    <d v="2014-06-11T04:00:00"/>
    <d v="2014-06-11T05:25:00"/>
    <n v="450"/>
    <n v="530"/>
    <n v="493"/>
    <s v="First reheater B"/>
    <s v="F410Planned maintenance derate to allow I/E to work on the valve controls for the Rehe"/>
    <s v="Trimble"/>
    <x v="0"/>
    <s v="Coal"/>
    <x v="2"/>
    <x v="1"/>
    <n v="6"/>
    <n v="1.4166666667442769"/>
    <n v="0.21383647799913613"/>
    <n v="105.42138365357411"/>
    <n v="74.415094339622641"/>
    <x v="29"/>
  </r>
  <r>
    <x v="11"/>
    <x v="0"/>
    <n v="81"/>
    <n v="360"/>
    <d v="2014-06-11T08:58:00"/>
    <d v="2014-06-12T00:32:00"/>
    <n v="525"/>
    <n v="530"/>
    <n v="493"/>
    <s v="Burners"/>
    <s v="F130Derate to 525 required due to 1A and 1E coal mill having blanked burners."/>
    <s v="Trimble"/>
    <x v="0"/>
    <s v="Coal"/>
    <x v="2"/>
    <x v="1"/>
    <n v="6"/>
    <n v="15.566666666592937"/>
    <n v="0.14685534591125413"/>
    <n v="72.399685534248277"/>
    <n v="4.6509433962264151"/>
    <x v="166"/>
  </r>
  <r>
    <x v="11"/>
    <x v="5"/>
    <n v="82"/>
    <n v="1457"/>
    <d v="2014-06-12T00:32:00"/>
    <d v="2014-06-12T01:21:00"/>
    <n v="0"/>
    <n v="530"/>
    <n v="493"/>
    <s v="Induced draft fan lubrication systems"/>
    <s v="F820During a lube oil pump swap for the 1A ID Fan, the second lube oil pump failed to "/>
    <s v="Trimble"/>
    <x v="3"/>
    <s v="Coal"/>
    <x v="2"/>
    <x v="1"/>
    <n v="6"/>
    <n v="0.81666666670935228"/>
    <n v="0.81666666670935228"/>
    <n v="402.61666668771068"/>
    <n v="493"/>
    <x v="296"/>
  </r>
  <r>
    <x v="11"/>
    <x v="0"/>
    <n v="83"/>
    <n v="360"/>
    <d v="2014-06-12T03:17:00"/>
    <d v="2014-06-12T08:20:00"/>
    <n v="525"/>
    <n v="530"/>
    <n v="493"/>
    <s v="Burners"/>
    <s v="F130Derate to 525MW was required due to 1A and 1E coal mills still having burners blan"/>
    <s v="Trimble"/>
    <x v="0"/>
    <s v="Coal"/>
    <x v="2"/>
    <x v="1"/>
    <n v="6"/>
    <n v="5.0499999998719431"/>
    <n v="4.7641509432754178E-2"/>
    <n v="23.487264150347809"/>
    <n v="4.6509433962264151"/>
    <x v="166"/>
  </r>
  <r>
    <x v="11"/>
    <x v="0"/>
    <n v="84"/>
    <n v="346"/>
    <d v="2014-06-12T08:20:00"/>
    <d v="2014-06-12T09:21:00"/>
    <n v="475"/>
    <n v="530"/>
    <n v="493"/>
    <s v="Pulverizer pyrite removal system"/>
    <s v="F820While pullling pyrites on the 1E coal mill, a failed pyrite valve resulted in the "/>
    <s v="Trimble"/>
    <x v="0"/>
    <s v="Coal"/>
    <x v="2"/>
    <x v="1"/>
    <n v="6"/>
    <n v="1.0166666666627862"/>
    <n v="0.10550314465368535"/>
    <n v="52.013050314266877"/>
    <n v="51.160377358490564"/>
    <x v="3"/>
  </r>
  <r>
    <x v="11"/>
    <x v="0"/>
    <n v="85"/>
    <n v="360"/>
    <d v="2014-06-12T09:21:00"/>
    <d v="2014-06-12T22:00:00"/>
    <n v="525"/>
    <n v="530"/>
    <n v="493"/>
    <s v="Burners"/>
    <s v="F130Derate of 525MW is required due to 1A and 1E coal mill having burners blanked off."/>
    <s v="Trimble"/>
    <x v="0"/>
    <s v="Coal"/>
    <x v="2"/>
    <x v="1"/>
    <n v="6"/>
    <n v="12.650000000023283"/>
    <n v="0.11933962264172908"/>
    <n v="58.834433962372437"/>
    <n v="4.6509433962264151"/>
    <x v="166"/>
  </r>
  <r>
    <x v="11"/>
    <x v="0"/>
    <n v="86"/>
    <n v="8825"/>
    <d v="2014-06-12T22:00:00"/>
    <d v="2014-06-13T03:00:00"/>
    <n v="375"/>
    <n v="530"/>
    <n v="493"/>
    <s v="Other SCR NOx problems"/>
    <s v="F540Derate to 375MW required to allow maintenance to repair a leak on the SCR water co"/>
    <s v="Trimble"/>
    <x v="0"/>
    <s v="Coal"/>
    <x v="2"/>
    <x v="1"/>
    <n v="6"/>
    <n v="5.0000000000582077"/>
    <n v="1.4622641509604193"/>
    <n v="720.89622642348672"/>
    <n v="144.17924528301887"/>
    <x v="250"/>
  </r>
  <r>
    <x v="11"/>
    <x v="0"/>
    <n v="87"/>
    <n v="360"/>
    <d v="2014-06-13T03:00:00"/>
    <d v="2014-06-16T06:41:00"/>
    <n v="525"/>
    <n v="530"/>
    <n v="493"/>
    <s v="Burners"/>
    <s v="F130Derate of 525MW is required due to 1A and 1E coal mill having burners blanked off."/>
    <s v="Trimble"/>
    <x v="0"/>
    <s v="Coal"/>
    <x v="2"/>
    <x v="1"/>
    <n v="6"/>
    <n v="75.683333333290648"/>
    <n v="0.71399371069142126"/>
    <n v="351.99889937087067"/>
    <n v="4.6509433962264151"/>
    <x v="166"/>
  </r>
  <r>
    <x v="11"/>
    <x v="0"/>
    <n v="88"/>
    <n v="310"/>
    <d v="2014-06-16T06:41:00"/>
    <d v="2014-06-16T06:57:00"/>
    <n v="375"/>
    <n v="530"/>
    <n v="493"/>
    <s v="Pulverizer mills"/>
    <s v="F7801D coal mill caught fire and was removed from service causing load to drop to 375M"/>
    <s v="Trimble"/>
    <x v="0"/>
    <s v="Coal"/>
    <x v="2"/>
    <x v="1"/>
    <n v="6"/>
    <n v="0.26666666666278616"/>
    <n v="7.7987421382512939E-2"/>
    <n v="38.447798741578879"/>
    <n v="144.17924528301887"/>
    <x v="250"/>
  </r>
  <r>
    <x v="11"/>
    <x v="0"/>
    <n v="89"/>
    <n v="360"/>
    <d v="2014-06-16T06:57:00"/>
    <d v="2014-06-17T22:12:00"/>
    <n v="525"/>
    <n v="530"/>
    <n v="493"/>
    <s v="Burners"/>
    <s v="F130Derate of 525MW is required due to 1A and 1E coal mill having burners blanked off."/>
    <s v="Trimble"/>
    <x v="0"/>
    <s v="Coal"/>
    <x v="2"/>
    <x v="1"/>
    <n v="6"/>
    <n v="39.250000000116415"/>
    <n v="0.37028301886902276"/>
    <n v="182.54952830242823"/>
    <n v="4.6509433962264151"/>
    <x v="166"/>
  </r>
  <r>
    <x v="11"/>
    <x v="5"/>
    <n v="90"/>
    <n v="530"/>
    <d v="2014-06-17T22:12:00"/>
    <d v="2014-06-19T04:24:00"/>
    <n v="0"/>
    <n v="530"/>
    <n v="493"/>
    <s v="Other main steam system problems"/>
    <s v="F820A thermowell on the TC1 Main Steam line failed at a weld and caused a steam leak o"/>
    <s v="Trimble"/>
    <x v="3"/>
    <s v="Coal"/>
    <x v="2"/>
    <x v="1"/>
    <n v="6"/>
    <n v="30.199999999953434"/>
    <n v="30.199999999953434"/>
    <n v="14888.599999977043"/>
    <n v="493"/>
    <x v="296"/>
  </r>
  <r>
    <x v="11"/>
    <x v="0"/>
    <n v="91"/>
    <n v="350"/>
    <d v="2014-06-19T14:19:00"/>
    <d v="2014-06-19T15:40:00"/>
    <n v="500"/>
    <n v="530"/>
    <n v="493"/>
    <s v="Pulverized fuel and air piping (from pulverizer to wind box)"/>
    <s v="F540Derate required on the unit when the 1A coal conduit began leaking."/>
    <s v="Trimble"/>
    <x v="0"/>
    <s v="Coal"/>
    <x v="2"/>
    <x v="1"/>
    <n v="6"/>
    <n v="1.3500000000349246"/>
    <n v="7.6415094341599502E-2"/>
    <n v="37.672641510408553"/>
    <n v="27.90566037735849"/>
    <x v="67"/>
  </r>
  <r>
    <x v="11"/>
    <x v="3"/>
    <n v="92"/>
    <n v="1190"/>
    <d v="2014-07-05T00:00:00"/>
    <d v="2014-07-05T05:00:00"/>
    <n v="0"/>
    <n v="530"/>
    <n v="493"/>
    <s v="Other tube slagging or fouling"/>
    <s v="FS00Non-curtailing derate to conduct a boiler deslag on the unit. Unit was available t"/>
    <s v="Trimble"/>
    <x v="1"/>
    <s v="Coal"/>
    <x v="2"/>
    <x v="1"/>
    <n v="7"/>
    <n v="5.0000000000582077"/>
    <n v="5.0000000000582077"/>
    <n v="2465.0000000286964"/>
    <n v="493"/>
    <x v="296"/>
  </r>
  <r>
    <x v="11"/>
    <x v="3"/>
    <n v="93"/>
    <n v="4267"/>
    <d v="2014-07-06T01:00:00"/>
    <d v="2014-07-06T01:30:00"/>
    <n v="0"/>
    <n v="530"/>
    <n v="493"/>
    <s v="Control valve testing"/>
    <s v="F790Non-curtailing derate to conduct a valve test on the unit. Unit was available to r"/>
    <s v="Trimble"/>
    <x v="1"/>
    <s v="Coal"/>
    <x v="2"/>
    <x v="1"/>
    <n v="7"/>
    <n v="0.50000000005820766"/>
    <n v="0.50000000005820766"/>
    <n v="246.50000002869638"/>
    <n v="493"/>
    <x v="296"/>
  </r>
  <r>
    <x v="11"/>
    <x v="0"/>
    <n v="94"/>
    <n v="4267"/>
    <d v="2014-07-08T00:00:00"/>
    <d v="2014-07-08T00:08:00"/>
    <n v="450"/>
    <n v="530"/>
    <n v="493"/>
    <s v="Control valve testing"/>
    <s v="F790Derate required to conduct testing on control valves."/>
    <s v="Trimble"/>
    <x v="0"/>
    <s v="Coal"/>
    <x v="2"/>
    <x v="1"/>
    <n v="7"/>
    <n v="0.13333333341870457"/>
    <n v="2.0125786176408238E-2"/>
    <n v="9.9220125849692611"/>
    <n v="74.415094339622641"/>
    <x v="29"/>
  </r>
  <r>
    <x v="11"/>
    <x v="5"/>
    <n v="95"/>
    <n v="4267"/>
    <d v="2014-07-08T00:08:00"/>
    <d v="2014-07-08T04:12:00"/>
    <n v="0"/>
    <n v="530"/>
    <n v="493"/>
    <s v="Control valve testing"/>
    <s v="F820During the control valve testing and while changing out a servo filter, the unit w"/>
    <s v="Trimble"/>
    <x v="3"/>
    <s v="Coal"/>
    <x v="2"/>
    <x v="1"/>
    <n v="7"/>
    <n v="4.0666666666511446"/>
    <n v="4.0666666666511446"/>
    <n v="2004.8666666590143"/>
    <n v="493"/>
    <x v="296"/>
  </r>
  <r>
    <x v="11"/>
    <x v="5"/>
    <n v="96"/>
    <n v="3412"/>
    <d v="2014-07-08T05:41:00"/>
    <d v="2014-07-08T06:22:00"/>
    <n v="0"/>
    <n v="530"/>
    <n v="493"/>
    <s v="Feedwater pump drive - steam turbine"/>
    <s v="F820While ramping the unit from the initial forced outage, one of the turbine driven b"/>
    <s v="Trimble"/>
    <x v="3"/>
    <s v="Coal"/>
    <x v="2"/>
    <x v="1"/>
    <n v="7"/>
    <n v="0.68333333329064772"/>
    <n v="0.68333333329064772"/>
    <n v="336.88333331228932"/>
    <n v="493"/>
    <x v="296"/>
  </r>
  <r>
    <x v="11"/>
    <x v="4"/>
    <n v="97"/>
    <n v="1090"/>
    <d v="2014-07-19T00:07:00"/>
    <d v="2014-07-20T22:24:00"/>
    <n v="0"/>
    <n v="530"/>
    <n v="493"/>
    <s v="Other boiler tube leaks"/>
    <s v="F540Maintenance outage to inspect for an expected boiler tube leak in the penthouse. N"/>
    <s v="Trimble"/>
    <x v="2"/>
    <s v="Coal"/>
    <x v="2"/>
    <x v="1"/>
    <n v="7"/>
    <n v="46.283333333325572"/>
    <n v="46.283333333325572"/>
    <n v="22817.683333329507"/>
    <n v="493"/>
    <x v="296"/>
  </r>
  <r>
    <x v="11"/>
    <x v="0"/>
    <n v="98"/>
    <n v="3352"/>
    <d v="2014-07-21T08:24:00"/>
    <d v="2014-07-21T11:15:00"/>
    <n v="430"/>
    <n v="530"/>
    <n v="493"/>
    <s v="Feedwater chemistry (not specific to condenser"/>
    <s v="FA00Derate at 430MW due to silica levels in the feedwater chemistry."/>
    <s v="Trimble"/>
    <x v="0"/>
    <s v="Coal"/>
    <x v="2"/>
    <x v="1"/>
    <n v="7"/>
    <n v="2.8500000000349246"/>
    <n v="0.53773584906319327"/>
    <n v="265.1037735881543"/>
    <n v="93.018867924528308"/>
    <x v="129"/>
  </r>
  <r>
    <x v="11"/>
    <x v="0"/>
    <n v="99"/>
    <n v="3352"/>
    <d v="2014-07-21T11:15:00"/>
    <d v="2014-07-21T22:30:00"/>
    <n v="530"/>
    <n v="530"/>
    <n v="493"/>
    <s v="Feedwater chemistry (not specific to condenser"/>
    <s v="FA00Non-curtailing derate at 530MW due to silica levels in the feedwater chemistry."/>
    <s v="Trimble"/>
    <x v="0"/>
    <s v="Coal"/>
    <x v="2"/>
    <x v="1"/>
    <n v="7"/>
    <n v="11.25"/>
    <n v="0"/>
    <n v="0"/>
    <n v="0"/>
    <x v="152"/>
  </r>
  <r>
    <x v="11"/>
    <x v="3"/>
    <n v="100"/>
    <n v="4267"/>
    <d v="2014-07-31T07:40:00"/>
    <d v="2014-07-31T11:25:00"/>
    <n v="0"/>
    <n v="530"/>
    <n v="493"/>
    <s v="Control valve testing"/>
    <s v="F790Non-curtailing full load test on the turbine control valves."/>
    <s v="Trimble"/>
    <x v="1"/>
    <s v="Coal"/>
    <x v="2"/>
    <x v="1"/>
    <n v="7"/>
    <n v="3.75"/>
    <n v="3.75"/>
    <n v="1848.75"/>
    <n v="493"/>
    <x v="296"/>
  </r>
  <r>
    <x v="11"/>
    <x v="4"/>
    <n v="101"/>
    <n v="4261"/>
    <d v="2014-08-01T00:24:00"/>
    <d v="2014-08-03T23:38:00"/>
    <n v="0"/>
    <n v="530"/>
    <n v="493"/>
    <s v="Control valves"/>
    <s v="F720During a past control valve test, the #4 CV on TC1 stuck open twice.  This mainten"/>
    <s v="Trimble"/>
    <x v="2"/>
    <s v="Coal"/>
    <x v="2"/>
    <x v="1"/>
    <n v="8"/>
    <n v="71.233333333279006"/>
    <n v="71.233333333279006"/>
    <n v="35118.03333330655"/>
    <n v="493"/>
    <x v="296"/>
  </r>
  <r>
    <x v="11"/>
    <x v="2"/>
    <n v="102"/>
    <n v="4279"/>
    <d v="2014-08-08T00:00:00"/>
    <d v="2014-08-08T00:44:00"/>
    <n v="450"/>
    <n v="530"/>
    <n v="493"/>
    <s v="Miscellaneous turbine piping"/>
    <s v="F540Maintenance derate to repair the Reheat Spray Line reference line."/>
    <s v="Trimble"/>
    <x v="0"/>
    <s v="Coal"/>
    <x v="2"/>
    <x v="1"/>
    <n v="8"/>
    <n v="0.73333333327900618"/>
    <n v="0.11069182389117074"/>
    <n v="54.571069178347173"/>
    <n v="74.415094339622641"/>
    <x v="29"/>
  </r>
  <r>
    <x v="11"/>
    <x v="3"/>
    <n v="103"/>
    <n v="3624"/>
    <d v="2014-08-14T10:15:00"/>
    <d v="2014-08-14T12:30:00"/>
    <n v="0"/>
    <n v="530"/>
    <n v="493"/>
    <s v="Generator Voltage Supply System"/>
    <s v="F790Non-curtailing event to conduct VAR testing.  Unit was at full load but removed fr"/>
    <s v="Trimble"/>
    <x v="1"/>
    <s v="Coal"/>
    <x v="2"/>
    <x v="1"/>
    <n v="8"/>
    <n v="2.25"/>
    <n v="2.25"/>
    <n v="1109.25"/>
    <n v="493"/>
    <x v="296"/>
  </r>
  <r>
    <x v="11"/>
    <x v="3"/>
    <n v="104"/>
    <n v="1190"/>
    <d v="2014-08-17T00:00:00"/>
    <d v="2014-08-17T08:24:00"/>
    <n v="0"/>
    <n v="530"/>
    <n v="493"/>
    <s v="Other tube slagging or fouling"/>
    <s v="FS00Non-curtailing derate to conduct planned boiler deslag.  Unit was available to ret"/>
    <s v="Trimble"/>
    <x v="1"/>
    <s v="Coal"/>
    <x v="2"/>
    <x v="1"/>
    <n v="8"/>
    <n v="8.3999999999650754"/>
    <n v="8.3999999999650754"/>
    <n v="4141.1999999827822"/>
    <n v="493"/>
    <x v="296"/>
  </r>
  <r>
    <x v="11"/>
    <x v="3"/>
    <n v="105"/>
    <n v="1990"/>
    <d v="2014-08-20T08:45:00"/>
    <d v="2014-08-20T14:35:00"/>
    <n v="0"/>
    <n v="530"/>
    <n v="493"/>
    <s v="Boiler performance testing (use code 9999 for total unit performance testing)"/>
    <s v="F790Non-curtailing derate to conduct heat rate test on the unit.  Unit was removed fro"/>
    <s v="Trimble"/>
    <x v="1"/>
    <s v="Coal"/>
    <x v="2"/>
    <x v="1"/>
    <n v="8"/>
    <n v="5.8333333333139308"/>
    <n v="5.8333333333139308"/>
    <n v="2875.8333333237679"/>
    <n v="493"/>
    <x v="296"/>
  </r>
  <r>
    <x v="11"/>
    <x v="0"/>
    <n v="106"/>
    <n v="346"/>
    <d v="2014-08-20T16:15:00"/>
    <d v="2014-08-20T18:19:00"/>
    <n v="470"/>
    <n v="530"/>
    <n v="493"/>
    <s v="Pulverizer pyrite removal system"/>
    <s v="F400A malfunctioning pyrite disposal valve caused water to backup into the mill requir"/>
    <s v="Trimble"/>
    <x v="0"/>
    <s v="Coal"/>
    <x v="2"/>
    <x v="1"/>
    <n v="8"/>
    <n v="2.066666666592937"/>
    <n v="0.23396226414259663"/>
    <n v="115.34339622230014"/>
    <n v="55.811320754716981"/>
    <x v="123"/>
  </r>
  <r>
    <x v="11"/>
    <x v="0"/>
    <n v="107"/>
    <n v="340"/>
    <d v="2014-08-21T13:55:00"/>
    <d v="2014-08-21T15:12:00"/>
    <n v="460"/>
    <n v="530"/>
    <n v="493"/>
    <s v="Other pulverizer problems"/>
    <s v="F120B Mill issues requiring isolation for cleaning of duct work and I/E to clear instr"/>
    <s v="Trimble"/>
    <x v="0"/>
    <s v="Coal"/>
    <x v="2"/>
    <x v="1"/>
    <n v="8"/>
    <n v="1.2833333333255723"/>
    <n v="0.1694968553448869"/>
    <n v="83.561949685029248"/>
    <n v="65.113207547169807"/>
    <x v="127"/>
  </r>
  <r>
    <x v="11"/>
    <x v="0"/>
    <n v="108"/>
    <n v="340"/>
    <d v="2014-08-21T15:12:00"/>
    <d v="2014-08-22T04:28:00"/>
    <n v="535"/>
    <n v="530"/>
    <n v="493"/>
    <s v="Other pulverizer problems"/>
    <s v="F120B Mill issues requiring isolation for cleaning of duct work and I/E to clear instr"/>
    <s v="Trimble"/>
    <x v="0"/>
    <s v="Coal"/>
    <x v="2"/>
    <x v="1"/>
    <n v="8"/>
    <n v="13.266666666779201"/>
    <n v="-0.12515723270546417"/>
    <n v="-61.702515723793837"/>
    <n v="0"/>
    <x v="152"/>
  </r>
  <r>
    <x v="11"/>
    <x v="0"/>
    <n v="109"/>
    <n v="280"/>
    <d v="2014-08-23T19:42:00"/>
    <d v="2014-08-24T01:46:00"/>
    <n v="525"/>
    <n v="530"/>
    <n v="493"/>
    <s v="Pulverizer fires"/>
    <s v="F780B Coal mill caught fire.  Removed from service to clear out mill."/>
    <s v="Trimble"/>
    <x v="0"/>
    <s v="Coal"/>
    <x v="2"/>
    <x v="1"/>
    <n v="8"/>
    <n v="6.0666666667093523"/>
    <n v="5.7232704402918416E-2"/>
    <n v="28.215723270638779"/>
    <n v="4.6509433962264151"/>
    <x v="166"/>
  </r>
  <r>
    <x v="11"/>
    <x v="0"/>
    <n v="110"/>
    <n v="280"/>
    <d v="2014-08-24T06:00:00"/>
    <d v="2014-08-24T06:58:00"/>
    <n v="375"/>
    <n v="530"/>
    <n v="493"/>
    <s v="Pulverizer fires"/>
    <s v="F780Fires in the A and B mills required derate for mill isolation and clear out."/>
    <s v="Trimble"/>
    <x v="0"/>
    <s v="Coal"/>
    <x v="2"/>
    <x v="1"/>
    <n v="8"/>
    <n v="0.96666666667442769"/>
    <n v="0.282704402517993"/>
    <n v="139.37327044137055"/>
    <n v="144.17924528301887"/>
    <x v="250"/>
  </r>
  <r>
    <x v="11"/>
    <x v="0"/>
    <n v="111"/>
    <n v="1455"/>
    <d v="2014-08-27T12:37:00"/>
    <d v="2014-08-27T12:53:00"/>
    <n v="540"/>
    <n v="530"/>
    <n v="493"/>
    <s v="Induced draft fans"/>
    <s v="F640Derate on the unit due to ID fans experiencing high amps.  Load was reduced until "/>
    <s v="Trimble"/>
    <x v="0"/>
    <s v="Coal"/>
    <x v="2"/>
    <x v="1"/>
    <n v="8"/>
    <n v="0.26666666683740914"/>
    <n v="-5.0314465441020596E-3"/>
    <n v="-2.4805031462423153"/>
    <n v="0"/>
    <x v="152"/>
  </r>
  <r>
    <x v="11"/>
    <x v="0"/>
    <n v="112"/>
    <n v="4261"/>
    <d v="2014-08-31T01:45:00"/>
    <d v="2014-08-31T06:10:00"/>
    <n v="460"/>
    <n v="530"/>
    <n v="493"/>
    <s v="Control valves"/>
    <s v="F690Derate was placed on the unit due to #3 CV not operating correctly.  Troubleshooti"/>
    <s v="Trimble"/>
    <x v="0"/>
    <s v="Coal"/>
    <x v="2"/>
    <x v="1"/>
    <n v="8"/>
    <n v="4.4166666667442769"/>
    <n v="0.58333333334358373"/>
    <n v="287.58333333838675"/>
    <n v="65.113207547169807"/>
    <x v="127"/>
  </r>
  <r>
    <x v="11"/>
    <x v="0"/>
    <n v="113"/>
    <n v="4261"/>
    <d v="2014-08-31T06:10:00"/>
    <d v="2014-08-31T13:20:00"/>
    <n v="438"/>
    <n v="530"/>
    <n v="493"/>
    <s v="Control valves"/>
    <s v="F690Derate on the unit to troubleshoot #3 CV which was sticking during unit operation."/>
    <s v="Trimble"/>
    <x v="0"/>
    <s v="Coal"/>
    <x v="2"/>
    <x v="1"/>
    <n v="8"/>
    <n v="7.1666666666278616"/>
    <n v="1.2440251572259684"/>
    <n v="613.30440251240248"/>
    <n v="85.577358490566041"/>
    <x v="173"/>
  </r>
  <r>
    <x v="11"/>
    <x v="0"/>
    <n v="114"/>
    <n v="4261"/>
    <d v="2014-08-31T13:20:00"/>
    <d v="2014-08-31T15:36:00"/>
    <n v="460"/>
    <n v="530"/>
    <n v="493"/>
    <s v="Control valves"/>
    <s v="F690Derate on the unit to troubleshoot #3 CV which was sticking during unit operation."/>
    <s v="Trimble"/>
    <x v="0"/>
    <s v="Coal"/>
    <x v="2"/>
    <x v="1"/>
    <n v="8"/>
    <n v="2.2666666667209938"/>
    <n v="0.29937106918956524"/>
    <n v="147.58993711045565"/>
    <n v="65.113207547169807"/>
    <x v="127"/>
  </r>
  <r>
    <x v="11"/>
    <x v="4"/>
    <n v="115"/>
    <n v="4261"/>
    <d v="2014-08-31T15:36:00"/>
    <d v="2014-09-01T00:35:00"/>
    <n v="0"/>
    <n v="530"/>
    <n v="493"/>
    <s v="Control valves"/>
    <s v="F690TC1 was taken off line for maintenance and inspection of the #3 CV which would not"/>
    <s v="Trimble"/>
    <x v="2"/>
    <s v="Coal"/>
    <x v="2"/>
    <x v="1"/>
    <n v="8"/>
    <n v="8.9833333332790062"/>
    <n v="8.9833333332790062"/>
    <n v="4428.78333330655"/>
    <n v="493"/>
    <x v="296"/>
  </r>
  <r>
    <x v="11"/>
    <x v="0"/>
    <n v="116"/>
    <n v="530"/>
    <d v="2014-09-04T10:15:00"/>
    <d v="2014-09-04T11:00:00"/>
    <n v="450"/>
    <n v="530"/>
    <n v="493"/>
    <s v="Other main steam system problems"/>
    <s v="F660Unit was derated due to unit pressure swings from sootblower maintenance being con"/>
    <s v="Trimble"/>
    <x v="0"/>
    <s v="Coal"/>
    <x v="2"/>
    <x v="1"/>
    <n v="9"/>
    <n v="0.75"/>
    <n v="0.11320754716981132"/>
    <n v="55.811320754716981"/>
    <n v="74.415094339622641"/>
    <x v="29"/>
  </r>
  <r>
    <x v="11"/>
    <x v="0"/>
    <n v="117"/>
    <n v="410"/>
    <d v="2014-09-23T23:00:00"/>
    <d v="2014-09-24T03:07:00"/>
    <n v="400"/>
    <n v="530"/>
    <n v="493"/>
    <s v="Other burner problems"/>
    <s v="F780Unit derate was due to a C Coal Mill burner fire.  Took mill out of service then p"/>
    <s v="Trimble"/>
    <x v="0"/>
    <s v="Coal"/>
    <x v="2"/>
    <x v="1"/>
    <n v="9"/>
    <n v="4.1166666666395031"/>
    <n v="1.0097484276662931"/>
    <n v="497.80597483948253"/>
    <n v="120.9245283018868"/>
    <x v="277"/>
  </r>
  <r>
    <x v="11"/>
    <x v="0"/>
    <n v="118"/>
    <n v="310"/>
    <d v="2014-09-25T08:37:00"/>
    <d v="2014-09-25T15:44:00"/>
    <n v="515"/>
    <n v="530"/>
    <n v="493"/>
    <s v="Pulverizer mills"/>
    <s v="F780Unit derated due to two mills unavailable and limit on third mill:  1E mill out of"/>
    <s v="Trimble"/>
    <x v="0"/>
    <s v="Coal"/>
    <x v="2"/>
    <x v="1"/>
    <n v="9"/>
    <n v="7.1166666666395031"/>
    <n v="0.20141509433885385"/>
    <n v="99.297641509054955"/>
    <n v="13.952830188679245"/>
    <x v="61"/>
  </r>
  <r>
    <x v="11"/>
    <x v="3"/>
    <n v="119"/>
    <n v="1190"/>
    <d v="2014-09-27T00:00:00"/>
    <d v="2014-09-27T05:00:00"/>
    <n v="0"/>
    <n v="530"/>
    <n v="493"/>
    <s v="Other tube slagging or fouling"/>
    <s v="FS00Non-curtailing derate on the unit to conduct a planned unit deslag.  The unit was "/>
    <s v="Trimble"/>
    <x v="1"/>
    <s v="Coal"/>
    <x v="2"/>
    <x v="1"/>
    <n v="9"/>
    <n v="5.0000000000582077"/>
    <n v="5.0000000000582077"/>
    <n v="2465.0000000286964"/>
    <n v="493"/>
    <x v="296"/>
  </r>
  <r>
    <x v="11"/>
    <x v="3"/>
    <n v="120"/>
    <n v="4267"/>
    <d v="2014-09-28T00:00:00"/>
    <d v="2014-09-28T00:24:00"/>
    <n v="0"/>
    <n v="530"/>
    <n v="493"/>
    <s v="Control valve testing"/>
    <s v="F790Non-curtailing derate to conduct the planned, weekly valve test on the unit.  The "/>
    <s v="Trimble"/>
    <x v="1"/>
    <s v="Coal"/>
    <x v="2"/>
    <x v="1"/>
    <n v="9"/>
    <n v="0.40000000008149073"/>
    <n v="0.40000000008149073"/>
    <n v="197.20000004017493"/>
    <n v="493"/>
    <x v="296"/>
  </r>
  <r>
    <x v="11"/>
    <x v="0"/>
    <n v="121"/>
    <n v="310"/>
    <d v="2014-10-07T17:17:00"/>
    <d v="2014-10-07T17:54:00"/>
    <n v="517"/>
    <n v="530"/>
    <n v="493"/>
    <s v="Pulverizer mills"/>
    <s v="F400Derate placed on unit to 517MW due to air flow issues on the A, C, and D coal mill"/>
    <s v="Trimble"/>
    <x v="0"/>
    <s v="Coal"/>
    <x v="2"/>
    <x v="1"/>
    <n v="10"/>
    <n v="0.61666666675591841"/>
    <n v="1.5125786165711206E-2"/>
    <n v="7.4570125796956246"/>
    <n v="12.092452830188678"/>
    <x v="24"/>
  </r>
  <r>
    <x v="11"/>
    <x v="5"/>
    <n v="122"/>
    <n v="400"/>
    <d v="2014-10-07T18:30:00"/>
    <d v="2014-10-10T13:24:00"/>
    <n v="0"/>
    <n v="530"/>
    <n v="493"/>
    <s v="Burner wind box fires"/>
    <s v="FR00TC1 was taken offline due to a fire at the A3 burner windbox area.  Severe damager"/>
    <s v="Trimble"/>
    <x v="3"/>
    <s v="Coal"/>
    <x v="2"/>
    <x v="1"/>
    <n v="10"/>
    <n v="66.899999999965075"/>
    <n v="66.899999999965075"/>
    <n v="32981.699999982782"/>
    <n v="493"/>
    <x v="296"/>
  </r>
  <r>
    <x v="11"/>
    <x v="0"/>
    <n v="123"/>
    <n v="360"/>
    <d v="2014-10-10T20:50:00"/>
    <d v="2014-10-10T23:00:00"/>
    <n v="380"/>
    <n v="530"/>
    <n v="493"/>
    <s v="Burners"/>
    <s v="FR00Unit was derated when the C mill had a fire in the C2 burner in the insulation and"/>
    <s v="Trimble"/>
    <x v="0"/>
    <s v="Coal"/>
    <x v="2"/>
    <x v="1"/>
    <n v="10"/>
    <n v="2.1666666667442769"/>
    <n v="0.6132075471917765"/>
    <n v="302.31132076554582"/>
    <n v="139.52830188679246"/>
    <x v="135"/>
  </r>
  <r>
    <x v="11"/>
    <x v="0"/>
    <n v="124"/>
    <n v="360"/>
    <d v="2014-10-10T23:00:00"/>
    <d v="2014-10-11T03:10:00"/>
    <n v="460"/>
    <n v="530"/>
    <n v="493"/>
    <s v="Burners"/>
    <s v="FR00Following the return from the derate due to the C mill burner fire, the unit was a"/>
    <s v="Trimble"/>
    <x v="0"/>
    <s v="Coal"/>
    <x v="2"/>
    <x v="1"/>
    <n v="10"/>
    <n v="4.1666666666278616"/>
    <n v="0.55031446540367979"/>
    <n v="271.30503144401416"/>
    <n v="65.113207547169807"/>
    <x v="127"/>
  </r>
  <r>
    <x v="11"/>
    <x v="5"/>
    <n v="125"/>
    <n v="3410"/>
    <d v="2014-10-30T06:00:00"/>
    <d v="2014-10-30T07:49:00"/>
    <n v="0"/>
    <n v="530"/>
    <n v="493"/>
    <s v="Feedwater pump"/>
    <s v="F820TC1 tripped due to a feedwater and steam flow mismatch which resulted because of a"/>
    <s v="Trimble"/>
    <x v="3"/>
    <s v="Coal"/>
    <x v="2"/>
    <x v="1"/>
    <n v="10"/>
    <n v="1.8166666666511446"/>
    <n v="1.8166666666511446"/>
    <n v="895.6166666590143"/>
    <n v="493"/>
    <x v="296"/>
  </r>
  <r>
    <x v="11"/>
    <x v="0"/>
    <n v="126"/>
    <n v="4261"/>
    <d v="2014-10-31T21:51:00"/>
    <d v="2014-11-01T06:00:00"/>
    <n v="390"/>
    <n v="530"/>
    <n v="493"/>
    <s v="Control valves"/>
    <s v="F400The #3 control valve was drifting closed requiring a unit derate."/>
    <s v="Trimble"/>
    <x v="0"/>
    <s v="Coal"/>
    <x v="2"/>
    <x v="1"/>
    <n v="10"/>
    <n v="8.1500000000232831"/>
    <n v="2.1528301886853956"/>
    <n v="1061.3452830219001"/>
    <n v="130.22641509433961"/>
    <x v="50"/>
  </r>
  <r>
    <x v="11"/>
    <x v="0"/>
    <n v="127"/>
    <n v="4261"/>
    <d v="2014-11-01T06:00:00"/>
    <d v="2014-11-01T22:45:00"/>
    <n v="380"/>
    <n v="530"/>
    <n v="493"/>
    <s v="Control valves"/>
    <s v="F400The #3 control valve continued drifting closed and required a slightly further der"/>
    <s v="Trimble"/>
    <x v="0"/>
    <s v="Coal"/>
    <x v="2"/>
    <x v="1"/>
    <n v="11"/>
    <n v="16.749999999941792"/>
    <n v="4.7405660377193755"/>
    <n v="2337.0990565956522"/>
    <n v="139.52830188679246"/>
    <x v="135"/>
  </r>
  <r>
    <x v="11"/>
    <x v="5"/>
    <n v="128"/>
    <n v="4261"/>
    <d v="2014-11-01T22:45:00"/>
    <d v="2014-11-02T12:03:00"/>
    <n v="0"/>
    <n v="530"/>
    <n v="493"/>
    <s v="Control valves"/>
    <s v="F400The unit was taken offline to work on the #3 control valve which was found to have"/>
    <s v="Trimble"/>
    <x v="3"/>
    <s v="Coal"/>
    <x v="2"/>
    <x v="1"/>
    <n v="11"/>
    <n v="13.300000000046566"/>
    <n v="13.300000000046566"/>
    <n v="6556.9000000229571"/>
    <n v="493"/>
    <x v="296"/>
  </r>
  <r>
    <x v="11"/>
    <x v="0"/>
    <n v="129"/>
    <n v="3431"/>
    <d v="2014-11-02T22:00:00"/>
    <d v="2014-11-03T01:10:00"/>
    <n v="485"/>
    <n v="530"/>
    <n v="493"/>
    <s v="Other feedwater valves"/>
    <s v="F130The 1A TDBFP discharge valve won't open requiring a unit derate."/>
    <s v="Trimble"/>
    <x v="0"/>
    <s v="Coal"/>
    <x v="2"/>
    <x v="1"/>
    <n v="11"/>
    <n v="3.1666666666860692"/>
    <n v="0.26886792452994929"/>
    <n v="132.551886793265"/>
    <n v="41.858490566037737"/>
    <x v="117"/>
  </r>
  <r>
    <x v="11"/>
    <x v="0"/>
    <n v="130"/>
    <n v="3431"/>
    <d v="2014-11-03T01:10:00"/>
    <d v="2014-11-03T13:10:00"/>
    <n v="515"/>
    <n v="530"/>
    <n v="493"/>
    <s v="Other feedwater valves"/>
    <s v="F130The 1A TDBFP discharge valve won't open requiring a unit derate."/>
    <s v="Trimble"/>
    <x v="0"/>
    <s v="Coal"/>
    <x v="2"/>
    <x v="1"/>
    <n v="11"/>
    <n v="12"/>
    <n v="0.33962264150943394"/>
    <n v="167.43396226415092"/>
    <n v="13.952830188679245"/>
    <x v="61"/>
  </r>
  <r>
    <x v="11"/>
    <x v="5"/>
    <n v="131"/>
    <n v="3412"/>
    <d v="2014-11-08T02:00:00"/>
    <d v="2014-11-08T04:54:00"/>
    <n v="0"/>
    <n v="530"/>
    <n v="493"/>
    <s v="Feedwater pump drive - steam turbine"/>
    <s v="F820The 1B TDBFP malfunctioned during the emergency governor test."/>
    <s v="Trimble"/>
    <x v="3"/>
    <s v="Coal"/>
    <x v="2"/>
    <x v="1"/>
    <n v="11"/>
    <n v="2.9000000000232831"/>
    <n v="2.9000000000232831"/>
    <n v="1429.7000000114786"/>
    <n v="493"/>
    <x v="296"/>
  </r>
  <r>
    <x v="11"/>
    <x v="0"/>
    <n v="132"/>
    <n v="340"/>
    <d v="2014-11-13T09:47:00"/>
    <d v="2014-11-13T11:36:00"/>
    <n v="520"/>
    <n v="530"/>
    <n v="493"/>
    <s v="Other pulverizer problems"/>
    <s v="F540Leak on the 1D coal mill hydraulic system caused a unit derate to 520MW."/>
    <s v="Trimble"/>
    <x v="0"/>
    <s v="Coal"/>
    <x v="2"/>
    <x v="1"/>
    <n v="11"/>
    <n v="1.8166666666511446"/>
    <n v="3.4276729559455557E-2"/>
    <n v="16.898427672811589"/>
    <n v="9.3018867924528301"/>
    <x v="94"/>
  </r>
  <r>
    <x v="11"/>
    <x v="0"/>
    <n v="133"/>
    <n v="3410"/>
    <d v="2014-11-16T06:30:00"/>
    <d v="2014-11-16T23:14:00"/>
    <n v="525"/>
    <n v="530"/>
    <n v="493"/>
    <s v="Feedwater pump"/>
    <s v="F540A leak on the 1B turbine driven boiler feed pump suction line caused a unit derate"/>
    <s v="Trimble"/>
    <x v="0"/>
    <s v="Coal"/>
    <x v="2"/>
    <x v="1"/>
    <n v="11"/>
    <n v="16.733333333220799"/>
    <n v="0.15786163521906413"/>
    <n v="77.825786162998611"/>
    <n v="4.6509433962264151"/>
    <x v="166"/>
  </r>
  <r>
    <x v="11"/>
    <x v="5"/>
    <n v="134"/>
    <n v="1455"/>
    <d v="2014-11-17T01:40:00"/>
    <d v="2014-11-17T15:28:00"/>
    <n v="0"/>
    <n v="530"/>
    <n v="493"/>
    <s v="Induced draft fans"/>
    <s v="F820Unit 1 went on a forced outage after the 1B ID fan tripped.  The trip on the ID fa"/>
    <s v="Trimble"/>
    <x v="3"/>
    <s v="Coal"/>
    <x v="2"/>
    <x v="1"/>
    <n v="11"/>
    <n v="13.799999999930151"/>
    <n v="13.799999999930151"/>
    <n v="6803.3999999655643"/>
    <n v="493"/>
    <x v="296"/>
  </r>
  <r>
    <x v="11"/>
    <x v="5"/>
    <n v="135"/>
    <n v="1400"/>
    <d v="2014-11-18T01:07:00"/>
    <d v="2014-11-18T03:03:00"/>
    <n v="0"/>
    <n v="530"/>
    <n v="493"/>
    <s v="Forced draft fans"/>
    <s v="F870TC1 is believe to have tripped due to the 1B FD fan having a power supply issue to"/>
    <s v="Trimble"/>
    <x v="3"/>
    <s v="Coal"/>
    <x v="2"/>
    <x v="1"/>
    <n v="11"/>
    <n v="1.9333333333488554"/>
    <n v="1.9333333333488554"/>
    <n v="953.1333333409857"/>
    <n v="493"/>
    <x v="296"/>
  </r>
  <r>
    <x v="11"/>
    <x v="3"/>
    <n v="136"/>
    <n v="9620"/>
    <d v="2014-11-18T14:00:00"/>
    <d v="2014-11-18T20:45:00"/>
    <n v="0"/>
    <n v="530"/>
    <n v="493"/>
    <s v="Particulate stack emissions (fossil)"/>
    <s v="F790Non-curtailing event on the unit to conduct PM testing, requirements for the test "/>
    <s v="Trimble"/>
    <x v="1"/>
    <s v="Coal"/>
    <x v="2"/>
    <x v="1"/>
    <n v="11"/>
    <n v="6.75"/>
    <n v="6.75"/>
    <n v="3327.75"/>
    <n v="493"/>
    <x v="296"/>
  </r>
  <r>
    <x v="11"/>
    <x v="5"/>
    <n v="137"/>
    <n v="740"/>
    <d v="2014-11-22T05:09:00"/>
    <d v="2014-11-22T21:51:00"/>
    <n v="0"/>
    <n v="530"/>
    <n v="493"/>
    <s v="Boiler recirculation pumps"/>
    <s v="F820TC1 MFT due to the BCP suction valves showing closed which was due to a DCS proces"/>
    <s v="Trimble"/>
    <x v="3"/>
    <s v="Coal"/>
    <x v="2"/>
    <x v="1"/>
    <n v="11"/>
    <n v="16.699999999953434"/>
    <n v="16.699999999953434"/>
    <n v="8233.0999999770429"/>
    <n v="493"/>
    <x v="296"/>
  </r>
  <r>
    <x v="11"/>
    <x v="0"/>
    <n v="138"/>
    <n v="310"/>
    <d v="2014-11-23T03:30:00"/>
    <d v="2014-11-23T04:19:00"/>
    <n v="400"/>
    <n v="530"/>
    <n v="493"/>
    <s v="Pulverizer mills"/>
    <s v="FR00Derate due to removal of the A coal mill from service as a result of the corner fi"/>
    <s v="Trimble"/>
    <x v="0"/>
    <s v="Coal"/>
    <x v="2"/>
    <x v="1"/>
    <n v="11"/>
    <n v="0.8166666665347293"/>
    <n v="0.20031446537644304"/>
    <n v="98.755031430586413"/>
    <n v="120.9245283018868"/>
    <x v="277"/>
  </r>
  <r>
    <x v="11"/>
    <x v="5"/>
    <n v="139"/>
    <n v="400"/>
    <d v="2014-11-23T04:19:00"/>
    <d v="2014-11-24T12:03:00"/>
    <n v="0"/>
    <n v="530"/>
    <n v="493"/>
    <s v="Burner wind box fires"/>
    <s v="FR00Following the burner fire the decision was made to remove the unit from service wh"/>
    <s v="Trimble"/>
    <x v="3"/>
    <s v="Coal"/>
    <x v="2"/>
    <x v="1"/>
    <n v="11"/>
    <n v="31.733333333395422"/>
    <n v="31.733333333395422"/>
    <n v="15644.533333363943"/>
    <n v="493"/>
    <x v="296"/>
  </r>
  <r>
    <x v="11"/>
    <x v="0"/>
    <n v="140"/>
    <n v="530"/>
    <d v="2014-12-07T09:41:00"/>
    <d v="2014-12-07T16:15:00"/>
    <n v="535"/>
    <n v="530"/>
    <n v="493"/>
    <s v="Other main steam system problems"/>
    <s v="F660Unit 2 using Unit 1 steam during Unit 2 start-up."/>
    <s v="Trimble"/>
    <x v="0"/>
    <s v="Coal"/>
    <x v="2"/>
    <x v="1"/>
    <n v="12"/>
    <n v="6.5666666667675599"/>
    <n v="-6.1949685535543017E-2"/>
    <n v="-30.541194969022708"/>
    <n v="0"/>
    <x v="152"/>
  </r>
  <r>
    <x v="11"/>
    <x v="0"/>
    <n v="141"/>
    <n v="300"/>
    <d v="2014-12-17T18:44:00"/>
    <d v="2014-12-18T05:30:00"/>
    <n v="530"/>
    <n v="530"/>
    <n v="493"/>
    <s v="Pulverizer motors and drives"/>
    <s v="F870Coal Pulverizer motor current increased above the high limit, forcing a derate."/>
    <s v="Trimble"/>
    <x v="0"/>
    <s v="Coal"/>
    <x v="2"/>
    <x v="1"/>
    <n v="12"/>
    <n v="10.766666666662786"/>
    <n v="0"/>
    <n v="0"/>
    <n v="0"/>
    <x v="152"/>
  </r>
  <r>
    <x v="11"/>
    <x v="0"/>
    <n v="142"/>
    <n v="300"/>
    <d v="2014-12-18T10:50:00"/>
    <d v="2014-12-18T23:49:00"/>
    <n v="540"/>
    <n v="530"/>
    <n v="493"/>
    <s v="Pulverizer motors and drives"/>
    <s v="F870Coal pulverizer motor current increased above the high limit, forcing a derate."/>
    <s v="Trimble"/>
    <x v="0"/>
    <s v="Coal"/>
    <x v="2"/>
    <x v="1"/>
    <n v="12"/>
    <n v="12.983333333220799"/>
    <n v="-0.2449685534569962"/>
    <n v="-120.76949685429912"/>
    <n v="0"/>
    <x v="152"/>
  </r>
  <r>
    <x v="11"/>
    <x v="0"/>
    <n v="143"/>
    <n v="300"/>
    <d v="2014-12-19T06:33:00"/>
    <d v="2014-12-21T00:40:00"/>
    <n v="530"/>
    <n v="530"/>
    <n v="493"/>
    <s v="Pulverizer motors and drives"/>
    <s v="F870Coal pulverizer motor current increased above the high limit, forcing a derate."/>
    <s v="Trimble"/>
    <x v="0"/>
    <s v="Coal"/>
    <x v="2"/>
    <x v="1"/>
    <n v="12"/>
    <n v="42.116666666697711"/>
    <n v="0"/>
    <n v="0"/>
    <n v="0"/>
    <x v="152"/>
  </r>
  <r>
    <x v="11"/>
    <x v="2"/>
    <n v="144"/>
    <n v="4267"/>
    <d v="2014-12-21T00:40:00"/>
    <d v="2014-12-21T01:09:00"/>
    <n v="485"/>
    <n v="530"/>
    <n v="493"/>
    <s v="Control valve testing"/>
    <s v="F790Derate to conduct turbine bypass control valve testing.  Unit was available for fu"/>
    <s v="Trimble"/>
    <x v="0"/>
    <s v="Coal"/>
    <x v="2"/>
    <x v="1"/>
    <n v="12"/>
    <n v="0.48333333333721384"/>
    <n v="4.1037735849386081E-2"/>
    <n v="20.231603773747338"/>
    <n v="41.858490566037737"/>
    <x v="117"/>
  </r>
  <r>
    <x v="11"/>
    <x v="0"/>
    <n v="145"/>
    <n v="300"/>
    <d v="2014-12-21T01:09:00"/>
    <d v="2014-12-21T08:30:00"/>
    <n v="530"/>
    <n v="530"/>
    <n v="493"/>
    <s v="Pulverizer motors and drives"/>
    <s v="F870Coal pulverizer motor current increased above the high limit, forcing a derate."/>
    <s v="Trimble"/>
    <x v="0"/>
    <s v="Coal"/>
    <x v="2"/>
    <x v="1"/>
    <n v="12"/>
    <n v="7.3499999998603016"/>
    <n v="0"/>
    <n v="0"/>
    <n v="0"/>
    <x v="152"/>
  </r>
  <r>
    <x v="11"/>
    <x v="0"/>
    <n v="146"/>
    <n v="300"/>
    <d v="2014-12-22T18:25:00"/>
    <d v="2014-12-23T07:53:00"/>
    <n v="530"/>
    <n v="530"/>
    <n v="493"/>
    <s v="Pulverizer motors and drives"/>
    <s v="F870Coal pulverizer motor current increased above the high limit, forcing a derate."/>
    <s v="Trimble"/>
    <x v="0"/>
    <s v="Coal"/>
    <x v="2"/>
    <x v="1"/>
    <n v="12"/>
    <n v="13.466666666732635"/>
    <n v="0"/>
    <n v="0"/>
    <n v="0"/>
    <x v="152"/>
  </r>
  <r>
    <x v="11"/>
    <x v="0"/>
    <n v="1"/>
    <n v="300"/>
    <d v="2015-01-05T18:00:00"/>
    <d v="2015-01-06T06:37:00"/>
    <n v="525"/>
    <n v="530"/>
    <n v="493"/>
    <s v="Pulverizer motors and drives"/>
    <s v="F870Coal Pulverizer motor current increased above the high limit, forcing a derate."/>
    <s v="Trimble"/>
    <x v="0"/>
    <s v="Coal"/>
    <x v="2"/>
    <x v="2"/>
    <n v="1"/>
    <n v="12.616666666581295"/>
    <n v="0.11902515723189902"/>
    <n v="58.679402515326217"/>
    <n v="4.6509433962264151"/>
    <x v="166"/>
  </r>
  <r>
    <x v="11"/>
    <x v="0"/>
    <n v="2"/>
    <n v="280"/>
    <d v="2015-01-14T10:18:00"/>
    <d v="2015-01-14T17:45:00"/>
    <n v="525"/>
    <n v="530"/>
    <n v="493"/>
    <s v="Pulverizer fires"/>
    <s v="FW00Derate due to 1A mill fire.  Mill was taken out of service, cleaned out, and inspe"/>
    <s v="Trimble"/>
    <x v="0"/>
    <s v="Coal"/>
    <x v="2"/>
    <x v="2"/>
    <n v="1"/>
    <n v="7.4500000000116415"/>
    <n v="7.0283018868034355E-2"/>
    <n v="34.64952830194094"/>
    <n v="4.6509433962264151"/>
    <x v="166"/>
  </r>
  <r>
    <x v="11"/>
    <x v="0"/>
    <n v="3"/>
    <n v="300"/>
    <d v="2015-01-14T17:45:00"/>
    <d v="2015-01-14T21:40:00"/>
    <n v="510"/>
    <n v="530"/>
    <n v="493"/>
    <s v="Pulverizer motors and drives"/>
    <s v="F400During mill swaps the mills experienced some high mill amps requiring a unit derat"/>
    <s v="Trimble"/>
    <x v="0"/>
    <s v="Coal"/>
    <x v="2"/>
    <x v="2"/>
    <n v="1"/>
    <n v="3.9166666666860692"/>
    <n v="0.14779874213909694"/>
    <n v="72.864779874574793"/>
    <n v="18.60377358490566"/>
    <x v="54"/>
  </r>
  <r>
    <x v="11"/>
    <x v="0"/>
    <n v="4"/>
    <n v="280"/>
    <d v="2015-01-18T23:30:00"/>
    <d v="2015-01-19T00:10:00"/>
    <n v="375"/>
    <n v="530"/>
    <n v="493"/>
    <s v="Pulverizer fires"/>
    <s v="FR00The 1D coal mill had a temperature spike which brought the mill offline.  Inspecti"/>
    <s v="Trimble"/>
    <x v="0"/>
    <s v="Coal"/>
    <x v="2"/>
    <x v="2"/>
    <n v="1"/>
    <n v="0.66666666674427688"/>
    <n v="0.19496855348181683"/>
    <n v="96.119496866535698"/>
    <n v="144.17924528301887"/>
    <x v="250"/>
  </r>
  <r>
    <x v="11"/>
    <x v="0"/>
    <n v="5"/>
    <n v="280"/>
    <d v="2015-01-19T00:10:00"/>
    <d v="2015-01-19T02:03:00"/>
    <n v="400"/>
    <n v="530"/>
    <n v="493"/>
    <s v="Pulverizer fires"/>
    <s v="FR00The 1D coal mill had a temperature spike which brought the mill offline.  Inspecti"/>
    <s v="Trimble"/>
    <x v="0"/>
    <s v="Coal"/>
    <x v="2"/>
    <x v="2"/>
    <n v="1"/>
    <n v="1.8833333333604969"/>
    <n v="0.46194968554125398"/>
    <n v="227.74119497183821"/>
    <n v="120.9245283018868"/>
    <x v="277"/>
  </r>
  <r>
    <x v="11"/>
    <x v="3"/>
    <n v="6"/>
    <n v="9656"/>
    <d v="2015-01-20T08:00:00"/>
    <d v="2015-01-20T16:50:00"/>
    <n v="0"/>
    <n v="530"/>
    <n v="493"/>
    <s v="Other stack or exhaust emissions testing - fossil"/>
    <s v="F790Non-curtailing event holding unit at full load to conduct RATA testing."/>
    <s v="Trimble"/>
    <x v="1"/>
    <s v="Coal"/>
    <x v="2"/>
    <x v="2"/>
    <n v="1"/>
    <n v="8.8333333333139308"/>
    <n v="8.8333333333139308"/>
    <n v="4354.8333333237679"/>
    <n v="493"/>
    <x v="296"/>
  </r>
  <r>
    <x v="11"/>
    <x v="3"/>
    <n v="7"/>
    <n v="9656"/>
    <d v="2015-01-21T09:00:00"/>
    <d v="2015-01-21T16:12:00"/>
    <n v="0"/>
    <n v="530"/>
    <n v="493"/>
    <s v="Other stack or exhaust emissions testing - fossil"/>
    <s v="F790Non-curtailing event holding unit at full load to conduct RATA testing."/>
    <s v="Trimble"/>
    <x v="1"/>
    <s v="Coal"/>
    <x v="2"/>
    <x v="2"/>
    <n v="1"/>
    <n v="7.2000000000698492"/>
    <n v="7.2000000000698492"/>
    <n v="3549.6000000344357"/>
    <n v="493"/>
    <x v="296"/>
  </r>
  <r>
    <x v="11"/>
    <x v="2"/>
    <n v="8"/>
    <n v="4261"/>
    <d v="2015-01-23T22:00:00"/>
    <d v="2015-01-24T08:00:00"/>
    <n v="380"/>
    <n v="530"/>
    <n v="493"/>
    <s v="Control valves"/>
    <s v="F790Variable load planned derate to conduct control valve testing and tuning on the un"/>
    <s v="Trimble"/>
    <x v="0"/>
    <s v="Coal"/>
    <x v="2"/>
    <x v="2"/>
    <n v="1"/>
    <n v="10.000000000116415"/>
    <n v="2.8301886792782307"/>
    <n v="1395.2830188841676"/>
    <n v="139.52830188679246"/>
    <x v="135"/>
  </r>
  <r>
    <x v="11"/>
    <x v="2"/>
    <n v="9"/>
    <n v="3431"/>
    <d v="2015-01-24T08:00:00"/>
    <d v="2015-01-24T14:34:00"/>
    <n v="525"/>
    <n v="530"/>
    <n v="493"/>
    <s v="Other feedwater valves"/>
    <s v="F790Derate to conduct governor trip test on the TDBFP's for TC1.  All tests completed "/>
    <s v="Trimble"/>
    <x v="0"/>
    <s v="Coal"/>
    <x v="2"/>
    <x v="2"/>
    <n v="1"/>
    <n v="6.566666666592937"/>
    <n v="6.1949685533895633E-2"/>
    <n v="30.541194968210547"/>
    <n v="4.6509433962264151"/>
    <x v="166"/>
  </r>
  <r>
    <x v="11"/>
    <x v="0"/>
    <n v="10"/>
    <n v="9999"/>
    <d v="2015-01-30T22:00:00"/>
    <d v="2015-01-30T23:00:00"/>
    <n v="362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1.0000000001164153"/>
    <n v="0.31698113211237317"/>
    <n v="156.27169813139997"/>
    <n v="156.27169811320755"/>
    <x v="103"/>
  </r>
  <r>
    <x v="11"/>
    <x v="0"/>
    <n v="11"/>
    <n v="9999"/>
    <d v="2015-01-30T23:00:00"/>
    <d v="2015-01-31T00:00:00"/>
    <n v="312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0.99999999994179234"/>
    <n v="0.41132075469303914"/>
    <n v="202.78113206366828"/>
    <n v="202.7811320754717"/>
    <x v="298"/>
  </r>
  <r>
    <x v="11"/>
    <x v="2"/>
    <n v="12"/>
    <n v="9999"/>
    <d v="2015-01-31T00:00:00"/>
    <d v="2015-01-31T01:00:00"/>
    <n v="305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0.99999999994179234"/>
    <n v="0.42452830186208168"/>
    <n v="209.29245281800627"/>
    <n v="209.29245283018867"/>
    <x v="231"/>
  </r>
  <r>
    <x v="11"/>
    <x v="2"/>
    <n v="13"/>
    <n v="9999"/>
    <d v="2015-01-31T01:00:00"/>
    <d v="2015-01-31T02:00:00"/>
    <n v="215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1.0000000001164153"/>
    <n v="0.59433962271069962"/>
    <n v="293.00943399637492"/>
    <n v="293.00943396226415"/>
    <x v="175"/>
  </r>
  <r>
    <x v="11"/>
    <x v="2"/>
    <n v="14"/>
    <n v="9999"/>
    <d v="2015-01-31T02:00:00"/>
    <d v="2015-01-31T03:00:00"/>
    <n v="205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0.99999999994179234"/>
    <n v="0.61320754713411796"/>
    <n v="302.31132073712013"/>
    <n v="302.31132075471697"/>
    <x v="299"/>
  </r>
  <r>
    <x v="11"/>
    <x v="2"/>
    <n v="15"/>
    <n v="9999"/>
    <d v="2015-01-31T03:00:00"/>
    <d v="2015-01-31T04:00:00"/>
    <n v="207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0.99999999994179234"/>
    <n v="0.60943396222867718"/>
    <n v="300.45094337873786"/>
    <n v="300.45094339622642"/>
    <x v="229"/>
  </r>
  <r>
    <x v="11"/>
    <x v="2"/>
    <n v="16"/>
    <n v="9999"/>
    <d v="2015-01-31T04:00:00"/>
    <d v="2015-01-31T05:00:00"/>
    <n v="248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1.0000000001164153"/>
    <n v="0.53207547176005499"/>
    <n v="262.31320757770709"/>
    <n v="262.31320754716984"/>
    <x v="134"/>
  </r>
  <r>
    <x v="11"/>
    <x v="2"/>
    <n v="17"/>
    <n v="9999"/>
    <d v="2015-01-31T05:00:00"/>
    <d v="2015-01-31T06:00:00"/>
    <n v="317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0.99999999994179234"/>
    <n v="0.40188679242943731"/>
    <n v="198.13018866771259"/>
    <n v="198.13018867924529"/>
    <x v="268"/>
  </r>
  <r>
    <x v="11"/>
    <x v="2"/>
    <n v="18"/>
    <n v="9999"/>
    <d v="2015-01-31T06:00:00"/>
    <d v="2015-01-31T07:00:00"/>
    <n v="347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0.99999999994179234"/>
    <n v="0.34528301884782642"/>
    <n v="170.22452829197843"/>
    <n v="170.22452830188681"/>
    <x v="245"/>
  </r>
  <r>
    <x v="11"/>
    <x v="2"/>
    <n v="19"/>
    <n v="9999"/>
    <d v="2015-01-31T07:00:00"/>
    <d v="2015-01-31T08:00:00"/>
    <n v="362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1.0000000001164153"/>
    <n v="0.31698113211237317"/>
    <n v="156.27169813139997"/>
    <n v="156.27169811320755"/>
    <x v="103"/>
  </r>
  <r>
    <x v="11"/>
    <x v="2"/>
    <n v="20"/>
    <n v="9999"/>
    <d v="2015-01-31T08:00:00"/>
    <d v="2015-01-31T09:00:00"/>
    <n v="466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0.99999999994179234"/>
    <n v="0.12075471697410323"/>
    <n v="59.53207546823289"/>
    <n v="59.532075471698114"/>
    <x v="11"/>
  </r>
  <r>
    <x v="11"/>
    <x v="2"/>
    <n v="21"/>
    <n v="9999"/>
    <d v="2015-01-31T09:00:00"/>
    <d v="2015-01-31T10:00:00"/>
    <n v="503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0.99999999994179234"/>
    <n v="5.0943396223449795E-2"/>
    <n v="25.115094338160748"/>
    <n v="25.11509433962264"/>
    <x v="80"/>
  </r>
  <r>
    <x v="11"/>
    <x v="2"/>
    <n v="22"/>
    <n v="9999"/>
    <d v="2015-01-31T10:00:00"/>
    <d v="2015-01-31T11:00:00"/>
    <n v="490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1.0000000001164153"/>
    <n v="7.5471698121993613E-2"/>
    <n v="37.207547174142853"/>
    <n v="37.20754716981132"/>
    <x v="12"/>
  </r>
  <r>
    <x v="11"/>
    <x v="2"/>
    <n v="23"/>
    <n v="9999"/>
    <d v="2015-01-31T11:00:00"/>
    <d v="2015-01-31T16:07:00"/>
    <n v="538"/>
    <n v="530"/>
    <n v="493"/>
    <s v="Total unit performance testing (use appropriate codes for individual component testing)"/>
    <s v="F790Derate for heat rate testing on the unit."/>
    <s v="Trimble"/>
    <x v="0"/>
    <s v="Coal"/>
    <x v="2"/>
    <x v="2"/>
    <n v="1"/>
    <n v="5.1166666665812954"/>
    <n v="-7.7232704401227106E-2"/>
    <n v="-38.075723269804961"/>
    <n v="0"/>
    <x v="152"/>
  </r>
  <r>
    <x v="11"/>
    <x v="0"/>
    <n v="24"/>
    <n v="870"/>
    <d v="2015-02-05T22:00:00"/>
    <d v="2015-02-06T00:01:00"/>
    <n v="400"/>
    <n v="530"/>
    <n v="493"/>
    <s v="Soot blowers - steam"/>
    <s v="F540Derate to repair leak in SH spray line, but job was cancelled due to load requirem"/>
    <s v="Trimble"/>
    <x v="0"/>
    <s v="Coal"/>
    <x v="2"/>
    <x v="2"/>
    <n v="2"/>
    <n v="2.0166666667792015"/>
    <n v="0.49465408807791733"/>
    <n v="243.86446542241325"/>
    <n v="120.9245283018868"/>
    <x v="277"/>
  </r>
  <r>
    <x v="11"/>
    <x v="2"/>
    <n v="25"/>
    <n v="280"/>
    <d v="2015-02-06T08:15:00"/>
    <d v="2015-02-06T09:20:00"/>
    <n v="375"/>
    <n v="530"/>
    <n v="493"/>
    <s v="Pulverizer fires"/>
    <s v="FR00Derate due to fire in 1B coal mill.  Mill taken out of service for inspection and "/>
    <s v="Trimble"/>
    <x v="0"/>
    <s v="Coal"/>
    <x v="2"/>
    <x v="2"/>
    <n v="2"/>
    <n v="1.0833333333721384"/>
    <n v="0.31682389938241784"/>
    <n v="156.19418239553198"/>
    <n v="144.17924528301887"/>
    <x v="250"/>
  </r>
  <r>
    <x v="11"/>
    <x v="0"/>
    <n v="26"/>
    <n v="280"/>
    <d v="2015-02-06T09:20:00"/>
    <d v="2015-02-06T09:40:00"/>
    <n v="496"/>
    <n v="530"/>
    <n v="493"/>
    <s v="Pulverizer fires"/>
    <s v="FR00Derate while bringing mill on-line following removal of 1B mill from service after"/>
    <s v="Trimble"/>
    <x v="0"/>
    <s v="Coal"/>
    <x v="2"/>
    <x v="2"/>
    <n v="2"/>
    <n v="0.33333333337213844"/>
    <n v="2.1383647801231524E-2"/>
    <n v="10.542138366007141"/>
    <n v="31.626415094339624"/>
    <x v="8"/>
  </r>
  <r>
    <x v="11"/>
    <x v="2"/>
    <n v="27"/>
    <n v="870"/>
    <d v="2015-02-07T00:00:00"/>
    <d v="2015-02-07T01:18:00"/>
    <n v="325"/>
    <n v="530"/>
    <n v="493"/>
    <s v="Soot blowers - steam"/>
    <s v="F540Planned maintenance derate to repair leak on SH spray line."/>
    <s v="Trimble"/>
    <x v="0"/>
    <s v="Coal"/>
    <x v="2"/>
    <x v="2"/>
    <n v="2"/>
    <n v="1.3000000000465661"/>
    <n v="0.50283018869725671"/>
    <n v="247.89528302774755"/>
    <n v="190.68867924528303"/>
    <x v="230"/>
  </r>
  <r>
    <x v="11"/>
    <x v="0"/>
    <n v="28"/>
    <n v="1493"/>
    <d v="2015-02-11T07:11:00"/>
    <d v="2015-03-03T17:06:00"/>
    <n v="530"/>
    <n v="530"/>
    <n v="493"/>
    <s v="Air heater fouling (regenerative)"/>
    <s v="FF00Differential pressure across the AH increased and required a derate in order to ke"/>
    <s v="Trimble"/>
    <x v="0"/>
    <s v="Coal"/>
    <x v="2"/>
    <x v="2"/>
    <n v="2"/>
    <n v="489.91666666668607"/>
    <n v="0"/>
    <n v="0"/>
    <n v="0"/>
    <x v="152"/>
  </r>
  <r>
    <x v="11"/>
    <x v="0"/>
    <n v="29"/>
    <n v="310"/>
    <d v="2015-02-19T13:35:00"/>
    <d v="2015-02-19T14:20:00"/>
    <n v="375"/>
    <n v="530"/>
    <n v="493"/>
    <s v="Pulverizer mills"/>
    <s v="FR00Unit derated due to 1D coal mill fire.  D mill taken offline and out of service fo"/>
    <s v="Trimble"/>
    <x v="0"/>
    <s v="Coal"/>
    <x v="2"/>
    <x v="2"/>
    <n v="2"/>
    <n v="0.75"/>
    <n v="0.21933962264150944"/>
    <n v="108.13443396226415"/>
    <n v="144.17924528301887"/>
    <x v="250"/>
  </r>
  <r>
    <x v="11"/>
    <x v="0"/>
    <n v="30"/>
    <n v="310"/>
    <d v="2015-02-22T07:33:00"/>
    <d v="2015-02-22T08:49:00"/>
    <n v="420"/>
    <n v="530"/>
    <n v="493"/>
    <s v="Pulverizer mills"/>
    <s v="FR00Derate due to fire in 1B coal mill.  Coal mill was removed from service for inspec"/>
    <s v="Trimble"/>
    <x v="0"/>
    <s v="Coal"/>
    <x v="2"/>
    <x v="2"/>
    <n v="2"/>
    <n v="1.2666666666045785"/>
    <n v="0.26289308174812004"/>
    <n v="129.60628930182318"/>
    <n v="102.32075471698113"/>
    <x v="265"/>
  </r>
  <r>
    <x v="11"/>
    <x v="0"/>
    <n v="31"/>
    <n v="280"/>
    <d v="2015-02-24T00:41:00"/>
    <d v="2015-02-24T04:46:00"/>
    <n v="360"/>
    <n v="530"/>
    <n v="493"/>
    <s v="Pulverizer fires"/>
    <s v="FR00The 1D coal mill had elevated temperatures and the mill was tripped.  Inspection f"/>
    <s v="Trimble"/>
    <x v="0"/>
    <s v="Coal"/>
    <x v="2"/>
    <x v="2"/>
    <n v="2"/>
    <n v="4.0833333333721384"/>
    <n v="1.309748427685403"/>
    <n v="645.70597484890368"/>
    <n v="158.1320754716981"/>
    <x v="37"/>
  </r>
  <r>
    <x v="11"/>
    <x v="0"/>
    <n v="32"/>
    <n v="280"/>
    <d v="2015-02-28T19:14:00"/>
    <d v="2015-02-28T20:10:00"/>
    <n v="375"/>
    <n v="530"/>
    <n v="493"/>
    <s v="Pulverizer fires"/>
    <s v="FR00Unit derated due to D coal mill fire."/>
    <s v="Trimble"/>
    <x v="0"/>
    <s v="Coal"/>
    <x v="2"/>
    <x v="2"/>
    <n v="2"/>
    <n v="0.93333333340706304"/>
    <n v="0.27295597486432976"/>
    <n v="134.56729560811456"/>
    <n v="144.17924528301887"/>
    <x v="250"/>
  </r>
  <r>
    <x v="11"/>
    <x v="0"/>
    <n v="33"/>
    <n v="310"/>
    <d v="2015-03-01T09:25:00"/>
    <d v="2015-03-02T05:50:00"/>
    <n v="510"/>
    <n v="530"/>
    <n v="493"/>
    <s v="Pulverizer mills"/>
    <s v="F400Unit derated due to B and D coal mills unavailable.  Trouble shooting causes of mi"/>
    <s v="Trimble"/>
    <x v="0"/>
    <s v="Coal"/>
    <x v="2"/>
    <x v="2"/>
    <n v="3"/>
    <n v="20.416666666686069"/>
    <n v="0.77044025157305918"/>
    <n v="379.82704402551815"/>
    <n v="18.60377358490566"/>
    <x v="54"/>
  </r>
  <r>
    <x v="11"/>
    <x v="0"/>
    <n v="34"/>
    <n v="310"/>
    <d v="2015-03-02T05:50:00"/>
    <d v="2015-03-03T16:10:00"/>
    <n v="510"/>
    <n v="530"/>
    <n v="493"/>
    <s v="Pulverizer mills"/>
    <s v="F400Unit derated to 510 due to 1B and 1D coal mill unavailable for troubleshooting err"/>
    <s v="Trimble"/>
    <x v="0"/>
    <s v="Coal"/>
    <x v="2"/>
    <x v="2"/>
    <n v="3"/>
    <n v="34.333333333313931"/>
    <n v="1.2955974842759974"/>
    <n v="638.72955974806678"/>
    <n v="18.60377358490566"/>
    <x v="54"/>
  </r>
  <r>
    <x v="11"/>
    <x v="0"/>
    <n v="35"/>
    <n v="310"/>
    <d v="2015-03-03T17:06:00"/>
    <d v="2015-03-04T19:24:00"/>
    <n v="510"/>
    <n v="530"/>
    <n v="493"/>
    <s v="Pulverizer mills"/>
    <s v="F400Unit is derated due to unknown issues causing the 1B and 1D mills to operate errat"/>
    <s v="Trimble"/>
    <x v="0"/>
    <s v="Coal"/>
    <x v="2"/>
    <x v="2"/>
    <n v="3"/>
    <n v="26.299999999988358"/>
    <n v="0.99245283018823993"/>
    <n v="489.27924528280226"/>
    <n v="18.60377358490566"/>
    <x v="54"/>
  </r>
  <r>
    <x v="11"/>
    <x v="0"/>
    <n v="36"/>
    <n v="9270"/>
    <d v="2015-03-04T19:24:00"/>
    <d v="2015-03-05T11:45:00"/>
    <n v="490"/>
    <n v="530"/>
    <n v="493"/>
    <s v="Wet coal"/>
    <s v="FW00Unit was further derated due to wet coal affecting mill performance.  1B and 1D mi"/>
    <s v="Trimble"/>
    <x v="0"/>
    <s v="Coal"/>
    <x v="2"/>
    <x v="2"/>
    <n v="3"/>
    <n v="16.350000000034925"/>
    <n v="1.2339622641535792"/>
    <n v="608.34339622771461"/>
    <n v="37.20754716981132"/>
    <x v="12"/>
  </r>
  <r>
    <x v="11"/>
    <x v="0"/>
    <n v="37"/>
    <n v="1493"/>
    <d v="2015-03-05T11:45:00"/>
    <d v="2015-03-05T20:55:00"/>
    <n v="530"/>
    <n v="530"/>
    <n v="493"/>
    <s v="Air heater fouling (regenerative)"/>
    <s v="FF00Differential pressure across the AH is elevated and requires a derate in order to "/>
    <s v="Trimble"/>
    <x v="0"/>
    <s v="Coal"/>
    <x v="2"/>
    <x v="2"/>
    <n v="3"/>
    <n v="9.1666666666860692"/>
    <n v="0"/>
    <n v="0"/>
    <n v="0"/>
    <x v="152"/>
  </r>
  <r>
    <x v="11"/>
    <x v="0"/>
    <n v="38"/>
    <n v="310"/>
    <d v="2015-03-05T20:55:00"/>
    <d v="2015-03-05T21:33:00"/>
    <n v="510"/>
    <n v="530"/>
    <n v="493"/>
    <s v="Pulverizer mills"/>
    <s v="F400Unit derated due to1B and 1D coal mill unavailable for troubleshooting erratic ope"/>
    <s v="Trimble"/>
    <x v="0"/>
    <s v="Coal"/>
    <x v="2"/>
    <x v="2"/>
    <n v="3"/>
    <n v="0.63333333330228925"/>
    <n v="2.3899371068010915E-2"/>
    <n v="11.78238993652938"/>
    <n v="18.60377358490566"/>
    <x v="54"/>
  </r>
  <r>
    <x v="11"/>
    <x v="0"/>
    <n v="39"/>
    <n v="310"/>
    <d v="2015-03-05T21:33:00"/>
    <d v="2015-03-06T07:50:00"/>
    <n v="490"/>
    <n v="530"/>
    <n v="493"/>
    <s v="Pulverizer mills"/>
    <s v="F400Unit derated due to 1B and 1D coal mill unavailable for troubleshooting erratic op"/>
    <s v="Trimble"/>
    <x v="0"/>
    <s v="Coal"/>
    <x v="2"/>
    <x v="2"/>
    <n v="3"/>
    <n v="10.283333333325572"/>
    <n v="0.77610062893023191"/>
    <n v="382.61761006260434"/>
    <n v="37.20754716981132"/>
    <x v="12"/>
  </r>
  <r>
    <x v="11"/>
    <x v="0"/>
    <n v="40"/>
    <n v="1493"/>
    <d v="2015-03-06T07:50:00"/>
    <d v="2015-03-08T09:15:00"/>
    <n v="530"/>
    <n v="530"/>
    <n v="493"/>
    <s v="Air heater fouling (regenerative)"/>
    <s v="FF00Differential pressure across the AH is elevated and requires a derate in order to "/>
    <s v="Trimble"/>
    <x v="0"/>
    <s v="Coal"/>
    <x v="2"/>
    <x v="2"/>
    <n v="3"/>
    <n v="49.416666666569654"/>
    <n v="0"/>
    <n v="0"/>
    <n v="0"/>
    <x v="152"/>
  </r>
  <r>
    <x v="11"/>
    <x v="0"/>
    <n v="41"/>
    <n v="280"/>
    <d v="2015-03-08T09:15:00"/>
    <d v="2015-03-08T17:49:00"/>
    <n v="375"/>
    <n v="530"/>
    <n v="493"/>
    <s v="Pulverizer fires"/>
    <s v="FR00Derate due to fire in the 1A coal mill with 1B and 1D mill unavailable for trouble"/>
    <s v="Trimble"/>
    <x v="0"/>
    <s v="Coal"/>
    <x v="2"/>
    <x v="2"/>
    <n v="3"/>
    <n v="8.5666666666511446"/>
    <n v="2.5053459119451462"/>
    <n v="1235.1355345889572"/>
    <n v="144.17924528301887"/>
    <x v="250"/>
  </r>
  <r>
    <x v="11"/>
    <x v="0"/>
    <n v="42"/>
    <n v="1493"/>
    <d v="2015-03-08T17:49:00"/>
    <d v="2015-03-14T07:22:00"/>
    <n v="530"/>
    <n v="530"/>
    <n v="493"/>
    <s v="Air heater fouling (regenerative)"/>
    <s v="FF00Differential pressure across the AH is elevated and requires a derate in order to "/>
    <s v="Trimble"/>
    <x v="0"/>
    <s v="Coal"/>
    <x v="2"/>
    <x v="2"/>
    <n v="3"/>
    <n v="133.54999999998836"/>
    <n v="0"/>
    <n v="0"/>
    <n v="0"/>
    <x v="152"/>
  </r>
  <r>
    <x v="11"/>
    <x v="0"/>
    <n v="43"/>
    <n v="310"/>
    <d v="2015-03-14T07:22:00"/>
    <d v="2015-03-14T08:35:00"/>
    <n v="500"/>
    <n v="530"/>
    <n v="493"/>
    <s v="Pulverizer mills"/>
    <s v="FW00Derate required due to wet coal causing mills to have elevated amps."/>
    <s v="Trimble"/>
    <x v="0"/>
    <s v="Coal"/>
    <x v="2"/>
    <x v="2"/>
    <n v="3"/>
    <n v="1.216666666790843"/>
    <n v="6.8867924535330735E-2"/>
    <n v="33.95188679591805"/>
    <n v="27.90566037735849"/>
    <x v="67"/>
  </r>
  <r>
    <x v="11"/>
    <x v="0"/>
    <n v="44"/>
    <n v="310"/>
    <d v="2015-03-14T08:35:00"/>
    <d v="2015-03-14T12:20:00"/>
    <n v="490"/>
    <n v="530"/>
    <n v="493"/>
    <s v="Pulverizer mills"/>
    <s v="FW00Derate required due to wet coal causing mills to have elevated amps."/>
    <s v="Trimble"/>
    <x v="0"/>
    <s v="Coal"/>
    <x v="2"/>
    <x v="2"/>
    <n v="3"/>
    <n v="3.75"/>
    <n v="0.28301886792452829"/>
    <n v="139.52830188679246"/>
    <n v="37.20754716981132"/>
    <x v="12"/>
  </r>
  <r>
    <x v="11"/>
    <x v="0"/>
    <n v="45"/>
    <n v="1493"/>
    <d v="2015-03-14T12:20:00"/>
    <d v="2015-03-16T12:00:00"/>
    <n v="530"/>
    <n v="530"/>
    <n v="493"/>
    <s v="Air heater fouling (regenerative)"/>
    <s v="FF00Differential pressure across the AH is elevated and requires a derate in order to "/>
    <s v="Trimble"/>
    <x v="0"/>
    <s v="Coal"/>
    <x v="2"/>
    <x v="2"/>
    <n v="3"/>
    <n v="47.666666666627862"/>
    <n v="0"/>
    <n v="0"/>
    <n v="0"/>
    <x v="152"/>
  </r>
  <r>
    <x v="11"/>
    <x v="0"/>
    <n v="46"/>
    <n v="250"/>
    <d v="2015-03-16T12:00:00"/>
    <d v="2015-03-16T12:40:00"/>
    <n v="375"/>
    <n v="530"/>
    <n v="493"/>
    <s v="Pulverizer feeders"/>
    <s v="F820The 1F coal mill feeder tripped causing the unit derate.  Inspection found no issu"/>
    <s v="Trimble"/>
    <x v="0"/>
    <s v="Coal"/>
    <x v="2"/>
    <x v="2"/>
    <n v="3"/>
    <n v="0.66666666674427688"/>
    <n v="0.19496855348181683"/>
    <n v="96.119496866535698"/>
    <n v="144.17924528301887"/>
    <x v="250"/>
  </r>
  <r>
    <x v="11"/>
    <x v="0"/>
    <n v="47"/>
    <n v="1493"/>
    <d v="2015-03-16T12:40:00"/>
    <d v="2015-03-16T18:10:00"/>
    <n v="530"/>
    <n v="530"/>
    <n v="493"/>
    <s v="Air heater fouling (regenerative)"/>
    <s v="FF00Differential pressure across the AH is elevated and requires a derate in order to "/>
    <s v="Trimble"/>
    <x v="0"/>
    <s v="Coal"/>
    <x v="2"/>
    <x v="2"/>
    <n v="3"/>
    <n v="5.4999999999417923"/>
    <n v="0"/>
    <n v="0"/>
    <n v="0"/>
    <x v="152"/>
  </r>
  <r>
    <x v="11"/>
    <x v="0"/>
    <n v="48"/>
    <n v="340"/>
    <d v="2015-03-16T18:10:00"/>
    <d v="2015-03-16T20:29:00"/>
    <n v="490"/>
    <n v="530"/>
    <n v="493"/>
    <s v="Other pulverizer problems"/>
    <s v="F0601F coal mill had a plug which blew out of the primary air duct which needed to be "/>
    <s v="Trimble"/>
    <x v="0"/>
    <s v="Coal"/>
    <x v="2"/>
    <x v="2"/>
    <n v="3"/>
    <n v="2.3166666667093523"/>
    <n v="0.17484276729881904"/>
    <n v="86.197484278317788"/>
    <n v="37.20754716981132"/>
    <x v="12"/>
  </r>
  <r>
    <x v="11"/>
    <x v="0"/>
    <n v="49"/>
    <n v="1493"/>
    <d v="2015-03-16T20:29:00"/>
    <d v="2015-03-17T15:50:00"/>
    <n v="530"/>
    <n v="530"/>
    <n v="493"/>
    <s v="Air heater fouling (regenerative)"/>
    <s v="FF00Differential pressure across the AH is elevated and requires a derate in order to "/>
    <s v="Trimble"/>
    <x v="0"/>
    <s v="Coal"/>
    <x v="2"/>
    <x v="2"/>
    <n v="3"/>
    <n v="19.349999999860302"/>
    <n v="0"/>
    <n v="0"/>
    <n v="0"/>
    <x v="152"/>
  </r>
  <r>
    <x v="11"/>
    <x v="0"/>
    <n v="50"/>
    <n v="360"/>
    <d v="2015-03-17T15:50:00"/>
    <d v="2015-03-18T10:27:00"/>
    <n v="490"/>
    <n v="530"/>
    <n v="493"/>
    <s v="Burners"/>
    <s v="F780F4 burner came in alarm with high temperature reading.  F coal mill was taken out "/>
    <s v="Trimble"/>
    <x v="0"/>
    <s v="Coal"/>
    <x v="2"/>
    <x v="2"/>
    <n v="3"/>
    <n v="18.616666666755918"/>
    <n v="1.4050314465476166"/>
    <n v="692.68050314797495"/>
    <n v="37.20754716981132"/>
    <x v="12"/>
  </r>
  <r>
    <x v="11"/>
    <x v="0"/>
    <n v="51"/>
    <n v="3416"/>
    <d v="2015-03-18T10:27:00"/>
    <d v="2015-03-19T00:29:00"/>
    <n v="525"/>
    <n v="530"/>
    <n v="493"/>
    <s v="Other feedwater pump problems"/>
    <s v="F790Testing was done on the 1B TDBFP prior to the planned maintenance outage which req"/>
    <s v="Trimble"/>
    <x v="0"/>
    <s v="Coal"/>
    <x v="2"/>
    <x v="2"/>
    <n v="3"/>
    <n v="14.033333333325572"/>
    <n v="0.13238993710684502"/>
    <n v="65.268238993674601"/>
    <n v="4.6509433962264151"/>
    <x v="166"/>
  </r>
  <r>
    <x v="11"/>
    <x v="4"/>
    <n v="52"/>
    <n v="1493"/>
    <d v="2015-03-19T00:29:00"/>
    <d v="2015-03-23T11:21:00"/>
    <n v="0"/>
    <n v="530"/>
    <n v="493"/>
    <s v="Air heater fouling (regenerative)"/>
    <s v="FF00Unit was taken out of service to conduct air heater wash on the unit.  Other addit"/>
    <s v="Trimble"/>
    <x v="2"/>
    <s v="Coal"/>
    <x v="2"/>
    <x v="2"/>
    <n v="3"/>
    <n v="106.8666666666395"/>
    <n v="106.8666666666395"/>
    <n v="52685.266666653275"/>
    <n v="493"/>
    <x v="296"/>
  </r>
  <r>
    <x v="11"/>
    <x v="0"/>
    <n v="53"/>
    <n v="3412"/>
    <d v="2015-03-23T11:21:00"/>
    <d v="2015-03-24T04:15:00"/>
    <n v="525"/>
    <n v="530"/>
    <n v="493"/>
    <s v="Feedwater pump drive - steam turbine"/>
    <s v="F610Derate during unit ramping while 1B TDBFP was not available while the trip device "/>
    <s v="Trimble"/>
    <x v="0"/>
    <s v="Coal"/>
    <x v="2"/>
    <x v="2"/>
    <n v="3"/>
    <n v="16.900000000081491"/>
    <n v="0.15943396226491974"/>
    <n v="78.60094339660543"/>
    <n v="4.6509433962264151"/>
    <x v="166"/>
  </r>
  <r>
    <x v="11"/>
    <x v="0"/>
    <n v="54"/>
    <n v="360"/>
    <d v="2015-03-27T12:40:00"/>
    <d v="2015-03-27T18:48:00"/>
    <n v="530"/>
    <n v="530"/>
    <n v="493"/>
    <s v="Burners"/>
    <s v="F590Derate to allow for 1C coal mill burner maintenance with other mills unavailable f"/>
    <s v="Trimble"/>
    <x v="0"/>
    <s v="Coal"/>
    <x v="2"/>
    <x v="2"/>
    <n v="3"/>
    <n v="6.1333333332440816"/>
    <n v="0"/>
    <n v="0"/>
    <n v="0"/>
    <x v="152"/>
  </r>
  <r>
    <x v="11"/>
    <x v="0"/>
    <n v="55"/>
    <n v="310"/>
    <d v="2015-03-29T16:39:00"/>
    <d v="2015-03-29T17:58:00"/>
    <n v="530"/>
    <n v="530"/>
    <n v="493"/>
    <s v="Pulverizer mills"/>
    <s v="F700The 1C coal mill needed a card replaced and the 1B coal mill had an electrical hol"/>
    <s v="Trimble"/>
    <x v="0"/>
    <s v="Coal"/>
    <x v="2"/>
    <x v="2"/>
    <n v="3"/>
    <n v="1.3166666667675599"/>
    <n v="0"/>
    <n v="0"/>
    <n v="0"/>
    <x v="152"/>
  </r>
  <r>
    <x v="11"/>
    <x v="0"/>
    <n v="56"/>
    <n v="310"/>
    <d v="2015-03-30T09:30:00"/>
    <d v="2015-03-30T13:00:00"/>
    <n v="530"/>
    <n v="530"/>
    <n v="493"/>
    <s v="Pulverizer mills"/>
    <s v="F700The 1C coal mill had electrical issues requiring maintenance response and put TC1 "/>
    <s v="Trimble"/>
    <x v="0"/>
    <s v="Coal"/>
    <x v="2"/>
    <x v="2"/>
    <n v="3"/>
    <n v="3.4999999998835847"/>
    <n v="0"/>
    <n v="0"/>
    <n v="0"/>
    <x v="152"/>
  </r>
  <r>
    <x v="11"/>
    <x v="0"/>
    <n v="57"/>
    <n v="250"/>
    <d v="2015-04-04T07:21:00"/>
    <d v="2015-04-04T09:07:00"/>
    <n v="415"/>
    <n v="530"/>
    <n v="493"/>
    <s v="Pulverizer feeders"/>
    <s v="FW00Due to wet coal we de-rated the unit to allow us to clean out the coal feeders and"/>
    <s v="Trimble"/>
    <x v="0"/>
    <s v="Coal"/>
    <x v="2"/>
    <x v="2"/>
    <n v="4"/>
    <n v="1.7666666666627862"/>
    <n v="0.38333333333249131"/>
    <n v="188.98333333291822"/>
    <n v="106.97169811320755"/>
    <x v="4"/>
  </r>
  <r>
    <x v="11"/>
    <x v="0"/>
    <n v="58"/>
    <n v="310"/>
    <d v="2015-04-04T19:36:00"/>
    <d v="2015-04-04T20:56:00"/>
    <n v="500"/>
    <n v="530"/>
    <n v="493"/>
    <s v="Pulverizer mills"/>
    <s v="F400The 1C coal mill tripped requiring a unit derate.  Reset of the breaker brought th"/>
    <s v="Trimble"/>
    <x v="0"/>
    <s v="Coal"/>
    <x v="2"/>
    <x v="2"/>
    <n v="4"/>
    <n v="1.3333333333139308"/>
    <n v="7.5471698112109284E-2"/>
    <n v="37.20754716926988"/>
    <n v="27.90566037735849"/>
    <x v="67"/>
  </r>
  <r>
    <x v="11"/>
    <x v="0"/>
    <n v="59"/>
    <n v="250"/>
    <d v="2015-04-05T07:14:00"/>
    <d v="2015-04-05T11:00:00"/>
    <n v="440"/>
    <n v="530"/>
    <n v="493"/>
    <s v="Pulverizer feeders"/>
    <s v="FW00Due to wet coal we de-rated the unit to allow us to clean out the coal feeders and"/>
    <s v="Trimble"/>
    <x v="0"/>
    <s v="Coal"/>
    <x v="2"/>
    <x v="2"/>
    <n v="4"/>
    <n v="3.7666666667209938"/>
    <n v="0.63962264151865933"/>
    <n v="315.33396226869905"/>
    <n v="83.716981132075475"/>
    <x v="136"/>
  </r>
  <r>
    <x v="11"/>
    <x v="0"/>
    <n v="60"/>
    <n v="250"/>
    <d v="2015-04-08T21:02:00"/>
    <d v="2015-04-08T21:48:00"/>
    <n v="450"/>
    <n v="530"/>
    <n v="493"/>
    <s v="Pulverizer feeders"/>
    <s v="FW00C coal mill feeder needed to be cleaned off from wet coal issues.  Unit derated wh"/>
    <s v="Trimble"/>
    <x v="0"/>
    <s v="Coal"/>
    <x v="2"/>
    <x v="2"/>
    <n v="4"/>
    <n v="0.76666666672099382"/>
    <n v="0.1157232704484519"/>
    <n v="57.051572331086788"/>
    <n v="74.415094339622641"/>
    <x v="29"/>
  </r>
  <r>
    <x v="11"/>
    <x v="0"/>
    <n v="61"/>
    <n v="250"/>
    <d v="2015-04-10T09:01:00"/>
    <d v="2015-04-10T11:17:00"/>
    <n v="440"/>
    <n v="530"/>
    <n v="493"/>
    <s v="Pulverizer feeders"/>
    <s v="FW00Due to wet coal we de-rated the unit to allow us to clean out the coal feeders and"/>
    <s v="Trimble"/>
    <x v="0"/>
    <s v="Coal"/>
    <x v="2"/>
    <x v="2"/>
    <n v="4"/>
    <n v="2.2666666665463708"/>
    <n v="0.38490566035693091"/>
    <n v="189.75849055596694"/>
    <n v="83.716981132075475"/>
    <x v="136"/>
  </r>
  <r>
    <x v="11"/>
    <x v="0"/>
    <n v="62"/>
    <n v="280"/>
    <d v="2015-04-11T17:38:00"/>
    <d v="2015-04-11T18:48:00"/>
    <n v="525"/>
    <n v="530"/>
    <n v="493"/>
    <s v="Pulverizer fires"/>
    <s v="FR00D coal mill lit off and put the unit in run back.  Unit derated until C mill could"/>
    <s v="Trimble"/>
    <x v="0"/>
    <s v="Coal"/>
    <x v="2"/>
    <x v="2"/>
    <n v="4"/>
    <n v="1.1666666666278616"/>
    <n v="1.1006289307810014E-2"/>
    <n v="5.4261006287503371"/>
    <n v="4.6509433962264151"/>
    <x v="166"/>
  </r>
  <r>
    <x v="11"/>
    <x v="3"/>
    <n v="63"/>
    <n v="1190"/>
    <d v="2015-04-11T22:00:00"/>
    <d v="2015-04-12T04:00:00"/>
    <n v="0"/>
    <n v="530"/>
    <n v="493"/>
    <s v="Other tube slagging or fouling"/>
    <s v="FS00Planned, non-curtailing derate to conduct boiler deslag.  Unit was available to re"/>
    <s v="Trimble"/>
    <x v="1"/>
    <s v="Coal"/>
    <x v="2"/>
    <x v="2"/>
    <n v="4"/>
    <n v="6"/>
    <n v="6"/>
    <n v="2958"/>
    <n v="493"/>
    <x v="296"/>
  </r>
  <r>
    <x v="11"/>
    <x v="0"/>
    <n v="64"/>
    <n v="250"/>
    <d v="2015-04-12T14:26:00"/>
    <d v="2015-04-12T15:53:00"/>
    <n v="460"/>
    <n v="530"/>
    <n v="493"/>
    <s v="Pulverizer feeders"/>
    <s v="FW00Due to wet coal we de-rated the unit to allow us to clean out the coal feeders and"/>
    <s v="Trimble"/>
    <x v="0"/>
    <s v="Coal"/>
    <x v="2"/>
    <x v="2"/>
    <n v="4"/>
    <n v="1.4500000000116415"/>
    <n v="0.19150943396380171"/>
    <n v="94.414150944154244"/>
    <n v="65.113207547169807"/>
    <x v="127"/>
  </r>
  <r>
    <x v="11"/>
    <x v="0"/>
    <n v="65"/>
    <n v="310"/>
    <d v="2015-04-21T19:05:00"/>
    <d v="2015-04-21T21:00:00"/>
    <n v="525"/>
    <n v="530"/>
    <n v="493"/>
    <s v="Pulverizer mills"/>
    <s v="FR00Derate on the unit due to fire in the 1A coal mill.  1C coal mill was put in servi"/>
    <s v="Trimble"/>
    <x v="0"/>
    <s v="Coal"/>
    <x v="2"/>
    <x v="2"/>
    <n v="4"/>
    <n v="1.9166666666278616"/>
    <n v="1.8081761005923222E-2"/>
    <n v="8.9143081759201479"/>
    <n v="4.6509433962264151"/>
    <x v="166"/>
  </r>
  <r>
    <x v="11"/>
    <x v="0"/>
    <n v="66"/>
    <n v="250"/>
    <d v="2015-04-24T13:00:00"/>
    <d v="2015-04-24T19:22:00"/>
    <n v="500"/>
    <n v="530"/>
    <n v="493"/>
    <s v="Pulverizer feeders"/>
    <s v="F490The 1F coal feeder tripped due to clean out conveyor going to ground.  I/E swapped"/>
    <s v="Trimble"/>
    <x v="0"/>
    <s v="Coal"/>
    <x v="2"/>
    <x v="2"/>
    <n v="4"/>
    <n v="6.3666666666395031"/>
    <n v="0.36037735848902847"/>
    <n v="177.66603773509104"/>
    <n v="27.90566037735849"/>
    <x v="67"/>
  </r>
  <r>
    <x v="11"/>
    <x v="5"/>
    <n v="67"/>
    <n v="1740"/>
    <d v="2015-05-02T00:54:00"/>
    <d v="2015-05-02T04:14:00"/>
    <n v="0"/>
    <n v="530"/>
    <n v="493"/>
    <s v="Boiler drum gage glasses/level indicator"/>
    <s v="F420During maintenance on the the intercept control valves, both control valves were s"/>
    <s v="Trimble"/>
    <x v="3"/>
    <s v="Coal"/>
    <x v="2"/>
    <x v="2"/>
    <n v="5"/>
    <n v="3.3333333333721384"/>
    <n v="3.3333333333721384"/>
    <n v="1643.3333333524643"/>
    <n v="493"/>
    <x v="296"/>
  </r>
  <r>
    <x v="11"/>
    <x v="3"/>
    <n v="68"/>
    <n v="1850"/>
    <d v="2015-05-02T13:34:00"/>
    <d v="2015-05-03T02:14:00"/>
    <n v="0"/>
    <n v="530"/>
    <n v="493"/>
    <s v="Boiler water condition (not feedwater water quality)"/>
    <s v="FA00Silica hold on TC1 until boiler water chemistry returned to normal."/>
    <s v="Trimble"/>
    <x v="1"/>
    <s v="Coal"/>
    <x v="2"/>
    <x v="2"/>
    <n v="5"/>
    <n v="12.666666666569654"/>
    <n v="12.666666666569654"/>
    <n v="6244.6666666188394"/>
    <n v="493"/>
    <x v="296"/>
  </r>
  <r>
    <x v="11"/>
    <x v="0"/>
    <n v="69"/>
    <n v="335"/>
    <d v="2015-05-08T11:03:00"/>
    <d v="2015-05-08T14:51:00"/>
    <n v="510"/>
    <n v="530"/>
    <n v="493"/>
    <s v="Pulverizer lube oil system"/>
    <s v="F5901D Coal Mill lube oil pump changeout."/>
    <s v="Trimble"/>
    <x v="0"/>
    <s v="Coal"/>
    <x v="2"/>
    <x v="2"/>
    <n v="5"/>
    <n v="3.7999999999883585"/>
    <n v="0.14339622641465505"/>
    <n v="70.694339622424934"/>
    <n v="18.60377358490566"/>
    <x v="54"/>
  </r>
  <r>
    <x v="11"/>
    <x v="0"/>
    <n v="70"/>
    <n v="310"/>
    <d v="2015-05-16T15:39:00"/>
    <d v="2015-05-16T16:01:00"/>
    <n v="510"/>
    <n v="530"/>
    <n v="493"/>
    <s v="Pulverizer mills"/>
    <s v="F4001A coal mill ran back to minimum and was removed from service, S/M inspected the m"/>
    <s v="Trimble"/>
    <x v="0"/>
    <s v="Coal"/>
    <x v="2"/>
    <x v="2"/>
    <n v="5"/>
    <n v="0.36666666663950309"/>
    <n v="1.3836477986396343E-2"/>
    <n v="6.8213836472933966"/>
    <n v="18.60377358490566"/>
    <x v="54"/>
  </r>
  <r>
    <x v="11"/>
    <x v="0"/>
    <n v="71"/>
    <n v="310"/>
    <d v="2015-05-16T16:01:00"/>
    <d v="2015-05-17T16:26:00"/>
    <n v="505"/>
    <n v="530"/>
    <n v="493"/>
    <s v="Pulverizer mills"/>
    <s v="F400Unit had issues with 1A, 1C, and 1D mills that required derate to inspect issues."/>
    <s v="Trimble"/>
    <x v="0"/>
    <s v="Coal"/>
    <x v="2"/>
    <x v="2"/>
    <n v="5"/>
    <n v="24.416666666627862"/>
    <n v="1.1517295597465973"/>
    <n v="567.80267295507247"/>
    <n v="23.254716981132077"/>
    <x v="0"/>
  </r>
  <r>
    <x v="11"/>
    <x v="2"/>
    <n v="72"/>
    <n v="3412"/>
    <d v="2015-06-05T23:00:00"/>
    <d v="2015-06-06T03:09:00"/>
    <n v="500"/>
    <n v="530"/>
    <n v="493"/>
    <s v="Feedwater pump drive - steam turbine"/>
    <s v="F590Trip solenoid replacement for the 1A TDBFP which required derate to take the pump "/>
    <s v="Trimble"/>
    <x v="0"/>
    <s v="Coal"/>
    <x v="2"/>
    <x v="2"/>
    <n v="6"/>
    <n v="4.1499999999068677"/>
    <n v="0.23490566037208685"/>
    <n v="115.80849056343882"/>
    <n v="27.90566037735849"/>
    <x v="67"/>
  </r>
  <r>
    <x v="11"/>
    <x v="0"/>
    <n v="73"/>
    <n v="60"/>
    <d v="2015-06-13T10:30:00"/>
    <d v="2015-06-13T12:10:00"/>
    <n v="511"/>
    <n v="530"/>
    <n v="493"/>
    <s v="Coal crushers including motors"/>
    <s v="F660TC1 A and F Mills not functioning.A Mill: Excessive rumbling caused the equipm"/>
    <s v="Trimble"/>
    <x v="0"/>
    <s v="Coal"/>
    <x v="2"/>
    <x v="2"/>
    <n v="6"/>
    <n v="1.6666666666860692"/>
    <n v="5.9748427673651537E-2"/>
    <n v="29.455974843110209"/>
    <n v="17.673584905660377"/>
    <x v="5"/>
  </r>
  <r>
    <x v="11"/>
    <x v="3"/>
    <n v="74"/>
    <n v="8812"/>
    <d v="2015-06-15T14:00:00"/>
    <d v="2015-06-15T18:12:00"/>
    <n v="0"/>
    <n v="530"/>
    <n v="493"/>
    <s v="SCR NOxCatalyst"/>
    <s v="F790SCR Catalyst tuning - TC1 was at full load while catalyst testing was occurring. T"/>
    <s v="Trimble"/>
    <x v="1"/>
    <s v="Coal"/>
    <x v="2"/>
    <x v="2"/>
    <n v="6"/>
    <n v="4.1999999998952262"/>
    <n v="4.1999999998952262"/>
    <n v="2070.5999999483465"/>
    <n v="493"/>
    <x v="296"/>
  </r>
  <r>
    <x v="11"/>
    <x v="0"/>
    <n v="75"/>
    <n v="344"/>
    <d v="2015-06-16T01:09:00"/>
    <d v="2015-06-16T12:47:00"/>
    <n v="525"/>
    <n v="530"/>
    <n v="493"/>
    <s v="Pulverizer inspection"/>
    <s v="F530A and D mills have been having continuing problems, so they were taken offline for"/>
    <s v="Trimble"/>
    <x v="0"/>
    <s v="Coal"/>
    <x v="2"/>
    <x v="2"/>
    <n v="6"/>
    <n v="11.633333333185874"/>
    <n v="0.10974842767156485"/>
    <n v="54.105974842081473"/>
    <n v="4.6509433962264151"/>
    <x v="166"/>
  </r>
  <r>
    <x v="11"/>
    <x v="3"/>
    <n v="76"/>
    <n v="8812"/>
    <d v="2015-06-16T07:00:00"/>
    <d v="2015-06-16T18:15:00"/>
    <n v="0"/>
    <n v="530"/>
    <n v="493"/>
    <s v="SCR NOxCatalyst"/>
    <s v="F790SCR testing is underway; during SCR testing, the unit is out of AGC mode."/>
    <s v="Trimble"/>
    <x v="1"/>
    <s v="Coal"/>
    <x v="2"/>
    <x v="2"/>
    <n v="6"/>
    <n v="11.25"/>
    <n v="11.25"/>
    <n v="5546.25"/>
    <n v="493"/>
    <x v="296"/>
  </r>
  <r>
    <x v="11"/>
    <x v="3"/>
    <n v="77"/>
    <n v="8812"/>
    <d v="2015-06-17T08:00:00"/>
    <d v="2015-06-17T17:15:00"/>
    <n v="0"/>
    <n v="530"/>
    <n v="493"/>
    <s v="SCR NOxCatalyst"/>
    <s v="F790SCR Catalyst Tuning - Unit out of AGC mode for the duration of this time."/>
    <s v="Trimble"/>
    <x v="1"/>
    <s v="Coal"/>
    <x v="2"/>
    <x v="2"/>
    <n v="6"/>
    <n v="9.2499999999417923"/>
    <n v="9.2499999999417923"/>
    <n v="4560.2499999713036"/>
    <n v="493"/>
    <x v="296"/>
  </r>
  <r>
    <x v="11"/>
    <x v="3"/>
    <n v="78"/>
    <n v="8812"/>
    <d v="2015-06-18T08:00:00"/>
    <d v="2015-06-18T18:07:00"/>
    <n v="0"/>
    <n v="530"/>
    <n v="493"/>
    <s v="SCR NOxCatalyst"/>
    <s v="F790SCR Catalyst Tuning - Unit out of AGC mode for the duration of this time."/>
    <s v="Trimble"/>
    <x v="1"/>
    <s v="Coal"/>
    <x v="2"/>
    <x v="2"/>
    <n v="6"/>
    <n v="10.116666666639503"/>
    <n v="10.116666666639503"/>
    <n v="4987.516666653275"/>
    <n v="493"/>
    <x v="296"/>
  </r>
  <r>
    <x v="11"/>
    <x v="0"/>
    <n v="79"/>
    <n v="85"/>
    <d v="2015-06-23T14:22:00"/>
    <d v="2015-06-23T14:49:00"/>
    <n v="375"/>
    <n v="530"/>
    <n v="493"/>
    <s v="Bunker feeder coal scales"/>
    <s v="F1301A Mill was taken out of service due to excessive rumbling. 1D Mill was put in ser"/>
    <s v="Trimble"/>
    <x v="0"/>
    <s v="Coal"/>
    <x v="2"/>
    <x v="2"/>
    <n v="6"/>
    <n v="0.44999999989522621"/>
    <n v="0.13160377355426428"/>
    <n v="64.880660362252286"/>
    <n v="144.17924528301887"/>
    <x v="250"/>
  </r>
  <r>
    <x v="11"/>
    <x v="2"/>
    <n v="80"/>
    <n v="1990"/>
    <d v="2015-06-25T06:00:00"/>
    <d v="2015-06-25T10:00:00"/>
    <n v="520"/>
    <n v="530"/>
    <n v="493"/>
    <s v="Boiler performance testing (use code 9999 for total unit performance testing)"/>
    <s v="F790Unit 1 has taken a derate to 520 for performance testing."/>
    <s v="Trimble"/>
    <x v="0"/>
    <s v="Coal"/>
    <x v="2"/>
    <x v="2"/>
    <n v="6"/>
    <n v="3.9999999999417923"/>
    <n v="7.5471698112109284E-2"/>
    <n v="37.20754716926988"/>
    <n v="9.3018867924528301"/>
    <x v="94"/>
  </r>
  <r>
    <x v="11"/>
    <x v="3"/>
    <n v="81"/>
    <n v="1990"/>
    <d v="2015-06-25T10:00:00"/>
    <d v="2015-06-25T16:00:00"/>
    <n v="0"/>
    <n v="530"/>
    <n v="493"/>
    <s v="Boiler performance testing (use code 9999 for total unit performance testing)"/>
    <s v="F790Non-curtailing event to conduct full load boiler performance testing."/>
    <s v="Trimble"/>
    <x v="1"/>
    <s v="Coal"/>
    <x v="2"/>
    <x v="2"/>
    <n v="6"/>
    <n v="6"/>
    <n v="6"/>
    <n v="2958"/>
    <n v="493"/>
    <x v="296"/>
  </r>
  <r>
    <x v="11"/>
    <x v="4"/>
    <n v="82"/>
    <n v="3110"/>
    <d v="2015-06-26T22:43:00"/>
    <d v="2015-06-30T05:02:00"/>
    <n v="0"/>
    <n v="530"/>
    <n v="493"/>
    <s v="Condenser tube leaks"/>
    <s v="F540Maintenance outage to repair suspect condenser tube leak.  Large quantity (60+) of"/>
    <s v="Trimble"/>
    <x v="2"/>
    <s v="Coal"/>
    <x v="2"/>
    <x v="2"/>
    <n v="6"/>
    <n v="78.316666666651145"/>
    <n v="78.316666666651145"/>
    <n v="38610.116666659014"/>
    <n v="493"/>
    <x v="296"/>
  </r>
  <r>
    <x v="11"/>
    <x v="5"/>
    <n v="83"/>
    <n v="3330"/>
    <d v="2015-06-30T09:32:00"/>
    <d v="2015-07-01T01:48:00"/>
    <n v="0"/>
    <n v="530"/>
    <n v="493"/>
    <s v="Condensate valves"/>
    <s v="F400Unit come off on a forced outage due to erratic operation of the condensate contro"/>
    <s v="Trimble"/>
    <x v="3"/>
    <s v="Coal"/>
    <x v="2"/>
    <x v="2"/>
    <n v="6"/>
    <n v="16.266666666604578"/>
    <n v="16.266666666604578"/>
    <n v="8019.4666666360572"/>
    <n v="493"/>
    <x v="296"/>
  </r>
  <r>
    <x v="11"/>
    <x v="5"/>
    <n v="84"/>
    <n v="380"/>
    <d v="2015-07-01T03:04:00"/>
    <d v="2015-07-01T03:51:00"/>
    <n v="0"/>
    <n v="530"/>
    <n v="493"/>
    <s v="Light-off (igniter) systems (including fuel supply)"/>
    <s v="F460Unit MFT due to oil igniter flameout."/>
    <s v="Trimble"/>
    <x v="3"/>
    <s v="Coal"/>
    <x v="2"/>
    <x v="2"/>
    <n v="7"/>
    <n v="0.78333333326736465"/>
    <n v="0.78333333326736465"/>
    <n v="386.18333330081077"/>
    <n v="493"/>
    <x v="296"/>
  </r>
  <r>
    <x v="11"/>
    <x v="5"/>
    <n v="85"/>
    <n v="380"/>
    <d v="2015-07-01T04:56:00"/>
    <d v="2015-07-01T05:43:00"/>
    <n v="0"/>
    <n v="530"/>
    <n v="493"/>
    <s v="Light-off (igniter) systems (including fuel supply)"/>
    <s v="F460Unit MFT due to oil igniter flameout."/>
    <s v="Trimble"/>
    <x v="3"/>
    <s v="Coal"/>
    <x v="2"/>
    <x v="2"/>
    <n v="7"/>
    <n v="0.78333333326736465"/>
    <n v="0.78333333326736465"/>
    <n v="386.18333330081077"/>
    <n v="493"/>
    <x v="296"/>
  </r>
  <r>
    <x v="11"/>
    <x v="0"/>
    <n v="86"/>
    <n v="3352"/>
    <d v="2015-07-01T18:50:00"/>
    <d v="2015-07-01T20:06:00"/>
    <n v="430"/>
    <n v="530"/>
    <n v="493"/>
    <s v="Feedwater chemistry (not specific to condenser"/>
    <s v="FA00Derate due to Silica restrictions in feedwater chemistry."/>
    <s v="Trimble"/>
    <x v="0"/>
    <s v="Coal"/>
    <x v="2"/>
    <x v="2"/>
    <n v="7"/>
    <n v="1.2666666667792015"/>
    <n v="0.23899371071305689"/>
    <n v="117.82389938153705"/>
    <n v="93.018867924528308"/>
    <x v="129"/>
  </r>
  <r>
    <x v="11"/>
    <x v="5"/>
    <n v="87"/>
    <n v="3110"/>
    <d v="2015-07-01T20:06:00"/>
    <d v="2015-07-03T12:15:00"/>
    <n v="0"/>
    <n v="530"/>
    <n v="493"/>
    <s v="Condenser tube leaks"/>
    <s v="F830Condenser tube leak caused the unit to enter into a forced outage."/>
    <s v="Trimble"/>
    <x v="3"/>
    <s v="Coal"/>
    <x v="2"/>
    <x v="2"/>
    <n v="7"/>
    <n v="40.149999999906868"/>
    <n v="40.149999999906868"/>
    <n v="19793.949999954086"/>
    <n v="493"/>
    <x v="296"/>
  </r>
  <r>
    <x v="11"/>
    <x v="0"/>
    <n v="88"/>
    <n v="3352"/>
    <d v="2015-07-03T23:00:00"/>
    <d v="2015-07-04T02:30:00"/>
    <n v="450"/>
    <n v="530"/>
    <n v="493"/>
    <s v="Feedwater chemistry (not specific to condenser"/>
    <s v="FA00Derate due to Silica restrictions in feedwater chemistry."/>
    <s v="Trimble"/>
    <x v="0"/>
    <s v="Coal"/>
    <x v="2"/>
    <x v="2"/>
    <n v="7"/>
    <n v="3.4999999998835847"/>
    <n v="0.52830188677488066"/>
    <n v="260.45283018001618"/>
    <n v="74.415094339622641"/>
    <x v="29"/>
  </r>
  <r>
    <x v="11"/>
    <x v="0"/>
    <n v="89"/>
    <n v="3352"/>
    <d v="2015-07-04T02:30:00"/>
    <d v="2015-07-04T03:45:00"/>
    <n v="480"/>
    <n v="530"/>
    <n v="493"/>
    <s v="Feedwater chemistry (not specific to condenser"/>
    <s v="FA00Derate due to Silica restrictions in feedwater chemistry."/>
    <s v="Trimble"/>
    <x v="0"/>
    <s v="Coal"/>
    <x v="2"/>
    <x v="2"/>
    <n v="7"/>
    <n v="1.2500000000582077"/>
    <n v="0.11792452830737808"/>
    <n v="58.136792455537396"/>
    <n v="46.509433962264154"/>
    <x v="119"/>
  </r>
  <r>
    <x v="11"/>
    <x v="0"/>
    <n v="90"/>
    <n v="3352"/>
    <d v="2015-07-04T03:45:00"/>
    <d v="2015-07-04T06:00:00"/>
    <n v="515"/>
    <n v="530"/>
    <n v="493"/>
    <s v="Feedwater chemistry (not specific to condenser"/>
    <s v="FA00Derate due to Silica restrictions in feedwater chemistry."/>
    <s v="Trimble"/>
    <x v="0"/>
    <s v="Coal"/>
    <x v="2"/>
    <x v="2"/>
    <n v="7"/>
    <n v="2.25"/>
    <n v="6.3679245283018868E-2"/>
    <n v="31.393867924528301"/>
    <n v="13.952830188679245"/>
    <x v="61"/>
  </r>
  <r>
    <x v="11"/>
    <x v="0"/>
    <n v="91"/>
    <n v="3352"/>
    <d v="2015-07-04T06:00:00"/>
    <d v="2015-07-04T10:00:00"/>
    <n v="525"/>
    <n v="530"/>
    <n v="493"/>
    <s v="Feedwater chemistry (not specific to condenser"/>
    <s v="FA00Derate due to Silica restrictions in feedwater chemistry."/>
    <s v="Trimble"/>
    <x v="0"/>
    <s v="Coal"/>
    <x v="2"/>
    <x v="2"/>
    <n v="7"/>
    <n v="3.9999999999417923"/>
    <n v="3.7735849056054642E-2"/>
    <n v="18.60377358463494"/>
    <n v="4.6509433962264151"/>
    <x v="166"/>
  </r>
  <r>
    <x v="11"/>
    <x v="0"/>
    <n v="92"/>
    <n v="3440"/>
    <d v="2015-07-06T06:33:00"/>
    <d v="2015-07-06T13:13:00"/>
    <n v="475"/>
    <n v="530"/>
    <n v="493"/>
    <s v="High pressure heater tube leaks"/>
    <s v="F540High Pressure Feedwater Heaters 5 and 6 are out of service. Feedwater Heater 6 was"/>
    <s v="Trimble"/>
    <x v="0"/>
    <s v="Coal"/>
    <x v="2"/>
    <x v="2"/>
    <n v="7"/>
    <n v="6.6666666665696539"/>
    <n v="0.69182389936100186"/>
    <n v="341.06918238497394"/>
    <n v="51.160377358490564"/>
    <x v="3"/>
  </r>
  <r>
    <x v="11"/>
    <x v="3"/>
    <n v="93"/>
    <n v="4700"/>
    <d v="2015-07-24T09:15:00"/>
    <d v="2015-07-24T12:04:00"/>
    <n v="0"/>
    <n v="530"/>
    <n v="493"/>
    <s v="Generator voltage control"/>
    <s v="F790VAR testing was performed while Unit was good for full load. Unit was good for ful"/>
    <s v="Trimble"/>
    <x v="1"/>
    <s v="Coal"/>
    <x v="2"/>
    <x v="2"/>
    <n v="7"/>
    <n v="2.8166666667675599"/>
    <n v="2.8166666667675599"/>
    <n v="1388.6166667164071"/>
    <n v="493"/>
    <x v="296"/>
  </r>
  <r>
    <x v="11"/>
    <x v="5"/>
    <n v="94"/>
    <n v="4260"/>
    <d v="2015-08-20T00:10:00"/>
    <d v="2015-08-21T02:11:00"/>
    <n v="0"/>
    <n v="530"/>
    <n v="493"/>
    <s v="Main stop valves"/>
    <s v="F830During a Main Stop Valve test the #2 Main Stop Valve successfully closed but would"/>
    <s v="Trimble"/>
    <x v="3"/>
    <s v="Coal"/>
    <x v="2"/>
    <x v="2"/>
    <n v="8"/>
    <n v="26.016666666604578"/>
    <n v="26.016666666604578"/>
    <n v="12826.216666636057"/>
    <n v="493"/>
    <x v="296"/>
  </r>
  <r>
    <x v="11"/>
    <x v="0"/>
    <n v="95"/>
    <n v="3352"/>
    <d v="2015-08-21T13:45:00"/>
    <d v="2015-08-21T14:06:00"/>
    <n v="480"/>
    <n v="530"/>
    <n v="493"/>
    <s v="Feedwater chemistry (not specific to condenser"/>
    <s v="FA00Silica levels in water caused a derate until water cleanliness met acceptable leve"/>
    <s v="Trimble"/>
    <x v="0"/>
    <s v="Coal"/>
    <x v="2"/>
    <x v="2"/>
    <n v="8"/>
    <n v="0.35000000009313226"/>
    <n v="3.3018867933314364E-2"/>
    <n v="16.278301891123981"/>
    <n v="46.509433962264154"/>
    <x v="119"/>
  </r>
  <r>
    <x v="11"/>
    <x v="1"/>
    <n v="96"/>
    <n v="1140"/>
    <d v="2015-08-29T22:00:00"/>
    <d v="2015-08-29T22:16:00"/>
    <n v="400"/>
    <n v="530"/>
    <n v="493"/>
    <s v="First superheater A"/>
    <s v="F540Maintenance to repair packing leak on SH Spray valve."/>
    <s v="Trimble"/>
    <x v="0"/>
    <s v="Coal"/>
    <x v="2"/>
    <x v="2"/>
    <n v="8"/>
    <n v="0.26666666666278616"/>
    <n v="6.5408805030494718E-2"/>
    <n v="32.246540880033898"/>
    <n v="120.9245283018868"/>
    <x v="277"/>
  </r>
  <r>
    <x v="11"/>
    <x v="1"/>
    <n v="97"/>
    <n v="1140"/>
    <d v="2015-08-29T22:16:00"/>
    <d v="2015-08-30T02:17:00"/>
    <n v="300"/>
    <n v="530"/>
    <n v="493"/>
    <s v="First superheater A"/>
    <s v="F540Further maintenance on SH Spray valve - Unit was taken from 400 to 300 for full va"/>
    <s v="Trimble"/>
    <x v="0"/>
    <s v="Coal"/>
    <x v="2"/>
    <x v="2"/>
    <n v="8"/>
    <n v="4.0166666666627862"/>
    <n v="1.7430817610046052"/>
    <n v="859.33930817527039"/>
    <n v="213.9433962264151"/>
    <x v="219"/>
  </r>
  <r>
    <x v="11"/>
    <x v="1"/>
    <n v="98"/>
    <n v="1140"/>
    <d v="2015-09-02T23:00:00"/>
    <d v="2015-09-03T04:15:00"/>
    <n v="400"/>
    <n v="530"/>
    <n v="493"/>
    <s v="First superheater A"/>
    <s v="F540Continued maintenance on the SH spray valve."/>
    <s v="Trimble"/>
    <x v="0"/>
    <s v="Coal"/>
    <x v="2"/>
    <x v="2"/>
    <n v="9"/>
    <n v="5.25"/>
    <n v="1.2877358490566038"/>
    <n v="634.85377358490564"/>
    <n v="120.9245283018868"/>
    <x v="277"/>
  </r>
  <r>
    <x v="11"/>
    <x v="0"/>
    <n v="99"/>
    <n v="310"/>
    <d v="2015-09-11T10:02:00"/>
    <d v="2015-09-12T01:01:00"/>
    <n v="450"/>
    <n v="530"/>
    <n v="493"/>
    <s v="Pulverizer mills"/>
    <s v="F660Unit was placed on a derate due to coal mill issues - differential pressure alarms"/>
    <s v="Trimble"/>
    <x v="0"/>
    <s v="Coal"/>
    <x v="2"/>
    <x v="2"/>
    <n v="9"/>
    <n v="14.983333333279006"/>
    <n v="2.261635220117586"/>
    <n v="1114.98616351797"/>
    <n v="74.415094339622641"/>
    <x v="29"/>
  </r>
  <r>
    <x v="11"/>
    <x v="0"/>
    <n v="100"/>
    <n v="310"/>
    <d v="2015-09-14T07:10:00"/>
    <d v="2015-09-14T14:27:00"/>
    <n v="450"/>
    <n v="530"/>
    <n v="493"/>
    <s v="Pulverizer mills"/>
    <s v="F660B Mill taken out of service due to high DP and coal chute pluggage. Investigation "/>
    <s v="Trimble"/>
    <x v="0"/>
    <s v="Coal"/>
    <x v="2"/>
    <x v="2"/>
    <n v="9"/>
    <n v="7.2833333333255723"/>
    <n v="1.0993710691812184"/>
    <n v="541.98993710634068"/>
    <n v="74.415094339622641"/>
    <x v="29"/>
  </r>
  <r>
    <x v="11"/>
    <x v="0"/>
    <n v="101"/>
    <n v="310"/>
    <d v="2015-09-14T15:00:00"/>
    <d v="2015-09-14T20:32:00"/>
    <n v="475"/>
    <n v="530"/>
    <n v="493"/>
    <s v="Pulverizer mills"/>
    <s v="F6601B Mill placed back in service - continued high DP problems across bowl. Inspectio"/>
    <s v="Trimble"/>
    <x v="0"/>
    <s v="Coal"/>
    <x v="2"/>
    <x v="2"/>
    <n v="9"/>
    <n v="5.53333333338378"/>
    <n v="0.57421383648322244"/>
    <n v="283.08742138622864"/>
    <n v="51.160377358490564"/>
    <x v="3"/>
  </r>
  <r>
    <x v="11"/>
    <x v="0"/>
    <n v="102"/>
    <n v="280"/>
    <d v="2015-09-15T00:17:00"/>
    <d v="2015-09-15T01:30:00"/>
    <n v="475"/>
    <n v="530"/>
    <n v="493"/>
    <s v="Pulverizer fires"/>
    <s v="F6601B Mill put in service at 45% feed rate due to the high bowl DP. Soon after, there"/>
    <s v="Trimble"/>
    <x v="0"/>
    <s v="Coal"/>
    <x v="2"/>
    <x v="2"/>
    <n v="9"/>
    <n v="1.21666666661622"/>
    <n v="0.12625786162998509"/>
    <n v="62.245125783582651"/>
    <n v="51.160377358490564"/>
    <x v="3"/>
  </r>
  <r>
    <x v="11"/>
    <x v="0"/>
    <n v="103"/>
    <n v="280"/>
    <d v="2015-09-16T17:21:00"/>
    <d v="2015-09-16T19:45:00"/>
    <n v="525"/>
    <n v="530"/>
    <n v="493"/>
    <s v="Pulverizer fires"/>
    <s v="F6601B Mill fire - taken out of service for cool down and cleaning."/>
    <s v="Trimble"/>
    <x v="0"/>
    <s v="Coal"/>
    <x v="2"/>
    <x v="2"/>
    <n v="9"/>
    <n v="2.3999999999650754"/>
    <n v="2.2641509433632787E-2"/>
    <n v="11.162264150780963"/>
    <n v="4.6509433962264151"/>
    <x v="166"/>
  </r>
  <r>
    <x v="11"/>
    <x v="3"/>
    <n v="104"/>
    <n v="1980"/>
    <d v="2015-10-01T22:56:00"/>
    <d v="2015-10-02T02:13:00"/>
    <n v="0"/>
    <n v="530"/>
    <n v="493"/>
    <s v="Boiler safety valve test"/>
    <s v="F790Non-curtailing derate for Main Steam Safety Valve testing. Unit was available for "/>
    <s v="Trimble"/>
    <x v="1"/>
    <s v="Coal"/>
    <x v="2"/>
    <x v="2"/>
    <n v="10"/>
    <n v="3.28333333338378"/>
    <n v="3.28333333338378"/>
    <n v="1618.6833333582035"/>
    <n v="493"/>
    <x v="296"/>
  </r>
  <r>
    <x v="11"/>
    <x v="3"/>
    <n v="105"/>
    <n v="1980"/>
    <d v="2015-10-06T21:56:00"/>
    <d v="2015-10-07T00:58:00"/>
    <n v="0"/>
    <n v="530"/>
    <n v="493"/>
    <s v="Boiler safety valve test"/>
    <s v="F790Non-curtailing derate for Main Steam Safety Valve testing. Unit was available for "/>
    <s v="Trimble"/>
    <x v="1"/>
    <s v="Coal"/>
    <x v="2"/>
    <x v="2"/>
    <n v="10"/>
    <n v="3.0333333332673647"/>
    <n v="3.0333333332673647"/>
    <n v="1495.4333333008108"/>
    <n v="493"/>
    <x v="296"/>
  </r>
  <r>
    <x v="11"/>
    <x v="0"/>
    <n v="106"/>
    <n v="310"/>
    <d v="2015-10-08T20:53:00"/>
    <d v="2015-10-09T03:49:00"/>
    <n v="435"/>
    <n v="530"/>
    <n v="493"/>
    <s v="Pulverizer mills"/>
    <s v="F660A Mill had a high DP level and the A Mill was amping out, causing the unit to run "/>
    <s v="Trimble"/>
    <x v="0"/>
    <s v="Coal"/>
    <x v="2"/>
    <x v="2"/>
    <n v="10"/>
    <n v="6.933333333407063"/>
    <n v="1.2427672956106999"/>
    <n v="612.68427673607505"/>
    <n v="88.367924528301884"/>
    <x v="273"/>
  </r>
  <r>
    <x v="11"/>
    <x v="0"/>
    <n v="107"/>
    <n v="310"/>
    <d v="2015-10-09T03:49:00"/>
    <d v="2015-10-09T23:48:00"/>
    <n v="420"/>
    <n v="530"/>
    <n v="493"/>
    <s v="Pulverizer mills"/>
    <s v="F660Continued problems with the TC1 coal mills."/>
    <s v="Trimble"/>
    <x v="0"/>
    <s v="Coal"/>
    <x v="2"/>
    <x v="2"/>
    <n v="10"/>
    <n v="19.983333333337214"/>
    <n v="4.1474842767303652"/>
    <n v="2044.70974842807"/>
    <n v="102.32075471698113"/>
    <x v="265"/>
  </r>
  <r>
    <x v="11"/>
    <x v="6"/>
    <n v="108"/>
    <n v="8650"/>
    <d v="2015-10-09T23:48:00"/>
    <d v="2015-11-23T00:00:00"/>
    <n v="0"/>
    <n v="530"/>
    <n v="493"/>
    <s v="Baghouse systems"/>
    <s v="F590TC1 Fall 2015 Outage - planned outage involving baghouse tie-in and other maintena"/>
    <s v="Trimble"/>
    <x v="1"/>
    <s v="Coal"/>
    <x v="2"/>
    <x v="2"/>
    <n v="10"/>
    <n v="1056.1999999999534"/>
    <n v="1056.1999999999534"/>
    <n v="520706.59999997704"/>
    <n v="493"/>
    <x v="296"/>
  </r>
  <r>
    <x v="11"/>
    <x v="8"/>
    <n v="109"/>
    <n v="8650"/>
    <d v="2015-11-23T00:00:00"/>
    <d v="2015-12-11T21:51:00"/>
    <n v="0"/>
    <n v="530"/>
    <n v="493"/>
    <s v="Baghouse systems"/>
    <s v="F590Planned Extension of the TC1 2015 Fall Outage."/>
    <s v="Trimble"/>
    <x v="1"/>
    <s v="Coal"/>
    <x v="2"/>
    <x v="2"/>
    <n v="11"/>
    <n v="453.84999999997672"/>
    <n v="453.84999999997672"/>
    <n v="223748.04999998852"/>
    <n v="493"/>
    <x v="296"/>
  </r>
  <r>
    <x v="11"/>
    <x v="3"/>
    <n v="110"/>
    <n v="1850"/>
    <d v="2015-12-13T10:47:00"/>
    <d v="2015-12-13T11:55:00"/>
    <n v="0"/>
    <n v="530"/>
    <n v="493"/>
    <s v="Boiler water condition (not feedwater water quality)"/>
    <s v="FA00Non-curtailing derate due to silica hold on the unit until the boiler water chemis"/>
    <s v="Trimble"/>
    <x v="1"/>
    <s v="Coal"/>
    <x v="2"/>
    <x v="2"/>
    <n v="12"/>
    <n v="1.1333333333604969"/>
    <n v="1.1333333333604969"/>
    <n v="558.73333334672498"/>
    <n v="493"/>
    <x v="296"/>
  </r>
  <r>
    <x v="11"/>
    <x v="5"/>
    <n v="111"/>
    <n v="1090"/>
    <d v="2015-12-13T11:55:00"/>
    <d v="2015-12-18T11:55:00"/>
    <n v="0"/>
    <n v="530"/>
    <n v="493"/>
    <s v="Other boiler tube leaks"/>
    <s v="F830Unit was taken offline due to a set of boiler tube leaks."/>
    <s v="Trimble"/>
    <x v="3"/>
    <s v="Coal"/>
    <x v="2"/>
    <x v="2"/>
    <n v="12"/>
    <n v="120"/>
    <n v="120"/>
    <n v="59160"/>
    <n v="493"/>
    <x v="296"/>
  </r>
  <r>
    <x v="11"/>
    <x v="5"/>
    <n v="112"/>
    <n v="8650"/>
    <d v="2015-12-18T11:55:00"/>
    <d v="2015-12-19T03:22:00"/>
    <n v="0"/>
    <n v="530"/>
    <n v="493"/>
    <s v="Baghouse systems"/>
    <s v="F590Fires out to coat the new TC1 Baghouse bags."/>
    <s v="Trimble"/>
    <x v="3"/>
    <s v="Coal"/>
    <x v="2"/>
    <x v="2"/>
    <n v="12"/>
    <n v="15.449999999895226"/>
    <n v="15.449999999895226"/>
    <n v="7616.8499999483465"/>
    <n v="493"/>
    <x v="296"/>
  </r>
  <r>
    <x v="11"/>
    <x v="3"/>
    <n v="113"/>
    <n v="9999"/>
    <d v="2015-12-22T06:00:00"/>
    <d v="2015-12-22T12:00:00"/>
    <n v="0"/>
    <n v="530"/>
    <n v="493"/>
    <s v="Total unit performance testing (use appropriate codes for individual component testing)"/>
    <s v="F790Non-curtailing event during testing of AGC."/>
    <s v="Trimble"/>
    <x v="1"/>
    <s v="Coal"/>
    <x v="2"/>
    <x v="2"/>
    <n v="12"/>
    <n v="6"/>
    <n v="6"/>
    <n v="2958"/>
    <n v="493"/>
    <x v="296"/>
  </r>
  <r>
    <x v="11"/>
    <x v="0"/>
    <n v="114"/>
    <n v="250"/>
    <d v="2015-12-25T03:05:00"/>
    <d v="2015-12-25T03:20:00"/>
    <n v="440"/>
    <n v="530"/>
    <n v="493"/>
    <s v="Pulverizer feeders"/>
    <s v="F400Derate due to 1C coal feeder runback."/>
    <s v="Trimble"/>
    <x v="0"/>
    <s v="Coal"/>
    <x v="2"/>
    <x v="2"/>
    <n v="12"/>
    <n v="0.25000000011641532"/>
    <n v="4.2452830208447888E-2"/>
    <n v="20.929245292764808"/>
    <n v="83.716981132075475"/>
    <x v="136"/>
  </r>
  <r>
    <x v="11"/>
    <x v="0"/>
    <n v="115"/>
    <n v="3412"/>
    <d v="2015-12-26T03:01:00"/>
    <d v="2015-12-26T04:23:00"/>
    <n v="300"/>
    <n v="530"/>
    <n v="493"/>
    <s v="Feedwater pump drive - steam turbine"/>
    <s v="F820While testing the overspeed for the 1B TDBFP, the pump failed the test and tripped"/>
    <s v="Trimble"/>
    <x v="0"/>
    <s v="Coal"/>
    <x v="2"/>
    <x v="2"/>
    <n v="12"/>
    <n v="1.3666666665812954"/>
    <n v="0.59308176096924137"/>
    <n v="292.38930815783601"/>
    <n v="213.9433962264151"/>
    <x v="219"/>
  </r>
  <r>
    <x v="11"/>
    <x v="0"/>
    <n v="116"/>
    <n v="9270"/>
    <d v="2015-12-29T06:49:00"/>
    <d v="2015-12-29T07:00:00"/>
    <n v="438"/>
    <n v="530"/>
    <n v="493"/>
    <s v="Wet coal"/>
    <s v="FW00Unit derate due to wet coal."/>
    <s v="Trimble"/>
    <x v="0"/>
    <s v="Coal"/>
    <x v="2"/>
    <x v="2"/>
    <n v="12"/>
    <n v="0.18333333323244005"/>
    <n v="3.1823899353555632E-2"/>
    <n v="15.689182381302926"/>
    <n v="85.577358490566041"/>
    <x v="173"/>
  </r>
  <r>
    <x v="11"/>
    <x v="0"/>
    <n v="117"/>
    <n v="9270"/>
    <d v="2015-12-29T07:00:00"/>
    <d v="2015-12-29T07:47:00"/>
    <n v="418"/>
    <n v="530"/>
    <n v="493"/>
    <s v="Wet coal"/>
    <s v="FW00Unit derate due to wet coal."/>
    <s v="Trimble"/>
    <x v="0"/>
    <s v="Coal"/>
    <x v="2"/>
    <x v="2"/>
    <n v="12"/>
    <n v="0.78333333344198763"/>
    <n v="0.16553459121792946"/>
    <n v="81.608553470439219"/>
    <n v="104.18113207547169"/>
    <x v="228"/>
  </r>
  <r>
    <x v="11"/>
    <x v="0"/>
    <n v="118"/>
    <n v="340"/>
    <d v="2015-12-29T18:27:00"/>
    <d v="2015-12-29T19:35:00"/>
    <n v="350"/>
    <n v="530"/>
    <n v="493"/>
    <s v="Other pulverizer problems"/>
    <s v="F640The 1B Mill became overheated, requiring the plant to take it out of service. The "/>
    <s v="Trimble"/>
    <x v="0"/>
    <s v="Coal"/>
    <x v="2"/>
    <x v="2"/>
    <n v="12"/>
    <n v="1.1333333331858739"/>
    <n v="0.38490566032727791"/>
    <n v="189.75849054134801"/>
    <n v="167.43396226415095"/>
    <x v="27"/>
  </r>
  <r>
    <x v="11"/>
    <x v="0"/>
    <n v="119"/>
    <n v="340"/>
    <d v="2015-12-30T11:27:00"/>
    <d v="2015-12-30T11:56:00"/>
    <n v="402"/>
    <n v="530"/>
    <n v="493"/>
    <s v="Other pulverizer problems"/>
    <s v="F460The 1F Mill caught fire and was taken out of service. The 1D Mill was put in servi"/>
    <s v="Trimble"/>
    <x v="0"/>
    <s v="Coal"/>
    <x v="2"/>
    <x v="2"/>
    <n v="12"/>
    <n v="0.48333333333721384"/>
    <n v="0.11672955974936486"/>
    <n v="57.547672956436877"/>
    <n v="119.06415094339623"/>
    <x v="95"/>
  </r>
  <r>
    <x v="11"/>
    <x v="0"/>
    <n v="120"/>
    <n v="340"/>
    <d v="2015-12-31T09:57:00"/>
    <d v="2015-12-31T10:25:00"/>
    <n v="420"/>
    <n v="530"/>
    <n v="493"/>
    <s v="Other pulverizer problems"/>
    <s v="F4601B Mill caught fire, causing the equipment to be taken out of service."/>
    <s v="Trimble"/>
    <x v="0"/>
    <s v="Coal"/>
    <x v="2"/>
    <x v="2"/>
    <n v="12"/>
    <n v="0.46666666679084301"/>
    <n v="9.6855345937722132E-2"/>
    <n v="47.749685547297013"/>
    <n v="102.32075471698113"/>
    <x v="265"/>
  </r>
  <r>
    <x v="11"/>
    <x v="0"/>
    <n v="1"/>
    <n v="100"/>
    <d v="2016-01-04T02:20:00"/>
    <d v="2016-01-04T03:25:00"/>
    <n v="385"/>
    <n v="530"/>
    <n v="493"/>
    <s v="Bunker gates"/>
    <s v="F1201C Coal Feeder had no coal on belt and came in with an alarm due to uneven coal fl"/>
    <s v="Trimble"/>
    <x v="0"/>
    <s v="Coal"/>
    <x v="2"/>
    <x v="3"/>
    <n v="1"/>
    <n v="1.0833333333721384"/>
    <n v="0.29638364780935861"/>
    <n v="146.11713837001381"/>
    <n v="134.87735849056602"/>
    <x v="162"/>
  </r>
  <r>
    <x v="11"/>
    <x v="0"/>
    <n v="2"/>
    <n v="100"/>
    <d v="2016-01-04T04:45:00"/>
    <d v="2016-01-04T05:16:00"/>
    <n v="385"/>
    <n v="530"/>
    <n v="493"/>
    <s v="Bunker gates"/>
    <s v="F1201C Coal Feeder had no coal on belt and came in with an alarm due to uneven coal fl"/>
    <s v="Trimble"/>
    <x v="0"/>
    <s v="Coal"/>
    <x v="2"/>
    <x v="3"/>
    <n v="1"/>
    <n v="0.51666666677920148"/>
    <n v="0.14135220128864945"/>
    <n v="69.68663523530418"/>
    <n v="134.87735849056602"/>
    <x v="162"/>
  </r>
  <r>
    <x v="11"/>
    <x v="3"/>
    <n v="3"/>
    <n v="4261"/>
    <d v="2016-01-04T09:00:00"/>
    <d v="2016-01-04T23:42:00"/>
    <n v="0"/>
    <n v="530"/>
    <n v="493"/>
    <s v="Control valves"/>
    <s v="F790Non-curtailing derate for control valve testing. The unit was available for full l"/>
    <s v="Trimble"/>
    <x v="1"/>
    <s v="Coal"/>
    <x v="2"/>
    <x v="3"/>
    <n v="1"/>
    <n v="14.700000000069849"/>
    <n v="14.700000000069849"/>
    <n v="7247.1000000344357"/>
    <n v="493"/>
    <x v="296"/>
  </r>
  <r>
    <x v="11"/>
    <x v="0"/>
    <n v="4"/>
    <n v="4261"/>
    <d v="2016-01-05T23:00:00"/>
    <d v="2016-01-06T01:00:00"/>
    <n v="495"/>
    <n v="530"/>
    <n v="493"/>
    <s v="Control valves"/>
    <s v="F790Tuning of the TC1 control valves without sufficient notice to dispatch."/>
    <s v="Trimble"/>
    <x v="0"/>
    <s v="Coal"/>
    <x v="2"/>
    <x v="3"/>
    <n v="1"/>
    <n v="1.9999999998835847"/>
    <n v="0.13207547169042541"/>
    <n v="65.11320754337973"/>
    <n v="32.556603773584904"/>
    <x v="17"/>
  </r>
  <r>
    <x v="11"/>
    <x v="0"/>
    <n v="5"/>
    <n v="340"/>
    <d v="2016-01-10T08:12:00"/>
    <d v="2016-01-10T09:00:00"/>
    <n v="500"/>
    <n v="530"/>
    <n v="493"/>
    <s v="Other pulverizer problems"/>
    <s v="F060The relays in the 1C Coal Mill Hydraulic Unit has failed to operate correctly, kee"/>
    <s v="Trimble"/>
    <x v="0"/>
    <s v="Coal"/>
    <x v="2"/>
    <x v="3"/>
    <n v="1"/>
    <n v="0.79999999998835847"/>
    <n v="4.5283018867265573E-2"/>
    <n v="22.324528301561926"/>
    <n v="27.90566037735849"/>
    <x v="67"/>
  </r>
  <r>
    <x v="11"/>
    <x v="0"/>
    <n v="6"/>
    <n v="340"/>
    <d v="2016-01-10T09:00:00"/>
    <d v="2016-01-10T09:30:00"/>
    <n v="500"/>
    <n v="530"/>
    <n v="493"/>
    <s v="Other pulverizer problems"/>
    <s v="F060Testing of the TC1 Baghouse system was going on at this time to fix the Hydrated L"/>
    <s v="Trimble"/>
    <x v="0"/>
    <s v="Coal"/>
    <x v="2"/>
    <x v="3"/>
    <n v="1"/>
    <n v="0.50000000005820766"/>
    <n v="2.8301886795747605E-2"/>
    <n v="13.952830190303569"/>
    <n v="27.90566037735849"/>
    <x v="67"/>
  </r>
  <r>
    <x v="11"/>
    <x v="0"/>
    <n v="7"/>
    <n v="340"/>
    <d v="2016-01-10T09:30:00"/>
    <d v="2016-01-10T10:40:00"/>
    <n v="460"/>
    <n v="530"/>
    <n v="493"/>
    <s v="Other pulverizer problems"/>
    <s v="F060Continued problems with the C and B Mills kept the unit on a derate."/>
    <s v="Trimble"/>
    <x v="0"/>
    <s v="Coal"/>
    <x v="2"/>
    <x v="3"/>
    <n v="1"/>
    <n v="1.1666666666278616"/>
    <n v="0.1540880503093402"/>
    <n v="75.965408802504712"/>
    <n v="65.113207547169807"/>
    <x v="127"/>
  </r>
  <r>
    <x v="11"/>
    <x v="0"/>
    <n v="8"/>
    <n v="340"/>
    <d v="2016-01-10T10:40:00"/>
    <d v="2016-01-10T17:19:00"/>
    <n v="500"/>
    <n v="530"/>
    <n v="493"/>
    <s v="Other pulverizer problems"/>
    <s v="F060Testing was going on at this time to correct the ratio of Hydrated Lime to flyash."/>
    <s v="Trimble"/>
    <x v="0"/>
    <s v="Coal"/>
    <x v="2"/>
    <x v="3"/>
    <n v="1"/>
    <n v="6.6500000000232831"/>
    <n v="0.37641509434094056"/>
    <n v="185.57264151008368"/>
    <n v="27.90566037735849"/>
    <x v="67"/>
  </r>
  <r>
    <x v="11"/>
    <x v="3"/>
    <n v="9"/>
    <n v="8650"/>
    <d v="2016-01-10T17:19:00"/>
    <d v="2016-01-10T22:30:00"/>
    <n v="0"/>
    <n v="530"/>
    <n v="493"/>
    <s v="Baghouse systems"/>
    <s v="F790Non-curtailing testing of the unit to correct the ratio of Hydrated Lime to flyash"/>
    <s v="Trimble"/>
    <x v="1"/>
    <s v="Coal"/>
    <x v="2"/>
    <x v="3"/>
    <n v="1"/>
    <n v="5.1833333332906477"/>
    <n v="5.1833333332906477"/>
    <n v="2555.3833333122893"/>
    <n v="493"/>
    <x v="296"/>
  </r>
  <r>
    <x v="11"/>
    <x v="0"/>
    <n v="10"/>
    <n v="280"/>
    <d v="2016-01-12T15:40:00"/>
    <d v="2016-01-12T21:00:00"/>
    <n v="525"/>
    <n v="530"/>
    <n v="493"/>
    <s v="Pulverizer fires"/>
    <s v="FR001F Mill caught on fire and 1B Mill was put in service. 1B was taken out of service"/>
    <s v="Trimble"/>
    <x v="0"/>
    <s v="Coal"/>
    <x v="2"/>
    <x v="3"/>
    <n v="1"/>
    <n v="5.3333333332557231"/>
    <n v="5.0314465408072863E-2"/>
    <n v="24.805031446179921"/>
    <n v="4.6509433962264151"/>
    <x v="166"/>
  </r>
  <r>
    <x v="11"/>
    <x v="0"/>
    <n v="11"/>
    <n v="300"/>
    <d v="2016-01-12T21:00:00"/>
    <d v="2016-01-12T23:10:00"/>
    <n v="395"/>
    <n v="530"/>
    <n v="493"/>
    <s v="Pulverizer motors and drives"/>
    <s v="F700Continued problems with the F and B Mills, combined with the loss of control power"/>
    <s v="Trimble"/>
    <x v="0"/>
    <s v="Coal"/>
    <x v="2"/>
    <x v="3"/>
    <n v="1"/>
    <n v="2.1666666667442769"/>
    <n v="0.55188679247259886"/>
    <n v="272.08018868899126"/>
    <n v="125.5754716981132"/>
    <x v="248"/>
  </r>
  <r>
    <x v="11"/>
    <x v="1"/>
    <n v="12"/>
    <n v="280"/>
    <d v="2016-01-13T12:25:00"/>
    <d v="2016-01-13T19:11:00"/>
    <n v="525"/>
    <n v="530"/>
    <n v="493"/>
    <s v="Pulverizer fires"/>
    <s v="FR001F Mill caught on fire, after being cooled and put in service. 1C Mill was put in "/>
    <s v="Trimble"/>
    <x v="0"/>
    <s v="Coal"/>
    <x v="2"/>
    <x v="3"/>
    <n v="1"/>
    <n v="6.7666666667209938"/>
    <n v="6.3836477987933904E-2"/>
    <n v="31.471383648051415"/>
    <n v="4.6509433962264151"/>
    <x v="166"/>
  </r>
  <r>
    <x v="11"/>
    <x v="3"/>
    <n v="13"/>
    <n v="8650"/>
    <d v="2016-01-14T06:00:00"/>
    <d v="2016-01-14T18:39:00"/>
    <n v="0"/>
    <n v="530"/>
    <n v="493"/>
    <s v="Baghouse systems"/>
    <s v="F790Non-Curtailing full load testing on the Unit due to the introduction of the new ba"/>
    <s v="Trimble"/>
    <x v="1"/>
    <s v="Coal"/>
    <x v="2"/>
    <x v="3"/>
    <n v="1"/>
    <n v="12.650000000023283"/>
    <n v="12.650000000023283"/>
    <n v="6236.4500000114786"/>
    <n v="493"/>
    <x v="296"/>
  </r>
  <r>
    <x v="11"/>
    <x v="3"/>
    <n v="14"/>
    <n v="8650"/>
    <d v="2016-01-14T18:50:00"/>
    <d v="2016-01-14T22:06:00"/>
    <n v="0"/>
    <n v="530"/>
    <n v="493"/>
    <s v="Baghouse systems"/>
    <s v="F790Non-Curtailing derate for full load testing on the Unit due to the introduction of"/>
    <s v="Trimble"/>
    <x v="1"/>
    <s v="Coal"/>
    <x v="2"/>
    <x v="3"/>
    <n v="1"/>
    <n v="3.2666666666627862"/>
    <n v="3.2666666666627862"/>
    <n v="1610.4666666647536"/>
    <n v="493"/>
    <x v="296"/>
  </r>
  <r>
    <x v="11"/>
    <x v="3"/>
    <n v="15"/>
    <n v="8650"/>
    <d v="2016-01-15T06:00:00"/>
    <d v="2016-01-15T20:48:00"/>
    <n v="0"/>
    <n v="530"/>
    <n v="493"/>
    <s v="Baghouse systems"/>
    <s v="F790Non-Curtailing derate for full load testing on the Unit due to the introduction of"/>
    <s v="Trimble"/>
    <x v="1"/>
    <s v="Coal"/>
    <x v="2"/>
    <x v="3"/>
    <n v="1"/>
    <n v="14.800000000046566"/>
    <n v="14.800000000046566"/>
    <n v="7296.4000000229571"/>
    <n v="493"/>
    <x v="296"/>
  </r>
  <r>
    <x v="11"/>
    <x v="3"/>
    <n v="16"/>
    <n v="8650"/>
    <d v="2016-01-16T06:30:00"/>
    <d v="2016-01-16T20:19:00"/>
    <n v="0"/>
    <n v="530"/>
    <n v="493"/>
    <s v="Baghouse systems"/>
    <s v="F790Non-Curtailing derate for full load testing on the Unit due to the introduction of"/>
    <s v="Trimble"/>
    <x v="1"/>
    <s v="Coal"/>
    <x v="2"/>
    <x v="3"/>
    <n v="1"/>
    <n v="13.816666666651145"/>
    <n v="13.816666666651145"/>
    <n v="6811.6166666590143"/>
    <n v="493"/>
    <x v="296"/>
  </r>
  <r>
    <x v="11"/>
    <x v="0"/>
    <n v="17"/>
    <n v="250"/>
    <d v="2016-01-18T15:47:00"/>
    <d v="2016-01-18T16:17:00"/>
    <n v="400"/>
    <n v="530"/>
    <n v="493"/>
    <s v="Pulverizer feeders"/>
    <s v="F1201A Coal Mill tripped on feeder flooding. Derate while placing 1C Coal Mill in serv"/>
    <s v="Trimble"/>
    <x v="0"/>
    <s v="Coal"/>
    <x v="2"/>
    <x v="3"/>
    <n v="1"/>
    <n v="0.50000000005820766"/>
    <n v="0.12264150944823962"/>
    <n v="60.462264157982133"/>
    <n v="120.9245283018868"/>
    <x v="277"/>
  </r>
  <r>
    <x v="11"/>
    <x v="0"/>
    <n v="18"/>
    <n v="280"/>
    <d v="2016-01-19T01:50:00"/>
    <d v="2016-01-19T02:11:00"/>
    <n v="400"/>
    <n v="530"/>
    <n v="493"/>
    <s v="Pulverizer fires"/>
    <s v="FR001F Coal Mill caught fire, placing the unit in a derated status."/>
    <s v="Trimble"/>
    <x v="0"/>
    <s v="Coal"/>
    <x v="2"/>
    <x v="3"/>
    <n v="1"/>
    <n v="0.34999999991850927"/>
    <n v="8.5849056583785291E-2"/>
    <n v="42.32358489580615"/>
    <n v="120.9245283018868"/>
    <x v="277"/>
  </r>
  <r>
    <x v="11"/>
    <x v="0"/>
    <n v="19"/>
    <n v="280"/>
    <d v="2016-01-19T05:04:00"/>
    <d v="2016-01-19T05:53:00"/>
    <n v="380"/>
    <n v="530"/>
    <n v="493"/>
    <s v="Pulverizer fires"/>
    <s v="FR001B Mill was taken out of service due to a mill fire, placing the Unit in a derated"/>
    <s v="Trimble"/>
    <x v="0"/>
    <s v="Coal"/>
    <x v="2"/>
    <x v="3"/>
    <n v="1"/>
    <n v="0.81666666670935228"/>
    <n v="0.23113207548377895"/>
    <n v="113.94811321350302"/>
    <n v="139.52830188679246"/>
    <x v="135"/>
  </r>
  <r>
    <x v="11"/>
    <x v="0"/>
    <n v="20"/>
    <n v="280"/>
    <d v="2016-01-19T22:01:00"/>
    <d v="2016-01-19T23:28:00"/>
    <n v="374"/>
    <n v="530"/>
    <n v="493"/>
    <s v="Pulverizer fires"/>
    <s v="FR001F Mill was lost while 1A and 1B Mill were already out of service. The Unit was pl"/>
    <s v="Trimble"/>
    <x v="0"/>
    <s v="Coal"/>
    <x v="2"/>
    <x v="3"/>
    <n v="1"/>
    <n v="1.4500000000116415"/>
    <n v="0.42679245283361522"/>
    <n v="210.4086792469723"/>
    <n v="145.10943396226415"/>
    <x v="45"/>
  </r>
  <r>
    <x v="11"/>
    <x v="0"/>
    <n v="21"/>
    <n v="280"/>
    <d v="2016-01-19T23:28:00"/>
    <d v="2016-01-20T00:12:00"/>
    <n v="450"/>
    <n v="530"/>
    <n v="493"/>
    <s v="Pulverizer fires"/>
    <s v="FR001F Mill was placed back in service and 1A and 1B Mills were still out of service."/>
    <s v="Trimble"/>
    <x v="0"/>
    <s v="Coal"/>
    <x v="2"/>
    <x v="3"/>
    <n v="1"/>
    <n v="0.73333333327900618"/>
    <n v="0.11069182389117074"/>
    <n v="54.571069178347173"/>
    <n v="74.415094339622641"/>
    <x v="29"/>
  </r>
  <r>
    <x v="11"/>
    <x v="0"/>
    <n v="22"/>
    <n v="280"/>
    <d v="2016-01-20T00:12:00"/>
    <d v="2016-01-20T01:48:00"/>
    <n v="525"/>
    <n v="530"/>
    <n v="493"/>
    <s v="Pulverizer fires"/>
    <s v="FR001A and 1B Mills were still unavailable, placing the Unit on a derate."/>
    <s v="Trimble"/>
    <x v="0"/>
    <s v="Coal"/>
    <x v="2"/>
    <x v="3"/>
    <n v="1"/>
    <n v="1.5999999999767169"/>
    <n v="1.5094339622421857E-2"/>
    <n v="7.4415094338539758"/>
    <n v="4.6509433962264151"/>
    <x v="166"/>
  </r>
  <r>
    <x v="11"/>
    <x v="3"/>
    <n v="23"/>
    <n v="8812"/>
    <d v="2016-01-25T12:00:00"/>
    <d v="2016-01-25T19:08:00"/>
    <n v="0"/>
    <n v="530"/>
    <n v="493"/>
    <s v="SCR NOxCatalyst"/>
    <s v="F790Performance testing on the SCR. Unit was available for full load if requested by d"/>
    <s v="Trimble"/>
    <x v="1"/>
    <s v="Coal"/>
    <x v="2"/>
    <x v="3"/>
    <n v="1"/>
    <n v="7.1333333333604969"/>
    <n v="7.1333333333604969"/>
    <n v="3516.733333346725"/>
    <n v="493"/>
    <x v="296"/>
  </r>
  <r>
    <x v="11"/>
    <x v="3"/>
    <n v="24"/>
    <n v="8812"/>
    <d v="2016-01-26T07:00:00"/>
    <d v="2016-01-26T18:08:00"/>
    <n v="0"/>
    <n v="530"/>
    <n v="493"/>
    <s v="SCR NOxCatalyst"/>
    <s v="F790Performance testing on the SCR. Unit was available for full load if requested by d"/>
    <s v="Trimble"/>
    <x v="1"/>
    <s v="Coal"/>
    <x v="2"/>
    <x v="3"/>
    <n v="1"/>
    <n v="11.133333333476912"/>
    <n v="11.133333333476912"/>
    <n v="5488.7333334041177"/>
    <n v="493"/>
    <x v="296"/>
  </r>
  <r>
    <x v="11"/>
    <x v="3"/>
    <n v="25"/>
    <n v="8812"/>
    <d v="2016-01-27T07:00:00"/>
    <d v="2016-01-27T09:54:00"/>
    <n v="0"/>
    <n v="530"/>
    <n v="493"/>
    <s v="SCR NOxCatalyst"/>
    <s v="F790Performance testing on the SCR. Unit was available for full load if requested by d"/>
    <s v="Trimble"/>
    <x v="1"/>
    <s v="Coal"/>
    <x v="2"/>
    <x v="3"/>
    <n v="1"/>
    <n v="2.9000000000232831"/>
    <n v="2.9000000000232831"/>
    <n v="1429.7000000114786"/>
    <n v="493"/>
    <x v="296"/>
  </r>
  <r>
    <x v="11"/>
    <x v="0"/>
    <n v="26"/>
    <n v="8140"/>
    <d v="2016-01-27T09:54:00"/>
    <d v="2016-01-27T10:59:00"/>
    <n v="465"/>
    <n v="530"/>
    <n v="493"/>
    <s v="Reaction tanks including agitators"/>
    <s v="F3401B Reaction Tank level went into 'High-High' alarm range, and was brought down bef"/>
    <s v="Trimble"/>
    <x v="0"/>
    <s v="Coal"/>
    <x v="2"/>
    <x v="3"/>
    <n v="1"/>
    <n v="1.0833333333721384"/>
    <n v="0.13286163522488489"/>
    <n v="65.500786165868249"/>
    <n v="60.462264150943398"/>
    <x v="11"/>
  </r>
  <r>
    <x v="11"/>
    <x v="3"/>
    <n v="27"/>
    <n v="8700"/>
    <d v="2016-01-28T07:00:00"/>
    <d v="2016-01-28T17:08:00"/>
    <n v="0"/>
    <n v="530"/>
    <n v="493"/>
    <s v="CEMS Certification and Recertification"/>
    <s v="F790CEMS Performance testing while at full load. The unit was available for full load "/>
    <s v="Trimble"/>
    <x v="1"/>
    <s v="Coal"/>
    <x v="2"/>
    <x v="3"/>
    <n v="1"/>
    <n v="10.133333333360497"/>
    <n v="10.133333333360497"/>
    <n v="4995.733333346725"/>
    <n v="493"/>
    <x v="296"/>
  </r>
  <r>
    <x v="11"/>
    <x v="3"/>
    <n v="28"/>
    <n v="8812"/>
    <d v="2016-01-29T07:00:00"/>
    <d v="2016-01-29T08:35:00"/>
    <n v="0"/>
    <n v="530"/>
    <n v="493"/>
    <s v="SCR NOxCatalyst"/>
    <s v="F790Performance testing on the SCR. Unit was available for full load if requested by d"/>
    <s v="Trimble"/>
    <x v="1"/>
    <s v="Coal"/>
    <x v="2"/>
    <x v="3"/>
    <n v="1"/>
    <n v="1.5833333334303461"/>
    <n v="1.5833333334303461"/>
    <n v="780.58333338116063"/>
    <n v="493"/>
    <x v="296"/>
  </r>
  <r>
    <x v="11"/>
    <x v="3"/>
    <n v="29"/>
    <n v="8812"/>
    <d v="2016-02-01T13:00:00"/>
    <d v="2016-02-01T18:00:00"/>
    <n v="0"/>
    <n v="530"/>
    <n v="493"/>
    <s v="SCR NOxCatalyst"/>
    <s v="F790Performance testing on the SCR. Unit was available for full load if requested by d"/>
    <s v="Trimble"/>
    <x v="1"/>
    <s v="Coal"/>
    <x v="2"/>
    <x v="3"/>
    <n v="2"/>
    <n v="5.0000000000582077"/>
    <n v="5.0000000000582077"/>
    <n v="2465.0000000286964"/>
    <n v="493"/>
    <x v="296"/>
  </r>
  <r>
    <x v="11"/>
    <x v="3"/>
    <n v="30"/>
    <n v="8812"/>
    <d v="2016-02-02T07:00:00"/>
    <d v="2016-02-02T14:25:00"/>
    <n v="0"/>
    <n v="530"/>
    <n v="493"/>
    <s v="SCR NOxCatalyst"/>
    <s v="F790Performance testing on the SCR. Unit was available for full load if requested by d"/>
    <s v="Trimble"/>
    <x v="1"/>
    <s v="Coal"/>
    <x v="2"/>
    <x v="3"/>
    <n v="2"/>
    <n v="7.4166666667442769"/>
    <n v="7.4166666667442769"/>
    <n v="3656.4166667049285"/>
    <n v="493"/>
    <x v="296"/>
  </r>
  <r>
    <x v="11"/>
    <x v="0"/>
    <n v="31"/>
    <n v="280"/>
    <d v="2016-02-12T01:27:00"/>
    <d v="2016-02-12T01:55:00"/>
    <n v="375"/>
    <n v="530"/>
    <n v="493"/>
    <s v="Pulverizer fires"/>
    <s v="FR00The B Mill caught on fire, reducing the number of available coal mills and placing"/>
    <s v="Trimble"/>
    <x v="0"/>
    <s v="Coal"/>
    <x v="2"/>
    <x v="3"/>
    <n v="2"/>
    <n v="0.46666666661622003"/>
    <n v="0.13647798740663039"/>
    <n v="67.28364779146878"/>
    <n v="144.17924528301887"/>
    <x v="250"/>
  </r>
  <r>
    <x v="11"/>
    <x v="0"/>
    <n v="32"/>
    <n v="360"/>
    <d v="2016-02-13T10:21:00"/>
    <d v="2016-02-13T12:30:00"/>
    <n v="375"/>
    <n v="530"/>
    <n v="493"/>
    <s v="Burners"/>
    <s v="F780The B Burner began to overheat, and it was taken out of service. With the C Mill a"/>
    <s v="Trimble"/>
    <x v="0"/>
    <s v="Coal"/>
    <x v="2"/>
    <x v="3"/>
    <n v="2"/>
    <n v="2.1500000000232831"/>
    <n v="0.6287735849124696"/>
    <n v="309.9853773618475"/>
    <n v="144.17924528301887"/>
    <x v="250"/>
  </r>
  <r>
    <x v="11"/>
    <x v="0"/>
    <n v="33"/>
    <n v="280"/>
    <d v="2016-02-16T08:08:00"/>
    <d v="2016-02-17T16:35:00"/>
    <n v="525"/>
    <n v="530"/>
    <n v="493"/>
    <s v="Pulverizer fires"/>
    <s v="FR00The 1B mill caught fire which resulted in a unit derate while the equipment was un"/>
    <s v="Trimble"/>
    <x v="0"/>
    <s v="Coal"/>
    <x v="2"/>
    <x v="3"/>
    <n v="2"/>
    <n v="32.449999999953434"/>
    <n v="0.30613207547125881"/>
    <n v="150.9231132073306"/>
    <n v="4.6509433962264151"/>
    <x v="166"/>
  </r>
  <r>
    <x v="11"/>
    <x v="3"/>
    <n v="34"/>
    <n v="9656"/>
    <d v="2016-02-17T07:00:00"/>
    <d v="2016-02-18T07:00:00"/>
    <n v="0"/>
    <n v="530"/>
    <n v="493"/>
    <s v="Other stack or exhaust emissions testing - fossil"/>
    <s v="F790Non-curtailing derate for Emissions testing. The unit was at full load during test"/>
    <s v="Trimble"/>
    <x v="1"/>
    <s v="Coal"/>
    <x v="2"/>
    <x v="3"/>
    <n v="2"/>
    <n v="24"/>
    <n v="24"/>
    <n v="11832"/>
    <n v="493"/>
    <x v="296"/>
  </r>
  <r>
    <x v="11"/>
    <x v="3"/>
    <n v="35"/>
    <n v="9656"/>
    <d v="2016-02-18T07:00:00"/>
    <d v="2016-02-18T18:00:00"/>
    <n v="0"/>
    <n v="530"/>
    <n v="493"/>
    <s v="Other stack or exhaust emissions testing - fossil"/>
    <s v="F790Non-curtailing derate for Emissions testing. The unit was at full load during test"/>
    <s v="Trimble"/>
    <x v="1"/>
    <s v="Coal"/>
    <x v="2"/>
    <x v="3"/>
    <n v="2"/>
    <n v="11.000000000058208"/>
    <n v="11.000000000058208"/>
    <n v="5423.0000000286964"/>
    <n v="493"/>
    <x v="296"/>
  </r>
  <r>
    <x v="11"/>
    <x v="3"/>
    <n v="36"/>
    <n v="9656"/>
    <d v="2016-02-18T18:00:00"/>
    <d v="2016-02-18T21:48:00"/>
    <n v="0"/>
    <n v="530"/>
    <n v="493"/>
    <s v="Other stack or exhaust emissions testing - fossil"/>
    <s v="F790Non-curtailing derate for Emissions testing. The unit was at full load during test"/>
    <s v="Trimble"/>
    <x v="1"/>
    <s v="Coal"/>
    <x v="2"/>
    <x v="3"/>
    <n v="2"/>
    <n v="3.7999999999883585"/>
    <n v="3.7999999999883585"/>
    <n v="1873.3999999942607"/>
    <n v="493"/>
    <x v="296"/>
  </r>
  <r>
    <x v="11"/>
    <x v="3"/>
    <n v="37"/>
    <n v="9656"/>
    <d v="2016-02-19T07:00:00"/>
    <d v="2016-02-19T12:10:00"/>
    <n v="0"/>
    <n v="530"/>
    <n v="493"/>
    <s v="Other stack or exhaust emissions testing - fossil"/>
    <s v="F790Non-curtailing derate for Emissions testing. The unit was at full load during test"/>
    <s v="Trimble"/>
    <x v="1"/>
    <s v="Coal"/>
    <x v="2"/>
    <x v="3"/>
    <n v="2"/>
    <n v="5.1666666667442769"/>
    <n v="5.1666666667442769"/>
    <n v="2547.1666667049285"/>
    <n v="493"/>
    <x v="296"/>
  </r>
  <r>
    <x v="11"/>
    <x v="0"/>
    <n v="38"/>
    <n v="250"/>
    <d v="2016-02-25T06:58:00"/>
    <d v="2016-02-25T07:15:00"/>
    <n v="390"/>
    <n v="530"/>
    <n v="493"/>
    <s v="Pulverizer feeders"/>
    <s v="F520A series of issues with 1A, 1C, and 1D coal feeder alarms showed a 'no coal on bel"/>
    <s v="Trimble"/>
    <x v="0"/>
    <s v="Coal"/>
    <x v="2"/>
    <x v="3"/>
    <n v="2"/>
    <n v="0.28333333338377997"/>
    <n v="7.4842767308923017E-2"/>
    <n v="36.89748428329905"/>
    <n v="130.22641509433961"/>
    <x v="50"/>
  </r>
  <r>
    <x v="11"/>
    <x v="0"/>
    <n v="39"/>
    <n v="250"/>
    <d v="2016-02-25T08:10:00"/>
    <d v="2016-02-25T08:30:00"/>
    <n v="460"/>
    <n v="530"/>
    <n v="493"/>
    <s v="Pulverizer feeders"/>
    <s v="F520Continued problems with the coal feeder indication alarms. The 1C Feeder came in w"/>
    <s v="Trimble"/>
    <x v="0"/>
    <s v="Coal"/>
    <x v="2"/>
    <x v="3"/>
    <n v="2"/>
    <n v="0.33333333319751546"/>
    <n v="4.4025157214766193E-2"/>
    <n v="21.704402506879735"/>
    <n v="65.113207547169807"/>
    <x v="127"/>
  </r>
  <r>
    <x v="11"/>
    <x v="0"/>
    <n v="40"/>
    <n v="8499"/>
    <d v="2016-02-29T03:12:00"/>
    <d v="2016-02-29T07:50:00"/>
    <n v="460"/>
    <n v="530"/>
    <n v="493"/>
    <s v="Other miscellaneous wet scrubber problems"/>
    <s v="F060The B1 FGD Module outlet damper chain broke, causing the damper to fall and close "/>
    <s v="Trimble"/>
    <x v="0"/>
    <s v="Coal"/>
    <x v="2"/>
    <x v="3"/>
    <n v="2"/>
    <n v="4.6333333334187046"/>
    <n v="0.6119496855458666"/>
    <n v="301.69119497411225"/>
    <n v="65.113207547169807"/>
    <x v="127"/>
  </r>
  <r>
    <x v="11"/>
    <x v="0"/>
    <n v="41"/>
    <n v="3502"/>
    <d v="2016-03-11T09:06:00"/>
    <d v="2016-03-12T00:30:00"/>
    <n v="525"/>
    <n v="530"/>
    <n v="493"/>
    <s v="Heater level control"/>
    <s v="F210TC1 Feedwater Heater 6 was taken out of service for repairs on a corroded level sw"/>
    <s v="Trimble"/>
    <x v="0"/>
    <s v="Coal"/>
    <x v="2"/>
    <x v="3"/>
    <n v="3"/>
    <n v="15.400000000081491"/>
    <n v="0.1452830188686933"/>
    <n v="71.624528302265801"/>
    <n v="4.6509433962264151"/>
    <x v="166"/>
  </r>
  <r>
    <x v="11"/>
    <x v="3"/>
    <n v="42"/>
    <n v="9999"/>
    <d v="2016-03-15T06:00:00"/>
    <d v="2016-03-15T11:05:00"/>
    <n v="0"/>
    <n v="530"/>
    <n v="493"/>
    <s v="Total unit performance testing (use appropriate codes for individual component testing)"/>
    <s v="F790Non-curtailing event for full load heat rate testing. The unit was available for f"/>
    <s v="Trimble"/>
    <x v="1"/>
    <s v="Coal"/>
    <x v="2"/>
    <x v="3"/>
    <n v="3"/>
    <n v="5.0833333333139308"/>
    <n v="5.0833333333139308"/>
    <n v="2506.0833333237679"/>
    <n v="493"/>
    <x v="296"/>
  </r>
  <r>
    <x v="11"/>
    <x v="0"/>
    <n v="43"/>
    <n v="9270"/>
    <d v="2016-03-15T21:57:00"/>
    <d v="2016-03-15T22:33:00"/>
    <n v="456"/>
    <n v="530"/>
    <n v="493"/>
    <s v="Wet coal"/>
    <s v="FW00Derate for operating with wet fuel."/>
    <s v="Trimble"/>
    <x v="0"/>
    <s v="Coal"/>
    <x v="2"/>
    <x v="3"/>
    <n v="3"/>
    <n v="0.6000000000349246"/>
    <n v="8.3773584910536644E-2"/>
    <n v="41.300377360894565"/>
    <n v="68.833962264150941"/>
    <x v="25"/>
  </r>
  <r>
    <x v="11"/>
    <x v="5"/>
    <n v="44"/>
    <n v="1455"/>
    <d v="2016-03-24T08:06:00"/>
    <d v="2016-03-24T15:19:00"/>
    <n v="0"/>
    <n v="530"/>
    <n v="493"/>
    <s v="Induced draft fans"/>
    <s v="F820ID Fans tripped causing TC1 to MFT."/>
    <s v="Trimble"/>
    <x v="3"/>
    <s v="Coal"/>
    <x v="2"/>
    <x v="3"/>
    <n v="3"/>
    <n v="7.21666666661622"/>
    <n v="7.21666666661622"/>
    <n v="3557.8166666417965"/>
    <n v="493"/>
    <x v="296"/>
  </r>
  <r>
    <x v="11"/>
    <x v="7"/>
    <n v="45"/>
    <n v="520"/>
    <d v="2016-03-24T15:19:00"/>
    <d v="2016-03-27T20:48:00"/>
    <n v="0"/>
    <n v="530"/>
    <n v="493"/>
    <s v="Other main steam valves (including vent and drain valves but not including the turbine stop valves) A"/>
    <s v="F060Main Steam Non-Return/Superheat Stop valve component failed and the valve has been"/>
    <s v="Trimble"/>
    <x v="3"/>
    <s v="Coal"/>
    <x v="2"/>
    <x v="3"/>
    <n v="3"/>
    <n v="77.483333333395422"/>
    <n v="77.483333333395422"/>
    <n v="38199.283333363943"/>
    <n v="493"/>
    <x v="296"/>
  </r>
  <r>
    <x v="11"/>
    <x v="0"/>
    <n v="46"/>
    <n v="95"/>
    <d v="2016-04-01T12:00:00"/>
    <d v="2016-04-01T22:59:00"/>
    <n v="515"/>
    <n v="530"/>
    <n v="493"/>
    <s v="Bunker flow problems"/>
    <s v="F120F Coal Silo feeder plugged."/>
    <s v="Trimble"/>
    <x v="0"/>
    <s v="Coal"/>
    <x v="2"/>
    <x v="3"/>
    <n v="4"/>
    <n v="10.983333333337214"/>
    <n v="0.3108490566038834"/>
    <n v="153.24858490571452"/>
    <n v="13.952830188679245"/>
    <x v="61"/>
  </r>
  <r>
    <x v="11"/>
    <x v="0"/>
    <n v="47"/>
    <n v="95"/>
    <d v="2016-04-02T09:09:00"/>
    <d v="2016-04-03T00:49:00"/>
    <n v="520"/>
    <n v="530"/>
    <n v="493"/>
    <s v="Bunker flow problems"/>
    <s v="F090F Coal Mill feeder was carded out for flow controls recalibration following the pl"/>
    <s v="Trimble"/>
    <x v="0"/>
    <s v="Coal"/>
    <x v="2"/>
    <x v="3"/>
    <n v="4"/>
    <n v="15.666666666744277"/>
    <n v="0.29559748427819388"/>
    <n v="145.72955974914959"/>
    <n v="9.3018867924528301"/>
    <x v="94"/>
  </r>
  <r>
    <x v="11"/>
    <x v="0"/>
    <n v="48"/>
    <n v="340"/>
    <d v="2016-04-03T07:00:00"/>
    <d v="2016-04-03T07:45:00"/>
    <n v="450"/>
    <n v="530"/>
    <n v="493"/>
    <s v="Other pulverizer problems"/>
    <s v="F650Due to existing high DP issues with the F Mill, and an emergent high DP problem wi"/>
    <s v="Trimble"/>
    <x v="0"/>
    <s v="Coal"/>
    <x v="2"/>
    <x v="3"/>
    <n v="4"/>
    <n v="0.75"/>
    <n v="0.11320754716981132"/>
    <n v="55.811320754716981"/>
    <n v="74.415094339622641"/>
    <x v="29"/>
  </r>
  <r>
    <x v="11"/>
    <x v="0"/>
    <n v="49"/>
    <n v="340"/>
    <d v="2016-04-03T08:00:00"/>
    <d v="2016-04-03T09:30:00"/>
    <n v="500"/>
    <n v="530"/>
    <n v="493"/>
    <s v="Other pulverizer problems"/>
    <s v="F650Due to existing high DP issues with the F Mill, and an emergent high DP problem wi"/>
    <s v="Trimble"/>
    <x v="0"/>
    <s v="Coal"/>
    <x v="2"/>
    <x v="3"/>
    <n v="4"/>
    <n v="1.5"/>
    <n v="8.4905660377358486E-2"/>
    <n v="41.85849056603773"/>
    <n v="27.90566037735849"/>
    <x v="67"/>
  </r>
  <r>
    <x v="11"/>
    <x v="3"/>
    <n v="50"/>
    <n v="8460"/>
    <d v="2016-04-05T06:00:00"/>
    <d v="2016-04-05T18:00:00"/>
    <n v="0"/>
    <n v="530"/>
    <n v="493"/>
    <s v="Testing A"/>
    <s v="F790Non-curtailing derate for testing of the scrubber system. The unit was available f"/>
    <s v="Trimble"/>
    <x v="1"/>
    <s v="Coal"/>
    <x v="2"/>
    <x v="3"/>
    <n v="4"/>
    <n v="12"/>
    <n v="12"/>
    <n v="5916"/>
    <n v="493"/>
    <x v="296"/>
  </r>
  <r>
    <x v="11"/>
    <x v="3"/>
    <n v="51"/>
    <n v="4490"/>
    <d v="2016-04-07T11:00:00"/>
    <d v="2016-04-07T15:42:00"/>
    <n v="0"/>
    <n v="530"/>
    <n v="493"/>
    <s v="Turbine performance testing (use code 9999 for total unit performance testing)"/>
    <s v="F790Non-curtailing derate for steam flow testing. The unit was available for full load"/>
    <s v="Trimble"/>
    <x v="1"/>
    <s v="Coal"/>
    <x v="2"/>
    <x v="3"/>
    <n v="4"/>
    <n v="4.6999999999534339"/>
    <n v="4.6999999999534339"/>
    <n v="2317.0999999770429"/>
    <n v="493"/>
    <x v="296"/>
  </r>
  <r>
    <x v="11"/>
    <x v="0"/>
    <n v="52"/>
    <n v="310"/>
    <d v="2016-04-11T12:46:00"/>
    <d v="2016-04-11T13:24:00"/>
    <n v="345"/>
    <n v="530"/>
    <n v="493"/>
    <s v="Pulverizer mills"/>
    <s v="F660The unit was derated due to a loss of the 1A Mill."/>
    <s v="Trimble"/>
    <x v="0"/>
    <s v="Coal"/>
    <x v="2"/>
    <x v="3"/>
    <n v="4"/>
    <n v="0.63333333330228925"/>
    <n v="0.22106918237910098"/>
    <n v="108.98710691289678"/>
    <n v="172.08490566037736"/>
    <x v="282"/>
  </r>
  <r>
    <x v="11"/>
    <x v="0"/>
    <n v="53"/>
    <n v="95"/>
    <d v="2016-04-17T09:23:00"/>
    <d v="2016-04-17T09:35:00"/>
    <n v="400"/>
    <n v="530"/>
    <n v="493"/>
    <s v="Bunker flow problems"/>
    <s v="F660No coal on the 1D Feeder, The 1D Coal Feeder lost coal on the feeder belt and had "/>
    <s v="Trimble"/>
    <x v="0"/>
    <s v="Coal"/>
    <x v="2"/>
    <x v="3"/>
    <n v="4"/>
    <n v="0.19999999995343387"/>
    <n v="4.9056603762163024E-2"/>
    <n v="24.18490565474637"/>
    <n v="120.9245283018868"/>
    <x v="277"/>
  </r>
  <r>
    <x v="11"/>
    <x v="0"/>
    <n v="54"/>
    <n v="3836"/>
    <d v="2016-04-26T09:01:00"/>
    <d v="2016-04-26T09:47:00"/>
    <n v="525"/>
    <n v="530"/>
    <n v="493"/>
    <s v="Steam Transfer to Other Unit"/>
    <s v="F780Steam transfer for TC2 startup."/>
    <s v="Trimble"/>
    <x v="0"/>
    <s v="Coal"/>
    <x v="2"/>
    <x v="3"/>
    <n v="4"/>
    <n v="0.76666666654637083"/>
    <n v="7.2327044013808569E-3"/>
    <n v="3.5657232698807624"/>
    <n v="4.6509433962264151"/>
    <x v="166"/>
  </r>
  <r>
    <x v="11"/>
    <x v="0"/>
    <n v="55"/>
    <n v="3836"/>
    <d v="2016-04-26T09:47:00"/>
    <d v="2016-04-27T20:00:00"/>
    <n v="510"/>
    <n v="530"/>
    <n v="493"/>
    <s v="Steam Transfer to Other Unit"/>
    <s v="F780Steam transfer for TC2 startup."/>
    <s v="Trimble"/>
    <x v="0"/>
    <s v="Coal"/>
    <x v="2"/>
    <x v="3"/>
    <n v="4"/>
    <n v="34.216666666790843"/>
    <n v="1.291194968558145"/>
    <n v="636.55911949916549"/>
    <n v="18.60377358490566"/>
    <x v="54"/>
  </r>
  <r>
    <x v="11"/>
    <x v="0"/>
    <n v="56"/>
    <n v="3836"/>
    <d v="2016-04-27T20:00:00"/>
    <d v="2016-04-28T03:30:00"/>
    <n v="520"/>
    <n v="530"/>
    <n v="493"/>
    <s v="Steam Transfer to Other Unit"/>
    <s v="F780Steam transfer for TC2 startup."/>
    <s v="Trimble"/>
    <x v="0"/>
    <s v="Coal"/>
    <x v="2"/>
    <x v="3"/>
    <n v="4"/>
    <n v="7.5"/>
    <n v="0.14150943396226415"/>
    <n v="69.764150943396231"/>
    <n v="9.3018867924528301"/>
    <x v="94"/>
  </r>
  <r>
    <x v="11"/>
    <x v="0"/>
    <n v="57"/>
    <n v="3836"/>
    <d v="2016-04-28T22:13:00"/>
    <d v="2016-04-29T04:42:00"/>
    <n v="510"/>
    <n v="530"/>
    <n v="493"/>
    <s v="Steam Transfer to Other Unit"/>
    <s v="F780Steam transfer for TC2 startup."/>
    <s v="Trimble"/>
    <x v="0"/>
    <s v="Coal"/>
    <x v="2"/>
    <x v="3"/>
    <n v="4"/>
    <n v="6.4833333333372138"/>
    <n v="0.24465408805046091"/>
    <n v="120.61446540887722"/>
    <n v="18.60377358490566"/>
    <x v="54"/>
  </r>
  <r>
    <x v="11"/>
    <x v="0"/>
    <n v="58"/>
    <n v="3836"/>
    <d v="2016-04-29T04:42:00"/>
    <d v="2016-04-29T13:52:00"/>
    <n v="525"/>
    <n v="530"/>
    <n v="493"/>
    <s v="Steam Transfer to Other Unit"/>
    <s v="F780Steam transfer for TC2 startup."/>
    <s v="Trimble"/>
    <x v="0"/>
    <s v="Coal"/>
    <x v="2"/>
    <x v="3"/>
    <n v="4"/>
    <n v="9.1666666666860692"/>
    <n v="8.647798742156669E-2"/>
    <n v="42.633647798832378"/>
    <n v="4.6509433962264151"/>
    <x v="166"/>
  </r>
  <r>
    <x v="11"/>
    <x v="0"/>
    <n v="59"/>
    <n v="3836"/>
    <d v="2016-04-29T13:52:00"/>
    <d v="2016-04-29T15:54:00"/>
    <n v="515"/>
    <n v="530"/>
    <n v="493"/>
    <s v="Steam Transfer to Other Unit"/>
    <s v="F780Steam transfer for TC2 startup."/>
    <s v="Trimble"/>
    <x v="0"/>
    <s v="Coal"/>
    <x v="2"/>
    <x v="3"/>
    <n v="4"/>
    <n v="2.0333333333255723"/>
    <n v="5.7547169811101105E-2"/>
    <n v="28.370754716872845"/>
    <n v="13.952830188679245"/>
    <x v="61"/>
  </r>
  <r>
    <x v="11"/>
    <x v="1"/>
    <n v="60"/>
    <n v="1999"/>
    <d v="2016-05-02T05:25:00"/>
    <d v="2016-05-05T00:00:00"/>
    <n v="530"/>
    <n v="530"/>
    <n v="493"/>
    <s v="Boiler"/>
    <s v="F660The unit load was restricted to nameplate steaming capacity of the boiler."/>
    <s v="Trimble"/>
    <x v="0"/>
    <s v="Coal"/>
    <x v="2"/>
    <x v="3"/>
    <n v="5"/>
    <n v="66.583333333313931"/>
    <n v="0"/>
    <n v="0"/>
    <n v="0"/>
    <x v="152"/>
  </r>
  <r>
    <x v="11"/>
    <x v="0"/>
    <n v="61"/>
    <n v="3836"/>
    <d v="2016-05-12T09:48:00"/>
    <d v="2016-05-13T03:32:00"/>
    <n v="507"/>
    <n v="530"/>
    <n v="493"/>
    <s v="Steam Transfer to Other Unit"/>
    <s v="F780Steam transfer for TC2 startup."/>
    <s v="Trimble"/>
    <x v="0"/>
    <s v="Coal"/>
    <x v="2"/>
    <x v="3"/>
    <n v="5"/>
    <n v="17.733333333337214"/>
    <n v="0.76955974842784136"/>
    <n v="379.39295597492577"/>
    <n v="21.39433962264151"/>
    <x v="168"/>
  </r>
  <r>
    <x v="11"/>
    <x v="4"/>
    <n v="62"/>
    <n v="3831"/>
    <d v="2016-05-14T23:15:00"/>
    <d v="2016-05-15T16:25:00"/>
    <n v="0"/>
    <n v="530"/>
    <n v="493"/>
    <s v="Auxiliary steam piping"/>
    <s v="F540Maintenance outage to repair leaking steam supply to TC2."/>
    <s v="Trimble"/>
    <x v="2"/>
    <s v="Coal"/>
    <x v="2"/>
    <x v="3"/>
    <n v="5"/>
    <n v="17.166666666744277"/>
    <n v="17.166666666744277"/>
    <n v="8463.1666667049285"/>
    <n v="493"/>
    <x v="296"/>
  </r>
  <r>
    <x v="11"/>
    <x v="0"/>
    <n v="63"/>
    <n v="310"/>
    <d v="2016-05-17T06:37:00"/>
    <d v="2016-05-17T08:22:00"/>
    <n v="412"/>
    <n v="530"/>
    <n v="493"/>
    <s v="Pulverizer mills"/>
    <s v="F7801A and 1B Coal Mills were taken out of service due to high temperature."/>
    <s v="Trimble"/>
    <x v="0"/>
    <s v="Coal"/>
    <x v="2"/>
    <x v="3"/>
    <n v="5"/>
    <n v="1.7500000001164153"/>
    <n v="0.38962264153535286"/>
    <n v="192.08396227692896"/>
    <n v="109.76226415094339"/>
    <x v="92"/>
  </r>
  <r>
    <x v="11"/>
    <x v="0"/>
    <n v="64"/>
    <n v="1455"/>
    <d v="2016-05-17T14:35:00"/>
    <d v="2016-05-17T15:10:00"/>
    <n v="500"/>
    <n v="530"/>
    <n v="493"/>
    <s v="Induced draft fans"/>
    <s v="F660ID Fan flow issues resulted in a derated unit status."/>
    <s v="Trimble"/>
    <x v="0"/>
    <s v="Coal"/>
    <x v="2"/>
    <x v="3"/>
    <n v="5"/>
    <n v="0.58333333331393078"/>
    <n v="3.3018867923430041E-2"/>
    <n v="16.278301886251011"/>
    <n v="27.90566037735849"/>
    <x v="67"/>
  </r>
  <r>
    <x v="11"/>
    <x v="0"/>
    <n v="65"/>
    <n v="3836"/>
    <d v="2016-05-17T15:10:00"/>
    <d v="2016-05-17T19:44:00"/>
    <n v="515"/>
    <n v="530"/>
    <n v="493"/>
    <s v="Steam Transfer to Other Unit"/>
    <s v="F780Steam transfer to TC2."/>
    <s v="Trimble"/>
    <x v="0"/>
    <s v="Coal"/>
    <x v="2"/>
    <x v="3"/>
    <n v="5"/>
    <n v="4.5666666667093523"/>
    <n v="0.12924528302007601"/>
    <n v="63.717924528897477"/>
    <n v="13.952830188679245"/>
    <x v="61"/>
  </r>
  <r>
    <x v="11"/>
    <x v="0"/>
    <n v="66"/>
    <n v="310"/>
    <d v="2016-05-17T19:44:00"/>
    <d v="2016-05-17T20:30:00"/>
    <n v="440"/>
    <n v="530"/>
    <n v="493"/>
    <s v="Pulverizer mills"/>
    <s v="F7801F Coal Mill was taken out of service due to high temperature, resulting in a unit"/>
    <s v="Trimble"/>
    <x v="0"/>
    <s v="Coal"/>
    <x v="2"/>
    <x v="3"/>
    <n v="5"/>
    <n v="0.76666666654637083"/>
    <n v="0.13018867922485541"/>
    <n v="64.183018857853725"/>
    <n v="83.716981132075475"/>
    <x v="136"/>
  </r>
  <r>
    <x v="11"/>
    <x v="0"/>
    <n v="67"/>
    <n v="3836"/>
    <d v="2016-05-17T20:30:00"/>
    <d v="2016-05-18T01:58:00"/>
    <n v="515"/>
    <n v="530"/>
    <n v="493"/>
    <s v="Steam Transfer to Other Unit"/>
    <s v="F780Steam transfer to TC2."/>
    <s v="Trimble"/>
    <x v="0"/>
    <s v="Coal"/>
    <x v="2"/>
    <x v="3"/>
    <n v="5"/>
    <n v="5.4666666666744277"/>
    <n v="0.15471698113229512"/>
    <n v="76.275471698221494"/>
    <n v="13.952830188679245"/>
    <x v="61"/>
  </r>
  <r>
    <x v="11"/>
    <x v="0"/>
    <n v="68"/>
    <n v="280"/>
    <d v="2016-05-18T15:07:00"/>
    <d v="2016-05-18T15:45:00"/>
    <n v="400"/>
    <n v="530"/>
    <n v="493"/>
    <s v="Pulverizer fires"/>
    <s v="FR001C Coal Mill caught fire and was removed from service, resulting in a unit derate."/>
    <s v="Trimble"/>
    <x v="0"/>
    <s v="Coal"/>
    <x v="2"/>
    <x v="3"/>
    <n v="5"/>
    <n v="0.63333333330228925"/>
    <n v="0.15534591194207095"/>
    <n v="76.585534587440975"/>
    <n v="120.9245283018868"/>
    <x v="277"/>
  </r>
  <r>
    <x v="11"/>
    <x v="0"/>
    <n v="69"/>
    <n v="3836"/>
    <d v="2016-05-18T19:30:00"/>
    <d v="2016-05-19T05:25:00"/>
    <n v="515"/>
    <n v="530"/>
    <n v="493"/>
    <s v="Steam Transfer to Other Unit"/>
    <s v="F780Steam transfer to TC2."/>
    <s v="Trimble"/>
    <x v="0"/>
    <s v="Coal"/>
    <x v="2"/>
    <x v="3"/>
    <n v="5"/>
    <n v="9.9166666666860692"/>
    <n v="0.2806603773590397"/>
    <n v="138.36556603800656"/>
    <n v="13.952830188679245"/>
    <x v="61"/>
  </r>
  <r>
    <x v="11"/>
    <x v="0"/>
    <n v="70"/>
    <n v="280"/>
    <d v="2016-05-19T10:20:00"/>
    <d v="2016-05-19T10:59:00"/>
    <n v="400"/>
    <n v="530"/>
    <n v="493"/>
    <s v="Pulverizer fires"/>
    <s v="FR001F Coal Mill was removed from service due to a mill fire, resulting in a unit dera"/>
    <s v="Trimble"/>
    <x v="0"/>
    <s v="Coal"/>
    <x v="2"/>
    <x v="3"/>
    <n v="5"/>
    <n v="0.65000000002328306"/>
    <n v="0.1594339622698619"/>
    <n v="78.60094339904191"/>
    <n v="120.9245283018868"/>
    <x v="277"/>
  </r>
  <r>
    <x v="11"/>
    <x v="0"/>
    <n v="71"/>
    <n v="3836"/>
    <d v="2016-05-19T11:44:00"/>
    <d v="2016-05-20T05:14:00"/>
    <n v="515"/>
    <n v="530"/>
    <n v="493"/>
    <s v="Steam Transfer to Other Unit"/>
    <s v="F780Steam transfer to TC2."/>
    <s v="Trimble"/>
    <x v="0"/>
    <s v="Coal"/>
    <x v="2"/>
    <x v="3"/>
    <n v="5"/>
    <n v="17.499999999941792"/>
    <n v="0.49528301886627712"/>
    <n v="244.17452830107462"/>
    <n v="13.952830188679245"/>
    <x v="61"/>
  </r>
  <r>
    <x v="11"/>
    <x v="0"/>
    <n v="72"/>
    <n v="280"/>
    <d v="2016-05-27T05:21:00"/>
    <d v="2016-05-27T05:43:00"/>
    <n v="386"/>
    <n v="530"/>
    <n v="493"/>
    <s v="Pulverizer fires"/>
    <s v="FR001F Mill caught fire resulting in a unit derate."/>
    <s v="Trimble"/>
    <x v="0"/>
    <s v="Coal"/>
    <x v="2"/>
    <x v="3"/>
    <n v="5"/>
    <n v="0.36666666663950309"/>
    <n v="9.9622641502053674E-2"/>
    <n v="49.113962260512459"/>
    <n v="133.94716981132075"/>
    <x v="181"/>
  </r>
  <r>
    <x v="11"/>
    <x v="3"/>
    <n v="73"/>
    <n v="9630"/>
    <d v="2016-06-08T10:00:00"/>
    <d v="2016-06-08T11:25:00"/>
    <n v="0"/>
    <n v="530"/>
    <n v="493"/>
    <s v="Opacity (fossil)"/>
    <s v="F790Non-curtailing event for Method 9 testing. The unit was at full load during this e"/>
    <s v="Trimble"/>
    <x v="1"/>
    <s v="Coal"/>
    <x v="2"/>
    <x v="3"/>
    <n v="6"/>
    <n v="1.4166666667442769"/>
    <n v="1.4166666667442769"/>
    <n v="698.4166667049285"/>
    <n v="493"/>
    <x v="296"/>
  </r>
  <r>
    <x v="11"/>
    <x v="5"/>
    <n v="74"/>
    <n v="1471"/>
    <d v="2016-06-20T07:28:00"/>
    <d v="2016-06-21T23:03:00"/>
    <n v="0"/>
    <n v="530"/>
    <n v="493"/>
    <s v="Induced draft fan motors - variable speed"/>
    <s v="F5401A ID Fan tripped due to a VFD transformer coolant leak."/>
    <s v="Trimble"/>
    <x v="3"/>
    <s v="Coal"/>
    <x v="2"/>
    <x v="3"/>
    <n v="6"/>
    <n v="39.583333333313931"/>
    <n v="39.583333333313931"/>
    <n v="19514.583333323768"/>
    <n v="493"/>
    <x v="296"/>
  </r>
  <r>
    <x v="11"/>
    <x v="5"/>
    <n v="75"/>
    <n v="1488"/>
    <d v="2016-06-26T15:49:00"/>
    <d v="2016-06-26T20:55:00"/>
    <n v="0"/>
    <n v="530"/>
    <n v="493"/>
    <s v="Air heater (regenerative)"/>
    <s v="F780Water from a hydroveyor gasket leak caused the MCC suppling power to the Air Heate"/>
    <s v="Trimble"/>
    <x v="3"/>
    <s v="Coal"/>
    <x v="2"/>
    <x v="3"/>
    <n v="6"/>
    <n v="5.1000000000349246"/>
    <n v="5.1000000000349246"/>
    <n v="2514.3000000172178"/>
    <n v="493"/>
    <x v="296"/>
  </r>
  <r>
    <x v="11"/>
    <x v="0"/>
    <n v="76"/>
    <n v="280"/>
    <d v="2016-07-04T18:47:00"/>
    <d v="2016-07-04T19:33:00"/>
    <n v="375"/>
    <n v="530"/>
    <n v="493"/>
    <s v="Pulverizer fires"/>
    <s v="FR001F Mill caught on fire and was removed from service."/>
    <s v="Trimble"/>
    <x v="0"/>
    <s v="Coal"/>
    <x v="2"/>
    <x v="3"/>
    <n v="7"/>
    <n v="0.76666666672099382"/>
    <n v="0.22421383649387555"/>
    <n v="110.53742139148065"/>
    <n v="144.17924528301887"/>
    <x v="250"/>
  </r>
  <r>
    <x v="11"/>
    <x v="0"/>
    <n v="77"/>
    <n v="894"/>
    <d v="2016-07-05T12:35:00"/>
    <d v="2016-07-05T12:57:00"/>
    <n v="485"/>
    <n v="530"/>
    <n v="493"/>
    <s v="Bottom ash piping and valves"/>
    <s v="F060Derate due to water spraying up the boiler slope due to a broken bottom ash jet pu"/>
    <s v="Trimble"/>
    <x v="0"/>
    <s v="Coal"/>
    <x v="2"/>
    <x v="3"/>
    <n v="7"/>
    <n v="0.36666666663950309"/>
    <n v="3.1132075469391771E-2"/>
    <n v="15.348113206410144"/>
    <n v="41.858490566037737"/>
    <x v="117"/>
  </r>
  <r>
    <x v="11"/>
    <x v="0"/>
    <n v="78"/>
    <n v="280"/>
    <d v="2016-07-06T17:41:00"/>
    <d v="2016-07-06T18:15:00"/>
    <n v="375"/>
    <n v="530"/>
    <n v="493"/>
    <s v="Pulverizer fires"/>
    <s v="FR00The 1B Coal Mill was taken out of service due to a mill fire."/>
    <s v="Trimble"/>
    <x v="0"/>
    <s v="Coal"/>
    <x v="2"/>
    <x v="3"/>
    <n v="7"/>
    <n v="0.56666666659293696"/>
    <n v="0.16572327041868912"/>
    <n v="81.701572316413731"/>
    <n v="144.17924528301887"/>
    <x v="250"/>
  </r>
  <r>
    <x v="11"/>
    <x v="0"/>
    <n v="79"/>
    <n v="280"/>
    <d v="2016-07-07T04:12:00"/>
    <d v="2016-07-07T04:41:00"/>
    <n v="375"/>
    <n v="530"/>
    <n v="493"/>
    <s v="Pulverizer fires"/>
    <s v="FR00The 1F Coal Mill was taken out of service due to a mill fire."/>
    <s v="Trimble"/>
    <x v="0"/>
    <s v="Coal"/>
    <x v="2"/>
    <x v="3"/>
    <n v="7"/>
    <n v="0.48333333333721384"/>
    <n v="0.1413522012589965"/>
    <n v="69.686635220685275"/>
    <n v="144.17924528301887"/>
    <x v="250"/>
  </r>
  <r>
    <x v="11"/>
    <x v="0"/>
    <n v="80"/>
    <n v="280"/>
    <d v="2016-07-10T05:27:00"/>
    <d v="2016-07-10T06:01:00"/>
    <n v="375"/>
    <n v="530"/>
    <n v="493"/>
    <s v="Pulverizer fires"/>
    <s v="FR00The 1F Coal Mill was taken out of service due to a mill fire."/>
    <s v="Trimble"/>
    <x v="0"/>
    <s v="Coal"/>
    <x v="2"/>
    <x v="3"/>
    <n v="7"/>
    <n v="0.56666666676755995"/>
    <n v="0.1657232704697581"/>
    <n v="81.701572341590747"/>
    <n v="144.17924528301887"/>
    <x v="250"/>
  </r>
  <r>
    <x v="11"/>
    <x v="0"/>
    <n v="81"/>
    <n v="9271"/>
    <d v="2016-07-25T07:10:00"/>
    <d v="2016-07-25T07:20:00"/>
    <n v="452"/>
    <n v="530"/>
    <n v="493"/>
    <s v="Wet coal (not outside management control)"/>
    <s v="FW00Derate due to wet fuel supply."/>
    <s v="Trimble"/>
    <x v="0"/>
    <s v="Coal"/>
    <x v="2"/>
    <x v="3"/>
    <n v="7"/>
    <n v="0.16666666668606922"/>
    <n v="2.4528301889647924E-2"/>
    <n v="12.092452831596427"/>
    <n v="72.554716981132074"/>
    <x v="87"/>
  </r>
  <r>
    <x v="11"/>
    <x v="0"/>
    <n v="82"/>
    <n v="280"/>
    <d v="2016-07-26T22:15:00"/>
    <d v="2016-07-26T22:29:00"/>
    <n v="375"/>
    <n v="530"/>
    <n v="493"/>
    <s v="Pulverizer fires"/>
    <s v="FR00The 1B Mill caught fire, resulting in a derate."/>
    <s v="Trimble"/>
    <x v="0"/>
    <s v="Coal"/>
    <x v="2"/>
    <x v="3"/>
    <n v="7"/>
    <n v="0.23333333322079852"/>
    <n v="6.8238993677780704E-2"/>
    <n v="33.641823883145889"/>
    <n v="144.17924528301887"/>
    <x v="250"/>
  </r>
  <r>
    <x v="11"/>
    <x v="0"/>
    <n v="83"/>
    <n v="4292"/>
    <d v="2016-08-11T10:08:00"/>
    <d v="2016-08-11T10:55:00"/>
    <n v="490"/>
    <n v="530"/>
    <n v="493"/>
    <s v="Hydraulic system filters"/>
    <s v="F170The #3 Main Steam Control valve's servo feedback was showing an incorrect value po"/>
    <s v="Trimble"/>
    <x v="0"/>
    <s v="Coal"/>
    <x v="2"/>
    <x v="3"/>
    <n v="8"/>
    <n v="0.78333333326736465"/>
    <n v="5.9119496850367145E-2"/>
    <n v="29.145911947231003"/>
    <n v="37.20754716981132"/>
    <x v="12"/>
  </r>
  <r>
    <x v="11"/>
    <x v="0"/>
    <n v="84"/>
    <n v="4292"/>
    <d v="2016-08-11T13:30:00"/>
    <d v="2016-08-11T16:51:00"/>
    <n v="360"/>
    <n v="530"/>
    <n v="493"/>
    <s v="Hydraulic system filters"/>
    <s v="F170Due to the issues with the #3 Main Steam Control valve servo (TC1 Event 83), load "/>
    <s v="Trimble"/>
    <x v="0"/>
    <s v="Coal"/>
    <x v="2"/>
    <x v="3"/>
    <n v="8"/>
    <n v="3.3499999999185093"/>
    <n v="1.074528301860654"/>
    <n v="529.74245281730236"/>
    <n v="158.1320754716981"/>
    <x v="37"/>
  </r>
  <r>
    <x v="11"/>
    <x v="0"/>
    <n v="85"/>
    <n v="1475"/>
    <d v="2016-08-21T11:39:00"/>
    <d v="2016-08-21T13:41:00"/>
    <n v="465"/>
    <n v="530"/>
    <n v="493"/>
    <s v="Induced draft fan controls"/>
    <s v="F340TC1 ID Fan communication module failed and did not switch over to the backup. The "/>
    <s v="Trimble"/>
    <x v="0"/>
    <s v="Coal"/>
    <x v="2"/>
    <x v="3"/>
    <n v="8"/>
    <n v="2.0333333333255723"/>
    <n v="0.24937106918143812"/>
    <n v="122.93993710644899"/>
    <n v="60.462264150943398"/>
    <x v="11"/>
  </r>
  <r>
    <x v="11"/>
    <x v="3"/>
    <n v="86"/>
    <n v="9999"/>
    <d v="2016-08-24T09:00:00"/>
    <d v="2016-08-24T14:20:00"/>
    <n v="0"/>
    <n v="530"/>
    <n v="493"/>
    <s v="Total unit performance testing (use appropriate codes for individual component testing)"/>
    <s v="F790This Non-Curtailing event was for Incremental Heat Rate testing of the unit. The u"/>
    <s v="Trimble"/>
    <x v="1"/>
    <s v="Coal"/>
    <x v="2"/>
    <x v="3"/>
    <n v="8"/>
    <n v="5.3333333332557231"/>
    <n v="5.3333333332557231"/>
    <n v="2629.3333332950715"/>
    <n v="493"/>
    <x v="296"/>
  </r>
  <r>
    <x v="11"/>
    <x v="5"/>
    <n v="87"/>
    <n v="3681"/>
    <d v="2016-09-01T22:38:00"/>
    <d v="2016-09-02T06:32:00"/>
    <n v="0"/>
    <n v="530"/>
    <n v="493"/>
    <s v="Other voltage system breakers"/>
    <s v="F330A 120 VAC limit switch shorted and the circuit breaker remained closed. The distri"/>
    <s v="Trimble"/>
    <x v="3"/>
    <s v="Coal"/>
    <x v="2"/>
    <x v="3"/>
    <n v="9"/>
    <n v="7.8999999999068677"/>
    <n v="7.8999999999068677"/>
    <n v="3894.6999999540858"/>
    <n v="493"/>
    <x v="296"/>
  </r>
  <r>
    <x v="11"/>
    <x v="0"/>
    <n v="88"/>
    <n v="335"/>
    <d v="2016-09-07T05:02:00"/>
    <d v="2016-09-07T05:31:00"/>
    <n v="449"/>
    <n v="530"/>
    <n v="493"/>
    <s v="Pulverizer lube oil system"/>
    <s v="F660Unit was placed on a derate due to the 1A Coal Mill being out of service. A faulty"/>
    <s v="Trimble"/>
    <x v="0"/>
    <s v="Coal"/>
    <x v="2"/>
    <x v="3"/>
    <n v="9"/>
    <n v="0.48333333333721384"/>
    <n v="7.3867924528894943E-2"/>
    <n v="36.41688679274521"/>
    <n v="75.345283018867931"/>
    <x v="34"/>
  </r>
  <r>
    <x v="11"/>
    <x v="5"/>
    <n v="89"/>
    <n v="3681"/>
    <d v="2016-09-07T16:20:00"/>
    <d v="2016-09-07T19:58:00"/>
    <n v="0"/>
    <n v="530"/>
    <n v="493"/>
    <s v="Other voltage system breakers"/>
    <s v="F330A 120 VAC limit switch shorted and the circuit breaker remained closed. The distri"/>
    <s v="Trimble"/>
    <x v="3"/>
    <s v="Coal"/>
    <x v="2"/>
    <x v="3"/>
    <n v="9"/>
    <n v="3.6333333333022892"/>
    <n v="3.6333333333022892"/>
    <n v="1791.2333333180286"/>
    <n v="493"/>
    <x v="296"/>
  </r>
  <r>
    <x v="11"/>
    <x v="0"/>
    <n v="90"/>
    <n v="280"/>
    <d v="2016-09-09T10:45:00"/>
    <d v="2016-09-09T11:01:00"/>
    <n v="415"/>
    <n v="530"/>
    <n v="493"/>
    <s v="Pulverizer fires"/>
    <s v="FR00The unit was placed on a derate when the 1F Coal Mill caught fire and was taken ou"/>
    <s v="Trimble"/>
    <x v="0"/>
    <s v="Coal"/>
    <x v="2"/>
    <x v="3"/>
    <n v="9"/>
    <n v="0.26666666666278616"/>
    <n v="5.7861635219283787E-2"/>
    <n v="28.525786163106908"/>
    <n v="106.97169811320755"/>
    <x v="4"/>
  </r>
  <r>
    <x v="11"/>
    <x v="0"/>
    <n v="91"/>
    <n v="325"/>
    <d v="2016-09-12T06:48:00"/>
    <d v="2016-09-12T07:17:00"/>
    <n v="380"/>
    <n v="530"/>
    <n v="493"/>
    <s v="Pulverizer skidding"/>
    <s v="FV00The 1E Pulverizer was fed with a large concentration of pyrites and was unable to "/>
    <s v="Trimble"/>
    <x v="0"/>
    <s v="Coal"/>
    <x v="2"/>
    <x v="3"/>
    <n v="9"/>
    <n v="0.48333333333721384"/>
    <n v="0.13679245283128694"/>
    <n v="67.43867924582446"/>
    <n v="139.52830188679246"/>
    <x v="135"/>
  </r>
  <r>
    <x v="11"/>
    <x v="0"/>
    <n v="92"/>
    <n v="280"/>
    <d v="2016-09-12T08:38:00"/>
    <d v="2016-09-12T16:18:00"/>
    <n v="375"/>
    <n v="530"/>
    <n v="493"/>
    <s v="Pulverizer fires"/>
    <s v="FR001F Coal Mill caught fire, resulting in a derate."/>
    <s v="Trimble"/>
    <x v="0"/>
    <s v="Coal"/>
    <x v="2"/>
    <x v="3"/>
    <n v="9"/>
    <n v="7.6666666666860692"/>
    <n v="2.2421383647855486"/>
    <n v="1105.3742138392754"/>
    <n v="144.17924528301887"/>
    <x v="250"/>
  </r>
  <r>
    <x v="11"/>
    <x v="5"/>
    <n v="93"/>
    <n v="1475"/>
    <d v="2016-09-14T10:53:00"/>
    <d v="2016-09-14T12:39:00"/>
    <n v="0"/>
    <n v="530"/>
    <n v="493"/>
    <s v="Induced draft fan controls"/>
    <s v="FP00Due to issues controlling a coal feeder rate, the airflow to the boiler increased,"/>
    <s v="Trimble"/>
    <x v="3"/>
    <s v="Coal"/>
    <x v="2"/>
    <x v="3"/>
    <n v="9"/>
    <n v="1.7666666666627862"/>
    <n v="1.7666666666627862"/>
    <n v="870.96666666475357"/>
    <n v="493"/>
    <x v="296"/>
  </r>
  <r>
    <x v="11"/>
    <x v="3"/>
    <n v="94"/>
    <n v="9999"/>
    <d v="2016-09-15T19:00:00"/>
    <d v="2016-09-15T23:00:00"/>
    <n v="0"/>
    <n v="530"/>
    <n v="493"/>
    <s v="Total unit performance testing (use appropriate codes for individual component testing)"/>
    <s v="F790Non-curtailing derate for scheduled unit Heat Rate testing. The unit was available"/>
    <s v="Trimble"/>
    <x v="1"/>
    <s v="Coal"/>
    <x v="2"/>
    <x v="3"/>
    <n v="9"/>
    <n v="4.0000000001164153"/>
    <n v="4.0000000001164153"/>
    <n v="1972.0000000573928"/>
    <n v="493"/>
    <x v="296"/>
  </r>
  <r>
    <x v="11"/>
    <x v="1"/>
    <n v="95"/>
    <n v="9999"/>
    <d v="2016-09-15T23:00:00"/>
    <d v="2016-09-16T00:00:00"/>
    <n v="477"/>
    <n v="530"/>
    <n v="493"/>
    <s v="Total unit performance testing (use appropriate codes for individual component testing)"/>
    <s v="F790Planned derate for scheduled unit Heat Rate testing."/>
    <s v="Trimble"/>
    <x v="0"/>
    <s v="Coal"/>
    <x v="2"/>
    <x v="3"/>
    <n v="9"/>
    <n v="0.99999999994179234"/>
    <n v="9.9999999994179231E-2"/>
    <n v="49.299999997130364"/>
    <n v="49.3"/>
    <x v="227"/>
  </r>
  <r>
    <x v="11"/>
    <x v="1"/>
    <n v="96"/>
    <n v="9999"/>
    <d v="2016-09-16T00:00:00"/>
    <d v="2016-09-16T01:00:00"/>
    <n v="452"/>
    <n v="530"/>
    <n v="493"/>
    <s v="Total unit performance testing (use appropriate codes for individual component testing)"/>
    <s v="F790Planned derate for scheduled unit Heat Rate testing."/>
    <s v="Trimble"/>
    <x v="0"/>
    <s v="Coal"/>
    <x v="2"/>
    <x v="3"/>
    <n v="9"/>
    <n v="0.99999999994179234"/>
    <n v="0.14716981131218831"/>
    <n v="72.554716976908836"/>
    <n v="72.554716981132074"/>
    <x v="87"/>
  </r>
  <r>
    <x v="11"/>
    <x v="1"/>
    <n v="97"/>
    <n v="9999"/>
    <d v="2016-09-16T01:00:00"/>
    <d v="2016-09-16T02:00:00"/>
    <n v="377"/>
    <n v="530"/>
    <n v="493"/>
    <s v="Total unit performance testing (use appropriate codes for individual component testing)"/>
    <s v="F790Planned derate for scheduled unit Heat Rate testing."/>
    <s v="Trimble"/>
    <x v="0"/>
    <s v="Coal"/>
    <x v="2"/>
    <x v="3"/>
    <n v="9"/>
    <n v="1.0000000001164153"/>
    <n v="0.28867924531662553"/>
    <n v="142.31886794109639"/>
    <n v="142.31886792452829"/>
    <x v="106"/>
  </r>
  <r>
    <x v="11"/>
    <x v="1"/>
    <n v="98"/>
    <n v="9999"/>
    <d v="2016-09-16T02:00:00"/>
    <d v="2016-09-16T03:00:00"/>
    <n v="352"/>
    <n v="530"/>
    <n v="493"/>
    <s v="Total unit performance testing (use appropriate codes for individual component testing)"/>
    <s v="F790Planned derate for scheduled unit Heat Rate testing."/>
    <s v="Trimble"/>
    <x v="0"/>
    <s v="Coal"/>
    <x v="2"/>
    <x v="3"/>
    <n v="9"/>
    <n v="0.99999999994179234"/>
    <n v="0.33584905658422459"/>
    <n v="165.57358489602274"/>
    <n v="165.57358490566037"/>
    <x v="254"/>
  </r>
  <r>
    <x v="11"/>
    <x v="1"/>
    <n v="99"/>
    <n v="9999"/>
    <d v="2016-09-16T03:00:00"/>
    <d v="2016-09-16T04:00:00"/>
    <n v="277"/>
    <n v="530"/>
    <n v="493"/>
    <s v="Total unit performance testing (use appropriate codes for individual component testing)"/>
    <s v="F790Planned derate for scheduled unit Heat Rate testing."/>
    <s v="Trimble"/>
    <x v="0"/>
    <s v="Coal"/>
    <x v="2"/>
    <x v="3"/>
    <n v="9"/>
    <n v="0.99999999994179234"/>
    <n v="0.4773584905382518"/>
    <n v="235.33773583535813"/>
    <n v="235.3377358490566"/>
    <x v="260"/>
  </r>
  <r>
    <x v="11"/>
    <x v="1"/>
    <n v="100"/>
    <n v="9999"/>
    <d v="2016-09-16T04:00:00"/>
    <d v="2016-09-16T05:00:00"/>
    <n v="237"/>
    <n v="530"/>
    <n v="493"/>
    <s v="Total unit performance testing (use appropriate codes for individual component testing)"/>
    <s v="F790Planned derate for scheduled unit Heat Rate testing."/>
    <s v="Trimble"/>
    <x v="0"/>
    <s v="Coal"/>
    <x v="2"/>
    <x v="3"/>
    <n v="9"/>
    <n v="1.0000000001164153"/>
    <n v="0.55283018874360323"/>
    <n v="272.54528305059637"/>
    <n v="272.54528301886791"/>
    <x v="142"/>
  </r>
  <r>
    <x v="11"/>
    <x v="1"/>
    <n v="101"/>
    <n v="9999"/>
    <d v="2016-09-16T05:00:00"/>
    <d v="2016-09-16T05:10:00"/>
    <n v="452"/>
    <n v="530"/>
    <n v="493"/>
    <s v="Total unit performance testing (use appropriate codes for individual component testing)"/>
    <s v="F790Planned derate for scheduled unit Heat Rate testing."/>
    <s v="Trimble"/>
    <x v="0"/>
    <s v="Coal"/>
    <x v="2"/>
    <x v="3"/>
    <n v="9"/>
    <n v="0.16666666668606922"/>
    <n v="2.4528301889647924E-2"/>
    <n v="12.092452831596427"/>
    <n v="72.554716981132074"/>
    <x v="87"/>
  </r>
  <r>
    <x v="11"/>
    <x v="3"/>
    <n v="102"/>
    <n v="8700"/>
    <d v="2016-09-20T07:00:00"/>
    <d v="2016-09-20T15:10:00"/>
    <n v="0"/>
    <n v="530"/>
    <n v="493"/>
    <s v="CEMS Certification and Recertification"/>
    <s v="F790Non-curtailing event for a RATA test, an audit of the unit's CEMS monitors. The un"/>
    <s v="Trimble"/>
    <x v="1"/>
    <s v="Coal"/>
    <x v="2"/>
    <x v="3"/>
    <n v="9"/>
    <n v="8.1666666667442769"/>
    <n v="8.1666666667442769"/>
    <n v="4026.1666667049285"/>
    <n v="493"/>
    <x v="296"/>
  </r>
  <r>
    <x v="11"/>
    <x v="3"/>
    <n v="103"/>
    <n v="8700"/>
    <d v="2016-09-21T07:05:00"/>
    <d v="2016-09-21T11:24:00"/>
    <n v="0"/>
    <n v="530"/>
    <n v="493"/>
    <s v="CEMS Certification and Recertification"/>
    <s v="F790Non-curtailing event for a RATA test, an audit of the unit's CEMS monitors. The un"/>
    <s v="Trimble"/>
    <x v="1"/>
    <s v="Coal"/>
    <x v="2"/>
    <x v="3"/>
    <n v="9"/>
    <n v="4.316666666592937"/>
    <n v="4.316666666592937"/>
    <n v="2128.1166666303179"/>
    <n v="493"/>
    <x v="296"/>
  </r>
  <r>
    <x v="11"/>
    <x v="0"/>
    <n v="104"/>
    <n v="263"/>
    <d v="2016-09-22T04:08:00"/>
    <d v="2016-09-24T01:14:00"/>
    <n v="460"/>
    <n v="530"/>
    <n v="493"/>
    <s v="Primary air fan drives"/>
    <s v="F160The 1A PA Fan inlet vane damper drive had a faulty circuit board, which resulted i"/>
    <s v="Trimble"/>
    <x v="0"/>
    <s v="Coal"/>
    <x v="2"/>
    <x v="3"/>
    <n v="9"/>
    <n v="45.099999999976717"/>
    <n v="5.9566037735818309"/>
    <n v="2936.6056603758425"/>
    <n v="65.113207547169807"/>
    <x v="127"/>
  </r>
  <r>
    <x v="11"/>
    <x v="6"/>
    <n v="105"/>
    <n v="3620"/>
    <d v="2016-10-15T01:20:00"/>
    <d v="2016-10-24T03:14:00"/>
    <n v="0"/>
    <n v="530"/>
    <n v="493"/>
    <s v="Main transformer"/>
    <s v="F590Planned Outage with multiple outage scopes, with a focus on TC1 ID Fan VFD work an"/>
    <s v="Trimble"/>
    <x v="1"/>
    <s v="Coal"/>
    <x v="2"/>
    <x v="3"/>
    <n v="10"/>
    <n v="217.90000000008149"/>
    <n v="217.90000000008149"/>
    <n v="107424.70000004017"/>
    <n v="493"/>
    <x v="296"/>
  </r>
  <r>
    <x v="11"/>
    <x v="5"/>
    <n v="106"/>
    <n v="3979"/>
    <d v="2016-11-03T04:46:00"/>
    <d v="2016-11-03T17:59:00"/>
    <n v="0"/>
    <n v="530"/>
    <n v="493"/>
    <s v="Other DCS problems"/>
    <s v="F340A DCS Controller failed and rebooted while its backup was also out of service. The"/>
    <s v="Trimble"/>
    <x v="3"/>
    <s v="Coal"/>
    <x v="2"/>
    <x v="3"/>
    <n v="11"/>
    <n v="13.21666666661622"/>
    <n v="13.21666666661622"/>
    <n v="6515.8166666417965"/>
    <n v="493"/>
    <x v="296"/>
  </r>
  <r>
    <x v="11"/>
    <x v="0"/>
    <n v="107"/>
    <n v="360"/>
    <d v="2016-11-11T21:42:00"/>
    <d v="2016-11-11T22:06:00"/>
    <n v="397"/>
    <n v="530"/>
    <n v="493"/>
    <s v="Burners"/>
    <s v="FR00The F4 Burner caught fire, resulting in the mill being taken out of service. The u"/>
    <s v="Trimble"/>
    <x v="0"/>
    <s v="Coal"/>
    <x v="2"/>
    <x v="3"/>
    <n v="11"/>
    <n v="0.39999999990686774"/>
    <n v="0.10037735846719512"/>
    <n v="49.48603772432719"/>
    <n v="123.71509433962264"/>
    <x v="236"/>
  </r>
  <r>
    <x v="11"/>
    <x v="3"/>
    <n v="108"/>
    <n v="8700"/>
    <d v="2016-11-14T10:00:00"/>
    <d v="2016-11-14T15:00:00"/>
    <n v="0"/>
    <n v="530"/>
    <n v="493"/>
    <s v="CEMS Certification and Recertification"/>
    <s v="F790Non-curtailing event for a RATA test, an audit of the unit's CEMS monitors. The un"/>
    <s v="Trimble"/>
    <x v="1"/>
    <s v="Coal"/>
    <x v="2"/>
    <x v="3"/>
    <n v="11"/>
    <n v="5.0000000000582077"/>
    <n v="5.0000000000582077"/>
    <n v="2465.0000000286964"/>
    <n v="493"/>
    <x v="296"/>
  </r>
  <r>
    <x v="11"/>
    <x v="3"/>
    <n v="109"/>
    <n v="8700"/>
    <d v="2016-11-15T08:00:00"/>
    <d v="2016-11-15T15:36:00"/>
    <n v="0"/>
    <n v="530"/>
    <n v="493"/>
    <s v="CEMS Certification and Recertification"/>
    <s v="F790Non-curtailing event for a RATA test, an audit of the unit's CEMS monitors. The un"/>
    <s v="Trimble"/>
    <x v="1"/>
    <s v="Coal"/>
    <x v="2"/>
    <x v="3"/>
    <n v="11"/>
    <n v="7.5999999999767169"/>
    <n v="7.5999999999767169"/>
    <n v="3746.7999999885214"/>
    <n v="493"/>
    <x v="296"/>
  </r>
  <r>
    <x v="11"/>
    <x v="1"/>
    <n v="110"/>
    <n v="8700"/>
    <d v="2016-11-16T21:30:00"/>
    <d v="2016-11-16T21:50:00"/>
    <n v="255"/>
    <n v="530"/>
    <n v="493"/>
    <s v="CEMS Certification and Recertification"/>
    <s v="F790Non-curtailing event for a RATA test, an audit of the unit's CEMS monitors. The un"/>
    <s v="Trimble"/>
    <x v="0"/>
    <s v="Coal"/>
    <x v="2"/>
    <x v="3"/>
    <n v="11"/>
    <n v="0.33333333319751546"/>
    <n v="0.17295597477229577"/>
    <n v="85.267295562741808"/>
    <n v="255.80188679245282"/>
    <x v="300"/>
  </r>
  <r>
    <x v="11"/>
    <x v="1"/>
    <n v="111"/>
    <n v="8700"/>
    <d v="2016-11-16T21:50:00"/>
    <d v="2016-11-17T01:00:00"/>
    <n v="275"/>
    <n v="530"/>
    <n v="493"/>
    <s v="CEMS Certification and Recertification"/>
    <s v="F790Non-curtailing event for a RATA test, an audit of the unit's CEMS monitors. The un"/>
    <s v="Trimble"/>
    <x v="0"/>
    <s v="Coal"/>
    <x v="2"/>
    <x v="3"/>
    <n v="11"/>
    <n v="3.1666666666860692"/>
    <n v="1.5235849056697126"/>
    <n v="751.12735849516832"/>
    <n v="237.19811320754718"/>
    <x v="263"/>
  </r>
  <r>
    <x v="11"/>
    <x v="1"/>
    <n v="112"/>
    <n v="8700"/>
    <d v="2016-11-17T01:00:00"/>
    <d v="2016-11-17T04:55:00"/>
    <n v="390"/>
    <n v="530"/>
    <n v="493"/>
    <s v="CEMS Certification and Recertification"/>
    <s v="F790Non-curtailing event for a RATA test, an audit of the unit's CEMS monitors. The un"/>
    <s v="Trimble"/>
    <x v="0"/>
    <s v="Coal"/>
    <x v="2"/>
    <x v="3"/>
    <n v="11"/>
    <n v="3.9166666666860692"/>
    <n v="1.0345911949736786"/>
    <n v="510.05345912202353"/>
    <n v="130.22641509433961"/>
    <x v="50"/>
  </r>
  <r>
    <x v="11"/>
    <x v="5"/>
    <n v="113"/>
    <n v="1475"/>
    <d v="2016-11-26T06:03:00"/>
    <d v="2016-11-26T15:44:00"/>
    <n v="0"/>
    <n v="530"/>
    <n v="493"/>
    <s v="Induced draft fan controls"/>
    <s v="F600A DCS card failed, resulting in a loss of I/O control of the ID fan system. The ca"/>
    <s v="Trimble"/>
    <x v="3"/>
    <s v="Coal"/>
    <x v="2"/>
    <x v="3"/>
    <n v="11"/>
    <n v="9.6833333332906477"/>
    <n v="9.6833333332906477"/>
    <n v="4773.8833333122893"/>
    <n v="493"/>
    <x v="296"/>
  </r>
  <r>
    <x v="11"/>
    <x v="0"/>
    <n v="114"/>
    <n v="360"/>
    <d v="2016-11-26T21:11:00"/>
    <d v="2016-11-27T00:48:00"/>
    <n v="400"/>
    <n v="530"/>
    <n v="493"/>
    <s v="Burners"/>
    <s v="FR00The unit was derated when the B2 burner caught fire and we had to remove that mill"/>
    <s v="Trimble"/>
    <x v="0"/>
    <s v="Coal"/>
    <x v="2"/>
    <x v="3"/>
    <n v="11"/>
    <n v="3.6166666665812954"/>
    <n v="0.88710691821805354"/>
    <n v="437.3437106815004"/>
    <n v="120.9245283018868"/>
    <x v="277"/>
  </r>
  <r>
    <x v="11"/>
    <x v="0"/>
    <n v="115"/>
    <n v="360"/>
    <d v="2016-11-27T00:48:00"/>
    <d v="2016-11-27T02:18:00"/>
    <n v="375"/>
    <n v="530"/>
    <n v="493"/>
    <s v="Burners"/>
    <s v="FR00Load was further reduced due to burner fire until replacement mill could be placed"/>
    <s v="Trimble"/>
    <x v="0"/>
    <s v="Coal"/>
    <x v="2"/>
    <x v="3"/>
    <n v="11"/>
    <n v="1.5"/>
    <n v="0.43867924528301888"/>
    <n v="216.26886792452831"/>
    <n v="144.17924528301887"/>
    <x v="250"/>
  </r>
  <r>
    <x v="11"/>
    <x v="0"/>
    <n v="116"/>
    <n v="310"/>
    <d v="2016-11-28T15:13:00"/>
    <d v="2016-11-28T16:00:00"/>
    <n v="375"/>
    <n v="530"/>
    <n v="493"/>
    <s v="Pulverizer mills"/>
    <s v="F340The 1A Mill discharge valves closed, which required a shutdown of the mill. The un"/>
    <s v="Trimble"/>
    <x v="0"/>
    <s v="Coal"/>
    <x v="2"/>
    <x v="3"/>
    <n v="11"/>
    <n v="0.78333333326736465"/>
    <n v="0.22908805029517268"/>
    <n v="112.94040879552013"/>
    <n v="144.17924528301887"/>
    <x v="250"/>
  </r>
  <r>
    <x v="11"/>
    <x v="0"/>
    <n v="117"/>
    <n v="330"/>
    <d v="2016-12-03T03:50:00"/>
    <d v="2016-12-03T15:12:00"/>
    <n v="450"/>
    <n v="530"/>
    <n v="493"/>
    <s v="Pulverizer coal leak (pulverizers only)"/>
    <s v="F5401A Mill had a coal leak at the conduit discharge valve. The unit was on a derate u"/>
    <s v="Trimble"/>
    <x v="0"/>
    <s v="Coal"/>
    <x v="2"/>
    <x v="3"/>
    <n v="12"/>
    <n v="11.366666666697711"/>
    <n v="1.7157232704449374"/>
    <n v="845.85157232935421"/>
    <n v="74.415094339622641"/>
    <x v="29"/>
  </r>
  <r>
    <x v="11"/>
    <x v="0"/>
    <n v="118"/>
    <n v="310"/>
    <d v="2016-12-03T18:00:00"/>
    <d v="2016-12-03T21:48:00"/>
    <n v="480"/>
    <n v="530"/>
    <n v="493"/>
    <s v="Pulverizer mills"/>
    <s v="F780The 1B Mill temperature became too high causing it to be taken out of service. Add"/>
    <s v="Trimble"/>
    <x v="0"/>
    <s v="Coal"/>
    <x v="2"/>
    <x v="3"/>
    <n v="12"/>
    <n v="3.7999999999883585"/>
    <n v="0.35849056603663759"/>
    <n v="176.73584905606234"/>
    <n v="46.509433962264154"/>
    <x v="119"/>
  </r>
  <r>
    <x v="11"/>
    <x v="0"/>
    <n v="119"/>
    <n v="1471"/>
    <d v="2016-12-08T04:45:00"/>
    <d v="2016-12-08T13:04:00"/>
    <n v="230"/>
    <n v="530"/>
    <n v="493"/>
    <s v="Induced draft fan motors - variable speed"/>
    <s v="F520The 1A ID Fan VFD tripped on low coolant flow. A flow transmitter was reading a ze"/>
    <s v="Trimble"/>
    <x v="0"/>
    <s v="Coal"/>
    <x v="2"/>
    <x v="3"/>
    <n v="12"/>
    <n v="8.3166666667093523"/>
    <n v="4.7075471698354825"/>
    <n v="2320.820754728893"/>
    <n v="279.05660377358492"/>
    <x v="195"/>
  </r>
  <r>
    <x v="11"/>
    <x v="0"/>
    <n v="120"/>
    <n v="280"/>
    <d v="2016-12-14T10:10:00"/>
    <d v="2016-12-14T10:38:00"/>
    <n v="375"/>
    <n v="530"/>
    <n v="493"/>
    <s v="Pulverizer fires"/>
    <s v="FR00The unit was placed on a derate as a result of the 1B Mill catching fire."/>
    <s v="Trimble"/>
    <x v="0"/>
    <s v="Coal"/>
    <x v="2"/>
    <x v="3"/>
    <n v="12"/>
    <n v="0.46666666679084301"/>
    <n v="0.13647798745769937"/>
    <n v="67.283647816645797"/>
    <n v="144.17924528301887"/>
    <x v="250"/>
  </r>
  <r>
    <x v="11"/>
    <x v="0"/>
    <n v="121"/>
    <n v="280"/>
    <d v="2016-12-19T05:16:00"/>
    <d v="2016-12-19T05:49:00"/>
    <n v="375"/>
    <n v="530"/>
    <n v="493"/>
    <s v="Pulverizer fires"/>
    <s v="FR00The unit was placed on a derate due to a fire in the 1F Mill."/>
    <s v="Trimble"/>
    <x v="0"/>
    <s v="Coal"/>
    <x v="2"/>
    <x v="3"/>
    <n v="12"/>
    <n v="0.54999999987194315"/>
    <n v="0.16084905656632301"/>
    <n v="79.298584887197237"/>
    <n v="144.17924528301887"/>
    <x v="250"/>
  </r>
  <r>
    <x v="11"/>
    <x v="0"/>
    <n v="122"/>
    <n v="8006"/>
    <d v="2016-12-22T14:45:00"/>
    <d v="2016-12-22T18:28:00"/>
    <n v="400"/>
    <n v="530"/>
    <n v="493"/>
    <s v="Weigh feeders B"/>
    <s v="F340The limestone rock silo had bolt failures, causing it to rest against the feeder a"/>
    <s v="Trimble"/>
    <x v="0"/>
    <s v="Coal"/>
    <x v="2"/>
    <x v="3"/>
    <n v="12"/>
    <n v="3.7166666665580124"/>
    <n v="0.91163522009913511"/>
    <n v="449.43616350887362"/>
    <n v="120.9245283018868"/>
    <x v="277"/>
  </r>
  <r>
    <x v="11"/>
    <x v="0"/>
    <n v="1"/>
    <n v="280"/>
    <d v="2017-01-04T10:50:00"/>
    <d v="2017-01-04T12:42:00"/>
    <n v="375"/>
    <n v="530"/>
    <n v="493"/>
    <s v="Pulverizer fires"/>
    <s v="FR00The 1F Mill caught fire and was taken out of service. At this time, the 1B and 1D "/>
    <s v="Trimble"/>
    <x v="0"/>
    <s v="Coal"/>
    <x v="2"/>
    <x v="4"/>
    <n v="1"/>
    <n v="1.8666666666395031"/>
    <n v="0.54591194967759049"/>
    <n v="269.1345911910521"/>
    <n v="144.17924528301887"/>
    <x v="250"/>
  </r>
  <r>
    <x v="11"/>
    <x v="0"/>
    <n v="2"/>
    <n v="280"/>
    <d v="2017-01-04T18:12:00"/>
    <d v="2017-01-04T20:20:00"/>
    <n v="375"/>
    <n v="530"/>
    <n v="493"/>
    <s v="Pulverizer fires"/>
    <s v="FR00The 1F Mill caught fire and was taken out of service. At this time the 1B and 1D M"/>
    <s v="Trimble"/>
    <x v="0"/>
    <s v="Coal"/>
    <x v="2"/>
    <x v="4"/>
    <n v="1"/>
    <n v="2.1333333333022892"/>
    <n v="0.62389937106010351"/>
    <n v="307.58238993263103"/>
    <n v="144.17924528301887"/>
    <x v="250"/>
  </r>
  <r>
    <x v="11"/>
    <x v="3"/>
    <n v="3"/>
    <n v="8601"/>
    <d v="2017-01-05T07:00:00"/>
    <d v="2017-01-05T16:55:00"/>
    <n v="0"/>
    <n v="530"/>
    <n v="493"/>
    <s v="SO3 mitigation"/>
    <s v="F790Non-curtailing event for HCl/SO3 removal level testing. The unit was available dur"/>
    <s v="Trimble"/>
    <x v="1"/>
    <s v="Coal"/>
    <x v="2"/>
    <x v="4"/>
    <n v="1"/>
    <n v="9.9166666666860692"/>
    <n v="9.9166666666860692"/>
    <n v="4888.9166666762321"/>
    <n v="493"/>
    <x v="296"/>
  </r>
  <r>
    <x v="11"/>
    <x v="3"/>
    <n v="4"/>
    <n v="8601"/>
    <d v="2017-01-06T07:00:00"/>
    <d v="2017-01-06T15:03:00"/>
    <n v="0"/>
    <n v="530"/>
    <n v="493"/>
    <s v="SO3 mitigation"/>
    <s v="F790Non-curtailing event for HCl/SO3 removal levels testing. The testing did not effec"/>
    <s v="Trimble"/>
    <x v="1"/>
    <s v="Coal"/>
    <x v="2"/>
    <x v="4"/>
    <n v="1"/>
    <n v="8.0500000000465661"/>
    <n v="8.0500000000465661"/>
    <n v="3968.6500000229571"/>
    <n v="493"/>
    <x v="296"/>
  </r>
  <r>
    <x v="11"/>
    <x v="0"/>
    <n v="5"/>
    <n v="280"/>
    <d v="2017-01-06T13:30:00"/>
    <d v="2017-01-06T14:09:00"/>
    <n v="490"/>
    <n v="530"/>
    <n v="493"/>
    <s v="Pulverizer fires"/>
    <s v="FR00The 1F Mill caught fire and was taken out of service. At this time, the 1B Mill wa"/>
    <s v="Trimble"/>
    <x v="0"/>
    <s v="Coal"/>
    <x v="2"/>
    <x v="4"/>
    <n v="1"/>
    <n v="0.65000000002328306"/>
    <n v="4.9056603775342121E-2"/>
    <n v="24.184905661243665"/>
    <n v="37.20754716981132"/>
    <x v="12"/>
  </r>
  <r>
    <x v="11"/>
    <x v="0"/>
    <n v="6"/>
    <n v="280"/>
    <d v="2017-01-06T15:52:00"/>
    <d v="2017-01-06T17:04:00"/>
    <n v="490"/>
    <n v="530"/>
    <n v="493"/>
    <s v="Pulverizer fires"/>
    <s v="FR00The 1B Mill caught fire and was taken out of service. At this time, the 1F was als"/>
    <s v="Trimble"/>
    <x v="0"/>
    <s v="Coal"/>
    <x v="2"/>
    <x v="4"/>
    <n v="1"/>
    <n v="1.1999999998952262"/>
    <n v="9.0566037727941598E-2"/>
    <n v="44.649056599875209"/>
    <n v="37.20754716981132"/>
    <x v="12"/>
  </r>
  <r>
    <x v="11"/>
    <x v="5"/>
    <n v="7"/>
    <n v="1750"/>
    <d v="2017-01-26T19:00:00"/>
    <d v="2017-01-26T23:27:00"/>
    <n v="0"/>
    <n v="530"/>
    <n v="493"/>
    <s v="Burner management system"/>
    <s v="F490When placing a start on the AB oil guns, a ground fault went back to the Burner Ma"/>
    <s v="Trimble"/>
    <x v="3"/>
    <s v="Coal"/>
    <x v="2"/>
    <x v="4"/>
    <n v="1"/>
    <n v="4.4500000000116415"/>
    <n v="4.4500000000116415"/>
    <n v="2193.8500000057393"/>
    <n v="493"/>
    <x v="296"/>
  </r>
  <r>
    <x v="11"/>
    <x v="0"/>
    <n v="8"/>
    <n v="310"/>
    <d v="2017-02-01T16:58:00"/>
    <d v="2017-02-01T18:12:00"/>
    <n v="375"/>
    <n v="530"/>
    <n v="493"/>
    <s v="Pulverizer mills"/>
    <s v="F780The unit was placed on a derate when the 1E Mill temperature went high. The mill w"/>
    <s v="Trimble"/>
    <x v="0"/>
    <s v="Coal"/>
    <x v="2"/>
    <x v="4"/>
    <n v="2"/>
    <n v="1.2333333333372138"/>
    <n v="0.36069182390050591"/>
    <n v="177.82106918294943"/>
    <n v="144.17924528301887"/>
    <x v="250"/>
  </r>
  <r>
    <x v="11"/>
    <x v="0"/>
    <n v="9"/>
    <n v="280"/>
    <d v="2017-02-01T20:04:00"/>
    <d v="2017-02-01T20:29:00"/>
    <n v="375"/>
    <n v="530"/>
    <n v="493"/>
    <s v="Pulverizer fires"/>
    <s v="FR00The unit was placed on a derate when the 1B Mill temperature went high and the mil"/>
    <s v="Trimble"/>
    <x v="0"/>
    <s v="Coal"/>
    <x v="2"/>
    <x v="4"/>
    <n v="2"/>
    <n v="0.41666666680248454"/>
    <n v="0.12185534595167001"/>
    <n v="60.074685554173314"/>
    <n v="144.17924528301887"/>
    <x v="250"/>
  </r>
  <r>
    <x v="11"/>
    <x v="3"/>
    <n v="10"/>
    <n v="8700"/>
    <d v="2017-02-07T08:00:00"/>
    <d v="2017-02-07T15:06:00"/>
    <n v="0"/>
    <n v="530"/>
    <n v="493"/>
    <s v="CEMS Certification and Recertification"/>
    <s v="F790Non-curtailing event for a RATA test, an audit of the unit's CEMS monitors. The un"/>
    <s v="Trimble"/>
    <x v="1"/>
    <s v="Coal"/>
    <x v="2"/>
    <x v="4"/>
    <n v="2"/>
    <n v="7.0999999999185093"/>
    <n v="7.0999999999185093"/>
    <n v="3500.2999999598251"/>
    <n v="493"/>
    <x v="296"/>
  </r>
  <r>
    <x v="11"/>
    <x v="0"/>
    <n v="11"/>
    <n v="280"/>
    <d v="2017-02-09T05:12:00"/>
    <d v="2017-02-09T05:51:00"/>
    <n v="375"/>
    <n v="530"/>
    <n v="493"/>
    <s v="Pulverizer fires"/>
    <s v="FR00The unit was placed on a derate when the 1B Mill caught fire. It was removed from "/>
    <s v="Trimble"/>
    <x v="0"/>
    <s v="Coal"/>
    <x v="2"/>
    <x v="4"/>
    <n v="2"/>
    <n v="0.65000000002328306"/>
    <n v="0.19009433962945071"/>
    <n v="93.716509437319203"/>
    <n v="144.17924528301887"/>
    <x v="250"/>
  </r>
  <r>
    <x v="11"/>
    <x v="0"/>
    <n v="12"/>
    <n v="280"/>
    <d v="2017-02-16T11:26:00"/>
    <d v="2017-02-16T12:16:00"/>
    <n v="375"/>
    <n v="530"/>
    <n v="493"/>
    <s v="Pulverizer fires"/>
    <s v="FR00The unit was placed on a derate when the 1F Mill had a fire in the seal ring heade"/>
    <s v="Trimble"/>
    <x v="0"/>
    <s v="Coal"/>
    <x v="2"/>
    <x v="4"/>
    <n v="2"/>
    <n v="0.83333333325572312"/>
    <n v="0.24371069180120206"/>
    <n v="120.14937105799261"/>
    <n v="144.17924528301887"/>
    <x v="250"/>
  </r>
  <r>
    <x v="11"/>
    <x v="0"/>
    <n v="13"/>
    <n v="250"/>
    <d v="2017-02-25T21:09:00"/>
    <d v="2017-02-25T21:47:00"/>
    <n v="350"/>
    <n v="530"/>
    <n v="493"/>
    <s v="Pulverizer feeders"/>
    <s v="F520The 1C Mill Feeder tripped due to the tachometer speed switch not operating correc"/>
    <s v="Trimble"/>
    <x v="0"/>
    <s v="Coal"/>
    <x v="2"/>
    <x v="4"/>
    <n v="2"/>
    <n v="0.63333333330228925"/>
    <n v="0.21509433961209823"/>
    <n v="106.04150942876443"/>
    <n v="167.43396226415095"/>
    <x v="27"/>
  </r>
  <r>
    <x v="11"/>
    <x v="3"/>
    <n v="14"/>
    <n v="9999"/>
    <d v="2017-02-27T06:00:00"/>
    <d v="2017-02-27T12:04:00"/>
    <n v="0"/>
    <n v="530"/>
    <n v="493"/>
    <s v="Total unit performance testing (use appropriate codes for individual component testing)"/>
    <s v="F790Non-Curtailing Event for Unit Winter Capability testing. The unit was available fo"/>
    <s v="Trimble"/>
    <x v="1"/>
    <s v="Coal"/>
    <x v="2"/>
    <x v="4"/>
    <n v="2"/>
    <n v="6.0666666667093523"/>
    <n v="6.0666666667093523"/>
    <n v="2990.8666666877107"/>
    <n v="493"/>
    <x v="296"/>
  </r>
  <r>
    <x v="11"/>
    <x v="0"/>
    <n v="15"/>
    <n v="280"/>
    <d v="2017-03-11T11:19:00"/>
    <d v="2017-03-11T11:47:00"/>
    <n v="365"/>
    <n v="530"/>
    <n v="493"/>
    <s v="Pulverizer fires"/>
    <s v="FR00The unit was placed on a derate when the 1F Coal Mill caught fire. The 1F Mill was"/>
    <s v="Trimble"/>
    <x v="0"/>
    <s v="Coal"/>
    <x v="2"/>
    <x v="4"/>
    <n v="3"/>
    <n v="0.46666666661622003"/>
    <n v="0.14528301885221945"/>
    <n v="71.624528294144184"/>
    <n v="153.48113207547169"/>
    <x v="35"/>
  </r>
  <r>
    <x v="11"/>
    <x v="0"/>
    <n v="16"/>
    <n v="280"/>
    <d v="2017-03-17T05:48:00"/>
    <d v="2017-03-17T06:18:00"/>
    <n v="365"/>
    <n v="530"/>
    <n v="493"/>
    <s v="Pulverizer fires"/>
    <s v="F780The unit was placed on a derate when the 1B Coal Mill caught fire. The 1B Mill was"/>
    <s v="Trimble"/>
    <x v="0"/>
    <s v="Coal"/>
    <x v="2"/>
    <x v="4"/>
    <n v="3"/>
    <n v="0.49999999988358468"/>
    <n v="0.15566037732224805"/>
    <n v="76.740566019868282"/>
    <n v="153.48113207547169"/>
    <x v="35"/>
  </r>
  <r>
    <x v="11"/>
    <x v="0"/>
    <n v="17"/>
    <n v="280"/>
    <d v="2017-03-18T12:40:00"/>
    <d v="2017-03-18T12:57:00"/>
    <n v="365"/>
    <n v="530"/>
    <n v="493"/>
    <s v="Pulverizer fires"/>
    <s v="F780The unit was placed on a derate when the 1F Coal Mill caught fire. The 1F Mill was"/>
    <s v="Trimble"/>
    <x v="0"/>
    <s v="Coal"/>
    <x v="2"/>
    <x v="4"/>
    <n v="3"/>
    <n v="0.28333333320915699"/>
    <n v="8.8207547131152642E-2"/>
    <n v="43.486320735658254"/>
    <n v="153.48113207547169"/>
    <x v="35"/>
  </r>
  <r>
    <x v="11"/>
    <x v="0"/>
    <n v="18"/>
    <n v="280"/>
    <d v="2017-03-19T08:29:00"/>
    <d v="2017-03-19T08:43:00"/>
    <n v="375"/>
    <n v="530"/>
    <n v="493"/>
    <s v="Pulverizer fires"/>
    <s v="F780The unit was placed on a derate when the 1F Coal Mill caught fire. The 1F Mill was"/>
    <s v="Trimble"/>
    <x v="0"/>
    <s v="Coal"/>
    <x v="2"/>
    <x v="4"/>
    <n v="3"/>
    <n v="0.23333333322079852"/>
    <n v="6.8238993677780704E-2"/>
    <n v="33.641823883145889"/>
    <n v="144.17924528301887"/>
    <x v="250"/>
  </r>
  <r>
    <x v="11"/>
    <x v="0"/>
    <n v="20"/>
    <n v="280"/>
    <d v="2017-03-19T19:37:00"/>
    <d v="2017-03-19T20:14:00"/>
    <n v="375"/>
    <n v="530"/>
    <n v="493"/>
    <s v="Pulverizer fires"/>
    <s v="F780The unit was placed on a derate when the 1B Coal Mill caught fire. The 1B Mill was"/>
    <s v="Trimble"/>
    <x v="0"/>
    <s v="Coal"/>
    <x v="2"/>
    <x v="4"/>
    <n v="3"/>
    <n v="0.61666666658129543"/>
    <n v="0.18034591192471847"/>
    <n v="88.9105345788862"/>
    <n v="144.17924528301887"/>
    <x v="250"/>
  </r>
  <r>
    <x v="11"/>
    <x v="0"/>
    <n v="19"/>
    <n v="280"/>
    <d v="2017-03-20T05:13:00"/>
    <d v="2017-03-20T05:35:00"/>
    <n v="375"/>
    <n v="530"/>
    <n v="493"/>
    <s v="Pulverizer fires"/>
    <s v="F780The unit was placed on a derate when the 1F Coal Mill caught fire. The 1F Mill was"/>
    <s v="Trimble"/>
    <x v="0"/>
    <s v="Coal"/>
    <x v="2"/>
    <x v="4"/>
    <n v="3"/>
    <n v="0.36666666663950309"/>
    <n v="0.10723270439457167"/>
    <n v="52.86572326652383"/>
    <n v="144.17924528301887"/>
    <x v="250"/>
  </r>
  <r>
    <x v="11"/>
    <x v="0"/>
    <n v="21"/>
    <n v="280"/>
    <d v="2017-03-21T18:51:00"/>
    <d v="2017-03-21T19:07:00"/>
    <n v="375"/>
    <n v="530"/>
    <n v="493"/>
    <s v="Pulverizer fires"/>
    <s v="F780The unit was placed on a derate when the 1F Coal Mill caught fire. The 1F Mill was"/>
    <s v="Trimble"/>
    <x v="0"/>
    <s v="Coal"/>
    <x v="2"/>
    <x v="4"/>
    <n v="3"/>
    <n v="0.26666666666278616"/>
    <n v="7.7987421382512939E-2"/>
    <n v="38.447798741578879"/>
    <n v="144.17924528301887"/>
    <x v="250"/>
  </r>
  <r>
    <x v="11"/>
    <x v="0"/>
    <n v="22"/>
    <n v="250"/>
    <d v="2017-03-21T23:56:00"/>
    <d v="2017-03-22T00:17:00"/>
    <n v="370"/>
    <n v="530"/>
    <n v="493"/>
    <s v="Pulverizer feeders"/>
    <s v="F690The 1B Coal Feeder belt was not moving. The 1B Mill was taken out of service and t"/>
    <s v="Trimble"/>
    <x v="0"/>
    <s v="Coal"/>
    <x v="2"/>
    <x v="4"/>
    <n v="3"/>
    <n v="0.35000000009313226"/>
    <n v="0.10566037738660597"/>
    <n v="52.090566051596745"/>
    <n v="148.83018867924528"/>
    <x v="286"/>
  </r>
  <r>
    <x v="11"/>
    <x v="0"/>
    <n v="23"/>
    <n v="280"/>
    <d v="2017-03-22T12:16:00"/>
    <d v="2017-03-22T12:46:00"/>
    <n v="375"/>
    <n v="530"/>
    <n v="493"/>
    <s v="Pulverizer fires"/>
    <s v="F780The unit was placed on a derate when the 1F Coal Mill caught fire. The 1F Mill was"/>
    <s v="Trimble"/>
    <x v="0"/>
    <s v="Coal"/>
    <x v="2"/>
    <x v="4"/>
    <n v="3"/>
    <n v="0.50000000005820766"/>
    <n v="0.14622641511136261"/>
    <n v="72.08962264990177"/>
    <n v="144.17924528301887"/>
    <x v="250"/>
  </r>
  <r>
    <x v="11"/>
    <x v="0"/>
    <n v="24"/>
    <n v="590"/>
    <d v="2017-03-30T00:00:00"/>
    <d v="2017-03-30T01:47:00"/>
    <n v="375"/>
    <n v="530"/>
    <n v="493"/>
    <s v="Desuperheater/attemperator valves"/>
    <s v="F540Load was dropped on the unit to reduce heat in the boiler and therefore the need f"/>
    <s v="Trimble"/>
    <x v="0"/>
    <s v="Coal"/>
    <x v="2"/>
    <x v="4"/>
    <n v="3"/>
    <n v="1.78333333338378"/>
    <n v="0.52154088051789793"/>
    <n v="257.11965409532365"/>
    <n v="144.17924528301887"/>
    <x v="250"/>
  </r>
  <r>
    <x v="11"/>
    <x v="0"/>
    <n v="25"/>
    <n v="280"/>
    <d v="2017-03-30T23:13:00"/>
    <d v="2017-03-30T23:35:00"/>
    <n v="400"/>
    <n v="530"/>
    <n v="493"/>
    <s v="Pulverizer fires"/>
    <s v="F780The unit was placed on a derate when the 1B Coal Mill caught fire. The 1B Mill was"/>
    <s v="Trimble"/>
    <x v="0"/>
    <s v="Coal"/>
    <x v="2"/>
    <x v="4"/>
    <n v="3"/>
    <n v="0.36666666663950309"/>
    <n v="8.9937106911576234E-2"/>
    <n v="44.338993707407084"/>
    <n v="120.9245283018868"/>
    <x v="277"/>
  </r>
  <r>
    <x v="11"/>
    <x v="0"/>
    <n v="26"/>
    <n v="310"/>
    <d v="2017-04-08T02:30:00"/>
    <d v="2017-04-08T07:57:00"/>
    <n v="500"/>
    <n v="530"/>
    <n v="493"/>
    <s v="Pulverizer mills"/>
    <s v="F660The unit was deraed when arflow issues occured during a coal mill startup. Once th"/>
    <s v="Trimble"/>
    <x v="0"/>
    <s v="Coal"/>
    <x v="2"/>
    <x v="4"/>
    <n v="4"/>
    <n v="5.4500000001280569"/>
    <n v="0.30849056604498437"/>
    <n v="152.08584906017728"/>
    <n v="27.90566037735849"/>
    <x v="67"/>
  </r>
  <r>
    <x v="11"/>
    <x v="0"/>
    <n v="27"/>
    <n v="280"/>
    <d v="2017-04-11T03:50:00"/>
    <d v="2017-04-11T04:23:00"/>
    <n v="375"/>
    <n v="530"/>
    <n v="493"/>
    <s v="Pulverizer fires"/>
    <s v="F780The unit was placed on a derate when the 1F Coal Mill caught fire. The 1BFMill was"/>
    <s v="Trimble"/>
    <x v="0"/>
    <s v="Coal"/>
    <x v="2"/>
    <x v="4"/>
    <n v="4"/>
    <n v="0.55000000004656613"/>
    <n v="0.16084905661739199"/>
    <n v="79.298584912374253"/>
    <n v="144.17924528301887"/>
    <x v="250"/>
  </r>
  <r>
    <x v="11"/>
    <x v="6"/>
    <n v="28"/>
    <n v="1493"/>
    <d v="2017-04-12T02:42:00"/>
    <d v="2017-04-15T10:42:00"/>
    <n v="0"/>
    <n v="530"/>
    <n v="493"/>
    <s v="Air heater fouling (regenerative)"/>
    <s v="F590The unit was placed on a Planned Outage for multiple maintenance scopes. The criti"/>
    <s v="Trimble"/>
    <x v="1"/>
    <s v="Coal"/>
    <x v="2"/>
    <x v="4"/>
    <n v="4"/>
    <n v="79.999999999883585"/>
    <n v="79.999999999883585"/>
    <n v="39439.999999942607"/>
    <n v="493"/>
    <x v="296"/>
  </r>
  <r>
    <x v="11"/>
    <x v="5"/>
    <n v="29"/>
    <n v="1000"/>
    <d v="2017-04-16T21:04:00"/>
    <d v="2017-04-18T12:48:00"/>
    <n v="0"/>
    <n v="530"/>
    <n v="493"/>
    <s v="Waterwall (Furnace wall) A"/>
    <s v="F540The unit was taken offline and placed on a Forced Outage for repairs on a leaking "/>
    <s v="Trimble"/>
    <x v="3"/>
    <s v="Coal"/>
    <x v="2"/>
    <x v="4"/>
    <n v="4"/>
    <n v="39.733333333279006"/>
    <n v="39.733333333279006"/>
    <n v="19588.53333330655"/>
    <n v="493"/>
    <x v="296"/>
  </r>
  <r>
    <x v="11"/>
    <x v="3"/>
    <n v="30"/>
    <n v="8812"/>
    <d v="2017-04-24T13:00:00"/>
    <d v="2017-04-24T18:34:00"/>
    <n v="0"/>
    <n v="530"/>
    <n v="493"/>
    <s v="SCR NOxCatalyst"/>
    <s v="F790Performance testing on the SCR. Unit was available for full load if requested by d"/>
    <s v="Trimble"/>
    <x v="1"/>
    <s v="Coal"/>
    <x v="2"/>
    <x v="4"/>
    <n v="4"/>
    <n v="5.5666666666511446"/>
    <n v="5.5666666666511446"/>
    <n v="2744.3666666590143"/>
    <n v="493"/>
    <x v="296"/>
  </r>
  <r>
    <x v="11"/>
    <x v="3"/>
    <n v="31"/>
    <n v="8812"/>
    <d v="2017-04-25T06:00:00"/>
    <d v="2017-04-25T16:19:00"/>
    <n v="0"/>
    <n v="530"/>
    <n v="493"/>
    <s v="SCR NOxCatalyst"/>
    <s v="F790Performance testing on the SCR. Unit was available for full load if requested by d"/>
    <s v="Trimble"/>
    <x v="1"/>
    <s v="Coal"/>
    <x v="2"/>
    <x v="4"/>
    <n v="4"/>
    <n v="10.316666666592937"/>
    <n v="10.316666666592937"/>
    <n v="5086.1166666303179"/>
    <n v="493"/>
    <x v="296"/>
  </r>
  <r>
    <x v="11"/>
    <x v="3"/>
    <n v="32"/>
    <n v="8812"/>
    <d v="2017-04-26T06:00:00"/>
    <d v="2017-04-26T15:30:00"/>
    <n v="0"/>
    <n v="530"/>
    <n v="493"/>
    <s v="SCR NOxCatalyst"/>
    <s v="F790Performance testing on the SCR. Unit was available for full load if requested by d"/>
    <s v="Trimble"/>
    <x v="1"/>
    <s v="Coal"/>
    <x v="2"/>
    <x v="4"/>
    <n v="4"/>
    <n v="9.5000000000582077"/>
    <n v="9.5000000000582077"/>
    <n v="4683.5000000286964"/>
    <n v="493"/>
    <x v="296"/>
  </r>
  <r>
    <x v="11"/>
    <x v="3"/>
    <n v="33"/>
    <n v="8812"/>
    <d v="2017-04-27T06:00:00"/>
    <d v="2017-04-27T17:56:00"/>
    <n v="0"/>
    <n v="530"/>
    <n v="493"/>
    <s v="SCR NOxCatalyst"/>
    <s v="F790Performance testing on the SCR. Unit was available for full load if requested by d"/>
    <s v="Trimble"/>
    <x v="1"/>
    <s v="Coal"/>
    <x v="2"/>
    <x v="4"/>
    <n v="4"/>
    <n v="11.933333333290648"/>
    <n v="11.933333333290648"/>
    <n v="5883.1333333122893"/>
    <n v="493"/>
    <x v="296"/>
  </r>
  <r>
    <x v="11"/>
    <x v="5"/>
    <n v="34"/>
    <n v="1000"/>
    <d v="2017-04-27T17:56:00"/>
    <d v="2017-04-30T11:29:00"/>
    <n v="0"/>
    <n v="530"/>
    <n v="493"/>
    <s v="Waterwall (Furnace wall) A"/>
    <s v="F540The unit was placed on a Forced Outage for repairs to an identified tube leak."/>
    <s v="Trimble"/>
    <x v="3"/>
    <s v="Coal"/>
    <x v="2"/>
    <x v="4"/>
    <n v="4"/>
    <n v="65.550000000104774"/>
    <n v="65.550000000104774"/>
    <n v="32316.150000051653"/>
    <n v="493"/>
    <x v="296"/>
  </r>
  <r>
    <x v="11"/>
    <x v="0"/>
    <n v="35"/>
    <n v="250"/>
    <d v="2017-05-01T00:30:00"/>
    <d v="2017-05-01T01:22:00"/>
    <n v="375"/>
    <n v="530"/>
    <n v="493"/>
    <s v="Pulverizer feeders"/>
    <s v="F300The unit was placed on a derate when the 1B Coal Feeder tripped due to debris on t"/>
    <s v="Trimble"/>
    <x v="0"/>
    <s v="Coal"/>
    <x v="2"/>
    <x v="4"/>
    <n v="5"/>
    <n v="0.86666666652308777"/>
    <n v="0.25345911945486527"/>
    <n v="124.95534589124858"/>
    <n v="144.17924528301887"/>
    <x v="250"/>
  </r>
  <r>
    <x v="11"/>
    <x v="0"/>
    <n v="36"/>
    <n v="310"/>
    <d v="2017-05-12T07:21:00"/>
    <d v="2017-05-12T07:58:00"/>
    <n v="500"/>
    <n v="530"/>
    <n v="493"/>
    <s v="Pulverizer mills"/>
    <s v="F660The 1C and 1D Mills both experienced high bowl DP and load was dropped to accommod"/>
    <s v="Trimble"/>
    <x v="0"/>
    <s v="Coal"/>
    <x v="2"/>
    <x v="4"/>
    <n v="5"/>
    <n v="0.61666666658129543"/>
    <n v="3.4905660372526154E-2"/>
    <n v="17.208490563655396"/>
    <n v="27.90566037735849"/>
    <x v="67"/>
  </r>
  <r>
    <x v="11"/>
    <x v="0"/>
    <n v="37"/>
    <n v="310"/>
    <d v="2017-05-12T15:09:00"/>
    <d v="2017-05-12T15:37:00"/>
    <n v="495"/>
    <n v="530"/>
    <n v="493"/>
    <s v="Pulverizer mills"/>
    <s v="F780The unit was placed on a derate when the1D Mill temperature went high, and it was "/>
    <s v="Trimble"/>
    <x v="0"/>
    <s v="Coal"/>
    <x v="2"/>
    <x v="4"/>
    <n v="5"/>
    <n v="0.46666666661622003"/>
    <n v="3.0817610059561702E-2"/>
    <n v="15.193081759363919"/>
    <n v="32.556603773584904"/>
    <x v="17"/>
  </r>
  <r>
    <x v="11"/>
    <x v="1"/>
    <n v="38"/>
    <n v="8812"/>
    <d v="2017-05-12T22:00:00"/>
    <d v="2017-05-13T02:20:00"/>
    <n v="450"/>
    <n v="530"/>
    <n v="493"/>
    <s v="SCR NOxCatalyst"/>
    <s v="F790The unit was placed on a Planned Derate for SCR Catalyst testing at reduced loads."/>
    <s v="Trimble"/>
    <x v="0"/>
    <s v="Coal"/>
    <x v="2"/>
    <x v="4"/>
    <n v="5"/>
    <n v="4.3333333333139308"/>
    <n v="0.65408805031153672"/>
    <n v="322.46540880358759"/>
    <n v="74.415094339622641"/>
    <x v="29"/>
  </r>
  <r>
    <x v="11"/>
    <x v="1"/>
    <n v="39"/>
    <n v="8812"/>
    <d v="2017-05-13T02:20:00"/>
    <d v="2017-05-13T03:00:00"/>
    <n v="415"/>
    <n v="530"/>
    <n v="493"/>
    <s v="SCR NOxCatalyst"/>
    <s v="F790The unit was placed on a Planned Derate for SCR Catalyst testing at reduced loads."/>
    <s v="Trimble"/>
    <x v="0"/>
    <s v="Coal"/>
    <x v="2"/>
    <x v="4"/>
    <n v="5"/>
    <n v="0.66666666674427688"/>
    <n v="0.14465408806715441"/>
    <n v="71.314465417107129"/>
    <n v="106.97169811320755"/>
    <x v="4"/>
  </r>
  <r>
    <x v="11"/>
    <x v="1"/>
    <n v="40"/>
    <n v="8812"/>
    <d v="2017-05-13T03:00:00"/>
    <d v="2017-05-13T05:00:00"/>
    <n v="380"/>
    <n v="530"/>
    <n v="493"/>
    <s v="SCR NOxCatalyst"/>
    <s v="F790The unit was placed on a Planned Derate for SCR Catalyst testing at reduced loads."/>
    <s v="Trimble"/>
    <x v="0"/>
    <s v="Coal"/>
    <x v="2"/>
    <x v="4"/>
    <n v="5"/>
    <n v="2.0000000000582077"/>
    <n v="0.56603773586553052"/>
    <n v="279.05660378170654"/>
    <n v="139.52830188679246"/>
    <x v="135"/>
  </r>
  <r>
    <x v="11"/>
    <x v="1"/>
    <n v="41"/>
    <n v="8812"/>
    <d v="2017-05-13T05:00:00"/>
    <d v="2017-05-13T06:00:00"/>
    <n v="385"/>
    <n v="530"/>
    <n v="493"/>
    <s v="SCR NOxCatalyst"/>
    <s v="F790The unit was placed on a Planned Derate for SCR Catalyst testing at reduced loads."/>
    <s v="Trimble"/>
    <x v="0"/>
    <s v="Coal"/>
    <x v="2"/>
    <x v="4"/>
    <n v="5"/>
    <n v="0.99999999994179234"/>
    <n v="0.27358490564445265"/>
    <n v="134.87735848271515"/>
    <n v="134.87735849056602"/>
    <x v="162"/>
  </r>
  <r>
    <x v="11"/>
    <x v="1"/>
    <n v="42"/>
    <n v="8812"/>
    <d v="2017-05-13T06:00:00"/>
    <d v="2017-05-13T14:05:00"/>
    <n v="380"/>
    <n v="530"/>
    <n v="493"/>
    <s v="SCR NOxCatalyst"/>
    <s v="F790The unit was placed on a Planned Derate for SCR Catalyst testing at reduced loads."/>
    <s v="Trimble"/>
    <x v="0"/>
    <s v="Coal"/>
    <x v="2"/>
    <x v="4"/>
    <n v="5"/>
    <n v="8.0833333333139308"/>
    <n v="2.2877358490511126"/>
    <n v="1127.8537735821985"/>
    <n v="139.52830188679246"/>
    <x v="135"/>
  </r>
  <r>
    <x v="11"/>
    <x v="1"/>
    <n v="43"/>
    <n v="8812"/>
    <d v="2017-05-13T14:05:00"/>
    <d v="2017-05-14T11:33:00"/>
    <n v="450"/>
    <n v="530"/>
    <n v="493"/>
    <s v="SCR NOxCatalyst"/>
    <s v="F790The unit was placed on a Planned Derate for SCR Catalyst testing at reduced loads."/>
    <s v="Trimble"/>
    <x v="0"/>
    <s v="Coal"/>
    <x v="2"/>
    <x v="4"/>
    <n v="5"/>
    <n v="21.46666666661622"/>
    <n v="3.2402515723194294"/>
    <n v="1597.4440251534786"/>
    <n v="74.415094339622641"/>
    <x v="29"/>
  </r>
  <r>
    <x v="11"/>
    <x v="0"/>
    <n v="44"/>
    <n v="310"/>
    <d v="2017-05-14T11:33:00"/>
    <d v="2017-05-14T12:00:00"/>
    <n v="375"/>
    <n v="530"/>
    <n v="493"/>
    <s v="Pulverizer mills"/>
    <s v="F780The unit was placed on a derate when the 1B Mill temperature went high, and was re"/>
    <s v="Trimble"/>
    <x v="0"/>
    <s v="Coal"/>
    <x v="2"/>
    <x v="4"/>
    <n v="5"/>
    <n v="0.45000000006984919"/>
    <n v="0.13160377360533326"/>
    <n v="64.880660387429302"/>
    <n v="144.17924528301887"/>
    <x v="250"/>
  </r>
  <r>
    <x v="11"/>
    <x v="1"/>
    <n v="45"/>
    <n v="8812"/>
    <d v="2017-05-14T12:00:00"/>
    <d v="2017-05-14T13:47:00"/>
    <n v="450"/>
    <n v="530"/>
    <n v="493"/>
    <s v="SCR NOxCatalyst"/>
    <s v="F790The unit was placed on a Planned Derate for SCR Catalyst testing at reduced loads."/>
    <s v="Trimble"/>
    <x v="0"/>
    <s v="Coal"/>
    <x v="2"/>
    <x v="4"/>
    <n v="5"/>
    <n v="1.78333333338378"/>
    <n v="0.26918238994472149"/>
    <n v="132.70691824274769"/>
    <n v="74.415094339622641"/>
    <x v="29"/>
  </r>
  <r>
    <x v="11"/>
    <x v="0"/>
    <n v="46"/>
    <n v="310"/>
    <d v="2017-05-14T13:47:00"/>
    <d v="2017-05-14T14:51:00"/>
    <n v="375"/>
    <n v="530"/>
    <n v="493"/>
    <s v="Pulverizer mills"/>
    <s v="F780The unit was placed on a derate when the 1B Mill temperature went high and the 1F "/>
    <s v="Trimble"/>
    <x v="0"/>
    <s v="Coal"/>
    <x v="2"/>
    <x v="4"/>
    <n v="5"/>
    <n v="1.0666666666511446"/>
    <n v="0.31194968553005176"/>
    <n v="153.79119496631552"/>
    <n v="144.17924528301887"/>
    <x v="250"/>
  </r>
  <r>
    <x v="11"/>
    <x v="1"/>
    <n v="47"/>
    <n v="8812"/>
    <d v="2017-05-14T14:51:00"/>
    <d v="2017-05-14T23:43:00"/>
    <n v="450"/>
    <n v="530"/>
    <n v="493"/>
    <s v="SCR NOxCatalyst"/>
    <s v="F790The unit was placed on a Planned Derate for SCR Catalyst testing at reduced loads."/>
    <s v="Trimble"/>
    <x v="0"/>
    <s v="Coal"/>
    <x v="2"/>
    <x v="4"/>
    <n v="5"/>
    <n v="8.8666666665812954"/>
    <n v="1.3383647798613276"/>
    <n v="659.81383647163454"/>
    <n v="74.415094339622641"/>
    <x v="29"/>
  </r>
  <r>
    <x v="11"/>
    <x v="0"/>
    <n v="48"/>
    <n v="310"/>
    <d v="2017-05-14T23:43:00"/>
    <d v="2017-05-15T00:13:00"/>
    <n v="375"/>
    <n v="530"/>
    <n v="493"/>
    <s v="Pulverizer mills"/>
    <s v="F130The 1A Mill tripped due to the closing of the mill discharge valve. The valve was "/>
    <s v="Trimble"/>
    <x v="0"/>
    <s v="Coal"/>
    <x v="2"/>
    <x v="4"/>
    <n v="5"/>
    <n v="0.50000000005820766"/>
    <n v="0.14622641511136261"/>
    <n v="72.08962264990177"/>
    <n v="144.17924528301887"/>
    <x v="250"/>
  </r>
  <r>
    <x v="11"/>
    <x v="1"/>
    <n v="49"/>
    <n v="8812"/>
    <d v="2017-05-15T00:13:00"/>
    <d v="2017-05-15T00:46:00"/>
    <n v="450"/>
    <n v="530"/>
    <n v="493"/>
    <s v="SCR NOxCatalyst"/>
    <s v="F790The unit was placed on a Planned Derate for SCR Catalyst testing at reduced loads."/>
    <s v="Trimble"/>
    <x v="0"/>
    <s v="Coal"/>
    <x v="2"/>
    <x v="4"/>
    <n v="5"/>
    <n v="0.55000000004656613"/>
    <n v="8.3018867931557147E-2"/>
    <n v="40.928301890257671"/>
    <n v="74.415094339622641"/>
    <x v="29"/>
  </r>
  <r>
    <x v="11"/>
    <x v="0"/>
    <n v="50"/>
    <n v="310"/>
    <d v="2017-05-15T00:46:00"/>
    <d v="2017-05-15T01:06:00"/>
    <n v="375"/>
    <n v="530"/>
    <n v="493"/>
    <s v="Pulverizer mills"/>
    <s v="F130The 1A Mill tripped due to the closing of the mill discharge valve. The valve was "/>
    <s v="Trimble"/>
    <x v="0"/>
    <s v="Coal"/>
    <x v="2"/>
    <x v="4"/>
    <n v="5"/>
    <n v="0.33333333319751546"/>
    <n v="9.748427668983943E-2"/>
    <n v="48.05974840809084"/>
    <n v="144.17924528301887"/>
    <x v="250"/>
  </r>
  <r>
    <x v="11"/>
    <x v="1"/>
    <n v="51"/>
    <n v="8812"/>
    <d v="2017-05-15T01:06:00"/>
    <d v="2017-05-15T04:00:00"/>
    <n v="450"/>
    <n v="530"/>
    <n v="493"/>
    <s v="SCR NOxCatalyst"/>
    <s v="F790The unit was placed on a Planned Derate for SCR Catalyst testing at reduced loads."/>
    <s v="Trimble"/>
    <x v="0"/>
    <s v="Coal"/>
    <x v="2"/>
    <x v="4"/>
    <n v="5"/>
    <n v="2.9000000000232831"/>
    <n v="0.4377358490601182"/>
    <n v="215.80377358663827"/>
    <n v="74.415094339622641"/>
    <x v="29"/>
  </r>
  <r>
    <x v="11"/>
    <x v="3"/>
    <n v="52"/>
    <n v="8812"/>
    <d v="2017-05-15T07:00:00"/>
    <d v="2017-05-15T11:55:00"/>
    <n v="0"/>
    <n v="530"/>
    <n v="493"/>
    <s v="SCR NOxCatalyst"/>
    <s v="F790This event documents a Non-Curtailing event for SCR Catalyst testing at full load."/>
    <s v="Trimble"/>
    <x v="1"/>
    <s v="Coal"/>
    <x v="2"/>
    <x v="4"/>
    <n v="5"/>
    <n v="4.9166666668024845"/>
    <n v="4.9166666668024845"/>
    <n v="2423.9166667336249"/>
    <n v="493"/>
    <x v="296"/>
  </r>
  <r>
    <x v="11"/>
    <x v="1"/>
    <n v="53"/>
    <n v="4260"/>
    <d v="2017-05-24T23:00:00"/>
    <d v="2017-05-25T00:03:00"/>
    <n v="450"/>
    <n v="530"/>
    <n v="493"/>
    <s v="Main stop valves"/>
    <s v="F120Planned Derate for replacement of the servo block on the #2 Main Steam Stop Valve."/>
    <s v="Trimble"/>
    <x v="0"/>
    <s v="Coal"/>
    <x v="2"/>
    <x v="4"/>
    <n v="5"/>
    <n v="1.0499999999301508"/>
    <n v="0.15849056602719258"/>
    <n v="78.135849051405941"/>
    <n v="74.415094339622641"/>
    <x v="29"/>
  </r>
  <r>
    <x v="11"/>
    <x v="0"/>
    <n v="54"/>
    <n v="280"/>
    <d v="2017-06-02T14:34:00"/>
    <d v="2017-06-02T15:15:00"/>
    <n v="375"/>
    <n v="530"/>
    <n v="493"/>
    <s v="Pulverizer fires"/>
    <s v="F780The unit was placed on a derate when the 1B Mill caught on fire. The 1F Mill was t"/>
    <s v="Trimble"/>
    <x v="0"/>
    <s v="Coal"/>
    <x v="2"/>
    <x v="4"/>
    <n v="6"/>
    <n v="0.68333333329064772"/>
    <n v="0.19984276728311395"/>
    <n v="98.522484270575177"/>
    <n v="144.17924528301887"/>
    <x v="250"/>
  </r>
  <r>
    <x v="11"/>
    <x v="4"/>
    <n v="55"/>
    <n v="1000"/>
    <d v="2017-06-09T10:09:00"/>
    <d v="2017-06-11T23:41:00"/>
    <n v="0"/>
    <n v="530"/>
    <n v="493"/>
    <s v="Waterwall (Furnace wall) A"/>
    <s v="F540The unit was placed on a Maintenance Outage for a repairs on an identified tube le"/>
    <s v="Trimble"/>
    <x v="2"/>
    <s v="Coal"/>
    <x v="2"/>
    <x v="4"/>
    <n v="6"/>
    <n v="61.533333333267365"/>
    <n v="61.533333333267365"/>
    <n v="30335.933333300811"/>
    <n v="493"/>
    <x v="296"/>
  </r>
  <r>
    <x v="11"/>
    <x v="0"/>
    <n v="56"/>
    <n v="3829"/>
    <d v="2017-06-12T10:47:00"/>
    <d v="2017-06-12T21:23:00"/>
    <n v="300"/>
    <n v="530"/>
    <n v="493"/>
    <s v="Other closed cooling water system problems A"/>
    <s v="F780The unit was placed on a Derate due to elevated Closed Cooling Water temperature. "/>
    <s v="Trimble"/>
    <x v="0"/>
    <s v="Coal"/>
    <x v="2"/>
    <x v="4"/>
    <n v="6"/>
    <n v="10.599999999976717"/>
    <n v="4.5999999999898957"/>
    <n v="2267.7999999950184"/>
    <n v="213.9433962264151"/>
    <x v="219"/>
  </r>
  <r>
    <x v="11"/>
    <x v="0"/>
    <n v="57"/>
    <n v="1475"/>
    <d v="2017-06-13T04:46:00"/>
    <d v="2017-06-13T08:45:00"/>
    <n v="275"/>
    <n v="530"/>
    <n v="493"/>
    <s v="Induced draft fan controls"/>
    <s v="F520The 1A ID Fan tripped on high Flue Gas temperature. The root cause appeared to be "/>
    <s v="Trimble"/>
    <x v="0"/>
    <s v="Coal"/>
    <x v="2"/>
    <x v="4"/>
    <n v="6"/>
    <n v="3.9833333333954215"/>
    <n v="1.9165094339921367"/>
    <n v="944.83915095812335"/>
    <n v="237.19811320754718"/>
    <x v="263"/>
  </r>
  <r>
    <x v="11"/>
    <x v="1"/>
    <n v="58"/>
    <n v="590"/>
    <d v="2017-06-17T00:00:00"/>
    <d v="2017-06-17T04:17:00"/>
    <n v="430"/>
    <n v="530"/>
    <n v="493"/>
    <s v="Desuperheater/attemperator valves"/>
    <s v="F540The unit was placed on a Planned Derate to address a leak on the B Superheat Spray"/>
    <s v="Trimble"/>
    <x v="0"/>
    <s v="Coal"/>
    <x v="2"/>
    <x v="4"/>
    <n v="6"/>
    <n v="4.2833333333255723"/>
    <n v="0.80817610062746648"/>
    <n v="398.43081760934098"/>
    <n v="93.018867924528308"/>
    <x v="129"/>
  </r>
  <r>
    <x v="11"/>
    <x v="0"/>
    <n v="59"/>
    <n v="4640"/>
    <d v="2017-06-17T01:45:00"/>
    <d v="2017-06-17T04:17:00"/>
    <n v="375"/>
    <n v="530"/>
    <n v="493"/>
    <s v="Seal oil system and seals A"/>
    <s v="F520The unit was placed on a Derate when the Generator Main Seal Oil Pumps tripped, re"/>
    <s v="Trimble"/>
    <x v="0"/>
    <s v="Coal"/>
    <x v="2"/>
    <x v="4"/>
    <n v="6"/>
    <n v="2.53333333338378"/>
    <n v="0.74088050315940734"/>
    <n v="365.25408805758781"/>
    <n v="144.17924528301887"/>
    <x v="250"/>
  </r>
  <r>
    <x v="11"/>
    <x v="1"/>
    <n v="60"/>
    <n v="590"/>
    <d v="2017-06-17T04:17:00"/>
    <d v="2017-06-17T10:42:00"/>
    <n v="375"/>
    <n v="530"/>
    <n v="493"/>
    <s v="Desuperheater/attemperator valves"/>
    <s v="F540The unit was placed on a Planned Derate to finish addressing a leak on the B Super"/>
    <s v="Trimble"/>
    <x v="0"/>
    <s v="Coal"/>
    <x v="2"/>
    <x v="4"/>
    <n v="6"/>
    <n v="6.4166666666278616"/>
    <n v="1.8765723270326764"/>
    <n v="925.1501572271095"/>
    <n v="144.17924528301887"/>
    <x v="250"/>
  </r>
  <r>
    <x v="11"/>
    <x v="4"/>
    <n v="61"/>
    <n v="1000"/>
    <d v="2017-06-25T12:09:00"/>
    <d v="2017-06-27T21:11:00"/>
    <n v="0"/>
    <n v="530"/>
    <n v="493"/>
    <s v="Waterwall (Furnace wall) A"/>
    <s v="F540Maintenance Outage for the repair of an identified waterwall tube leak."/>
    <s v="Trimble"/>
    <x v="2"/>
    <s v="Coal"/>
    <x v="2"/>
    <x v="4"/>
    <n v="6"/>
    <n v="57.033333333441988"/>
    <n v="57.033333333441988"/>
    <n v="28117.4333333869"/>
    <n v="493"/>
    <x v="296"/>
  </r>
  <r>
    <x v="11"/>
    <x v="0"/>
    <n v="62"/>
    <n v="3352"/>
    <d v="2017-06-28T05:24:00"/>
    <d v="2017-06-28T09:10:00"/>
    <n v="500"/>
    <n v="530"/>
    <n v="493"/>
    <s v="Feedwater chemistry (not specific to condenser"/>
    <s v="FA00The unit was placed on a derate for silica levels in the condensate."/>
    <s v="Trimble"/>
    <x v="0"/>
    <s v="Coal"/>
    <x v="2"/>
    <x v="4"/>
    <n v="6"/>
    <n v="3.7666666667209938"/>
    <n v="0.21320754717288645"/>
    <n v="105.11132075623303"/>
    <n v="27.90566037735849"/>
    <x v="67"/>
  </r>
  <r>
    <x v="11"/>
    <x v="0"/>
    <n v="63"/>
    <n v="3352"/>
    <d v="2017-06-28T09:10:00"/>
    <d v="2017-06-28T12:36:00"/>
    <n v="510"/>
    <n v="530"/>
    <n v="493"/>
    <s v="Feedwater chemistry (not specific to condenser"/>
    <s v="FA00The unit was placed on a derate for silica levels in the condensate."/>
    <s v="Trimble"/>
    <x v="0"/>
    <s v="Coal"/>
    <x v="2"/>
    <x v="4"/>
    <n v="6"/>
    <n v="3.4333333333488554"/>
    <n v="0.12955974842825868"/>
    <n v="63.872955975131532"/>
    <n v="18.60377358490566"/>
    <x v="54"/>
  </r>
  <r>
    <x v="11"/>
    <x v="0"/>
    <n v="64"/>
    <n v="3352"/>
    <d v="2017-06-28T12:36:00"/>
    <d v="2017-06-28T19:24:00"/>
    <n v="520"/>
    <n v="530"/>
    <n v="493"/>
    <s v="Feedwater chemistry (not specific to condenser"/>
    <s v="FA00The unit was placed on a derate for silica levels in the condensate."/>
    <s v="Trimble"/>
    <x v="0"/>
    <s v="Coal"/>
    <x v="2"/>
    <x v="4"/>
    <n v="6"/>
    <n v="6.7999999999883585"/>
    <n v="0.12830188679223317"/>
    <n v="63.252830188570954"/>
    <n v="9.3018867924528301"/>
    <x v="94"/>
  </r>
  <r>
    <x v="11"/>
    <x v="2"/>
    <n v="65"/>
    <n v="4842"/>
    <d v="2017-07-27T04:00:00"/>
    <d v="2017-07-27T06:00:00"/>
    <n v="450"/>
    <n v="530"/>
    <n v="493"/>
    <s v="Reactive and capability testing"/>
    <s v="F790The unit was placed on a Maintenance Derate for VAR testing. The unit was returned"/>
    <s v="Trimble"/>
    <x v="0"/>
    <s v="Coal"/>
    <x v="2"/>
    <x v="4"/>
    <n v="7"/>
    <n v="2.0000000000582077"/>
    <n v="0.30188679246161626"/>
    <n v="148.83018868357681"/>
    <n v="74.415094339622641"/>
    <x v="29"/>
  </r>
  <r>
    <x v="11"/>
    <x v="3"/>
    <n v="66"/>
    <n v="8700"/>
    <d v="2017-08-01T07:00:00"/>
    <d v="2017-08-01T18:28:00"/>
    <n v="0"/>
    <n v="530"/>
    <n v="493"/>
    <s v="CEMS Certification and Recertification"/>
    <s v="F790Non-curtailing event for a RATA test, an audit of the unit's CEMS monitors. The un"/>
    <s v="Trimble"/>
    <x v="1"/>
    <s v="Coal"/>
    <x v="2"/>
    <x v="4"/>
    <n v="8"/>
    <n v="11.466666666674428"/>
    <n v="11.466666666674428"/>
    <n v="5653.0666666704929"/>
    <n v="493"/>
    <x v="296"/>
  </r>
  <r>
    <x v="11"/>
    <x v="0"/>
    <n v="67"/>
    <n v="335"/>
    <d v="2017-08-03T13:09:00"/>
    <d v="2017-08-03T13:30:00"/>
    <n v="375"/>
    <n v="530"/>
    <n v="493"/>
    <s v="Pulverizer lube oil system"/>
    <s v="F570Issues with the 1D Mill lube oil filters caused the Mill to be taken out of servic"/>
    <s v="Trimble"/>
    <x v="0"/>
    <s v="Coal"/>
    <x v="2"/>
    <x v="4"/>
    <n v="8"/>
    <n v="0.34999999991850927"/>
    <n v="0.10235849054220554"/>
    <n v="50.462735837307335"/>
    <n v="144.17924528301887"/>
    <x v="250"/>
  </r>
  <r>
    <x v="11"/>
    <x v="0"/>
    <n v="68"/>
    <n v="270"/>
    <d v="2017-08-03T13:45:00"/>
    <d v="2017-08-03T14:05:00"/>
    <n v="450"/>
    <n v="530"/>
    <n v="493"/>
    <s v="Primary air duct and dampers"/>
    <s v="F130Contractor personnel inadvertently closed the 1F Mill Primary Air damper, tripping"/>
    <s v="Trimble"/>
    <x v="0"/>
    <s v="Coal"/>
    <x v="2"/>
    <x v="4"/>
    <n v="8"/>
    <n v="0.33333333337213844"/>
    <n v="5.0314465414662404E-2"/>
    <n v="24.805031449428565"/>
    <n v="74.415094339622641"/>
    <x v="29"/>
  </r>
  <r>
    <x v="11"/>
    <x v="3"/>
    <n v="69"/>
    <n v="9656"/>
    <d v="2017-08-07T06:15:00"/>
    <d v="2017-08-07T16:00:00"/>
    <n v="0"/>
    <n v="530"/>
    <n v="493"/>
    <s v="Other stack or exhaust emissions testing - fossil"/>
    <s v="F790TC1 was placed in a Non-Curtailing state for testing of SCR response to a new coal"/>
    <s v="Trimble"/>
    <x v="1"/>
    <s v="Coal"/>
    <x v="2"/>
    <x v="4"/>
    <n v="8"/>
    <n v="9.75"/>
    <n v="9.75"/>
    <n v="4806.75"/>
    <n v="493"/>
    <x v="296"/>
  </r>
  <r>
    <x v="11"/>
    <x v="3"/>
    <n v="70"/>
    <n v="9656"/>
    <d v="2017-08-08T06:00:00"/>
    <d v="2017-08-08T15:45:00"/>
    <n v="0"/>
    <n v="530"/>
    <n v="493"/>
    <s v="Other stack or exhaust emissions testing - fossil"/>
    <s v="F790TC1 was placed in a Non-Curtailing state for testing of SCR response to a new coal"/>
    <s v="Trimble"/>
    <x v="1"/>
    <s v="Coal"/>
    <x v="2"/>
    <x v="4"/>
    <n v="8"/>
    <n v="9.75"/>
    <n v="9.75"/>
    <n v="4806.75"/>
    <n v="493"/>
    <x v="296"/>
  </r>
  <r>
    <x v="11"/>
    <x v="3"/>
    <n v="71"/>
    <n v="9656"/>
    <d v="2017-08-09T06:00:00"/>
    <d v="2017-08-09T15:00:00"/>
    <n v="0"/>
    <n v="530"/>
    <n v="493"/>
    <s v="Other stack or exhaust emissions testing - fossil"/>
    <s v="F790TC1 was placed in a Non-Curtailing state for testing of SCR response to a new coal"/>
    <s v="Trimble"/>
    <x v="1"/>
    <s v="Coal"/>
    <x v="2"/>
    <x v="4"/>
    <n v="8"/>
    <n v="9"/>
    <n v="9"/>
    <n v="4437"/>
    <n v="493"/>
    <x v="296"/>
  </r>
  <r>
    <x v="11"/>
    <x v="3"/>
    <n v="72"/>
    <n v="9656"/>
    <d v="2017-08-10T06:00:00"/>
    <d v="2017-08-10T14:25:00"/>
    <n v="0"/>
    <n v="530"/>
    <n v="493"/>
    <s v="Other stack or exhaust emissions testing - fossil"/>
    <s v="F790TC1 was placed in a Non-Curtailing state for testing of SCR response to a new coal"/>
    <s v="Trimble"/>
    <x v="1"/>
    <s v="Coal"/>
    <x v="2"/>
    <x v="4"/>
    <n v="8"/>
    <n v="8.4166666666860692"/>
    <n v="8.4166666666860692"/>
    <n v="4149.4166666762321"/>
    <n v="493"/>
    <x v="296"/>
  </r>
  <r>
    <x v="11"/>
    <x v="2"/>
    <n v="73"/>
    <n v="4842"/>
    <d v="2017-08-15T05:00:00"/>
    <d v="2017-08-15T05:30:00"/>
    <n v="450"/>
    <n v="530"/>
    <n v="493"/>
    <s v="Reactive and capability testing"/>
    <s v="F790The unit was placed on a Maintenance Derate for VAR testing. The unit was returned"/>
    <s v="Trimble"/>
    <x v="0"/>
    <s v="Coal"/>
    <x v="2"/>
    <x v="4"/>
    <n v="8"/>
    <n v="0.49999999988358468"/>
    <n v="7.547169809563542E-2"/>
    <n v="37.207547161148263"/>
    <n v="74.415094339622641"/>
    <x v="29"/>
  </r>
  <r>
    <x v="11"/>
    <x v="3"/>
    <n v="74"/>
    <n v="9999"/>
    <d v="2017-08-16T08:00:00"/>
    <d v="2017-08-16T12:20:00"/>
    <n v="0"/>
    <n v="530"/>
    <n v="493"/>
    <s v="Total unit performance testing (use appropriate codes for individual component testing)"/>
    <s v="F790The unit was placed on a Non-Curtailing event during this timeframe for heat rate "/>
    <s v="Trimble"/>
    <x v="1"/>
    <s v="Coal"/>
    <x v="2"/>
    <x v="4"/>
    <n v="8"/>
    <n v="4.3333333333139308"/>
    <n v="4.3333333333139308"/>
    <n v="2136.3333333237679"/>
    <n v="493"/>
    <x v="296"/>
  </r>
  <r>
    <x v="11"/>
    <x v="3"/>
    <n v="75"/>
    <n v="9656"/>
    <d v="2017-08-22T10:00:00"/>
    <d v="2017-08-22T12:01:00"/>
    <n v="0"/>
    <n v="530"/>
    <n v="493"/>
    <s v="Other stack or exhaust emissions testing - fossil"/>
    <s v="F790The unit was placed on a Non-Curtailing event for MATS testing at full load. The u"/>
    <s v="Trimble"/>
    <x v="1"/>
    <s v="Coal"/>
    <x v="2"/>
    <x v="4"/>
    <n v="8"/>
    <n v="2.0166666667792015"/>
    <n v="2.0166666667792015"/>
    <n v="994.21666672214633"/>
    <n v="493"/>
    <x v="296"/>
  </r>
  <r>
    <x v="11"/>
    <x v="2"/>
    <n v="76"/>
    <n v="4842"/>
    <d v="2017-08-30T04:00:00"/>
    <d v="2017-08-30T05:00:00"/>
    <n v="450"/>
    <n v="530"/>
    <n v="493"/>
    <s v="Reactive and capability testing"/>
    <s v="F790The unit was placed on a Planned Derate for VAR testing. The unit was returned to "/>
    <s v="Trimble"/>
    <x v="0"/>
    <s v="Coal"/>
    <x v="2"/>
    <x v="4"/>
    <n v="8"/>
    <n v="1.0000000001164153"/>
    <n v="0.15094339624398723"/>
    <n v="74.415094348285706"/>
    <n v="74.415094339622641"/>
    <x v="29"/>
  </r>
  <r>
    <x v="11"/>
    <x v="2"/>
    <n v="78"/>
    <n v="510"/>
    <d v="2017-09-07T00:00:00"/>
    <d v="2017-09-07T01:52:00"/>
    <n v="450"/>
    <n v="530"/>
    <n v="493"/>
    <s v="Main steam relief/safety valves off superheater"/>
    <s v="F590Maintenance Derate for routine safety valve setting."/>
    <s v="Trimble"/>
    <x v="0"/>
    <s v="Coal"/>
    <x v="2"/>
    <x v="4"/>
    <n v="9"/>
    <n v="1.8666666666395031"/>
    <n v="0.281761006285208"/>
    <n v="138.90817609860756"/>
    <n v="74.415094339622641"/>
    <x v="29"/>
  </r>
  <r>
    <x v="11"/>
    <x v="0"/>
    <n v="79"/>
    <n v="280"/>
    <d v="2017-09-13T00:42:00"/>
    <d v="2017-09-13T00:57:00"/>
    <n v="400"/>
    <n v="530"/>
    <n v="493"/>
    <s v="Pulverizer fires"/>
    <s v="F780The unit was placed on an unplanned derate when the 1B Mill experienced a mill fir"/>
    <s v="Trimble"/>
    <x v="0"/>
    <s v="Coal"/>
    <x v="2"/>
    <x v="4"/>
    <n v="9"/>
    <n v="0.24999999994179234"/>
    <n v="6.1320754702703782E-2"/>
    <n v="30.231132068432963"/>
    <n v="120.9245283018868"/>
    <x v="277"/>
  </r>
  <r>
    <x v="11"/>
    <x v="2"/>
    <n v="80"/>
    <n v="9999"/>
    <d v="2017-09-18T01:00:00"/>
    <d v="2017-09-18T03:30:00"/>
    <n v="375"/>
    <n v="530"/>
    <n v="493"/>
    <s v="Total unit performance testing (use appropriate codes for individual component testing)"/>
    <s v="F790The unit was placed on a Maintenance Derate for performance testing."/>
    <s v="Trimble"/>
    <x v="0"/>
    <s v="Coal"/>
    <x v="2"/>
    <x v="4"/>
    <n v="9"/>
    <n v="2.5000000001164153"/>
    <n v="0.73113207550574411"/>
    <n v="360.44811322433185"/>
    <n v="144.17924528301887"/>
    <x v="250"/>
  </r>
  <r>
    <x v="11"/>
    <x v="2"/>
    <n v="81"/>
    <n v="9999"/>
    <d v="2017-09-18T03:30:00"/>
    <d v="2017-09-18T06:00:00"/>
    <n v="450"/>
    <n v="530"/>
    <n v="493"/>
    <s v="Total unit performance testing (use appropriate codes for individual component testing)"/>
    <s v="F790The unit was placed on a Maintenance Derate for performance testing."/>
    <s v="Trimble"/>
    <x v="0"/>
    <s v="Coal"/>
    <x v="2"/>
    <x v="4"/>
    <n v="9"/>
    <n v="2.4999999999417923"/>
    <n v="0.37735849055725168"/>
    <n v="186.03773584472509"/>
    <n v="74.415094339622641"/>
    <x v="29"/>
  </r>
  <r>
    <x v="11"/>
    <x v="6"/>
    <n v="82"/>
    <n v="4400"/>
    <d v="2017-09-24T01:45:00"/>
    <d v="2017-11-25T02:05:00"/>
    <n v="0"/>
    <n v="530"/>
    <n v="493"/>
    <s v="Major turbine overhaul (720 hrs or longer) (use for non-specific overhaul only; see page B-1)"/>
    <s v="F590Planned Outage for multiple scopes, main scope being a total turbine maintenance p"/>
    <s v="Trimble"/>
    <x v="1"/>
    <s v="Coal"/>
    <x v="2"/>
    <x v="4"/>
    <n v="9"/>
    <n v="1488.3333333333721"/>
    <n v="1488.3333333333721"/>
    <n v="733748.33333335246"/>
    <n v="493"/>
    <x v="296"/>
  </r>
  <r>
    <x v="11"/>
    <x v="6"/>
    <n v="83"/>
    <n v="4040"/>
    <d v="2017-11-25T02:05:00"/>
    <d v="2017-11-25T23:48:00"/>
    <n v="0"/>
    <n v="530"/>
    <n v="493"/>
    <s v="Bearings C"/>
    <s v="F590The unit was placed on a Planned Outage to address bearing #1 vibration issues."/>
    <s v="Trimble"/>
    <x v="1"/>
    <s v="Coal"/>
    <x v="2"/>
    <x v="4"/>
    <n v="11"/>
    <n v="21.716666666732635"/>
    <n v="21.716666666732635"/>
    <n v="10706.316666699189"/>
    <n v="493"/>
    <x v="296"/>
  </r>
  <r>
    <x v="11"/>
    <x v="4"/>
    <n v="84"/>
    <n v="4040"/>
    <d v="2017-11-26T00:13:00"/>
    <d v="2017-11-26T01:58:00"/>
    <n v="0"/>
    <n v="530"/>
    <n v="493"/>
    <s v="Bearings C"/>
    <s v="F850The LP bearing vibrations were not with-in normal limits so the unit was returned "/>
    <s v="Trimble"/>
    <x v="2"/>
    <s v="Coal"/>
    <x v="2"/>
    <x v="4"/>
    <n v="11"/>
    <n v="1.7499999999417923"/>
    <n v="1.7499999999417923"/>
    <n v="862.74999997130362"/>
    <n v="493"/>
    <x v="296"/>
  </r>
  <r>
    <x v="11"/>
    <x v="4"/>
    <n v="85"/>
    <n v="4040"/>
    <d v="2017-11-26T04:20:00"/>
    <d v="2017-11-26T14:27:00"/>
    <n v="0"/>
    <n v="530"/>
    <n v="493"/>
    <s v="Bearings C"/>
    <s v="F850The LP bearing vibrations were not with-in normal limits so the unit was returned "/>
    <s v="Trimble"/>
    <x v="2"/>
    <s v="Coal"/>
    <x v="2"/>
    <x v="4"/>
    <n v="11"/>
    <n v="10.116666666639503"/>
    <n v="10.116666666639503"/>
    <n v="4987.516666653275"/>
    <n v="493"/>
    <x v="296"/>
  </r>
  <r>
    <x v="11"/>
    <x v="0"/>
    <n v="86"/>
    <n v="1850"/>
    <d v="2017-11-27T14:33:00"/>
    <d v="2017-11-27T16:06:00"/>
    <n v="375"/>
    <n v="530"/>
    <n v="493"/>
    <s v="Boiler water condition (not feedwater water quality)"/>
    <s v="FA00The unit was placed on an Unplanned Derate due to a boiler water silica restrictio"/>
    <s v="Trimble"/>
    <x v="0"/>
    <s v="Coal"/>
    <x v="2"/>
    <x v="4"/>
    <n v="11"/>
    <n v="1.5499999999883585"/>
    <n v="0.45330188678904826"/>
    <n v="223.47783018700079"/>
    <n v="144.17924528301887"/>
    <x v="250"/>
  </r>
  <r>
    <x v="11"/>
    <x v="0"/>
    <n v="87"/>
    <n v="1850"/>
    <d v="2017-11-27T16:06:00"/>
    <d v="2017-11-28T01:22:00"/>
    <n v="392"/>
    <n v="530"/>
    <n v="493"/>
    <s v="Boiler water condition (not feedwater water quality)"/>
    <s v="FA00The unit was placed on an Unplanned Derate due to a boiler water silica restrictio"/>
    <s v="Trimble"/>
    <x v="0"/>
    <s v="Coal"/>
    <x v="2"/>
    <x v="4"/>
    <n v="11"/>
    <n v="9.2666666666627862"/>
    <n v="2.4128301886782348"/>
    <n v="1189.5252830183697"/>
    <n v="128.36603773584906"/>
    <x v="259"/>
  </r>
  <r>
    <x v="11"/>
    <x v="0"/>
    <n v="88"/>
    <n v="1850"/>
    <d v="2017-11-28T01:22:00"/>
    <d v="2017-11-28T06:00:00"/>
    <n v="430"/>
    <n v="530"/>
    <n v="493"/>
    <s v="Boiler water condition (not feedwater water quality)"/>
    <s v="FA00The unit was placed on an Unplanned Derate due to a boiler water silica restrictio"/>
    <s v="Trimble"/>
    <x v="0"/>
    <s v="Coal"/>
    <x v="2"/>
    <x v="4"/>
    <n v="11"/>
    <n v="4.6333333334187046"/>
    <n v="0.87421383649409523"/>
    <n v="430.98742139158895"/>
    <n v="93.018867924528308"/>
    <x v="129"/>
  </r>
  <r>
    <x v="11"/>
    <x v="0"/>
    <n v="89"/>
    <n v="1850"/>
    <d v="2017-11-28T06:00:00"/>
    <d v="2017-11-28T06:44:00"/>
    <n v="460"/>
    <n v="530"/>
    <n v="493"/>
    <s v="Boiler water condition (not feedwater water quality)"/>
    <s v="FA00The unit was placed on an Unplanned Derate due to a boiler water silica restrictio"/>
    <s v="Trimble"/>
    <x v="0"/>
    <s v="Coal"/>
    <x v="2"/>
    <x v="4"/>
    <n v="11"/>
    <n v="0.73333333327900618"/>
    <n v="9.6855345904774404E-2"/>
    <n v="47.749685531053778"/>
    <n v="65.113207547169807"/>
    <x v="127"/>
  </r>
  <r>
    <x v="11"/>
    <x v="0"/>
    <n v="90"/>
    <n v="256"/>
    <d v="2017-11-28T06:44:00"/>
    <d v="2017-11-28T07:46:00"/>
    <n v="375"/>
    <n v="530"/>
    <n v="493"/>
    <s v="Seal air system (air to pulverizers)"/>
    <s v="F660While the unit was on a derate due to silica restriction, the 1C Mill tripped due "/>
    <s v="Trimble"/>
    <x v="0"/>
    <s v="Coal"/>
    <x v="2"/>
    <x v="4"/>
    <n v="11"/>
    <n v="1.03333333338378"/>
    <n v="0.30220125787638846"/>
    <n v="148.9852201330595"/>
    <n v="144.17924528301887"/>
    <x v="250"/>
  </r>
  <r>
    <x v="11"/>
    <x v="0"/>
    <n v="91"/>
    <n v="1850"/>
    <d v="2017-11-28T07:46:00"/>
    <d v="2017-11-28T09:48:00"/>
    <n v="450"/>
    <n v="530"/>
    <n v="493"/>
    <s v="Boiler water condition (not feedwater water quality)"/>
    <s v="FA00The unit was placed on an Unplanned Derate due to a boiler water silica restrictio"/>
    <s v="Trimble"/>
    <x v="0"/>
    <s v="Coal"/>
    <x v="2"/>
    <x v="4"/>
    <n v="11"/>
    <n v="2.0333333333255723"/>
    <n v="0.30691823899253923"/>
    <n v="151.31069182332183"/>
    <n v="74.415094339622641"/>
    <x v="29"/>
  </r>
  <r>
    <x v="11"/>
    <x v="0"/>
    <n v="92"/>
    <n v="280"/>
    <d v="2017-11-28T09:48:00"/>
    <d v="2017-11-28T10:32:00"/>
    <n v="375"/>
    <n v="530"/>
    <n v="493"/>
    <s v="Pulverizer fires"/>
    <s v="FR00While the unit was derated due to silica restriction, the 1B Mill tripped due to h"/>
    <s v="Trimble"/>
    <x v="0"/>
    <s v="Coal"/>
    <x v="2"/>
    <x v="4"/>
    <n v="11"/>
    <n v="0.73333333327900618"/>
    <n v="0.21446540878914333"/>
    <n v="105.73144653304766"/>
    <n v="144.17924528301887"/>
    <x v="250"/>
  </r>
  <r>
    <x v="11"/>
    <x v="0"/>
    <n v="93"/>
    <n v="1850"/>
    <d v="2017-11-28T10:32:00"/>
    <d v="2017-11-28T11:46:00"/>
    <n v="446"/>
    <n v="530"/>
    <n v="493"/>
    <s v="Boiler water condition (not feedwater water quality)"/>
    <s v="FA00The unit was placed on an Unplanned Derate due to a boiler water silica restrictio"/>
    <s v="Trimble"/>
    <x v="0"/>
    <s v="Coal"/>
    <x v="2"/>
    <x v="4"/>
    <n v="11"/>
    <n v="1.2333333333372138"/>
    <n v="0.19547169811382256"/>
    <n v="96.36754717011452"/>
    <n v="78.135849056603774"/>
    <x v="53"/>
  </r>
  <r>
    <x v="11"/>
    <x v="0"/>
    <n v="94"/>
    <n v="1850"/>
    <d v="2017-11-28T11:46:00"/>
    <d v="2017-11-28T16:30:00"/>
    <n v="476"/>
    <n v="530"/>
    <n v="493"/>
    <s v="Boiler water condition (not feedwater water quality)"/>
    <s v="FA00The unit was placed on an Unplanned Derate due to a boiler water silica restrictio"/>
    <s v="Trimble"/>
    <x v="0"/>
    <s v="Coal"/>
    <x v="2"/>
    <x v="4"/>
    <n v="11"/>
    <n v="4.7333333333954215"/>
    <n v="0.48226415094972219"/>
    <n v="237.75622641821303"/>
    <n v="50.230188679245281"/>
    <x v="33"/>
  </r>
  <r>
    <x v="11"/>
    <x v="0"/>
    <n v="95"/>
    <n v="3310"/>
    <d v="2017-11-28T16:30:00"/>
    <d v="2017-11-28T17:12:00"/>
    <n v="275"/>
    <n v="530"/>
    <n v="493"/>
    <s v="Condensate/hotwell pumps"/>
    <s v="F120While the unit was derated due to a silica restriction, the hotwell pump screens w"/>
    <s v="Trimble"/>
    <x v="0"/>
    <s v="Coal"/>
    <x v="2"/>
    <x v="4"/>
    <n v="11"/>
    <n v="0.70000000001164153"/>
    <n v="0.33679245283578979"/>
    <n v="166.03867924804436"/>
    <n v="237.19811320754718"/>
    <x v="263"/>
  </r>
  <r>
    <x v="11"/>
    <x v="0"/>
    <n v="96"/>
    <n v="3310"/>
    <d v="2017-11-28T17:12:00"/>
    <d v="2017-11-28T18:00:00"/>
    <n v="250"/>
    <n v="530"/>
    <n v="493"/>
    <s v="Condensate/hotwell pumps"/>
    <s v="F120While the unit was derated due to a silica restriction, the hotwell pump screens w"/>
    <s v="Trimble"/>
    <x v="0"/>
    <s v="Coal"/>
    <x v="2"/>
    <x v="4"/>
    <n v="11"/>
    <n v="0.79999999998835847"/>
    <n v="0.42264150942781203"/>
    <n v="208.36226414791133"/>
    <n v="260.45283018867923"/>
    <x v="290"/>
  </r>
  <r>
    <x v="11"/>
    <x v="5"/>
    <n v="97"/>
    <n v="3344"/>
    <d v="2017-11-28T18:00:00"/>
    <d v="2017-11-28T19:58:00"/>
    <n v="0"/>
    <n v="530"/>
    <n v="493"/>
    <s v="Deaerator (including level control)"/>
    <s v="F660The unit was placed on an Unplanned Outage due to low tank level in the deaerator."/>
    <s v="Trimble"/>
    <x v="3"/>
    <s v="Coal"/>
    <x v="2"/>
    <x v="4"/>
    <n v="11"/>
    <n v="1.96666666661622"/>
    <n v="1.96666666661622"/>
    <n v="969.56666664179647"/>
    <n v="493"/>
    <x v="296"/>
  </r>
  <r>
    <x v="11"/>
    <x v="0"/>
    <n v="98"/>
    <n v="1850"/>
    <d v="2017-11-28T19:59:00"/>
    <d v="2017-11-28T21:06:00"/>
    <n v="476"/>
    <n v="530"/>
    <n v="493"/>
    <s v="Boiler water condition (not feedwater water quality)"/>
    <s v="FA00The unit was placed on an Unplanned Derate due to a boiler water silica restrictio"/>
    <s v="Trimble"/>
    <x v="0"/>
    <s v="Coal"/>
    <x v="2"/>
    <x v="4"/>
    <n v="11"/>
    <n v="1.1166666666395031"/>
    <n v="0.11377358490289277"/>
    <n v="56.090377357126137"/>
    <n v="50.230188679245281"/>
    <x v="33"/>
  </r>
  <r>
    <x v="11"/>
    <x v="10"/>
    <n v="99"/>
    <n v="4040"/>
    <d v="2017-11-28T21:06:00"/>
    <d v="2017-11-30T07:47:00"/>
    <n v="0"/>
    <n v="530"/>
    <n v="493"/>
    <s v="Bearings C"/>
    <s v="F850The LP bearing vibrations were not with-in normal limits so the unit was returned "/>
    <s v="Trimble"/>
    <x v="3"/>
    <s v="Coal"/>
    <x v="2"/>
    <x v="4"/>
    <n v="11"/>
    <n v="34.683333333407063"/>
    <n v="34.683333333407063"/>
    <n v="17098.883333369682"/>
    <n v="493"/>
    <x v="296"/>
  </r>
  <r>
    <x v="11"/>
    <x v="10"/>
    <n v="100"/>
    <n v="4260"/>
    <d v="2017-11-30T18:04:00"/>
    <d v="2017-12-02T22:23:00"/>
    <n v="0"/>
    <n v="530"/>
    <n v="493"/>
    <s v="Main stop valves"/>
    <s v="F660The unit was taken offline to address high differential pressure across the screen"/>
    <s v="Trimble"/>
    <x v="3"/>
    <s v="Coal"/>
    <x v="2"/>
    <x v="4"/>
    <n v="11"/>
    <n v="52.316666666592937"/>
    <n v="52.316666666592937"/>
    <n v="25792.116666630318"/>
    <n v="493"/>
    <x v="296"/>
  </r>
  <r>
    <x v="11"/>
    <x v="5"/>
    <n v="101"/>
    <n v="710"/>
    <d v="2017-12-02T22:23:00"/>
    <d v="2017-12-03T19:57:00"/>
    <n v="0"/>
    <n v="530"/>
    <n v="493"/>
    <s v="Blowdown system piping B"/>
    <s v="F540The unit was placed on an Unplanned Outage after the main header for the blowdown "/>
    <s v="Trimble"/>
    <x v="3"/>
    <s v="Coal"/>
    <x v="2"/>
    <x v="4"/>
    <n v="12"/>
    <n v="21.56666666676756"/>
    <n v="21.56666666676756"/>
    <n v="10632.366666716407"/>
    <n v="493"/>
    <x v="296"/>
  </r>
  <r>
    <x v="11"/>
    <x v="0"/>
    <n v="102"/>
    <n v="4551"/>
    <d v="2017-12-12T06:54:00"/>
    <d v="2017-12-12T07:47:00"/>
    <n v="500"/>
    <n v="530"/>
    <n v="493"/>
    <s v="Generator bearings"/>
    <s v="F850The unit was placed on an Immediate Derate due to elevated vibration levels in Bea"/>
    <s v="Trimble"/>
    <x v="0"/>
    <s v="Coal"/>
    <x v="2"/>
    <x v="4"/>
    <n v="12"/>
    <n v="0.88333333341870457"/>
    <n v="5.0000000004832332E-2"/>
    <n v="24.650000002382338"/>
    <n v="27.90566037735849"/>
    <x v="67"/>
  </r>
  <r>
    <x v="11"/>
    <x v="0"/>
    <n v="103"/>
    <n v="3415"/>
    <d v="2017-12-12T18:37:00"/>
    <d v="2017-12-12T19:34:00"/>
    <n v="415"/>
    <n v="530"/>
    <n v="493"/>
    <s v="Feedwater pump/drive lube oil system"/>
    <s v="F660The unit was placed on an Immediate Dreate when the MDBFP lube oil filter was swap"/>
    <s v="Trimble"/>
    <x v="0"/>
    <s v="Coal"/>
    <x v="2"/>
    <x v="4"/>
    <n v="12"/>
    <n v="0.95000000012805685"/>
    <n v="0.20613207549948404"/>
    <n v="101.62311322124563"/>
    <n v="106.97169811320755"/>
    <x v="4"/>
  </r>
  <r>
    <x v="11"/>
    <x v="3"/>
    <n v="104"/>
    <n v="8700"/>
    <d v="2017-12-14T08:00:00"/>
    <d v="2017-12-14T17:50:00"/>
    <n v="0"/>
    <n v="530"/>
    <n v="493"/>
    <s v="CEMS Certification and Recertification"/>
    <s v="F790Non-curtailing event for a RATA test, an audit of the unit's CEMS monitors. The un"/>
    <s v="Trimble"/>
    <x v="1"/>
    <s v="Coal"/>
    <x v="2"/>
    <x v="4"/>
    <n v="12"/>
    <n v="9.8333333332557231"/>
    <n v="9.8333333332557231"/>
    <n v="4847.8333332950715"/>
    <n v="493"/>
    <x v="296"/>
  </r>
  <r>
    <x v="11"/>
    <x v="3"/>
    <n v="105"/>
    <n v="9656"/>
    <d v="2017-12-15T09:30:00"/>
    <d v="2017-12-15T12:00:00"/>
    <n v="0"/>
    <n v="530"/>
    <n v="493"/>
    <s v="Other stack or exhaust emissions testing - fossil"/>
    <s v="F790The unit was placed on a Non-Curtailing state for MATS testing at full load. The u"/>
    <s v="Trimble"/>
    <x v="1"/>
    <s v="Coal"/>
    <x v="2"/>
    <x v="4"/>
    <n v="12"/>
    <n v="2.4999999999417923"/>
    <n v="2.4999999999417923"/>
    <n v="1232.4999999713036"/>
    <n v="493"/>
    <x v="296"/>
  </r>
  <r>
    <x v="11"/>
    <x v="3"/>
    <n v="106"/>
    <n v="8700"/>
    <d v="2017-12-15T12:40:00"/>
    <d v="2017-12-15T14:04:00"/>
    <n v="0"/>
    <n v="530"/>
    <n v="493"/>
    <s v="CEMS Certification and Recertification"/>
    <s v="F790Non-curtailing event for a RATA test, an audit of the unit's CEMS monitors. The un"/>
    <s v="Trimble"/>
    <x v="1"/>
    <s v="Coal"/>
    <x v="2"/>
    <x v="4"/>
    <n v="12"/>
    <n v="1.3999999998486601"/>
    <n v="1.3999999998486601"/>
    <n v="690.19999992538942"/>
    <n v="493"/>
    <x v="296"/>
  </r>
  <r>
    <x v="11"/>
    <x v="0"/>
    <n v="107"/>
    <n v="3661"/>
    <d v="2017-12-17T18:16:00"/>
    <d v="2017-12-17T19:08:00"/>
    <n v="450"/>
    <n v="530"/>
    <n v="493"/>
    <s v="4160-volt circuit breakers"/>
    <s v="F820The unit was placed on an Immediate Derate when a Feeder Breaker was tripped when "/>
    <s v="Trimble"/>
    <x v="0"/>
    <s v="Coal"/>
    <x v="2"/>
    <x v="4"/>
    <n v="12"/>
    <n v="0.86666666669771075"/>
    <n v="0.13081761006757897"/>
    <n v="64.493081763316439"/>
    <n v="74.415094339622641"/>
    <x v="29"/>
  </r>
  <r>
    <x v="11"/>
    <x v="3"/>
    <n v="108"/>
    <n v="8812"/>
    <d v="2017-12-19T07:00:00"/>
    <d v="2017-12-19T17:20:00"/>
    <n v="0"/>
    <n v="530"/>
    <n v="493"/>
    <s v="SCR NOxCatalyst"/>
    <s v="F790This event documents a Non-Curtailing event for SCR Catalyst testing at full load."/>
    <s v="Trimble"/>
    <x v="1"/>
    <s v="Coal"/>
    <x v="2"/>
    <x v="4"/>
    <n v="12"/>
    <n v="10.333333333313931"/>
    <n v="10.333333333313931"/>
    <n v="5094.3333333237679"/>
    <n v="493"/>
    <x v="296"/>
  </r>
  <r>
    <x v="11"/>
    <x v="3"/>
    <n v="109"/>
    <n v="8812"/>
    <d v="2017-12-20T07:15:00"/>
    <d v="2017-12-20T16:33:00"/>
    <n v="0"/>
    <n v="530"/>
    <n v="493"/>
    <s v="SCR NOxCatalyst"/>
    <s v="F790This event documents a Non-Curtailing event for SCR Catalyst testing at full load."/>
    <s v="Trimble"/>
    <x v="1"/>
    <s v="Coal"/>
    <x v="2"/>
    <x v="4"/>
    <n v="12"/>
    <n v="9.2999999999301508"/>
    <n v="9.2999999999301508"/>
    <n v="4584.8999999655643"/>
    <n v="493"/>
    <x v="296"/>
  </r>
  <r>
    <x v="11"/>
    <x v="3"/>
    <n v="110"/>
    <n v="8812"/>
    <d v="2017-12-21T07:00:00"/>
    <d v="2017-12-21T10:36:00"/>
    <n v="0"/>
    <n v="530"/>
    <n v="493"/>
    <s v="SCR NOxCatalyst"/>
    <s v="F790This event documents a Non-Curtailing event for SCR Catalyst testing at full load."/>
    <s v="Trimble"/>
    <x v="1"/>
    <s v="Coal"/>
    <x v="2"/>
    <x v="4"/>
    <n v="12"/>
    <n v="3.6000000000349246"/>
    <n v="3.6000000000349246"/>
    <n v="1774.8000000172178"/>
    <n v="493"/>
    <x v="296"/>
  </r>
  <r>
    <x v="11"/>
    <x v="0"/>
    <n v="1"/>
    <n v="897"/>
    <d v="2018-01-02T04:05:00"/>
    <d v="2018-01-02T11:00:00"/>
    <n v="400"/>
    <n v="530"/>
    <n v="493"/>
    <s v="Bottom ash rotary (drag chain type) conveyor and motor"/>
    <s v="F720The unit was placed on a Derate when the submerged scraper conveyor secondary chai"/>
    <s v="Trimble"/>
    <x v="0"/>
    <s v="Coal"/>
    <x v="2"/>
    <x v="5"/>
    <n v="1"/>
    <n v="6.9166666666860692"/>
    <n v="1.6965408805079039"/>
    <n v="836.39465409039656"/>
    <n v="120.9245283018868"/>
    <x v="277"/>
  </r>
  <r>
    <x v="11"/>
    <x v="0"/>
    <n v="2"/>
    <n v="897"/>
    <d v="2018-01-02T11:00:00"/>
    <d v="2018-01-02T16:45:00"/>
    <n v="360"/>
    <n v="530"/>
    <n v="493"/>
    <s v="Bottom ash rotary (drag chain type) conveyor and motor"/>
    <s v="F720The unit was placed on a Derate when the submerged scraper conveyor secondary chai"/>
    <s v="Trimble"/>
    <x v="0"/>
    <s v="Coal"/>
    <x v="2"/>
    <x v="5"/>
    <n v="1"/>
    <n v="5.7499999998835847"/>
    <n v="1.8443396226041686"/>
    <n v="909.25943394385513"/>
    <n v="158.1320754716981"/>
    <x v="37"/>
  </r>
  <r>
    <x v="11"/>
    <x v="4"/>
    <n v="3"/>
    <n v="4551"/>
    <d v="2018-01-20T01:21:00"/>
    <d v="2018-01-22T12:31:00"/>
    <n v="0"/>
    <n v="530"/>
    <n v="493"/>
    <s v="Generator bearings"/>
    <s v="FV00The unit was placed on a Maintenance Outage to correct bearing vibrations in the T"/>
    <s v="Trimble"/>
    <x v="2"/>
    <s v="Coal"/>
    <x v="2"/>
    <x v="5"/>
    <n v="1"/>
    <n v="59.166666666569654"/>
    <n v="59.166666666569654"/>
    <n v="29169.166666618839"/>
    <n v="493"/>
    <x v="296"/>
  </r>
  <r>
    <x v="11"/>
    <x v="0"/>
    <n v="4"/>
    <n v="4610"/>
    <d v="2018-01-31T07:30:00"/>
    <d v="2018-01-31T14:32:00"/>
    <n v="500"/>
    <n v="530"/>
    <n v="493"/>
    <s v="Hydrogen cooling system piping and valves"/>
    <s v="F590The unit was placed on an unplanned derate for maintenance on the stator cooling s"/>
    <s v="Trimble"/>
    <x v="0"/>
    <s v="Coal"/>
    <x v="2"/>
    <x v="5"/>
    <n v="1"/>
    <n v="7.03333333338378"/>
    <n v="0.39811320755002527"/>
    <n v="196.26981132216247"/>
    <n v="27.90566037735849"/>
    <x v="67"/>
  </r>
  <r>
    <x v="11"/>
    <x v="1"/>
    <n v="5"/>
    <n v="9999"/>
    <d v="2018-01-31T21:00:00"/>
    <d v="2018-01-31T22:03:00"/>
    <n v="200"/>
    <n v="530"/>
    <n v="493"/>
    <s v="Total unit performance testing (use appropriate codes for individual component testing)"/>
    <s v="F790The unit was placed on a planned derate for Incremental Heat Rate Testing."/>
    <s v="Trimble"/>
    <x v="0"/>
    <s v="Coal"/>
    <x v="2"/>
    <x v="5"/>
    <n v="1"/>
    <n v="1.0499999999301508"/>
    <n v="0.65377358486216941"/>
    <n v="322.31037733704954"/>
    <n v="306.96226415094338"/>
    <x v="301"/>
  </r>
  <r>
    <x v="11"/>
    <x v="5"/>
    <n v="6"/>
    <n v="4470"/>
    <d v="2018-01-31T22:03:00"/>
    <d v="2018-02-01T05:08:00"/>
    <n v="0"/>
    <n v="530"/>
    <n v="493"/>
    <s v="Differential expansion"/>
    <s v="F780As the unit was coming down for the Incremental Heat Rate test, the differential e"/>
    <s v="Trimble"/>
    <x v="3"/>
    <s v="Coal"/>
    <x v="2"/>
    <x v="5"/>
    <n v="1"/>
    <n v="7.0833333333721384"/>
    <n v="7.0833333333721384"/>
    <n v="3492.0833333524643"/>
    <n v="493"/>
    <x v="296"/>
  </r>
  <r>
    <x v="11"/>
    <x v="4"/>
    <n v="7"/>
    <n v="4610"/>
    <d v="2018-02-03T12:10:00"/>
    <d v="2018-02-03T21:56:00"/>
    <n v="0"/>
    <n v="530"/>
    <n v="493"/>
    <s v="Hydrogen cooling system piping and valves"/>
    <s v="F590The unit was placed on a Maintenance Outage for repairs to the stator cooling line"/>
    <s v="Trimble"/>
    <x v="2"/>
    <s v="Coal"/>
    <x v="2"/>
    <x v="5"/>
    <n v="2"/>
    <n v="9.7666666667209938"/>
    <n v="9.7666666667209938"/>
    <n v="4814.96666669345"/>
    <n v="493"/>
    <x v="296"/>
  </r>
  <r>
    <x v="11"/>
    <x v="3"/>
    <n v="8"/>
    <n v="9999"/>
    <d v="2018-02-07T07:00:00"/>
    <d v="2018-02-07T12:08:00"/>
    <n v="0"/>
    <n v="530"/>
    <n v="493"/>
    <s v="Total unit performance testing (use appropriate codes for individual component testing)"/>
    <s v="F790The unit underwent Heat Rate Testing on a Non-Curtailing basis."/>
    <s v="Trimble"/>
    <x v="1"/>
    <s v="Coal"/>
    <x v="2"/>
    <x v="5"/>
    <n v="2"/>
    <n v="5.1333333334769122"/>
    <n v="5.1333333334769122"/>
    <n v="2530.7333334041177"/>
    <n v="493"/>
    <x v="296"/>
  </r>
  <r>
    <x v="11"/>
    <x v="1"/>
    <n v="9"/>
    <n v="9999"/>
    <d v="2018-02-15T17:00:00"/>
    <d v="2018-02-15T20:00:00"/>
    <n v="450"/>
    <n v="530"/>
    <n v="493"/>
    <s v="Total unit performance testing (use appropriate codes for individual component testing)"/>
    <s v="F790The unit was placed on a Planned Derate for Incremental Heat Rate testing."/>
    <s v="Trimble"/>
    <x v="0"/>
    <s v="Coal"/>
    <x v="2"/>
    <x v="5"/>
    <n v="2"/>
    <n v="3"/>
    <n v="0.45283018867924529"/>
    <n v="223.24528301886792"/>
    <n v="74.415094339622641"/>
    <x v="29"/>
  </r>
  <r>
    <x v="11"/>
    <x v="1"/>
    <n v="10"/>
    <n v="9999"/>
    <d v="2018-02-15T20:00:00"/>
    <d v="2018-02-16T00:59:00"/>
    <n v="350"/>
    <n v="530"/>
    <n v="493"/>
    <s v="Total unit performance testing (use appropriate codes for individual component testing)"/>
    <s v="F790The unit was placed on a Planned Derate for Incremental Heat Rate testing."/>
    <s v="Trimble"/>
    <x v="0"/>
    <s v="Coal"/>
    <x v="2"/>
    <x v="5"/>
    <n v="2"/>
    <n v="4.9833333333372138"/>
    <n v="1.6924528301899973"/>
    <n v="834.37924528366864"/>
    <n v="167.43396226415095"/>
    <x v="27"/>
  </r>
  <r>
    <x v="11"/>
    <x v="4"/>
    <n v="11"/>
    <n v="4551"/>
    <d v="2018-02-16T00:59:00"/>
    <d v="2018-02-19T02:36:00"/>
    <n v="0"/>
    <n v="530"/>
    <n v="493"/>
    <s v="Generator bearings"/>
    <s v="FV00The unit was placed on a Maintenance Outage to correct bearing vibrations in the T"/>
    <s v="Trimble"/>
    <x v="2"/>
    <s v="Coal"/>
    <x v="2"/>
    <x v="5"/>
    <n v="2"/>
    <n v="73.616666666523088"/>
    <n v="73.616666666523088"/>
    <n v="36293.016666595882"/>
    <n v="493"/>
    <x v="296"/>
  </r>
  <r>
    <x v="11"/>
    <x v="0"/>
    <n v="12"/>
    <n v="250"/>
    <d v="2018-02-24T17:38:00"/>
    <d v="2018-02-25T01:45:00"/>
    <n v="450"/>
    <n v="530"/>
    <n v="493"/>
    <s v="Pulverizer feeders"/>
    <s v="FW00Wet coal caused an issue with pluggage on the 1F Coal Feeder."/>
    <s v="Trimble"/>
    <x v="0"/>
    <s v="Coal"/>
    <x v="2"/>
    <x v="5"/>
    <n v="2"/>
    <n v="8.1166666665812954"/>
    <n v="1.2251572326915163"/>
    <n v="604.00251571691751"/>
    <n v="74.415094339622641"/>
    <x v="29"/>
  </r>
  <r>
    <x v="11"/>
    <x v="0"/>
    <n v="13"/>
    <n v="250"/>
    <d v="2018-02-26T04:36:00"/>
    <d v="2018-02-26T05:20:00"/>
    <n v="400"/>
    <n v="530"/>
    <n v="493"/>
    <s v="Pulverizer feeders"/>
    <s v="FW00Wet coal created an issue where mills are rotated in operation to allow for cleani"/>
    <s v="Trimble"/>
    <x v="0"/>
    <s v="Coal"/>
    <x v="2"/>
    <x v="5"/>
    <n v="2"/>
    <n v="0.73333333327900618"/>
    <n v="0.17987421382315247"/>
    <n v="88.677987414814169"/>
    <n v="120.9245283018868"/>
    <x v="277"/>
  </r>
  <r>
    <x v="11"/>
    <x v="0"/>
    <n v="14"/>
    <n v="310"/>
    <d v="2018-02-27T04:29:00"/>
    <d v="2018-02-27T05:42:00"/>
    <n v="375"/>
    <n v="530"/>
    <n v="493"/>
    <s v="Pulverizer mills"/>
    <s v="FW00Wet coal created an issue with the 1A Mill, and was taken out of service, causing "/>
    <s v="Trimble"/>
    <x v="0"/>
    <s v="Coal"/>
    <x v="2"/>
    <x v="5"/>
    <n v="2"/>
    <n v="1.216666666790843"/>
    <n v="0.35581761009920881"/>
    <n v="175.41808177890994"/>
    <n v="144.17924528301887"/>
    <x v="250"/>
  </r>
  <r>
    <x v="11"/>
    <x v="0"/>
    <n v="15"/>
    <n v="310"/>
    <d v="2018-02-27T05:42:00"/>
    <d v="2018-02-27T07:29:00"/>
    <n v="450"/>
    <n v="530"/>
    <n v="493"/>
    <s v="Pulverizer mills"/>
    <s v="FW00Wet coal created an issue with the 1A Mill, and was taken out of service, causing "/>
    <s v="Trimble"/>
    <x v="0"/>
    <s v="Coal"/>
    <x v="2"/>
    <x v="5"/>
    <n v="2"/>
    <n v="1.783333333209157"/>
    <n v="0.2691823899183633"/>
    <n v="132.70691822975311"/>
    <n v="74.415094339622641"/>
    <x v="29"/>
  </r>
  <r>
    <x v="11"/>
    <x v="0"/>
    <n v="16"/>
    <n v="310"/>
    <d v="2018-02-28T14:56:00"/>
    <d v="2018-02-28T15:49:00"/>
    <n v="400"/>
    <n v="530"/>
    <n v="493"/>
    <s v="Pulverizer mills"/>
    <s v="FW00Wet coal created airflow problems in the 1A Coal Mill, causing a derate."/>
    <s v="Trimble"/>
    <x v="0"/>
    <s v="Coal"/>
    <x v="2"/>
    <x v="5"/>
    <n v="2"/>
    <n v="0.88333333341870457"/>
    <n v="0.21666666668760678"/>
    <n v="106.81666667699014"/>
    <n v="120.9245283018868"/>
    <x v="277"/>
  </r>
  <r>
    <x v="11"/>
    <x v="5"/>
    <n v="17"/>
    <n v="1400"/>
    <d v="2018-03-07T03:01:00"/>
    <d v="2018-03-07T15:03:00"/>
    <n v="0"/>
    <n v="530"/>
    <n v="493"/>
    <s v="Forced draft fans"/>
    <s v="F660TC1 tripped on furnace pressure after a clinker caused boiler to pressurize."/>
    <s v="Trimble"/>
    <x v="3"/>
    <s v="Coal"/>
    <x v="2"/>
    <x v="5"/>
    <n v="3"/>
    <n v="12.033333333267365"/>
    <n v="12.033333333267365"/>
    <n v="5932.4333333008108"/>
    <n v="493"/>
    <x v="296"/>
  </r>
  <r>
    <x v="11"/>
    <x v="0"/>
    <n v="18"/>
    <n v="330"/>
    <d v="2018-03-10T21:30:00"/>
    <d v="2018-03-10T22:00:00"/>
    <n v="375"/>
    <n v="530"/>
    <n v="493"/>
    <s v="Pulverizer coal leak (pulverizers only)"/>
    <s v="F540The unit was placed on a derate due to a leak on the 1A Coal Mill."/>
    <s v="Trimble"/>
    <x v="0"/>
    <s v="Coal"/>
    <x v="2"/>
    <x v="5"/>
    <n v="3"/>
    <n v="0.49999999988358468"/>
    <n v="0.14622641506029363"/>
    <n v="72.089622624724754"/>
    <n v="144.17924528301887"/>
    <x v="250"/>
  </r>
  <r>
    <x v="11"/>
    <x v="0"/>
    <n v="19"/>
    <n v="280"/>
    <d v="2018-03-31T04:09:00"/>
    <d v="2018-03-31T04:34:00"/>
    <n v="375"/>
    <n v="530"/>
    <n v="493"/>
    <s v="Pulverizer fires"/>
    <s v="FR00The unit was placed on an Immediate Derate when the 1D Mill caught fire and the 1A"/>
    <s v="Trimble"/>
    <x v="0"/>
    <s v="Coal"/>
    <x v="2"/>
    <x v="5"/>
    <n v="3"/>
    <n v="0.41666666662786156"/>
    <n v="0.12185534590060103"/>
    <n v="60.074685528996305"/>
    <n v="144.17924528301887"/>
    <x v="250"/>
  </r>
  <r>
    <x v="11"/>
    <x v="0"/>
    <n v="20"/>
    <n v="280"/>
    <d v="2018-03-31T04:57:00"/>
    <d v="2018-03-31T07:17:00"/>
    <n v="375"/>
    <n v="530"/>
    <n v="493"/>
    <s v="Pulverizer fires"/>
    <s v="FR00The unit was placed on an Immediate Derate when the 1D Mill caught fire and the 1A"/>
    <s v="Trimble"/>
    <x v="0"/>
    <s v="Coal"/>
    <x v="2"/>
    <x v="5"/>
    <n v="3"/>
    <n v="2.3333333332557231"/>
    <n v="0.68238993708422091"/>
    <n v="336.4182389825209"/>
    <n v="144.17924528301887"/>
    <x v="250"/>
  </r>
  <r>
    <x v="11"/>
    <x v="0"/>
    <n v="21"/>
    <n v="331"/>
    <d v="2018-04-29T23:02:00"/>
    <d v="2018-04-29T23:53:00"/>
    <n v="380"/>
    <n v="530"/>
    <n v="493"/>
    <s v="Pulverizer system coal leaks (other than pulverizers"/>
    <s v="F540The unit was placed on an Unplanned Derate due to a coal conduit leak on the 1D Mi"/>
    <s v="Trimble"/>
    <x v="0"/>
    <s v="Coal"/>
    <x v="2"/>
    <x v="5"/>
    <n v="4"/>
    <n v="0.84999999997671694"/>
    <n v="0.2405660377292595"/>
    <n v="118.59905660052493"/>
    <n v="139.52830188679246"/>
    <x v="135"/>
  </r>
  <r>
    <x v="12"/>
    <x v="5"/>
    <n v="1"/>
    <n v="4240"/>
    <d v="2013-01-01T00:00:00"/>
    <d v="2013-01-07T18:06:00"/>
    <n v="0"/>
    <n v="795"/>
    <n v="747"/>
    <s v="Bearings E"/>
    <s v="F780The # 7 and 8 LP Turbine bearings failed just after the unit returned from planned"/>
    <s v="Trimble"/>
    <x v="3"/>
    <s v="Coal"/>
    <x v="2"/>
    <x v="0"/>
    <n v="1"/>
    <n v="162.09999999997672"/>
    <n v="162.09999999997672"/>
    <n v="121088.69999998261"/>
    <n v="747"/>
    <x v="302"/>
  </r>
  <r>
    <x v="12"/>
    <x v="3"/>
    <n v="2"/>
    <n v="338"/>
    <d v="2013-01-07T18:06:00"/>
    <d v="2013-01-08T03:30:00"/>
    <n v="0"/>
    <n v="795"/>
    <n v="747"/>
    <s v="Pulverizer control systems (temperature and pressure)"/>
    <s v="F780The unit is on line and ramping up. The mills are not with-in temp. limits so we a"/>
    <s v="Trimble"/>
    <x v="1"/>
    <s v="Coal"/>
    <x v="2"/>
    <x v="0"/>
    <n v="1"/>
    <n v="9.4000000000814907"/>
    <n v="9.4000000000814907"/>
    <n v="7021.8000000608736"/>
    <n v="747"/>
    <x v="302"/>
  </r>
  <r>
    <x v="12"/>
    <x v="0"/>
    <n v="3"/>
    <n v="338"/>
    <d v="2013-01-08T03:30:00"/>
    <d v="2013-01-08T15:15:00"/>
    <n v="660"/>
    <n v="795"/>
    <n v="747"/>
    <s v="Pulverizer control systems (temperature and pressure)"/>
    <s v="F780The &quot;2C&quot; and &quot;2F&quot; Mills would not start due to temp. limits and limit switch issue"/>
    <s v="Trimble"/>
    <x v="0"/>
    <s v="Coal"/>
    <x v="2"/>
    <x v="0"/>
    <n v="1"/>
    <n v="11.749999999883585"/>
    <n v="1.9952830188481558"/>
    <n v="1490.4764150795725"/>
    <n v="126.84905660377359"/>
    <x v="49"/>
  </r>
  <r>
    <x v="12"/>
    <x v="0"/>
    <n v="4"/>
    <n v="338"/>
    <d v="2013-01-08T15:15:00"/>
    <d v="2013-01-08T17:00:00"/>
    <n v="785"/>
    <n v="795"/>
    <n v="747"/>
    <s v="Pulverizer control systems (temperature and pressure)"/>
    <s v="F780The &quot;2C&quot; Mill would not start due to temp. limits and limit switch issues. I/E and"/>
    <s v="Trimble"/>
    <x v="0"/>
    <s v="Coal"/>
    <x v="2"/>
    <x v="0"/>
    <n v="1"/>
    <n v="1.7500000001164153"/>
    <n v="2.2012578617816546E-2"/>
    <n v="16.443396227508959"/>
    <n v="9.3962264150943398"/>
    <x v="94"/>
  </r>
  <r>
    <x v="12"/>
    <x v="0"/>
    <n v="5"/>
    <n v="9610"/>
    <d v="2013-01-08T19:15:00"/>
    <d v="2013-01-08T22:25:00"/>
    <n v="449"/>
    <n v="795"/>
    <n v="747"/>
    <s v="NOx stack emissions (fossil)"/>
    <s v="FE00The ammonia system for the unit was not controlling and the load had to be reduced"/>
    <s v="Trimble"/>
    <x v="0"/>
    <s v="Coal"/>
    <x v="2"/>
    <x v="0"/>
    <n v="1"/>
    <n v="3.1666666666860692"/>
    <n v="1.3781970649979622"/>
    <n v="1029.5132075534777"/>
    <n v="325.10943396226418"/>
    <x v="70"/>
  </r>
  <r>
    <x v="12"/>
    <x v="0"/>
    <n v="6"/>
    <n v="9610"/>
    <d v="2013-01-08T22:25:00"/>
    <d v="2013-01-09T03:50:00"/>
    <n v="619"/>
    <n v="795"/>
    <n v="747"/>
    <s v="NOx stack emissions (fossil)"/>
    <s v="FE00The ammonia system for the unit was not controlling and the load had to be reduced"/>
    <s v="Trimble"/>
    <x v="0"/>
    <s v="Coal"/>
    <x v="2"/>
    <x v="0"/>
    <n v="1"/>
    <n v="5.4166666665114462"/>
    <n v="1.1991614255421565"/>
    <n v="895.77358487999095"/>
    <n v="165.37358490566038"/>
    <x v="112"/>
  </r>
  <r>
    <x v="12"/>
    <x v="0"/>
    <n v="7"/>
    <n v="4099"/>
    <d v="2013-01-09T04:00:00"/>
    <d v="2013-01-09T09:00:00"/>
    <n v="794"/>
    <n v="795"/>
    <n v="747"/>
    <s v="Other high pressure turbine problems"/>
    <s v="F800The Turbine OEM limit on steam flow was at the max allowable for the unit so load "/>
    <s v="Trimble"/>
    <x v="0"/>
    <s v="Coal"/>
    <x v="2"/>
    <x v="0"/>
    <n v="1"/>
    <n v="5.0000000000582077"/>
    <n v="6.2893081761738459E-3"/>
    <n v="4.698113207601863"/>
    <n v="0.93962264150943398"/>
    <x v="276"/>
  </r>
  <r>
    <x v="12"/>
    <x v="1"/>
    <n v="8"/>
    <n v="360"/>
    <d v="2013-01-09T09:00:00"/>
    <d v="2013-01-09T14:30:00"/>
    <n v="390"/>
    <n v="795"/>
    <n v="747"/>
    <s v="Burners"/>
    <s v="F790This planned de-rate was to allow testing on the &quot;2F&quot; burners by Doosan and Bechte"/>
    <s v="Trimble"/>
    <x v="0"/>
    <s v="Coal"/>
    <x v="2"/>
    <x v="0"/>
    <n v="1"/>
    <n v="5.4999999999417923"/>
    <n v="2.8018867924231774"/>
    <n v="2093.0094339401135"/>
    <n v="380.54716981132077"/>
    <x v="303"/>
  </r>
  <r>
    <x v="12"/>
    <x v="1"/>
    <n v="9"/>
    <n v="360"/>
    <d v="2013-01-09T14:30:00"/>
    <d v="2013-01-09T17:00:00"/>
    <n v="445"/>
    <n v="795"/>
    <n v="747"/>
    <s v="Burners"/>
    <s v="F790This planned de-rate was to allow testing on the &quot;2F&quot; burners by Doosan and Bechte"/>
    <s v="Trimble"/>
    <x v="0"/>
    <s v="Coal"/>
    <x v="2"/>
    <x v="0"/>
    <n v="1"/>
    <n v="2.5000000001164153"/>
    <n v="1.1006289308688622"/>
    <n v="822.16981135904007"/>
    <n v="328.8679245283019"/>
    <x v="304"/>
  </r>
  <r>
    <x v="12"/>
    <x v="1"/>
    <n v="10"/>
    <n v="360"/>
    <d v="2013-01-09T17:00:00"/>
    <d v="2013-01-10T04:00:00"/>
    <n v="399"/>
    <n v="795"/>
    <n v="747"/>
    <s v="Burners"/>
    <s v="F790This planned de-rate was to allow testing on the &quot;2F&quot; burners by Doosan and Bechte"/>
    <s v="Trimble"/>
    <x v="0"/>
    <s v="Coal"/>
    <x v="2"/>
    <x v="0"/>
    <n v="1"/>
    <n v="10.999999999883585"/>
    <n v="5.4792452829608802"/>
    <n v="4092.9962263717775"/>
    <n v="372.09056603773587"/>
    <x v="305"/>
  </r>
  <r>
    <x v="12"/>
    <x v="0"/>
    <n v="11"/>
    <n v="385"/>
    <d v="2013-01-10T04:00:00"/>
    <d v="2013-01-10T05:00:00"/>
    <n v="499"/>
    <n v="795"/>
    <n v="747"/>
    <s v="Igniters"/>
    <s v="F460The oil guns were causing a delay on increasing load, The oil guns would not light"/>
    <s v="Trimble"/>
    <x v="0"/>
    <s v="Coal"/>
    <x v="2"/>
    <x v="0"/>
    <n v="1"/>
    <n v="1.0000000001164153"/>
    <n v="0.37232704406850181"/>
    <n v="278.12830191917084"/>
    <n v="278.12830188679243"/>
    <x v="213"/>
  </r>
  <r>
    <x v="12"/>
    <x v="0"/>
    <n v="12"/>
    <n v="9610"/>
    <d v="2013-01-10T05:00:00"/>
    <d v="2013-01-10T07:00:00"/>
    <n v="650"/>
    <n v="795"/>
    <n v="747"/>
    <s v="NOx stack emissions (fossil)"/>
    <s v="FE00The ammonia pumps would not stay running, causing an emissions issue on the unit. "/>
    <s v="Trimble"/>
    <x v="0"/>
    <s v="Coal"/>
    <x v="2"/>
    <x v="0"/>
    <n v="1"/>
    <n v="1.9999999998835847"/>
    <n v="0.36477987419260349"/>
    <n v="272.49056602187483"/>
    <n v="136.24528301886792"/>
    <x v="62"/>
  </r>
  <r>
    <x v="12"/>
    <x v="0"/>
    <n v="13"/>
    <n v="9610"/>
    <d v="2013-01-10T15:30:00"/>
    <d v="2013-01-11T06:30:00"/>
    <n v="469"/>
    <n v="795"/>
    <n v="747"/>
    <s v="NOx stack emissions (fossil)"/>
    <s v="FE00The ammonia pumps would not stay running, causing an emissions issue on the unit. "/>
    <s v="Trimble"/>
    <x v="0"/>
    <s v="Coal"/>
    <x v="2"/>
    <x v="0"/>
    <n v="1"/>
    <n v="15"/>
    <n v="6.1509433962264151"/>
    <n v="4594.7547169811323"/>
    <n v="306.31698113207545"/>
    <x v="291"/>
  </r>
  <r>
    <x v="12"/>
    <x v="0"/>
    <n v="14"/>
    <n v="4099"/>
    <d v="2013-01-11T06:30:00"/>
    <d v="2013-01-11T10:10:00"/>
    <n v="779"/>
    <n v="795"/>
    <n v="747"/>
    <s v="Other high pressure turbine problems"/>
    <s v="F800The Turbine OEM limit on steam flow was at the max allowable for the unit so load "/>
    <s v="Trimble"/>
    <x v="0"/>
    <s v="Coal"/>
    <x v="2"/>
    <x v="0"/>
    <n v="1"/>
    <n v="3.6666666665696539"/>
    <n v="7.379454926429492E-2"/>
    <n v="55.124528300428302"/>
    <n v="15.033962264150944"/>
    <x v="169"/>
  </r>
  <r>
    <x v="12"/>
    <x v="0"/>
    <n v="15"/>
    <n v="9610"/>
    <d v="2013-01-11T10:10:00"/>
    <d v="2013-01-12T00:00:00"/>
    <n v="777"/>
    <n v="795"/>
    <n v="747"/>
    <s v="NOx stack emissions (fossil)"/>
    <s v="FE00The ammonia system for the unit was not controlling and the load had to be reduced"/>
    <s v="Trimble"/>
    <x v="0"/>
    <s v="Coal"/>
    <x v="2"/>
    <x v="0"/>
    <n v="1"/>
    <n v="13.833333333372138"/>
    <n v="0.31320754717068994"/>
    <n v="233.96603773650537"/>
    <n v="16.913207547169812"/>
    <x v="262"/>
  </r>
  <r>
    <x v="12"/>
    <x v="0"/>
    <n v="16"/>
    <n v="9270"/>
    <d v="2013-01-14T08:45:00"/>
    <d v="2013-01-14T22:00:00"/>
    <n v="789"/>
    <n v="795"/>
    <n v="747"/>
    <s v="Wet coal"/>
    <s v="FW00The unit was limited due to issues related to wet coal the hot air dampers on the "/>
    <s v="Trimble"/>
    <x v="0"/>
    <s v="Coal"/>
    <x v="2"/>
    <x v="0"/>
    <n v="1"/>
    <n v="13.249999999883585"/>
    <n v="9.9999999999121389E-2"/>
    <n v="74.699999999343675"/>
    <n v="5.6377358490566039"/>
    <x v="151"/>
  </r>
  <r>
    <x v="12"/>
    <x v="0"/>
    <n v="17"/>
    <n v="9600"/>
    <d v="2013-01-16T02:00:00"/>
    <d v="2013-01-16T03:15:00"/>
    <n v="764"/>
    <n v="795"/>
    <n v="747"/>
    <s v="SO2 stack emissions (fossil)"/>
    <s v="FE00SO2 emission issues required a derate to avoid being out of compliance"/>
    <s v="Trimble"/>
    <x v="0"/>
    <s v="Coal"/>
    <x v="2"/>
    <x v="0"/>
    <n v="1"/>
    <n v="1.2499999998835847"/>
    <n v="4.8742138360240411E-2"/>
    <n v="36.410377355099584"/>
    <n v="29.128301886792453"/>
    <x v="206"/>
  </r>
  <r>
    <x v="12"/>
    <x v="0"/>
    <n v="18"/>
    <n v="9600"/>
    <d v="2013-01-16T03:15:00"/>
    <d v="2013-01-16T04:00:00"/>
    <n v="789"/>
    <n v="795"/>
    <n v="747"/>
    <s v="SO2 stack emissions (fossil)"/>
    <s v="FE00The SO2 emissions allowed for a slight increase in load, but SO2 was still causing"/>
    <s v="Trimble"/>
    <x v="0"/>
    <s v="Coal"/>
    <x v="2"/>
    <x v="0"/>
    <n v="1"/>
    <n v="0.75"/>
    <n v="5.6603773584905656E-3"/>
    <n v="4.2283018867924529"/>
    <n v="5.6377358490566039"/>
    <x v="151"/>
  </r>
  <r>
    <x v="12"/>
    <x v="0"/>
    <n v="19"/>
    <n v="9600"/>
    <d v="2013-01-16T06:20:00"/>
    <d v="2013-01-16T10:00:00"/>
    <n v="789"/>
    <n v="795"/>
    <n v="747"/>
    <s v="SO2 stack emissions (fossil)"/>
    <s v="FE00SO2 issues returned and required a derate for compliance"/>
    <s v="Trimble"/>
    <x v="0"/>
    <s v="Coal"/>
    <x v="2"/>
    <x v="0"/>
    <n v="1"/>
    <n v="3.6666666665696539"/>
    <n v="2.7672955974110597E-2"/>
    <n v="20.671698112660614"/>
    <n v="5.6377358490566039"/>
    <x v="151"/>
  </r>
  <r>
    <x v="12"/>
    <x v="2"/>
    <n v="20"/>
    <n v="920"/>
    <d v="2013-01-19T00:01:00"/>
    <d v="2013-01-19T06:00:00"/>
    <n v="435"/>
    <n v="795"/>
    <n v="747"/>
    <s v="Other slag and ash removal problems A"/>
    <s v="FS00TC2 was derated in order to perform the weekly planned deslag of the boiler as rec"/>
    <s v="Trimble"/>
    <x v="0"/>
    <s v="Coal"/>
    <x v="2"/>
    <x v="0"/>
    <n v="1"/>
    <n v="5.9833333332790062"/>
    <n v="2.70943396223955"/>
    <n v="2023.9471697929439"/>
    <n v="338.2641509433962"/>
    <x v="200"/>
  </r>
  <r>
    <x v="12"/>
    <x v="2"/>
    <n v="21"/>
    <n v="920"/>
    <d v="2013-01-19T06:00:00"/>
    <d v="2013-01-19T06:30:00"/>
    <n v="680"/>
    <n v="795"/>
    <n v="747"/>
    <s v="Other slag and ash removal problems A"/>
    <s v="FS00TC2 was ramped up in load to complete the weekly deslag of the boiler as recommend"/>
    <s v="Trimble"/>
    <x v="0"/>
    <s v="Coal"/>
    <x v="2"/>
    <x v="0"/>
    <n v="1"/>
    <n v="0.50000000005820766"/>
    <n v="7.2327044033577204E-2"/>
    <n v="54.028301893082173"/>
    <n v="108.05660377358491"/>
    <x v="255"/>
  </r>
  <r>
    <x v="12"/>
    <x v="0"/>
    <n v="22"/>
    <n v="1455"/>
    <d v="2013-01-25T10:12:00"/>
    <d v="2013-01-25T12:15:00"/>
    <n v="784"/>
    <n v="795"/>
    <n v="747"/>
    <s v="Induced draft fans"/>
    <s v="F660TC2 was reduced 25MW due to the ID Fan suction pressure low and running near trip "/>
    <s v="Trimble"/>
    <x v="0"/>
    <s v="Coal"/>
    <x v="2"/>
    <x v="0"/>
    <n v="1"/>
    <n v="2.0499999998719431"/>
    <n v="2.8364779872441979E-2"/>
    <n v="21.188490564714158"/>
    <n v="10.335849056603774"/>
    <x v="182"/>
  </r>
  <r>
    <x v="12"/>
    <x v="0"/>
    <n v="23"/>
    <n v="9610"/>
    <d v="2013-01-29T21:15:00"/>
    <d v="2013-01-29T22:30:00"/>
    <n v="500"/>
    <n v="795"/>
    <n v="747"/>
    <s v="NOx stack emissions (fossil)"/>
    <s v="FE00The 2A dilution air fan trip due to a plugged suction filter on the fan.  This res"/>
    <s v="Trimble"/>
    <x v="0"/>
    <s v="Coal"/>
    <x v="2"/>
    <x v="0"/>
    <n v="1"/>
    <n v="1.2500000000582077"/>
    <n v="0.46383647800902045"/>
    <n v="346.48584907273829"/>
    <n v="277.18867924528303"/>
    <x v="271"/>
  </r>
  <r>
    <x v="12"/>
    <x v="0"/>
    <n v="24"/>
    <n v="9610"/>
    <d v="2013-01-29T22:30:00"/>
    <d v="2013-01-30T00:45:00"/>
    <n v="425"/>
    <n v="795"/>
    <n v="747"/>
    <s v="NOx stack emissions (fossil)"/>
    <s v="FE00Further derate to 425MW due to 2A dilution air fan trip and subsequent issues resu"/>
    <s v="Trimble"/>
    <x v="0"/>
    <s v="Coal"/>
    <x v="2"/>
    <x v="0"/>
    <n v="1"/>
    <n v="2.25"/>
    <n v="1.0471698113207548"/>
    <n v="782.2358490566038"/>
    <n v="347.66037735849056"/>
    <x v="306"/>
  </r>
  <r>
    <x v="12"/>
    <x v="0"/>
    <n v="25"/>
    <n v="9610"/>
    <d v="2013-01-30T00:45:00"/>
    <d v="2013-01-30T01:30:00"/>
    <n v="650"/>
    <n v="795"/>
    <n v="747"/>
    <s v="NOx stack emissions (fossil)"/>
    <s v="FE00Load was increased to 650MW as control was returned.  Further affect of to 2A dilu"/>
    <s v="Trimble"/>
    <x v="0"/>
    <s v="Coal"/>
    <x v="2"/>
    <x v="0"/>
    <n v="1"/>
    <n v="0.75"/>
    <n v="0.13679245283018868"/>
    <n v="102.18396226415094"/>
    <n v="136.24528301886792"/>
    <x v="62"/>
  </r>
  <r>
    <x v="12"/>
    <x v="0"/>
    <n v="26"/>
    <n v="9270"/>
    <d v="2013-01-30T16:15:00"/>
    <d v="2013-01-30T21:00:00"/>
    <n v="800"/>
    <n v="795"/>
    <n v="747"/>
    <s v="Wet coal"/>
    <s v="FW00TC2 expeirenced issues with wet coal which reduced load to 800MW for a short durat"/>
    <s v="Trimble"/>
    <x v="0"/>
    <s v="Coal"/>
    <x v="2"/>
    <x v="0"/>
    <n v="1"/>
    <n v="4.7499999999417923"/>
    <n v="-2.9874213836111902E-2"/>
    <n v="-22.316037735575591"/>
    <n v="0"/>
    <x v="152"/>
  </r>
  <r>
    <x v="12"/>
    <x v="0"/>
    <n v="27"/>
    <n v="310"/>
    <d v="2013-02-03T18:00:00"/>
    <d v="2013-02-03T19:00:00"/>
    <n v="650"/>
    <n v="795"/>
    <n v="747"/>
    <s v="Pulverizer mills"/>
    <s v="F820The 2D coal mill tripped with support fuel in. C Mill was put back in service to r"/>
    <s v="Trimble"/>
    <x v="0"/>
    <s v="Coal"/>
    <x v="2"/>
    <x v="0"/>
    <n v="2"/>
    <n v="0.99999999994179234"/>
    <n v="0.18238993709630175"/>
    <n v="136.24528301093741"/>
    <n v="136.24528301886792"/>
    <x v="62"/>
  </r>
  <r>
    <x v="12"/>
    <x v="0"/>
    <n v="28"/>
    <n v="3710"/>
    <d v="2013-02-05T01:10:00"/>
    <d v="2013-02-05T01:26:00"/>
    <n v="600"/>
    <n v="795"/>
    <n v="747"/>
    <s v="Transmission line (connected to powerhouse switchyard to 1st Substation)"/>
    <s v="F700At 0106 we had a switchyard event. The 4542 A phase coupling capacitor/wave trap l"/>
    <s v="Trimble"/>
    <x v="0"/>
    <s v="Coal"/>
    <x v="2"/>
    <x v="0"/>
    <n v="2"/>
    <n v="0.26666666666278616"/>
    <n v="6.5408805030494718E-2"/>
    <n v="48.860377357779555"/>
    <n v="183.22641509433961"/>
    <x v="110"/>
  </r>
  <r>
    <x v="12"/>
    <x v="5"/>
    <n v="29"/>
    <n v="1480"/>
    <d v="2013-02-05T01:26:00"/>
    <d v="2013-02-07T17:15:00"/>
    <n v="0"/>
    <n v="795"/>
    <n v="747"/>
    <s v="Other induced draft fan problems"/>
    <s v="F820Following the cascade of equipment trips from the switchyard event, the FD and ID "/>
    <s v="Trimble"/>
    <x v="3"/>
    <s v="Coal"/>
    <x v="2"/>
    <x v="0"/>
    <n v="2"/>
    <n v="63.816666666709352"/>
    <n v="63.816666666709352"/>
    <n v="47671.050000031886"/>
    <n v="747"/>
    <x v="302"/>
  </r>
  <r>
    <x v="12"/>
    <x v="5"/>
    <n v="30"/>
    <n v="3499"/>
    <d v="2013-02-07T18:12:00"/>
    <d v="2013-02-08T03:11:00"/>
    <n v="0"/>
    <n v="795"/>
    <n v="747"/>
    <s v="Other feedwater system problems"/>
    <s v="F820During ramping the feedwater flow became low and resulted in an MFT."/>
    <s v="Trimble"/>
    <x v="3"/>
    <s v="Coal"/>
    <x v="2"/>
    <x v="0"/>
    <n v="2"/>
    <n v="8.9833333334536292"/>
    <n v="8.9833333334536292"/>
    <n v="6710.550000089861"/>
    <n v="747"/>
    <x v="302"/>
  </r>
  <r>
    <x v="12"/>
    <x v="5"/>
    <n v="31"/>
    <n v="530"/>
    <d v="2013-02-08T04:25:00"/>
    <d v="2013-02-08T05:35:00"/>
    <n v="0"/>
    <n v="795"/>
    <n v="747"/>
    <s v="Other main steam system problems"/>
    <s v="F820During ramping the main steam temperature became low and caused a turbine trip.  T"/>
    <s v="Trimble"/>
    <x v="3"/>
    <s v="Coal"/>
    <x v="2"/>
    <x v="0"/>
    <n v="2"/>
    <n v="1.1666666666278616"/>
    <n v="1.1666666666278616"/>
    <n v="871.49999997101258"/>
    <n v="747"/>
    <x v="302"/>
  </r>
  <r>
    <x v="12"/>
    <x v="0"/>
    <n v="32"/>
    <n v="8650"/>
    <d v="2013-02-08T16:14:00"/>
    <d v="2013-02-08T18:17:00"/>
    <n v="729"/>
    <n v="795"/>
    <n v="747"/>
    <s v="Baghouse systems"/>
    <s v="F660The baghouse differential pressure was running high while the baghouse was running"/>
    <s v="Trimble"/>
    <x v="0"/>
    <s v="Coal"/>
    <x v="2"/>
    <x v="0"/>
    <n v="2"/>
    <n v="2.0500000000465661"/>
    <n v="0.17018867924914888"/>
    <n v="127.13094339911422"/>
    <n v="62.015094339622642"/>
    <x v="171"/>
  </r>
  <r>
    <x v="12"/>
    <x v="5"/>
    <n v="33"/>
    <n v="1035"/>
    <d v="2013-02-08T18:17:00"/>
    <d v="2013-02-10T21:27:00"/>
    <n v="0"/>
    <n v="795"/>
    <n v="747"/>
    <s v="Platen superheater"/>
    <s v="F540Unit 2 came offline for a tube leak in the south most panel of the platen superhea"/>
    <s v="Trimble"/>
    <x v="3"/>
    <s v="Coal"/>
    <x v="2"/>
    <x v="0"/>
    <n v="2"/>
    <n v="51.166666666686069"/>
    <n v="51.166666666686069"/>
    <n v="38221.500000014494"/>
    <n v="747"/>
    <x v="302"/>
  </r>
  <r>
    <x v="12"/>
    <x v="0"/>
    <n v="34"/>
    <n v="550"/>
    <d v="2013-02-11T03:13:00"/>
    <d v="2013-02-11T11:46:00"/>
    <n v="521"/>
    <n v="795"/>
    <n v="747"/>
    <s v="Reheat steam relief/safety valves"/>
    <s v="F540After the tube leak outage, a Reheat Safety valve was found to be leaking through."/>
    <s v="Trimble"/>
    <x v="0"/>
    <s v="Coal"/>
    <x v="2"/>
    <x v="0"/>
    <n v="2"/>
    <n v="8.5499999999301508"/>
    <n v="2.9467924528061147"/>
    <n v="2201.2539622461677"/>
    <n v="257.4566037735849"/>
    <x v="100"/>
  </r>
  <r>
    <x v="12"/>
    <x v="5"/>
    <n v="35"/>
    <n v="550"/>
    <d v="2013-02-11T11:46:00"/>
    <d v="2013-02-13T13:13:00"/>
    <n v="0"/>
    <n v="795"/>
    <n v="747"/>
    <s v="Reheat steam relief/safety valves"/>
    <s v="F540Following the derate, the decision was made to remove TC2 from service to investig"/>
    <s v="Trimble"/>
    <x v="3"/>
    <s v="Coal"/>
    <x v="2"/>
    <x v="0"/>
    <n v="2"/>
    <n v="49.450000000011642"/>
    <n v="49.450000000011642"/>
    <n v="36939.150000008696"/>
    <n v="747"/>
    <x v="302"/>
  </r>
  <r>
    <x v="12"/>
    <x v="0"/>
    <n v="36"/>
    <n v="550"/>
    <d v="2013-02-13T23:45:00"/>
    <d v="2013-02-21T14:29:00"/>
    <n v="750"/>
    <n v="795"/>
    <n v="747"/>
    <s v="Reheat steam relief/safety valves"/>
    <s v="F610With 2-HR-PSV-915 being plugged, steam flow must be reduced since a safety is out "/>
    <s v="Trimble"/>
    <x v="0"/>
    <s v="Coal"/>
    <x v="2"/>
    <x v="0"/>
    <n v="2"/>
    <n v="182.73333333333721"/>
    <n v="10.343396226415313"/>
    <n v="7726.5169811322394"/>
    <n v="42.283018867924525"/>
    <x v="117"/>
  </r>
  <r>
    <x v="12"/>
    <x v="0"/>
    <n v="37"/>
    <n v="8825"/>
    <d v="2013-02-21T14:29:00"/>
    <d v="2013-02-21T15:40:00"/>
    <n v="660"/>
    <n v="795"/>
    <n v="747"/>
    <s v="Other SCR NOx problems"/>
    <s v="F820While unloading an ammonia truck for U1, the transmitter being used (out of the 3 "/>
    <s v="Trimble"/>
    <x v="0"/>
    <s v="Coal"/>
    <x v="2"/>
    <x v="0"/>
    <n v="2"/>
    <n v="1.1833333333488554"/>
    <n v="0.20094339622905091"/>
    <n v="150.10471698310104"/>
    <n v="126.84905660377359"/>
    <x v="49"/>
  </r>
  <r>
    <x v="12"/>
    <x v="0"/>
    <n v="38"/>
    <n v="8825"/>
    <d v="2013-02-21T15:40:00"/>
    <d v="2013-02-21T16:13:00"/>
    <n v="505"/>
    <n v="795"/>
    <n v="747"/>
    <s v="Other SCR NOx problems"/>
    <s v="F820Complete details attributed to this derate are explained in Event No. 37.  Further"/>
    <s v="Trimble"/>
    <x v="0"/>
    <s v="Coal"/>
    <x v="2"/>
    <x v="0"/>
    <n v="2"/>
    <n v="0.54999999987194315"/>
    <n v="0.2006289307708975"/>
    <n v="149.86981128586044"/>
    <n v="272.49056603773585"/>
    <x v="274"/>
  </r>
  <r>
    <x v="12"/>
    <x v="0"/>
    <n v="39"/>
    <n v="8823"/>
    <d v="2013-02-21T16:13:00"/>
    <d v="2013-02-21T17:30:00"/>
    <n v="360"/>
    <n v="795"/>
    <n v="747"/>
    <s v="SCR NOx Other ammonia system problems"/>
    <s v="FE00Due to the ammonia system being out of service (event 37 and 38), NOx issues were "/>
    <s v="Trimble"/>
    <x v="0"/>
    <s v="Coal"/>
    <x v="2"/>
    <x v="0"/>
    <n v="2"/>
    <n v="1.2833333333255723"/>
    <n v="0.70220125785738863"/>
    <n v="524.54433961946927"/>
    <n v="408.7358490566038"/>
    <x v="307"/>
  </r>
  <r>
    <x v="12"/>
    <x v="0"/>
    <n v="40"/>
    <n v="8823"/>
    <d v="2013-02-21T17:30:00"/>
    <d v="2013-02-21T21:00:00"/>
    <n v="498"/>
    <n v="795"/>
    <n v="747"/>
    <s v="SCR NOx Other ammonia system problems"/>
    <s v="FE00Unit load was increased to 498MW as NOx limits began to come under control and ris"/>
    <s v="Trimble"/>
    <x v="0"/>
    <s v="Coal"/>
    <x v="2"/>
    <x v="0"/>
    <n v="2"/>
    <n v="3.5000000000582077"/>
    <n v="1.3075471698330663"/>
    <n v="976.73773586530046"/>
    <n v="279.06792452830189"/>
    <x v="195"/>
  </r>
  <r>
    <x v="12"/>
    <x v="2"/>
    <n v="41"/>
    <n v="9656"/>
    <d v="2013-02-21T21:00:00"/>
    <d v="2013-02-22T00:45:00"/>
    <n v="498"/>
    <n v="795"/>
    <n v="747"/>
    <s v="Other stack or exhaust emissions testing - fossil"/>
    <s v="F790Unit derate of 498 was maintained to conduct the low load RATA testing.  This test"/>
    <s v="Trimble"/>
    <x v="0"/>
    <s v="Coal"/>
    <x v="2"/>
    <x v="0"/>
    <n v="2"/>
    <n v="3.75"/>
    <n v="1.4009433962264151"/>
    <n v="1046.5047169811321"/>
    <n v="279.06792452830189"/>
    <x v="195"/>
  </r>
  <r>
    <x v="12"/>
    <x v="2"/>
    <n v="42"/>
    <n v="9656"/>
    <d v="2013-02-22T00:45:00"/>
    <d v="2013-02-22T05:30:00"/>
    <n v="625"/>
    <n v="795"/>
    <n v="747"/>
    <s v="Other stack or exhaust emissions testing - fossil"/>
    <s v="F790Load was increased to 625MW to conduct the final stage of RATA testing which was m"/>
    <s v="Trimble"/>
    <x v="0"/>
    <s v="Coal"/>
    <x v="2"/>
    <x v="0"/>
    <n v="2"/>
    <n v="4.7499999999417923"/>
    <n v="1.0157232704278047"/>
    <n v="758.74528300957013"/>
    <n v="159.73584905660377"/>
    <x v="308"/>
  </r>
  <r>
    <x v="12"/>
    <x v="0"/>
    <n v="43"/>
    <n v="550"/>
    <d v="2013-02-22T05:30:00"/>
    <d v="2013-02-25T06:30:00"/>
    <n v="750"/>
    <n v="795"/>
    <n v="747"/>
    <s v="Reheat steam relief/safety valves"/>
    <s v="F610Unit load was returned to 750MW following the completion of the RATA testing.  Thi"/>
    <s v="Trimble"/>
    <x v="0"/>
    <s v="Coal"/>
    <x v="2"/>
    <x v="0"/>
    <n v="2"/>
    <n v="73.000000000116415"/>
    <n v="4.1320754717047024"/>
    <n v="3086.6603773634129"/>
    <n v="42.283018867924525"/>
    <x v="117"/>
  </r>
  <r>
    <x v="12"/>
    <x v="0"/>
    <n v="44"/>
    <n v="1495"/>
    <d v="2013-02-25T06:30:00"/>
    <d v="2013-02-25T08:00:00"/>
    <n v="650"/>
    <n v="795"/>
    <n v="747"/>
    <s v="Other air heater fouling (heat pipe"/>
    <s v="F660Differential pressure on the air heater began to rise and load was reduced while i"/>
    <s v="Trimble"/>
    <x v="0"/>
    <s v="Coal"/>
    <x v="2"/>
    <x v="0"/>
    <n v="2"/>
    <n v="1.5"/>
    <n v="0.27358490566037735"/>
    <n v="204.36792452830187"/>
    <n v="136.24528301886792"/>
    <x v="62"/>
  </r>
  <r>
    <x v="12"/>
    <x v="0"/>
    <n v="45"/>
    <n v="360"/>
    <d v="2013-02-25T08:00:00"/>
    <d v="2013-02-25T09:15:00"/>
    <n v="605"/>
    <n v="795"/>
    <n v="747"/>
    <s v="Burners"/>
    <s v="F780The C coal mill burner temperature alarm came in due to high temperature indicatio"/>
    <s v="Trimble"/>
    <x v="0"/>
    <s v="Coal"/>
    <x v="2"/>
    <x v="0"/>
    <n v="2"/>
    <n v="1.2499999998835847"/>
    <n v="0.29874213833695734"/>
    <n v="223.16037733770713"/>
    <n v="178.52830188679246"/>
    <x v="93"/>
  </r>
  <r>
    <x v="12"/>
    <x v="0"/>
    <n v="46"/>
    <n v="1495"/>
    <d v="2013-02-25T09:15:00"/>
    <d v="2013-02-25T11:00:00"/>
    <n v="605"/>
    <n v="795"/>
    <n v="747"/>
    <s v="Other air heater fouling (heat pipe"/>
    <s v="F660The air heater differential remained high after 2C mill was removed from service. "/>
    <s v="Trimble"/>
    <x v="0"/>
    <s v="Coal"/>
    <x v="2"/>
    <x v="0"/>
    <n v="2"/>
    <n v="1.7500000001164153"/>
    <n v="0.41823899373851436"/>
    <n v="312.42452832267026"/>
    <n v="178.52830188679246"/>
    <x v="93"/>
  </r>
  <r>
    <x v="12"/>
    <x v="0"/>
    <n v="47"/>
    <n v="1495"/>
    <d v="2013-02-25T11:00:00"/>
    <d v="2013-02-25T15:19:00"/>
    <n v="542"/>
    <n v="795"/>
    <n v="747"/>
    <s v="Other air heater fouling (heat pipe"/>
    <s v="F660The air heater differential remained high so further unit derate was required.  Lo"/>
    <s v="Trimble"/>
    <x v="0"/>
    <s v="Coal"/>
    <x v="2"/>
    <x v="0"/>
    <n v="2"/>
    <n v="4.316666666592937"/>
    <n v="1.3737316561610227"/>
    <n v="1026.177547152284"/>
    <n v="237.72452830188681"/>
    <x v="257"/>
  </r>
  <r>
    <x v="12"/>
    <x v="5"/>
    <n v="48"/>
    <n v="1495"/>
    <d v="2013-02-25T15:19:00"/>
    <d v="2013-02-28T14:48:00"/>
    <n v="0"/>
    <n v="795"/>
    <n v="747"/>
    <s v="Other air heater fouling (heat pipe"/>
    <s v="FF00With the air heater differential remaining an issue and increasing, the decision t"/>
    <s v="Trimble"/>
    <x v="3"/>
    <s v="Coal"/>
    <x v="2"/>
    <x v="0"/>
    <n v="2"/>
    <n v="71.483333333395422"/>
    <n v="71.483333333395422"/>
    <n v="53398.05000004638"/>
    <n v="747"/>
    <x v="302"/>
  </r>
  <r>
    <x v="12"/>
    <x v="0"/>
    <n v="49"/>
    <n v="4640"/>
    <d v="2013-02-28T20:00:00"/>
    <d v="2013-03-01T03:00:00"/>
    <n v="265"/>
    <n v="795"/>
    <n v="747"/>
    <s v="Seal oil system and seals A"/>
    <s v="F820The emergency seal oil pump failed and caused the pump to fail.  Issue was a burnt"/>
    <s v="Trimble"/>
    <x v="0"/>
    <s v="Coal"/>
    <x v="2"/>
    <x v="0"/>
    <n v="2"/>
    <n v="6.9999999999417923"/>
    <n v="4.6666666666278616"/>
    <n v="3485.9999999710126"/>
    <n v="498"/>
    <x v="309"/>
  </r>
  <r>
    <x v="12"/>
    <x v="0"/>
    <n v="50"/>
    <n v="4640"/>
    <d v="2013-03-01T03:00:00"/>
    <d v="2013-03-01T07:30:00"/>
    <n v="509"/>
    <n v="795"/>
    <n v="747"/>
    <s v="Seal oil system and seals A"/>
    <s v="F070The seal oil pump trip was due to a burned over current relay (as explained in eve"/>
    <s v="Trimble"/>
    <x v="0"/>
    <s v="Coal"/>
    <x v="2"/>
    <x v="0"/>
    <n v="3"/>
    <n v="4.5"/>
    <n v="1.618867924528302"/>
    <n v="1209.2943396226415"/>
    <n v="268.73207547169812"/>
    <x v="203"/>
  </r>
  <r>
    <x v="12"/>
    <x v="0"/>
    <n v="51"/>
    <n v="550"/>
    <d v="2013-03-01T07:30:00"/>
    <d v="2013-04-13T10:55:00"/>
    <n v="750"/>
    <n v="795"/>
    <n v="747"/>
    <s v="Reheat steam relief/safety valves"/>
    <s v="F610Unit load was returned to 750MW following the return from the emergency seal oil p"/>
    <s v="Trimble"/>
    <x v="0"/>
    <s v="Coal"/>
    <x v="2"/>
    <x v="0"/>
    <n v="3"/>
    <n v="1035.4166666666279"/>
    <n v="58.608490566035542"/>
    <n v="43780.542452828551"/>
    <n v="42.283018867924525"/>
    <x v="117"/>
  </r>
  <r>
    <x v="12"/>
    <x v="0"/>
    <n v="52"/>
    <n v="9270"/>
    <d v="2013-03-12T00:45:00"/>
    <d v="2013-03-12T02:10:00"/>
    <n v="734"/>
    <n v="795"/>
    <n v="747"/>
    <s v="Wet coal"/>
    <s v="FW00Wet coal issues for Unit 2 required a de-rate.  During this time there was also an"/>
    <s v="Trimble"/>
    <x v="0"/>
    <s v="Coal"/>
    <x v="2"/>
    <x v="0"/>
    <n v="3"/>
    <n v="1.4166666667442769"/>
    <n v="0.10870020964956087"/>
    <n v="81.199056608221966"/>
    <n v="57.316981132075469"/>
    <x v="184"/>
  </r>
  <r>
    <x v="12"/>
    <x v="0"/>
    <n v="53"/>
    <n v="9270"/>
    <d v="2013-03-12T02:10:00"/>
    <d v="2013-03-12T07:37:00"/>
    <n v="719"/>
    <n v="795"/>
    <n v="747"/>
    <s v="Wet coal"/>
    <s v="FW00Continued wet coal issues required further de-rate"/>
    <s v="Trimble"/>
    <x v="0"/>
    <s v="Coal"/>
    <x v="2"/>
    <x v="0"/>
    <n v="3"/>
    <n v="5.4499999999534339"/>
    <n v="0.5210062893037245"/>
    <n v="389.19169810988222"/>
    <n v="71.411320754716982"/>
    <x v="165"/>
  </r>
  <r>
    <x v="12"/>
    <x v="0"/>
    <n v="54"/>
    <n v="9270"/>
    <d v="2013-03-12T07:37:00"/>
    <d v="2013-03-12T10:00:00"/>
    <n v="704"/>
    <n v="795"/>
    <n v="747"/>
    <s v="Wet coal"/>
    <s v="FW00Continued wet coal required further de-rate.  Still seeing issues with the Air Hea"/>
    <s v="Trimble"/>
    <x v="0"/>
    <s v="Coal"/>
    <x v="2"/>
    <x v="0"/>
    <n v="3"/>
    <n v="2.3833333332440816"/>
    <n v="0.27280922430844207"/>
    <n v="203.78849055840621"/>
    <n v="85.505660377358495"/>
    <x v="173"/>
  </r>
  <r>
    <x v="12"/>
    <x v="0"/>
    <n v="55"/>
    <n v="1999"/>
    <d v="2013-03-12T10:00:00"/>
    <d v="2013-03-12T19:00:00"/>
    <n v="604"/>
    <n v="795"/>
    <n v="747"/>
    <s v="Boiler"/>
    <s v="F400Unit 2 began experiences continued boiler swings after the wet coal issue was reso"/>
    <s v="Trimble"/>
    <x v="0"/>
    <s v="Coal"/>
    <x v="2"/>
    <x v="0"/>
    <n v="3"/>
    <n v="9"/>
    <n v="2.1622641509433964"/>
    <n v="1615.211320754717"/>
    <n v="179.46792452830189"/>
    <x v="93"/>
  </r>
  <r>
    <x v="12"/>
    <x v="0"/>
    <n v="56"/>
    <n v="1999"/>
    <d v="2013-03-12T19:00:00"/>
    <d v="2013-03-13T00:00:00"/>
    <n v="545"/>
    <n v="795"/>
    <n v="747"/>
    <s v="Boiler"/>
    <s v="F400Continued experiencing boiler swings and reduced load further to attempt to mitiga"/>
    <s v="Trimble"/>
    <x v="0"/>
    <s v="Coal"/>
    <x v="2"/>
    <x v="0"/>
    <n v="3"/>
    <n v="5.0000000000582077"/>
    <n v="1.5723270440434616"/>
    <n v="1174.5283019004657"/>
    <n v="234.90566037735849"/>
    <x v="260"/>
  </r>
  <r>
    <x v="12"/>
    <x v="0"/>
    <n v="57"/>
    <n v="1999"/>
    <d v="2013-03-13T00:00:00"/>
    <d v="2013-03-13T11:00:00"/>
    <n v="550"/>
    <n v="795"/>
    <n v="747"/>
    <s v="Boiler"/>
    <s v="F400Continued experiencing boiler swings but increased load slightly to test out boile"/>
    <s v="Trimble"/>
    <x v="0"/>
    <s v="Coal"/>
    <x v="2"/>
    <x v="0"/>
    <n v="3"/>
    <n v="11.000000000058208"/>
    <n v="3.389937106936177"/>
    <n v="2532.2830188813241"/>
    <n v="230.20754716981133"/>
    <x v="188"/>
  </r>
  <r>
    <x v="12"/>
    <x v="0"/>
    <n v="58"/>
    <n v="1999"/>
    <d v="2013-03-13T11:00:00"/>
    <d v="2013-03-13T14:00:00"/>
    <n v="470"/>
    <n v="795"/>
    <n v="747"/>
    <s v="Boiler"/>
    <s v="F400Boiler swings still occurring and load had to be reduced further to regain boiler "/>
    <s v="Trimble"/>
    <x v="0"/>
    <s v="Coal"/>
    <x v="2"/>
    <x v="0"/>
    <n v="3"/>
    <n v="3"/>
    <n v="1.2264150943396226"/>
    <n v="916.13207547169804"/>
    <n v="305.37735849056605"/>
    <x v="204"/>
  </r>
  <r>
    <x v="12"/>
    <x v="0"/>
    <n v="59"/>
    <n v="1999"/>
    <d v="2013-03-13T14:00:00"/>
    <d v="2013-03-17T17:13:00"/>
    <n v="500"/>
    <n v="795"/>
    <n v="747"/>
    <s v="Boiler"/>
    <s v="F400Load was able to be increased to 500 MW with boiler swings no longer being an issu"/>
    <s v="Trimble"/>
    <x v="0"/>
    <s v="Coal"/>
    <x v="2"/>
    <x v="0"/>
    <n v="3"/>
    <n v="99.216666666674428"/>
    <n v="36.816247379457806"/>
    <n v="27501.73679245498"/>
    <n v="277.18867924528303"/>
    <x v="271"/>
  </r>
  <r>
    <x v="12"/>
    <x v="5"/>
    <n v="60"/>
    <n v="1999"/>
    <d v="2013-03-17T17:13:00"/>
    <d v="2013-03-24T05:47:00"/>
    <n v="0"/>
    <n v="795"/>
    <n v="747"/>
    <s v="Boiler"/>
    <s v="F400The boiler swings were unable to be controlled further.  Unit was taken offline an"/>
    <s v="Trimble"/>
    <x v="3"/>
    <s v="Coal"/>
    <x v="2"/>
    <x v="0"/>
    <n v="3"/>
    <n v="156.56666666659294"/>
    <n v="156.56666666659294"/>
    <n v="116955.29999994492"/>
    <n v="747"/>
    <x v="302"/>
  </r>
  <r>
    <x v="12"/>
    <x v="6"/>
    <n v="61"/>
    <n v="360"/>
    <d v="2013-03-24T05:47:00"/>
    <d v="2013-04-15T00:00:00"/>
    <n v="0"/>
    <n v="795"/>
    <n v="747"/>
    <s v="Burners"/>
    <s v="FE00The Unit 2 outage was planned for complete modifications to the A, B, C, D, and E "/>
    <s v="Trimble"/>
    <x v="1"/>
    <s v="Coal"/>
    <x v="2"/>
    <x v="0"/>
    <n v="3"/>
    <n v="522.21666666667443"/>
    <n v="522.21666666667443"/>
    <n v="390095.8500000058"/>
    <n v="747"/>
    <x v="302"/>
  </r>
  <r>
    <x v="12"/>
    <x v="8"/>
    <n v="62"/>
    <n v="4289"/>
    <d v="2013-04-15T00:00:00"/>
    <d v="2013-05-30T05:30:00"/>
    <n v="0"/>
    <n v="795"/>
    <n v="747"/>
    <s v="Other lube oil system problems"/>
    <s v="F180The original scope of the PO was completed, but additional scope identified with t"/>
    <s v="Trimble"/>
    <x v="1"/>
    <s v="Coal"/>
    <x v="2"/>
    <x v="0"/>
    <n v="4"/>
    <n v="1085.4999999999418"/>
    <n v="1085.4999999999418"/>
    <n v="810868.49999995646"/>
    <n v="747"/>
    <x v="302"/>
  </r>
  <r>
    <x v="12"/>
    <x v="7"/>
    <n v="63"/>
    <n v="4499"/>
    <d v="2013-05-30T05:30:00"/>
    <d v="2013-05-30T13:10:00"/>
    <n v="0"/>
    <n v="795"/>
    <n v="747"/>
    <s v="Other miscellaneous steam turbine problems"/>
    <s v="F780Turbine shell expansion indication was not reading so we held the unit start-up un"/>
    <s v="Trimble"/>
    <x v="3"/>
    <s v="Coal"/>
    <x v="2"/>
    <x v="0"/>
    <n v="5"/>
    <n v="7.6666666666860692"/>
    <n v="7.6666666666860692"/>
    <n v="5727.0000000144937"/>
    <n v="747"/>
    <x v="302"/>
  </r>
  <r>
    <x v="12"/>
    <x v="7"/>
    <n v="64"/>
    <n v="4899"/>
    <d v="2013-05-30T13:10:00"/>
    <d v="2013-06-02T13:09:00"/>
    <n v="0"/>
    <n v="795"/>
    <n v="747"/>
    <s v="Other miscellaneous generator problems"/>
    <s v="F870Generator lock-out occurred when flashing the field on (pulled fires out of the bo"/>
    <s v="Trimble"/>
    <x v="3"/>
    <s v="Coal"/>
    <x v="2"/>
    <x v="0"/>
    <n v="5"/>
    <n v="71.983333333453629"/>
    <n v="71.983333333453629"/>
    <n v="53771.550000089861"/>
    <n v="747"/>
    <x v="302"/>
  </r>
  <r>
    <x v="12"/>
    <x v="5"/>
    <n v="65"/>
    <n v="4609"/>
    <d v="2013-06-02T14:30:00"/>
    <d v="2013-06-02T22:45:00"/>
    <n v="0"/>
    <n v="795"/>
    <n v="747"/>
    <s v="Other exciter problems"/>
    <s v="F830Had to place the bolts back on the Generator Pot fuse links. We were able to hold "/>
    <s v="Trimble"/>
    <x v="3"/>
    <s v="Coal"/>
    <x v="2"/>
    <x v="0"/>
    <n v="6"/>
    <n v="8.25"/>
    <n v="8.25"/>
    <n v="6162.75"/>
    <n v="747"/>
    <x v="302"/>
  </r>
  <r>
    <x v="12"/>
    <x v="5"/>
    <n v="66"/>
    <n v="9930"/>
    <d v="2013-06-03T00:21:00"/>
    <d v="2013-06-03T08:32:00"/>
    <n v="0"/>
    <n v="795"/>
    <n v="747"/>
    <s v="Operating procedure error"/>
    <s v="F420Operator failed to change over from MK VI to DCS"/>
    <s v="Trimble"/>
    <x v="3"/>
    <s v="Coal"/>
    <x v="2"/>
    <x v="0"/>
    <n v="6"/>
    <n v="8.1833333334652707"/>
    <n v="8.1833333334652707"/>
    <n v="6112.9500000985572"/>
    <n v="747"/>
    <x v="302"/>
  </r>
  <r>
    <x v="12"/>
    <x v="5"/>
    <n v="67"/>
    <n v="1000"/>
    <d v="2013-06-03T08:32:00"/>
    <d v="2013-06-05T16:52:00"/>
    <n v="0"/>
    <n v="795"/>
    <n v="747"/>
    <s v="Waterwall (Furnace wall) A"/>
    <s v="F540Leak in tube weld near spiral balance header."/>
    <s v="Trimble"/>
    <x v="3"/>
    <s v="Coal"/>
    <x v="2"/>
    <x v="0"/>
    <n v="6"/>
    <n v="56.333333333255723"/>
    <n v="56.333333333255723"/>
    <n v="42080.999999942025"/>
    <n v="747"/>
    <x v="302"/>
  </r>
  <r>
    <x v="12"/>
    <x v="2"/>
    <n v="68"/>
    <n v="360"/>
    <d v="2013-06-06T02:00:00"/>
    <d v="2013-06-06T12:00:00"/>
    <n v="438"/>
    <n v="795"/>
    <n v="747"/>
    <s v="Burners"/>
    <s v="F790Post outage tuning per Doosan request.  Hold at 400 MW for testing and tuning of b"/>
    <s v="Trimble"/>
    <x v="0"/>
    <s v="Coal"/>
    <x v="2"/>
    <x v="0"/>
    <n v="6"/>
    <n v="9.9999999999417923"/>
    <n v="4.4905660377097103"/>
    <n v="3354.4528301691535"/>
    <n v="335.44528301886794"/>
    <x v="310"/>
  </r>
  <r>
    <x v="12"/>
    <x v="1"/>
    <n v="69"/>
    <n v="360"/>
    <d v="2013-06-06T12:00:00"/>
    <d v="2013-06-07T04:15:00"/>
    <n v="475"/>
    <n v="795"/>
    <n v="747"/>
    <s v="Burners"/>
    <s v="F790Further tuning at a variable de-rate following 400 MW hold increasing to 550 MW ov"/>
    <s v="Trimble"/>
    <x v="0"/>
    <s v="Coal"/>
    <x v="2"/>
    <x v="0"/>
    <n v="6"/>
    <n v="16.250000000058208"/>
    <n v="6.5408805031680837"/>
    <n v="4886.0377358665583"/>
    <n v="300.67924528301887"/>
    <x v="311"/>
  </r>
  <r>
    <x v="12"/>
    <x v="0"/>
    <n v="70"/>
    <n v="9620"/>
    <d v="2013-06-07T04:15:00"/>
    <d v="2013-06-07T13:00:00"/>
    <n v="595"/>
    <n v="795"/>
    <n v="747"/>
    <s v="Particulate stack emissions (fossil)"/>
    <s v="FE00Derate hold at 550MW is due to CEM particulate matter indication.  This believed t"/>
    <s v="Trimble"/>
    <x v="0"/>
    <s v="Coal"/>
    <x v="2"/>
    <x v="0"/>
    <n v="6"/>
    <n v="8.7499999998835847"/>
    <n v="2.2012578616059333"/>
    <n v="1644.3396226196321"/>
    <n v="187.9245283018868"/>
    <x v="109"/>
  </r>
  <r>
    <x v="12"/>
    <x v="0"/>
    <n v="71"/>
    <n v="9620"/>
    <d v="2013-06-07T13:00:00"/>
    <d v="2013-06-07T14:00:00"/>
    <n v="660"/>
    <n v="795"/>
    <n v="747"/>
    <s v="Particulate stack emissions (fossil)"/>
    <s v="FE00Derate hold at 660MW is due to CEM particulate matter indication.  This believed t"/>
    <s v="Trimble"/>
    <x v="0"/>
    <s v="Coal"/>
    <x v="2"/>
    <x v="0"/>
    <n v="6"/>
    <n v="1.0000000001164153"/>
    <n v="0.16981132077448563"/>
    <n v="126.84905661854077"/>
    <n v="126.84905660377359"/>
    <x v="49"/>
  </r>
  <r>
    <x v="12"/>
    <x v="0"/>
    <n v="72"/>
    <n v="9620"/>
    <d v="2013-06-07T14:00:00"/>
    <d v="2013-06-07T15:00:00"/>
    <n v="690"/>
    <n v="795"/>
    <n v="747"/>
    <s v="Particulate stack emissions (fossil)"/>
    <s v="FE00Derate hold at 690MW is due to CEM particulate matter indication.  This believed t"/>
    <s v="Trimble"/>
    <x v="0"/>
    <s v="Coal"/>
    <x v="2"/>
    <x v="0"/>
    <n v="6"/>
    <n v="0.99999999994179234"/>
    <n v="0.13207547169042541"/>
    <n v="98.660377352747787"/>
    <n v="98.660377358490564"/>
    <x v="26"/>
  </r>
  <r>
    <x v="12"/>
    <x v="0"/>
    <n v="73"/>
    <n v="9620"/>
    <d v="2013-06-07T15:00:00"/>
    <d v="2013-06-07T16:00:00"/>
    <n v="710"/>
    <n v="795"/>
    <n v="747"/>
    <s v="Particulate stack emissions (fossil)"/>
    <s v="FE00Derate hold at 710MW is due to CEM particulate matter indication.  This believed t"/>
    <s v="Trimble"/>
    <x v="0"/>
    <s v="Coal"/>
    <x v="2"/>
    <x v="0"/>
    <n v="6"/>
    <n v="0.99999999994179234"/>
    <n v="0.10691823898748723"/>
    <n v="79.86792452365296"/>
    <n v="79.867924528301884"/>
    <x v="192"/>
  </r>
  <r>
    <x v="12"/>
    <x v="0"/>
    <n v="74"/>
    <n v="9620"/>
    <d v="2013-06-07T16:00:00"/>
    <d v="2013-06-07T19:25:00"/>
    <n v="690"/>
    <n v="795"/>
    <n v="747"/>
    <s v="Particulate stack emissions (fossil)"/>
    <s v="FE00Derate hold at 690MW is due to CEM particulate matter indication.  This believed t"/>
    <s v="Trimble"/>
    <x v="0"/>
    <s v="Coal"/>
    <x v="2"/>
    <x v="0"/>
    <n v="6"/>
    <n v="3.4166666668024845"/>
    <n v="0.45125786165315834"/>
    <n v="337.08962265490931"/>
    <n v="98.660377358490564"/>
    <x v="26"/>
  </r>
  <r>
    <x v="12"/>
    <x v="0"/>
    <n v="75"/>
    <n v="3441"/>
    <d v="2013-06-07T19:25:00"/>
    <d v="2013-06-07T21:00:00"/>
    <n v="730"/>
    <n v="795"/>
    <n v="747"/>
    <s v="Other high pressure heater problems (see condensate system for LP and IP heater codes)"/>
    <s v="F5408A high pressure feedwater had the indicator level flange leaking.  Reduced load t"/>
    <s v="Trimble"/>
    <x v="0"/>
    <s v="Coal"/>
    <x v="2"/>
    <x v="0"/>
    <n v="6"/>
    <n v="1.5833333332557231"/>
    <n v="0.12945492661839245"/>
    <n v="96.702830183939156"/>
    <n v="61.075471698113205"/>
    <x v="131"/>
  </r>
  <r>
    <x v="12"/>
    <x v="0"/>
    <n v="76"/>
    <n v="3441"/>
    <d v="2013-06-07T21:00:00"/>
    <d v="2013-06-07T21:30:00"/>
    <n v="750"/>
    <n v="795"/>
    <n v="747"/>
    <s v="Other high pressure heater problems (see condensate system for LP and IP heater codes)"/>
    <s v="F5408A high pressure FWH had a leaking flange on the indication level and was repaired"/>
    <s v="Trimble"/>
    <x v="0"/>
    <s v="Coal"/>
    <x v="2"/>
    <x v="0"/>
    <n v="6"/>
    <n v="0.50000000005820766"/>
    <n v="2.8301886795747605E-2"/>
    <n v="21.141509436423462"/>
    <n v="42.283018867924525"/>
    <x v="117"/>
  </r>
  <r>
    <x v="12"/>
    <x v="0"/>
    <n v="77"/>
    <n v="1455"/>
    <d v="2013-06-07T21:30:00"/>
    <d v="2013-06-08T00:00:00"/>
    <n v="375"/>
    <n v="795"/>
    <n v="747"/>
    <s v="Induced draft fans"/>
    <s v="F660Fan stall issues using original fan stall ring, I/E regularly cleaned ports and ch"/>
    <s v="Trimble"/>
    <x v="0"/>
    <s v="Coal"/>
    <x v="2"/>
    <x v="0"/>
    <n v="6"/>
    <n v="2.4999999999417923"/>
    <n v="1.3207547169503808"/>
    <n v="986.60377356193453"/>
    <n v="394.64150943396226"/>
    <x v="312"/>
  </r>
  <r>
    <x v="12"/>
    <x v="0"/>
    <n v="78"/>
    <n v="1455"/>
    <d v="2013-06-08T00:00:00"/>
    <d v="2013-06-08T05:00:00"/>
    <n v="48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5.0000000000582077"/>
    <n v="1.9811320754947614"/>
    <n v="1479.9056603945869"/>
    <n v="295.98113207547169"/>
    <x v="202"/>
  </r>
  <r>
    <x v="12"/>
    <x v="0"/>
    <n v="79"/>
    <n v="1455"/>
    <d v="2013-06-08T05:00:00"/>
    <d v="2013-06-08T12:00:00"/>
    <n v="70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6.9999999999417923"/>
    <n v="0.83647798741442803"/>
    <n v="624.8490565985777"/>
    <n v="89.264150943396231"/>
    <x v="145"/>
  </r>
  <r>
    <x v="12"/>
    <x v="0"/>
    <n v="80"/>
    <n v="1455"/>
    <d v="2013-06-08T12:00:00"/>
    <d v="2013-06-08T15:00:00"/>
    <n v="76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3"/>
    <n v="0.13207547169811321"/>
    <n v="98.660377358490564"/>
    <n v="32.886792452830186"/>
    <x v="17"/>
  </r>
  <r>
    <x v="12"/>
    <x v="0"/>
    <n v="81"/>
    <n v="1455"/>
    <d v="2013-06-08T15:00:00"/>
    <d v="2013-06-08T17:00:00"/>
    <n v="68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2.0000000000582077"/>
    <n v="0.28930817610904891"/>
    <n v="216.11320755345955"/>
    <n v="108.05660377358491"/>
    <x v="255"/>
  </r>
  <r>
    <x v="12"/>
    <x v="0"/>
    <n v="82"/>
    <n v="1455"/>
    <d v="2013-06-08T17:00:00"/>
    <d v="2013-06-08T17:19:00"/>
    <n v="66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0.31666666665114462"/>
    <n v="5.3773584903024557E-2"/>
    <n v="40.168867922559343"/>
    <n v="126.84905660377359"/>
    <x v="49"/>
  </r>
  <r>
    <x v="12"/>
    <x v="0"/>
    <n v="83"/>
    <n v="1455"/>
    <d v="2013-06-08T17:19:00"/>
    <d v="2013-06-08T18:00:00"/>
    <n v="615"/>
    <n v="795"/>
    <n v="747"/>
    <s v="Induced draft fans"/>
    <s v="F660Fan stall issues using original fan stall ring, I/E regularly cleaned ports and ch"/>
    <s v="Trimble"/>
    <x v="0"/>
    <s v="Coal"/>
    <x v="2"/>
    <x v="0"/>
    <n v="6"/>
    <n v="0.68333333329064772"/>
    <n v="0.15471698112241081"/>
    <n v="115.57358489844087"/>
    <n v="169.1320754716981"/>
    <x v="313"/>
  </r>
  <r>
    <x v="12"/>
    <x v="0"/>
    <n v="84"/>
    <n v="1455"/>
    <d v="2013-06-08T18:00:00"/>
    <d v="2013-06-09T00:00:00"/>
    <n v="575"/>
    <n v="795"/>
    <n v="747"/>
    <s v="Induced draft fans"/>
    <s v="F660Fan stall issues using original fan stall ring, I/E regularly cleaned ports and ch"/>
    <s v="Trimble"/>
    <x v="0"/>
    <s v="Coal"/>
    <x v="2"/>
    <x v="0"/>
    <n v="6"/>
    <n v="6"/>
    <n v="1.6603773584905661"/>
    <n v="1240.3018867924529"/>
    <n v="206.71698113207546"/>
    <x v="144"/>
  </r>
  <r>
    <x v="12"/>
    <x v="0"/>
    <n v="85"/>
    <n v="1455"/>
    <d v="2013-06-09T00:00:00"/>
    <d v="2013-06-09T00:15:00"/>
    <n v="67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0.24999999994179234"/>
    <n v="3.9308176091476785E-2"/>
    <n v="29.363207540333157"/>
    <n v="117.45283018867924"/>
    <x v="242"/>
  </r>
  <r>
    <x v="12"/>
    <x v="0"/>
    <n v="86"/>
    <n v="1455"/>
    <d v="2013-06-09T00:15:00"/>
    <d v="2013-06-10T02:24:00"/>
    <n v="62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26.150000000023283"/>
    <n v="5.7562893081812261"/>
    <n v="4299.948113211376"/>
    <n v="164.43396226415095"/>
    <x v="150"/>
  </r>
  <r>
    <x v="12"/>
    <x v="0"/>
    <n v="87"/>
    <n v="1455"/>
    <d v="2013-06-10T02:24:00"/>
    <d v="2013-06-10T03:22:00"/>
    <n v="60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0.96666666667442769"/>
    <n v="0.23710691824089736"/>
    <n v="177.11886792595033"/>
    <n v="183.22641509433961"/>
    <x v="110"/>
  </r>
  <r>
    <x v="12"/>
    <x v="0"/>
    <n v="88"/>
    <n v="1455"/>
    <d v="2013-06-10T03:22:00"/>
    <d v="2013-06-10T12:30:00"/>
    <n v="58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9.1333333334187046"/>
    <n v="2.470020964383675"/>
    <n v="1845.1056603946051"/>
    <n v="202.01886792452831"/>
    <x v="99"/>
  </r>
  <r>
    <x v="12"/>
    <x v="0"/>
    <n v="89"/>
    <n v="1455"/>
    <d v="2013-06-12T14:40:00"/>
    <d v="2013-06-12T17:30:00"/>
    <n v="75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2.8333333333139308"/>
    <n v="0.16037735848946777"/>
    <n v="119.80188679163243"/>
    <n v="42.283018867924525"/>
    <x v="117"/>
  </r>
  <r>
    <x v="12"/>
    <x v="0"/>
    <n v="90"/>
    <n v="1455"/>
    <d v="2013-06-13T14:30:00"/>
    <d v="2013-06-13T18:30:00"/>
    <n v="695"/>
    <n v="795"/>
    <n v="747"/>
    <s v="Induced draft fans"/>
    <s v="F660Fan stall issues using original fan stall ring, I/E regularly cleaned ports and ch"/>
    <s v="Trimble"/>
    <x v="0"/>
    <s v="Coal"/>
    <x v="2"/>
    <x v="0"/>
    <n v="6"/>
    <n v="4.0000000001164153"/>
    <n v="0.50314465410269371"/>
    <n v="375.8490566147122"/>
    <n v="93.962264150943398"/>
    <x v="194"/>
  </r>
  <r>
    <x v="12"/>
    <x v="0"/>
    <n v="91"/>
    <n v="1455"/>
    <d v="2013-06-14T04:00:00"/>
    <d v="2013-06-14T04:50:00"/>
    <n v="650"/>
    <n v="795"/>
    <n v="747"/>
    <s v="Induced draft fans"/>
    <s v="F660Fan stall issues using original fan stall ring, I/E regularly cleaned ports and ch"/>
    <s v="Trimble"/>
    <x v="0"/>
    <s v="Coal"/>
    <x v="2"/>
    <x v="0"/>
    <n v="6"/>
    <n v="0.8333333334303461"/>
    <n v="0.15199161427345936"/>
    <n v="113.53773586227415"/>
    <n v="136.24528301886792"/>
    <x v="62"/>
  </r>
  <r>
    <x v="12"/>
    <x v="0"/>
    <n v="92"/>
    <n v="1455"/>
    <d v="2013-06-14T04:50:00"/>
    <d v="2013-06-14T05:20:00"/>
    <n v="623"/>
    <n v="795"/>
    <n v="747"/>
    <s v="Induced draft fans"/>
    <s v="F660Fan stall issues using original fan stall ring, I/E regularly cleaned ports and ch"/>
    <s v="Trimble"/>
    <x v="0"/>
    <s v="Coal"/>
    <x v="2"/>
    <x v="0"/>
    <n v="6"/>
    <n v="0.49999999988358468"/>
    <n v="0.10817610060374411"/>
    <n v="80.807547150996854"/>
    <n v="161.61509433962263"/>
    <x v="130"/>
  </r>
  <r>
    <x v="12"/>
    <x v="0"/>
    <n v="93"/>
    <n v="1455"/>
    <d v="2013-06-14T05:20:00"/>
    <d v="2013-06-14T10:10:00"/>
    <n v="270"/>
    <n v="795"/>
    <n v="747"/>
    <s v="Induced draft fans"/>
    <s v="F660Changed from original stall ring instrumentation to newly installed fan stall ring"/>
    <s v="Trimble"/>
    <x v="0"/>
    <s v="Coal"/>
    <x v="2"/>
    <x v="0"/>
    <n v="6"/>
    <n v="4.8333333333721384"/>
    <n v="3.1918238993966952"/>
    <n v="2384.2924528493313"/>
    <n v="493.30188679245282"/>
    <x v="296"/>
  </r>
  <r>
    <x v="12"/>
    <x v="0"/>
    <n v="94"/>
    <n v="9610"/>
    <d v="2013-06-14T10:10:00"/>
    <d v="2013-06-14T13:45:00"/>
    <n v="445"/>
    <n v="795"/>
    <n v="747"/>
    <s v="NOx stack emissions (fossil)"/>
    <s v="FE00During the fan stall ring change-out, load level required ammonia injection to be "/>
    <s v="Trimble"/>
    <x v="0"/>
    <s v="Coal"/>
    <x v="2"/>
    <x v="0"/>
    <n v="6"/>
    <n v="3.5833333333139308"/>
    <n v="1.5775681341633658"/>
    <n v="1178.4433962200342"/>
    <n v="328.8679245283019"/>
    <x v="304"/>
  </r>
  <r>
    <x v="12"/>
    <x v="0"/>
    <n v="95"/>
    <n v="9616"/>
    <d v="2013-06-19T07:35:00"/>
    <d v="2013-06-19T09:53:00"/>
    <n v="690"/>
    <n v="795"/>
    <n v="747"/>
    <s v="CO stack emissions"/>
    <s v="FE00During boiler tuning, spikes in CO brought the unit close to the exceedance limit "/>
    <s v="Trimble"/>
    <x v="0"/>
    <s v="Coal"/>
    <x v="2"/>
    <x v="0"/>
    <n v="6"/>
    <n v="2.3000000001629815"/>
    <n v="0.3037735849271862"/>
    <n v="226.9188679406081"/>
    <n v="98.660377358490564"/>
    <x v="26"/>
  </r>
  <r>
    <x v="12"/>
    <x v="2"/>
    <n v="96"/>
    <n v="920"/>
    <d v="2013-06-22T23:00:00"/>
    <d v="2013-06-23T05:30:00"/>
    <n v="450"/>
    <n v="795"/>
    <n v="747"/>
    <s v="Other slag and ash removal problems A"/>
    <s v="FS00TC2 was derated in order to perform the weekly planned deslag of the boiler as rec"/>
    <s v="Trimble"/>
    <x v="0"/>
    <s v="Coal"/>
    <x v="2"/>
    <x v="0"/>
    <n v="6"/>
    <n v="6.4999999998835847"/>
    <n v="2.8207547169306122"/>
    <n v="2107.1037735471673"/>
    <n v="324.16981132075472"/>
    <x v="314"/>
  </r>
  <r>
    <x v="12"/>
    <x v="0"/>
    <n v="97"/>
    <n v="9620"/>
    <d v="2013-06-26T01:47:00"/>
    <d v="2013-06-26T02:11:00"/>
    <n v="732"/>
    <n v="795"/>
    <n v="747"/>
    <s v="Particulate stack emissions (fossil)"/>
    <s v="FE00High particulate readings required load derate."/>
    <s v="Trimble"/>
    <x v="0"/>
    <s v="Coal"/>
    <x v="2"/>
    <x v="0"/>
    <n v="6"/>
    <n v="0.39999999990686774"/>
    <n v="3.1698113200166876E-2"/>
    <n v="23.678490560524658"/>
    <n v="59.196226415094337"/>
    <x v="83"/>
  </r>
  <r>
    <x v="12"/>
    <x v="0"/>
    <n v="98"/>
    <n v="9620"/>
    <d v="2013-06-26T02:11:00"/>
    <d v="2013-06-26T02:44:00"/>
    <n v="685"/>
    <n v="795"/>
    <n v="747"/>
    <s v="Particulate stack emissions (fossil)"/>
    <s v="FE00High particulate readings required load derate."/>
    <s v="Trimble"/>
    <x v="0"/>
    <s v="Coal"/>
    <x v="2"/>
    <x v="0"/>
    <n v="6"/>
    <n v="0.55000000004656613"/>
    <n v="7.6100628937260717E-2"/>
    <n v="56.847169816133757"/>
    <n v="103.35849056603773"/>
    <x v="140"/>
  </r>
  <r>
    <x v="12"/>
    <x v="0"/>
    <n v="99"/>
    <n v="9620"/>
    <d v="2013-06-26T02:44:00"/>
    <d v="2013-06-26T07:00:00"/>
    <n v="650"/>
    <n v="795"/>
    <n v="747"/>
    <s v="Particulate stack emissions (fossil)"/>
    <s v="FE00High particulate readings required load derate."/>
    <s v="Trimble"/>
    <x v="0"/>
    <s v="Coal"/>
    <x v="2"/>
    <x v="0"/>
    <n v="6"/>
    <n v="4.2666666666045785"/>
    <n v="0.77819706497819352"/>
    <n v="581.31320753871057"/>
    <n v="136.24528301886792"/>
    <x v="62"/>
  </r>
  <r>
    <x v="12"/>
    <x v="0"/>
    <n v="100"/>
    <n v="9620"/>
    <d v="2013-06-27T18:00:00"/>
    <d v="2013-06-28T00:00:00"/>
    <n v="680"/>
    <n v="795"/>
    <n v="747"/>
    <s v="Particulate stack emissions (fossil)"/>
    <s v="FE00High particulate readings required load derate."/>
    <s v="Trimble"/>
    <x v="0"/>
    <s v="Coal"/>
    <x v="2"/>
    <x v="0"/>
    <n v="6"/>
    <n v="6"/>
    <n v="0.86792452830188682"/>
    <n v="648.33962264150944"/>
    <n v="108.05660377358491"/>
    <x v="255"/>
  </r>
  <r>
    <x v="12"/>
    <x v="2"/>
    <n v="101"/>
    <n v="920"/>
    <d v="2013-06-30T00:00:00"/>
    <d v="2013-06-30T09:00:00"/>
    <n v="450"/>
    <n v="795"/>
    <n v="747"/>
    <s v="Other slag and ash removal problems A"/>
    <s v="FS00Weekly deslag for Unit 2 based on OEM recommendations for cleaning the boiler."/>
    <s v="Trimble"/>
    <x v="0"/>
    <s v="Coal"/>
    <x v="2"/>
    <x v="0"/>
    <n v="6"/>
    <n v="9"/>
    <n v="3.9056603773584904"/>
    <n v="2917.5283018867922"/>
    <n v="324.16981132075472"/>
    <x v="314"/>
  </r>
  <r>
    <x v="12"/>
    <x v="3"/>
    <n v="102"/>
    <n v="920"/>
    <d v="2013-07-07T00:01:00"/>
    <d v="2013-07-08T03:45:00"/>
    <n v="0"/>
    <n v="795"/>
    <n v="747"/>
    <s v="Other slag and ash removal problems A"/>
    <s v="FS00Weekly deslag planned for Unit 2 based on OEM recommendations"/>
    <s v="Trimble"/>
    <x v="1"/>
    <s v="Coal"/>
    <x v="2"/>
    <x v="0"/>
    <n v="7"/>
    <n v="27.733333333279006"/>
    <n v="27.733333333279006"/>
    <n v="20716.799999959418"/>
    <n v="747"/>
    <x v="302"/>
  </r>
  <r>
    <x v="12"/>
    <x v="0"/>
    <n v="103"/>
    <n v="9620"/>
    <d v="2013-07-08T03:45:00"/>
    <d v="2013-07-08T06:15:00"/>
    <n v="680"/>
    <n v="795"/>
    <n v="747"/>
    <s v="Particulate stack emissions (fossil)"/>
    <s v="FE00High particulates required a de-rate to avoid exceeding limits."/>
    <s v="Trimble"/>
    <x v="0"/>
    <s v="Coal"/>
    <x v="2"/>
    <x v="0"/>
    <n v="7"/>
    <n v="2.4999999999417923"/>
    <n v="0.36163522011736621"/>
    <n v="270.14150942767253"/>
    <n v="108.05660377358491"/>
    <x v="255"/>
  </r>
  <r>
    <x v="12"/>
    <x v="0"/>
    <n v="104"/>
    <n v="9600"/>
    <d v="2013-07-08T16:20:00"/>
    <d v="2013-07-09T00:25:00"/>
    <n v="650"/>
    <n v="795"/>
    <n v="747"/>
    <s v="SO2 stack emissions (fossil)"/>
    <s v="FE00SO2 emissions running high, derate initiated to avoid exceedance of daily limit."/>
    <s v="Trimble"/>
    <x v="0"/>
    <s v="Coal"/>
    <x v="2"/>
    <x v="0"/>
    <n v="7"/>
    <n v="8.0833333333139308"/>
    <n v="1.4743186582773835"/>
    <n v="1101.3160377332056"/>
    <n v="136.24528301886792"/>
    <x v="62"/>
  </r>
  <r>
    <x v="12"/>
    <x v="0"/>
    <n v="105"/>
    <n v="9600"/>
    <d v="2013-07-09T21:07:00"/>
    <d v="2013-07-10T00:00:00"/>
    <n v="700"/>
    <n v="795"/>
    <n v="747"/>
    <s v="SO2 stack emissions (fossil)"/>
    <s v="FE00SO2 emissions running high, derate initiated to avoid exceedance of daily limit."/>
    <s v="Trimble"/>
    <x v="0"/>
    <s v="Coal"/>
    <x v="2"/>
    <x v="0"/>
    <n v="7"/>
    <n v="2.8833333333022892"/>
    <n v="0.34454926624366977"/>
    <n v="257.37830188402131"/>
    <n v="89.264150943396231"/>
    <x v="145"/>
  </r>
  <r>
    <x v="12"/>
    <x v="0"/>
    <n v="106"/>
    <n v="8650"/>
    <d v="2013-07-10T01:30:00"/>
    <d v="2013-07-10T02:00:00"/>
    <n v="739"/>
    <n v="795"/>
    <n v="747"/>
    <s v="Baghouse systems"/>
    <s v="F660Fabric fitler differential pressure ran high requiring derate."/>
    <s v="Trimble"/>
    <x v="0"/>
    <s v="Coal"/>
    <x v="2"/>
    <x v="0"/>
    <n v="7"/>
    <n v="0.50000000005820766"/>
    <n v="3.5220125790263686E-2"/>
    <n v="26.309433965326974"/>
    <n v="52.618867924528303"/>
    <x v="179"/>
  </r>
  <r>
    <x v="12"/>
    <x v="0"/>
    <n v="107"/>
    <n v="9620"/>
    <d v="2013-07-11T04:05:00"/>
    <d v="2013-07-11T07:00:00"/>
    <n v="725"/>
    <n v="795"/>
    <n v="747"/>
    <s v="Particulate stack emissions (fossil)"/>
    <s v="FE00Particulates ran at a higher rate, derate initiated to avoid exceedance of daily l"/>
    <s v="Trimble"/>
    <x v="0"/>
    <s v="Coal"/>
    <x v="2"/>
    <x v="0"/>
    <n v="7"/>
    <n v="2.9166666665696539"/>
    <n v="0.25681341718223366"/>
    <n v="191.83962263512853"/>
    <n v="65.773584905660371"/>
    <x v="244"/>
  </r>
  <r>
    <x v="12"/>
    <x v="3"/>
    <n v="108"/>
    <n v="8810"/>
    <d v="2013-07-16T00:00:00"/>
    <d v="2013-07-16T03:00:00"/>
    <n v="0"/>
    <n v="795"/>
    <n v="747"/>
    <s v="SCR NOx Reactor"/>
    <s v="F790Tuning of the SCR by Doosan was scheduled and required a low removal rate in order"/>
    <s v="Trimble"/>
    <x v="1"/>
    <s v="Coal"/>
    <x v="2"/>
    <x v="0"/>
    <n v="7"/>
    <n v="3"/>
    <n v="3"/>
    <n v="2241"/>
    <n v="747"/>
    <x v="302"/>
  </r>
  <r>
    <x v="12"/>
    <x v="3"/>
    <n v="109"/>
    <n v="1190"/>
    <d v="2013-07-21T00:00:00"/>
    <d v="2013-07-21T07:00:00"/>
    <n v="0"/>
    <n v="795"/>
    <n v="747"/>
    <s v="Other tube slagging or fouling"/>
    <s v="FS00This load reduction was for weekly boiler de-slag. The load could have been return"/>
    <s v="Trimble"/>
    <x v="1"/>
    <s v="Coal"/>
    <x v="2"/>
    <x v="0"/>
    <n v="7"/>
    <n v="6.9999999999417923"/>
    <n v="6.9999999999417923"/>
    <n v="5228.9999999565189"/>
    <n v="747"/>
    <x v="302"/>
  </r>
  <r>
    <x v="12"/>
    <x v="0"/>
    <n v="110"/>
    <n v="4250"/>
    <d v="2013-07-21T22:00:00"/>
    <d v="2013-07-22T00:00:00"/>
    <n v="750"/>
    <n v="795"/>
    <n v="747"/>
    <s v="Other low pressure turbine problems"/>
    <s v="F660The load drop was due to high steam flow &gt;5150KPPH. This was due to having the 7A "/>
    <s v="Trimble"/>
    <x v="0"/>
    <s v="Coal"/>
    <x v="2"/>
    <x v="0"/>
    <n v="7"/>
    <n v="2.0000000000582077"/>
    <n v="0.11320754717310609"/>
    <n v="84.566037738310243"/>
    <n v="42.283018867924525"/>
    <x v="117"/>
  </r>
  <r>
    <x v="12"/>
    <x v="3"/>
    <n v="111"/>
    <n v="1190"/>
    <d v="2013-07-28T00:00:00"/>
    <d v="2013-07-28T09:00:00"/>
    <n v="0"/>
    <n v="795"/>
    <n v="747"/>
    <s v="Other tube slagging or fouling"/>
    <s v="FS00This load reduction was for weekly boiler de-slag. The load could have been return"/>
    <s v="Trimble"/>
    <x v="1"/>
    <s v="Coal"/>
    <x v="2"/>
    <x v="0"/>
    <n v="7"/>
    <n v="9"/>
    <n v="9"/>
    <n v="6723"/>
    <n v="747"/>
    <x v="302"/>
  </r>
  <r>
    <x v="12"/>
    <x v="3"/>
    <n v="112"/>
    <n v="1990"/>
    <d v="2013-07-30T08:00:00"/>
    <d v="2013-07-30T12:00:00"/>
    <n v="0"/>
    <n v="795"/>
    <n v="747"/>
    <s v="Boiler performance testing (use code 9999 for total unit performance testing)"/>
    <s v="F790Non-curtailing event to perform unit heat rate and capability test."/>
    <s v="Trimble"/>
    <x v="1"/>
    <s v="Coal"/>
    <x v="2"/>
    <x v="0"/>
    <n v="7"/>
    <n v="3.9999999999417923"/>
    <n v="3.9999999999417923"/>
    <n v="2987.9999999565189"/>
    <n v="747"/>
    <x v="302"/>
  </r>
  <r>
    <x v="12"/>
    <x v="0"/>
    <n v="113"/>
    <n v="8125"/>
    <d v="2013-08-01T17:50:00"/>
    <d v="2013-08-01T20:23:00"/>
    <n v="680"/>
    <n v="795"/>
    <n v="747"/>
    <s v="Scrubber recycle (liquid) pumps"/>
    <s v="F820The 2C Recycle Pump tripped due to high temperature (203 degF).  Placed it back in"/>
    <s v="Trimble"/>
    <x v="0"/>
    <s v="Coal"/>
    <x v="2"/>
    <x v="0"/>
    <n v="8"/>
    <n v="2.5500000001047738"/>
    <n v="0.36886792454345785"/>
    <n v="275.54433963396303"/>
    <n v="108.05660377358491"/>
    <x v="255"/>
  </r>
  <r>
    <x v="12"/>
    <x v="3"/>
    <n v="114"/>
    <n v="1190"/>
    <d v="2013-08-04T00:00:00"/>
    <d v="2013-08-04T09:00:00"/>
    <n v="0"/>
    <n v="795"/>
    <n v="747"/>
    <s v="Other tube slagging or fouling"/>
    <s v="FS00Non-curtailing derate to execute OEM recommended weekly boiler deslag on TC2.  Ful"/>
    <s v="Trimble"/>
    <x v="1"/>
    <s v="Coal"/>
    <x v="2"/>
    <x v="0"/>
    <n v="8"/>
    <n v="9"/>
    <n v="9"/>
    <n v="6723"/>
    <n v="747"/>
    <x v="302"/>
  </r>
  <r>
    <x v="12"/>
    <x v="0"/>
    <n v="115"/>
    <n v="9616"/>
    <d v="2013-08-07T01:20:00"/>
    <d v="2013-08-07T02:55:00"/>
    <n v="681"/>
    <n v="795"/>
    <n v="747"/>
    <s v="CO stack emissions"/>
    <s v="FE00High CO readings required a derate to avoid exceedances."/>
    <s v="Trimble"/>
    <x v="0"/>
    <s v="Coal"/>
    <x v="2"/>
    <x v="0"/>
    <n v="8"/>
    <n v="1.5833333334303461"/>
    <n v="0.22704402517114397"/>
    <n v="169.60188680284455"/>
    <n v="107.11698113207547"/>
    <x v="4"/>
  </r>
  <r>
    <x v="12"/>
    <x v="0"/>
    <n v="116"/>
    <n v="310"/>
    <d v="2013-08-07T11:06:00"/>
    <d v="2013-08-07T12:00:00"/>
    <n v="650"/>
    <n v="795"/>
    <n v="747"/>
    <s v="Pulverizer mills"/>
    <s v="F8202A coal mill tripped due to loss of sufficient PA flow.  Derate required, then swa"/>
    <s v="Trimble"/>
    <x v="0"/>
    <s v="Coal"/>
    <x v="2"/>
    <x v="0"/>
    <n v="8"/>
    <n v="0.8999999999650754"/>
    <n v="0.16415094338985653"/>
    <n v="122.62075471222283"/>
    <n v="136.24528301886792"/>
    <x v="62"/>
  </r>
  <r>
    <x v="12"/>
    <x v="3"/>
    <n v="117"/>
    <n v="1190"/>
    <d v="2013-08-11T00:00:00"/>
    <d v="2013-08-11T08:15:00"/>
    <n v="0"/>
    <n v="795"/>
    <n v="747"/>
    <s v="Other tube slagging or fouling"/>
    <s v="FS00Weekly OEM suggested derate for boiler deslag.  Unit available for full load if re"/>
    <s v="Trimble"/>
    <x v="1"/>
    <s v="Coal"/>
    <x v="2"/>
    <x v="0"/>
    <n v="8"/>
    <n v="8.25"/>
    <n v="8.25"/>
    <n v="6162.75"/>
    <n v="747"/>
    <x v="302"/>
  </r>
  <r>
    <x v="12"/>
    <x v="3"/>
    <n v="118"/>
    <n v="1190"/>
    <d v="2013-08-18T00:00:00"/>
    <d v="2013-08-18T09:00:00"/>
    <n v="0"/>
    <n v="795"/>
    <n v="747"/>
    <s v="Other tube slagging or fouling"/>
    <s v="FS00Weekly boiler deslag for cleaning of the furnace based on OEM recommendations.  Ab"/>
    <s v="Trimble"/>
    <x v="1"/>
    <s v="Coal"/>
    <x v="2"/>
    <x v="0"/>
    <n v="8"/>
    <n v="9"/>
    <n v="9"/>
    <n v="6723"/>
    <n v="747"/>
    <x v="302"/>
  </r>
  <r>
    <x v="12"/>
    <x v="2"/>
    <n v="119"/>
    <n v="3441"/>
    <d v="2013-08-23T20:30:00"/>
    <d v="2013-08-24T00:00:00"/>
    <n v="450"/>
    <n v="795"/>
    <n v="747"/>
    <s v="Other high pressure heater problems (see condensate system for LP and IP heater codes)"/>
    <s v="F540Planned derate to conduct maintenance on the 8A HP FW Heater due to bypass valve n"/>
    <s v="Trimble"/>
    <x v="0"/>
    <s v="Coal"/>
    <x v="2"/>
    <x v="0"/>
    <n v="8"/>
    <n v="3.5000000000582077"/>
    <n v="1.5188679245535619"/>
    <n v="1134.5943396415107"/>
    <n v="324.16981132075472"/>
    <x v="314"/>
  </r>
  <r>
    <x v="12"/>
    <x v="3"/>
    <n v="120"/>
    <n v="1190"/>
    <d v="2013-08-24T00:00:00"/>
    <d v="2013-08-24T08:00:00"/>
    <n v="0"/>
    <n v="795"/>
    <n v="747"/>
    <s v="Other tube slagging or fouling"/>
    <s v="FS00Weekly boiler deslag as recommended by boiler OEM.  Deslag was performed at 450 MW"/>
    <s v="Trimble"/>
    <x v="1"/>
    <s v="Coal"/>
    <x v="2"/>
    <x v="0"/>
    <n v="8"/>
    <n v="8.0000000000582077"/>
    <n v="8.0000000000582077"/>
    <n v="5976.0000000434811"/>
    <n v="747"/>
    <x v="302"/>
  </r>
  <r>
    <x v="12"/>
    <x v="0"/>
    <n v="121"/>
    <n v="9616"/>
    <d v="2013-08-31T19:53:00"/>
    <d v="2013-08-31T21:00:00"/>
    <n v="685"/>
    <n v="795"/>
    <n v="747"/>
    <s v="CO stack emissions"/>
    <s v="FE00Derate due to CO spike."/>
    <s v="Trimble"/>
    <x v="0"/>
    <s v="Coal"/>
    <x v="2"/>
    <x v="0"/>
    <n v="8"/>
    <n v="1.1166666666395031"/>
    <n v="0.15450733752244697"/>
    <n v="115.41698112926788"/>
    <n v="103.35849056603773"/>
    <x v="140"/>
  </r>
  <r>
    <x v="12"/>
    <x v="0"/>
    <n v="122"/>
    <n v="9616"/>
    <d v="2013-09-01T16:48:00"/>
    <d v="2013-09-01T17:58:00"/>
    <n v="681"/>
    <n v="795"/>
    <n v="747"/>
    <s v="CO stack emissions"/>
    <s v="FE00CO emission issues continued with the unit and required derate."/>
    <s v="Trimble"/>
    <x v="0"/>
    <s v="Coal"/>
    <x v="2"/>
    <x v="0"/>
    <n v="9"/>
    <n v="1.1666666668024845"/>
    <n v="0.1672955975037525"/>
    <n v="124.96981133530312"/>
    <n v="107.11698113207547"/>
    <x v="4"/>
  </r>
  <r>
    <x v="12"/>
    <x v="0"/>
    <n v="123"/>
    <n v="1455"/>
    <d v="2013-09-01T17:58:00"/>
    <d v="2013-09-01T19:30:00"/>
    <n v="700"/>
    <n v="795"/>
    <n v="747"/>
    <s v="Induced draft fans"/>
    <s v="F660ID Fan stall alarms required derate to avoid unit trip."/>
    <s v="Trimble"/>
    <x v="0"/>
    <s v="Coal"/>
    <x v="2"/>
    <x v="0"/>
    <n v="9"/>
    <n v="1.5333333332673647"/>
    <n v="0.18322851152251526"/>
    <n v="136.87169810731891"/>
    <n v="89.264150943396231"/>
    <x v="145"/>
  </r>
  <r>
    <x v="12"/>
    <x v="0"/>
    <n v="124"/>
    <n v="9616"/>
    <d v="2013-09-01T19:55:00"/>
    <d v="2013-09-02T00:00:00"/>
    <n v="750"/>
    <n v="795"/>
    <n v="747"/>
    <s v="CO stack emissions"/>
    <s v="FE00Emissions issues involving CO levels following the low suction pressure on the ID "/>
    <s v="Trimble"/>
    <x v="0"/>
    <s v="Coal"/>
    <x v="2"/>
    <x v="0"/>
    <n v="9"/>
    <n v="4.0833333333721384"/>
    <n v="0.23113207547389464"/>
    <n v="172.6556603789993"/>
    <n v="42.283018867924525"/>
    <x v="117"/>
  </r>
  <r>
    <x v="12"/>
    <x v="3"/>
    <n v="125"/>
    <n v="1190"/>
    <d v="2013-09-02T00:00:00"/>
    <d v="2013-09-02T07:00:00"/>
    <n v="0"/>
    <n v="795"/>
    <n v="747"/>
    <s v="Other tube slagging or fouling"/>
    <s v="FS00Non-curtailing event to conduct boiler deslag as recommended by OEM at 450 MW.  Un"/>
    <s v="Trimble"/>
    <x v="1"/>
    <s v="Coal"/>
    <x v="2"/>
    <x v="0"/>
    <n v="9"/>
    <n v="6.9999999999417923"/>
    <n v="6.9999999999417923"/>
    <n v="5228.9999999565189"/>
    <n v="747"/>
    <x v="302"/>
  </r>
  <r>
    <x v="12"/>
    <x v="0"/>
    <n v="126"/>
    <n v="9616"/>
    <d v="2013-09-02T12:00:00"/>
    <d v="2013-09-02T13:30:00"/>
    <n v="680"/>
    <n v="795"/>
    <n v="747"/>
    <s v="CO stack emissions"/>
    <s v="FE00Continued CO issues along with FD Fan issues required derate to 680 MW."/>
    <s v="Trimble"/>
    <x v="0"/>
    <s v="Coal"/>
    <x v="2"/>
    <x v="0"/>
    <n v="9"/>
    <n v="1.5"/>
    <n v="0.21698113207547171"/>
    <n v="162.08490566037736"/>
    <n v="108.05660377358491"/>
    <x v="255"/>
  </r>
  <r>
    <x v="12"/>
    <x v="0"/>
    <n v="127"/>
    <n v="250"/>
    <d v="2013-09-03T18:57:00"/>
    <d v="2013-09-03T20:00:00"/>
    <n v="699"/>
    <n v="795"/>
    <n v="747"/>
    <s v="Pulverizer feeders"/>
    <s v="F8202B Mill Feeder tripped requiring derate."/>
    <s v="Trimble"/>
    <x v="0"/>
    <s v="Coal"/>
    <x v="2"/>
    <x v="0"/>
    <n v="9"/>
    <n v="1.0500000001047738"/>
    <n v="0.1267924528428406"/>
    <n v="94.713962273601936"/>
    <n v="90.203773584905662"/>
    <x v="160"/>
  </r>
  <r>
    <x v="12"/>
    <x v="0"/>
    <n v="128"/>
    <n v="250"/>
    <d v="2013-09-03T20:00:00"/>
    <d v="2013-09-04T05:00:00"/>
    <n v="659"/>
    <n v="795"/>
    <n v="747"/>
    <s v="Pulverizer feeders"/>
    <s v="F060Following the mill trip, it was found that the feeder for the 2B mill was damaged."/>
    <s v="Trimble"/>
    <x v="0"/>
    <s v="Coal"/>
    <x v="2"/>
    <x v="0"/>
    <n v="9"/>
    <n v="9"/>
    <n v="1.5396226415094341"/>
    <n v="1150.0981132075472"/>
    <n v="127.78867924528302"/>
    <x v="259"/>
  </r>
  <r>
    <x v="12"/>
    <x v="3"/>
    <n v="129"/>
    <n v="1190"/>
    <d v="2013-09-06T21:00:00"/>
    <d v="2013-09-07T06:00:00"/>
    <n v="0"/>
    <n v="795"/>
    <n v="747"/>
    <s v="Other tube slagging or fouling"/>
    <s v="FS00Planned weekly boiler deslag as recommended by OEM.  Unit available for full load "/>
    <s v="Trimble"/>
    <x v="1"/>
    <s v="Coal"/>
    <x v="2"/>
    <x v="0"/>
    <n v="9"/>
    <n v="9"/>
    <n v="9"/>
    <n v="6723"/>
    <n v="747"/>
    <x v="302"/>
  </r>
  <r>
    <x v="12"/>
    <x v="0"/>
    <n v="130"/>
    <n v="266"/>
    <d v="2013-09-10T10:57:00"/>
    <d v="2013-09-10T11:30:00"/>
    <n v="764"/>
    <n v="795"/>
    <n v="747"/>
    <s v="Primary air heater fouling"/>
    <s v="F660Derate required due to AH Differntial increase due to suspected pluggage.  Air hea"/>
    <s v="Trimble"/>
    <x v="0"/>
    <s v="Coal"/>
    <x v="2"/>
    <x v="0"/>
    <n v="9"/>
    <n v="0.54999999987194315"/>
    <n v="2.1446540875509734E-2"/>
    <n v="16.020566034005771"/>
    <n v="29.128301886792453"/>
    <x v="206"/>
  </r>
  <r>
    <x v="12"/>
    <x v="0"/>
    <n v="131"/>
    <n v="1400"/>
    <d v="2013-09-10T15:17:00"/>
    <d v="2013-09-11T06:00:00"/>
    <n v="771"/>
    <n v="795"/>
    <n v="747"/>
    <s v="Forced draft fans"/>
    <s v="F660Derate required due to FD Fan stall.  Air heater wash planned for weekend outage."/>
    <s v="Trimble"/>
    <x v="0"/>
    <s v="Coal"/>
    <x v="2"/>
    <x v="0"/>
    <n v="9"/>
    <n v="14.71666666661622"/>
    <n v="0.4442767295582255"/>
    <n v="331.87471697999445"/>
    <n v="22.550943396226415"/>
    <x v="0"/>
  </r>
  <r>
    <x v="12"/>
    <x v="0"/>
    <n v="132"/>
    <n v="1400"/>
    <d v="2013-09-11T06:00:00"/>
    <d v="2013-09-11T19:04:00"/>
    <n v="749"/>
    <n v="795"/>
    <n v="747"/>
    <s v="Forced draft fans"/>
    <s v="F660Derate required due to FD Fan stall.  Air heater wash planned for weekend outage."/>
    <s v="Trimble"/>
    <x v="0"/>
    <s v="Coal"/>
    <x v="2"/>
    <x v="0"/>
    <n v="9"/>
    <n v="13.066666666651145"/>
    <n v="0.75605870020874544"/>
    <n v="564.77584905593289"/>
    <n v="43.222641509433963"/>
    <x v="82"/>
  </r>
  <r>
    <x v="12"/>
    <x v="0"/>
    <n v="133"/>
    <n v="1400"/>
    <d v="2013-09-11T19:04:00"/>
    <d v="2013-09-12T00:06:00"/>
    <n v="729"/>
    <n v="795"/>
    <n v="747"/>
    <s v="Forced draft fans"/>
    <s v="F660Derate required due to FD Fan stall.  Air heater wash planned for weekend outage."/>
    <s v="Trimble"/>
    <x v="0"/>
    <s v="Coal"/>
    <x v="2"/>
    <x v="0"/>
    <n v="9"/>
    <n v="5.0333333333255723"/>
    <n v="0.4178616352194815"/>
    <n v="312.14264150895269"/>
    <n v="62.015094339622642"/>
    <x v="171"/>
  </r>
  <r>
    <x v="12"/>
    <x v="0"/>
    <n v="134"/>
    <n v="1400"/>
    <d v="2013-09-12T00:06:00"/>
    <d v="2013-09-12T09:32:00"/>
    <n v="719"/>
    <n v="795"/>
    <n v="747"/>
    <s v="Forced draft fans"/>
    <s v="F660Derate required due to FD Fan stall.  Air heater wash planned for weekend outage."/>
    <s v="Trimble"/>
    <x v="0"/>
    <s v="Coal"/>
    <x v="2"/>
    <x v="0"/>
    <n v="9"/>
    <n v="9.4333333333488554"/>
    <n v="0.90180293501196607"/>
    <n v="673.6467924539387"/>
    <n v="71.411320754716982"/>
    <x v="165"/>
  </r>
  <r>
    <x v="12"/>
    <x v="0"/>
    <n v="135"/>
    <n v="1400"/>
    <d v="2013-09-12T09:32:00"/>
    <d v="2013-09-12T15:02:00"/>
    <n v="680"/>
    <n v="795"/>
    <n v="747"/>
    <s v="Forced draft fans"/>
    <s v="F660Derate required due to FD Fan stall. "/>
    <s v="Trimble"/>
    <x v="0"/>
    <s v="Coal"/>
    <x v="2"/>
    <x v="0"/>
    <n v="9"/>
    <n v="5.4999999999417923"/>
    <n v="0.79559748426830956"/>
    <n v="594.31132074842719"/>
    <n v="108.05660377358491"/>
    <x v="255"/>
  </r>
  <r>
    <x v="12"/>
    <x v="0"/>
    <n v="136"/>
    <n v="1400"/>
    <d v="2013-09-12T15:02:00"/>
    <d v="2013-09-12T16:16:00"/>
    <n v="275"/>
    <n v="795"/>
    <n v="747"/>
    <s v="Forced draft fans"/>
    <s v="F660Derate required due to FD Fan stall.  "/>
    <s v="Trimble"/>
    <x v="0"/>
    <s v="Coal"/>
    <x v="2"/>
    <x v="0"/>
    <n v="9"/>
    <n v="1.2333333333372138"/>
    <n v="0.80670859539037887"/>
    <n v="602.61132075661305"/>
    <n v="488.60377358490564"/>
    <x v="315"/>
  </r>
  <r>
    <x v="12"/>
    <x v="5"/>
    <n v="137"/>
    <n v="1400"/>
    <d v="2013-09-12T16:16:00"/>
    <d v="2013-09-12T19:17:00"/>
    <n v="0"/>
    <n v="795"/>
    <n v="747"/>
    <s v="Forced draft fans"/>
    <s v="F660FD Fan stall runback alarms started coming in and the F/D Fans went into a run bac"/>
    <s v="Trimble"/>
    <x v="3"/>
    <s v="Coal"/>
    <x v="2"/>
    <x v="0"/>
    <n v="9"/>
    <n v="3.0166666667209938"/>
    <n v="3.0166666667209938"/>
    <n v="2253.4500000405824"/>
    <n v="747"/>
    <x v="302"/>
  </r>
  <r>
    <x v="12"/>
    <x v="4"/>
    <n v="138"/>
    <n v="266"/>
    <d v="2013-09-12T19:17:00"/>
    <d v="2013-09-16T15:57:00"/>
    <n v="0"/>
    <n v="795"/>
    <n v="747"/>
    <s v="Primary air heater fouling"/>
    <s v="FF00Maintenance outage to perform AH wash.  Additional maintenance work for repairing "/>
    <s v="Trimble"/>
    <x v="2"/>
    <s v="Coal"/>
    <x v="2"/>
    <x v="0"/>
    <n v="9"/>
    <n v="92.666666666627862"/>
    <n v="92.666666666627862"/>
    <n v="69221.999999971013"/>
    <n v="747"/>
    <x v="302"/>
  </r>
  <r>
    <x v="12"/>
    <x v="0"/>
    <n v="139"/>
    <n v="1415"/>
    <d v="2013-09-17T02:00:00"/>
    <d v="2013-09-17T08:00:00"/>
    <n v="650"/>
    <n v="795"/>
    <n v="747"/>
    <s v="Forced draft fan controls"/>
    <s v="F400Unit derate was due to air flow issues for the burners from the FD fans.  Root cau"/>
    <s v="Trimble"/>
    <x v="0"/>
    <s v="Coal"/>
    <x v="2"/>
    <x v="0"/>
    <n v="9"/>
    <n v="6"/>
    <n v="1.0943396226415094"/>
    <n v="817.47169811320748"/>
    <n v="136.24528301886792"/>
    <x v="62"/>
  </r>
  <r>
    <x v="12"/>
    <x v="3"/>
    <n v="140"/>
    <n v="1190"/>
    <d v="2013-09-20T17:00:00"/>
    <d v="2013-09-20T23:15:00"/>
    <n v="0"/>
    <n v="795"/>
    <n v="747"/>
    <s v="Other tube slagging or fouling"/>
    <s v="FS00Boiler deslag conducted at 450 MW based on OEM recommendations.  Unit available to"/>
    <s v="Trimble"/>
    <x v="1"/>
    <s v="Coal"/>
    <x v="2"/>
    <x v="0"/>
    <n v="9"/>
    <n v="6.2499999999417923"/>
    <n v="6.2499999999417923"/>
    <n v="4668.7499999565189"/>
    <n v="747"/>
    <x v="302"/>
  </r>
  <r>
    <x v="12"/>
    <x v="0"/>
    <n v="141"/>
    <n v="250"/>
    <d v="2013-09-21T11:56:00"/>
    <d v="2013-09-21T12:45:00"/>
    <n v="665"/>
    <n v="795"/>
    <n v="747"/>
    <s v="Pulverizer feeders"/>
    <s v="F8202F Coal mill tripped due to &quot;Feeder discharge plugged&quot;.  Fixed issues and returned"/>
    <s v="Trimble"/>
    <x v="0"/>
    <s v="Coal"/>
    <x v="2"/>
    <x v="0"/>
    <n v="9"/>
    <n v="0.81666666670935228"/>
    <n v="0.13354297694618339"/>
    <n v="99.75660377879899"/>
    <n v="122.15094339622641"/>
    <x v="137"/>
  </r>
  <r>
    <x v="12"/>
    <x v="0"/>
    <n v="142"/>
    <n v="9305"/>
    <d v="2013-09-22T23:15:00"/>
    <d v="2013-09-23T01:00:00"/>
    <n v="730"/>
    <n v="795"/>
    <n v="747"/>
    <s v="Ash disposal problem"/>
    <s v="F060The level trasmitter on the Submerged Scraper Conveyor failed and water level drop"/>
    <s v="Trimble"/>
    <x v="0"/>
    <s v="Coal"/>
    <x v="2"/>
    <x v="0"/>
    <n v="9"/>
    <n v="1.7499999999417923"/>
    <n v="0.14308176100153019"/>
    <n v="106.88207546814306"/>
    <n v="61.075471698113205"/>
    <x v="131"/>
  </r>
  <r>
    <x v="12"/>
    <x v="0"/>
    <n v="143"/>
    <n v="310"/>
    <d v="2013-09-23T21:40:00"/>
    <d v="2013-09-23T23:52:00"/>
    <n v="650"/>
    <n v="795"/>
    <n v="747"/>
    <s v="Pulverizer mills"/>
    <s v="F820Derate was due to loss of 2D coal mill.  The Coal Mill trip required putting the b"/>
    <s v="Trimble"/>
    <x v="0"/>
    <s v="Coal"/>
    <x v="2"/>
    <x v="0"/>
    <n v="9"/>
    <n v="2.1999999998370185"/>
    <n v="0.40125786160549393"/>
    <n v="299.73962261930399"/>
    <n v="136.24528301886792"/>
    <x v="62"/>
  </r>
  <r>
    <x v="12"/>
    <x v="3"/>
    <n v="144"/>
    <n v="1190"/>
    <d v="2013-09-29T00:01:00"/>
    <d v="2013-09-29T08:15:00"/>
    <n v="0"/>
    <n v="795"/>
    <n v="747"/>
    <s v="Other tube slagging or fouling"/>
    <s v="FS00Boiler deslag conducted at 450 MW based on OEM recommendations.  Unit available to"/>
    <s v="Trimble"/>
    <x v="1"/>
    <s v="Coal"/>
    <x v="2"/>
    <x v="0"/>
    <n v="9"/>
    <n v="8.2333333332790062"/>
    <n v="8.2333333332790062"/>
    <n v="6150.2999999594176"/>
    <n v="747"/>
    <x v="302"/>
  </r>
  <r>
    <x v="12"/>
    <x v="0"/>
    <n v="145"/>
    <n v="510"/>
    <d v="2013-10-01T00:30:00"/>
    <d v="2013-10-01T08:21:00"/>
    <n v="804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7.8499999999185093"/>
    <n v="-8.8867924527379349E-2"/>
    <n v="-66.384339621952378"/>
    <n v="0"/>
    <x v="152"/>
  </r>
  <r>
    <x v="12"/>
    <x v="0"/>
    <n v="146"/>
    <n v="9616"/>
    <d v="2013-10-01T08:21:00"/>
    <d v="2013-10-01T10:30:00"/>
    <n v="704"/>
    <n v="795"/>
    <n v="747"/>
    <s v="CO stack emissions"/>
    <s v="FE00Excess CO emissions required a derate to keep the Unit from experiencing an exceda"/>
    <s v="Trimble"/>
    <x v="0"/>
    <s v="Coal"/>
    <x v="2"/>
    <x v="0"/>
    <n v="10"/>
    <n v="2.1500000000232831"/>
    <n v="0.24610062893348272"/>
    <n v="183.83716981331159"/>
    <n v="85.505660377358495"/>
    <x v="173"/>
  </r>
  <r>
    <x v="12"/>
    <x v="0"/>
    <n v="147"/>
    <n v="510"/>
    <d v="2013-10-01T10:30:00"/>
    <d v="2013-10-02T10:04:00"/>
    <n v="804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23.566666666651145"/>
    <n v="-0.26679245283001296"/>
    <n v="-199.29396226401968"/>
    <n v="0"/>
    <x v="152"/>
  </r>
  <r>
    <x v="12"/>
    <x v="0"/>
    <n v="148"/>
    <n v="510"/>
    <d v="2013-10-02T10:04:00"/>
    <d v="2013-10-02T11:04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0.99999999994179234"/>
    <n v="-5.0314465405876347E-3"/>
    <n v="-3.7584905658189633"/>
    <n v="0"/>
    <x v="152"/>
  </r>
  <r>
    <x v="12"/>
    <x v="0"/>
    <n v="149"/>
    <n v="510"/>
    <d v="2013-10-02T11:04:00"/>
    <d v="2013-10-02T13:13:00"/>
    <n v="804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2.1500000000232831"/>
    <n v="-2.4339622641773015E-2"/>
    <n v="-18.18169811340444"/>
    <n v="0"/>
    <x v="152"/>
  </r>
  <r>
    <x v="12"/>
    <x v="0"/>
    <n v="150"/>
    <n v="510"/>
    <d v="2013-10-02T13:13:00"/>
    <d v="2013-10-06T00:01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82.800000000104774"/>
    <n v="-0.41660377358543282"/>
    <n v="-311.20301886831834"/>
    <n v="0"/>
    <x v="152"/>
  </r>
  <r>
    <x v="12"/>
    <x v="3"/>
    <n v="151"/>
    <n v="1190"/>
    <d v="2013-10-06T00:01:00"/>
    <d v="2013-10-06T09:00:00"/>
    <n v="0"/>
    <n v="795"/>
    <n v="747"/>
    <s v="Other tube slagging or fouling"/>
    <s v="FS00OEM recommended deslag of the boiler.  Unit available to return to full load if di"/>
    <s v="Trimble"/>
    <x v="1"/>
    <s v="Coal"/>
    <x v="2"/>
    <x v="0"/>
    <n v="10"/>
    <n v="8.9833333332790062"/>
    <n v="8.9833333332790062"/>
    <n v="6710.5499999594176"/>
    <n v="747"/>
    <x v="302"/>
  </r>
  <r>
    <x v="12"/>
    <x v="0"/>
    <n v="152"/>
    <n v="510"/>
    <d v="2013-10-06T09:00:00"/>
    <d v="2013-10-13T00:00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159"/>
    <n v="-0.8"/>
    <n v="-597.6"/>
    <n v="0"/>
    <x v="152"/>
  </r>
  <r>
    <x v="12"/>
    <x v="3"/>
    <n v="153"/>
    <n v="1190"/>
    <d v="2013-10-13T00:00:00"/>
    <d v="2013-10-13T09:00:00"/>
    <n v="0"/>
    <n v="795"/>
    <n v="747"/>
    <s v="Other tube slagging or fouling"/>
    <s v="FS00Non-curtailing derate for Boiler OEM recommended deslag.  Unit available if requir"/>
    <s v="Trimble"/>
    <x v="1"/>
    <s v="Coal"/>
    <x v="2"/>
    <x v="0"/>
    <n v="10"/>
    <n v="9"/>
    <n v="9"/>
    <n v="6723"/>
    <n v="747"/>
    <x v="302"/>
  </r>
  <r>
    <x v="12"/>
    <x v="0"/>
    <n v="154"/>
    <n v="510"/>
    <d v="2013-10-13T09:00:00"/>
    <d v="2013-10-14T16:41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31.683333333407063"/>
    <n v="-0.1594129979039349"/>
    <n v="-119.08150943423936"/>
    <n v="0"/>
    <x v="152"/>
  </r>
  <r>
    <x v="12"/>
    <x v="0"/>
    <n v="155"/>
    <n v="8821"/>
    <d v="2013-10-14T16:41:00"/>
    <d v="2013-10-14T18:00:00"/>
    <n v="676"/>
    <n v="795"/>
    <n v="747"/>
    <s v="SCR NOx Ammonia tanks"/>
    <s v="F8202B Ammonia Pump tripped and ammonia flow lost to unit.  Had to derate due to loss "/>
    <s v="Trimble"/>
    <x v="0"/>
    <s v="Coal"/>
    <x v="2"/>
    <x v="0"/>
    <n v="10"/>
    <n v="1.316666666592937"/>
    <n v="0.19708595386737043"/>
    <n v="147.22320753892572"/>
    <n v="111.81509433962265"/>
    <x v="38"/>
  </r>
  <r>
    <x v="12"/>
    <x v="0"/>
    <n v="156"/>
    <n v="510"/>
    <d v="2013-10-14T18:00:00"/>
    <d v="2013-10-20T00:00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126"/>
    <n v="-0.63396226415094337"/>
    <n v="-473.5698113207547"/>
    <n v="0"/>
    <x v="152"/>
  </r>
  <r>
    <x v="12"/>
    <x v="3"/>
    <n v="157"/>
    <n v="1190"/>
    <d v="2013-10-20T00:00:00"/>
    <d v="2013-10-20T07:00:00"/>
    <n v="0"/>
    <n v="795"/>
    <n v="747"/>
    <s v="Other tube slagging or fouling"/>
    <s v="FS00Non-curtailing derate for Boiler OEM recommended deslag.  Unit available for full "/>
    <s v="Trimble"/>
    <x v="1"/>
    <s v="Coal"/>
    <x v="2"/>
    <x v="0"/>
    <n v="10"/>
    <n v="6.9999999999417923"/>
    <n v="6.9999999999417923"/>
    <n v="5228.9999999565189"/>
    <n v="747"/>
    <x v="302"/>
  </r>
  <r>
    <x v="12"/>
    <x v="0"/>
    <n v="158"/>
    <n v="510"/>
    <d v="2013-10-20T07:00:00"/>
    <d v="2013-10-20T08:58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1.966666666790843"/>
    <n v="-9.895178197689777E-3"/>
    <n v="-7.3916981136742637"/>
    <n v="0"/>
    <x v="152"/>
  </r>
  <r>
    <x v="12"/>
    <x v="0"/>
    <n v="159"/>
    <n v="9616"/>
    <d v="2013-10-20T08:58:00"/>
    <d v="2013-10-20T11:00:00"/>
    <n v="699"/>
    <n v="795"/>
    <n v="747"/>
    <s v="CO stack emissions"/>
    <s v="FE00CO Emission issues due to O2 trim setting issues returning from deslag."/>
    <s v="Trimble"/>
    <x v="0"/>
    <s v="Coal"/>
    <x v="2"/>
    <x v="0"/>
    <n v="10"/>
    <n v="2.0333333333255723"/>
    <n v="0.24553459119403137"/>
    <n v="183.41433962194142"/>
    <n v="90.203773584905662"/>
    <x v="160"/>
  </r>
  <r>
    <x v="12"/>
    <x v="0"/>
    <n v="160"/>
    <n v="510"/>
    <d v="2013-10-20T11:00:00"/>
    <d v="2013-10-27T00:00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156.99999999994179"/>
    <n v="-0.78993710691794616"/>
    <n v="-590.08301886770573"/>
    <n v="0"/>
    <x v="152"/>
  </r>
  <r>
    <x v="12"/>
    <x v="3"/>
    <n v="161"/>
    <n v="1190"/>
    <d v="2013-10-27T00:00:00"/>
    <d v="2013-10-27T03:29:00"/>
    <n v="0"/>
    <n v="795"/>
    <n v="747"/>
    <s v="Other tube slagging or fouling"/>
    <s v="FS00Non-curtailing derate for OEM recommended weekly deslag.  Unit available for full "/>
    <s v="Trimble"/>
    <x v="1"/>
    <s v="Coal"/>
    <x v="2"/>
    <x v="0"/>
    <n v="10"/>
    <n v="3.4833333333372138"/>
    <n v="3.4833333333372138"/>
    <n v="2602.0500000028987"/>
    <n v="747"/>
    <x v="302"/>
  </r>
  <r>
    <x v="12"/>
    <x v="5"/>
    <n v="162"/>
    <n v="3150"/>
    <d v="2013-10-27T03:29:00"/>
    <d v="2013-10-27T07:00:00"/>
    <n v="0"/>
    <n v="795"/>
    <n v="747"/>
    <s v="Hot well level controls"/>
    <s v="F820High hotwell level transmitter readings caused the unit to MFT following end of un"/>
    <s v="Trimble"/>
    <x v="3"/>
    <s v="Coal"/>
    <x v="2"/>
    <x v="0"/>
    <n v="10"/>
    <n v="3.5166666666045785"/>
    <n v="3.5166666666045785"/>
    <n v="2626.9499999536201"/>
    <n v="747"/>
    <x v="302"/>
  </r>
  <r>
    <x v="12"/>
    <x v="7"/>
    <n v="163"/>
    <n v="385"/>
    <d v="2013-10-27T07:00:00"/>
    <d v="2013-10-27T17:05:00"/>
    <n v="0"/>
    <n v="795"/>
    <n v="747"/>
    <s v="Igniters"/>
    <s v="F460Start-up failure was caused by loss of instrument air pressure due to use of tempo"/>
    <s v="Trimble"/>
    <x v="3"/>
    <s v="Coal"/>
    <x v="2"/>
    <x v="0"/>
    <n v="10"/>
    <n v="10.083333333372138"/>
    <n v="10.083333333372138"/>
    <n v="7532.2500000289874"/>
    <n v="747"/>
    <x v="302"/>
  </r>
  <r>
    <x v="12"/>
    <x v="0"/>
    <n v="164"/>
    <n v="510"/>
    <d v="2013-10-27T22:15:00"/>
    <d v="2013-10-28T12:10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13.916666666627862"/>
    <n v="-7.0020964360391763E-2"/>
    <n v="-52.305660377212646"/>
    <n v="0"/>
    <x v="152"/>
  </r>
  <r>
    <x v="12"/>
    <x v="0"/>
    <n v="165"/>
    <n v="8823"/>
    <d v="2013-10-28T12:10:00"/>
    <d v="2013-10-28T13:00:00"/>
    <n v="699"/>
    <n v="795"/>
    <n v="747"/>
    <s v="SCR NOx Other ammonia system problems"/>
    <s v="F820Ammonia pumps tripped causing loss of ammonia feed requiring derate until pumps co"/>
    <s v="Trimble"/>
    <x v="0"/>
    <s v="Coal"/>
    <x v="2"/>
    <x v="0"/>
    <n v="10"/>
    <n v="0.83333333325572312"/>
    <n v="0.10062893080823826"/>
    <n v="75.169811313753982"/>
    <n v="90.203773584905662"/>
    <x v="160"/>
  </r>
  <r>
    <x v="12"/>
    <x v="0"/>
    <n v="166"/>
    <n v="510"/>
    <d v="2013-10-28T13:00:00"/>
    <d v="2013-10-30T06:00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41.000000000058208"/>
    <n v="-0.20628930817639349"/>
    <n v="-154.09811320776595"/>
    <n v="0"/>
    <x v="152"/>
  </r>
  <r>
    <x v="12"/>
    <x v="0"/>
    <n v="167"/>
    <n v="510"/>
    <d v="2013-10-30T06:00:00"/>
    <d v="2013-10-30T07:00:00"/>
    <n v="699"/>
    <n v="795"/>
    <n v="747"/>
    <s v="Main steam relief/safety valves off superheater"/>
    <s v="F540System over pressure caused the SH Safeties to lift, began leaking through.  Had t"/>
    <s v="Trimble"/>
    <x v="0"/>
    <s v="Coal"/>
    <x v="2"/>
    <x v="0"/>
    <n v="10"/>
    <n v="0.99999999994179234"/>
    <n v="0.12075471697410323"/>
    <n v="90.203773579655106"/>
    <n v="90.203773584905662"/>
    <x v="160"/>
  </r>
  <r>
    <x v="12"/>
    <x v="0"/>
    <n v="168"/>
    <n v="510"/>
    <d v="2013-10-30T07:00:00"/>
    <d v="2013-10-31T13:09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30.150000000139698"/>
    <n v="-0.15169811320825005"/>
    <n v="-113.31849056656279"/>
    <n v="0"/>
    <x v="152"/>
  </r>
  <r>
    <x v="12"/>
    <x v="0"/>
    <n v="169"/>
    <n v="510"/>
    <d v="2013-10-31T13:09:00"/>
    <d v="2013-10-31T16:00:00"/>
    <n v="699"/>
    <n v="795"/>
    <n v="747"/>
    <s v="Main steam relief/safety valves off superheater"/>
    <s v="F590Precision was brought in to reset the Main Steam safety valves, which required der"/>
    <s v="Trimble"/>
    <x v="0"/>
    <s v="Coal"/>
    <x v="2"/>
    <x v="0"/>
    <n v="10"/>
    <n v="2.8499999998603016"/>
    <n v="0.3441509433793572"/>
    <n v="257.08075470437984"/>
    <n v="90.203773584905662"/>
    <x v="160"/>
  </r>
  <r>
    <x v="12"/>
    <x v="0"/>
    <n v="170"/>
    <n v="510"/>
    <d v="2013-10-31T16:00:00"/>
    <d v="2013-11-01T09:30:00"/>
    <n v="799"/>
    <n v="795"/>
    <n v="747"/>
    <s v="Main steam relief/safety valves off superheater"/>
    <s v="F540Both electromatic relief valves are isolated on Unit 2 due to leaking gaskets.  St"/>
    <s v="Trimble"/>
    <x v="0"/>
    <s v="Coal"/>
    <x v="2"/>
    <x v="0"/>
    <n v="10"/>
    <n v="17.500000000116415"/>
    <n v="-8.8050314465994539E-2"/>
    <n v="-65.773584906097923"/>
    <n v="0"/>
    <x v="152"/>
  </r>
  <r>
    <x v="12"/>
    <x v="0"/>
    <n v="171"/>
    <n v="510"/>
    <d v="2013-11-01T09:30:00"/>
    <d v="2013-11-01T10:00:00"/>
    <n v="659"/>
    <n v="795"/>
    <n v="747"/>
    <s v="Main steam relief/safety valves off superheater"/>
    <s v="F690The #3 Safety on the south side of unit 2 will not lift.  Derate taken to decrease"/>
    <s v="Trimble"/>
    <x v="0"/>
    <s v="Coal"/>
    <x v="2"/>
    <x v="0"/>
    <n v="11"/>
    <n v="0.49999999988358468"/>
    <n v="8.5534591175053479E-2"/>
    <n v="63.894339607764948"/>
    <n v="127.78867924528302"/>
    <x v="259"/>
  </r>
  <r>
    <x v="12"/>
    <x v="0"/>
    <n v="172"/>
    <n v="510"/>
    <d v="2013-11-01T10:00:00"/>
    <d v="2013-11-03T00:00:00"/>
    <n v="709"/>
    <n v="795"/>
    <n v="747"/>
    <s v="Main steam relief/safety valves off superheater"/>
    <s v="F690The #3 Safety on the south side of unit 2 will not lift.  Able to increase load fr"/>
    <s v="Trimble"/>
    <x v="0"/>
    <s v="Coal"/>
    <x v="2"/>
    <x v="0"/>
    <n v="11"/>
    <n v="38.000000000058208"/>
    <n v="4.1106918239056673"/>
    <n v="3070.6867924575336"/>
    <n v="80.807547169811315"/>
    <x v="240"/>
  </r>
  <r>
    <x v="12"/>
    <x v="3"/>
    <n v="173"/>
    <n v="1190"/>
    <d v="2013-11-03T00:00:00"/>
    <d v="2013-11-03T08:00:00"/>
    <n v="0"/>
    <n v="795"/>
    <n v="747"/>
    <s v="Other tube slagging or fouling"/>
    <s v="FS00Non-curtailing derate for Boiler OEM recommended weekly deslag.  Unit available to"/>
    <s v="Trimble"/>
    <x v="1"/>
    <s v="Coal"/>
    <x v="2"/>
    <x v="0"/>
    <n v="11"/>
    <n v="8.0000000000582077"/>
    <n v="8.0000000000582077"/>
    <n v="5976.0000000434811"/>
    <n v="747"/>
    <x v="302"/>
  </r>
  <r>
    <x v="12"/>
    <x v="0"/>
    <n v="174"/>
    <n v="510"/>
    <d v="2013-11-03T08:00:00"/>
    <d v="2013-11-10T00:00:00"/>
    <n v="709"/>
    <n v="795"/>
    <n v="747"/>
    <s v="Main steam relief/safety valves off superheater"/>
    <s v="F690The #3 Safety on the south side of unit 2 will not lift.  Unit derate is required "/>
    <s v="Trimble"/>
    <x v="0"/>
    <s v="Coal"/>
    <x v="2"/>
    <x v="0"/>
    <n v="11"/>
    <n v="159.99999999994179"/>
    <n v="17.308176100622635"/>
    <n v="12929.207547165108"/>
    <n v="80.807547169811315"/>
    <x v="240"/>
  </r>
  <r>
    <x v="12"/>
    <x v="3"/>
    <n v="175"/>
    <n v="1190"/>
    <d v="2013-11-10T00:00:00"/>
    <d v="2013-11-10T08:00:00"/>
    <n v="0"/>
    <n v="795"/>
    <n v="747"/>
    <s v="Other tube slagging or fouling"/>
    <s v="FS00Non-curtailing derate for OEM recommended weekly deslag.  Unit available for full "/>
    <s v="Trimble"/>
    <x v="1"/>
    <s v="Coal"/>
    <x v="2"/>
    <x v="0"/>
    <n v="11"/>
    <n v="8.0000000000582077"/>
    <n v="8.0000000000582077"/>
    <n v="5976.0000000434811"/>
    <n v="747"/>
    <x v="302"/>
  </r>
  <r>
    <x v="12"/>
    <x v="0"/>
    <n v="176"/>
    <n v="510"/>
    <d v="2013-11-10T08:00:00"/>
    <d v="2013-11-16T02:01:00"/>
    <n v="709"/>
    <n v="795"/>
    <n v="747"/>
    <s v="Main steam relief/safety valves off superheater"/>
    <s v="F690The #3 Safety on the south side of unit 2 will not lift.  Unit derate is required "/>
    <s v="Trimble"/>
    <x v="0"/>
    <s v="Coal"/>
    <x v="2"/>
    <x v="0"/>
    <n v="11"/>
    <n v="138.01666666654637"/>
    <n v="14.930104821789921"/>
    <n v="11152.788301877072"/>
    <n v="80.807547169811315"/>
    <x v="240"/>
  </r>
  <r>
    <x v="12"/>
    <x v="4"/>
    <n v="177"/>
    <n v="510"/>
    <d v="2013-11-16T02:01:00"/>
    <d v="2013-11-18T17:40:00"/>
    <n v="0"/>
    <n v="795"/>
    <n v="747"/>
    <s v="Main steam relief/safety valves off superheater"/>
    <s v="F590Various safety valves on Unit 2 required maintenance.  Superheat safety valve woul"/>
    <s v="Trimble"/>
    <x v="2"/>
    <s v="Coal"/>
    <x v="2"/>
    <x v="0"/>
    <n v="11"/>
    <n v="63.650000000023283"/>
    <n v="63.650000000023283"/>
    <n v="47546.550000017392"/>
    <n v="747"/>
    <x v="302"/>
  </r>
  <r>
    <x v="12"/>
    <x v="5"/>
    <n v="178"/>
    <n v="3431"/>
    <d v="2013-11-19T03:04:00"/>
    <d v="2013-11-21T01:41:00"/>
    <n v="0"/>
    <n v="795"/>
    <n v="747"/>
    <s v="Other feedwater valves"/>
    <s v="F830The TC2 7B FW Bypass valve packing began leaking during operation of the valve.  U"/>
    <s v="Trimble"/>
    <x v="3"/>
    <s v="Coal"/>
    <x v="2"/>
    <x v="0"/>
    <n v="11"/>
    <n v="46.616666666697711"/>
    <n v="46.616666666697711"/>
    <n v="34822.65000002319"/>
    <n v="747"/>
    <x v="302"/>
  </r>
  <r>
    <x v="12"/>
    <x v="0"/>
    <n v="179"/>
    <n v="9610"/>
    <d v="2013-11-21T16:00:00"/>
    <d v="2013-11-22T01:00:00"/>
    <n v="649"/>
    <n v="795"/>
    <n v="747"/>
    <s v="NOx stack emissions (fossil)"/>
    <s v="FE00During start-up and ramping, there was a delay in introducing ammonia.  Additional"/>
    <s v="Trimble"/>
    <x v="0"/>
    <s v="Coal"/>
    <x v="2"/>
    <x v="0"/>
    <n v="11"/>
    <n v="9"/>
    <n v="1.6528301886792454"/>
    <n v="1234.6641509433962"/>
    <n v="137.18490566037735"/>
    <x v="224"/>
  </r>
  <r>
    <x v="12"/>
    <x v="0"/>
    <n v="180"/>
    <n v="9610"/>
    <d v="2013-11-22T01:00:00"/>
    <d v="2013-11-22T01:53:00"/>
    <n v="750"/>
    <n v="795"/>
    <n v="747"/>
    <s v="NOx stack emissions (fossil)"/>
    <s v="FE00Derate necessary to ensure no NOx exceedance.  See event 179 for additional detail"/>
    <s v="Trimble"/>
    <x v="0"/>
    <s v="Coal"/>
    <x v="2"/>
    <x v="0"/>
    <n v="11"/>
    <n v="0.88333333341870457"/>
    <n v="5.0000000004832332E-2"/>
    <n v="37.35000000360975"/>
    <n v="42.283018867924525"/>
    <x v="117"/>
  </r>
  <r>
    <x v="12"/>
    <x v="0"/>
    <n v="181"/>
    <n v="9616"/>
    <d v="2013-11-23T13:32:00"/>
    <d v="2013-11-23T15:00:00"/>
    <n v="709"/>
    <n v="795"/>
    <n v="747"/>
    <s v="CO stack emissions"/>
    <s v="FE00Unit 2 combustion issues created high CO requiring derate to minimize exceedance."/>
    <s v="Trimble"/>
    <x v="0"/>
    <s v="Coal"/>
    <x v="2"/>
    <x v="0"/>
    <n v="11"/>
    <n v="1.4666666667326353"/>
    <n v="0.1586582809295681"/>
    <n v="118.51773585438737"/>
    <n v="80.807547169811315"/>
    <x v="240"/>
  </r>
  <r>
    <x v="12"/>
    <x v="0"/>
    <n v="182"/>
    <n v="9616"/>
    <d v="2013-11-27T08:25:00"/>
    <d v="2013-11-27T08:35:00"/>
    <n v="749"/>
    <n v="795"/>
    <n v="747"/>
    <s v="CO stack emissions"/>
    <s v="FE00Elevated CO required unit derate to avoid an exceedance."/>
    <s v="Trimble"/>
    <x v="0"/>
    <s v="Coal"/>
    <x v="2"/>
    <x v="0"/>
    <n v="11"/>
    <n v="0.16666666668606922"/>
    <n v="9.6436058711436273E-3"/>
    <n v="7.2037735857442895"/>
    <n v="43.222641509433963"/>
    <x v="82"/>
  </r>
  <r>
    <x v="12"/>
    <x v="0"/>
    <n v="183"/>
    <n v="9616"/>
    <d v="2013-11-27T08:35:00"/>
    <d v="2013-11-27T10:00:00"/>
    <n v="709"/>
    <n v="795"/>
    <n v="747"/>
    <s v="CO stack emissions"/>
    <s v="FE00Elevated CO required unit derate to avoid an exceedance."/>
    <s v="Trimble"/>
    <x v="0"/>
    <s v="Coal"/>
    <x v="2"/>
    <x v="0"/>
    <n v="11"/>
    <n v="1.4166666665696539"/>
    <n v="0.15324947588049087"/>
    <n v="114.47735848272669"/>
    <n v="80.807547169811315"/>
    <x v="240"/>
  </r>
  <r>
    <x v="12"/>
    <x v="0"/>
    <n v="184"/>
    <n v="9616"/>
    <d v="2013-11-27T10:00:00"/>
    <d v="2013-11-27T12:00:00"/>
    <n v="737"/>
    <n v="795"/>
    <n v="747"/>
    <s v="CO stack emissions"/>
    <s v="FE00Elevated CO required unit derate to avoid an exceedance."/>
    <s v="Trimble"/>
    <x v="0"/>
    <s v="Coal"/>
    <x v="2"/>
    <x v="0"/>
    <n v="11"/>
    <n v="2.0000000000582077"/>
    <n v="0.14591194968978119"/>
    <n v="108.99622641826655"/>
    <n v="54.498113207547171"/>
    <x v="158"/>
  </r>
  <r>
    <x v="12"/>
    <x v="0"/>
    <n v="185"/>
    <n v="9616"/>
    <d v="2013-11-27T12:00:00"/>
    <d v="2013-11-27T13:00:00"/>
    <n v="686"/>
    <n v="795"/>
    <n v="747"/>
    <s v="CO stack emissions"/>
    <s v="FE00Elevated CO required unit derate to avoid an exceedance."/>
    <s v="Trimble"/>
    <x v="0"/>
    <s v="Coal"/>
    <x v="2"/>
    <x v="0"/>
    <n v="11"/>
    <n v="0.99999999994179234"/>
    <n v="0.13710691823101304"/>
    <n v="102.41886791856673"/>
    <n v="102.4188679245283"/>
    <x v="265"/>
  </r>
  <r>
    <x v="12"/>
    <x v="0"/>
    <n v="186"/>
    <n v="9616"/>
    <d v="2013-11-27T13:00:00"/>
    <d v="2013-11-29T00:01:00"/>
    <n v="754"/>
    <n v="795"/>
    <n v="747"/>
    <s v="CO stack emissions"/>
    <s v="FE00Elevated CO required unit derate to avoid an exceedance."/>
    <s v="Trimble"/>
    <x v="0"/>
    <s v="Coal"/>
    <x v="2"/>
    <x v="0"/>
    <n v="11"/>
    <n v="35.016666666779201"/>
    <n v="1.8058909853307512"/>
    <n v="1349.0005660420711"/>
    <n v="38.524528301886789"/>
    <x v="104"/>
  </r>
  <r>
    <x v="12"/>
    <x v="3"/>
    <n v="187"/>
    <n v="1190"/>
    <d v="2013-11-29T00:01:00"/>
    <d v="2013-11-29T08:00:00"/>
    <n v="0"/>
    <n v="795"/>
    <n v="747"/>
    <s v="Other tube slagging or fouling"/>
    <s v="FS00Planned non curtailing derate to conduct OEM recommended boiler deslag.  Unit avai"/>
    <s v="Trimble"/>
    <x v="1"/>
    <s v="Coal"/>
    <x v="2"/>
    <x v="0"/>
    <n v="11"/>
    <n v="7.9833333333372138"/>
    <n v="7.9833333333372138"/>
    <n v="5963.5500000028987"/>
    <n v="747"/>
    <x v="302"/>
  </r>
  <r>
    <x v="12"/>
    <x v="3"/>
    <n v="188"/>
    <n v="1190"/>
    <d v="2013-12-01T00:00:00"/>
    <d v="2013-12-01T09:00:00"/>
    <n v="0"/>
    <n v="795"/>
    <n v="747"/>
    <s v="Other tube slagging or fouling"/>
    <s v="FS00Planned non curtailing derate to conduct OEM recommended boiler deslag.  Unit avai"/>
    <s v="Trimble"/>
    <x v="1"/>
    <s v="Coal"/>
    <x v="2"/>
    <x v="0"/>
    <n v="12"/>
    <n v="9"/>
    <n v="9"/>
    <n v="6723"/>
    <n v="747"/>
    <x v="302"/>
  </r>
  <r>
    <x v="12"/>
    <x v="0"/>
    <n v="189"/>
    <n v="8821"/>
    <d v="2013-12-04T03:12:00"/>
    <d v="2013-12-04T05:00:00"/>
    <n v="709"/>
    <n v="795"/>
    <n v="747"/>
    <s v="SCR NOx Ammonia tanks"/>
    <s v="F820An ammonia pump on TC2 tripped.  Unit had to be derated in order to avoid a NOx ex"/>
    <s v="Trimble"/>
    <x v="0"/>
    <s v="Coal"/>
    <x v="2"/>
    <x v="0"/>
    <n v="12"/>
    <n v="1.8000000001047738"/>
    <n v="0.19471698114340949"/>
    <n v="145.45358491412688"/>
    <n v="80.807547169811315"/>
    <x v="240"/>
  </r>
  <r>
    <x v="12"/>
    <x v="4"/>
    <n v="190"/>
    <n v="1495"/>
    <d v="2013-12-04T15:09:00"/>
    <d v="2013-12-07T19:11:00"/>
    <n v="0"/>
    <n v="795"/>
    <n v="747"/>
    <s v="Other air heater fouling (heat pipe"/>
    <s v="F320TC2 Air heater pressure differential rose to too high of a level and required a ma"/>
    <s v="Trimble"/>
    <x v="2"/>
    <s v="Coal"/>
    <x v="2"/>
    <x v="0"/>
    <n v="12"/>
    <n v="76.03333333338378"/>
    <n v="76.03333333338378"/>
    <n v="56796.900000037684"/>
    <n v="747"/>
    <x v="302"/>
  </r>
  <r>
    <x v="12"/>
    <x v="5"/>
    <n v="191"/>
    <n v="897"/>
    <d v="2013-12-16T03:12:00"/>
    <d v="2013-12-19T10:17:00"/>
    <n v="0"/>
    <n v="795"/>
    <n v="747"/>
    <s v="Bottom ash rotary (drag chain type) conveyor and motor"/>
    <s v="F820Submerged scraper conveyor failure and broken components brought the unit offline."/>
    <s v="Trimble"/>
    <x v="3"/>
    <s v="Coal"/>
    <x v="2"/>
    <x v="0"/>
    <n v="12"/>
    <n v="79.083333333372138"/>
    <n v="79.083333333372138"/>
    <n v="59075.250000028987"/>
    <n v="747"/>
    <x v="302"/>
  </r>
  <r>
    <x v="12"/>
    <x v="5"/>
    <n v="192"/>
    <n v="1700"/>
    <d v="2013-12-19T13:32:00"/>
    <d v="2013-12-19T18:26:00"/>
    <n v="0"/>
    <n v="795"/>
    <n v="747"/>
    <s v="Feedwater controls (report local controls --- feedwater pump"/>
    <s v="F820MFT due to feedwater. The unit was in a swing due to a Turbine control hold and wh"/>
    <s v="Trimble"/>
    <x v="3"/>
    <s v="Coal"/>
    <x v="2"/>
    <x v="0"/>
    <n v="12"/>
    <n v="4.9000000000814907"/>
    <n v="4.9000000000814907"/>
    <n v="3660.3000000608736"/>
    <n v="747"/>
    <x v="302"/>
  </r>
  <r>
    <x v="12"/>
    <x v="0"/>
    <n v="193"/>
    <n v="9616"/>
    <d v="2013-12-23T13:36:00"/>
    <d v="2013-12-23T14:00:00"/>
    <n v="709"/>
    <n v="795"/>
    <n v="747"/>
    <s v="CO stack emissions"/>
    <s v="FE00High CO emissions required derate to avoid an exceedance on CO."/>
    <s v="Trimble"/>
    <x v="0"/>
    <s v="Coal"/>
    <x v="2"/>
    <x v="0"/>
    <n v="12"/>
    <n v="0.40000000008149073"/>
    <n v="4.3270440260387677E-2"/>
    <n v="32.323018874509593"/>
    <n v="80.807547169811315"/>
    <x v="240"/>
  </r>
  <r>
    <x v="12"/>
    <x v="0"/>
    <n v="194"/>
    <n v="9616"/>
    <d v="2013-12-23T14:00:00"/>
    <d v="2013-12-23T17:00:00"/>
    <n v="659"/>
    <n v="795"/>
    <n v="747"/>
    <s v="CO stack emissions"/>
    <s v="FE00High CO emissions required derate to avoid an exceedance on CO."/>
    <s v="Trimble"/>
    <x v="0"/>
    <s v="Coal"/>
    <x v="2"/>
    <x v="0"/>
    <n v="12"/>
    <n v="3"/>
    <n v="0.51320754716981132"/>
    <n v="383.36603773584903"/>
    <n v="127.78867924528302"/>
    <x v="259"/>
  </r>
  <r>
    <x v="12"/>
    <x v="0"/>
    <n v="195"/>
    <n v="310"/>
    <d v="2013-12-29T07:30:00"/>
    <d v="2013-12-29T08:00:00"/>
    <n v="669"/>
    <n v="795"/>
    <n v="747"/>
    <s v="Pulverizer mills"/>
    <s v="F400Mill operational issues and erratic behavior caused unit derate until issues could"/>
    <s v="Trimble"/>
    <x v="0"/>
    <s v="Coal"/>
    <x v="2"/>
    <x v="0"/>
    <n v="12"/>
    <n v="0.50000000005820766"/>
    <n v="7.9245283028093291E-2"/>
    <n v="59.196226421985692"/>
    <n v="118.39245283018867"/>
    <x v="40"/>
  </r>
  <r>
    <x v="12"/>
    <x v="0"/>
    <n v="196"/>
    <n v="3439"/>
    <d v="2013-12-30T23:00:00"/>
    <d v="2013-12-31T00:00:00"/>
    <n v="749"/>
    <n v="795"/>
    <n v="747"/>
    <s v="HP heater head leaks"/>
    <s v="F5407A feedwater head leaks required unit derate to isolate heater in order to allow m"/>
    <s v="Trimble"/>
    <x v="0"/>
    <s v="Coal"/>
    <x v="2"/>
    <x v="0"/>
    <n v="12"/>
    <n v="0.99999999994179234"/>
    <n v="5.7861635216757794E-2"/>
    <n v="43.222641506918073"/>
    <n v="43.222641509433963"/>
    <x v="82"/>
  </r>
  <r>
    <x v="12"/>
    <x v="0"/>
    <n v="197"/>
    <n v="4250"/>
    <d v="2013-12-31T02:00:00"/>
    <d v="2013-12-31T04:30:00"/>
    <n v="802"/>
    <n v="795"/>
    <n v="747"/>
    <s v="Other low pressure turbine problems"/>
    <s v="F660The load drop was due to high steam flow and feedrates from having 7A HP heater ou"/>
    <s v="Trimble"/>
    <x v="0"/>
    <s v="Coal"/>
    <x v="2"/>
    <x v="0"/>
    <n v="12"/>
    <n v="2.4999999999417923"/>
    <n v="-2.2012578615839679E-2"/>
    <n v="-16.443396226032242"/>
    <n v="0"/>
    <x v="152"/>
  </r>
  <r>
    <x v="12"/>
    <x v="0"/>
    <n v="198"/>
    <n v="4250"/>
    <d v="2013-12-31T04:30:00"/>
    <d v="2013-12-31T06:30:00"/>
    <n v="797"/>
    <n v="795"/>
    <n v="747"/>
    <s v="Other low pressure turbine problems"/>
    <s v="F660The load drop was due to high steam flow and feedrates from having 7A HP heater ou"/>
    <s v="Trimble"/>
    <x v="0"/>
    <s v="Coal"/>
    <x v="2"/>
    <x v="0"/>
    <n v="12"/>
    <n v="2.0000000000582077"/>
    <n v="-5.0314465410269378E-3"/>
    <n v="-3.7584905661471226"/>
    <n v="0"/>
    <x v="152"/>
  </r>
  <r>
    <x v="12"/>
    <x v="0"/>
    <n v="199"/>
    <n v="3439"/>
    <d v="2013-12-31T06:30:00"/>
    <d v="2014-01-01T00:00:00"/>
    <n v="752"/>
    <n v="795"/>
    <n v="747"/>
    <s v="HP heater head leaks"/>
    <s v="F5407A FWH is out of service due to a heater head leak and unit derate required until "/>
    <s v="Trimble"/>
    <x v="0"/>
    <s v="Coal"/>
    <x v="2"/>
    <x v="0"/>
    <n v="12"/>
    <n v="17.499999999941792"/>
    <n v="0.9465408804999963"/>
    <n v="707.06603773349718"/>
    <n v="40.403773584905657"/>
    <x v="157"/>
  </r>
  <r>
    <x v="12"/>
    <x v="0"/>
    <n v="1"/>
    <n v="3439"/>
    <d v="2014-01-01T00:00:00"/>
    <d v="2014-01-04T02:00:00"/>
    <n v="752"/>
    <n v="795"/>
    <n v="747"/>
    <s v="HP heater head leaks"/>
    <s v="F5407A FWH is out of service due to a heater head leak and unit derate required until "/>
    <s v="Trimble"/>
    <x v="0"/>
    <s v="Coal"/>
    <x v="2"/>
    <x v="1"/>
    <n v="1"/>
    <n v="74.000000000058208"/>
    <n v="4.0025157232735884"/>
    <n v="2989.8792452853704"/>
    <n v="40.403773584905657"/>
    <x v="157"/>
  </r>
  <r>
    <x v="12"/>
    <x v="3"/>
    <n v="2"/>
    <n v="1190"/>
    <d v="2014-01-04T12:00:00"/>
    <d v="2014-01-04T17:00:00"/>
    <n v="0"/>
    <n v="795"/>
    <n v="747"/>
    <s v="Other tube slagging or fouling"/>
    <s v="FS00Non-curtailing derate due to boiler OEM recommended deslag, unit available to retu"/>
    <s v="Trimble"/>
    <x v="1"/>
    <s v="Coal"/>
    <x v="2"/>
    <x v="1"/>
    <n v="1"/>
    <n v="5.0000000000582077"/>
    <n v="5.0000000000582077"/>
    <n v="3735.0000000434811"/>
    <n v="747"/>
    <x v="302"/>
  </r>
  <r>
    <x v="12"/>
    <x v="3"/>
    <n v="3"/>
    <n v="1190"/>
    <d v="2014-01-11T00:00:00"/>
    <d v="2014-01-11T05:23:00"/>
    <n v="0"/>
    <n v="795"/>
    <n v="747"/>
    <s v="Other tube slagging or fouling"/>
    <s v="FS00Non-curtailing derate at 561MW for boiler OEM recommended weekly deslag.  Unit ava"/>
    <s v="Trimble"/>
    <x v="1"/>
    <s v="Coal"/>
    <x v="2"/>
    <x v="1"/>
    <n v="1"/>
    <n v="5.3833333334187046"/>
    <n v="5.3833333334187046"/>
    <n v="4021.3500000637723"/>
    <n v="747"/>
    <x v="302"/>
  </r>
  <r>
    <x v="12"/>
    <x v="0"/>
    <n v="4"/>
    <n v="8000"/>
    <d v="2014-01-11T05:23:00"/>
    <d v="2014-01-11T19:09:00"/>
    <n v="610"/>
    <n v="795"/>
    <n v="747"/>
    <s v="Chemical feed storage"/>
    <s v="F060Reactant supply C Limestone conveyor belt broke and issues with running backup con"/>
    <s v="Trimble"/>
    <x v="0"/>
    <s v="Coal"/>
    <x v="2"/>
    <x v="1"/>
    <n v="1"/>
    <n v="13.766666666662786"/>
    <n v="3.2035639412988872"/>
    <n v="2393.0622641502687"/>
    <n v="173.83018867924528"/>
    <x v="114"/>
  </r>
  <r>
    <x v="12"/>
    <x v="0"/>
    <n v="5"/>
    <n v="8000"/>
    <d v="2014-01-11T19:09:00"/>
    <d v="2014-01-12T02:45:00"/>
    <n v="480"/>
    <n v="795"/>
    <n v="747"/>
    <s v="Chemical feed storage"/>
    <s v="F060Reactant supply C Limestone conveyor belt broke and issues with running backup con"/>
    <s v="Trimble"/>
    <x v="0"/>
    <s v="Coal"/>
    <x v="2"/>
    <x v="1"/>
    <n v="1"/>
    <n v="7.5999999999767169"/>
    <n v="3.0113207547077558"/>
    <n v="2249.4566037666937"/>
    <n v="295.98113207547169"/>
    <x v="202"/>
  </r>
  <r>
    <x v="12"/>
    <x v="0"/>
    <n v="6"/>
    <n v="8650"/>
    <d v="2014-01-17T19:30:00"/>
    <d v="2014-01-17T22:15:00"/>
    <n v="649"/>
    <n v="795"/>
    <n v="747"/>
    <s v="Baghouse systems"/>
    <s v="FE00The bags in the baghouse are deteriorating and the holes in the bags allow particu"/>
    <s v="Trimble"/>
    <x v="0"/>
    <s v="Coal"/>
    <x v="2"/>
    <x v="1"/>
    <n v="1"/>
    <n v="2.7500000000582077"/>
    <n v="0.50503144655157017"/>
    <n v="377.25849057402291"/>
    <n v="137.18490566037735"/>
    <x v="224"/>
  </r>
  <r>
    <x v="12"/>
    <x v="0"/>
    <n v="7"/>
    <n v="8650"/>
    <d v="2014-01-18T04:15:00"/>
    <d v="2014-01-18T05:45:00"/>
    <n v="649"/>
    <n v="795"/>
    <n v="747"/>
    <s v="Baghouse systems"/>
    <s v="FE00The bags in the baghouse are deteriorating and the holes in the bags allow particu"/>
    <s v="Trimble"/>
    <x v="0"/>
    <s v="Coal"/>
    <x v="2"/>
    <x v="1"/>
    <n v="1"/>
    <n v="1.5"/>
    <n v="0.27547169811320754"/>
    <n v="205.77735849056603"/>
    <n v="137.18490566037735"/>
    <x v="224"/>
  </r>
  <r>
    <x v="12"/>
    <x v="0"/>
    <n v="8"/>
    <n v="9620"/>
    <d v="2014-01-18T11:25:00"/>
    <d v="2014-01-18T14:00:00"/>
    <n v="709"/>
    <n v="795"/>
    <n v="747"/>
    <s v="Particulate stack emissions (fossil)"/>
    <s v="FE00High particulate matter readings required derate to avoid an exceedance."/>
    <s v="Trimble"/>
    <x v="0"/>
    <s v="Coal"/>
    <x v="2"/>
    <x v="1"/>
    <n v="1"/>
    <n v="2.5833333333721384"/>
    <n v="0.27945492662893573"/>
    <n v="208.75283019181498"/>
    <n v="80.807547169811315"/>
    <x v="240"/>
  </r>
  <r>
    <x v="12"/>
    <x v="0"/>
    <n v="9"/>
    <n v="9620"/>
    <d v="2014-01-18T17:55:00"/>
    <d v="2014-01-18T18:10:00"/>
    <n v="649"/>
    <n v="795"/>
    <n v="747"/>
    <s v="Particulate stack emissions (fossil)"/>
    <s v="FE00The bags in the baghouse are deteriorating and the holes in the bags allow particu"/>
    <s v="Trimble"/>
    <x v="0"/>
    <s v="Coal"/>
    <x v="2"/>
    <x v="1"/>
    <n v="1"/>
    <n v="0.24999999994179234"/>
    <n v="4.5911949674844882E-2"/>
    <n v="34.296226407109124"/>
    <n v="137.18490566037735"/>
    <x v="224"/>
  </r>
  <r>
    <x v="12"/>
    <x v="0"/>
    <n v="10"/>
    <n v="9620"/>
    <d v="2014-01-18T18:10:00"/>
    <d v="2014-01-18T19:15:00"/>
    <n v="729"/>
    <n v="795"/>
    <n v="747"/>
    <s v="Particulate stack emissions (fossil)"/>
    <s v="FE00The bags in the baghouse are deteriorating and the holes in the bags allow particu"/>
    <s v="Trimble"/>
    <x v="0"/>
    <s v="Coal"/>
    <x v="2"/>
    <x v="1"/>
    <n v="1"/>
    <n v="1.0833333333721384"/>
    <n v="8.993710692146055E-2"/>
    <n v="67.183018870331026"/>
    <n v="62.015094339622642"/>
    <x v="171"/>
  </r>
  <r>
    <x v="12"/>
    <x v="3"/>
    <n v="11"/>
    <n v="1190"/>
    <d v="2014-01-19T00:00:00"/>
    <d v="2014-01-19T06:15:00"/>
    <n v="0"/>
    <n v="795"/>
    <n v="747"/>
    <s v="Other tube slagging or fouling"/>
    <s v="FS00Non-curtailing derate to conduct boiler OEM recommended deslag.  Unit available to"/>
    <s v="Trimble"/>
    <x v="1"/>
    <s v="Coal"/>
    <x v="2"/>
    <x v="1"/>
    <n v="1"/>
    <n v="6.2499999999417923"/>
    <n v="6.2499999999417923"/>
    <n v="4668.7499999565189"/>
    <n v="747"/>
    <x v="302"/>
  </r>
  <r>
    <x v="12"/>
    <x v="0"/>
    <n v="12"/>
    <n v="9620"/>
    <d v="2014-01-19T10:29:00"/>
    <d v="2014-01-19T13:00:00"/>
    <n v="709"/>
    <n v="795"/>
    <n v="747"/>
    <s v="Particulate stack emissions (fossil)"/>
    <s v="FE00High particulate readings required unit derate to avoid an exceedance from emissio"/>
    <s v="Trimble"/>
    <x v="0"/>
    <s v="Coal"/>
    <x v="2"/>
    <x v="1"/>
    <n v="1"/>
    <n v="2.5166666666627862"/>
    <n v="0.27224318658238944"/>
    <n v="203.36566037704492"/>
    <n v="80.807547169811315"/>
    <x v="240"/>
  </r>
  <r>
    <x v="12"/>
    <x v="0"/>
    <n v="13"/>
    <n v="9620"/>
    <d v="2014-01-19T17:50:00"/>
    <d v="2014-01-19T20:15:00"/>
    <n v="709"/>
    <n v="795"/>
    <n v="747"/>
    <s v="Particulate stack emissions (fossil)"/>
    <s v="FE00High particulate readings required unit derate to avoid an exceedance from emissio"/>
    <s v="Trimble"/>
    <x v="0"/>
    <s v="Coal"/>
    <x v="2"/>
    <x v="1"/>
    <n v="1"/>
    <n v="2.4166666666860692"/>
    <n v="0.26142557652201504"/>
    <n v="195.28490566194523"/>
    <n v="80.807547169811315"/>
    <x v="240"/>
  </r>
  <r>
    <x v="12"/>
    <x v="0"/>
    <n v="14"/>
    <n v="9610"/>
    <d v="2014-01-20T01:45:00"/>
    <d v="2014-01-20T16:30:00"/>
    <n v="709"/>
    <n v="795"/>
    <n v="747"/>
    <s v="NOx stack emissions (fossil)"/>
    <s v="FE00High NOx readings required unit derate to avoid exceedance.  Mill configuration ma"/>
    <s v="Trimble"/>
    <x v="0"/>
    <s v="Coal"/>
    <x v="2"/>
    <x v="1"/>
    <n v="1"/>
    <n v="14.750000000058208"/>
    <n v="1.5955974842830263"/>
    <n v="1191.9113207594207"/>
    <n v="80.807547169811315"/>
    <x v="240"/>
  </r>
  <r>
    <x v="12"/>
    <x v="3"/>
    <n v="15"/>
    <n v="1190"/>
    <d v="2014-01-26T12:00:00"/>
    <d v="2014-01-26T18:00:00"/>
    <n v="0"/>
    <n v="795"/>
    <n v="747"/>
    <s v="Other tube slagging or fouling"/>
    <s v="FS00Non-curtailing derate at 561 MW to conduct boiler OEM recommended deslag.  Unit av"/>
    <s v="Trimble"/>
    <x v="1"/>
    <s v="Coal"/>
    <x v="2"/>
    <x v="1"/>
    <n v="1"/>
    <n v="6"/>
    <n v="6"/>
    <n v="4482"/>
    <n v="747"/>
    <x v="302"/>
  </r>
  <r>
    <x v="12"/>
    <x v="3"/>
    <n v="16"/>
    <n v="1190"/>
    <d v="2014-02-01T00:01:00"/>
    <d v="2014-02-01T06:15:00"/>
    <n v="0"/>
    <n v="795"/>
    <n v="747"/>
    <s v="Other tube slagging or fouling"/>
    <s v="FS00Non-curtailing derate at 550 MW to conduct boiler OEM recommended deslag.  Unit av"/>
    <s v="Trimble"/>
    <x v="1"/>
    <s v="Coal"/>
    <x v="2"/>
    <x v="1"/>
    <n v="2"/>
    <n v="6.2333333332207985"/>
    <n v="6.2333333332207985"/>
    <n v="4656.2999999159365"/>
    <n v="747"/>
    <x v="302"/>
  </r>
  <r>
    <x v="12"/>
    <x v="0"/>
    <n v="17"/>
    <n v="310"/>
    <d v="2014-02-02T16:30:00"/>
    <d v="2014-02-02T19:00:00"/>
    <n v="679"/>
    <n v="795"/>
    <n v="747"/>
    <s v="Pulverizer mills"/>
    <s v="F400The 2D mill was performing poorly and was taken off-line to investigate.  Some mil"/>
    <s v="Trimble"/>
    <x v="0"/>
    <s v="Coal"/>
    <x v="2"/>
    <x v="1"/>
    <n v="2"/>
    <n v="2.4999999999417923"/>
    <n v="0.3647798742053433"/>
    <n v="272.49056603139144"/>
    <n v="108.99622641509434"/>
    <x v="64"/>
  </r>
  <r>
    <x v="12"/>
    <x v="0"/>
    <n v="18"/>
    <n v="1455"/>
    <d v="2014-02-04T15:45:00"/>
    <d v="2014-02-04T16:15:00"/>
    <n v="784"/>
    <n v="795"/>
    <n v="747"/>
    <s v="Induced draft fans"/>
    <s v="F660Derate required on the unit due to ID fan stall alarms.  Required derate to avoid "/>
    <s v="Trimble"/>
    <x v="0"/>
    <s v="Coal"/>
    <x v="2"/>
    <x v="1"/>
    <n v="2"/>
    <n v="0.50000000005820766"/>
    <n v="6.9182389945160808E-3"/>
    <n v="5.1679245289035123"/>
    <n v="10.335849056603774"/>
    <x v="182"/>
  </r>
  <r>
    <x v="12"/>
    <x v="6"/>
    <n v="20"/>
    <n v="360"/>
    <d v="2014-02-08T03:21:00"/>
    <d v="2014-05-26T00:00:00"/>
    <n v="0"/>
    <n v="795"/>
    <n v="747"/>
    <s v="Burners"/>
    <s v="F610TC2 began the planned outage for the replacement of all 30 burners.  This effort i"/>
    <s v="Trimble"/>
    <x v="1"/>
    <s v="Coal"/>
    <x v="2"/>
    <x v="1"/>
    <n v="2"/>
    <n v="2564.6500000000815"/>
    <n v="2564.6500000000815"/>
    <n v="1915793.5500000608"/>
    <n v="747"/>
    <x v="302"/>
  </r>
  <r>
    <x v="12"/>
    <x v="8"/>
    <n v="21"/>
    <n v="360"/>
    <d v="2014-05-26T00:00:00"/>
    <d v="2014-05-28T04:59:00"/>
    <n v="0"/>
    <n v="795"/>
    <n v="747"/>
    <s v="Burners"/>
    <s v="F610Planned outage extension on the burner modifications due to delays in comissioning"/>
    <s v="Trimble"/>
    <x v="1"/>
    <s v="Coal"/>
    <x v="2"/>
    <x v="1"/>
    <n v="5"/>
    <n v="52.983333333337214"/>
    <n v="52.983333333337214"/>
    <n v="39578.550000002899"/>
    <n v="747"/>
    <x v="302"/>
  </r>
  <r>
    <x v="12"/>
    <x v="5"/>
    <n v="22"/>
    <n v="3499"/>
    <d v="2014-05-28T07:35:00"/>
    <d v="2014-05-28T14:15:00"/>
    <n v="0"/>
    <n v="795"/>
    <n v="747"/>
    <s v="Other feedwater system problems"/>
    <s v="F820Forced outage due to excessive feedwater flow which caused the unit trip.  High fe"/>
    <s v="Trimble"/>
    <x v="3"/>
    <s v="Coal"/>
    <x v="2"/>
    <x v="1"/>
    <n v="5"/>
    <n v="6.6666666667442769"/>
    <n v="6.6666666667442769"/>
    <n v="4980.0000000579748"/>
    <n v="747"/>
    <x v="302"/>
  </r>
  <r>
    <x v="12"/>
    <x v="5"/>
    <n v="23"/>
    <n v="4303"/>
    <d v="2014-05-28T20:48:00"/>
    <d v="2014-05-29T08:55:00"/>
    <n v="0"/>
    <n v="795"/>
    <n v="747"/>
    <s v="Exhaust hood and spray controls"/>
    <s v="F820TC2 unit trip was from high steam temperature at the turbine due to inadequate sup"/>
    <s v="Trimble"/>
    <x v="3"/>
    <s v="Coal"/>
    <x v="2"/>
    <x v="1"/>
    <n v="5"/>
    <n v="12.116666666697711"/>
    <n v="12.116666666697711"/>
    <n v="9051.1500000231899"/>
    <n v="747"/>
    <x v="302"/>
  </r>
  <r>
    <x v="12"/>
    <x v="2"/>
    <n v="24"/>
    <n v="360"/>
    <d v="2014-05-29T23:15:00"/>
    <d v="2014-06-01T13:49:00"/>
    <n v="430"/>
    <n v="795"/>
    <n v="747"/>
    <s v="Burners"/>
    <s v="F790TC2 is being held at 430MW for combustion testing and tuning following the install"/>
    <s v="Trimble"/>
    <x v="0"/>
    <s v="Coal"/>
    <x v="2"/>
    <x v="1"/>
    <n v="5"/>
    <n v="62.566666666651145"/>
    <n v="28.725576519909016"/>
    <n v="21458.005660372033"/>
    <n v="342.96226415094338"/>
    <x v="293"/>
  </r>
  <r>
    <x v="12"/>
    <x v="5"/>
    <n v="25"/>
    <n v="3853"/>
    <d v="2014-06-01T13:49:00"/>
    <d v="2014-06-02T03:20:00"/>
    <n v="0"/>
    <n v="795"/>
    <n v="747"/>
    <s v="Instrument air dryers"/>
    <s v="F820TC2 tripped offline when the instrument air dryer de-pressurized."/>
    <s v="Trimble"/>
    <x v="3"/>
    <s v="Coal"/>
    <x v="2"/>
    <x v="1"/>
    <n v="6"/>
    <n v="13.516666666720994"/>
    <n v="13.516666666720994"/>
    <n v="10096.950000040582"/>
    <n v="747"/>
    <x v="302"/>
  </r>
  <r>
    <x v="12"/>
    <x v="7"/>
    <n v="26"/>
    <n v="1455"/>
    <d v="2014-06-02T03:20:00"/>
    <d v="2014-06-02T20:00:00"/>
    <n v="0"/>
    <n v="795"/>
    <n v="747"/>
    <s v="Induced draft fans"/>
    <s v="F850During restart, following the forced outage, the 2A ID Fan OB vibration came in al"/>
    <s v="Trimble"/>
    <x v="3"/>
    <s v="Coal"/>
    <x v="2"/>
    <x v="1"/>
    <n v="6"/>
    <n v="16.666666666686069"/>
    <n v="16.666666666686069"/>
    <n v="12450.000000014494"/>
    <n v="747"/>
    <x v="302"/>
  </r>
  <r>
    <x v="12"/>
    <x v="0"/>
    <n v="27"/>
    <n v="3441"/>
    <d v="2014-06-03T06:00:00"/>
    <d v="2014-06-03T07:00:00"/>
    <n v="724"/>
    <n v="795"/>
    <n v="747"/>
    <s v="Other high pressure heater problems (see condensate system for LP and IP heater codes)"/>
    <s v="F520TC2 was derated to 724MW due to the 7A feedwater heater level transmitter going ba"/>
    <s v="Trimble"/>
    <x v="0"/>
    <s v="Coal"/>
    <x v="2"/>
    <x v="1"/>
    <n v="6"/>
    <n v="0.99999999994179234"/>
    <n v="8.9308176095430514E-2"/>
    <n v="66.7132075432866"/>
    <n v="66.713207547169816"/>
    <x v="105"/>
  </r>
  <r>
    <x v="12"/>
    <x v="2"/>
    <n v="28"/>
    <n v="1710"/>
    <d v="2014-06-03T13:05:00"/>
    <d v="2014-06-04T00:00:00"/>
    <n v="774"/>
    <n v="795"/>
    <n v="747"/>
    <s v="Combustion/steam condition controls (report local controls --- burners"/>
    <s v="F790Planned derate to conduct boiler tuning following installation of 30 new burners o"/>
    <s v="Trimble"/>
    <x v="0"/>
    <s v="Coal"/>
    <x v="2"/>
    <x v="1"/>
    <n v="6"/>
    <n v="10.916666666627862"/>
    <n v="0.28836477987318881"/>
    <n v="215.40849056527205"/>
    <n v="19.732075471698113"/>
    <x v="21"/>
  </r>
  <r>
    <x v="12"/>
    <x v="3"/>
    <n v="29"/>
    <n v="1190"/>
    <d v="2014-06-07T22:00:00"/>
    <d v="2014-06-08T09:30:00"/>
    <n v="0"/>
    <n v="795"/>
    <n v="747"/>
    <s v="Other tube slagging or fouling"/>
    <s v="FS00Non-curtailing derate for the boiler OEM recommended deslag.  Unit was available t"/>
    <s v="Trimble"/>
    <x v="1"/>
    <s v="Coal"/>
    <x v="2"/>
    <x v="1"/>
    <n v="6"/>
    <n v="11.500000000116415"/>
    <n v="11.500000000116415"/>
    <n v="8590.5000000869622"/>
    <n v="747"/>
    <x v="302"/>
  </r>
  <r>
    <x v="12"/>
    <x v="0"/>
    <n v="30"/>
    <n v="9610"/>
    <d v="2014-06-09T19:00:00"/>
    <d v="2014-06-09T20:00:00"/>
    <n v="681"/>
    <n v="795"/>
    <n v="747"/>
    <s v="NOx stack emissions (fossil)"/>
    <s v="FE00During a tank swap while free flowing ammonia to the TC2 SCR, a check valve closed"/>
    <s v="Trimble"/>
    <x v="0"/>
    <s v="Coal"/>
    <x v="2"/>
    <x v="1"/>
    <n v="6"/>
    <n v="1.0000000001164153"/>
    <n v="0.14339622643178787"/>
    <n v="107.11698114454553"/>
    <n v="107.11698113207547"/>
    <x v="4"/>
  </r>
  <r>
    <x v="12"/>
    <x v="0"/>
    <n v="31"/>
    <n v="1100"/>
    <d v="2014-06-10T09:00:00"/>
    <d v="2014-06-10T13:15:00"/>
    <n v="650"/>
    <n v="795"/>
    <n v="747"/>
    <s v="Waterwall (Furnace wall) B"/>
    <s v="FS00TC2 was experiencing heavy slagging and required a unit derate to allow for some u"/>
    <s v="Trimble"/>
    <x v="0"/>
    <s v="Coal"/>
    <x v="2"/>
    <x v="1"/>
    <n v="6"/>
    <n v="4.2500000000582077"/>
    <n v="0.77515723271501902"/>
    <n v="579.04245283811917"/>
    <n v="136.24528301886792"/>
    <x v="62"/>
  </r>
  <r>
    <x v="12"/>
    <x v="0"/>
    <n v="32"/>
    <n v="380"/>
    <d v="2014-06-10T13:15:00"/>
    <d v="2014-06-10T16:00:00"/>
    <n v="659"/>
    <n v="795"/>
    <n v="747"/>
    <s v="Light-off (igniter) systems (including fuel supply)"/>
    <s v="F460Unplanned derate due to loss of B mill oil gun when trying to put the B mill in se"/>
    <s v="Trimble"/>
    <x v="0"/>
    <s v="Coal"/>
    <x v="2"/>
    <x v="1"/>
    <n v="6"/>
    <n v="2.7499999998835847"/>
    <n v="0.47044025155241198"/>
    <n v="351.41886790965174"/>
    <n v="127.78867924528302"/>
    <x v="259"/>
  </r>
  <r>
    <x v="12"/>
    <x v="0"/>
    <n v="33"/>
    <n v="9616"/>
    <d v="2014-06-14T03:36:00"/>
    <d v="2014-06-15T00:01:00"/>
    <n v="681"/>
    <n v="795"/>
    <n v="747"/>
    <s v="CO stack emissions"/>
    <s v="FE00Derate required to try to avoid environmental exceedences due to high CO during co"/>
    <s v="Trimble"/>
    <x v="0"/>
    <s v="Coal"/>
    <x v="2"/>
    <x v="1"/>
    <n v="6"/>
    <n v="20.416666666686069"/>
    <n v="2.9276729559776249"/>
    <n v="2186.971698115286"/>
    <n v="107.11698113207547"/>
    <x v="4"/>
  </r>
  <r>
    <x v="12"/>
    <x v="3"/>
    <n v="34"/>
    <n v="1190"/>
    <d v="2014-06-15T00:01:00"/>
    <d v="2014-06-15T09:50:00"/>
    <n v="0"/>
    <n v="795"/>
    <n v="747"/>
    <s v="Other tube slagging or fouling"/>
    <s v="FS00Non-curtailing derate to conduct boiler OEM recommended deslag.  Unit available if"/>
    <s v="Trimble"/>
    <x v="1"/>
    <s v="Coal"/>
    <x v="2"/>
    <x v="1"/>
    <n v="6"/>
    <n v="9.8166666665347293"/>
    <n v="9.8166666665347293"/>
    <n v="7333.0499999014428"/>
    <n v="747"/>
    <x v="302"/>
  </r>
  <r>
    <x v="12"/>
    <x v="0"/>
    <n v="35"/>
    <n v="9616"/>
    <d v="2014-06-15T09:50:00"/>
    <d v="2014-06-15T13:00:00"/>
    <n v="681"/>
    <n v="795"/>
    <n v="747"/>
    <s v="CO stack emissions"/>
    <s v="FE00Derate required on the unit to avoid environmental exceedance due to high CO emiss"/>
    <s v="Trimble"/>
    <x v="0"/>
    <s v="Coal"/>
    <x v="2"/>
    <x v="1"/>
    <n v="6"/>
    <n v="3.1666666666860692"/>
    <n v="0.45408805031724764"/>
    <n v="339.20377358698397"/>
    <n v="107.11698113207547"/>
    <x v="4"/>
  </r>
  <r>
    <x v="12"/>
    <x v="0"/>
    <n v="36"/>
    <n v="9616"/>
    <d v="2014-06-15T13:00:00"/>
    <d v="2014-06-15T18:00:00"/>
    <n v="659"/>
    <n v="795"/>
    <n v="747"/>
    <s v="CO stack emissions"/>
    <s v="FE00Derate required on the unit to avoid environmental exceedance due to high CO emiss"/>
    <s v="Trimble"/>
    <x v="0"/>
    <s v="Coal"/>
    <x v="2"/>
    <x v="1"/>
    <n v="6"/>
    <n v="5.0000000000582077"/>
    <n v="0.85534591195964305"/>
    <n v="638.94339623385338"/>
    <n v="127.78867924528302"/>
    <x v="259"/>
  </r>
  <r>
    <x v="12"/>
    <x v="2"/>
    <n v="37"/>
    <n v="9616"/>
    <d v="2014-06-15T18:00:00"/>
    <d v="2014-06-16T21:00:00"/>
    <n v="681"/>
    <n v="795"/>
    <n v="747"/>
    <s v="CO stack emissions"/>
    <s v="FE00Planned unit derate to allow combustion tuning to continue and avoid environmental"/>
    <s v="Trimble"/>
    <x v="0"/>
    <s v="Coal"/>
    <x v="2"/>
    <x v="1"/>
    <n v="6"/>
    <n v="27"/>
    <n v="3.8716981132075472"/>
    <n v="2892.1584905660379"/>
    <n v="107.11698113207547"/>
    <x v="4"/>
  </r>
  <r>
    <x v="12"/>
    <x v="0"/>
    <n v="38"/>
    <n v="385"/>
    <d v="2014-06-24T05:30:00"/>
    <d v="2014-06-24T10:30:00"/>
    <n v="740"/>
    <n v="795"/>
    <n v="747"/>
    <s v="Igniters"/>
    <s v="F400There were operating issues with the 2D and 2C oil guns as well as the 2D mill tha"/>
    <s v="Trimble"/>
    <x v="0"/>
    <s v="Coal"/>
    <x v="2"/>
    <x v="1"/>
    <n v="6"/>
    <n v="5.0000000000582077"/>
    <n v="0.34591194968956152"/>
    <n v="258.39622641810246"/>
    <n v="51.679245283018865"/>
    <x v="18"/>
  </r>
  <r>
    <x v="12"/>
    <x v="3"/>
    <n v="39"/>
    <n v="1190"/>
    <d v="2014-06-25T23:00:00"/>
    <d v="2014-06-26T05:00:00"/>
    <n v="0"/>
    <n v="795"/>
    <n v="747"/>
    <s v="Other tube slagging or fouling"/>
    <s v="FS00Planned unit derate to conduct boiler OEM recommended deslag.  Unit was available "/>
    <s v="Trimble"/>
    <x v="1"/>
    <s v="Coal"/>
    <x v="2"/>
    <x v="1"/>
    <n v="6"/>
    <n v="6"/>
    <n v="6"/>
    <n v="4482"/>
    <n v="747"/>
    <x v="302"/>
  </r>
  <r>
    <x v="12"/>
    <x v="0"/>
    <n v="40"/>
    <n v="310"/>
    <d v="2014-06-26T05:00:00"/>
    <d v="2014-06-26T06:15:00"/>
    <n v="449"/>
    <n v="795"/>
    <n v="747"/>
    <s v="Pulverizer mills"/>
    <s v="F820When attempting to return unit to full load following planned deslag, the B2 fuel "/>
    <s v="Trimble"/>
    <x v="0"/>
    <s v="Coal"/>
    <x v="2"/>
    <x v="1"/>
    <n v="6"/>
    <n v="1.2499999998835847"/>
    <n v="0.54402515718203814"/>
    <n v="406.38679241498249"/>
    <n v="325.10943396226418"/>
    <x v="70"/>
  </r>
  <r>
    <x v="12"/>
    <x v="5"/>
    <n v="41"/>
    <n v="4299"/>
    <d v="2014-06-29T00:45:00"/>
    <d v="2014-07-12T04:30:00"/>
    <n v="0"/>
    <n v="795"/>
    <n v="747"/>
    <s v="Other hydraulic system problems"/>
    <s v="F830The unit was taken offline due to EHC system and turbine valve issues."/>
    <s v="Trimble"/>
    <x v="3"/>
    <s v="Coal"/>
    <x v="2"/>
    <x v="1"/>
    <n v="6"/>
    <n v="315.75"/>
    <n v="315.75"/>
    <n v="235865.25"/>
    <n v="747"/>
    <x v="302"/>
  </r>
  <r>
    <x v="12"/>
    <x v="7"/>
    <n v="42"/>
    <n v="4309"/>
    <d v="2014-07-12T04:30:00"/>
    <d v="2014-07-12T17:37:00"/>
    <n v="0"/>
    <n v="795"/>
    <n v="747"/>
    <s v="Other turbine instrument and control problems"/>
    <s v="F780Turbine temperature control issues caused the reheat temperature to elevate and re"/>
    <s v="Trimble"/>
    <x v="3"/>
    <s v="Coal"/>
    <x v="2"/>
    <x v="1"/>
    <n v="7"/>
    <n v="13.116666666639503"/>
    <n v="13.116666666639503"/>
    <n v="9798.1499999797088"/>
    <n v="747"/>
    <x v="302"/>
  </r>
  <r>
    <x v="12"/>
    <x v="7"/>
    <n v="43"/>
    <n v="4309"/>
    <d v="2014-07-12T17:37:00"/>
    <d v="2014-07-13T07:12:00"/>
    <n v="0"/>
    <n v="795"/>
    <n v="747"/>
    <s v="Other turbine instrument and control problems"/>
    <s v="F400Startup failure due to Mark VI controls on the turbine valves not working properly"/>
    <s v="Trimble"/>
    <x v="3"/>
    <s v="Coal"/>
    <x v="2"/>
    <x v="1"/>
    <n v="7"/>
    <n v="13.583333333430346"/>
    <n v="13.583333333430346"/>
    <n v="10146.750000072469"/>
    <n v="747"/>
    <x v="302"/>
  </r>
  <r>
    <x v="12"/>
    <x v="0"/>
    <n v="44"/>
    <n v="9616"/>
    <d v="2014-07-14T03:00:00"/>
    <d v="2014-07-14T09:00:00"/>
    <n v="705"/>
    <n v="795"/>
    <n v="747"/>
    <s v="CO stack emissions"/>
    <s v="FE00High CO emissions on the unit required a derate to avoid environmental exceedances"/>
    <s v="Trimble"/>
    <x v="0"/>
    <s v="Coal"/>
    <x v="2"/>
    <x v="1"/>
    <n v="7"/>
    <n v="6"/>
    <n v="0.67924528301886788"/>
    <n v="507.3962264150943"/>
    <n v="84.566037735849051"/>
    <x v="196"/>
  </r>
  <r>
    <x v="12"/>
    <x v="0"/>
    <n v="45"/>
    <n v="310"/>
    <d v="2014-07-15T08:00:00"/>
    <d v="2014-07-15T10:50:00"/>
    <n v="717"/>
    <n v="795"/>
    <n v="747"/>
    <s v="Pulverizer mills"/>
    <s v="F790Derate to conduct coal mill testing by Doosan."/>
    <s v="Trimble"/>
    <x v="0"/>
    <s v="Coal"/>
    <x v="2"/>
    <x v="1"/>
    <n v="7"/>
    <n v="2.8333333333139308"/>
    <n v="0.27798742138174415"/>
    <n v="207.65660377216287"/>
    <n v="73.290566037735843"/>
    <x v="87"/>
  </r>
  <r>
    <x v="12"/>
    <x v="0"/>
    <n v="46"/>
    <n v="3340"/>
    <d v="2014-07-16T12:00:00"/>
    <d v="2014-07-18T18:45:00"/>
    <n v="668"/>
    <n v="795"/>
    <n v="747"/>
    <s v="LP heater tube leaks"/>
    <s v="F540Derate to locate suspected tube leaks on LP FWH 3 and 4.  Leaks found at gaskets o"/>
    <s v="Trimble"/>
    <x v="0"/>
    <s v="Coal"/>
    <x v="2"/>
    <x v="1"/>
    <n v="7"/>
    <n v="54.75"/>
    <n v="8.7462264150943394"/>
    <n v="6533.4311320754714"/>
    <n v="119.33207547169812"/>
    <x v="95"/>
  </r>
  <r>
    <x v="12"/>
    <x v="3"/>
    <n v="47"/>
    <n v="1190"/>
    <d v="2014-07-19T23:15:00"/>
    <d v="2014-07-20T09:30:00"/>
    <n v="0"/>
    <n v="795"/>
    <n v="747"/>
    <s v="Other tube slagging or fouling"/>
    <s v="FS00Non-curtailing derate to conduct boiler OEM recommended weekly deslag.  Unit avail"/>
    <s v="Trimble"/>
    <x v="1"/>
    <s v="Coal"/>
    <x v="2"/>
    <x v="1"/>
    <n v="7"/>
    <n v="10.250000000058208"/>
    <n v="10.250000000058208"/>
    <n v="7656.7500000434811"/>
    <n v="747"/>
    <x v="302"/>
  </r>
  <r>
    <x v="12"/>
    <x v="3"/>
    <n v="48"/>
    <n v="4842"/>
    <d v="2014-07-22T11:43:00"/>
    <d v="2014-07-22T14:06:00"/>
    <n v="0"/>
    <n v="795"/>
    <n v="747"/>
    <s v="Reactive and capability testing"/>
    <s v="F790TC2 was at full load for VAR testing, non-curtailing event."/>
    <s v="Trimble"/>
    <x v="1"/>
    <s v="Coal"/>
    <x v="2"/>
    <x v="1"/>
    <n v="7"/>
    <n v="2.3833333334187046"/>
    <n v="2.3833333334187046"/>
    <n v="1780.3500000637723"/>
    <n v="747"/>
    <x v="302"/>
  </r>
  <r>
    <x v="12"/>
    <x v="5"/>
    <n v="49"/>
    <n v="3671"/>
    <d v="2014-07-23T12:22:00"/>
    <d v="2014-07-25T13:39:00"/>
    <n v="0"/>
    <n v="795"/>
    <n v="747"/>
    <s v="12kV circuit breakers"/>
    <s v="F82014kV switch gear failed causing unit trip.  The failure was from a plugged AC unit"/>
    <s v="Trimble"/>
    <x v="3"/>
    <s v="Coal"/>
    <x v="2"/>
    <x v="1"/>
    <n v="7"/>
    <n v="49.283333333325572"/>
    <n v="49.283333333325572"/>
    <n v="36814.649999994203"/>
    <n v="747"/>
    <x v="302"/>
  </r>
  <r>
    <x v="12"/>
    <x v="0"/>
    <n v="50"/>
    <n v="360"/>
    <d v="2014-07-27T01:00:00"/>
    <d v="2014-07-27T02:00:00"/>
    <n v="721"/>
    <n v="795"/>
    <n v="747"/>
    <s v="Burners"/>
    <s v="F790To continue testing and tuning of the new burners a mill swap was necessary and re"/>
    <s v="Trimble"/>
    <x v="0"/>
    <s v="Coal"/>
    <x v="2"/>
    <x v="1"/>
    <n v="7"/>
    <n v="1.0000000001164153"/>
    <n v="9.3081761017125453E-2"/>
    <n v="69.532075479792709"/>
    <n v="69.532075471698107"/>
    <x v="284"/>
  </r>
  <r>
    <x v="12"/>
    <x v="0"/>
    <n v="51"/>
    <n v="310"/>
    <d v="2014-08-01T16:17:00"/>
    <d v="2014-08-01T18:15:00"/>
    <n v="625"/>
    <n v="795"/>
    <n v="747"/>
    <s v="Pulverizer mills"/>
    <s v="F820Derate to 625MW due to loss of B coal mill."/>
    <s v="Trimble"/>
    <x v="0"/>
    <s v="Coal"/>
    <x v="2"/>
    <x v="1"/>
    <n v="8"/>
    <n v="1.96666666661622"/>
    <n v="0.42054507336447472"/>
    <n v="314.14716980326261"/>
    <n v="159.73584905660377"/>
    <x v="308"/>
  </r>
  <r>
    <x v="12"/>
    <x v="3"/>
    <n v="52"/>
    <n v="1190"/>
    <d v="2014-08-02T00:00:00"/>
    <d v="2014-08-03T08:00:00"/>
    <n v="0"/>
    <n v="795"/>
    <n v="747"/>
    <s v="Other tube slagging or fouling"/>
    <s v="FS00Non-curtailing derate to deslag the boiler.  Unit was available to return to full "/>
    <s v="Trimble"/>
    <x v="1"/>
    <s v="Coal"/>
    <x v="2"/>
    <x v="1"/>
    <n v="8"/>
    <n v="32.000000000058208"/>
    <n v="32.000000000058208"/>
    <n v="23904.000000043481"/>
    <n v="747"/>
    <x v="302"/>
  </r>
  <r>
    <x v="12"/>
    <x v="0"/>
    <n v="53"/>
    <n v="310"/>
    <d v="2014-08-04T10:50:00"/>
    <d v="2014-08-04T11:50:00"/>
    <n v="620"/>
    <n v="795"/>
    <n v="747"/>
    <s v="Pulverizer mills"/>
    <s v="F820Derate to 620MW due to loss of B coal mill."/>
    <s v="Trimble"/>
    <x v="0"/>
    <s v="Coal"/>
    <x v="2"/>
    <x v="1"/>
    <n v="8"/>
    <n v="0.99999999994179234"/>
    <n v="0.22012578615070902"/>
    <n v="164.43396225457963"/>
    <n v="164.43396226415095"/>
    <x v="150"/>
  </r>
  <r>
    <x v="12"/>
    <x v="3"/>
    <n v="54"/>
    <n v="1190"/>
    <d v="2014-08-10T00:00:00"/>
    <d v="2014-08-10T06:00:00"/>
    <n v="0"/>
    <n v="795"/>
    <n v="747"/>
    <s v="Other tube slagging or fouling"/>
    <s v="FS00Non-curtailing derate to 449MW to conduct boiler OEM recommended deslag of the boi"/>
    <s v="Trimble"/>
    <x v="1"/>
    <s v="Coal"/>
    <x v="2"/>
    <x v="1"/>
    <n v="8"/>
    <n v="6"/>
    <n v="6"/>
    <n v="4482"/>
    <n v="747"/>
    <x v="302"/>
  </r>
  <r>
    <x v="12"/>
    <x v="5"/>
    <n v="55"/>
    <n v="4750"/>
    <d v="2014-08-11T00:48:00"/>
    <d v="2014-08-12T13:15:00"/>
    <n v="0"/>
    <n v="795"/>
    <n v="747"/>
    <s v="Other generator controls and metering problems"/>
    <s v="F820During control valve testing, the master trip block in the EHC system had a soleno"/>
    <s v="Trimble"/>
    <x v="3"/>
    <s v="Coal"/>
    <x v="2"/>
    <x v="1"/>
    <n v="8"/>
    <n v="36.450000000069849"/>
    <n v="36.450000000069849"/>
    <n v="27228.150000052177"/>
    <n v="747"/>
    <x v="302"/>
  </r>
  <r>
    <x v="12"/>
    <x v="3"/>
    <n v="56"/>
    <n v="1190"/>
    <d v="2014-08-17T00:00:00"/>
    <d v="2014-08-17T08:45:00"/>
    <n v="0"/>
    <n v="795"/>
    <n v="747"/>
    <s v="Other tube slagging or fouling"/>
    <s v="FS00Non-curtailing derate to conduct boiler OEM recommended deslag.  Unit available to"/>
    <s v="Trimble"/>
    <x v="1"/>
    <s v="Coal"/>
    <x v="2"/>
    <x v="1"/>
    <n v="8"/>
    <n v="8.7500000000582077"/>
    <n v="8.7500000000582077"/>
    <n v="6536.2500000434811"/>
    <n v="747"/>
    <x v="302"/>
  </r>
  <r>
    <x v="12"/>
    <x v="3"/>
    <n v="57"/>
    <n v="1190"/>
    <d v="2014-08-24T00:00:00"/>
    <d v="2014-08-24T07:30:00"/>
    <n v="0"/>
    <n v="795"/>
    <n v="747"/>
    <s v="Other tube slagging or fouling"/>
    <s v="FS00Non-curtailing derate to conduct boiler OEM recommended deslag.  Unit available to"/>
    <s v="Trimble"/>
    <x v="1"/>
    <s v="Coal"/>
    <x v="2"/>
    <x v="1"/>
    <n v="8"/>
    <n v="7.5"/>
    <n v="7.5"/>
    <n v="5602.5"/>
    <n v="747"/>
    <x v="302"/>
  </r>
  <r>
    <x v="12"/>
    <x v="3"/>
    <n v="58"/>
    <n v="1190"/>
    <d v="2014-08-31T00:02:00"/>
    <d v="2014-08-31T10:00:00"/>
    <n v="0"/>
    <n v="795"/>
    <n v="747"/>
    <s v="Other tube slagging or fouling"/>
    <s v="FS00Non-curtailing derate to conduct boiler OEM recommended deslag.  Unit available to"/>
    <s v="Trimble"/>
    <x v="1"/>
    <s v="Coal"/>
    <x v="2"/>
    <x v="1"/>
    <n v="8"/>
    <n v="9.9666666666744277"/>
    <n v="9.9666666666744277"/>
    <n v="7445.1000000057975"/>
    <n v="747"/>
    <x v="302"/>
  </r>
  <r>
    <x v="12"/>
    <x v="0"/>
    <n v="59"/>
    <n v="9600"/>
    <d v="2014-09-03T22:00:00"/>
    <d v="2014-09-04T12:30:00"/>
    <n v="681"/>
    <n v="795"/>
    <n v="747"/>
    <s v="SO2 stack emissions (fossil)"/>
    <s v="FE00SO2 emissions were increasing and potential exceedance was avoided by derating the"/>
    <s v="Trimble"/>
    <x v="0"/>
    <s v="Coal"/>
    <x v="2"/>
    <x v="1"/>
    <n v="9"/>
    <n v="14.500000000116415"/>
    <n v="2.0792452830355614"/>
    <n v="1553.1962264275644"/>
    <n v="107.11698113207547"/>
    <x v="4"/>
  </r>
  <r>
    <x v="12"/>
    <x v="3"/>
    <n v="60"/>
    <n v="1190"/>
    <d v="2014-09-07T00:00:00"/>
    <d v="2014-09-07T08:00:00"/>
    <n v="0"/>
    <n v="795"/>
    <n v="747"/>
    <s v="Other tube slagging or fouling"/>
    <s v="FS00Non-curtailing derate to conduct OEM recommended boiler deslag.  Unit was availabl"/>
    <s v="Trimble"/>
    <x v="1"/>
    <s v="Coal"/>
    <x v="2"/>
    <x v="1"/>
    <n v="9"/>
    <n v="8.0000000000582077"/>
    <n v="8.0000000000582077"/>
    <n v="5976.0000000434811"/>
    <n v="747"/>
    <x v="302"/>
  </r>
  <r>
    <x v="12"/>
    <x v="3"/>
    <n v="61"/>
    <n v="360"/>
    <d v="2014-09-09T00:01:00"/>
    <d v="2014-09-09T05:00:00"/>
    <n v="0"/>
    <n v="795"/>
    <n v="747"/>
    <s v="Burners"/>
    <s v="F790During the capability testing of the new set of burners, a ramp rate test was sche"/>
    <s v="Trimble"/>
    <x v="1"/>
    <s v="Coal"/>
    <x v="2"/>
    <x v="1"/>
    <n v="9"/>
    <n v="4.9833333333372138"/>
    <n v="4.9833333333372138"/>
    <n v="3722.5500000028987"/>
    <n v="747"/>
    <x v="302"/>
  </r>
  <r>
    <x v="12"/>
    <x v="0"/>
    <n v="62"/>
    <n v="250"/>
    <d v="2014-09-12T00:30:00"/>
    <d v="2014-09-12T02:30:00"/>
    <n v="650"/>
    <n v="795"/>
    <n v="747"/>
    <s v="Pulverizer feeders"/>
    <s v="F8202C Mill feeder trip due to discharge valve limit switch.  Mill clearout conducted "/>
    <s v="Trimble"/>
    <x v="0"/>
    <s v="Coal"/>
    <x v="2"/>
    <x v="1"/>
    <n v="9"/>
    <n v="1.9999999998835847"/>
    <n v="0.36477987419260349"/>
    <n v="272.49056602187483"/>
    <n v="136.24528301886792"/>
    <x v="62"/>
  </r>
  <r>
    <x v="12"/>
    <x v="3"/>
    <n v="63"/>
    <n v="1190"/>
    <d v="2014-09-14T00:00:00"/>
    <d v="2014-09-14T08:00:00"/>
    <n v="0"/>
    <n v="795"/>
    <n v="747"/>
    <s v="Other tube slagging or fouling"/>
    <s v="FS00Non-curtailing derate to conduct boiler OEM recommended deslag on the unit.  Unit "/>
    <s v="Trimble"/>
    <x v="1"/>
    <s v="Coal"/>
    <x v="2"/>
    <x v="1"/>
    <n v="9"/>
    <n v="8.0000000000582077"/>
    <n v="8.0000000000582077"/>
    <n v="5976.0000000434811"/>
    <n v="747"/>
    <x v="302"/>
  </r>
  <r>
    <x v="12"/>
    <x v="5"/>
    <n v="64"/>
    <n v="1030"/>
    <d v="2014-09-14T13:10:00"/>
    <d v="2014-09-19T10:33:00"/>
    <n v="0"/>
    <n v="795"/>
    <n v="747"/>
    <s v="Boiler screen"/>
    <s v="F540Unit on forced outage due to tube leak.  Screen tube failure lead to 7 other tube "/>
    <s v="Trimble"/>
    <x v="3"/>
    <s v="Coal"/>
    <x v="2"/>
    <x v="1"/>
    <n v="9"/>
    <n v="117.3833333333605"/>
    <n v="117.3833333333605"/>
    <n v="87685.350000020291"/>
    <n v="747"/>
    <x v="302"/>
  </r>
  <r>
    <x v="12"/>
    <x v="3"/>
    <n v="65"/>
    <n v="1990"/>
    <d v="2014-09-21T02:00:00"/>
    <d v="2014-09-21T06:45:00"/>
    <n v="0"/>
    <n v="795"/>
    <n v="747"/>
    <s v="Boiler performance testing (use code 9999 for total unit performance testing)"/>
    <s v="F790Non-curtailing, variable derate to conduct unit ramp testing for new capability te"/>
    <s v="Trimble"/>
    <x v="1"/>
    <s v="Coal"/>
    <x v="2"/>
    <x v="1"/>
    <n v="9"/>
    <n v="4.7499999999417923"/>
    <n v="4.7499999999417923"/>
    <n v="3548.2499999565189"/>
    <n v="747"/>
    <x v="302"/>
  </r>
  <r>
    <x v="12"/>
    <x v="0"/>
    <n v="66"/>
    <n v="3431"/>
    <d v="2014-09-22T00:00:00"/>
    <d v="2014-09-22T09:50:00"/>
    <n v="430"/>
    <n v="795"/>
    <n v="747"/>
    <s v="Other feedwater valves"/>
    <s v="F540Derate on the unit due to a packing leak on a feedwater bypass valve."/>
    <s v="Trimble"/>
    <x v="0"/>
    <s v="Coal"/>
    <x v="2"/>
    <x v="1"/>
    <n v="9"/>
    <n v="9.8333333332557231"/>
    <n v="4.514675052375269"/>
    <n v="3372.4622641243259"/>
    <n v="342.96226415094338"/>
    <x v="293"/>
  </r>
  <r>
    <x v="12"/>
    <x v="5"/>
    <n v="67"/>
    <n v="3431"/>
    <d v="2014-09-22T09:50:00"/>
    <d v="2014-09-23T02:00:00"/>
    <n v="0"/>
    <n v="795"/>
    <n v="747"/>
    <s v="Other feedwater valves"/>
    <s v="F540Packing leak on feedwater start-up bypass valve required unit to be taken off-line"/>
    <s v="Trimble"/>
    <x v="3"/>
    <s v="Coal"/>
    <x v="2"/>
    <x v="1"/>
    <n v="9"/>
    <n v="16.166666666802485"/>
    <n v="16.166666666802485"/>
    <n v="12076.500000101456"/>
    <n v="747"/>
    <x v="302"/>
  </r>
  <r>
    <x v="12"/>
    <x v="3"/>
    <n v="68"/>
    <n v="1190"/>
    <d v="2014-09-28T00:00:00"/>
    <d v="2014-09-28T09:16:00"/>
    <n v="0"/>
    <n v="795"/>
    <n v="747"/>
    <s v="Other tube slagging or fouling"/>
    <s v="FS00Non-curtailing derate to conduct boiler OEM recommended unit deslag.  The unit was"/>
    <s v="Trimble"/>
    <x v="1"/>
    <s v="Coal"/>
    <x v="2"/>
    <x v="1"/>
    <n v="9"/>
    <n v="9.2666666666627862"/>
    <n v="9.2666666666627862"/>
    <n v="6922.1999999971013"/>
    <n v="747"/>
    <x v="302"/>
  </r>
  <r>
    <x v="12"/>
    <x v="4"/>
    <n v="69"/>
    <n v="775"/>
    <d v="2014-10-04T03:38:00"/>
    <d v="2014-10-06T18:54:00"/>
    <n v="0"/>
    <n v="795"/>
    <n v="747"/>
    <s v="Economizer piping"/>
    <s v="F540TC2 was taken offline for a maintenance outage to repair a leak in the economizer "/>
    <s v="Trimble"/>
    <x v="2"/>
    <s v="Coal"/>
    <x v="2"/>
    <x v="1"/>
    <n v="10"/>
    <n v="63.266666666662786"/>
    <n v="63.266666666662786"/>
    <n v="47260.199999997101"/>
    <n v="747"/>
    <x v="302"/>
  </r>
  <r>
    <x v="12"/>
    <x v="0"/>
    <n v="70"/>
    <n v="335"/>
    <d v="2014-10-07T10:02:00"/>
    <d v="2014-10-07T13:00:00"/>
    <n v="669"/>
    <n v="795"/>
    <n v="747"/>
    <s v="Pulverizer lube oil system"/>
    <s v="F540The unit was derated to 669MW due to a lube oil leak on the 2B mill.  Additionally"/>
    <s v="Trimble"/>
    <x v="0"/>
    <s v="Coal"/>
    <x v="2"/>
    <x v="1"/>
    <n v="10"/>
    <n v="2.9666666665580124"/>
    <n v="0.47018867922806235"/>
    <n v="351.23094338336256"/>
    <n v="118.39245283018867"/>
    <x v="40"/>
  </r>
  <r>
    <x v="12"/>
    <x v="0"/>
    <n v="71"/>
    <n v="1400"/>
    <d v="2014-10-07T16:45:00"/>
    <d v="2014-10-07T18:30:00"/>
    <n v="779"/>
    <n v="795"/>
    <n v="747"/>
    <s v="Forced draft fans"/>
    <s v="F400During a mill swap air flow issues arose so to avoid a fan stall, operations put a"/>
    <s v="Trimble"/>
    <x v="0"/>
    <s v="Coal"/>
    <x v="2"/>
    <x v="1"/>
    <n v="10"/>
    <n v="1.7500000001164153"/>
    <n v="3.5220125788506473E-2"/>
    <n v="26.309433964014335"/>
    <n v="15.033962264150944"/>
    <x v="169"/>
  </r>
  <r>
    <x v="12"/>
    <x v="0"/>
    <n v="72"/>
    <n v="310"/>
    <d v="2014-10-08T10:15:00"/>
    <d v="2014-10-08T17:54:00"/>
    <n v="669"/>
    <n v="795"/>
    <n v="747"/>
    <s v="Pulverizer mills"/>
    <s v="FR00TC2 was derated to 669MW due to a fire in the 2E coal mill.  Additionally, a leak "/>
    <s v="Trimble"/>
    <x v="0"/>
    <s v="Coal"/>
    <x v="2"/>
    <x v="1"/>
    <n v="10"/>
    <n v="7.6499999999650754"/>
    <n v="1.2124528301831441"/>
    <n v="905.7022641468086"/>
    <n v="118.39245283018867"/>
    <x v="40"/>
  </r>
  <r>
    <x v="12"/>
    <x v="3"/>
    <n v="73"/>
    <n v="1190"/>
    <d v="2014-10-12T00:01:00"/>
    <d v="2014-10-12T10:00:00"/>
    <n v="0"/>
    <n v="795"/>
    <n v="747"/>
    <s v="Other tube slagging or fouling"/>
    <s v="FS00Non-curtailing derate to conduct boiler OEM recommended unit deslag.  Unit was ava"/>
    <s v="Trimble"/>
    <x v="1"/>
    <s v="Coal"/>
    <x v="2"/>
    <x v="1"/>
    <n v="10"/>
    <n v="9.9833333332207985"/>
    <n v="9.9833333332207985"/>
    <n v="7457.5499999159365"/>
    <n v="747"/>
    <x v="302"/>
  </r>
  <r>
    <x v="12"/>
    <x v="3"/>
    <n v="74"/>
    <n v="4490"/>
    <d v="2014-10-16T09:00:00"/>
    <d v="2014-10-16T10:30:00"/>
    <n v="0"/>
    <n v="795"/>
    <n v="747"/>
    <s v="Turbine performance testing (use code 9999 for total unit performance testing)"/>
    <s v="F790Non-curtailing derate to conduct a turbine follow ramp test on the unit.  Unit was"/>
    <s v="Trimble"/>
    <x v="1"/>
    <s v="Coal"/>
    <x v="2"/>
    <x v="1"/>
    <n v="10"/>
    <n v="1.5"/>
    <n v="1.5"/>
    <n v="1120.5"/>
    <n v="747"/>
    <x v="302"/>
  </r>
  <r>
    <x v="12"/>
    <x v="3"/>
    <n v="75"/>
    <n v="1190"/>
    <d v="2014-10-19T00:00:00"/>
    <d v="2014-10-19T08:00:00"/>
    <n v="0"/>
    <n v="795"/>
    <n v="747"/>
    <s v="Other tube slagging or fouling"/>
    <s v="FS00Non-curtailing derate to conduct boiler deslag.  Unit was available for full load "/>
    <s v="Trimble"/>
    <x v="1"/>
    <s v="Coal"/>
    <x v="2"/>
    <x v="1"/>
    <n v="10"/>
    <n v="8.0000000000582077"/>
    <n v="8.0000000000582077"/>
    <n v="5976.0000000434811"/>
    <n v="747"/>
    <x v="302"/>
  </r>
  <r>
    <x v="12"/>
    <x v="3"/>
    <n v="76"/>
    <n v="4267"/>
    <d v="2014-10-20T00:00:00"/>
    <d v="2014-10-20T06:00:00"/>
    <n v="0"/>
    <n v="795"/>
    <n v="747"/>
    <s v="Control valve testing"/>
    <s v="F790Non-curtailing derate to conduct turbine bypass control valve testing.  Unit was a"/>
    <s v="Trimble"/>
    <x v="1"/>
    <s v="Coal"/>
    <x v="2"/>
    <x v="1"/>
    <n v="10"/>
    <n v="6"/>
    <n v="6"/>
    <n v="4482"/>
    <n v="747"/>
    <x v="302"/>
  </r>
  <r>
    <x v="12"/>
    <x v="1"/>
    <n v="77"/>
    <n v="1990"/>
    <d v="2014-10-21T00:00:00"/>
    <d v="2014-10-21T06:00:00"/>
    <n v="784"/>
    <n v="795"/>
    <n v="747"/>
    <s v="Boiler performance testing (use code 9999 for total unit performance testing)"/>
    <s v="F790Planned derate to conduct unit performance testing following upgrade of combustion"/>
    <s v="Trimble"/>
    <x v="0"/>
    <s v="Coal"/>
    <x v="2"/>
    <x v="1"/>
    <n v="10"/>
    <n v="6"/>
    <n v="8.3018867924528297E-2"/>
    <n v="62.015094339622635"/>
    <n v="10.335849056603774"/>
    <x v="182"/>
  </r>
  <r>
    <x v="12"/>
    <x v="0"/>
    <n v="78"/>
    <n v="1990"/>
    <d v="2014-10-22T08:30:00"/>
    <d v="2014-10-22T11:15:00"/>
    <n v="777"/>
    <n v="795"/>
    <n v="747"/>
    <s v="Boiler performance testing (use code 9999 for total unit performance testing)"/>
    <s v="F790Derate to conduct unit performance testing following upgrade of combustion system."/>
    <s v="Trimble"/>
    <x v="0"/>
    <s v="Coal"/>
    <x v="2"/>
    <x v="1"/>
    <n v="10"/>
    <n v="2.7500000000582077"/>
    <n v="6.2264150944714138E-2"/>
    <n v="46.511320755701462"/>
    <n v="16.913207547169812"/>
    <x v="262"/>
  </r>
  <r>
    <x v="12"/>
    <x v="0"/>
    <n v="79"/>
    <n v="1990"/>
    <d v="2014-10-22T11:15:00"/>
    <d v="2014-10-22T13:45:00"/>
    <n v="787"/>
    <n v="795"/>
    <n v="747"/>
    <s v="Boiler performance testing (use code 9999 for total unit performance testing)"/>
    <s v="F790Derate to conduct unit performance testing following upgrade of combustion system."/>
    <s v="Trimble"/>
    <x v="0"/>
    <s v="Coal"/>
    <x v="2"/>
    <x v="1"/>
    <n v="10"/>
    <n v="2.4999999999417923"/>
    <n v="2.5157232703816777E-2"/>
    <n v="18.792452829751134"/>
    <n v="7.5169811320754718"/>
    <x v="1"/>
  </r>
  <r>
    <x v="12"/>
    <x v="0"/>
    <n v="80"/>
    <n v="1990"/>
    <d v="2014-10-22T13:45:00"/>
    <d v="2014-10-22T17:00:00"/>
    <n v="792"/>
    <n v="795"/>
    <n v="747"/>
    <s v="Boiler performance testing (use code 9999 for total unit performance testing)"/>
    <s v="F790Derate to conduct unit performance testing following upgrade of combustion system."/>
    <s v="Trimble"/>
    <x v="0"/>
    <s v="Coal"/>
    <x v="2"/>
    <x v="1"/>
    <n v="10"/>
    <n v="3.2500000001164153"/>
    <n v="1.226415094383553E-2"/>
    <n v="9.161320755045141"/>
    <n v="2.8188679245283019"/>
    <x v="183"/>
  </r>
  <r>
    <x v="12"/>
    <x v="1"/>
    <n v="81"/>
    <n v="1990"/>
    <d v="2014-10-23T09:30:00"/>
    <d v="2014-10-23T17:45:00"/>
    <n v="792"/>
    <n v="795"/>
    <n v="747"/>
    <s v="Boiler performance testing (use code 9999 for total unit performance testing)"/>
    <s v="F790Planned derate to allow performance testing of new combustion system by Doosan."/>
    <s v="Trimble"/>
    <x v="0"/>
    <s v="Coal"/>
    <x v="2"/>
    <x v="1"/>
    <n v="10"/>
    <n v="8.25"/>
    <n v="3.1132075471698113E-2"/>
    <n v="23.255660377358492"/>
    <n v="2.8188679245283019"/>
    <x v="183"/>
  </r>
  <r>
    <x v="12"/>
    <x v="0"/>
    <n v="82"/>
    <n v="1990"/>
    <d v="2014-10-24T10:00:00"/>
    <d v="2014-10-24T18:00:00"/>
    <n v="792"/>
    <n v="795"/>
    <n v="747"/>
    <s v="Boiler performance testing (use code 9999 for total unit performance testing)"/>
    <s v="F790Planned derate to allow performance testing of new combustion system by Doosan."/>
    <s v="Trimble"/>
    <x v="0"/>
    <s v="Coal"/>
    <x v="2"/>
    <x v="1"/>
    <n v="10"/>
    <n v="8.0000000000582077"/>
    <n v="3.018867924550267E-2"/>
    <n v="22.550943396390494"/>
    <n v="2.8188679245283019"/>
    <x v="183"/>
  </r>
  <r>
    <x v="12"/>
    <x v="3"/>
    <n v="83"/>
    <n v="1190"/>
    <d v="2014-10-26T00:01:00"/>
    <d v="2014-10-26T08:00:00"/>
    <n v="0"/>
    <n v="795"/>
    <n v="747"/>
    <s v="Other tube slagging or fouling"/>
    <s v="FS00Non-curtailing derate to conduct boiler OEM recommended deslag.  Unit was availabl"/>
    <s v="Trimble"/>
    <x v="1"/>
    <s v="Coal"/>
    <x v="2"/>
    <x v="1"/>
    <n v="10"/>
    <n v="7.9833333333372138"/>
    <n v="7.9833333333372138"/>
    <n v="5963.5500000028987"/>
    <n v="747"/>
    <x v="302"/>
  </r>
  <r>
    <x v="12"/>
    <x v="1"/>
    <n v="84"/>
    <n v="1990"/>
    <d v="2014-10-29T13:00:00"/>
    <d v="2014-10-29T15:00:00"/>
    <n v="762"/>
    <n v="795"/>
    <n v="747"/>
    <s v="Boiler performance testing (use code 9999 for total unit performance testing)"/>
    <s v="F790Unit was on a planned, variable derate to conduct ramp testing on the unit for the"/>
    <s v="Trimble"/>
    <x v="0"/>
    <s v="Coal"/>
    <x v="2"/>
    <x v="1"/>
    <n v="10"/>
    <n v="2.0000000000582077"/>
    <n v="8.3018867926944476E-2"/>
    <n v="62.01509434142752"/>
    <n v="31.007547169811321"/>
    <x v="246"/>
  </r>
  <r>
    <x v="12"/>
    <x v="1"/>
    <n v="85"/>
    <n v="1990"/>
    <d v="2014-10-30T14:00:00"/>
    <d v="2014-10-30T15:00:00"/>
    <n v="660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0"/>
    <n v="0.99999999994179234"/>
    <n v="0.16981132074483266"/>
    <n v="126.84905659639"/>
    <n v="126.84905660377359"/>
    <x v="49"/>
  </r>
  <r>
    <x v="12"/>
    <x v="1"/>
    <n v="86"/>
    <n v="1990"/>
    <d v="2014-10-31T10:00:00"/>
    <d v="2014-10-31T11:00:00"/>
    <n v="695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0"/>
    <n v="1.0000000001164153"/>
    <n v="0.125786163536656"/>
    <n v="93.962264161882032"/>
    <n v="93.962264150943398"/>
    <x v="194"/>
  </r>
  <r>
    <x v="12"/>
    <x v="1"/>
    <n v="87"/>
    <n v="1990"/>
    <d v="2014-10-31T12:30:00"/>
    <d v="2014-10-31T13:30:00"/>
    <n v="695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0"/>
    <n v="0.99999999994179234"/>
    <n v="0.12578616351469085"/>
    <n v="93.962264145474066"/>
    <n v="93.962264150943398"/>
    <x v="194"/>
  </r>
  <r>
    <x v="12"/>
    <x v="1"/>
    <n v="88"/>
    <n v="1990"/>
    <d v="2014-10-31T15:00:00"/>
    <d v="2014-10-31T16:26:00"/>
    <n v="695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0"/>
    <n v="1.4333333332906477"/>
    <n v="0.18029350104284877"/>
    <n v="134.67924527900803"/>
    <n v="93.962264150943398"/>
    <x v="194"/>
  </r>
  <r>
    <x v="12"/>
    <x v="1"/>
    <n v="89"/>
    <n v="1990"/>
    <d v="2014-11-01T11:00:00"/>
    <d v="2014-11-01T12:00:00"/>
    <n v="658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0.99999999994179234"/>
    <n v="0.17232704401512647"/>
    <n v="128.72830187929947"/>
    <n v="128.72830188679245"/>
    <x v="288"/>
  </r>
  <r>
    <x v="12"/>
    <x v="1"/>
    <n v="90"/>
    <n v="1990"/>
    <d v="2014-11-01T12:00:00"/>
    <d v="2014-11-01T13:00:00"/>
    <n v="480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0.99999999994179234"/>
    <n v="0.39622641507127621"/>
    <n v="295.9811320582433"/>
    <n v="295.98113207547169"/>
    <x v="202"/>
  </r>
  <r>
    <x v="12"/>
    <x v="1"/>
    <n v="91"/>
    <n v="1990"/>
    <d v="2014-11-01T13:00:00"/>
    <d v="2014-11-01T14:00:00"/>
    <n v="658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1.0000000001164153"/>
    <n v="0.17232704404521873"/>
    <n v="128.72830190177839"/>
    <n v="128.72830188679245"/>
    <x v="288"/>
  </r>
  <r>
    <x v="12"/>
    <x v="1"/>
    <n v="92"/>
    <n v="1990"/>
    <d v="2014-11-01T14:00:00"/>
    <d v="2014-11-01T15:00:00"/>
    <n v="480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0.99999999994179234"/>
    <n v="0.39622641507127621"/>
    <n v="295.9811320582433"/>
    <n v="295.98113207547169"/>
    <x v="202"/>
  </r>
  <r>
    <x v="12"/>
    <x v="1"/>
    <n v="93"/>
    <n v="1990"/>
    <d v="2014-11-01T15:00:00"/>
    <d v="2014-11-01T16:00:00"/>
    <n v="658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0.99999999994179234"/>
    <n v="0.17232704401512647"/>
    <n v="128.72830187929947"/>
    <n v="128.72830188679245"/>
    <x v="288"/>
  </r>
  <r>
    <x v="12"/>
    <x v="1"/>
    <n v="94"/>
    <n v="1990"/>
    <d v="2014-11-01T16:00:00"/>
    <d v="2014-11-01T17:00:00"/>
    <n v="480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1.0000000001164153"/>
    <n v="0.39622641514046647"/>
    <n v="295.98113210992847"/>
    <n v="295.98113207547169"/>
    <x v="202"/>
  </r>
  <r>
    <x v="12"/>
    <x v="1"/>
    <n v="95"/>
    <n v="1990"/>
    <d v="2014-11-01T17:00:00"/>
    <d v="2014-11-01T18:00:00"/>
    <n v="650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0.99999999994179234"/>
    <n v="0.18238993709630175"/>
    <n v="136.24528301093741"/>
    <n v="136.24528301886792"/>
    <x v="62"/>
  </r>
  <r>
    <x v="12"/>
    <x v="1"/>
    <n v="96"/>
    <n v="1990"/>
    <d v="2014-11-02T09:15:00"/>
    <d v="2014-11-02T12:00:00"/>
    <n v="658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2.7500000000582077"/>
    <n v="0.47389937107921315"/>
    <n v="354.00283019617223"/>
    <n v="128.72830188679245"/>
    <x v="288"/>
  </r>
  <r>
    <x v="12"/>
    <x v="1"/>
    <n v="97"/>
    <n v="1990"/>
    <d v="2014-11-02T12:00:00"/>
    <d v="2014-11-02T13:00:00"/>
    <n v="499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0.99999999994179234"/>
    <n v="0.37232704400348493"/>
    <n v="278.12830187060325"/>
    <n v="278.12830188679243"/>
    <x v="213"/>
  </r>
  <r>
    <x v="12"/>
    <x v="1"/>
    <n v="98"/>
    <n v="1990"/>
    <d v="2014-11-02T13:00:00"/>
    <d v="2014-11-02T15:00:00"/>
    <n v="658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2.0000000000582077"/>
    <n v="0.3446540880603452"/>
    <n v="257.45660378107789"/>
    <n v="128.72830188679245"/>
    <x v="288"/>
  </r>
  <r>
    <x v="12"/>
    <x v="1"/>
    <n v="99"/>
    <n v="1990"/>
    <d v="2014-11-02T16:00:00"/>
    <d v="2014-11-02T17:00:00"/>
    <n v="499"/>
    <n v="795"/>
    <n v="747"/>
    <s v="Boiler performance testing (use code 9999 for total unit performance testing)"/>
    <s v="F790Planned derate to conduct ramp testing on the unit following the boiler combustion"/>
    <s v="Trimble"/>
    <x v="0"/>
    <s v="Coal"/>
    <x v="2"/>
    <x v="1"/>
    <n v="11"/>
    <n v="1.0000000001164153"/>
    <n v="0.37232704406850181"/>
    <n v="278.12830191917084"/>
    <n v="278.12830188679243"/>
    <x v="213"/>
  </r>
  <r>
    <x v="12"/>
    <x v="1"/>
    <n v="100"/>
    <n v="1990"/>
    <d v="2014-11-03T10:00:00"/>
    <d v="2014-11-03T11:00:00"/>
    <n v="650"/>
    <n v="795"/>
    <n v="747"/>
    <s v="Boiler performance testing (use code 9999 for total unit performance testing)"/>
    <s v="F790Conducted planned ramp test on the unit."/>
    <s v="Trimble"/>
    <x v="0"/>
    <s v="Coal"/>
    <x v="2"/>
    <x v="1"/>
    <n v="11"/>
    <n v="1.0000000001164153"/>
    <n v="0.18238993712815121"/>
    <n v="136.24528303472897"/>
    <n v="136.24528301886792"/>
    <x v="62"/>
  </r>
  <r>
    <x v="12"/>
    <x v="1"/>
    <n v="101"/>
    <n v="1990"/>
    <d v="2014-11-03T13:00:00"/>
    <d v="2014-11-03T14:00:00"/>
    <n v="650"/>
    <n v="795"/>
    <n v="747"/>
    <s v="Boiler performance testing (use code 9999 for total unit performance testing)"/>
    <s v="F790Conducted planned ramp test on the unit."/>
    <s v="Trimble"/>
    <x v="0"/>
    <s v="Coal"/>
    <x v="2"/>
    <x v="1"/>
    <n v="11"/>
    <n v="1.0000000001164153"/>
    <n v="0.18238993712815121"/>
    <n v="136.24528303472897"/>
    <n v="136.24528301886792"/>
    <x v="62"/>
  </r>
  <r>
    <x v="12"/>
    <x v="1"/>
    <n v="102"/>
    <n v="1990"/>
    <d v="2014-11-03T15:00:00"/>
    <d v="2014-11-03T16:00:00"/>
    <n v="650"/>
    <n v="795"/>
    <n v="747"/>
    <s v="Boiler performance testing (use code 9999 for total unit performance testing)"/>
    <s v="F790Conducted planned ramp test on the unit."/>
    <s v="Trimble"/>
    <x v="0"/>
    <s v="Coal"/>
    <x v="2"/>
    <x v="1"/>
    <n v="11"/>
    <n v="0.99999999994179234"/>
    <n v="0.18238993709630175"/>
    <n v="136.24528301093741"/>
    <n v="136.24528301886792"/>
    <x v="62"/>
  </r>
  <r>
    <x v="12"/>
    <x v="3"/>
    <n v="103"/>
    <n v="1190"/>
    <d v="2014-11-09T00:00:00"/>
    <d v="2014-11-09T08:00:00"/>
    <n v="0"/>
    <n v="795"/>
    <n v="747"/>
    <s v="Other tube slagging or fouling"/>
    <s v="FS00Non-curtailing unit derate to conduct boiler OEM recommended unit deslag.  Unit wa"/>
    <s v="Trimble"/>
    <x v="1"/>
    <s v="Coal"/>
    <x v="2"/>
    <x v="1"/>
    <n v="11"/>
    <n v="8.0000000000582077"/>
    <n v="8.0000000000582077"/>
    <n v="5976.0000000434811"/>
    <n v="747"/>
    <x v="302"/>
  </r>
  <r>
    <x v="12"/>
    <x v="0"/>
    <n v="104"/>
    <n v="370"/>
    <d v="2014-11-09T08:00:00"/>
    <d v="2014-11-09T09:50:00"/>
    <n v="650"/>
    <n v="795"/>
    <n v="747"/>
    <s v="Burner instruments and controls (except light-off)"/>
    <s v="F400Issues with the C-row oil guns caused a unit derate until issues could be resolved"/>
    <s v="Trimble"/>
    <x v="0"/>
    <s v="Coal"/>
    <x v="2"/>
    <x v="1"/>
    <n v="11"/>
    <n v="1.8333333331975155"/>
    <n v="0.33438155133791164"/>
    <n v="249.78301884941999"/>
    <n v="136.24528301886792"/>
    <x v="62"/>
  </r>
  <r>
    <x v="12"/>
    <x v="3"/>
    <n v="105"/>
    <n v="1190"/>
    <d v="2014-11-11T23:00:00"/>
    <d v="2014-11-12T05:00:00"/>
    <n v="0"/>
    <n v="795"/>
    <n v="747"/>
    <s v="Other tube slagging or fouling"/>
    <s v="FS00Non-curtailing derate to conduct boiler deslag. Unit was available to return to fu"/>
    <s v="Trimble"/>
    <x v="1"/>
    <s v="Coal"/>
    <x v="2"/>
    <x v="1"/>
    <n v="11"/>
    <n v="6"/>
    <n v="6"/>
    <n v="4482"/>
    <n v="747"/>
    <x v="302"/>
  </r>
  <r>
    <x v="12"/>
    <x v="3"/>
    <n v="106"/>
    <n v="1190"/>
    <d v="2014-11-16T00:00:00"/>
    <d v="2014-11-16T06:00:00"/>
    <n v="0"/>
    <n v="795"/>
    <n v="747"/>
    <s v="Other tube slagging or fouling"/>
    <s v="FS00Non-curtailing derate to conduct boiler deslag. Unit was available to return to fu"/>
    <s v="Trimble"/>
    <x v="1"/>
    <s v="Coal"/>
    <x v="2"/>
    <x v="1"/>
    <n v="11"/>
    <n v="6"/>
    <n v="6"/>
    <n v="4482"/>
    <n v="747"/>
    <x v="302"/>
  </r>
  <r>
    <x v="12"/>
    <x v="3"/>
    <n v="107"/>
    <n v="1190"/>
    <d v="2014-11-23T00:01:00"/>
    <d v="2014-11-23T06:00:00"/>
    <n v="0"/>
    <n v="795"/>
    <n v="747"/>
    <s v="Other tube slagging or fouling"/>
    <s v="FS00Non-curtailing derate on the unit to conduct boiler deslag.  Unit available to ret"/>
    <s v="Trimble"/>
    <x v="1"/>
    <s v="Coal"/>
    <x v="2"/>
    <x v="1"/>
    <n v="11"/>
    <n v="5.9833333332790062"/>
    <n v="5.9833333332790062"/>
    <n v="4469.5499999594176"/>
    <n v="747"/>
    <x v="302"/>
  </r>
  <r>
    <x v="12"/>
    <x v="2"/>
    <n v="108"/>
    <n v="1190"/>
    <d v="2014-11-30T00:01:00"/>
    <d v="2014-11-30T06:24:00"/>
    <n v="400"/>
    <n v="795"/>
    <n v="747"/>
    <s v="Other tube slagging or fouling"/>
    <s v="FS00Derate to conduct boiler deslag.  Unit was available to return to full load if req"/>
    <s v="Trimble"/>
    <x v="0"/>
    <s v="Coal"/>
    <x v="2"/>
    <x v="1"/>
    <n v="11"/>
    <n v="6.3833333333604969"/>
    <n v="3.1715932914181084"/>
    <n v="2369.1801886893268"/>
    <n v="371.15094339622641"/>
    <x v="316"/>
  </r>
  <r>
    <x v="12"/>
    <x v="0"/>
    <n v="109"/>
    <n v="385"/>
    <d v="2014-11-30T06:34:00"/>
    <d v="2014-11-30T08:00:00"/>
    <n v="659"/>
    <n v="795"/>
    <n v="747"/>
    <s v="Igniters"/>
    <s v="F830Issues with the C1 oil gun during start-up caused a unit derate until an alternate"/>
    <s v="Trimble"/>
    <x v="0"/>
    <s v="Coal"/>
    <x v="2"/>
    <x v="1"/>
    <n v="11"/>
    <n v="1.4333333334652707"/>
    <n v="0.24519916144814694"/>
    <n v="183.16377360176577"/>
    <n v="127.78867924528302"/>
    <x v="259"/>
  </r>
  <r>
    <x v="12"/>
    <x v="2"/>
    <n v="110"/>
    <n v="3439"/>
    <d v="2014-12-06T00:00:00"/>
    <d v="2014-12-06T04:54:00"/>
    <n v="749"/>
    <n v="795"/>
    <n v="747"/>
    <s v="HP heater head leaks"/>
    <s v="F540Planned derate to repair head leak on 8A FW heater."/>
    <s v="Trimble"/>
    <x v="0"/>
    <s v="Coal"/>
    <x v="2"/>
    <x v="1"/>
    <n v="12"/>
    <n v="4.9000000000814907"/>
    <n v="0.28352201258333154"/>
    <n v="211.79094339974867"/>
    <n v="43.222641509433963"/>
    <x v="82"/>
  </r>
  <r>
    <x v="12"/>
    <x v="5"/>
    <n v="111"/>
    <n v="3441"/>
    <d v="2014-12-06T04:54:00"/>
    <d v="2014-12-07T16:55:00"/>
    <n v="0"/>
    <n v="795"/>
    <n v="747"/>
    <s v="Other high pressure heater problems (see condensate system for LP and IP heater codes)"/>
    <s v="F540While attempting to isolate the 8A heater for repair, the 8A heater bypass valve p"/>
    <s v="Trimble"/>
    <x v="3"/>
    <s v="Coal"/>
    <x v="2"/>
    <x v="1"/>
    <n v="12"/>
    <n v="36.016666666546371"/>
    <n v="36.016666666546371"/>
    <n v="26904.449999910139"/>
    <n v="747"/>
    <x v="302"/>
  </r>
  <r>
    <x v="12"/>
    <x v="7"/>
    <n v="112"/>
    <n v="250"/>
    <d v="2014-12-07T16:55:00"/>
    <d v="2014-12-07T17:18:00"/>
    <n v="0"/>
    <n v="795"/>
    <n v="747"/>
    <s v="Pulverizer feeders"/>
    <s v="F0602E Coal Mill clean out conveyor issues."/>
    <s v="Trimble"/>
    <x v="3"/>
    <s v="Coal"/>
    <x v="2"/>
    <x v="1"/>
    <n v="12"/>
    <n v="0.38333333336049691"/>
    <n v="0.38333333336049691"/>
    <n v="286.35000002029119"/>
    <n v="747"/>
    <x v="302"/>
  </r>
  <r>
    <x v="12"/>
    <x v="7"/>
    <n v="113"/>
    <n v="3499"/>
    <d v="2014-12-07T17:18:00"/>
    <d v="2014-12-07T23:47:00"/>
    <n v="0"/>
    <n v="795"/>
    <n v="747"/>
    <s v="Other feedwater system problems"/>
    <s v="F660Feedwater flow limit during mill swap."/>
    <s v="Trimble"/>
    <x v="3"/>
    <s v="Coal"/>
    <x v="2"/>
    <x v="1"/>
    <n v="12"/>
    <n v="6.4833333333372138"/>
    <n v="6.4833333333372138"/>
    <n v="4843.0500000028987"/>
    <n v="747"/>
    <x v="302"/>
  </r>
  <r>
    <x v="12"/>
    <x v="2"/>
    <n v="114"/>
    <n v="1190"/>
    <d v="2014-12-13T23:59:00"/>
    <d v="2014-12-14T07:00:00"/>
    <n v="434"/>
    <n v="795"/>
    <n v="747"/>
    <s v="Other tube slagging or fouling"/>
    <s v="FS00Unit derate to conduct boiler OEM recommended unit deslag.  Unit was available to "/>
    <s v="Trimble"/>
    <x v="0"/>
    <s v="Coal"/>
    <x v="2"/>
    <x v="1"/>
    <n v="12"/>
    <n v="7.0166666666627862"/>
    <n v="3.1861844863714035"/>
    <n v="2380.0798113194382"/>
    <n v="339.20377358490566"/>
    <x v="287"/>
  </r>
  <r>
    <x v="12"/>
    <x v="5"/>
    <n v="115"/>
    <n v="1035"/>
    <d v="2014-12-17T13:10:00"/>
    <d v="2014-12-20T16:29:00"/>
    <n v="0"/>
    <n v="795"/>
    <n v="747"/>
    <s v="Platen superheater"/>
    <s v="F540Unit came offline due to a boiler tube leak on the Superheater Platen tube, Elemen"/>
    <s v="Trimble"/>
    <x v="3"/>
    <s v="Coal"/>
    <x v="2"/>
    <x v="1"/>
    <n v="12"/>
    <n v="75.316666666651145"/>
    <n v="75.316666666651145"/>
    <n v="56261.549999988405"/>
    <n v="747"/>
    <x v="302"/>
  </r>
  <r>
    <x v="12"/>
    <x v="2"/>
    <n v="1"/>
    <n v="1990"/>
    <d v="2015-01-03T00:00:00"/>
    <d v="2015-01-03T02:00:00"/>
    <n v="709"/>
    <n v="795"/>
    <n v="747"/>
    <s v="Boiler performance testing (use code 9999 for total unit performance testing)"/>
    <s v="F790Planned derate to conduct ramp test in preperation for AGC mode. "/>
    <s v="Trimble"/>
    <x v="0"/>
    <s v="Coal"/>
    <x v="2"/>
    <x v="2"/>
    <n v="1"/>
    <n v="2.0000000000582077"/>
    <n v="0.2163522012641583"/>
    <n v="161.61509434432625"/>
    <n v="80.807547169811315"/>
    <x v="240"/>
  </r>
  <r>
    <x v="12"/>
    <x v="3"/>
    <n v="2"/>
    <n v="1190"/>
    <d v="2015-01-03T02:00:00"/>
    <d v="2015-01-03T10:00:00"/>
    <n v="0"/>
    <n v="795"/>
    <n v="747"/>
    <s v="Other tube slagging or fouling"/>
    <s v="FS00Non-curtailing unit derate to conduct boiler OEM recommended unit deslag.  Unit wa"/>
    <s v="Trimble"/>
    <x v="1"/>
    <s v="Coal"/>
    <x v="2"/>
    <x v="2"/>
    <n v="1"/>
    <n v="7.9999999998835847"/>
    <n v="7.9999999998835847"/>
    <n v="5975.9999999130378"/>
    <n v="747"/>
    <x v="302"/>
  </r>
  <r>
    <x v="12"/>
    <x v="3"/>
    <n v="3"/>
    <n v="1190"/>
    <d v="2015-01-11T11:00:00"/>
    <d v="2015-01-11T17:00:00"/>
    <n v="0"/>
    <n v="795"/>
    <n v="747"/>
    <s v="Other tube slagging or fouling"/>
    <s v="FS00Non-curtailing derate to conduct boiler OEM recommended deslag.  Unit was availabl"/>
    <s v="Trimble"/>
    <x v="1"/>
    <s v="Coal"/>
    <x v="2"/>
    <x v="2"/>
    <n v="1"/>
    <n v="6"/>
    <n v="6"/>
    <n v="4482"/>
    <n v="747"/>
    <x v="302"/>
  </r>
  <r>
    <x v="12"/>
    <x v="0"/>
    <n v="4"/>
    <n v="4269"/>
    <d v="2015-01-12T08:30:00"/>
    <d v="2015-01-12T14:00:00"/>
    <n v="799"/>
    <n v="795"/>
    <n v="747"/>
    <s v="Other turbine valves"/>
    <s v="F540Unit was derated due to HP turbine bypass valve leak through.  Due to HP turbine b"/>
    <s v="Trimble"/>
    <x v="0"/>
    <s v="Coal"/>
    <x v="2"/>
    <x v="2"/>
    <n v="1"/>
    <n v="5.5000000001164153"/>
    <n v="-2.7672955975428504E-2"/>
    <n v="-20.671698113645093"/>
    <n v="0"/>
    <x v="152"/>
  </r>
  <r>
    <x v="12"/>
    <x v="0"/>
    <n v="5"/>
    <n v="4269"/>
    <d v="2015-01-12T14:00:00"/>
    <d v="2015-01-12T19:00:00"/>
    <n v="549"/>
    <n v="795"/>
    <n v="747"/>
    <s v="Other turbine valves"/>
    <s v="F540Due to the HP turbine bypass valve leak through, the unit required a further derat"/>
    <s v="Trimble"/>
    <x v="0"/>
    <s v="Coal"/>
    <x v="2"/>
    <x v="2"/>
    <n v="1"/>
    <n v="4.9999999998835847"/>
    <n v="1.5471698112847319"/>
    <n v="1155.7358490296947"/>
    <n v="231.14716981132077"/>
    <x v="78"/>
  </r>
  <r>
    <x v="12"/>
    <x v="0"/>
    <n v="6"/>
    <n v="4269"/>
    <d v="2015-01-12T19:00:00"/>
    <d v="2015-03-04T16:00:00"/>
    <n v="789"/>
    <n v="795"/>
    <n v="747"/>
    <s v="Other turbine valves"/>
    <s v="F540Unit was derated 20MW due to HP turbine bypass valve leak through.  This required "/>
    <s v="Trimble"/>
    <x v="0"/>
    <s v="Coal"/>
    <x v="2"/>
    <x v="2"/>
    <n v="1"/>
    <n v="1221"/>
    <n v="9.2150943396226417"/>
    <n v="6883.6754716981131"/>
    <n v="5.6377358490566039"/>
    <x v="151"/>
  </r>
  <r>
    <x v="12"/>
    <x v="3"/>
    <n v="7"/>
    <n v="1190"/>
    <d v="2015-01-17T22:00:00"/>
    <d v="2015-01-18T04:00:00"/>
    <n v="0"/>
    <n v="795"/>
    <n v="747"/>
    <s v="Other tube slagging or fouling"/>
    <s v="FS00Non-curtailing derate to conduct boiler OEM recommended deslag of the unit.  Load "/>
    <s v="Trimble"/>
    <x v="1"/>
    <s v="Coal"/>
    <x v="2"/>
    <x v="2"/>
    <n v="1"/>
    <n v="6"/>
    <n v="6"/>
    <n v="4482"/>
    <n v="747"/>
    <x v="302"/>
  </r>
  <r>
    <x v="12"/>
    <x v="3"/>
    <n v="8"/>
    <n v="1190"/>
    <d v="2015-01-24T23:59:00"/>
    <d v="2015-01-25T07:00:00"/>
    <n v="0"/>
    <n v="795"/>
    <n v="747"/>
    <s v="Other tube slagging or fouling"/>
    <s v="FS00Non-curtailing derate to conduct boiler OEM recommended boiler deslag.  Unit was a"/>
    <s v="Trimble"/>
    <x v="1"/>
    <s v="Coal"/>
    <x v="2"/>
    <x v="2"/>
    <n v="1"/>
    <n v="7.0166666666627862"/>
    <n v="7.0166666666627862"/>
    <n v="5241.4499999971013"/>
    <n v="747"/>
    <x v="302"/>
  </r>
  <r>
    <x v="12"/>
    <x v="3"/>
    <n v="9"/>
    <n v="1190"/>
    <d v="2015-02-01T00:00:00"/>
    <d v="2015-02-01T07:00:00"/>
    <n v="0"/>
    <n v="795"/>
    <n v="747"/>
    <s v="Other tube slagging or fouling"/>
    <s v="FS00Non-curtailing derate to conducte boiler OEM recommended weekly deslag.  Unit was "/>
    <s v="Trimble"/>
    <x v="1"/>
    <s v="Coal"/>
    <x v="2"/>
    <x v="2"/>
    <n v="2"/>
    <n v="6.9999999999417923"/>
    <n v="6.9999999999417923"/>
    <n v="5228.9999999565189"/>
    <n v="747"/>
    <x v="302"/>
  </r>
  <r>
    <x v="12"/>
    <x v="2"/>
    <n v="10"/>
    <n v="1190"/>
    <d v="2015-02-08T00:00:00"/>
    <d v="2015-02-08T07:00:00"/>
    <n v="449"/>
    <n v="795"/>
    <n v="747"/>
    <s v="Other tube slagging or fouling"/>
    <s v="FS00Non-curtailing derate to conduct boiler OEM recommended weekly deslag.  Unit was a"/>
    <s v="Trimble"/>
    <x v="0"/>
    <s v="Coal"/>
    <x v="2"/>
    <x v="2"/>
    <n v="2"/>
    <n v="6.9999999999417923"/>
    <n v="3.0465408804778114"/>
    <n v="2275.766037716925"/>
    <n v="325.10943396226418"/>
    <x v="70"/>
  </r>
  <r>
    <x v="12"/>
    <x v="3"/>
    <n v="11"/>
    <n v="1190"/>
    <d v="2015-02-22T00:01:00"/>
    <d v="2015-02-22T07:00:00"/>
    <n v="0"/>
    <n v="795"/>
    <n v="747"/>
    <s v="Other tube slagging or fouling"/>
    <s v="FS00Non-curtailing derate to conduct boiler deslag.  Unit was available to return to f"/>
    <s v="Trimble"/>
    <x v="1"/>
    <s v="Coal"/>
    <x v="2"/>
    <x v="2"/>
    <n v="2"/>
    <n v="6.9833333332207985"/>
    <n v="6.9833333332207985"/>
    <n v="5216.5499999159365"/>
    <n v="747"/>
    <x v="302"/>
  </r>
  <r>
    <x v="12"/>
    <x v="3"/>
    <n v="12"/>
    <n v="1190"/>
    <d v="2015-03-01T00:01:00"/>
    <d v="2015-03-01T07:00:00"/>
    <n v="0"/>
    <n v="795"/>
    <n v="747"/>
    <s v="Other tube slagging or fouling"/>
    <s v="FS00Non-curtailing derate to conduct boiler deslag.  Unit was available to return to f"/>
    <s v="Trimble"/>
    <x v="1"/>
    <s v="Coal"/>
    <x v="2"/>
    <x v="2"/>
    <n v="3"/>
    <n v="6.9833333332207985"/>
    <n v="6.9833333332207985"/>
    <n v="5216.5499999159365"/>
    <n v="747"/>
    <x v="302"/>
  </r>
  <r>
    <x v="12"/>
    <x v="2"/>
    <n v="13"/>
    <n v="1980"/>
    <d v="2015-03-04T00:00:00"/>
    <d v="2015-03-04T02:03:00"/>
    <n v="749"/>
    <n v="795"/>
    <n v="747"/>
    <s v="Boiler safety valve test"/>
    <s v="F790Planned derate to conduct safety valve test in preparation of upcoming planned uni"/>
    <s v="Trimble"/>
    <x v="0"/>
    <s v="Coal"/>
    <x v="2"/>
    <x v="2"/>
    <n v="3"/>
    <n v="2.0500000000465661"/>
    <n v="0.11861635220395225"/>
    <n v="88.606415096352336"/>
    <n v="43.222641509433963"/>
    <x v="82"/>
  </r>
  <r>
    <x v="12"/>
    <x v="0"/>
    <n v="14"/>
    <n v="550"/>
    <d v="2015-03-04T16:00:00"/>
    <d v="2015-03-08T07:00:00"/>
    <n v="777"/>
    <n v="795"/>
    <n v="747"/>
    <s v="Reheat steam relief/safety valves"/>
    <s v="F690Unit is derated due to reheat safety valve that will not lift, which was discovere"/>
    <s v="Trimble"/>
    <x v="0"/>
    <s v="Coal"/>
    <x v="2"/>
    <x v="2"/>
    <n v="3"/>
    <n v="87"/>
    <n v="1.969811320754717"/>
    <n v="1471.4490566037737"/>
    <n v="16.913207547169812"/>
    <x v="262"/>
  </r>
  <r>
    <x v="12"/>
    <x v="3"/>
    <n v="15"/>
    <n v="1190"/>
    <d v="2015-03-08T00:00:00"/>
    <d v="2015-03-08T07:00:00"/>
    <n v="0"/>
    <n v="795"/>
    <n v="747"/>
    <s v="Other tube slagging or fouling"/>
    <s v="FS00Non-curtailing derate to conduct weekly boiler deslag.  Unit was available to retu"/>
    <s v="Trimble"/>
    <x v="1"/>
    <s v="Coal"/>
    <x v="2"/>
    <x v="2"/>
    <n v="3"/>
    <n v="6.9999999999417923"/>
    <n v="6.9999999999417923"/>
    <n v="5228.9999999565189"/>
    <n v="747"/>
    <x v="302"/>
  </r>
  <r>
    <x v="12"/>
    <x v="0"/>
    <n v="16"/>
    <n v="550"/>
    <d v="2015-03-08T07:00:00"/>
    <d v="2015-03-14T19:40:00"/>
    <n v="777"/>
    <n v="795"/>
    <n v="747"/>
    <s v="Reheat steam relief/safety valves"/>
    <s v="F690Unit is derated due to reheat safety valve that will not lift, which was discovere"/>
    <s v="Trimble"/>
    <x v="0"/>
    <s v="Coal"/>
    <x v="2"/>
    <x v="2"/>
    <n v="3"/>
    <n v="156.66666666674428"/>
    <n v="3.5471698113225121"/>
    <n v="2649.7358490579163"/>
    <n v="16.913207547169812"/>
    <x v="262"/>
  </r>
  <r>
    <x v="12"/>
    <x v="0"/>
    <n v="17"/>
    <n v="310"/>
    <d v="2015-03-14T19:40:00"/>
    <d v="2015-03-14T20:00:00"/>
    <n v="650"/>
    <n v="795"/>
    <n v="747"/>
    <s v="Pulverizer mills"/>
    <s v="F820The unit was derated when the 2C coal mill tripped from feeder issues.  The 2E mil"/>
    <s v="Trimble"/>
    <x v="0"/>
    <s v="Coal"/>
    <x v="2"/>
    <x v="2"/>
    <n v="3"/>
    <n v="0.33333333337213844"/>
    <n v="6.0796645709383743E-2"/>
    <n v="45.415094344909654"/>
    <n v="136.24528301886792"/>
    <x v="62"/>
  </r>
  <r>
    <x v="12"/>
    <x v="0"/>
    <n v="18"/>
    <n v="310"/>
    <d v="2015-03-14T20:00:00"/>
    <d v="2015-03-14T22:45:00"/>
    <n v="630"/>
    <n v="795"/>
    <n v="747"/>
    <s v="Pulverizer mills"/>
    <s v="F820The unit was derated when the 2C coal mill tripped from feeder issues.  The 2E mil"/>
    <s v="Trimble"/>
    <x v="0"/>
    <s v="Coal"/>
    <x v="2"/>
    <x v="2"/>
    <n v="3"/>
    <n v="2.7499999998835847"/>
    <n v="0.57075471695697044"/>
    <n v="426.35377356685694"/>
    <n v="155.03773584905662"/>
    <x v="234"/>
  </r>
  <r>
    <x v="12"/>
    <x v="0"/>
    <n v="19"/>
    <n v="550"/>
    <d v="2015-03-14T22:45:00"/>
    <d v="2015-03-15T07:15:00"/>
    <n v="777"/>
    <n v="795"/>
    <n v="747"/>
    <s v="Reheat steam relief/safety valves"/>
    <s v="F690Unit is derated due to reheat safety valve that will not lift, which was discovere"/>
    <s v="Trimble"/>
    <x v="0"/>
    <s v="Coal"/>
    <x v="2"/>
    <x v="2"/>
    <n v="3"/>
    <n v="8.5000000001164153"/>
    <n v="0.19245283019131507"/>
    <n v="143.76226415291237"/>
    <n v="16.913207547169812"/>
    <x v="262"/>
  </r>
  <r>
    <x v="12"/>
    <x v="3"/>
    <n v="20"/>
    <n v="1190"/>
    <d v="2015-03-15T00:00:00"/>
    <d v="2015-03-15T07:15:00"/>
    <n v="0"/>
    <n v="795"/>
    <n v="747"/>
    <s v="Other tube slagging or fouling"/>
    <s v="FS00Non-curtailing derate to conduct boiler deslag.  Unit was available to return to f"/>
    <s v="Trimble"/>
    <x v="1"/>
    <s v="Coal"/>
    <x v="2"/>
    <x v="2"/>
    <n v="3"/>
    <n v="7.2500000000582077"/>
    <n v="7.2500000000582077"/>
    <n v="5415.7500000434811"/>
    <n v="747"/>
    <x v="302"/>
  </r>
  <r>
    <x v="12"/>
    <x v="0"/>
    <n v="21"/>
    <n v="550"/>
    <d v="2015-03-15T07:15:00"/>
    <d v="2015-03-22T07:40:00"/>
    <n v="777"/>
    <n v="795"/>
    <n v="747"/>
    <s v="Reheat steam relief/safety valves"/>
    <s v="F690Unit is derated due to reheat safety valve that will not lift, which was discovere"/>
    <s v="Trimble"/>
    <x v="0"/>
    <s v="Coal"/>
    <x v="2"/>
    <x v="2"/>
    <n v="3"/>
    <n v="168.41666666662786"/>
    <n v="3.8132075471689326"/>
    <n v="2848.4660377351925"/>
    <n v="16.913207547169812"/>
    <x v="262"/>
  </r>
  <r>
    <x v="12"/>
    <x v="3"/>
    <n v="22"/>
    <n v="1190"/>
    <d v="2015-03-22T00:00:00"/>
    <d v="2015-03-22T07:40:00"/>
    <n v="0"/>
    <n v="795"/>
    <n v="747"/>
    <s v="Other tube slagging or fouling"/>
    <s v="FS00Non-curtailing derate to conduct boiler deslag.  Unit was available to return to f"/>
    <s v="Trimble"/>
    <x v="1"/>
    <s v="Coal"/>
    <x v="2"/>
    <x v="2"/>
    <n v="3"/>
    <n v="7.6666666666860692"/>
    <n v="7.6666666666860692"/>
    <n v="5727.0000000144937"/>
    <n v="747"/>
    <x v="302"/>
  </r>
  <r>
    <x v="12"/>
    <x v="0"/>
    <n v="23"/>
    <n v="550"/>
    <d v="2015-03-22T07:40:00"/>
    <d v="2015-03-28T03:04:00"/>
    <n v="777"/>
    <n v="795"/>
    <n v="747"/>
    <s v="Reheat steam relief/safety valves"/>
    <s v="F690Unit is derated due to reheat safety valve that will not lift, which was discovere"/>
    <s v="Trimble"/>
    <x v="0"/>
    <s v="Coal"/>
    <x v="2"/>
    <x v="2"/>
    <n v="3"/>
    <n v="139.40000000002328"/>
    <n v="3.1562264150948667"/>
    <n v="2357.7011320758652"/>
    <n v="16.913207547169812"/>
    <x v="262"/>
  </r>
  <r>
    <x v="12"/>
    <x v="6"/>
    <n v="24"/>
    <n v="1812"/>
    <d v="2015-03-28T03:04:00"/>
    <d v="2015-04-20T00:00:00"/>
    <n v="0"/>
    <n v="795"/>
    <n v="747"/>
    <s v="Boiler Inspections - scheduled or routine"/>
    <s v="F590Planned outage for boiler inspection and necessary maintenance of the waterwall Am"/>
    <s v="Trimble"/>
    <x v="1"/>
    <s v="Coal"/>
    <x v="2"/>
    <x v="2"/>
    <n v="3"/>
    <n v="548.93333333329065"/>
    <n v="548.93333333329065"/>
    <n v="410053.19999996811"/>
    <n v="747"/>
    <x v="302"/>
  </r>
  <r>
    <x v="12"/>
    <x v="8"/>
    <n v="25"/>
    <n v="385"/>
    <d v="2015-04-20T00:00:00"/>
    <d v="2015-04-20T16:43:00"/>
    <n v="0"/>
    <n v="795"/>
    <n v="747"/>
    <s v="Igniters"/>
    <s v="F590Planned outage extension due to igniter issues."/>
    <s v="Trimble"/>
    <x v="1"/>
    <s v="Coal"/>
    <x v="2"/>
    <x v="2"/>
    <n v="4"/>
    <n v="16.716666666674428"/>
    <n v="16.716666666674428"/>
    <n v="12487.350000005797"/>
    <n v="747"/>
    <x v="302"/>
  </r>
  <r>
    <x v="12"/>
    <x v="0"/>
    <n v="26"/>
    <n v="3412"/>
    <d v="2015-04-20T16:43:00"/>
    <d v="2015-04-20T17:45:00"/>
    <n v="390"/>
    <n v="795"/>
    <n v="747"/>
    <s v="Feedwater pump drive - steam turbine"/>
    <s v="F570The 2A and 2B TDBFPs had lube oil trip off while still on turning gear, and the TD"/>
    <s v="Trimble"/>
    <x v="0"/>
    <s v="Coal"/>
    <x v="2"/>
    <x v="2"/>
    <n v="4"/>
    <n v="1.03333333338378"/>
    <n v="0.52641509436532186"/>
    <n v="393.23207549089545"/>
    <n v="380.54716981132077"/>
    <x v="303"/>
  </r>
  <r>
    <x v="12"/>
    <x v="5"/>
    <n v="27"/>
    <n v="3979"/>
    <d v="2015-04-20T17:45:00"/>
    <d v="2015-04-20T23:17:00"/>
    <n v="0"/>
    <n v="795"/>
    <n v="747"/>
    <s v="Other DCS problems"/>
    <s v="F400DCS control issues required a manual unit MFT.  MW setpoint increased to 180 and w"/>
    <s v="Trimble"/>
    <x v="3"/>
    <s v="Coal"/>
    <x v="2"/>
    <x v="2"/>
    <n v="4"/>
    <n v="5.533333333209157"/>
    <n v="5.533333333209157"/>
    <n v="4133.3999999072403"/>
    <n v="747"/>
    <x v="302"/>
  </r>
  <r>
    <x v="12"/>
    <x v="0"/>
    <n v="28"/>
    <n v="3412"/>
    <d v="2015-04-20T23:17:00"/>
    <d v="2015-04-21T07:10:00"/>
    <n v="390"/>
    <n v="795"/>
    <n v="747"/>
    <s v="Feedwater pump drive - steam turbine"/>
    <s v="F570The 2A and 2B TDBFPs had lube oil trip off while still on turning gear, and the TD"/>
    <s v="Trimble"/>
    <x v="0"/>
    <s v="Coal"/>
    <x v="2"/>
    <x v="2"/>
    <n v="4"/>
    <n v="7.8833333333604969"/>
    <n v="4.0160377358628949"/>
    <n v="2999.9801886895825"/>
    <n v="380.54716981132077"/>
    <x v="303"/>
  </r>
  <r>
    <x v="12"/>
    <x v="0"/>
    <n v="29"/>
    <n v="3412"/>
    <d v="2015-04-21T07:10:00"/>
    <d v="2015-05-02T19:30:00"/>
    <n v="400"/>
    <n v="795"/>
    <n v="747"/>
    <s v="Feedwater pump drive - steam turbine"/>
    <s v="F570Unit was able to be raised by 10 MW by increasing MDBFP performance.  The 2A and 2"/>
    <s v="Trimble"/>
    <x v="0"/>
    <s v="Coal"/>
    <x v="2"/>
    <x v="2"/>
    <n v="4"/>
    <n v="276.33333333337214"/>
    <n v="137.2976939203547"/>
    <n v="102561.37735850496"/>
    <n v="371.15094339622641"/>
    <x v="316"/>
  </r>
  <r>
    <x v="12"/>
    <x v="0"/>
    <n v="30"/>
    <n v="3412"/>
    <d v="2015-05-02T19:30:00"/>
    <d v="2015-05-03T00:30:00"/>
    <n v="469"/>
    <n v="795"/>
    <n v="747"/>
    <s v="Feedwater pump drive - steam turbine"/>
    <s v="F570Continued issues with TDBFP."/>
    <s v="Trimble"/>
    <x v="0"/>
    <s v="Coal"/>
    <x v="2"/>
    <x v="2"/>
    <n v="5"/>
    <n v="5.0000000000582077"/>
    <n v="2.0503144654326739"/>
    <n v="1531.5849056782074"/>
    <n v="306.31698113207545"/>
    <x v="291"/>
  </r>
  <r>
    <x v="12"/>
    <x v="0"/>
    <n v="31"/>
    <n v="3412"/>
    <d v="2015-05-03T00:30:00"/>
    <d v="2015-05-03T02:40:00"/>
    <n v="761"/>
    <n v="795"/>
    <n v="747"/>
    <s v="Feedwater pump drive - steam turbine"/>
    <s v="F570Continued issues with 2A TDBFP."/>
    <s v="Trimble"/>
    <x v="0"/>
    <s v="Coal"/>
    <x v="2"/>
    <x v="2"/>
    <n v="5"/>
    <n v="2.1666666665696539"/>
    <n v="9.2662473790400296E-2"/>
    <n v="69.218867921429023"/>
    <n v="31.947169811320755"/>
    <x v="8"/>
  </r>
  <r>
    <x v="12"/>
    <x v="5"/>
    <n v="32"/>
    <n v="4261"/>
    <d v="2015-05-03T02:40:00"/>
    <d v="2015-05-04T12:25:00"/>
    <n v="0"/>
    <n v="795"/>
    <n v="747"/>
    <s v="Control valves"/>
    <s v="F540Cold Reheat valve CRH 2-CR-CV-054A has a gasket leak"/>
    <s v="Trimble"/>
    <x v="3"/>
    <s v="Coal"/>
    <x v="2"/>
    <x v="2"/>
    <n v="5"/>
    <n v="33.75"/>
    <n v="33.75"/>
    <n v="25211.25"/>
    <n v="747"/>
    <x v="302"/>
  </r>
  <r>
    <x v="12"/>
    <x v="0"/>
    <n v="33"/>
    <n v="3412"/>
    <d v="2015-05-04T20:00:00"/>
    <d v="2015-05-05T09:30:00"/>
    <n v="775"/>
    <n v="795"/>
    <n v="747"/>
    <s v="Feedwater pump drive - steam turbine"/>
    <s v="F820Continued issues with 2A TDBFP."/>
    <s v="Trimble"/>
    <x v="0"/>
    <s v="Coal"/>
    <x v="2"/>
    <x v="2"/>
    <n v="5"/>
    <n v="13.5"/>
    <n v="0.33962264150943394"/>
    <n v="253.69811320754715"/>
    <n v="18.79245283018868"/>
    <x v="54"/>
  </r>
  <r>
    <x v="12"/>
    <x v="0"/>
    <n v="34"/>
    <n v="3412"/>
    <d v="2015-05-05T09:30:00"/>
    <d v="2015-05-05T22:30:00"/>
    <n v="781"/>
    <n v="795"/>
    <n v="747"/>
    <s v="Feedwater pump drive - steam turbine"/>
    <s v="F820 Due to 2A TDBFP issues, MDBFP's must be started."/>
    <s v="Trimble"/>
    <x v="0"/>
    <s v="Coal"/>
    <x v="2"/>
    <x v="2"/>
    <n v="5"/>
    <n v="12.999999999941792"/>
    <n v="0.22893081760903786"/>
    <n v="171.01132075395128"/>
    <n v="13.154716981132076"/>
    <x v="20"/>
  </r>
  <r>
    <x v="12"/>
    <x v="2"/>
    <n v="35"/>
    <n v="3414"/>
    <d v="2015-05-05T22:30:00"/>
    <d v="2015-05-05T23:45:00"/>
    <n v="449"/>
    <n v="795"/>
    <n v="747"/>
    <s v="Feedwater pump local controls"/>
    <s v="F610Planned derate for logic changes in the 2B TDBFP controls."/>
    <s v="Trimble"/>
    <x v="0"/>
    <s v="Coal"/>
    <x v="2"/>
    <x v="2"/>
    <n v="5"/>
    <n v="1.2500000000582077"/>
    <n v="0.54402515725803757"/>
    <n v="406.38679247175406"/>
    <n v="325.10943396226418"/>
    <x v="70"/>
  </r>
  <r>
    <x v="12"/>
    <x v="2"/>
    <n v="36"/>
    <n v="3408"/>
    <d v="2015-05-05T23:45:00"/>
    <d v="2015-05-06T06:26:00"/>
    <n v="409"/>
    <n v="795"/>
    <n v="747"/>
    <s v="Feedwater pump drive - local controls"/>
    <s v="F610Continued work on the 2B TDBFP logic changes."/>
    <s v="Trimble"/>
    <x v="0"/>
    <s v="Coal"/>
    <x v="2"/>
    <x v="2"/>
    <n v="5"/>
    <n v="6.6833333332906477"/>
    <n v="3.2449895177989814"/>
    <n v="2424.0071697958392"/>
    <n v="362.69433962264151"/>
    <x v="317"/>
  </r>
  <r>
    <x v="12"/>
    <x v="0"/>
    <n v="37"/>
    <n v="3456"/>
    <d v="2015-05-06T06:26:00"/>
    <d v="2015-05-06T23:00:00"/>
    <n v="781"/>
    <n v="795"/>
    <n v="747"/>
    <s v="Feedwater Booster Pump Drive - Steam Turbine"/>
    <s v="F820TC2 was able to get back to a Gross Capacity of 781 MW but was unable to meet Net"/>
    <s v="Trimble"/>
    <x v="0"/>
    <s v="Coal"/>
    <x v="2"/>
    <x v="2"/>
    <n v="5"/>
    <n v="16.566666666709352"/>
    <n v="0.29174004192947289"/>
    <n v="217.92981132131627"/>
    <n v="13.154716981132076"/>
    <x v="20"/>
  </r>
  <r>
    <x v="12"/>
    <x v="2"/>
    <n v="38"/>
    <n v="3414"/>
    <d v="2015-05-06T23:00:00"/>
    <d v="2015-05-07T01:44:00"/>
    <n v="409"/>
    <n v="795"/>
    <n v="747"/>
    <s v="Feedwater pump local controls"/>
    <s v="F610Control logic maintenance on 2B TDBFP."/>
    <s v="Trimble"/>
    <x v="0"/>
    <s v="Coal"/>
    <x v="2"/>
    <x v="2"/>
    <n v="5"/>
    <n v="2.7333333333372138"/>
    <n v="1.3271278826014647"/>
    <n v="991.36452830329415"/>
    <n v="362.69433962264151"/>
    <x v="317"/>
  </r>
  <r>
    <x v="12"/>
    <x v="5"/>
    <n v="39"/>
    <n v="3416"/>
    <d v="2015-05-07T01:44:00"/>
    <d v="2015-05-07T07:03:00"/>
    <n v="0"/>
    <n v="795"/>
    <n v="747"/>
    <s v="Other feedwater pump problems"/>
    <s v="F820While switching operation from MDBFP's to TDBFP's, the TDBFP's are designed to ram"/>
    <s v="Trimble"/>
    <x v="3"/>
    <s v="Coal"/>
    <x v="2"/>
    <x v="2"/>
    <n v="5"/>
    <n v="5.3166666665347293"/>
    <n v="5.3166666665347293"/>
    <n v="3971.5499999014428"/>
    <n v="747"/>
    <x v="302"/>
  </r>
  <r>
    <x v="12"/>
    <x v="0"/>
    <n v="40"/>
    <n v="3412"/>
    <d v="2015-05-07T07:03:00"/>
    <d v="2015-05-11T12:20:00"/>
    <n v="781"/>
    <n v="795"/>
    <n v="747"/>
    <s v="Feedwater pump drive - steam turbine"/>
    <s v="F820 Gross Capacity is able to be met, but Net Capacity is reduced be"/>
    <s v="Trimble"/>
    <x v="0"/>
    <s v="Coal"/>
    <x v="2"/>
    <x v="2"/>
    <n v="5"/>
    <n v="101.28333333344199"/>
    <n v="1.7836058700228778"/>
    <n v="1332.3535849070897"/>
    <n v="13.154716981132076"/>
    <x v="20"/>
  </r>
  <r>
    <x v="12"/>
    <x v="0"/>
    <n v="41"/>
    <n v="3412"/>
    <d v="2015-05-11T12:20:00"/>
    <d v="2015-05-11T18:38:00"/>
    <n v="771"/>
    <n v="795"/>
    <n v="747"/>
    <s v="Feedwater pump drive - steam turbine"/>
    <s v="F8202A TDBFP out of service due to controls up-grade and testing so load reduced while"/>
    <s v="Trimble"/>
    <x v="0"/>
    <s v="Coal"/>
    <x v="2"/>
    <x v="2"/>
    <n v="5"/>
    <n v="6.2999999999301508"/>
    <n v="0.19018867924317437"/>
    <n v="142.07094339465127"/>
    <n v="22.550943396226415"/>
    <x v="0"/>
  </r>
  <r>
    <x v="12"/>
    <x v="0"/>
    <n v="42"/>
    <n v="3440"/>
    <d v="2015-05-11T18:38:00"/>
    <d v="2015-05-11T19:44:00"/>
    <n v="670"/>
    <n v="795"/>
    <n v="747"/>
    <s v="High pressure heater tube leaks"/>
    <s v="F540The 6A HP Feedwater heater had tube leaks and unit required derate while heater is"/>
    <s v="Trimble"/>
    <x v="0"/>
    <s v="Coal"/>
    <x v="2"/>
    <x v="2"/>
    <n v="5"/>
    <n v="1.1000000000931323"/>
    <n v="0.17295597485741074"/>
    <n v="129.19811321848582"/>
    <n v="117.45283018867924"/>
    <x v="242"/>
  </r>
  <r>
    <x v="12"/>
    <x v="0"/>
    <n v="43"/>
    <n v="3440"/>
    <d v="2015-05-11T19:44:00"/>
    <d v="2015-05-11T21:30:00"/>
    <n v="560"/>
    <n v="795"/>
    <n v="747"/>
    <s v="High pressure heater tube leaks"/>
    <s v="F540The 6A HP Feedwater heater had tube leaks and unit required derate while heater is"/>
    <s v="Trimble"/>
    <x v="0"/>
    <s v="Coal"/>
    <x v="2"/>
    <x v="2"/>
    <n v="5"/>
    <n v="1.7666666666627862"/>
    <n v="0.52222222222107517"/>
    <n v="390.09999999914317"/>
    <n v="220.81132075471697"/>
    <x v="318"/>
  </r>
  <r>
    <x v="12"/>
    <x v="0"/>
    <n v="44"/>
    <n v="3440"/>
    <d v="2015-05-11T21:30:00"/>
    <d v="2015-05-12T00:47:00"/>
    <n v="670"/>
    <n v="795"/>
    <n v="747"/>
    <s v="High pressure heater tube leaks"/>
    <s v="F540The 6A HP Feedwater heater had tube leaks and unit required derate while heater is"/>
    <s v="Trimble"/>
    <x v="0"/>
    <s v="Coal"/>
    <x v="2"/>
    <x v="2"/>
    <n v="5"/>
    <n v="3.283333333209157"/>
    <n v="0.516247379435402"/>
    <n v="385.63679243824527"/>
    <n v="117.45283018867924"/>
    <x v="242"/>
  </r>
  <r>
    <x v="12"/>
    <x v="0"/>
    <n v="45"/>
    <n v="3440"/>
    <d v="2015-05-12T00:47:00"/>
    <d v="2015-05-14T09:48:00"/>
    <n v="720"/>
    <n v="795"/>
    <n v="747"/>
    <s v="High pressure heater tube leaks"/>
    <s v="F540The 6A HP Feedwater heater had tube leaks and unit required derate while heater is"/>
    <s v="Trimble"/>
    <x v="0"/>
    <s v="Coal"/>
    <x v="2"/>
    <x v="2"/>
    <n v="5"/>
    <n v="57.016666666720994"/>
    <n v="5.3789308176151884"/>
    <n v="4018.0613207585457"/>
    <n v="70.471698113207552"/>
    <x v="284"/>
  </r>
  <r>
    <x v="12"/>
    <x v="5"/>
    <n v="46"/>
    <n v="4293"/>
    <d v="2015-05-14T09:48:00"/>
    <d v="2015-05-15T06:45:00"/>
    <n v="0"/>
    <n v="795"/>
    <n v="747"/>
    <s v="Hydraulic system pipes and valves"/>
    <s v="F060A bolt sheared on the 2A control valve hydraulic manifold which resulted in unit t"/>
    <s v="Trimble"/>
    <x v="3"/>
    <s v="Coal"/>
    <x v="2"/>
    <x v="2"/>
    <n v="5"/>
    <n v="20.950000000011642"/>
    <n v="20.950000000011642"/>
    <n v="15649.650000008696"/>
    <n v="747"/>
    <x v="302"/>
  </r>
  <r>
    <x v="12"/>
    <x v="4"/>
    <n v="47"/>
    <n v="270"/>
    <d v="2015-05-15T06:45:00"/>
    <d v="2015-05-16T18:20:00"/>
    <n v="0"/>
    <n v="795"/>
    <n v="747"/>
    <s v="Primary air duct and dampers"/>
    <s v="F810Maintenance outage to replace a primary air duct expansion joint which had failed,"/>
    <s v="Trimble"/>
    <x v="2"/>
    <s v="Coal"/>
    <x v="2"/>
    <x v="2"/>
    <n v="5"/>
    <n v="35.583333333372138"/>
    <n v="35.583333333372138"/>
    <n v="26580.750000028987"/>
    <n v="747"/>
    <x v="302"/>
  </r>
  <r>
    <x v="12"/>
    <x v="0"/>
    <n v="48"/>
    <n v="3412"/>
    <d v="2015-05-17T00:34:00"/>
    <d v="2015-05-17T05:04:00"/>
    <n v="409"/>
    <n v="795"/>
    <n v="747"/>
    <s v="Feedwater pump drive - steam turbine"/>
    <s v="F790Derate required to conduct testing of the turbine driven boiler feed pump modified"/>
    <s v="Trimble"/>
    <x v="0"/>
    <s v="Coal"/>
    <x v="2"/>
    <x v="2"/>
    <n v="5"/>
    <n v="4.5"/>
    <n v="2.1849056603773587"/>
    <n v="1632.124528301887"/>
    <n v="362.69433962264151"/>
    <x v="317"/>
  </r>
  <r>
    <x v="12"/>
    <x v="5"/>
    <n v="49"/>
    <n v="3431"/>
    <d v="2015-05-17T05:04:00"/>
    <d v="2015-05-17T15:33:00"/>
    <n v="0"/>
    <n v="795"/>
    <n v="747"/>
    <s v="Other feedwater valves"/>
    <s v="F540The 8A HP feedwater heater bypass valve was leaking and we had to remove the unit "/>
    <s v="Trimble"/>
    <x v="3"/>
    <s v="Coal"/>
    <x v="2"/>
    <x v="2"/>
    <n v="5"/>
    <n v="10.483333333453629"/>
    <n v="10.483333333453629"/>
    <n v="7831.050000089861"/>
    <n v="747"/>
    <x v="302"/>
  </r>
  <r>
    <x v="12"/>
    <x v="7"/>
    <n v="50"/>
    <n v="385"/>
    <d v="2015-05-17T15:33:00"/>
    <d v="2015-05-18T00:57:00"/>
    <n v="0"/>
    <n v="795"/>
    <n v="747"/>
    <s v="Igniters"/>
    <s v="F460Unit MFT due to loss of D2 oil gun, causing 2D coal mill to trip off.  Due to this"/>
    <s v="Trimble"/>
    <x v="3"/>
    <s v="Coal"/>
    <x v="2"/>
    <x v="2"/>
    <n v="5"/>
    <n v="9.3999999999068677"/>
    <n v="9.3999999999068677"/>
    <n v="7021.7999999304302"/>
    <n v="747"/>
    <x v="302"/>
  </r>
  <r>
    <x v="12"/>
    <x v="0"/>
    <n v="51"/>
    <n v="3412"/>
    <d v="2015-05-18T00:57:00"/>
    <d v="2015-05-18T21:15:00"/>
    <n v="781"/>
    <n v="795"/>
    <n v="747"/>
    <s v="Feedwater pump drive - steam turbine"/>
    <s v="F8202A TDBFP out of service for maintenance and testing following past issues with lub"/>
    <s v="Trimble"/>
    <x v="0"/>
    <s v="Coal"/>
    <x v="2"/>
    <x v="2"/>
    <n v="5"/>
    <n v="20.299999999988358"/>
    <n v="0.35748427672935473"/>
    <n v="267.04075471682796"/>
    <n v="13.154716981132076"/>
    <x v="20"/>
  </r>
  <r>
    <x v="12"/>
    <x v="2"/>
    <n v="52"/>
    <n v="3412"/>
    <d v="2015-05-18T21:15:00"/>
    <d v="2015-05-19T05:00:00"/>
    <n v="409"/>
    <n v="795"/>
    <n v="747"/>
    <s v="Feedwater pump drive - steam turbine"/>
    <s v="F610Planned unit derate to conduct turbine driven boiler feed pump turbine from recent"/>
    <s v="Trimble"/>
    <x v="0"/>
    <s v="Coal"/>
    <x v="2"/>
    <x v="2"/>
    <n v="5"/>
    <n v="7.7500000001164153"/>
    <n v="3.7628930818175301"/>
    <n v="2810.881132117695"/>
    <n v="362.69433962264151"/>
    <x v="317"/>
  </r>
  <r>
    <x v="12"/>
    <x v="0"/>
    <n v="53"/>
    <n v="3412"/>
    <d v="2015-05-19T05:00:00"/>
    <d v="2015-05-19T05:53:00"/>
    <n v="620"/>
    <n v="795"/>
    <n v="747"/>
    <s v="Feedwater pump drive - steam turbine"/>
    <s v="F610Following the planned turbine driven boiler feed pump testing from recent controls"/>
    <s v="Trimble"/>
    <x v="0"/>
    <s v="Coal"/>
    <x v="2"/>
    <x v="2"/>
    <n v="5"/>
    <n v="0.88333333324408159"/>
    <n v="0.19444444442479783"/>
    <n v="145.24999998532397"/>
    <n v="164.43396226415095"/>
    <x v="150"/>
  </r>
  <r>
    <x v="12"/>
    <x v="3"/>
    <n v="54"/>
    <n v="1190"/>
    <d v="2015-05-24T00:00:00"/>
    <d v="2015-05-25T07:45:00"/>
    <n v="0"/>
    <n v="795"/>
    <n v="747"/>
    <s v="Other tube slagging or fouling"/>
    <s v="FS00Non-curtailing derate to conduct boiler deslag.  Unit available to return to full "/>
    <s v="Trimble"/>
    <x v="1"/>
    <s v="Coal"/>
    <x v="2"/>
    <x v="2"/>
    <n v="5"/>
    <n v="31.749999999941792"/>
    <n v="31.749999999941792"/>
    <n v="23717.249999956519"/>
    <n v="747"/>
    <x v="302"/>
  </r>
  <r>
    <x v="12"/>
    <x v="0"/>
    <n v="55"/>
    <n v="1480"/>
    <d v="2015-05-28T15:31:00"/>
    <d v="2015-05-28T22:39:00"/>
    <n v="400"/>
    <n v="795"/>
    <n v="747"/>
    <s v="Other induced draft fan problems"/>
    <s v="F520One of two pressure transmitters for the A ID fan inlet measurement failed and the"/>
    <s v="Trimble"/>
    <x v="0"/>
    <s v="Coal"/>
    <x v="2"/>
    <x v="2"/>
    <n v="5"/>
    <n v="7.1333333333604969"/>
    <n v="3.5442348008520708"/>
    <n v="2647.5433962364968"/>
    <n v="371.15094339622641"/>
    <x v="316"/>
  </r>
  <r>
    <x v="12"/>
    <x v="3"/>
    <n v="56"/>
    <n v="1190"/>
    <d v="2015-05-31T00:00:00"/>
    <d v="2015-05-31T07:45:00"/>
    <n v="0"/>
    <n v="795"/>
    <n v="747"/>
    <s v="Other tube slagging or fouling"/>
    <s v="FS00Non-curtailing derate to conduct boiler deslag.  Unit was available to return to f"/>
    <s v="Trimble"/>
    <x v="1"/>
    <s v="Coal"/>
    <x v="2"/>
    <x v="2"/>
    <n v="5"/>
    <n v="7.7499999999417923"/>
    <n v="7.7499999999417923"/>
    <n v="5789.2499999565189"/>
    <n v="747"/>
    <x v="302"/>
  </r>
  <r>
    <x v="12"/>
    <x v="3"/>
    <n v="57"/>
    <n v="1190"/>
    <d v="2015-06-07T00:00:00"/>
    <d v="2015-06-07T11:00:00"/>
    <n v="0"/>
    <n v="795"/>
    <n v="747"/>
    <s v="Other tube slagging or fouling"/>
    <s v="FS00Non-curtailing derate to conduct boiler deslag.  Unit available to return to full "/>
    <s v="Trimble"/>
    <x v="1"/>
    <s v="Coal"/>
    <x v="2"/>
    <x v="2"/>
    <n v="6"/>
    <n v="11.000000000058208"/>
    <n v="11.000000000058208"/>
    <n v="8217.0000000434811"/>
    <n v="747"/>
    <x v="302"/>
  </r>
  <r>
    <x v="12"/>
    <x v="2"/>
    <n v="58"/>
    <n v="550"/>
    <d v="2015-06-08T00:00:00"/>
    <d v="2015-06-08T07:15:00"/>
    <n v="759"/>
    <n v="795"/>
    <n v="747"/>
    <s v="Reheat steam relief/safety valves"/>
    <s v="F590Planned derate to set the safeties on the steam lines."/>
    <s v="Trimble"/>
    <x v="0"/>
    <s v="Coal"/>
    <x v="2"/>
    <x v="2"/>
    <n v="6"/>
    <n v="7.2500000000582077"/>
    <n v="0.32830188679508865"/>
    <n v="245.24150943593122"/>
    <n v="33.826415094339623"/>
    <x v="81"/>
  </r>
  <r>
    <x v="12"/>
    <x v="3"/>
    <n v="59"/>
    <n v="1190"/>
    <d v="2015-06-14T00:00:00"/>
    <d v="2015-06-14T08:00:00"/>
    <n v="0"/>
    <n v="795"/>
    <n v="747"/>
    <s v="Other tube slagging or fouling"/>
    <s v="FS00Deslag of TC2. Unit was available to return to full load if requested by dispatch."/>
    <s v="Trimble"/>
    <x v="1"/>
    <s v="Coal"/>
    <x v="2"/>
    <x v="2"/>
    <n v="6"/>
    <n v="8.0000000000582077"/>
    <n v="8.0000000000582077"/>
    <n v="5976.0000000434811"/>
    <n v="747"/>
    <x v="302"/>
  </r>
  <r>
    <x v="12"/>
    <x v="2"/>
    <n v="60"/>
    <n v="4308"/>
    <d v="2015-06-17T10:00:00"/>
    <d v="2015-06-17T11:15:00"/>
    <n v="694"/>
    <n v="795"/>
    <n v="747"/>
    <s v="Automatic turbine control systems - digital control and monitoring"/>
    <s v="F790Maintenance Derate to conduct ramp testing on the unit to ensure proper operation "/>
    <s v="Trimble"/>
    <x v="0"/>
    <s v="Coal"/>
    <x v="2"/>
    <x v="2"/>
    <n v="6"/>
    <n v="1.2500000000582077"/>
    <n v="0.15880503145393582"/>
    <n v="118.62735849609005"/>
    <n v="94.901886792452828"/>
    <x v="19"/>
  </r>
  <r>
    <x v="12"/>
    <x v="2"/>
    <n v="61"/>
    <n v="4308"/>
    <d v="2015-06-18T21:00:00"/>
    <d v="2015-06-18T22:15:00"/>
    <n v="705"/>
    <n v="795"/>
    <n v="747"/>
    <s v="Automatic turbine control systems - digital control and monitoring"/>
    <s v="F790Maintenance Derate to conduct ramp testing on the unit to ensure proper operation "/>
    <s v="Trimble"/>
    <x v="0"/>
    <s v="Coal"/>
    <x v="2"/>
    <x v="2"/>
    <n v="6"/>
    <n v="1.2500000000582077"/>
    <n v="0.14150943396885371"/>
    <n v="105.70754717473372"/>
    <n v="84.566037735849051"/>
    <x v="196"/>
  </r>
  <r>
    <x v="12"/>
    <x v="2"/>
    <n v="62"/>
    <n v="4308"/>
    <d v="2015-06-18T23:00:00"/>
    <d v="2015-06-19T00:15:00"/>
    <n v="705"/>
    <n v="795"/>
    <n v="747"/>
    <s v="Automatic turbine control systems - digital control and monitoring"/>
    <s v="F790Maintenance Derate to conduct ramp testing on the unit to ensure proper operation "/>
    <s v="Trimble"/>
    <x v="0"/>
    <s v="Coal"/>
    <x v="2"/>
    <x v="2"/>
    <n v="6"/>
    <n v="1.2499999998835847"/>
    <n v="0.14150943394908505"/>
    <n v="105.70754715996654"/>
    <n v="84.566037735849051"/>
    <x v="196"/>
  </r>
  <r>
    <x v="12"/>
    <x v="2"/>
    <n v="63"/>
    <n v="4308"/>
    <d v="2015-06-19T01:00:00"/>
    <d v="2015-06-19T02:15:00"/>
    <n v="705"/>
    <n v="795"/>
    <n v="747"/>
    <s v="Automatic turbine control systems - digital control and monitoring"/>
    <s v="F790Maintenance Derate to conduct ramp testing on the unit to ensure proper operation "/>
    <s v="Trimble"/>
    <x v="0"/>
    <s v="Coal"/>
    <x v="2"/>
    <x v="2"/>
    <n v="6"/>
    <n v="1.2500000000582077"/>
    <n v="0.14150943396885371"/>
    <n v="105.70754717473372"/>
    <n v="84.566037735849051"/>
    <x v="196"/>
  </r>
  <r>
    <x v="12"/>
    <x v="2"/>
    <n v="64"/>
    <n v="4308"/>
    <d v="2015-06-19T21:00:00"/>
    <d v="2015-06-19T22:15:00"/>
    <n v="694"/>
    <n v="795"/>
    <n v="747"/>
    <s v="Automatic turbine control systems - digital control and monitoring"/>
    <s v="F790Maintenance Derate to conduct ramp testing on the unit to ensure proper operation "/>
    <s v="Trimble"/>
    <x v="0"/>
    <s v="Coal"/>
    <x v="2"/>
    <x v="2"/>
    <n v="6"/>
    <n v="1.2500000000582077"/>
    <n v="0.15880503145393582"/>
    <n v="118.62735849609005"/>
    <n v="94.901886792452828"/>
    <x v="19"/>
  </r>
  <r>
    <x v="12"/>
    <x v="2"/>
    <n v="65"/>
    <n v="4308"/>
    <d v="2015-06-20T00:00:00"/>
    <d v="2015-06-20T01:15:00"/>
    <n v="669"/>
    <n v="795"/>
    <n v="747"/>
    <s v="Automatic turbine control systems - digital control and monitoring"/>
    <s v="F790Maintenance Derate to conduct ramp testing on the unit to ensure proper operation "/>
    <s v="Trimble"/>
    <x v="0"/>
    <s v="Coal"/>
    <x v="2"/>
    <x v="2"/>
    <n v="6"/>
    <n v="1.2500000000582077"/>
    <n v="0.19811320755639517"/>
    <n v="147.9905660446272"/>
    <n v="118.39245283018867"/>
    <x v="40"/>
  </r>
  <r>
    <x v="12"/>
    <x v="2"/>
    <n v="66"/>
    <n v="4308"/>
    <d v="2015-06-20T02:00:00"/>
    <d v="2015-06-20T03:15:00"/>
    <n v="669"/>
    <n v="795"/>
    <n v="747"/>
    <s v="Automatic turbine control systems - digital control and monitoring"/>
    <s v="F790Maintenance Derate to conduct ramp testing on the unit to ensure proper operation "/>
    <s v="Trimble"/>
    <x v="0"/>
    <s v="Coal"/>
    <x v="2"/>
    <x v="2"/>
    <n v="6"/>
    <n v="1.2499999998835847"/>
    <n v="0.19811320752871908"/>
    <n v="147.99056602395316"/>
    <n v="118.39245283018867"/>
    <x v="40"/>
  </r>
  <r>
    <x v="12"/>
    <x v="3"/>
    <n v="67"/>
    <n v="1190"/>
    <d v="2015-06-21T00:00:00"/>
    <d v="2015-06-21T08:00:00"/>
    <n v="0"/>
    <n v="795"/>
    <n v="747"/>
    <s v="Other tube slagging or fouling"/>
    <s v="FS00Non-Curtailing Unit Derate to conduct boiler deslag. Unit was available to return "/>
    <s v="Trimble"/>
    <x v="1"/>
    <s v="Coal"/>
    <x v="2"/>
    <x v="2"/>
    <n v="6"/>
    <n v="8.0000000000582077"/>
    <n v="8.0000000000582077"/>
    <n v="5976.0000000434811"/>
    <n v="747"/>
    <x v="302"/>
  </r>
  <r>
    <x v="12"/>
    <x v="2"/>
    <n v="68"/>
    <n v="4308"/>
    <d v="2015-06-21T23:00:00"/>
    <d v="2015-06-22T08:30:00"/>
    <n v="647"/>
    <n v="795"/>
    <n v="747"/>
    <s v="Automatic turbine control systems - digital control and monitoring"/>
    <s v="F790Maintenance Derate to conduct ramp testing on the unit to ensure proper operation "/>
    <s v="Trimble"/>
    <x v="0"/>
    <s v="Coal"/>
    <x v="2"/>
    <x v="2"/>
    <n v="6"/>
    <n v="9.4999999998835847"/>
    <n v="1.7685534590978245"/>
    <n v="1321.1094339460749"/>
    <n v="139.06415094339621"/>
    <x v="172"/>
  </r>
  <r>
    <x v="12"/>
    <x v="0"/>
    <n v="69"/>
    <n v="350"/>
    <d v="2015-06-22T08:30:00"/>
    <d v="2015-06-22T10:07:00"/>
    <n v="674"/>
    <n v="795"/>
    <n v="747"/>
    <s v="Pulverized fuel and air piping (from pulverizer to wind box)"/>
    <s v="F3502B3 Elevation of the 2B Mill's coal piping began leaking. While it was being repai"/>
    <s v="Trimble"/>
    <x v="0"/>
    <s v="Coal"/>
    <x v="2"/>
    <x v="2"/>
    <n v="6"/>
    <n v="1.6166666666977108"/>
    <n v="0.24605870021436854"/>
    <n v="183.80584906013331"/>
    <n v="113.69433962264151"/>
    <x v="46"/>
  </r>
  <r>
    <x v="12"/>
    <x v="2"/>
    <n v="70"/>
    <n v="1990"/>
    <d v="2015-06-22T22:00:00"/>
    <d v="2015-06-23T05:00:00"/>
    <n v="593"/>
    <n v="795"/>
    <n v="747"/>
    <s v="Boiler performance testing (use code 9999 for total unit performance testing)"/>
    <s v="F790Unit was under performance testing during the duration of the derate. Over the 7 h"/>
    <s v="Trimble"/>
    <x v="0"/>
    <s v="Coal"/>
    <x v="2"/>
    <x v="2"/>
    <n v="6"/>
    <n v="7.0000000001164153"/>
    <n v="1.7786163522308376"/>
    <n v="1328.6264151164357"/>
    <n v="189.80377358490566"/>
    <x v="86"/>
  </r>
  <r>
    <x v="12"/>
    <x v="0"/>
    <n v="71"/>
    <n v="9616"/>
    <d v="2015-06-26T15:46:00"/>
    <d v="2015-06-26T17:00:00"/>
    <n v="724"/>
    <n v="795"/>
    <n v="747"/>
    <s v="CO stack emissions"/>
    <s v="FE00Unit began to experience elevated CO emissions.  A derate was taken to avoid an ex"/>
    <s v="Trimble"/>
    <x v="0"/>
    <s v="Coal"/>
    <x v="2"/>
    <x v="2"/>
    <n v="6"/>
    <n v="1.2333333333372138"/>
    <n v="0.11014675052445558"/>
    <n v="82.279622641768313"/>
    <n v="66.713207547169816"/>
    <x v="105"/>
  </r>
  <r>
    <x v="12"/>
    <x v="3"/>
    <n v="72"/>
    <n v="1190"/>
    <d v="2015-06-28T00:00:00"/>
    <d v="2015-06-28T08:00:00"/>
    <n v="0"/>
    <n v="795"/>
    <n v="747"/>
    <s v="Other tube slagging or fouling"/>
    <s v="FS00Non-curtailing derate to conduct boiler deslag.  Unit was available to return to f"/>
    <s v="Trimble"/>
    <x v="1"/>
    <s v="Coal"/>
    <x v="2"/>
    <x v="2"/>
    <n v="6"/>
    <n v="8.0000000000582077"/>
    <n v="8.0000000000582077"/>
    <n v="5976.0000000434811"/>
    <n v="747"/>
    <x v="302"/>
  </r>
  <r>
    <x v="12"/>
    <x v="3"/>
    <n v="73"/>
    <n v="1190"/>
    <d v="2015-07-05T00:00:00"/>
    <d v="2015-07-05T07:00:00"/>
    <n v="0"/>
    <n v="795"/>
    <n v="747"/>
    <s v="Other tube slagging or fouling"/>
    <s v="FS00Non-curtailing unit derate to conduct boiler deslag. Unit was available to return "/>
    <s v="Trimble"/>
    <x v="1"/>
    <s v="Coal"/>
    <x v="2"/>
    <x v="2"/>
    <n v="7"/>
    <n v="6.9999999999417923"/>
    <n v="6.9999999999417923"/>
    <n v="5228.9999999565189"/>
    <n v="747"/>
    <x v="302"/>
  </r>
  <r>
    <x v="12"/>
    <x v="3"/>
    <n v="74"/>
    <n v="1190"/>
    <d v="2015-07-12T00:01:00"/>
    <d v="2015-07-12T07:00:00"/>
    <n v="0"/>
    <n v="795"/>
    <n v="747"/>
    <s v="Other tube slagging or fouling"/>
    <s v="FS00Non-curtailing derate was taken to perform a boiler deslag. Unit was available to "/>
    <s v="Trimble"/>
    <x v="1"/>
    <s v="Coal"/>
    <x v="2"/>
    <x v="2"/>
    <n v="7"/>
    <n v="6.9833333332207985"/>
    <n v="6.9833333332207985"/>
    <n v="5216.5499999159365"/>
    <n v="747"/>
    <x v="302"/>
  </r>
  <r>
    <x v="12"/>
    <x v="3"/>
    <n v="75"/>
    <n v="1190"/>
    <d v="2015-07-19T00:00:00"/>
    <d v="2015-07-19T08:00:00"/>
    <n v="0"/>
    <n v="795"/>
    <n v="747"/>
    <s v="Other tube slagging or fouling"/>
    <s v="FS00Non-curtailing derate was taken to perform a boiler deslag. The unit was available"/>
    <s v="Trimble"/>
    <x v="1"/>
    <s v="Coal"/>
    <x v="2"/>
    <x v="2"/>
    <n v="7"/>
    <n v="8.0000000000582077"/>
    <n v="8.0000000000582077"/>
    <n v="5976.0000000434811"/>
    <n v="747"/>
    <x v="302"/>
  </r>
  <r>
    <x v="12"/>
    <x v="4"/>
    <n v="76"/>
    <n v="561"/>
    <d v="2015-07-25T02:23:00"/>
    <d v="2015-07-26T06:55:00"/>
    <n v="0"/>
    <n v="795"/>
    <n v="747"/>
    <s v="Other cold reheat steam valves (not including turbine stop or intercept valves)"/>
    <s v="F540Cold Reheat check valve was leaking at the valve packing - weekend maintenance out"/>
    <s v="Trimble"/>
    <x v="2"/>
    <s v="Coal"/>
    <x v="2"/>
    <x v="2"/>
    <n v="7"/>
    <n v="28.533333333267365"/>
    <n v="28.533333333267365"/>
    <n v="21314.399999950721"/>
    <n v="747"/>
    <x v="302"/>
  </r>
  <r>
    <x v="12"/>
    <x v="5"/>
    <n v="77"/>
    <n v="3441"/>
    <d v="2015-07-26T08:55:00"/>
    <d v="2015-07-28T14:37:00"/>
    <n v="0"/>
    <n v="795"/>
    <n v="747"/>
    <s v="Other high pressure heater problems (see condensate system for LP and IP heater codes)"/>
    <s v="F820The Economizer Inlet Bypass Valve (191) had corroded terminals on the valve actuat"/>
    <s v="Trimble"/>
    <x v="3"/>
    <s v="Coal"/>
    <x v="2"/>
    <x v="2"/>
    <n v="7"/>
    <n v="53.699999999895226"/>
    <n v="53.699999999895226"/>
    <n v="40113.899999921734"/>
    <n v="747"/>
    <x v="302"/>
  </r>
  <r>
    <x v="12"/>
    <x v="0"/>
    <n v="78"/>
    <n v="3410"/>
    <d v="2015-07-28T20:00:00"/>
    <d v="2015-07-28T20:30:00"/>
    <n v="340"/>
    <n v="795"/>
    <n v="747"/>
    <s v="Feedwater pump"/>
    <s v="F820After switching from Motor Drive Boiler Feed Pumps to TD's, 2B Turbine Drive Boile"/>
    <s v="Trimble"/>
    <x v="0"/>
    <s v="Coal"/>
    <x v="2"/>
    <x v="2"/>
    <n v="7"/>
    <n v="0.49999999988358468"/>
    <n v="0.28616352194595096"/>
    <n v="213.76415089362536"/>
    <n v="427.52830188679246"/>
    <x v="319"/>
  </r>
  <r>
    <x v="12"/>
    <x v="0"/>
    <n v="79"/>
    <n v="3410"/>
    <d v="2015-07-28T20:30:00"/>
    <d v="2015-07-29T02:30:00"/>
    <n v="340"/>
    <n v="795"/>
    <n v="747"/>
    <s v="Feedwater pump"/>
    <s v="F820After 2B TDBFP was tripped, 2A Turbine Drive Boiler Feed Pump tripped due to contr"/>
    <s v="Trimble"/>
    <x v="0"/>
    <s v="Coal"/>
    <x v="2"/>
    <x v="2"/>
    <n v="7"/>
    <n v="6"/>
    <n v="3.4339622641509435"/>
    <n v="2565.1698113207549"/>
    <n v="427.52830188679246"/>
    <x v="319"/>
  </r>
  <r>
    <x v="12"/>
    <x v="0"/>
    <n v="80"/>
    <n v="3410"/>
    <d v="2015-07-29T02:30:00"/>
    <d v="2015-07-29T04:45:00"/>
    <n v="626"/>
    <n v="795"/>
    <n v="747"/>
    <s v="Feedwater pump"/>
    <s v="F780In the process of ramping up, variable load and average is given."/>
    <s v="Trimble"/>
    <x v="0"/>
    <s v="Coal"/>
    <x v="2"/>
    <x v="2"/>
    <n v="7"/>
    <n v="2.25"/>
    <n v="0.47830188679245284"/>
    <n v="357.29150943396229"/>
    <n v="158.79622641509434"/>
    <x v="68"/>
  </r>
  <r>
    <x v="12"/>
    <x v="0"/>
    <n v="81"/>
    <n v="3440"/>
    <d v="2015-07-29T04:45:00"/>
    <d v="2015-07-29T05:45:00"/>
    <n v="756"/>
    <n v="795"/>
    <n v="747"/>
    <s v="High pressure heater tube leaks"/>
    <s v="F540HP Heater 6A and 6B are having leaking problems - 6A has had a channel-side safety"/>
    <s v="Trimble"/>
    <x v="0"/>
    <s v="Coal"/>
    <x v="2"/>
    <x v="2"/>
    <n v="7"/>
    <n v="1.0000000001164153"/>
    <n v="4.9056603779295847E-2"/>
    <n v="36.645283023133999"/>
    <n v="36.645283018867921"/>
    <x v="12"/>
  </r>
  <r>
    <x v="12"/>
    <x v="0"/>
    <n v="82"/>
    <n v="3440"/>
    <d v="2015-07-29T05:45:00"/>
    <d v="2015-07-29T06:10:00"/>
    <n v="731"/>
    <n v="795"/>
    <n v="747"/>
    <s v="High pressure heater tube leaks"/>
    <s v="F540This derate is due to continued problems with the 6A and 6B heaters."/>
    <s v="Trimble"/>
    <x v="0"/>
    <s v="Coal"/>
    <x v="2"/>
    <x v="2"/>
    <n v="7"/>
    <n v="0.41666666662786156"/>
    <n v="3.3542976936079424E-2"/>
    <n v="25.056603771251329"/>
    <n v="60.135849056603774"/>
    <x v="11"/>
  </r>
  <r>
    <x v="12"/>
    <x v="0"/>
    <n v="83"/>
    <n v="3440"/>
    <d v="2015-07-29T06:10:00"/>
    <d v="2015-08-03T00:00:00"/>
    <n v="715"/>
    <n v="795"/>
    <n v="747"/>
    <s v="High pressure heater tube leaks"/>
    <s v="F540This derate is due to continued problems with the 6A and 6B heaters."/>
    <s v="Trimble"/>
    <x v="0"/>
    <s v="Coal"/>
    <x v="2"/>
    <x v="2"/>
    <n v="7"/>
    <n v="113.83333333331393"/>
    <n v="11.454926624735993"/>
    <n v="8556.8301886777863"/>
    <n v="75.169811320754718"/>
    <x v="34"/>
  </r>
  <r>
    <x v="12"/>
    <x v="0"/>
    <n v="84"/>
    <n v="3441"/>
    <d v="2015-08-03T00:00:00"/>
    <d v="2015-08-03T18:00:00"/>
    <n v="715"/>
    <n v="795"/>
    <n v="747"/>
    <s v="Other high pressure heater problems (see condensate system for LP and IP heater codes)"/>
    <s v="F540HP Heaters 6A and 6B were put back in service but Heater 7A's safety is being repl"/>
    <s v="Trimble"/>
    <x v="0"/>
    <s v="Coal"/>
    <x v="2"/>
    <x v="2"/>
    <n v="8"/>
    <n v="18"/>
    <n v="1.8113207547169812"/>
    <n v="1353.056603773585"/>
    <n v="75.169811320754718"/>
    <x v="34"/>
  </r>
  <r>
    <x v="12"/>
    <x v="3"/>
    <n v="85"/>
    <n v="1190"/>
    <d v="2015-08-09T21:00:00"/>
    <d v="2015-08-10T05:10:00"/>
    <n v="0"/>
    <n v="795"/>
    <n v="747"/>
    <s v="Other tube slagging or fouling"/>
    <s v="FS00Non-curtailing derate for Unit Deslag. Unit was available for full load if request"/>
    <s v="Trimble"/>
    <x v="1"/>
    <s v="Coal"/>
    <x v="2"/>
    <x v="2"/>
    <n v="8"/>
    <n v="8.1666666667442769"/>
    <n v="8.1666666667442769"/>
    <n v="6100.5000000579748"/>
    <n v="747"/>
    <x v="302"/>
  </r>
  <r>
    <x v="12"/>
    <x v="0"/>
    <n v="86"/>
    <n v="331"/>
    <d v="2015-08-10T05:10:00"/>
    <d v="2015-08-10T10:30:00"/>
    <n v="585"/>
    <n v="795"/>
    <n v="747"/>
    <s v="Pulverizer system coal leaks (other than pulverizers"/>
    <s v="F5402C Mill Coal Conduit leak - this mill, along with 2D Mill (carded out) are out of "/>
    <s v="Trimble"/>
    <x v="0"/>
    <s v="Coal"/>
    <x v="2"/>
    <x v="2"/>
    <n v="8"/>
    <n v="5.3333333332557231"/>
    <n v="1.4088050314260401"/>
    <n v="1052.3773584752519"/>
    <n v="197.32075471698113"/>
    <x v="320"/>
  </r>
  <r>
    <x v="12"/>
    <x v="0"/>
    <n v="87"/>
    <n v="3441"/>
    <d v="2015-08-10T10:30:00"/>
    <d v="2015-08-10T16:30:00"/>
    <n v="739"/>
    <n v="795"/>
    <n v="747"/>
    <s v="Other high pressure heater problems (see condensate system for LP and IP heater codes)"/>
    <s v="F540Due to the same feedwater pressure 'excursion' that caused issues with the 6A&amp;B HP"/>
    <s v="Trimble"/>
    <x v="0"/>
    <s v="Coal"/>
    <x v="2"/>
    <x v="2"/>
    <n v="8"/>
    <n v="6"/>
    <n v="0.42264150943396228"/>
    <n v="315.71320754716982"/>
    <n v="52.618867924528303"/>
    <x v="179"/>
  </r>
  <r>
    <x v="12"/>
    <x v="0"/>
    <n v="88"/>
    <n v="3441"/>
    <d v="2015-08-10T16:30:00"/>
    <d v="2015-08-12T04:00:00"/>
    <n v="764"/>
    <n v="795"/>
    <n v="747"/>
    <s v="Other high pressure heater problems (see condensate system for LP and IP heater codes)"/>
    <s v="F540Continued problems with the HP 7 Heater."/>
    <s v="Trimble"/>
    <x v="0"/>
    <s v="Coal"/>
    <x v="2"/>
    <x v="2"/>
    <n v="8"/>
    <n v="35.499999999941792"/>
    <n v="1.3842767295574787"/>
    <n v="1034.0547169794365"/>
    <n v="29.128301886792453"/>
    <x v="206"/>
  </r>
  <r>
    <x v="12"/>
    <x v="1"/>
    <n v="89"/>
    <n v="3441"/>
    <d v="2015-08-14T21:30:00"/>
    <d v="2015-08-15T08:00:00"/>
    <n v="449"/>
    <n v="795"/>
    <n v="747"/>
    <s v="Other high pressure heater problems (see condensate system for LP and IP heater codes)"/>
    <s v="F540Repairs were being done on the 8A and 8B FWH safeties due to the earlier TC2 FW pr"/>
    <s v="Trimble"/>
    <x v="0"/>
    <s v="Coal"/>
    <x v="2"/>
    <x v="2"/>
    <n v="8"/>
    <n v="10.5"/>
    <n v="4.5698113207547166"/>
    <n v="3413.6490566037733"/>
    <n v="325.10943396226418"/>
    <x v="70"/>
  </r>
  <r>
    <x v="12"/>
    <x v="1"/>
    <n v="90"/>
    <n v="3441"/>
    <d v="2015-08-15T08:00:00"/>
    <d v="2015-08-17T03:00:00"/>
    <n v="764"/>
    <n v="795"/>
    <n v="747"/>
    <s v="Other high pressure heater problems (see condensate system for LP and IP heater codes)"/>
    <s v="F540The deslag was finished and repairs continued on the 8A and 8B FWH safeties."/>
    <s v="Trimble"/>
    <x v="0"/>
    <s v="Coal"/>
    <x v="2"/>
    <x v="2"/>
    <n v="8"/>
    <n v="42.999999999941792"/>
    <n v="1.676729559746158"/>
    <n v="1252.5169811303799"/>
    <n v="29.128301886792453"/>
    <x v="206"/>
  </r>
  <r>
    <x v="12"/>
    <x v="0"/>
    <n v="91"/>
    <n v="340"/>
    <d v="2015-08-21T21:00:00"/>
    <d v="2015-08-21T23:50:00"/>
    <n v="700"/>
    <n v="795"/>
    <n v="747"/>
    <s v="Other pulverizer problems"/>
    <s v="F660Unit was put on derate during D Mill Bowl DP problems: first, the bowl DP alarm ca"/>
    <s v="Trimble"/>
    <x v="0"/>
    <s v="Coal"/>
    <x v="2"/>
    <x v="2"/>
    <n v="8"/>
    <n v="2.8333333333139308"/>
    <n v="0.33857442347776534"/>
    <n v="252.91509433789071"/>
    <n v="89.264150943396231"/>
    <x v="145"/>
  </r>
  <r>
    <x v="12"/>
    <x v="3"/>
    <n v="92"/>
    <n v="1190"/>
    <d v="2015-08-23T00:00:00"/>
    <d v="2015-08-23T06:00:00"/>
    <n v="0"/>
    <n v="795"/>
    <n v="747"/>
    <s v="Other tube slagging or fouling"/>
    <s v="FS00Non-Curtailing derate for Unit to complete scheduled boiler tube deslag. Unit was "/>
    <s v="Trimble"/>
    <x v="1"/>
    <s v="Coal"/>
    <x v="2"/>
    <x v="2"/>
    <n v="8"/>
    <n v="6"/>
    <n v="6"/>
    <n v="4482"/>
    <n v="747"/>
    <x v="302"/>
  </r>
  <r>
    <x v="12"/>
    <x v="0"/>
    <n v="93"/>
    <n v="310"/>
    <d v="2015-08-27T08:35:00"/>
    <d v="2015-08-27T12:45:00"/>
    <n v="669"/>
    <n v="795"/>
    <n v="747"/>
    <s v="Pulverizer mills"/>
    <s v="F5402B Coal Mill tripped due to low oil level in resevoir - lube oil began leaking dur"/>
    <s v="Trimble"/>
    <x v="0"/>
    <s v="Coal"/>
    <x v="2"/>
    <x v="2"/>
    <n v="8"/>
    <n v="4.1666666666278616"/>
    <n v="0.66037735848441581"/>
    <n v="493.30188678785862"/>
    <n v="118.39245283018867"/>
    <x v="40"/>
  </r>
  <r>
    <x v="12"/>
    <x v="3"/>
    <n v="94"/>
    <n v="1190"/>
    <d v="2015-08-29T22:00:00"/>
    <d v="2015-08-30T07:30:00"/>
    <n v="0"/>
    <n v="795"/>
    <n v="747"/>
    <s v="Other tube slagging or fouling"/>
    <s v="FS00Non-curtailing derate for scheduled boiler tube deslag. Unit was available for ful"/>
    <s v="Trimble"/>
    <x v="1"/>
    <s v="Coal"/>
    <x v="2"/>
    <x v="2"/>
    <n v="8"/>
    <n v="9.5000000000582077"/>
    <n v="9.5000000000582077"/>
    <n v="7096.5000000434811"/>
    <n v="747"/>
    <x v="302"/>
  </r>
  <r>
    <x v="12"/>
    <x v="0"/>
    <n v="95"/>
    <n v="310"/>
    <d v="2015-08-30T19:50:00"/>
    <d v="2015-08-30T20:45:00"/>
    <n v="659"/>
    <n v="795"/>
    <n v="747"/>
    <s v="Pulverizer mills"/>
    <s v="F0702D Mill began spitting fireflies and smoke out of the pyrite chute. Since TC2 need"/>
    <s v="Trimble"/>
    <x v="0"/>
    <s v="Coal"/>
    <x v="2"/>
    <x v="2"/>
    <n v="8"/>
    <n v="0.91666666668606922"/>
    <n v="0.15681341719409486"/>
    <n v="117.13962264398886"/>
    <n v="127.78867924528302"/>
    <x v="259"/>
  </r>
  <r>
    <x v="12"/>
    <x v="0"/>
    <n v="96"/>
    <n v="3431"/>
    <d v="2015-09-01T00:00:00"/>
    <d v="2015-09-01T05:00:00"/>
    <n v="449"/>
    <n v="795"/>
    <n v="747"/>
    <s v="Other feedwater valves"/>
    <s v="F540Load was dropped so a contractor could safely work on a feedwater valve packing le"/>
    <s v="Trimble"/>
    <x v="0"/>
    <s v="Coal"/>
    <x v="2"/>
    <x v="2"/>
    <n v="9"/>
    <n v="5.0000000000582077"/>
    <n v="2.1761006289561506"/>
    <n v="1625.5471698302445"/>
    <n v="325.10943396226418"/>
    <x v="70"/>
  </r>
  <r>
    <x v="12"/>
    <x v="0"/>
    <n v="97"/>
    <n v="335"/>
    <d v="2015-09-05T01:42:00"/>
    <d v="2015-09-05T02:57:00"/>
    <n v="650"/>
    <n v="795"/>
    <n v="747"/>
    <s v="Pulverizer lube oil system"/>
    <s v="F520Problems with the 2E Coal Mill - false low flow alarms came in for both the lube o"/>
    <s v="Trimble"/>
    <x v="0"/>
    <s v="Coal"/>
    <x v="2"/>
    <x v="2"/>
    <n v="9"/>
    <n v="1.2500000000582077"/>
    <n v="0.22798742139426428"/>
    <n v="170.30660378151541"/>
    <n v="136.24528301886792"/>
    <x v="62"/>
  </r>
  <r>
    <x v="12"/>
    <x v="3"/>
    <n v="98"/>
    <n v="1190"/>
    <d v="2015-09-06T00:00:00"/>
    <d v="2015-09-06T07:30:00"/>
    <n v="0"/>
    <n v="795"/>
    <n v="747"/>
    <s v="Other tube slagging or fouling"/>
    <s v="FS00Non-curtailing derate to perform routine boiler deslag. Unit was available to retu"/>
    <s v="Trimble"/>
    <x v="1"/>
    <s v="Coal"/>
    <x v="2"/>
    <x v="2"/>
    <n v="9"/>
    <n v="7.5"/>
    <n v="7.5"/>
    <n v="5602.5"/>
    <n v="747"/>
    <x v="302"/>
  </r>
  <r>
    <x v="12"/>
    <x v="0"/>
    <n v="99"/>
    <n v="340"/>
    <d v="2015-09-11T08:57:00"/>
    <d v="2015-09-11T10:50:00"/>
    <n v="660"/>
    <n v="795"/>
    <n v="747"/>
    <s v="Other pulverizer problems"/>
    <s v="F1201B Mill tripped due to a low primary air fan alarm - the transmitter was plugged a"/>
    <s v="Trimble"/>
    <x v="0"/>
    <s v="Coal"/>
    <x v="2"/>
    <x v="2"/>
    <n v="9"/>
    <n v="1.8833333333604969"/>
    <n v="0.31981132075932966"/>
    <n v="238.89905660721925"/>
    <n v="126.84905660377359"/>
    <x v="49"/>
  </r>
  <r>
    <x v="12"/>
    <x v="3"/>
    <n v="100"/>
    <n v="1190"/>
    <d v="2015-09-13T00:00:00"/>
    <d v="2015-09-13T07:45:00"/>
    <n v="0"/>
    <n v="795"/>
    <n v="747"/>
    <s v="Other tube slagging or fouling"/>
    <s v="FS00Non-curtailing derate for boiler deslag. The unit was available to return to full "/>
    <s v="Trimble"/>
    <x v="1"/>
    <s v="Coal"/>
    <x v="2"/>
    <x v="2"/>
    <n v="9"/>
    <n v="7.7499999999417923"/>
    <n v="7.7499999999417923"/>
    <n v="5789.2499999565189"/>
    <n v="747"/>
    <x v="302"/>
  </r>
  <r>
    <x v="12"/>
    <x v="1"/>
    <n v="101"/>
    <n v="870"/>
    <d v="2015-09-16T21:00:00"/>
    <d v="2015-09-17T06:51:00"/>
    <n v="449"/>
    <n v="795"/>
    <n v="747"/>
    <s v="Soot blowers - steam"/>
    <s v="F340Planned Derate for sootblower maintenance items and boiler deslag."/>
    <s v="Trimble"/>
    <x v="0"/>
    <s v="Coal"/>
    <x v="2"/>
    <x v="2"/>
    <n v="9"/>
    <n v="9.8499999999767169"/>
    <n v="4.2869182389835778"/>
    <n v="3202.3279245207327"/>
    <n v="325.10943396226418"/>
    <x v="70"/>
  </r>
  <r>
    <x v="12"/>
    <x v="3"/>
    <n v="102"/>
    <n v="1190"/>
    <d v="2015-09-20T00:00:00"/>
    <d v="2015-09-20T07:30:00"/>
    <n v="0"/>
    <n v="795"/>
    <n v="747"/>
    <s v="Other tube slagging or fouling"/>
    <s v="FS00Non-curtailing derate for boiler deslag. Unit was available for full load if reque"/>
    <s v="Trimble"/>
    <x v="1"/>
    <s v="Coal"/>
    <x v="2"/>
    <x v="2"/>
    <n v="9"/>
    <n v="7.5"/>
    <n v="7.5"/>
    <n v="5602.5"/>
    <n v="747"/>
    <x v="302"/>
  </r>
  <r>
    <x v="12"/>
    <x v="0"/>
    <n v="103"/>
    <n v="520"/>
    <d v="2015-09-21T05:00:00"/>
    <d v="2015-09-21T09:05:00"/>
    <n v="449"/>
    <n v="795"/>
    <n v="747"/>
    <s v="Other main steam valves (including vent and drain valves but not including the turbine stop valves) A"/>
    <s v="F540Main Steam non-return MOV packing is blowing steam. Unit derated due to leak."/>
    <s v="Trimble"/>
    <x v="0"/>
    <s v="Coal"/>
    <x v="2"/>
    <x v="2"/>
    <n v="9"/>
    <n v="4.0833333331975155"/>
    <n v="1.777148846901057"/>
    <n v="1327.5301886350896"/>
    <n v="325.10943396226418"/>
    <x v="70"/>
  </r>
  <r>
    <x v="12"/>
    <x v="5"/>
    <n v="104"/>
    <n v="520"/>
    <d v="2015-09-21T09:05:00"/>
    <d v="2015-09-23T07:58:00"/>
    <n v="0"/>
    <n v="795"/>
    <n v="747"/>
    <s v="Other main steam valves (including vent and drain valves but not including the turbine stop valves) A"/>
    <s v="F540Forced outage due to the packing leak in the Non-Return Main Steam MOV."/>
    <s v="Trimble"/>
    <x v="3"/>
    <s v="Coal"/>
    <x v="2"/>
    <x v="2"/>
    <n v="9"/>
    <n v="46.883333333360497"/>
    <n v="46.883333333360497"/>
    <n v="35021.850000020291"/>
    <n v="747"/>
    <x v="302"/>
  </r>
  <r>
    <x v="12"/>
    <x v="5"/>
    <n v="105"/>
    <n v="3974"/>
    <d v="2015-09-23T10:47:00"/>
    <d v="2015-09-23T17:19:00"/>
    <n v="0"/>
    <n v="795"/>
    <n v="747"/>
    <s v="DCS - logic problems"/>
    <s v="F040While ramping and placing three mills in service, a logic problem caused the mills"/>
    <s v="Trimble"/>
    <x v="3"/>
    <s v="Coal"/>
    <x v="2"/>
    <x v="2"/>
    <n v="9"/>
    <n v="6.5333333333255723"/>
    <n v="6.5333333333255723"/>
    <n v="4880.3999999942025"/>
    <n v="747"/>
    <x v="302"/>
  </r>
  <r>
    <x v="12"/>
    <x v="5"/>
    <n v="106"/>
    <n v="380"/>
    <d v="2015-09-23T17:57:00"/>
    <d v="2015-09-23T22:31:00"/>
    <n v="0"/>
    <n v="795"/>
    <n v="747"/>
    <s v="Light-off (igniter) systems (including fuel supply)"/>
    <s v="F820As unit was firing, oil guns were lost on the A Mill. This caused a trip on the A "/>
    <s v="Trimble"/>
    <x v="3"/>
    <s v="Coal"/>
    <x v="2"/>
    <x v="2"/>
    <n v="9"/>
    <n v="4.5666666667093523"/>
    <n v="4.5666666667093523"/>
    <n v="3411.3000000318862"/>
    <n v="747"/>
    <x v="302"/>
  </r>
  <r>
    <x v="12"/>
    <x v="5"/>
    <n v="107"/>
    <n v="3974"/>
    <d v="2015-09-23T23:36:00"/>
    <d v="2015-09-24T03:13:00"/>
    <n v="0"/>
    <n v="795"/>
    <n v="747"/>
    <s v="DCS - logic problems"/>
    <s v="F820Despite the Feedwater Storage Vessel being at high level, the unit was calling for"/>
    <s v="Trimble"/>
    <x v="3"/>
    <s v="Coal"/>
    <x v="2"/>
    <x v="2"/>
    <n v="9"/>
    <n v="3.6166666667559184"/>
    <n v="3.6166666667559184"/>
    <n v="2701.6500000666711"/>
    <n v="747"/>
    <x v="302"/>
  </r>
  <r>
    <x v="12"/>
    <x v="0"/>
    <n v="108"/>
    <n v="3979"/>
    <d v="2015-09-24T07:27:00"/>
    <d v="2015-09-24T11:30:00"/>
    <n v="360"/>
    <n v="795"/>
    <n v="747"/>
    <s v="Other DCS problems"/>
    <s v="F660Due to low load of unit while ramping, there was problem transferring from MDBFP t"/>
    <s v="Trimble"/>
    <x v="0"/>
    <s v="Coal"/>
    <x v="2"/>
    <x v="2"/>
    <n v="9"/>
    <n v="4.0499999999301508"/>
    <n v="2.2160377358108372"/>
    <n v="1655.3801886506953"/>
    <n v="408.7358490566038"/>
    <x v="307"/>
  </r>
  <r>
    <x v="12"/>
    <x v="0"/>
    <n v="109"/>
    <n v="3979"/>
    <d v="2015-09-24T11:30:00"/>
    <d v="2015-09-24T18:56:00"/>
    <n v="400"/>
    <n v="795"/>
    <n v="747"/>
    <s v="Other DCS problems"/>
    <s v="F660Continued problems solving the feedwater issue. We were holding load down until we"/>
    <s v="Trimble"/>
    <x v="0"/>
    <s v="Coal"/>
    <x v="2"/>
    <x v="2"/>
    <n v="9"/>
    <n v="7.4333333334652707"/>
    <n v="3.693291404677713"/>
    <n v="2758.8886792942517"/>
    <n v="371.15094339622641"/>
    <x v="316"/>
  </r>
  <r>
    <x v="12"/>
    <x v="0"/>
    <n v="110"/>
    <n v="4261"/>
    <d v="2015-10-01T06:00:00"/>
    <d v="2015-10-01T12:43:00"/>
    <n v="800"/>
    <n v="795"/>
    <n v="747"/>
    <s v="Control valves"/>
    <s v="F340Switching of unit operating mode for wintertime operations caused a problem with t"/>
    <s v="Trimble"/>
    <x v="0"/>
    <s v="Coal"/>
    <x v="2"/>
    <x v="2"/>
    <n v="10"/>
    <n v="6.7166666667326353"/>
    <n v="-4.2243186583224124E-2"/>
    <n v="-31.555660377668421"/>
    <n v="0"/>
    <x v="152"/>
  </r>
  <r>
    <x v="12"/>
    <x v="3"/>
    <n v="111"/>
    <n v="1190"/>
    <d v="2015-10-04T00:00:00"/>
    <d v="2015-10-04T07:30:00"/>
    <n v="0"/>
    <n v="795"/>
    <n v="747"/>
    <s v="Other tube slagging or fouling"/>
    <s v="FS00Non-curtailing derate for boiler deslag. Unit was available for full load if reque"/>
    <s v="Trimble"/>
    <x v="1"/>
    <s v="Coal"/>
    <x v="2"/>
    <x v="2"/>
    <n v="10"/>
    <n v="7.5"/>
    <n v="7.5"/>
    <n v="5602.5"/>
    <n v="747"/>
    <x v="302"/>
  </r>
  <r>
    <x v="12"/>
    <x v="0"/>
    <n v="112"/>
    <n v="1455"/>
    <d v="2015-10-06T00:00:00"/>
    <d v="2015-10-06T01:45:00"/>
    <n v="769"/>
    <n v="795"/>
    <n v="747"/>
    <s v="Induced draft fans"/>
    <s v="F660Due to caution against tripping the unit on low ID Inlet Duct pressure, a derate w"/>
    <s v="Trimble"/>
    <x v="0"/>
    <s v="Coal"/>
    <x v="2"/>
    <x v="2"/>
    <n v="10"/>
    <n v="1.7499999999417923"/>
    <n v="5.7232704400612074E-2"/>
    <n v="42.752830187257217"/>
    <n v="24.430188679245283"/>
    <x v="107"/>
  </r>
  <r>
    <x v="12"/>
    <x v="0"/>
    <n v="113"/>
    <n v="8823"/>
    <d v="2015-10-09T16:50:00"/>
    <d v="2015-10-09T17:51:00"/>
    <n v="720"/>
    <n v="795"/>
    <n v="747"/>
    <s v="SCR NOx Other ammonia system problems"/>
    <s v="FE00Unit was derated to stay within NOx limits - Ammonia Pump tripped and unit began t"/>
    <s v="Trimble"/>
    <x v="0"/>
    <s v="Coal"/>
    <x v="2"/>
    <x v="2"/>
    <n v="10"/>
    <n v="1.0166666666627862"/>
    <n v="9.5911949685168502E-2"/>
    <n v="71.646226414820873"/>
    <n v="70.471698113207552"/>
    <x v="284"/>
  </r>
  <r>
    <x v="12"/>
    <x v="0"/>
    <n v="114"/>
    <n v="8823"/>
    <d v="2015-10-09T17:51:00"/>
    <d v="2015-10-09T20:30:00"/>
    <n v="709"/>
    <n v="795"/>
    <n v="747"/>
    <s v="SCR NOx Other ammonia system problems"/>
    <s v="FE00Continued problems due to Ammonia Pump trip. Derate was in effect until NOx levels"/>
    <s v="Trimble"/>
    <x v="0"/>
    <s v="Coal"/>
    <x v="2"/>
    <x v="2"/>
    <n v="10"/>
    <n v="2.6499999999068677"/>
    <n v="0.28666666665659196"/>
    <n v="214.1399999924742"/>
    <n v="80.807547169811315"/>
    <x v="240"/>
  </r>
  <r>
    <x v="12"/>
    <x v="3"/>
    <n v="115"/>
    <n v="1190"/>
    <d v="2015-10-11T00:00:00"/>
    <d v="2015-10-11T07:30:00"/>
    <n v="0"/>
    <n v="795"/>
    <n v="747"/>
    <s v="Other tube slagging or fouling"/>
    <s v="FS00Non-curtailing derate for boiler deslag. Unit was available for full load if reque"/>
    <s v="Trimble"/>
    <x v="1"/>
    <s v="Coal"/>
    <x v="2"/>
    <x v="2"/>
    <n v="10"/>
    <n v="7.5"/>
    <n v="7.5"/>
    <n v="5602.5"/>
    <n v="747"/>
    <x v="302"/>
  </r>
  <r>
    <x v="12"/>
    <x v="0"/>
    <n v="116"/>
    <n v="100"/>
    <d v="2015-10-14T21:00:00"/>
    <d v="2015-10-15T01:00:00"/>
    <n v="774"/>
    <n v="795"/>
    <n v="747"/>
    <s v="Bunker gates"/>
    <s v="F780Operators reduced load by the above amount for a coal mill swap to allow room for "/>
    <s v="Trimble"/>
    <x v="0"/>
    <s v="Coal"/>
    <x v="2"/>
    <x v="2"/>
    <n v="10"/>
    <n v="3.9999999999417923"/>
    <n v="0.10566037735695301"/>
    <n v="78.928301885643904"/>
    <n v="19.732075471698113"/>
    <x v="21"/>
  </r>
  <r>
    <x v="12"/>
    <x v="3"/>
    <n v="117"/>
    <n v="1190"/>
    <d v="2015-10-17T23:00:00"/>
    <d v="2015-10-18T05:30:00"/>
    <n v="0"/>
    <n v="795"/>
    <n v="747"/>
    <s v="Other tube slagging or fouling"/>
    <s v="FS00Unit was on a non-curtailing derate to perform a boiler deslag. The unit was avail"/>
    <s v="Trimble"/>
    <x v="1"/>
    <s v="Coal"/>
    <x v="2"/>
    <x v="2"/>
    <n v="10"/>
    <n v="6.4999999998835847"/>
    <n v="6.4999999998835847"/>
    <n v="4855.4999999130378"/>
    <n v="747"/>
    <x v="302"/>
  </r>
  <r>
    <x v="12"/>
    <x v="0"/>
    <n v="118"/>
    <n v="3502"/>
    <d v="2015-10-19T22:30:00"/>
    <d v="2015-10-22T03:00:00"/>
    <n v="760"/>
    <n v="795"/>
    <n v="747"/>
    <s v="Heater level control"/>
    <s v="F400The unit was derated while solving an extraction steam problem. During isolation o"/>
    <s v="Trimble"/>
    <x v="0"/>
    <s v="Coal"/>
    <x v="2"/>
    <x v="2"/>
    <n v="10"/>
    <n v="52.5"/>
    <n v="2.3113207547169812"/>
    <n v="1726.556603773585"/>
    <n v="32.886792452830186"/>
    <x v="17"/>
  </r>
  <r>
    <x v="12"/>
    <x v="3"/>
    <n v="119"/>
    <n v="1190"/>
    <d v="2015-10-25T00:00:00"/>
    <d v="2015-10-25T07:15:00"/>
    <n v="0"/>
    <n v="795"/>
    <n v="747"/>
    <s v="Other tube slagging or fouling"/>
    <s v="FS00Non-curtailing derate for unit deslag. The unit was available for full load if req"/>
    <s v="Trimble"/>
    <x v="1"/>
    <s v="Coal"/>
    <x v="2"/>
    <x v="2"/>
    <n v="10"/>
    <n v="7.2500000000582077"/>
    <n v="7.2500000000582077"/>
    <n v="5415.7500000434811"/>
    <n v="747"/>
    <x v="302"/>
  </r>
  <r>
    <x v="12"/>
    <x v="9"/>
    <n v="120"/>
    <n v="3431"/>
    <d v="2015-10-26T18:13:00"/>
    <d v="2015-10-27T14:55:00"/>
    <n v="440"/>
    <n v="795"/>
    <n v="747"/>
    <s v="Other feedwater valves"/>
    <s v="F540Feedwater Bypass Valve BLS MOV 501 had a packing leak. Unit was on a derate until "/>
    <s v="Trimble"/>
    <x v="0"/>
    <s v="Coal"/>
    <x v="2"/>
    <x v="2"/>
    <n v="10"/>
    <n v="20.700000000069849"/>
    <n v="9.2433962264462846"/>
    <n v="6904.8169811553744"/>
    <n v="333.56603773584908"/>
    <x v="321"/>
  </r>
  <r>
    <x v="12"/>
    <x v="3"/>
    <n v="121"/>
    <n v="1190"/>
    <d v="2015-11-01T00:00:00"/>
    <d v="2015-11-01T05:00:00"/>
    <n v="0"/>
    <n v="795"/>
    <n v="747"/>
    <s v="Other tube slagging or fouling"/>
    <s v="FS00Non-curtailing derate due to boiler deslag. Unit was available for full load if re"/>
    <s v="Trimble"/>
    <x v="1"/>
    <s v="Coal"/>
    <x v="2"/>
    <x v="2"/>
    <n v="11"/>
    <n v="5.0000000000582077"/>
    <n v="5.0000000000582077"/>
    <n v="3735.0000000434811"/>
    <n v="747"/>
    <x v="302"/>
  </r>
  <r>
    <x v="12"/>
    <x v="3"/>
    <n v="122"/>
    <n v="1190"/>
    <d v="2015-11-04T22:00:00"/>
    <d v="2015-11-05T05:15:00"/>
    <n v="0"/>
    <n v="795"/>
    <n v="747"/>
    <s v="Other tube slagging or fouling"/>
    <s v="FS00Non-curtailing derate for boiler deslag. The unit was available for full load if r"/>
    <s v="Trimble"/>
    <x v="1"/>
    <s v="Coal"/>
    <x v="2"/>
    <x v="2"/>
    <n v="11"/>
    <n v="7.2500000000582077"/>
    <n v="7.2500000000582077"/>
    <n v="5415.7500000434811"/>
    <n v="747"/>
    <x v="302"/>
  </r>
  <r>
    <x v="12"/>
    <x v="0"/>
    <n v="123"/>
    <n v="1090"/>
    <d v="2015-11-05T11:20:00"/>
    <d v="2015-11-05T16:17:00"/>
    <n v="480"/>
    <n v="795"/>
    <n v="747"/>
    <s v="Other boiler tube leaks"/>
    <s v="F540Immediate derate due to dropping load for boiler tube leak repair. The capacity re"/>
    <s v="Trimble"/>
    <x v="0"/>
    <s v="Coal"/>
    <x v="2"/>
    <x v="2"/>
    <n v="11"/>
    <n v="4.9500000000698492"/>
    <n v="1.9613207547446572"/>
    <n v="1465.1066037942589"/>
    <n v="295.98113207547169"/>
    <x v="202"/>
  </r>
  <r>
    <x v="12"/>
    <x v="5"/>
    <n v="124"/>
    <n v="1090"/>
    <d v="2015-11-05T16:17:00"/>
    <d v="2015-11-09T10:16:00"/>
    <n v="0"/>
    <n v="795"/>
    <n v="747"/>
    <s v="Other boiler tube leaks"/>
    <s v="F540Forced outage due to tube leak repair - two (2) tube leaks were found and repaired"/>
    <s v="Trimble"/>
    <x v="3"/>
    <s v="Coal"/>
    <x v="2"/>
    <x v="2"/>
    <n v="11"/>
    <n v="89.983333333279006"/>
    <n v="89.983333333279006"/>
    <n v="67217.549999959418"/>
    <n v="747"/>
    <x v="302"/>
  </r>
  <r>
    <x v="12"/>
    <x v="0"/>
    <n v="125"/>
    <n v="4261"/>
    <d v="2015-11-11T06:18:00"/>
    <d v="2015-11-11T15:11:00"/>
    <n v="794"/>
    <n v="795"/>
    <n v="747"/>
    <s v="Control valves"/>
    <s v="F850The Unit was placed in Boiler Follow + MW mode, which dropped the effective load o"/>
    <s v="Trimble"/>
    <x v="0"/>
    <s v="Coal"/>
    <x v="2"/>
    <x v="2"/>
    <n v="11"/>
    <n v="8.8833333334769122"/>
    <n v="1.1174004193052719E-2"/>
    <n v="8.3469811322103808"/>
    <n v="0.93962264150943398"/>
    <x v="276"/>
  </r>
  <r>
    <x v="12"/>
    <x v="3"/>
    <n v="126"/>
    <n v="1190"/>
    <d v="2015-11-15T00:00:00"/>
    <d v="2015-11-15T07:00:00"/>
    <n v="0"/>
    <n v="795"/>
    <n v="747"/>
    <s v="Other tube slagging or fouling"/>
    <s v="FS00Non-curtailing derate for boiler deslag. Unit was available for full load if reque"/>
    <s v="Trimble"/>
    <x v="1"/>
    <s v="Coal"/>
    <x v="2"/>
    <x v="2"/>
    <n v="11"/>
    <n v="6.9999999999417923"/>
    <n v="6.9999999999417923"/>
    <n v="5228.9999999565189"/>
    <n v="747"/>
    <x v="302"/>
  </r>
  <r>
    <x v="12"/>
    <x v="5"/>
    <n v="127"/>
    <n v="3412"/>
    <d v="2015-11-16T21:22:00"/>
    <d v="2015-11-17T06:42:00"/>
    <n v="0"/>
    <n v="795"/>
    <n v="747"/>
    <s v="Feedwater pump drive - steam turbine"/>
    <s v="F820The unit lost the 2A TDBFP and then the 2F mill, starting a runback and then tripp"/>
    <s v="Trimble"/>
    <x v="3"/>
    <s v="Coal"/>
    <x v="2"/>
    <x v="2"/>
    <n v="11"/>
    <n v="9.3333333333721384"/>
    <n v="9.3333333333721384"/>
    <n v="6972.0000000289874"/>
    <n v="747"/>
    <x v="302"/>
  </r>
  <r>
    <x v="12"/>
    <x v="5"/>
    <n v="128"/>
    <n v="3412"/>
    <d v="2015-11-17T07:13:00"/>
    <d v="2015-11-17T13:04:00"/>
    <n v="0"/>
    <n v="795"/>
    <n v="747"/>
    <s v="Feedwater pump drive - steam turbine"/>
    <s v="F820Continued problems with the 2A TDBFP - tripped on low flow due to turbine blade is"/>
    <s v="Trimble"/>
    <x v="3"/>
    <s v="Coal"/>
    <x v="2"/>
    <x v="2"/>
    <n v="11"/>
    <n v="5.8500000000349246"/>
    <n v="5.8500000000349246"/>
    <n v="4369.9500000260887"/>
    <n v="747"/>
    <x v="302"/>
  </r>
  <r>
    <x v="12"/>
    <x v="0"/>
    <n v="129"/>
    <n v="3412"/>
    <d v="2015-11-17T20:00:00"/>
    <d v="2015-11-20T22:30:00"/>
    <n v="794"/>
    <n v="795"/>
    <n v="747"/>
    <s v="Feedwater pump drive - steam turbine"/>
    <s v="F060Due to broken steam turbine blade on 2A TDBFP, the MDBFP must be run to make load."/>
    <s v="Trimble"/>
    <x v="0"/>
    <s v="Coal"/>
    <x v="2"/>
    <x v="2"/>
    <n v="11"/>
    <n v="74.499999999941792"/>
    <n v="9.3710691823826159E-2"/>
    <n v="70.001886792398139"/>
    <n v="0.93962264150943398"/>
    <x v="276"/>
  </r>
  <r>
    <x v="12"/>
    <x v="3"/>
    <n v="130"/>
    <n v="1190"/>
    <d v="2015-11-20T22:30:00"/>
    <d v="2015-11-21T05:30:00"/>
    <n v="0"/>
    <n v="795"/>
    <n v="747"/>
    <s v="Other tube slagging or fouling"/>
    <s v="FS00Non-curtailing derate for boiler deslag. Unit was available for full gross-capacit"/>
    <s v="Trimble"/>
    <x v="1"/>
    <s v="Coal"/>
    <x v="2"/>
    <x v="2"/>
    <n v="11"/>
    <n v="6.9999999999417923"/>
    <n v="6.9999999999417923"/>
    <n v="5228.9999999565189"/>
    <n v="747"/>
    <x v="302"/>
  </r>
  <r>
    <x v="12"/>
    <x v="0"/>
    <n v="131"/>
    <n v="3412"/>
    <d v="2015-11-21T05:30:00"/>
    <d v="2015-11-26T21:30:00"/>
    <n v="794"/>
    <n v="795"/>
    <n v="747"/>
    <s v="Feedwater pump drive - steam turbine"/>
    <s v="F060Continued problems with the 2A TDBFP turbine. The running of the MDBFP reduces net"/>
    <s v="Trimble"/>
    <x v="0"/>
    <s v="Coal"/>
    <x v="2"/>
    <x v="2"/>
    <n v="11"/>
    <n v="136.00000000011642"/>
    <n v="0.17106918239008354"/>
    <n v="127.7886792453924"/>
    <n v="0.93962264150943398"/>
    <x v="276"/>
  </r>
  <r>
    <x v="12"/>
    <x v="3"/>
    <n v="132"/>
    <n v="1190"/>
    <d v="2015-11-26T21:30:00"/>
    <d v="2015-11-27T07:00:00"/>
    <n v="0"/>
    <n v="795"/>
    <n v="747"/>
    <s v="Other tube slagging or fouling"/>
    <s v="FS00Non-curtailing derate for boiler deslag. The unit was available for full load if r"/>
    <s v="Trimble"/>
    <x v="1"/>
    <s v="Coal"/>
    <x v="2"/>
    <x v="2"/>
    <n v="11"/>
    <n v="9.4999999998835847"/>
    <n v="9.4999999998835847"/>
    <n v="7096.4999999130378"/>
    <n v="747"/>
    <x v="302"/>
  </r>
  <r>
    <x v="12"/>
    <x v="0"/>
    <n v="133"/>
    <n v="3456"/>
    <d v="2015-11-27T07:00:00"/>
    <d v="2015-11-30T02:35:00"/>
    <n v="794"/>
    <n v="795"/>
    <n v="747"/>
    <s v="Feedwater Booster Pump Drive - Steam Turbine"/>
    <s v="F060Continued problems with the 2A TDBFP."/>
    <s v="Trimble"/>
    <x v="0"/>
    <s v="Coal"/>
    <x v="2"/>
    <x v="2"/>
    <n v="11"/>
    <n v="67.583333333430346"/>
    <n v="8.5010482180415528E-2"/>
    <n v="63.502830188770396"/>
    <n v="0.93962264150943398"/>
    <x v="276"/>
  </r>
  <r>
    <x v="12"/>
    <x v="5"/>
    <n v="134"/>
    <n v="1400"/>
    <d v="2015-11-30T02:35:00"/>
    <d v="2015-12-01T04:12:00"/>
    <n v="0"/>
    <n v="795"/>
    <n v="747"/>
    <s v="Forced draft fans"/>
    <s v="F8502A Forced Draft fan vibration caused unit to MFT."/>
    <s v="Trimble"/>
    <x v="3"/>
    <s v="Coal"/>
    <x v="2"/>
    <x v="2"/>
    <n v="11"/>
    <n v="25.616666666697711"/>
    <n v="25.616666666697711"/>
    <n v="19135.65000002319"/>
    <n v="747"/>
    <x v="302"/>
  </r>
  <r>
    <x v="12"/>
    <x v="0"/>
    <n v="135"/>
    <n v="3412"/>
    <d v="2015-12-01T04:12:00"/>
    <d v="2015-12-06T00:00:00"/>
    <n v="794"/>
    <n v="795"/>
    <n v="747"/>
    <s v="Feedwater pump drive - steam turbine"/>
    <s v="F060Repairs are still outstanding on 2A TDBFP, requiring the use of the MDBFP. This ca"/>
    <s v="Trimble"/>
    <x v="0"/>
    <s v="Coal"/>
    <x v="2"/>
    <x v="2"/>
    <n v="12"/>
    <n v="115.79999999993015"/>
    <n v="0.1456603773584027"/>
    <n v="108.80830188672682"/>
    <n v="0.93962264150943398"/>
    <x v="276"/>
  </r>
  <r>
    <x v="12"/>
    <x v="3"/>
    <n v="136"/>
    <n v="1190"/>
    <d v="2015-12-06T00:00:00"/>
    <d v="2015-12-06T08:15:00"/>
    <n v="0"/>
    <n v="795"/>
    <n v="747"/>
    <s v="Other tube slagging or fouling"/>
    <s v="FS00Non-curtailing derate for boiler deslag. The unit was available for full load if r"/>
    <s v="Trimble"/>
    <x v="1"/>
    <s v="Coal"/>
    <x v="2"/>
    <x v="2"/>
    <n v="12"/>
    <n v="8.25"/>
    <n v="8.25"/>
    <n v="6162.75"/>
    <n v="747"/>
    <x v="302"/>
  </r>
  <r>
    <x v="12"/>
    <x v="0"/>
    <n v="137"/>
    <n v="3412"/>
    <d v="2015-12-06T08:15:00"/>
    <d v="2015-12-09T03:38:00"/>
    <n v="794"/>
    <n v="795"/>
    <n v="747"/>
    <s v="Feedwater pump drive - steam turbine"/>
    <s v="F060The 2A TDBFP is out of service, requiring the use of the MDBFP. The running of the"/>
    <s v="Trimble"/>
    <x v="0"/>
    <s v="Coal"/>
    <x v="2"/>
    <x v="2"/>
    <n v="12"/>
    <n v="67.383333333302289"/>
    <n v="8.4758909853210426E-2"/>
    <n v="63.314905660348188"/>
    <n v="0.93962264150943398"/>
    <x v="276"/>
  </r>
  <r>
    <x v="12"/>
    <x v="5"/>
    <n v="138"/>
    <n v="1480"/>
    <d v="2015-12-09T03:38:00"/>
    <d v="2015-12-09T20:28:00"/>
    <n v="0"/>
    <n v="795"/>
    <n v="747"/>
    <s v="Other induced draft fan problems"/>
    <s v="F820The Radial Y Vibration probe on the TC 2A ID Fans was reading incorrectly, causing"/>
    <s v="Trimble"/>
    <x v="3"/>
    <s v="Coal"/>
    <x v="2"/>
    <x v="2"/>
    <n v="12"/>
    <n v="16.833333333372138"/>
    <n v="16.833333333372138"/>
    <n v="12574.500000028987"/>
    <n v="747"/>
    <x v="302"/>
  </r>
  <r>
    <x v="12"/>
    <x v="0"/>
    <n v="139"/>
    <n v="3456"/>
    <d v="2015-12-09T20:28:00"/>
    <d v="2015-12-10T13:00:00"/>
    <n v="794"/>
    <n v="795"/>
    <n v="747"/>
    <s v="Feedwater Booster Pump Drive - Steam Turbine"/>
    <s v="F060Continued problems with the 2A TDBFP."/>
    <s v="Trimble"/>
    <x v="0"/>
    <s v="Coal"/>
    <x v="2"/>
    <x v="2"/>
    <n v="12"/>
    <n v="16.533333333267365"/>
    <n v="2.0796645702223102E-2"/>
    <n v="15.535094339560658"/>
    <n v="0.93962264150943398"/>
    <x v="276"/>
  </r>
  <r>
    <x v="12"/>
    <x v="0"/>
    <n v="140"/>
    <n v="510"/>
    <d v="2015-12-10T13:00:00"/>
    <d v="2015-12-10T15:00:00"/>
    <n v="669"/>
    <n v="795"/>
    <n v="747"/>
    <s v="Main steam relief/safety valves off superheater"/>
    <s v="F540A leak in a main steam safety valve has reduced gross available capacity. "/>
    <s v="Trimble"/>
    <x v="0"/>
    <s v="Coal"/>
    <x v="2"/>
    <x v="2"/>
    <n v="12"/>
    <n v="2.0000000000582077"/>
    <n v="0.31698113208469708"/>
    <n v="236.78490566726873"/>
    <n v="118.39245283018867"/>
    <x v="40"/>
  </r>
  <r>
    <x v="12"/>
    <x v="0"/>
    <n v="141"/>
    <n v="510"/>
    <d v="2015-12-10T15:00:00"/>
    <d v="2015-12-11T19:40:00"/>
    <n v="760"/>
    <n v="795"/>
    <n v="747"/>
    <s v="Main steam relief/safety valves off superheater"/>
    <s v="F540Operating with temporary measures on the leaking safety relief valve to allow us t"/>
    <s v="Trimble"/>
    <x v="0"/>
    <s v="Coal"/>
    <x v="2"/>
    <x v="2"/>
    <n v="12"/>
    <n v="28.666666666686069"/>
    <n v="1.2620545073383804"/>
    <n v="942.75471698177023"/>
    <n v="32.886792452830186"/>
    <x v="17"/>
  </r>
  <r>
    <x v="12"/>
    <x v="0"/>
    <n v="142"/>
    <n v="3409"/>
    <d v="2015-12-11T19:40:00"/>
    <d v="2015-12-13T00:00:00"/>
    <n v="794"/>
    <n v="795"/>
    <n v="747"/>
    <s v="Feedwater pump drive motor - variable speed"/>
    <s v="F060Regardless of the main steam safety being fixed, we are having continued problems "/>
    <s v="Trimble"/>
    <x v="0"/>
    <s v="Coal"/>
    <x v="2"/>
    <x v="2"/>
    <n v="12"/>
    <n v="28.333333333313931"/>
    <n v="3.5639412997879157E-2"/>
    <n v="26.622641509415729"/>
    <n v="0.93962264150943398"/>
    <x v="276"/>
  </r>
  <r>
    <x v="12"/>
    <x v="3"/>
    <n v="143"/>
    <n v="1190"/>
    <d v="2015-12-13T00:00:00"/>
    <d v="2015-12-13T07:30:00"/>
    <n v="0"/>
    <n v="795"/>
    <n v="747"/>
    <s v="Other tube slagging or fouling"/>
    <s v="FS00Non-curtailing derate for boiler deslag. Unit was available for full load if reque"/>
    <s v="Trimble"/>
    <x v="1"/>
    <s v="Coal"/>
    <x v="2"/>
    <x v="2"/>
    <n v="12"/>
    <n v="7.5"/>
    <n v="7.5"/>
    <n v="5602.5"/>
    <n v="747"/>
    <x v="302"/>
  </r>
  <r>
    <x v="12"/>
    <x v="0"/>
    <n v="144"/>
    <n v="3409"/>
    <d v="2015-12-13T07:30:00"/>
    <d v="2015-12-20T07:30:00"/>
    <n v="794"/>
    <n v="795"/>
    <n v="747"/>
    <s v="Feedwater pump drive motor - variable speed"/>
    <s v="F060Continued net derate due to the broken turbine blades on the 2A TDBFP, requiring t"/>
    <s v="Trimble"/>
    <x v="0"/>
    <s v="Coal"/>
    <x v="2"/>
    <x v="2"/>
    <n v="12"/>
    <n v="168"/>
    <n v="0.21132075471698114"/>
    <n v="157.85660377358491"/>
    <n v="0.93962264150943398"/>
    <x v="276"/>
  </r>
  <r>
    <x v="12"/>
    <x v="0"/>
    <n v="145"/>
    <n v="3412"/>
    <d v="2015-12-20T07:30:00"/>
    <d v="2015-12-20T16:30:00"/>
    <n v="749"/>
    <n v="795"/>
    <n v="747"/>
    <s v="Feedwater pump drive - steam turbine"/>
    <s v="F060Continued problems with the 2A TDBFP."/>
    <s v="Trimble"/>
    <x v="0"/>
    <s v="Coal"/>
    <x v="2"/>
    <x v="2"/>
    <n v="12"/>
    <n v="9"/>
    <n v="0.52075471698113207"/>
    <n v="389.00377358490567"/>
    <n v="43.222641509433963"/>
    <x v="82"/>
  </r>
  <r>
    <x v="12"/>
    <x v="3"/>
    <n v="146"/>
    <n v="1190"/>
    <d v="2015-12-20T22:00:00"/>
    <d v="2015-12-21T04:15:00"/>
    <n v="0"/>
    <n v="795"/>
    <n v="747"/>
    <s v="Other tube slagging or fouling"/>
    <s v="FS00Non-curtailing derate for boiler deslag. The unit was available for full load if r"/>
    <s v="Trimble"/>
    <x v="1"/>
    <s v="Coal"/>
    <x v="2"/>
    <x v="2"/>
    <n v="12"/>
    <n v="6.2500000001164153"/>
    <n v="6.2500000001164153"/>
    <n v="4668.7500000869622"/>
    <n v="747"/>
    <x v="302"/>
  </r>
  <r>
    <x v="12"/>
    <x v="0"/>
    <n v="147"/>
    <n v="3441"/>
    <d v="2015-12-21T20:00:00"/>
    <d v="2015-12-23T00:00:00"/>
    <n v="750"/>
    <n v="795"/>
    <n v="747"/>
    <s v="Other high pressure heater problems (see condensate system for LP and IP heater codes)"/>
    <s v="F540The 7A high pressure feedwater heater had to be removed from service to allow for "/>
    <s v="Trimble"/>
    <x v="0"/>
    <s v="Coal"/>
    <x v="2"/>
    <x v="2"/>
    <n v="12"/>
    <n v="27.999999999941792"/>
    <n v="1.5849056603740637"/>
    <n v="1183.9245282994254"/>
    <n v="42.283018867924525"/>
    <x v="117"/>
  </r>
  <r>
    <x v="12"/>
    <x v="0"/>
    <n v="148"/>
    <n v="95"/>
    <d v="2015-12-31T17:16:00"/>
    <d v="2015-12-31T18:50:00"/>
    <n v="750"/>
    <n v="795"/>
    <n v="747"/>
    <s v="Bunker flow problems"/>
    <s v="F720D Coal Mill was running wthout coal on belt; the equipment was taken out of servic"/>
    <s v="Trimble"/>
    <x v="0"/>
    <s v="Coal"/>
    <x v="2"/>
    <x v="2"/>
    <n v="12"/>
    <n v="1.5666666665347293"/>
    <n v="8.8679245275550711E-2"/>
    <n v="66.243396220836388"/>
    <n v="42.283018867924525"/>
    <x v="117"/>
  </r>
  <r>
    <x v="12"/>
    <x v="3"/>
    <n v="149"/>
    <n v="1190"/>
    <d v="2015-12-31T23:00:00"/>
    <d v="2016-01-01T00:00:00"/>
    <m/>
    <n v="795"/>
    <n v="747"/>
    <s v="Other tube slagging or fouling"/>
    <s v="FS00Non-curtailing derate for boiler deslag. Unit was available for full load if reque"/>
    <s v="Trimble"/>
    <x v="1"/>
    <s v="Coal"/>
    <x v="2"/>
    <x v="2"/>
    <n v="12"/>
    <n v="0.99999999994179234"/>
    <n v="0.99999999994179234"/>
    <n v="746.99999995651888"/>
    <n v="747"/>
    <x v="302"/>
  </r>
  <r>
    <x v="12"/>
    <x v="3"/>
    <n v="11"/>
    <n v="1190"/>
    <d v="2016-01-01T00:00:00"/>
    <d v="2016-01-01T06:30:00"/>
    <m/>
    <n v="795"/>
    <n v="747"/>
    <s v="Other tube slagging or fouling"/>
    <s v="FS00Continuation of event 149 from 2015. This was a Non-Curtailing Derate for a unit d"/>
    <s v="Trimble"/>
    <x v="1"/>
    <s v="Coal"/>
    <x v="2"/>
    <x v="3"/>
    <n v="1"/>
    <n v="6.5000000000582077"/>
    <n v="6.5000000000582077"/>
    <n v="4855.5000000434811"/>
    <n v="747"/>
    <x v="302"/>
  </r>
  <r>
    <x v="12"/>
    <x v="0"/>
    <n v="1"/>
    <n v="3310"/>
    <d v="2016-01-01T07:11:00"/>
    <d v="2016-01-01T15:00:00"/>
    <n v="760"/>
    <n v="795"/>
    <n v="747"/>
    <s v="Condensate/hotwell pumps"/>
    <s v="F660Problems with the 2B Hotwell Pumps placed the unit on a derate. Swapping pumps did"/>
    <s v="Trimble"/>
    <x v="0"/>
    <s v="Coal"/>
    <x v="2"/>
    <x v="3"/>
    <n v="1"/>
    <n v="7.8166666666511446"/>
    <n v="0.34412997903495607"/>
    <n v="257.06509433911219"/>
    <n v="32.886792452830186"/>
    <x v="17"/>
  </r>
  <r>
    <x v="12"/>
    <x v="0"/>
    <n v="2"/>
    <n v="3985"/>
    <d v="2016-01-07T09:45:00"/>
    <d v="2016-01-07T12:00:00"/>
    <n v="796"/>
    <n v="795"/>
    <n v="747"/>
    <s v="PLC - upgrades"/>
    <s v="F610Unit Control Mode was changed to view how the unit behaved in a boiler swing under"/>
    <s v="Trimble"/>
    <x v="0"/>
    <s v="Coal"/>
    <x v="2"/>
    <x v="3"/>
    <n v="1"/>
    <n v="2.25"/>
    <n v="-2.8301886792452828E-3"/>
    <n v="-2.1141509433962264"/>
    <n v="0"/>
    <x v="152"/>
  </r>
  <r>
    <x v="12"/>
    <x v="0"/>
    <n v="3"/>
    <n v="310"/>
    <d v="2016-01-08T01:15:00"/>
    <d v="2016-01-08T04:00:00"/>
    <n v="740"/>
    <n v="795"/>
    <n v="747"/>
    <s v="Pulverizer mills"/>
    <s v="F660Mill swap from 2B to 2D Coal Mills resulted in a unit derate."/>
    <s v="Trimble"/>
    <x v="0"/>
    <s v="Coal"/>
    <x v="2"/>
    <x v="3"/>
    <n v="1"/>
    <n v="2.7499999998835847"/>
    <n v="0.19025157231899015"/>
    <n v="142.11792452228565"/>
    <n v="51.679245283018865"/>
    <x v="18"/>
  </r>
  <r>
    <x v="12"/>
    <x v="3"/>
    <n v="4"/>
    <n v="1190"/>
    <d v="2016-01-09T00:00:00"/>
    <d v="2016-01-09T07:30:00"/>
    <n v="0"/>
    <n v="795"/>
    <n v="747"/>
    <s v="Other tube slagging or fouling"/>
    <s v="FS00Non-curtailing derate for boiler deslag. The unit was available for full load if r"/>
    <s v="Trimble"/>
    <x v="1"/>
    <s v="Coal"/>
    <x v="2"/>
    <x v="3"/>
    <n v="1"/>
    <n v="7.5"/>
    <n v="7.5"/>
    <n v="5602.5"/>
    <n v="747"/>
    <x v="302"/>
  </r>
  <r>
    <x v="12"/>
    <x v="0"/>
    <n v="5"/>
    <n v="3210"/>
    <d v="2016-01-10T09:40:00"/>
    <d v="2016-01-10T10:00:00"/>
    <n v="750"/>
    <n v="795"/>
    <n v="747"/>
    <s v="Circulating water pumps"/>
    <s v="F480Despite the pump operating normally, the 2B Cooling Tower Pump discharge pressure "/>
    <s v="Trimble"/>
    <x v="0"/>
    <s v="Coal"/>
    <x v="2"/>
    <x v="3"/>
    <n v="1"/>
    <n v="0.33333333319751546"/>
    <n v="1.8867924520614081E-2"/>
    <n v="14.094339616898719"/>
    <n v="42.283018867924525"/>
    <x v="117"/>
  </r>
  <r>
    <x v="12"/>
    <x v="0"/>
    <n v="6"/>
    <n v="9290"/>
    <d v="2016-01-11T15:50:00"/>
    <d v="2016-01-12T01:00:00"/>
    <n v="760"/>
    <n v="795"/>
    <n v="747"/>
    <s v="Other fuel quality problems"/>
    <s v="FW00Low fuel quality caused a unit derate."/>
    <s v="Trimble"/>
    <x v="0"/>
    <s v="Coal"/>
    <x v="2"/>
    <x v="3"/>
    <n v="1"/>
    <n v="9.1666666666860692"/>
    <n v="0.40356394130064455"/>
    <n v="301.46226415158145"/>
    <n v="32.886792452830186"/>
    <x v="17"/>
  </r>
  <r>
    <x v="12"/>
    <x v="0"/>
    <n v="7"/>
    <n v="310"/>
    <d v="2016-01-12T01:00:00"/>
    <d v="2016-01-12T05:00:00"/>
    <n v="719"/>
    <n v="795"/>
    <n v="747"/>
    <s v="Pulverizer mills"/>
    <s v="F660Problems with the 2D and 2C coal mills contributed to a derate while swapping mill"/>
    <s v="Trimble"/>
    <x v="0"/>
    <s v="Coal"/>
    <x v="2"/>
    <x v="3"/>
    <n v="1"/>
    <n v="4.0000000001164153"/>
    <n v="0.38238993711804725"/>
    <n v="285.64528302718128"/>
    <n v="71.411320754716982"/>
    <x v="165"/>
  </r>
  <r>
    <x v="12"/>
    <x v="0"/>
    <n v="8"/>
    <n v="9290"/>
    <d v="2016-01-12T05:00:00"/>
    <d v="2016-01-12T08:30:00"/>
    <n v="760"/>
    <n v="795"/>
    <n v="747"/>
    <s v="Other fuel quality problems"/>
    <s v="FW00Problems with fuel quality."/>
    <s v="Trimble"/>
    <x v="0"/>
    <s v="Coal"/>
    <x v="2"/>
    <x v="3"/>
    <n v="1"/>
    <n v="3.4999999998835847"/>
    <n v="0.1540880503093402"/>
    <n v="115.10377358107712"/>
    <n v="32.886792452830186"/>
    <x v="17"/>
  </r>
  <r>
    <x v="12"/>
    <x v="0"/>
    <n v="9"/>
    <n v="9290"/>
    <d v="2016-01-12T08:30:00"/>
    <d v="2016-01-13T09:56:00"/>
    <n v="780"/>
    <n v="795"/>
    <n v="747"/>
    <s v="Other fuel quality problems"/>
    <s v="FW00Problems with fuel quality."/>
    <s v="Trimble"/>
    <x v="0"/>
    <s v="Coal"/>
    <x v="2"/>
    <x v="3"/>
    <n v="1"/>
    <n v="25.433333333465271"/>
    <n v="0.47987421383896739"/>
    <n v="358.46603773770863"/>
    <n v="14.09433962264151"/>
    <x v="61"/>
  </r>
  <r>
    <x v="12"/>
    <x v="3"/>
    <n v="10"/>
    <n v="1190"/>
    <d v="2016-01-16T00:00:00"/>
    <d v="2016-01-16T07:30:00"/>
    <n v="0"/>
    <n v="795"/>
    <n v="747"/>
    <s v="Other tube slagging or fouling"/>
    <s v="FS00Non-curtailing derate for boiler deslag. Unit was available for full load if reque"/>
    <s v="Trimble"/>
    <x v="1"/>
    <s v="Coal"/>
    <x v="2"/>
    <x v="3"/>
    <n v="1"/>
    <n v="7.5"/>
    <n v="7.5"/>
    <n v="5602.5"/>
    <n v="747"/>
    <x v="302"/>
  </r>
  <r>
    <x v="12"/>
    <x v="3"/>
    <n v="12"/>
    <n v="1190"/>
    <d v="2016-01-22T22:00:00"/>
    <d v="2016-01-23T05:30:00"/>
    <n v="0"/>
    <n v="795"/>
    <n v="747"/>
    <s v="Other tube slagging or fouling"/>
    <s v="FS00Non-curtailing derate for boiler deslag. The Unit was available for full load if r"/>
    <s v="Trimble"/>
    <x v="1"/>
    <s v="Coal"/>
    <x v="2"/>
    <x v="3"/>
    <n v="1"/>
    <n v="7.5"/>
    <n v="7.5"/>
    <n v="5602.5"/>
    <n v="747"/>
    <x v="302"/>
  </r>
  <r>
    <x v="12"/>
    <x v="3"/>
    <n v="13"/>
    <n v="1190"/>
    <d v="2016-01-30T22:00:00"/>
    <d v="2016-01-31T05:30:00"/>
    <n v="0"/>
    <n v="795"/>
    <n v="747"/>
    <s v="Other tube slagging or fouling"/>
    <s v="FS00Non-curtailing derate for boiler deslag. The Unit was available for full load if r"/>
    <s v="Trimble"/>
    <x v="1"/>
    <s v="Coal"/>
    <x v="2"/>
    <x v="3"/>
    <n v="1"/>
    <n v="7.5"/>
    <n v="7.5"/>
    <n v="5602.5"/>
    <n v="747"/>
    <x v="302"/>
  </r>
  <r>
    <x v="12"/>
    <x v="0"/>
    <n v="14"/>
    <n v="1488"/>
    <d v="2016-02-03T22:00:00"/>
    <d v="2016-02-04T00:00:00"/>
    <n v="709"/>
    <n v="795"/>
    <n v="747"/>
    <s v="Air heater (regenerative)"/>
    <s v="F660The unit load was dropped due to airflow issues when swapping mills. The Air Heate"/>
    <s v="Trimble"/>
    <x v="0"/>
    <s v="Coal"/>
    <x v="2"/>
    <x v="3"/>
    <n v="2"/>
    <n v="2.0000000000582077"/>
    <n v="0.2163522012641583"/>
    <n v="161.61509434432625"/>
    <n v="80.807547169811315"/>
    <x v="240"/>
  </r>
  <r>
    <x v="12"/>
    <x v="5"/>
    <n v="15"/>
    <n v="1000"/>
    <d v="2016-02-06T12:49:00"/>
    <d v="2016-02-09T01:21:00"/>
    <n v="0"/>
    <n v="795"/>
    <n v="747"/>
    <s v="Waterwall (Furnace wall) A"/>
    <s v="F540Unit was manually taken offline for a boiler tuble leak. The leak was located on t"/>
    <s v="Trimble"/>
    <x v="3"/>
    <s v="Coal"/>
    <x v="2"/>
    <x v="3"/>
    <n v="2"/>
    <n v="60.533333333325572"/>
    <n v="60.533333333325572"/>
    <n v="45218.399999994203"/>
    <n v="747"/>
    <x v="302"/>
  </r>
  <r>
    <x v="12"/>
    <x v="0"/>
    <n v="16"/>
    <n v="280"/>
    <d v="2016-02-09T10:15:00"/>
    <d v="2016-02-09T11:00:00"/>
    <n v="669"/>
    <n v="795"/>
    <n v="747"/>
    <s v="Pulverizer fires"/>
    <s v="FR00Both 2D and 2E coal mills were unavailable at this time due to fires."/>
    <s v="Trimble"/>
    <x v="0"/>
    <s v="Coal"/>
    <x v="2"/>
    <x v="3"/>
    <n v="2"/>
    <n v="0.75"/>
    <n v="0.11886792452830189"/>
    <n v="88.794339622641516"/>
    <n v="118.39245283018867"/>
    <x v="40"/>
  </r>
  <r>
    <x v="12"/>
    <x v="0"/>
    <n v="17"/>
    <n v="280"/>
    <d v="2016-02-09T11:00:00"/>
    <d v="2016-02-09T20:00:00"/>
    <n v="659"/>
    <n v="795"/>
    <n v="747"/>
    <s v="Pulverizer fires"/>
    <s v="FR00Both 2D and 2E coal mills were unavailable at this time due to fires."/>
    <s v="Trimble"/>
    <x v="0"/>
    <s v="Coal"/>
    <x v="2"/>
    <x v="3"/>
    <n v="2"/>
    <n v="9"/>
    <n v="1.5396226415094341"/>
    <n v="1150.0981132075472"/>
    <n v="127.78867924528302"/>
    <x v="259"/>
  </r>
  <r>
    <x v="12"/>
    <x v="0"/>
    <n v="18"/>
    <n v="280"/>
    <d v="2016-02-12T05:25:00"/>
    <d v="2016-02-12T07:00:00"/>
    <n v="650"/>
    <n v="795"/>
    <n v="747"/>
    <s v="Pulverizer fires"/>
    <s v="FR00Derate for continued problems with D Mill fires."/>
    <s v="Trimble"/>
    <x v="0"/>
    <s v="Coal"/>
    <x v="2"/>
    <x v="3"/>
    <n v="2"/>
    <n v="1.5833333332557231"/>
    <n v="0.28878406707179854"/>
    <n v="215.72169810263352"/>
    <n v="136.24528301886792"/>
    <x v="62"/>
  </r>
  <r>
    <x v="12"/>
    <x v="1"/>
    <n v="19"/>
    <n v="4842"/>
    <d v="2016-02-15T20:00:00"/>
    <d v="2016-02-15T23:00:00"/>
    <n v="752"/>
    <n v="795"/>
    <n v="747"/>
    <s v="Reactive and capability testing"/>
    <s v="F790Pllanned derate for flux probe testing on the unit generator. The unit needed to b"/>
    <s v="Trimble"/>
    <x v="0"/>
    <s v="Coal"/>
    <x v="2"/>
    <x v="3"/>
    <n v="2"/>
    <n v="3"/>
    <n v="0.16226415094339622"/>
    <n v="121.21132075471698"/>
    <n v="40.403773584905657"/>
    <x v="157"/>
  </r>
  <r>
    <x v="12"/>
    <x v="3"/>
    <n v="20"/>
    <n v="1190"/>
    <d v="2016-02-15T23:00:00"/>
    <d v="2016-02-16T06:00:00"/>
    <n v="0"/>
    <n v="795"/>
    <n v="747"/>
    <s v="Other tube slagging or fouling"/>
    <s v="FS00Non-curtailing derate for deslag. The unit was available for full load if requeste"/>
    <s v="Trimble"/>
    <x v="1"/>
    <s v="Coal"/>
    <x v="2"/>
    <x v="3"/>
    <n v="2"/>
    <n v="6.9999999999417923"/>
    <n v="6.9999999999417923"/>
    <n v="5228.9999999565189"/>
    <n v="747"/>
    <x v="302"/>
  </r>
  <r>
    <x v="12"/>
    <x v="3"/>
    <n v="21"/>
    <n v="1190"/>
    <d v="2016-02-20T22:00:00"/>
    <d v="2016-02-21T05:30:00"/>
    <n v="0"/>
    <n v="795"/>
    <n v="747"/>
    <s v="Other tube slagging or fouling"/>
    <s v="FS00Non-curtailing derate for boiler delsag. Unit was available for full load if reque"/>
    <s v="Trimble"/>
    <x v="1"/>
    <s v="Coal"/>
    <x v="2"/>
    <x v="3"/>
    <n v="2"/>
    <n v="7.5"/>
    <n v="7.5"/>
    <n v="5602.5"/>
    <n v="747"/>
    <x v="302"/>
  </r>
  <r>
    <x v="12"/>
    <x v="0"/>
    <n v="22"/>
    <n v="1488"/>
    <d v="2016-02-24T01:00:00"/>
    <d v="2016-02-24T02:16:00"/>
    <n v="759"/>
    <n v="795"/>
    <n v="747"/>
    <s v="Air heater (regenerative)"/>
    <s v="F660The unit load was dropped due to airflow issues when swapping mills. The Air Heate"/>
    <s v="Trimble"/>
    <x v="0"/>
    <s v="Coal"/>
    <x v="2"/>
    <x v="3"/>
    <n v="2"/>
    <n v="1.2666666667792015"/>
    <n v="5.7358490571133652E-2"/>
    <n v="42.846792456636841"/>
    <n v="33.826415094339623"/>
    <x v="81"/>
  </r>
  <r>
    <x v="12"/>
    <x v="3"/>
    <n v="23"/>
    <n v="1190"/>
    <d v="2016-02-26T21:30:00"/>
    <d v="2016-02-27T07:00:00"/>
    <n v="0"/>
    <n v="795"/>
    <n v="747"/>
    <s v="Other tube slagging or fouling"/>
    <s v="FS00Non-curtailing derate for boiler deslag. The unit was available for full load if r"/>
    <s v="Trimble"/>
    <x v="1"/>
    <s v="Coal"/>
    <x v="2"/>
    <x v="3"/>
    <n v="2"/>
    <n v="9.4999999998835847"/>
    <n v="9.4999999998835847"/>
    <n v="7096.4999999130378"/>
    <n v="747"/>
    <x v="302"/>
  </r>
  <r>
    <x v="12"/>
    <x v="1"/>
    <n v="24"/>
    <n v="1488"/>
    <d v="2016-03-01T00:00:00"/>
    <d v="2016-03-01T02:30:00"/>
    <n v="709"/>
    <n v="795"/>
    <n v="747"/>
    <s v="Air heater (regenerative)"/>
    <s v="F660The unit load was dropped due to airflow issues when swapping mills. The Air Heate"/>
    <s v="Trimble"/>
    <x v="0"/>
    <s v="Coal"/>
    <x v="2"/>
    <x v="3"/>
    <n v="3"/>
    <n v="2.4999999999417923"/>
    <n v="0.27044025156603035"/>
    <n v="202.01886791982469"/>
    <n v="80.807547169811315"/>
    <x v="240"/>
  </r>
  <r>
    <x v="12"/>
    <x v="1"/>
    <n v="25"/>
    <n v="1488"/>
    <d v="2016-03-03T01:00:00"/>
    <d v="2016-03-03T02:45:00"/>
    <n v="709"/>
    <n v="795"/>
    <n v="747"/>
    <s v="Air heater (regenerative)"/>
    <s v="F660The unit load was dropped during a coal mill swap, due to restricted airflow to th"/>
    <s v="Trimble"/>
    <x v="0"/>
    <s v="Coal"/>
    <x v="2"/>
    <x v="3"/>
    <n v="3"/>
    <n v="1.7500000001164153"/>
    <n v="0.18930817611322229"/>
    <n v="141.41320755657705"/>
    <n v="80.807547169811315"/>
    <x v="240"/>
  </r>
  <r>
    <x v="12"/>
    <x v="0"/>
    <n v="26"/>
    <n v="280"/>
    <d v="2016-03-03T07:30:00"/>
    <d v="2016-03-03T08:30:00"/>
    <n v="699"/>
    <n v="795"/>
    <n v="747"/>
    <s v="Pulverizer fires"/>
    <s v="FR00The unit was on a derated status due to the 2D Mill catching on fire."/>
    <s v="Trimble"/>
    <x v="0"/>
    <s v="Coal"/>
    <x v="2"/>
    <x v="3"/>
    <n v="3"/>
    <n v="0.99999999994179234"/>
    <n v="0.12075471697410323"/>
    <n v="90.203773579655106"/>
    <n v="90.203773584905662"/>
    <x v="160"/>
  </r>
  <r>
    <x v="12"/>
    <x v="0"/>
    <n v="27"/>
    <n v="280"/>
    <d v="2016-03-03T08:30:00"/>
    <d v="2016-03-03T10:30:00"/>
    <n v="656"/>
    <n v="795"/>
    <n v="747"/>
    <s v="Pulverizer fires"/>
    <s v="FR00Further derated status due to continued problems with the 2D Mill fire."/>
    <s v="Trimble"/>
    <x v="0"/>
    <s v="Coal"/>
    <x v="2"/>
    <x v="3"/>
    <n v="3"/>
    <n v="2.0000000000582077"/>
    <n v="0.34968553460137214"/>
    <n v="261.21509434722498"/>
    <n v="130.60754716981131"/>
    <x v="241"/>
  </r>
  <r>
    <x v="12"/>
    <x v="1"/>
    <n v="28"/>
    <n v="4263"/>
    <d v="2016-03-05T17:45:00"/>
    <d v="2016-03-06T00:00:00"/>
    <n v="779"/>
    <n v="795"/>
    <n v="747"/>
    <s v="Reheat stop valves"/>
    <s v="F590Planned derate for setting the reheat safeties."/>
    <s v="Trimble"/>
    <x v="0"/>
    <s v="Coal"/>
    <x v="2"/>
    <x v="3"/>
    <n v="3"/>
    <n v="6.2499999999417923"/>
    <n v="0.1257861635208411"/>
    <n v="93.962264150068307"/>
    <n v="15.033962264150944"/>
    <x v="169"/>
  </r>
  <r>
    <x v="12"/>
    <x v="3"/>
    <n v="29"/>
    <n v="1190"/>
    <d v="2016-03-06T00:00:00"/>
    <d v="2016-03-06T09:15:00"/>
    <n v="0"/>
    <n v="795"/>
    <n v="747"/>
    <s v="Other tube slagging or fouling"/>
    <s v="FS00Non-curtailing derate for boiler deslag. The unit was available for full load if r"/>
    <s v="Trimble"/>
    <x v="1"/>
    <s v="Coal"/>
    <x v="2"/>
    <x v="3"/>
    <n v="3"/>
    <n v="9.2499999999417923"/>
    <n v="9.2499999999417923"/>
    <n v="6909.7499999565189"/>
    <n v="747"/>
    <x v="302"/>
  </r>
  <r>
    <x v="12"/>
    <x v="3"/>
    <n v="30"/>
    <n v="1190"/>
    <d v="2016-03-11T22:00:00"/>
    <d v="2016-03-12T05:30:00"/>
    <n v="0"/>
    <n v="795"/>
    <n v="747"/>
    <s v="Other tube slagging or fouling"/>
    <s v="FS00Non-curtailing derate for boiler deslag. The unit was available for full load if r"/>
    <s v="Trimble"/>
    <x v="1"/>
    <s v="Coal"/>
    <x v="2"/>
    <x v="3"/>
    <n v="3"/>
    <n v="7.5"/>
    <n v="7.5"/>
    <n v="5602.5"/>
    <n v="747"/>
    <x v="302"/>
  </r>
  <r>
    <x v="12"/>
    <x v="1"/>
    <n v="31"/>
    <n v="4260"/>
    <d v="2016-03-12T05:30:00"/>
    <d v="2016-03-12T07:15:00"/>
    <n v="698"/>
    <n v="795"/>
    <n v="747"/>
    <s v="Main stop valves"/>
    <s v="F610Planned derate for safety valve setting."/>
    <s v="Trimble"/>
    <x v="0"/>
    <s v="Coal"/>
    <x v="2"/>
    <x v="3"/>
    <n v="3"/>
    <n v="1.7500000001164153"/>
    <n v="0.2135220125928205"/>
    <n v="159.50094340683691"/>
    <n v="91.143396226415092"/>
    <x v="42"/>
  </r>
  <r>
    <x v="12"/>
    <x v="1"/>
    <n v="32"/>
    <n v="4260"/>
    <d v="2016-03-12T07:15:00"/>
    <d v="2016-03-12T11:15:00"/>
    <n v="648"/>
    <n v="795"/>
    <n v="747"/>
    <s v="Main stop valves"/>
    <s v="F610Planned derate for safey valve setting - the unit was placed in a further derated "/>
    <s v="Trimble"/>
    <x v="0"/>
    <s v="Coal"/>
    <x v="2"/>
    <x v="3"/>
    <n v="3"/>
    <n v="3.9999999999417923"/>
    <n v="0.73962264149867107"/>
    <n v="552.49811319950732"/>
    <n v="138.12452830188678"/>
    <x v="115"/>
  </r>
  <r>
    <x v="12"/>
    <x v="1"/>
    <n v="33"/>
    <n v="1488"/>
    <d v="2016-03-15T23:00:00"/>
    <d v="2016-03-16T00:00:00"/>
    <n v="748"/>
    <n v="795"/>
    <n v="747"/>
    <s v="Air heater (regenerative)"/>
    <s v="F660Planned derate to swap mills. Due to airflow issues with the air heater, load must"/>
    <s v="Trimble"/>
    <x v="0"/>
    <s v="Coal"/>
    <x v="2"/>
    <x v="3"/>
    <n v="3"/>
    <n v="0.99999999994179234"/>
    <n v="5.9119496851904707E-2"/>
    <n v="44.162264148372813"/>
    <n v="44.162264150943393"/>
    <x v="176"/>
  </r>
  <r>
    <x v="12"/>
    <x v="5"/>
    <n v="34"/>
    <n v="1000"/>
    <d v="2016-03-16T11:50:00"/>
    <d v="2016-03-18T15:27:00"/>
    <n v="0"/>
    <n v="795"/>
    <n v="747"/>
    <s v="Waterwall (Furnace wall) A"/>
    <s v="F540Forced outage due to a boiler tube leak."/>
    <s v="Trimble"/>
    <x v="3"/>
    <s v="Coal"/>
    <x v="2"/>
    <x v="3"/>
    <n v="3"/>
    <n v="51.616666666755918"/>
    <n v="51.616666666755918"/>
    <n v="38557.650000066671"/>
    <n v="747"/>
    <x v="302"/>
  </r>
  <r>
    <x v="12"/>
    <x v="7"/>
    <n v="35"/>
    <n v="1000"/>
    <d v="2016-03-18T15:27:00"/>
    <d v="2016-03-20T14:17:00"/>
    <n v="0"/>
    <n v="795"/>
    <n v="747"/>
    <s v="Waterwall (Furnace wall) A"/>
    <s v="F540As the boiler was coming back online from an outage due to a tube leak when anothe"/>
    <s v="Trimble"/>
    <x v="3"/>
    <s v="Coal"/>
    <x v="2"/>
    <x v="3"/>
    <n v="3"/>
    <n v="46.833333333197515"/>
    <n v="46.833333333197515"/>
    <n v="34984.499999898544"/>
    <n v="747"/>
    <x v="302"/>
  </r>
  <r>
    <x v="12"/>
    <x v="0"/>
    <n v="36"/>
    <n v="1488"/>
    <d v="2016-03-21T19:30:00"/>
    <d v="2016-03-21T23:04:00"/>
    <n v="709"/>
    <n v="795"/>
    <n v="747"/>
    <s v="Air heater (regenerative)"/>
    <s v="F660Swap from 2B Coal Mill to 2F Mill - due to airflow issues through Air Heater, load"/>
    <s v="Trimble"/>
    <x v="0"/>
    <s v="Coal"/>
    <x v="2"/>
    <x v="3"/>
    <n v="3"/>
    <n v="3.566666666592937"/>
    <n v="0.38582809223521081"/>
    <n v="288.21358489970248"/>
    <n v="80.807547169811315"/>
    <x v="240"/>
  </r>
  <r>
    <x v="12"/>
    <x v="0"/>
    <n v="37"/>
    <n v="1488"/>
    <d v="2016-03-22T01:20:00"/>
    <d v="2016-03-22T06:22:00"/>
    <n v="775"/>
    <n v="795"/>
    <n v="747"/>
    <s v="Air heater (regenerative)"/>
    <s v="F660Load was dropped due to high Air Heater Differential Pressure."/>
    <s v="Trimble"/>
    <x v="0"/>
    <s v="Coal"/>
    <x v="2"/>
    <x v="3"/>
    <n v="3"/>
    <n v="5.0333333333255723"/>
    <n v="0.12662473794529741"/>
    <n v="94.588679245137172"/>
    <n v="18.79245283018868"/>
    <x v="54"/>
  </r>
  <r>
    <x v="12"/>
    <x v="5"/>
    <n v="38"/>
    <n v="1000"/>
    <d v="2016-03-22T06:22:00"/>
    <d v="2016-03-23T09:00:00"/>
    <n v="0"/>
    <n v="795"/>
    <n v="747"/>
    <s v="Waterwall (Furnace wall) A"/>
    <s v="F540Boiler tube leak caused the unit to be taken offline."/>
    <s v="Trimble"/>
    <x v="3"/>
    <s v="Coal"/>
    <x v="2"/>
    <x v="3"/>
    <n v="3"/>
    <n v="26.633333333360497"/>
    <n v="26.633333333360497"/>
    <n v="19895.100000020291"/>
    <n v="747"/>
    <x v="302"/>
  </r>
  <r>
    <x v="12"/>
    <x v="6"/>
    <n v="39"/>
    <n v="1812"/>
    <d v="2016-03-23T09:00:00"/>
    <d v="2016-04-28T22:30:00"/>
    <n v="0"/>
    <n v="795"/>
    <n v="747"/>
    <s v="Boiler Inspections - scheduled or routine"/>
    <s v="F590Spring 2016 Planned Outage - multiple scopes in progress."/>
    <s v="Trimble"/>
    <x v="1"/>
    <s v="Coal"/>
    <x v="2"/>
    <x v="3"/>
    <n v="3"/>
    <n v="877.5"/>
    <n v="877.5"/>
    <n v="655492.5"/>
    <n v="747"/>
    <x v="302"/>
  </r>
  <r>
    <x v="12"/>
    <x v="8"/>
    <n v="40"/>
    <n v="4307"/>
    <d v="2016-04-28T22:30:00"/>
    <d v="2016-04-30T01:27:00"/>
    <n v="0"/>
    <n v="795"/>
    <n v="747"/>
    <s v="Automatic turbine control systems - electro-hydraulic - digital"/>
    <s v="F540Adaptor plate in EHC system was not sealed properly, requiring additional maintena"/>
    <s v="Trimble"/>
    <x v="1"/>
    <s v="Coal"/>
    <x v="2"/>
    <x v="3"/>
    <n v="4"/>
    <n v="26.950000000011642"/>
    <n v="26.950000000011642"/>
    <n v="20131.650000008696"/>
    <n v="747"/>
    <x v="302"/>
  </r>
  <r>
    <x v="12"/>
    <x v="8"/>
    <n v="41"/>
    <n v="380"/>
    <d v="2016-04-30T01:27:00"/>
    <d v="2016-04-30T09:59:00"/>
    <n v="0"/>
    <n v="795"/>
    <n v="747"/>
    <s v="Light-off (igniter) systems (including fuel supply)"/>
    <s v="F340Loss of 2A-4 Flame Scanner."/>
    <s v="Trimble"/>
    <x v="1"/>
    <s v="Coal"/>
    <x v="2"/>
    <x v="3"/>
    <n v="4"/>
    <n v="8.53333333338378"/>
    <n v="8.53333333338378"/>
    <n v="6374.4000000376836"/>
    <n v="747"/>
    <x v="302"/>
  </r>
  <r>
    <x v="12"/>
    <x v="4"/>
    <n v="42"/>
    <n v="4240"/>
    <d v="2016-04-30T16:06:00"/>
    <d v="2016-05-09T06:47:00"/>
    <n v="0"/>
    <n v="795"/>
    <n v="747"/>
    <s v="Bearings E"/>
    <s v="F780Unit was taken offline for high LP turbine bearing temperature. The Turbine crew c"/>
    <s v="Trimble"/>
    <x v="2"/>
    <s v="Coal"/>
    <x v="2"/>
    <x v="3"/>
    <n v="4"/>
    <n v="206.68333333334886"/>
    <n v="206.68333333334886"/>
    <n v="154392.45000001159"/>
    <n v="747"/>
    <x v="302"/>
  </r>
  <r>
    <x v="12"/>
    <x v="5"/>
    <n v="43"/>
    <n v="4700"/>
    <d v="2016-05-09T09:45:00"/>
    <d v="2016-05-09T16:18:00"/>
    <n v="0"/>
    <n v="795"/>
    <n v="747"/>
    <s v="Generator voltage control"/>
    <s v="F870Generator protection relay trip."/>
    <s v="Trimble"/>
    <x v="3"/>
    <s v="Coal"/>
    <x v="2"/>
    <x v="3"/>
    <n v="5"/>
    <n v="6.5500000000465661"/>
    <n v="6.5500000000465661"/>
    <n v="4892.8500000347849"/>
    <n v="747"/>
    <x v="302"/>
  </r>
  <r>
    <x v="12"/>
    <x v="0"/>
    <n v="44"/>
    <n v="330"/>
    <d v="2016-05-10T00:00:00"/>
    <d v="2016-05-10T01:37:00"/>
    <n v="690"/>
    <n v="795"/>
    <n v="747"/>
    <s v="Pulverizer coal leak (pulverizers only)"/>
    <s v="F540Derate due to three mills with coal leaks ."/>
    <s v="Trimble"/>
    <x v="0"/>
    <s v="Coal"/>
    <x v="2"/>
    <x v="3"/>
    <n v="5"/>
    <n v="1.6166666666977108"/>
    <n v="0.21352201258271652"/>
    <n v="159.50094339928924"/>
    <n v="98.660377358490564"/>
    <x v="26"/>
  </r>
  <r>
    <x v="12"/>
    <x v="0"/>
    <n v="45"/>
    <n v="330"/>
    <d v="2016-05-10T01:37:00"/>
    <d v="2016-05-10T05:00:00"/>
    <n v="650"/>
    <n v="795"/>
    <n v="747"/>
    <s v="Pulverizer coal leak (pulverizers only)"/>
    <s v="F540Derate due to three mills with coal leaks."/>
    <s v="Trimble"/>
    <x v="0"/>
    <s v="Coal"/>
    <x v="2"/>
    <x v="3"/>
    <n v="5"/>
    <n v="3.3833333333604969"/>
    <n v="0.61708595388336107"/>
    <n v="460.96320755087072"/>
    <n v="136.24528301886792"/>
    <x v="62"/>
  </r>
  <r>
    <x v="12"/>
    <x v="0"/>
    <n v="46"/>
    <n v="9600"/>
    <d v="2016-05-10T10:45:00"/>
    <d v="2016-05-10T18:31:00"/>
    <n v="685"/>
    <n v="795"/>
    <n v="747"/>
    <s v="SO2 stack emissions (fossil)"/>
    <s v="FE00Load derated due to high SO2 emissions."/>
    <s v="Trimble"/>
    <x v="0"/>
    <s v="Coal"/>
    <x v="2"/>
    <x v="3"/>
    <n v="5"/>
    <n v="7.7666666666627862"/>
    <n v="1.0746331236891906"/>
    <n v="802.7509433958254"/>
    <n v="103.35849056603773"/>
    <x v="140"/>
  </r>
  <r>
    <x v="12"/>
    <x v="5"/>
    <n v="47"/>
    <n v="799"/>
    <d v="2016-05-10T18:31:00"/>
    <d v="2016-05-13T05:10:00"/>
    <n v="0"/>
    <n v="795"/>
    <n v="747"/>
    <s v="Other miscellaneous piping system problems"/>
    <s v="F540Unit taken offline to repair boiler drain leak."/>
    <s v="Trimble"/>
    <x v="3"/>
    <s v="Coal"/>
    <x v="2"/>
    <x v="3"/>
    <n v="5"/>
    <n v="58.650000000139698"/>
    <n v="58.650000000139698"/>
    <n v="43811.550000104355"/>
    <n v="747"/>
    <x v="302"/>
  </r>
  <r>
    <x v="12"/>
    <x v="4"/>
    <n v="48"/>
    <n v="8560"/>
    <d v="2016-05-16T03:44:00"/>
    <d v="2016-05-18T06:29:00"/>
    <n v="0"/>
    <n v="795"/>
    <n v="747"/>
    <s v="Electrostatic precipitator problems"/>
    <s v="F540Unit taken offline due to problems with WESP flue gas and water containment."/>
    <s v="Trimble"/>
    <x v="2"/>
    <s v="Coal"/>
    <x v="2"/>
    <x v="3"/>
    <n v="5"/>
    <n v="50.750000000058208"/>
    <n v="50.750000000058208"/>
    <n v="37910.250000043481"/>
    <n v="747"/>
    <x v="302"/>
  </r>
  <r>
    <x v="12"/>
    <x v="0"/>
    <n v="49"/>
    <n v="4500"/>
    <d v="2016-05-18T10:24:00"/>
    <d v="2016-05-18T12:20:00"/>
    <n v="290"/>
    <n v="795"/>
    <n v="747"/>
    <s v="Rotor windings (including damper windings and fan blades on hydro units)"/>
    <s v="F870High vibration levels on Turbine-Generator bearing #9  caused the unit to be place"/>
    <s v="Trimble"/>
    <x v="0"/>
    <s v="Coal"/>
    <x v="2"/>
    <x v="3"/>
    <n v="5"/>
    <n v="1.9333333333488554"/>
    <n v="1.2280922431964427"/>
    <n v="917.38490566774271"/>
    <n v="474.50943396226415"/>
    <x v="322"/>
  </r>
  <r>
    <x v="12"/>
    <x v="0"/>
    <n v="50"/>
    <n v="4500"/>
    <d v="2016-05-18T12:20:00"/>
    <d v="2016-05-18T13:20:00"/>
    <n v="350"/>
    <n v="795"/>
    <n v="747"/>
    <s v="Rotor windings (including damper windings and fan blades on hydro units)"/>
    <s v="F870High vibration levels on Turbine-Generator bearing #9  caused the unit to be place"/>
    <s v="Trimble"/>
    <x v="0"/>
    <s v="Coal"/>
    <x v="2"/>
    <x v="3"/>
    <n v="5"/>
    <n v="0.99999999994179234"/>
    <n v="0.55974842764037436"/>
    <n v="418.13207544735963"/>
    <n v="418.1320754716981"/>
    <x v="323"/>
  </r>
  <r>
    <x v="12"/>
    <x v="0"/>
    <n v="51"/>
    <n v="4500"/>
    <d v="2016-05-18T13:20:00"/>
    <d v="2016-05-18T19:23:00"/>
    <n v="388"/>
    <n v="795"/>
    <n v="747"/>
    <s v="Rotor windings (including damper windings and fan blades on hydro units)"/>
    <s v="F870High vibration levels on Turbine-Generator bearing #9  caused the unit to be place"/>
    <s v="Trimble"/>
    <x v="0"/>
    <s v="Coal"/>
    <x v="2"/>
    <x v="3"/>
    <n v="5"/>
    <n v="6.0499999999883585"/>
    <n v="3.097295597478317"/>
    <n v="2313.6798113163027"/>
    <n v="382.42641509433963"/>
    <x v="324"/>
  </r>
  <r>
    <x v="12"/>
    <x v="5"/>
    <n v="52"/>
    <n v="4500"/>
    <d v="2016-05-18T19:23:00"/>
    <d v="2016-05-19T08:26:00"/>
    <n v="0"/>
    <n v="795"/>
    <n v="747"/>
    <s v="Rotor windings (including damper windings and fan blades on hydro units)"/>
    <s v="F870High vibration levels on Turbine-Generator bearing #9 caused the unit to be taken "/>
    <s v="Trimble"/>
    <x v="3"/>
    <s v="Coal"/>
    <x v="2"/>
    <x v="3"/>
    <n v="5"/>
    <n v="13.050000000104774"/>
    <n v="13.050000000104774"/>
    <n v="9748.350000078266"/>
    <n v="747"/>
    <x v="302"/>
  </r>
  <r>
    <x v="12"/>
    <x v="5"/>
    <n v="53"/>
    <n v="4500"/>
    <d v="2016-05-19T11:17:00"/>
    <d v="2016-06-01T00:00:00"/>
    <n v="0"/>
    <n v="795"/>
    <n v="747"/>
    <s v="Rotor windings (including damper windings and fan blades on hydro units)"/>
    <s v="F870Unit continued to have problems with bearing #9 vibration and tripped on low steam"/>
    <s v="Trimble"/>
    <x v="3"/>
    <s v="Coal"/>
    <x v="2"/>
    <x v="3"/>
    <n v="5"/>
    <n v="300.71666666673264"/>
    <n v="300.71666666673264"/>
    <n v="224635.35000004928"/>
    <n v="747"/>
    <x v="302"/>
  </r>
  <r>
    <x v="12"/>
    <x v="5"/>
    <n v="61"/>
    <n v="4500"/>
    <d v="2016-06-01T00:00:00"/>
    <d v="2016-07-15T05:45:00"/>
    <n v="0"/>
    <n v="795"/>
    <n v="747"/>
    <s v="Rotor windings (including damper windings and fan blades on hydro units)"/>
    <s v="F870Unit continued to have problems with bearing #9 vibration and tripped on low steam"/>
    <s v="Trimble"/>
    <x v="3"/>
    <s v="Coal"/>
    <x v="2"/>
    <x v="3"/>
    <n v="6"/>
    <n v="1061.7500000000582"/>
    <n v="1061.7500000000582"/>
    <n v="793127.25000004354"/>
    <n v="747"/>
    <x v="302"/>
  </r>
  <r>
    <x v="12"/>
    <x v="7"/>
    <n v="54"/>
    <n v="4609"/>
    <d v="2016-07-15T05:45:00"/>
    <d v="2016-07-15T07:59:00"/>
    <n v="0"/>
    <n v="795"/>
    <n v="747"/>
    <s v="Other exciter problems"/>
    <s v="F420Unit was unable to startup due to missing components, the secondary fuses were not"/>
    <s v="Trimble"/>
    <x v="3"/>
    <s v="Coal"/>
    <x v="2"/>
    <x v="3"/>
    <n v="7"/>
    <n v="2.2333333332790062"/>
    <n v="2.2333333332790062"/>
    <n v="1668.2999999594176"/>
    <n v="747"/>
    <x v="302"/>
  </r>
  <r>
    <x v="12"/>
    <x v="5"/>
    <n v="55"/>
    <n v="3499"/>
    <d v="2016-07-15T12:45:00"/>
    <d v="2016-07-15T18:12:00"/>
    <n v="0"/>
    <n v="795"/>
    <n v="747"/>
    <s v="Other feedwater system problems"/>
    <s v="F660The unit tripped due to low FW flow. "/>
    <s v="Trimble"/>
    <x v="3"/>
    <s v="Coal"/>
    <x v="2"/>
    <x v="3"/>
    <n v="7"/>
    <n v="5.4499999999534339"/>
    <n v="5.4499999999534339"/>
    <n v="4071.1499999652151"/>
    <n v="747"/>
    <x v="302"/>
  </r>
  <r>
    <x v="12"/>
    <x v="0"/>
    <n v="56"/>
    <n v="9616"/>
    <d v="2016-07-16T08:53:00"/>
    <d v="2016-07-16T09:00:00"/>
    <n v="561"/>
    <n v="795"/>
    <n v="747"/>
    <s v="CO stack emissions"/>
    <s v="FE00Unit load was held due to CO emission levels and O2 probe problems."/>
    <s v="Trimble"/>
    <x v="0"/>
    <s v="Coal"/>
    <x v="2"/>
    <x v="3"/>
    <n v="7"/>
    <n v="0.11666666669771075"/>
    <n v="3.4339622650646939E-2"/>
    <n v="25.651698120033263"/>
    <n v="219.87169811320754"/>
    <x v="155"/>
  </r>
  <r>
    <x v="12"/>
    <x v="0"/>
    <n v="57"/>
    <n v="9616"/>
    <d v="2016-07-16T09:00:00"/>
    <d v="2016-07-16T12:00:00"/>
    <n v="499"/>
    <n v="795"/>
    <n v="747"/>
    <s v="CO stack emissions"/>
    <s v="FE00Unit load was held due to CO emission levels and O2 probe problems."/>
    <s v="Trimble"/>
    <x v="0"/>
    <s v="Coal"/>
    <x v="2"/>
    <x v="3"/>
    <n v="7"/>
    <n v="3"/>
    <n v="1.1169811320754717"/>
    <n v="834.38490566037729"/>
    <n v="278.12830188679243"/>
    <x v="213"/>
  </r>
  <r>
    <x v="12"/>
    <x v="0"/>
    <n v="58"/>
    <n v="9616"/>
    <d v="2016-07-16T12:00:00"/>
    <d v="2016-07-16T13:00:00"/>
    <n v="569"/>
    <n v="795"/>
    <n v="747"/>
    <s v="CO stack emissions"/>
    <s v="FE00Unit load was held due to CO emission levels and O2 probe problems."/>
    <s v="Trimble"/>
    <x v="0"/>
    <s v="Coal"/>
    <x v="2"/>
    <x v="3"/>
    <n v="7"/>
    <n v="0.99999999994179234"/>
    <n v="0.28427672954320132"/>
    <n v="212.35471696877138"/>
    <n v="212.35471698113207"/>
    <x v="325"/>
  </r>
  <r>
    <x v="12"/>
    <x v="0"/>
    <n v="59"/>
    <n v="9616"/>
    <d v="2016-07-16T13:00:00"/>
    <d v="2016-07-16T17:45:00"/>
    <n v="657"/>
    <n v="795"/>
    <n v="747"/>
    <s v="CO stack emissions"/>
    <s v="FE00Unit load was held due to CO emission levels and O2 probe problems."/>
    <s v="Trimble"/>
    <x v="0"/>
    <s v="Coal"/>
    <x v="2"/>
    <x v="3"/>
    <n v="7"/>
    <n v="4.7500000001164153"/>
    <n v="0.82452830190700044"/>
    <n v="615.92264152452935"/>
    <n v="129.66792452830188"/>
    <x v="50"/>
  </r>
  <r>
    <x v="12"/>
    <x v="5"/>
    <n v="60"/>
    <n v="1475"/>
    <d v="2016-07-18T12:32:00"/>
    <d v="2016-07-19T23:59:00"/>
    <n v="0"/>
    <n v="795"/>
    <n v="747"/>
    <s v="Induced draft fan controls"/>
    <s v="F520The unit tripped due to a malfunctioned vibration sensor. The unit stayed offline "/>
    <s v="Trimble"/>
    <x v="3"/>
    <s v="Coal"/>
    <x v="2"/>
    <x v="3"/>
    <n v="7"/>
    <n v="35.449999999953434"/>
    <n v="35.449999999953434"/>
    <n v="26481.149999965215"/>
    <n v="747"/>
    <x v="302"/>
  </r>
  <r>
    <x v="12"/>
    <x v="0"/>
    <n v="62"/>
    <n v="312"/>
    <d v="2016-07-25T22:00:00"/>
    <d v="2016-07-26T01:00:00"/>
    <n v="655"/>
    <n v="795"/>
    <n v="747"/>
    <s v="Pulverizer mill classifiers"/>
    <s v="F340A problem with the 2F Coal Mill classifiers caused an derate when trying to swap m"/>
    <s v="Trimble"/>
    <x v="0"/>
    <s v="Coal"/>
    <x v="2"/>
    <x v="3"/>
    <n v="7"/>
    <n v="3"/>
    <n v="0.52830188679245282"/>
    <n v="394.64150943396226"/>
    <n v="131.54716981132074"/>
    <x v="51"/>
  </r>
  <r>
    <x v="12"/>
    <x v="5"/>
    <n v="63"/>
    <n v="1488"/>
    <d v="2016-07-31T07:42:00"/>
    <d v="2016-07-31T18:56:00"/>
    <n v="0"/>
    <n v="795"/>
    <n v="747"/>
    <s v="Air heater (regenerative)"/>
    <s v="FP00The unit came offline due to the loss of the 2A Main Air Heater drive motor during"/>
    <s v="Trimble"/>
    <x v="3"/>
    <s v="Coal"/>
    <x v="2"/>
    <x v="3"/>
    <n v="7"/>
    <n v="11.233333333453629"/>
    <n v="11.233333333453629"/>
    <n v="8391.300000089861"/>
    <n v="747"/>
    <x v="302"/>
  </r>
  <r>
    <x v="12"/>
    <x v="5"/>
    <n v="64"/>
    <n v="3681"/>
    <d v="2016-07-31T19:19:00"/>
    <d v="2016-08-01T02:59:00"/>
    <n v="0"/>
    <n v="795"/>
    <n v="747"/>
    <s v="Other voltage system breakers"/>
    <s v="F340When transferring the 14kV 2B bus to the 2B Main Aux main breaker the 14kV 2B main"/>
    <s v="Trimble"/>
    <x v="3"/>
    <s v="Coal"/>
    <x v="2"/>
    <x v="3"/>
    <n v="7"/>
    <n v="7.6666666666860692"/>
    <n v="7.6666666666860692"/>
    <n v="5727.0000000144937"/>
    <n v="747"/>
    <x v="302"/>
  </r>
  <r>
    <x v="12"/>
    <x v="3"/>
    <n v="65"/>
    <n v="8810"/>
    <d v="2016-08-04T06:00:00"/>
    <d v="2016-08-04T18:00:00"/>
    <n v="0"/>
    <n v="795"/>
    <n v="747"/>
    <s v="SCR NOx Reactor"/>
    <s v="F790Non-curtailing derate for SCR tuning during full load."/>
    <s v="Trimble"/>
    <x v="1"/>
    <s v="Coal"/>
    <x v="2"/>
    <x v="3"/>
    <n v="8"/>
    <n v="12"/>
    <n v="12"/>
    <n v="8964"/>
    <n v="747"/>
    <x v="302"/>
  </r>
  <r>
    <x v="12"/>
    <x v="3"/>
    <n v="66"/>
    <n v="9999"/>
    <d v="2016-08-09T10:00:00"/>
    <d v="2016-08-09T21:00:00"/>
    <n v="0"/>
    <n v="795"/>
    <n v="747"/>
    <s v="Total unit performance testing (use appropriate codes for individual component testing)"/>
    <s v="F790Non-curtailing derate for unit heat rate testing."/>
    <s v="Trimble"/>
    <x v="1"/>
    <s v="Coal"/>
    <x v="2"/>
    <x v="3"/>
    <n v="8"/>
    <n v="11.000000000058208"/>
    <n v="11.000000000058208"/>
    <n v="8217.0000000434811"/>
    <n v="747"/>
    <x v="302"/>
  </r>
  <r>
    <x v="12"/>
    <x v="1"/>
    <n v="67"/>
    <n v="1190"/>
    <d v="2016-08-14T02:00:00"/>
    <d v="2016-08-14T11:00:00"/>
    <n v="469"/>
    <n v="795"/>
    <n v="747"/>
    <s v="Other tube slagging or fouling"/>
    <s v="FS00Planned derate for boiler deslag."/>
    <s v="Trimble"/>
    <x v="0"/>
    <s v="Coal"/>
    <x v="2"/>
    <x v="3"/>
    <n v="8"/>
    <n v="9"/>
    <n v="3.6905660377358491"/>
    <n v="2756.8528301886795"/>
    <n v="306.31698113207545"/>
    <x v="291"/>
  </r>
  <r>
    <x v="12"/>
    <x v="1"/>
    <n v="68"/>
    <n v="1190"/>
    <d v="2016-08-21T02:00:00"/>
    <d v="2016-08-21T06:00:00"/>
    <n v="449"/>
    <n v="795"/>
    <n v="747"/>
    <s v="Other tube slagging or fouling"/>
    <s v="FS00The unit was placed on a Planned Derate for routine boiler deslag."/>
    <s v="Trimble"/>
    <x v="0"/>
    <s v="Coal"/>
    <x v="2"/>
    <x v="3"/>
    <n v="8"/>
    <n v="3.9999999999417923"/>
    <n v="1.7408805031193209"/>
    <n v="1300.4377358301326"/>
    <n v="325.10943396226418"/>
    <x v="70"/>
  </r>
  <r>
    <x v="12"/>
    <x v="1"/>
    <n v="69"/>
    <n v="1190"/>
    <d v="2016-08-27T00:00:00"/>
    <d v="2016-08-27T09:00:00"/>
    <n v="400"/>
    <n v="795"/>
    <n v="747"/>
    <s v="Other tube slagging or fouling"/>
    <s v="FS00Planned Derate for routine boiler deslag and safety valve setting."/>
    <s v="Trimble"/>
    <x v="0"/>
    <s v="Coal"/>
    <x v="2"/>
    <x v="3"/>
    <n v="8"/>
    <n v="9"/>
    <n v="4.4716981132075473"/>
    <n v="3340.3584905660377"/>
    <n v="371.15094339622641"/>
    <x v="316"/>
  </r>
  <r>
    <x v="12"/>
    <x v="1"/>
    <n v="70"/>
    <n v="100"/>
    <d v="2016-09-01T01:00:00"/>
    <d v="2016-09-01T03:00:00"/>
    <n v="755"/>
    <n v="795"/>
    <n v="747"/>
    <s v="Bunker gates"/>
    <s v="F610Load was dropped due to a mill swap and temperature control on the unit. The spare"/>
    <s v="Trimble"/>
    <x v="0"/>
    <s v="Coal"/>
    <x v="2"/>
    <x v="3"/>
    <n v="9"/>
    <n v="2.0000000000582077"/>
    <n v="0.10062893082053875"/>
    <n v="75.169811322942451"/>
    <n v="37.584905660377359"/>
    <x v="15"/>
  </r>
  <r>
    <x v="12"/>
    <x v="1"/>
    <n v="71"/>
    <n v="3420"/>
    <d v="2016-09-03T00:01:00"/>
    <d v="2016-09-03T05:00:00"/>
    <n v="698"/>
    <n v="795"/>
    <n v="747"/>
    <s v="Feedwater piping and supports"/>
    <s v="F280Unit was placed on a planned derate to repair a cracked nipple connection on the 7"/>
    <s v="Trimble"/>
    <x v="0"/>
    <s v="Coal"/>
    <x v="2"/>
    <x v="3"/>
    <n v="9"/>
    <n v="4.9833333333372138"/>
    <n v="0.60802935010529524"/>
    <n v="454.19792452865556"/>
    <n v="91.143396226415092"/>
    <x v="42"/>
  </r>
  <r>
    <x v="12"/>
    <x v="1"/>
    <n v="72"/>
    <n v="1190"/>
    <d v="2016-09-04T00:00:00"/>
    <d v="2016-09-04T07:00:00"/>
    <n v="448"/>
    <n v="795"/>
    <n v="747"/>
    <s v="Other tube slagging or fouling"/>
    <s v="FS00Unit was placed on a Planned Derate for a boiler deslag."/>
    <s v="Trimble"/>
    <x v="0"/>
    <s v="Coal"/>
    <x v="2"/>
    <x v="3"/>
    <n v="9"/>
    <n v="6.9999999999417923"/>
    <n v="3.0553459119242792"/>
    <n v="2282.3433962074364"/>
    <n v="326.04905660377358"/>
    <x v="326"/>
  </r>
  <r>
    <x v="12"/>
    <x v="1"/>
    <n v="73"/>
    <n v="1190"/>
    <d v="2016-09-11T00:00:00"/>
    <d v="2016-09-11T01:31:00"/>
    <n v="448"/>
    <n v="795"/>
    <n v="747"/>
    <s v="Other tube slagging or fouling"/>
    <s v="FS00The unit was placed on a Planned Derate for a routine boiler deslag."/>
    <s v="Trimble"/>
    <x v="0"/>
    <s v="Coal"/>
    <x v="2"/>
    <x v="3"/>
    <n v="9"/>
    <n v="1.5166666667209938"/>
    <n v="0.66199161427947784"/>
    <n v="494.50773586676996"/>
    <n v="326.04905660377358"/>
    <x v="326"/>
  </r>
  <r>
    <x v="12"/>
    <x v="5"/>
    <n v="74"/>
    <n v="4311"/>
    <d v="2016-09-11T01:31:00"/>
    <d v="2016-09-11T14:58:00"/>
    <n v="0"/>
    <n v="795"/>
    <n v="747"/>
    <s v="Steam Turbine Control System - hardware problems (including card failure)"/>
    <s v="F400A problem with the B Main Steam Control Vavle positioning feedback sensor caused a"/>
    <s v="Trimble"/>
    <x v="3"/>
    <s v="Coal"/>
    <x v="2"/>
    <x v="3"/>
    <n v="9"/>
    <n v="13.450000000011642"/>
    <n v="13.450000000011642"/>
    <n v="10047.150000008696"/>
    <n v="747"/>
    <x v="302"/>
  </r>
  <r>
    <x v="12"/>
    <x v="1"/>
    <n v="75"/>
    <n v="1190"/>
    <d v="2016-09-25T00:01:00"/>
    <d v="2016-09-25T10:00:00"/>
    <n v="448"/>
    <n v="795"/>
    <n v="747"/>
    <s v="Other tube slagging or fouling"/>
    <s v="FS00The unit was placed on a planned derate for a scheduled boiler deslag."/>
    <s v="Trimble"/>
    <x v="0"/>
    <s v="Coal"/>
    <x v="2"/>
    <x v="3"/>
    <n v="9"/>
    <n v="9.9833333332207985"/>
    <n v="4.3575052410410278"/>
    <n v="3255.0564150576479"/>
    <n v="326.04905660377358"/>
    <x v="326"/>
  </r>
  <r>
    <x v="12"/>
    <x v="5"/>
    <n v="76"/>
    <n v="267"/>
    <d v="2016-09-27T06:46:00"/>
    <d v="2016-09-27T14:43:00"/>
    <n v="0"/>
    <n v="795"/>
    <n v="747"/>
    <s v="Primary air flow instrumentation"/>
    <s v="F160The unit was tripped when a plug on a Primary Air transmitter reference line vibra"/>
    <s v="Trimble"/>
    <x v="3"/>
    <s v="Coal"/>
    <x v="2"/>
    <x v="3"/>
    <n v="9"/>
    <n v="7.9499999998952262"/>
    <n v="7.9499999998952262"/>
    <n v="5938.649999921734"/>
    <n v="747"/>
    <x v="302"/>
  </r>
  <r>
    <x v="12"/>
    <x v="1"/>
    <n v="77"/>
    <n v="1190"/>
    <d v="2016-10-02T00:01:00"/>
    <d v="2016-10-02T09:30:00"/>
    <n v="448"/>
    <n v="795"/>
    <n v="747"/>
    <s v="Other tube slagging or fouling"/>
    <s v="FS00The unit was placed on a planned derate for routine boiler deslag."/>
    <s v="Trimble"/>
    <x v="0"/>
    <s v="Coal"/>
    <x v="2"/>
    <x v="3"/>
    <n v="10"/>
    <n v="9.4833333333372138"/>
    <n v="4.1392662473811486"/>
    <n v="3092.0318867937181"/>
    <n v="326.04905660377358"/>
    <x v="326"/>
  </r>
  <r>
    <x v="12"/>
    <x v="1"/>
    <n v="78"/>
    <n v="9999"/>
    <d v="2016-10-08T19:00:00"/>
    <d v="2016-10-09T02:12:00"/>
    <n v="448"/>
    <n v="795"/>
    <n v="747"/>
    <s v="Total unit performance testing (use appropriate codes for individual component testing)"/>
    <s v="F790Planned Derate for Incremental Heat Rate curve testing. During this time, a boiler"/>
    <s v="Trimble"/>
    <x v="0"/>
    <s v="Coal"/>
    <x v="2"/>
    <x v="3"/>
    <n v="10"/>
    <n v="7.2000000000698492"/>
    <n v="3.14264150946445"/>
    <n v="2347.5532075699443"/>
    <n v="326.04905660377358"/>
    <x v="326"/>
  </r>
  <r>
    <x v="12"/>
    <x v="0"/>
    <n v="79"/>
    <n v="4311"/>
    <d v="2016-10-09T02:12:00"/>
    <d v="2016-10-09T10:00:00"/>
    <n v="440"/>
    <n v="795"/>
    <n v="747"/>
    <s v="Steam Turbine Control System - hardware problems (including card failure)"/>
    <s v="F340The 2B Main Steam control valve had an additional LVDT fail, resulting in one of t"/>
    <s v="Trimble"/>
    <x v="0"/>
    <s v="Coal"/>
    <x v="2"/>
    <x v="3"/>
    <n v="10"/>
    <n v="7.7999999999301508"/>
    <n v="3.4830188678933376"/>
    <n v="2601.8150943163232"/>
    <n v="333.56603773584908"/>
    <x v="321"/>
  </r>
  <r>
    <x v="12"/>
    <x v="0"/>
    <n v="80"/>
    <n v="4311"/>
    <d v="2016-10-09T15:30:00"/>
    <d v="2016-10-10T12:00:00"/>
    <n v="700"/>
    <n v="795"/>
    <n v="747"/>
    <s v="Steam Turbine Control System - hardware problems (including card failure)"/>
    <s v="F340Continued problems with the 2B Main Steam control valve  LVDT's. After jumpering t"/>
    <s v="Trimble"/>
    <x v="0"/>
    <s v="Coal"/>
    <x v="2"/>
    <x v="3"/>
    <n v="10"/>
    <n v="20.499999999941792"/>
    <n v="2.4496855345842392"/>
    <n v="1829.9150943344266"/>
    <n v="89.264150943396231"/>
    <x v="145"/>
  </r>
  <r>
    <x v="12"/>
    <x v="0"/>
    <n v="81"/>
    <n v="4311"/>
    <d v="2016-10-10T12:00:00"/>
    <d v="2016-10-16T00:01:00"/>
    <n v="778"/>
    <n v="795"/>
    <n v="747"/>
    <s v="Steam Turbine Control System - hardware problems (including card failure)"/>
    <s v="F340Continued problems with the 2B Main Steam control valve  LVDT's. After jumpering t"/>
    <s v="Trimble"/>
    <x v="0"/>
    <s v="Coal"/>
    <x v="2"/>
    <x v="3"/>
    <n v="10"/>
    <n v="132.01666666672099"/>
    <n v="2.8229979035651032"/>
    <n v="2108.7794339631319"/>
    <n v="15.973584905660378"/>
    <x v="167"/>
  </r>
  <r>
    <x v="12"/>
    <x v="1"/>
    <n v="82"/>
    <n v="1190"/>
    <d v="2016-10-16T00:01:00"/>
    <d v="2016-10-16T08:46:00"/>
    <n v="448"/>
    <n v="795"/>
    <n v="747"/>
    <s v="Other tube slagging or fouling"/>
    <s v="FS00Planned Derate for boiler deslag."/>
    <s v="Trimble"/>
    <x v="0"/>
    <s v="Coal"/>
    <x v="2"/>
    <x v="3"/>
    <n v="10"/>
    <n v="8.7499999998835847"/>
    <n v="3.819182389886294"/>
    <n v="2852.9292452450618"/>
    <n v="326.04905660377358"/>
    <x v="326"/>
  </r>
  <r>
    <x v="12"/>
    <x v="0"/>
    <n v="83"/>
    <n v="310"/>
    <d v="2016-10-16T08:46:00"/>
    <d v="2016-10-16T09:38:00"/>
    <n v="585"/>
    <n v="795"/>
    <n v="747"/>
    <s v="Pulverizer mills"/>
    <s v="F340The 2F Coal Mill breaker was not engaging and the unit was placed on a derate whil"/>
    <s v="Trimble"/>
    <x v="0"/>
    <s v="Coal"/>
    <x v="2"/>
    <x v="3"/>
    <n v="10"/>
    <n v="0.86666666669771075"/>
    <n v="0.22893081761826323"/>
    <n v="171.01132076084264"/>
    <n v="197.32075471698113"/>
    <x v="320"/>
  </r>
  <r>
    <x v="12"/>
    <x v="0"/>
    <n v="84"/>
    <n v="4311"/>
    <d v="2016-10-16T09:38:00"/>
    <d v="2016-10-23T00:01:00"/>
    <n v="778"/>
    <n v="795"/>
    <n v="747"/>
    <s v="Steam Turbine Control System - hardware problems (including card failure)"/>
    <s v="F340The 2B Main Steam control valve had an additional LVDT fail, resulting in one of t"/>
    <s v="Trimble"/>
    <x v="0"/>
    <s v="Coal"/>
    <x v="2"/>
    <x v="3"/>
    <n v="10"/>
    <n v="158.3833333334187"/>
    <n v="3.3868134171926014"/>
    <n v="2529.9496226428732"/>
    <n v="15.973584905660378"/>
    <x v="167"/>
  </r>
  <r>
    <x v="12"/>
    <x v="1"/>
    <n v="85"/>
    <n v="1190"/>
    <d v="2016-10-23T00:01:00"/>
    <d v="2016-10-23T08:58:00"/>
    <n v="448"/>
    <n v="795"/>
    <n v="747"/>
    <s v="Other tube slagging or fouling"/>
    <s v="FS00The unit was on a Planned Derate for a routine boiler deslag."/>
    <s v="Trimble"/>
    <x v="0"/>
    <s v="Coal"/>
    <x v="2"/>
    <x v="3"/>
    <n v="10"/>
    <n v="8.9500000000116415"/>
    <n v="3.9064779874264648"/>
    <n v="2918.1390566075693"/>
    <n v="326.04905660377358"/>
    <x v="326"/>
  </r>
  <r>
    <x v="12"/>
    <x v="0"/>
    <n v="86"/>
    <n v="310"/>
    <d v="2016-10-23T08:58:00"/>
    <d v="2016-10-23T13:43:00"/>
    <n v="670"/>
    <n v="795"/>
    <n v="747"/>
    <s v="Pulverizer mills"/>
    <s v="F520When coming back to normal operation from deslag, issues with the 2C and 2F Mills "/>
    <s v="Trimble"/>
    <x v="0"/>
    <s v="Coal"/>
    <x v="2"/>
    <x v="3"/>
    <n v="10"/>
    <n v="4.7499999999417923"/>
    <n v="0.74685534590279756"/>
    <n v="557.90094338938979"/>
    <n v="117.45283018867924"/>
    <x v="242"/>
  </r>
  <r>
    <x v="12"/>
    <x v="0"/>
    <n v="87"/>
    <n v="4311"/>
    <d v="2016-10-23T13:43:00"/>
    <d v="2016-10-30T00:00:00"/>
    <n v="778"/>
    <n v="795"/>
    <n v="747"/>
    <s v="Steam Turbine Control System - hardware problems (including card failure)"/>
    <s v="F340The 2B Main Steam control valve had an additional LVDT fail, resulting in one of t"/>
    <s v="Trimble"/>
    <x v="0"/>
    <s v="Coal"/>
    <x v="2"/>
    <x v="3"/>
    <n v="10"/>
    <n v="154.28333333332557"/>
    <n v="3.2991404612157669"/>
    <n v="2464.457924528178"/>
    <n v="15.973584905660378"/>
    <x v="167"/>
  </r>
  <r>
    <x v="12"/>
    <x v="1"/>
    <n v="88"/>
    <n v="1190"/>
    <d v="2016-10-30T00:00:00"/>
    <d v="2016-10-30T08:46:00"/>
    <n v="448"/>
    <n v="795"/>
    <n v="747"/>
    <s v="Other tube slagging or fouling"/>
    <s v="FS00Planned Derate for a routine boiler deslag."/>
    <s v="Trimble"/>
    <x v="0"/>
    <s v="Coal"/>
    <x v="2"/>
    <x v="3"/>
    <n v="10"/>
    <n v="8.7666666666045785"/>
    <n v="3.8264570230336967"/>
    <n v="2858.3633962061713"/>
    <n v="326.04905660377358"/>
    <x v="326"/>
  </r>
  <r>
    <x v="12"/>
    <x v="5"/>
    <n v="89"/>
    <n v="4311"/>
    <d v="2016-10-30T08:46:00"/>
    <d v="2016-10-30T21:26:00"/>
    <n v="0"/>
    <n v="795"/>
    <n v="747"/>
    <s v="Steam Turbine Control System - hardware problems (including card failure)"/>
    <s v="F860When coming back up to full load from the routine deslag, the third and final LVDT"/>
    <s v="Trimble"/>
    <x v="3"/>
    <s v="Coal"/>
    <x v="2"/>
    <x v="3"/>
    <n v="10"/>
    <n v="12.666666666744277"/>
    <n v="12.666666666744277"/>
    <n v="9462.0000000579748"/>
    <n v="747"/>
    <x v="302"/>
  </r>
  <r>
    <x v="12"/>
    <x v="5"/>
    <n v="90"/>
    <n v="3431"/>
    <d v="2016-10-30T22:03:00"/>
    <d v="2016-10-31T01:41:00"/>
    <n v="0"/>
    <n v="795"/>
    <n v="747"/>
    <s v="Other feedwater valves"/>
    <s v="F400While coming back online, the Feedwater Discharge valve closed and the unit trippe"/>
    <s v="Trimble"/>
    <x v="3"/>
    <s v="Coal"/>
    <x v="2"/>
    <x v="3"/>
    <n v="10"/>
    <n v="3.6333333334769122"/>
    <n v="3.6333333334769122"/>
    <n v="2714.1000001072534"/>
    <n v="747"/>
    <x v="302"/>
  </r>
  <r>
    <x v="12"/>
    <x v="5"/>
    <n v="91"/>
    <n v="3431"/>
    <d v="2016-10-31T02:17:00"/>
    <d v="2016-10-31T09:00:00"/>
    <n v="0"/>
    <n v="795"/>
    <n v="747"/>
    <s v="Other feedwater valves"/>
    <s v="F400Continued issues with feedwater flow as the unit was coming back online. The unit "/>
    <s v="Trimble"/>
    <x v="3"/>
    <s v="Coal"/>
    <x v="2"/>
    <x v="3"/>
    <n v="10"/>
    <n v="6.7166666667326353"/>
    <n v="6.7166666667326353"/>
    <n v="5017.3500000492786"/>
    <n v="747"/>
    <x v="302"/>
  </r>
  <r>
    <x v="12"/>
    <x v="0"/>
    <n v="92"/>
    <n v="4311"/>
    <d v="2016-10-31T15:00:00"/>
    <d v="2016-11-01T08:00:00"/>
    <n v="778"/>
    <n v="795"/>
    <n v="747"/>
    <s v="Steam Turbine Control System - hardware problems (including card failure)"/>
    <s v="F340The unit was held at a derate while sorting through the past LVDT issues on the # "/>
    <s v="Trimble"/>
    <x v="0"/>
    <s v="Coal"/>
    <x v="2"/>
    <x v="3"/>
    <n v="10"/>
    <n v="17.000000000058208"/>
    <n v="0.36352201257986105"/>
    <n v="271.55094339715623"/>
    <n v="15.973584905660378"/>
    <x v="167"/>
  </r>
  <r>
    <x v="12"/>
    <x v="1"/>
    <n v="93"/>
    <n v="1190"/>
    <d v="2016-11-05T00:00:00"/>
    <d v="2016-11-05T09:30:00"/>
    <n v="448"/>
    <n v="795"/>
    <n v="747"/>
    <s v="Other tube slagging or fouling"/>
    <s v="FS00The unit was on a Planned Derate for routine boiler deslag."/>
    <s v="Trimble"/>
    <x v="0"/>
    <s v="Coal"/>
    <x v="2"/>
    <x v="3"/>
    <n v="11"/>
    <n v="9.5000000000582077"/>
    <n v="4.1465408805285513"/>
    <n v="3097.466037754828"/>
    <n v="326.04905660377358"/>
    <x v="326"/>
  </r>
  <r>
    <x v="12"/>
    <x v="3"/>
    <n v="94"/>
    <n v="8700"/>
    <d v="2016-11-08T08:00:00"/>
    <d v="2016-11-08T15:33:00"/>
    <n v="0"/>
    <n v="795"/>
    <n v="747"/>
    <s v="CEMS Certification and Recertification"/>
    <s v="F790Non-curtailing event for a RATA test, an audit of the unit's CEMS monitors. The un"/>
    <s v="Trimble"/>
    <x v="1"/>
    <s v="Coal"/>
    <x v="2"/>
    <x v="3"/>
    <n v="11"/>
    <n v="7.5499999999883585"/>
    <n v="7.5499999999883585"/>
    <n v="5639.8499999913038"/>
    <n v="747"/>
    <x v="302"/>
  </r>
  <r>
    <x v="12"/>
    <x v="3"/>
    <n v="95"/>
    <n v="8700"/>
    <d v="2016-11-09T08:00:00"/>
    <d v="2016-11-09T16:00:00"/>
    <n v="0"/>
    <n v="795"/>
    <n v="747"/>
    <s v="CEMS Certification and Recertification"/>
    <s v="F790Non-curtailing event for a RATA test, an audit of the unit's CEMS monitors. The un"/>
    <s v="Trimble"/>
    <x v="1"/>
    <s v="Coal"/>
    <x v="2"/>
    <x v="3"/>
    <n v="11"/>
    <n v="7.9999999998835847"/>
    <n v="7.9999999998835847"/>
    <n v="5975.9999999130378"/>
    <n v="747"/>
    <x v="302"/>
  </r>
  <r>
    <x v="12"/>
    <x v="3"/>
    <n v="96"/>
    <n v="8700"/>
    <d v="2016-11-10T08:00:00"/>
    <d v="2016-11-10T15:10:00"/>
    <n v="0"/>
    <n v="795"/>
    <n v="747"/>
    <s v="CEMS Certification and Recertification"/>
    <s v="F790Non-curtailing event for a RATA test, an audit of the unit's CEMS monitors. The un"/>
    <s v="Trimble"/>
    <x v="1"/>
    <s v="Coal"/>
    <x v="2"/>
    <x v="3"/>
    <n v="11"/>
    <n v="7.1666666666278616"/>
    <n v="7.1666666666278616"/>
    <n v="5353.4999999710126"/>
    <n v="747"/>
    <x v="302"/>
  </r>
  <r>
    <x v="12"/>
    <x v="1"/>
    <n v="97"/>
    <n v="1190"/>
    <d v="2016-11-13T00:00:00"/>
    <d v="2016-11-13T09:30:00"/>
    <n v="448"/>
    <n v="795"/>
    <n v="747"/>
    <s v="Other tube slagging or fouling"/>
    <s v="FS00Planned Derate for routine boiler deslag."/>
    <s v="Trimble"/>
    <x v="0"/>
    <s v="Coal"/>
    <x v="2"/>
    <x v="3"/>
    <n v="11"/>
    <n v="9.5000000000582077"/>
    <n v="4.1465408805285513"/>
    <n v="3097.466037754828"/>
    <n v="326.04905660377358"/>
    <x v="326"/>
  </r>
  <r>
    <x v="12"/>
    <x v="1"/>
    <n v="98"/>
    <n v="1190"/>
    <d v="2016-11-19T00:00:00"/>
    <d v="2016-11-19T09:30:00"/>
    <n v="448"/>
    <n v="795"/>
    <n v="747"/>
    <s v="Other tube slagging or fouling"/>
    <s v="FS00Planned Derate for routine boiler deslag."/>
    <s v="Trimble"/>
    <x v="0"/>
    <s v="Coal"/>
    <x v="2"/>
    <x v="3"/>
    <n v="11"/>
    <n v="9.5000000000582077"/>
    <n v="4.1465408805285513"/>
    <n v="3097.466037754828"/>
    <n v="326.04905660377358"/>
    <x v="326"/>
  </r>
  <r>
    <x v="12"/>
    <x v="1"/>
    <n v="99"/>
    <n v="1190"/>
    <d v="2016-11-26T00:00:00"/>
    <d v="2016-11-26T09:30:00"/>
    <n v="448"/>
    <n v="795"/>
    <n v="747"/>
    <s v="Other tube slagging or fouling"/>
    <s v="FS00The unit was placed on a Planned Derate for a routine boiler deslag."/>
    <s v="Trimble"/>
    <x v="0"/>
    <s v="Coal"/>
    <x v="2"/>
    <x v="3"/>
    <n v="11"/>
    <n v="9.5000000000582077"/>
    <n v="4.1465408805285513"/>
    <n v="3097.466037754828"/>
    <n v="326.04905660377358"/>
    <x v="326"/>
  </r>
  <r>
    <x v="12"/>
    <x v="1"/>
    <n v="100"/>
    <n v="1190"/>
    <d v="2016-12-04T00:00:00"/>
    <d v="2016-12-04T09:30:00"/>
    <n v="448"/>
    <n v="795"/>
    <n v="747"/>
    <s v="Other tube slagging or fouling"/>
    <s v="FS00The unit was placed on a Planned Derate for routine boiler deslagging."/>
    <s v="Trimble"/>
    <x v="0"/>
    <s v="Coal"/>
    <x v="2"/>
    <x v="3"/>
    <n v="12"/>
    <n v="9.5000000000582077"/>
    <n v="4.1465408805285513"/>
    <n v="3097.466037754828"/>
    <n v="326.04905660377358"/>
    <x v="326"/>
  </r>
  <r>
    <x v="12"/>
    <x v="1"/>
    <n v="101"/>
    <n v="1190"/>
    <d v="2016-12-11T00:00:00"/>
    <d v="2016-12-11T09:30:00"/>
    <n v="449"/>
    <n v="795"/>
    <n v="747"/>
    <s v="Other tube slagging or fouling"/>
    <s v="FS00Planned Derate for a routine boiler deslag."/>
    <s v="Trimble"/>
    <x v="0"/>
    <s v="Coal"/>
    <x v="2"/>
    <x v="3"/>
    <n v="12"/>
    <n v="9.5000000000582077"/>
    <n v="4.1345911949938863"/>
    <n v="3088.539622660433"/>
    <n v="325.10943396226418"/>
    <x v="70"/>
  </r>
  <r>
    <x v="12"/>
    <x v="0"/>
    <n v="102"/>
    <n v="267"/>
    <d v="2016-12-12T13:54:00"/>
    <d v="2016-12-12T18:20:00"/>
    <n v="625"/>
    <n v="795"/>
    <n v="747"/>
    <s v="Primary air flow instrumentation"/>
    <s v="F120The 2A Coal Mill Primary Air transmitter was plugged and caused the mill to trip o"/>
    <s v="Trimble"/>
    <x v="0"/>
    <s v="Coal"/>
    <x v="2"/>
    <x v="3"/>
    <n v="12"/>
    <n v="4.4333333332906477"/>
    <n v="0.94800838573510704"/>
    <n v="708.16226414412495"/>
    <n v="159.73584905660377"/>
    <x v="308"/>
  </r>
  <r>
    <x v="12"/>
    <x v="1"/>
    <n v="103"/>
    <n v="1190"/>
    <d v="2016-12-17T22:00:00"/>
    <d v="2016-12-18T07:30:00"/>
    <n v="449"/>
    <n v="795"/>
    <n v="747"/>
    <s v="Other tube slagging or fouling"/>
    <s v="FS00Planned Derate for a routine boiler deslag."/>
    <s v="Trimble"/>
    <x v="0"/>
    <s v="Coal"/>
    <x v="2"/>
    <x v="3"/>
    <n v="12"/>
    <n v="9.5000000000582077"/>
    <n v="4.1345911949938863"/>
    <n v="3088.539622660433"/>
    <n v="325.10943396226418"/>
    <x v="70"/>
  </r>
  <r>
    <x v="12"/>
    <x v="0"/>
    <n v="104"/>
    <n v="8006"/>
    <d v="2016-12-22T14:45:00"/>
    <d v="2016-12-22T19:00:00"/>
    <n v="649"/>
    <n v="795"/>
    <n v="747"/>
    <s v="Weigh feeders B"/>
    <s v="F340The limestone rock silo had bolt failures, causing it to rest against the feeder a"/>
    <s v="Trimble"/>
    <x v="0"/>
    <s v="Coal"/>
    <x v="2"/>
    <x v="3"/>
    <n v="12"/>
    <n v="4.2499999998835847"/>
    <n v="0.78050314463270865"/>
    <n v="583.03584904063337"/>
    <n v="137.18490566037735"/>
    <x v="224"/>
  </r>
  <r>
    <x v="12"/>
    <x v="0"/>
    <n v="105"/>
    <n v="312"/>
    <d v="2016-12-22T19:00:00"/>
    <d v="2016-12-22T23:50:00"/>
    <n v="489"/>
    <n v="795"/>
    <n v="747"/>
    <s v="Pulverizer mill classifiers"/>
    <s v="F780While the unit was still on a derate due to the Reactant Prep issues, the 2E Mill "/>
    <s v="Trimble"/>
    <x v="0"/>
    <s v="Coal"/>
    <x v="2"/>
    <x v="3"/>
    <n v="12"/>
    <n v="4.8333333333721384"/>
    <n v="1.8603773585055023"/>
    <n v="1389.7018868036103"/>
    <n v="287.52452830188679"/>
    <x v="191"/>
  </r>
  <r>
    <x v="12"/>
    <x v="1"/>
    <n v="106"/>
    <n v="1190"/>
    <d v="2016-12-23T00:00:00"/>
    <d v="2016-12-23T09:30:00"/>
    <n v="449"/>
    <n v="795"/>
    <n v="747"/>
    <s v="Other tube slagging or fouling"/>
    <s v="FS00The unit was placed on a Planned Derate for routine boiler deslag."/>
    <s v="Trimble"/>
    <x v="0"/>
    <s v="Coal"/>
    <x v="2"/>
    <x v="3"/>
    <n v="12"/>
    <n v="9.5000000000582077"/>
    <n v="4.1345911949938863"/>
    <n v="3088.539622660433"/>
    <n v="325.10943396226418"/>
    <x v="70"/>
  </r>
  <r>
    <x v="12"/>
    <x v="0"/>
    <n v="107"/>
    <n v="346"/>
    <d v="2016-12-26T10:42:00"/>
    <d v="2016-12-26T19:00:00"/>
    <n v="649"/>
    <n v="795"/>
    <n v="747"/>
    <s v="Pulverizer pyrite removal system"/>
    <s v="F120The unit was on a derate due to having only four of the six coal mills available f"/>
    <s v="Trimble"/>
    <x v="0"/>
    <s v="Coal"/>
    <x v="2"/>
    <x v="3"/>
    <n v="12"/>
    <n v="8.2999999999883585"/>
    <n v="1.5242767295576105"/>
    <n v="1138.6347169795351"/>
    <n v="137.18490566037735"/>
    <x v="224"/>
  </r>
  <r>
    <x v="12"/>
    <x v="0"/>
    <n v="108"/>
    <n v="1488"/>
    <d v="2016-12-29T09:01:00"/>
    <d v="2016-12-29T14:00:00"/>
    <n v="759"/>
    <n v="795"/>
    <n v="747"/>
    <s v="Air heater (regenerative)"/>
    <s v="F660The unit was placed on a derate to keep the A FD Fan from reaching its stall point"/>
    <s v="Trimble"/>
    <x v="0"/>
    <s v="Coal"/>
    <x v="2"/>
    <x v="3"/>
    <n v="12"/>
    <n v="4.9833333333372138"/>
    <n v="0.22566037735866629"/>
    <n v="168.56830188692371"/>
    <n v="33.826415094339623"/>
    <x v="81"/>
  </r>
  <r>
    <x v="12"/>
    <x v="0"/>
    <n v="109"/>
    <n v="1488"/>
    <d v="2016-12-29T14:13:00"/>
    <d v="2016-12-29T19:00:00"/>
    <n v="774"/>
    <n v="795"/>
    <n v="747"/>
    <s v="Air heater (regenerative)"/>
    <s v="F660The unit was placed on a derate to keep the A FD Fan from reaching its stall point"/>
    <s v="Trimble"/>
    <x v="0"/>
    <s v="Coal"/>
    <x v="2"/>
    <x v="3"/>
    <n v="12"/>
    <n v="4.783333333209157"/>
    <n v="0.12635220125458149"/>
    <n v="94.385094337172376"/>
    <n v="19.732075471698113"/>
    <x v="21"/>
  </r>
  <r>
    <x v="12"/>
    <x v="0"/>
    <n v="110"/>
    <n v="1488"/>
    <d v="2016-12-29T19:00:00"/>
    <d v="2016-12-29T23:00:00"/>
    <n v="789"/>
    <n v="795"/>
    <n v="747"/>
    <s v="Air heater (regenerative)"/>
    <s v="F660The unit was placed on a derate to keep the A FD Fan from reaching its stall point"/>
    <s v="Trimble"/>
    <x v="0"/>
    <s v="Coal"/>
    <x v="2"/>
    <x v="3"/>
    <n v="12"/>
    <n v="4.0000000001164153"/>
    <n v="3.0188679246161625E-2"/>
    <n v="22.550943396882733"/>
    <n v="5.6377358490566039"/>
    <x v="151"/>
  </r>
  <r>
    <x v="12"/>
    <x v="0"/>
    <n v="111"/>
    <n v="1488"/>
    <d v="2016-12-29T23:00:00"/>
    <d v="2016-12-30T01:00:00"/>
    <n v="689"/>
    <n v="795"/>
    <n v="747"/>
    <s v="Air heater (regenerative)"/>
    <s v="F660The unit was placed on a derate to swap coal mills. This was done due to airflow r"/>
    <s v="Trimble"/>
    <x v="0"/>
    <s v="Coal"/>
    <x v="2"/>
    <x v="3"/>
    <n v="12"/>
    <n v="1.9999999998835847"/>
    <n v="0.26666666665114463"/>
    <n v="199.19999998840504"/>
    <n v="99.6"/>
    <x v="65"/>
  </r>
  <r>
    <x v="12"/>
    <x v="0"/>
    <n v="112"/>
    <n v="1488"/>
    <d v="2016-12-30T01:00:00"/>
    <d v="2016-12-30T08:24:00"/>
    <n v="789"/>
    <n v="795"/>
    <n v="747"/>
    <s v="Air heater (regenerative)"/>
    <s v="F660The unit was placed on a derate to keep the A FD Fan from reaching its stall point"/>
    <s v="Trimble"/>
    <x v="0"/>
    <s v="Coal"/>
    <x v="2"/>
    <x v="3"/>
    <n v="12"/>
    <n v="7.4000000000232831"/>
    <n v="5.5849056603949308E-2"/>
    <n v="41.71924528315013"/>
    <n v="5.6377358490566039"/>
    <x v="151"/>
  </r>
  <r>
    <x v="12"/>
    <x v="1"/>
    <n v="113"/>
    <n v="1190"/>
    <d v="2016-12-30T22:00:00"/>
    <d v="2016-12-31T07:30:00"/>
    <n v="449"/>
    <n v="795"/>
    <n v="747"/>
    <s v="Other tube slagging or fouling"/>
    <s v="FS00The unit was placed on a Planned Derate for routine boiler deslag."/>
    <s v="Trimble"/>
    <x v="0"/>
    <s v="Coal"/>
    <x v="2"/>
    <x v="3"/>
    <n v="12"/>
    <n v="9.5000000000582077"/>
    <n v="4.1345911949938863"/>
    <n v="3088.539622660433"/>
    <n v="325.10943396226418"/>
    <x v="70"/>
  </r>
  <r>
    <x v="12"/>
    <x v="0"/>
    <n v="1"/>
    <n v="1488"/>
    <d v="2017-01-02T18:19:00"/>
    <d v="2017-01-10T09:00:00"/>
    <n v="759"/>
    <n v="795"/>
    <n v="747"/>
    <s v="Air heater (regenerative)"/>
    <s v="F660The unit was placed on a derate to keep the A FD Fan from reaching its stall point"/>
    <s v="Trimble"/>
    <x v="0"/>
    <s v="Coal"/>
    <x v="2"/>
    <x v="4"/>
    <n v="1"/>
    <n v="182.68333333334886"/>
    <n v="8.2724528301893816"/>
    <n v="6179.5222641514683"/>
    <n v="33.826415094339623"/>
    <x v="81"/>
  </r>
  <r>
    <x v="12"/>
    <x v="3"/>
    <n v="2"/>
    <n v="8601"/>
    <d v="2017-01-07T07:00:00"/>
    <d v="2017-01-07T17:00:00"/>
    <n v="0"/>
    <n v="795"/>
    <n v="747"/>
    <s v="SO3 mitigation"/>
    <s v="F790Non-curtailing event for HCl/SO3 removal levels testing. The unit was derated due "/>
    <s v="Trimble"/>
    <x v="1"/>
    <s v="Coal"/>
    <x v="2"/>
    <x v="4"/>
    <n v="1"/>
    <n v="10.000000000116415"/>
    <n v="10.000000000116415"/>
    <n v="7470.0000000869622"/>
    <n v="747"/>
    <x v="302"/>
  </r>
  <r>
    <x v="12"/>
    <x v="3"/>
    <n v="3"/>
    <n v="8601"/>
    <d v="2017-01-08T07:03:00"/>
    <d v="2017-01-08T17:00:00"/>
    <n v="0"/>
    <n v="795"/>
    <n v="747"/>
    <s v="SO3 mitigation"/>
    <s v="F790Non-curtailing event for HCl/SO3 removal levels testing. The unit was derated due "/>
    <s v="Trimble"/>
    <x v="1"/>
    <s v="Coal"/>
    <x v="2"/>
    <x v="4"/>
    <n v="1"/>
    <n v="9.9500000001280569"/>
    <n v="9.9500000001280569"/>
    <n v="7432.6500000956585"/>
    <n v="747"/>
    <x v="302"/>
  </r>
  <r>
    <x v="12"/>
    <x v="0"/>
    <n v="4"/>
    <n v="1488"/>
    <d v="2017-01-10T09:00:00"/>
    <d v="2017-01-12T05:43:00"/>
    <n v="709"/>
    <n v="795"/>
    <n v="747"/>
    <s v="Air heater (regenerative)"/>
    <s v="F660The unit was placed on a derate to keep the A FD Fan from reaching its stall point"/>
    <s v="Trimble"/>
    <x v="0"/>
    <s v="Coal"/>
    <x v="2"/>
    <x v="4"/>
    <n v="1"/>
    <n v="44.71666666661622"/>
    <n v="4.8372746331182324"/>
    <n v="3613.4441509393196"/>
    <n v="80.807547169811315"/>
    <x v="240"/>
  </r>
  <r>
    <x v="12"/>
    <x v="4"/>
    <n v="5"/>
    <n v="1493"/>
    <d v="2017-01-12T05:43:00"/>
    <d v="2017-01-15T06:31:00"/>
    <n v="0"/>
    <n v="795"/>
    <n v="747"/>
    <s v="Air heater fouling (regenerative)"/>
    <s v="FC00The unit was placed on a Maintenance Outage for Air Heater washing to remedy the e"/>
    <s v="Trimble"/>
    <x v="2"/>
    <s v="Coal"/>
    <x v="2"/>
    <x v="4"/>
    <n v="1"/>
    <n v="72.799999999988358"/>
    <n v="72.799999999988358"/>
    <n v="54381.599999991304"/>
    <n v="747"/>
    <x v="302"/>
  </r>
  <r>
    <x v="12"/>
    <x v="0"/>
    <n v="6"/>
    <n v="346"/>
    <d v="2017-01-17T10:30:00"/>
    <d v="2017-01-17T12:00:00"/>
    <n v="759"/>
    <n v="795"/>
    <n v="747"/>
    <s v="Pulverizer pyrite removal system"/>
    <s v="F120The unit was placed on a derate when the 2F Mill needed to be taken out of service"/>
    <s v="Trimble"/>
    <x v="0"/>
    <s v="Coal"/>
    <x v="2"/>
    <x v="4"/>
    <n v="1"/>
    <n v="1.5"/>
    <n v="6.7924528301886791E-2"/>
    <n v="50.739622641509435"/>
    <n v="33.826415094339623"/>
    <x v="81"/>
  </r>
  <r>
    <x v="12"/>
    <x v="1"/>
    <n v="7"/>
    <n v="1190"/>
    <d v="2017-01-22T00:00:00"/>
    <d v="2017-01-22T09:30:00"/>
    <n v="449"/>
    <n v="795"/>
    <n v="747"/>
    <s v="Other tube slagging or fouling"/>
    <s v="FS00The unit was placed on a Planned Derate for a routine boiler deslag."/>
    <s v="Trimble"/>
    <x v="0"/>
    <s v="Coal"/>
    <x v="2"/>
    <x v="4"/>
    <n v="1"/>
    <n v="9.5000000000582077"/>
    <n v="4.1345911949938863"/>
    <n v="3088.539622660433"/>
    <n v="325.10943396226418"/>
    <x v="70"/>
  </r>
  <r>
    <x v="12"/>
    <x v="1"/>
    <n v="8"/>
    <n v="1190"/>
    <d v="2017-01-28T22:00:00"/>
    <d v="2017-01-29T07:30:00"/>
    <n v="449"/>
    <n v="795"/>
    <n v="747"/>
    <s v="Other tube slagging or fouling"/>
    <s v="FS00The unit was placed on a Planned Derate for a routine boiler deslag."/>
    <s v="Trimble"/>
    <x v="0"/>
    <s v="Coal"/>
    <x v="2"/>
    <x v="4"/>
    <n v="1"/>
    <n v="9.5000000000582077"/>
    <n v="4.1345911949938863"/>
    <n v="3088.539622660433"/>
    <n v="325.10943396226418"/>
    <x v="70"/>
  </r>
  <r>
    <x v="12"/>
    <x v="1"/>
    <n v="9"/>
    <n v="1190"/>
    <d v="2017-02-04T22:00:00"/>
    <d v="2017-02-05T09:30:00"/>
    <n v="449"/>
    <n v="795"/>
    <n v="747"/>
    <s v="Other tube slagging or fouling"/>
    <s v="FS00The unit was placed on a Planned Derate for routine boiler deslagging."/>
    <s v="Trimble"/>
    <x v="0"/>
    <s v="Coal"/>
    <x v="2"/>
    <x v="4"/>
    <n v="2"/>
    <n v="11.500000000116415"/>
    <n v="5.0050314465915466"/>
    <n v="3738.7584906038855"/>
    <n v="325.10943396226418"/>
    <x v="70"/>
  </r>
  <r>
    <x v="12"/>
    <x v="3"/>
    <n v="10"/>
    <n v="9999"/>
    <d v="2017-02-09T07:30:00"/>
    <d v="2017-02-09T14:30:00"/>
    <n v="0"/>
    <n v="795"/>
    <n v="747"/>
    <s v="Total unit performance testing (use appropriate codes for individual component testing)"/>
    <s v="F790Non-curtailing event for a Unit Capability Test while the unit was available for f"/>
    <s v="Trimble"/>
    <x v="1"/>
    <s v="Coal"/>
    <x v="2"/>
    <x v="4"/>
    <n v="2"/>
    <n v="6.9999999999417923"/>
    <n v="6.9999999999417923"/>
    <n v="5228.9999999565189"/>
    <n v="747"/>
    <x v="302"/>
  </r>
  <r>
    <x v="12"/>
    <x v="0"/>
    <n v="11"/>
    <n v="310"/>
    <d v="2017-02-12T11:30:00"/>
    <d v="2017-02-12T13:00:00"/>
    <n v="769"/>
    <n v="795"/>
    <n v="747"/>
    <s v="Pulverizer mills"/>
    <s v="F340The 2C Mill began to have performance issues, and an additional mill was prepared "/>
    <s v="Trimble"/>
    <x v="0"/>
    <s v="Coal"/>
    <x v="2"/>
    <x v="4"/>
    <n v="2"/>
    <n v="1.5"/>
    <n v="4.9056603773584909E-2"/>
    <n v="36.645283018867929"/>
    <n v="24.430188679245283"/>
    <x v="107"/>
  </r>
  <r>
    <x v="12"/>
    <x v="0"/>
    <n v="12"/>
    <n v="890"/>
    <d v="2017-02-14T09:30:00"/>
    <d v="2017-02-14T14:38:00"/>
    <n v="449"/>
    <n v="795"/>
    <n v="747"/>
    <s v="Bottom ash systems (wet or dry)"/>
    <s v="F340The unit was placed on a derate due to faulty controls in the Submerged Scraper Co"/>
    <s v="Trimble"/>
    <x v="0"/>
    <s v="Coal"/>
    <x v="2"/>
    <x v="4"/>
    <n v="2"/>
    <n v="5.1333333333022892"/>
    <n v="2.2341299790221285"/>
    <n v="1668.8950943295299"/>
    <n v="325.10943396226418"/>
    <x v="70"/>
  </r>
  <r>
    <x v="12"/>
    <x v="5"/>
    <n v="13"/>
    <n v="890"/>
    <d v="2017-02-14T14:38:00"/>
    <d v="2017-02-17T02:05:00"/>
    <n v="0"/>
    <n v="795"/>
    <n v="747"/>
    <s v="Bottom ash systems (wet or dry)"/>
    <s v="F340The unit was placed on a Forced Outage due to the previous event involving the Sub"/>
    <s v="Trimble"/>
    <x v="3"/>
    <s v="Coal"/>
    <x v="2"/>
    <x v="4"/>
    <n v="2"/>
    <n v="59.449999999953434"/>
    <n v="59.449999999953434"/>
    <n v="44409.149999965215"/>
    <n v="747"/>
    <x v="302"/>
  </r>
  <r>
    <x v="12"/>
    <x v="5"/>
    <n v="14"/>
    <n v="4605"/>
    <d v="2017-02-21T22:30:00"/>
    <d v="2017-02-25T23:32:00"/>
    <n v="0"/>
    <n v="795"/>
    <n v="747"/>
    <s v="Exciter transformer"/>
    <s v="F540A water leak from the roof of the turbine building ran onto the TC2 Exciter Transf"/>
    <s v="Trimble"/>
    <x v="3"/>
    <s v="Coal"/>
    <x v="2"/>
    <x v="4"/>
    <n v="2"/>
    <n v="97.03333333338378"/>
    <n v="97.03333333338378"/>
    <n v="72483.900000037684"/>
    <n v="747"/>
    <x v="302"/>
  </r>
  <r>
    <x v="12"/>
    <x v="6"/>
    <n v="15"/>
    <n v="380"/>
    <d v="2017-02-25T23:32:00"/>
    <d v="2017-04-03T00:00:00"/>
    <n v="0"/>
    <n v="795"/>
    <n v="747"/>
    <s v="Light-off (igniter) systems (including fuel supply)"/>
    <s v="F590Planned 2017 Spring Outage for TC2 with multiple scopes in progress. A primary sco"/>
    <s v="Trimble"/>
    <x v="1"/>
    <s v="Coal"/>
    <x v="2"/>
    <x v="4"/>
    <n v="2"/>
    <n v="864.46666666661622"/>
    <n v="864.46666666661633"/>
    <n v="645756.59999996237"/>
    <n v="747"/>
    <x v="302"/>
  </r>
  <r>
    <x v="12"/>
    <x v="8"/>
    <n v="16"/>
    <n v="380"/>
    <d v="2017-04-03T00:00:00"/>
    <d v="2017-04-09T23:46:00"/>
    <n v="0"/>
    <n v="795"/>
    <n v="747"/>
    <s v="Light-off (igniter) systems (including fuel supply)"/>
    <s v="F790Planned Extension for testing on the newly installed Gas Igniter system."/>
    <s v="Trimble"/>
    <x v="1"/>
    <s v="Coal"/>
    <x v="2"/>
    <x v="4"/>
    <n v="4"/>
    <n v="167.76666666660458"/>
    <n v="167.76666666660458"/>
    <n v="125321.69999995362"/>
    <n v="747"/>
    <x v="302"/>
  </r>
  <r>
    <x v="12"/>
    <x v="0"/>
    <n v="17"/>
    <n v="8750"/>
    <d v="2017-04-11T04:23:00"/>
    <d v="2017-04-11T12:30:00"/>
    <n v="685"/>
    <n v="795"/>
    <n v="747"/>
    <s v="O2 analyzer problems"/>
    <s v="F520The unit was placed on a derate when C0 readings were out of acceptable ranges. Th"/>
    <s v="Trimble"/>
    <x v="0"/>
    <s v="Coal"/>
    <x v="2"/>
    <x v="4"/>
    <n v="4"/>
    <n v="8.1166666667559184"/>
    <n v="1.1230607966580517"/>
    <n v="838.92641510356464"/>
    <n v="103.35849056603773"/>
    <x v="140"/>
  </r>
  <r>
    <x v="12"/>
    <x v="3"/>
    <n v="18"/>
    <n v="8812"/>
    <d v="2017-04-18T07:00:00"/>
    <d v="2017-04-18T19:00:00"/>
    <n v="0"/>
    <n v="795"/>
    <n v="747"/>
    <s v="SCR NOxCatalyst"/>
    <s v="F790The unit was available for full load during a Non-Curtailing SCR testing event."/>
    <s v="Trimble"/>
    <x v="1"/>
    <s v="Coal"/>
    <x v="2"/>
    <x v="4"/>
    <n v="4"/>
    <n v="12"/>
    <n v="12"/>
    <n v="8964"/>
    <n v="747"/>
    <x v="302"/>
  </r>
  <r>
    <x v="12"/>
    <x v="0"/>
    <n v="19"/>
    <n v="1190"/>
    <d v="2017-04-19T19:30:00"/>
    <d v="2017-04-20T04:00:00"/>
    <n v="448"/>
    <n v="795"/>
    <n v="747"/>
    <s v="Other tube slagging or fouling"/>
    <s v="FS00The unit was placed on a derate for boiler deslagging."/>
    <s v="Trimble"/>
    <x v="0"/>
    <s v="Coal"/>
    <x v="2"/>
    <x v="4"/>
    <n v="4"/>
    <n v="8.4999999999417923"/>
    <n v="3.7100628930563548"/>
    <n v="2771.4169811130969"/>
    <n v="326.04905660377358"/>
    <x v="326"/>
  </r>
  <r>
    <x v="12"/>
    <x v="1"/>
    <n v="20"/>
    <n v="1190"/>
    <d v="2017-04-22T23:00:00"/>
    <d v="2017-04-23T09:00:00"/>
    <n v="448"/>
    <n v="795"/>
    <n v="747"/>
    <s v="Other tube slagging or fouling"/>
    <s v="FS00The unit was placed on a Planned Derate for routine boiler deslagging."/>
    <s v="Trimble"/>
    <x v="0"/>
    <s v="Coal"/>
    <x v="2"/>
    <x v="4"/>
    <n v="4"/>
    <n v="9.9999999999417923"/>
    <n v="4.3647798741884305"/>
    <n v="3260.4905660187574"/>
    <n v="326.04905660377358"/>
    <x v="326"/>
  </r>
  <r>
    <x v="12"/>
    <x v="5"/>
    <n v="21"/>
    <n v="1090"/>
    <d v="2017-04-26T18:30:00"/>
    <d v="2017-05-03T17:01:00"/>
    <n v="0"/>
    <n v="795"/>
    <n v="747"/>
    <s v="Other boiler tube leaks"/>
    <s v="F540The unit was placed on a Forced Outage for repairs to identified tube leaks."/>
    <s v="Trimble"/>
    <x v="3"/>
    <s v="Coal"/>
    <x v="2"/>
    <x v="4"/>
    <n v="4"/>
    <n v="166.51666666654637"/>
    <n v="166.51666666654637"/>
    <n v="124387.94999991014"/>
    <n v="747"/>
    <x v="302"/>
  </r>
  <r>
    <x v="12"/>
    <x v="0"/>
    <n v="22"/>
    <n v="3344"/>
    <d v="2017-05-04T05:30:00"/>
    <d v="2017-05-04T07:30:00"/>
    <n v="708"/>
    <n v="795"/>
    <n v="747"/>
    <s v="Deaerator (including level control)"/>
    <s v="F400During startup, the Deaerator level went low and load was dropped until an accepta"/>
    <s v="Trimble"/>
    <x v="0"/>
    <s v="Coal"/>
    <x v="2"/>
    <x v="4"/>
    <n v="5"/>
    <n v="2.0000000000582077"/>
    <n v="0.21886792453467177"/>
    <n v="163.49433962739982"/>
    <n v="81.747169811320759"/>
    <x v="48"/>
  </r>
  <r>
    <x v="12"/>
    <x v="1"/>
    <n v="23"/>
    <n v="3339"/>
    <d v="2017-05-09T00:00:00"/>
    <d v="2017-05-09T04:00:00"/>
    <n v="748"/>
    <n v="795"/>
    <n v="747"/>
    <s v="LP heater head leaks"/>
    <s v="F540Load was dropped to isolate the 6A Heater head to address head bolt issues."/>
    <s v="Trimble"/>
    <x v="0"/>
    <s v="Coal"/>
    <x v="2"/>
    <x v="4"/>
    <n v="5"/>
    <n v="3.9999999999417923"/>
    <n v="0.23647798741794243"/>
    <n v="176.649056601203"/>
    <n v="44.162264150943393"/>
    <x v="176"/>
  </r>
  <r>
    <x v="12"/>
    <x v="0"/>
    <n v="24"/>
    <n v="3339"/>
    <d v="2017-05-09T21:20:00"/>
    <d v="2017-05-09T23:00:00"/>
    <n v="743"/>
    <n v="795"/>
    <n v="747"/>
    <s v="LP heater head leaks"/>
    <s v="F540The unit was placed on a derate due to low Deaerator level. The DA level was influ"/>
    <s v="Trimble"/>
    <x v="0"/>
    <s v="Coal"/>
    <x v="2"/>
    <x v="4"/>
    <n v="5"/>
    <n v="1.6666666666860692"/>
    <n v="0.10901467505368"/>
    <n v="81.433962265098955"/>
    <n v="48.860377358490567"/>
    <x v="227"/>
  </r>
  <r>
    <x v="12"/>
    <x v="0"/>
    <n v="25"/>
    <n v="3339"/>
    <d v="2017-05-09T23:00:00"/>
    <d v="2017-05-10T07:00:00"/>
    <n v="758"/>
    <n v="795"/>
    <n v="747"/>
    <s v="LP heater head leaks"/>
    <s v="F540The unit was placed on a derate due to low Deaerator level. The DA level was influ"/>
    <s v="Trimble"/>
    <x v="0"/>
    <s v="Coal"/>
    <x v="2"/>
    <x v="4"/>
    <n v="5"/>
    <n v="7.9999999998835847"/>
    <n v="0.37232704401973915"/>
    <n v="278.12830188274512"/>
    <n v="34.766037735849054"/>
    <x v="139"/>
  </r>
  <r>
    <x v="12"/>
    <x v="0"/>
    <n v="26"/>
    <n v="3339"/>
    <d v="2017-05-10T07:00:00"/>
    <d v="2017-05-11T14:00:00"/>
    <n v="748"/>
    <n v="795"/>
    <n v="747"/>
    <s v="LP heater head leaks"/>
    <s v="F540The unit was placed on a derate due to low Deaerator level. The DA level was influ"/>
    <s v="Trimble"/>
    <x v="0"/>
    <s v="Coal"/>
    <x v="2"/>
    <x v="4"/>
    <n v="5"/>
    <n v="31.000000000116415"/>
    <n v="1.8327044025226056"/>
    <n v="1369.0301886843863"/>
    <n v="44.162264150943393"/>
    <x v="176"/>
  </r>
  <r>
    <x v="12"/>
    <x v="1"/>
    <n v="27"/>
    <n v="1190"/>
    <d v="2017-05-21T00:00:00"/>
    <d v="2017-05-21T10:00:00"/>
    <n v="448"/>
    <n v="795"/>
    <n v="747"/>
    <s v="Other tube slagging or fouling"/>
    <s v="FS00The unit was placed on a Planned Derate for routine boiler deslagging."/>
    <s v="Trimble"/>
    <x v="0"/>
    <s v="Coal"/>
    <x v="2"/>
    <x v="4"/>
    <n v="5"/>
    <n v="9.9999999999417923"/>
    <n v="4.3647798741884305"/>
    <n v="3260.4905660187574"/>
    <n v="326.04905660377358"/>
    <x v="326"/>
  </r>
  <r>
    <x v="12"/>
    <x v="0"/>
    <n v="28"/>
    <n v="1455"/>
    <d v="2017-05-22T21:45:00"/>
    <d v="2017-05-23T09:00:00"/>
    <n v="755"/>
    <n v="795"/>
    <n v="747"/>
    <s v="Induced draft fans"/>
    <s v="F850Due to high vibration levels in the outboard bearing of the 2A ID Fan, load was dr"/>
    <s v="Trimble"/>
    <x v="0"/>
    <s v="Coal"/>
    <x v="2"/>
    <x v="4"/>
    <n v="5"/>
    <n v="11.25"/>
    <n v="0.56603773584905659"/>
    <n v="422.83018867924528"/>
    <n v="37.584905660377359"/>
    <x v="15"/>
  </r>
  <r>
    <x v="12"/>
    <x v="1"/>
    <n v="29"/>
    <n v="1190"/>
    <d v="2017-05-28T00:00:00"/>
    <d v="2017-05-28T10:00:00"/>
    <n v="448"/>
    <n v="795"/>
    <n v="747"/>
    <s v="Other tube slagging or fouling"/>
    <s v="FS00The unit was placed on a Planned Derate for routine boiler deslagging."/>
    <s v="Trimble"/>
    <x v="0"/>
    <s v="Coal"/>
    <x v="2"/>
    <x v="4"/>
    <n v="5"/>
    <n v="9.9999999999417923"/>
    <n v="4.3647798741884305"/>
    <n v="3260.4905660187574"/>
    <n v="326.04905660377358"/>
    <x v="326"/>
  </r>
  <r>
    <x v="12"/>
    <x v="5"/>
    <n v="30"/>
    <n v="3410"/>
    <d v="2017-05-31T13:51:00"/>
    <d v="2017-06-04T02:31:00"/>
    <n v="0"/>
    <n v="795"/>
    <n v="747"/>
    <s v="Feedwater pump"/>
    <s v="F520The A TDBFP tripped after receiving incorrect flow feedback from the DCS, tripping"/>
    <s v="Trimble"/>
    <x v="3"/>
    <s v="Coal"/>
    <x v="2"/>
    <x v="4"/>
    <n v="5"/>
    <n v="84.666666666744277"/>
    <n v="84.666666666744277"/>
    <n v="63246.000000057975"/>
    <n v="747"/>
    <x v="302"/>
  </r>
  <r>
    <x v="12"/>
    <x v="5"/>
    <n v="31"/>
    <n v="3410"/>
    <d v="2017-06-04T15:46:00"/>
    <d v="2017-06-08T15:18:00"/>
    <n v="0"/>
    <n v="795"/>
    <n v="747"/>
    <s v="Feedwater pump"/>
    <s v="FV00The unit tripped when it experienced a loss of feedwater flow due to a trip on the"/>
    <s v="Trimble"/>
    <x v="3"/>
    <s v="Coal"/>
    <x v="2"/>
    <x v="4"/>
    <n v="6"/>
    <n v="95.533333333209157"/>
    <n v="95.533333333209157"/>
    <n v="71363.39999990724"/>
    <n v="747"/>
    <x v="302"/>
  </r>
  <r>
    <x v="12"/>
    <x v="7"/>
    <n v="32"/>
    <n v="4700"/>
    <d v="2017-06-08T15:18:00"/>
    <d v="2017-06-08T17:28:00"/>
    <n v="0"/>
    <n v="795"/>
    <n v="747"/>
    <s v="Generator voltage control"/>
    <s v="F870The Generator Differential alarm came in and caused the unit to fail to start."/>
    <s v="Trimble"/>
    <x v="3"/>
    <s v="Coal"/>
    <x v="2"/>
    <x v="4"/>
    <n v="6"/>
    <n v="2.1666666667442769"/>
    <n v="2.1666666667442769"/>
    <n v="1618.5000000579748"/>
    <n v="747"/>
    <x v="302"/>
  </r>
  <r>
    <x v="12"/>
    <x v="0"/>
    <n v="33"/>
    <n v="3413"/>
    <d v="2017-06-08T17:29:00"/>
    <d v="2017-06-09T14:00:00"/>
    <n v="765"/>
    <n v="795"/>
    <n v="747"/>
    <s v="Feedwater pump coupling and drive shaft"/>
    <s v="FU00The A TDBFP was out of service during this timeframe. The unit ran with the MDBFP "/>
    <s v="Trimble"/>
    <x v="0"/>
    <s v="Coal"/>
    <x v="2"/>
    <x v="4"/>
    <n v="6"/>
    <n v="20.516666666662786"/>
    <n v="0.77421383647784103"/>
    <n v="578.3377358489472"/>
    <n v="28.188679245283019"/>
    <x v="67"/>
  </r>
  <r>
    <x v="12"/>
    <x v="0"/>
    <n v="34"/>
    <n v="3413"/>
    <d v="2017-06-09T14:00:00"/>
    <d v="2017-06-14T00:00:00"/>
    <n v="755"/>
    <n v="795"/>
    <n v="747"/>
    <s v="Feedwater pump coupling and drive shaft"/>
    <s v="FV00During this timeframe, the A TDBFP was out of service. In addition, the MDBFP was "/>
    <s v="Trimble"/>
    <x v="0"/>
    <s v="Coal"/>
    <x v="2"/>
    <x v="4"/>
    <n v="6"/>
    <n v="105.99999999994179"/>
    <n v="5.3333333333304047"/>
    <n v="3983.9999999978122"/>
    <n v="37.584905660377359"/>
    <x v="15"/>
  </r>
  <r>
    <x v="12"/>
    <x v="1"/>
    <n v="35"/>
    <n v="3410"/>
    <d v="2017-06-14T00:00:00"/>
    <d v="2017-06-14T03:30:00"/>
    <n v="658"/>
    <n v="795"/>
    <n v="747"/>
    <s v="Feedwater pump"/>
    <s v="F790The unit was placed on a Planned Derate for testing of the repaired 2A TDBFP."/>
    <s v="Trimble"/>
    <x v="0"/>
    <s v="Coal"/>
    <x v="2"/>
    <x v="4"/>
    <n v="6"/>
    <n v="3.5000000000582077"/>
    <n v="0.60314465409808105"/>
    <n v="450.54905661126656"/>
    <n v="128.72830188679245"/>
    <x v="288"/>
  </r>
  <r>
    <x v="12"/>
    <x v="1"/>
    <n v="36"/>
    <n v="1190"/>
    <d v="2017-06-18T00:00:00"/>
    <d v="2017-06-18T10:00:00"/>
    <n v="449"/>
    <n v="795"/>
    <n v="747"/>
    <s v="Other tube slagging or fouling"/>
    <s v="FS00The unit was placed on a Planned Derate for routine boiler deslagging."/>
    <s v="Trimble"/>
    <x v="0"/>
    <s v="Coal"/>
    <x v="2"/>
    <x v="4"/>
    <n v="6"/>
    <n v="9.9999999999417923"/>
    <n v="4.3522012578363025"/>
    <n v="3251.0943396037178"/>
    <n v="325.10943396226418"/>
    <x v="70"/>
  </r>
  <r>
    <x v="12"/>
    <x v="1"/>
    <n v="37"/>
    <n v="1190"/>
    <d v="2017-06-25T00:00:00"/>
    <d v="2017-06-25T10:00:00"/>
    <n v="449"/>
    <n v="795"/>
    <n v="747"/>
    <s v="Other tube slagging or fouling"/>
    <s v="FS00Planned Derate for routine boiler deslagging."/>
    <s v="Trimble"/>
    <x v="0"/>
    <s v="Coal"/>
    <x v="2"/>
    <x v="4"/>
    <n v="6"/>
    <n v="9.9999999999417923"/>
    <n v="4.3522012578363025"/>
    <n v="3251.0943396037178"/>
    <n v="325.10943396226418"/>
    <x v="70"/>
  </r>
  <r>
    <x v="12"/>
    <x v="1"/>
    <n v="38"/>
    <n v="1190"/>
    <d v="2017-07-02T00:00:00"/>
    <d v="2017-07-02T07:05:00"/>
    <n v="449"/>
    <n v="795"/>
    <n v="747"/>
    <s v="Other tube slagging or fouling"/>
    <s v="FS00Planned Derate for routine boiler deslagging."/>
    <s v="Trimble"/>
    <x v="0"/>
    <s v="Coal"/>
    <x v="2"/>
    <x v="4"/>
    <n v="7"/>
    <n v="7.0833333333721384"/>
    <n v="3.0828092243355472"/>
    <n v="2302.8584905786538"/>
    <n v="325.10943396226418"/>
    <x v="70"/>
  </r>
  <r>
    <x v="12"/>
    <x v="0"/>
    <n v="39"/>
    <n v="897"/>
    <d v="2017-07-02T07:05:00"/>
    <d v="2017-07-03T07:00:00"/>
    <n v="435"/>
    <n v="795"/>
    <n v="747"/>
    <s v="Bottom ash rotary (drag chain type) conveyor and motor"/>
    <s v="F060A Submerged Scraper Conveyor chain link broke and caused the unit to be placed on "/>
    <s v="Trimble"/>
    <x v="0"/>
    <s v="Coal"/>
    <x v="2"/>
    <x v="4"/>
    <n v="7"/>
    <n v="23.916666666569654"/>
    <n v="10.830188679201353"/>
    <n v="8090.1509433634101"/>
    <n v="338.2641509433962"/>
    <x v="200"/>
  </r>
  <r>
    <x v="12"/>
    <x v="0"/>
    <n v="40"/>
    <n v="3439"/>
    <d v="2017-07-03T10:38:00"/>
    <d v="2017-07-04T22:00:00"/>
    <n v="754"/>
    <n v="795"/>
    <n v="747"/>
    <s v="HP heater head leaks"/>
    <s v="F540The unit was placed on a derate due to a leak in the 6A Feedwater Heater head. Loa"/>
    <s v="Trimble"/>
    <x v="0"/>
    <s v="Coal"/>
    <x v="2"/>
    <x v="4"/>
    <n v="7"/>
    <n v="35.366666666523088"/>
    <n v="1.8239412997829516"/>
    <n v="1362.4841509378648"/>
    <n v="38.524528301886789"/>
    <x v="104"/>
  </r>
  <r>
    <x v="12"/>
    <x v="0"/>
    <n v="41"/>
    <n v="3439"/>
    <d v="2017-07-04T22:00:00"/>
    <d v="2017-07-05T03:30:00"/>
    <n v="485"/>
    <n v="795"/>
    <n v="747"/>
    <s v="HP heater head leaks"/>
    <s v="F540The unit was placed on a derate due to a leak in the 6A Feedwater Heater head. Loa"/>
    <s v="Trimble"/>
    <x v="0"/>
    <s v="Coal"/>
    <x v="2"/>
    <x v="4"/>
    <n v="7"/>
    <n v="5.5000000001164153"/>
    <n v="2.144654088095709"/>
    <n v="1602.0566038074946"/>
    <n v="291.28301886792451"/>
    <x v="327"/>
  </r>
  <r>
    <x v="12"/>
    <x v="0"/>
    <n v="42"/>
    <n v="3439"/>
    <d v="2017-07-05T03:30:00"/>
    <d v="2017-07-06T13:38:00"/>
    <n v="754"/>
    <n v="795"/>
    <n v="747"/>
    <s v="HP heater head leaks"/>
    <s v="F540The unit was placed on a derate due to a leak in the 6A Feedwater Heater head. Loa"/>
    <s v="Trimble"/>
    <x v="0"/>
    <s v="Coal"/>
    <x v="2"/>
    <x v="4"/>
    <n v="7"/>
    <n v="34.133333333360497"/>
    <n v="1.7603354297707929"/>
    <n v="1314.9705660387824"/>
    <n v="38.524528301886789"/>
    <x v="104"/>
  </r>
  <r>
    <x v="12"/>
    <x v="1"/>
    <n v="43"/>
    <n v="1190"/>
    <d v="2017-07-09T00:00:00"/>
    <d v="2017-07-09T10:00:00"/>
    <n v="449"/>
    <n v="795"/>
    <n v="747"/>
    <s v="Other tube slagging or fouling"/>
    <s v="FS00The unit was placed on a Planned Derate for routine boiler deslagging."/>
    <s v="Trimble"/>
    <x v="0"/>
    <s v="Coal"/>
    <x v="2"/>
    <x v="4"/>
    <n v="7"/>
    <n v="9.9999999999417923"/>
    <n v="4.3522012578363025"/>
    <n v="3251.0943396037178"/>
    <n v="325.10943396226418"/>
    <x v="70"/>
  </r>
  <r>
    <x v="12"/>
    <x v="2"/>
    <n v="44"/>
    <n v="1190"/>
    <d v="2017-07-16T00:00:00"/>
    <d v="2017-07-16T10:00:00"/>
    <n v="449"/>
    <n v="795"/>
    <n v="747"/>
    <s v="Other tube slagging or fouling"/>
    <s v="FS00Maintenance Derate for routine boiler deslagging."/>
    <s v="Trimble"/>
    <x v="0"/>
    <s v="Coal"/>
    <x v="2"/>
    <x v="4"/>
    <n v="7"/>
    <n v="9.9999999999417923"/>
    <n v="4.3522012578363025"/>
    <n v="3251.0943396037178"/>
    <n v="325.10943396226418"/>
    <x v="70"/>
  </r>
  <r>
    <x v="12"/>
    <x v="2"/>
    <n v="45"/>
    <n v="1190"/>
    <d v="2017-07-22T23:00:00"/>
    <d v="2017-07-23T11:00:00"/>
    <n v="449"/>
    <n v="795"/>
    <n v="747"/>
    <s v="Other tube slagging or fouling"/>
    <s v="FS00Maintenance Derate for routine boiler deslagging."/>
    <s v="Trimble"/>
    <x v="0"/>
    <s v="Coal"/>
    <x v="2"/>
    <x v="4"/>
    <n v="7"/>
    <n v="12"/>
    <n v="5.222641509433962"/>
    <n v="3901.3132075471694"/>
    <n v="325.10943396226418"/>
    <x v="70"/>
  </r>
  <r>
    <x v="12"/>
    <x v="10"/>
    <n v="46"/>
    <n v="1000"/>
    <d v="2017-07-30T00:53:00"/>
    <d v="2017-08-03T19:06:00"/>
    <n v="0"/>
    <n v="795"/>
    <n v="747"/>
    <s v="Waterwall (Furnace wall) A"/>
    <s v="F540The unit was placed on a Forced Outage after the boiler experienced a waterwall tu"/>
    <s v="Trimble"/>
    <x v="3"/>
    <s v="Coal"/>
    <x v="2"/>
    <x v="4"/>
    <n v="7"/>
    <n v="114.2166666664998"/>
    <n v="114.2166666664998"/>
    <n v="85319.849999875354"/>
    <n v="747"/>
    <x v="302"/>
  </r>
  <r>
    <x v="12"/>
    <x v="0"/>
    <n v="47"/>
    <n v="3431"/>
    <d v="2017-08-04T03:00:00"/>
    <d v="2017-08-04T05:00:00"/>
    <n v="449"/>
    <n v="795"/>
    <n v="747"/>
    <s v="Other feedwater valves"/>
    <s v="F340TC2 experienced an Immediate Derate when the 2A TDBFP recirc valve would not respo"/>
    <s v="Trimble"/>
    <x v="0"/>
    <s v="Coal"/>
    <x v="2"/>
    <x v="4"/>
    <n v="8"/>
    <n v="2.0000000000582077"/>
    <n v="0.87044025159766014"/>
    <n v="650.2188679434521"/>
    <n v="325.10943396226418"/>
    <x v="70"/>
  </r>
  <r>
    <x v="12"/>
    <x v="0"/>
    <n v="48"/>
    <n v="3431"/>
    <d v="2017-08-04T05:00:00"/>
    <d v="2017-08-04T08:00:00"/>
    <n v="390"/>
    <n v="795"/>
    <n v="747"/>
    <s v="Other feedwater valves"/>
    <s v="F340TC2 experienced an Immediate Derate when the 2A TDBFP recirc valve would not respo"/>
    <s v="Trimble"/>
    <x v="0"/>
    <s v="Coal"/>
    <x v="2"/>
    <x v="4"/>
    <n v="8"/>
    <n v="3"/>
    <n v="1.5283018867924529"/>
    <n v="1141.6415094339623"/>
    <n v="380.54716981132077"/>
    <x v="303"/>
  </r>
  <r>
    <x v="12"/>
    <x v="3"/>
    <n v="49"/>
    <n v="8700"/>
    <d v="2017-08-09T21:00:00"/>
    <d v="2017-08-10T06:00:00"/>
    <n v="0"/>
    <n v="795"/>
    <n v="747"/>
    <s v="CEMS Certification and Recertification"/>
    <s v="F790Non-curtailing event for a RATA test, an audit of the unit's CEMS monitors. The un"/>
    <s v="Trimble"/>
    <x v="1"/>
    <s v="Coal"/>
    <x v="2"/>
    <x v="4"/>
    <n v="8"/>
    <n v="9"/>
    <n v="9"/>
    <n v="6723"/>
    <n v="747"/>
    <x v="302"/>
  </r>
  <r>
    <x v="12"/>
    <x v="3"/>
    <n v="50"/>
    <n v="8700"/>
    <d v="2017-08-10T20:00:00"/>
    <d v="2017-08-11T05:00:00"/>
    <n v="0"/>
    <n v="795"/>
    <n v="747"/>
    <s v="CEMS Certification and Recertification"/>
    <s v="F790Non-curtailing event for a RATA test, an audit of the unit's CEMS monitors. The un"/>
    <s v="Trimble"/>
    <x v="1"/>
    <s v="Coal"/>
    <x v="2"/>
    <x v="4"/>
    <n v="8"/>
    <n v="9"/>
    <n v="9"/>
    <n v="6723"/>
    <n v="747"/>
    <x v="302"/>
  </r>
  <r>
    <x v="12"/>
    <x v="2"/>
    <n v="51"/>
    <n v="1190"/>
    <d v="2017-08-13T00:00:00"/>
    <d v="2017-08-13T10:00:00"/>
    <n v="449"/>
    <n v="795"/>
    <n v="747"/>
    <s v="Other tube slagging or fouling"/>
    <s v="FS00The unit was placed on a Maintenance Derate for routine boiler deslagging."/>
    <s v="Trimble"/>
    <x v="0"/>
    <s v="Coal"/>
    <x v="2"/>
    <x v="4"/>
    <n v="8"/>
    <n v="9.9999999999417923"/>
    <n v="4.3522012578363025"/>
    <n v="3251.0943396037178"/>
    <n v="325.10943396226418"/>
    <x v="70"/>
  </r>
  <r>
    <x v="12"/>
    <x v="2"/>
    <n v="52"/>
    <n v="1190"/>
    <d v="2017-08-20T00:00:00"/>
    <d v="2017-08-20T10:00:00"/>
    <n v="449"/>
    <n v="795"/>
    <n v="747"/>
    <s v="Other tube slagging or fouling"/>
    <s v="FS00The unit was placed on a Maintenance Derate for routine boiler deslagging."/>
    <s v="Trimble"/>
    <x v="0"/>
    <s v="Coal"/>
    <x v="2"/>
    <x v="4"/>
    <n v="8"/>
    <n v="9.9999999999417923"/>
    <n v="4.3522012578363025"/>
    <n v="3251.0943396037178"/>
    <n v="325.10943396226418"/>
    <x v="70"/>
  </r>
  <r>
    <x v="12"/>
    <x v="3"/>
    <n v="53"/>
    <n v="8700"/>
    <d v="2017-08-23T07:00:00"/>
    <d v="2017-08-23T18:00:00"/>
    <n v="0"/>
    <n v="795"/>
    <n v="747"/>
    <s v="CEMS Certification and Recertification"/>
    <s v="F790Non-curtailing event for a RATA test, an audit of the unit's CEMS monitors. The un"/>
    <s v="Trimble"/>
    <x v="1"/>
    <s v="Coal"/>
    <x v="2"/>
    <x v="4"/>
    <n v="8"/>
    <n v="11.000000000058208"/>
    <n v="11.000000000058208"/>
    <n v="8217.0000000434811"/>
    <n v="747"/>
    <x v="302"/>
  </r>
  <r>
    <x v="12"/>
    <x v="3"/>
    <n v="54"/>
    <n v="8700"/>
    <d v="2017-08-24T07:00:00"/>
    <d v="2017-08-24T18:00:00"/>
    <n v="0"/>
    <n v="795"/>
    <n v="747"/>
    <s v="CEMS Certification and Recertification"/>
    <s v="F790Non-curtailing event for a RATA test, an audit of the unit's CEMS monitors. The un"/>
    <s v="Trimble"/>
    <x v="1"/>
    <s v="Coal"/>
    <x v="2"/>
    <x v="4"/>
    <n v="8"/>
    <n v="11.000000000058208"/>
    <n v="11.000000000058208"/>
    <n v="8217.0000000434811"/>
    <n v="747"/>
    <x v="302"/>
  </r>
  <r>
    <x v="12"/>
    <x v="2"/>
    <n v="55"/>
    <n v="1190"/>
    <d v="2017-08-27T00:00:00"/>
    <d v="2017-08-27T10:00:00"/>
    <n v="449"/>
    <n v="795"/>
    <n v="747"/>
    <s v="Other tube slagging or fouling"/>
    <s v="FS00The unit was placed on a Maintenance Derate for routine boiler deslagging."/>
    <s v="Trimble"/>
    <x v="0"/>
    <s v="Coal"/>
    <x v="2"/>
    <x v="4"/>
    <n v="8"/>
    <n v="9.9999999999417923"/>
    <n v="4.3522012578363025"/>
    <n v="3251.0943396037178"/>
    <n v="325.10943396226418"/>
    <x v="70"/>
  </r>
  <r>
    <x v="12"/>
    <x v="2"/>
    <n v="56"/>
    <n v="1190"/>
    <d v="2017-09-03T00:00:00"/>
    <d v="2017-09-03T10:00:00"/>
    <n v="448"/>
    <n v="795"/>
    <n v="747"/>
    <s v="Other tube slagging or fouling"/>
    <s v="FS00Routine boiler deslagging."/>
    <s v="Trimble"/>
    <x v="0"/>
    <s v="Coal"/>
    <x v="2"/>
    <x v="4"/>
    <n v="9"/>
    <n v="9.9999999999417923"/>
    <n v="4.3647798741884305"/>
    <n v="3260.4905660187574"/>
    <n v="326.04905660377358"/>
    <x v="326"/>
  </r>
  <r>
    <x v="12"/>
    <x v="0"/>
    <n v="57"/>
    <n v="3245"/>
    <d v="2017-09-07T23:35:00"/>
    <d v="2017-09-08T04:00:00"/>
    <n v="700"/>
    <n v="795"/>
    <n v="747"/>
    <s v="Other cooling tower problems"/>
    <s v="F540The TC2 Cooling Tower basin level came in low after a leak occurred in a makeup li"/>
    <s v="Trimble"/>
    <x v="0"/>
    <s v="Coal"/>
    <x v="2"/>
    <x v="4"/>
    <n v="9"/>
    <n v="4.4166666665696539"/>
    <n v="0.52777777776618506"/>
    <n v="394.24999999134025"/>
    <n v="89.264150943396231"/>
    <x v="145"/>
  </r>
  <r>
    <x v="12"/>
    <x v="2"/>
    <n v="58"/>
    <n v="1190"/>
    <d v="2017-09-10T00:00:00"/>
    <d v="2017-09-10T06:00:00"/>
    <n v="448"/>
    <n v="795"/>
    <n v="747"/>
    <s v="Other tube slagging or fouling"/>
    <s v="FS00Maintenance Derate for routine boiler deslagging."/>
    <s v="Trimble"/>
    <x v="0"/>
    <s v="Coal"/>
    <x v="2"/>
    <x v="4"/>
    <n v="9"/>
    <n v="6"/>
    <n v="2.6188679245283017"/>
    <n v="1956.2943396226415"/>
    <n v="326.04905660377358"/>
    <x v="326"/>
  </r>
  <r>
    <x v="12"/>
    <x v="1"/>
    <n v="59"/>
    <n v="9999"/>
    <d v="2017-09-10T06:00:00"/>
    <d v="2017-09-10T06:30:00"/>
    <n v="430"/>
    <n v="795"/>
    <n v="747"/>
    <s v="Total unit performance testing (use appropriate codes for individual component testing)"/>
    <s v="F790TC2 was placed on a Planned Derate for annual heat rate testing. The unit was at v"/>
    <s v="Trimble"/>
    <x v="0"/>
    <s v="Coal"/>
    <x v="2"/>
    <x v="4"/>
    <n v="9"/>
    <n v="0.50000000005820766"/>
    <n v="0.22955974845439722"/>
    <n v="171.48113209543473"/>
    <n v="342.96226415094338"/>
    <x v="293"/>
  </r>
  <r>
    <x v="12"/>
    <x v="0"/>
    <n v="60"/>
    <n v="310"/>
    <d v="2017-09-10T06:30:00"/>
    <d v="2017-09-10T06:52:00"/>
    <n v="478"/>
    <n v="795"/>
    <n v="747"/>
    <s v="Pulverizer mills"/>
    <s v="F340TC2 was placed on a derate when the 2A Coal Mill had problems during its startup s"/>
    <s v="Trimble"/>
    <x v="0"/>
    <s v="Coal"/>
    <x v="2"/>
    <x v="4"/>
    <n v="9"/>
    <n v="0.36666666663950309"/>
    <n v="0.14620545072292135"/>
    <n v="109.21547169002224"/>
    <n v="297.86037735849055"/>
    <x v="174"/>
  </r>
  <r>
    <x v="12"/>
    <x v="1"/>
    <n v="61"/>
    <n v="9999"/>
    <d v="2017-09-10T06:52:00"/>
    <d v="2017-09-10T15:04:00"/>
    <n v="650"/>
    <n v="795"/>
    <n v="747"/>
    <s v="Total unit performance testing (use appropriate codes for individual component testing)"/>
    <s v="F790TC2 was placed on a Planned Derate for annual heat rate testing. The unit was at v"/>
    <s v="Trimble"/>
    <x v="0"/>
    <s v="Coal"/>
    <x v="2"/>
    <x v="4"/>
    <n v="9"/>
    <n v="8.2000000000116415"/>
    <n v="1.4955974842788529"/>
    <n v="1117.2113207563032"/>
    <n v="136.24528301886792"/>
    <x v="62"/>
  </r>
  <r>
    <x v="12"/>
    <x v="2"/>
    <n v="62"/>
    <n v="1190"/>
    <d v="2017-09-17T00:00:00"/>
    <d v="2017-09-17T10:00:00"/>
    <n v="448"/>
    <n v="795"/>
    <n v="747"/>
    <s v="Other tube slagging or fouling"/>
    <s v="FS00The unit was placed on a Maintenance Derate for routine boiler deslagging."/>
    <s v="Trimble"/>
    <x v="0"/>
    <s v="Coal"/>
    <x v="2"/>
    <x v="4"/>
    <n v="9"/>
    <n v="9.9999999999417923"/>
    <n v="4.3647798741884305"/>
    <n v="3260.4905660187574"/>
    <n v="326.04905660377358"/>
    <x v="326"/>
  </r>
  <r>
    <x v="12"/>
    <x v="13"/>
    <n v="63"/>
    <n v="590"/>
    <d v="2017-09-22T23:57:00"/>
    <d v="2017-09-23T13:39:00"/>
    <n v="0"/>
    <n v="795"/>
    <n v="747"/>
    <s v="Desuperheater/attemperator valves"/>
    <s v="F540The unit was placed on a Forced Outage due to a leak found in the superheat spray "/>
    <s v="Trimble"/>
    <x v="3"/>
    <s v="Coal"/>
    <x v="2"/>
    <x v="4"/>
    <n v="9"/>
    <n v="13.699999999953434"/>
    <n v="13.699999999953434"/>
    <n v="10233.899999965215"/>
    <n v="747"/>
    <x v="302"/>
  </r>
  <r>
    <x v="12"/>
    <x v="2"/>
    <n v="64"/>
    <n v="1190"/>
    <d v="2017-10-01T00:00:00"/>
    <d v="2017-10-01T10:00:00"/>
    <n v="448"/>
    <n v="795"/>
    <n v="747"/>
    <s v="Other tube slagging or fouling"/>
    <s v="FS00Maintenance Derate for routine boiler deslagging. The unit was returned to being a"/>
    <s v="Trimble"/>
    <x v="0"/>
    <s v="Coal"/>
    <x v="2"/>
    <x v="4"/>
    <n v="10"/>
    <n v="9.9999999999417923"/>
    <n v="4.3647798741884305"/>
    <n v="3260.4905660187574"/>
    <n v="326.04905660377358"/>
    <x v="326"/>
  </r>
  <r>
    <x v="12"/>
    <x v="2"/>
    <n v="65"/>
    <n v="1190"/>
    <d v="2017-10-08T00:00:00"/>
    <d v="2017-10-08T10:00:00"/>
    <n v="435"/>
    <n v="795"/>
    <n v="747"/>
    <s v="Other tube slagging or fouling"/>
    <s v="FS00The unit was placed on a Maintenance Derate for routine boiler deslagging."/>
    <s v="Trimble"/>
    <x v="0"/>
    <s v="Coal"/>
    <x v="2"/>
    <x v="4"/>
    <n v="10"/>
    <n v="9.9999999999417923"/>
    <n v="4.5283018867660942"/>
    <n v="3382.6415094142726"/>
    <n v="338.2641509433962"/>
    <x v="200"/>
  </r>
  <r>
    <x v="12"/>
    <x v="0"/>
    <n v="66"/>
    <n v="310"/>
    <d v="2017-10-11T23:58:00"/>
    <d v="2017-10-12T07:00:00"/>
    <n v="493"/>
    <n v="795"/>
    <n v="747"/>
    <s v="Pulverizer mills"/>
    <s v="F520Due to a failure in an I/O card, the B, D, and F Mills tripped and the unit was pl"/>
    <s v="Trimble"/>
    <x v="0"/>
    <s v="Coal"/>
    <x v="2"/>
    <x v="4"/>
    <n v="10"/>
    <n v="7.033333333209157"/>
    <n v="2.6717819706027237"/>
    <n v="1995.8211320402347"/>
    <n v="283.76603773584907"/>
    <x v="178"/>
  </r>
  <r>
    <x v="12"/>
    <x v="2"/>
    <n v="67"/>
    <n v="1190"/>
    <d v="2017-10-15T00:00:00"/>
    <d v="2017-10-15T10:00:00"/>
    <n v="435"/>
    <n v="795"/>
    <n v="747"/>
    <s v="Other tube slagging or fouling"/>
    <s v="FS00The unit was placed on a Maintenance Derate for routine boiler deslagging."/>
    <s v="Trimble"/>
    <x v="0"/>
    <s v="Coal"/>
    <x v="2"/>
    <x v="4"/>
    <n v="10"/>
    <n v="9.9999999999417923"/>
    <n v="4.5283018867660942"/>
    <n v="3382.6415094142726"/>
    <n v="338.2641509433962"/>
    <x v="200"/>
  </r>
  <r>
    <x v="12"/>
    <x v="2"/>
    <n v="68"/>
    <n v="1190"/>
    <d v="2017-10-22T00:00:00"/>
    <d v="2017-10-22T07:30:00"/>
    <n v="435"/>
    <n v="795"/>
    <n v="747"/>
    <s v="Other tube slagging or fouling"/>
    <s v="FS00Maintenance Derate for routine boiler deslagging."/>
    <s v="Trimble"/>
    <x v="0"/>
    <s v="Coal"/>
    <x v="2"/>
    <x v="4"/>
    <n v="10"/>
    <n v="7.5"/>
    <n v="3.3962264150943398"/>
    <n v="2536.9811320754716"/>
    <n v="338.2641509433962"/>
    <x v="200"/>
  </r>
  <r>
    <x v="12"/>
    <x v="0"/>
    <n v="69"/>
    <n v="310"/>
    <d v="2017-10-22T07:30:00"/>
    <d v="2017-10-22T07:57:00"/>
    <n v="435"/>
    <n v="795"/>
    <n v="747"/>
    <s v="Pulverizer mills"/>
    <s v="FR00The unit was placed on a derate due to issues with the 2A Coal Mill. The unit was "/>
    <s v="Trimble"/>
    <x v="0"/>
    <s v="Coal"/>
    <x v="2"/>
    <x v="4"/>
    <n v="10"/>
    <n v="0.45000000006984919"/>
    <n v="0.2037735849372902"/>
    <n v="152.21886794815578"/>
    <n v="338.2641509433962"/>
    <x v="200"/>
  </r>
  <r>
    <x v="12"/>
    <x v="2"/>
    <n v="70"/>
    <n v="1190"/>
    <d v="2017-10-22T07:57:00"/>
    <d v="2017-10-22T10:00:00"/>
    <n v="435"/>
    <n v="795"/>
    <n v="747"/>
    <s v="Other tube slagging or fouling"/>
    <s v="FS00Maintenance Derate for routine boiler delsagging."/>
    <s v="Trimble"/>
    <x v="0"/>
    <s v="Coal"/>
    <x v="2"/>
    <x v="4"/>
    <n v="10"/>
    <n v="2.0499999998719431"/>
    <n v="0.92830188673446479"/>
    <n v="693.44150939064525"/>
    <n v="338.2641509433962"/>
    <x v="200"/>
  </r>
  <r>
    <x v="12"/>
    <x v="2"/>
    <n v="71"/>
    <n v="1190"/>
    <d v="2017-10-29T00:00:00"/>
    <d v="2017-10-29T09:55:00"/>
    <n v="448"/>
    <n v="795"/>
    <n v="747"/>
    <s v="Other tube slagging or fouling"/>
    <s v="FS00Maintenance Derate for routine boiler deslagging."/>
    <s v="Trimble"/>
    <x v="0"/>
    <s v="Coal"/>
    <x v="2"/>
    <x v="4"/>
    <n v="10"/>
    <n v="9.9166666666860692"/>
    <n v="4.3284067086038567"/>
    <n v="3233.319811327081"/>
    <n v="326.04905660377358"/>
    <x v="326"/>
  </r>
  <r>
    <x v="12"/>
    <x v="0"/>
    <n v="72"/>
    <n v="300"/>
    <d v="2017-10-30T16:07:00"/>
    <d v="2017-10-30T17:47:00"/>
    <n v="625"/>
    <n v="795"/>
    <n v="747"/>
    <s v="Pulverizer motors and drives"/>
    <s v="F340The unit was placed on a forced derate when the 2E Coal Mill motor failed to start"/>
    <s v="Trimble"/>
    <x v="0"/>
    <s v="Coal"/>
    <x v="2"/>
    <x v="4"/>
    <n v="10"/>
    <n v="1.6666666666860692"/>
    <n v="0.35639412998318459"/>
    <n v="266.22641509743892"/>
    <n v="159.73584905660377"/>
    <x v="308"/>
  </r>
  <r>
    <x v="12"/>
    <x v="2"/>
    <n v="73"/>
    <n v="1190"/>
    <d v="2017-11-04T00:00:00"/>
    <d v="2017-11-04T10:00:00"/>
    <n v="448"/>
    <n v="795"/>
    <n v="747"/>
    <s v="Other tube slagging or fouling"/>
    <s v="FS00The unit was placed on a Maintenance Derate for routine boiler deslagging."/>
    <s v="Trimble"/>
    <x v="0"/>
    <s v="Coal"/>
    <x v="2"/>
    <x v="4"/>
    <n v="11"/>
    <n v="9.9999999999417923"/>
    <n v="4.3647798741884305"/>
    <n v="3260.4905660187574"/>
    <n v="326.04905660377358"/>
    <x v="326"/>
  </r>
  <r>
    <x v="12"/>
    <x v="0"/>
    <n v="74"/>
    <n v="3504"/>
    <d v="2017-11-10T05:00:00"/>
    <d v="2017-11-10T10:50:00"/>
    <n v="748"/>
    <n v="795"/>
    <n v="747"/>
    <s v="Heater drain valves"/>
    <s v="F410The unit was placed on an Immediate Derate when the 6B normal drain relay failed. "/>
    <s v="Trimble"/>
    <x v="0"/>
    <s v="Coal"/>
    <x v="2"/>
    <x v="4"/>
    <n v="11"/>
    <n v="5.8333333333139308"/>
    <n v="0.34486373165503742"/>
    <n v="257.61320754631294"/>
    <n v="44.162264150943393"/>
    <x v="176"/>
  </r>
  <r>
    <x v="12"/>
    <x v="2"/>
    <n v="75"/>
    <n v="1190"/>
    <d v="2017-11-11T22:00:00"/>
    <d v="2017-11-12T02:34:00"/>
    <n v="448"/>
    <n v="795"/>
    <n v="747"/>
    <s v="Other tube slagging or fouling"/>
    <s v="FS00The unit was placed on a Maintenance Derate for a routine boiler deslag."/>
    <s v="Trimble"/>
    <x v="0"/>
    <s v="Coal"/>
    <x v="2"/>
    <x v="4"/>
    <n v="11"/>
    <n v="4.5666666667093523"/>
    <n v="1.9932494759096167"/>
    <n v="1488.9573585044836"/>
    <n v="326.04905660377358"/>
    <x v="326"/>
  </r>
  <r>
    <x v="12"/>
    <x v="0"/>
    <n v="76"/>
    <n v="310"/>
    <d v="2017-11-12T02:34:00"/>
    <d v="2017-11-12T03:10:00"/>
    <n v="292"/>
    <n v="795"/>
    <n v="747"/>
    <s v="Pulverizer mills"/>
    <s v="F660The unit was placed on an immediate derate when the 2D Coal Mill tripped due to er"/>
    <s v="Trimble"/>
    <x v="0"/>
    <s v="Coal"/>
    <x v="2"/>
    <x v="4"/>
    <n v="11"/>
    <n v="0.6000000000349246"/>
    <n v="0.37962264153153091"/>
    <n v="283.5781132240536"/>
    <n v="472.63018867924529"/>
    <x v="328"/>
  </r>
  <r>
    <x v="12"/>
    <x v="2"/>
    <n v="77"/>
    <n v="1190"/>
    <d v="2017-11-12T03:10:00"/>
    <d v="2017-11-12T07:00:00"/>
    <n v="448"/>
    <n v="795"/>
    <n v="747"/>
    <s v="Other tube slagging or fouling"/>
    <s v="FS00The unit was placed on a Maintenance Derate to complete the routine boiler deslag."/>
    <s v="Trimble"/>
    <x v="0"/>
    <s v="Coal"/>
    <x v="2"/>
    <x v="4"/>
    <n v="11"/>
    <n v="3.8333333332557231"/>
    <n v="1.6731656184147621"/>
    <n v="1249.8547169558274"/>
    <n v="326.04905660377358"/>
    <x v="326"/>
  </r>
  <r>
    <x v="12"/>
    <x v="0"/>
    <n v="78"/>
    <n v="85"/>
    <d v="2017-11-12T17:54:00"/>
    <d v="2017-11-12T18:40:00"/>
    <n v="625"/>
    <n v="795"/>
    <n v="747"/>
    <s v="Bunker feeder coal scales"/>
    <s v="F520TC2 was placed on an immediate derate when the 2F Mill tripped due to a loss of co"/>
    <s v="Trimble"/>
    <x v="0"/>
    <s v="Coal"/>
    <x v="2"/>
    <x v="4"/>
    <n v="11"/>
    <n v="0.76666666672099382"/>
    <n v="0.16394129980197353"/>
    <n v="122.46415095207422"/>
    <n v="159.73584905660377"/>
    <x v="308"/>
  </r>
  <r>
    <x v="12"/>
    <x v="2"/>
    <n v="79"/>
    <n v="1190"/>
    <d v="2017-11-18T00:00:00"/>
    <d v="2017-11-18T10:00:00"/>
    <n v="448"/>
    <n v="795"/>
    <n v="747"/>
    <s v="Other tube slagging or fouling"/>
    <s v="FS00The unit was placed on a Maintenance Derate for routine boiler deslagging."/>
    <s v="Trimble"/>
    <x v="0"/>
    <s v="Coal"/>
    <x v="2"/>
    <x v="4"/>
    <n v="11"/>
    <n v="9.9999999999417923"/>
    <n v="4.3647798741884305"/>
    <n v="3260.4905660187574"/>
    <n v="326.04905660377358"/>
    <x v="326"/>
  </r>
  <r>
    <x v="12"/>
    <x v="2"/>
    <n v="80"/>
    <n v="1190"/>
    <d v="2017-11-26T00:00:00"/>
    <d v="2017-11-26T10:00:00"/>
    <n v="448"/>
    <n v="795"/>
    <n v="747"/>
    <s v="Other tube slagging or fouling"/>
    <s v="FS00The unit was placed on a Maintenance Derate for a routine boiler deslag."/>
    <s v="Trimble"/>
    <x v="0"/>
    <s v="Coal"/>
    <x v="2"/>
    <x v="4"/>
    <n v="11"/>
    <n v="9.9999999999417923"/>
    <n v="4.3647798741884305"/>
    <n v="3260.4905660187574"/>
    <n v="326.04905660377358"/>
    <x v="326"/>
  </r>
  <r>
    <x v="12"/>
    <x v="0"/>
    <n v="81"/>
    <n v="3399"/>
    <d v="2017-12-01T08:05:00"/>
    <d v="2017-12-01T13:51:00"/>
    <n v="790"/>
    <n v="795"/>
    <n v="747"/>
    <s v="Other miscellaneous condensate system problems"/>
    <s v="F660The unit was de-rated due to Condensate flow issues. The condensdate control valve"/>
    <s v="Trimble"/>
    <x v="0"/>
    <s v="Coal"/>
    <x v="2"/>
    <x v="4"/>
    <n v="12"/>
    <n v="5.7666666666045785"/>
    <n v="3.6268343815123137E-2"/>
    <n v="27.092452829896985"/>
    <n v="4.6981132075471699"/>
    <x v="166"/>
  </r>
  <r>
    <x v="12"/>
    <x v="2"/>
    <n v="82"/>
    <n v="1190"/>
    <d v="2017-12-03T00:00:00"/>
    <d v="2017-12-03T10:00:00"/>
    <n v="430"/>
    <n v="795"/>
    <n v="747"/>
    <s v="Other tube slagging or fouling"/>
    <s v="FS00The unit was placed on a Maintenance Derate for routine boiler deslagging."/>
    <s v="Trimble"/>
    <x v="0"/>
    <s v="Coal"/>
    <x v="2"/>
    <x v="4"/>
    <n v="12"/>
    <n v="9.9999999999417923"/>
    <n v="4.591194968526735"/>
    <n v="3429.6226414894709"/>
    <n v="342.96226415094338"/>
    <x v="293"/>
  </r>
  <r>
    <x v="12"/>
    <x v="0"/>
    <n v="83"/>
    <n v="9291"/>
    <d v="2017-12-08T14:30:00"/>
    <d v="2017-12-08T16:10:00"/>
    <n v="805"/>
    <n v="795"/>
    <n v="747"/>
    <s v="Other fuel quality problems (not outside management control)"/>
    <s v="F600The unit was placed on an Immediate Derate due to fuel quality issues."/>
    <s v="Trimble"/>
    <x v="0"/>
    <s v="Coal"/>
    <x v="2"/>
    <x v="4"/>
    <n v="12"/>
    <n v="1.6666666666860692"/>
    <n v="-2.0964360587246152E-2"/>
    <n v="-15.660377358672875"/>
    <n v="0"/>
    <x v="152"/>
  </r>
  <r>
    <x v="12"/>
    <x v="0"/>
    <n v="84"/>
    <n v="8750"/>
    <d v="2017-12-08T16:10:00"/>
    <d v="2017-12-08T18:00:00"/>
    <n v="765"/>
    <n v="795"/>
    <n v="747"/>
    <s v="O2 analyzer problems"/>
    <s v="FE00Due to issues with the O2 probes, CO levels rose and load was dropped to accommoda"/>
    <s v="Trimble"/>
    <x v="0"/>
    <s v="Coal"/>
    <x v="2"/>
    <x v="4"/>
    <n v="12"/>
    <n v="1.8333333333721384"/>
    <n v="6.9182389938571259E-2"/>
    <n v="51.679245284112731"/>
    <n v="28.188679245283019"/>
    <x v="67"/>
  </r>
  <r>
    <x v="12"/>
    <x v="0"/>
    <n v="85"/>
    <n v="9291"/>
    <d v="2017-12-08T18:00:00"/>
    <d v="2017-12-09T00:00:00"/>
    <n v="805"/>
    <n v="795"/>
    <n v="747"/>
    <s v="Other fuel quality problems (not outside management control)"/>
    <s v="F600The unit was placed on an Immediate Derate due to fuel quality issues."/>
    <s v="Trimble"/>
    <x v="0"/>
    <s v="Coal"/>
    <x v="2"/>
    <x v="4"/>
    <n v="12"/>
    <n v="6"/>
    <n v="-7.5471698113207544E-2"/>
    <n v="-56.377358490566039"/>
    <n v="0"/>
    <x v="152"/>
  </r>
  <r>
    <x v="12"/>
    <x v="2"/>
    <n v="86"/>
    <n v="1190"/>
    <d v="2017-12-09T00:00:00"/>
    <d v="2017-12-09T10:00:00"/>
    <n v="430"/>
    <n v="795"/>
    <n v="747"/>
    <s v="Other tube slagging or fouling"/>
    <s v="FS00The unmti was placed on a Maintenance Derate for a routine boiler deslag."/>
    <s v="Trimble"/>
    <x v="0"/>
    <s v="Coal"/>
    <x v="2"/>
    <x v="4"/>
    <n v="12"/>
    <n v="9.9999999999417923"/>
    <n v="4.591194968526735"/>
    <n v="3429.6226414894709"/>
    <n v="342.96226415094338"/>
    <x v="293"/>
  </r>
  <r>
    <x v="12"/>
    <x v="0"/>
    <n v="87"/>
    <n v="3344"/>
    <d v="2017-12-09T15:56:00"/>
    <d v="2017-12-10T00:17:00"/>
    <n v="800"/>
    <n v="795"/>
    <n v="747"/>
    <s v="Deaerator (including level control)"/>
    <s v="F660The unit was placed on an Immediate Derate due to steam flow issues caused by the "/>
    <s v="Trimble"/>
    <x v="0"/>
    <s v="Coal"/>
    <x v="2"/>
    <x v="4"/>
    <n v="12"/>
    <n v="8.3499999999767169"/>
    <n v="-5.2515723270293815E-2"/>
    <n v="-39.229245282909481"/>
    <n v="0"/>
    <x v="152"/>
  </r>
  <r>
    <x v="12"/>
    <x v="5"/>
    <n v="88"/>
    <n v="1000"/>
    <d v="2017-12-10T00:17:00"/>
    <d v="2017-12-13T14:00:00"/>
    <n v="0"/>
    <n v="795"/>
    <n v="747"/>
    <s v="Waterwall (Furnace wall) A"/>
    <s v="F540The unit was placed on an Unplanned Outage due to multiple waterwall leaks, which "/>
    <s v="Trimble"/>
    <x v="3"/>
    <s v="Coal"/>
    <x v="2"/>
    <x v="4"/>
    <n v="12"/>
    <n v="85.716666666674428"/>
    <n v="85.716666666674428"/>
    <n v="64030.350000005797"/>
    <n v="747"/>
    <x v="302"/>
  </r>
  <r>
    <x v="12"/>
    <x v="0"/>
    <n v="89"/>
    <n v="3431"/>
    <d v="2017-12-14T03:00:00"/>
    <d v="2017-12-16T00:00:00"/>
    <n v="755"/>
    <n v="795"/>
    <n v="747"/>
    <s v="Other feedwater valves"/>
    <s v="F060Issues with the 2A TDBFP Recirculating Valve caused flow problems in the Feedwater"/>
    <s v="Trimble"/>
    <x v="0"/>
    <s v="Coal"/>
    <x v="2"/>
    <x v="4"/>
    <n v="12"/>
    <n v="45"/>
    <n v="2.2641509433962264"/>
    <n v="1691.3207547169811"/>
    <n v="37.584905660377359"/>
    <x v="15"/>
  </r>
  <r>
    <x v="12"/>
    <x v="2"/>
    <n v="90"/>
    <n v="1190"/>
    <d v="2017-12-16T00:00:00"/>
    <d v="2017-12-16T06:00:00"/>
    <n v="549"/>
    <n v="795"/>
    <n v="747"/>
    <s v="Other tube slagging or fouling"/>
    <s v="FS00The unit was placed on a Maintenance Derate for routine boiler deslagging."/>
    <s v="Trimble"/>
    <x v="0"/>
    <s v="Coal"/>
    <x v="2"/>
    <x v="4"/>
    <n v="12"/>
    <n v="6"/>
    <n v="1.8566037735849057"/>
    <n v="1386.8830188679246"/>
    <n v="231.14716981132077"/>
    <x v="78"/>
  </r>
  <r>
    <x v="12"/>
    <x v="0"/>
    <n v="91"/>
    <n v="3431"/>
    <d v="2017-12-16T06:00:00"/>
    <d v="2017-12-17T21:30:00"/>
    <n v="755"/>
    <n v="795"/>
    <n v="747"/>
    <s v="Other feedwater valves"/>
    <s v="F060Issues with the 2A TDBFP Recirculating Valve caused flow problems in the Feedwater"/>
    <s v="Trimble"/>
    <x v="0"/>
    <s v="Coal"/>
    <x v="2"/>
    <x v="4"/>
    <n v="12"/>
    <n v="39.500000000058208"/>
    <n v="1.9874213836507275"/>
    <n v="1484.6037735870934"/>
    <n v="37.584905660377359"/>
    <x v="15"/>
  </r>
  <r>
    <x v="12"/>
    <x v="0"/>
    <n v="92"/>
    <n v="3431"/>
    <d v="2017-12-17T21:30:00"/>
    <d v="2017-12-18T03:00:00"/>
    <n v="549"/>
    <n v="795"/>
    <n v="747"/>
    <s v="Other feedwater valves"/>
    <s v="F060In order to work on the 2A TDBFP Recirculating Valve, the MDBFP was brought into s"/>
    <s v="Trimble"/>
    <x v="0"/>
    <s v="Coal"/>
    <x v="2"/>
    <x v="4"/>
    <n v="12"/>
    <n v="5.4999999999417923"/>
    <n v="1.7018867924348187"/>
    <n v="1271.3094339488096"/>
    <n v="231.14716981132077"/>
    <x v="78"/>
  </r>
  <r>
    <x v="12"/>
    <x v="0"/>
    <n v="93"/>
    <n v="3431"/>
    <d v="2017-12-18T03:00:00"/>
    <d v="2017-12-20T06:34:00"/>
    <n v="789"/>
    <n v="795"/>
    <n v="747"/>
    <s v="Other feedwater valves"/>
    <s v="F060The unit was placed on an Immediate Derate while the MDBFP was running, as this co"/>
    <s v="Trimble"/>
    <x v="0"/>
    <s v="Coal"/>
    <x v="2"/>
    <x v="4"/>
    <n v="12"/>
    <n v="51.566666666592937"/>
    <n v="0.38918238993655047"/>
    <n v="290.7192452826032"/>
    <n v="5.6377358490566039"/>
    <x v="151"/>
  </r>
  <r>
    <x v="12"/>
    <x v="4"/>
    <n v="94"/>
    <n v="1000"/>
    <d v="2017-12-20T06:34:00"/>
    <d v="2017-12-22T11:54:00"/>
    <n v="0"/>
    <n v="795"/>
    <n v="747"/>
    <s v="Waterwall (Furnace wall) A"/>
    <s v="F540The unit was placed on a Maintenance Outage for repairs on a leaking waterwall slo"/>
    <s v="Trimble"/>
    <x v="2"/>
    <s v="Coal"/>
    <x v="2"/>
    <x v="4"/>
    <n v="12"/>
    <n v="53.333333333430346"/>
    <n v="53.333333333430346"/>
    <n v="39840.000000072469"/>
    <n v="747"/>
    <x v="302"/>
  </r>
  <r>
    <x v="12"/>
    <x v="5"/>
    <n v="95"/>
    <n v="1000"/>
    <d v="2017-12-29T19:31:00"/>
    <d v="2018-01-01T00:00:00"/>
    <m/>
    <n v="795"/>
    <n v="747"/>
    <s v="Waterwall (Furnace wall) A"/>
    <s v="F540The unit was placed on a Forced Outage for repairs to a tube leak on the left wate"/>
    <s v="Trimble"/>
    <x v="3"/>
    <s v="Coal"/>
    <x v="2"/>
    <x v="4"/>
    <n v="12"/>
    <n v="52.483333333279006"/>
    <n v="52.483333333279006"/>
    <n v="39205.049999959418"/>
    <n v="747"/>
    <x v="302"/>
  </r>
  <r>
    <x v="12"/>
    <x v="5"/>
    <n v="1"/>
    <n v="1000"/>
    <d v="2018-01-01T00:00:00"/>
    <d v="2018-01-01T11:56:00"/>
    <m/>
    <n v="795"/>
    <n v="747"/>
    <s v="Waterwall (Furnace wall) A"/>
    <s v="F540The unit was placed on a Forced Outage for repairs to a tube leak on the left wate"/>
    <s v="Trimble"/>
    <x v="3"/>
    <s v="Coal"/>
    <x v="2"/>
    <x v="5"/>
    <n v="1"/>
    <n v="11.933333333290648"/>
    <n v="11.933333333290648"/>
    <n v="8914.1999999681138"/>
    <n v="747"/>
    <x v="302"/>
  </r>
  <r>
    <x v="12"/>
    <x v="2"/>
    <n v="2"/>
    <n v="1190"/>
    <d v="2018-01-09T21:00:00"/>
    <d v="2018-01-10T05:30:00"/>
    <n v="449"/>
    <n v="795"/>
    <n v="747"/>
    <s v="Other tube slagging or fouling"/>
    <s v="FS00The unit was placed on a Maintenance Derate for a routine boiler deslagging."/>
    <s v="Trimble"/>
    <x v="0"/>
    <s v="Coal"/>
    <x v="2"/>
    <x v="5"/>
    <n v="1"/>
    <n v="8.4999999999417923"/>
    <n v="3.6993710691570567"/>
    <n v="2763.4301886603212"/>
    <n v="325.10943396226418"/>
    <x v="70"/>
  </r>
  <r>
    <x v="12"/>
    <x v="0"/>
    <n v="3"/>
    <n v="385"/>
    <d v="2018-01-10T05:30:00"/>
    <d v="2018-01-10T07:42:00"/>
    <n v="630"/>
    <n v="795"/>
    <n v="747"/>
    <s v="Igniters"/>
    <s v="F340Unit 2 was derated because the 3C gas igniter would not light which prevented the "/>
    <s v="Trimble"/>
    <x v="0"/>
    <s v="Coal"/>
    <x v="2"/>
    <x v="5"/>
    <n v="1"/>
    <n v="2.2000000000116415"/>
    <n v="0.45660377358732185"/>
    <n v="341.08301886972941"/>
    <n v="155.03773584905662"/>
    <x v="234"/>
  </r>
  <r>
    <x v="12"/>
    <x v="2"/>
    <n v="4"/>
    <n v="1190"/>
    <d v="2018-01-10T07:42:00"/>
    <d v="2018-01-10T09:00:00"/>
    <n v="449"/>
    <n v="795"/>
    <n v="747"/>
    <s v="Other tube slagging or fouling"/>
    <s v="FS00The unit was placed on a Maintenance Derate for the completion of routine boiler d"/>
    <s v="Trimble"/>
    <x v="0"/>
    <s v="Coal"/>
    <x v="2"/>
    <x v="5"/>
    <n v="1"/>
    <n v="1.3000000000465661"/>
    <n v="0.56578616354227906"/>
    <n v="422.64226416608244"/>
    <n v="325.10943396226418"/>
    <x v="70"/>
  </r>
  <r>
    <x v="12"/>
    <x v="2"/>
    <n v="5"/>
    <n v="1190"/>
    <d v="2018-01-13T00:00:00"/>
    <d v="2018-01-13T10:00:00"/>
    <n v="449"/>
    <n v="795"/>
    <n v="747"/>
    <s v="Other tube slagging or fouling"/>
    <s v="FS00The unit was placed on a Maintenance Derate for routine boiler deslagging."/>
    <s v="Trimble"/>
    <x v="0"/>
    <s v="Coal"/>
    <x v="2"/>
    <x v="5"/>
    <n v="1"/>
    <n v="9.9999999999417923"/>
    <n v="4.3522012578363025"/>
    <n v="3251.0943396037178"/>
    <n v="325.10943396226418"/>
    <x v="70"/>
  </r>
  <r>
    <x v="12"/>
    <x v="2"/>
    <n v="6"/>
    <n v="1190"/>
    <d v="2018-01-21T00:00:00"/>
    <d v="2018-01-21T10:00:00"/>
    <n v="440"/>
    <n v="795"/>
    <n v="747"/>
    <s v="Other tube slagging or fouling"/>
    <s v="FS00The unit was placed on a Maintenance Derate for routine boiler deslagging."/>
    <s v="Trimble"/>
    <x v="0"/>
    <s v="Coal"/>
    <x v="2"/>
    <x v="5"/>
    <n v="1"/>
    <n v="9.9999999999417923"/>
    <n v="4.4654088050054543"/>
    <n v="3335.6603773390743"/>
    <n v="333.56603773584908"/>
    <x v="321"/>
  </r>
  <r>
    <x v="12"/>
    <x v="0"/>
    <n v="7"/>
    <n v="3399"/>
    <d v="2018-01-22T18:27:00"/>
    <d v="2018-01-23T00:00:00"/>
    <n v="790"/>
    <n v="795"/>
    <n v="747"/>
    <s v="Other miscellaneous condensate system problems"/>
    <s v="F780The unit was placed on an unplanned derate due to ambient temperatures issues. The"/>
    <s v="Trimble"/>
    <x v="0"/>
    <s v="Coal"/>
    <x v="2"/>
    <x v="5"/>
    <n v="1"/>
    <n v="5.5499999999301508"/>
    <n v="3.4905660376919188E-2"/>
    <n v="26.074528301558633"/>
    <n v="4.6981132075471699"/>
    <x v="166"/>
  </r>
  <r>
    <x v="12"/>
    <x v="0"/>
    <n v="8"/>
    <n v="9271"/>
    <d v="2018-01-24T17:00:00"/>
    <d v="2018-01-24T19:15:00"/>
    <n v="750"/>
    <n v="795"/>
    <n v="747"/>
    <s v="Wet coal (not outside management control)"/>
    <s v="FW00The unit was placed on an Unplanned Derate due to wet coal supply."/>
    <s v="Trimble"/>
    <x v="0"/>
    <s v="Coal"/>
    <x v="2"/>
    <x v="5"/>
    <n v="1"/>
    <n v="2.25"/>
    <n v="0.12735849056603774"/>
    <n v="95.136792452830193"/>
    <n v="42.283018867924525"/>
    <x v="117"/>
  </r>
  <r>
    <x v="12"/>
    <x v="0"/>
    <n v="9"/>
    <n v="310"/>
    <d v="2018-01-25T01:00:00"/>
    <d v="2018-01-25T02:25:00"/>
    <n v="710"/>
    <n v="795"/>
    <n v="747"/>
    <s v="Pulverizer mills"/>
    <s v="F660The unit was placed on a derate due to winter rating airflow issues during a mill "/>
    <s v="Trimble"/>
    <x v="0"/>
    <s v="Coal"/>
    <x v="2"/>
    <x v="5"/>
    <n v="1"/>
    <n v="1.4166666667442769"/>
    <n v="0.1514675052493881"/>
    <n v="113.14622642129291"/>
    <n v="79.867924528301884"/>
    <x v="192"/>
  </r>
  <r>
    <x v="12"/>
    <x v="0"/>
    <n v="10"/>
    <n v="310"/>
    <d v="2018-01-26T03:00:00"/>
    <d v="2018-01-26T05:30:00"/>
    <n v="710"/>
    <n v="795"/>
    <n v="747"/>
    <s v="Pulverizer mills"/>
    <s v="F660The unit was placed on a derate due to winter rating airflow issues during a mill "/>
    <s v="Trimble"/>
    <x v="0"/>
    <s v="Coal"/>
    <x v="2"/>
    <x v="5"/>
    <n v="1"/>
    <n v="2.4999999999417923"/>
    <n v="0.26729559747805326"/>
    <n v="199.66981131610578"/>
    <n v="79.867924528301884"/>
    <x v="192"/>
  </r>
  <r>
    <x v="12"/>
    <x v="0"/>
    <n v="11"/>
    <n v="9271"/>
    <d v="2018-01-26T09:18:00"/>
    <d v="2018-01-26T17:23:00"/>
    <n v="799"/>
    <n v="795"/>
    <n v="747"/>
    <s v="Wet coal (not outside management control)"/>
    <s v="FW00The unit was placed on an Unplanned Derate due to wet coal supply."/>
    <s v="Trimble"/>
    <x v="0"/>
    <s v="Coal"/>
    <x v="2"/>
    <x v="5"/>
    <n v="1"/>
    <n v="8.0833333334885538"/>
    <n v="-4.0670859539565049E-2"/>
    <n v="-30.381132076055092"/>
    <n v="0"/>
    <x v="152"/>
  </r>
  <r>
    <x v="12"/>
    <x v="2"/>
    <n v="12"/>
    <n v="1190"/>
    <d v="2018-01-28T00:00:00"/>
    <d v="2018-01-28T07:00:00"/>
    <n v="449"/>
    <n v="795"/>
    <n v="747"/>
    <s v="Other tube slagging or fouling"/>
    <s v="FS00The unit was placed on a Maintenance Derate for routine boiler deslagging."/>
    <s v="Trimble"/>
    <x v="0"/>
    <s v="Coal"/>
    <x v="2"/>
    <x v="5"/>
    <n v="1"/>
    <n v="6.9999999999417923"/>
    <n v="3.0465408804778114"/>
    <n v="2275.766037716925"/>
    <n v="325.10943396226418"/>
    <x v="70"/>
  </r>
  <r>
    <x v="12"/>
    <x v="0"/>
    <n v="13"/>
    <n v="310"/>
    <d v="2018-01-31T01:30:00"/>
    <d v="2018-01-31T02:30:00"/>
    <n v="759"/>
    <n v="795"/>
    <n v="747"/>
    <s v="Pulverizer mills"/>
    <s v="F660The unit was placed on a derate due to winter rating airflow issues during a mill "/>
    <s v="Trimble"/>
    <x v="0"/>
    <s v="Coal"/>
    <x v="2"/>
    <x v="5"/>
    <n v="1"/>
    <n v="0.99999999994179234"/>
    <n v="4.528301886528871E-2"/>
    <n v="33.826415092370667"/>
    <n v="33.826415094339623"/>
    <x v="81"/>
  </r>
  <r>
    <x v="12"/>
    <x v="2"/>
    <n v="14"/>
    <n v="1190"/>
    <d v="2018-02-04T00:00:00"/>
    <d v="2018-02-04T10:00:00"/>
    <n v="449"/>
    <n v="795"/>
    <n v="747"/>
    <s v="Other tube slagging or fouling"/>
    <s v="FS00The unit was placed on a Maintenance Derate for routine boiler deslag."/>
    <s v="Trimble"/>
    <x v="0"/>
    <s v="Coal"/>
    <x v="2"/>
    <x v="5"/>
    <n v="2"/>
    <n v="9.9999999999417923"/>
    <n v="4.3522012578363025"/>
    <n v="3251.0943396037178"/>
    <n v="325.10943396226418"/>
    <x v="70"/>
  </r>
  <r>
    <x v="12"/>
    <x v="0"/>
    <n v="15"/>
    <n v="310"/>
    <d v="2018-02-06T02:30:00"/>
    <d v="2018-02-06T03:30:00"/>
    <n v="759"/>
    <n v="795"/>
    <n v="747"/>
    <s v="Pulverizer mills"/>
    <s v="F660The unit was placed on a derate due to winter rating airflow issues during a mill "/>
    <s v="Trimble"/>
    <x v="0"/>
    <s v="Coal"/>
    <x v="2"/>
    <x v="5"/>
    <n v="2"/>
    <n v="1.0000000001164153"/>
    <n v="4.5283018873196162E-2"/>
    <n v="33.826415098277536"/>
    <n v="33.826415094339623"/>
    <x v="81"/>
  </r>
  <r>
    <x v="12"/>
    <x v="0"/>
    <n v="16"/>
    <n v="9291"/>
    <d v="2018-02-07T06:00:00"/>
    <d v="2018-02-07T16:10:00"/>
    <n v="804"/>
    <n v="795"/>
    <n v="747"/>
    <s v="Other fuel quality problems (not outside management control)"/>
    <s v="F610The unit was placed on a derate for issues with the fuel supply."/>
    <s v="Trimble"/>
    <x v="0"/>
    <s v="Coal"/>
    <x v="2"/>
    <x v="5"/>
    <n v="2"/>
    <n v="10.166666666627862"/>
    <n v="-0.11509433962220221"/>
    <n v="-85.975471697785053"/>
    <n v="0"/>
    <x v="152"/>
  </r>
  <r>
    <x v="12"/>
    <x v="0"/>
    <n v="17"/>
    <n v="310"/>
    <d v="2018-02-08T02:19:00"/>
    <d v="2018-02-08T02:29:00"/>
    <n v="785"/>
    <n v="795"/>
    <n v="747"/>
    <s v="Pulverizer mills"/>
    <s v="F660The unit was placed on a derate due to winter rating airflow issues during a mill "/>
    <s v="Trimble"/>
    <x v="0"/>
    <s v="Coal"/>
    <x v="2"/>
    <x v="5"/>
    <n v="2"/>
    <n v="0.16666666668606922"/>
    <n v="2.0964360589442671E-3"/>
    <n v="1.5660377360313675"/>
    <n v="9.3962264150943398"/>
    <x v="94"/>
  </r>
  <r>
    <x v="12"/>
    <x v="2"/>
    <n v="18"/>
    <n v="1190"/>
    <d v="2018-02-10T21:00:00"/>
    <d v="2018-02-11T10:00:00"/>
    <n v="449"/>
    <n v="795"/>
    <n v="747"/>
    <s v="Other tube slagging or fouling"/>
    <s v="FS00The unit was placed on a Maintenance Derate for routine boiler deslagging."/>
    <s v="Trimble"/>
    <x v="0"/>
    <s v="Coal"/>
    <x v="2"/>
    <x v="5"/>
    <n v="2"/>
    <n v="12.999999999941792"/>
    <n v="5.6578616351947923"/>
    <n v="4226.4226414905097"/>
    <n v="325.10943396226418"/>
    <x v="70"/>
  </r>
  <r>
    <x v="12"/>
    <x v="2"/>
    <n v="19"/>
    <n v="1190"/>
    <d v="2018-02-17T22:00:00"/>
    <d v="2018-02-18T00:00:00"/>
    <n v="449"/>
    <n v="795"/>
    <n v="747"/>
    <s v="Other tube slagging or fouling"/>
    <s v="FS00The unit was placed on a Maintenance Derate four a routine boiler deslag."/>
    <s v="Trimble"/>
    <x v="0"/>
    <s v="Coal"/>
    <x v="2"/>
    <x v="5"/>
    <n v="2"/>
    <n v="2.0000000000582077"/>
    <n v="0.87044025159766014"/>
    <n v="650.2188679434521"/>
    <n v="325.10943396226418"/>
    <x v="70"/>
  </r>
  <r>
    <x v="12"/>
    <x v="0"/>
    <n v="20"/>
    <n v="1455"/>
    <d v="2018-02-19T15:13:00"/>
    <d v="2018-02-21T09:30:00"/>
    <n v="800"/>
    <n v="795"/>
    <n v="747"/>
    <s v="Induced draft fans"/>
    <s v="F660The unit was placed on a derate due to winter rating airflow issues with the ID Fa"/>
    <s v="Trimble"/>
    <x v="0"/>
    <s v="Coal"/>
    <x v="2"/>
    <x v="5"/>
    <n v="2"/>
    <n v="42.28333333338378"/>
    <n v="-0.26593291404643887"/>
    <n v="-198.65188679268985"/>
    <n v="0"/>
    <x v="152"/>
  </r>
  <r>
    <x v="12"/>
    <x v="1"/>
    <n v="21"/>
    <n v="310"/>
    <d v="2018-02-22T00:00:00"/>
    <d v="2018-02-22T02:30:00"/>
    <n v="779"/>
    <n v="795"/>
    <n v="747"/>
    <s v="Pulverizer mills"/>
    <s v="F660The unit was placed on a planned derate due to winter rating airflow issues during"/>
    <s v="Trimble"/>
    <x v="0"/>
    <s v="Coal"/>
    <x v="2"/>
    <x v="5"/>
    <n v="2"/>
    <n v="2.4999999999417923"/>
    <n v="5.0314465407633555E-2"/>
    <n v="37.584905659502269"/>
    <n v="15.033962264150944"/>
    <x v="169"/>
  </r>
  <r>
    <x v="12"/>
    <x v="0"/>
    <n v="22"/>
    <n v="1455"/>
    <d v="2018-02-22T13:30:00"/>
    <d v="2018-02-23T00:00:00"/>
    <n v="799"/>
    <n v="795"/>
    <n v="747"/>
    <s v="Induced draft fans"/>
    <s v="F780The unit was placed on a derate due to winter rating ambient temperature issues."/>
    <s v="Trimble"/>
    <x v="0"/>
    <s v="Coal"/>
    <x v="2"/>
    <x v="5"/>
    <n v="2"/>
    <n v="10.5"/>
    <n v="-5.2830188679245285E-2"/>
    <n v="-39.464150943396227"/>
    <n v="0"/>
    <x v="152"/>
  </r>
  <r>
    <x v="12"/>
    <x v="6"/>
    <n v="23"/>
    <n v="4400"/>
    <d v="2018-02-23T23:30:00"/>
    <d v="2018-04-30T00:00:00"/>
    <n v="0"/>
    <n v="795"/>
    <n v="747"/>
    <s v="Major turbine overhaul (720 hrs or longer) (use for non-specific overhaul only; see page B-1)"/>
    <s v="F590Planned Outage for multiple scopes, main scope being a total turbine maintenance p"/>
    <s v="Trimble"/>
    <x v="1"/>
    <s v="Coal"/>
    <x v="2"/>
    <x v="5"/>
    <n v="2"/>
    <n v="1560.5000000000582"/>
    <n v="1560.5000000000582"/>
    <n v="1165693.5000000435"/>
    <n v="747"/>
    <x v="3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12">
  <r>
    <x v="0"/>
    <n v="2"/>
    <n v="0.23333333322079852"/>
    <n v="105"/>
    <n v="1"/>
    <x v="0"/>
  </r>
  <r>
    <x v="0"/>
    <n v="4"/>
    <n v="121.08333333337214"/>
    <n v="103"/>
    <n v="1"/>
    <x v="0"/>
  </r>
  <r>
    <x v="0"/>
    <n v="7"/>
    <n v="2.0000000000582077"/>
    <n v="100"/>
    <n v="1"/>
    <x v="0"/>
  </r>
  <r>
    <x v="0"/>
    <n v="8"/>
    <n v="188.19999999983702"/>
    <n v="99"/>
    <n v="1"/>
    <x v="0"/>
  </r>
  <r>
    <x v="0"/>
    <n v="12"/>
    <n v="42.46666666661622"/>
    <n v="95"/>
    <n v="1"/>
    <x v="1"/>
  </r>
  <r>
    <x v="0"/>
    <n v="13"/>
    <n v="34.800000000104774"/>
    <n v="94"/>
    <n v="1"/>
    <x v="1"/>
  </r>
  <r>
    <x v="0"/>
    <n v="18"/>
    <n v="48.766666666546371"/>
    <n v="89"/>
    <n v="1"/>
    <x v="1"/>
  </r>
  <r>
    <x v="0"/>
    <n v="20"/>
    <n v="1.8833333333604969"/>
    <n v="87"/>
    <n v="1"/>
    <x v="1"/>
  </r>
  <r>
    <x v="0"/>
    <n v="22"/>
    <n v="4.2500000000582077"/>
    <n v="85"/>
    <n v="1"/>
    <x v="2"/>
  </r>
  <r>
    <x v="0"/>
    <n v="23"/>
    <n v="207.04999999998836"/>
    <n v="84"/>
    <n v="1"/>
    <x v="2"/>
  </r>
  <r>
    <x v="0"/>
    <n v="26"/>
    <n v="6.6666666709352285E-2"/>
    <n v="81"/>
    <n v="1"/>
    <x v="2"/>
  </r>
  <r>
    <x v="0"/>
    <n v="27"/>
    <n v="75.366666667337995"/>
    <n v="80"/>
    <n v="1"/>
    <x v="2"/>
  </r>
  <r>
    <x v="0"/>
    <n v="32"/>
    <n v="83.766666666429956"/>
    <n v="75"/>
    <n v="1"/>
    <x v="3"/>
  </r>
  <r>
    <x v="0"/>
    <n v="33"/>
    <n v="2.25"/>
    <n v="74"/>
    <n v="1"/>
    <x v="3"/>
  </r>
  <r>
    <x v="0"/>
    <n v="37"/>
    <n v="5.4833333332207985"/>
    <n v="70"/>
    <n v="1"/>
    <x v="4"/>
  </r>
  <r>
    <x v="0"/>
    <n v="38"/>
    <n v="0.96666666667442769"/>
    <n v="69"/>
    <n v="1"/>
    <x v="4"/>
  </r>
  <r>
    <x v="0"/>
    <n v="45"/>
    <n v="0.91666666668606922"/>
    <n v="62"/>
    <n v="1"/>
    <x v="4"/>
  </r>
  <r>
    <x v="0"/>
    <n v="46"/>
    <n v="1.4000000000232831"/>
    <n v="61"/>
    <n v="1"/>
    <x v="4"/>
  </r>
  <r>
    <x v="0"/>
    <n v="48"/>
    <n v="3.8166666665347293"/>
    <n v="59"/>
    <n v="1"/>
    <x v="4"/>
  </r>
  <r>
    <x v="0"/>
    <n v="51"/>
    <n v="12.083333333255723"/>
    <n v="56"/>
    <n v="1"/>
    <x v="4"/>
  </r>
  <r>
    <x v="0"/>
    <n v="52"/>
    <n v="2.7500000000582077"/>
    <n v="55"/>
    <n v="1"/>
    <x v="4"/>
  </r>
  <r>
    <x v="0"/>
    <n v="55"/>
    <n v="267.56666666624369"/>
    <n v="52"/>
    <n v="1"/>
    <x v="4"/>
  </r>
  <r>
    <x v="0"/>
    <n v="60"/>
    <n v="7.0166666664881632"/>
    <n v="47"/>
    <n v="1"/>
    <x v="4"/>
  </r>
  <r>
    <x v="0"/>
    <n v="69"/>
    <n v="10.516666666720994"/>
    <n v="38"/>
    <n v="1"/>
    <x v="4"/>
  </r>
  <r>
    <x v="0"/>
    <n v="95"/>
    <n v="0.24999999994179234"/>
    <n v="12"/>
    <n v="1"/>
    <x v="5"/>
  </r>
  <r>
    <x v="0"/>
    <n v="99"/>
    <n v="0.78333333326736465"/>
    <n v="8"/>
    <n v="1"/>
    <x v="5"/>
  </r>
  <r>
    <x v="1"/>
    <n v="8"/>
    <n v="4.0833333333721384"/>
    <n v="160"/>
    <n v="2"/>
    <x v="6"/>
  </r>
  <r>
    <x v="1"/>
    <n v="13"/>
    <n v="16.066666666651145"/>
    <n v="155"/>
    <n v="2"/>
    <x v="6"/>
  </r>
  <r>
    <x v="1"/>
    <n v="18"/>
    <n v="51.399999999906868"/>
    <n v="150"/>
    <n v="2"/>
    <x v="6"/>
  </r>
  <r>
    <x v="1"/>
    <n v="27"/>
    <n v="137.01666666642996"/>
    <n v="141"/>
    <n v="2"/>
    <x v="7"/>
  </r>
  <r>
    <x v="1"/>
    <n v="32"/>
    <n v="9.7999999998137355"/>
    <n v="136"/>
    <n v="2"/>
    <x v="7"/>
  </r>
  <r>
    <x v="1"/>
    <n v="36"/>
    <n v="139.83333333354676"/>
    <n v="132"/>
    <n v="2"/>
    <x v="7"/>
  </r>
  <r>
    <x v="1"/>
    <n v="41"/>
    <n v="102.53333333315095"/>
    <n v="127"/>
    <n v="2"/>
    <x v="8"/>
  </r>
  <r>
    <x v="1"/>
    <n v="46"/>
    <n v="293.61666666646488"/>
    <n v="122"/>
    <n v="2"/>
    <x v="8"/>
  </r>
  <r>
    <x v="1"/>
    <n v="50"/>
    <n v="41.26666666707024"/>
    <n v="118"/>
    <n v="2"/>
    <x v="8"/>
  </r>
  <r>
    <x v="1"/>
    <n v="52"/>
    <n v="2.5000000001164153"/>
    <n v="116"/>
    <n v="2"/>
    <x v="8"/>
  </r>
  <r>
    <x v="1"/>
    <n v="55"/>
    <n v="19.68333333323244"/>
    <n v="113"/>
    <n v="2"/>
    <x v="8"/>
  </r>
  <r>
    <x v="1"/>
    <n v="60"/>
    <n v="41.749999999883585"/>
    <n v="108"/>
    <n v="2"/>
    <x v="8"/>
  </r>
  <r>
    <x v="1"/>
    <n v="64"/>
    <n v="188.48333333304618"/>
    <n v="104"/>
    <n v="2"/>
    <x v="8"/>
  </r>
  <r>
    <x v="1"/>
    <n v="69"/>
    <n v="164.7833333335002"/>
    <n v="99"/>
    <n v="2"/>
    <x v="8"/>
  </r>
  <r>
    <x v="1"/>
    <n v="74"/>
    <n v="2.9666666665580124"/>
    <n v="94"/>
    <n v="2"/>
    <x v="8"/>
  </r>
  <r>
    <x v="1"/>
    <n v="75"/>
    <n v="20.53333333338378"/>
    <n v="93"/>
    <n v="2"/>
    <x v="8"/>
  </r>
  <r>
    <x v="1"/>
    <n v="83"/>
    <n v="7.8666666666395031"/>
    <n v="85"/>
    <n v="2"/>
    <x v="9"/>
  </r>
  <r>
    <x v="1"/>
    <n v="92"/>
    <n v="12.999999999941792"/>
    <n v="76"/>
    <n v="2"/>
    <x v="10"/>
  </r>
  <r>
    <x v="1"/>
    <n v="112"/>
    <n v="1.783333333209157"/>
    <n v="56"/>
    <n v="2"/>
    <x v="5"/>
  </r>
  <r>
    <x v="1"/>
    <n v="153"/>
    <n v="1.966666666790843"/>
    <n v="15"/>
    <n v="2"/>
    <x v="5"/>
  </r>
  <r>
    <x v="1"/>
    <n v="158"/>
    <n v="8.3999999997904524"/>
    <n v="10"/>
    <n v="2"/>
    <x v="5"/>
  </r>
  <r>
    <x v="2"/>
    <n v="14"/>
    <n v="382.68333333323244"/>
    <n v="399"/>
    <n v="3"/>
    <x v="11"/>
  </r>
  <r>
    <x v="2"/>
    <n v="19"/>
    <n v="254.18333333329065"/>
    <n v="394"/>
    <n v="3"/>
    <x v="11"/>
  </r>
  <r>
    <x v="2"/>
    <n v="23"/>
    <n v="171.86666666669771"/>
    <n v="390"/>
    <n v="3"/>
    <x v="11"/>
  </r>
  <r>
    <x v="2"/>
    <n v="25"/>
    <n v="0.28333333320915699"/>
    <n v="388"/>
    <n v="3"/>
    <x v="11"/>
  </r>
  <r>
    <x v="2"/>
    <n v="28"/>
    <n v="486.45000000006985"/>
    <n v="385"/>
    <n v="3"/>
    <x v="11"/>
  </r>
  <r>
    <x v="2"/>
    <n v="32"/>
    <n v="184.59999999997672"/>
    <n v="381"/>
    <n v="3"/>
    <x v="11"/>
  </r>
  <r>
    <x v="2"/>
    <n v="34"/>
    <n v="0.18333333340706304"/>
    <n v="379"/>
    <n v="3"/>
    <x v="11"/>
  </r>
  <r>
    <x v="2"/>
    <n v="43"/>
    <n v="0.43333333334885538"/>
    <n v="370"/>
    <n v="3"/>
    <x v="12"/>
  </r>
  <r>
    <x v="2"/>
    <n v="46"/>
    <n v="1.4000000000232831"/>
    <n v="367"/>
    <n v="3"/>
    <x v="12"/>
  </r>
  <r>
    <x v="2"/>
    <n v="50"/>
    <n v="26.083333333313931"/>
    <n v="363"/>
    <n v="3"/>
    <x v="12"/>
  </r>
  <r>
    <x v="2"/>
    <n v="59"/>
    <n v="5.4666666664998047"/>
    <n v="354"/>
    <n v="3"/>
    <x v="12"/>
  </r>
  <r>
    <x v="2"/>
    <n v="60"/>
    <n v="3.8166666667093523"/>
    <n v="353"/>
    <n v="3"/>
    <x v="12"/>
  </r>
  <r>
    <x v="2"/>
    <n v="69"/>
    <n v="1.3833333334769122"/>
    <n v="344"/>
    <n v="3"/>
    <x v="12"/>
  </r>
  <r>
    <x v="2"/>
    <n v="73"/>
    <n v="788.33333333343035"/>
    <n v="340"/>
    <n v="3"/>
    <x v="12"/>
  </r>
  <r>
    <x v="2"/>
    <n v="78"/>
    <n v="23.250000000174623"/>
    <n v="335"/>
    <n v="3"/>
    <x v="12"/>
  </r>
  <r>
    <x v="2"/>
    <n v="82"/>
    <n v="19.266666666953824"/>
    <n v="331"/>
    <n v="3"/>
    <x v="13"/>
  </r>
  <r>
    <x v="2"/>
    <n v="87"/>
    <n v="418.29999999969732"/>
    <n v="326"/>
    <n v="3"/>
    <x v="13"/>
  </r>
  <r>
    <x v="2"/>
    <n v="91"/>
    <n v="55.249999999883585"/>
    <n v="322"/>
    <n v="3"/>
    <x v="13"/>
  </r>
  <r>
    <x v="2"/>
    <n v="96"/>
    <n v="217.13333333458286"/>
    <n v="317"/>
    <n v="3"/>
    <x v="13"/>
  </r>
  <r>
    <x v="2"/>
    <n v="100"/>
    <n v="1.0999999999185093"/>
    <n v="313"/>
    <n v="3"/>
    <x v="13"/>
  </r>
  <r>
    <x v="2"/>
    <n v="105"/>
    <n v="24.716666666732635"/>
    <n v="308"/>
    <n v="3"/>
    <x v="13"/>
  </r>
  <r>
    <x v="2"/>
    <n v="109"/>
    <n v="4.1500000000814907"/>
    <n v="304"/>
    <n v="3"/>
    <x v="13"/>
  </r>
  <r>
    <x v="2"/>
    <n v="114"/>
    <n v="9.7000000000116415"/>
    <n v="299"/>
    <n v="3"/>
    <x v="13"/>
  </r>
  <r>
    <x v="2"/>
    <n v="118"/>
    <n v="208.09999999974389"/>
    <n v="295"/>
    <n v="3"/>
    <x v="13"/>
  </r>
  <r>
    <x v="2"/>
    <n v="123"/>
    <n v="689.79999999969732"/>
    <n v="290"/>
    <n v="3"/>
    <x v="13"/>
  </r>
  <r>
    <x v="2"/>
    <n v="127"/>
    <n v="9.3500000002677552"/>
    <n v="286"/>
    <n v="3"/>
    <x v="13"/>
  </r>
  <r>
    <x v="2"/>
    <n v="130"/>
    <n v="61.083333333372138"/>
    <n v="283"/>
    <n v="3"/>
    <x v="13"/>
  </r>
  <r>
    <x v="2"/>
    <n v="132"/>
    <n v="889.15000000025611"/>
    <n v="281"/>
    <n v="3"/>
    <x v="13"/>
  </r>
  <r>
    <x v="2"/>
    <n v="136"/>
    <n v="29.799999999871943"/>
    <n v="277"/>
    <n v="3"/>
    <x v="13"/>
  </r>
  <r>
    <x v="2"/>
    <n v="141"/>
    <n v="111.05000000016298"/>
    <n v="272"/>
    <n v="3"/>
    <x v="13"/>
  </r>
  <r>
    <x v="2"/>
    <n v="145"/>
    <n v="0.81666666670935228"/>
    <n v="268"/>
    <n v="3"/>
    <x v="13"/>
  </r>
  <r>
    <x v="2"/>
    <n v="148"/>
    <n v="0.10000000015133992"/>
    <n v="265"/>
    <n v="3"/>
    <x v="13"/>
  </r>
  <r>
    <x v="2"/>
    <n v="150"/>
    <n v="112.1333333333605"/>
    <n v="263"/>
    <n v="3"/>
    <x v="13"/>
  </r>
  <r>
    <x v="2"/>
    <n v="154"/>
    <n v="4.5166666665463708"/>
    <n v="259"/>
    <n v="3"/>
    <x v="13"/>
  </r>
  <r>
    <x v="2"/>
    <n v="159"/>
    <n v="31.083333333197515"/>
    <n v="254"/>
    <n v="3"/>
    <x v="13"/>
  </r>
  <r>
    <x v="2"/>
    <n v="163"/>
    <n v="3.0999999999767169"/>
    <n v="250"/>
    <n v="3"/>
    <x v="14"/>
  </r>
  <r>
    <x v="2"/>
    <n v="168"/>
    <n v="0.81666666670935228"/>
    <n v="245"/>
    <n v="3"/>
    <x v="14"/>
  </r>
  <r>
    <x v="2"/>
    <n v="177"/>
    <n v="1.5499999999883585"/>
    <n v="236"/>
    <n v="3"/>
    <x v="14"/>
  </r>
  <r>
    <x v="2"/>
    <n v="186"/>
    <n v="21.166666666686069"/>
    <n v="227"/>
    <n v="3"/>
    <x v="14"/>
  </r>
  <r>
    <x v="2"/>
    <n v="190"/>
    <n v="0.6000000000349246"/>
    <n v="223"/>
    <n v="3"/>
    <x v="14"/>
  </r>
  <r>
    <x v="2"/>
    <n v="195"/>
    <n v="8.0500000000465661"/>
    <n v="218"/>
    <n v="3"/>
    <x v="15"/>
  </r>
  <r>
    <x v="2"/>
    <n v="208"/>
    <n v="3.6666666665696539"/>
    <n v="205"/>
    <n v="3"/>
    <x v="15"/>
  </r>
  <r>
    <x v="2"/>
    <n v="231"/>
    <n v="0.73333333327900618"/>
    <n v="182"/>
    <n v="3"/>
    <x v="15"/>
  </r>
  <r>
    <x v="2"/>
    <n v="249"/>
    <n v="44.599999999918509"/>
    <n v="164"/>
    <n v="3"/>
    <x v="15"/>
  </r>
  <r>
    <x v="2"/>
    <n v="267"/>
    <n v="2.1333333334769122"/>
    <n v="146"/>
    <n v="3"/>
    <x v="15"/>
  </r>
  <r>
    <x v="2"/>
    <n v="280"/>
    <n v="0.66666666674427688"/>
    <n v="133"/>
    <n v="3"/>
    <x v="5"/>
  </r>
  <r>
    <x v="2"/>
    <n v="285"/>
    <n v="3.2666666666627862"/>
    <n v="128"/>
    <n v="3"/>
    <x v="5"/>
  </r>
  <r>
    <x v="2"/>
    <n v="316"/>
    <n v="0.73333333345362917"/>
    <n v="97"/>
    <n v="3"/>
    <x v="5"/>
  </r>
  <r>
    <x v="2"/>
    <n v="325"/>
    <n v="0.46666666679084301"/>
    <n v="88"/>
    <n v="3"/>
    <x v="5"/>
  </r>
  <r>
    <x v="2"/>
    <n v="336"/>
    <n v="5.3666666666977108"/>
    <n v="77"/>
    <n v="3"/>
    <x v="5"/>
  </r>
  <r>
    <x v="2"/>
    <n v="351"/>
    <n v="4.5333333334419876"/>
    <n v="62"/>
    <n v="3"/>
    <x v="5"/>
  </r>
  <r>
    <x v="2"/>
    <n v="357"/>
    <n v="0.49999999988358468"/>
    <n v="56"/>
    <n v="3"/>
    <x v="5"/>
  </r>
  <r>
    <x v="2"/>
    <n v="360"/>
    <n v="3.28333333338378"/>
    <n v="53"/>
    <n v="3"/>
    <x v="5"/>
  </r>
  <r>
    <x v="2"/>
    <n v="361"/>
    <n v="5.3999999999650754"/>
    <n v="52"/>
    <n v="3"/>
    <x v="5"/>
  </r>
  <r>
    <x v="2"/>
    <n v="369"/>
    <n v="4.6500000001396984"/>
    <n v="44"/>
    <n v="3"/>
    <x v="5"/>
  </r>
  <r>
    <x v="2"/>
    <n v="388"/>
    <n v="1.8833333333604969"/>
    <n v="25"/>
    <n v="3"/>
    <x v="5"/>
  </r>
  <r>
    <x v="3"/>
    <n v="9"/>
    <n v="924.19999999995343"/>
    <n v="470"/>
    <n v="4"/>
    <x v="16"/>
  </r>
  <r>
    <x v="3"/>
    <n v="13"/>
    <n v="3.4000000000814907"/>
    <n v="466"/>
    <n v="4"/>
    <x v="16"/>
  </r>
  <r>
    <x v="3"/>
    <n v="18"/>
    <n v="339.18333333358169"/>
    <n v="461"/>
    <n v="4"/>
    <x v="16"/>
  </r>
  <r>
    <x v="3"/>
    <n v="24"/>
    <n v="2.7333333333372138"/>
    <n v="455"/>
    <n v="4"/>
    <x v="16"/>
  </r>
  <r>
    <x v="3"/>
    <n v="28"/>
    <n v="24.249999999941792"/>
    <n v="451"/>
    <n v="4"/>
    <x v="16"/>
  </r>
  <r>
    <x v="3"/>
    <n v="32"/>
    <n v="3.3666666668141261"/>
    <n v="447"/>
    <n v="4"/>
    <x v="16"/>
  </r>
  <r>
    <x v="3"/>
    <n v="37"/>
    <n v="33.166666666336823"/>
    <n v="442"/>
    <n v="4"/>
    <x v="16"/>
  </r>
  <r>
    <x v="3"/>
    <n v="38"/>
    <n v="4.9333333333488554"/>
    <n v="441"/>
    <n v="4"/>
    <x v="16"/>
  </r>
  <r>
    <x v="3"/>
    <n v="39"/>
    <n v="1.4000000000232831"/>
    <n v="440"/>
    <n v="4"/>
    <x v="16"/>
  </r>
  <r>
    <x v="3"/>
    <n v="41"/>
    <n v="15.099999999976717"/>
    <n v="438"/>
    <n v="4"/>
    <x v="17"/>
  </r>
  <r>
    <x v="3"/>
    <n v="46"/>
    <n v="44.466666666499805"/>
    <n v="433"/>
    <n v="4"/>
    <x v="17"/>
  </r>
  <r>
    <x v="3"/>
    <n v="50"/>
    <n v="3.6833333332906477"/>
    <n v="429"/>
    <n v="4"/>
    <x v="17"/>
  </r>
  <r>
    <x v="3"/>
    <n v="55"/>
    <n v="875.966666667955"/>
    <n v="424"/>
    <n v="4"/>
    <x v="17"/>
  </r>
  <r>
    <x v="3"/>
    <n v="60"/>
    <n v="1.4333333334652707"/>
    <n v="419"/>
    <n v="4"/>
    <x v="17"/>
  </r>
  <r>
    <x v="3"/>
    <n v="64"/>
    <n v="1354.5666666670586"/>
    <n v="415"/>
    <n v="4"/>
    <x v="17"/>
  </r>
  <r>
    <x v="3"/>
    <n v="67"/>
    <n v="11.266666666720994"/>
    <n v="412"/>
    <n v="4"/>
    <x v="17"/>
  </r>
  <r>
    <x v="3"/>
    <n v="73"/>
    <n v="47.35000000015134"/>
    <n v="406"/>
    <n v="4"/>
    <x v="17"/>
  </r>
  <r>
    <x v="3"/>
    <n v="78"/>
    <n v="2.5833333331975155"/>
    <n v="401"/>
    <n v="4"/>
    <x v="17"/>
  </r>
  <r>
    <x v="3"/>
    <n v="83"/>
    <n v="52.166666666453239"/>
    <n v="396"/>
    <n v="4"/>
    <x v="18"/>
  </r>
  <r>
    <x v="3"/>
    <n v="87"/>
    <n v="8.2999999998137355"/>
    <n v="392"/>
    <n v="4"/>
    <x v="18"/>
  </r>
  <r>
    <x v="3"/>
    <n v="92"/>
    <n v="4.3000000000465661"/>
    <n v="387"/>
    <n v="4"/>
    <x v="18"/>
  </r>
  <r>
    <x v="3"/>
    <n v="96"/>
    <n v="3.1833333332324401"/>
    <n v="383"/>
    <n v="4"/>
    <x v="18"/>
  </r>
  <r>
    <x v="3"/>
    <n v="100"/>
    <n v="3.183333333407063"/>
    <n v="379"/>
    <n v="4"/>
    <x v="18"/>
  </r>
  <r>
    <x v="3"/>
    <n v="101"/>
    <n v="5.3166666667093523"/>
    <n v="378"/>
    <n v="4"/>
    <x v="18"/>
  </r>
  <r>
    <x v="3"/>
    <n v="105"/>
    <n v="2.7666666666045785"/>
    <n v="374"/>
    <n v="4"/>
    <x v="18"/>
  </r>
  <r>
    <x v="3"/>
    <n v="110"/>
    <n v="26.950000000186265"/>
    <n v="369"/>
    <n v="4"/>
    <x v="18"/>
  </r>
  <r>
    <x v="3"/>
    <n v="119"/>
    <n v="46.383333333302289"/>
    <n v="360"/>
    <n v="4"/>
    <x v="18"/>
  </r>
  <r>
    <x v="3"/>
    <n v="133"/>
    <n v="11.366666666697711"/>
    <n v="346"/>
    <n v="4"/>
    <x v="18"/>
  </r>
  <r>
    <x v="3"/>
    <n v="138"/>
    <n v="0.53333333332557231"/>
    <n v="341"/>
    <n v="4"/>
    <x v="18"/>
  </r>
  <r>
    <x v="3"/>
    <n v="142"/>
    <n v="0.84999999997671694"/>
    <n v="337"/>
    <n v="4"/>
    <x v="18"/>
  </r>
  <r>
    <x v="3"/>
    <n v="156"/>
    <n v="31.500000000174623"/>
    <n v="323"/>
    <n v="4"/>
    <x v="18"/>
  </r>
  <r>
    <x v="3"/>
    <n v="165"/>
    <n v="0.56666666676755995"/>
    <n v="314"/>
    <n v="4"/>
    <x v="19"/>
  </r>
  <r>
    <x v="3"/>
    <n v="167"/>
    <n v="48.266666666662786"/>
    <n v="312"/>
    <n v="4"/>
    <x v="19"/>
  </r>
  <r>
    <x v="3"/>
    <n v="174"/>
    <n v="17.783333333500195"/>
    <n v="305"/>
    <n v="4"/>
    <x v="19"/>
  </r>
  <r>
    <x v="3"/>
    <n v="179"/>
    <n v="1.7666666668374091"/>
    <n v="300"/>
    <n v="4"/>
    <x v="19"/>
  </r>
  <r>
    <x v="3"/>
    <n v="183"/>
    <n v="2.3166666667093523"/>
    <n v="296"/>
    <n v="4"/>
    <x v="19"/>
  </r>
  <r>
    <x v="3"/>
    <n v="186"/>
    <n v="187.16666666662786"/>
    <n v="293"/>
    <n v="4"/>
    <x v="19"/>
  </r>
  <r>
    <x v="3"/>
    <n v="188"/>
    <n v="0.61666666675591841"/>
    <n v="291"/>
    <n v="4"/>
    <x v="19"/>
  </r>
  <r>
    <x v="3"/>
    <n v="202"/>
    <n v="3.9666666668490507"/>
    <n v="277"/>
    <n v="4"/>
    <x v="20"/>
  </r>
  <r>
    <x v="3"/>
    <n v="204"/>
    <n v="79.949999999895226"/>
    <n v="275"/>
    <n v="4"/>
    <x v="20"/>
  </r>
  <r>
    <x v="3"/>
    <n v="257"/>
    <n v="36.46666666661622"/>
    <n v="222"/>
    <n v="4"/>
    <x v="20"/>
  </r>
  <r>
    <x v="3"/>
    <n v="271"/>
    <n v="4.3333333333139308"/>
    <n v="208"/>
    <n v="4"/>
    <x v="5"/>
  </r>
  <r>
    <x v="3"/>
    <n v="275"/>
    <n v="14.433333333407063"/>
    <n v="204"/>
    <n v="4"/>
    <x v="5"/>
  </r>
  <r>
    <x v="3"/>
    <n v="280"/>
    <n v="11.183333333465271"/>
    <n v="199"/>
    <n v="4"/>
    <x v="5"/>
  </r>
  <r>
    <x v="3"/>
    <n v="294"/>
    <n v="112.09999999991851"/>
    <n v="185"/>
    <n v="4"/>
    <x v="5"/>
  </r>
  <r>
    <x v="3"/>
    <n v="303"/>
    <n v="8.999999999825377"/>
    <n v="176"/>
    <n v="4"/>
    <x v="5"/>
  </r>
  <r>
    <x v="3"/>
    <n v="312"/>
    <n v="4.316666666592937"/>
    <n v="167"/>
    <n v="4"/>
    <x v="5"/>
  </r>
  <r>
    <x v="3"/>
    <n v="385"/>
    <n v="1.3333333334885538"/>
    <n v="94"/>
    <n v="4"/>
    <x v="5"/>
  </r>
  <r>
    <x v="3"/>
    <n v="444"/>
    <n v="0.5166666666045785"/>
    <n v="35"/>
    <n v="4"/>
    <x v="5"/>
  </r>
  <r>
    <x v="4"/>
    <n v="0"/>
    <n v="521.90000000002328"/>
    <n v="486"/>
    <n v="5"/>
    <x v="21"/>
  </r>
  <r>
    <x v="4"/>
    <n v="6"/>
    <n v="7.6999999999534339"/>
    <n v="480"/>
    <n v="5"/>
    <x v="21"/>
  </r>
  <r>
    <x v="4"/>
    <n v="8"/>
    <n v="0.70000000001164153"/>
    <n v="478"/>
    <n v="5"/>
    <x v="21"/>
  </r>
  <r>
    <x v="4"/>
    <n v="9"/>
    <n v="77.966666666732635"/>
    <n v="477"/>
    <n v="5"/>
    <x v="21"/>
  </r>
  <r>
    <x v="4"/>
    <n v="12"/>
    <n v="1.2666666667792015"/>
    <n v="474"/>
    <n v="5"/>
    <x v="21"/>
  </r>
  <r>
    <x v="4"/>
    <n v="14"/>
    <n v="309.33333333337214"/>
    <n v="472"/>
    <n v="5"/>
    <x v="21"/>
  </r>
  <r>
    <x v="4"/>
    <n v="19"/>
    <n v="2.5833333333721384"/>
    <n v="467"/>
    <n v="5"/>
    <x v="21"/>
  </r>
  <r>
    <x v="4"/>
    <n v="23"/>
    <n v="4.5"/>
    <n v="463"/>
    <n v="5"/>
    <x v="21"/>
  </r>
  <r>
    <x v="4"/>
    <n v="28"/>
    <n v="28.699999999778811"/>
    <n v="458"/>
    <n v="5"/>
    <x v="21"/>
  </r>
  <r>
    <x v="4"/>
    <n v="33"/>
    <n v="17.566666666651145"/>
    <n v="453"/>
    <n v="5"/>
    <x v="21"/>
  </r>
  <r>
    <x v="4"/>
    <n v="35"/>
    <n v="305.65000000008149"/>
    <n v="451"/>
    <n v="5"/>
    <x v="21"/>
  </r>
  <r>
    <x v="4"/>
    <n v="37"/>
    <n v="59.949999999487773"/>
    <n v="449"/>
    <n v="5"/>
    <x v="21"/>
  </r>
  <r>
    <x v="4"/>
    <n v="40"/>
    <n v="3.0999999999767169"/>
    <n v="446"/>
    <n v="5"/>
    <x v="21"/>
  </r>
  <r>
    <x v="4"/>
    <n v="42"/>
    <n v="9.2166666666744277"/>
    <n v="444"/>
    <n v="5"/>
    <x v="22"/>
  </r>
  <r>
    <x v="4"/>
    <n v="47"/>
    <n v="16.899999999732245"/>
    <n v="439"/>
    <n v="5"/>
    <x v="22"/>
  </r>
  <r>
    <x v="4"/>
    <n v="51"/>
    <n v="17.683333333348855"/>
    <n v="435"/>
    <n v="5"/>
    <x v="22"/>
  </r>
  <r>
    <x v="4"/>
    <n v="54"/>
    <n v="1.8500000000931323"/>
    <n v="432"/>
    <n v="5"/>
    <x v="22"/>
  </r>
  <r>
    <x v="4"/>
    <n v="56"/>
    <n v="1593.6833333320683"/>
    <n v="430"/>
    <n v="5"/>
    <x v="22"/>
  </r>
  <r>
    <x v="4"/>
    <n v="60"/>
    <n v="1.9999999998835847"/>
    <n v="426"/>
    <n v="5"/>
    <x v="22"/>
  </r>
  <r>
    <x v="4"/>
    <n v="61"/>
    <n v="12.116666666523088"/>
    <n v="425"/>
    <n v="5"/>
    <x v="22"/>
  </r>
  <r>
    <x v="4"/>
    <n v="65"/>
    <n v="312.0833333330811"/>
    <n v="421"/>
    <n v="5"/>
    <x v="22"/>
  </r>
  <r>
    <x v="4"/>
    <n v="67"/>
    <n v="3.7999999999883585"/>
    <n v="419"/>
    <n v="5"/>
    <x v="22"/>
  </r>
  <r>
    <x v="4"/>
    <n v="75"/>
    <n v="80.499999999592546"/>
    <n v="411"/>
    <n v="5"/>
    <x v="22"/>
  </r>
  <r>
    <x v="4"/>
    <n v="77"/>
    <n v="31.700000000128057"/>
    <n v="409"/>
    <n v="5"/>
    <x v="22"/>
  </r>
  <r>
    <x v="4"/>
    <n v="84"/>
    <n v="11.666666666627862"/>
    <n v="402"/>
    <n v="5"/>
    <x v="23"/>
  </r>
  <r>
    <x v="4"/>
    <n v="87"/>
    <n v="0.79999999998835847"/>
    <n v="399"/>
    <n v="5"/>
    <x v="23"/>
  </r>
  <r>
    <x v="4"/>
    <n v="89"/>
    <n v="0.39999999990686774"/>
    <n v="397"/>
    <n v="5"/>
    <x v="23"/>
  </r>
  <r>
    <x v="4"/>
    <n v="90"/>
    <n v="28.199999999895226"/>
    <n v="396"/>
    <n v="5"/>
    <x v="23"/>
  </r>
  <r>
    <x v="4"/>
    <n v="93"/>
    <n v="37.499999999825377"/>
    <n v="393"/>
    <n v="5"/>
    <x v="23"/>
  </r>
  <r>
    <x v="4"/>
    <n v="96"/>
    <n v="4.7166666666744277"/>
    <n v="390"/>
    <n v="5"/>
    <x v="23"/>
  </r>
  <r>
    <x v="4"/>
    <n v="103"/>
    <n v="2.2166666667326353"/>
    <n v="383"/>
    <n v="5"/>
    <x v="23"/>
  </r>
  <r>
    <x v="4"/>
    <n v="105"/>
    <n v="1.8333333333721384"/>
    <n v="381"/>
    <n v="5"/>
    <x v="23"/>
  </r>
  <r>
    <x v="4"/>
    <n v="107"/>
    <n v="11.333333333430346"/>
    <n v="379"/>
    <n v="5"/>
    <x v="23"/>
  </r>
  <r>
    <x v="4"/>
    <n v="112"/>
    <n v="11.100000000034925"/>
    <n v="374"/>
    <n v="5"/>
    <x v="23"/>
  </r>
  <r>
    <x v="4"/>
    <n v="120"/>
    <n v="36.46666666661622"/>
    <n v="366"/>
    <n v="5"/>
    <x v="23"/>
  </r>
  <r>
    <x v="4"/>
    <n v="122"/>
    <n v="5.4499999999534339"/>
    <n v="364"/>
    <n v="5"/>
    <x v="23"/>
  </r>
  <r>
    <x v="4"/>
    <n v="125"/>
    <n v="0.70000000001164153"/>
    <n v="361"/>
    <n v="5"/>
    <x v="23"/>
  </r>
  <r>
    <x v="4"/>
    <n v="135"/>
    <n v="5.6833333333488554"/>
    <n v="351"/>
    <n v="5"/>
    <x v="23"/>
  </r>
  <r>
    <x v="4"/>
    <n v="136"/>
    <n v="56.599999999918509"/>
    <n v="350"/>
    <n v="5"/>
    <x v="23"/>
  </r>
  <r>
    <x v="4"/>
    <n v="140"/>
    <n v="6.7833333334419876"/>
    <n v="346"/>
    <n v="5"/>
    <x v="23"/>
  </r>
  <r>
    <x v="4"/>
    <n v="150"/>
    <n v="24.583333333313931"/>
    <n v="336"/>
    <n v="5"/>
    <x v="23"/>
  </r>
  <r>
    <x v="4"/>
    <n v="159"/>
    <n v="24.166666666686069"/>
    <n v="327"/>
    <n v="5"/>
    <x v="23"/>
  </r>
  <r>
    <x v="4"/>
    <n v="162"/>
    <n v="0.66666666674427688"/>
    <n v="324"/>
    <n v="5"/>
    <x v="24"/>
  </r>
  <r>
    <x v="4"/>
    <n v="164"/>
    <n v="12.400000000081491"/>
    <n v="322"/>
    <n v="5"/>
    <x v="24"/>
  </r>
  <r>
    <x v="4"/>
    <n v="168"/>
    <n v="2.6999999998952262"/>
    <n v="318"/>
    <n v="5"/>
    <x v="24"/>
  </r>
  <r>
    <x v="4"/>
    <n v="178"/>
    <n v="3.8833333332440816"/>
    <n v="308"/>
    <n v="5"/>
    <x v="24"/>
  </r>
  <r>
    <x v="4"/>
    <n v="182"/>
    <n v="4.2666666666045785"/>
    <n v="304"/>
    <n v="5"/>
    <x v="24"/>
  </r>
  <r>
    <x v="4"/>
    <n v="187"/>
    <n v="20.14999999984866"/>
    <n v="299"/>
    <n v="5"/>
    <x v="24"/>
  </r>
  <r>
    <x v="4"/>
    <n v="206"/>
    <n v="15.599999999685679"/>
    <n v="280"/>
    <n v="5"/>
    <x v="25"/>
  </r>
  <r>
    <x v="4"/>
    <n v="207"/>
    <n v="4.3000000000465661"/>
    <n v="279"/>
    <n v="5"/>
    <x v="25"/>
  </r>
  <r>
    <x v="4"/>
    <n v="220"/>
    <n v="0.71666666673263535"/>
    <n v="266"/>
    <n v="5"/>
    <x v="25"/>
  </r>
  <r>
    <x v="4"/>
    <n v="224"/>
    <n v="2.1833333332906477"/>
    <n v="262"/>
    <n v="5"/>
    <x v="25"/>
  </r>
  <r>
    <x v="4"/>
    <n v="243"/>
    <n v="0.94999999995343387"/>
    <n v="243"/>
    <n v="5"/>
    <x v="25"/>
  </r>
  <r>
    <x v="4"/>
    <n v="248"/>
    <n v="3.5333333333255723"/>
    <n v="238"/>
    <n v="5"/>
    <x v="25"/>
  </r>
  <r>
    <x v="4"/>
    <n v="252"/>
    <n v="24.716666666558012"/>
    <n v="234"/>
    <n v="5"/>
    <x v="25"/>
  </r>
  <r>
    <x v="4"/>
    <n v="262"/>
    <n v="7.9500000000698492"/>
    <n v="224"/>
    <n v="5"/>
    <x v="5"/>
  </r>
  <r>
    <x v="4"/>
    <n v="273"/>
    <n v="1.2999999998719431"/>
    <n v="213"/>
    <n v="5"/>
    <x v="5"/>
  </r>
  <r>
    <x v="4"/>
    <n v="276"/>
    <n v="1.1333333333604969"/>
    <n v="210"/>
    <n v="5"/>
    <x v="5"/>
  </r>
  <r>
    <x v="4"/>
    <n v="280"/>
    <n v="0.88333333341870457"/>
    <n v="206"/>
    <n v="5"/>
    <x v="5"/>
  </r>
  <r>
    <x v="4"/>
    <n v="281"/>
    <n v="7.9833333333372138"/>
    <n v="205"/>
    <n v="5"/>
    <x v="5"/>
  </r>
  <r>
    <x v="4"/>
    <n v="290"/>
    <n v="4.9999999998835847"/>
    <n v="196"/>
    <n v="5"/>
    <x v="5"/>
  </r>
  <r>
    <x v="4"/>
    <n v="299"/>
    <n v="45.199999999778811"/>
    <n v="187"/>
    <n v="5"/>
    <x v="5"/>
  </r>
  <r>
    <x v="4"/>
    <n v="308"/>
    <n v="2.1666666667442769"/>
    <n v="178"/>
    <n v="5"/>
    <x v="5"/>
  </r>
  <r>
    <x v="4"/>
    <n v="318"/>
    <n v="0.33333333337213844"/>
    <n v="168"/>
    <n v="5"/>
    <x v="5"/>
  </r>
  <r>
    <x v="4"/>
    <n v="377"/>
    <n v="6.1833333332324401"/>
    <n v="109"/>
    <n v="5"/>
    <x v="5"/>
  </r>
  <r>
    <x v="4"/>
    <n v="412"/>
    <n v="2.9166666667442769"/>
    <n v="74"/>
    <n v="5"/>
    <x v="5"/>
  </r>
  <r>
    <x v="4"/>
    <n v="422"/>
    <n v="4.1999999998952262"/>
    <n v="64"/>
    <n v="5"/>
    <x v="5"/>
  </r>
  <r>
    <x v="4"/>
    <n v="463"/>
    <n v="4.3666666667559184"/>
    <n v="23"/>
    <n v="5"/>
    <x v="5"/>
  </r>
  <r>
    <x v="5"/>
    <n v="0"/>
    <n v="181.68333333305782"/>
    <n v="481"/>
    <n v="6"/>
    <x v="26"/>
  </r>
  <r>
    <x v="5"/>
    <n v="2"/>
    <n v="42.600000000034925"/>
    <n v="479"/>
    <n v="6"/>
    <x v="26"/>
  </r>
  <r>
    <x v="5"/>
    <n v="3"/>
    <n v="348.26666666666279"/>
    <n v="478"/>
    <n v="6"/>
    <x v="26"/>
  </r>
  <r>
    <x v="5"/>
    <n v="5"/>
    <n v="407.41666666668607"/>
    <n v="476"/>
    <n v="6"/>
    <x v="26"/>
  </r>
  <r>
    <x v="5"/>
    <n v="7"/>
    <n v="2139.1833333334071"/>
    <n v="474"/>
    <n v="6"/>
    <x v="26"/>
  </r>
  <r>
    <x v="5"/>
    <n v="9"/>
    <n v="48.633333333476912"/>
    <n v="472"/>
    <n v="6"/>
    <x v="26"/>
  </r>
  <r>
    <x v="5"/>
    <n v="10"/>
    <n v="3.6833333334652707"/>
    <n v="471"/>
    <n v="6"/>
    <x v="26"/>
  </r>
  <r>
    <x v="5"/>
    <n v="11"/>
    <n v="507.10000000015134"/>
    <n v="470"/>
    <n v="6"/>
    <x v="26"/>
  </r>
  <r>
    <x v="5"/>
    <n v="12"/>
    <n v="2075.1833333334653"/>
    <n v="469"/>
    <n v="6"/>
    <x v="26"/>
  </r>
  <r>
    <x v="5"/>
    <n v="13"/>
    <n v="82.116666666814126"/>
    <n v="468"/>
    <n v="6"/>
    <x v="26"/>
  </r>
  <r>
    <x v="5"/>
    <n v="15"/>
    <n v="142.70000000012806"/>
    <n v="466"/>
    <n v="6"/>
    <x v="26"/>
  </r>
  <r>
    <x v="5"/>
    <n v="16"/>
    <n v="160.0666666663019"/>
    <n v="465"/>
    <n v="6"/>
    <x v="26"/>
  </r>
  <r>
    <x v="5"/>
    <n v="18"/>
    <n v="76.450000000011642"/>
    <n v="463"/>
    <n v="6"/>
    <x v="26"/>
  </r>
  <r>
    <x v="5"/>
    <n v="21"/>
    <n v="469.38333333347691"/>
    <n v="460"/>
    <n v="6"/>
    <x v="26"/>
  </r>
  <r>
    <x v="5"/>
    <n v="22"/>
    <n v="161.56666666665114"/>
    <n v="459"/>
    <n v="6"/>
    <x v="26"/>
  </r>
  <r>
    <x v="5"/>
    <n v="24"/>
    <n v="0.91666666668606922"/>
    <n v="457"/>
    <n v="6"/>
    <x v="26"/>
  </r>
  <r>
    <x v="5"/>
    <n v="25"/>
    <n v="61.116666666639503"/>
    <n v="456"/>
    <n v="6"/>
    <x v="26"/>
  </r>
  <r>
    <x v="5"/>
    <n v="33"/>
    <n v="20.850000000034925"/>
    <n v="448"/>
    <n v="6"/>
    <x v="26"/>
  </r>
  <r>
    <x v="5"/>
    <n v="34"/>
    <n v="126.55000000004657"/>
    <n v="447"/>
    <n v="6"/>
    <x v="26"/>
  </r>
  <r>
    <x v="5"/>
    <n v="36"/>
    <n v="30.016666666720994"/>
    <n v="445"/>
    <n v="6"/>
    <x v="26"/>
  </r>
  <r>
    <x v="5"/>
    <n v="39"/>
    <n v="2.6000000000931323"/>
    <n v="442"/>
    <n v="6"/>
    <x v="26"/>
  </r>
  <r>
    <x v="5"/>
    <n v="41"/>
    <n v="12.933333333407063"/>
    <n v="440"/>
    <n v="6"/>
    <x v="27"/>
  </r>
  <r>
    <x v="5"/>
    <n v="42"/>
    <n v="1.9000000000814907"/>
    <n v="439"/>
    <n v="6"/>
    <x v="27"/>
  </r>
  <r>
    <x v="5"/>
    <n v="44"/>
    <n v="20.716666666790843"/>
    <n v="437"/>
    <n v="6"/>
    <x v="27"/>
  </r>
  <r>
    <x v="5"/>
    <n v="48"/>
    <n v="5.1833333332906477"/>
    <n v="433"/>
    <n v="6"/>
    <x v="27"/>
  </r>
  <r>
    <x v="5"/>
    <n v="50"/>
    <n v="14.983333333453629"/>
    <n v="431"/>
    <n v="6"/>
    <x v="27"/>
  </r>
  <r>
    <x v="5"/>
    <n v="53"/>
    <n v="22.766666666662786"/>
    <n v="428"/>
    <n v="6"/>
    <x v="27"/>
  </r>
  <r>
    <x v="5"/>
    <n v="57"/>
    <n v="7.5833333334303461"/>
    <n v="424"/>
    <n v="6"/>
    <x v="27"/>
  </r>
  <r>
    <x v="5"/>
    <n v="62"/>
    <n v="4.0500000001047738"/>
    <n v="419"/>
    <n v="6"/>
    <x v="27"/>
  </r>
  <r>
    <x v="5"/>
    <n v="63"/>
    <n v="31.116666666639503"/>
    <n v="418"/>
    <n v="6"/>
    <x v="27"/>
  </r>
  <r>
    <x v="5"/>
    <n v="64"/>
    <n v="5.0333333333255723"/>
    <n v="417"/>
    <n v="6"/>
    <x v="27"/>
  </r>
  <r>
    <x v="5"/>
    <n v="67"/>
    <n v="16.816666666651145"/>
    <n v="414"/>
    <n v="6"/>
    <x v="27"/>
  </r>
  <r>
    <x v="5"/>
    <n v="71"/>
    <n v="38.216666666732635"/>
    <n v="410"/>
    <n v="6"/>
    <x v="27"/>
  </r>
  <r>
    <x v="5"/>
    <n v="75"/>
    <n v="7.4000000000232831"/>
    <n v="406"/>
    <n v="6"/>
    <x v="27"/>
  </r>
  <r>
    <x v="5"/>
    <n v="80"/>
    <n v="2.1000000000349246"/>
    <n v="401"/>
    <n v="6"/>
    <x v="27"/>
  </r>
  <r>
    <x v="5"/>
    <n v="84"/>
    <n v="4.3499999998603016"/>
    <n v="397"/>
    <n v="6"/>
    <x v="28"/>
  </r>
  <r>
    <x v="5"/>
    <n v="85"/>
    <n v="0.83333333325572312"/>
    <n v="396"/>
    <n v="6"/>
    <x v="28"/>
  </r>
  <r>
    <x v="5"/>
    <n v="86"/>
    <n v="4.1166666666395031"/>
    <n v="395"/>
    <n v="6"/>
    <x v="28"/>
  </r>
  <r>
    <x v="5"/>
    <n v="89"/>
    <n v="2.0000000000582077"/>
    <n v="392"/>
    <n v="6"/>
    <x v="28"/>
  </r>
  <r>
    <x v="5"/>
    <n v="93"/>
    <n v="174.68333333329065"/>
    <n v="388"/>
    <n v="6"/>
    <x v="28"/>
  </r>
  <r>
    <x v="5"/>
    <n v="94"/>
    <n v="0.66666666674427688"/>
    <n v="387"/>
    <n v="6"/>
    <x v="28"/>
  </r>
  <r>
    <x v="5"/>
    <n v="98"/>
    <n v="25.833333333896007"/>
    <n v="383"/>
    <n v="6"/>
    <x v="28"/>
  </r>
  <r>
    <x v="5"/>
    <n v="103"/>
    <n v="0.44999999989522621"/>
    <n v="378"/>
    <n v="6"/>
    <x v="28"/>
  </r>
  <r>
    <x v="5"/>
    <n v="107"/>
    <n v="2.9333333332906477"/>
    <n v="374"/>
    <n v="6"/>
    <x v="28"/>
  </r>
  <r>
    <x v="5"/>
    <n v="116"/>
    <n v="11.233333333104383"/>
    <n v="365"/>
    <n v="6"/>
    <x v="28"/>
  </r>
  <r>
    <x v="5"/>
    <n v="118"/>
    <n v="0.91666666668606922"/>
    <n v="363"/>
    <n v="6"/>
    <x v="28"/>
  </r>
  <r>
    <x v="5"/>
    <n v="125"/>
    <n v="0.96666666667442769"/>
    <n v="356"/>
    <n v="6"/>
    <x v="28"/>
  </r>
  <r>
    <x v="5"/>
    <n v="134"/>
    <n v="1.3333333333139308"/>
    <n v="347"/>
    <n v="6"/>
    <x v="28"/>
  </r>
  <r>
    <x v="5"/>
    <n v="136"/>
    <n v="11.516666666662786"/>
    <n v="345"/>
    <n v="6"/>
    <x v="28"/>
  </r>
  <r>
    <x v="5"/>
    <n v="139"/>
    <n v="2.3333333334303461"/>
    <n v="342"/>
    <n v="6"/>
    <x v="28"/>
  </r>
  <r>
    <x v="5"/>
    <n v="161"/>
    <n v="3.5833333333139308"/>
    <n v="320"/>
    <n v="6"/>
    <x v="29"/>
  </r>
  <r>
    <x v="5"/>
    <n v="171"/>
    <n v="0.81666666670935228"/>
    <n v="310"/>
    <n v="6"/>
    <x v="29"/>
  </r>
  <r>
    <x v="5"/>
    <n v="184"/>
    <n v="22.983333333337214"/>
    <n v="297"/>
    <n v="6"/>
    <x v="29"/>
  </r>
  <r>
    <x v="5"/>
    <n v="189"/>
    <n v="1.4000000000232831"/>
    <n v="292"/>
    <n v="6"/>
    <x v="29"/>
  </r>
  <r>
    <x v="5"/>
    <n v="202"/>
    <n v="10.583333333430346"/>
    <n v="279"/>
    <n v="6"/>
    <x v="30"/>
  </r>
  <r>
    <x v="5"/>
    <n v="207"/>
    <n v="10.616666666523088"/>
    <n v="274"/>
    <n v="6"/>
    <x v="30"/>
  </r>
  <r>
    <x v="5"/>
    <n v="216"/>
    <n v="11.333333333430346"/>
    <n v="265"/>
    <n v="6"/>
    <x v="30"/>
  </r>
  <r>
    <x v="5"/>
    <n v="220"/>
    <n v="1.5666666667093523"/>
    <n v="261"/>
    <n v="6"/>
    <x v="30"/>
  </r>
  <r>
    <x v="5"/>
    <n v="230"/>
    <n v="1.4000000000232831"/>
    <n v="251"/>
    <n v="6"/>
    <x v="30"/>
  </r>
  <r>
    <x v="5"/>
    <n v="243"/>
    <n v="0.41666666662786156"/>
    <n v="238"/>
    <n v="6"/>
    <x v="30"/>
  </r>
  <r>
    <x v="5"/>
    <n v="252"/>
    <n v="66.983333333395422"/>
    <n v="229"/>
    <n v="6"/>
    <x v="30"/>
  </r>
  <r>
    <x v="5"/>
    <n v="261"/>
    <n v="2.5833333333721384"/>
    <n v="220"/>
    <n v="6"/>
    <x v="30"/>
  </r>
  <r>
    <x v="5"/>
    <n v="270"/>
    <n v="4.6333333334187046"/>
    <n v="211"/>
    <n v="6"/>
    <x v="30"/>
  </r>
  <r>
    <x v="5"/>
    <n v="271"/>
    <n v="6.466666666790843"/>
    <n v="210"/>
    <n v="6"/>
    <x v="30"/>
  </r>
  <r>
    <x v="5"/>
    <n v="279"/>
    <n v="7.4500000000116415"/>
    <n v="202"/>
    <n v="6"/>
    <x v="5"/>
  </r>
  <r>
    <x v="5"/>
    <n v="284"/>
    <n v="3.4999999998835847"/>
    <n v="197"/>
    <n v="6"/>
    <x v="5"/>
  </r>
  <r>
    <x v="5"/>
    <n v="288"/>
    <n v="3.5833333334885538"/>
    <n v="193"/>
    <n v="6"/>
    <x v="5"/>
  </r>
  <r>
    <x v="5"/>
    <n v="290"/>
    <n v="4.8333333333721384"/>
    <n v="191"/>
    <n v="6"/>
    <x v="5"/>
  </r>
  <r>
    <x v="5"/>
    <n v="293"/>
    <n v="21.016666666720994"/>
    <n v="188"/>
    <n v="6"/>
    <x v="5"/>
  </r>
  <r>
    <x v="5"/>
    <n v="298"/>
    <n v="84.849999999976717"/>
    <n v="183"/>
    <n v="6"/>
    <x v="5"/>
  </r>
  <r>
    <x v="5"/>
    <n v="308"/>
    <n v="69.75"/>
    <n v="173"/>
    <n v="6"/>
    <x v="5"/>
  </r>
  <r>
    <x v="5"/>
    <n v="316"/>
    <n v="13.516666666546371"/>
    <n v="165"/>
    <n v="6"/>
    <x v="5"/>
  </r>
  <r>
    <x v="5"/>
    <n v="338"/>
    <n v="0.43333333334885538"/>
    <n v="143"/>
    <n v="6"/>
    <x v="5"/>
  </r>
  <r>
    <x v="5"/>
    <n v="366"/>
    <n v="1.8666666666395031"/>
    <n v="115"/>
    <n v="6"/>
    <x v="5"/>
  </r>
  <r>
    <x v="5"/>
    <n v="470"/>
    <n v="18.75"/>
    <n v="11"/>
    <n v="6"/>
    <x v="5"/>
  </r>
  <r>
    <x v="6"/>
    <n v="0"/>
    <n v="974.51666666666279"/>
    <n v="478"/>
    <n v="7"/>
    <x v="31"/>
  </r>
  <r>
    <x v="6"/>
    <n v="4"/>
    <n v="547.06666666665114"/>
    <n v="474"/>
    <n v="7"/>
    <x v="31"/>
  </r>
  <r>
    <x v="6"/>
    <n v="5"/>
    <n v="1.5833333332557231"/>
    <n v="473"/>
    <n v="7"/>
    <x v="31"/>
  </r>
  <r>
    <x v="6"/>
    <n v="6"/>
    <n v="0.16666666668606922"/>
    <n v="472"/>
    <n v="7"/>
    <x v="31"/>
  </r>
  <r>
    <x v="6"/>
    <n v="9"/>
    <n v="4629.3499999999185"/>
    <n v="469"/>
    <n v="7"/>
    <x v="31"/>
  </r>
  <r>
    <x v="6"/>
    <n v="12"/>
    <n v="58.933333333348855"/>
    <n v="466"/>
    <n v="7"/>
    <x v="31"/>
  </r>
  <r>
    <x v="6"/>
    <n v="13"/>
    <n v="296.66666666645324"/>
    <n v="465"/>
    <n v="7"/>
    <x v="31"/>
  </r>
  <r>
    <x v="6"/>
    <n v="14"/>
    <n v="797.23333333345363"/>
    <n v="464"/>
    <n v="7"/>
    <x v="31"/>
  </r>
  <r>
    <x v="6"/>
    <n v="15"/>
    <n v="1.9333333333488554"/>
    <n v="463"/>
    <n v="7"/>
    <x v="31"/>
  </r>
  <r>
    <x v="6"/>
    <n v="16"/>
    <n v="2.1666666665696539"/>
    <n v="462"/>
    <n v="7"/>
    <x v="31"/>
  </r>
  <r>
    <x v="6"/>
    <n v="18"/>
    <n v="121.85000000009313"/>
    <n v="460"/>
    <n v="7"/>
    <x v="31"/>
  </r>
  <r>
    <x v="6"/>
    <n v="23"/>
    <n v="402.31666666717501"/>
    <n v="455"/>
    <n v="7"/>
    <x v="31"/>
  </r>
  <r>
    <x v="6"/>
    <n v="27"/>
    <n v="16.016666666662786"/>
    <n v="451"/>
    <n v="7"/>
    <x v="31"/>
  </r>
  <r>
    <x v="6"/>
    <n v="29"/>
    <n v="21.599999999860302"/>
    <n v="449"/>
    <n v="7"/>
    <x v="31"/>
  </r>
  <r>
    <x v="6"/>
    <n v="30"/>
    <n v="11.750000000058208"/>
    <n v="448"/>
    <n v="7"/>
    <x v="31"/>
  </r>
  <r>
    <x v="6"/>
    <n v="32"/>
    <n v="49.583333333430346"/>
    <n v="446"/>
    <n v="7"/>
    <x v="31"/>
  </r>
  <r>
    <x v="6"/>
    <n v="36"/>
    <n v="2.2666666667209938"/>
    <n v="442"/>
    <n v="7"/>
    <x v="31"/>
  </r>
  <r>
    <x v="6"/>
    <n v="39"/>
    <n v="9.9999999999417923"/>
    <n v="439"/>
    <n v="7"/>
    <x v="31"/>
  </r>
  <r>
    <x v="6"/>
    <n v="41"/>
    <n v="5.4833333332207985"/>
    <n v="437"/>
    <n v="7"/>
    <x v="32"/>
  </r>
  <r>
    <x v="6"/>
    <n v="44"/>
    <n v="19.549999999988358"/>
    <n v="434"/>
    <n v="7"/>
    <x v="32"/>
  </r>
  <r>
    <x v="6"/>
    <n v="46"/>
    <n v="3.8333333332557231"/>
    <n v="432"/>
    <n v="7"/>
    <x v="32"/>
  </r>
  <r>
    <x v="6"/>
    <n v="49"/>
    <n v="6.7333333332790062"/>
    <n v="429"/>
    <n v="7"/>
    <x v="32"/>
  </r>
  <r>
    <x v="6"/>
    <n v="50"/>
    <n v="4.1000000000931323"/>
    <n v="428"/>
    <n v="7"/>
    <x v="32"/>
  </r>
  <r>
    <x v="6"/>
    <n v="51"/>
    <n v="6.5166666666045785"/>
    <n v="427"/>
    <n v="7"/>
    <x v="32"/>
  </r>
  <r>
    <x v="6"/>
    <n v="53"/>
    <n v="3.3333333331975155"/>
    <n v="425"/>
    <n v="7"/>
    <x v="32"/>
  </r>
  <r>
    <x v="6"/>
    <n v="59"/>
    <n v="5.1000000000349246"/>
    <n v="419"/>
    <n v="7"/>
    <x v="32"/>
  </r>
  <r>
    <x v="6"/>
    <n v="68"/>
    <n v="24.716666666732635"/>
    <n v="410"/>
    <n v="7"/>
    <x v="32"/>
  </r>
  <r>
    <x v="6"/>
    <n v="71"/>
    <n v="10.250000000058208"/>
    <n v="407"/>
    <n v="7"/>
    <x v="32"/>
  </r>
  <r>
    <x v="6"/>
    <n v="73"/>
    <n v="5.2000000000116415"/>
    <n v="405"/>
    <n v="7"/>
    <x v="32"/>
  </r>
  <r>
    <x v="6"/>
    <n v="76"/>
    <n v="31.633333333244082"/>
    <n v="402"/>
    <n v="7"/>
    <x v="32"/>
  </r>
  <r>
    <x v="6"/>
    <n v="77"/>
    <n v="8.6499999999068677"/>
    <n v="401"/>
    <n v="7"/>
    <x v="32"/>
  </r>
  <r>
    <x v="6"/>
    <n v="84"/>
    <n v="0.43333333334885538"/>
    <n v="394"/>
    <n v="7"/>
    <x v="33"/>
  </r>
  <r>
    <x v="6"/>
    <n v="86"/>
    <n v="3.1666666666860692"/>
    <n v="392"/>
    <n v="7"/>
    <x v="33"/>
  </r>
  <r>
    <x v="6"/>
    <n v="91"/>
    <n v="25.60000000015134"/>
    <n v="387"/>
    <n v="7"/>
    <x v="33"/>
  </r>
  <r>
    <x v="6"/>
    <n v="96"/>
    <n v="11.300000000162981"/>
    <n v="382"/>
    <n v="7"/>
    <x v="33"/>
  </r>
  <r>
    <x v="6"/>
    <n v="101"/>
    <n v="1.5166666667209938"/>
    <n v="377"/>
    <n v="7"/>
    <x v="33"/>
  </r>
  <r>
    <x v="6"/>
    <n v="104"/>
    <n v="0.2333333333954215"/>
    <n v="374"/>
    <n v="7"/>
    <x v="33"/>
  </r>
  <r>
    <x v="6"/>
    <n v="105"/>
    <n v="2.6500000000814907"/>
    <n v="373"/>
    <n v="7"/>
    <x v="33"/>
  </r>
  <r>
    <x v="6"/>
    <n v="106"/>
    <n v="4.0000000001164153"/>
    <n v="372"/>
    <n v="7"/>
    <x v="33"/>
  </r>
  <r>
    <x v="6"/>
    <n v="109"/>
    <n v="1.7333333333954215"/>
    <n v="369"/>
    <n v="7"/>
    <x v="33"/>
  </r>
  <r>
    <x v="6"/>
    <n v="111"/>
    <n v="1.0666666666511446"/>
    <n v="367"/>
    <n v="7"/>
    <x v="33"/>
  </r>
  <r>
    <x v="6"/>
    <n v="114"/>
    <n v="7.4499999998370185"/>
    <n v="364"/>
    <n v="7"/>
    <x v="33"/>
  </r>
  <r>
    <x v="6"/>
    <n v="123"/>
    <n v="0.75"/>
    <n v="355"/>
    <n v="7"/>
    <x v="33"/>
  </r>
  <r>
    <x v="6"/>
    <n v="137"/>
    <n v="3.75"/>
    <n v="341"/>
    <n v="7"/>
    <x v="33"/>
  </r>
  <r>
    <x v="6"/>
    <n v="141"/>
    <n v="2.4500000001280569"/>
    <n v="337"/>
    <n v="7"/>
    <x v="33"/>
  </r>
  <r>
    <x v="6"/>
    <n v="143"/>
    <n v="63.333333333197515"/>
    <n v="335"/>
    <n v="7"/>
    <x v="33"/>
  </r>
  <r>
    <x v="6"/>
    <n v="150"/>
    <n v="1.03333333338378"/>
    <n v="328"/>
    <n v="7"/>
    <x v="33"/>
  </r>
  <r>
    <x v="6"/>
    <n v="159"/>
    <n v="7.2833333333255723"/>
    <n v="319"/>
    <n v="7"/>
    <x v="33"/>
  </r>
  <r>
    <x v="6"/>
    <n v="165"/>
    <n v="3.4333333333488554"/>
    <n v="313"/>
    <n v="7"/>
    <x v="34"/>
  </r>
  <r>
    <x v="6"/>
    <n v="168"/>
    <n v="0.81666666670935228"/>
    <n v="310"/>
    <n v="7"/>
    <x v="34"/>
  </r>
  <r>
    <x v="6"/>
    <n v="175"/>
    <n v="11.733333333337214"/>
    <n v="303"/>
    <n v="7"/>
    <x v="34"/>
  </r>
  <r>
    <x v="6"/>
    <n v="178"/>
    <n v="1.0000000001164153"/>
    <n v="300"/>
    <n v="7"/>
    <x v="34"/>
  </r>
  <r>
    <x v="6"/>
    <n v="196"/>
    <n v="7.0666666666511446"/>
    <n v="282"/>
    <n v="7"/>
    <x v="35"/>
  </r>
  <r>
    <x v="6"/>
    <n v="200"/>
    <n v="0.29999999993015081"/>
    <n v="278"/>
    <n v="7"/>
    <x v="35"/>
  </r>
  <r>
    <x v="6"/>
    <n v="205"/>
    <n v="8.1499999998486601"/>
    <n v="273"/>
    <n v="7"/>
    <x v="35"/>
  </r>
  <r>
    <x v="6"/>
    <n v="214"/>
    <n v="6.7833333332673647"/>
    <n v="264"/>
    <n v="7"/>
    <x v="35"/>
  </r>
  <r>
    <x v="6"/>
    <n v="223"/>
    <n v="2.5166666666627862"/>
    <n v="255"/>
    <n v="7"/>
    <x v="35"/>
  </r>
  <r>
    <x v="6"/>
    <n v="224"/>
    <n v="3.5166666666045785"/>
    <n v="254"/>
    <n v="7"/>
    <x v="35"/>
  </r>
  <r>
    <x v="6"/>
    <n v="232"/>
    <n v="3.4000000000814907"/>
    <n v="246"/>
    <n v="7"/>
    <x v="35"/>
  </r>
  <r>
    <x v="6"/>
    <n v="259"/>
    <n v="5.3166666667093523"/>
    <n v="219"/>
    <n v="7"/>
    <x v="35"/>
  </r>
  <r>
    <x v="6"/>
    <n v="269"/>
    <n v="3.7166666667326353"/>
    <n v="209"/>
    <n v="7"/>
    <x v="5"/>
  </r>
  <r>
    <x v="6"/>
    <n v="273"/>
    <n v="1.5333333332673647"/>
    <n v="205"/>
    <n v="7"/>
    <x v="5"/>
  </r>
  <r>
    <x v="6"/>
    <n v="278"/>
    <n v="4.9999999998835847"/>
    <n v="200"/>
    <n v="7"/>
    <x v="5"/>
  </r>
  <r>
    <x v="6"/>
    <n v="282"/>
    <n v="4.7166666666744277"/>
    <n v="196"/>
    <n v="7"/>
    <x v="5"/>
  </r>
  <r>
    <x v="6"/>
    <n v="287"/>
    <n v="15.966666666849051"/>
    <n v="191"/>
    <n v="7"/>
    <x v="5"/>
  </r>
  <r>
    <x v="6"/>
    <n v="296"/>
    <n v="150.13333333289484"/>
    <n v="182"/>
    <n v="7"/>
    <x v="5"/>
  </r>
  <r>
    <x v="6"/>
    <n v="305"/>
    <n v="134.23333333327901"/>
    <n v="173"/>
    <n v="7"/>
    <x v="5"/>
  </r>
  <r>
    <x v="6"/>
    <n v="314"/>
    <n v="0.86666666669771075"/>
    <n v="164"/>
    <n v="7"/>
    <x v="5"/>
  </r>
  <r>
    <x v="6"/>
    <n v="332"/>
    <n v="6.5000000000582077"/>
    <n v="146"/>
    <n v="7"/>
    <x v="5"/>
  </r>
  <r>
    <x v="6"/>
    <n v="375"/>
    <n v="1.8000000001047738"/>
    <n v="103"/>
    <n v="7"/>
    <x v="5"/>
  </r>
  <r>
    <x v="7"/>
    <n v="5"/>
    <n v="65.06666666676756"/>
    <n v="295"/>
    <n v="10"/>
    <x v="36"/>
  </r>
  <r>
    <x v="7"/>
    <n v="6"/>
    <n v="7.3333333333139308"/>
    <n v="294"/>
    <n v="10"/>
    <x v="36"/>
  </r>
  <r>
    <x v="7"/>
    <n v="9"/>
    <n v="74.266666666371748"/>
    <n v="291"/>
    <n v="10"/>
    <x v="36"/>
  </r>
  <r>
    <x v="7"/>
    <n v="11"/>
    <n v="0.91666666651144624"/>
    <n v="289"/>
    <n v="10"/>
    <x v="36"/>
  </r>
  <r>
    <x v="7"/>
    <n v="12"/>
    <n v="2.6666666668024845"/>
    <n v="288"/>
    <n v="10"/>
    <x v="36"/>
  </r>
  <r>
    <x v="7"/>
    <n v="14"/>
    <n v="87.883333333244082"/>
    <n v="286"/>
    <n v="10"/>
    <x v="36"/>
  </r>
  <r>
    <x v="7"/>
    <n v="18"/>
    <n v="195.45000000024447"/>
    <n v="282"/>
    <n v="10"/>
    <x v="36"/>
  </r>
  <r>
    <x v="7"/>
    <n v="19"/>
    <n v="7.3000000000465661"/>
    <n v="281"/>
    <n v="10"/>
    <x v="36"/>
  </r>
  <r>
    <x v="7"/>
    <n v="23"/>
    <n v="18.93333333323244"/>
    <n v="277"/>
    <n v="10"/>
    <x v="37"/>
  </r>
  <r>
    <x v="7"/>
    <n v="24"/>
    <n v="6.4500000000698492"/>
    <n v="276"/>
    <n v="10"/>
    <x v="37"/>
  </r>
  <r>
    <x v="7"/>
    <n v="25"/>
    <n v="6.0666666667093523"/>
    <n v="275"/>
    <n v="10"/>
    <x v="37"/>
  </r>
  <r>
    <x v="7"/>
    <n v="27"/>
    <n v="119.66666666627862"/>
    <n v="273"/>
    <n v="10"/>
    <x v="37"/>
  </r>
  <r>
    <x v="7"/>
    <n v="29"/>
    <n v="8.0833333333139308"/>
    <n v="271"/>
    <n v="10"/>
    <x v="37"/>
  </r>
  <r>
    <x v="7"/>
    <n v="32"/>
    <n v="14.283333333267365"/>
    <n v="268"/>
    <n v="10"/>
    <x v="37"/>
  </r>
  <r>
    <x v="7"/>
    <n v="35"/>
    <n v="26.116666666581295"/>
    <n v="265"/>
    <n v="10"/>
    <x v="37"/>
  </r>
  <r>
    <x v="7"/>
    <n v="36"/>
    <n v="41.700000000244472"/>
    <n v="264"/>
    <n v="10"/>
    <x v="37"/>
  </r>
  <r>
    <x v="7"/>
    <n v="40"/>
    <n v="1.4166666665696539"/>
    <n v="260"/>
    <n v="10"/>
    <x v="37"/>
  </r>
  <r>
    <x v="7"/>
    <n v="41"/>
    <n v="13.083333333197515"/>
    <n v="259"/>
    <n v="10"/>
    <x v="38"/>
  </r>
  <r>
    <x v="7"/>
    <n v="45"/>
    <n v="95.850000000384171"/>
    <n v="255"/>
    <n v="10"/>
    <x v="38"/>
  </r>
  <r>
    <x v="7"/>
    <n v="47"/>
    <n v="4.2833333333255723"/>
    <n v="253"/>
    <n v="10"/>
    <x v="38"/>
  </r>
  <r>
    <x v="7"/>
    <n v="48"/>
    <n v="2.9666666667326353"/>
    <n v="252"/>
    <n v="10"/>
    <x v="38"/>
  </r>
  <r>
    <x v="7"/>
    <n v="50"/>
    <n v="64.200000000069849"/>
    <n v="250"/>
    <n v="10"/>
    <x v="38"/>
  </r>
  <r>
    <x v="7"/>
    <n v="55"/>
    <n v="342.03333333309274"/>
    <n v="245"/>
    <n v="10"/>
    <x v="38"/>
  </r>
  <r>
    <x v="7"/>
    <n v="56"/>
    <n v="9.4833333335118368"/>
    <n v="244"/>
    <n v="10"/>
    <x v="38"/>
  </r>
  <r>
    <x v="7"/>
    <n v="58"/>
    <n v="5.71666666661622"/>
    <n v="242"/>
    <n v="10"/>
    <x v="38"/>
  </r>
  <r>
    <x v="7"/>
    <n v="59"/>
    <n v="18.849999999976717"/>
    <n v="241"/>
    <n v="10"/>
    <x v="38"/>
  </r>
  <r>
    <x v="7"/>
    <n v="60"/>
    <n v="0.43333333334885538"/>
    <n v="240"/>
    <n v="10"/>
    <x v="38"/>
  </r>
  <r>
    <x v="7"/>
    <n v="61"/>
    <n v="12.18333333323244"/>
    <n v="239"/>
    <n v="10"/>
    <x v="38"/>
  </r>
  <r>
    <x v="7"/>
    <n v="63"/>
    <n v="0.33333333337213844"/>
    <n v="237"/>
    <n v="10"/>
    <x v="38"/>
  </r>
  <r>
    <x v="7"/>
    <n v="64"/>
    <n v="74.399999999965075"/>
    <n v="236"/>
    <n v="10"/>
    <x v="38"/>
  </r>
  <r>
    <x v="7"/>
    <n v="68"/>
    <n v="31.083333333022892"/>
    <n v="232"/>
    <n v="10"/>
    <x v="38"/>
  </r>
  <r>
    <x v="7"/>
    <n v="69"/>
    <n v="0.53333333332557231"/>
    <n v="231"/>
    <n v="10"/>
    <x v="38"/>
  </r>
  <r>
    <x v="7"/>
    <n v="71"/>
    <n v="1.1166666668141261"/>
    <n v="229"/>
    <n v="10"/>
    <x v="38"/>
  </r>
  <r>
    <x v="7"/>
    <n v="73"/>
    <n v="474.66666666674428"/>
    <n v="227"/>
    <n v="10"/>
    <x v="38"/>
  </r>
  <r>
    <x v="7"/>
    <n v="75"/>
    <n v="2.4166666665114462"/>
    <n v="225"/>
    <n v="10"/>
    <x v="38"/>
  </r>
  <r>
    <x v="7"/>
    <n v="77"/>
    <n v="277.4166666669189"/>
    <n v="223"/>
    <n v="10"/>
    <x v="38"/>
  </r>
  <r>
    <x v="7"/>
    <n v="82"/>
    <n v="591.79999999841675"/>
    <n v="218"/>
    <n v="10"/>
    <x v="30"/>
  </r>
  <r>
    <x v="7"/>
    <n v="83"/>
    <n v="2.4166666666860692"/>
    <n v="217"/>
    <n v="10"/>
    <x v="30"/>
  </r>
  <r>
    <x v="7"/>
    <n v="85"/>
    <n v="59.399999999965075"/>
    <n v="215"/>
    <n v="10"/>
    <x v="30"/>
  </r>
  <r>
    <x v="7"/>
    <n v="86"/>
    <n v="27.966666666849051"/>
    <n v="214"/>
    <n v="10"/>
    <x v="30"/>
  </r>
  <r>
    <x v="7"/>
    <n v="87"/>
    <n v="2.2333333332790062"/>
    <n v="213"/>
    <n v="10"/>
    <x v="30"/>
  </r>
  <r>
    <x v="7"/>
    <n v="89"/>
    <n v="1.2000000000698492"/>
    <n v="211"/>
    <n v="10"/>
    <x v="30"/>
  </r>
  <r>
    <x v="7"/>
    <n v="91"/>
    <n v="168.56666666711681"/>
    <n v="209"/>
    <n v="10"/>
    <x v="39"/>
  </r>
  <r>
    <x v="7"/>
    <n v="95"/>
    <n v="14.083333333313931"/>
    <n v="205"/>
    <n v="10"/>
    <x v="39"/>
  </r>
  <r>
    <x v="7"/>
    <n v="96"/>
    <n v="1.5"/>
    <n v="204"/>
    <n v="10"/>
    <x v="39"/>
  </r>
  <r>
    <x v="7"/>
    <n v="100"/>
    <n v="24.966666666674428"/>
    <n v="200"/>
    <n v="10"/>
    <x v="39"/>
  </r>
  <r>
    <x v="7"/>
    <n v="105"/>
    <n v="3.2499999999417923"/>
    <n v="195"/>
    <n v="10"/>
    <x v="39"/>
  </r>
  <r>
    <x v="7"/>
    <n v="106"/>
    <n v="9.1499999999650754"/>
    <n v="194"/>
    <n v="10"/>
    <x v="39"/>
  </r>
  <r>
    <x v="7"/>
    <n v="107"/>
    <n v="3.283333333209157"/>
    <n v="193"/>
    <n v="10"/>
    <x v="39"/>
  </r>
  <r>
    <x v="7"/>
    <n v="109"/>
    <n v="1.4166666667442769"/>
    <n v="191"/>
    <n v="10"/>
    <x v="39"/>
  </r>
  <r>
    <x v="7"/>
    <n v="114"/>
    <n v="2.9166666665696539"/>
    <n v="186"/>
    <n v="10"/>
    <x v="39"/>
  </r>
  <r>
    <x v="7"/>
    <n v="118"/>
    <n v="20.916666666395031"/>
    <n v="182"/>
    <n v="10"/>
    <x v="39"/>
  </r>
  <r>
    <x v="7"/>
    <n v="123"/>
    <n v="8.5666666668257676"/>
    <n v="177"/>
    <n v="10"/>
    <x v="39"/>
  </r>
  <r>
    <x v="7"/>
    <n v="124"/>
    <n v="1.8666666666395031"/>
    <n v="176"/>
    <n v="10"/>
    <x v="39"/>
  </r>
  <r>
    <x v="7"/>
    <n v="127"/>
    <n v="6.0500000001629815"/>
    <n v="173"/>
    <n v="10"/>
    <x v="39"/>
  </r>
  <r>
    <x v="7"/>
    <n v="132"/>
    <n v="4.5333333332673647"/>
    <n v="168"/>
    <n v="10"/>
    <x v="39"/>
  </r>
  <r>
    <x v="7"/>
    <n v="136"/>
    <n v="5.7999999998719431"/>
    <n v="164"/>
    <n v="10"/>
    <x v="39"/>
  </r>
  <r>
    <x v="7"/>
    <n v="140"/>
    <n v="0.8999999999650754"/>
    <n v="160"/>
    <n v="10"/>
    <x v="39"/>
  </r>
  <r>
    <x v="7"/>
    <n v="141"/>
    <n v="10.733333333220799"/>
    <n v="159"/>
    <n v="10"/>
    <x v="39"/>
  </r>
  <r>
    <x v="7"/>
    <n v="150"/>
    <n v="5.25"/>
    <n v="150"/>
    <n v="10"/>
    <x v="39"/>
  </r>
  <r>
    <x v="7"/>
    <n v="155"/>
    <n v="6.4000000000814907"/>
    <n v="145"/>
    <n v="10"/>
    <x v="5"/>
  </r>
  <r>
    <x v="7"/>
    <n v="156"/>
    <n v="3.4833333333372138"/>
    <n v="144"/>
    <n v="10"/>
    <x v="5"/>
  </r>
  <r>
    <x v="7"/>
    <n v="159"/>
    <n v="2.8000000000465661"/>
    <n v="141"/>
    <n v="10"/>
    <x v="5"/>
  </r>
  <r>
    <x v="7"/>
    <n v="164"/>
    <n v="26.533333333558403"/>
    <n v="136"/>
    <n v="10"/>
    <x v="5"/>
  </r>
  <r>
    <x v="7"/>
    <n v="165"/>
    <n v="3.2000000001280569"/>
    <n v="135"/>
    <n v="10"/>
    <x v="5"/>
  </r>
  <r>
    <x v="7"/>
    <n v="167"/>
    <n v="9.3833333333604969"/>
    <n v="133"/>
    <n v="10"/>
    <x v="5"/>
  </r>
  <r>
    <x v="7"/>
    <n v="168"/>
    <n v="6.9166666666860692"/>
    <n v="132"/>
    <n v="10"/>
    <x v="5"/>
  </r>
  <r>
    <x v="7"/>
    <n v="173"/>
    <n v="7.4166666667442769"/>
    <n v="127"/>
    <n v="10"/>
    <x v="5"/>
  </r>
  <r>
    <x v="7"/>
    <n v="177"/>
    <n v="11.299999999988358"/>
    <n v="123"/>
    <n v="10"/>
    <x v="5"/>
  </r>
  <r>
    <x v="7"/>
    <n v="180"/>
    <n v="3.2499999999417923"/>
    <n v="120"/>
    <n v="10"/>
    <x v="5"/>
  </r>
  <r>
    <x v="7"/>
    <n v="182"/>
    <n v="19.449999999837019"/>
    <n v="118"/>
    <n v="10"/>
    <x v="5"/>
  </r>
  <r>
    <x v="7"/>
    <n v="186"/>
    <n v="12.866666666697711"/>
    <n v="114"/>
    <n v="10"/>
    <x v="5"/>
  </r>
  <r>
    <x v="7"/>
    <n v="191"/>
    <n v="22.266666666604578"/>
    <n v="109"/>
    <n v="10"/>
    <x v="5"/>
  </r>
  <r>
    <x v="7"/>
    <n v="209"/>
    <n v="6.9999999999417923"/>
    <n v="91"/>
    <n v="10"/>
    <x v="5"/>
  </r>
  <r>
    <x v="7"/>
    <n v="227"/>
    <n v="1.1666666666278616"/>
    <n v="73"/>
    <n v="10"/>
    <x v="5"/>
  </r>
  <r>
    <x v="7"/>
    <n v="241"/>
    <n v="0.8166666665347293"/>
    <n v="59"/>
    <n v="10"/>
    <x v="5"/>
  </r>
  <r>
    <x v="7"/>
    <n v="255"/>
    <n v="1.9499999998952262"/>
    <n v="45"/>
    <n v="10"/>
    <x v="5"/>
  </r>
  <r>
    <x v="8"/>
    <n v="4"/>
    <n v="4.2333333331625909"/>
    <n v="293"/>
    <n v="11"/>
    <x v="40"/>
  </r>
  <r>
    <x v="8"/>
    <n v="5"/>
    <n v="980.80000000022119"/>
    <n v="292"/>
    <n v="11"/>
    <x v="40"/>
  </r>
  <r>
    <x v="8"/>
    <n v="6"/>
    <n v="8.9166666665696539"/>
    <n v="291"/>
    <n v="11"/>
    <x v="40"/>
  </r>
  <r>
    <x v="8"/>
    <n v="7"/>
    <n v="22.316666666592937"/>
    <n v="290"/>
    <n v="11"/>
    <x v="40"/>
  </r>
  <r>
    <x v="8"/>
    <n v="8"/>
    <n v="13.249999999883585"/>
    <n v="289"/>
    <n v="11"/>
    <x v="40"/>
  </r>
  <r>
    <x v="8"/>
    <n v="9"/>
    <n v="1056.1333333330695"/>
    <n v="288"/>
    <n v="11"/>
    <x v="40"/>
  </r>
  <r>
    <x v="8"/>
    <n v="10"/>
    <n v="1937.5166666664882"/>
    <n v="287"/>
    <n v="11"/>
    <x v="40"/>
  </r>
  <r>
    <x v="8"/>
    <n v="11"/>
    <n v="2110.6833333334071"/>
    <n v="286"/>
    <n v="11"/>
    <x v="40"/>
  </r>
  <r>
    <x v="8"/>
    <n v="12"/>
    <n v="23.016666666779201"/>
    <n v="285"/>
    <n v="11"/>
    <x v="40"/>
  </r>
  <r>
    <x v="8"/>
    <n v="13"/>
    <n v="152.18333333363989"/>
    <n v="284"/>
    <n v="11"/>
    <x v="40"/>
  </r>
  <r>
    <x v="8"/>
    <n v="14"/>
    <n v="3.7000000000116415"/>
    <n v="283"/>
    <n v="11"/>
    <x v="40"/>
  </r>
  <r>
    <x v="8"/>
    <n v="15"/>
    <n v="5.5499999999301508"/>
    <n v="282"/>
    <n v="11"/>
    <x v="40"/>
  </r>
  <r>
    <x v="8"/>
    <n v="16"/>
    <n v="1.6333333332440816"/>
    <n v="281"/>
    <n v="11"/>
    <x v="40"/>
  </r>
  <r>
    <x v="8"/>
    <n v="18"/>
    <n v="421.85000000026776"/>
    <n v="279"/>
    <n v="11"/>
    <x v="40"/>
  </r>
  <r>
    <x v="8"/>
    <n v="20"/>
    <n v="65.233333333279006"/>
    <n v="277"/>
    <n v="11"/>
    <x v="40"/>
  </r>
  <r>
    <x v="8"/>
    <n v="22"/>
    <n v="6.2000000001280569"/>
    <n v="275"/>
    <n v="11"/>
    <x v="41"/>
  </r>
  <r>
    <x v="8"/>
    <n v="26"/>
    <n v="1.5499999999883585"/>
    <n v="271"/>
    <n v="11"/>
    <x v="41"/>
  </r>
  <r>
    <x v="8"/>
    <n v="27"/>
    <n v="63.350000000442378"/>
    <n v="270"/>
    <n v="11"/>
    <x v="41"/>
  </r>
  <r>
    <x v="8"/>
    <n v="30"/>
    <n v="15.533333333325572"/>
    <n v="267"/>
    <n v="11"/>
    <x v="41"/>
  </r>
  <r>
    <x v="8"/>
    <n v="31"/>
    <n v="25.183333333523478"/>
    <n v="266"/>
    <n v="11"/>
    <x v="41"/>
  </r>
  <r>
    <x v="8"/>
    <n v="33"/>
    <n v="4.1333333333604969"/>
    <n v="264"/>
    <n v="11"/>
    <x v="41"/>
  </r>
  <r>
    <x v="8"/>
    <n v="36"/>
    <n v="119.33333333325572"/>
    <n v="261"/>
    <n v="11"/>
    <x v="41"/>
  </r>
  <r>
    <x v="8"/>
    <n v="40"/>
    <n v="56.033333333325572"/>
    <n v="257"/>
    <n v="11"/>
    <x v="41"/>
  </r>
  <r>
    <x v="8"/>
    <n v="41"/>
    <n v="4.5666666667093523"/>
    <n v="256"/>
    <n v="11"/>
    <x v="42"/>
  </r>
  <r>
    <x v="8"/>
    <n v="45"/>
    <n v="138.41666666662786"/>
    <n v="252"/>
    <n v="11"/>
    <x v="42"/>
  </r>
  <r>
    <x v="8"/>
    <n v="48"/>
    <n v="13.883333333360497"/>
    <n v="249"/>
    <n v="11"/>
    <x v="42"/>
  </r>
  <r>
    <x v="8"/>
    <n v="49"/>
    <n v="34.866666666639503"/>
    <n v="248"/>
    <n v="11"/>
    <x v="42"/>
  </r>
  <r>
    <x v="8"/>
    <n v="51"/>
    <n v="10.416666666569654"/>
    <n v="246"/>
    <n v="11"/>
    <x v="42"/>
  </r>
  <r>
    <x v="8"/>
    <n v="52"/>
    <n v="18.433333333348855"/>
    <n v="245"/>
    <n v="11"/>
    <x v="42"/>
  </r>
  <r>
    <x v="8"/>
    <n v="54"/>
    <n v="115.2666666667792"/>
    <n v="243"/>
    <n v="11"/>
    <x v="42"/>
  </r>
  <r>
    <x v="8"/>
    <n v="55"/>
    <n v="8.9333333332906477"/>
    <n v="242"/>
    <n v="11"/>
    <x v="42"/>
  </r>
  <r>
    <x v="8"/>
    <n v="56"/>
    <n v="9.933333333407063"/>
    <n v="241"/>
    <n v="11"/>
    <x v="42"/>
  </r>
  <r>
    <x v="8"/>
    <n v="57"/>
    <n v="1.1333333333604969"/>
    <n v="240"/>
    <n v="11"/>
    <x v="42"/>
  </r>
  <r>
    <x v="8"/>
    <n v="58"/>
    <n v="59.116666666406672"/>
    <n v="239"/>
    <n v="11"/>
    <x v="42"/>
  </r>
  <r>
    <x v="8"/>
    <n v="59"/>
    <n v="7.7000000001280569"/>
    <n v="238"/>
    <n v="11"/>
    <x v="42"/>
  </r>
  <r>
    <x v="8"/>
    <n v="60"/>
    <n v="5.5499999999301508"/>
    <n v="237"/>
    <n v="11"/>
    <x v="42"/>
  </r>
  <r>
    <x v="8"/>
    <n v="61"/>
    <n v="13.799999999930151"/>
    <n v="236"/>
    <n v="11"/>
    <x v="42"/>
  </r>
  <r>
    <x v="8"/>
    <n v="63"/>
    <n v="109.13333333318587"/>
    <n v="234"/>
    <n v="11"/>
    <x v="42"/>
  </r>
  <r>
    <x v="8"/>
    <n v="65"/>
    <n v="36.650000000023283"/>
    <n v="232"/>
    <n v="11"/>
    <x v="42"/>
  </r>
  <r>
    <x v="8"/>
    <n v="66"/>
    <n v="17.800000000046566"/>
    <n v="231"/>
    <n v="11"/>
    <x v="42"/>
  </r>
  <r>
    <x v="8"/>
    <n v="67"/>
    <n v="33.216666666849051"/>
    <n v="230"/>
    <n v="11"/>
    <x v="42"/>
  </r>
  <r>
    <x v="8"/>
    <n v="68"/>
    <n v="14.266666666720994"/>
    <n v="229"/>
    <n v="11"/>
    <x v="42"/>
  </r>
  <r>
    <x v="8"/>
    <n v="71"/>
    <n v="21.866666666697711"/>
    <n v="226"/>
    <n v="11"/>
    <x v="42"/>
  </r>
  <r>
    <x v="8"/>
    <n v="72"/>
    <n v="273.56666666676756"/>
    <n v="225"/>
    <n v="11"/>
    <x v="42"/>
  </r>
  <r>
    <x v="8"/>
    <n v="74"/>
    <n v="26.766666666604578"/>
    <n v="223"/>
    <n v="11"/>
    <x v="42"/>
  </r>
  <r>
    <x v="8"/>
    <n v="76"/>
    <n v="67.083333333896007"/>
    <n v="221"/>
    <n v="11"/>
    <x v="42"/>
  </r>
  <r>
    <x v="8"/>
    <n v="81"/>
    <n v="841.61666666634846"/>
    <n v="216"/>
    <n v="11"/>
    <x v="43"/>
  </r>
  <r>
    <x v="8"/>
    <n v="84"/>
    <n v="18.199999999953434"/>
    <n v="213"/>
    <n v="11"/>
    <x v="43"/>
  </r>
  <r>
    <x v="8"/>
    <n v="85"/>
    <n v="53.900000000197906"/>
    <n v="212"/>
    <n v="11"/>
    <x v="43"/>
  </r>
  <r>
    <x v="8"/>
    <n v="86"/>
    <n v="0.65000000002328306"/>
    <n v="211"/>
    <n v="11"/>
    <x v="43"/>
  </r>
  <r>
    <x v="8"/>
    <n v="87"/>
    <n v="2.0000000000582077"/>
    <n v="210"/>
    <n v="11"/>
    <x v="43"/>
  </r>
  <r>
    <x v="8"/>
    <n v="90"/>
    <n v="130.68333333305782"/>
    <n v="207"/>
    <n v="11"/>
    <x v="43"/>
  </r>
  <r>
    <x v="8"/>
    <n v="93"/>
    <n v="28.21666666661622"/>
    <n v="204"/>
    <n v="11"/>
    <x v="44"/>
  </r>
  <r>
    <x v="8"/>
    <n v="94"/>
    <n v="16.650000000139698"/>
    <n v="203"/>
    <n v="11"/>
    <x v="44"/>
  </r>
  <r>
    <x v="8"/>
    <n v="95"/>
    <n v="6.8999999999650754"/>
    <n v="202"/>
    <n v="11"/>
    <x v="44"/>
  </r>
  <r>
    <x v="8"/>
    <n v="97"/>
    <n v="20.083333333313931"/>
    <n v="200"/>
    <n v="11"/>
    <x v="44"/>
  </r>
  <r>
    <x v="8"/>
    <n v="98"/>
    <n v="3.1166666666977108"/>
    <n v="199"/>
    <n v="11"/>
    <x v="44"/>
  </r>
  <r>
    <x v="8"/>
    <n v="99"/>
    <n v="17.149999999674037"/>
    <n v="198"/>
    <n v="11"/>
    <x v="44"/>
  </r>
  <r>
    <x v="8"/>
    <n v="100"/>
    <n v="9"/>
    <n v="197"/>
    <n v="11"/>
    <x v="44"/>
  </r>
  <r>
    <x v="8"/>
    <n v="103"/>
    <n v="2.5166666666627862"/>
    <n v="194"/>
    <n v="11"/>
    <x v="44"/>
  </r>
  <r>
    <x v="8"/>
    <n v="104"/>
    <n v="29.983333333279006"/>
    <n v="193"/>
    <n v="11"/>
    <x v="44"/>
  </r>
  <r>
    <x v="8"/>
    <n v="105"/>
    <n v="8.0166666666045785"/>
    <n v="192"/>
    <n v="11"/>
    <x v="44"/>
  </r>
  <r>
    <x v="8"/>
    <n v="108"/>
    <n v="4.0166666666627862"/>
    <n v="189"/>
    <n v="11"/>
    <x v="44"/>
  </r>
  <r>
    <x v="8"/>
    <n v="111"/>
    <n v="1.1499999999068677"/>
    <n v="186"/>
    <n v="11"/>
    <x v="44"/>
  </r>
  <r>
    <x v="8"/>
    <n v="112"/>
    <n v="36.64999999984866"/>
    <n v="185"/>
    <n v="11"/>
    <x v="44"/>
  </r>
  <r>
    <x v="8"/>
    <n v="113"/>
    <n v="4.5666666665347293"/>
    <n v="184"/>
    <n v="11"/>
    <x v="44"/>
  </r>
  <r>
    <x v="8"/>
    <n v="117"/>
    <n v="19.300000000046566"/>
    <n v="180"/>
    <n v="11"/>
    <x v="44"/>
  </r>
  <r>
    <x v="8"/>
    <n v="126"/>
    <n v="75.066666666534729"/>
    <n v="171"/>
    <n v="11"/>
    <x v="44"/>
  </r>
  <r>
    <x v="8"/>
    <n v="130"/>
    <n v="8.8333333333139308"/>
    <n v="167"/>
    <n v="11"/>
    <x v="44"/>
  </r>
  <r>
    <x v="8"/>
    <n v="131"/>
    <n v="39.516666666779201"/>
    <n v="166"/>
    <n v="11"/>
    <x v="44"/>
  </r>
  <r>
    <x v="8"/>
    <n v="135"/>
    <n v="3.3999999999068677"/>
    <n v="162"/>
    <n v="11"/>
    <x v="44"/>
  </r>
  <r>
    <x v="8"/>
    <n v="139"/>
    <n v="62.749999999883585"/>
    <n v="158"/>
    <n v="11"/>
    <x v="44"/>
  </r>
  <r>
    <x v="8"/>
    <n v="144"/>
    <n v="32.633333333360497"/>
    <n v="153"/>
    <n v="11"/>
    <x v="44"/>
  </r>
  <r>
    <x v="8"/>
    <n v="147"/>
    <n v="5.5499999999301508"/>
    <n v="150"/>
    <n v="11"/>
    <x v="44"/>
  </r>
  <r>
    <x v="8"/>
    <n v="148"/>
    <n v="19.799999999930151"/>
    <n v="149"/>
    <n v="11"/>
    <x v="44"/>
  </r>
  <r>
    <x v="8"/>
    <n v="152"/>
    <n v="35.099999999860302"/>
    <n v="145"/>
    <n v="11"/>
    <x v="5"/>
  </r>
  <r>
    <x v="8"/>
    <n v="157"/>
    <n v="31.333333333313931"/>
    <n v="140"/>
    <n v="11"/>
    <x v="5"/>
  </r>
  <r>
    <x v="8"/>
    <n v="161"/>
    <n v="44.383333333244082"/>
    <n v="136"/>
    <n v="11"/>
    <x v="5"/>
  </r>
  <r>
    <x v="8"/>
    <n v="163"/>
    <n v="6.5000000000582077"/>
    <n v="134"/>
    <n v="11"/>
    <x v="5"/>
  </r>
  <r>
    <x v="8"/>
    <n v="166"/>
    <n v="5.1500000000232831"/>
    <n v="131"/>
    <n v="11"/>
    <x v="5"/>
  </r>
  <r>
    <x v="8"/>
    <n v="170"/>
    <n v="34.999999999883585"/>
    <n v="127"/>
    <n v="11"/>
    <x v="5"/>
  </r>
  <r>
    <x v="8"/>
    <n v="184"/>
    <n v="6.8999999999650754"/>
    <n v="113"/>
    <n v="11"/>
    <x v="5"/>
  </r>
  <r>
    <x v="8"/>
    <n v="188"/>
    <n v="3.0166666667209938"/>
    <n v="109"/>
    <n v="11"/>
    <x v="5"/>
  </r>
  <r>
    <x v="8"/>
    <n v="194"/>
    <n v="7.9833333335118368"/>
    <n v="103"/>
    <n v="11"/>
    <x v="5"/>
  </r>
  <r>
    <x v="8"/>
    <n v="206"/>
    <n v="4.4666666667326353"/>
    <n v="91"/>
    <n v="11"/>
    <x v="5"/>
  </r>
  <r>
    <x v="8"/>
    <n v="224"/>
    <n v="1.3333333333139308"/>
    <n v="73"/>
    <n v="11"/>
    <x v="5"/>
  </r>
  <r>
    <x v="8"/>
    <n v="238"/>
    <n v="1.0499999999301508"/>
    <n v="59"/>
    <n v="11"/>
    <x v="5"/>
  </r>
  <r>
    <x v="9"/>
    <n v="5"/>
    <n v="3.4999999998835847"/>
    <n v="389"/>
    <n v="12"/>
    <x v="45"/>
  </r>
  <r>
    <x v="9"/>
    <n v="6"/>
    <n v="1.8666666666395031"/>
    <n v="388"/>
    <n v="12"/>
    <x v="45"/>
  </r>
  <r>
    <x v="9"/>
    <n v="7"/>
    <n v="19.766666666837409"/>
    <n v="387"/>
    <n v="12"/>
    <x v="45"/>
  </r>
  <r>
    <x v="9"/>
    <n v="10"/>
    <n v="1.4666666667326353"/>
    <n v="384"/>
    <n v="12"/>
    <x v="45"/>
  </r>
  <r>
    <x v="9"/>
    <n v="12"/>
    <n v="42.633333333476912"/>
    <n v="382"/>
    <n v="12"/>
    <x v="45"/>
  </r>
  <r>
    <x v="9"/>
    <n v="14"/>
    <n v="1.9166666666278616"/>
    <n v="380"/>
    <n v="12"/>
    <x v="45"/>
  </r>
  <r>
    <x v="9"/>
    <n v="15"/>
    <n v="6.4333333333488554"/>
    <n v="379"/>
    <n v="12"/>
    <x v="45"/>
  </r>
  <r>
    <x v="9"/>
    <n v="16"/>
    <n v="143.74999999988358"/>
    <n v="378"/>
    <n v="12"/>
    <x v="45"/>
  </r>
  <r>
    <x v="9"/>
    <n v="17"/>
    <n v="173.99999999965075"/>
    <n v="377"/>
    <n v="12"/>
    <x v="45"/>
  </r>
  <r>
    <x v="9"/>
    <n v="18"/>
    <n v="28.916666666627862"/>
    <n v="376"/>
    <n v="12"/>
    <x v="45"/>
  </r>
  <r>
    <x v="9"/>
    <n v="19"/>
    <n v="7.6166666666977108"/>
    <n v="375"/>
    <n v="12"/>
    <x v="45"/>
  </r>
  <r>
    <x v="9"/>
    <n v="20"/>
    <n v="1.03333333338378"/>
    <n v="374"/>
    <n v="12"/>
    <x v="45"/>
  </r>
  <r>
    <x v="9"/>
    <n v="21"/>
    <n v="178.45000000036089"/>
    <n v="373"/>
    <n v="12"/>
    <x v="45"/>
  </r>
  <r>
    <x v="9"/>
    <n v="22"/>
    <n v="7.9166666666278616"/>
    <n v="372"/>
    <n v="12"/>
    <x v="45"/>
  </r>
  <r>
    <x v="9"/>
    <n v="25"/>
    <n v="4.3166666667675599"/>
    <n v="369"/>
    <n v="12"/>
    <x v="45"/>
  </r>
  <r>
    <x v="9"/>
    <n v="26"/>
    <n v="48.416666666453239"/>
    <n v="368"/>
    <n v="12"/>
    <x v="45"/>
  </r>
  <r>
    <x v="9"/>
    <n v="28"/>
    <n v="12.583333333488554"/>
    <n v="366"/>
    <n v="12"/>
    <x v="45"/>
  </r>
  <r>
    <x v="9"/>
    <n v="31"/>
    <n v="49.949999999895226"/>
    <n v="363"/>
    <n v="12"/>
    <x v="45"/>
  </r>
  <r>
    <x v="9"/>
    <n v="33"/>
    <n v="8.7666666667792015"/>
    <n v="361"/>
    <n v="12"/>
    <x v="45"/>
  </r>
  <r>
    <x v="9"/>
    <n v="35"/>
    <n v="21.566666666592937"/>
    <n v="359"/>
    <n v="12"/>
    <x v="45"/>
  </r>
  <r>
    <x v="9"/>
    <n v="38"/>
    <n v="14.71666666661622"/>
    <n v="356"/>
    <n v="12"/>
    <x v="45"/>
  </r>
  <r>
    <x v="9"/>
    <n v="40"/>
    <n v="13.766666666662786"/>
    <n v="354"/>
    <n v="12"/>
    <x v="45"/>
  </r>
  <r>
    <x v="9"/>
    <n v="42"/>
    <n v="10.149999999906868"/>
    <n v="352"/>
    <n v="12"/>
    <x v="46"/>
  </r>
  <r>
    <x v="9"/>
    <n v="45"/>
    <n v="42.800000000162981"/>
    <n v="349"/>
    <n v="12"/>
    <x v="46"/>
  </r>
  <r>
    <x v="9"/>
    <n v="46"/>
    <n v="0.36666666663950309"/>
    <n v="348"/>
    <n v="12"/>
    <x v="46"/>
  </r>
  <r>
    <x v="9"/>
    <n v="47"/>
    <n v="1.4833333332790062"/>
    <n v="347"/>
    <n v="12"/>
    <x v="46"/>
  </r>
  <r>
    <x v="9"/>
    <n v="49"/>
    <n v="35.700000000244472"/>
    <n v="345"/>
    <n v="12"/>
    <x v="46"/>
  </r>
  <r>
    <x v="9"/>
    <n v="52"/>
    <n v="1.3500000000349246"/>
    <n v="342"/>
    <n v="12"/>
    <x v="46"/>
  </r>
  <r>
    <x v="9"/>
    <n v="53"/>
    <n v="9.6500000000232831"/>
    <n v="341"/>
    <n v="12"/>
    <x v="46"/>
  </r>
  <r>
    <x v="9"/>
    <n v="54"/>
    <n v="12.650000000197906"/>
    <n v="340"/>
    <n v="12"/>
    <x v="46"/>
  </r>
  <r>
    <x v="9"/>
    <n v="57"/>
    <n v="7.6666666666860692"/>
    <n v="337"/>
    <n v="12"/>
    <x v="46"/>
  </r>
  <r>
    <x v="9"/>
    <n v="59"/>
    <n v="62.966666666732635"/>
    <n v="335"/>
    <n v="12"/>
    <x v="46"/>
  </r>
  <r>
    <x v="9"/>
    <n v="63"/>
    <n v="26.766666666255333"/>
    <n v="331"/>
    <n v="12"/>
    <x v="46"/>
  </r>
  <r>
    <x v="9"/>
    <n v="65"/>
    <n v="11.700000000069849"/>
    <n v="329"/>
    <n v="12"/>
    <x v="46"/>
  </r>
  <r>
    <x v="9"/>
    <n v="68"/>
    <n v="416.10000000073342"/>
    <n v="326"/>
    <n v="12"/>
    <x v="46"/>
  </r>
  <r>
    <x v="9"/>
    <n v="71"/>
    <n v="7.2500000000582077"/>
    <n v="323"/>
    <n v="12"/>
    <x v="46"/>
  </r>
  <r>
    <x v="9"/>
    <n v="72"/>
    <n v="27.766666666720994"/>
    <n v="322"/>
    <n v="12"/>
    <x v="46"/>
  </r>
  <r>
    <x v="9"/>
    <n v="73"/>
    <n v="20.166666666395031"/>
    <n v="321"/>
    <n v="12"/>
    <x v="46"/>
  </r>
  <r>
    <x v="9"/>
    <n v="74"/>
    <n v="14.700000000069849"/>
    <n v="320"/>
    <n v="12"/>
    <x v="46"/>
  </r>
  <r>
    <x v="9"/>
    <n v="77"/>
    <n v="232.48333333345363"/>
    <n v="317"/>
    <n v="12"/>
    <x v="46"/>
  </r>
  <r>
    <x v="9"/>
    <n v="80"/>
    <n v="4.2500000000582077"/>
    <n v="314"/>
    <n v="12"/>
    <x v="46"/>
  </r>
  <r>
    <x v="9"/>
    <n v="81"/>
    <n v="3.0999999999767169"/>
    <n v="313"/>
    <n v="12"/>
    <x v="47"/>
  </r>
  <r>
    <x v="9"/>
    <n v="82"/>
    <n v="128.10000000020955"/>
    <n v="312"/>
    <n v="12"/>
    <x v="47"/>
  </r>
  <r>
    <x v="9"/>
    <n v="84"/>
    <n v="5.3999999999650754"/>
    <n v="310"/>
    <n v="12"/>
    <x v="47"/>
  </r>
  <r>
    <x v="9"/>
    <n v="85"/>
    <n v="0.86666666652308777"/>
    <n v="309"/>
    <n v="12"/>
    <x v="47"/>
  </r>
  <r>
    <x v="9"/>
    <n v="86"/>
    <n v="468.76666666619712"/>
    <n v="308"/>
    <n v="12"/>
    <x v="47"/>
  </r>
  <r>
    <x v="9"/>
    <n v="87"/>
    <n v="6.5166666667792015"/>
    <n v="307"/>
    <n v="12"/>
    <x v="47"/>
  </r>
  <r>
    <x v="9"/>
    <n v="88"/>
    <n v="15.600000000034925"/>
    <n v="306"/>
    <n v="12"/>
    <x v="47"/>
  </r>
  <r>
    <x v="9"/>
    <n v="90"/>
    <n v="7.7666666666627862"/>
    <n v="304"/>
    <n v="12"/>
    <x v="47"/>
  </r>
  <r>
    <x v="9"/>
    <n v="91"/>
    <n v="272.80000000022119"/>
    <n v="303"/>
    <n v="12"/>
    <x v="47"/>
  </r>
  <r>
    <x v="9"/>
    <n v="92"/>
    <n v="7.316666666592937"/>
    <n v="302"/>
    <n v="12"/>
    <x v="47"/>
  </r>
  <r>
    <x v="9"/>
    <n v="93"/>
    <n v="0.61666666658129543"/>
    <n v="301"/>
    <n v="12"/>
    <x v="47"/>
  </r>
  <r>
    <x v="9"/>
    <n v="96"/>
    <n v="336.3000000002794"/>
    <n v="298"/>
    <n v="12"/>
    <x v="47"/>
  </r>
  <r>
    <x v="9"/>
    <n v="97"/>
    <n v="37.450000000011642"/>
    <n v="297"/>
    <n v="12"/>
    <x v="47"/>
  </r>
  <r>
    <x v="9"/>
    <n v="100"/>
    <n v="31.916666666802485"/>
    <n v="294"/>
    <n v="12"/>
    <x v="47"/>
  </r>
  <r>
    <x v="9"/>
    <n v="102"/>
    <n v="5.0500000000465661"/>
    <n v="292"/>
    <n v="12"/>
    <x v="47"/>
  </r>
  <r>
    <x v="9"/>
    <n v="103"/>
    <n v="8.9333333332906477"/>
    <n v="291"/>
    <n v="12"/>
    <x v="47"/>
  </r>
  <r>
    <x v="9"/>
    <n v="105"/>
    <n v="23.150000000023283"/>
    <n v="289"/>
    <n v="12"/>
    <x v="47"/>
  </r>
  <r>
    <x v="9"/>
    <n v="110"/>
    <n v="6.3333333333721384"/>
    <n v="284"/>
    <n v="12"/>
    <x v="47"/>
  </r>
  <r>
    <x v="9"/>
    <n v="111"/>
    <n v="12.099999999976717"/>
    <n v="283"/>
    <n v="12"/>
    <x v="47"/>
  </r>
  <r>
    <x v="9"/>
    <n v="114"/>
    <n v="80.366666666173842"/>
    <n v="280"/>
    <n v="12"/>
    <x v="47"/>
  </r>
  <r>
    <x v="9"/>
    <n v="116"/>
    <n v="23.883333333302289"/>
    <n v="278"/>
    <n v="12"/>
    <x v="47"/>
  </r>
  <r>
    <x v="9"/>
    <n v="118"/>
    <n v="4.3166666667675599"/>
    <n v="276"/>
    <n v="12"/>
    <x v="47"/>
  </r>
  <r>
    <x v="9"/>
    <n v="119"/>
    <n v="11.650000000081491"/>
    <n v="275"/>
    <n v="12"/>
    <x v="47"/>
  </r>
  <r>
    <x v="9"/>
    <n v="122"/>
    <n v="1.3000000000465661"/>
    <n v="272"/>
    <n v="12"/>
    <x v="47"/>
  </r>
  <r>
    <x v="9"/>
    <n v="123"/>
    <n v="0.91666666668606922"/>
    <n v="271"/>
    <n v="12"/>
    <x v="47"/>
  </r>
  <r>
    <x v="9"/>
    <n v="124"/>
    <n v="13.416666666569654"/>
    <n v="270"/>
    <n v="12"/>
    <x v="47"/>
  </r>
  <r>
    <x v="9"/>
    <n v="128"/>
    <n v="7.5666666668839753"/>
    <n v="266"/>
    <n v="12"/>
    <x v="47"/>
  </r>
  <r>
    <x v="9"/>
    <n v="133"/>
    <n v="81.616666666755918"/>
    <n v="261"/>
    <n v="12"/>
    <x v="47"/>
  </r>
  <r>
    <x v="9"/>
    <n v="138"/>
    <n v="2.1166666667559184"/>
    <n v="256"/>
    <n v="12"/>
    <x v="47"/>
  </r>
  <r>
    <x v="9"/>
    <n v="142"/>
    <n v="8.5833333333721384"/>
    <n v="252"/>
    <n v="12"/>
    <x v="47"/>
  </r>
  <r>
    <x v="9"/>
    <n v="147"/>
    <n v="0.75"/>
    <n v="247"/>
    <n v="12"/>
    <x v="47"/>
  </r>
  <r>
    <x v="9"/>
    <n v="151"/>
    <n v="10.21666666661622"/>
    <n v="243"/>
    <n v="12"/>
    <x v="47"/>
  </r>
  <r>
    <x v="9"/>
    <n v="161"/>
    <n v="28.949999999895226"/>
    <n v="233"/>
    <n v="12"/>
    <x v="48"/>
  </r>
  <r>
    <x v="9"/>
    <n v="167"/>
    <n v="4.5666666667093523"/>
    <n v="227"/>
    <n v="12"/>
    <x v="48"/>
  </r>
  <r>
    <x v="9"/>
    <n v="170"/>
    <n v="7.1500000002561137"/>
    <n v="224"/>
    <n v="12"/>
    <x v="48"/>
  </r>
  <r>
    <x v="9"/>
    <n v="175"/>
    <n v="0.13333333324408159"/>
    <n v="219"/>
    <n v="12"/>
    <x v="48"/>
  </r>
  <r>
    <x v="9"/>
    <n v="179"/>
    <n v="19.533333333441988"/>
    <n v="215"/>
    <n v="12"/>
    <x v="48"/>
  </r>
  <r>
    <x v="9"/>
    <n v="181"/>
    <n v="4.9000000000814907"/>
    <n v="213"/>
    <n v="12"/>
    <x v="48"/>
  </r>
  <r>
    <x v="9"/>
    <n v="184"/>
    <n v="7.3000000000465661"/>
    <n v="210"/>
    <n v="12"/>
    <x v="48"/>
  </r>
  <r>
    <x v="9"/>
    <n v="189"/>
    <n v="1.5"/>
    <n v="205"/>
    <n v="12"/>
    <x v="48"/>
  </r>
  <r>
    <x v="9"/>
    <n v="193"/>
    <n v="9.0499999999883585"/>
    <n v="201"/>
    <n v="12"/>
    <x v="49"/>
  </r>
  <r>
    <x v="9"/>
    <n v="198"/>
    <n v="56.033333333325572"/>
    <n v="196"/>
    <n v="12"/>
    <x v="49"/>
  </r>
  <r>
    <x v="9"/>
    <n v="207"/>
    <n v="27.300000000279397"/>
    <n v="187"/>
    <n v="12"/>
    <x v="49"/>
  </r>
  <r>
    <x v="9"/>
    <n v="216"/>
    <n v="3.5000000000582077"/>
    <n v="178"/>
    <n v="12"/>
    <x v="49"/>
  </r>
  <r>
    <x v="9"/>
    <n v="226"/>
    <n v="8.1833333332906477"/>
    <n v="168"/>
    <n v="12"/>
    <x v="5"/>
  </r>
  <r>
    <x v="9"/>
    <n v="228"/>
    <n v="45.966666666674428"/>
    <n v="166"/>
    <n v="12"/>
    <x v="5"/>
  </r>
  <r>
    <x v="9"/>
    <n v="230"/>
    <n v="11.016666666604578"/>
    <n v="164"/>
    <n v="12"/>
    <x v="5"/>
  </r>
  <r>
    <x v="9"/>
    <n v="235"/>
    <n v="2.4666666666744277"/>
    <n v="159"/>
    <n v="12"/>
    <x v="5"/>
  </r>
  <r>
    <x v="9"/>
    <n v="237"/>
    <n v="48.083333333255723"/>
    <n v="157"/>
    <n v="12"/>
    <x v="5"/>
  </r>
  <r>
    <x v="9"/>
    <n v="244"/>
    <n v="43.333333333313931"/>
    <n v="150"/>
    <n v="12"/>
    <x v="5"/>
  </r>
  <r>
    <x v="9"/>
    <n v="249"/>
    <n v="4.5166666667209938"/>
    <n v="145"/>
    <n v="12"/>
    <x v="5"/>
  </r>
  <r>
    <x v="9"/>
    <n v="263"/>
    <n v="3.5833333333139308"/>
    <n v="131"/>
    <n v="12"/>
    <x v="5"/>
  </r>
  <r>
    <x v="9"/>
    <n v="272"/>
    <n v="7.8666666666395031"/>
    <n v="122"/>
    <n v="12"/>
    <x v="5"/>
  </r>
  <r>
    <x v="9"/>
    <n v="277"/>
    <n v="16.816666666651145"/>
    <n v="117"/>
    <n v="12"/>
    <x v="5"/>
  </r>
  <r>
    <x v="9"/>
    <n v="280"/>
    <n v="1.5166666665463708"/>
    <n v="114"/>
    <n v="12"/>
    <x v="5"/>
  </r>
  <r>
    <x v="9"/>
    <n v="285"/>
    <n v="12.499999999883585"/>
    <n v="109"/>
    <n v="12"/>
    <x v="5"/>
  </r>
  <r>
    <x v="10"/>
    <n v="0"/>
    <n v="781.25000000023283"/>
    <n v="486"/>
    <n v="13"/>
    <x v="21"/>
  </r>
  <r>
    <x v="10"/>
    <n v="1"/>
    <n v="169.99999999988358"/>
    <n v="485"/>
    <n v="13"/>
    <x v="21"/>
  </r>
  <r>
    <x v="10"/>
    <n v="3"/>
    <n v="436.23333333333721"/>
    <n v="483"/>
    <n v="13"/>
    <x v="21"/>
  </r>
  <r>
    <x v="10"/>
    <n v="4"/>
    <n v="27.616666666406672"/>
    <n v="482"/>
    <n v="13"/>
    <x v="21"/>
  </r>
  <r>
    <x v="10"/>
    <n v="5"/>
    <n v="15.699999999837019"/>
    <n v="481"/>
    <n v="13"/>
    <x v="21"/>
  </r>
  <r>
    <x v="10"/>
    <n v="6"/>
    <n v="222.8833333334187"/>
    <n v="480"/>
    <n v="13"/>
    <x v="21"/>
  </r>
  <r>
    <x v="10"/>
    <n v="7"/>
    <n v="97.200000000069849"/>
    <n v="479"/>
    <n v="13"/>
    <x v="21"/>
  </r>
  <r>
    <x v="10"/>
    <n v="8"/>
    <n v="239.20000000001164"/>
    <n v="478"/>
    <n v="13"/>
    <x v="21"/>
  </r>
  <r>
    <x v="10"/>
    <n v="9"/>
    <n v="96.899999999965075"/>
    <n v="477"/>
    <n v="13"/>
    <x v="21"/>
  </r>
  <r>
    <x v="10"/>
    <n v="10"/>
    <n v="376.86666666629026"/>
    <n v="476"/>
    <n v="13"/>
    <x v="21"/>
  </r>
  <r>
    <x v="10"/>
    <n v="11"/>
    <n v="23.500000000116415"/>
    <n v="475"/>
    <n v="13"/>
    <x v="21"/>
  </r>
  <r>
    <x v="10"/>
    <n v="12"/>
    <n v="66.133333333244082"/>
    <n v="474"/>
    <n v="13"/>
    <x v="21"/>
  </r>
  <r>
    <x v="10"/>
    <n v="13"/>
    <n v="6.1499999999650754"/>
    <n v="473"/>
    <n v="13"/>
    <x v="21"/>
  </r>
  <r>
    <x v="10"/>
    <n v="14"/>
    <n v="25.983333333337214"/>
    <n v="472"/>
    <n v="13"/>
    <x v="21"/>
  </r>
  <r>
    <x v="10"/>
    <n v="15"/>
    <n v="520.79999999975553"/>
    <n v="471"/>
    <n v="13"/>
    <x v="21"/>
  </r>
  <r>
    <x v="10"/>
    <n v="16"/>
    <n v="76.266666666604578"/>
    <n v="470"/>
    <n v="13"/>
    <x v="21"/>
  </r>
  <r>
    <x v="10"/>
    <n v="17"/>
    <n v="1.1666666666278616"/>
    <n v="469"/>
    <n v="13"/>
    <x v="21"/>
  </r>
  <r>
    <x v="10"/>
    <n v="18"/>
    <n v="152.0166666667792"/>
    <n v="468"/>
    <n v="13"/>
    <x v="21"/>
  </r>
  <r>
    <x v="10"/>
    <n v="19"/>
    <n v="758.98333333310438"/>
    <n v="467"/>
    <n v="13"/>
    <x v="21"/>
  </r>
  <r>
    <x v="10"/>
    <n v="20"/>
    <n v="10.283333333325572"/>
    <n v="466"/>
    <n v="13"/>
    <x v="21"/>
  </r>
  <r>
    <x v="10"/>
    <n v="21"/>
    <n v="27.249999999941792"/>
    <n v="465"/>
    <n v="13"/>
    <x v="21"/>
  </r>
  <r>
    <x v="10"/>
    <n v="23"/>
    <n v="1078.4166666665697"/>
    <n v="463"/>
    <n v="13"/>
    <x v="21"/>
  </r>
  <r>
    <x v="10"/>
    <n v="24"/>
    <n v="120.46666666661622"/>
    <n v="462"/>
    <n v="13"/>
    <x v="21"/>
  </r>
  <r>
    <x v="10"/>
    <n v="26"/>
    <n v="0.75"/>
    <n v="460"/>
    <n v="13"/>
    <x v="21"/>
  </r>
  <r>
    <x v="10"/>
    <n v="27"/>
    <n v="27.366666666639503"/>
    <n v="459"/>
    <n v="13"/>
    <x v="21"/>
  </r>
  <r>
    <x v="10"/>
    <n v="29"/>
    <n v="25.650000000139698"/>
    <n v="457"/>
    <n v="13"/>
    <x v="21"/>
  </r>
  <r>
    <x v="10"/>
    <n v="33"/>
    <n v="117.11666666704696"/>
    <n v="453"/>
    <n v="13"/>
    <x v="21"/>
  </r>
  <r>
    <x v="10"/>
    <n v="34"/>
    <n v="0.6000000000349246"/>
    <n v="452"/>
    <n v="13"/>
    <x v="21"/>
  </r>
  <r>
    <x v="10"/>
    <n v="35"/>
    <n v="0.26666666666278616"/>
    <n v="451"/>
    <n v="13"/>
    <x v="21"/>
  </r>
  <r>
    <x v="10"/>
    <n v="36"/>
    <n v="5.3166666667093523"/>
    <n v="450"/>
    <n v="13"/>
    <x v="21"/>
  </r>
  <r>
    <x v="10"/>
    <n v="38"/>
    <n v="47.733333333162591"/>
    <n v="448"/>
    <n v="13"/>
    <x v="21"/>
  </r>
  <r>
    <x v="10"/>
    <n v="43"/>
    <n v="25.949999999895226"/>
    <n v="443"/>
    <n v="13"/>
    <x v="22"/>
  </r>
  <r>
    <x v="10"/>
    <n v="44"/>
    <n v="15.716666666732635"/>
    <n v="442"/>
    <n v="13"/>
    <x v="22"/>
  </r>
  <r>
    <x v="10"/>
    <n v="45"/>
    <n v="14.466666666674428"/>
    <n v="441"/>
    <n v="13"/>
    <x v="22"/>
  </r>
  <r>
    <x v="10"/>
    <n v="47"/>
    <n v="40.199999999895226"/>
    <n v="439"/>
    <n v="13"/>
    <x v="22"/>
  </r>
  <r>
    <x v="10"/>
    <n v="52"/>
    <n v="49.066666666476522"/>
    <n v="434"/>
    <n v="13"/>
    <x v="22"/>
  </r>
  <r>
    <x v="10"/>
    <n v="54"/>
    <n v="5.6000000000931323"/>
    <n v="432"/>
    <n v="13"/>
    <x v="22"/>
  </r>
  <r>
    <x v="10"/>
    <n v="56"/>
    <n v="25.250000000407454"/>
    <n v="430"/>
    <n v="13"/>
    <x v="22"/>
  </r>
  <r>
    <x v="10"/>
    <n v="57"/>
    <n v="17.616666666639503"/>
    <n v="429"/>
    <n v="13"/>
    <x v="22"/>
  </r>
  <r>
    <x v="10"/>
    <n v="61"/>
    <n v="63.783333333267365"/>
    <n v="425"/>
    <n v="13"/>
    <x v="22"/>
  </r>
  <r>
    <x v="10"/>
    <n v="66"/>
    <n v="34.200000000419095"/>
    <n v="420"/>
    <n v="13"/>
    <x v="22"/>
  </r>
  <r>
    <x v="10"/>
    <n v="68"/>
    <n v="14.666666666627862"/>
    <n v="418"/>
    <n v="13"/>
    <x v="22"/>
  </r>
  <r>
    <x v="10"/>
    <n v="70"/>
    <n v="4.7166666666744277"/>
    <n v="416"/>
    <n v="13"/>
    <x v="22"/>
  </r>
  <r>
    <x v="10"/>
    <n v="74"/>
    <n v="2.2833333332673647"/>
    <n v="412"/>
    <n v="13"/>
    <x v="22"/>
  </r>
  <r>
    <x v="10"/>
    <n v="75"/>
    <n v="25.549999999988358"/>
    <n v="411"/>
    <n v="13"/>
    <x v="22"/>
  </r>
  <r>
    <x v="10"/>
    <n v="78"/>
    <n v="9.6333333334769122"/>
    <n v="408"/>
    <n v="13"/>
    <x v="22"/>
  </r>
  <r>
    <x v="10"/>
    <n v="80"/>
    <n v="10.933333333348855"/>
    <n v="406"/>
    <n v="13"/>
    <x v="22"/>
  </r>
  <r>
    <x v="10"/>
    <n v="84"/>
    <n v="159.81666666636011"/>
    <n v="402"/>
    <n v="13"/>
    <x v="23"/>
  </r>
  <r>
    <x v="10"/>
    <n v="89"/>
    <n v="124.7999999995809"/>
    <n v="397"/>
    <n v="13"/>
    <x v="23"/>
  </r>
  <r>
    <x v="10"/>
    <n v="93"/>
    <n v="132.13333333324408"/>
    <n v="393"/>
    <n v="13"/>
    <x v="23"/>
  </r>
  <r>
    <x v="10"/>
    <n v="95"/>
    <n v="5.066666666592937"/>
    <n v="391"/>
    <n v="13"/>
    <x v="23"/>
  </r>
  <r>
    <x v="10"/>
    <n v="98"/>
    <n v="1.7999999999301508"/>
    <n v="388"/>
    <n v="13"/>
    <x v="23"/>
  </r>
  <r>
    <x v="10"/>
    <n v="103"/>
    <n v="28.083333333372138"/>
    <n v="383"/>
    <n v="13"/>
    <x v="23"/>
  </r>
  <r>
    <x v="10"/>
    <n v="105"/>
    <n v="7.316666666592937"/>
    <n v="381"/>
    <n v="13"/>
    <x v="23"/>
  </r>
  <r>
    <x v="10"/>
    <n v="106"/>
    <n v="0.63333333330228925"/>
    <n v="380"/>
    <n v="13"/>
    <x v="23"/>
  </r>
  <r>
    <x v="10"/>
    <n v="107"/>
    <n v="10.349999999860302"/>
    <n v="379"/>
    <n v="13"/>
    <x v="23"/>
  </r>
  <r>
    <x v="10"/>
    <n v="110"/>
    <n v="2.9833333334536292"/>
    <n v="376"/>
    <n v="13"/>
    <x v="23"/>
  </r>
  <r>
    <x v="10"/>
    <n v="112"/>
    <n v="47.133333333476912"/>
    <n v="374"/>
    <n v="13"/>
    <x v="23"/>
  </r>
  <r>
    <x v="10"/>
    <n v="117"/>
    <n v="9.566666666592937"/>
    <n v="369"/>
    <n v="13"/>
    <x v="23"/>
  </r>
  <r>
    <x v="10"/>
    <n v="119"/>
    <n v="8.4166666666860692"/>
    <n v="367"/>
    <n v="13"/>
    <x v="23"/>
  </r>
  <r>
    <x v="10"/>
    <n v="120"/>
    <n v="6.0999999999767169"/>
    <n v="366"/>
    <n v="13"/>
    <x v="23"/>
  </r>
  <r>
    <x v="10"/>
    <n v="121"/>
    <n v="46.116666666639503"/>
    <n v="365"/>
    <n v="13"/>
    <x v="23"/>
  </r>
  <r>
    <x v="10"/>
    <n v="126"/>
    <n v="12.483333333337214"/>
    <n v="360"/>
    <n v="13"/>
    <x v="23"/>
  </r>
  <r>
    <x v="10"/>
    <n v="129"/>
    <n v="6.5000000002328306"/>
    <n v="357"/>
    <n v="13"/>
    <x v="23"/>
  </r>
  <r>
    <x v="10"/>
    <n v="130"/>
    <n v="19.366666666755918"/>
    <n v="356"/>
    <n v="13"/>
    <x v="23"/>
  </r>
  <r>
    <x v="10"/>
    <n v="131"/>
    <n v="10.333333333313931"/>
    <n v="355"/>
    <n v="13"/>
    <x v="23"/>
  </r>
  <r>
    <x v="10"/>
    <n v="135"/>
    <n v="4.500000000174623"/>
    <n v="351"/>
    <n v="13"/>
    <x v="23"/>
  </r>
  <r>
    <x v="10"/>
    <n v="140"/>
    <n v="54.36666666646488"/>
    <n v="346"/>
    <n v="13"/>
    <x v="23"/>
  </r>
  <r>
    <x v="10"/>
    <n v="144"/>
    <n v="26.866666666581295"/>
    <n v="342"/>
    <n v="13"/>
    <x v="23"/>
  </r>
  <r>
    <x v="10"/>
    <n v="149"/>
    <n v="27.616666666930541"/>
    <n v="337"/>
    <n v="13"/>
    <x v="23"/>
  </r>
  <r>
    <x v="10"/>
    <n v="153"/>
    <n v="0.1499999999650754"/>
    <n v="333"/>
    <n v="13"/>
    <x v="23"/>
  </r>
  <r>
    <x v="10"/>
    <n v="154"/>
    <n v="4.8333333333721384"/>
    <n v="332"/>
    <n v="13"/>
    <x v="23"/>
  </r>
  <r>
    <x v="10"/>
    <n v="158"/>
    <n v="34.699999999778811"/>
    <n v="328"/>
    <n v="13"/>
    <x v="23"/>
  </r>
  <r>
    <x v="10"/>
    <n v="163"/>
    <n v="4.6499999999650754"/>
    <n v="323"/>
    <n v="13"/>
    <x v="24"/>
  </r>
  <r>
    <x v="10"/>
    <n v="167"/>
    <n v="21.350000000093132"/>
    <n v="319"/>
    <n v="13"/>
    <x v="24"/>
  </r>
  <r>
    <x v="10"/>
    <n v="172"/>
    <n v="9.7000000000116415"/>
    <n v="314"/>
    <n v="13"/>
    <x v="24"/>
  </r>
  <r>
    <x v="10"/>
    <n v="175"/>
    <n v="14.333333333430346"/>
    <n v="311"/>
    <n v="13"/>
    <x v="24"/>
  </r>
  <r>
    <x v="10"/>
    <n v="177"/>
    <n v="50.63333333353512"/>
    <n v="309"/>
    <n v="13"/>
    <x v="24"/>
  </r>
  <r>
    <x v="10"/>
    <n v="181"/>
    <n v="9.3499999999185093"/>
    <n v="305"/>
    <n v="13"/>
    <x v="24"/>
  </r>
  <r>
    <x v="10"/>
    <n v="186"/>
    <n v="9.6666666667442769"/>
    <n v="300"/>
    <n v="13"/>
    <x v="24"/>
  </r>
  <r>
    <x v="10"/>
    <n v="195"/>
    <n v="3.1999999999534339"/>
    <n v="291"/>
    <n v="13"/>
    <x v="50"/>
  </r>
  <r>
    <x v="10"/>
    <n v="198"/>
    <n v="0.23333333322079852"/>
    <n v="288"/>
    <n v="13"/>
    <x v="50"/>
  </r>
  <r>
    <x v="10"/>
    <n v="200"/>
    <n v="2.1000000000349246"/>
    <n v="286"/>
    <n v="13"/>
    <x v="50"/>
  </r>
  <r>
    <x v="10"/>
    <n v="204"/>
    <n v="63.866666666872334"/>
    <n v="282"/>
    <n v="13"/>
    <x v="50"/>
  </r>
  <r>
    <x v="10"/>
    <n v="214"/>
    <n v="10.583333333430346"/>
    <n v="272"/>
    <n v="13"/>
    <x v="50"/>
  </r>
  <r>
    <x v="10"/>
    <n v="218"/>
    <n v="12.833333333255723"/>
    <n v="268"/>
    <n v="13"/>
    <x v="50"/>
  </r>
  <r>
    <x v="10"/>
    <n v="223"/>
    <n v="10.466666666732635"/>
    <n v="263"/>
    <n v="13"/>
    <x v="50"/>
  </r>
  <r>
    <x v="10"/>
    <n v="228"/>
    <n v="21.049999999988358"/>
    <n v="258"/>
    <n v="13"/>
    <x v="50"/>
  </r>
  <r>
    <x v="10"/>
    <n v="232"/>
    <n v="1.4666666667326353"/>
    <n v="254"/>
    <n v="13"/>
    <x v="50"/>
  </r>
  <r>
    <x v="10"/>
    <n v="246"/>
    <n v="0.13333333341870457"/>
    <n v="240"/>
    <n v="13"/>
    <x v="50"/>
  </r>
  <r>
    <x v="10"/>
    <n v="251"/>
    <n v="0.64999999984866008"/>
    <n v="235"/>
    <n v="13"/>
    <x v="50"/>
  </r>
  <r>
    <x v="10"/>
    <n v="260"/>
    <n v="3"/>
    <n v="226"/>
    <n v="13"/>
    <x v="50"/>
  </r>
  <r>
    <x v="10"/>
    <n v="265"/>
    <n v="5.066666666592937"/>
    <n v="221"/>
    <n v="13"/>
    <x v="50"/>
  </r>
  <r>
    <x v="10"/>
    <n v="278"/>
    <n v="2.9166666667442769"/>
    <n v="208"/>
    <n v="13"/>
    <x v="50"/>
  </r>
  <r>
    <x v="10"/>
    <n v="292"/>
    <n v="0.83333333325572312"/>
    <n v="194"/>
    <n v="13"/>
    <x v="50"/>
  </r>
  <r>
    <x v="10"/>
    <n v="297"/>
    <n v="13.78333333338378"/>
    <n v="189"/>
    <n v="13"/>
    <x v="50"/>
  </r>
  <r>
    <x v="10"/>
    <n v="306"/>
    <n v="0.35000000009313226"/>
    <n v="180"/>
    <n v="13"/>
    <x v="50"/>
  </r>
  <r>
    <x v="10"/>
    <n v="315"/>
    <n v="8.1166666667559184"/>
    <n v="171"/>
    <n v="13"/>
    <x v="5"/>
  </r>
  <r>
    <x v="10"/>
    <n v="325"/>
    <n v="0.19999999995343387"/>
    <n v="161"/>
    <n v="13"/>
    <x v="5"/>
  </r>
  <r>
    <x v="10"/>
    <n v="338"/>
    <n v="2.4499999999534339"/>
    <n v="148"/>
    <n v="13"/>
    <x v="5"/>
  </r>
  <r>
    <x v="10"/>
    <n v="339"/>
    <n v="0.38333333336049691"/>
    <n v="147"/>
    <n v="13"/>
    <x v="5"/>
  </r>
  <r>
    <x v="10"/>
    <n v="343"/>
    <n v="2.1333333333022892"/>
    <n v="143"/>
    <n v="13"/>
    <x v="5"/>
  </r>
  <r>
    <x v="10"/>
    <n v="352"/>
    <n v="11.316666666534729"/>
    <n v="134"/>
    <n v="13"/>
    <x v="5"/>
  </r>
  <r>
    <x v="10"/>
    <n v="362"/>
    <n v="0.86666666669771075"/>
    <n v="124"/>
    <n v="13"/>
    <x v="5"/>
  </r>
  <r>
    <x v="10"/>
    <n v="366"/>
    <n v="7.78333333338378"/>
    <n v="120"/>
    <n v="13"/>
    <x v="5"/>
  </r>
  <r>
    <x v="10"/>
    <n v="389"/>
    <n v="11.666666666802485"/>
    <n v="97"/>
    <n v="13"/>
    <x v="5"/>
  </r>
  <r>
    <x v="11"/>
    <n v="0"/>
    <n v="1196.699999999546"/>
    <n v="493"/>
    <n v="14"/>
    <x v="51"/>
  </r>
  <r>
    <x v="11"/>
    <n v="3"/>
    <n v="9.9999999976716936E-2"/>
    <n v="490"/>
    <n v="14"/>
    <x v="51"/>
  </r>
  <r>
    <x v="11"/>
    <n v="5"/>
    <n v="1204.5166666656733"/>
    <n v="488"/>
    <n v="14"/>
    <x v="51"/>
  </r>
  <r>
    <x v="11"/>
    <n v="9"/>
    <n v="121.63333333324408"/>
    <n v="484"/>
    <n v="14"/>
    <x v="51"/>
  </r>
  <r>
    <x v="11"/>
    <n v="12"/>
    <n v="0.61666666675591841"/>
    <n v="481"/>
    <n v="14"/>
    <x v="51"/>
  </r>
  <r>
    <x v="11"/>
    <n v="14"/>
    <n v="137.83333333331393"/>
    <n v="479"/>
    <n v="14"/>
    <x v="51"/>
  </r>
  <r>
    <x v="11"/>
    <n v="18"/>
    <n v="1.6666666666860692"/>
    <n v="475"/>
    <n v="14"/>
    <x v="51"/>
  </r>
  <r>
    <x v="11"/>
    <n v="19"/>
    <n v="174.56666666676756"/>
    <n v="474"/>
    <n v="14"/>
    <x v="51"/>
  </r>
  <r>
    <x v="11"/>
    <n v="21"/>
    <n v="19.816666666651145"/>
    <n v="472"/>
    <n v="14"/>
    <x v="51"/>
  </r>
  <r>
    <x v="11"/>
    <n v="23"/>
    <n v="29.916666666395031"/>
    <n v="470"/>
    <n v="14"/>
    <x v="51"/>
  </r>
  <r>
    <x v="11"/>
    <n v="25"/>
    <n v="0.99999999994179234"/>
    <n v="468"/>
    <n v="14"/>
    <x v="51"/>
  </r>
  <r>
    <x v="11"/>
    <n v="28"/>
    <n v="100.50000000034925"/>
    <n v="465"/>
    <n v="14"/>
    <x v="51"/>
  </r>
  <r>
    <x v="11"/>
    <n v="32"/>
    <n v="0.33333333337213844"/>
    <n v="461"/>
    <n v="14"/>
    <x v="51"/>
  </r>
  <r>
    <x v="11"/>
    <n v="33"/>
    <n v="2.4666666664998047"/>
    <n v="460"/>
    <n v="14"/>
    <x v="51"/>
  </r>
  <r>
    <x v="11"/>
    <n v="34"/>
    <n v="7.2500000000582077"/>
    <n v="459"/>
    <n v="14"/>
    <x v="51"/>
  </r>
  <r>
    <x v="11"/>
    <n v="37"/>
    <n v="59.716666666790843"/>
    <n v="456"/>
    <n v="14"/>
    <x v="51"/>
  </r>
  <r>
    <x v="11"/>
    <n v="38"/>
    <n v="3.1499999999650754"/>
    <n v="455"/>
    <n v="14"/>
    <x v="51"/>
  </r>
  <r>
    <x v="11"/>
    <n v="39"/>
    <n v="0.46666666661622003"/>
    <n v="454"/>
    <n v="14"/>
    <x v="51"/>
  </r>
  <r>
    <x v="11"/>
    <n v="42"/>
    <n v="8.7666666666045785"/>
    <n v="451"/>
    <n v="14"/>
    <x v="52"/>
  </r>
  <r>
    <x v="11"/>
    <n v="47"/>
    <n v="11.616666666639503"/>
    <n v="446"/>
    <n v="14"/>
    <x v="52"/>
  </r>
  <r>
    <x v="11"/>
    <n v="49"/>
    <n v="0.99999999994179234"/>
    <n v="444"/>
    <n v="14"/>
    <x v="52"/>
  </r>
  <r>
    <x v="11"/>
    <n v="50"/>
    <n v="5.8500000000349246"/>
    <n v="443"/>
    <n v="14"/>
    <x v="52"/>
  </r>
  <r>
    <x v="11"/>
    <n v="51"/>
    <n v="45.416666666453239"/>
    <n v="442"/>
    <n v="14"/>
    <x v="52"/>
  </r>
  <r>
    <x v="11"/>
    <n v="56"/>
    <n v="5.9166666667442769"/>
    <n v="437"/>
    <n v="14"/>
    <x v="52"/>
  </r>
  <r>
    <x v="11"/>
    <n v="60"/>
    <n v="4.1166666666395031"/>
    <n v="433"/>
    <n v="14"/>
    <x v="52"/>
  </r>
  <r>
    <x v="11"/>
    <n v="63"/>
    <n v="2.0833333333139308"/>
    <n v="430"/>
    <n v="14"/>
    <x v="52"/>
  </r>
  <r>
    <x v="11"/>
    <n v="65"/>
    <n v="65.549999999930151"/>
    <n v="428"/>
    <n v="14"/>
    <x v="52"/>
  </r>
  <r>
    <x v="11"/>
    <n v="69"/>
    <n v="0.6000000000349246"/>
    <n v="424"/>
    <n v="14"/>
    <x v="52"/>
  </r>
  <r>
    <x v="11"/>
    <n v="73"/>
    <n v="1.3333333333139308"/>
    <n v="420"/>
    <n v="14"/>
    <x v="52"/>
  </r>
  <r>
    <x v="11"/>
    <n v="74"/>
    <n v="130.76666666648816"/>
    <n v="419"/>
    <n v="14"/>
    <x v="52"/>
  </r>
  <r>
    <x v="11"/>
    <n v="75"/>
    <n v="0.48333333333721384"/>
    <n v="418"/>
    <n v="14"/>
    <x v="52"/>
  </r>
  <r>
    <x v="11"/>
    <n v="76"/>
    <n v="6.6666666665696539"/>
    <n v="417"/>
    <n v="14"/>
    <x v="52"/>
  </r>
  <r>
    <x v="11"/>
    <n v="78"/>
    <n v="1.2333333333372138"/>
    <n v="415"/>
    <n v="14"/>
    <x v="52"/>
  </r>
  <r>
    <x v="11"/>
    <n v="79"/>
    <n v="0.99999999994179234"/>
    <n v="414"/>
    <n v="14"/>
    <x v="52"/>
  </r>
  <r>
    <x v="11"/>
    <n v="84"/>
    <n v="7.0499999999301508"/>
    <n v="409"/>
    <n v="14"/>
    <x v="12"/>
  </r>
  <r>
    <x v="11"/>
    <n v="86"/>
    <n v="7.3499999998603016"/>
    <n v="407"/>
    <n v="14"/>
    <x v="12"/>
  </r>
  <r>
    <x v="11"/>
    <n v="88"/>
    <n v="7.9000000000814907"/>
    <n v="405"/>
    <n v="14"/>
    <x v="12"/>
  </r>
  <r>
    <x v="11"/>
    <n v="91"/>
    <n v="15.533333333325572"/>
    <n v="402"/>
    <n v="14"/>
    <x v="12"/>
  </r>
  <r>
    <x v="11"/>
    <n v="93"/>
    <n v="13.033333333558403"/>
    <n v="400"/>
    <n v="14"/>
    <x v="12"/>
  </r>
  <r>
    <x v="11"/>
    <n v="102"/>
    <n v="21.716666666732635"/>
    <n v="391"/>
    <n v="14"/>
    <x v="12"/>
  </r>
  <r>
    <x v="11"/>
    <n v="104"/>
    <n v="0.78333333344198763"/>
    <n v="389"/>
    <n v="14"/>
    <x v="12"/>
  </r>
  <r>
    <x v="11"/>
    <n v="107"/>
    <n v="10.200000000244472"/>
    <n v="386"/>
    <n v="14"/>
    <x v="12"/>
  </r>
  <r>
    <x v="11"/>
    <n v="110"/>
    <n v="1.7500000001164153"/>
    <n v="383"/>
    <n v="14"/>
    <x v="12"/>
  </r>
  <r>
    <x v="11"/>
    <n v="112"/>
    <n v="0.66666666674427688"/>
    <n v="381"/>
    <n v="14"/>
    <x v="12"/>
  </r>
  <r>
    <x v="11"/>
    <n v="116"/>
    <n v="2.0000000000582077"/>
    <n v="377"/>
    <n v="14"/>
    <x v="12"/>
  </r>
  <r>
    <x v="11"/>
    <n v="119"/>
    <n v="0.48333333333721384"/>
    <n v="374"/>
    <n v="14"/>
    <x v="12"/>
  </r>
  <r>
    <x v="11"/>
    <n v="121"/>
    <n v="36.666666666220408"/>
    <n v="372"/>
    <n v="14"/>
    <x v="12"/>
  </r>
  <r>
    <x v="11"/>
    <n v="124"/>
    <n v="0.39999999990686774"/>
    <n v="369"/>
    <n v="14"/>
    <x v="12"/>
  </r>
  <r>
    <x v="11"/>
    <n v="126"/>
    <n v="2.1666666667442769"/>
    <n v="367"/>
    <n v="14"/>
    <x v="12"/>
  </r>
  <r>
    <x v="11"/>
    <n v="128"/>
    <n v="9.2666666666627862"/>
    <n v="365"/>
    <n v="14"/>
    <x v="12"/>
  </r>
  <r>
    <x v="11"/>
    <n v="130"/>
    <n v="16.516666666720994"/>
    <n v="363"/>
    <n v="14"/>
    <x v="12"/>
  </r>
  <r>
    <x v="11"/>
    <n v="134"/>
    <n v="0.36666666663950309"/>
    <n v="359"/>
    <n v="14"/>
    <x v="12"/>
  </r>
  <r>
    <x v="11"/>
    <n v="135"/>
    <n v="6.2666666668374091"/>
    <n v="358"/>
    <n v="14"/>
    <x v="12"/>
  </r>
  <r>
    <x v="11"/>
    <n v="140"/>
    <n v="49.366666666930541"/>
    <n v="353"/>
    <n v="14"/>
    <x v="12"/>
  </r>
  <r>
    <x v="11"/>
    <n v="142"/>
    <n v="1.0000000001164153"/>
    <n v="351"/>
    <n v="14"/>
    <x v="12"/>
  </r>
  <r>
    <x v="11"/>
    <n v="144"/>
    <n v="75.116666666348465"/>
    <n v="349"/>
    <n v="14"/>
    <x v="12"/>
  </r>
  <r>
    <x v="11"/>
    <n v="145"/>
    <n v="1.4500000000116415"/>
    <n v="348"/>
    <n v="14"/>
    <x v="12"/>
  </r>
  <r>
    <x v="11"/>
    <n v="149"/>
    <n v="4.5333333334419876"/>
    <n v="344"/>
    <n v="14"/>
    <x v="12"/>
  </r>
  <r>
    <x v="11"/>
    <n v="153"/>
    <n v="1.2499999997089617"/>
    <n v="340"/>
    <n v="14"/>
    <x v="12"/>
  </r>
  <r>
    <x v="11"/>
    <n v="156"/>
    <n v="2.0000000002328306"/>
    <n v="337"/>
    <n v="14"/>
    <x v="12"/>
  </r>
  <r>
    <x v="11"/>
    <n v="158"/>
    <n v="17.516666666488163"/>
    <n v="335"/>
    <n v="14"/>
    <x v="12"/>
  </r>
  <r>
    <x v="11"/>
    <n v="163"/>
    <n v="0.41666666662786156"/>
    <n v="330"/>
    <n v="14"/>
    <x v="53"/>
  </r>
  <r>
    <x v="11"/>
    <n v="166"/>
    <n v="0.99999999994179234"/>
    <n v="327"/>
    <n v="14"/>
    <x v="53"/>
  </r>
  <r>
    <x v="11"/>
    <n v="167"/>
    <n v="6.749999999825377"/>
    <n v="326"/>
    <n v="14"/>
    <x v="53"/>
  </r>
  <r>
    <x v="11"/>
    <n v="170"/>
    <n v="0.99999999994179234"/>
    <n v="323"/>
    <n v="14"/>
    <x v="53"/>
  </r>
  <r>
    <x v="11"/>
    <n v="172"/>
    <n v="0.63333333330228925"/>
    <n v="321"/>
    <n v="14"/>
    <x v="53"/>
  </r>
  <r>
    <x v="11"/>
    <n v="177"/>
    <n v="2.25"/>
    <n v="316"/>
    <n v="14"/>
    <x v="53"/>
  </r>
  <r>
    <x v="11"/>
    <n v="191"/>
    <n v="1.3000000000465661"/>
    <n v="302"/>
    <n v="14"/>
    <x v="54"/>
  </r>
  <r>
    <x v="11"/>
    <n v="198"/>
    <n v="0.99999999994179234"/>
    <n v="295"/>
    <n v="14"/>
    <x v="54"/>
  </r>
  <r>
    <x v="11"/>
    <n v="203"/>
    <n v="0.99999999994179234"/>
    <n v="290"/>
    <n v="14"/>
    <x v="54"/>
  </r>
  <r>
    <x v="11"/>
    <n v="209"/>
    <n v="5.0999999998603016"/>
    <n v="284"/>
    <n v="14"/>
    <x v="54"/>
  </r>
  <r>
    <x v="11"/>
    <n v="214"/>
    <n v="51.799999999813735"/>
    <n v="279"/>
    <n v="14"/>
    <x v="54"/>
  </r>
  <r>
    <x v="11"/>
    <n v="235"/>
    <n v="0.99999999994179234"/>
    <n v="258"/>
    <n v="14"/>
    <x v="54"/>
  </r>
  <r>
    <x v="11"/>
    <n v="237"/>
    <n v="9.75"/>
    <n v="256"/>
    <n v="14"/>
    <x v="54"/>
  </r>
  <r>
    <x v="11"/>
    <n v="256"/>
    <n v="0.33333333319751546"/>
    <n v="237"/>
    <n v="14"/>
    <x v="54"/>
  </r>
  <r>
    <x v="11"/>
    <n v="260"/>
    <n v="3.7166666667326353"/>
    <n v="233"/>
    <n v="14"/>
    <x v="54"/>
  </r>
  <r>
    <x v="11"/>
    <n v="262"/>
    <n v="1.0000000001164153"/>
    <n v="231"/>
    <n v="14"/>
    <x v="54"/>
  </r>
  <r>
    <x v="11"/>
    <n v="273"/>
    <n v="1.0000000001164153"/>
    <n v="220"/>
    <n v="14"/>
    <x v="54"/>
  </r>
  <r>
    <x v="11"/>
    <n v="279"/>
    <n v="8.3166666667093523"/>
    <n v="214"/>
    <n v="14"/>
    <x v="54"/>
  </r>
  <r>
    <x v="11"/>
    <n v="293"/>
    <n v="1.0000000001164153"/>
    <n v="200"/>
    <n v="14"/>
    <x v="54"/>
  </r>
  <r>
    <x v="11"/>
    <n v="300"/>
    <n v="0.99999999994179234"/>
    <n v="193"/>
    <n v="14"/>
    <x v="54"/>
  </r>
  <r>
    <x v="11"/>
    <n v="302"/>
    <n v="0.99999999994179234"/>
    <n v="191"/>
    <n v="14"/>
    <x v="54"/>
  </r>
  <r>
    <x v="11"/>
    <n v="307"/>
    <n v="1.0499999999301508"/>
    <n v="186"/>
    <n v="14"/>
    <x v="5"/>
  </r>
  <r>
    <x v="12"/>
    <n v="0"/>
    <n v="806.35000000067521"/>
    <n v="760"/>
    <n v="15"/>
    <x v="55"/>
  </r>
  <r>
    <x v="12"/>
    <n v="1"/>
    <n v="688.01666666683741"/>
    <n v="759"/>
    <n v="15"/>
    <x v="55"/>
  </r>
  <r>
    <x v="12"/>
    <n v="3"/>
    <n v="19.500000000174623"/>
    <n v="757"/>
    <n v="15"/>
    <x v="55"/>
  </r>
  <r>
    <x v="12"/>
    <n v="5"/>
    <n v="11.316666666534729"/>
    <n v="755"/>
    <n v="15"/>
    <x v="55"/>
  </r>
  <r>
    <x v="12"/>
    <n v="6"/>
    <n v="1301.6333333331859"/>
    <n v="754"/>
    <n v="15"/>
    <x v="55"/>
  </r>
  <r>
    <x v="12"/>
    <n v="8"/>
    <n v="2.4999999999417923"/>
    <n v="752"/>
    <n v="15"/>
    <x v="55"/>
  </r>
  <r>
    <x v="12"/>
    <n v="9"/>
    <n v="1.9166666668024845"/>
    <n v="751"/>
    <n v="15"/>
    <x v="55"/>
  </r>
  <r>
    <x v="12"/>
    <n v="10"/>
    <n v="8.5499999999301508"/>
    <n v="750"/>
    <n v="15"/>
    <x v="55"/>
  </r>
  <r>
    <x v="12"/>
    <n v="13"/>
    <n v="151.15000000008149"/>
    <n v="747"/>
    <n v="15"/>
    <x v="55"/>
  </r>
  <r>
    <x v="12"/>
    <n v="14"/>
    <n v="25.433333333465271"/>
    <n v="746"/>
    <n v="15"/>
    <x v="55"/>
  </r>
  <r>
    <x v="12"/>
    <n v="15"/>
    <n v="14.166666666569654"/>
    <n v="745"/>
    <n v="15"/>
    <x v="55"/>
  </r>
  <r>
    <x v="12"/>
    <n v="16"/>
    <n v="461.68333333352348"/>
    <n v="744"/>
    <n v="15"/>
    <x v="55"/>
  </r>
  <r>
    <x v="12"/>
    <n v="17"/>
    <n v="576.56666666694218"/>
    <n v="743"/>
    <n v="15"/>
    <x v="55"/>
  </r>
  <r>
    <x v="12"/>
    <n v="19"/>
    <n v="18.533333333325572"/>
    <n v="741"/>
    <n v="15"/>
    <x v="55"/>
  </r>
  <r>
    <x v="12"/>
    <n v="20"/>
    <n v="19.699999999778811"/>
    <n v="740"/>
    <n v="15"/>
    <x v="55"/>
  </r>
  <r>
    <x v="12"/>
    <n v="23"/>
    <n v="21.016666666546371"/>
    <n v="737"/>
    <n v="15"/>
    <x v="55"/>
  </r>
  <r>
    <x v="12"/>
    <n v="24"/>
    <n v="3.2499999999417923"/>
    <n v="736"/>
    <n v="15"/>
    <x v="55"/>
  </r>
  <r>
    <x v="12"/>
    <n v="28"/>
    <n v="22.350000000034925"/>
    <n v="732"/>
    <n v="15"/>
    <x v="55"/>
  </r>
  <r>
    <x v="12"/>
    <n v="29"/>
    <n v="80.299999999639113"/>
    <n v="731"/>
    <n v="15"/>
    <x v="55"/>
  </r>
  <r>
    <x v="12"/>
    <n v="31"/>
    <n v="2.0000000000582077"/>
    <n v="729"/>
    <n v="15"/>
    <x v="55"/>
  </r>
  <r>
    <x v="12"/>
    <n v="32"/>
    <n v="2.1666666665696539"/>
    <n v="728"/>
    <n v="15"/>
    <x v="55"/>
  </r>
  <r>
    <x v="12"/>
    <n v="33"/>
    <n v="104.64999999990687"/>
    <n v="727"/>
    <n v="15"/>
    <x v="55"/>
  </r>
  <r>
    <x v="12"/>
    <n v="34"/>
    <n v="199.68333333358169"/>
    <n v="726"/>
    <n v="15"/>
    <x v="55"/>
  </r>
  <r>
    <x v="12"/>
    <n v="35"/>
    <n v="7.9999999998835847"/>
    <n v="725"/>
    <n v="15"/>
    <x v="55"/>
  </r>
  <r>
    <x v="12"/>
    <n v="37"/>
    <n v="1.0000000001164153"/>
    <n v="723"/>
    <n v="15"/>
    <x v="55"/>
  </r>
  <r>
    <x v="12"/>
    <n v="38"/>
    <n v="203.75000000005821"/>
    <n v="722"/>
    <n v="15"/>
    <x v="55"/>
  </r>
  <r>
    <x v="12"/>
    <n v="39"/>
    <n v="104.51666666666279"/>
    <n v="721"/>
    <n v="15"/>
    <x v="55"/>
  </r>
  <r>
    <x v="12"/>
    <n v="40"/>
    <n v="94.5"/>
    <n v="720"/>
    <n v="15"/>
    <x v="55"/>
  </r>
  <r>
    <x v="12"/>
    <n v="42"/>
    <n v="1333.5999999999767"/>
    <n v="718"/>
    <n v="15"/>
    <x v="56"/>
  </r>
  <r>
    <x v="12"/>
    <n v="43"/>
    <n v="30.183333333407063"/>
    <n v="717"/>
    <n v="15"/>
    <x v="56"/>
  </r>
  <r>
    <x v="12"/>
    <n v="44"/>
    <n v="41.833333333313931"/>
    <n v="716"/>
    <n v="15"/>
    <x v="56"/>
  </r>
  <r>
    <x v="12"/>
    <n v="49"/>
    <n v="1.6666666666860692"/>
    <n v="711"/>
    <n v="15"/>
    <x v="56"/>
  </r>
  <r>
    <x v="12"/>
    <n v="52"/>
    <n v="7.7499999999417923"/>
    <n v="708"/>
    <n v="15"/>
    <x v="56"/>
  </r>
  <r>
    <x v="12"/>
    <n v="53"/>
    <n v="6.5000000000582077"/>
    <n v="707"/>
    <n v="15"/>
    <x v="56"/>
  </r>
  <r>
    <x v="12"/>
    <n v="54"/>
    <n v="2.0000000000582077"/>
    <n v="706"/>
    <n v="15"/>
    <x v="56"/>
  </r>
  <r>
    <x v="12"/>
    <n v="57"/>
    <n v="1.4166666667442769"/>
    <n v="703"/>
    <n v="15"/>
    <x v="56"/>
  </r>
  <r>
    <x v="12"/>
    <n v="59"/>
    <n v="0.39999999990686774"/>
    <n v="701"/>
    <n v="15"/>
    <x v="56"/>
  </r>
  <r>
    <x v="12"/>
    <n v="60"/>
    <n v="0.41666666662786156"/>
    <n v="700"/>
    <n v="15"/>
    <x v="56"/>
  </r>
  <r>
    <x v="12"/>
    <n v="61"/>
    <n v="3.3333333331975155"/>
    <n v="699"/>
    <n v="15"/>
    <x v="56"/>
  </r>
  <r>
    <x v="12"/>
    <n v="62"/>
    <n v="8.1666666667442769"/>
    <n v="698"/>
    <n v="15"/>
    <x v="56"/>
  </r>
  <r>
    <x v="12"/>
    <n v="66"/>
    <n v="2.9166666665696539"/>
    <n v="694"/>
    <n v="15"/>
    <x v="56"/>
  </r>
  <r>
    <x v="12"/>
    <n v="67"/>
    <n v="2.2333333332790062"/>
    <n v="693"/>
    <n v="15"/>
    <x v="56"/>
  </r>
  <r>
    <x v="12"/>
    <n v="70"/>
    <n v="59.033333333500195"/>
    <n v="690"/>
    <n v="15"/>
    <x v="56"/>
  </r>
  <r>
    <x v="12"/>
    <n v="71"/>
    <n v="18.883333333418705"/>
    <n v="689"/>
    <n v="15"/>
    <x v="56"/>
  </r>
  <r>
    <x v="12"/>
    <n v="73"/>
    <n v="2.8333333333139308"/>
    <n v="687"/>
    <n v="15"/>
    <x v="56"/>
  </r>
  <r>
    <x v="12"/>
    <n v="75"/>
    <n v="131.83333333331393"/>
    <n v="685"/>
    <n v="15"/>
    <x v="56"/>
  </r>
  <r>
    <x v="12"/>
    <n v="80"/>
    <n v="4.9166666666278616"/>
    <n v="680"/>
    <n v="15"/>
    <x v="56"/>
  </r>
  <r>
    <x v="12"/>
    <n v="81"/>
    <n v="422.55000000010477"/>
    <n v="679"/>
    <n v="15"/>
    <x v="57"/>
  </r>
  <r>
    <x v="12"/>
    <n v="82"/>
    <n v="2.0000000000582077"/>
    <n v="678"/>
    <n v="15"/>
    <x v="57"/>
  </r>
  <r>
    <x v="12"/>
    <n v="85"/>
    <n v="9.75"/>
    <n v="675"/>
    <n v="15"/>
    <x v="57"/>
  </r>
  <r>
    <x v="12"/>
    <n v="86"/>
    <n v="4.5333333332673647"/>
    <n v="674"/>
    <n v="15"/>
    <x v="57"/>
  </r>
  <r>
    <x v="12"/>
    <n v="89"/>
    <n v="39.166666666336823"/>
    <n v="671"/>
    <n v="15"/>
    <x v="57"/>
  </r>
  <r>
    <x v="12"/>
    <n v="90"/>
    <n v="8.7666666664299555"/>
    <n v="670"/>
    <n v="15"/>
    <x v="57"/>
  </r>
  <r>
    <x v="12"/>
    <n v="91"/>
    <n v="6.7333333334536292"/>
    <n v="669"/>
    <n v="15"/>
    <x v="57"/>
  </r>
  <r>
    <x v="12"/>
    <n v="94"/>
    <n v="7.4333333334652707"/>
    <n v="666"/>
    <n v="15"/>
    <x v="57"/>
  </r>
  <r>
    <x v="12"/>
    <n v="95"/>
    <n v="2.5000000001164153"/>
    <n v="665"/>
    <n v="15"/>
    <x v="57"/>
  </r>
  <r>
    <x v="12"/>
    <n v="99"/>
    <n v="8.3333333336049691"/>
    <n v="661"/>
    <n v="15"/>
    <x v="57"/>
  </r>
  <r>
    <x v="12"/>
    <n v="100"/>
    <n v="1.9999999998835847"/>
    <n v="660"/>
    <n v="15"/>
    <x v="57"/>
  </r>
  <r>
    <x v="12"/>
    <n v="102"/>
    <n v="0.99999999994179234"/>
    <n v="658"/>
    <n v="15"/>
    <x v="57"/>
  </r>
  <r>
    <x v="12"/>
    <n v="103"/>
    <n v="17.550000000104774"/>
    <n v="657"/>
    <n v="15"/>
    <x v="57"/>
  </r>
  <r>
    <x v="12"/>
    <n v="107"/>
    <n v="68.8333333338378"/>
    <n v="653"/>
    <n v="15"/>
    <x v="57"/>
  </r>
  <r>
    <x v="12"/>
    <n v="108"/>
    <n v="20.550000000104774"/>
    <n v="652"/>
    <n v="15"/>
    <x v="57"/>
  </r>
  <r>
    <x v="12"/>
    <n v="109"/>
    <n v="2.4999999999417923"/>
    <n v="651"/>
    <n v="15"/>
    <x v="57"/>
  </r>
  <r>
    <x v="12"/>
    <n v="112"/>
    <n v="1.316666666592937"/>
    <n v="648"/>
    <n v="15"/>
    <x v="57"/>
  </r>
  <r>
    <x v="12"/>
    <n v="114"/>
    <n v="1.6166666666977108"/>
    <n v="646"/>
    <n v="15"/>
    <x v="57"/>
  </r>
  <r>
    <x v="12"/>
    <n v="117"/>
    <n v="9.3833333331858739"/>
    <n v="643"/>
    <n v="15"/>
    <x v="57"/>
  </r>
  <r>
    <x v="12"/>
    <n v="118"/>
    <n v="20.533333333209157"/>
    <n v="642"/>
    <n v="15"/>
    <x v="57"/>
  </r>
  <r>
    <x v="12"/>
    <n v="119"/>
    <n v="54.75"/>
    <n v="641"/>
    <n v="15"/>
    <x v="57"/>
  </r>
  <r>
    <x v="12"/>
    <n v="122"/>
    <n v="0.81666666670935228"/>
    <n v="638"/>
    <n v="15"/>
    <x v="57"/>
  </r>
  <r>
    <x v="12"/>
    <n v="127"/>
    <n v="17.133333333302289"/>
    <n v="633"/>
    <n v="15"/>
    <x v="57"/>
  </r>
  <r>
    <x v="12"/>
    <n v="128"/>
    <n v="31.599999999976717"/>
    <n v="632"/>
    <n v="15"/>
    <x v="57"/>
  </r>
  <r>
    <x v="12"/>
    <n v="129"/>
    <n v="11.250000000174623"/>
    <n v="631"/>
    <n v="15"/>
    <x v="57"/>
  </r>
  <r>
    <x v="12"/>
    <n v="130"/>
    <n v="4.7500000001164153"/>
    <n v="630"/>
    <n v="15"/>
    <x v="57"/>
  </r>
  <r>
    <x v="12"/>
    <n v="131"/>
    <n v="2.0000000000582077"/>
    <n v="629"/>
    <n v="15"/>
    <x v="57"/>
  </r>
  <r>
    <x v="12"/>
    <n v="132"/>
    <n v="3"/>
    <n v="628"/>
    <n v="15"/>
    <x v="57"/>
  </r>
  <r>
    <x v="12"/>
    <n v="136"/>
    <n v="54.366666666290257"/>
    <n v="624"/>
    <n v="15"/>
    <x v="57"/>
  </r>
  <r>
    <x v="12"/>
    <n v="137"/>
    <n v="26.049999999871943"/>
    <n v="623"/>
    <n v="15"/>
    <x v="57"/>
  </r>
  <r>
    <x v="12"/>
    <n v="138"/>
    <n v="3.9999999999417923"/>
    <n v="622"/>
    <n v="15"/>
    <x v="57"/>
  </r>
  <r>
    <x v="12"/>
    <n v="139"/>
    <n v="9.4999999998835847"/>
    <n v="621"/>
    <n v="15"/>
    <x v="57"/>
  </r>
  <r>
    <x v="12"/>
    <n v="155"/>
    <n v="4.9499999998952262"/>
    <n v="605"/>
    <n v="15"/>
    <x v="57"/>
  </r>
  <r>
    <x v="12"/>
    <n v="159"/>
    <n v="2.25"/>
    <n v="601"/>
    <n v="15"/>
    <x v="57"/>
  </r>
  <r>
    <x v="12"/>
    <n v="160"/>
    <n v="13.583333333255723"/>
    <n v="600"/>
    <n v="15"/>
    <x v="57"/>
  </r>
  <r>
    <x v="12"/>
    <n v="162"/>
    <n v="0.49999999988358468"/>
    <n v="598"/>
    <n v="15"/>
    <x v="58"/>
  </r>
  <r>
    <x v="12"/>
    <n v="164"/>
    <n v="28.033333333209157"/>
    <n v="596"/>
    <n v="15"/>
    <x v="58"/>
  </r>
  <r>
    <x v="12"/>
    <n v="165"/>
    <n v="5.4166666665114462"/>
    <n v="595"/>
    <n v="15"/>
    <x v="58"/>
  </r>
  <r>
    <x v="12"/>
    <n v="169"/>
    <n v="0.68333333329064772"/>
    <n v="591"/>
    <n v="15"/>
    <x v="58"/>
  </r>
  <r>
    <x v="12"/>
    <n v="174"/>
    <n v="13.766666666662786"/>
    <n v="586"/>
    <n v="15"/>
    <x v="58"/>
  </r>
  <r>
    <x v="12"/>
    <n v="179"/>
    <n v="12"/>
    <n v="581"/>
    <n v="15"/>
    <x v="58"/>
  </r>
  <r>
    <x v="12"/>
    <n v="183"/>
    <n v="1.2333333333372138"/>
    <n v="577"/>
    <n v="15"/>
    <x v="58"/>
  </r>
  <r>
    <x v="12"/>
    <n v="188"/>
    <n v="8.7499999998835847"/>
    <n v="572"/>
    <n v="15"/>
    <x v="58"/>
  </r>
  <r>
    <x v="12"/>
    <n v="190"/>
    <n v="7.0000000001164153"/>
    <n v="570"/>
    <n v="15"/>
    <x v="58"/>
  </r>
  <r>
    <x v="12"/>
    <n v="197"/>
    <n v="6.1999999999534339"/>
    <n v="563"/>
    <n v="15"/>
    <x v="59"/>
  </r>
  <r>
    <x v="12"/>
    <n v="202"/>
    <n v="9.1333333334187046"/>
    <n v="558"/>
    <n v="15"/>
    <x v="59"/>
  </r>
  <r>
    <x v="12"/>
    <n v="207"/>
    <n v="6"/>
    <n v="553"/>
    <n v="15"/>
    <x v="59"/>
  </r>
  <r>
    <x v="12"/>
    <n v="212"/>
    <n v="0.99999999994179234"/>
    <n v="548"/>
    <n v="15"/>
    <x v="59"/>
  </r>
  <r>
    <x v="12"/>
    <n v="220"/>
    <n v="0.11666666669771075"/>
    <n v="540"/>
    <n v="15"/>
    <x v="59"/>
  </r>
  <r>
    <x v="12"/>
    <n v="221"/>
    <n v="1.7666666666627862"/>
    <n v="539"/>
    <n v="15"/>
    <x v="59"/>
  </r>
  <r>
    <x v="12"/>
    <n v="230"/>
    <n v="11.000000000058208"/>
    <n v="530"/>
    <n v="15"/>
    <x v="59"/>
  </r>
  <r>
    <x v="12"/>
    <n v="231"/>
    <n v="16.499999999825377"/>
    <n v="529"/>
    <n v="15"/>
    <x v="59"/>
  </r>
  <r>
    <x v="12"/>
    <n v="235"/>
    <n v="5.0000000000582077"/>
    <n v="525"/>
    <n v="15"/>
    <x v="59"/>
  </r>
  <r>
    <x v="12"/>
    <n v="238"/>
    <n v="4.316666666592937"/>
    <n v="522"/>
    <n v="15"/>
    <x v="59"/>
  </r>
  <r>
    <x v="12"/>
    <n v="257"/>
    <n v="8.5499999999301508"/>
    <n v="503"/>
    <n v="15"/>
    <x v="59"/>
  </r>
  <r>
    <x v="12"/>
    <n v="269"/>
    <n v="4.5"/>
    <n v="491"/>
    <n v="15"/>
    <x v="59"/>
  </r>
  <r>
    <x v="12"/>
    <n v="272"/>
    <n v="0.54999999987194315"/>
    <n v="488"/>
    <n v="15"/>
    <x v="59"/>
  </r>
  <r>
    <x v="12"/>
    <n v="277"/>
    <n v="100.46666666673264"/>
    <n v="483"/>
    <n v="15"/>
    <x v="59"/>
  </r>
  <r>
    <x v="12"/>
    <n v="278"/>
    <n v="6.000000000174623"/>
    <n v="482"/>
    <n v="15"/>
    <x v="59"/>
  </r>
  <r>
    <x v="12"/>
    <n v="279"/>
    <n v="7.2500000000582077"/>
    <n v="481"/>
    <n v="15"/>
    <x v="59"/>
  </r>
  <r>
    <x v="12"/>
    <n v="284"/>
    <n v="7.033333333209157"/>
    <n v="476"/>
    <n v="15"/>
    <x v="59"/>
  </r>
  <r>
    <x v="12"/>
    <n v="288"/>
    <n v="4.8333333333721384"/>
    <n v="472"/>
    <n v="15"/>
    <x v="59"/>
  </r>
  <r>
    <x v="12"/>
    <n v="291"/>
    <n v="5.5000000001164153"/>
    <n v="469"/>
    <n v="15"/>
    <x v="59"/>
  </r>
  <r>
    <x v="12"/>
    <n v="296"/>
    <n v="20.550000000104774"/>
    <n v="464"/>
    <n v="15"/>
    <x v="59"/>
  </r>
  <r>
    <x v="12"/>
    <n v="298"/>
    <n v="0.36666666663950309"/>
    <n v="462"/>
    <n v="15"/>
    <x v="59"/>
  </r>
  <r>
    <x v="12"/>
    <n v="301"/>
    <n v="16.250000000058208"/>
    <n v="459"/>
    <n v="15"/>
    <x v="59"/>
  </r>
  <r>
    <x v="12"/>
    <n v="305"/>
    <n v="3"/>
    <n v="455"/>
    <n v="15"/>
    <x v="59"/>
  </r>
  <r>
    <x v="12"/>
    <n v="306"/>
    <n v="29.000000000058208"/>
    <n v="454"/>
    <n v="15"/>
    <x v="59"/>
  </r>
  <r>
    <x v="12"/>
    <n v="324"/>
    <n v="18.999999999941792"/>
    <n v="436"/>
    <n v="15"/>
    <x v="5"/>
  </r>
  <r>
    <x v="12"/>
    <n v="325"/>
    <n v="262.61666666634846"/>
    <n v="435"/>
    <n v="15"/>
    <x v="5"/>
  </r>
  <r>
    <x v="12"/>
    <n v="326"/>
    <n v="231.96666666615056"/>
    <n v="434"/>
    <n v="15"/>
    <x v="5"/>
  </r>
  <r>
    <x v="12"/>
    <n v="329"/>
    <n v="6.0833333334303461"/>
    <n v="431"/>
    <n v="15"/>
    <x v="5"/>
  </r>
  <r>
    <x v="12"/>
    <n v="334"/>
    <n v="38.499999999941792"/>
    <n v="426"/>
    <n v="15"/>
    <x v="5"/>
  </r>
  <r>
    <x v="12"/>
    <n v="335"/>
    <n v="9.9999999999417923"/>
    <n v="425"/>
    <n v="15"/>
    <x v="5"/>
  </r>
  <r>
    <x v="12"/>
    <n v="338"/>
    <n v="59.899999999674037"/>
    <n v="422"/>
    <n v="15"/>
    <x v="5"/>
  </r>
  <r>
    <x v="12"/>
    <n v="339"/>
    <n v="7.0166666666627862"/>
    <n v="421"/>
    <n v="15"/>
    <x v="5"/>
  </r>
  <r>
    <x v="12"/>
    <n v="343"/>
    <n v="92.89999999984866"/>
    <n v="417"/>
    <n v="15"/>
    <x v="5"/>
  </r>
  <r>
    <x v="12"/>
    <n v="348"/>
    <n v="2.25"/>
    <n v="412"/>
    <n v="15"/>
    <x v="5"/>
  </r>
  <r>
    <x v="12"/>
    <n v="363"/>
    <n v="21.666666666744277"/>
    <n v="397"/>
    <n v="15"/>
    <x v="5"/>
  </r>
  <r>
    <x v="12"/>
    <n v="371"/>
    <n v="306.2833333335584"/>
    <n v="389"/>
    <n v="15"/>
    <x v="5"/>
  </r>
  <r>
    <x v="12"/>
    <n v="372"/>
    <n v="10.999999999883585"/>
    <n v="388"/>
    <n v="15"/>
    <x v="5"/>
  </r>
  <r>
    <x v="12"/>
    <n v="381"/>
    <n v="17.416666666686069"/>
    <n v="379"/>
    <n v="15"/>
    <x v="5"/>
  </r>
  <r>
    <x v="12"/>
    <n v="382"/>
    <n v="6.0499999999883585"/>
    <n v="378"/>
    <n v="15"/>
    <x v="5"/>
  </r>
  <r>
    <x v="12"/>
    <n v="395"/>
    <n v="2.4999999999417923"/>
    <n v="365"/>
    <n v="15"/>
    <x v="5"/>
  </r>
  <r>
    <x v="12"/>
    <n v="409"/>
    <n v="5.3333333332557231"/>
    <n v="351"/>
    <n v="15"/>
    <x v="5"/>
  </r>
  <r>
    <x v="12"/>
    <n v="418"/>
    <n v="0.99999999994179234"/>
    <n v="342"/>
    <n v="15"/>
    <x v="5"/>
  </r>
  <r>
    <x v="12"/>
    <n v="428"/>
    <n v="6.4999999998835847"/>
    <n v="332"/>
    <n v="15"/>
    <x v="5"/>
  </r>
  <r>
    <x v="12"/>
    <n v="473"/>
    <n v="0.6000000000349246"/>
    <n v="287"/>
    <n v="15"/>
    <x v="5"/>
  </r>
  <r>
    <x v="12"/>
    <n v="475"/>
    <n v="1.9333333333488554"/>
    <n v="285"/>
    <n v="15"/>
    <x v="5"/>
  </r>
  <r>
    <x v="12"/>
    <n v="489"/>
    <n v="1.2333333333372138"/>
    <n v="271"/>
    <n v="15"/>
    <x v="5"/>
  </r>
  <r>
    <x v="12"/>
    <n v="493"/>
    <n v="4.8333333333721384"/>
    <n v="267"/>
    <n v="15"/>
    <x v="5"/>
  </r>
  <r>
    <x v="12"/>
    <n v="498"/>
    <n v="6.9999999999417923"/>
    <n v="262"/>
    <n v="15"/>
    <x v="5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  <r>
    <x v="13"/>
    <m/>
    <m/>
    <m/>
    <m/>
    <x v="6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compact="0" compactData="0" gridDropZones="1" multipleFieldFilters="0">
  <location ref="A5:C961" firstHeaderRow="2" firstDataRow="2" firstDataCol="2" rowPageCount="3" colPageCount="1"/>
  <pivotFields count="22"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5">
        <item x="0"/>
        <item h="1" x="2"/>
        <item h="1" x="1"/>
        <item h="1" x="3"/>
        <item t="default"/>
      </items>
    </pivotField>
    <pivotField compact="0" outline="0" showAll="0"/>
    <pivotField axis="axisPage" compact="0" outline="0" multipleItemSelectionAllowed="1" showAll="0" defaultSubtotal="0">
      <items count="3">
        <item x="0"/>
        <item x="1"/>
        <item x="2"/>
      </items>
    </pivotField>
    <pivotField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 defaultSubtotal="0"/>
    <pivotField dataField="1" compact="0" numFmtId="164" outline="0" showAll="0"/>
    <pivotField compact="0" numFmtId="43" outline="0" showAll="0"/>
    <pivotField compact="0" numFmtId="164" outline="0" showAll="0"/>
    <pivotField compact="0" numFmtId="43" outline="0" showAll="0"/>
    <pivotField axis="axisRow" compact="0" numFmtId="164" outline="0" showAll="0" sortType="ascending" defaultSubtotal="0">
      <items count="329">
        <item x="152"/>
        <item x="276"/>
        <item x="14"/>
        <item x="183"/>
        <item x="9"/>
        <item x="166"/>
        <item x="151"/>
        <item x="13"/>
        <item x="1"/>
        <item x="94"/>
        <item x="182"/>
        <item x="197"/>
        <item x="24"/>
        <item x="20"/>
        <item x="61"/>
        <item x="169"/>
        <item x="167"/>
        <item x="262"/>
        <item x="5"/>
        <item x="54"/>
        <item x="21"/>
        <item x="168"/>
        <item x="7"/>
        <item x="0"/>
        <item x="107"/>
        <item x="80"/>
        <item x="16"/>
        <item x="6"/>
        <item x="67"/>
        <item x="206"/>
        <item x="222"/>
        <item x="246"/>
        <item x="8"/>
        <item x="17"/>
        <item x="81"/>
        <item x="139"/>
        <item x="32"/>
        <item x="12"/>
        <item x="15"/>
        <item x="104"/>
        <item x="157"/>
        <item x="28"/>
        <item x="117"/>
        <item x="82"/>
        <item x="176"/>
        <item x="23"/>
        <item x="10"/>
        <item x="119"/>
        <item x="22"/>
        <item x="227"/>
        <item x="33"/>
        <item x="3"/>
        <item x="18"/>
        <item x="179"/>
        <item x="158"/>
        <item x="2"/>
        <item x="123"/>
        <item x="184"/>
        <item x="237"/>
        <item x="83"/>
        <item x="11"/>
        <item x="131"/>
        <item x="171"/>
        <item x="187"/>
        <item x="30"/>
        <item x="127"/>
        <item x="244"/>
        <item x="105"/>
        <item x="208"/>
        <item x="25"/>
        <item x="284"/>
        <item x="165"/>
        <item x="243"/>
        <item x="87"/>
        <item x="29"/>
        <item x="34"/>
        <item x="220"/>
        <item x="128"/>
        <item x="53"/>
        <item x="297"/>
        <item x="192"/>
        <item x="240"/>
        <item x="48"/>
        <item x="36"/>
        <item x="136"/>
        <item x="196"/>
        <item x="173"/>
        <item x="47"/>
        <item x="273"/>
        <item x="145"/>
        <item x="160"/>
        <item x="42"/>
        <item x="31"/>
        <item x="129"/>
        <item x="194"/>
        <item x="19"/>
        <item x="41"/>
        <item x="249"/>
        <item x="190"/>
        <item x="26"/>
        <item x="65"/>
        <item x="111"/>
        <item x="265"/>
        <item x="140"/>
        <item x="228"/>
        <item x="43"/>
        <item x="207"/>
        <item x="4"/>
        <item x="255"/>
        <item x="64"/>
        <item x="92"/>
        <item x="205"/>
        <item x="38"/>
        <item x="253"/>
        <item x="46"/>
        <item x="164"/>
        <item x="242"/>
        <item x="40"/>
        <item x="95"/>
        <item x="161"/>
        <item x="277"/>
        <item x="137"/>
        <item x="52"/>
        <item x="236"/>
        <item x="141"/>
        <item x="248"/>
        <item x="49"/>
        <item x="259"/>
        <item x="288"/>
        <item x="50"/>
        <item x="241"/>
        <item x="51"/>
        <item x="108"/>
        <item x="181"/>
        <item x="162"/>
        <item x="62"/>
        <item x="224"/>
        <item x="115"/>
        <item x="172"/>
        <item x="135"/>
        <item x="59"/>
        <item x="106"/>
        <item x="218"/>
        <item x="250"/>
        <item x="45"/>
        <item x="252"/>
        <item x="85"/>
        <item x="286"/>
        <item x="75"/>
        <item x="267"/>
        <item x="251"/>
        <item x="35"/>
        <item x="66"/>
        <item x="234"/>
        <item x="103"/>
        <item x="247"/>
        <item x="37"/>
        <item x="68"/>
        <item x="308"/>
        <item x="177"/>
        <item x="130"/>
        <item x="58"/>
        <item x="150"/>
        <item x="112"/>
        <item x="254"/>
        <item x="27"/>
        <item x="88"/>
        <item x="313"/>
        <item x="245"/>
        <item x="198"/>
        <item x="282"/>
        <item x="233"/>
        <item x="114"/>
        <item x="217"/>
        <item x="84"/>
        <item x="118"/>
        <item x="93"/>
        <item x="232"/>
        <item x="269"/>
        <item x="153"/>
        <item x="110"/>
        <item x="186"/>
        <item x="60"/>
        <item x="121"/>
        <item x="109"/>
        <item x="189"/>
        <item x="86"/>
        <item x="230"/>
        <item x="266"/>
        <item x="256"/>
        <item x="71"/>
        <item x="216"/>
        <item x="320"/>
        <item x="268"/>
        <item x="225"/>
        <item x="99"/>
        <item x="298"/>
        <item x="113"/>
        <item x="211"/>
        <item x="132"/>
        <item x="144"/>
        <item x="69"/>
        <item x="231"/>
        <item x="325"/>
        <item x="219"/>
        <item x="185"/>
        <item x="295"/>
        <item x="155"/>
        <item x="318"/>
        <item x="223"/>
        <item x="143"/>
        <item x="270"/>
        <item x="235"/>
        <item x="264"/>
        <item x="188"/>
        <item x="78"/>
        <item x="221"/>
        <item x="260"/>
        <item x="263"/>
        <item x="257"/>
        <item x="238"/>
        <item x="154"/>
        <item x="272"/>
        <item x="283"/>
        <item x="146"/>
        <item x="44"/>
        <item x="294"/>
        <item x="126"/>
        <item x="239"/>
        <item x="300"/>
        <item x="100"/>
        <item x="215"/>
        <item x="290"/>
        <item x="199"/>
        <item x="134"/>
        <item x="261"/>
        <item x="281"/>
        <item x="72"/>
        <item x="203"/>
        <item x="180"/>
        <item x="97"/>
        <item x="274"/>
        <item x="142"/>
        <item x="98"/>
        <item x="159"/>
        <item x="271"/>
        <item x="213"/>
        <item x="195"/>
        <item x="56"/>
        <item x="156"/>
        <item x="212"/>
        <item x="178"/>
        <item x="77"/>
        <item x="214"/>
        <item x="191"/>
        <item x="133"/>
        <item x="327"/>
        <item x="292"/>
        <item x="175"/>
        <item x="91"/>
        <item x="202"/>
        <item x="279"/>
        <item x="174"/>
        <item x="122"/>
        <item x="229"/>
        <item x="311"/>
        <item x="299"/>
        <item x="102"/>
        <item x="204"/>
        <item x="291"/>
        <item x="301"/>
        <item x="124"/>
        <item x="96"/>
        <item x="209"/>
        <item x="280"/>
        <item x="73"/>
        <item x="147"/>
        <item x="314"/>
        <item x="70"/>
        <item x="326"/>
        <item x="304"/>
        <item x="210"/>
        <item x="321"/>
        <item x="310"/>
        <item x="89"/>
        <item x="200"/>
        <item x="287"/>
        <item x="293"/>
        <item x="306"/>
        <item x="74"/>
        <item x="285"/>
        <item x="55"/>
        <item x="63"/>
        <item x="57"/>
        <item x="289"/>
        <item x="317"/>
        <item x="193"/>
        <item x="76"/>
        <item x="316"/>
        <item x="305"/>
        <item x="226"/>
        <item x="138"/>
        <item x="303"/>
        <item x="324"/>
        <item x="101"/>
        <item x="79"/>
        <item x="278"/>
        <item x="258"/>
        <item x="312"/>
        <item x="307"/>
        <item x="39"/>
        <item x="149"/>
        <item x="323"/>
        <item x="125"/>
        <item x="319"/>
        <item x="116"/>
        <item x="148"/>
        <item x="170"/>
        <item x="328"/>
        <item x="322"/>
        <item x="90"/>
        <item x="201"/>
        <item x="163"/>
        <item x="275"/>
        <item x="120"/>
        <item x="315"/>
        <item x="296"/>
        <item x="309"/>
        <item x="302"/>
      </items>
    </pivotField>
  </pivotFields>
  <rowFields count="2">
    <field x="0"/>
    <field x="21"/>
  </rowFields>
  <rowItems count="955">
    <i>
      <x/>
      <x v="2"/>
    </i>
    <i r="1">
      <x v="4"/>
    </i>
    <i r="1">
      <x v="7"/>
    </i>
    <i r="1">
      <x v="8"/>
    </i>
    <i r="1">
      <x v="12"/>
    </i>
    <i r="1">
      <x v="13"/>
    </i>
    <i r="1">
      <x v="18"/>
    </i>
    <i r="1">
      <x v="20"/>
    </i>
    <i r="1">
      <x v="22"/>
    </i>
    <i r="1">
      <x v="23"/>
    </i>
    <i r="1">
      <x v="26"/>
    </i>
    <i r="1">
      <x v="27"/>
    </i>
    <i r="1">
      <x v="32"/>
    </i>
    <i r="1">
      <x v="33"/>
    </i>
    <i r="1">
      <x v="37"/>
    </i>
    <i r="1">
      <x v="38"/>
    </i>
    <i r="1">
      <x v="45"/>
    </i>
    <i r="1">
      <x v="46"/>
    </i>
    <i r="1">
      <x v="48"/>
    </i>
    <i r="1">
      <x v="51"/>
    </i>
    <i r="1">
      <x v="52"/>
    </i>
    <i r="1">
      <x v="55"/>
    </i>
    <i r="1">
      <x v="60"/>
    </i>
    <i r="1">
      <x v="69"/>
    </i>
    <i r="1">
      <x v="95"/>
    </i>
    <i r="1">
      <x v="99"/>
    </i>
    <i>
      <x v="1"/>
      <x v="8"/>
    </i>
    <i r="1">
      <x v="13"/>
    </i>
    <i r="1">
      <x v="18"/>
    </i>
    <i r="1">
      <x v="27"/>
    </i>
    <i r="1">
      <x v="32"/>
    </i>
    <i r="1">
      <x v="36"/>
    </i>
    <i r="1">
      <x v="41"/>
    </i>
    <i r="1">
      <x v="46"/>
    </i>
    <i r="1">
      <x v="50"/>
    </i>
    <i r="1">
      <x v="52"/>
    </i>
    <i r="1">
      <x v="55"/>
    </i>
    <i r="1">
      <x v="60"/>
    </i>
    <i r="1">
      <x v="64"/>
    </i>
    <i r="1">
      <x v="69"/>
    </i>
    <i r="1">
      <x v="74"/>
    </i>
    <i r="1">
      <x v="75"/>
    </i>
    <i r="1">
      <x v="83"/>
    </i>
    <i r="1">
      <x v="92"/>
    </i>
    <i r="1">
      <x v="112"/>
    </i>
    <i r="1">
      <x v="151"/>
    </i>
    <i r="1">
      <x v="156"/>
    </i>
    <i>
      <x v="2"/>
      <x v="14"/>
    </i>
    <i r="1">
      <x v="19"/>
    </i>
    <i r="1">
      <x v="23"/>
    </i>
    <i r="1">
      <x v="25"/>
    </i>
    <i r="1">
      <x v="28"/>
    </i>
    <i r="1">
      <x v="32"/>
    </i>
    <i r="1">
      <x v="34"/>
    </i>
    <i r="1">
      <x v="43"/>
    </i>
    <i r="1">
      <x v="46"/>
    </i>
    <i r="1">
      <x v="50"/>
    </i>
    <i r="1">
      <x v="59"/>
    </i>
    <i r="1">
      <x v="60"/>
    </i>
    <i r="1">
      <x v="69"/>
    </i>
    <i r="1">
      <x v="73"/>
    </i>
    <i r="1">
      <x v="78"/>
    </i>
    <i r="1">
      <x v="82"/>
    </i>
    <i r="1">
      <x v="87"/>
    </i>
    <i r="1">
      <x v="91"/>
    </i>
    <i r="1">
      <x v="96"/>
    </i>
    <i r="1">
      <x v="100"/>
    </i>
    <i r="1">
      <x v="105"/>
    </i>
    <i r="1">
      <x v="109"/>
    </i>
    <i r="1">
      <x v="114"/>
    </i>
    <i r="1">
      <x v="117"/>
    </i>
    <i r="1">
      <x v="122"/>
    </i>
    <i r="1">
      <x v="126"/>
    </i>
    <i r="1">
      <x v="129"/>
    </i>
    <i r="1">
      <x v="131"/>
    </i>
    <i r="1">
      <x v="135"/>
    </i>
    <i r="1">
      <x v="140"/>
    </i>
    <i r="1">
      <x v="144"/>
    </i>
    <i r="1">
      <x v="146"/>
    </i>
    <i r="1">
      <x v="148"/>
    </i>
    <i r="1">
      <x v="152"/>
    </i>
    <i r="1">
      <x v="157"/>
    </i>
    <i r="1">
      <x v="161"/>
    </i>
    <i r="1">
      <x v="166"/>
    </i>
    <i r="1">
      <x v="174"/>
    </i>
    <i r="1">
      <x v="182"/>
    </i>
    <i r="1">
      <x v="186"/>
    </i>
    <i r="1">
      <x v="190"/>
    </i>
    <i r="1">
      <x v="201"/>
    </i>
    <i r="1">
      <x v="215"/>
    </i>
    <i r="1">
      <x v="225"/>
    </i>
    <i r="1">
      <x v="237"/>
    </i>
    <i r="1">
      <x v="248"/>
    </i>
    <i r="1">
      <x v="252"/>
    </i>
    <i r="1">
      <x v="275"/>
    </i>
    <i r="1">
      <x v="278"/>
    </i>
    <i r="1">
      <x v="284"/>
    </i>
    <i r="1">
      <x v="289"/>
    </i>
    <i r="1">
      <x v="291"/>
    </i>
    <i r="1">
      <x v="292"/>
    </i>
    <i r="1">
      <x v="293"/>
    </i>
    <i r="1">
      <x v="297"/>
    </i>
    <i r="1">
      <x v="305"/>
    </i>
    <i>
      <x v="3"/>
      <x v="9"/>
    </i>
    <i r="1">
      <x v="13"/>
    </i>
    <i r="1">
      <x v="18"/>
    </i>
    <i r="1">
      <x v="24"/>
    </i>
    <i r="1">
      <x v="28"/>
    </i>
    <i r="1">
      <x v="32"/>
    </i>
    <i r="1">
      <x v="37"/>
    </i>
    <i r="1">
      <x v="38"/>
    </i>
    <i r="1">
      <x v="39"/>
    </i>
    <i r="1">
      <x v="41"/>
    </i>
    <i r="1">
      <x v="46"/>
    </i>
    <i r="1">
      <x v="50"/>
    </i>
    <i r="1">
      <x v="55"/>
    </i>
    <i r="1">
      <x v="60"/>
    </i>
    <i r="1">
      <x v="64"/>
    </i>
    <i r="1">
      <x v="67"/>
    </i>
    <i r="1">
      <x v="73"/>
    </i>
    <i r="1">
      <x v="78"/>
    </i>
    <i r="1">
      <x v="83"/>
    </i>
    <i r="1">
      <x v="87"/>
    </i>
    <i r="1">
      <x v="92"/>
    </i>
    <i r="1">
      <x v="96"/>
    </i>
    <i r="1">
      <x v="100"/>
    </i>
    <i r="1">
      <x v="101"/>
    </i>
    <i r="1">
      <x v="105"/>
    </i>
    <i r="1">
      <x v="110"/>
    </i>
    <i r="1">
      <x v="118"/>
    </i>
    <i r="1">
      <x v="132"/>
    </i>
    <i r="1">
      <x v="137"/>
    </i>
    <i r="1">
      <x v="141"/>
    </i>
    <i r="1">
      <x v="154"/>
    </i>
    <i r="1">
      <x v="163"/>
    </i>
    <i r="1">
      <x v="165"/>
    </i>
    <i r="1">
      <x v="172"/>
    </i>
    <i r="1">
      <x v="176"/>
    </i>
    <i r="1">
      <x v="180"/>
    </i>
    <i r="1">
      <x v="182"/>
    </i>
    <i r="1">
      <x v="184"/>
    </i>
    <i r="1">
      <x v="195"/>
    </i>
    <i r="1">
      <x v="197"/>
    </i>
    <i r="1">
      <x v="230"/>
    </i>
    <i r="1">
      <x v="240"/>
    </i>
    <i r="1">
      <x v="243"/>
    </i>
    <i r="1">
      <x v="248"/>
    </i>
    <i r="1">
      <x v="259"/>
    </i>
    <i r="1">
      <x v="267"/>
    </i>
    <i r="1">
      <x v="272"/>
    </i>
    <i r="1">
      <x v="304"/>
    </i>
    <i r="1">
      <x v="315"/>
    </i>
    <i>
      <x v="4"/>
      <x/>
    </i>
    <i r="1">
      <x v="6"/>
    </i>
    <i r="1">
      <x v="8"/>
    </i>
    <i r="1">
      <x v="9"/>
    </i>
    <i r="1">
      <x v="12"/>
    </i>
    <i r="1">
      <x v="14"/>
    </i>
    <i r="1">
      <x v="19"/>
    </i>
    <i r="1">
      <x v="23"/>
    </i>
    <i r="1">
      <x v="28"/>
    </i>
    <i r="1">
      <x v="33"/>
    </i>
    <i r="1">
      <x v="35"/>
    </i>
    <i r="1">
      <x v="37"/>
    </i>
    <i r="1">
      <x v="40"/>
    </i>
    <i r="1">
      <x v="42"/>
    </i>
    <i r="1">
      <x v="47"/>
    </i>
    <i r="1">
      <x v="51"/>
    </i>
    <i r="1">
      <x v="54"/>
    </i>
    <i r="1">
      <x v="56"/>
    </i>
    <i r="1">
      <x v="60"/>
    </i>
    <i r="1">
      <x v="61"/>
    </i>
    <i r="1">
      <x v="65"/>
    </i>
    <i r="1">
      <x v="67"/>
    </i>
    <i r="1">
      <x v="75"/>
    </i>
    <i r="1">
      <x v="77"/>
    </i>
    <i r="1">
      <x v="84"/>
    </i>
    <i r="1">
      <x v="87"/>
    </i>
    <i r="1">
      <x v="89"/>
    </i>
    <i r="1">
      <x v="90"/>
    </i>
    <i r="1">
      <x v="93"/>
    </i>
    <i r="1">
      <x v="96"/>
    </i>
    <i r="1">
      <x v="103"/>
    </i>
    <i r="1">
      <x v="105"/>
    </i>
    <i r="1">
      <x v="107"/>
    </i>
    <i r="1">
      <x v="112"/>
    </i>
    <i r="1">
      <x v="119"/>
    </i>
    <i r="1">
      <x v="121"/>
    </i>
    <i r="1">
      <x v="124"/>
    </i>
    <i r="1">
      <x v="134"/>
    </i>
    <i r="1">
      <x v="135"/>
    </i>
    <i r="1">
      <x v="139"/>
    </i>
    <i r="1">
      <x v="148"/>
    </i>
    <i r="1">
      <x v="157"/>
    </i>
    <i r="1">
      <x v="160"/>
    </i>
    <i r="1">
      <x v="162"/>
    </i>
    <i r="1">
      <x v="166"/>
    </i>
    <i r="1">
      <x v="175"/>
    </i>
    <i r="1">
      <x v="179"/>
    </i>
    <i r="1">
      <x v="183"/>
    </i>
    <i r="1">
      <x v="199"/>
    </i>
    <i r="1">
      <x v="200"/>
    </i>
    <i r="1">
      <x v="207"/>
    </i>
    <i r="1">
      <x v="210"/>
    </i>
    <i r="1">
      <x v="221"/>
    </i>
    <i r="1">
      <x v="224"/>
    </i>
    <i r="1">
      <x v="227"/>
    </i>
    <i r="1">
      <x v="234"/>
    </i>
    <i r="1">
      <x v="242"/>
    </i>
    <i r="1">
      <x v="244"/>
    </i>
    <i r="1">
      <x v="248"/>
    </i>
    <i r="1">
      <x v="249"/>
    </i>
    <i r="1">
      <x v="255"/>
    </i>
    <i r="1">
      <x v="263"/>
    </i>
    <i r="1">
      <x v="271"/>
    </i>
    <i r="1">
      <x v="276"/>
    </i>
    <i r="1">
      <x v="301"/>
    </i>
    <i r="1">
      <x v="311"/>
    </i>
    <i r="1">
      <x v="313"/>
    </i>
    <i r="1">
      <x v="316"/>
    </i>
    <i>
      <x v="5"/>
      <x/>
    </i>
    <i r="1">
      <x v="2"/>
    </i>
    <i r="1">
      <x v="3"/>
    </i>
    <i r="1">
      <x v="5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8"/>
    </i>
    <i r="1">
      <x v="21"/>
    </i>
    <i r="1">
      <x v="22"/>
    </i>
    <i r="1">
      <x v="24"/>
    </i>
    <i r="1">
      <x v="25"/>
    </i>
    <i r="1">
      <x v="33"/>
    </i>
    <i r="1">
      <x v="34"/>
    </i>
    <i r="1">
      <x v="36"/>
    </i>
    <i r="1">
      <x v="39"/>
    </i>
    <i r="1">
      <x v="41"/>
    </i>
    <i r="1">
      <x v="42"/>
    </i>
    <i r="1">
      <x v="44"/>
    </i>
    <i r="1">
      <x v="48"/>
    </i>
    <i r="1">
      <x v="50"/>
    </i>
    <i r="1">
      <x v="53"/>
    </i>
    <i r="1">
      <x v="57"/>
    </i>
    <i r="1">
      <x v="62"/>
    </i>
    <i r="1">
      <x v="63"/>
    </i>
    <i r="1">
      <x v="64"/>
    </i>
    <i r="1">
      <x v="67"/>
    </i>
    <i r="1">
      <x v="71"/>
    </i>
    <i r="1">
      <x v="75"/>
    </i>
    <i r="1">
      <x v="80"/>
    </i>
    <i r="1">
      <x v="84"/>
    </i>
    <i r="1">
      <x v="85"/>
    </i>
    <i r="1">
      <x v="86"/>
    </i>
    <i r="1">
      <x v="89"/>
    </i>
    <i r="1">
      <x v="93"/>
    </i>
    <i r="1">
      <x v="94"/>
    </i>
    <i r="1">
      <x v="98"/>
    </i>
    <i r="1">
      <x v="103"/>
    </i>
    <i r="1">
      <x v="107"/>
    </i>
    <i r="1">
      <x v="115"/>
    </i>
    <i r="1">
      <x v="117"/>
    </i>
    <i r="1">
      <x v="124"/>
    </i>
    <i r="1">
      <x v="133"/>
    </i>
    <i r="1">
      <x v="135"/>
    </i>
    <i r="1">
      <x v="138"/>
    </i>
    <i r="1">
      <x v="159"/>
    </i>
    <i r="1">
      <x v="169"/>
    </i>
    <i r="1">
      <x v="181"/>
    </i>
    <i r="1">
      <x v="185"/>
    </i>
    <i r="1">
      <x v="195"/>
    </i>
    <i r="1">
      <x v="200"/>
    </i>
    <i r="1">
      <x v="205"/>
    </i>
    <i r="1">
      <x v="207"/>
    </i>
    <i r="1">
      <x v="214"/>
    </i>
    <i r="1">
      <x v="221"/>
    </i>
    <i r="1">
      <x v="227"/>
    </i>
    <i r="1">
      <x v="233"/>
    </i>
    <i r="1">
      <x v="239"/>
    </i>
    <i r="1">
      <x v="240"/>
    </i>
    <i r="1">
      <x v="247"/>
    </i>
    <i r="1">
      <x v="251"/>
    </i>
    <i r="1">
      <x v="254"/>
    </i>
    <i r="1">
      <x v="255"/>
    </i>
    <i r="1">
      <x v="258"/>
    </i>
    <i r="1">
      <x v="262"/>
    </i>
    <i r="1">
      <x v="271"/>
    </i>
    <i r="1">
      <x v="275"/>
    </i>
    <i r="1">
      <x v="285"/>
    </i>
    <i r="1">
      <x v="296"/>
    </i>
    <i r="1">
      <x v="317"/>
    </i>
    <i>
      <x v="6"/>
      <x/>
    </i>
    <i r="1">
      <x v="4"/>
    </i>
    <i r="1">
      <x v="5"/>
    </i>
    <i r="1">
      <x v="6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23"/>
    </i>
    <i r="1">
      <x v="27"/>
    </i>
    <i r="1">
      <x v="29"/>
    </i>
    <i r="1">
      <x v="30"/>
    </i>
    <i r="1">
      <x v="32"/>
    </i>
    <i r="1">
      <x v="36"/>
    </i>
    <i r="1">
      <x v="39"/>
    </i>
    <i r="1">
      <x v="41"/>
    </i>
    <i r="1">
      <x v="44"/>
    </i>
    <i r="1">
      <x v="46"/>
    </i>
    <i r="1">
      <x v="49"/>
    </i>
    <i r="1">
      <x v="50"/>
    </i>
    <i r="1">
      <x v="51"/>
    </i>
    <i r="1">
      <x v="53"/>
    </i>
    <i r="1">
      <x v="59"/>
    </i>
    <i r="1">
      <x v="68"/>
    </i>
    <i r="1">
      <x v="71"/>
    </i>
    <i r="1">
      <x v="73"/>
    </i>
    <i r="1">
      <x v="76"/>
    </i>
    <i r="1">
      <x v="77"/>
    </i>
    <i r="1">
      <x v="84"/>
    </i>
    <i r="1">
      <x v="86"/>
    </i>
    <i r="1">
      <x v="91"/>
    </i>
    <i r="1">
      <x v="96"/>
    </i>
    <i r="1">
      <x v="101"/>
    </i>
    <i r="1">
      <x v="104"/>
    </i>
    <i r="1">
      <x v="105"/>
    </i>
    <i r="1">
      <x v="106"/>
    </i>
    <i r="1">
      <x v="109"/>
    </i>
    <i r="1">
      <x v="111"/>
    </i>
    <i r="1">
      <x v="114"/>
    </i>
    <i r="1">
      <x v="122"/>
    </i>
    <i r="1">
      <x v="136"/>
    </i>
    <i r="1">
      <x v="140"/>
    </i>
    <i r="1">
      <x v="142"/>
    </i>
    <i r="1">
      <x v="148"/>
    </i>
    <i r="1">
      <x v="157"/>
    </i>
    <i r="1">
      <x v="163"/>
    </i>
    <i r="1">
      <x v="166"/>
    </i>
    <i r="1">
      <x v="173"/>
    </i>
    <i r="1">
      <x v="175"/>
    </i>
    <i r="1">
      <x v="191"/>
    </i>
    <i r="1">
      <x v="194"/>
    </i>
    <i r="1">
      <x v="198"/>
    </i>
    <i r="1">
      <x v="204"/>
    </i>
    <i r="1">
      <x v="209"/>
    </i>
    <i r="1">
      <x v="210"/>
    </i>
    <i r="1">
      <x v="216"/>
    </i>
    <i r="1">
      <x v="231"/>
    </i>
    <i r="1">
      <x v="238"/>
    </i>
    <i r="1">
      <x v="242"/>
    </i>
    <i r="1">
      <x v="246"/>
    </i>
    <i r="1">
      <x v="250"/>
    </i>
    <i r="1">
      <x v="253"/>
    </i>
    <i r="1">
      <x v="260"/>
    </i>
    <i r="1">
      <x v="268"/>
    </i>
    <i r="1">
      <x v="273"/>
    </i>
    <i r="1">
      <x v="281"/>
    </i>
    <i r="1">
      <x v="300"/>
    </i>
    <i>
      <x v="7"/>
      <x v="5"/>
    </i>
    <i r="1">
      <x v="6"/>
    </i>
    <i r="1">
      <x v="9"/>
    </i>
    <i r="1">
      <x v="11"/>
    </i>
    <i r="1">
      <x v="12"/>
    </i>
    <i r="1">
      <x v="14"/>
    </i>
    <i r="1">
      <x v="18"/>
    </i>
    <i r="1">
      <x v="19"/>
    </i>
    <i r="1">
      <x v="23"/>
    </i>
    <i r="1">
      <x v="24"/>
    </i>
    <i r="1">
      <x v="25"/>
    </i>
    <i r="1">
      <x v="27"/>
    </i>
    <i r="1">
      <x v="29"/>
    </i>
    <i r="1">
      <x v="32"/>
    </i>
    <i r="1">
      <x v="35"/>
    </i>
    <i r="1">
      <x v="36"/>
    </i>
    <i r="1">
      <x v="40"/>
    </i>
    <i r="1">
      <x v="41"/>
    </i>
    <i r="1">
      <x v="45"/>
    </i>
    <i r="1">
      <x v="47"/>
    </i>
    <i r="1">
      <x v="48"/>
    </i>
    <i r="1">
      <x v="50"/>
    </i>
    <i r="1">
      <x v="55"/>
    </i>
    <i r="1">
      <x v="56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8"/>
    </i>
    <i r="1">
      <x v="69"/>
    </i>
    <i r="1">
      <x v="71"/>
    </i>
    <i r="1">
      <x v="73"/>
    </i>
    <i r="1">
      <x v="75"/>
    </i>
    <i r="1">
      <x v="77"/>
    </i>
    <i r="1">
      <x v="82"/>
    </i>
    <i r="1">
      <x v="83"/>
    </i>
    <i r="1">
      <x v="85"/>
    </i>
    <i r="1">
      <x v="86"/>
    </i>
    <i r="1">
      <x v="87"/>
    </i>
    <i r="1">
      <x v="89"/>
    </i>
    <i r="1">
      <x v="91"/>
    </i>
    <i r="1">
      <x v="95"/>
    </i>
    <i r="1">
      <x v="96"/>
    </i>
    <i r="1">
      <x v="100"/>
    </i>
    <i r="1">
      <x v="105"/>
    </i>
    <i r="1">
      <x v="106"/>
    </i>
    <i r="1">
      <x v="107"/>
    </i>
    <i r="1">
      <x v="109"/>
    </i>
    <i r="1">
      <x v="114"/>
    </i>
    <i r="1">
      <x v="117"/>
    </i>
    <i r="1">
      <x v="122"/>
    </i>
    <i r="1">
      <x v="123"/>
    </i>
    <i r="1">
      <x v="126"/>
    </i>
    <i r="1">
      <x v="131"/>
    </i>
    <i r="1">
      <x v="135"/>
    </i>
    <i r="1">
      <x v="139"/>
    </i>
    <i r="1">
      <x v="140"/>
    </i>
    <i r="1">
      <x v="148"/>
    </i>
    <i r="1">
      <x v="153"/>
    </i>
    <i r="1">
      <x v="154"/>
    </i>
    <i r="1">
      <x v="157"/>
    </i>
    <i r="1">
      <x v="162"/>
    </i>
    <i r="1">
      <x v="163"/>
    </i>
    <i r="1">
      <x v="165"/>
    </i>
    <i r="1">
      <x v="166"/>
    </i>
    <i r="1">
      <x v="171"/>
    </i>
    <i r="1">
      <x v="174"/>
    </i>
    <i r="1">
      <x v="177"/>
    </i>
    <i r="1">
      <x v="179"/>
    </i>
    <i r="1">
      <x v="182"/>
    </i>
    <i r="1">
      <x v="187"/>
    </i>
    <i r="1">
      <x v="202"/>
    </i>
    <i r="1">
      <x v="212"/>
    </i>
    <i r="1">
      <x v="220"/>
    </i>
    <i r="1">
      <x v="228"/>
    </i>
    <i>
      <x v="8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20"/>
    </i>
    <i r="1">
      <x v="22"/>
    </i>
    <i r="1">
      <x v="26"/>
    </i>
    <i r="1">
      <x v="27"/>
    </i>
    <i r="1">
      <x v="30"/>
    </i>
    <i r="1">
      <x v="31"/>
    </i>
    <i r="1">
      <x v="33"/>
    </i>
    <i r="1">
      <x v="36"/>
    </i>
    <i r="1">
      <x v="40"/>
    </i>
    <i r="1">
      <x v="41"/>
    </i>
    <i r="1">
      <x v="45"/>
    </i>
    <i r="1">
      <x v="48"/>
    </i>
    <i r="1">
      <x v="49"/>
    </i>
    <i r="1">
      <x v="51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5"/>
    </i>
    <i r="1">
      <x v="66"/>
    </i>
    <i r="1">
      <x v="67"/>
    </i>
    <i r="1">
      <x v="68"/>
    </i>
    <i r="1">
      <x v="71"/>
    </i>
    <i r="1">
      <x v="72"/>
    </i>
    <i r="1">
      <x v="74"/>
    </i>
    <i r="1">
      <x v="76"/>
    </i>
    <i r="1">
      <x v="81"/>
    </i>
    <i r="1">
      <x v="84"/>
    </i>
    <i r="1">
      <x v="85"/>
    </i>
    <i r="1">
      <x v="86"/>
    </i>
    <i r="1">
      <x v="87"/>
    </i>
    <i r="1">
      <x v="90"/>
    </i>
    <i r="1">
      <x v="93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3"/>
    </i>
    <i r="1">
      <x v="104"/>
    </i>
    <i r="1">
      <x v="105"/>
    </i>
    <i r="1">
      <x v="108"/>
    </i>
    <i r="1">
      <x v="111"/>
    </i>
    <i r="1">
      <x v="112"/>
    </i>
    <i r="1">
      <x v="113"/>
    </i>
    <i r="1">
      <x v="116"/>
    </i>
    <i r="1">
      <x v="125"/>
    </i>
    <i r="1">
      <x v="129"/>
    </i>
    <i r="1">
      <x v="130"/>
    </i>
    <i r="1">
      <x v="134"/>
    </i>
    <i r="1">
      <x v="138"/>
    </i>
    <i r="1">
      <x v="143"/>
    </i>
    <i r="1">
      <x v="145"/>
    </i>
    <i r="1">
      <x v="146"/>
    </i>
    <i r="1">
      <x v="150"/>
    </i>
    <i r="1">
      <x v="155"/>
    </i>
    <i r="1">
      <x v="159"/>
    </i>
    <i r="1">
      <x v="161"/>
    </i>
    <i r="1">
      <x v="164"/>
    </i>
    <i r="1">
      <x v="168"/>
    </i>
    <i r="1">
      <x v="181"/>
    </i>
    <i r="1">
      <x v="184"/>
    </i>
    <i r="1">
      <x v="189"/>
    </i>
    <i r="1">
      <x v="199"/>
    </i>
    <i r="1">
      <x v="210"/>
    </i>
    <i r="1">
      <x v="219"/>
    </i>
    <i>
      <x v="9"/>
      <x v="5"/>
    </i>
    <i r="1">
      <x v="6"/>
    </i>
    <i r="1">
      <x v="7"/>
    </i>
    <i r="1">
      <x v="10"/>
    </i>
    <i r="1">
      <x v="12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6"/>
    </i>
    <i r="1">
      <x v="28"/>
    </i>
    <i r="1">
      <x v="31"/>
    </i>
    <i r="1">
      <x v="33"/>
    </i>
    <i r="1">
      <x v="35"/>
    </i>
    <i r="1">
      <x v="38"/>
    </i>
    <i r="1">
      <x v="40"/>
    </i>
    <i r="1">
      <x v="42"/>
    </i>
    <i r="1">
      <x v="45"/>
    </i>
    <i r="1">
      <x v="46"/>
    </i>
    <i r="1">
      <x v="47"/>
    </i>
    <i r="1">
      <x v="49"/>
    </i>
    <i r="1">
      <x v="52"/>
    </i>
    <i r="1">
      <x v="53"/>
    </i>
    <i r="1">
      <x v="54"/>
    </i>
    <i r="1">
      <x v="57"/>
    </i>
    <i r="1">
      <x v="59"/>
    </i>
    <i r="1">
      <x v="63"/>
    </i>
    <i r="1">
      <x v="65"/>
    </i>
    <i r="1">
      <x v="68"/>
    </i>
    <i r="1">
      <x v="71"/>
    </i>
    <i r="1">
      <x v="72"/>
    </i>
    <i r="1">
      <x v="73"/>
    </i>
    <i r="1">
      <x v="74"/>
    </i>
    <i r="1">
      <x v="77"/>
    </i>
    <i r="1">
      <x v="80"/>
    </i>
    <i r="1">
      <x v="81"/>
    </i>
    <i r="1">
      <x v="82"/>
    </i>
    <i r="1">
      <x v="84"/>
    </i>
    <i r="1">
      <x v="85"/>
    </i>
    <i r="1">
      <x v="86"/>
    </i>
    <i r="1">
      <x v="87"/>
    </i>
    <i r="1">
      <x v="88"/>
    </i>
    <i r="1">
      <x v="90"/>
    </i>
    <i r="1">
      <x v="91"/>
    </i>
    <i r="1">
      <x v="92"/>
    </i>
    <i r="1">
      <x v="93"/>
    </i>
    <i r="1">
      <x v="96"/>
    </i>
    <i r="1">
      <x v="97"/>
    </i>
    <i r="1">
      <x v="100"/>
    </i>
    <i r="1">
      <x v="102"/>
    </i>
    <i r="1">
      <x v="103"/>
    </i>
    <i r="1">
      <x v="105"/>
    </i>
    <i r="1">
      <x v="110"/>
    </i>
    <i r="1">
      <x v="111"/>
    </i>
    <i r="1">
      <x v="114"/>
    </i>
    <i r="1">
      <x v="115"/>
    </i>
    <i r="1">
      <x v="117"/>
    </i>
    <i r="1">
      <x v="118"/>
    </i>
    <i r="1">
      <x v="121"/>
    </i>
    <i r="1">
      <x v="122"/>
    </i>
    <i r="1">
      <x v="123"/>
    </i>
    <i r="1">
      <x v="127"/>
    </i>
    <i r="1">
      <x v="132"/>
    </i>
    <i r="1">
      <x v="137"/>
    </i>
    <i r="1">
      <x v="141"/>
    </i>
    <i r="1">
      <x v="145"/>
    </i>
    <i r="1">
      <x v="149"/>
    </i>
    <i r="1">
      <x v="159"/>
    </i>
    <i r="1">
      <x v="165"/>
    </i>
    <i r="1">
      <x v="168"/>
    </i>
    <i r="1">
      <x v="173"/>
    </i>
    <i r="1">
      <x v="176"/>
    </i>
    <i r="1">
      <x v="178"/>
    </i>
    <i r="1">
      <x v="181"/>
    </i>
    <i r="1">
      <x v="185"/>
    </i>
    <i r="1">
      <x v="188"/>
    </i>
    <i r="1">
      <x v="193"/>
    </i>
    <i r="1">
      <x v="200"/>
    </i>
    <i r="1">
      <x v="205"/>
    </i>
    <i r="1">
      <x v="211"/>
    </i>
    <i r="1">
      <x v="213"/>
    </i>
    <i r="1">
      <x v="214"/>
    </i>
    <i r="1">
      <x v="217"/>
    </i>
    <i r="1">
      <x v="218"/>
    </i>
    <i r="1">
      <x v="222"/>
    </i>
    <i r="1">
      <x v="225"/>
    </i>
    <i r="1">
      <x v="235"/>
    </i>
    <i r="1">
      <x v="241"/>
    </i>
    <i r="1">
      <x v="245"/>
    </i>
    <i r="1">
      <x v="248"/>
    </i>
    <i r="1">
      <x v="252"/>
    </i>
    <i>
      <x v="10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6"/>
    </i>
    <i r="1">
      <x v="27"/>
    </i>
    <i r="1">
      <x v="29"/>
    </i>
    <i r="1">
      <x v="33"/>
    </i>
    <i r="1">
      <x v="34"/>
    </i>
    <i r="1">
      <x v="35"/>
    </i>
    <i r="1">
      <x v="36"/>
    </i>
    <i r="1">
      <x v="38"/>
    </i>
    <i r="1">
      <x v="43"/>
    </i>
    <i r="1">
      <x v="44"/>
    </i>
    <i r="1">
      <x v="45"/>
    </i>
    <i r="1">
      <x v="47"/>
    </i>
    <i r="1">
      <x v="52"/>
    </i>
    <i r="1">
      <x v="54"/>
    </i>
    <i r="1">
      <x v="56"/>
    </i>
    <i r="1">
      <x v="57"/>
    </i>
    <i r="1">
      <x v="61"/>
    </i>
    <i r="1">
      <x v="66"/>
    </i>
    <i r="1">
      <x v="68"/>
    </i>
    <i r="1">
      <x v="70"/>
    </i>
    <i r="1">
      <x v="74"/>
    </i>
    <i r="1">
      <x v="75"/>
    </i>
    <i r="1">
      <x v="78"/>
    </i>
    <i r="1">
      <x v="80"/>
    </i>
    <i r="1">
      <x v="84"/>
    </i>
    <i r="1">
      <x v="89"/>
    </i>
    <i r="1">
      <x v="93"/>
    </i>
    <i r="1">
      <x v="95"/>
    </i>
    <i r="1">
      <x v="98"/>
    </i>
    <i r="1">
      <x v="103"/>
    </i>
    <i r="1">
      <x v="105"/>
    </i>
    <i r="1">
      <x v="106"/>
    </i>
    <i r="1">
      <x v="107"/>
    </i>
    <i r="1">
      <x v="110"/>
    </i>
    <i r="1">
      <x v="112"/>
    </i>
    <i r="1">
      <x v="116"/>
    </i>
    <i r="1">
      <x v="118"/>
    </i>
    <i r="1">
      <x v="119"/>
    </i>
    <i r="1">
      <x v="120"/>
    </i>
    <i r="1">
      <x v="125"/>
    </i>
    <i r="1">
      <x v="128"/>
    </i>
    <i r="1">
      <x v="129"/>
    </i>
    <i r="1">
      <x v="130"/>
    </i>
    <i r="1">
      <x v="134"/>
    </i>
    <i r="1">
      <x v="139"/>
    </i>
    <i r="1">
      <x v="143"/>
    </i>
    <i r="1">
      <x v="147"/>
    </i>
    <i r="1">
      <x v="151"/>
    </i>
    <i r="1">
      <x v="152"/>
    </i>
    <i r="1">
      <x v="156"/>
    </i>
    <i r="1">
      <x v="161"/>
    </i>
    <i r="1">
      <x v="165"/>
    </i>
    <i r="1">
      <x v="170"/>
    </i>
    <i r="1">
      <x v="173"/>
    </i>
    <i r="1">
      <x v="174"/>
    </i>
    <i r="1">
      <x v="178"/>
    </i>
    <i r="1">
      <x v="182"/>
    </i>
    <i r="1">
      <x v="190"/>
    </i>
    <i r="1">
      <x v="193"/>
    </i>
    <i r="1">
      <x v="194"/>
    </i>
    <i r="1">
      <x v="197"/>
    </i>
    <i r="1">
      <x v="204"/>
    </i>
    <i r="1">
      <x v="206"/>
    </i>
    <i r="1">
      <x v="209"/>
    </i>
    <i r="1">
      <x v="213"/>
    </i>
    <i r="1">
      <x v="216"/>
    </i>
    <i r="1">
      <x v="223"/>
    </i>
    <i r="1">
      <x v="226"/>
    </i>
    <i r="1">
      <x v="232"/>
    </i>
    <i r="1">
      <x v="236"/>
    </i>
    <i r="1">
      <x v="246"/>
    </i>
    <i r="1">
      <x v="257"/>
    </i>
    <i r="1">
      <x v="261"/>
    </i>
    <i r="1">
      <x v="269"/>
    </i>
    <i r="1">
      <x v="274"/>
    </i>
    <i r="1">
      <x v="278"/>
    </i>
    <i r="1">
      <x v="285"/>
    </i>
    <i r="1">
      <x v="286"/>
    </i>
    <i r="1">
      <x v="287"/>
    </i>
    <i r="1">
      <x v="290"/>
    </i>
    <i r="1">
      <x v="294"/>
    </i>
    <i r="1">
      <x v="296"/>
    </i>
    <i r="1">
      <x v="306"/>
    </i>
    <i>
      <x v="11"/>
      <x/>
    </i>
    <i r="1">
      <x v="3"/>
    </i>
    <i r="1">
      <x v="5"/>
    </i>
    <i r="1">
      <x v="9"/>
    </i>
    <i r="1">
      <x v="12"/>
    </i>
    <i r="1">
      <x v="14"/>
    </i>
    <i r="1">
      <x v="18"/>
    </i>
    <i r="1">
      <x v="19"/>
    </i>
    <i r="1">
      <x v="21"/>
    </i>
    <i r="1">
      <x v="23"/>
    </i>
    <i r="1">
      <x v="25"/>
    </i>
    <i r="1">
      <x v="28"/>
    </i>
    <i r="1">
      <x v="32"/>
    </i>
    <i r="1">
      <x v="33"/>
    </i>
    <i r="1">
      <x v="34"/>
    </i>
    <i r="1">
      <x v="37"/>
    </i>
    <i r="1">
      <x v="38"/>
    </i>
    <i r="1">
      <x v="39"/>
    </i>
    <i r="1">
      <x v="42"/>
    </i>
    <i r="1">
      <x v="47"/>
    </i>
    <i r="1">
      <x v="49"/>
    </i>
    <i r="1">
      <x v="50"/>
    </i>
    <i r="1">
      <x v="51"/>
    </i>
    <i r="1">
      <x v="56"/>
    </i>
    <i r="1">
      <x v="60"/>
    </i>
    <i r="1">
      <x v="63"/>
    </i>
    <i r="1">
      <x v="65"/>
    </i>
    <i r="1">
      <x v="69"/>
    </i>
    <i r="1">
      <x v="73"/>
    </i>
    <i r="1">
      <x v="74"/>
    </i>
    <i r="1">
      <x v="75"/>
    </i>
    <i r="1">
      <x v="76"/>
    </i>
    <i r="1">
      <x v="78"/>
    </i>
    <i r="1">
      <x v="79"/>
    </i>
    <i r="1">
      <x v="84"/>
    </i>
    <i r="1">
      <x v="86"/>
    </i>
    <i r="1">
      <x v="88"/>
    </i>
    <i r="1">
      <x v="91"/>
    </i>
    <i r="1">
      <x v="93"/>
    </i>
    <i r="1">
      <x v="102"/>
    </i>
    <i r="1">
      <x v="104"/>
    </i>
    <i r="1">
      <x v="107"/>
    </i>
    <i r="1">
      <x v="110"/>
    </i>
    <i r="1">
      <x v="112"/>
    </i>
    <i r="1">
      <x v="115"/>
    </i>
    <i r="1">
      <x v="118"/>
    </i>
    <i r="1">
      <x v="120"/>
    </i>
    <i r="1">
      <x v="123"/>
    </i>
    <i r="1">
      <x v="125"/>
    </i>
    <i r="1">
      <x v="127"/>
    </i>
    <i r="1">
      <x v="129"/>
    </i>
    <i r="1">
      <x v="133"/>
    </i>
    <i r="1">
      <x v="134"/>
    </i>
    <i r="1">
      <x v="139"/>
    </i>
    <i r="1">
      <x v="141"/>
    </i>
    <i r="1">
      <x v="143"/>
    </i>
    <i r="1">
      <x v="144"/>
    </i>
    <i r="1">
      <x v="147"/>
    </i>
    <i r="1">
      <x v="151"/>
    </i>
    <i r="1">
      <x v="154"/>
    </i>
    <i r="1">
      <x v="156"/>
    </i>
    <i r="1">
      <x v="161"/>
    </i>
    <i r="1">
      <x v="164"/>
    </i>
    <i r="1">
      <x v="165"/>
    </i>
    <i r="1">
      <x v="168"/>
    </i>
    <i r="1">
      <x v="170"/>
    </i>
    <i r="1">
      <x v="174"/>
    </i>
    <i r="1">
      <x v="187"/>
    </i>
    <i r="1">
      <x v="193"/>
    </i>
    <i r="1">
      <x v="196"/>
    </i>
    <i r="1">
      <x v="202"/>
    </i>
    <i r="1">
      <x v="204"/>
    </i>
    <i r="1">
      <x v="217"/>
    </i>
    <i r="1">
      <x v="218"/>
    </i>
    <i r="1">
      <x v="229"/>
    </i>
    <i r="1">
      <x v="232"/>
    </i>
    <i r="1">
      <x v="234"/>
    </i>
    <i r="1">
      <x v="242"/>
    </i>
    <i r="1">
      <x v="247"/>
    </i>
    <i r="1">
      <x v="258"/>
    </i>
    <i r="1">
      <x v="264"/>
    </i>
    <i r="1">
      <x v="266"/>
    </i>
    <i r="1">
      <x v="270"/>
    </i>
    <i>
      <x v="12"/>
      <x/>
    </i>
    <i r="1">
      <x v="1"/>
    </i>
    <i r="1">
      <x v="3"/>
    </i>
    <i r="1">
      <x v="5"/>
    </i>
    <i r="1">
      <x v="6"/>
    </i>
    <i r="1">
      <x v="8"/>
    </i>
    <i r="1">
      <x v="9"/>
    </i>
    <i r="1">
      <x v="10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3"/>
    </i>
    <i r="1">
      <x v="24"/>
    </i>
    <i r="1">
      <x v="28"/>
    </i>
    <i r="1">
      <x v="29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9"/>
    </i>
    <i r="1">
      <x v="52"/>
    </i>
    <i r="1">
      <x v="53"/>
    </i>
    <i r="1">
      <x v="54"/>
    </i>
    <i r="1">
      <x v="57"/>
    </i>
    <i r="1">
      <x v="59"/>
    </i>
    <i r="1">
      <x v="60"/>
    </i>
    <i r="1">
      <x v="61"/>
    </i>
    <i r="1">
      <x v="62"/>
    </i>
    <i r="1">
      <x v="66"/>
    </i>
    <i r="1">
      <x v="67"/>
    </i>
    <i r="1">
      <x v="70"/>
    </i>
    <i r="1">
      <x v="71"/>
    </i>
    <i r="1">
      <x v="73"/>
    </i>
    <i r="1">
      <x v="75"/>
    </i>
    <i r="1">
      <x v="80"/>
    </i>
    <i r="1">
      <x v="81"/>
    </i>
    <i r="1">
      <x v="82"/>
    </i>
    <i r="1">
      <x v="85"/>
    </i>
    <i r="1">
      <x v="86"/>
    </i>
    <i r="1">
      <x v="89"/>
    </i>
    <i r="1">
      <x v="90"/>
    </i>
    <i r="1">
      <x v="91"/>
    </i>
    <i r="1">
      <x v="94"/>
    </i>
    <i r="1">
      <x v="95"/>
    </i>
    <i r="1">
      <x v="99"/>
    </i>
    <i r="1">
      <x v="100"/>
    </i>
    <i r="1">
      <x v="102"/>
    </i>
    <i r="1">
      <x v="103"/>
    </i>
    <i r="1">
      <x v="107"/>
    </i>
    <i r="1">
      <x v="108"/>
    </i>
    <i r="1">
      <x v="109"/>
    </i>
    <i r="1">
      <x v="112"/>
    </i>
    <i r="1">
      <x v="114"/>
    </i>
    <i r="1">
      <x v="116"/>
    </i>
    <i r="1">
      <x v="117"/>
    </i>
    <i r="1">
      <x v="118"/>
    </i>
    <i r="1">
      <x v="121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5"/>
    </i>
    <i r="1">
      <x v="136"/>
    </i>
    <i r="1">
      <x v="137"/>
    </i>
    <i r="1">
      <x v="138"/>
    </i>
    <i r="1">
      <x v="153"/>
    </i>
    <i r="1">
      <x v="157"/>
    </i>
    <i r="1">
      <x v="158"/>
    </i>
    <i r="1">
      <x v="160"/>
    </i>
    <i r="1">
      <x v="162"/>
    </i>
    <i r="1">
      <x v="163"/>
    </i>
    <i r="1">
      <x v="167"/>
    </i>
    <i r="1">
      <x v="172"/>
    </i>
    <i r="1">
      <x v="176"/>
    </i>
    <i r="1">
      <x v="180"/>
    </i>
    <i r="1">
      <x v="184"/>
    </i>
    <i r="1">
      <x v="186"/>
    </i>
    <i r="1">
      <x v="192"/>
    </i>
    <i r="1">
      <x v="195"/>
    </i>
    <i r="1">
      <x v="200"/>
    </i>
    <i r="1">
      <x v="203"/>
    </i>
    <i r="1">
      <x v="207"/>
    </i>
    <i r="1">
      <x v="208"/>
    </i>
    <i r="1">
      <x v="214"/>
    </i>
    <i r="1">
      <x v="215"/>
    </i>
    <i r="1">
      <x v="217"/>
    </i>
    <i r="1">
      <x v="219"/>
    </i>
    <i r="1">
      <x v="230"/>
    </i>
    <i r="1">
      <x v="238"/>
    </i>
    <i r="1">
      <x v="241"/>
    </i>
    <i r="1">
      <x v="245"/>
    </i>
    <i r="1">
      <x v="246"/>
    </i>
    <i r="1">
      <x v="247"/>
    </i>
    <i r="1">
      <x v="251"/>
    </i>
    <i r="1">
      <x v="254"/>
    </i>
    <i r="1">
      <x v="256"/>
    </i>
    <i r="1">
      <x v="260"/>
    </i>
    <i r="1">
      <x v="262"/>
    </i>
    <i r="1">
      <x v="265"/>
    </i>
    <i r="1">
      <x v="268"/>
    </i>
    <i r="1">
      <x v="269"/>
    </i>
    <i r="1">
      <x v="277"/>
    </i>
    <i r="1">
      <x v="278"/>
    </i>
    <i r="1">
      <x v="279"/>
    </i>
    <i r="1">
      <x v="280"/>
    </i>
    <i r="1">
      <x v="282"/>
    </i>
    <i r="1">
      <x v="283"/>
    </i>
    <i r="1">
      <x v="285"/>
    </i>
    <i r="1">
      <x v="286"/>
    </i>
    <i r="1">
      <x v="287"/>
    </i>
    <i r="1">
      <x v="288"/>
    </i>
    <i r="1">
      <x v="295"/>
    </i>
    <i r="1">
      <x v="298"/>
    </i>
    <i r="1">
      <x v="299"/>
    </i>
    <i r="1">
      <x v="302"/>
    </i>
    <i r="1">
      <x v="303"/>
    </i>
    <i r="1">
      <x v="308"/>
    </i>
    <i r="1">
      <x v="309"/>
    </i>
    <i r="1">
      <x v="312"/>
    </i>
    <i r="1">
      <x v="314"/>
    </i>
    <i r="1">
      <x v="318"/>
    </i>
    <i r="1">
      <x v="319"/>
    </i>
    <i r="1">
      <x v="325"/>
    </i>
    <i r="1">
      <x v="326"/>
    </i>
    <i r="1">
      <x v="327"/>
    </i>
    <i t="grand">
      <x/>
    </i>
  </rowItems>
  <colItems count="1">
    <i/>
  </colItems>
  <pageFields count="3">
    <pageField fld="12" hier="-1"/>
    <pageField fld="15" hier="-1"/>
    <pageField fld="14" hier="-1"/>
  </pageFields>
  <dataFields count="1">
    <dataField name="Sum of Duration_Hrs" fld="17" baseField="17" baseItem="12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" cacheId="6" applyNumberFormats="0" applyBorderFormats="0" applyFontFormats="0" applyPatternFormats="0" applyAlignmentFormats="0" applyWidthHeightFormats="1" dataCaption="Values" updatedVersion="6" minRefreshableVersion="3" showCalcMbrs="0" useAutoFormatting="1" itemPrintTitles="1" createdVersion="3" indent="0" outline="1" outlineData="1" multipleFieldFilters="0">
  <location ref="A4:B18" firstHeaderRow="1" firstDataRow="1" firstDataCol="1" rowPageCount="1" colPageCount="1"/>
  <pivotFields count="2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multipleItemSelectionAllowed="1" showAll="0">
      <items count="15">
        <item x="0"/>
        <item x="9"/>
        <item x="11"/>
        <item x="2"/>
        <item h="1" x="12"/>
        <item h="1" x="4"/>
        <item h="1" x="3"/>
        <item h="1" x="1"/>
        <item h="1" x="8"/>
        <item h="1" x="6"/>
        <item h="1" x="7"/>
        <item h="1" x="5"/>
        <item h="1" x="10"/>
        <item h="1"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numFmtId="164" showAll="0"/>
    <pivotField numFmtId="43" showAll="0"/>
    <pivotField numFmtId="164" showAll="0"/>
    <pivotField dataField="1" numFmtId="43" multipleItemSelectionAllowed="1" showAll="0"/>
    <pivotField numFmtId="164" showAll="0" defaultSubtotal="0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1" hier="-1"/>
  </pageFields>
  <dataFields count="1">
    <dataField name="Count of Derate" fld="20" subtotal="count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compact="0" compactData="0" gridDropZones="1" multipleFieldFilters="0">
  <location ref="A3:C83" firstHeaderRow="2" firstDataRow="2" firstDataCol="2"/>
  <pivotFields count="6">
    <pivotField axis="axisRow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h="1" x="13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ascending" defaultSubtotal="0">
      <items count="61">
        <item x="5"/>
        <item x="4"/>
        <item x="10"/>
        <item x="3"/>
        <item x="2"/>
        <item x="9"/>
        <item x="1"/>
        <item x="8"/>
        <item x="0"/>
        <item x="7"/>
        <item x="15"/>
        <item x="44"/>
        <item x="6"/>
        <item x="39"/>
        <item x="49"/>
        <item x="50"/>
        <item x="54"/>
        <item x="48"/>
        <item x="43"/>
        <item x="30"/>
        <item x="35"/>
        <item x="42"/>
        <item x="20"/>
        <item x="38"/>
        <item x="14"/>
        <item x="25"/>
        <item x="47"/>
        <item x="13"/>
        <item x="41"/>
        <item x="37"/>
        <item x="40"/>
        <item x="36"/>
        <item x="34"/>
        <item x="19"/>
        <item x="29"/>
        <item x="24"/>
        <item x="53"/>
        <item x="46"/>
        <item x="33"/>
        <item x="18"/>
        <item x="28"/>
        <item x="23"/>
        <item x="12"/>
        <item x="45"/>
        <item x="11"/>
        <item x="32"/>
        <item x="17"/>
        <item x="27"/>
        <item x="22"/>
        <item x="52"/>
        <item x="31"/>
        <item x="16"/>
        <item x="59"/>
        <item x="26"/>
        <item x="21"/>
        <item x="51"/>
        <item x="58"/>
        <item x="57"/>
        <item x="56"/>
        <item x="55"/>
        <item x="60"/>
      </items>
    </pivotField>
  </pivotFields>
  <rowFields count="2">
    <field x="0"/>
    <field x="5"/>
  </rowFields>
  <rowItems count="79">
    <i>
      <x/>
      <x/>
    </i>
    <i r="1">
      <x v="1"/>
    </i>
    <i r="1">
      <x v="3"/>
    </i>
    <i r="1">
      <x v="4"/>
    </i>
    <i r="1">
      <x v="6"/>
    </i>
    <i r="1">
      <x v="8"/>
    </i>
    <i>
      <x v="1"/>
      <x/>
    </i>
    <i r="1">
      <x v="2"/>
    </i>
    <i r="1">
      <x v="5"/>
    </i>
    <i r="1">
      <x v="7"/>
    </i>
    <i r="1">
      <x v="9"/>
    </i>
    <i r="1">
      <x v="12"/>
    </i>
    <i>
      <x v="2"/>
      <x/>
    </i>
    <i r="1">
      <x v="10"/>
    </i>
    <i r="1">
      <x v="24"/>
    </i>
    <i r="1">
      <x v="27"/>
    </i>
    <i r="1">
      <x v="42"/>
    </i>
    <i r="1">
      <x v="44"/>
    </i>
    <i>
      <x v="3"/>
      <x/>
    </i>
    <i r="1">
      <x v="22"/>
    </i>
    <i r="1">
      <x v="33"/>
    </i>
    <i r="1">
      <x v="39"/>
    </i>
    <i r="1">
      <x v="46"/>
    </i>
    <i r="1">
      <x v="51"/>
    </i>
    <i>
      <x v="4"/>
      <x/>
    </i>
    <i r="1">
      <x v="25"/>
    </i>
    <i r="1">
      <x v="35"/>
    </i>
    <i r="1">
      <x v="41"/>
    </i>
    <i r="1">
      <x v="48"/>
    </i>
    <i r="1">
      <x v="54"/>
    </i>
    <i>
      <x v="5"/>
      <x/>
    </i>
    <i r="1">
      <x v="19"/>
    </i>
    <i r="1">
      <x v="34"/>
    </i>
    <i r="1">
      <x v="40"/>
    </i>
    <i r="1">
      <x v="47"/>
    </i>
    <i r="1">
      <x v="53"/>
    </i>
    <i>
      <x v="6"/>
      <x/>
    </i>
    <i r="1">
      <x v="20"/>
    </i>
    <i r="1">
      <x v="32"/>
    </i>
    <i r="1">
      <x v="38"/>
    </i>
    <i r="1">
      <x v="45"/>
    </i>
    <i r="1">
      <x v="50"/>
    </i>
    <i>
      <x v="7"/>
      <x/>
    </i>
    <i r="1">
      <x v="13"/>
    </i>
    <i r="1">
      <x v="19"/>
    </i>
    <i r="1">
      <x v="23"/>
    </i>
    <i r="1">
      <x v="29"/>
    </i>
    <i r="1">
      <x v="31"/>
    </i>
    <i>
      <x v="8"/>
      <x/>
    </i>
    <i r="1">
      <x v="11"/>
    </i>
    <i r="1">
      <x v="18"/>
    </i>
    <i r="1">
      <x v="21"/>
    </i>
    <i r="1">
      <x v="28"/>
    </i>
    <i r="1">
      <x v="30"/>
    </i>
    <i>
      <x v="9"/>
      <x/>
    </i>
    <i r="1">
      <x v="14"/>
    </i>
    <i r="1">
      <x v="17"/>
    </i>
    <i r="1">
      <x v="26"/>
    </i>
    <i r="1">
      <x v="37"/>
    </i>
    <i r="1">
      <x v="43"/>
    </i>
    <i>
      <x v="10"/>
      <x/>
    </i>
    <i r="1">
      <x v="15"/>
    </i>
    <i r="1">
      <x v="35"/>
    </i>
    <i r="1">
      <x v="41"/>
    </i>
    <i r="1">
      <x v="48"/>
    </i>
    <i r="1">
      <x v="54"/>
    </i>
    <i>
      <x v="11"/>
      <x/>
    </i>
    <i r="1">
      <x v="16"/>
    </i>
    <i r="1">
      <x v="36"/>
    </i>
    <i r="1">
      <x v="42"/>
    </i>
    <i r="1">
      <x v="49"/>
    </i>
    <i r="1">
      <x v="55"/>
    </i>
    <i>
      <x v="12"/>
      <x/>
    </i>
    <i r="1">
      <x v="52"/>
    </i>
    <i r="1">
      <x v="56"/>
    </i>
    <i r="1">
      <x v="57"/>
    </i>
    <i r="1">
      <x v="58"/>
    </i>
    <i r="1">
      <x v="59"/>
    </i>
    <i t="grand">
      <x/>
    </i>
  </rowItems>
  <colItems count="1">
    <i/>
  </colItems>
  <dataFields count="1">
    <dataField name="Sum of Hours" fld="2" baseField="0" baseItem="0" numFmtId="1"/>
  </dataFields>
  <formats count="23">
    <format dxfId="22">
      <pivotArea outline="0" collapsedLevelsAreSubtotals="1" fieldPosition="0"/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type="topRight" dataOnly="0" labelOnly="1" outline="0" fieldPosition="0"/>
    </format>
    <format dxfId="17">
      <pivotArea field="0" type="button" dataOnly="0" labelOnly="1" outline="0" axis="axisRow" fieldPosition="0"/>
    </format>
    <format dxfId="16">
      <pivotArea field="5" type="button" dataOnly="0" labelOnly="1" outline="0" axis="axisRow" fieldPosition="1"/>
    </format>
    <format dxfId="15">
      <pivotArea dataOnly="0" labelOnly="1" outline="0" fieldPosition="0">
        <references count="1">
          <reference field="0" count="0"/>
        </references>
      </pivotArea>
    </format>
    <format dxfId="14">
      <pivotArea dataOnly="0" labelOnly="1" grandRow="1" outline="0" fieldPosition="0"/>
    </format>
    <format dxfId="13">
      <pivotArea dataOnly="0" labelOnly="1" outline="0" fieldPosition="0">
        <references count="2">
          <reference field="0" count="1" selected="0">
            <x v="0"/>
          </reference>
          <reference field="5" count="6">
            <x v="0"/>
            <x v="1"/>
            <x v="3"/>
            <x v="4"/>
            <x v="6"/>
            <x v="8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1"/>
          </reference>
          <reference field="5" count="6">
            <x v="0"/>
            <x v="2"/>
            <x v="5"/>
            <x v="7"/>
            <x v="9"/>
            <x v="12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2"/>
          </reference>
          <reference field="5" count="6">
            <x v="0"/>
            <x v="10"/>
            <x v="24"/>
            <x v="27"/>
            <x v="42"/>
            <x v="44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3"/>
          </reference>
          <reference field="5" count="6">
            <x v="0"/>
            <x v="22"/>
            <x v="33"/>
            <x v="39"/>
            <x v="46"/>
            <x v="51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4"/>
          </reference>
          <reference field="5" count="6">
            <x v="0"/>
            <x v="25"/>
            <x v="35"/>
            <x v="41"/>
            <x v="48"/>
            <x v="54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5"/>
          </reference>
          <reference field="5" count="6">
            <x v="0"/>
            <x v="19"/>
            <x v="34"/>
            <x v="40"/>
            <x v="47"/>
            <x v="53"/>
          </reference>
        </references>
      </pivotArea>
    </format>
    <format dxfId="7">
      <pivotArea dataOnly="0" labelOnly="1" outline="0" fieldPosition="0">
        <references count="2">
          <reference field="0" count="1" selected="0">
            <x v="6"/>
          </reference>
          <reference field="5" count="6">
            <x v="0"/>
            <x v="20"/>
            <x v="32"/>
            <x v="38"/>
            <x v="45"/>
            <x v="50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7"/>
          </reference>
          <reference field="5" count="6">
            <x v="0"/>
            <x v="13"/>
            <x v="19"/>
            <x v="23"/>
            <x v="29"/>
            <x v="31"/>
          </reference>
        </references>
      </pivotArea>
    </format>
    <format dxfId="5">
      <pivotArea dataOnly="0" labelOnly="1" outline="0" fieldPosition="0">
        <references count="2">
          <reference field="0" count="1" selected="0">
            <x v="8"/>
          </reference>
          <reference field="5" count="6">
            <x v="0"/>
            <x v="11"/>
            <x v="18"/>
            <x v="21"/>
            <x v="28"/>
            <x v="30"/>
          </reference>
        </references>
      </pivotArea>
    </format>
    <format dxfId="4">
      <pivotArea dataOnly="0" labelOnly="1" outline="0" fieldPosition="0">
        <references count="2">
          <reference field="0" count="1" selected="0">
            <x v="9"/>
          </reference>
          <reference field="5" count="6">
            <x v="0"/>
            <x v="14"/>
            <x v="17"/>
            <x v="26"/>
            <x v="37"/>
            <x v="43"/>
          </reference>
        </references>
      </pivotArea>
    </format>
    <format dxfId="3">
      <pivotArea dataOnly="0" labelOnly="1" outline="0" fieldPosition="0">
        <references count="2">
          <reference field="0" count="1" selected="0">
            <x v="10"/>
          </reference>
          <reference field="5" count="6">
            <x v="0"/>
            <x v="15"/>
            <x v="35"/>
            <x v="41"/>
            <x v="48"/>
            <x v="54"/>
          </reference>
        </references>
      </pivotArea>
    </format>
    <format dxfId="2">
      <pivotArea dataOnly="0" labelOnly="1" outline="0" fieldPosition="0">
        <references count="2">
          <reference field="0" count="1" selected="0">
            <x v="11"/>
          </reference>
          <reference field="5" count="6">
            <x v="0"/>
            <x v="16"/>
            <x v="36"/>
            <x v="42"/>
            <x v="49"/>
            <x v="55"/>
          </reference>
        </references>
      </pivotArea>
    </format>
    <format dxfId="1">
      <pivotArea dataOnly="0" labelOnly="1" outline="0" fieldPosition="0">
        <references count="2">
          <reference field="0" count="1" selected="0">
            <x v="12"/>
          </reference>
          <reference field="5" count="6">
            <x v="0"/>
            <x v="52"/>
            <x v="56"/>
            <x v="57"/>
            <x v="58"/>
            <x v="59"/>
          </reference>
        </references>
      </pivotArea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444"/>
  <sheetViews>
    <sheetView tabSelected="1" zoomScaleNormal="100" workbookViewId="0"/>
  </sheetViews>
  <sheetFormatPr defaultRowHeight="15" x14ac:dyDescent="0.25"/>
  <cols>
    <col min="1" max="1" width="10" style="98" bestFit="1" customWidth="1"/>
    <col min="2" max="2" width="10.42578125" style="98" bestFit="1" customWidth="1"/>
    <col min="3" max="3" width="8.5703125" style="98" bestFit="1" customWidth="1"/>
    <col min="4" max="4" width="10.85546875" style="98" bestFit="1" customWidth="1"/>
    <col min="5" max="6" width="15.85546875" style="98" bestFit="1" customWidth="1"/>
    <col min="7" max="7" width="4.5703125" style="98" bestFit="1" customWidth="1"/>
    <col min="8" max="8" width="5.140625" style="98" bestFit="1" customWidth="1"/>
    <col min="9" max="9" width="5.42578125" style="98" bestFit="1" customWidth="1"/>
    <col min="10" max="10" width="169.5703125" style="98" bestFit="1" customWidth="1"/>
    <col min="11" max="11" width="89.5703125" style="98" bestFit="1" customWidth="1"/>
    <col min="12" max="12" width="13.42578125" style="98" bestFit="1" customWidth="1"/>
    <col min="13" max="13" width="14.85546875" style="98" bestFit="1" customWidth="1"/>
    <col min="14" max="14" width="9.5703125" style="98" bestFit="1" customWidth="1"/>
    <col min="15" max="15" width="5" style="98" bestFit="1" customWidth="1"/>
    <col min="16" max="16" width="5.140625" style="98" bestFit="1" customWidth="1"/>
    <col min="17" max="17" width="6.5703125" style="98" bestFit="1" customWidth="1"/>
    <col min="18" max="18" width="13.85546875" style="98" bestFit="1" customWidth="1"/>
    <col min="19" max="19" width="14" style="98" bestFit="1" customWidth="1"/>
    <col min="20" max="20" width="13.42578125" style="98" bestFit="1" customWidth="1"/>
    <col min="21" max="21" width="8" style="98" bestFit="1" customWidth="1"/>
    <col min="22" max="22" width="11.85546875" style="98" bestFit="1" customWidth="1"/>
    <col min="23" max="16384" width="9.140625" style="98"/>
  </cols>
  <sheetData>
    <row r="1" spans="1:22" x14ac:dyDescent="0.25">
      <c r="A1" s="89" t="s">
        <v>0</v>
      </c>
      <c r="B1" s="89" t="s">
        <v>1</v>
      </c>
      <c r="C1" s="89" t="s">
        <v>3</v>
      </c>
      <c r="D1" s="89" t="s">
        <v>78</v>
      </c>
      <c r="E1" s="89" t="s">
        <v>4</v>
      </c>
      <c r="F1" s="89" t="s">
        <v>5</v>
      </c>
      <c r="G1" s="89" t="s">
        <v>9</v>
      </c>
      <c r="H1" s="89" t="s">
        <v>10</v>
      </c>
      <c r="I1" s="89" t="s">
        <v>11</v>
      </c>
      <c r="J1" s="89" t="s">
        <v>13</v>
      </c>
      <c r="K1" s="89" t="s">
        <v>14</v>
      </c>
      <c r="L1" s="153" t="s">
        <v>99</v>
      </c>
      <c r="M1" s="153" t="s">
        <v>98</v>
      </c>
      <c r="N1" s="153" t="s">
        <v>2</v>
      </c>
      <c r="O1" s="153" t="s">
        <v>262</v>
      </c>
      <c r="P1" s="154" t="s">
        <v>97</v>
      </c>
      <c r="Q1" s="154" t="s">
        <v>1964</v>
      </c>
      <c r="R1" s="155" t="s">
        <v>6</v>
      </c>
      <c r="S1" s="155" t="s">
        <v>7</v>
      </c>
      <c r="T1" s="156" t="s">
        <v>8</v>
      </c>
      <c r="U1" s="153" t="s">
        <v>12</v>
      </c>
      <c r="V1" s="153" t="s">
        <v>260</v>
      </c>
    </row>
    <row r="2" spans="1:22" x14ac:dyDescent="0.25">
      <c r="A2" s="98" t="s">
        <v>21</v>
      </c>
      <c r="B2" s="105" t="s">
        <v>17</v>
      </c>
      <c r="C2" s="98">
        <v>2</v>
      </c>
      <c r="D2" s="98">
        <v>9270</v>
      </c>
      <c r="E2" s="157">
        <v>41288.895833333336</v>
      </c>
      <c r="F2" s="157">
        <v>41288.923611111109</v>
      </c>
      <c r="G2" s="98">
        <v>90</v>
      </c>
      <c r="H2" s="98">
        <v>114</v>
      </c>
      <c r="I2" s="98">
        <v>107</v>
      </c>
      <c r="J2" s="158" t="s">
        <v>2006</v>
      </c>
      <c r="K2" s="98" t="s">
        <v>285</v>
      </c>
      <c r="L2" s="105" t="str">
        <f t="shared" ref="L2:L65" si="0">IF(OR(A2="BR1",A2="BR2",A2="BR3",A2="BR5",A2="BR6",A2="BR7",A2="BR8",A2="BR9",A2="BR10",A2="BR11"),"Brown",IF(OR(A2="CR4",A2="CR5",A2="CR6",A2="CR11"),"Cane Run",IF(OR(A2="GH1",A2="GH2",A2="GH3",A2="GH4"),"Ghent",IF(OR(A2="GR3",A2="GR4"),"Green River",IF(OR(A2="MC1",A2="MC2",A2="MC3",A2="MC4"),"Mill Creek",IF(OR(A2="TC1",A2="TC2",A2="TC5",A2="TC6",A2="TC7",A2="TC8",A2="TC9",A2="TC10"),"Trimble",IF(A2="TY3","Tyrone",IF(OR(A2="HA1",A2="HA2",A2="HA3"),"Haeflin",IF(OR(A2="PR11",A2="PR12",A2="PR13"),"Paddy's Run","Zorn")))))))))</f>
        <v>Brown</v>
      </c>
      <c r="M2" s="105" t="str">
        <f t="shared" ref="M2:M65" si="1">IF(OR(B2="D1",B2="D2",B2="D3",B2="D4",B2="PD"),"Derate",IF(OR(B2="SF",B2="U1",B2="U2",B2="U3"),"Outage",IF(OR(B2="ME",B2="MO"),"Maintenance","Other")))</f>
        <v>Derate</v>
      </c>
      <c r="N2" s="105" t="str">
        <f t="shared" ref="N2:N65" si="2">IF(OR(A2="BR1",A2="BR2",A2="BR3",A2="CR4",A2="CR5",A2="CR6",A2="GH1",A2="GH2",A2="GH3",A2="GH4",A2="GR3",A2="GR4",A2="MC1",A2="MC2",A2="MC3",A2="MC4",A2="TC1",A2="TC2",A2="TY3"),"Coal","Gas")</f>
        <v>Coal</v>
      </c>
      <c r="O2" s="105">
        <f>IFERROR(VLOOKUP(A2,Lookup!$J$5:$P$19,7,FALSE),0)</f>
        <v>1</v>
      </c>
      <c r="P2" s="159">
        <f t="shared" ref="P2:P65" si="3">YEAR(E2)</f>
        <v>2013</v>
      </c>
      <c r="Q2" s="159">
        <f t="shared" ref="Q2:Q65" si="4">MONTH(E2)</f>
        <v>1</v>
      </c>
      <c r="R2" s="160">
        <f t="shared" ref="R2:R65" si="5">(F2-E2)*24</f>
        <v>0.6666666665696539</v>
      </c>
      <c r="S2" s="158">
        <f t="shared" ref="S2:S65" si="6">R2*(H2-G2)/H2</f>
        <v>0.1403508771725587</v>
      </c>
      <c r="T2" s="161">
        <f t="shared" ref="T2:T65" si="7">S2*I2</f>
        <v>15.017543857463782</v>
      </c>
      <c r="U2" s="158">
        <f>IF(G2&gt;0,MAX((H2-G2),0)*I2/H2,I2)</f>
        <v>22.526315789473685</v>
      </c>
      <c r="V2" s="160">
        <f t="shared" ref="V2:V65" si="8">ROUND(U2,0)</f>
        <v>23</v>
      </c>
    </row>
    <row r="3" spans="1:22" x14ac:dyDescent="0.25">
      <c r="A3" s="98" t="s">
        <v>21</v>
      </c>
      <c r="B3" s="98" t="s">
        <v>17</v>
      </c>
      <c r="C3" s="98">
        <v>3</v>
      </c>
      <c r="D3" s="98">
        <v>280</v>
      </c>
      <c r="E3" s="157">
        <v>41289.111111111109</v>
      </c>
      <c r="F3" s="157">
        <v>41289.127083333333</v>
      </c>
      <c r="G3" s="98">
        <v>90</v>
      </c>
      <c r="H3" s="98">
        <v>114</v>
      </c>
      <c r="I3" s="98">
        <v>107</v>
      </c>
      <c r="J3" s="98" t="s">
        <v>1988</v>
      </c>
      <c r="K3" s="98" t="s">
        <v>286</v>
      </c>
      <c r="L3" s="105" t="str">
        <f t="shared" si="0"/>
        <v>Brown</v>
      </c>
      <c r="M3" s="105" t="str">
        <f t="shared" si="1"/>
        <v>Derate</v>
      </c>
      <c r="N3" s="105" t="str">
        <f t="shared" si="2"/>
        <v>Coal</v>
      </c>
      <c r="O3" s="105">
        <f>IFERROR(VLOOKUP(A3,Lookup!$J$5:$P$19,7,FALSE),0)</f>
        <v>1</v>
      </c>
      <c r="P3" s="159">
        <f t="shared" si="3"/>
        <v>2013</v>
      </c>
      <c r="Q3" s="159">
        <f t="shared" si="4"/>
        <v>1</v>
      </c>
      <c r="R3" s="160">
        <f t="shared" si="5"/>
        <v>0.38333333336049691</v>
      </c>
      <c r="S3" s="158">
        <f t="shared" si="6"/>
        <v>8.0701754391683561E-2</v>
      </c>
      <c r="T3" s="161">
        <f t="shared" si="7"/>
        <v>8.6350877199101408</v>
      </c>
      <c r="U3" s="158">
        <f t="shared" ref="U3:U66" si="9">IF(G3&gt;0,MAX((H3-G3),0)*I3/H3,I3)</f>
        <v>22.526315789473685</v>
      </c>
      <c r="V3" s="160">
        <f t="shared" si="8"/>
        <v>23</v>
      </c>
    </row>
    <row r="4" spans="1:22" x14ac:dyDescent="0.25">
      <c r="A4" s="98" t="s">
        <v>21</v>
      </c>
      <c r="B4" s="98" t="s">
        <v>32</v>
      </c>
      <c r="C4" s="98">
        <v>4</v>
      </c>
      <c r="D4" s="98">
        <v>260</v>
      </c>
      <c r="E4" s="157">
        <v>41303.459722222222</v>
      </c>
      <c r="F4" s="157">
        <v>41303.767361111109</v>
      </c>
      <c r="G4" s="98">
        <v>90</v>
      </c>
      <c r="H4" s="98">
        <v>114</v>
      </c>
      <c r="I4" s="98">
        <v>107</v>
      </c>
      <c r="J4" s="98" t="s">
        <v>1973</v>
      </c>
      <c r="K4" s="98" t="s">
        <v>287</v>
      </c>
      <c r="L4" s="105" t="str">
        <f t="shared" si="0"/>
        <v>Brown</v>
      </c>
      <c r="M4" s="105" t="str">
        <f t="shared" si="1"/>
        <v>Derate</v>
      </c>
      <c r="N4" s="105" t="str">
        <f t="shared" si="2"/>
        <v>Coal</v>
      </c>
      <c r="O4" s="105">
        <f>IFERROR(VLOOKUP(A4,Lookup!$J$5:$P$19,7,FALSE),0)</f>
        <v>1</v>
      </c>
      <c r="P4" s="159">
        <f t="shared" si="3"/>
        <v>2013</v>
      </c>
      <c r="Q4" s="159">
        <f t="shared" si="4"/>
        <v>1</v>
      </c>
      <c r="R4" s="160">
        <f t="shared" si="5"/>
        <v>7.3833333333022892</v>
      </c>
      <c r="S4" s="158">
        <f t="shared" si="6"/>
        <v>1.5543859649057452</v>
      </c>
      <c r="T4" s="161">
        <f t="shared" si="7"/>
        <v>166.31929824491473</v>
      </c>
      <c r="U4" s="158">
        <f t="shared" si="9"/>
        <v>22.526315789473685</v>
      </c>
      <c r="V4" s="160">
        <f t="shared" si="8"/>
        <v>23</v>
      </c>
    </row>
    <row r="5" spans="1:22" x14ac:dyDescent="0.25">
      <c r="A5" s="98" t="s">
        <v>21</v>
      </c>
      <c r="B5" s="98" t="s">
        <v>32</v>
      </c>
      <c r="C5" s="98">
        <v>5</v>
      </c>
      <c r="D5" s="98">
        <v>310</v>
      </c>
      <c r="E5" s="157">
        <v>41304.323611111111</v>
      </c>
      <c r="F5" s="157">
        <v>41309.350694444445</v>
      </c>
      <c r="G5" s="98">
        <v>90</v>
      </c>
      <c r="H5" s="98">
        <v>114</v>
      </c>
      <c r="I5" s="98">
        <v>107</v>
      </c>
      <c r="J5" s="98" t="s">
        <v>1966</v>
      </c>
      <c r="K5" s="98" t="s">
        <v>288</v>
      </c>
      <c r="L5" s="105" t="str">
        <f t="shared" si="0"/>
        <v>Brown</v>
      </c>
      <c r="M5" s="105" t="str">
        <f t="shared" si="1"/>
        <v>Derate</v>
      </c>
      <c r="N5" s="105" t="str">
        <f t="shared" si="2"/>
        <v>Coal</v>
      </c>
      <c r="O5" s="105">
        <f>IFERROR(VLOOKUP(A5,Lookup!$J$5:$P$19,7,FALSE),0)</f>
        <v>1</v>
      </c>
      <c r="P5" s="159">
        <f t="shared" si="3"/>
        <v>2013</v>
      </c>
      <c r="Q5" s="159">
        <f t="shared" si="4"/>
        <v>1</v>
      </c>
      <c r="R5" s="160">
        <f t="shared" si="5"/>
        <v>120.65000000002328</v>
      </c>
      <c r="S5" s="158">
        <f t="shared" si="6"/>
        <v>25.400000000004901</v>
      </c>
      <c r="T5" s="161">
        <f t="shared" si="7"/>
        <v>2717.8000000005245</v>
      </c>
      <c r="U5" s="158">
        <f t="shared" si="9"/>
        <v>22.526315789473685</v>
      </c>
      <c r="V5" s="160">
        <f t="shared" si="8"/>
        <v>23</v>
      </c>
    </row>
    <row r="6" spans="1:22" x14ac:dyDescent="0.25">
      <c r="A6" s="98" t="s">
        <v>21</v>
      </c>
      <c r="B6" s="98" t="s">
        <v>32</v>
      </c>
      <c r="C6" s="98">
        <v>6</v>
      </c>
      <c r="D6" s="98">
        <v>310</v>
      </c>
      <c r="E6" s="157">
        <v>41309.350694444445</v>
      </c>
      <c r="F6" s="157">
        <v>41311.302083333336</v>
      </c>
      <c r="G6" s="98">
        <v>105</v>
      </c>
      <c r="H6" s="98">
        <v>114</v>
      </c>
      <c r="I6" s="98">
        <v>107</v>
      </c>
      <c r="J6" s="98" t="s">
        <v>1966</v>
      </c>
      <c r="K6" s="98" t="s">
        <v>289</v>
      </c>
      <c r="L6" s="105" t="str">
        <f t="shared" si="0"/>
        <v>Brown</v>
      </c>
      <c r="M6" s="105" t="str">
        <f t="shared" si="1"/>
        <v>Derate</v>
      </c>
      <c r="N6" s="105" t="str">
        <f t="shared" si="2"/>
        <v>Coal</v>
      </c>
      <c r="O6" s="105">
        <f>IFERROR(VLOOKUP(A6,Lookup!$J$5:$P$19,7,FALSE),0)</f>
        <v>1</v>
      </c>
      <c r="P6" s="159">
        <f t="shared" si="3"/>
        <v>2013</v>
      </c>
      <c r="Q6" s="159">
        <f t="shared" si="4"/>
        <v>2</v>
      </c>
      <c r="R6" s="160">
        <f t="shared" si="5"/>
        <v>46.833333333372138</v>
      </c>
      <c r="S6" s="158">
        <f t="shared" si="6"/>
        <v>3.6973684210556952</v>
      </c>
      <c r="T6" s="161">
        <f t="shared" si="7"/>
        <v>395.61842105295938</v>
      </c>
      <c r="U6" s="158">
        <f t="shared" si="9"/>
        <v>8.4473684210526319</v>
      </c>
      <c r="V6" s="160">
        <f t="shared" si="8"/>
        <v>8</v>
      </c>
    </row>
    <row r="7" spans="1:22" x14ac:dyDescent="0.25">
      <c r="A7" s="98" t="s">
        <v>21</v>
      </c>
      <c r="B7" s="98" t="s">
        <v>17</v>
      </c>
      <c r="C7" s="98">
        <v>8</v>
      </c>
      <c r="D7" s="98">
        <v>95</v>
      </c>
      <c r="E7" s="157">
        <v>41311.302083333336</v>
      </c>
      <c r="F7" s="162">
        <v>41311.319444444445</v>
      </c>
      <c r="G7" s="98">
        <v>55</v>
      </c>
      <c r="H7" s="98">
        <v>114</v>
      </c>
      <c r="I7" s="98">
        <v>107</v>
      </c>
      <c r="J7" s="98" t="s">
        <v>1998</v>
      </c>
      <c r="K7" s="98" t="s">
        <v>290</v>
      </c>
      <c r="L7" s="105" t="str">
        <f t="shared" si="0"/>
        <v>Brown</v>
      </c>
      <c r="M7" s="105" t="str">
        <f t="shared" si="1"/>
        <v>Derate</v>
      </c>
      <c r="N7" s="105" t="str">
        <f t="shared" si="2"/>
        <v>Coal</v>
      </c>
      <c r="O7" s="105">
        <f>IFERROR(VLOOKUP(A7,Lookup!$J$5:$P$19,7,FALSE),0)</f>
        <v>1</v>
      </c>
      <c r="P7" s="159">
        <f t="shared" si="3"/>
        <v>2013</v>
      </c>
      <c r="Q7" s="159">
        <f t="shared" si="4"/>
        <v>2</v>
      </c>
      <c r="R7" s="160">
        <f t="shared" si="5"/>
        <v>0.41666666662786156</v>
      </c>
      <c r="S7" s="158">
        <f t="shared" si="6"/>
        <v>0.21564327483371781</v>
      </c>
      <c r="T7" s="161">
        <f t="shared" si="7"/>
        <v>23.073830407207804</v>
      </c>
      <c r="U7" s="158">
        <f t="shared" si="9"/>
        <v>55.377192982456137</v>
      </c>
      <c r="V7" s="160">
        <f t="shared" si="8"/>
        <v>55</v>
      </c>
    </row>
    <row r="8" spans="1:22" x14ac:dyDescent="0.25">
      <c r="A8" s="98" t="s">
        <v>21</v>
      </c>
      <c r="B8" s="98" t="s">
        <v>32</v>
      </c>
      <c r="C8" s="98">
        <v>9</v>
      </c>
      <c r="D8" s="98">
        <v>310</v>
      </c>
      <c r="E8" s="162">
        <v>41311.319444444445</v>
      </c>
      <c r="F8" s="157">
        <v>41312</v>
      </c>
      <c r="G8" s="98">
        <v>105</v>
      </c>
      <c r="H8" s="98">
        <v>114</v>
      </c>
      <c r="I8" s="98">
        <v>107</v>
      </c>
      <c r="J8" s="98" t="s">
        <v>1966</v>
      </c>
      <c r="K8" s="98" t="s">
        <v>289</v>
      </c>
      <c r="L8" s="105" t="str">
        <f t="shared" si="0"/>
        <v>Brown</v>
      </c>
      <c r="M8" s="105" t="str">
        <f t="shared" si="1"/>
        <v>Derate</v>
      </c>
      <c r="N8" s="105" t="str">
        <f t="shared" si="2"/>
        <v>Coal</v>
      </c>
      <c r="O8" s="105">
        <f>IFERROR(VLOOKUP(A8,Lookup!$J$5:$P$19,7,FALSE),0)</f>
        <v>1</v>
      </c>
      <c r="P8" s="159">
        <f t="shared" si="3"/>
        <v>2013</v>
      </c>
      <c r="Q8" s="159">
        <f t="shared" si="4"/>
        <v>2</v>
      </c>
      <c r="R8" s="160">
        <f t="shared" si="5"/>
        <v>16.333333333313931</v>
      </c>
      <c r="S8" s="158">
        <f t="shared" si="6"/>
        <v>1.2894736842089944</v>
      </c>
      <c r="T8" s="161">
        <f t="shared" si="7"/>
        <v>137.97368421036239</v>
      </c>
      <c r="U8" s="158">
        <f t="shared" si="9"/>
        <v>8.4473684210526319</v>
      </c>
      <c r="V8" s="160">
        <f t="shared" si="8"/>
        <v>8</v>
      </c>
    </row>
    <row r="9" spans="1:22" x14ac:dyDescent="0.25">
      <c r="A9" s="98" t="s">
        <v>21</v>
      </c>
      <c r="B9" s="98" t="s">
        <v>105</v>
      </c>
      <c r="C9" s="98">
        <v>7</v>
      </c>
      <c r="D9" s="98">
        <v>344</v>
      </c>
      <c r="E9" s="157">
        <v>41312</v>
      </c>
      <c r="F9" s="157">
        <v>41312.155555555553</v>
      </c>
      <c r="G9" s="98">
        <v>60</v>
      </c>
      <c r="H9" s="98">
        <v>114</v>
      </c>
      <c r="I9" s="98">
        <v>107</v>
      </c>
      <c r="J9" s="98" t="s">
        <v>1968</v>
      </c>
      <c r="K9" s="98" t="s">
        <v>291</v>
      </c>
      <c r="L9" s="105" t="str">
        <f t="shared" si="0"/>
        <v>Brown</v>
      </c>
      <c r="M9" s="105" t="str">
        <f t="shared" si="1"/>
        <v>Derate</v>
      </c>
      <c r="N9" s="105" t="str">
        <f t="shared" si="2"/>
        <v>Coal</v>
      </c>
      <c r="O9" s="105">
        <f>IFERROR(VLOOKUP(A9,Lookup!$J$5:$P$19,7,FALSE),0)</f>
        <v>1</v>
      </c>
      <c r="P9" s="159">
        <f t="shared" si="3"/>
        <v>2013</v>
      </c>
      <c r="Q9" s="159">
        <f t="shared" si="4"/>
        <v>2</v>
      </c>
      <c r="R9" s="160">
        <f t="shared" si="5"/>
        <v>3.7333333332790062</v>
      </c>
      <c r="S9" s="158">
        <f t="shared" si="6"/>
        <v>1.768421052605845</v>
      </c>
      <c r="T9" s="161">
        <f t="shared" si="7"/>
        <v>189.22105262882542</v>
      </c>
      <c r="U9" s="158">
        <f t="shared" si="9"/>
        <v>50.684210526315788</v>
      </c>
      <c r="V9" s="160">
        <f t="shared" si="8"/>
        <v>51</v>
      </c>
    </row>
    <row r="10" spans="1:22" x14ac:dyDescent="0.25">
      <c r="A10" s="98" t="s">
        <v>21</v>
      </c>
      <c r="B10" s="98" t="s">
        <v>32</v>
      </c>
      <c r="C10" s="98">
        <v>10</v>
      </c>
      <c r="D10" s="98">
        <v>310</v>
      </c>
      <c r="E10" s="157">
        <v>41312.155555555553</v>
      </c>
      <c r="F10" s="157">
        <v>41313</v>
      </c>
      <c r="G10" s="98">
        <v>105</v>
      </c>
      <c r="H10" s="98">
        <v>114</v>
      </c>
      <c r="I10" s="98">
        <v>107</v>
      </c>
      <c r="J10" s="98" t="s">
        <v>1966</v>
      </c>
      <c r="K10" s="98" t="s">
        <v>292</v>
      </c>
      <c r="L10" s="105" t="str">
        <f t="shared" si="0"/>
        <v>Brown</v>
      </c>
      <c r="M10" s="105" t="str">
        <f t="shared" si="1"/>
        <v>Derate</v>
      </c>
      <c r="N10" s="105" t="str">
        <f t="shared" si="2"/>
        <v>Coal</v>
      </c>
      <c r="O10" s="105">
        <f>IFERROR(VLOOKUP(A10,Lookup!$J$5:$P$19,7,FALSE),0)</f>
        <v>1</v>
      </c>
      <c r="P10" s="159">
        <f t="shared" si="3"/>
        <v>2013</v>
      </c>
      <c r="Q10" s="159">
        <f t="shared" si="4"/>
        <v>2</v>
      </c>
      <c r="R10" s="160">
        <f t="shared" si="5"/>
        <v>20.266666666720994</v>
      </c>
      <c r="S10" s="158">
        <f t="shared" si="6"/>
        <v>1.6000000000042889</v>
      </c>
      <c r="T10" s="161">
        <f t="shared" si="7"/>
        <v>171.20000000045891</v>
      </c>
      <c r="U10" s="158">
        <f t="shared" si="9"/>
        <v>8.4473684210526319</v>
      </c>
      <c r="V10" s="160">
        <f t="shared" si="8"/>
        <v>8</v>
      </c>
    </row>
    <row r="11" spans="1:22" x14ac:dyDescent="0.25">
      <c r="A11" s="98" t="s">
        <v>21</v>
      </c>
      <c r="B11" s="98" t="s">
        <v>32</v>
      </c>
      <c r="C11" s="98">
        <v>11</v>
      </c>
      <c r="D11" s="98">
        <v>344</v>
      </c>
      <c r="E11" s="157">
        <v>41313</v>
      </c>
      <c r="F11" s="157">
        <v>41313.034722222219</v>
      </c>
      <c r="G11" s="98">
        <v>60</v>
      </c>
      <c r="H11" s="98">
        <v>114</v>
      </c>
      <c r="I11" s="98">
        <v>107</v>
      </c>
      <c r="J11" s="98" t="s">
        <v>1968</v>
      </c>
      <c r="K11" s="98" t="s">
        <v>293</v>
      </c>
      <c r="L11" s="105" t="str">
        <f t="shared" si="0"/>
        <v>Brown</v>
      </c>
      <c r="M11" s="105" t="str">
        <f t="shared" si="1"/>
        <v>Derate</v>
      </c>
      <c r="N11" s="105" t="str">
        <f t="shared" si="2"/>
        <v>Coal</v>
      </c>
      <c r="O11" s="105">
        <f>IFERROR(VLOOKUP(A11,Lookup!$J$5:$P$19,7,FALSE),0)</f>
        <v>1</v>
      </c>
      <c r="P11" s="159">
        <f t="shared" si="3"/>
        <v>2013</v>
      </c>
      <c r="Q11" s="159">
        <f t="shared" si="4"/>
        <v>2</v>
      </c>
      <c r="R11" s="160">
        <f t="shared" si="5"/>
        <v>0.83333333325572312</v>
      </c>
      <c r="S11" s="158">
        <f t="shared" si="6"/>
        <v>0.3947368420685004</v>
      </c>
      <c r="T11" s="161">
        <f t="shared" si="7"/>
        <v>42.236842101329543</v>
      </c>
      <c r="U11" s="158">
        <f t="shared" si="9"/>
        <v>50.684210526315788</v>
      </c>
      <c r="V11" s="160">
        <f t="shared" si="8"/>
        <v>51</v>
      </c>
    </row>
    <row r="12" spans="1:22" x14ac:dyDescent="0.25">
      <c r="A12" s="98" t="s">
        <v>21</v>
      </c>
      <c r="B12" s="98" t="s">
        <v>32</v>
      </c>
      <c r="C12" s="98">
        <v>12</v>
      </c>
      <c r="D12" s="98">
        <v>310</v>
      </c>
      <c r="E12" s="157">
        <v>41313.034722222219</v>
      </c>
      <c r="F12" s="157">
        <v>41316.979166666664</v>
      </c>
      <c r="G12" s="98">
        <v>105</v>
      </c>
      <c r="H12" s="98">
        <v>114</v>
      </c>
      <c r="I12" s="98">
        <v>107</v>
      </c>
      <c r="J12" s="98" t="s">
        <v>1966</v>
      </c>
      <c r="K12" s="98" t="s">
        <v>289</v>
      </c>
      <c r="L12" s="105" t="str">
        <f t="shared" si="0"/>
        <v>Brown</v>
      </c>
      <c r="M12" s="105" t="str">
        <f t="shared" si="1"/>
        <v>Derate</v>
      </c>
      <c r="N12" s="105" t="str">
        <f t="shared" si="2"/>
        <v>Coal</v>
      </c>
      <c r="O12" s="105">
        <f>IFERROR(VLOOKUP(A12,Lookup!$J$5:$P$19,7,FALSE),0)</f>
        <v>1</v>
      </c>
      <c r="P12" s="159">
        <f t="shared" si="3"/>
        <v>2013</v>
      </c>
      <c r="Q12" s="159">
        <f t="shared" si="4"/>
        <v>2</v>
      </c>
      <c r="R12" s="160">
        <f t="shared" si="5"/>
        <v>94.666666666686069</v>
      </c>
      <c r="S12" s="158">
        <f t="shared" si="6"/>
        <v>7.4736842105278471</v>
      </c>
      <c r="T12" s="161">
        <f t="shared" si="7"/>
        <v>799.68421052647966</v>
      </c>
      <c r="U12" s="158">
        <f t="shared" si="9"/>
        <v>8.4473684210526319</v>
      </c>
      <c r="V12" s="160">
        <f t="shared" si="8"/>
        <v>8</v>
      </c>
    </row>
    <row r="13" spans="1:22" x14ac:dyDescent="0.25">
      <c r="A13" s="98" t="s">
        <v>21</v>
      </c>
      <c r="B13" s="98" t="s">
        <v>17</v>
      </c>
      <c r="C13" s="98">
        <v>13</v>
      </c>
      <c r="D13" s="98">
        <v>260</v>
      </c>
      <c r="E13" s="157">
        <v>41316.979166666664</v>
      </c>
      <c r="F13" s="157">
        <v>41317.020833333336</v>
      </c>
      <c r="G13" s="98">
        <v>60</v>
      </c>
      <c r="H13" s="98">
        <v>114</v>
      </c>
      <c r="I13" s="98">
        <v>107</v>
      </c>
      <c r="J13" s="98" t="s">
        <v>1973</v>
      </c>
      <c r="K13" s="98" t="s">
        <v>294</v>
      </c>
      <c r="L13" s="105" t="str">
        <f t="shared" si="0"/>
        <v>Brown</v>
      </c>
      <c r="M13" s="105" t="str">
        <f t="shared" si="1"/>
        <v>Derate</v>
      </c>
      <c r="N13" s="105" t="str">
        <f t="shared" si="2"/>
        <v>Coal</v>
      </c>
      <c r="O13" s="105">
        <f>IFERROR(VLOOKUP(A13,Lookup!$J$5:$P$19,7,FALSE),0)</f>
        <v>1</v>
      </c>
      <c r="P13" s="159">
        <f t="shared" si="3"/>
        <v>2013</v>
      </c>
      <c r="Q13" s="159">
        <f t="shared" si="4"/>
        <v>2</v>
      </c>
      <c r="R13" s="160">
        <f t="shared" si="5"/>
        <v>1.0000000001164153</v>
      </c>
      <c r="S13" s="158">
        <f t="shared" si="6"/>
        <v>0.47368421058145987</v>
      </c>
      <c r="T13" s="161">
        <f t="shared" si="7"/>
        <v>50.684210532216206</v>
      </c>
      <c r="U13" s="158">
        <f t="shared" si="9"/>
        <v>50.684210526315788</v>
      </c>
      <c r="V13" s="160">
        <f t="shared" si="8"/>
        <v>51</v>
      </c>
    </row>
    <row r="14" spans="1:22" x14ac:dyDescent="0.25">
      <c r="A14" s="98" t="s">
        <v>21</v>
      </c>
      <c r="B14" s="98" t="s">
        <v>32</v>
      </c>
      <c r="C14" s="98">
        <v>14</v>
      </c>
      <c r="D14" s="98">
        <v>310</v>
      </c>
      <c r="E14" s="157">
        <v>41317.020833333336</v>
      </c>
      <c r="F14" s="157">
        <v>41317.200694444444</v>
      </c>
      <c r="G14" s="98">
        <v>105</v>
      </c>
      <c r="H14" s="98">
        <v>114</v>
      </c>
      <c r="I14" s="98">
        <v>107</v>
      </c>
      <c r="J14" s="98" t="s">
        <v>1966</v>
      </c>
      <c r="K14" s="98" t="s">
        <v>295</v>
      </c>
      <c r="L14" s="105" t="str">
        <f t="shared" si="0"/>
        <v>Brown</v>
      </c>
      <c r="M14" s="105" t="str">
        <f t="shared" si="1"/>
        <v>Derate</v>
      </c>
      <c r="N14" s="105" t="str">
        <f t="shared" si="2"/>
        <v>Coal</v>
      </c>
      <c r="O14" s="105">
        <f>IFERROR(VLOOKUP(A14,Lookup!$J$5:$P$19,7,FALSE),0)</f>
        <v>1</v>
      </c>
      <c r="P14" s="159">
        <f t="shared" si="3"/>
        <v>2013</v>
      </c>
      <c r="Q14" s="159">
        <f t="shared" si="4"/>
        <v>2</v>
      </c>
      <c r="R14" s="160">
        <f t="shared" si="5"/>
        <v>4.316666666592937</v>
      </c>
      <c r="S14" s="158">
        <f t="shared" si="6"/>
        <v>0.34078947367838974</v>
      </c>
      <c r="T14" s="161">
        <f t="shared" si="7"/>
        <v>36.464473683587705</v>
      </c>
      <c r="U14" s="158">
        <f t="shared" si="9"/>
        <v>8.4473684210526319</v>
      </c>
      <c r="V14" s="160">
        <f t="shared" si="8"/>
        <v>8</v>
      </c>
    </row>
    <row r="15" spans="1:22" x14ac:dyDescent="0.25">
      <c r="A15" s="98" t="s">
        <v>21</v>
      </c>
      <c r="B15" s="98" t="s">
        <v>32</v>
      </c>
      <c r="C15" s="98">
        <v>15</v>
      </c>
      <c r="D15" s="98">
        <v>260</v>
      </c>
      <c r="E15" s="157">
        <v>41327.506944444445</v>
      </c>
      <c r="F15" s="157">
        <v>41327.5625</v>
      </c>
      <c r="G15" s="98">
        <v>105</v>
      </c>
      <c r="H15" s="98">
        <v>114</v>
      </c>
      <c r="I15" s="98">
        <v>107</v>
      </c>
      <c r="J15" s="98" t="s">
        <v>1973</v>
      </c>
      <c r="K15" s="98" t="s">
        <v>296</v>
      </c>
      <c r="L15" s="105" t="str">
        <f t="shared" si="0"/>
        <v>Brown</v>
      </c>
      <c r="M15" s="105" t="str">
        <f t="shared" si="1"/>
        <v>Derate</v>
      </c>
      <c r="N15" s="105" t="str">
        <f t="shared" si="2"/>
        <v>Coal</v>
      </c>
      <c r="O15" s="105">
        <f>IFERROR(VLOOKUP(A15,Lookup!$J$5:$P$19,7,FALSE),0)</f>
        <v>1</v>
      </c>
      <c r="P15" s="159">
        <f t="shared" si="3"/>
        <v>2013</v>
      </c>
      <c r="Q15" s="159">
        <f t="shared" si="4"/>
        <v>2</v>
      </c>
      <c r="R15" s="160">
        <f t="shared" si="5"/>
        <v>1.3333333333139308</v>
      </c>
      <c r="S15" s="158">
        <f t="shared" si="6"/>
        <v>0.10526315789320506</v>
      </c>
      <c r="T15" s="161">
        <f t="shared" si="7"/>
        <v>11.263157894572942</v>
      </c>
      <c r="U15" s="158">
        <f t="shared" si="9"/>
        <v>8.4473684210526319</v>
      </c>
      <c r="V15" s="160">
        <f t="shared" si="8"/>
        <v>8</v>
      </c>
    </row>
    <row r="16" spans="1:22" x14ac:dyDescent="0.25">
      <c r="A16" s="98" t="s">
        <v>21</v>
      </c>
      <c r="B16" s="98" t="s">
        <v>79</v>
      </c>
      <c r="C16" s="98">
        <v>16</v>
      </c>
      <c r="D16" s="98">
        <v>8700</v>
      </c>
      <c r="E16" s="157">
        <v>41333.041666666664</v>
      </c>
      <c r="F16" s="157">
        <v>41333.166666666664</v>
      </c>
      <c r="G16" s="98">
        <v>0</v>
      </c>
      <c r="H16" s="98">
        <v>114</v>
      </c>
      <c r="I16" s="98">
        <v>107</v>
      </c>
      <c r="J16" s="98" t="s">
        <v>1987</v>
      </c>
      <c r="K16" s="98" t="s">
        <v>82</v>
      </c>
      <c r="L16" s="105" t="str">
        <f t="shared" si="0"/>
        <v>Brown</v>
      </c>
      <c r="M16" s="105" t="str">
        <f t="shared" si="1"/>
        <v>Other</v>
      </c>
      <c r="N16" s="105" t="str">
        <f t="shared" si="2"/>
        <v>Coal</v>
      </c>
      <c r="O16" s="105">
        <f>IFERROR(VLOOKUP(A16,Lookup!$J$5:$P$19,7,FALSE),0)</f>
        <v>1</v>
      </c>
      <c r="P16" s="159">
        <f t="shared" si="3"/>
        <v>2013</v>
      </c>
      <c r="Q16" s="159">
        <f t="shared" si="4"/>
        <v>2</v>
      </c>
      <c r="R16" s="160">
        <f t="shared" si="5"/>
        <v>3</v>
      </c>
      <c r="S16" s="158">
        <f t="shared" si="6"/>
        <v>3</v>
      </c>
      <c r="T16" s="161">
        <f t="shared" si="7"/>
        <v>321</v>
      </c>
      <c r="U16" s="158">
        <f t="shared" si="9"/>
        <v>107</v>
      </c>
      <c r="V16" s="160">
        <f t="shared" si="8"/>
        <v>107</v>
      </c>
    </row>
    <row r="17" spans="1:22" x14ac:dyDescent="0.25">
      <c r="A17" s="98" t="s">
        <v>21</v>
      </c>
      <c r="B17" s="98" t="s">
        <v>79</v>
      </c>
      <c r="C17" s="98">
        <v>17</v>
      </c>
      <c r="D17" s="98">
        <v>4267</v>
      </c>
      <c r="E17" s="157">
        <v>41339</v>
      </c>
      <c r="F17" s="157">
        <v>41339.027777777781</v>
      </c>
      <c r="G17" s="98">
        <v>0</v>
      </c>
      <c r="H17" s="98">
        <v>114</v>
      </c>
      <c r="I17" s="98">
        <v>107</v>
      </c>
      <c r="J17" s="98" t="s">
        <v>2025</v>
      </c>
      <c r="K17" s="98" t="s">
        <v>297</v>
      </c>
      <c r="L17" s="105" t="str">
        <f t="shared" si="0"/>
        <v>Brown</v>
      </c>
      <c r="M17" s="105" t="str">
        <f t="shared" si="1"/>
        <v>Other</v>
      </c>
      <c r="N17" s="105" t="str">
        <f t="shared" si="2"/>
        <v>Coal</v>
      </c>
      <c r="O17" s="105">
        <f>IFERROR(VLOOKUP(A17,Lookup!$J$5:$P$19,7,FALSE),0)</f>
        <v>1</v>
      </c>
      <c r="P17" s="159">
        <f t="shared" si="3"/>
        <v>2013</v>
      </c>
      <c r="Q17" s="159">
        <f t="shared" si="4"/>
        <v>3</v>
      </c>
      <c r="R17" s="160">
        <f t="shared" si="5"/>
        <v>0.66666666674427688</v>
      </c>
      <c r="S17" s="158">
        <f t="shared" si="6"/>
        <v>0.66666666674427688</v>
      </c>
      <c r="T17" s="161">
        <f t="shared" si="7"/>
        <v>71.333333341637626</v>
      </c>
      <c r="U17" s="158">
        <f t="shared" si="9"/>
        <v>107</v>
      </c>
      <c r="V17" s="160">
        <f t="shared" si="8"/>
        <v>107</v>
      </c>
    </row>
    <row r="18" spans="1:22" x14ac:dyDescent="0.25">
      <c r="A18" s="98" t="s">
        <v>21</v>
      </c>
      <c r="B18" s="98" t="s">
        <v>17</v>
      </c>
      <c r="C18" s="98">
        <v>18</v>
      </c>
      <c r="D18" s="98">
        <v>9270</v>
      </c>
      <c r="E18" s="157">
        <v>41339.348611111112</v>
      </c>
      <c r="F18" s="157">
        <v>41339.359027777777</v>
      </c>
      <c r="G18" s="98">
        <v>90</v>
      </c>
      <c r="H18" s="98">
        <v>114</v>
      </c>
      <c r="I18" s="98">
        <v>107</v>
      </c>
      <c r="J18" s="98" t="s">
        <v>2006</v>
      </c>
      <c r="K18" s="98" t="s">
        <v>298</v>
      </c>
      <c r="L18" s="105" t="str">
        <f t="shared" si="0"/>
        <v>Brown</v>
      </c>
      <c r="M18" s="105" t="str">
        <f t="shared" si="1"/>
        <v>Derate</v>
      </c>
      <c r="N18" s="105" t="str">
        <f t="shared" si="2"/>
        <v>Coal</v>
      </c>
      <c r="O18" s="105">
        <f>IFERROR(VLOOKUP(A18,Lookup!$J$5:$P$19,7,FALSE),0)</f>
        <v>1</v>
      </c>
      <c r="P18" s="159">
        <f t="shared" si="3"/>
        <v>2013</v>
      </c>
      <c r="Q18" s="159">
        <f t="shared" si="4"/>
        <v>3</v>
      </c>
      <c r="R18" s="160">
        <f t="shared" si="5"/>
        <v>0.24999999994179234</v>
      </c>
      <c r="S18" s="158">
        <f t="shared" si="6"/>
        <v>5.2631578935114179E-2</v>
      </c>
      <c r="T18" s="161">
        <f t="shared" si="7"/>
        <v>5.6315789460572168</v>
      </c>
      <c r="U18" s="158">
        <f t="shared" si="9"/>
        <v>22.526315789473685</v>
      </c>
      <c r="V18" s="160">
        <f t="shared" si="8"/>
        <v>23</v>
      </c>
    </row>
    <row r="19" spans="1:22" x14ac:dyDescent="0.25">
      <c r="A19" s="98" t="s">
        <v>21</v>
      </c>
      <c r="B19" s="98" t="s">
        <v>20</v>
      </c>
      <c r="C19" s="98">
        <v>19</v>
      </c>
      <c r="D19" s="98">
        <v>9656</v>
      </c>
      <c r="E19" s="157">
        <v>41344.861111111109</v>
      </c>
      <c r="F19" s="157">
        <v>41349.007638888892</v>
      </c>
      <c r="G19" s="98">
        <v>0</v>
      </c>
      <c r="H19" s="98">
        <v>114</v>
      </c>
      <c r="I19" s="98">
        <v>107</v>
      </c>
      <c r="J19" s="98" t="s">
        <v>299</v>
      </c>
      <c r="K19" s="98" t="s">
        <v>300</v>
      </c>
      <c r="L19" s="105" t="str">
        <f t="shared" si="0"/>
        <v>Brown</v>
      </c>
      <c r="M19" s="105" t="str">
        <f t="shared" si="1"/>
        <v>Maintenance</v>
      </c>
      <c r="N19" s="105" t="str">
        <f t="shared" si="2"/>
        <v>Coal</v>
      </c>
      <c r="O19" s="105">
        <f>IFERROR(VLOOKUP(A19,Lookup!$J$5:$P$19,7,FALSE),0)</f>
        <v>1</v>
      </c>
      <c r="P19" s="159">
        <f t="shared" si="3"/>
        <v>2013</v>
      </c>
      <c r="Q19" s="159">
        <f t="shared" si="4"/>
        <v>3</v>
      </c>
      <c r="R19" s="160">
        <f t="shared" si="5"/>
        <v>99.516666666779201</v>
      </c>
      <c r="S19" s="158">
        <f t="shared" si="6"/>
        <v>99.516666666779201</v>
      </c>
      <c r="T19" s="161">
        <f t="shared" si="7"/>
        <v>10648.283333345375</v>
      </c>
      <c r="U19" s="158">
        <f t="shared" si="9"/>
        <v>107</v>
      </c>
      <c r="V19" s="160">
        <f t="shared" si="8"/>
        <v>107</v>
      </c>
    </row>
    <row r="20" spans="1:22" x14ac:dyDescent="0.25">
      <c r="A20" s="98" t="s">
        <v>21</v>
      </c>
      <c r="B20" s="98" t="s">
        <v>20</v>
      </c>
      <c r="C20" s="98">
        <v>20</v>
      </c>
      <c r="D20" s="98">
        <v>8230</v>
      </c>
      <c r="E20" s="157">
        <v>41349.007638888892</v>
      </c>
      <c r="F20" s="157">
        <v>41354.129861111112</v>
      </c>
      <c r="G20" s="98">
        <v>0</v>
      </c>
      <c r="H20" s="98">
        <v>114</v>
      </c>
      <c r="I20" s="98">
        <v>107</v>
      </c>
      <c r="J20" s="98" t="s">
        <v>2037</v>
      </c>
      <c r="K20" s="98" t="s">
        <v>301</v>
      </c>
      <c r="L20" s="105" t="str">
        <f t="shared" si="0"/>
        <v>Brown</v>
      </c>
      <c r="M20" s="105" t="str">
        <f t="shared" si="1"/>
        <v>Maintenance</v>
      </c>
      <c r="N20" s="105" t="str">
        <f t="shared" si="2"/>
        <v>Coal</v>
      </c>
      <c r="O20" s="105">
        <f>IFERROR(VLOOKUP(A20,Lookup!$J$5:$P$19,7,FALSE),0)</f>
        <v>1</v>
      </c>
      <c r="P20" s="159">
        <f t="shared" si="3"/>
        <v>2013</v>
      </c>
      <c r="Q20" s="159">
        <f t="shared" si="4"/>
        <v>3</v>
      </c>
      <c r="R20" s="160">
        <f t="shared" si="5"/>
        <v>122.93333333329065</v>
      </c>
      <c r="S20" s="158">
        <f t="shared" si="6"/>
        <v>122.93333333329065</v>
      </c>
      <c r="T20" s="161">
        <f t="shared" si="7"/>
        <v>13153.866666662099</v>
      </c>
      <c r="U20" s="158">
        <f t="shared" si="9"/>
        <v>107</v>
      </c>
      <c r="V20" s="160">
        <f t="shared" si="8"/>
        <v>107</v>
      </c>
    </row>
    <row r="21" spans="1:22" x14ac:dyDescent="0.25">
      <c r="A21" s="98" t="s">
        <v>21</v>
      </c>
      <c r="B21" s="98" t="s">
        <v>15</v>
      </c>
      <c r="C21" s="98">
        <v>21</v>
      </c>
      <c r="D21" s="98">
        <v>270</v>
      </c>
      <c r="E21" s="157">
        <v>41354.427083333336</v>
      </c>
      <c r="F21" s="157">
        <v>41354.852777777778</v>
      </c>
      <c r="G21" s="98">
        <v>0</v>
      </c>
      <c r="H21" s="98">
        <v>114</v>
      </c>
      <c r="I21" s="98">
        <v>107</v>
      </c>
      <c r="J21" s="98" t="s">
        <v>2031</v>
      </c>
      <c r="K21" s="98" t="s">
        <v>302</v>
      </c>
      <c r="L21" s="105" t="str">
        <f t="shared" si="0"/>
        <v>Brown</v>
      </c>
      <c r="M21" s="105" t="str">
        <f t="shared" si="1"/>
        <v>Outage</v>
      </c>
      <c r="N21" s="105" t="str">
        <f t="shared" si="2"/>
        <v>Coal</v>
      </c>
      <c r="O21" s="105">
        <f>IFERROR(VLOOKUP(A21,Lookup!$J$5:$P$19,7,FALSE),0)</f>
        <v>1</v>
      </c>
      <c r="P21" s="159">
        <f t="shared" si="3"/>
        <v>2013</v>
      </c>
      <c r="Q21" s="159">
        <f t="shared" si="4"/>
        <v>3</v>
      </c>
      <c r="R21" s="160">
        <f t="shared" si="5"/>
        <v>10.21666666661622</v>
      </c>
      <c r="S21" s="158">
        <f t="shared" si="6"/>
        <v>10.21666666661622</v>
      </c>
      <c r="T21" s="161">
        <f t="shared" si="7"/>
        <v>1093.1833333279355</v>
      </c>
      <c r="U21" s="158">
        <f t="shared" si="9"/>
        <v>107</v>
      </c>
      <c r="V21" s="160">
        <f t="shared" si="8"/>
        <v>107</v>
      </c>
    </row>
    <row r="22" spans="1:22" x14ac:dyDescent="0.25">
      <c r="A22" s="98" t="s">
        <v>21</v>
      </c>
      <c r="B22" s="98" t="s">
        <v>17</v>
      </c>
      <c r="C22" s="98">
        <v>22</v>
      </c>
      <c r="D22" s="98">
        <v>9270</v>
      </c>
      <c r="E22" s="157">
        <v>41359.243055555555</v>
      </c>
      <c r="F22" s="157">
        <v>41359.255555555559</v>
      </c>
      <c r="G22" s="98">
        <v>90</v>
      </c>
      <c r="H22" s="98">
        <v>114</v>
      </c>
      <c r="I22" s="98">
        <v>107</v>
      </c>
      <c r="J22" s="98" t="s">
        <v>2006</v>
      </c>
      <c r="K22" s="98" t="s">
        <v>303</v>
      </c>
      <c r="L22" s="105" t="str">
        <f t="shared" si="0"/>
        <v>Brown</v>
      </c>
      <c r="M22" s="105" t="str">
        <f t="shared" si="1"/>
        <v>Derate</v>
      </c>
      <c r="N22" s="105" t="str">
        <f t="shared" si="2"/>
        <v>Coal</v>
      </c>
      <c r="O22" s="105">
        <f>IFERROR(VLOOKUP(A22,Lookup!$J$5:$P$19,7,FALSE),0)</f>
        <v>1</v>
      </c>
      <c r="P22" s="159">
        <f t="shared" si="3"/>
        <v>2013</v>
      </c>
      <c r="Q22" s="159">
        <f t="shared" si="4"/>
        <v>3</v>
      </c>
      <c r="R22" s="160">
        <f t="shared" si="5"/>
        <v>0.30000000010477379</v>
      </c>
      <c r="S22" s="158">
        <f t="shared" si="6"/>
        <v>6.3157894758899741E-2</v>
      </c>
      <c r="T22" s="161">
        <f t="shared" si="7"/>
        <v>6.7578947392022721</v>
      </c>
      <c r="U22" s="158">
        <f t="shared" si="9"/>
        <v>22.526315789473685</v>
      </c>
      <c r="V22" s="160">
        <f t="shared" si="8"/>
        <v>23</v>
      </c>
    </row>
    <row r="23" spans="1:22" x14ac:dyDescent="0.25">
      <c r="A23" s="98" t="s">
        <v>21</v>
      </c>
      <c r="B23" s="98" t="s">
        <v>79</v>
      </c>
      <c r="C23" s="98">
        <v>23</v>
      </c>
      <c r="D23" s="98">
        <v>1100</v>
      </c>
      <c r="E23" s="157">
        <v>41361.510416666664</v>
      </c>
      <c r="F23" s="157">
        <v>41361.563194444447</v>
      </c>
      <c r="G23" s="98">
        <v>0</v>
      </c>
      <c r="H23" s="98">
        <v>114</v>
      </c>
      <c r="I23" s="98">
        <v>107</v>
      </c>
      <c r="J23" s="98" t="s">
        <v>2038</v>
      </c>
      <c r="K23" s="98" t="s">
        <v>304</v>
      </c>
      <c r="L23" s="105" t="str">
        <f t="shared" si="0"/>
        <v>Brown</v>
      </c>
      <c r="M23" s="105" t="str">
        <f t="shared" si="1"/>
        <v>Other</v>
      </c>
      <c r="N23" s="105" t="str">
        <f t="shared" si="2"/>
        <v>Coal</v>
      </c>
      <c r="O23" s="105">
        <f>IFERROR(VLOOKUP(A23,Lookup!$J$5:$P$19,7,FALSE),0)</f>
        <v>1</v>
      </c>
      <c r="P23" s="159">
        <f t="shared" si="3"/>
        <v>2013</v>
      </c>
      <c r="Q23" s="159">
        <f t="shared" si="4"/>
        <v>3</v>
      </c>
      <c r="R23" s="160">
        <f t="shared" si="5"/>
        <v>1.2666666667792015</v>
      </c>
      <c r="S23" s="158">
        <f t="shared" si="6"/>
        <v>1.2666666667792015</v>
      </c>
      <c r="T23" s="161">
        <f t="shared" si="7"/>
        <v>135.53333334537456</v>
      </c>
      <c r="U23" s="158">
        <f t="shared" si="9"/>
        <v>107</v>
      </c>
      <c r="V23" s="160">
        <f t="shared" si="8"/>
        <v>107</v>
      </c>
    </row>
    <row r="24" spans="1:22" x14ac:dyDescent="0.25">
      <c r="A24" s="98" t="s">
        <v>21</v>
      </c>
      <c r="B24" s="98" t="s">
        <v>32</v>
      </c>
      <c r="C24" s="98">
        <v>24</v>
      </c>
      <c r="D24" s="98">
        <v>263</v>
      </c>
      <c r="E24" s="157">
        <v>41382</v>
      </c>
      <c r="F24" s="157">
        <v>41382.409722222219</v>
      </c>
      <c r="G24" s="98">
        <v>90</v>
      </c>
      <c r="H24" s="98">
        <v>114</v>
      </c>
      <c r="I24" s="98">
        <v>107</v>
      </c>
      <c r="J24" s="98" t="s">
        <v>2039</v>
      </c>
      <c r="K24" s="98" t="s">
        <v>305</v>
      </c>
      <c r="L24" s="105" t="str">
        <f t="shared" si="0"/>
        <v>Brown</v>
      </c>
      <c r="M24" s="105" t="str">
        <f t="shared" si="1"/>
        <v>Derate</v>
      </c>
      <c r="N24" s="105" t="str">
        <f t="shared" si="2"/>
        <v>Coal</v>
      </c>
      <c r="O24" s="105">
        <f>IFERROR(VLOOKUP(A24,Lookup!$J$5:$P$19,7,FALSE),0)</f>
        <v>1</v>
      </c>
      <c r="P24" s="159">
        <f t="shared" si="3"/>
        <v>2013</v>
      </c>
      <c r="Q24" s="159">
        <f t="shared" si="4"/>
        <v>4</v>
      </c>
      <c r="R24" s="160">
        <f t="shared" si="5"/>
        <v>9.8333333332557231</v>
      </c>
      <c r="S24" s="158">
        <f t="shared" si="6"/>
        <v>2.0701754385801521</v>
      </c>
      <c r="T24" s="161">
        <f t="shared" si="7"/>
        <v>221.50877192807627</v>
      </c>
      <c r="U24" s="158">
        <f t="shared" si="9"/>
        <v>22.526315789473685</v>
      </c>
      <c r="V24" s="160">
        <f t="shared" si="8"/>
        <v>23</v>
      </c>
    </row>
    <row r="25" spans="1:22" x14ac:dyDescent="0.25">
      <c r="A25" s="98" t="s">
        <v>21</v>
      </c>
      <c r="B25" s="98" t="s">
        <v>38</v>
      </c>
      <c r="C25" s="98">
        <v>25</v>
      </c>
      <c r="D25" s="98">
        <v>1812</v>
      </c>
      <c r="E25" s="157">
        <v>41384.095833333333</v>
      </c>
      <c r="F25" s="157">
        <v>41392.303472222222</v>
      </c>
      <c r="G25" s="98">
        <v>0</v>
      </c>
      <c r="H25" s="98">
        <v>114</v>
      </c>
      <c r="I25" s="98">
        <v>107</v>
      </c>
      <c r="J25" s="98" t="s">
        <v>1994</v>
      </c>
      <c r="K25" s="98" t="s">
        <v>306</v>
      </c>
      <c r="L25" s="105" t="str">
        <f t="shared" si="0"/>
        <v>Brown</v>
      </c>
      <c r="M25" s="105" t="str">
        <f t="shared" si="1"/>
        <v>Other</v>
      </c>
      <c r="N25" s="105" t="str">
        <f t="shared" si="2"/>
        <v>Coal</v>
      </c>
      <c r="O25" s="105">
        <f>IFERROR(VLOOKUP(A25,Lookup!$J$5:$P$19,7,FALSE),0)</f>
        <v>1</v>
      </c>
      <c r="P25" s="159">
        <f t="shared" si="3"/>
        <v>2013</v>
      </c>
      <c r="Q25" s="159">
        <f t="shared" si="4"/>
        <v>4</v>
      </c>
      <c r="R25" s="160">
        <f t="shared" si="5"/>
        <v>196.98333333333721</v>
      </c>
      <c r="S25" s="158">
        <f t="shared" si="6"/>
        <v>196.98333333333721</v>
      </c>
      <c r="T25" s="161">
        <f t="shared" si="7"/>
        <v>21077.216666667082</v>
      </c>
      <c r="U25" s="158">
        <f t="shared" si="9"/>
        <v>107</v>
      </c>
      <c r="V25" s="160">
        <f t="shared" si="8"/>
        <v>107</v>
      </c>
    </row>
    <row r="26" spans="1:22" x14ac:dyDescent="0.25">
      <c r="A26" s="98" t="s">
        <v>21</v>
      </c>
      <c r="B26" s="98" t="s">
        <v>17</v>
      </c>
      <c r="C26" s="98">
        <v>26</v>
      </c>
      <c r="D26" s="98">
        <v>1410</v>
      </c>
      <c r="E26" s="157">
        <v>41400.703472222223</v>
      </c>
      <c r="F26" s="157">
        <v>41400.817361111112</v>
      </c>
      <c r="G26" s="98">
        <v>60</v>
      </c>
      <c r="H26" s="98">
        <v>114</v>
      </c>
      <c r="I26" s="98">
        <v>107</v>
      </c>
      <c r="J26" s="98" t="s">
        <v>2040</v>
      </c>
      <c r="K26" s="98" t="s">
        <v>307</v>
      </c>
      <c r="L26" s="105" t="str">
        <f t="shared" si="0"/>
        <v>Brown</v>
      </c>
      <c r="M26" s="105" t="str">
        <f t="shared" si="1"/>
        <v>Derate</v>
      </c>
      <c r="N26" s="105" t="str">
        <f t="shared" si="2"/>
        <v>Coal</v>
      </c>
      <c r="O26" s="105">
        <f>IFERROR(VLOOKUP(A26,Lookup!$J$5:$P$19,7,FALSE),0)</f>
        <v>1</v>
      </c>
      <c r="P26" s="159">
        <f t="shared" si="3"/>
        <v>2013</v>
      </c>
      <c r="Q26" s="159">
        <f t="shared" si="4"/>
        <v>5</v>
      </c>
      <c r="R26" s="160">
        <f t="shared" si="5"/>
        <v>2.7333333333372138</v>
      </c>
      <c r="S26" s="158">
        <f t="shared" si="6"/>
        <v>1.2947368421071013</v>
      </c>
      <c r="T26" s="161">
        <f t="shared" si="7"/>
        <v>138.53684210545984</v>
      </c>
      <c r="U26" s="158">
        <f t="shared" si="9"/>
        <v>50.684210526315788</v>
      </c>
      <c r="V26" s="160">
        <f t="shared" si="8"/>
        <v>51</v>
      </c>
    </row>
    <row r="27" spans="1:22" x14ac:dyDescent="0.25">
      <c r="A27" s="98" t="s">
        <v>21</v>
      </c>
      <c r="B27" s="98" t="s">
        <v>17</v>
      </c>
      <c r="C27" s="98">
        <v>27</v>
      </c>
      <c r="D27" s="98">
        <v>1410</v>
      </c>
      <c r="E27" s="157">
        <v>41400.817361111112</v>
      </c>
      <c r="F27" s="157">
        <v>41411.706944444442</v>
      </c>
      <c r="G27" s="98">
        <v>55</v>
      </c>
      <c r="H27" s="98">
        <v>114</v>
      </c>
      <c r="I27" s="98">
        <v>107</v>
      </c>
      <c r="J27" s="98" t="s">
        <v>2040</v>
      </c>
      <c r="K27" s="98" t="s">
        <v>308</v>
      </c>
      <c r="L27" s="105" t="str">
        <f t="shared" si="0"/>
        <v>Brown</v>
      </c>
      <c r="M27" s="105" t="str">
        <f t="shared" si="1"/>
        <v>Derate</v>
      </c>
      <c r="N27" s="105" t="str">
        <f t="shared" si="2"/>
        <v>Coal</v>
      </c>
      <c r="O27" s="105">
        <f>IFERROR(VLOOKUP(A27,Lookup!$J$5:$P$19,7,FALSE),0)</f>
        <v>1</v>
      </c>
      <c r="P27" s="159">
        <f t="shared" si="3"/>
        <v>2013</v>
      </c>
      <c r="Q27" s="159">
        <f t="shared" si="4"/>
        <v>5</v>
      </c>
      <c r="R27" s="160">
        <f t="shared" si="5"/>
        <v>261.34999999991851</v>
      </c>
      <c r="S27" s="158">
        <f t="shared" si="6"/>
        <v>135.26008771925606</v>
      </c>
      <c r="T27" s="161">
        <f t="shared" si="7"/>
        <v>14472.829385960398</v>
      </c>
      <c r="U27" s="158">
        <f t="shared" si="9"/>
        <v>55.377192982456137</v>
      </c>
      <c r="V27" s="160">
        <f t="shared" si="8"/>
        <v>55</v>
      </c>
    </row>
    <row r="28" spans="1:22" x14ac:dyDescent="0.25">
      <c r="A28" s="98" t="s">
        <v>21</v>
      </c>
      <c r="B28" s="98" t="s">
        <v>17</v>
      </c>
      <c r="C28" s="98">
        <v>28</v>
      </c>
      <c r="D28" s="98">
        <v>267</v>
      </c>
      <c r="E28" s="157">
        <v>41414.519444444442</v>
      </c>
      <c r="F28" s="157">
        <v>41414.545138888891</v>
      </c>
      <c r="G28" s="98">
        <v>90</v>
      </c>
      <c r="H28" s="98">
        <v>114</v>
      </c>
      <c r="I28" s="98">
        <v>107</v>
      </c>
      <c r="J28" s="98" t="s">
        <v>1969</v>
      </c>
      <c r="K28" s="98" t="s">
        <v>309</v>
      </c>
      <c r="L28" s="105" t="str">
        <f t="shared" si="0"/>
        <v>Brown</v>
      </c>
      <c r="M28" s="105" t="str">
        <f t="shared" si="1"/>
        <v>Derate</v>
      </c>
      <c r="N28" s="105" t="str">
        <f t="shared" si="2"/>
        <v>Coal</v>
      </c>
      <c r="O28" s="105">
        <f>IFERROR(VLOOKUP(A28,Lookup!$J$5:$P$19,7,FALSE),0)</f>
        <v>1</v>
      </c>
      <c r="P28" s="159">
        <f t="shared" si="3"/>
        <v>2013</v>
      </c>
      <c r="Q28" s="159">
        <f t="shared" si="4"/>
        <v>5</v>
      </c>
      <c r="R28" s="160">
        <f t="shared" si="5"/>
        <v>0.61666666675591841</v>
      </c>
      <c r="S28" s="158">
        <f t="shared" si="6"/>
        <v>0.12982456142229862</v>
      </c>
      <c r="T28" s="161">
        <f t="shared" si="7"/>
        <v>13.891228072185951</v>
      </c>
      <c r="U28" s="158">
        <f t="shared" si="9"/>
        <v>22.526315789473685</v>
      </c>
      <c r="V28" s="160">
        <f t="shared" si="8"/>
        <v>23</v>
      </c>
    </row>
    <row r="29" spans="1:22" x14ac:dyDescent="0.25">
      <c r="A29" s="98" t="s">
        <v>21</v>
      </c>
      <c r="B29" s="98" t="s">
        <v>32</v>
      </c>
      <c r="C29" s="98">
        <v>29</v>
      </c>
      <c r="D29" s="98">
        <v>260</v>
      </c>
      <c r="E29" s="157">
        <v>41419.197916666664</v>
      </c>
      <c r="F29" s="157">
        <v>41419.262499999997</v>
      </c>
      <c r="G29" s="98">
        <v>95</v>
      </c>
      <c r="H29" s="98">
        <v>114</v>
      </c>
      <c r="I29" s="98">
        <v>107</v>
      </c>
      <c r="J29" s="98" t="s">
        <v>1973</v>
      </c>
      <c r="K29" s="98" t="s">
        <v>310</v>
      </c>
      <c r="L29" s="105" t="str">
        <f t="shared" si="0"/>
        <v>Brown</v>
      </c>
      <c r="M29" s="105" t="str">
        <f t="shared" si="1"/>
        <v>Derate</v>
      </c>
      <c r="N29" s="105" t="str">
        <f t="shared" si="2"/>
        <v>Coal</v>
      </c>
      <c r="O29" s="105">
        <f>IFERROR(VLOOKUP(A29,Lookup!$J$5:$P$19,7,FALSE),0)</f>
        <v>1</v>
      </c>
      <c r="P29" s="159">
        <f t="shared" si="3"/>
        <v>2013</v>
      </c>
      <c r="Q29" s="159">
        <f t="shared" si="4"/>
        <v>5</v>
      </c>
      <c r="R29" s="160">
        <f t="shared" si="5"/>
        <v>1.5499999999883585</v>
      </c>
      <c r="S29" s="158">
        <f t="shared" si="6"/>
        <v>0.25833333333139308</v>
      </c>
      <c r="T29" s="161">
        <f t="shared" si="7"/>
        <v>27.641666666459059</v>
      </c>
      <c r="U29" s="158">
        <f t="shared" si="9"/>
        <v>17.833333333333332</v>
      </c>
      <c r="V29" s="160">
        <f t="shared" si="8"/>
        <v>18</v>
      </c>
    </row>
    <row r="30" spans="1:22" x14ac:dyDescent="0.25">
      <c r="A30" s="98" t="s">
        <v>21</v>
      </c>
      <c r="B30" s="98" t="s">
        <v>17</v>
      </c>
      <c r="C30" s="98">
        <v>30</v>
      </c>
      <c r="D30" s="98">
        <v>4640</v>
      </c>
      <c r="E30" s="157">
        <v>41426.422222222223</v>
      </c>
      <c r="F30" s="157">
        <v>41426.579861111109</v>
      </c>
      <c r="G30" s="98">
        <v>60</v>
      </c>
      <c r="H30" s="98">
        <v>114</v>
      </c>
      <c r="I30" s="98">
        <v>107</v>
      </c>
      <c r="J30" s="98" t="s">
        <v>2004</v>
      </c>
      <c r="K30" s="98" t="s">
        <v>311</v>
      </c>
      <c r="L30" s="105" t="str">
        <f t="shared" si="0"/>
        <v>Brown</v>
      </c>
      <c r="M30" s="105" t="str">
        <f t="shared" si="1"/>
        <v>Derate</v>
      </c>
      <c r="N30" s="105" t="str">
        <f t="shared" si="2"/>
        <v>Coal</v>
      </c>
      <c r="O30" s="105">
        <f>IFERROR(VLOOKUP(A30,Lookup!$J$5:$P$19,7,FALSE),0)</f>
        <v>1</v>
      </c>
      <c r="P30" s="159">
        <f t="shared" si="3"/>
        <v>2013</v>
      </c>
      <c r="Q30" s="159">
        <f t="shared" si="4"/>
        <v>6</v>
      </c>
      <c r="R30" s="160">
        <f t="shared" si="5"/>
        <v>3.7833333332673647</v>
      </c>
      <c r="S30" s="158">
        <f t="shared" si="6"/>
        <v>1.7921052631266463</v>
      </c>
      <c r="T30" s="161">
        <f t="shared" si="7"/>
        <v>191.75526315455116</v>
      </c>
      <c r="U30" s="158">
        <f t="shared" si="9"/>
        <v>50.684210526315788</v>
      </c>
      <c r="V30" s="160">
        <f t="shared" si="8"/>
        <v>51</v>
      </c>
    </row>
    <row r="31" spans="1:22" x14ac:dyDescent="0.25">
      <c r="A31" s="98" t="s">
        <v>21</v>
      </c>
      <c r="B31" s="98" t="s">
        <v>32</v>
      </c>
      <c r="C31" s="98">
        <v>31</v>
      </c>
      <c r="D31" s="98">
        <v>310</v>
      </c>
      <c r="E31" s="157">
        <v>41430.944444444445</v>
      </c>
      <c r="F31" s="157">
        <v>41431.114583333336</v>
      </c>
      <c r="G31" s="98">
        <v>85</v>
      </c>
      <c r="H31" s="98">
        <v>114</v>
      </c>
      <c r="I31" s="98">
        <v>107</v>
      </c>
      <c r="J31" s="98" t="s">
        <v>1966</v>
      </c>
      <c r="K31" s="98" t="s">
        <v>312</v>
      </c>
      <c r="L31" s="105" t="str">
        <f t="shared" si="0"/>
        <v>Brown</v>
      </c>
      <c r="M31" s="105" t="str">
        <f t="shared" si="1"/>
        <v>Derate</v>
      </c>
      <c r="N31" s="105" t="str">
        <f t="shared" si="2"/>
        <v>Coal</v>
      </c>
      <c r="O31" s="105">
        <f>IFERROR(VLOOKUP(A31,Lookup!$J$5:$P$19,7,FALSE),0)</f>
        <v>1</v>
      </c>
      <c r="P31" s="159">
        <f t="shared" si="3"/>
        <v>2013</v>
      </c>
      <c r="Q31" s="159">
        <f t="shared" si="4"/>
        <v>6</v>
      </c>
      <c r="R31" s="160">
        <f t="shared" si="5"/>
        <v>4.0833333333721384</v>
      </c>
      <c r="S31" s="158">
        <f t="shared" si="6"/>
        <v>1.038742690068351</v>
      </c>
      <c r="T31" s="161">
        <f t="shared" si="7"/>
        <v>111.14546783731355</v>
      </c>
      <c r="U31" s="158">
        <f t="shared" si="9"/>
        <v>27.219298245614034</v>
      </c>
      <c r="V31" s="160">
        <f t="shared" si="8"/>
        <v>27</v>
      </c>
    </row>
    <row r="32" spans="1:22" x14ac:dyDescent="0.25">
      <c r="A32" s="98" t="s">
        <v>21</v>
      </c>
      <c r="B32" s="98" t="s">
        <v>32</v>
      </c>
      <c r="C32" s="98">
        <v>32</v>
      </c>
      <c r="D32" s="98">
        <v>310</v>
      </c>
      <c r="E32" s="157">
        <v>41431.916666666664</v>
      </c>
      <c r="F32" s="157">
        <v>41432.166666666664</v>
      </c>
      <c r="G32" s="98">
        <v>85</v>
      </c>
      <c r="H32" s="98">
        <v>114</v>
      </c>
      <c r="I32" s="98">
        <v>107</v>
      </c>
      <c r="J32" s="98" t="s">
        <v>1966</v>
      </c>
      <c r="K32" s="98" t="s">
        <v>313</v>
      </c>
      <c r="L32" s="105" t="str">
        <f t="shared" si="0"/>
        <v>Brown</v>
      </c>
      <c r="M32" s="105" t="str">
        <f t="shared" si="1"/>
        <v>Derate</v>
      </c>
      <c r="N32" s="105" t="str">
        <f t="shared" si="2"/>
        <v>Coal</v>
      </c>
      <c r="O32" s="105">
        <f>IFERROR(VLOOKUP(A32,Lookup!$J$5:$P$19,7,FALSE),0)</f>
        <v>1</v>
      </c>
      <c r="P32" s="159">
        <f t="shared" si="3"/>
        <v>2013</v>
      </c>
      <c r="Q32" s="159">
        <f t="shared" si="4"/>
        <v>6</v>
      </c>
      <c r="R32" s="160">
        <f t="shared" si="5"/>
        <v>6</v>
      </c>
      <c r="S32" s="158">
        <f t="shared" si="6"/>
        <v>1.5263157894736843</v>
      </c>
      <c r="T32" s="161">
        <f t="shared" si="7"/>
        <v>163.31578947368422</v>
      </c>
      <c r="U32" s="158">
        <f t="shared" si="9"/>
        <v>27.219298245614034</v>
      </c>
      <c r="V32" s="160">
        <f t="shared" si="8"/>
        <v>27</v>
      </c>
    </row>
    <row r="33" spans="1:22" x14ac:dyDescent="0.25">
      <c r="A33" s="98" t="s">
        <v>21</v>
      </c>
      <c r="B33" s="98" t="s">
        <v>32</v>
      </c>
      <c r="C33" s="98">
        <v>33</v>
      </c>
      <c r="D33" s="98">
        <v>344</v>
      </c>
      <c r="E33" s="157">
        <v>41433.25</v>
      </c>
      <c r="F33" s="157">
        <v>41433.340277777781</v>
      </c>
      <c r="G33" s="98">
        <v>85</v>
      </c>
      <c r="H33" s="98">
        <v>114</v>
      </c>
      <c r="I33" s="98">
        <v>107</v>
      </c>
      <c r="J33" s="98" t="s">
        <v>1968</v>
      </c>
      <c r="K33" s="98" t="s">
        <v>314</v>
      </c>
      <c r="L33" s="105" t="str">
        <f t="shared" si="0"/>
        <v>Brown</v>
      </c>
      <c r="M33" s="105" t="str">
        <f t="shared" si="1"/>
        <v>Derate</v>
      </c>
      <c r="N33" s="105" t="str">
        <f t="shared" si="2"/>
        <v>Coal</v>
      </c>
      <c r="O33" s="105">
        <f>IFERROR(VLOOKUP(A33,Lookup!$J$5:$P$19,7,FALSE),0)</f>
        <v>1</v>
      </c>
      <c r="P33" s="159">
        <f t="shared" si="3"/>
        <v>2013</v>
      </c>
      <c r="Q33" s="159">
        <f t="shared" si="4"/>
        <v>6</v>
      </c>
      <c r="R33" s="160">
        <f t="shared" si="5"/>
        <v>2.1666666667442769</v>
      </c>
      <c r="S33" s="158">
        <f t="shared" si="6"/>
        <v>0.55116959066301785</v>
      </c>
      <c r="T33" s="161">
        <f t="shared" si="7"/>
        <v>58.975146200942909</v>
      </c>
      <c r="U33" s="158">
        <f t="shared" si="9"/>
        <v>27.219298245614034</v>
      </c>
      <c r="V33" s="160">
        <f t="shared" si="8"/>
        <v>27</v>
      </c>
    </row>
    <row r="34" spans="1:22" x14ac:dyDescent="0.25">
      <c r="A34" s="98" t="s">
        <v>21</v>
      </c>
      <c r="B34" s="98" t="s">
        <v>32</v>
      </c>
      <c r="C34" s="98">
        <v>34</v>
      </c>
      <c r="D34" s="98">
        <v>310</v>
      </c>
      <c r="E34" s="157">
        <v>41438.916666666664</v>
      </c>
      <c r="F34" s="157">
        <v>41439.043749999997</v>
      </c>
      <c r="G34" s="98">
        <v>85</v>
      </c>
      <c r="H34" s="98">
        <v>114</v>
      </c>
      <c r="I34" s="98">
        <v>107</v>
      </c>
      <c r="J34" s="98" t="s">
        <v>1966</v>
      </c>
      <c r="K34" s="98" t="s">
        <v>315</v>
      </c>
      <c r="L34" s="105" t="str">
        <f t="shared" si="0"/>
        <v>Brown</v>
      </c>
      <c r="M34" s="105" t="str">
        <f t="shared" si="1"/>
        <v>Derate</v>
      </c>
      <c r="N34" s="105" t="str">
        <f t="shared" si="2"/>
        <v>Coal</v>
      </c>
      <c r="O34" s="105">
        <f>IFERROR(VLOOKUP(A34,Lookup!$J$5:$P$19,7,FALSE),0)</f>
        <v>1</v>
      </c>
      <c r="P34" s="159">
        <f t="shared" si="3"/>
        <v>2013</v>
      </c>
      <c r="Q34" s="159">
        <f t="shared" si="4"/>
        <v>6</v>
      </c>
      <c r="R34" s="160">
        <f t="shared" si="5"/>
        <v>3.0499999999883585</v>
      </c>
      <c r="S34" s="158">
        <f t="shared" si="6"/>
        <v>0.77587719297949465</v>
      </c>
      <c r="T34" s="161">
        <f t="shared" si="7"/>
        <v>83.018859648805929</v>
      </c>
      <c r="U34" s="158">
        <f t="shared" si="9"/>
        <v>27.219298245614034</v>
      </c>
      <c r="V34" s="160">
        <f t="shared" si="8"/>
        <v>27</v>
      </c>
    </row>
    <row r="35" spans="1:22" x14ac:dyDescent="0.25">
      <c r="A35" s="98" t="s">
        <v>21</v>
      </c>
      <c r="B35" s="98" t="s">
        <v>17</v>
      </c>
      <c r="C35" s="98">
        <v>35</v>
      </c>
      <c r="D35" s="98">
        <v>9270</v>
      </c>
      <c r="E35" s="157">
        <v>41452.826388888891</v>
      </c>
      <c r="F35" s="157">
        <v>41452.839583333334</v>
      </c>
      <c r="G35" s="98">
        <v>85</v>
      </c>
      <c r="H35" s="98">
        <v>114</v>
      </c>
      <c r="I35" s="98">
        <v>107</v>
      </c>
      <c r="J35" s="98" t="s">
        <v>2006</v>
      </c>
      <c r="K35" s="98" t="s">
        <v>316</v>
      </c>
      <c r="L35" s="105" t="str">
        <f t="shared" si="0"/>
        <v>Brown</v>
      </c>
      <c r="M35" s="105" t="str">
        <f t="shared" si="1"/>
        <v>Derate</v>
      </c>
      <c r="N35" s="105" t="str">
        <f t="shared" si="2"/>
        <v>Coal</v>
      </c>
      <c r="O35" s="105">
        <f>IFERROR(VLOOKUP(A35,Lookup!$J$5:$P$19,7,FALSE),0)</f>
        <v>1</v>
      </c>
      <c r="P35" s="159">
        <f t="shared" si="3"/>
        <v>2013</v>
      </c>
      <c r="Q35" s="159">
        <f t="shared" si="4"/>
        <v>6</v>
      </c>
      <c r="R35" s="160">
        <f t="shared" si="5"/>
        <v>0.31666666665114462</v>
      </c>
      <c r="S35" s="158">
        <f t="shared" si="6"/>
        <v>8.0555555551606969E-2</v>
      </c>
      <c r="T35" s="161">
        <f t="shared" si="7"/>
        <v>8.619444444021946</v>
      </c>
      <c r="U35" s="158">
        <f t="shared" si="9"/>
        <v>27.219298245614034</v>
      </c>
      <c r="V35" s="160">
        <f t="shared" si="8"/>
        <v>27</v>
      </c>
    </row>
    <row r="36" spans="1:22" x14ac:dyDescent="0.25">
      <c r="A36" s="98" t="s">
        <v>21</v>
      </c>
      <c r="B36" s="98" t="s">
        <v>15</v>
      </c>
      <c r="C36" s="98">
        <v>36</v>
      </c>
      <c r="D36" s="98">
        <v>4260</v>
      </c>
      <c r="E36" s="157">
        <v>41455.919444444444</v>
      </c>
      <c r="F36" s="157">
        <v>41455.955555555556</v>
      </c>
      <c r="G36" s="98">
        <v>0</v>
      </c>
      <c r="H36" s="98">
        <v>114</v>
      </c>
      <c r="I36" s="98">
        <v>107</v>
      </c>
      <c r="J36" s="98" t="s">
        <v>1982</v>
      </c>
      <c r="K36" s="98" t="s">
        <v>317</v>
      </c>
      <c r="L36" s="105" t="str">
        <f t="shared" si="0"/>
        <v>Brown</v>
      </c>
      <c r="M36" s="105" t="str">
        <f t="shared" si="1"/>
        <v>Outage</v>
      </c>
      <c r="N36" s="105" t="str">
        <f t="shared" si="2"/>
        <v>Coal</v>
      </c>
      <c r="O36" s="105">
        <f>IFERROR(VLOOKUP(A36,Lookup!$J$5:$P$19,7,FALSE),0)</f>
        <v>1</v>
      </c>
      <c r="P36" s="159">
        <f t="shared" si="3"/>
        <v>2013</v>
      </c>
      <c r="Q36" s="159">
        <f t="shared" si="4"/>
        <v>6</v>
      </c>
      <c r="R36" s="160">
        <f t="shared" si="5"/>
        <v>0.86666666669771075</v>
      </c>
      <c r="S36" s="158">
        <f t="shared" si="6"/>
        <v>0.86666666669771075</v>
      </c>
      <c r="T36" s="161">
        <f t="shared" si="7"/>
        <v>92.733333336655051</v>
      </c>
      <c r="U36" s="158">
        <f t="shared" si="9"/>
        <v>107</v>
      </c>
      <c r="V36" s="160">
        <f t="shared" si="8"/>
        <v>107</v>
      </c>
    </row>
    <row r="37" spans="1:22" x14ac:dyDescent="0.25">
      <c r="A37" s="98" t="s">
        <v>21</v>
      </c>
      <c r="B37" s="98" t="s">
        <v>17</v>
      </c>
      <c r="C37" s="98">
        <v>37</v>
      </c>
      <c r="D37" s="98">
        <v>9270</v>
      </c>
      <c r="E37" s="157">
        <v>41463.475694444445</v>
      </c>
      <c r="F37" s="157">
        <v>41463.652777777781</v>
      </c>
      <c r="G37" s="98">
        <v>91</v>
      </c>
      <c r="H37" s="98">
        <v>114</v>
      </c>
      <c r="I37" s="98">
        <v>107</v>
      </c>
      <c r="J37" s="98" t="s">
        <v>2006</v>
      </c>
      <c r="K37" s="98" t="s">
        <v>867</v>
      </c>
      <c r="L37" s="105" t="str">
        <f t="shared" si="0"/>
        <v>Brown</v>
      </c>
      <c r="M37" s="105" t="str">
        <f t="shared" si="1"/>
        <v>Derate</v>
      </c>
      <c r="N37" s="105" t="str">
        <f t="shared" si="2"/>
        <v>Coal</v>
      </c>
      <c r="O37" s="105">
        <f>IFERROR(VLOOKUP(A37,Lookup!$J$5:$P$19,7,FALSE),0)</f>
        <v>1</v>
      </c>
      <c r="P37" s="159">
        <f t="shared" si="3"/>
        <v>2013</v>
      </c>
      <c r="Q37" s="159">
        <f t="shared" si="4"/>
        <v>7</v>
      </c>
      <c r="R37" s="160">
        <f t="shared" si="5"/>
        <v>4.2500000000582077</v>
      </c>
      <c r="S37" s="158">
        <f t="shared" si="6"/>
        <v>0.85745614036262086</v>
      </c>
      <c r="T37" s="161">
        <f t="shared" si="7"/>
        <v>91.74780701880043</v>
      </c>
      <c r="U37" s="158">
        <f t="shared" si="9"/>
        <v>21.587719298245613</v>
      </c>
      <c r="V37" s="160">
        <f t="shared" si="8"/>
        <v>22</v>
      </c>
    </row>
    <row r="38" spans="1:22" x14ac:dyDescent="0.25">
      <c r="A38" s="98" t="s">
        <v>21</v>
      </c>
      <c r="B38" s="98" t="s">
        <v>20</v>
      </c>
      <c r="C38" s="98">
        <v>38</v>
      </c>
      <c r="D38" s="98">
        <v>4261</v>
      </c>
      <c r="E38" s="157">
        <v>41479.36041666667</v>
      </c>
      <c r="F38" s="157">
        <v>41481.666666666664</v>
      </c>
      <c r="G38" s="98">
        <v>0</v>
      </c>
      <c r="H38" s="98">
        <v>114</v>
      </c>
      <c r="I38" s="98">
        <v>107</v>
      </c>
      <c r="J38" s="98" t="s">
        <v>1985</v>
      </c>
      <c r="K38" s="98" t="s">
        <v>868</v>
      </c>
      <c r="L38" s="105" t="str">
        <f t="shared" si="0"/>
        <v>Brown</v>
      </c>
      <c r="M38" s="105" t="str">
        <f t="shared" si="1"/>
        <v>Maintenance</v>
      </c>
      <c r="N38" s="105" t="str">
        <f t="shared" si="2"/>
        <v>Coal</v>
      </c>
      <c r="O38" s="105">
        <f>IFERROR(VLOOKUP(A38,Lookup!$J$5:$P$19,7,FALSE),0)</f>
        <v>1</v>
      </c>
      <c r="P38" s="159">
        <f t="shared" si="3"/>
        <v>2013</v>
      </c>
      <c r="Q38" s="159">
        <f t="shared" si="4"/>
        <v>7</v>
      </c>
      <c r="R38" s="160">
        <f t="shared" si="5"/>
        <v>55.349999999860302</v>
      </c>
      <c r="S38" s="158">
        <f t="shared" si="6"/>
        <v>55.349999999860302</v>
      </c>
      <c r="T38" s="161">
        <f t="shared" si="7"/>
        <v>5922.4499999850523</v>
      </c>
      <c r="U38" s="158">
        <f t="shared" si="9"/>
        <v>107</v>
      </c>
      <c r="V38" s="160">
        <f t="shared" si="8"/>
        <v>107</v>
      </c>
    </row>
    <row r="39" spans="1:22" x14ac:dyDescent="0.25">
      <c r="A39" s="98" t="s">
        <v>21</v>
      </c>
      <c r="B39" s="98" t="s">
        <v>32</v>
      </c>
      <c r="C39" s="98">
        <v>40</v>
      </c>
      <c r="D39" s="98">
        <v>4261</v>
      </c>
      <c r="E39" s="157">
        <v>41499.083333333336</v>
      </c>
      <c r="F39" s="157">
        <v>41499.166666666664</v>
      </c>
      <c r="G39" s="98">
        <v>80</v>
      </c>
      <c r="H39" s="98">
        <v>114</v>
      </c>
      <c r="I39" s="98">
        <v>107</v>
      </c>
      <c r="J39" s="98" t="s">
        <v>1985</v>
      </c>
      <c r="K39" s="98" t="s">
        <v>869</v>
      </c>
      <c r="L39" s="105" t="str">
        <f t="shared" si="0"/>
        <v>Brown</v>
      </c>
      <c r="M39" s="105" t="str">
        <f t="shared" si="1"/>
        <v>Derate</v>
      </c>
      <c r="N39" s="105" t="str">
        <f t="shared" si="2"/>
        <v>Coal</v>
      </c>
      <c r="O39" s="105">
        <f>IFERROR(VLOOKUP(A39,Lookup!$J$5:$P$19,7,FALSE),0)</f>
        <v>1</v>
      </c>
      <c r="P39" s="159">
        <f t="shared" si="3"/>
        <v>2013</v>
      </c>
      <c r="Q39" s="159">
        <f t="shared" si="4"/>
        <v>8</v>
      </c>
      <c r="R39" s="160">
        <f t="shared" si="5"/>
        <v>1.9999999998835847</v>
      </c>
      <c r="S39" s="158">
        <f t="shared" si="6"/>
        <v>0.59649122803545507</v>
      </c>
      <c r="T39" s="161">
        <f t="shared" si="7"/>
        <v>63.824561399793694</v>
      </c>
      <c r="U39" s="158">
        <f t="shared" si="9"/>
        <v>31.912280701754387</v>
      </c>
      <c r="V39" s="160">
        <f t="shared" si="8"/>
        <v>32</v>
      </c>
    </row>
    <row r="40" spans="1:22" x14ac:dyDescent="0.25">
      <c r="A40" s="98" t="s">
        <v>21</v>
      </c>
      <c r="B40" s="98" t="s">
        <v>17</v>
      </c>
      <c r="C40" s="98">
        <v>41</v>
      </c>
      <c r="D40" s="98">
        <v>90</v>
      </c>
      <c r="E40" s="157">
        <v>41508.541666666664</v>
      </c>
      <c r="F40" s="157">
        <v>41508.59375</v>
      </c>
      <c r="G40" s="98">
        <v>80</v>
      </c>
      <c r="H40" s="98">
        <v>114</v>
      </c>
      <c r="I40" s="98">
        <v>107</v>
      </c>
      <c r="J40" s="98" t="s">
        <v>2027</v>
      </c>
      <c r="K40" s="98" t="s">
        <v>870</v>
      </c>
      <c r="L40" s="105" t="str">
        <f t="shared" si="0"/>
        <v>Brown</v>
      </c>
      <c r="M40" s="105" t="str">
        <f t="shared" si="1"/>
        <v>Derate</v>
      </c>
      <c r="N40" s="105" t="str">
        <f t="shared" si="2"/>
        <v>Coal</v>
      </c>
      <c r="O40" s="105">
        <f>IFERROR(VLOOKUP(A40,Lookup!$J$5:$P$19,7,FALSE),0)</f>
        <v>1</v>
      </c>
      <c r="P40" s="159">
        <f t="shared" si="3"/>
        <v>2013</v>
      </c>
      <c r="Q40" s="159">
        <f t="shared" si="4"/>
        <v>8</v>
      </c>
      <c r="R40" s="160">
        <f t="shared" si="5"/>
        <v>1.2500000000582077</v>
      </c>
      <c r="S40" s="158">
        <f t="shared" si="6"/>
        <v>0.37280701756121981</v>
      </c>
      <c r="T40" s="161">
        <f t="shared" si="7"/>
        <v>39.890350879050523</v>
      </c>
      <c r="U40" s="158">
        <f t="shared" si="9"/>
        <v>31.912280701754387</v>
      </c>
      <c r="V40" s="160">
        <f t="shared" si="8"/>
        <v>32</v>
      </c>
    </row>
    <row r="41" spans="1:22" x14ac:dyDescent="0.25">
      <c r="A41" s="98" t="s">
        <v>21</v>
      </c>
      <c r="B41" s="98" t="s">
        <v>17</v>
      </c>
      <c r="C41" s="98">
        <v>42</v>
      </c>
      <c r="D41" s="98">
        <v>90</v>
      </c>
      <c r="E41" s="157">
        <v>41508.611111111109</v>
      </c>
      <c r="F41" s="157">
        <v>41508.85</v>
      </c>
      <c r="G41" s="98">
        <v>80</v>
      </c>
      <c r="H41" s="98">
        <v>114</v>
      </c>
      <c r="I41" s="98">
        <v>107</v>
      </c>
      <c r="J41" s="98" t="s">
        <v>2027</v>
      </c>
      <c r="K41" s="98" t="s">
        <v>870</v>
      </c>
      <c r="L41" s="105" t="str">
        <f t="shared" si="0"/>
        <v>Brown</v>
      </c>
      <c r="M41" s="105" t="str">
        <f t="shared" si="1"/>
        <v>Derate</v>
      </c>
      <c r="N41" s="105" t="str">
        <f t="shared" si="2"/>
        <v>Coal</v>
      </c>
      <c r="O41" s="105">
        <f>IFERROR(VLOOKUP(A41,Lookup!$J$5:$P$19,7,FALSE),0)</f>
        <v>1</v>
      </c>
      <c r="P41" s="159">
        <f t="shared" si="3"/>
        <v>2013</v>
      </c>
      <c r="Q41" s="159">
        <f t="shared" si="4"/>
        <v>8</v>
      </c>
      <c r="R41" s="160">
        <f t="shared" si="5"/>
        <v>5.7333333333372138</v>
      </c>
      <c r="S41" s="158">
        <f t="shared" si="6"/>
        <v>1.7099415204689936</v>
      </c>
      <c r="T41" s="161">
        <f t="shared" si="7"/>
        <v>182.96374269018233</v>
      </c>
      <c r="U41" s="158">
        <f t="shared" si="9"/>
        <v>31.912280701754387</v>
      </c>
      <c r="V41" s="160">
        <f t="shared" si="8"/>
        <v>32</v>
      </c>
    </row>
    <row r="42" spans="1:22" x14ac:dyDescent="0.25">
      <c r="A42" s="98" t="s">
        <v>21</v>
      </c>
      <c r="B42" s="98" t="s">
        <v>15</v>
      </c>
      <c r="C42" s="98">
        <v>43</v>
      </c>
      <c r="D42" s="98">
        <v>1040</v>
      </c>
      <c r="E42" s="157">
        <v>41509.061805555553</v>
      </c>
      <c r="F42" s="157">
        <v>41510.901388888888</v>
      </c>
      <c r="G42" s="98">
        <v>0</v>
      </c>
      <c r="H42" s="98">
        <v>114</v>
      </c>
      <c r="I42" s="98">
        <v>107</v>
      </c>
      <c r="J42" s="98" t="s">
        <v>2001</v>
      </c>
      <c r="K42" s="98" t="s">
        <v>871</v>
      </c>
      <c r="L42" s="105" t="str">
        <f t="shared" si="0"/>
        <v>Brown</v>
      </c>
      <c r="M42" s="105" t="str">
        <f t="shared" si="1"/>
        <v>Outage</v>
      </c>
      <c r="N42" s="105" t="str">
        <f t="shared" si="2"/>
        <v>Coal</v>
      </c>
      <c r="O42" s="105">
        <f>IFERROR(VLOOKUP(A42,Lookup!$J$5:$P$19,7,FALSE),0)</f>
        <v>1</v>
      </c>
      <c r="P42" s="159">
        <f t="shared" si="3"/>
        <v>2013</v>
      </c>
      <c r="Q42" s="159">
        <f t="shared" si="4"/>
        <v>8</v>
      </c>
      <c r="R42" s="160">
        <f t="shared" si="5"/>
        <v>44.150000000023283</v>
      </c>
      <c r="S42" s="158">
        <f t="shared" si="6"/>
        <v>44.150000000023283</v>
      </c>
      <c r="T42" s="161">
        <f t="shared" si="7"/>
        <v>4724.0500000024913</v>
      </c>
      <c r="U42" s="158">
        <f t="shared" si="9"/>
        <v>107</v>
      </c>
      <c r="V42" s="160">
        <f t="shared" si="8"/>
        <v>107</v>
      </c>
    </row>
    <row r="43" spans="1:22" x14ac:dyDescent="0.25">
      <c r="A43" s="98" t="s">
        <v>21</v>
      </c>
      <c r="B43" s="98" t="s">
        <v>17</v>
      </c>
      <c r="C43" s="98">
        <v>44</v>
      </c>
      <c r="D43" s="98">
        <v>1710</v>
      </c>
      <c r="E43" s="157">
        <v>41528.690972222219</v>
      </c>
      <c r="F43" s="157">
        <v>41528.794444444444</v>
      </c>
      <c r="G43" s="98">
        <v>110</v>
      </c>
      <c r="H43" s="98">
        <v>114</v>
      </c>
      <c r="I43" s="98">
        <v>107</v>
      </c>
      <c r="J43" s="98" t="s">
        <v>2020</v>
      </c>
      <c r="K43" s="98" t="s">
        <v>872</v>
      </c>
      <c r="L43" s="105" t="str">
        <f t="shared" si="0"/>
        <v>Brown</v>
      </c>
      <c r="M43" s="105" t="str">
        <f t="shared" si="1"/>
        <v>Derate</v>
      </c>
      <c r="N43" s="105" t="str">
        <f t="shared" si="2"/>
        <v>Coal</v>
      </c>
      <c r="O43" s="105">
        <f>IFERROR(VLOOKUP(A43,Lookup!$J$5:$P$19,7,FALSE),0)</f>
        <v>1</v>
      </c>
      <c r="P43" s="159">
        <f t="shared" si="3"/>
        <v>2013</v>
      </c>
      <c r="Q43" s="159">
        <f t="shared" si="4"/>
        <v>9</v>
      </c>
      <c r="R43" s="160">
        <f t="shared" si="5"/>
        <v>2.4833333333954215</v>
      </c>
      <c r="S43" s="158">
        <f t="shared" si="6"/>
        <v>8.7134502926155141E-2</v>
      </c>
      <c r="T43" s="161">
        <f t="shared" si="7"/>
        <v>9.3233918130986009</v>
      </c>
      <c r="U43" s="158">
        <f t="shared" si="9"/>
        <v>3.7543859649122808</v>
      </c>
      <c r="V43" s="160">
        <f t="shared" si="8"/>
        <v>4</v>
      </c>
    </row>
    <row r="44" spans="1:22" x14ac:dyDescent="0.25">
      <c r="A44" s="98" t="s">
        <v>21</v>
      </c>
      <c r="B44" s="98" t="s">
        <v>17</v>
      </c>
      <c r="C44" s="98">
        <v>45</v>
      </c>
      <c r="D44" s="98">
        <v>3411</v>
      </c>
      <c r="E44" s="157">
        <v>41530.420138888891</v>
      </c>
      <c r="F44" s="157">
        <v>41535.361805555556</v>
      </c>
      <c r="G44" s="98">
        <v>110</v>
      </c>
      <c r="H44" s="98">
        <v>114</v>
      </c>
      <c r="I44" s="98">
        <v>107</v>
      </c>
      <c r="J44" s="98" t="s">
        <v>2041</v>
      </c>
      <c r="K44" s="98" t="s">
        <v>873</v>
      </c>
      <c r="L44" s="105" t="str">
        <f t="shared" si="0"/>
        <v>Brown</v>
      </c>
      <c r="M44" s="105" t="str">
        <f t="shared" si="1"/>
        <v>Derate</v>
      </c>
      <c r="N44" s="105" t="str">
        <f t="shared" si="2"/>
        <v>Coal</v>
      </c>
      <c r="O44" s="105">
        <f>IFERROR(VLOOKUP(A44,Lookup!$J$5:$P$19,7,FALSE),0)</f>
        <v>1</v>
      </c>
      <c r="P44" s="159">
        <f t="shared" si="3"/>
        <v>2013</v>
      </c>
      <c r="Q44" s="159">
        <f t="shared" si="4"/>
        <v>9</v>
      </c>
      <c r="R44" s="160">
        <f t="shared" si="5"/>
        <v>118.59999999997672</v>
      </c>
      <c r="S44" s="158">
        <f t="shared" si="6"/>
        <v>4.1614035087711132</v>
      </c>
      <c r="T44" s="161">
        <f t="shared" si="7"/>
        <v>445.27017543850911</v>
      </c>
      <c r="U44" s="158">
        <f t="shared" si="9"/>
        <v>3.7543859649122808</v>
      </c>
      <c r="V44" s="160">
        <f t="shared" si="8"/>
        <v>4</v>
      </c>
    </row>
    <row r="45" spans="1:22" x14ac:dyDescent="0.25">
      <c r="A45" s="98" t="s">
        <v>21</v>
      </c>
      <c r="B45" s="98" t="s">
        <v>17</v>
      </c>
      <c r="C45" s="98">
        <v>46</v>
      </c>
      <c r="D45" s="98">
        <v>3411</v>
      </c>
      <c r="E45" s="157">
        <v>41535.361805555556</v>
      </c>
      <c r="F45" s="157">
        <v>41535.423611111109</v>
      </c>
      <c r="G45" s="98">
        <v>105</v>
      </c>
      <c r="H45" s="98">
        <v>114</v>
      </c>
      <c r="I45" s="98">
        <v>107</v>
      </c>
      <c r="J45" s="98" t="s">
        <v>2041</v>
      </c>
      <c r="K45" s="98" t="s">
        <v>874</v>
      </c>
      <c r="L45" s="105" t="str">
        <f t="shared" si="0"/>
        <v>Brown</v>
      </c>
      <c r="M45" s="105" t="str">
        <f t="shared" si="1"/>
        <v>Derate</v>
      </c>
      <c r="N45" s="105" t="str">
        <f t="shared" si="2"/>
        <v>Coal</v>
      </c>
      <c r="O45" s="105">
        <f>IFERROR(VLOOKUP(A45,Lookup!$J$5:$P$19,7,FALSE),0)</f>
        <v>1</v>
      </c>
      <c r="P45" s="159">
        <f t="shared" si="3"/>
        <v>2013</v>
      </c>
      <c r="Q45" s="159">
        <f t="shared" si="4"/>
        <v>9</v>
      </c>
      <c r="R45" s="160">
        <f t="shared" si="5"/>
        <v>1.4833333332790062</v>
      </c>
      <c r="S45" s="158">
        <f t="shared" si="6"/>
        <v>0.11710526315360575</v>
      </c>
      <c r="T45" s="161">
        <f t="shared" si="7"/>
        <v>12.530263157435815</v>
      </c>
      <c r="U45" s="158">
        <f t="shared" si="9"/>
        <v>8.4473684210526319</v>
      </c>
      <c r="V45" s="160">
        <f t="shared" si="8"/>
        <v>8</v>
      </c>
    </row>
    <row r="46" spans="1:22" x14ac:dyDescent="0.25">
      <c r="A46" s="98" t="s">
        <v>21</v>
      </c>
      <c r="B46" s="98" t="s">
        <v>15</v>
      </c>
      <c r="C46" s="98">
        <v>48</v>
      </c>
      <c r="D46" s="98">
        <v>4570</v>
      </c>
      <c r="E46" s="157">
        <v>41556.431250000001</v>
      </c>
      <c r="F46" s="157">
        <v>41556.986805555556</v>
      </c>
      <c r="G46" s="98">
        <v>0</v>
      </c>
      <c r="H46" s="98">
        <v>114</v>
      </c>
      <c r="I46" s="98">
        <v>107</v>
      </c>
      <c r="J46" s="98" t="s">
        <v>2042</v>
      </c>
      <c r="K46" s="98" t="s">
        <v>875</v>
      </c>
      <c r="L46" s="105" t="str">
        <f t="shared" si="0"/>
        <v>Brown</v>
      </c>
      <c r="M46" s="105" t="str">
        <f t="shared" si="1"/>
        <v>Outage</v>
      </c>
      <c r="N46" s="105" t="str">
        <f t="shared" si="2"/>
        <v>Coal</v>
      </c>
      <c r="O46" s="105">
        <f>IFERROR(VLOOKUP(A46,Lookup!$J$5:$P$19,7,FALSE),0)</f>
        <v>1</v>
      </c>
      <c r="P46" s="159">
        <f t="shared" si="3"/>
        <v>2013</v>
      </c>
      <c r="Q46" s="159">
        <f t="shared" si="4"/>
        <v>10</v>
      </c>
      <c r="R46" s="160">
        <f t="shared" si="5"/>
        <v>13.333333333313931</v>
      </c>
      <c r="S46" s="158">
        <f t="shared" si="6"/>
        <v>13.333333333313931</v>
      </c>
      <c r="T46" s="161">
        <f t="shared" si="7"/>
        <v>1426.6666666645906</v>
      </c>
      <c r="U46" s="158">
        <f t="shared" si="9"/>
        <v>107</v>
      </c>
      <c r="V46" s="160">
        <f t="shared" si="8"/>
        <v>107</v>
      </c>
    </row>
    <row r="47" spans="1:22" x14ac:dyDescent="0.25">
      <c r="A47" s="98" t="s">
        <v>21</v>
      </c>
      <c r="B47" s="98" t="s">
        <v>20</v>
      </c>
      <c r="C47" s="98">
        <v>49</v>
      </c>
      <c r="D47" s="98">
        <v>8230</v>
      </c>
      <c r="E47" s="157">
        <v>41563.84652777778</v>
      </c>
      <c r="F47" s="157">
        <v>41565.604166666664</v>
      </c>
      <c r="G47" s="98">
        <v>0</v>
      </c>
      <c r="H47" s="98">
        <v>114</v>
      </c>
      <c r="I47" s="98">
        <v>107</v>
      </c>
      <c r="J47" s="98" t="s">
        <v>2037</v>
      </c>
      <c r="K47" s="98" t="s">
        <v>876</v>
      </c>
      <c r="L47" s="105" t="str">
        <f t="shared" si="0"/>
        <v>Brown</v>
      </c>
      <c r="M47" s="105" t="str">
        <f t="shared" si="1"/>
        <v>Maintenance</v>
      </c>
      <c r="N47" s="105" t="str">
        <f t="shared" si="2"/>
        <v>Coal</v>
      </c>
      <c r="O47" s="105">
        <f>IFERROR(VLOOKUP(A47,Lookup!$J$5:$P$19,7,FALSE),0)</f>
        <v>1</v>
      </c>
      <c r="P47" s="159">
        <f t="shared" si="3"/>
        <v>2013</v>
      </c>
      <c r="Q47" s="159">
        <f t="shared" si="4"/>
        <v>10</v>
      </c>
      <c r="R47" s="160">
        <f t="shared" si="5"/>
        <v>42.18333333323244</v>
      </c>
      <c r="S47" s="158">
        <f t="shared" si="6"/>
        <v>42.18333333323244</v>
      </c>
      <c r="T47" s="161">
        <f t="shared" si="7"/>
        <v>4513.6166666558711</v>
      </c>
      <c r="U47" s="158">
        <f t="shared" si="9"/>
        <v>107</v>
      </c>
      <c r="V47" s="160">
        <f t="shared" si="8"/>
        <v>107</v>
      </c>
    </row>
    <row r="48" spans="1:22" x14ac:dyDescent="0.25">
      <c r="A48" s="98" t="s">
        <v>21</v>
      </c>
      <c r="B48" s="98" t="s">
        <v>17</v>
      </c>
      <c r="C48" s="98">
        <v>51</v>
      </c>
      <c r="D48" s="98">
        <v>310</v>
      </c>
      <c r="E48" s="157">
        <v>41569.737500000003</v>
      </c>
      <c r="F48" s="157">
        <v>41569.951388888891</v>
      </c>
      <c r="G48" s="98">
        <v>90</v>
      </c>
      <c r="H48" s="98">
        <v>114</v>
      </c>
      <c r="I48" s="98">
        <v>107</v>
      </c>
      <c r="J48" s="98" t="s">
        <v>1966</v>
      </c>
      <c r="K48" s="98" t="s">
        <v>877</v>
      </c>
      <c r="L48" s="105" t="str">
        <f t="shared" si="0"/>
        <v>Brown</v>
      </c>
      <c r="M48" s="105" t="str">
        <f t="shared" si="1"/>
        <v>Derate</v>
      </c>
      <c r="N48" s="105" t="str">
        <f t="shared" si="2"/>
        <v>Coal</v>
      </c>
      <c r="O48" s="105">
        <f>IFERROR(VLOOKUP(A48,Lookup!$J$5:$P$19,7,FALSE),0)</f>
        <v>1</v>
      </c>
      <c r="P48" s="159">
        <f t="shared" si="3"/>
        <v>2013</v>
      </c>
      <c r="Q48" s="159">
        <f t="shared" si="4"/>
        <v>10</v>
      </c>
      <c r="R48" s="160">
        <f t="shared" si="5"/>
        <v>5.1333333333022892</v>
      </c>
      <c r="S48" s="158">
        <f t="shared" si="6"/>
        <v>1.0807017543794293</v>
      </c>
      <c r="T48" s="161">
        <f t="shared" si="7"/>
        <v>115.63508771859894</v>
      </c>
      <c r="U48" s="158">
        <f t="shared" si="9"/>
        <v>22.526315789473685</v>
      </c>
      <c r="V48" s="160">
        <f t="shared" si="8"/>
        <v>23</v>
      </c>
    </row>
    <row r="49" spans="1:22" x14ac:dyDescent="0.25">
      <c r="A49" s="98" t="s">
        <v>21</v>
      </c>
      <c r="B49" s="98" t="s">
        <v>17</v>
      </c>
      <c r="C49" s="98">
        <v>52</v>
      </c>
      <c r="D49" s="98">
        <v>310</v>
      </c>
      <c r="E49" s="157">
        <v>41582.277083333334</v>
      </c>
      <c r="F49" s="157">
        <v>41582.40625</v>
      </c>
      <c r="G49" s="98">
        <v>90</v>
      </c>
      <c r="H49" s="98">
        <v>114</v>
      </c>
      <c r="I49" s="98">
        <v>107</v>
      </c>
      <c r="J49" s="98" t="s">
        <v>1966</v>
      </c>
      <c r="K49" s="98" t="s">
        <v>877</v>
      </c>
      <c r="L49" s="105" t="str">
        <f t="shared" si="0"/>
        <v>Brown</v>
      </c>
      <c r="M49" s="105" t="str">
        <f t="shared" si="1"/>
        <v>Derate</v>
      </c>
      <c r="N49" s="105" t="str">
        <f t="shared" si="2"/>
        <v>Coal</v>
      </c>
      <c r="O49" s="105">
        <f>IFERROR(VLOOKUP(A49,Lookup!$J$5:$P$19,7,FALSE),0)</f>
        <v>1</v>
      </c>
      <c r="P49" s="159">
        <f t="shared" si="3"/>
        <v>2013</v>
      </c>
      <c r="Q49" s="159">
        <f t="shared" si="4"/>
        <v>11</v>
      </c>
      <c r="R49" s="160">
        <f t="shared" si="5"/>
        <v>3.0999999999767169</v>
      </c>
      <c r="S49" s="158">
        <f t="shared" si="6"/>
        <v>0.65263157894246671</v>
      </c>
      <c r="T49" s="161">
        <f t="shared" si="7"/>
        <v>69.831578946843933</v>
      </c>
      <c r="U49" s="158">
        <f t="shared" si="9"/>
        <v>22.526315789473685</v>
      </c>
      <c r="V49" s="160">
        <f t="shared" si="8"/>
        <v>23</v>
      </c>
    </row>
    <row r="50" spans="1:22" x14ac:dyDescent="0.25">
      <c r="A50" s="98" t="s">
        <v>21</v>
      </c>
      <c r="B50" s="98" t="s">
        <v>32</v>
      </c>
      <c r="C50" s="98">
        <v>53</v>
      </c>
      <c r="D50" s="98">
        <v>4261</v>
      </c>
      <c r="E50" s="157">
        <v>41594</v>
      </c>
      <c r="F50" s="157">
        <v>41594.027083333334</v>
      </c>
      <c r="G50" s="98">
        <v>65</v>
      </c>
      <c r="H50" s="98">
        <v>114</v>
      </c>
      <c r="I50" s="98">
        <v>107</v>
      </c>
      <c r="J50" s="98" t="s">
        <v>1985</v>
      </c>
      <c r="K50" s="98" t="s">
        <v>878</v>
      </c>
      <c r="L50" s="105" t="str">
        <f t="shared" si="0"/>
        <v>Brown</v>
      </c>
      <c r="M50" s="105" t="str">
        <f t="shared" si="1"/>
        <v>Derate</v>
      </c>
      <c r="N50" s="105" t="str">
        <f t="shared" si="2"/>
        <v>Coal</v>
      </c>
      <c r="O50" s="105">
        <f>IFERROR(VLOOKUP(A50,Lookup!$J$5:$P$19,7,FALSE),0)</f>
        <v>1</v>
      </c>
      <c r="P50" s="159">
        <f t="shared" si="3"/>
        <v>2013</v>
      </c>
      <c r="Q50" s="159">
        <f t="shared" si="4"/>
        <v>11</v>
      </c>
      <c r="R50" s="160">
        <f t="shared" si="5"/>
        <v>0.65000000002328306</v>
      </c>
      <c r="S50" s="158">
        <f t="shared" si="6"/>
        <v>0.27938596492228834</v>
      </c>
      <c r="T50" s="161">
        <f t="shared" si="7"/>
        <v>29.894298246684851</v>
      </c>
      <c r="U50" s="158">
        <f t="shared" si="9"/>
        <v>45.991228070175438</v>
      </c>
      <c r="V50" s="160">
        <f t="shared" si="8"/>
        <v>46</v>
      </c>
    </row>
    <row r="51" spans="1:22" x14ac:dyDescent="0.25">
      <c r="A51" s="98" t="s">
        <v>21</v>
      </c>
      <c r="B51" s="98" t="s">
        <v>17</v>
      </c>
      <c r="C51" s="98">
        <v>54</v>
      </c>
      <c r="D51" s="98">
        <v>267</v>
      </c>
      <c r="E51" s="157">
        <v>41597.408333333333</v>
      </c>
      <c r="F51" s="157">
        <v>41597.436111111114</v>
      </c>
      <c r="G51" s="98">
        <v>85</v>
      </c>
      <c r="H51" s="98">
        <v>114</v>
      </c>
      <c r="I51" s="98">
        <v>107</v>
      </c>
      <c r="J51" s="98" t="s">
        <v>1969</v>
      </c>
      <c r="K51" s="98" t="s">
        <v>879</v>
      </c>
      <c r="L51" s="105" t="str">
        <f t="shared" si="0"/>
        <v>Brown</v>
      </c>
      <c r="M51" s="105" t="str">
        <f t="shared" si="1"/>
        <v>Derate</v>
      </c>
      <c r="N51" s="105" t="str">
        <f t="shared" si="2"/>
        <v>Coal</v>
      </c>
      <c r="O51" s="105">
        <f>IFERROR(VLOOKUP(A51,Lookup!$J$5:$P$19,7,FALSE),0)</f>
        <v>1</v>
      </c>
      <c r="P51" s="159">
        <f t="shared" si="3"/>
        <v>2013</v>
      </c>
      <c r="Q51" s="159">
        <f t="shared" si="4"/>
        <v>11</v>
      </c>
      <c r="R51" s="160">
        <f t="shared" si="5"/>
        <v>0.66666666674427688</v>
      </c>
      <c r="S51" s="158">
        <f t="shared" si="6"/>
        <v>0.16959064329459675</v>
      </c>
      <c r="T51" s="161">
        <f t="shared" si="7"/>
        <v>18.146198832521851</v>
      </c>
      <c r="U51" s="158">
        <f t="shared" si="9"/>
        <v>27.219298245614034</v>
      </c>
      <c r="V51" s="160">
        <f t="shared" si="8"/>
        <v>27</v>
      </c>
    </row>
    <row r="52" spans="1:22" x14ac:dyDescent="0.25">
      <c r="A52" s="98" t="s">
        <v>21</v>
      </c>
      <c r="B52" s="98" t="s">
        <v>79</v>
      </c>
      <c r="C52" s="98">
        <v>56</v>
      </c>
      <c r="D52" s="98">
        <v>1100</v>
      </c>
      <c r="E52" s="157">
        <v>41619.99722222222</v>
      </c>
      <c r="F52" s="157">
        <v>41620.048611111109</v>
      </c>
      <c r="G52" s="98">
        <v>0</v>
      </c>
      <c r="H52" s="98">
        <v>114</v>
      </c>
      <c r="I52" s="98">
        <v>107</v>
      </c>
      <c r="J52" s="98" t="s">
        <v>2038</v>
      </c>
      <c r="K52" s="98" t="s">
        <v>81</v>
      </c>
      <c r="L52" s="105" t="str">
        <f t="shared" si="0"/>
        <v>Brown</v>
      </c>
      <c r="M52" s="105" t="str">
        <f t="shared" si="1"/>
        <v>Other</v>
      </c>
      <c r="N52" s="105" t="str">
        <f t="shared" si="2"/>
        <v>Coal</v>
      </c>
      <c r="O52" s="105">
        <f>IFERROR(VLOOKUP(A52,Lookup!$J$5:$P$19,7,FALSE),0)</f>
        <v>1</v>
      </c>
      <c r="P52" s="159">
        <f t="shared" si="3"/>
        <v>2013</v>
      </c>
      <c r="Q52" s="159">
        <f t="shared" si="4"/>
        <v>12</v>
      </c>
      <c r="R52" s="160">
        <f t="shared" si="5"/>
        <v>1.2333333333372138</v>
      </c>
      <c r="S52" s="158">
        <f t="shared" si="6"/>
        <v>1.2333333333372138</v>
      </c>
      <c r="T52" s="161">
        <f t="shared" si="7"/>
        <v>131.96666666708188</v>
      </c>
      <c r="U52" s="158">
        <f t="shared" si="9"/>
        <v>107</v>
      </c>
      <c r="V52" s="160">
        <f t="shared" si="8"/>
        <v>107</v>
      </c>
    </row>
    <row r="53" spans="1:22" x14ac:dyDescent="0.25">
      <c r="A53" s="98" t="s">
        <v>21</v>
      </c>
      <c r="B53" s="98" t="s">
        <v>32</v>
      </c>
      <c r="C53" s="98">
        <v>57</v>
      </c>
      <c r="D53" s="98">
        <v>310</v>
      </c>
      <c r="E53" s="157">
        <v>41626.895833333336</v>
      </c>
      <c r="F53" s="157">
        <v>41627.173611111109</v>
      </c>
      <c r="G53" s="98">
        <v>80</v>
      </c>
      <c r="H53" s="98">
        <v>114</v>
      </c>
      <c r="I53" s="98">
        <v>107</v>
      </c>
      <c r="J53" s="98" t="s">
        <v>1966</v>
      </c>
      <c r="K53" s="98" t="s">
        <v>880</v>
      </c>
      <c r="L53" s="105" t="str">
        <f t="shared" si="0"/>
        <v>Brown</v>
      </c>
      <c r="M53" s="105" t="str">
        <f t="shared" si="1"/>
        <v>Derate</v>
      </c>
      <c r="N53" s="105" t="str">
        <f t="shared" si="2"/>
        <v>Coal</v>
      </c>
      <c r="O53" s="105">
        <f>IFERROR(VLOOKUP(A53,Lookup!$J$5:$P$19,7,FALSE),0)</f>
        <v>1</v>
      </c>
      <c r="P53" s="159">
        <f t="shared" si="3"/>
        <v>2013</v>
      </c>
      <c r="Q53" s="159">
        <f t="shared" si="4"/>
        <v>12</v>
      </c>
      <c r="R53" s="160">
        <f t="shared" si="5"/>
        <v>6.6666666665696539</v>
      </c>
      <c r="S53" s="158">
        <f t="shared" si="6"/>
        <v>1.9883040935383178</v>
      </c>
      <c r="T53" s="161">
        <f t="shared" si="7"/>
        <v>212.74853800860001</v>
      </c>
      <c r="U53" s="158">
        <f t="shared" si="9"/>
        <v>31.912280701754387</v>
      </c>
      <c r="V53" s="160">
        <f t="shared" si="8"/>
        <v>32</v>
      </c>
    </row>
    <row r="54" spans="1:22" x14ac:dyDescent="0.25">
      <c r="A54" s="98" t="s">
        <v>21</v>
      </c>
      <c r="B54" s="98" t="s">
        <v>32</v>
      </c>
      <c r="C54" s="98">
        <v>58</v>
      </c>
      <c r="D54" s="98">
        <v>310</v>
      </c>
      <c r="E54" s="157">
        <v>41627.916666666664</v>
      </c>
      <c r="F54" s="157">
        <v>41628.145833333336</v>
      </c>
      <c r="G54" s="98">
        <v>80</v>
      </c>
      <c r="H54" s="98">
        <v>114</v>
      </c>
      <c r="I54" s="98">
        <v>107</v>
      </c>
      <c r="J54" s="98" t="s">
        <v>1966</v>
      </c>
      <c r="K54" s="98" t="s">
        <v>881</v>
      </c>
      <c r="L54" s="105" t="str">
        <f t="shared" si="0"/>
        <v>Brown</v>
      </c>
      <c r="M54" s="105" t="str">
        <f t="shared" si="1"/>
        <v>Derate</v>
      </c>
      <c r="N54" s="105" t="str">
        <f t="shared" si="2"/>
        <v>Coal</v>
      </c>
      <c r="O54" s="105">
        <f>IFERROR(VLOOKUP(A54,Lookup!$J$5:$P$19,7,FALSE),0)</f>
        <v>1</v>
      </c>
      <c r="P54" s="159">
        <f t="shared" si="3"/>
        <v>2013</v>
      </c>
      <c r="Q54" s="159">
        <f t="shared" si="4"/>
        <v>12</v>
      </c>
      <c r="R54" s="160">
        <f t="shared" si="5"/>
        <v>5.5000000001164153</v>
      </c>
      <c r="S54" s="158">
        <f t="shared" si="6"/>
        <v>1.6403508772277029</v>
      </c>
      <c r="T54" s="161">
        <f t="shared" si="7"/>
        <v>175.51754386336421</v>
      </c>
      <c r="U54" s="158">
        <f t="shared" si="9"/>
        <v>31.912280701754387</v>
      </c>
      <c r="V54" s="160">
        <f t="shared" si="8"/>
        <v>32</v>
      </c>
    </row>
    <row r="55" spans="1:22" x14ac:dyDescent="0.25">
      <c r="A55" s="98" t="s">
        <v>21</v>
      </c>
      <c r="B55" s="98" t="s">
        <v>32</v>
      </c>
      <c r="C55" s="98">
        <v>1</v>
      </c>
      <c r="D55" s="98">
        <v>260</v>
      </c>
      <c r="E55" s="157">
        <v>41642</v>
      </c>
      <c r="F55" s="157">
        <v>41642.083333333336</v>
      </c>
      <c r="G55" s="98">
        <v>80</v>
      </c>
      <c r="H55" s="98">
        <v>114</v>
      </c>
      <c r="I55" s="98">
        <v>107</v>
      </c>
      <c r="J55" s="98" t="s">
        <v>1973</v>
      </c>
      <c r="K55" s="98" t="s">
        <v>882</v>
      </c>
      <c r="L55" s="105" t="str">
        <f t="shared" si="0"/>
        <v>Brown</v>
      </c>
      <c r="M55" s="105" t="str">
        <f t="shared" si="1"/>
        <v>Derate</v>
      </c>
      <c r="N55" s="105" t="str">
        <f t="shared" si="2"/>
        <v>Coal</v>
      </c>
      <c r="O55" s="105">
        <f>IFERROR(VLOOKUP(A55,Lookup!$J$5:$P$19,7,FALSE),0)</f>
        <v>1</v>
      </c>
      <c r="P55" s="159">
        <f t="shared" si="3"/>
        <v>2014</v>
      </c>
      <c r="Q55" s="159">
        <f t="shared" si="4"/>
        <v>1</v>
      </c>
      <c r="R55" s="160">
        <f t="shared" si="5"/>
        <v>2.0000000000582077</v>
      </c>
      <c r="S55" s="158">
        <f t="shared" si="6"/>
        <v>0.59649122808753563</v>
      </c>
      <c r="T55" s="161">
        <f t="shared" si="7"/>
        <v>63.82456140536631</v>
      </c>
      <c r="U55" s="158">
        <f t="shared" si="9"/>
        <v>31.912280701754387</v>
      </c>
      <c r="V55" s="160">
        <f t="shared" si="8"/>
        <v>32</v>
      </c>
    </row>
    <row r="56" spans="1:22" x14ac:dyDescent="0.25">
      <c r="A56" s="98" t="s">
        <v>21</v>
      </c>
      <c r="B56" s="98" t="s">
        <v>32</v>
      </c>
      <c r="C56" s="98">
        <v>2</v>
      </c>
      <c r="D56" s="98">
        <v>310</v>
      </c>
      <c r="E56" s="157">
        <v>41689.916666666664</v>
      </c>
      <c r="F56" s="157">
        <v>41690.118750000001</v>
      </c>
      <c r="G56" s="98">
        <v>85</v>
      </c>
      <c r="H56" s="98">
        <v>114</v>
      </c>
      <c r="I56" s="98">
        <v>107</v>
      </c>
      <c r="J56" s="98" t="s">
        <v>1966</v>
      </c>
      <c r="K56" s="98" t="s">
        <v>883</v>
      </c>
      <c r="L56" s="105" t="str">
        <f t="shared" si="0"/>
        <v>Brown</v>
      </c>
      <c r="M56" s="105" t="str">
        <f t="shared" si="1"/>
        <v>Derate</v>
      </c>
      <c r="N56" s="105" t="str">
        <f t="shared" si="2"/>
        <v>Coal</v>
      </c>
      <c r="O56" s="105">
        <f>IFERROR(VLOOKUP(A56,Lookup!$J$5:$P$19,7,FALSE),0)</f>
        <v>1</v>
      </c>
      <c r="P56" s="159">
        <f t="shared" si="3"/>
        <v>2014</v>
      </c>
      <c r="Q56" s="159">
        <f t="shared" si="4"/>
        <v>2</v>
      </c>
      <c r="R56" s="160">
        <f t="shared" si="5"/>
        <v>4.8500000000931323</v>
      </c>
      <c r="S56" s="158">
        <f t="shared" si="6"/>
        <v>1.233771929848253</v>
      </c>
      <c r="T56" s="161">
        <f t="shared" si="7"/>
        <v>132.01359649376306</v>
      </c>
      <c r="U56" s="158">
        <f t="shared" si="9"/>
        <v>27.219298245614034</v>
      </c>
      <c r="V56" s="160">
        <f t="shared" si="8"/>
        <v>27</v>
      </c>
    </row>
    <row r="57" spans="1:22" x14ac:dyDescent="0.25">
      <c r="A57" s="98" t="s">
        <v>21</v>
      </c>
      <c r="B57" s="98" t="s">
        <v>32</v>
      </c>
      <c r="C57" s="98">
        <v>3</v>
      </c>
      <c r="D57" s="98">
        <v>310</v>
      </c>
      <c r="E57" s="157">
        <v>41690.916666666664</v>
      </c>
      <c r="F57" s="157">
        <v>41691.152083333334</v>
      </c>
      <c r="G57" s="98">
        <v>85</v>
      </c>
      <c r="H57" s="98">
        <v>114</v>
      </c>
      <c r="I57" s="98">
        <v>107</v>
      </c>
      <c r="J57" s="98" t="s">
        <v>1966</v>
      </c>
      <c r="K57" s="98" t="s">
        <v>884</v>
      </c>
      <c r="L57" s="105" t="str">
        <f t="shared" si="0"/>
        <v>Brown</v>
      </c>
      <c r="M57" s="105" t="str">
        <f t="shared" si="1"/>
        <v>Derate</v>
      </c>
      <c r="N57" s="105" t="str">
        <f t="shared" si="2"/>
        <v>Coal</v>
      </c>
      <c r="O57" s="105">
        <f>IFERROR(VLOOKUP(A57,Lookup!$J$5:$P$19,7,FALSE),0)</f>
        <v>1</v>
      </c>
      <c r="P57" s="159">
        <f t="shared" si="3"/>
        <v>2014</v>
      </c>
      <c r="Q57" s="159">
        <f t="shared" si="4"/>
        <v>2</v>
      </c>
      <c r="R57" s="160">
        <f t="shared" si="5"/>
        <v>5.6500000000814907</v>
      </c>
      <c r="S57" s="158">
        <f t="shared" si="6"/>
        <v>1.4372807017751161</v>
      </c>
      <c r="T57" s="161">
        <f t="shared" si="7"/>
        <v>153.78903508993741</v>
      </c>
      <c r="U57" s="158">
        <f t="shared" si="9"/>
        <v>27.219298245614034</v>
      </c>
      <c r="V57" s="160">
        <f t="shared" si="8"/>
        <v>27</v>
      </c>
    </row>
    <row r="58" spans="1:22" x14ac:dyDescent="0.25">
      <c r="A58" s="98" t="s">
        <v>21</v>
      </c>
      <c r="B58" s="98" t="s">
        <v>32</v>
      </c>
      <c r="C58" s="98">
        <v>4</v>
      </c>
      <c r="D58" s="98">
        <v>1400</v>
      </c>
      <c r="E58" s="157">
        <v>41696.958333333336</v>
      </c>
      <c r="F58" s="157">
        <v>41697</v>
      </c>
      <c r="G58" s="98">
        <v>50</v>
      </c>
      <c r="H58" s="98">
        <v>114</v>
      </c>
      <c r="I58" s="98">
        <v>107</v>
      </c>
      <c r="J58" s="98" t="s">
        <v>2043</v>
      </c>
      <c r="K58" s="98" t="s">
        <v>885</v>
      </c>
      <c r="L58" s="105" t="str">
        <f t="shared" si="0"/>
        <v>Brown</v>
      </c>
      <c r="M58" s="105" t="str">
        <f t="shared" si="1"/>
        <v>Derate</v>
      </c>
      <c r="N58" s="105" t="str">
        <f t="shared" si="2"/>
        <v>Coal</v>
      </c>
      <c r="O58" s="105">
        <f>IFERROR(VLOOKUP(A58,Lookup!$J$5:$P$19,7,FALSE),0)</f>
        <v>1</v>
      </c>
      <c r="P58" s="159">
        <f t="shared" si="3"/>
        <v>2014</v>
      </c>
      <c r="Q58" s="159">
        <f t="shared" si="4"/>
        <v>2</v>
      </c>
      <c r="R58" s="160">
        <f t="shared" si="5"/>
        <v>0.99999999994179234</v>
      </c>
      <c r="S58" s="158">
        <f t="shared" si="6"/>
        <v>0.56140350873925182</v>
      </c>
      <c r="T58" s="161">
        <f t="shared" si="7"/>
        <v>60.070175435099948</v>
      </c>
      <c r="U58" s="158">
        <f t="shared" si="9"/>
        <v>60.070175438596493</v>
      </c>
      <c r="V58" s="160">
        <f t="shared" si="8"/>
        <v>60</v>
      </c>
    </row>
    <row r="59" spans="1:22" x14ac:dyDescent="0.25">
      <c r="A59" s="98" t="s">
        <v>21</v>
      </c>
      <c r="B59" s="98" t="s">
        <v>32</v>
      </c>
      <c r="C59" s="98">
        <v>5</v>
      </c>
      <c r="D59" s="98">
        <v>310</v>
      </c>
      <c r="E59" s="157">
        <v>41697</v>
      </c>
      <c r="F59" s="157">
        <v>41697.102777777778</v>
      </c>
      <c r="G59" s="98">
        <v>75</v>
      </c>
      <c r="H59" s="98">
        <v>114</v>
      </c>
      <c r="I59" s="98">
        <v>107</v>
      </c>
      <c r="J59" s="98" t="s">
        <v>1966</v>
      </c>
      <c r="K59" s="98" t="s">
        <v>886</v>
      </c>
      <c r="L59" s="105" t="str">
        <f t="shared" si="0"/>
        <v>Brown</v>
      </c>
      <c r="M59" s="105" t="str">
        <f t="shared" si="1"/>
        <v>Derate</v>
      </c>
      <c r="N59" s="105" t="str">
        <f t="shared" si="2"/>
        <v>Coal</v>
      </c>
      <c r="O59" s="105">
        <f>IFERROR(VLOOKUP(A59,Lookup!$J$5:$P$19,7,FALSE),0)</f>
        <v>1</v>
      </c>
      <c r="P59" s="159">
        <f t="shared" si="3"/>
        <v>2014</v>
      </c>
      <c r="Q59" s="159">
        <f t="shared" si="4"/>
        <v>2</v>
      </c>
      <c r="R59" s="160">
        <f t="shared" si="5"/>
        <v>2.4666666666744277</v>
      </c>
      <c r="S59" s="158">
        <f t="shared" si="6"/>
        <v>0.84385964912546207</v>
      </c>
      <c r="T59" s="161">
        <f t="shared" si="7"/>
        <v>90.29298245642444</v>
      </c>
      <c r="U59" s="158">
        <f t="shared" si="9"/>
        <v>36.60526315789474</v>
      </c>
      <c r="V59" s="160">
        <f t="shared" si="8"/>
        <v>37</v>
      </c>
    </row>
    <row r="60" spans="1:22" x14ac:dyDescent="0.25">
      <c r="A60" s="98" t="s">
        <v>21</v>
      </c>
      <c r="B60" s="98" t="s">
        <v>17</v>
      </c>
      <c r="C60" s="98">
        <v>6</v>
      </c>
      <c r="D60" s="98">
        <v>280</v>
      </c>
      <c r="E60" s="157">
        <v>41702.413888888892</v>
      </c>
      <c r="F60" s="157">
        <v>41702.559027777781</v>
      </c>
      <c r="G60" s="98">
        <v>80</v>
      </c>
      <c r="H60" s="98">
        <v>114</v>
      </c>
      <c r="I60" s="98">
        <v>107</v>
      </c>
      <c r="J60" s="98" t="s">
        <v>1988</v>
      </c>
      <c r="K60" s="98" t="s">
        <v>887</v>
      </c>
      <c r="L60" s="105" t="str">
        <f t="shared" si="0"/>
        <v>Brown</v>
      </c>
      <c r="M60" s="105" t="str">
        <f t="shared" si="1"/>
        <v>Derate</v>
      </c>
      <c r="N60" s="105" t="str">
        <f t="shared" si="2"/>
        <v>Coal</v>
      </c>
      <c r="O60" s="105">
        <f>IFERROR(VLOOKUP(A60,Lookup!$J$5:$P$19,7,FALSE),0)</f>
        <v>1</v>
      </c>
      <c r="P60" s="159">
        <f t="shared" si="3"/>
        <v>2014</v>
      </c>
      <c r="Q60" s="159">
        <f t="shared" si="4"/>
        <v>3</v>
      </c>
      <c r="R60" s="160">
        <f t="shared" si="5"/>
        <v>3.4833333333372138</v>
      </c>
      <c r="S60" s="158">
        <f t="shared" si="6"/>
        <v>1.0388888888900463</v>
      </c>
      <c r="T60" s="161">
        <f t="shared" si="7"/>
        <v>111.16111111123494</v>
      </c>
      <c r="U60" s="158">
        <f t="shared" si="9"/>
        <v>31.912280701754387</v>
      </c>
      <c r="V60" s="160">
        <f t="shared" si="8"/>
        <v>32</v>
      </c>
    </row>
    <row r="61" spans="1:22" x14ac:dyDescent="0.25">
      <c r="A61" s="98" t="s">
        <v>21</v>
      </c>
      <c r="B61" s="98" t="s">
        <v>79</v>
      </c>
      <c r="C61" s="98">
        <v>7</v>
      </c>
      <c r="D61" s="98">
        <v>9656</v>
      </c>
      <c r="E61" s="157">
        <v>41709.487500000003</v>
      </c>
      <c r="F61" s="157">
        <v>41709.672222222223</v>
      </c>
      <c r="G61" s="98">
        <v>0</v>
      </c>
      <c r="H61" s="98">
        <v>114</v>
      </c>
      <c r="I61" s="98">
        <v>107</v>
      </c>
      <c r="J61" s="98" t="s">
        <v>299</v>
      </c>
      <c r="K61" s="98" t="s">
        <v>82</v>
      </c>
      <c r="L61" s="105" t="str">
        <f t="shared" si="0"/>
        <v>Brown</v>
      </c>
      <c r="M61" s="105" t="str">
        <f t="shared" si="1"/>
        <v>Other</v>
      </c>
      <c r="N61" s="105" t="str">
        <f t="shared" si="2"/>
        <v>Coal</v>
      </c>
      <c r="O61" s="105">
        <f>IFERROR(VLOOKUP(A61,Lookup!$J$5:$P$19,7,FALSE),0)</f>
        <v>1</v>
      </c>
      <c r="P61" s="159">
        <f t="shared" si="3"/>
        <v>2014</v>
      </c>
      <c r="Q61" s="159">
        <f t="shared" si="4"/>
        <v>3</v>
      </c>
      <c r="R61" s="160">
        <f t="shared" si="5"/>
        <v>4.4333333332906477</v>
      </c>
      <c r="S61" s="158">
        <f t="shared" si="6"/>
        <v>4.4333333332906477</v>
      </c>
      <c r="T61" s="161">
        <f t="shared" si="7"/>
        <v>474.36666666209931</v>
      </c>
      <c r="U61" s="158">
        <f t="shared" si="9"/>
        <v>107</v>
      </c>
      <c r="V61" s="160">
        <f t="shared" si="8"/>
        <v>107</v>
      </c>
    </row>
    <row r="62" spans="1:22" x14ac:dyDescent="0.25">
      <c r="A62" s="98" t="s">
        <v>21</v>
      </c>
      <c r="B62" s="98" t="s">
        <v>17</v>
      </c>
      <c r="C62" s="98">
        <v>8</v>
      </c>
      <c r="D62" s="98">
        <v>310</v>
      </c>
      <c r="E62" s="157">
        <v>41711.427083333336</v>
      </c>
      <c r="F62" s="157">
        <v>41711.572916666664</v>
      </c>
      <c r="G62" s="98">
        <v>80</v>
      </c>
      <c r="H62" s="98">
        <v>114</v>
      </c>
      <c r="I62" s="98">
        <v>107</v>
      </c>
      <c r="J62" s="98" t="s">
        <v>1966</v>
      </c>
      <c r="K62" s="98" t="s">
        <v>888</v>
      </c>
      <c r="L62" s="105" t="str">
        <f t="shared" si="0"/>
        <v>Brown</v>
      </c>
      <c r="M62" s="105" t="str">
        <f t="shared" si="1"/>
        <v>Derate</v>
      </c>
      <c r="N62" s="105" t="str">
        <f t="shared" si="2"/>
        <v>Coal</v>
      </c>
      <c r="O62" s="105">
        <f>IFERROR(VLOOKUP(A62,Lookup!$J$5:$P$19,7,FALSE),0)</f>
        <v>1</v>
      </c>
      <c r="P62" s="159">
        <f t="shared" si="3"/>
        <v>2014</v>
      </c>
      <c r="Q62" s="159">
        <f t="shared" si="4"/>
        <v>3</v>
      </c>
      <c r="R62" s="160">
        <f t="shared" si="5"/>
        <v>3.4999999998835847</v>
      </c>
      <c r="S62" s="158">
        <f t="shared" si="6"/>
        <v>1.0438596490880867</v>
      </c>
      <c r="T62" s="161">
        <f t="shared" si="7"/>
        <v>111.69298245242528</v>
      </c>
      <c r="U62" s="158">
        <f t="shared" si="9"/>
        <v>31.912280701754387</v>
      </c>
      <c r="V62" s="160">
        <f t="shared" si="8"/>
        <v>32</v>
      </c>
    </row>
    <row r="63" spans="1:22" x14ac:dyDescent="0.25">
      <c r="A63" s="98" t="s">
        <v>21</v>
      </c>
      <c r="B63" s="98" t="s">
        <v>17</v>
      </c>
      <c r="C63" s="98">
        <v>9</v>
      </c>
      <c r="D63" s="98">
        <v>310</v>
      </c>
      <c r="E63" s="157">
        <v>41715.272222222222</v>
      </c>
      <c r="F63" s="157">
        <v>41715.310416666667</v>
      </c>
      <c r="G63" s="98">
        <v>85</v>
      </c>
      <c r="H63" s="98">
        <v>114</v>
      </c>
      <c r="I63" s="98">
        <v>107</v>
      </c>
      <c r="J63" s="98" t="s">
        <v>1966</v>
      </c>
      <c r="K63" s="98" t="s">
        <v>889</v>
      </c>
      <c r="L63" s="105" t="str">
        <f t="shared" si="0"/>
        <v>Brown</v>
      </c>
      <c r="M63" s="105" t="str">
        <f t="shared" si="1"/>
        <v>Derate</v>
      </c>
      <c r="N63" s="105" t="str">
        <f t="shared" si="2"/>
        <v>Coal</v>
      </c>
      <c r="O63" s="105">
        <f>IFERROR(VLOOKUP(A63,Lookup!$J$5:$P$19,7,FALSE),0)</f>
        <v>1</v>
      </c>
      <c r="P63" s="159">
        <f t="shared" si="3"/>
        <v>2014</v>
      </c>
      <c r="Q63" s="159">
        <f t="shared" si="4"/>
        <v>3</v>
      </c>
      <c r="R63" s="160">
        <f t="shared" si="5"/>
        <v>0.91666666668606922</v>
      </c>
      <c r="S63" s="158">
        <f t="shared" si="6"/>
        <v>0.23318713450785972</v>
      </c>
      <c r="T63" s="161">
        <f t="shared" si="7"/>
        <v>24.951023392340989</v>
      </c>
      <c r="U63" s="158">
        <f t="shared" si="9"/>
        <v>27.219298245614034</v>
      </c>
      <c r="V63" s="160">
        <f t="shared" si="8"/>
        <v>27</v>
      </c>
    </row>
    <row r="64" spans="1:22" x14ac:dyDescent="0.25">
      <c r="A64" s="98" t="s">
        <v>21</v>
      </c>
      <c r="B64" s="98" t="s">
        <v>17</v>
      </c>
      <c r="C64" s="98">
        <v>10</v>
      </c>
      <c r="D64" s="98">
        <v>9205</v>
      </c>
      <c r="E64" s="157">
        <v>41716.359027777777</v>
      </c>
      <c r="F64" s="157">
        <v>41716.442361111112</v>
      </c>
      <c r="G64" s="98">
        <v>107</v>
      </c>
      <c r="H64" s="98">
        <v>114</v>
      </c>
      <c r="I64" s="98">
        <v>107</v>
      </c>
      <c r="J64" s="98" t="s">
        <v>1997</v>
      </c>
      <c r="K64" s="98" t="s">
        <v>890</v>
      </c>
      <c r="L64" s="105" t="str">
        <f t="shared" si="0"/>
        <v>Brown</v>
      </c>
      <c r="M64" s="105" t="str">
        <f t="shared" si="1"/>
        <v>Derate</v>
      </c>
      <c r="N64" s="105" t="str">
        <f t="shared" si="2"/>
        <v>Coal</v>
      </c>
      <c r="O64" s="105">
        <f>IFERROR(VLOOKUP(A64,Lookup!$J$5:$P$19,7,FALSE),0)</f>
        <v>1</v>
      </c>
      <c r="P64" s="159">
        <f t="shared" si="3"/>
        <v>2014</v>
      </c>
      <c r="Q64" s="159">
        <f t="shared" si="4"/>
        <v>3</v>
      </c>
      <c r="R64" s="160">
        <f t="shared" si="5"/>
        <v>2.0000000000582077</v>
      </c>
      <c r="S64" s="158">
        <f t="shared" si="6"/>
        <v>0.1228070175474338</v>
      </c>
      <c r="T64" s="161">
        <f t="shared" si="7"/>
        <v>13.140350877575417</v>
      </c>
      <c r="U64" s="158">
        <f t="shared" si="9"/>
        <v>6.5701754385964914</v>
      </c>
      <c r="V64" s="160">
        <f t="shared" si="8"/>
        <v>7</v>
      </c>
    </row>
    <row r="65" spans="1:22" x14ac:dyDescent="0.25">
      <c r="A65" s="98" t="s">
        <v>21</v>
      </c>
      <c r="B65" s="98" t="s">
        <v>17</v>
      </c>
      <c r="C65" s="98">
        <v>11</v>
      </c>
      <c r="D65" s="98">
        <v>9205</v>
      </c>
      <c r="E65" s="157">
        <v>41716.442361111112</v>
      </c>
      <c r="F65" s="157">
        <v>41716.45208333333</v>
      </c>
      <c r="G65" s="98">
        <v>112</v>
      </c>
      <c r="H65" s="98">
        <v>114</v>
      </c>
      <c r="I65" s="98">
        <v>107</v>
      </c>
      <c r="J65" s="98" t="s">
        <v>1997</v>
      </c>
      <c r="K65" s="98" t="s">
        <v>890</v>
      </c>
      <c r="L65" s="105" t="str">
        <f t="shared" si="0"/>
        <v>Brown</v>
      </c>
      <c r="M65" s="105" t="str">
        <f t="shared" si="1"/>
        <v>Derate</v>
      </c>
      <c r="N65" s="105" t="str">
        <f t="shared" si="2"/>
        <v>Coal</v>
      </c>
      <c r="O65" s="105">
        <f>IFERROR(VLOOKUP(A65,Lookup!$J$5:$P$19,7,FALSE),0)</f>
        <v>1</v>
      </c>
      <c r="P65" s="159">
        <f t="shared" si="3"/>
        <v>2014</v>
      </c>
      <c r="Q65" s="159">
        <f t="shared" si="4"/>
        <v>3</v>
      </c>
      <c r="R65" s="160">
        <f t="shared" si="5"/>
        <v>0.23333333322079852</v>
      </c>
      <c r="S65" s="158">
        <f t="shared" si="6"/>
        <v>4.0935672494876937E-3</v>
      </c>
      <c r="T65" s="161">
        <f t="shared" si="7"/>
        <v>0.43801169569518322</v>
      </c>
      <c r="U65" s="158">
        <f t="shared" si="9"/>
        <v>1.8771929824561404</v>
      </c>
      <c r="V65" s="160">
        <f t="shared" si="8"/>
        <v>2</v>
      </c>
    </row>
    <row r="66" spans="1:22" x14ac:dyDescent="0.25">
      <c r="A66" s="98" t="s">
        <v>21</v>
      </c>
      <c r="B66" s="98" t="s">
        <v>17</v>
      </c>
      <c r="C66" s="98">
        <v>12</v>
      </c>
      <c r="D66" s="98">
        <v>9270</v>
      </c>
      <c r="E66" s="157">
        <v>41730.451388888891</v>
      </c>
      <c r="F66" s="157">
        <v>41730.491666666669</v>
      </c>
      <c r="G66" s="98">
        <v>74</v>
      </c>
      <c r="H66" s="98">
        <v>114</v>
      </c>
      <c r="I66" s="98">
        <v>107</v>
      </c>
      <c r="J66" s="98" t="s">
        <v>2006</v>
      </c>
      <c r="K66" s="98" t="s">
        <v>891</v>
      </c>
      <c r="L66" s="105" t="str">
        <f t="shared" ref="L66:L129" si="10">IF(OR(A66="BR1",A66="BR2",A66="BR3",A66="BR5",A66="BR6",A66="BR7",A66="BR8",A66="BR9",A66="BR10",A66="BR11"),"Brown",IF(OR(A66="CR4",A66="CR5",A66="CR6",A66="CR11"),"Cane Run",IF(OR(A66="GH1",A66="GH2",A66="GH3",A66="GH4"),"Ghent",IF(OR(A66="GR3",A66="GR4"),"Green River",IF(OR(A66="MC1",A66="MC2",A66="MC3",A66="MC4"),"Mill Creek",IF(OR(A66="TC1",A66="TC2",A66="TC5",A66="TC6",A66="TC7",A66="TC8",A66="TC9",A66="TC10"),"Trimble",IF(A66="TY3","Tyrone",IF(OR(A66="HA1",A66="HA2",A66="HA3"),"Haeflin",IF(OR(A66="PR11",A66="PR12",A66="PR13"),"Paddy's Run","Zorn")))))))))</f>
        <v>Brown</v>
      </c>
      <c r="M66" s="105" t="str">
        <f t="shared" ref="M66:M129" si="11">IF(OR(B66="D1",B66="D2",B66="D3",B66="D4",B66="PD"),"Derate",IF(OR(B66="SF",B66="U1",B66="U2",B66="U3"),"Outage",IF(OR(B66="ME",B66="MO"),"Maintenance","Other")))</f>
        <v>Derate</v>
      </c>
      <c r="N66" s="105" t="str">
        <f t="shared" ref="N66:N129" si="12">IF(OR(A66="BR1",A66="BR2",A66="BR3",A66="CR4",A66="CR5",A66="CR6",A66="GH1",A66="GH2",A66="GH3",A66="GH4",A66="GR3",A66="GR4",A66="MC1",A66="MC2",A66="MC3",A66="MC4",A66="TC1",A66="TC2",A66="TY3"),"Coal","Gas")</f>
        <v>Coal</v>
      </c>
      <c r="O66" s="105">
        <f>IFERROR(VLOOKUP(A66,Lookup!$J$5:$P$19,7,FALSE),0)</f>
        <v>1</v>
      </c>
      <c r="P66" s="159">
        <f t="shared" ref="P66:P129" si="13">YEAR(E66)</f>
        <v>2014</v>
      </c>
      <c r="Q66" s="159">
        <f t="shared" ref="Q66:Q129" si="14">MONTH(E66)</f>
        <v>4</v>
      </c>
      <c r="R66" s="160">
        <f t="shared" ref="R66:R129" si="15">(F66-E66)*24</f>
        <v>0.96666666667442769</v>
      </c>
      <c r="S66" s="158">
        <f t="shared" ref="S66:S129" si="16">R66*(H66-G66)/H66</f>
        <v>0.33918128655243079</v>
      </c>
      <c r="T66" s="161">
        <f t="shared" ref="T66:T129" si="17">S66*I66</f>
        <v>36.292397661110094</v>
      </c>
      <c r="U66" s="158">
        <f t="shared" si="9"/>
        <v>37.543859649122808</v>
      </c>
      <c r="V66" s="160">
        <f t="shared" ref="V66:V129" si="18">ROUND(U66,0)</f>
        <v>38</v>
      </c>
    </row>
    <row r="67" spans="1:22" x14ac:dyDescent="0.25">
      <c r="A67" s="98" t="s">
        <v>21</v>
      </c>
      <c r="B67" s="98" t="s">
        <v>17</v>
      </c>
      <c r="C67" s="98">
        <v>13</v>
      </c>
      <c r="D67" s="98">
        <v>1140</v>
      </c>
      <c r="E67" s="157">
        <v>41730.758333333331</v>
      </c>
      <c r="F67" s="157">
        <v>41730.761111111111</v>
      </c>
      <c r="G67" s="98">
        <v>86</v>
      </c>
      <c r="H67" s="98">
        <v>114</v>
      </c>
      <c r="I67" s="98">
        <v>107</v>
      </c>
      <c r="J67" s="98" t="s">
        <v>2044</v>
      </c>
      <c r="K67" s="98" t="s">
        <v>892</v>
      </c>
      <c r="L67" s="105" t="str">
        <f t="shared" si="10"/>
        <v>Brown</v>
      </c>
      <c r="M67" s="105" t="str">
        <f t="shared" si="11"/>
        <v>Derate</v>
      </c>
      <c r="N67" s="105" t="str">
        <f t="shared" si="12"/>
        <v>Coal</v>
      </c>
      <c r="O67" s="105">
        <f>IFERROR(VLOOKUP(A67,Lookup!$J$5:$P$19,7,FALSE),0)</f>
        <v>1</v>
      </c>
      <c r="P67" s="159">
        <f t="shared" si="13"/>
        <v>2014</v>
      </c>
      <c r="Q67" s="159">
        <f t="shared" si="14"/>
        <v>4</v>
      </c>
      <c r="R67" s="160">
        <f t="shared" si="15"/>
        <v>6.6666666709352285E-2</v>
      </c>
      <c r="S67" s="158">
        <f t="shared" si="16"/>
        <v>1.6374269016332141E-2</v>
      </c>
      <c r="T67" s="161">
        <f t="shared" si="17"/>
        <v>1.7520467847475392</v>
      </c>
      <c r="U67" s="158">
        <f t="shared" ref="U67:U130" si="19">IF(G67&gt;0,MAX((H67-G67),0)*I67/H67,I67)</f>
        <v>26.280701754385966</v>
      </c>
      <c r="V67" s="160">
        <f t="shared" si="18"/>
        <v>26</v>
      </c>
    </row>
    <row r="68" spans="1:22" x14ac:dyDescent="0.25">
      <c r="A68" s="98" t="s">
        <v>21</v>
      </c>
      <c r="B68" s="98" t="s">
        <v>17</v>
      </c>
      <c r="C68" s="98">
        <v>14</v>
      </c>
      <c r="D68" s="98">
        <v>1140</v>
      </c>
      <c r="E68" s="157">
        <v>41730.761111111111</v>
      </c>
      <c r="F68" s="157">
        <v>41730.765277777777</v>
      </c>
      <c r="G68" s="98">
        <v>79</v>
      </c>
      <c r="H68" s="98">
        <v>114</v>
      </c>
      <c r="I68" s="98">
        <v>107</v>
      </c>
      <c r="J68" s="98" t="s">
        <v>2044</v>
      </c>
      <c r="K68" s="98" t="s">
        <v>892</v>
      </c>
      <c r="L68" s="105" t="str">
        <f t="shared" si="10"/>
        <v>Brown</v>
      </c>
      <c r="M68" s="105" t="str">
        <f t="shared" si="11"/>
        <v>Derate</v>
      </c>
      <c r="N68" s="105" t="str">
        <f t="shared" si="12"/>
        <v>Coal</v>
      </c>
      <c r="O68" s="105">
        <f>IFERROR(VLOOKUP(A68,Lookup!$J$5:$P$19,7,FALSE),0)</f>
        <v>1</v>
      </c>
      <c r="P68" s="159">
        <f t="shared" si="13"/>
        <v>2014</v>
      </c>
      <c r="Q68" s="159">
        <f t="shared" si="14"/>
        <v>4</v>
      </c>
      <c r="R68" s="160">
        <f t="shared" si="15"/>
        <v>9.9999999976716936E-2</v>
      </c>
      <c r="S68" s="158">
        <f t="shared" si="16"/>
        <v>3.0701754378816604E-2</v>
      </c>
      <c r="T68" s="161">
        <f t="shared" si="17"/>
        <v>3.2850877185333767</v>
      </c>
      <c r="U68" s="158">
        <f t="shared" si="19"/>
        <v>32.850877192982459</v>
      </c>
      <c r="V68" s="160">
        <f t="shared" si="18"/>
        <v>33</v>
      </c>
    </row>
    <row r="69" spans="1:22" x14ac:dyDescent="0.25">
      <c r="A69" s="98" t="s">
        <v>21</v>
      </c>
      <c r="B69" s="98" t="s">
        <v>17</v>
      </c>
      <c r="C69" s="98">
        <v>15</v>
      </c>
      <c r="D69" s="98">
        <v>1140</v>
      </c>
      <c r="E69" s="157">
        <v>41730.765277777777</v>
      </c>
      <c r="F69" s="157">
        <v>41730.879861111112</v>
      </c>
      <c r="G69" s="98">
        <v>59</v>
      </c>
      <c r="H69" s="98">
        <v>114</v>
      </c>
      <c r="I69" s="98">
        <v>107</v>
      </c>
      <c r="J69" s="98" t="s">
        <v>2044</v>
      </c>
      <c r="K69" s="98" t="s">
        <v>893</v>
      </c>
      <c r="L69" s="105" t="str">
        <f t="shared" si="10"/>
        <v>Brown</v>
      </c>
      <c r="M69" s="105" t="str">
        <f t="shared" si="11"/>
        <v>Derate</v>
      </c>
      <c r="N69" s="105" t="str">
        <f t="shared" si="12"/>
        <v>Coal</v>
      </c>
      <c r="O69" s="105">
        <f>IFERROR(VLOOKUP(A69,Lookup!$J$5:$P$19,7,FALSE),0)</f>
        <v>1</v>
      </c>
      <c r="P69" s="159">
        <f t="shared" si="13"/>
        <v>2014</v>
      </c>
      <c r="Q69" s="159">
        <f t="shared" si="14"/>
        <v>4</v>
      </c>
      <c r="R69" s="160">
        <f t="shared" si="15"/>
        <v>2.7500000000582077</v>
      </c>
      <c r="S69" s="158">
        <f t="shared" si="16"/>
        <v>1.3267543859929949</v>
      </c>
      <c r="T69" s="161">
        <f t="shared" si="17"/>
        <v>141.96271930125044</v>
      </c>
      <c r="U69" s="158">
        <f t="shared" si="19"/>
        <v>51.622807017543863</v>
      </c>
      <c r="V69" s="160">
        <f t="shared" si="18"/>
        <v>52</v>
      </c>
    </row>
    <row r="70" spans="1:22" x14ac:dyDescent="0.25">
      <c r="A70" s="98" t="s">
        <v>21</v>
      </c>
      <c r="B70" s="98" t="s">
        <v>15</v>
      </c>
      <c r="C70" s="98">
        <v>16</v>
      </c>
      <c r="D70" s="98">
        <v>1140</v>
      </c>
      <c r="E70" s="157">
        <v>41730.879861111112</v>
      </c>
      <c r="F70" s="157">
        <v>41734.03125</v>
      </c>
      <c r="G70" s="98">
        <v>0</v>
      </c>
      <c r="H70" s="98">
        <v>114</v>
      </c>
      <c r="I70" s="98">
        <v>107</v>
      </c>
      <c r="J70" s="98" t="s">
        <v>2044</v>
      </c>
      <c r="K70" s="98" t="s">
        <v>893</v>
      </c>
      <c r="L70" s="105" t="str">
        <f t="shared" si="10"/>
        <v>Brown</v>
      </c>
      <c r="M70" s="105" t="str">
        <f t="shared" si="11"/>
        <v>Outage</v>
      </c>
      <c r="N70" s="105" t="str">
        <f t="shared" si="12"/>
        <v>Coal</v>
      </c>
      <c r="O70" s="105">
        <f>IFERROR(VLOOKUP(A70,Lookup!$J$5:$P$19,7,FALSE),0)</f>
        <v>1</v>
      </c>
      <c r="P70" s="159">
        <f t="shared" si="13"/>
        <v>2014</v>
      </c>
      <c r="Q70" s="159">
        <f t="shared" si="14"/>
        <v>4</v>
      </c>
      <c r="R70" s="160">
        <f t="shared" si="15"/>
        <v>75.633333333302289</v>
      </c>
      <c r="S70" s="158">
        <f t="shared" si="16"/>
        <v>75.633333333302289</v>
      </c>
      <c r="T70" s="161">
        <f t="shared" si="17"/>
        <v>8092.7666666633449</v>
      </c>
      <c r="U70" s="158">
        <f t="shared" si="19"/>
        <v>107</v>
      </c>
      <c r="V70" s="160">
        <f t="shared" si="18"/>
        <v>107</v>
      </c>
    </row>
    <row r="71" spans="1:22" x14ac:dyDescent="0.25">
      <c r="A71" s="98" t="s">
        <v>21</v>
      </c>
      <c r="B71" s="98" t="s">
        <v>15</v>
      </c>
      <c r="C71" s="98">
        <v>17</v>
      </c>
      <c r="D71" s="98">
        <v>4302</v>
      </c>
      <c r="E71" s="157">
        <v>41734.181944444441</v>
      </c>
      <c r="F71" s="157">
        <v>41734.204861111109</v>
      </c>
      <c r="G71" s="98">
        <v>0</v>
      </c>
      <c r="H71" s="98">
        <v>114</v>
      </c>
      <c r="I71" s="98">
        <v>107</v>
      </c>
      <c r="J71" s="98" t="s">
        <v>2024</v>
      </c>
      <c r="K71" s="98" t="s">
        <v>894</v>
      </c>
      <c r="L71" s="105" t="str">
        <f t="shared" si="10"/>
        <v>Brown</v>
      </c>
      <c r="M71" s="105" t="str">
        <f t="shared" si="11"/>
        <v>Outage</v>
      </c>
      <c r="N71" s="105" t="str">
        <f t="shared" si="12"/>
        <v>Coal</v>
      </c>
      <c r="O71" s="105">
        <f>IFERROR(VLOOKUP(A71,Lookup!$J$5:$P$19,7,FALSE),0)</f>
        <v>1</v>
      </c>
      <c r="P71" s="159">
        <f t="shared" si="13"/>
        <v>2014</v>
      </c>
      <c r="Q71" s="159">
        <f t="shared" si="14"/>
        <v>4</v>
      </c>
      <c r="R71" s="160">
        <f t="shared" si="15"/>
        <v>0.55000000004656613</v>
      </c>
      <c r="S71" s="158">
        <f t="shared" si="16"/>
        <v>0.55000000004656613</v>
      </c>
      <c r="T71" s="161">
        <f t="shared" si="17"/>
        <v>58.850000004982576</v>
      </c>
      <c r="U71" s="158">
        <f t="shared" si="19"/>
        <v>107</v>
      </c>
      <c r="V71" s="160">
        <f t="shared" si="18"/>
        <v>107</v>
      </c>
    </row>
    <row r="72" spans="1:22" x14ac:dyDescent="0.25">
      <c r="A72" s="98" t="s">
        <v>21</v>
      </c>
      <c r="B72" s="98" t="s">
        <v>17</v>
      </c>
      <c r="C72" s="98">
        <v>18</v>
      </c>
      <c r="D72" s="98">
        <v>340</v>
      </c>
      <c r="E72" s="157">
        <v>41734.570833333331</v>
      </c>
      <c r="F72" s="157">
        <v>41734.609722222223</v>
      </c>
      <c r="G72" s="98">
        <v>80</v>
      </c>
      <c r="H72" s="98">
        <v>114</v>
      </c>
      <c r="I72" s="98">
        <v>107</v>
      </c>
      <c r="J72" s="98" t="s">
        <v>1970</v>
      </c>
      <c r="K72" s="98" t="s">
        <v>895</v>
      </c>
      <c r="L72" s="105" t="str">
        <f t="shared" si="10"/>
        <v>Brown</v>
      </c>
      <c r="M72" s="105" t="str">
        <f t="shared" si="11"/>
        <v>Derate</v>
      </c>
      <c r="N72" s="105" t="str">
        <f t="shared" si="12"/>
        <v>Coal</v>
      </c>
      <c r="O72" s="105">
        <f>IFERROR(VLOOKUP(A72,Lookup!$J$5:$P$19,7,FALSE),0)</f>
        <v>1</v>
      </c>
      <c r="P72" s="159">
        <f t="shared" si="13"/>
        <v>2014</v>
      </c>
      <c r="Q72" s="159">
        <f t="shared" si="14"/>
        <v>4</v>
      </c>
      <c r="R72" s="160">
        <f t="shared" si="15"/>
        <v>0.93333333340706304</v>
      </c>
      <c r="S72" s="158">
        <f t="shared" si="16"/>
        <v>0.27836257312140478</v>
      </c>
      <c r="T72" s="161">
        <f t="shared" si="17"/>
        <v>29.784795323990313</v>
      </c>
      <c r="U72" s="158">
        <f t="shared" si="19"/>
        <v>31.912280701754387</v>
      </c>
      <c r="V72" s="160">
        <f t="shared" si="18"/>
        <v>32</v>
      </c>
    </row>
    <row r="73" spans="1:22" x14ac:dyDescent="0.25">
      <c r="A73" s="98" t="s">
        <v>21</v>
      </c>
      <c r="B73" s="98" t="s">
        <v>17</v>
      </c>
      <c r="C73" s="98">
        <v>19</v>
      </c>
      <c r="D73" s="98">
        <v>9290</v>
      </c>
      <c r="E73" s="157">
        <v>41734.609722222223</v>
      </c>
      <c r="F73" s="157">
        <v>41734.73333333333</v>
      </c>
      <c r="G73" s="98">
        <v>105</v>
      </c>
      <c r="H73" s="98">
        <v>114</v>
      </c>
      <c r="I73" s="98">
        <v>107</v>
      </c>
      <c r="J73" s="98" t="s">
        <v>2045</v>
      </c>
      <c r="K73" s="98" t="s">
        <v>896</v>
      </c>
      <c r="L73" s="105" t="str">
        <f t="shared" si="10"/>
        <v>Brown</v>
      </c>
      <c r="M73" s="105" t="str">
        <f t="shared" si="11"/>
        <v>Derate</v>
      </c>
      <c r="N73" s="105" t="str">
        <f t="shared" si="12"/>
        <v>Coal</v>
      </c>
      <c r="O73" s="105">
        <f>IFERROR(VLOOKUP(A73,Lookup!$J$5:$P$19,7,FALSE),0)</f>
        <v>1</v>
      </c>
      <c r="P73" s="159">
        <f t="shared" si="13"/>
        <v>2014</v>
      </c>
      <c r="Q73" s="159">
        <f t="shared" si="14"/>
        <v>4</v>
      </c>
      <c r="R73" s="160">
        <f t="shared" si="15"/>
        <v>2.9666666665580124</v>
      </c>
      <c r="S73" s="158">
        <f t="shared" si="16"/>
        <v>0.23421052630721151</v>
      </c>
      <c r="T73" s="161">
        <f t="shared" si="17"/>
        <v>25.06052631487163</v>
      </c>
      <c r="U73" s="158">
        <f t="shared" si="19"/>
        <v>8.4473684210526319</v>
      </c>
      <c r="V73" s="160">
        <f t="shared" si="18"/>
        <v>8</v>
      </c>
    </row>
    <row r="74" spans="1:22" x14ac:dyDescent="0.25">
      <c r="A74" s="98" t="s">
        <v>21</v>
      </c>
      <c r="B74" s="98" t="s">
        <v>32</v>
      </c>
      <c r="C74" s="98">
        <v>20</v>
      </c>
      <c r="D74" s="98">
        <v>110</v>
      </c>
      <c r="E74" s="157">
        <v>41734.73333333333</v>
      </c>
      <c r="F74" s="157">
        <v>41734.931250000001</v>
      </c>
      <c r="G74" s="98">
        <v>85</v>
      </c>
      <c r="H74" s="98">
        <v>114</v>
      </c>
      <c r="I74" s="98">
        <v>107</v>
      </c>
      <c r="J74" s="98" t="s">
        <v>2046</v>
      </c>
      <c r="K74" s="98" t="s">
        <v>897</v>
      </c>
      <c r="L74" s="105" t="str">
        <f t="shared" si="10"/>
        <v>Brown</v>
      </c>
      <c r="M74" s="105" t="str">
        <f t="shared" si="11"/>
        <v>Derate</v>
      </c>
      <c r="N74" s="105" t="str">
        <f t="shared" si="12"/>
        <v>Coal</v>
      </c>
      <c r="O74" s="105">
        <f>IFERROR(VLOOKUP(A74,Lookup!$J$5:$P$19,7,FALSE),0)</f>
        <v>1</v>
      </c>
      <c r="P74" s="159">
        <f t="shared" si="13"/>
        <v>2014</v>
      </c>
      <c r="Q74" s="159">
        <f t="shared" si="14"/>
        <v>4</v>
      </c>
      <c r="R74" s="160">
        <f t="shared" si="15"/>
        <v>4.7500000001164153</v>
      </c>
      <c r="S74" s="158">
        <f t="shared" si="16"/>
        <v>1.2083333333629478</v>
      </c>
      <c r="T74" s="161">
        <f t="shared" si="17"/>
        <v>129.29166666983542</v>
      </c>
      <c r="U74" s="158">
        <f t="shared" si="19"/>
        <v>27.219298245614034</v>
      </c>
      <c r="V74" s="160">
        <f t="shared" si="18"/>
        <v>27</v>
      </c>
    </row>
    <row r="75" spans="1:22" x14ac:dyDescent="0.25">
      <c r="A75" s="98" t="s">
        <v>21</v>
      </c>
      <c r="B75" s="98" t="s">
        <v>32</v>
      </c>
      <c r="C75" s="98">
        <v>21</v>
      </c>
      <c r="D75" s="98">
        <v>110</v>
      </c>
      <c r="E75" s="157">
        <v>41734.931250000001</v>
      </c>
      <c r="F75" s="157">
        <v>41735.057638888888</v>
      </c>
      <c r="G75" s="98">
        <v>55</v>
      </c>
      <c r="H75" s="98">
        <v>114</v>
      </c>
      <c r="I75" s="98">
        <v>107</v>
      </c>
      <c r="J75" s="98" t="s">
        <v>2046</v>
      </c>
      <c r="K75" s="98" t="s">
        <v>898</v>
      </c>
      <c r="L75" s="105" t="str">
        <f t="shared" si="10"/>
        <v>Brown</v>
      </c>
      <c r="M75" s="105" t="str">
        <f t="shared" si="11"/>
        <v>Derate</v>
      </c>
      <c r="N75" s="105" t="str">
        <f t="shared" si="12"/>
        <v>Coal</v>
      </c>
      <c r="O75" s="105">
        <f>IFERROR(VLOOKUP(A75,Lookup!$J$5:$P$19,7,FALSE),0)</f>
        <v>1</v>
      </c>
      <c r="P75" s="159">
        <f t="shared" si="13"/>
        <v>2014</v>
      </c>
      <c r="Q75" s="159">
        <f t="shared" si="14"/>
        <v>4</v>
      </c>
      <c r="R75" s="160">
        <f t="shared" si="15"/>
        <v>3.0333333332673647</v>
      </c>
      <c r="S75" s="158">
        <f t="shared" si="16"/>
        <v>1.5698830409015307</v>
      </c>
      <c r="T75" s="161">
        <f t="shared" si="17"/>
        <v>167.97748537646379</v>
      </c>
      <c r="U75" s="158">
        <f t="shared" si="19"/>
        <v>55.377192982456137</v>
      </c>
      <c r="V75" s="160">
        <f t="shared" si="18"/>
        <v>55</v>
      </c>
    </row>
    <row r="76" spans="1:22" x14ac:dyDescent="0.25">
      <c r="A76" s="98" t="s">
        <v>21</v>
      </c>
      <c r="B76" s="98" t="s">
        <v>38</v>
      </c>
      <c r="C76" s="98">
        <v>22</v>
      </c>
      <c r="D76" s="98">
        <v>1812</v>
      </c>
      <c r="E76" s="157">
        <v>41735.057638888888</v>
      </c>
      <c r="F76" s="157">
        <v>41756.984722222223</v>
      </c>
      <c r="G76" s="98">
        <v>0</v>
      </c>
      <c r="H76" s="98">
        <v>114</v>
      </c>
      <c r="I76" s="98">
        <v>107</v>
      </c>
      <c r="J76" s="98" t="s">
        <v>1994</v>
      </c>
      <c r="K76" s="98" t="s">
        <v>899</v>
      </c>
      <c r="L76" s="105" t="str">
        <f t="shared" si="10"/>
        <v>Brown</v>
      </c>
      <c r="M76" s="105" t="str">
        <f t="shared" si="11"/>
        <v>Other</v>
      </c>
      <c r="N76" s="105" t="str">
        <f t="shared" si="12"/>
        <v>Coal</v>
      </c>
      <c r="O76" s="105">
        <f>IFERROR(VLOOKUP(A76,Lookup!$J$5:$P$19,7,FALSE),0)</f>
        <v>1</v>
      </c>
      <c r="P76" s="159">
        <f t="shared" si="13"/>
        <v>2014</v>
      </c>
      <c r="Q76" s="159">
        <f t="shared" si="14"/>
        <v>4</v>
      </c>
      <c r="R76" s="160">
        <f t="shared" si="15"/>
        <v>526.25000000005821</v>
      </c>
      <c r="S76" s="158">
        <f t="shared" si="16"/>
        <v>526.25000000005821</v>
      </c>
      <c r="T76" s="161">
        <f t="shared" si="17"/>
        <v>56308.750000006228</v>
      </c>
      <c r="U76" s="158">
        <f t="shared" si="19"/>
        <v>107</v>
      </c>
      <c r="V76" s="160">
        <f t="shared" si="18"/>
        <v>107</v>
      </c>
    </row>
    <row r="77" spans="1:22" x14ac:dyDescent="0.25">
      <c r="A77" s="98" t="s">
        <v>21</v>
      </c>
      <c r="B77" s="98" t="s">
        <v>17</v>
      </c>
      <c r="C77" s="98">
        <v>25</v>
      </c>
      <c r="D77" s="98">
        <v>310</v>
      </c>
      <c r="E77" s="157">
        <v>41757.145833333336</v>
      </c>
      <c r="F77" s="157">
        <v>41757.364583333336</v>
      </c>
      <c r="G77" s="98">
        <v>80</v>
      </c>
      <c r="H77" s="98">
        <v>114</v>
      </c>
      <c r="I77" s="98">
        <v>107</v>
      </c>
      <c r="J77" s="98" t="s">
        <v>1966</v>
      </c>
      <c r="K77" s="98" t="s">
        <v>900</v>
      </c>
      <c r="L77" s="105" t="str">
        <f t="shared" si="10"/>
        <v>Brown</v>
      </c>
      <c r="M77" s="105" t="str">
        <f t="shared" si="11"/>
        <v>Derate</v>
      </c>
      <c r="N77" s="105" t="str">
        <f t="shared" si="12"/>
        <v>Coal</v>
      </c>
      <c r="O77" s="105">
        <f>IFERROR(VLOOKUP(A77,Lookup!$J$5:$P$19,7,FALSE),0)</f>
        <v>1</v>
      </c>
      <c r="P77" s="159">
        <f t="shared" si="13"/>
        <v>2014</v>
      </c>
      <c r="Q77" s="159">
        <f t="shared" si="14"/>
        <v>4</v>
      </c>
      <c r="R77" s="160">
        <f t="shared" si="15"/>
        <v>5.25</v>
      </c>
      <c r="S77" s="158">
        <f t="shared" si="16"/>
        <v>1.5657894736842106</v>
      </c>
      <c r="T77" s="161">
        <f t="shared" si="17"/>
        <v>167.53947368421055</v>
      </c>
      <c r="U77" s="158">
        <f t="shared" si="19"/>
        <v>31.912280701754387</v>
      </c>
      <c r="V77" s="160">
        <f t="shared" si="18"/>
        <v>32</v>
      </c>
    </row>
    <row r="78" spans="1:22" x14ac:dyDescent="0.25">
      <c r="A78" s="98" t="s">
        <v>21</v>
      </c>
      <c r="B78" s="98" t="s">
        <v>17</v>
      </c>
      <c r="C78" s="98">
        <v>26</v>
      </c>
      <c r="D78" s="98">
        <v>310</v>
      </c>
      <c r="E78" s="157">
        <v>41757.364583333336</v>
      </c>
      <c r="F78" s="157">
        <v>41757.480555555558</v>
      </c>
      <c r="G78" s="98">
        <v>85</v>
      </c>
      <c r="H78" s="98">
        <v>114</v>
      </c>
      <c r="I78" s="98">
        <v>107</v>
      </c>
      <c r="J78" s="98" t="s">
        <v>1966</v>
      </c>
      <c r="K78" s="98" t="s">
        <v>901</v>
      </c>
      <c r="L78" s="105" t="str">
        <f t="shared" si="10"/>
        <v>Brown</v>
      </c>
      <c r="M78" s="105" t="str">
        <f t="shared" si="11"/>
        <v>Derate</v>
      </c>
      <c r="N78" s="105" t="str">
        <f t="shared" si="12"/>
        <v>Coal</v>
      </c>
      <c r="O78" s="105">
        <f>IFERROR(VLOOKUP(A78,Lookup!$J$5:$P$19,7,FALSE),0)</f>
        <v>1</v>
      </c>
      <c r="P78" s="159">
        <f t="shared" si="13"/>
        <v>2014</v>
      </c>
      <c r="Q78" s="159">
        <f t="shared" si="14"/>
        <v>4</v>
      </c>
      <c r="R78" s="160">
        <f t="shared" si="15"/>
        <v>2.7833333333255723</v>
      </c>
      <c r="S78" s="158">
        <f t="shared" si="16"/>
        <v>0.70804093567054027</v>
      </c>
      <c r="T78" s="161">
        <f t="shared" si="17"/>
        <v>75.760380116747811</v>
      </c>
      <c r="U78" s="158">
        <f t="shared" si="19"/>
        <v>27.219298245614034</v>
      </c>
      <c r="V78" s="160">
        <f t="shared" si="18"/>
        <v>27</v>
      </c>
    </row>
    <row r="79" spans="1:22" x14ac:dyDescent="0.25">
      <c r="A79" s="98" t="s">
        <v>21</v>
      </c>
      <c r="B79" s="98" t="s">
        <v>17</v>
      </c>
      <c r="C79" s="98">
        <v>27</v>
      </c>
      <c r="D79" s="98">
        <v>1700</v>
      </c>
      <c r="E79" s="157">
        <v>41757.480555555558</v>
      </c>
      <c r="F79" s="157">
        <v>41757.490972222222</v>
      </c>
      <c r="G79" s="98">
        <v>13</v>
      </c>
      <c r="H79" s="98">
        <v>114</v>
      </c>
      <c r="I79" s="98">
        <v>107</v>
      </c>
      <c r="J79" s="98" t="s">
        <v>2036</v>
      </c>
      <c r="K79" s="98" t="s">
        <v>902</v>
      </c>
      <c r="L79" s="105" t="str">
        <f t="shared" si="10"/>
        <v>Brown</v>
      </c>
      <c r="M79" s="105" t="str">
        <f t="shared" si="11"/>
        <v>Derate</v>
      </c>
      <c r="N79" s="105" t="str">
        <f t="shared" si="12"/>
        <v>Coal</v>
      </c>
      <c r="O79" s="105">
        <f>IFERROR(VLOOKUP(A79,Lookup!$J$5:$P$19,7,FALSE),0)</f>
        <v>1</v>
      </c>
      <c r="P79" s="159">
        <f t="shared" si="13"/>
        <v>2014</v>
      </c>
      <c r="Q79" s="159">
        <f t="shared" si="14"/>
        <v>4</v>
      </c>
      <c r="R79" s="160">
        <f t="shared" si="15"/>
        <v>0.24999999994179234</v>
      </c>
      <c r="S79" s="158">
        <f t="shared" si="16"/>
        <v>0.22149122801860549</v>
      </c>
      <c r="T79" s="161">
        <f t="shared" si="17"/>
        <v>23.699561397990788</v>
      </c>
      <c r="U79" s="158">
        <f t="shared" si="19"/>
        <v>94.798245614035082</v>
      </c>
      <c r="V79" s="160">
        <f t="shared" si="18"/>
        <v>95</v>
      </c>
    </row>
    <row r="80" spans="1:22" x14ac:dyDescent="0.25">
      <c r="A80" s="98" t="s">
        <v>21</v>
      </c>
      <c r="B80" s="98" t="s">
        <v>15</v>
      </c>
      <c r="C80" s="98">
        <v>28</v>
      </c>
      <c r="D80" s="98">
        <v>4300</v>
      </c>
      <c r="E80" s="157">
        <v>41757.490972222222</v>
      </c>
      <c r="F80" s="157">
        <v>41757.509722222225</v>
      </c>
      <c r="G80" s="98">
        <v>0</v>
      </c>
      <c r="H80" s="98">
        <v>114</v>
      </c>
      <c r="I80" s="98">
        <v>107</v>
      </c>
      <c r="J80" s="98" t="s">
        <v>2012</v>
      </c>
      <c r="K80" s="98" t="s">
        <v>903</v>
      </c>
      <c r="L80" s="105" t="str">
        <f t="shared" si="10"/>
        <v>Brown</v>
      </c>
      <c r="M80" s="105" t="str">
        <f t="shared" si="11"/>
        <v>Outage</v>
      </c>
      <c r="N80" s="105" t="str">
        <f t="shared" si="12"/>
        <v>Coal</v>
      </c>
      <c r="O80" s="105">
        <f>IFERROR(VLOOKUP(A80,Lookup!$J$5:$P$19,7,FALSE),0)</f>
        <v>1</v>
      </c>
      <c r="P80" s="159">
        <f t="shared" si="13"/>
        <v>2014</v>
      </c>
      <c r="Q80" s="159">
        <f t="shared" si="14"/>
        <v>4</v>
      </c>
      <c r="R80" s="160">
        <f t="shared" si="15"/>
        <v>0.45000000006984919</v>
      </c>
      <c r="S80" s="158">
        <f t="shared" si="16"/>
        <v>0.45000000006984919</v>
      </c>
      <c r="T80" s="161">
        <f t="shared" si="17"/>
        <v>48.150000007473864</v>
      </c>
      <c r="U80" s="158">
        <f t="shared" si="19"/>
        <v>107</v>
      </c>
      <c r="V80" s="160">
        <f t="shared" si="18"/>
        <v>107</v>
      </c>
    </row>
    <row r="81" spans="1:22" x14ac:dyDescent="0.25">
      <c r="A81" s="98" t="s">
        <v>21</v>
      </c>
      <c r="B81" s="98" t="s">
        <v>17</v>
      </c>
      <c r="C81" s="98">
        <v>29</v>
      </c>
      <c r="D81" s="98">
        <v>280</v>
      </c>
      <c r="E81" s="157">
        <v>41758.595138888886</v>
      </c>
      <c r="F81" s="157">
        <v>41758.638888888891</v>
      </c>
      <c r="G81" s="98">
        <v>85</v>
      </c>
      <c r="H81" s="98">
        <v>114</v>
      </c>
      <c r="I81" s="98">
        <v>107</v>
      </c>
      <c r="J81" s="98" t="s">
        <v>1988</v>
      </c>
      <c r="K81" s="98" t="s">
        <v>286</v>
      </c>
      <c r="L81" s="105" t="str">
        <f t="shared" si="10"/>
        <v>Brown</v>
      </c>
      <c r="M81" s="105" t="str">
        <f t="shared" si="11"/>
        <v>Derate</v>
      </c>
      <c r="N81" s="105" t="str">
        <f t="shared" si="12"/>
        <v>Coal</v>
      </c>
      <c r="O81" s="105">
        <f>IFERROR(VLOOKUP(A81,Lookup!$J$5:$P$19,7,FALSE),0)</f>
        <v>1</v>
      </c>
      <c r="P81" s="159">
        <f t="shared" si="13"/>
        <v>2014</v>
      </c>
      <c r="Q81" s="159">
        <f t="shared" si="14"/>
        <v>4</v>
      </c>
      <c r="R81" s="160">
        <f t="shared" si="15"/>
        <v>1.0500000001047738</v>
      </c>
      <c r="S81" s="158">
        <f t="shared" si="16"/>
        <v>0.26710526318454769</v>
      </c>
      <c r="T81" s="161">
        <f t="shared" si="17"/>
        <v>28.580263160746604</v>
      </c>
      <c r="U81" s="158">
        <f t="shared" si="19"/>
        <v>27.219298245614034</v>
      </c>
      <c r="V81" s="160">
        <f t="shared" si="18"/>
        <v>27</v>
      </c>
    </row>
    <row r="82" spans="1:22" x14ac:dyDescent="0.25">
      <c r="A82" s="98" t="s">
        <v>21</v>
      </c>
      <c r="B82" s="98" t="s">
        <v>17</v>
      </c>
      <c r="C82" s="98">
        <v>30</v>
      </c>
      <c r="D82" s="98">
        <v>280</v>
      </c>
      <c r="E82" s="157">
        <v>41758.638888888891</v>
      </c>
      <c r="F82" s="157">
        <v>41758.654861111114</v>
      </c>
      <c r="G82" s="98">
        <v>90</v>
      </c>
      <c r="H82" s="98">
        <v>114</v>
      </c>
      <c r="I82" s="98">
        <v>107</v>
      </c>
      <c r="J82" s="98" t="s">
        <v>1988</v>
      </c>
      <c r="K82" s="98" t="s">
        <v>286</v>
      </c>
      <c r="L82" s="105" t="str">
        <f t="shared" si="10"/>
        <v>Brown</v>
      </c>
      <c r="M82" s="105" t="str">
        <f t="shared" si="11"/>
        <v>Derate</v>
      </c>
      <c r="N82" s="105" t="str">
        <f t="shared" si="12"/>
        <v>Coal</v>
      </c>
      <c r="O82" s="105">
        <f>IFERROR(VLOOKUP(A82,Lookup!$J$5:$P$19,7,FALSE),0)</f>
        <v>1</v>
      </c>
      <c r="P82" s="159">
        <f t="shared" si="13"/>
        <v>2014</v>
      </c>
      <c r="Q82" s="159">
        <f t="shared" si="14"/>
        <v>4</v>
      </c>
      <c r="R82" s="160">
        <f t="shared" si="15"/>
        <v>0.38333333336049691</v>
      </c>
      <c r="S82" s="158">
        <f t="shared" si="16"/>
        <v>8.0701754391683561E-2</v>
      </c>
      <c r="T82" s="161">
        <f t="shared" si="17"/>
        <v>8.6350877199101408</v>
      </c>
      <c r="U82" s="158">
        <f t="shared" si="19"/>
        <v>22.526315789473685</v>
      </c>
      <c r="V82" s="160">
        <f t="shared" si="18"/>
        <v>23</v>
      </c>
    </row>
    <row r="83" spans="1:22" x14ac:dyDescent="0.25">
      <c r="A83" s="98" t="s">
        <v>21</v>
      </c>
      <c r="B83" s="98" t="s">
        <v>17</v>
      </c>
      <c r="C83" s="98">
        <v>31</v>
      </c>
      <c r="D83" s="98">
        <v>9270</v>
      </c>
      <c r="E83" s="157">
        <v>41761.431250000001</v>
      </c>
      <c r="F83" s="157">
        <v>41761.484722222223</v>
      </c>
      <c r="G83" s="98">
        <v>100</v>
      </c>
      <c r="H83" s="98">
        <v>114</v>
      </c>
      <c r="I83" s="98">
        <v>107</v>
      </c>
      <c r="J83" s="98" t="s">
        <v>2006</v>
      </c>
      <c r="K83" s="98" t="s">
        <v>904</v>
      </c>
      <c r="L83" s="105" t="str">
        <f t="shared" si="10"/>
        <v>Brown</v>
      </c>
      <c r="M83" s="105" t="str">
        <f t="shared" si="11"/>
        <v>Derate</v>
      </c>
      <c r="N83" s="105" t="str">
        <f t="shared" si="12"/>
        <v>Coal</v>
      </c>
      <c r="O83" s="105">
        <f>IFERROR(VLOOKUP(A83,Lookup!$J$5:$P$19,7,FALSE),0)</f>
        <v>1</v>
      </c>
      <c r="P83" s="159">
        <f t="shared" si="13"/>
        <v>2014</v>
      </c>
      <c r="Q83" s="159">
        <f t="shared" si="14"/>
        <v>5</v>
      </c>
      <c r="R83" s="160">
        <f t="shared" si="15"/>
        <v>1.2833333333255723</v>
      </c>
      <c r="S83" s="158">
        <f t="shared" si="16"/>
        <v>0.15760233918033345</v>
      </c>
      <c r="T83" s="161">
        <f t="shared" si="17"/>
        <v>16.863450292295678</v>
      </c>
      <c r="U83" s="158">
        <f t="shared" si="19"/>
        <v>13.140350877192983</v>
      </c>
      <c r="V83" s="160">
        <f t="shared" si="18"/>
        <v>13</v>
      </c>
    </row>
    <row r="84" spans="1:22" x14ac:dyDescent="0.25">
      <c r="A84" s="98" t="s">
        <v>21</v>
      </c>
      <c r="B84" s="98" t="s">
        <v>79</v>
      </c>
      <c r="C84" s="98">
        <v>32</v>
      </c>
      <c r="D84" s="98">
        <v>1100</v>
      </c>
      <c r="E84" s="157">
        <v>41761.902777777781</v>
      </c>
      <c r="F84" s="157">
        <v>41761.945138888892</v>
      </c>
      <c r="G84" s="98">
        <v>0</v>
      </c>
      <c r="H84" s="98">
        <v>114</v>
      </c>
      <c r="I84" s="98">
        <v>107</v>
      </c>
      <c r="J84" s="98" t="s">
        <v>2038</v>
      </c>
      <c r="K84" s="98" t="s">
        <v>905</v>
      </c>
      <c r="L84" s="105" t="str">
        <f t="shared" si="10"/>
        <v>Brown</v>
      </c>
      <c r="M84" s="105" t="str">
        <f t="shared" si="11"/>
        <v>Other</v>
      </c>
      <c r="N84" s="105" t="str">
        <f t="shared" si="12"/>
        <v>Coal</v>
      </c>
      <c r="O84" s="105">
        <f>IFERROR(VLOOKUP(A84,Lookup!$J$5:$P$19,7,FALSE),0)</f>
        <v>1</v>
      </c>
      <c r="P84" s="159">
        <f t="shared" si="13"/>
        <v>2014</v>
      </c>
      <c r="Q84" s="159">
        <f t="shared" si="14"/>
        <v>5</v>
      </c>
      <c r="R84" s="160">
        <f t="shared" si="15"/>
        <v>1.0166666666627862</v>
      </c>
      <c r="S84" s="158">
        <f t="shared" si="16"/>
        <v>1.0166666666627862</v>
      </c>
      <c r="T84" s="161">
        <f t="shared" si="17"/>
        <v>108.78333333291812</v>
      </c>
      <c r="U84" s="158">
        <f t="shared" si="19"/>
        <v>107</v>
      </c>
      <c r="V84" s="160">
        <f t="shared" si="18"/>
        <v>107</v>
      </c>
    </row>
    <row r="85" spans="1:22" x14ac:dyDescent="0.25">
      <c r="A85" s="98" t="s">
        <v>21</v>
      </c>
      <c r="B85" s="98" t="s">
        <v>17</v>
      </c>
      <c r="C85" s="98">
        <v>33</v>
      </c>
      <c r="D85" s="98">
        <v>358</v>
      </c>
      <c r="E85" s="157">
        <v>41763.732638888891</v>
      </c>
      <c r="F85" s="157">
        <v>41763.811111111114</v>
      </c>
      <c r="G85" s="98">
        <v>93</v>
      </c>
      <c r="H85" s="98">
        <v>114</v>
      </c>
      <c r="I85" s="98">
        <v>107</v>
      </c>
      <c r="J85" s="98" t="s">
        <v>2047</v>
      </c>
      <c r="K85" s="98" t="s">
        <v>906</v>
      </c>
      <c r="L85" s="105" t="str">
        <f t="shared" si="10"/>
        <v>Brown</v>
      </c>
      <c r="M85" s="105" t="str">
        <f t="shared" si="11"/>
        <v>Derate</v>
      </c>
      <c r="N85" s="105" t="str">
        <f t="shared" si="12"/>
        <v>Coal</v>
      </c>
      <c r="O85" s="105">
        <f>IFERROR(VLOOKUP(A85,Lookup!$J$5:$P$19,7,FALSE),0)</f>
        <v>1</v>
      </c>
      <c r="P85" s="159">
        <f t="shared" si="13"/>
        <v>2014</v>
      </c>
      <c r="Q85" s="159">
        <f t="shared" si="14"/>
        <v>5</v>
      </c>
      <c r="R85" s="160">
        <f t="shared" si="15"/>
        <v>1.8833333333604969</v>
      </c>
      <c r="S85" s="158">
        <f t="shared" si="16"/>
        <v>0.34692982456640731</v>
      </c>
      <c r="T85" s="161">
        <f t="shared" si="17"/>
        <v>37.121491228605585</v>
      </c>
      <c r="U85" s="158">
        <f t="shared" si="19"/>
        <v>19.710526315789473</v>
      </c>
      <c r="V85" s="160">
        <f t="shared" si="18"/>
        <v>20</v>
      </c>
    </row>
    <row r="86" spans="1:22" x14ac:dyDescent="0.25">
      <c r="A86" s="98" t="s">
        <v>21</v>
      </c>
      <c r="B86" s="98" t="s">
        <v>32</v>
      </c>
      <c r="C86" s="98">
        <v>34</v>
      </c>
      <c r="D86" s="98">
        <v>3410</v>
      </c>
      <c r="E86" s="157">
        <v>41765.958333333336</v>
      </c>
      <c r="F86" s="157">
        <v>41766.0625</v>
      </c>
      <c r="G86" s="98">
        <v>50</v>
      </c>
      <c r="H86" s="98">
        <v>114</v>
      </c>
      <c r="I86" s="98">
        <v>107</v>
      </c>
      <c r="J86" s="98" t="s">
        <v>1983</v>
      </c>
      <c r="K86" s="98" t="s">
        <v>907</v>
      </c>
      <c r="L86" s="105" t="str">
        <f t="shared" si="10"/>
        <v>Brown</v>
      </c>
      <c r="M86" s="105" t="str">
        <f t="shared" si="11"/>
        <v>Derate</v>
      </c>
      <c r="N86" s="105" t="str">
        <f t="shared" si="12"/>
        <v>Coal</v>
      </c>
      <c r="O86" s="105">
        <f>IFERROR(VLOOKUP(A86,Lookup!$J$5:$P$19,7,FALSE),0)</f>
        <v>1</v>
      </c>
      <c r="P86" s="159">
        <f t="shared" si="13"/>
        <v>2014</v>
      </c>
      <c r="Q86" s="159">
        <f t="shared" si="14"/>
        <v>5</v>
      </c>
      <c r="R86" s="160">
        <f t="shared" si="15"/>
        <v>2.4999999999417923</v>
      </c>
      <c r="S86" s="158">
        <f t="shared" si="16"/>
        <v>1.4035087718971466</v>
      </c>
      <c r="T86" s="161">
        <f t="shared" si="17"/>
        <v>150.17543859299468</v>
      </c>
      <c r="U86" s="158">
        <f t="shared" si="19"/>
        <v>60.070175438596493</v>
      </c>
      <c r="V86" s="160">
        <f t="shared" si="18"/>
        <v>60</v>
      </c>
    </row>
    <row r="87" spans="1:22" x14ac:dyDescent="0.25">
      <c r="A87" s="98" t="s">
        <v>21</v>
      </c>
      <c r="B87" s="98" t="s">
        <v>15</v>
      </c>
      <c r="C87" s="98">
        <v>35</v>
      </c>
      <c r="D87" s="98">
        <v>1455</v>
      </c>
      <c r="E87" s="157">
        <v>41767.427777777775</v>
      </c>
      <c r="F87" s="157">
        <v>41767.78125</v>
      </c>
      <c r="G87" s="98">
        <v>0</v>
      </c>
      <c r="H87" s="98">
        <v>114</v>
      </c>
      <c r="I87" s="98">
        <v>107</v>
      </c>
      <c r="J87" s="98" t="s">
        <v>1990</v>
      </c>
      <c r="K87" s="98" t="s">
        <v>908</v>
      </c>
      <c r="L87" s="105" t="str">
        <f t="shared" si="10"/>
        <v>Brown</v>
      </c>
      <c r="M87" s="105" t="str">
        <f t="shared" si="11"/>
        <v>Outage</v>
      </c>
      <c r="N87" s="105" t="str">
        <f t="shared" si="12"/>
        <v>Coal</v>
      </c>
      <c r="O87" s="105">
        <f>IFERROR(VLOOKUP(A87,Lookup!$J$5:$P$19,7,FALSE),0)</f>
        <v>1</v>
      </c>
      <c r="P87" s="159">
        <f t="shared" si="13"/>
        <v>2014</v>
      </c>
      <c r="Q87" s="159">
        <f t="shared" si="14"/>
        <v>5</v>
      </c>
      <c r="R87" s="160">
        <f t="shared" si="15"/>
        <v>8.4833333333954215</v>
      </c>
      <c r="S87" s="158">
        <f t="shared" si="16"/>
        <v>8.4833333333954215</v>
      </c>
      <c r="T87" s="161">
        <f t="shared" si="17"/>
        <v>907.7166666733101</v>
      </c>
      <c r="U87" s="158">
        <f t="shared" si="19"/>
        <v>107</v>
      </c>
      <c r="V87" s="160">
        <f t="shared" si="18"/>
        <v>107</v>
      </c>
    </row>
    <row r="88" spans="1:22" x14ac:dyDescent="0.25">
      <c r="A88" s="98" t="s">
        <v>21</v>
      </c>
      <c r="B88" s="98" t="s">
        <v>18</v>
      </c>
      <c r="C88" s="98">
        <v>36</v>
      </c>
      <c r="D88" s="98">
        <v>1455</v>
      </c>
      <c r="E88" s="157">
        <v>41767.78125</v>
      </c>
      <c r="F88" s="157">
        <v>41767.918749999997</v>
      </c>
      <c r="G88" s="98">
        <v>0</v>
      </c>
      <c r="H88" s="98">
        <v>114</v>
      </c>
      <c r="I88" s="98">
        <v>107</v>
      </c>
      <c r="J88" s="98" t="s">
        <v>1990</v>
      </c>
      <c r="K88" s="98" t="s">
        <v>908</v>
      </c>
      <c r="L88" s="105" t="str">
        <f t="shared" si="10"/>
        <v>Brown</v>
      </c>
      <c r="M88" s="105" t="str">
        <f t="shared" si="11"/>
        <v>Outage</v>
      </c>
      <c r="N88" s="105" t="str">
        <f t="shared" si="12"/>
        <v>Coal</v>
      </c>
      <c r="O88" s="105">
        <f>IFERROR(VLOOKUP(A88,Lookup!$J$5:$P$19,7,FALSE),0)</f>
        <v>1</v>
      </c>
      <c r="P88" s="159">
        <f t="shared" si="13"/>
        <v>2014</v>
      </c>
      <c r="Q88" s="159">
        <f t="shared" si="14"/>
        <v>5</v>
      </c>
      <c r="R88" s="160">
        <f t="shared" si="15"/>
        <v>3.2999999999301508</v>
      </c>
      <c r="S88" s="158">
        <f t="shared" si="16"/>
        <v>3.2999999999301508</v>
      </c>
      <c r="T88" s="161">
        <f t="shared" si="17"/>
        <v>353.09999999252614</v>
      </c>
      <c r="U88" s="158">
        <f t="shared" si="19"/>
        <v>107</v>
      </c>
      <c r="V88" s="160">
        <f t="shared" si="18"/>
        <v>107</v>
      </c>
    </row>
    <row r="89" spans="1:22" x14ac:dyDescent="0.25">
      <c r="A89" s="98" t="s">
        <v>21</v>
      </c>
      <c r="B89" s="98" t="s">
        <v>17</v>
      </c>
      <c r="C89" s="98">
        <v>37</v>
      </c>
      <c r="D89" s="98">
        <v>310</v>
      </c>
      <c r="E89" s="157">
        <v>41767.986111111109</v>
      </c>
      <c r="F89" s="157">
        <v>41769.5</v>
      </c>
      <c r="G89" s="98">
        <v>95</v>
      </c>
      <c r="H89" s="98">
        <v>114</v>
      </c>
      <c r="I89" s="98">
        <v>107</v>
      </c>
      <c r="J89" s="98" t="s">
        <v>1966</v>
      </c>
      <c r="K89" s="98" t="s">
        <v>909</v>
      </c>
      <c r="L89" s="105" t="str">
        <f t="shared" si="10"/>
        <v>Brown</v>
      </c>
      <c r="M89" s="105" t="str">
        <f t="shared" si="11"/>
        <v>Derate</v>
      </c>
      <c r="N89" s="105" t="str">
        <f t="shared" si="12"/>
        <v>Coal</v>
      </c>
      <c r="O89" s="105">
        <f>IFERROR(VLOOKUP(A89,Lookup!$J$5:$P$19,7,FALSE),0)</f>
        <v>1</v>
      </c>
      <c r="P89" s="159">
        <f t="shared" si="13"/>
        <v>2014</v>
      </c>
      <c r="Q89" s="159">
        <f t="shared" si="14"/>
        <v>5</v>
      </c>
      <c r="R89" s="160">
        <f t="shared" si="15"/>
        <v>36.333333333372138</v>
      </c>
      <c r="S89" s="158">
        <f t="shared" si="16"/>
        <v>6.0555555555620231</v>
      </c>
      <c r="T89" s="161">
        <f t="shared" si="17"/>
        <v>647.94444444513647</v>
      </c>
      <c r="U89" s="158">
        <f t="shared" si="19"/>
        <v>17.833333333333332</v>
      </c>
      <c r="V89" s="160">
        <f t="shared" si="18"/>
        <v>18</v>
      </c>
    </row>
    <row r="90" spans="1:22" x14ac:dyDescent="0.25">
      <c r="A90" s="98" t="s">
        <v>21</v>
      </c>
      <c r="B90" s="98" t="s">
        <v>32</v>
      </c>
      <c r="C90" s="98">
        <v>38</v>
      </c>
      <c r="D90" s="98">
        <v>510</v>
      </c>
      <c r="E90" s="157">
        <v>41773.844444444447</v>
      </c>
      <c r="F90" s="157">
        <v>41774.003472222219</v>
      </c>
      <c r="G90" s="98">
        <v>63</v>
      </c>
      <c r="H90" s="98">
        <v>114</v>
      </c>
      <c r="I90" s="98">
        <v>107</v>
      </c>
      <c r="J90" s="98" t="s">
        <v>3188</v>
      </c>
      <c r="K90" s="98" t="s">
        <v>910</v>
      </c>
      <c r="L90" s="105" t="str">
        <f t="shared" si="10"/>
        <v>Brown</v>
      </c>
      <c r="M90" s="105" t="str">
        <f t="shared" si="11"/>
        <v>Derate</v>
      </c>
      <c r="N90" s="105" t="str">
        <f t="shared" si="12"/>
        <v>Coal</v>
      </c>
      <c r="O90" s="105">
        <f>IFERROR(VLOOKUP(A90,Lookup!$J$5:$P$19,7,FALSE),0)</f>
        <v>1</v>
      </c>
      <c r="P90" s="159">
        <f t="shared" si="13"/>
        <v>2014</v>
      </c>
      <c r="Q90" s="159">
        <f t="shared" si="14"/>
        <v>5</v>
      </c>
      <c r="R90" s="160">
        <f t="shared" si="15"/>
        <v>3.8166666665347293</v>
      </c>
      <c r="S90" s="158">
        <f t="shared" si="16"/>
        <v>1.7074561402918527</v>
      </c>
      <c r="T90" s="161">
        <f t="shared" si="17"/>
        <v>182.69780701122824</v>
      </c>
      <c r="U90" s="158">
        <f t="shared" si="19"/>
        <v>47.868421052631582</v>
      </c>
      <c r="V90" s="160">
        <f t="shared" si="18"/>
        <v>48</v>
      </c>
    </row>
    <row r="91" spans="1:22" x14ac:dyDescent="0.25">
      <c r="A91" s="98" t="s">
        <v>21</v>
      </c>
      <c r="B91" s="98" t="s">
        <v>32</v>
      </c>
      <c r="C91" s="98">
        <v>39</v>
      </c>
      <c r="D91" s="98">
        <v>260</v>
      </c>
      <c r="E91" s="157">
        <v>41778.486805555556</v>
      </c>
      <c r="F91" s="157">
        <v>41778.549305555556</v>
      </c>
      <c r="G91" s="98">
        <v>75</v>
      </c>
      <c r="H91" s="98">
        <v>114</v>
      </c>
      <c r="I91" s="98">
        <v>107</v>
      </c>
      <c r="J91" s="98" t="s">
        <v>1973</v>
      </c>
      <c r="K91" s="98" t="s">
        <v>911</v>
      </c>
      <c r="L91" s="105" t="str">
        <f t="shared" si="10"/>
        <v>Brown</v>
      </c>
      <c r="M91" s="105" t="str">
        <f t="shared" si="11"/>
        <v>Derate</v>
      </c>
      <c r="N91" s="105" t="str">
        <f t="shared" si="12"/>
        <v>Coal</v>
      </c>
      <c r="O91" s="105">
        <f>IFERROR(VLOOKUP(A91,Lookup!$J$5:$P$19,7,FALSE),0)</f>
        <v>1</v>
      </c>
      <c r="P91" s="159">
        <f t="shared" si="13"/>
        <v>2014</v>
      </c>
      <c r="Q91" s="159">
        <f t="shared" si="14"/>
        <v>5</v>
      </c>
      <c r="R91" s="160">
        <f t="shared" si="15"/>
        <v>1.5</v>
      </c>
      <c r="S91" s="158">
        <f t="shared" si="16"/>
        <v>0.51315789473684215</v>
      </c>
      <c r="T91" s="161">
        <f t="shared" si="17"/>
        <v>54.90789473684211</v>
      </c>
      <c r="U91" s="158">
        <f t="shared" si="19"/>
        <v>36.60526315789474</v>
      </c>
      <c r="V91" s="160">
        <f t="shared" si="18"/>
        <v>37</v>
      </c>
    </row>
    <row r="92" spans="1:22" x14ac:dyDescent="0.25">
      <c r="A92" s="98" t="s">
        <v>21</v>
      </c>
      <c r="B92" s="98" t="s">
        <v>17</v>
      </c>
      <c r="C92" s="98">
        <v>40</v>
      </c>
      <c r="D92" s="98">
        <v>95</v>
      </c>
      <c r="E92" s="157">
        <v>41779.54583333333</v>
      </c>
      <c r="F92" s="157">
        <v>41779.599305555559</v>
      </c>
      <c r="G92" s="98">
        <v>80</v>
      </c>
      <c r="H92" s="98">
        <v>114</v>
      </c>
      <c r="I92" s="98">
        <v>107</v>
      </c>
      <c r="J92" s="98" t="s">
        <v>1998</v>
      </c>
      <c r="K92" s="98" t="s">
        <v>912</v>
      </c>
      <c r="L92" s="105" t="str">
        <f t="shared" si="10"/>
        <v>Brown</v>
      </c>
      <c r="M92" s="105" t="str">
        <f t="shared" si="11"/>
        <v>Derate</v>
      </c>
      <c r="N92" s="105" t="str">
        <f t="shared" si="12"/>
        <v>Coal</v>
      </c>
      <c r="O92" s="105">
        <f>IFERROR(VLOOKUP(A92,Lookup!$J$5:$P$19,7,FALSE),0)</f>
        <v>1</v>
      </c>
      <c r="P92" s="159">
        <f t="shared" si="13"/>
        <v>2014</v>
      </c>
      <c r="Q92" s="159">
        <f t="shared" si="14"/>
        <v>5</v>
      </c>
      <c r="R92" s="160">
        <f t="shared" si="15"/>
        <v>1.2833333335001953</v>
      </c>
      <c r="S92" s="158">
        <f t="shared" si="16"/>
        <v>0.38274853806146175</v>
      </c>
      <c r="T92" s="161">
        <f t="shared" si="17"/>
        <v>40.954093572576404</v>
      </c>
      <c r="U92" s="158">
        <f t="shared" si="19"/>
        <v>31.912280701754387</v>
      </c>
      <c r="V92" s="160">
        <f t="shared" si="18"/>
        <v>32</v>
      </c>
    </row>
    <row r="93" spans="1:22" x14ac:dyDescent="0.25">
      <c r="A93" s="98" t="s">
        <v>21</v>
      </c>
      <c r="B93" s="98" t="s">
        <v>32</v>
      </c>
      <c r="C93" s="98">
        <v>41</v>
      </c>
      <c r="D93" s="98">
        <v>310</v>
      </c>
      <c r="E93" s="157">
        <v>41789.916666666664</v>
      </c>
      <c r="F93" s="157">
        <v>41791.350694444445</v>
      </c>
      <c r="G93" s="98">
        <v>90</v>
      </c>
      <c r="H93" s="98">
        <v>114</v>
      </c>
      <c r="I93" s="98">
        <v>107</v>
      </c>
      <c r="J93" s="98" t="s">
        <v>1966</v>
      </c>
      <c r="K93" s="98" t="s">
        <v>913</v>
      </c>
      <c r="L93" s="105" t="str">
        <f t="shared" si="10"/>
        <v>Brown</v>
      </c>
      <c r="M93" s="105" t="str">
        <f t="shared" si="11"/>
        <v>Derate</v>
      </c>
      <c r="N93" s="105" t="str">
        <f t="shared" si="12"/>
        <v>Coal</v>
      </c>
      <c r="O93" s="105">
        <f>IFERROR(VLOOKUP(A93,Lookup!$J$5:$P$19,7,FALSE),0)</f>
        <v>1</v>
      </c>
      <c r="P93" s="159">
        <f t="shared" si="13"/>
        <v>2014</v>
      </c>
      <c r="Q93" s="159">
        <f t="shared" si="14"/>
        <v>5</v>
      </c>
      <c r="R93" s="160">
        <f t="shared" si="15"/>
        <v>34.416666666744277</v>
      </c>
      <c r="S93" s="158">
        <f t="shared" si="16"/>
        <v>7.2456140351040581</v>
      </c>
      <c r="T93" s="161">
        <f t="shared" si="17"/>
        <v>775.28070175613425</v>
      </c>
      <c r="U93" s="158">
        <f t="shared" si="19"/>
        <v>22.526315789473685</v>
      </c>
      <c r="V93" s="160">
        <f t="shared" si="18"/>
        <v>23</v>
      </c>
    </row>
    <row r="94" spans="1:22" x14ac:dyDescent="0.25">
      <c r="A94" s="98" t="s">
        <v>21</v>
      </c>
      <c r="B94" s="98" t="s">
        <v>32</v>
      </c>
      <c r="C94" s="98">
        <v>42</v>
      </c>
      <c r="D94" s="98">
        <v>3210</v>
      </c>
      <c r="E94" s="157">
        <v>41816.916666666664</v>
      </c>
      <c r="F94" s="157">
        <v>41817.13958333333</v>
      </c>
      <c r="G94" s="98">
        <v>80</v>
      </c>
      <c r="H94" s="98">
        <v>114</v>
      </c>
      <c r="I94" s="98">
        <v>107</v>
      </c>
      <c r="J94" s="98" t="s">
        <v>2048</v>
      </c>
      <c r="K94" s="98" t="s">
        <v>914</v>
      </c>
      <c r="L94" s="105" t="str">
        <f t="shared" si="10"/>
        <v>Brown</v>
      </c>
      <c r="M94" s="105" t="str">
        <f t="shared" si="11"/>
        <v>Derate</v>
      </c>
      <c r="N94" s="105" t="str">
        <f t="shared" si="12"/>
        <v>Coal</v>
      </c>
      <c r="O94" s="105">
        <f>IFERROR(VLOOKUP(A94,Lookup!$J$5:$P$19,7,FALSE),0)</f>
        <v>1</v>
      </c>
      <c r="P94" s="159">
        <f t="shared" si="13"/>
        <v>2014</v>
      </c>
      <c r="Q94" s="159">
        <f t="shared" si="14"/>
        <v>6</v>
      </c>
      <c r="R94" s="160">
        <f t="shared" si="15"/>
        <v>5.3499999999767169</v>
      </c>
      <c r="S94" s="158">
        <f t="shared" si="16"/>
        <v>1.5956140350807753</v>
      </c>
      <c r="T94" s="161">
        <f t="shared" si="17"/>
        <v>170.73070175364296</v>
      </c>
      <c r="U94" s="158">
        <f t="shared" si="19"/>
        <v>31.912280701754387</v>
      </c>
      <c r="V94" s="160">
        <f t="shared" si="18"/>
        <v>32</v>
      </c>
    </row>
    <row r="95" spans="1:22" x14ac:dyDescent="0.25">
      <c r="A95" s="98" t="s">
        <v>21</v>
      </c>
      <c r="B95" s="98" t="s">
        <v>17</v>
      </c>
      <c r="C95" s="98">
        <v>43</v>
      </c>
      <c r="D95" s="98">
        <v>250</v>
      </c>
      <c r="E95" s="157">
        <v>41820.884722222225</v>
      </c>
      <c r="F95" s="157">
        <v>41821.086805555555</v>
      </c>
      <c r="G95" s="98">
        <v>90</v>
      </c>
      <c r="H95" s="98">
        <v>114</v>
      </c>
      <c r="I95" s="98">
        <v>107</v>
      </c>
      <c r="J95" s="98" t="s">
        <v>1978</v>
      </c>
      <c r="K95" s="98" t="s">
        <v>915</v>
      </c>
      <c r="L95" s="105" t="str">
        <f t="shared" si="10"/>
        <v>Brown</v>
      </c>
      <c r="M95" s="105" t="str">
        <f t="shared" si="11"/>
        <v>Derate</v>
      </c>
      <c r="N95" s="105" t="str">
        <f t="shared" si="12"/>
        <v>Coal</v>
      </c>
      <c r="O95" s="105">
        <f>IFERROR(VLOOKUP(A95,Lookup!$J$5:$P$19,7,FALSE),0)</f>
        <v>1</v>
      </c>
      <c r="P95" s="159">
        <f t="shared" si="13"/>
        <v>2014</v>
      </c>
      <c r="Q95" s="159">
        <f t="shared" si="14"/>
        <v>6</v>
      </c>
      <c r="R95" s="160">
        <f t="shared" si="15"/>
        <v>4.8499999999185093</v>
      </c>
      <c r="S95" s="158">
        <f t="shared" si="16"/>
        <v>1.0210526315617914</v>
      </c>
      <c r="T95" s="161">
        <f t="shared" si="17"/>
        <v>109.25263157711167</v>
      </c>
      <c r="U95" s="158">
        <f t="shared" si="19"/>
        <v>22.526315789473685</v>
      </c>
      <c r="V95" s="160">
        <f t="shared" si="18"/>
        <v>23</v>
      </c>
    </row>
    <row r="96" spans="1:22" x14ac:dyDescent="0.25">
      <c r="A96" s="98" t="s">
        <v>21</v>
      </c>
      <c r="B96" s="98" t="s">
        <v>17</v>
      </c>
      <c r="C96" s="98">
        <v>44</v>
      </c>
      <c r="D96" s="98">
        <v>410</v>
      </c>
      <c r="E96" s="157">
        <v>41821.40625</v>
      </c>
      <c r="F96" s="157">
        <v>41821.415972222225</v>
      </c>
      <c r="G96" s="98">
        <v>66</v>
      </c>
      <c r="H96" s="98">
        <v>114</v>
      </c>
      <c r="I96" s="98">
        <v>107</v>
      </c>
      <c r="J96" s="98" t="s">
        <v>2049</v>
      </c>
      <c r="K96" s="98" t="s">
        <v>2050</v>
      </c>
      <c r="L96" s="105" t="str">
        <f t="shared" si="10"/>
        <v>Brown</v>
      </c>
      <c r="M96" s="105" t="str">
        <f t="shared" si="11"/>
        <v>Derate</v>
      </c>
      <c r="N96" s="105" t="str">
        <f t="shared" si="12"/>
        <v>Coal</v>
      </c>
      <c r="O96" s="105">
        <f>IFERROR(VLOOKUP(A96,Lookup!$J$5:$P$19,7,FALSE),0)</f>
        <v>1</v>
      </c>
      <c r="P96" s="159">
        <f t="shared" si="13"/>
        <v>2014</v>
      </c>
      <c r="Q96" s="159">
        <f t="shared" si="14"/>
        <v>7</v>
      </c>
      <c r="R96" s="160">
        <f t="shared" si="15"/>
        <v>0.2333333333954215</v>
      </c>
      <c r="S96" s="158">
        <f t="shared" si="16"/>
        <v>9.8245614061230113E-2</v>
      </c>
      <c r="T96" s="161">
        <f t="shared" si="17"/>
        <v>10.512280704551623</v>
      </c>
      <c r="U96" s="158">
        <f t="shared" si="19"/>
        <v>45.05263157894737</v>
      </c>
      <c r="V96" s="160">
        <f t="shared" si="18"/>
        <v>45</v>
      </c>
    </row>
    <row r="97" spans="1:22" x14ac:dyDescent="0.25">
      <c r="A97" s="98" t="s">
        <v>21</v>
      </c>
      <c r="B97" s="98" t="s">
        <v>17</v>
      </c>
      <c r="C97" s="98">
        <v>45</v>
      </c>
      <c r="D97" s="98">
        <v>250</v>
      </c>
      <c r="E97" s="157">
        <v>41821.436111111114</v>
      </c>
      <c r="F97" s="157">
        <v>41821.478472222225</v>
      </c>
      <c r="G97" s="98">
        <v>101</v>
      </c>
      <c r="H97" s="98">
        <v>114</v>
      </c>
      <c r="I97" s="98">
        <v>107</v>
      </c>
      <c r="J97" s="98" t="s">
        <v>1978</v>
      </c>
      <c r="K97" s="98" t="s">
        <v>2051</v>
      </c>
      <c r="L97" s="105" t="str">
        <f t="shared" si="10"/>
        <v>Brown</v>
      </c>
      <c r="M97" s="105" t="str">
        <f t="shared" si="11"/>
        <v>Derate</v>
      </c>
      <c r="N97" s="105" t="str">
        <f t="shared" si="12"/>
        <v>Coal</v>
      </c>
      <c r="O97" s="105">
        <f>IFERROR(VLOOKUP(A97,Lookup!$J$5:$P$19,7,FALSE),0)</f>
        <v>1</v>
      </c>
      <c r="P97" s="159">
        <f t="shared" si="13"/>
        <v>2014</v>
      </c>
      <c r="Q97" s="159">
        <f t="shared" si="14"/>
        <v>7</v>
      </c>
      <c r="R97" s="160">
        <f t="shared" si="15"/>
        <v>1.0166666666627862</v>
      </c>
      <c r="S97" s="158">
        <f t="shared" si="16"/>
        <v>0.11593567251417737</v>
      </c>
      <c r="T97" s="161">
        <f t="shared" si="17"/>
        <v>12.405116959016979</v>
      </c>
      <c r="U97" s="158">
        <f t="shared" si="19"/>
        <v>12.201754385964913</v>
      </c>
      <c r="V97" s="160">
        <f t="shared" si="18"/>
        <v>12</v>
      </c>
    </row>
    <row r="98" spans="1:22" x14ac:dyDescent="0.25">
      <c r="A98" s="98" t="s">
        <v>21</v>
      </c>
      <c r="B98" s="98" t="s">
        <v>17</v>
      </c>
      <c r="C98" s="98">
        <v>46</v>
      </c>
      <c r="D98" s="98">
        <v>250</v>
      </c>
      <c r="E98" s="157">
        <v>41822.800000000003</v>
      </c>
      <c r="F98" s="157">
        <v>41822.809027777781</v>
      </c>
      <c r="G98" s="98">
        <v>95</v>
      </c>
      <c r="H98" s="98">
        <v>114</v>
      </c>
      <c r="I98" s="98">
        <v>107</v>
      </c>
      <c r="J98" s="98" t="s">
        <v>1978</v>
      </c>
      <c r="K98" s="98" t="s">
        <v>2052</v>
      </c>
      <c r="L98" s="105" t="str">
        <f t="shared" si="10"/>
        <v>Brown</v>
      </c>
      <c r="M98" s="105" t="str">
        <f t="shared" si="11"/>
        <v>Derate</v>
      </c>
      <c r="N98" s="105" t="str">
        <f t="shared" si="12"/>
        <v>Coal</v>
      </c>
      <c r="O98" s="105">
        <f>IFERROR(VLOOKUP(A98,Lookup!$J$5:$P$19,7,FALSE),0)</f>
        <v>1</v>
      </c>
      <c r="P98" s="159">
        <f t="shared" si="13"/>
        <v>2014</v>
      </c>
      <c r="Q98" s="159">
        <f t="shared" si="14"/>
        <v>7</v>
      </c>
      <c r="R98" s="160">
        <f t="shared" si="15"/>
        <v>0.21666666667442769</v>
      </c>
      <c r="S98" s="158">
        <f t="shared" si="16"/>
        <v>3.6111111112404615E-2</v>
      </c>
      <c r="T98" s="161">
        <f t="shared" si="17"/>
        <v>3.8638888890272938</v>
      </c>
      <c r="U98" s="158">
        <f t="shared" si="19"/>
        <v>17.833333333333332</v>
      </c>
      <c r="V98" s="160">
        <f t="shared" si="18"/>
        <v>18</v>
      </c>
    </row>
    <row r="99" spans="1:22" x14ac:dyDescent="0.25">
      <c r="A99" s="98" t="s">
        <v>21</v>
      </c>
      <c r="B99" s="98" t="s">
        <v>15</v>
      </c>
      <c r="C99" s="98">
        <v>48</v>
      </c>
      <c r="D99" s="98">
        <v>4261</v>
      </c>
      <c r="E99" s="157">
        <v>41827.986111111109</v>
      </c>
      <c r="F99" s="157">
        <v>41828.763194444444</v>
      </c>
      <c r="G99" s="98">
        <v>0</v>
      </c>
      <c r="H99" s="98">
        <v>114</v>
      </c>
      <c r="I99" s="98">
        <v>107</v>
      </c>
      <c r="J99" s="98" t="s">
        <v>1985</v>
      </c>
      <c r="K99" s="98" t="s">
        <v>2053</v>
      </c>
      <c r="L99" s="105" t="str">
        <f t="shared" si="10"/>
        <v>Brown</v>
      </c>
      <c r="M99" s="105" t="str">
        <f t="shared" si="11"/>
        <v>Outage</v>
      </c>
      <c r="N99" s="105" t="str">
        <f t="shared" si="12"/>
        <v>Coal</v>
      </c>
      <c r="O99" s="105">
        <f>IFERROR(VLOOKUP(A99,Lookup!$J$5:$P$19,7,FALSE),0)</f>
        <v>1</v>
      </c>
      <c r="P99" s="159">
        <f t="shared" si="13"/>
        <v>2014</v>
      </c>
      <c r="Q99" s="159">
        <f t="shared" si="14"/>
        <v>7</v>
      </c>
      <c r="R99" s="160">
        <f t="shared" si="15"/>
        <v>18.650000000023283</v>
      </c>
      <c r="S99" s="158">
        <f t="shared" si="16"/>
        <v>18.650000000023283</v>
      </c>
      <c r="T99" s="161">
        <f t="shared" si="17"/>
        <v>1995.5500000024913</v>
      </c>
      <c r="U99" s="158">
        <f t="shared" si="19"/>
        <v>107</v>
      </c>
      <c r="V99" s="160">
        <f t="shared" si="18"/>
        <v>107</v>
      </c>
    </row>
    <row r="100" spans="1:22" x14ac:dyDescent="0.25">
      <c r="A100" s="98" t="s">
        <v>21</v>
      </c>
      <c r="B100" s="98" t="s">
        <v>17</v>
      </c>
      <c r="C100" s="98">
        <v>49</v>
      </c>
      <c r="D100" s="98">
        <v>250</v>
      </c>
      <c r="E100" s="157">
        <v>41834.631944444445</v>
      </c>
      <c r="F100" s="157">
        <v>41834.756944444445</v>
      </c>
      <c r="G100" s="98">
        <v>85</v>
      </c>
      <c r="H100" s="98">
        <v>114</v>
      </c>
      <c r="I100" s="98">
        <v>107</v>
      </c>
      <c r="J100" s="98" t="s">
        <v>1978</v>
      </c>
      <c r="K100" s="98" t="s">
        <v>2054</v>
      </c>
      <c r="L100" s="105" t="str">
        <f t="shared" si="10"/>
        <v>Brown</v>
      </c>
      <c r="M100" s="105" t="str">
        <f t="shared" si="11"/>
        <v>Derate</v>
      </c>
      <c r="N100" s="105" t="str">
        <f t="shared" si="12"/>
        <v>Coal</v>
      </c>
      <c r="O100" s="105">
        <f>IFERROR(VLOOKUP(A100,Lookup!$J$5:$P$19,7,FALSE),0)</f>
        <v>1</v>
      </c>
      <c r="P100" s="159">
        <f t="shared" si="13"/>
        <v>2014</v>
      </c>
      <c r="Q100" s="159">
        <f t="shared" si="14"/>
        <v>7</v>
      </c>
      <c r="R100" s="160">
        <f t="shared" si="15"/>
        <v>3</v>
      </c>
      <c r="S100" s="158">
        <f t="shared" si="16"/>
        <v>0.76315789473684215</v>
      </c>
      <c r="T100" s="161">
        <f t="shared" si="17"/>
        <v>81.65789473684211</v>
      </c>
      <c r="U100" s="158">
        <f t="shared" si="19"/>
        <v>27.219298245614034</v>
      </c>
      <c r="V100" s="160">
        <f t="shared" si="18"/>
        <v>27</v>
      </c>
    </row>
    <row r="101" spans="1:22" x14ac:dyDescent="0.25">
      <c r="A101" s="98" t="s">
        <v>21</v>
      </c>
      <c r="B101" s="98" t="s">
        <v>32</v>
      </c>
      <c r="C101" s="98">
        <v>50</v>
      </c>
      <c r="D101" s="98">
        <v>344</v>
      </c>
      <c r="E101" s="157">
        <v>41844.916666666664</v>
      </c>
      <c r="F101" s="157">
        <v>41845.158333333333</v>
      </c>
      <c r="G101" s="98">
        <v>85</v>
      </c>
      <c r="H101" s="98">
        <v>114</v>
      </c>
      <c r="I101" s="98">
        <v>107</v>
      </c>
      <c r="J101" s="98" t="s">
        <v>1968</v>
      </c>
      <c r="K101" s="98" t="s">
        <v>2055</v>
      </c>
      <c r="L101" s="105" t="str">
        <f t="shared" si="10"/>
        <v>Brown</v>
      </c>
      <c r="M101" s="105" t="str">
        <f t="shared" si="11"/>
        <v>Derate</v>
      </c>
      <c r="N101" s="105" t="str">
        <f t="shared" si="12"/>
        <v>Coal</v>
      </c>
      <c r="O101" s="105">
        <f>IFERROR(VLOOKUP(A101,Lookup!$J$5:$P$19,7,FALSE),0)</f>
        <v>1</v>
      </c>
      <c r="P101" s="159">
        <f t="shared" si="13"/>
        <v>2014</v>
      </c>
      <c r="Q101" s="159">
        <f t="shared" si="14"/>
        <v>7</v>
      </c>
      <c r="R101" s="160">
        <f t="shared" si="15"/>
        <v>5.8000000000465661</v>
      </c>
      <c r="S101" s="158">
        <f t="shared" si="16"/>
        <v>1.4754385965030739</v>
      </c>
      <c r="T101" s="161">
        <f t="shared" si="17"/>
        <v>157.87192982582891</v>
      </c>
      <c r="U101" s="158">
        <f t="shared" si="19"/>
        <v>27.219298245614034</v>
      </c>
      <c r="V101" s="160">
        <f t="shared" si="18"/>
        <v>27</v>
      </c>
    </row>
    <row r="102" spans="1:22" x14ac:dyDescent="0.25">
      <c r="A102" s="98" t="s">
        <v>21</v>
      </c>
      <c r="B102" s="98" t="s">
        <v>20</v>
      </c>
      <c r="C102" s="98">
        <v>51</v>
      </c>
      <c r="D102" s="98">
        <v>3420</v>
      </c>
      <c r="E102" s="157">
        <v>41849.834722222222</v>
      </c>
      <c r="F102" s="157">
        <v>41851.134722222225</v>
      </c>
      <c r="G102" s="98">
        <v>0</v>
      </c>
      <c r="H102" s="98">
        <v>114</v>
      </c>
      <c r="I102" s="98">
        <v>107</v>
      </c>
      <c r="J102" s="98" t="s">
        <v>2056</v>
      </c>
      <c r="K102" s="98" t="s">
        <v>2057</v>
      </c>
      <c r="L102" s="105" t="str">
        <f t="shared" si="10"/>
        <v>Brown</v>
      </c>
      <c r="M102" s="105" t="str">
        <f t="shared" si="11"/>
        <v>Maintenance</v>
      </c>
      <c r="N102" s="105" t="str">
        <f t="shared" si="12"/>
        <v>Coal</v>
      </c>
      <c r="O102" s="105">
        <f>IFERROR(VLOOKUP(A102,Lookup!$J$5:$P$19,7,FALSE),0)</f>
        <v>1</v>
      </c>
      <c r="P102" s="159">
        <f t="shared" si="13"/>
        <v>2014</v>
      </c>
      <c r="Q102" s="159">
        <f t="shared" si="14"/>
        <v>7</v>
      </c>
      <c r="R102" s="160">
        <f t="shared" si="15"/>
        <v>31.200000000069849</v>
      </c>
      <c r="S102" s="158">
        <f t="shared" si="16"/>
        <v>31.200000000069849</v>
      </c>
      <c r="T102" s="161">
        <f t="shared" si="17"/>
        <v>3338.4000000074739</v>
      </c>
      <c r="U102" s="158">
        <f t="shared" si="19"/>
        <v>107</v>
      </c>
      <c r="V102" s="160">
        <f t="shared" si="18"/>
        <v>107</v>
      </c>
    </row>
    <row r="103" spans="1:22" x14ac:dyDescent="0.25">
      <c r="A103" s="98" t="s">
        <v>21</v>
      </c>
      <c r="B103" s="98" t="s">
        <v>17</v>
      </c>
      <c r="C103" s="98">
        <v>52</v>
      </c>
      <c r="D103" s="98">
        <v>385</v>
      </c>
      <c r="E103" s="157">
        <v>41858.668055555558</v>
      </c>
      <c r="F103" s="157">
        <v>41858.762499999997</v>
      </c>
      <c r="G103" s="98">
        <v>55</v>
      </c>
      <c r="H103" s="98">
        <v>114</v>
      </c>
      <c r="I103" s="98">
        <v>107</v>
      </c>
      <c r="J103" s="98" t="s">
        <v>228</v>
      </c>
      <c r="K103" s="98" t="s">
        <v>2058</v>
      </c>
      <c r="L103" s="105" t="str">
        <f t="shared" si="10"/>
        <v>Brown</v>
      </c>
      <c r="M103" s="105" t="str">
        <f t="shared" si="11"/>
        <v>Derate</v>
      </c>
      <c r="N103" s="105" t="str">
        <f t="shared" si="12"/>
        <v>Coal</v>
      </c>
      <c r="O103" s="105">
        <f>IFERROR(VLOOKUP(A103,Lookup!$J$5:$P$19,7,FALSE),0)</f>
        <v>1</v>
      </c>
      <c r="P103" s="159">
        <f t="shared" si="13"/>
        <v>2014</v>
      </c>
      <c r="Q103" s="159">
        <f t="shared" si="14"/>
        <v>8</v>
      </c>
      <c r="R103" s="160">
        <f t="shared" si="15"/>
        <v>2.2666666665463708</v>
      </c>
      <c r="S103" s="158">
        <f t="shared" si="16"/>
        <v>1.1730994151424199</v>
      </c>
      <c r="T103" s="161">
        <f t="shared" si="17"/>
        <v>125.52163742023893</v>
      </c>
      <c r="U103" s="158">
        <f t="shared" si="19"/>
        <v>55.377192982456137</v>
      </c>
      <c r="V103" s="160">
        <f t="shared" si="18"/>
        <v>55</v>
      </c>
    </row>
    <row r="104" spans="1:22" x14ac:dyDescent="0.25">
      <c r="A104" s="98" t="s">
        <v>21</v>
      </c>
      <c r="B104" s="98" t="s">
        <v>17</v>
      </c>
      <c r="C104" s="98">
        <v>53</v>
      </c>
      <c r="D104" s="98">
        <v>380</v>
      </c>
      <c r="E104" s="157">
        <v>41858.762499999997</v>
      </c>
      <c r="F104" s="157">
        <v>41858.774305555555</v>
      </c>
      <c r="G104" s="98">
        <v>80</v>
      </c>
      <c r="H104" s="98">
        <v>114</v>
      </c>
      <c r="I104" s="98">
        <v>107</v>
      </c>
      <c r="J104" s="98" t="s">
        <v>2017</v>
      </c>
      <c r="K104" s="98" t="s">
        <v>2059</v>
      </c>
      <c r="L104" s="105" t="str">
        <f t="shared" si="10"/>
        <v>Brown</v>
      </c>
      <c r="M104" s="105" t="str">
        <f t="shared" si="11"/>
        <v>Derate</v>
      </c>
      <c r="N104" s="105" t="str">
        <f t="shared" si="12"/>
        <v>Coal</v>
      </c>
      <c r="O104" s="105">
        <f>IFERROR(VLOOKUP(A104,Lookup!$J$5:$P$19,7,FALSE),0)</f>
        <v>1</v>
      </c>
      <c r="P104" s="159">
        <f t="shared" si="13"/>
        <v>2014</v>
      </c>
      <c r="Q104" s="159">
        <f t="shared" si="14"/>
        <v>8</v>
      </c>
      <c r="R104" s="160">
        <f t="shared" si="15"/>
        <v>0.28333333338377997</v>
      </c>
      <c r="S104" s="158">
        <f t="shared" si="16"/>
        <v>8.450292399165367E-2</v>
      </c>
      <c r="T104" s="161">
        <f t="shared" si="17"/>
        <v>9.0418128671069429</v>
      </c>
      <c r="U104" s="158">
        <f t="shared" si="19"/>
        <v>31.912280701754387</v>
      </c>
      <c r="V104" s="160">
        <f t="shared" si="18"/>
        <v>32</v>
      </c>
    </row>
    <row r="105" spans="1:22" x14ac:dyDescent="0.25">
      <c r="A105" s="98" t="s">
        <v>21</v>
      </c>
      <c r="B105" s="98" t="s">
        <v>15</v>
      </c>
      <c r="C105" s="98">
        <v>54</v>
      </c>
      <c r="D105" s="98">
        <v>4700</v>
      </c>
      <c r="E105" s="157">
        <v>41865.461111111108</v>
      </c>
      <c r="F105" s="157">
        <v>41865.502083333333</v>
      </c>
      <c r="G105" s="98">
        <v>0</v>
      </c>
      <c r="H105" s="98">
        <v>114</v>
      </c>
      <c r="I105" s="98">
        <v>107</v>
      </c>
      <c r="J105" s="98" t="s">
        <v>2010</v>
      </c>
      <c r="K105" s="98" t="s">
        <v>2060</v>
      </c>
      <c r="L105" s="105" t="str">
        <f t="shared" si="10"/>
        <v>Brown</v>
      </c>
      <c r="M105" s="105" t="str">
        <f t="shared" si="11"/>
        <v>Outage</v>
      </c>
      <c r="N105" s="105" t="str">
        <f t="shared" si="12"/>
        <v>Coal</v>
      </c>
      <c r="O105" s="105">
        <f>IFERROR(VLOOKUP(A105,Lookup!$J$5:$P$19,7,FALSE),0)</f>
        <v>1</v>
      </c>
      <c r="P105" s="159">
        <f t="shared" si="13"/>
        <v>2014</v>
      </c>
      <c r="Q105" s="159">
        <f t="shared" si="14"/>
        <v>8</v>
      </c>
      <c r="R105" s="160">
        <f t="shared" si="15"/>
        <v>0.9833333333954215</v>
      </c>
      <c r="S105" s="158">
        <f t="shared" si="16"/>
        <v>0.9833333333954215</v>
      </c>
      <c r="T105" s="161">
        <f t="shared" si="17"/>
        <v>105.2166666733101</v>
      </c>
      <c r="U105" s="158">
        <f t="shared" si="19"/>
        <v>107</v>
      </c>
      <c r="V105" s="160">
        <f t="shared" si="18"/>
        <v>107</v>
      </c>
    </row>
    <row r="106" spans="1:22" x14ac:dyDescent="0.25">
      <c r="A106" s="98" t="s">
        <v>21</v>
      </c>
      <c r="B106" s="98" t="s">
        <v>32</v>
      </c>
      <c r="C106" s="98">
        <v>55</v>
      </c>
      <c r="D106" s="98">
        <v>310</v>
      </c>
      <c r="E106" s="157">
        <v>41878.885416666664</v>
      </c>
      <c r="F106" s="157">
        <v>41879.329861111109</v>
      </c>
      <c r="G106" s="98">
        <v>85</v>
      </c>
      <c r="H106" s="98">
        <v>114</v>
      </c>
      <c r="I106" s="98">
        <v>107</v>
      </c>
      <c r="J106" s="98" t="s">
        <v>1966</v>
      </c>
      <c r="K106" s="98" t="s">
        <v>2061</v>
      </c>
      <c r="L106" s="105" t="str">
        <f t="shared" si="10"/>
        <v>Brown</v>
      </c>
      <c r="M106" s="105" t="str">
        <f t="shared" si="11"/>
        <v>Derate</v>
      </c>
      <c r="N106" s="105" t="str">
        <f t="shared" si="12"/>
        <v>Coal</v>
      </c>
      <c r="O106" s="105">
        <f>IFERROR(VLOOKUP(A106,Lookup!$J$5:$P$19,7,FALSE),0)</f>
        <v>1</v>
      </c>
      <c r="P106" s="159">
        <f t="shared" si="13"/>
        <v>2014</v>
      </c>
      <c r="Q106" s="159">
        <f t="shared" si="14"/>
        <v>8</v>
      </c>
      <c r="R106" s="160">
        <f t="shared" si="15"/>
        <v>10.666666666686069</v>
      </c>
      <c r="S106" s="158">
        <f t="shared" si="16"/>
        <v>2.7134502924025967</v>
      </c>
      <c r="T106" s="161">
        <f t="shared" si="17"/>
        <v>290.33918128707785</v>
      </c>
      <c r="U106" s="158">
        <f t="shared" si="19"/>
        <v>27.219298245614034</v>
      </c>
      <c r="V106" s="160">
        <f t="shared" si="18"/>
        <v>27</v>
      </c>
    </row>
    <row r="107" spans="1:22" x14ac:dyDescent="0.25">
      <c r="A107" s="98" t="s">
        <v>21</v>
      </c>
      <c r="B107" s="98" t="s">
        <v>32</v>
      </c>
      <c r="C107" s="98">
        <v>56</v>
      </c>
      <c r="D107" s="98">
        <v>310</v>
      </c>
      <c r="E107" s="157">
        <v>41879.888888888891</v>
      </c>
      <c r="F107" s="157">
        <v>41880.142361111109</v>
      </c>
      <c r="G107" s="98">
        <v>85</v>
      </c>
      <c r="H107" s="98">
        <v>114</v>
      </c>
      <c r="I107" s="98">
        <v>107</v>
      </c>
      <c r="J107" s="98" t="s">
        <v>1966</v>
      </c>
      <c r="K107" s="98" t="s">
        <v>2062</v>
      </c>
      <c r="L107" s="105" t="str">
        <f t="shared" si="10"/>
        <v>Brown</v>
      </c>
      <c r="M107" s="105" t="str">
        <f t="shared" si="11"/>
        <v>Derate</v>
      </c>
      <c r="N107" s="105" t="str">
        <f t="shared" si="12"/>
        <v>Coal</v>
      </c>
      <c r="O107" s="105">
        <f>IFERROR(VLOOKUP(A107,Lookup!$J$5:$P$19,7,FALSE),0)</f>
        <v>1</v>
      </c>
      <c r="P107" s="159">
        <f t="shared" si="13"/>
        <v>2014</v>
      </c>
      <c r="Q107" s="159">
        <f t="shared" si="14"/>
        <v>8</v>
      </c>
      <c r="R107" s="160">
        <f t="shared" si="15"/>
        <v>6.0833333332557231</v>
      </c>
      <c r="S107" s="158">
        <f t="shared" si="16"/>
        <v>1.5475146198632981</v>
      </c>
      <c r="T107" s="161">
        <f t="shared" si="17"/>
        <v>165.58406432537291</v>
      </c>
      <c r="U107" s="158">
        <f t="shared" si="19"/>
        <v>27.219298245614034</v>
      </c>
      <c r="V107" s="160">
        <f t="shared" si="18"/>
        <v>27</v>
      </c>
    </row>
    <row r="108" spans="1:22" x14ac:dyDescent="0.25">
      <c r="A108" s="98" t="s">
        <v>21</v>
      </c>
      <c r="B108" s="98" t="s">
        <v>20</v>
      </c>
      <c r="C108" s="98">
        <v>57</v>
      </c>
      <c r="D108" s="98">
        <v>840</v>
      </c>
      <c r="E108" s="157">
        <v>41880.902777777781</v>
      </c>
      <c r="F108" s="157">
        <v>41882.289583333331</v>
      </c>
      <c r="G108" s="98">
        <v>0</v>
      </c>
      <c r="H108" s="98">
        <v>114</v>
      </c>
      <c r="I108" s="98">
        <v>107</v>
      </c>
      <c r="J108" s="98" t="s">
        <v>2063</v>
      </c>
      <c r="K108" s="98" t="s">
        <v>2064</v>
      </c>
      <c r="L108" s="105" t="str">
        <f t="shared" si="10"/>
        <v>Brown</v>
      </c>
      <c r="M108" s="105" t="str">
        <f t="shared" si="11"/>
        <v>Maintenance</v>
      </c>
      <c r="N108" s="105" t="str">
        <f t="shared" si="12"/>
        <v>Coal</v>
      </c>
      <c r="O108" s="105">
        <f>IFERROR(VLOOKUP(A108,Lookup!$J$5:$P$19,7,FALSE),0)</f>
        <v>1</v>
      </c>
      <c r="P108" s="159">
        <f t="shared" si="13"/>
        <v>2014</v>
      </c>
      <c r="Q108" s="159">
        <f t="shared" si="14"/>
        <v>8</v>
      </c>
      <c r="R108" s="160">
        <f t="shared" si="15"/>
        <v>33.283333333209157</v>
      </c>
      <c r="S108" s="158">
        <f t="shared" si="16"/>
        <v>33.283333333209157</v>
      </c>
      <c r="T108" s="161">
        <f t="shared" si="17"/>
        <v>3561.3166666533798</v>
      </c>
      <c r="U108" s="158">
        <f t="shared" si="19"/>
        <v>107</v>
      </c>
      <c r="V108" s="160">
        <f t="shared" si="18"/>
        <v>107</v>
      </c>
    </row>
    <row r="109" spans="1:22" x14ac:dyDescent="0.25">
      <c r="A109" s="98" t="s">
        <v>21</v>
      </c>
      <c r="B109" s="98" t="s">
        <v>17</v>
      </c>
      <c r="C109" s="98">
        <v>59</v>
      </c>
      <c r="D109" s="98">
        <v>8551</v>
      </c>
      <c r="E109" s="157">
        <v>41883.386805555558</v>
      </c>
      <c r="F109" s="157">
        <v>41883.393750000003</v>
      </c>
      <c r="G109" s="98">
        <v>40</v>
      </c>
      <c r="H109" s="98">
        <v>114</v>
      </c>
      <c r="I109" s="98">
        <v>107</v>
      </c>
      <c r="J109" s="98" t="s">
        <v>1981</v>
      </c>
      <c r="K109" s="98" t="s">
        <v>2065</v>
      </c>
      <c r="L109" s="105" t="str">
        <f t="shared" si="10"/>
        <v>Brown</v>
      </c>
      <c r="M109" s="105" t="str">
        <f t="shared" si="11"/>
        <v>Derate</v>
      </c>
      <c r="N109" s="105" t="str">
        <f t="shared" si="12"/>
        <v>Coal</v>
      </c>
      <c r="O109" s="105">
        <f>IFERROR(VLOOKUP(A109,Lookup!$J$5:$P$19,7,FALSE),0)</f>
        <v>1</v>
      </c>
      <c r="P109" s="159">
        <f t="shared" si="13"/>
        <v>2014</v>
      </c>
      <c r="Q109" s="159">
        <f t="shared" si="14"/>
        <v>9</v>
      </c>
      <c r="R109" s="160">
        <f t="shared" si="15"/>
        <v>0.16666666668606922</v>
      </c>
      <c r="S109" s="158">
        <f t="shared" si="16"/>
        <v>0.10818713451551862</v>
      </c>
      <c r="T109" s="161">
        <f t="shared" si="17"/>
        <v>11.576023393160492</v>
      </c>
      <c r="U109" s="158">
        <f t="shared" si="19"/>
        <v>69.456140350877192</v>
      </c>
      <c r="V109" s="160">
        <f t="shared" si="18"/>
        <v>69</v>
      </c>
    </row>
    <row r="110" spans="1:22" x14ac:dyDescent="0.25">
      <c r="A110" s="98" t="s">
        <v>21</v>
      </c>
      <c r="B110" s="98" t="s">
        <v>20</v>
      </c>
      <c r="C110" s="98">
        <v>61</v>
      </c>
      <c r="D110" s="98">
        <v>1000</v>
      </c>
      <c r="E110" s="157">
        <v>41898.538194444445</v>
      </c>
      <c r="F110" s="157">
        <v>41899.642361111109</v>
      </c>
      <c r="G110" s="98">
        <v>0</v>
      </c>
      <c r="H110" s="98">
        <v>114</v>
      </c>
      <c r="I110" s="98">
        <v>107</v>
      </c>
      <c r="J110" s="98" t="s">
        <v>2002</v>
      </c>
      <c r="K110" s="98" t="s">
        <v>2066</v>
      </c>
      <c r="L110" s="105" t="str">
        <f t="shared" si="10"/>
        <v>Brown</v>
      </c>
      <c r="M110" s="105" t="str">
        <f t="shared" si="11"/>
        <v>Maintenance</v>
      </c>
      <c r="N110" s="105" t="str">
        <f t="shared" si="12"/>
        <v>Coal</v>
      </c>
      <c r="O110" s="105">
        <f>IFERROR(VLOOKUP(A110,Lookup!$J$5:$P$19,7,FALSE),0)</f>
        <v>1</v>
      </c>
      <c r="P110" s="159">
        <f t="shared" si="13"/>
        <v>2014</v>
      </c>
      <c r="Q110" s="159">
        <f t="shared" si="14"/>
        <v>9</v>
      </c>
      <c r="R110" s="160">
        <f t="shared" si="15"/>
        <v>26.499999999941792</v>
      </c>
      <c r="S110" s="158">
        <f t="shared" si="16"/>
        <v>26.499999999941792</v>
      </c>
      <c r="T110" s="161">
        <f t="shared" si="17"/>
        <v>2835.4999999937718</v>
      </c>
      <c r="U110" s="158">
        <f t="shared" si="19"/>
        <v>107</v>
      </c>
      <c r="V110" s="160">
        <f t="shared" si="18"/>
        <v>107</v>
      </c>
    </row>
    <row r="111" spans="1:22" x14ac:dyDescent="0.25">
      <c r="A111" s="98" t="s">
        <v>21</v>
      </c>
      <c r="B111" s="98" t="s">
        <v>17</v>
      </c>
      <c r="C111" s="98">
        <v>63</v>
      </c>
      <c r="D111" s="98">
        <v>4261</v>
      </c>
      <c r="E111" s="157">
        <v>41931.106249999997</v>
      </c>
      <c r="F111" s="157">
        <v>41931.510416666664</v>
      </c>
      <c r="G111" s="98">
        <v>40</v>
      </c>
      <c r="H111" s="98">
        <v>114</v>
      </c>
      <c r="I111" s="98">
        <v>107</v>
      </c>
      <c r="J111" s="98" t="s">
        <v>1985</v>
      </c>
      <c r="K111" s="98" t="s">
        <v>2067</v>
      </c>
      <c r="L111" s="105" t="str">
        <f t="shared" si="10"/>
        <v>Brown</v>
      </c>
      <c r="M111" s="105" t="str">
        <f t="shared" si="11"/>
        <v>Derate</v>
      </c>
      <c r="N111" s="105" t="str">
        <f t="shared" si="12"/>
        <v>Coal</v>
      </c>
      <c r="O111" s="105">
        <f>IFERROR(VLOOKUP(A111,Lookup!$J$5:$P$19,7,FALSE),0)</f>
        <v>1</v>
      </c>
      <c r="P111" s="159">
        <f t="shared" si="13"/>
        <v>2014</v>
      </c>
      <c r="Q111" s="159">
        <f t="shared" si="14"/>
        <v>10</v>
      </c>
      <c r="R111" s="160">
        <f t="shared" si="15"/>
        <v>9.7000000000116415</v>
      </c>
      <c r="S111" s="158">
        <f t="shared" si="16"/>
        <v>6.2964912280777323</v>
      </c>
      <c r="T111" s="161">
        <f t="shared" si="17"/>
        <v>673.72456140431734</v>
      </c>
      <c r="U111" s="158">
        <f t="shared" si="19"/>
        <v>69.456140350877192</v>
      </c>
      <c r="V111" s="160">
        <f t="shared" si="18"/>
        <v>69</v>
      </c>
    </row>
    <row r="112" spans="1:22" x14ac:dyDescent="0.25">
      <c r="A112" s="98" t="s">
        <v>21</v>
      </c>
      <c r="B112" s="98" t="s">
        <v>17</v>
      </c>
      <c r="C112" s="98">
        <v>65</v>
      </c>
      <c r="D112" s="98">
        <v>1710</v>
      </c>
      <c r="E112" s="157">
        <v>41954.890972222223</v>
      </c>
      <c r="F112" s="157">
        <v>41954.923611111109</v>
      </c>
      <c r="G112" s="98">
        <v>8</v>
      </c>
      <c r="H112" s="98">
        <v>114</v>
      </c>
      <c r="I112" s="98">
        <v>107</v>
      </c>
      <c r="J112" s="98" t="s">
        <v>2020</v>
      </c>
      <c r="K112" s="98" t="s">
        <v>2068</v>
      </c>
      <c r="L112" s="105" t="str">
        <f t="shared" si="10"/>
        <v>Brown</v>
      </c>
      <c r="M112" s="105" t="str">
        <f t="shared" si="11"/>
        <v>Derate</v>
      </c>
      <c r="N112" s="105" t="str">
        <f t="shared" si="12"/>
        <v>Coal</v>
      </c>
      <c r="O112" s="105">
        <f>IFERROR(VLOOKUP(A112,Lookup!$J$5:$P$19,7,FALSE),0)</f>
        <v>1</v>
      </c>
      <c r="P112" s="159">
        <f t="shared" si="13"/>
        <v>2014</v>
      </c>
      <c r="Q112" s="159">
        <f t="shared" si="14"/>
        <v>11</v>
      </c>
      <c r="R112" s="160">
        <f t="shared" si="15"/>
        <v>0.78333333326736465</v>
      </c>
      <c r="S112" s="158">
        <f t="shared" si="16"/>
        <v>0.72836257303807594</v>
      </c>
      <c r="T112" s="161">
        <f t="shared" si="17"/>
        <v>77.934795315074126</v>
      </c>
      <c r="U112" s="158">
        <f t="shared" si="19"/>
        <v>99.491228070175438</v>
      </c>
      <c r="V112" s="160">
        <f t="shared" si="18"/>
        <v>99</v>
      </c>
    </row>
    <row r="113" spans="1:22" x14ac:dyDescent="0.25">
      <c r="A113" s="98" t="s">
        <v>21</v>
      </c>
      <c r="B113" s="98" t="s">
        <v>32</v>
      </c>
      <c r="C113" s="98">
        <v>66</v>
      </c>
      <c r="D113" s="98">
        <v>1190</v>
      </c>
      <c r="E113" s="157">
        <v>41963.991666666669</v>
      </c>
      <c r="F113" s="157">
        <v>41964.029861111114</v>
      </c>
      <c r="G113" s="98">
        <v>80</v>
      </c>
      <c r="H113" s="98">
        <v>114</v>
      </c>
      <c r="I113" s="98">
        <v>107</v>
      </c>
      <c r="J113" s="98" t="s">
        <v>2007</v>
      </c>
      <c r="K113" s="98" t="s">
        <v>2069</v>
      </c>
      <c r="L113" s="105" t="str">
        <f t="shared" si="10"/>
        <v>Brown</v>
      </c>
      <c r="M113" s="105" t="str">
        <f t="shared" si="11"/>
        <v>Derate</v>
      </c>
      <c r="N113" s="105" t="str">
        <f t="shared" si="12"/>
        <v>Coal</v>
      </c>
      <c r="O113" s="105">
        <f>IFERROR(VLOOKUP(A113,Lookup!$J$5:$P$19,7,FALSE),0)</f>
        <v>1</v>
      </c>
      <c r="P113" s="159">
        <f t="shared" si="13"/>
        <v>2014</v>
      </c>
      <c r="Q113" s="159">
        <f t="shared" si="14"/>
        <v>11</v>
      </c>
      <c r="R113" s="160">
        <f t="shared" si="15"/>
        <v>0.91666666668606922</v>
      </c>
      <c r="S113" s="158">
        <f t="shared" si="16"/>
        <v>0.27339181287128378</v>
      </c>
      <c r="T113" s="161">
        <f t="shared" si="17"/>
        <v>29.252923977227365</v>
      </c>
      <c r="U113" s="158">
        <f t="shared" si="19"/>
        <v>31.912280701754387</v>
      </c>
      <c r="V113" s="160">
        <f t="shared" si="18"/>
        <v>32</v>
      </c>
    </row>
    <row r="114" spans="1:22" x14ac:dyDescent="0.25">
      <c r="A114" s="98" t="s">
        <v>21</v>
      </c>
      <c r="B114" s="98" t="s">
        <v>32</v>
      </c>
      <c r="C114" s="98">
        <v>67</v>
      </c>
      <c r="D114" s="98">
        <v>1190</v>
      </c>
      <c r="E114" s="157">
        <v>41964.029861111114</v>
      </c>
      <c r="F114" s="157">
        <v>41964.050694444442</v>
      </c>
      <c r="G114" s="98">
        <v>55</v>
      </c>
      <c r="H114" s="98">
        <v>114</v>
      </c>
      <c r="I114" s="98">
        <v>107</v>
      </c>
      <c r="J114" s="98" t="s">
        <v>2007</v>
      </c>
      <c r="K114" s="98" t="s">
        <v>2069</v>
      </c>
      <c r="L114" s="105" t="str">
        <f t="shared" si="10"/>
        <v>Brown</v>
      </c>
      <c r="M114" s="105" t="str">
        <f t="shared" si="11"/>
        <v>Derate</v>
      </c>
      <c r="N114" s="105" t="str">
        <f t="shared" si="12"/>
        <v>Coal</v>
      </c>
      <c r="O114" s="105">
        <f>IFERROR(VLOOKUP(A114,Lookup!$J$5:$P$19,7,FALSE),0)</f>
        <v>1</v>
      </c>
      <c r="P114" s="159">
        <f t="shared" si="13"/>
        <v>2014</v>
      </c>
      <c r="Q114" s="159">
        <f t="shared" si="14"/>
        <v>11</v>
      </c>
      <c r="R114" s="160">
        <f t="shared" si="15"/>
        <v>0.49999999988358468</v>
      </c>
      <c r="S114" s="158">
        <f t="shared" si="16"/>
        <v>0.25877192976431135</v>
      </c>
      <c r="T114" s="161">
        <f t="shared" si="17"/>
        <v>27.688596484781314</v>
      </c>
      <c r="U114" s="158">
        <f t="shared" si="19"/>
        <v>55.377192982456137</v>
      </c>
      <c r="V114" s="160">
        <f t="shared" si="18"/>
        <v>55</v>
      </c>
    </row>
    <row r="115" spans="1:22" x14ac:dyDescent="0.25">
      <c r="A115" s="98" t="s">
        <v>21</v>
      </c>
      <c r="B115" s="98" t="s">
        <v>32</v>
      </c>
      <c r="C115" s="98">
        <v>68</v>
      </c>
      <c r="D115" s="98">
        <v>1190</v>
      </c>
      <c r="E115" s="157">
        <v>41964.050694444442</v>
      </c>
      <c r="F115" s="157">
        <v>41964.077777777777</v>
      </c>
      <c r="G115" s="98">
        <v>40</v>
      </c>
      <c r="H115" s="98">
        <v>114</v>
      </c>
      <c r="I115" s="98">
        <v>107</v>
      </c>
      <c r="J115" s="98" t="s">
        <v>2007</v>
      </c>
      <c r="K115" s="98" t="s">
        <v>2070</v>
      </c>
      <c r="L115" s="105" t="str">
        <f t="shared" si="10"/>
        <v>Brown</v>
      </c>
      <c r="M115" s="105" t="str">
        <f t="shared" si="11"/>
        <v>Derate</v>
      </c>
      <c r="N115" s="105" t="str">
        <f t="shared" si="12"/>
        <v>Coal</v>
      </c>
      <c r="O115" s="105">
        <f>IFERROR(VLOOKUP(A115,Lookup!$J$5:$P$19,7,FALSE),0)</f>
        <v>1</v>
      </c>
      <c r="P115" s="159">
        <f t="shared" si="13"/>
        <v>2014</v>
      </c>
      <c r="Q115" s="159">
        <f t="shared" si="14"/>
        <v>11</v>
      </c>
      <c r="R115" s="160">
        <f t="shared" si="15"/>
        <v>0.65000000002328306</v>
      </c>
      <c r="S115" s="158">
        <f t="shared" si="16"/>
        <v>0.42192982457651707</v>
      </c>
      <c r="T115" s="161">
        <f t="shared" si="17"/>
        <v>45.146491229687328</v>
      </c>
      <c r="U115" s="158">
        <f t="shared" si="19"/>
        <v>69.456140350877192</v>
      </c>
      <c r="V115" s="160">
        <f t="shared" si="18"/>
        <v>69</v>
      </c>
    </row>
    <row r="116" spans="1:22" x14ac:dyDescent="0.25">
      <c r="A116" s="98" t="s">
        <v>21</v>
      </c>
      <c r="B116" s="98" t="s">
        <v>17</v>
      </c>
      <c r="C116" s="98">
        <v>69</v>
      </c>
      <c r="D116" s="98">
        <v>310</v>
      </c>
      <c r="E116" s="157">
        <v>41978.435416666667</v>
      </c>
      <c r="F116" s="157">
        <v>41978.488194444442</v>
      </c>
      <c r="G116" s="98">
        <v>75</v>
      </c>
      <c r="H116" s="98">
        <v>114</v>
      </c>
      <c r="I116" s="98">
        <v>107</v>
      </c>
      <c r="J116" s="98" t="s">
        <v>1966</v>
      </c>
      <c r="K116" s="98" t="s">
        <v>2071</v>
      </c>
      <c r="L116" s="105" t="str">
        <f t="shared" si="10"/>
        <v>Brown</v>
      </c>
      <c r="M116" s="105" t="str">
        <f t="shared" si="11"/>
        <v>Derate</v>
      </c>
      <c r="N116" s="105" t="str">
        <f t="shared" si="12"/>
        <v>Coal</v>
      </c>
      <c r="O116" s="105">
        <f>IFERROR(VLOOKUP(A116,Lookup!$J$5:$P$19,7,FALSE),0)</f>
        <v>1</v>
      </c>
      <c r="P116" s="159">
        <f t="shared" si="13"/>
        <v>2014</v>
      </c>
      <c r="Q116" s="159">
        <f t="shared" si="14"/>
        <v>12</v>
      </c>
      <c r="R116" s="160">
        <f t="shared" si="15"/>
        <v>1.2666666666045785</v>
      </c>
      <c r="S116" s="158">
        <f t="shared" si="16"/>
        <v>0.43333333331209262</v>
      </c>
      <c r="T116" s="161">
        <f t="shared" si="17"/>
        <v>46.366666664393911</v>
      </c>
      <c r="U116" s="158">
        <f t="shared" si="19"/>
        <v>36.60526315789474</v>
      </c>
      <c r="V116" s="160">
        <f t="shared" si="18"/>
        <v>37</v>
      </c>
    </row>
    <row r="117" spans="1:22" x14ac:dyDescent="0.25">
      <c r="A117" s="98" t="s">
        <v>21</v>
      </c>
      <c r="B117" s="98" t="s">
        <v>17</v>
      </c>
      <c r="C117" s="98">
        <v>70</v>
      </c>
      <c r="D117" s="98">
        <v>9270</v>
      </c>
      <c r="E117" s="157">
        <v>41979.786805555559</v>
      </c>
      <c r="F117" s="157">
        <v>41979.806944444441</v>
      </c>
      <c r="G117" s="98">
        <v>80</v>
      </c>
      <c r="H117" s="98">
        <v>114</v>
      </c>
      <c r="I117" s="98">
        <v>107</v>
      </c>
      <c r="J117" s="98" t="s">
        <v>2006</v>
      </c>
      <c r="K117" s="98" t="s">
        <v>2072</v>
      </c>
      <c r="L117" s="105" t="str">
        <f t="shared" si="10"/>
        <v>Brown</v>
      </c>
      <c r="M117" s="105" t="str">
        <f t="shared" si="11"/>
        <v>Derate</v>
      </c>
      <c r="N117" s="105" t="str">
        <f t="shared" si="12"/>
        <v>Coal</v>
      </c>
      <c r="O117" s="105">
        <f>IFERROR(VLOOKUP(A117,Lookup!$J$5:$P$19,7,FALSE),0)</f>
        <v>1</v>
      </c>
      <c r="P117" s="159">
        <f t="shared" si="13"/>
        <v>2014</v>
      </c>
      <c r="Q117" s="159">
        <f t="shared" si="14"/>
        <v>12</v>
      </c>
      <c r="R117" s="160">
        <f t="shared" si="15"/>
        <v>0.48333333316259086</v>
      </c>
      <c r="S117" s="158">
        <f t="shared" si="16"/>
        <v>0.14415204673270254</v>
      </c>
      <c r="T117" s="161">
        <f t="shared" si="17"/>
        <v>15.424269000399173</v>
      </c>
      <c r="U117" s="158">
        <f t="shared" si="19"/>
        <v>31.912280701754387</v>
      </c>
      <c r="V117" s="160">
        <f t="shared" si="18"/>
        <v>32</v>
      </c>
    </row>
    <row r="118" spans="1:22" x14ac:dyDescent="0.25">
      <c r="A118" s="98" t="s">
        <v>21</v>
      </c>
      <c r="B118" s="98" t="s">
        <v>17</v>
      </c>
      <c r="C118" s="98">
        <v>71</v>
      </c>
      <c r="D118" s="98">
        <v>310</v>
      </c>
      <c r="E118" s="157">
        <v>41979.940972222219</v>
      </c>
      <c r="F118" s="157">
        <v>41980.115972222222</v>
      </c>
      <c r="G118" s="98">
        <v>80</v>
      </c>
      <c r="H118" s="98">
        <v>114</v>
      </c>
      <c r="I118" s="98">
        <v>107</v>
      </c>
      <c r="J118" s="98" t="s">
        <v>1966</v>
      </c>
      <c r="K118" s="98" t="s">
        <v>2073</v>
      </c>
      <c r="L118" s="105" t="str">
        <f t="shared" si="10"/>
        <v>Brown</v>
      </c>
      <c r="M118" s="105" t="str">
        <f t="shared" si="11"/>
        <v>Derate</v>
      </c>
      <c r="N118" s="105" t="str">
        <f t="shared" si="12"/>
        <v>Coal</v>
      </c>
      <c r="O118" s="105">
        <f>IFERROR(VLOOKUP(A118,Lookup!$J$5:$P$19,7,FALSE),0)</f>
        <v>1</v>
      </c>
      <c r="P118" s="159">
        <f t="shared" si="13"/>
        <v>2014</v>
      </c>
      <c r="Q118" s="159">
        <f t="shared" si="14"/>
        <v>12</v>
      </c>
      <c r="R118" s="160">
        <f t="shared" si="15"/>
        <v>4.2000000000698492</v>
      </c>
      <c r="S118" s="158">
        <f t="shared" si="16"/>
        <v>1.2526315789682005</v>
      </c>
      <c r="T118" s="161">
        <f t="shared" si="17"/>
        <v>134.03157894959745</v>
      </c>
      <c r="U118" s="158">
        <f t="shared" si="19"/>
        <v>31.912280701754387</v>
      </c>
      <c r="V118" s="160">
        <f t="shared" si="18"/>
        <v>32</v>
      </c>
    </row>
    <row r="119" spans="1:22" x14ac:dyDescent="0.25">
      <c r="A119" s="98" t="s">
        <v>21</v>
      </c>
      <c r="B119" s="98" t="s">
        <v>17</v>
      </c>
      <c r="C119" s="98">
        <v>72</v>
      </c>
      <c r="D119" s="98">
        <v>300</v>
      </c>
      <c r="E119" s="157">
        <v>41981.263888888891</v>
      </c>
      <c r="F119" s="157">
        <v>41981.274305555555</v>
      </c>
      <c r="G119" s="98">
        <v>90</v>
      </c>
      <c r="H119" s="98">
        <v>114</v>
      </c>
      <c r="I119" s="98">
        <v>107</v>
      </c>
      <c r="J119" s="98" t="s">
        <v>1977</v>
      </c>
      <c r="K119" s="98" t="s">
        <v>2074</v>
      </c>
      <c r="L119" s="105" t="str">
        <f t="shared" si="10"/>
        <v>Brown</v>
      </c>
      <c r="M119" s="105" t="str">
        <f t="shared" si="11"/>
        <v>Derate</v>
      </c>
      <c r="N119" s="105" t="str">
        <f t="shared" si="12"/>
        <v>Coal</v>
      </c>
      <c r="O119" s="105">
        <f>IFERROR(VLOOKUP(A119,Lookup!$J$5:$P$19,7,FALSE),0)</f>
        <v>1</v>
      </c>
      <c r="P119" s="159">
        <f t="shared" si="13"/>
        <v>2014</v>
      </c>
      <c r="Q119" s="159">
        <f t="shared" si="14"/>
        <v>12</v>
      </c>
      <c r="R119" s="160">
        <f t="shared" si="15"/>
        <v>0.24999999994179234</v>
      </c>
      <c r="S119" s="158">
        <f t="shared" si="16"/>
        <v>5.2631578935114179E-2</v>
      </c>
      <c r="T119" s="161">
        <f t="shared" si="17"/>
        <v>5.6315789460572168</v>
      </c>
      <c r="U119" s="158">
        <f t="shared" si="19"/>
        <v>22.526315789473685</v>
      </c>
      <c r="V119" s="160">
        <f t="shared" si="18"/>
        <v>23</v>
      </c>
    </row>
    <row r="120" spans="1:22" x14ac:dyDescent="0.25">
      <c r="A120" s="98" t="s">
        <v>21</v>
      </c>
      <c r="B120" s="98" t="s">
        <v>79</v>
      </c>
      <c r="C120" s="98">
        <v>1</v>
      </c>
      <c r="D120" s="98">
        <v>8700</v>
      </c>
      <c r="E120" s="157">
        <v>42017.895833333336</v>
      </c>
      <c r="F120" s="157">
        <v>42018.074305555558</v>
      </c>
      <c r="G120" s="98">
        <v>0</v>
      </c>
      <c r="H120" s="98">
        <v>114</v>
      </c>
      <c r="I120" s="98">
        <v>107</v>
      </c>
      <c r="J120" s="98" t="s">
        <v>1987</v>
      </c>
      <c r="K120" s="98" t="s">
        <v>82</v>
      </c>
      <c r="L120" s="105" t="str">
        <f t="shared" si="10"/>
        <v>Brown</v>
      </c>
      <c r="M120" s="105" t="str">
        <f t="shared" si="11"/>
        <v>Other</v>
      </c>
      <c r="N120" s="105" t="str">
        <f t="shared" si="12"/>
        <v>Coal</v>
      </c>
      <c r="O120" s="105">
        <f>IFERROR(VLOOKUP(A120,Lookup!$J$5:$P$19,7,FALSE),0)</f>
        <v>1</v>
      </c>
      <c r="P120" s="159">
        <f t="shared" si="13"/>
        <v>2015</v>
      </c>
      <c r="Q120" s="159">
        <f t="shared" si="14"/>
        <v>1</v>
      </c>
      <c r="R120" s="160">
        <f t="shared" si="15"/>
        <v>4.2833333333255723</v>
      </c>
      <c r="S120" s="158">
        <f t="shared" si="16"/>
        <v>4.2833333333255723</v>
      </c>
      <c r="T120" s="161">
        <f t="shared" si="17"/>
        <v>458.31666666583624</v>
      </c>
      <c r="U120" s="158">
        <f t="shared" si="19"/>
        <v>107</v>
      </c>
      <c r="V120" s="160">
        <f t="shared" si="18"/>
        <v>107</v>
      </c>
    </row>
    <row r="121" spans="1:22" x14ac:dyDescent="0.25">
      <c r="A121" s="98" t="s">
        <v>21</v>
      </c>
      <c r="B121" s="98" t="s">
        <v>32</v>
      </c>
      <c r="C121" s="98">
        <v>2</v>
      </c>
      <c r="D121" s="98">
        <v>310</v>
      </c>
      <c r="E121" s="157">
        <v>42018.958333333336</v>
      </c>
      <c r="F121" s="157">
        <v>42019.166666666664</v>
      </c>
      <c r="G121" s="98">
        <v>80</v>
      </c>
      <c r="H121" s="98">
        <v>114</v>
      </c>
      <c r="I121" s="98">
        <v>107</v>
      </c>
      <c r="J121" s="98" t="s">
        <v>1966</v>
      </c>
      <c r="K121" s="98" t="s">
        <v>2075</v>
      </c>
      <c r="L121" s="105" t="str">
        <f t="shared" si="10"/>
        <v>Brown</v>
      </c>
      <c r="M121" s="105" t="str">
        <f t="shared" si="11"/>
        <v>Derate</v>
      </c>
      <c r="N121" s="105" t="str">
        <f t="shared" si="12"/>
        <v>Coal</v>
      </c>
      <c r="O121" s="105">
        <f>IFERROR(VLOOKUP(A121,Lookup!$J$5:$P$19,7,FALSE),0)</f>
        <v>1</v>
      </c>
      <c r="P121" s="159">
        <f t="shared" si="13"/>
        <v>2015</v>
      </c>
      <c r="Q121" s="159">
        <f t="shared" si="14"/>
        <v>1</v>
      </c>
      <c r="R121" s="160">
        <f t="shared" si="15"/>
        <v>4.9999999998835847</v>
      </c>
      <c r="S121" s="158">
        <f t="shared" si="16"/>
        <v>1.4912280701407183</v>
      </c>
      <c r="T121" s="161">
        <f t="shared" si="17"/>
        <v>159.56140350505686</v>
      </c>
      <c r="U121" s="158">
        <f t="shared" si="19"/>
        <v>31.912280701754387</v>
      </c>
      <c r="V121" s="160">
        <f t="shared" si="18"/>
        <v>32</v>
      </c>
    </row>
    <row r="122" spans="1:22" x14ac:dyDescent="0.25">
      <c r="A122" s="98" t="s">
        <v>21</v>
      </c>
      <c r="B122" s="98" t="s">
        <v>32</v>
      </c>
      <c r="C122" s="98">
        <v>3</v>
      </c>
      <c r="D122" s="98">
        <v>310</v>
      </c>
      <c r="E122" s="157">
        <v>42019.958333333336</v>
      </c>
      <c r="F122" s="157">
        <v>42020.125</v>
      </c>
      <c r="G122" s="98">
        <v>80</v>
      </c>
      <c r="H122" s="98">
        <v>114</v>
      </c>
      <c r="I122" s="98">
        <v>107</v>
      </c>
      <c r="J122" s="98" t="s">
        <v>1966</v>
      </c>
      <c r="K122" s="98" t="s">
        <v>2076</v>
      </c>
      <c r="L122" s="105" t="str">
        <f t="shared" si="10"/>
        <v>Brown</v>
      </c>
      <c r="M122" s="105" t="str">
        <f t="shared" si="11"/>
        <v>Derate</v>
      </c>
      <c r="N122" s="105" t="str">
        <f t="shared" si="12"/>
        <v>Coal</v>
      </c>
      <c r="O122" s="105">
        <f>IFERROR(VLOOKUP(A122,Lookup!$J$5:$P$19,7,FALSE),0)</f>
        <v>1</v>
      </c>
      <c r="P122" s="159">
        <f t="shared" si="13"/>
        <v>2015</v>
      </c>
      <c r="Q122" s="159">
        <f t="shared" si="14"/>
        <v>1</v>
      </c>
      <c r="R122" s="160">
        <f t="shared" si="15"/>
        <v>3.9999999999417923</v>
      </c>
      <c r="S122" s="158">
        <f t="shared" si="16"/>
        <v>1.1929824561229907</v>
      </c>
      <c r="T122" s="161">
        <f t="shared" si="17"/>
        <v>127.64912280516</v>
      </c>
      <c r="U122" s="158">
        <f t="shared" si="19"/>
        <v>31.912280701754387</v>
      </c>
      <c r="V122" s="160">
        <f t="shared" si="18"/>
        <v>32</v>
      </c>
    </row>
    <row r="123" spans="1:22" x14ac:dyDescent="0.25">
      <c r="A123" s="98" t="s">
        <v>21</v>
      </c>
      <c r="B123" s="98" t="s">
        <v>20</v>
      </c>
      <c r="C123" s="98">
        <v>4</v>
      </c>
      <c r="D123" s="98">
        <v>1512</v>
      </c>
      <c r="E123" s="157">
        <v>42020.965277777781</v>
      </c>
      <c r="F123" s="157">
        <v>42021.697222222225</v>
      </c>
      <c r="G123" s="98">
        <v>0</v>
      </c>
      <c r="H123" s="98">
        <v>114</v>
      </c>
      <c r="I123" s="98">
        <v>107</v>
      </c>
      <c r="J123" s="98" t="s">
        <v>2023</v>
      </c>
      <c r="K123" s="98" t="s">
        <v>2077</v>
      </c>
      <c r="L123" s="105" t="str">
        <f t="shared" si="10"/>
        <v>Brown</v>
      </c>
      <c r="M123" s="105" t="str">
        <f t="shared" si="11"/>
        <v>Maintenance</v>
      </c>
      <c r="N123" s="105" t="str">
        <f t="shared" si="12"/>
        <v>Coal</v>
      </c>
      <c r="O123" s="105">
        <f>IFERROR(VLOOKUP(A123,Lookup!$J$5:$P$19,7,FALSE),0)</f>
        <v>1</v>
      </c>
      <c r="P123" s="159">
        <f t="shared" si="13"/>
        <v>2015</v>
      </c>
      <c r="Q123" s="159">
        <f t="shared" si="14"/>
        <v>1</v>
      </c>
      <c r="R123" s="160">
        <f t="shared" si="15"/>
        <v>17.566666666651145</v>
      </c>
      <c r="S123" s="158">
        <f t="shared" si="16"/>
        <v>17.566666666651145</v>
      </c>
      <c r="T123" s="161">
        <f t="shared" si="17"/>
        <v>1879.6333333316725</v>
      </c>
      <c r="U123" s="158">
        <f t="shared" si="19"/>
        <v>107</v>
      </c>
      <c r="V123" s="160">
        <f t="shared" si="18"/>
        <v>107</v>
      </c>
    </row>
    <row r="124" spans="1:22" x14ac:dyDescent="0.25">
      <c r="A124" s="98" t="s">
        <v>21</v>
      </c>
      <c r="B124" s="98" t="s">
        <v>17</v>
      </c>
      <c r="C124" s="98">
        <v>6</v>
      </c>
      <c r="D124" s="98">
        <v>1599</v>
      </c>
      <c r="E124" s="157">
        <v>42027.270833333336</v>
      </c>
      <c r="F124" s="157">
        <v>42027.28125</v>
      </c>
      <c r="G124" s="98">
        <v>75</v>
      </c>
      <c r="H124" s="98">
        <v>114</v>
      </c>
      <c r="I124" s="98">
        <v>107</v>
      </c>
      <c r="J124" s="98" t="s">
        <v>2013</v>
      </c>
      <c r="K124" s="98" t="s">
        <v>2078</v>
      </c>
      <c r="L124" s="105" t="str">
        <f t="shared" si="10"/>
        <v>Brown</v>
      </c>
      <c r="M124" s="105" t="str">
        <f t="shared" si="11"/>
        <v>Derate</v>
      </c>
      <c r="N124" s="105" t="str">
        <f t="shared" si="12"/>
        <v>Coal</v>
      </c>
      <c r="O124" s="105">
        <f>IFERROR(VLOOKUP(A124,Lookup!$J$5:$P$19,7,FALSE),0)</f>
        <v>1</v>
      </c>
      <c r="P124" s="159">
        <f t="shared" si="13"/>
        <v>2015</v>
      </c>
      <c r="Q124" s="159">
        <f t="shared" si="14"/>
        <v>1</v>
      </c>
      <c r="R124" s="160">
        <f t="shared" si="15"/>
        <v>0.24999999994179234</v>
      </c>
      <c r="S124" s="158">
        <f t="shared" si="16"/>
        <v>8.5526315769560532E-2</v>
      </c>
      <c r="T124" s="161">
        <f t="shared" si="17"/>
        <v>9.1513157873429769</v>
      </c>
      <c r="U124" s="158">
        <f t="shared" si="19"/>
        <v>36.60526315789474</v>
      </c>
      <c r="V124" s="160">
        <f t="shared" si="18"/>
        <v>37</v>
      </c>
    </row>
    <row r="125" spans="1:22" x14ac:dyDescent="0.25">
      <c r="A125" s="98" t="s">
        <v>21</v>
      </c>
      <c r="B125" s="98" t="s">
        <v>38</v>
      </c>
      <c r="C125" s="98">
        <v>7</v>
      </c>
      <c r="D125" s="98">
        <v>4400</v>
      </c>
      <c r="E125" s="157">
        <v>42063.401388888888</v>
      </c>
      <c r="F125" s="157">
        <v>42131.713888888888</v>
      </c>
      <c r="G125" s="98">
        <v>0</v>
      </c>
      <c r="H125" s="98">
        <v>114</v>
      </c>
      <c r="I125" s="98">
        <v>107</v>
      </c>
      <c r="J125" s="98" t="s">
        <v>2079</v>
      </c>
      <c r="K125" s="98" t="s">
        <v>2080</v>
      </c>
      <c r="L125" s="105" t="str">
        <f t="shared" si="10"/>
        <v>Brown</v>
      </c>
      <c r="M125" s="105" t="str">
        <f t="shared" si="11"/>
        <v>Other</v>
      </c>
      <c r="N125" s="105" t="str">
        <f t="shared" si="12"/>
        <v>Coal</v>
      </c>
      <c r="O125" s="105">
        <f>IFERROR(VLOOKUP(A125,Lookup!$J$5:$P$19,7,FALSE),0)</f>
        <v>1</v>
      </c>
      <c r="P125" s="159">
        <f t="shared" si="13"/>
        <v>2015</v>
      </c>
      <c r="Q125" s="159">
        <f t="shared" si="14"/>
        <v>2</v>
      </c>
      <c r="R125" s="160">
        <f t="shared" si="15"/>
        <v>1639.5</v>
      </c>
      <c r="S125" s="158">
        <f t="shared" si="16"/>
        <v>1639.5</v>
      </c>
      <c r="T125" s="161">
        <f t="shared" si="17"/>
        <v>175426.5</v>
      </c>
      <c r="U125" s="158">
        <f t="shared" si="19"/>
        <v>107</v>
      </c>
      <c r="V125" s="160">
        <f t="shared" si="18"/>
        <v>107</v>
      </c>
    </row>
    <row r="126" spans="1:22" x14ac:dyDescent="0.25">
      <c r="A126" s="98" t="s">
        <v>21</v>
      </c>
      <c r="B126" s="98" t="s">
        <v>17</v>
      </c>
      <c r="C126" s="98">
        <v>8</v>
      </c>
      <c r="D126" s="98">
        <v>300</v>
      </c>
      <c r="E126" s="157">
        <v>42132.193749999999</v>
      </c>
      <c r="F126" s="157">
        <v>42132.222222222219</v>
      </c>
      <c r="G126" s="98">
        <v>66</v>
      </c>
      <c r="H126" s="98">
        <v>114</v>
      </c>
      <c r="I126" s="98">
        <v>107</v>
      </c>
      <c r="J126" s="98" t="s">
        <v>1977</v>
      </c>
      <c r="K126" s="98" t="s">
        <v>2081</v>
      </c>
      <c r="L126" s="105" t="str">
        <f t="shared" si="10"/>
        <v>Brown</v>
      </c>
      <c r="M126" s="105" t="str">
        <f t="shared" si="11"/>
        <v>Derate</v>
      </c>
      <c r="N126" s="105" t="str">
        <f t="shared" si="12"/>
        <v>Coal</v>
      </c>
      <c r="O126" s="105">
        <f>IFERROR(VLOOKUP(A126,Lookup!$J$5:$P$19,7,FALSE),0)</f>
        <v>1</v>
      </c>
      <c r="P126" s="159">
        <f t="shared" si="13"/>
        <v>2015</v>
      </c>
      <c r="Q126" s="159">
        <f t="shared" si="14"/>
        <v>5</v>
      </c>
      <c r="R126" s="160">
        <f t="shared" si="15"/>
        <v>0.68333333329064772</v>
      </c>
      <c r="S126" s="158">
        <f t="shared" si="16"/>
        <v>0.28771929822764114</v>
      </c>
      <c r="T126" s="161">
        <f t="shared" si="17"/>
        <v>30.785964910357603</v>
      </c>
      <c r="U126" s="158">
        <f t="shared" si="19"/>
        <v>45.05263157894737</v>
      </c>
      <c r="V126" s="160">
        <f t="shared" si="18"/>
        <v>45</v>
      </c>
    </row>
    <row r="127" spans="1:22" x14ac:dyDescent="0.25">
      <c r="A127" s="98" t="s">
        <v>21</v>
      </c>
      <c r="B127" s="98" t="s">
        <v>20</v>
      </c>
      <c r="C127" s="98">
        <v>9</v>
      </c>
      <c r="D127" s="98">
        <v>4499</v>
      </c>
      <c r="E127" s="157">
        <v>42132.370833333334</v>
      </c>
      <c r="F127" s="157">
        <v>42132.587500000001</v>
      </c>
      <c r="G127" s="98">
        <v>0</v>
      </c>
      <c r="H127" s="98">
        <v>114</v>
      </c>
      <c r="I127" s="98">
        <v>107</v>
      </c>
      <c r="J127" s="98" t="s">
        <v>2082</v>
      </c>
      <c r="K127" s="98" t="s">
        <v>2083</v>
      </c>
      <c r="L127" s="105" t="str">
        <f t="shared" si="10"/>
        <v>Brown</v>
      </c>
      <c r="M127" s="105" t="str">
        <f t="shared" si="11"/>
        <v>Maintenance</v>
      </c>
      <c r="N127" s="105" t="str">
        <f t="shared" si="12"/>
        <v>Coal</v>
      </c>
      <c r="O127" s="105">
        <f>IFERROR(VLOOKUP(A127,Lookup!$J$5:$P$19,7,FALSE),0)</f>
        <v>1</v>
      </c>
      <c r="P127" s="159">
        <f t="shared" si="13"/>
        <v>2015</v>
      </c>
      <c r="Q127" s="159">
        <f t="shared" si="14"/>
        <v>5</v>
      </c>
      <c r="R127" s="160">
        <f t="shared" si="15"/>
        <v>5.2000000000116415</v>
      </c>
      <c r="S127" s="158">
        <f t="shared" si="16"/>
        <v>5.2000000000116415</v>
      </c>
      <c r="T127" s="161">
        <f t="shared" si="17"/>
        <v>556.40000000124564</v>
      </c>
      <c r="U127" s="158">
        <f t="shared" si="19"/>
        <v>107</v>
      </c>
      <c r="V127" s="160">
        <f t="shared" si="18"/>
        <v>107</v>
      </c>
    </row>
    <row r="128" spans="1:22" x14ac:dyDescent="0.25">
      <c r="A128" s="98" t="s">
        <v>21</v>
      </c>
      <c r="B128" s="98" t="s">
        <v>20</v>
      </c>
      <c r="C128" s="98">
        <v>10</v>
      </c>
      <c r="D128" s="98">
        <v>4499</v>
      </c>
      <c r="E128" s="157">
        <v>42132.750694444447</v>
      </c>
      <c r="F128" s="157">
        <v>42133.686805555553</v>
      </c>
      <c r="G128" s="98">
        <v>0</v>
      </c>
      <c r="H128" s="98">
        <v>114</v>
      </c>
      <c r="I128" s="98">
        <v>107</v>
      </c>
      <c r="J128" s="98" t="s">
        <v>2082</v>
      </c>
      <c r="K128" s="98" t="s">
        <v>2083</v>
      </c>
      <c r="L128" s="105" t="str">
        <f t="shared" si="10"/>
        <v>Brown</v>
      </c>
      <c r="M128" s="105" t="str">
        <f t="shared" si="11"/>
        <v>Maintenance</v>
      </c>
      <c r="N128" s="105" t="str">
        <f t="shared" si="12"/>
        <v>Coal</v>
      </c>
      <c r="O128" s="105">
        <f>IFERROR(VLOOKUP(A128,Lookup!$J$5:$P$19,7,FALSE),0)</f>
        <v>1</v>
      </c>
      <c r="P128" s="159">
        <f t="shared" si="13"/>
        <v>2015</v>
      </c>
      <c r="Q128" s="159">
        <f t="shared" si="14"/>
        <v>5</v>
      </c>
      <c r="R128" s="160">
        <f t="shared" si="15"/>
        <v>22.466666666558012</v>
      </c>
      <c r="S128" s="158">
        <f t="shared" si="16"/>
        <v>22.466666666558012</v>
      </c>
      <c r="T128" s="161">
        <f t="shared" si="17"/>
        <v>2403.9333333217073</v>
      </c>
      <c r="U128" s="158">
        <f t="shared" si="19"/>
        <v>107</v>
      </c>
      <c r="V128" s="160">
        <f t="shared" si="18"/>
        <v>107</v>
      </c>
    </row>
    <row r="129" spans="1:22" x14ac:dyDescent="0.25">
      <c r="A129" s="98" t="s">
        <v>21</v>
      </c>
      <c r="B129" s="98" t="s">
        <v>20</v>
      </c>
      <c r="C129" s="98">
        <v>11</v>
      </c>
      <c r="D129" s="98">
        <v>4490</v>
      </c>
      <c r="E129" s="157">
        <v>42135.345138888886</v>
      </c>
      <c r="F129" s="157">
        <v>42135.459027777775</v>
      </c>
      <c r="G129" s="98">
        <v>0</v>
      </c>
      <c r="H129" s="98">
        <v>114</v>
      </c>
      <c r="I129" s="98">
        <v>107</v>
      </c>
      <c r="J129" s="98" t="s">
        <v>2084</v>
      </c>
      <c r="K129" s="98" t="s">
        <v>2083</v>
      </c>
      <c r="L129" s="105" t="str">
        <f t="shared" si="10"/>
        <v>Brown</v>
      </c>
      <c r="M129" s="105" t="str">
        <f t="shared" si="11"/>
        <v>Maintenance</v>
      </c>
      <c r="N129" s="105" t="str">
        <f t="shared" si="12"/>
        <v>Coal</v>
      </c>
      <c r="O129" s="105">
        <f>IFERROR(VLOOKUP(A129,Lookup!$J$5:$P$19,7,FALSE),0)</f>
        <v>1</v>
      </c>
      <c r="P129" s="159">
        <f t="shared" si="13"/>
        <v>2015</v>
      </c>
      <c r="Q129" s="159">
        <f t="shared" si="14"/>
        <v>5</v>
      </c>
      <c r="R129" s="160">
        <f t="shared" si="15"/>
        <v>2.7333333333372138</v>
      </c>
      <c r="S129" s="158">
        <f t="shared" si="16"/>
        <v>2.7333333333372138</v>
      </c>
      <c r="T129" s="161">
        <f t="shared" si="17"/>
        <v>292.46666666708188</v>
      </c>
      <c r="U129" s="158">
        <f t="shared" si="19"/>
        <v>107</v>
      </c>
      <c r="V129" s="160">
        <f t="shared" si="18"/>
        <v>107</v>
      </c>
    </row>
    <row r="130" spans="1:22" x14ac:dyDescent="0.25">
      <c r="A130" s="98" t="s">
        <v>21</v>
      </c>
      <c r="B130" s="98" t="s">
        <v>15</v>
      </c>
      <c r="C130" s="98">
        <v>12</v>
      </c>
      <c r="D130" s="98">
        <v>4302</v>
      </c>
      <c r="E130" s="157">
        <v>42135.460416666669</v>
      </c>
      <c r="F130" s="157">
        <v>42135.760416666664</v>
      </c>
      <c r="G130" s="98">
        <v>0</v>
      </c>
      <c r="H130" s="98">
        <v>114</v>
      </c>
      <c r="I130" s="98">
        <v>107</v>
      </c>
      <c r="J130" s="98" t="s">
        <v>2024</v>
      </c>
      <c r="K130" s="98" t="s">
        <v>2085</v>
      </c>
      <c r="L130" s="105" t="str">
        <f t="shared" ref="L130:L193" si="20">IF(OR(A130="BR1",A130="BR2",A130="BR3",A130="BR5",A130="BR6",A130="BR7",A130="BR8",A130="BR9",A130="BR10",A130="BR11"),"Brown",IF(OR(A130="CR4",A130="CR5",A130="CR6",A130="CR11"),"Cane Run",IF(OR(A130="GH1",A130="GH2",A130="GH3",A130="GH4"),"Ghent",IF(OR(A130="GR3",A130="GR4"),"Green River",IF(OR(A130="MC1",A130="MC2",A130="MC3",A130="MC4"),"Mill Creek",IF(OR(A130="TC1",A130="TC2",A130="TC5",A130="TC6",A130="TC7",A130="TC8",A130="TC9",A130="TC10"),"Trimble",IF(A130="TY3","Tyrone",IF(OR(A130="HA1",A130="HA2",A130="HA3"),"Haeflin",IF(OR(A130="PR11",A130="PR12",A130="PR13"),"Paddy's Run","Zorn")))))))))</f>
        <v>Brown</v>
      </c>
      <c r="M130" s="105" t="str">
        <f t="shared" ref="M130:M193" si="21">IF(OR(B130="D1",B130="D2",B130="D3",B130="D4",B130="PD"),"Derate",IF(OR(B130="SF",B130="U1",B130="U2",B130="U3"),"Outage",IF(OR(B130="ME",B130="MO"),"Maintenance","Other")))</f>
        <v>Outage</v>
      </c>
      <c r="N130" s="105" t="str">
        <f t="shared" ref="N130:N193" si="22">IF(OR(A130="BR1",A130="BR2",A130="BR3",A130="CR4",A130="CR5",A130="CR6",A130="GH1",A130="GH2",A130="GH3",A130="GH4",A130="GR3",A130="GR4",A130="MC1",A130="MC2",A130="MC3",A130="MC4",A130="TC1",A130="TC2",A130="TY3"),"Coal","Gas")</f>
        <v>Coal</v>
      </c>
      <c r="O130" s="105">
        <f>IFERROR(VLOOKUP(A130,Lookup!$J$5:$P$19,7,FALSE),0)</f>
        <v>1</v>
      </c>
      <c r="P130" s="159">
        <f t="shared" ref="P130:P193" si="23">YEAR(E130)</f>
        <v>2015</v>
      </c>
      <c r="Q130" s="159">
        <f t="shared" ref="Q130:Q193" si="24">MONTH(E130)</f>
        <v>5</v>
      </c>
      <c r="R130" s="160">
        <f t="shared" ref="R130:R193" si="25">(F130-E130)*24</f>
        <v>7.1999999998952262</v>
      </c>
      <c r="S130" s="158">
        <f t="shared" ref="S130:S193" si="26">R130*(H130-G130)/H130</f>
        <v>7.1999999998952262</v>
      </c>
      <c r="T130" s="161">
        <f t="shared" ref="T130:T193" si="27">S130*I130</f>
        <v>770.3999999887892</v>
      </c>
      <c r="U130" s="158">
        <f t="shared" si="19"/>
        <v>107</v>
      </c>
      <c r="V130" s="160">
        <f t="shared" ref="V130:V193" si="28">ROUND(U130,0)</f>
        <v>107</v>
      </c>
    </row>
    <row r="131" spans="1:22" x14ac:dyDescent="0.25">
      <c r="A131" s="98" t="s">
        <v>21</v>
      </c>
      <c r="B131" s="98" t="s">
        <v>20</v>
      </c>
      <c r="C131" s="98">
        <v>13</v>
      </c>
      <c r="D131" s="98">
        <v>4619</v>
      </c>
      <c r="E131" s="157">
        <v>42136.946527777778</v>
      </c>
      <c r="F131" s="157">
        <v>42138.198611111111</v>
      </c>
      <c r="G131" s="98">
        <v>0</v>
      </c>
      <c r="H131" s="98">
        <v>114</v>
      </c>
      <c r="I131" s="98">
        <v>107</v>
      </c>
      <c r="J131" s="98" t="s">
        <v>2086</v>
      </c>
      <c r="K131" s="98" t="s">
        <v>2087</v>
      </c>
      <c r="L131" s="105" t="str">
        <f t="shared" si="20"/>
        <v>Brown</v>
      </c>
      <c r="M131" s="105" t="str">
        <f t="shared" si="21"/>
        <v>Maintenance</v>
      </c>
      <c r="N131" s="105" t="str">
        <f t="shared" si="22"/>
        <v>Coal</v>
      </c>
      <c r="O131" s="105">
        <f>IFERROR(VLOOKUP(A131,Lookup!$J$5:$P$19,7,FALSE),0)</f>
        <v>1</v>
      </c>
      <c r="P131" s="159">
        <f t="shared" si="23"/>
        <v>2015</v>
      </c>
      <c r="Q131" s="159">
        <f t="shared" si="24"/>
        <v>5</v>
      </c>
      <c r="R131" s="160">
        <f t="shared" si="25"/>
        <v>30.049999999988358</v>
      </c>
      <c r="S131" s="158">
        <f t="shared" si="26"/>
        <v>30.049999999988358</v>
      </c>
      <c r="T131" s="161">
        <f t="shared" si="27"/>
        <v>3215.3499999987544</v>
      </c>
      <c r="U131" s="158">
        <f t="shared" ref="U131:U194" si="29">IF(G131&gt;0,MAX((H131-G131),0)*I131/H131,I131)</f>
        <v>107</v>
      </c>
      <c r="V131" s="160">
        <f t="shared" si="28"/>
        <v>107</v>
      </c>
    </row>
    <row r="132" spans="1:22" x14ac:dyDescent="0.25">
      <c r="A132" s="98" t="s">
        <v>21</v>
      </c>
      <c r="B132" s="98" t="s">
        <v>15</v>
      </c>
      <c r="C132" s="98">
        <v>14</v>
      </c>
      <c r="D132" s="98">
        <v>1035</v>
      </c>
      <c r="E132" s="157">
        <v>42138.966666666667</v>
      </c>
      <c r="F132" s="157">
        <v>42140.100694444445</v>
      </c>
      <c r="G132" s="98">
        <v>0</v>
      </c>
      <c r="H132" s="98">
        <v>114</v>
      </c>
      <c r="I132" s="98">
        <v>107</v>
      </c>
      <c r="J132" s="98" t="s">
        <v>2088</v>
      </c>
      <c r="K132" s="98" t="s">
        <v>231</v>
      </c>
      <c r="L132" s="105" t="str">
        <f t="shared" si="20"/>
        <v>Brown</v>
      </c>
      <c r="M132" s="105" t="str">
        <f t="shared" si="21"/>
        <v>Outage</v>
      </c>
      <c r="N132" s="105" t="str">
        <f t="shared" si="22"/>
        <v>Coal</v>
      </c>
      <c r="O132" s="105">
        <f>IFERROR(VLOOKUP(A132,Lookup!$J$5:$P$19,7,FALSE),0)</f>
        <v>1</v>
      </c>
      <c r="P132" s="159">
        <f t="shared" si="23"/>
        <v>2015</v>
      </c>
      <c r="Q132" s="159">
        <f t="shared" si="24"/>
        <v>5</v>
      </c>
      <c r="R132" s="160">
        <f t="shared" si="25"/>
        <v>27.216666666674428</v>
      </c>
      <c r="S132" s="158">
        <f t="shared" si="26"/>
        <v>27.216666666674428</v>
      </c>
      <c r="T132" s="161">
        <f t="shared" si="27"/>
        <v>2912.1833333341638</v>
      </c>
      <c r="U132" s="158">
        <f t="shared" si="29"/>
        <v>107</v>
      </c>
      <c r="V132" s="160">
        <f t="shared" si="28"/>
        <v>107</v>
      </c>
    </row>
    <row r="133" spans="1:22" x14ac:dyDescent="0.25">
      <c r="A133" s="98" t="s">
        <v>21</v>
      </c>
      <c r="B133" s="98" t="s">
        <v>20</v>
      </c>
      <c r="C133" s="98">
        <v>15</v>
      </c>
      <c r="D133" s="98">
        <v>1512</v>
      </c>
      <c r="E133" s="157">
        <v>42145.836805555555</v>
      </c>
      <c r="F133" s="157">
        <v>42148.579861111109</v>
      </c>
      <c r="G133" s="98">
        <v>0</v>
      </c>
      <c r="H133" s="98">
        <v>114</v>
      </c>
      <c r="I133" s="98">
        <v>107</v>
      </c>
      <c r="J133" s="98" t="s">
        <v>2023</v>
      </c>
      <c r="K133" s="98" t="s">
        <v>2089</v>
      </c>
      <c r="L133" s="105" t="str">
        <f t="shared" si="20"/>
        <v>Brown</v>
      </c>
      <c r="M133" s="105" t="str">
        <f t="shared" si="21"/>
        <v>Maintenance</v>
      </c>
      <c r="N133" s="105" t="str">
        <f t="shared" si="22"/>
        <v>Coal</v>
      </c>
      <c r="O133" s="105">
        <f>IFERROR(VLOOKUP(A133,Lookup!$J$5:$P$19,7,FALSE),0)</f>
        <v>1</v>
      </c>
      <c r="P133" s="159">
        <f t="shared" si="23"/>
        <v>2015</v>
      </c>
      <c r="Q133" s="159">
        <f t="shared" si="24"/>
        <v>5</v>
      </c>
      <c r="R133" s="160">
        <f t="shared" si="25"/>
        <v>65.833333333313931</v>
      </c>
      <c r="S133" s="158">
        <f t="shared" si="26"/>
        <v>65.833333333313931</v>
      </c>
      <c r="T133" s="161">
        <f t="shared" si="27"/>
        <v>7044.1666666645906</v>
      </c>
      <c r="U133" s="158">
        <f t="shared" si="29"/>
        <v>107</v>
      </c>
      <c r="V133" s="160">
        <f t="shared" si="28"/>
        <v>107</v>
      </c>
    </row>
    <row r="134" spans="1:22" x14ac:dyDescent="0.25">
      <c r="A134" s="98" t="s">
        <v>21</v>
      </c>
      <c r="B134" s="98" t="s">
        <v>17</v>
      </c>
      <c r="C134" s="98">
        <v>17</v>
      </c>
      <c r="D134" s="98">
        <v>9910</v>
      </c>
      <c r="E134" s="157">
        <v>42164.597916666666</v>
      </c>
      <c r="F134" s="157">
        <v>42164.629166666666</v>
      </c>
      <c r="G134" s="98">
        <v>65</v>
      </c>
      <c r="H134" s="98">
        <v>114</v>
      </c>
      <c r="I134" s="98">
        <v>107</v>
      </c>
      <c r="J134" s="98" t="s">
        <v>2014</v>
      </c>
      <c r="K134" s="98" t="s">
        <v>2090</v>
      </c>
      <c r="L134" s="105" t="str">
        <f t="shared" si="20"/>
        <v>Brown</v>
      </c>
      <c r="M134" s="105" t="str">
        <f t="shared" si="21"/>
        <v>Derate</v>
      </c>
      <c r="N134" s="105" t="str">
        <f t="shared" si="22"/>
        <v>Coal</v>
      </c>
      <c r="O134" s="105">
        <f>IFERROR(VLOOKUP(A134,Lookup!$J$5:$P$19,7,FALSE),0)</f>
        <v>1</v>
      </c>
      <c r="P134" s="159">
        <f t="shared" si="23"/>
        <v>2015</v>
      </c>
      <c r="Q134" s="159">
        <f t="shared" si="24"/>
        <v>6</v>
      </c>
      <c r="R134" s="160">
        <f t="shared" si="25"/>
        <v>0.75</v>
      </c>
      <c r="S134" s="158">
        <f t="shared" si="26"/>
        <v>0.32236842105263158</v>
      </c>
      <c r="T134" s="161">
        <f t="shared" si="27"/>
        <v>34.493421052631582</v>
      </c>
      <c r="U134" s="158">
        <f t="shared" si="29"/>
        <v>45.991228070175438</v>
      </c>
      <c r="V134" s="160">
        <f t="shared" si="28"/>
        <v>46</v>
      </c>
    </row>
    <row r="135" spans="1:22" x14ac:dyDescent="0.25">
      <c r="A135" s="98" t="s">
        <v>21</v>
      </c>
      <c r="B135" s="98" t="s">
        <v>20</v>
      </c>
      <c r="C135" s="98">
        <v>19</v>
      </c>
      <c r="D135" s="98">
        <v>4613</v>
      </c>
      <c r="E135" s="157">
        <v>42195.381249999999</v>
      </c>
      <c r="F135" s="157">
        <v>42202.963194444441</v>
      </c>
      <c r="G135" s="98">
        <v>0</v>
      </c>
      <c r="H135" s="98">
        <v>114</v>
      </c>
      <c r="I135" s="98">
        <v>107</v>
      </c>
      <c r="J135" s="98" t="s">
        <v>2496</v>
      </c>
      <c r="K135" s="98" t="s">
        <v>3189</v>
      </c>
      <c r="L135" s="105" t="str">
        <f t="shared" si="20"/>
        <v>Brown</v>
      </c>
      <c r="M135" s="105" t="str">
        <f t="shared" si="21"/>
        <v>Maintenance</v>
      </c>
      <c r="N135" s="105" t="str">
        <f t="shared" si="22"/>
        <v>Coal</v>
      </c>
      <c r="O135" s="105">
        <f>IFERROR(VLOOKUP(A135,Lookup!$J$5:$P$19,7,FALSE),0)</f>
        <v>1</v>
      </c>
      <c r="P135" s="159">
        <f t="shared" si="23"/>
        <v>2015</v>
      </c>
      <c r="Q135" s="159">
        <f t="shared" si="24"/>
        <v>7</v>
      </c>
      <c r="R135" s="160">
        <f t="shared" si="25"/>
        <v>181.96666666661622</v>
      </c>
      <c r="S135" s="158">
        <f t="shared" si="26"/>
        <v>181.96666666661622</v>
      </c>
      <c r="T135" s="161">
        <f t="shared" si="27"/>
        <v>19470.433333327936</v>
      </c>
      <c r="U135" s="158">
        <f t="shared" si="29"/>
        <v>107</v>
      </c>
      <c r="V135" s="160">
        <f t="shared" si="28"/>
        <v>107</v>
      </c>
    </row>
    <row r="136" spans="1:22" x14ac:dyDescent="0.25">
      <c r="A136" s="98" t="s">
        <v>21</v>
      </c>
      <c r="B136" s="98" t="s">
        <v>17</v>
      </c>
      <c r="C136" s="98">
        <v>20</v>
      </c>
      <c r="D136" s="98">
        <v>250</v>
      </c>
      <c r="E136" s="157">
        <v>42208.486111111109</v>
      </c>
      <c r="F136" s="157">
        <v>42208.609722222223</v>
      </c>
      <c r="G136" s="98">
        <v>80</v>
      </c>
      <c r="H136" s="98">
        <v>114</v>
      </c>
      <c r="I136" s="98">
        <v>107</v>
      </c>
      <c r="J136" s="98" t="s">
        <v>1978</v>
      </c>
      <c r="K136" s="98" t="s">
        <v>3190</v>
      </c>
      <c r="L136" s="105" t="str">
        <f t="shared" si="20"/>
        <v>Brown</v>
      </c>
      <c r="M136" s="105" t="str">
        <f t="shared" si="21"/>
        <v>Derate</v>
      </c>
      <c r="N136" s="105" t="str">
        <f t="shared" si="22"/>
        <v>Coal</v>
      </c>
      <c r="O136" s="105">
        <f>IFERROR(VLOOKUP(A136,Lookup!$J$5:$P$19,7,FALSE),0)</f>
        <v>1</v>
      </c>
      <c r="P136" s="159">
        <f t="shared" si="23"/>
        <v>2015</v>
      </c>
      <c r="Q136" s="159">
        <f t="shared" si="24"/>
        <v>7</v>
      </c>
      <c r="R136" s="160">
        <f t="shared" si="25"/>
        <v>2.9666666667326353</v>
      </c>
      <c r="S136" s="158">
        <f t="shared" si="26"/>
        <v>0.88479532165710173</v>
      </c>
      <c r="T136" s="161">
        <f t="shared" si="27"/>
        <v>94.673099417309885</v>
      </c>
      <c r="U136" s="158">
        <f t="shared" si="29"/>
        <v>31.912280701754387</v>
      </c>
      <c r="V136" s="160">
        <f t="shared" si="28"/>
        <v>32</v>
      </c>
    </row>
    <row r="137" spans="1:22" x14ac:dyDescent="0.25">
      <c r="A137" s="98" t="s">
        <v>21</v>
      </c>
      <c r="B137" s="98" t="s">
        <v>20</v>
      </c>
      <c r="C137" s="98">
        <v>21</v>
      </c>
      <c r="D137" s="98">
        <v>4613</v>
      </c>
      <c r="E137" s="157">
        <v>42234.918749999997</v>
      </c>
      <c r="F137" s="157">
        <v>42248.375</v>
      </c>
      <c r="G137" s="98">
        <v>0</v>
      </c>
      <c r="H137" s="98">
        <v>114</v>
      </c>
      <c r="I137" s="98">
        <v>107</v>
      </c>
      <c r="J137" s="98" t="s">
        <v>2496</v>
      </c>
      <c r="K137" s="98" t="s">
        <v>3191</v>
      </c>
      <c r="L137" s="105" t="str">
        <f t="shared" si="20"/>
        <v>Brown</v>
      </c>
      <c r="M137" s="105" t="str">
        <f t="shared" si="21"/>
        <v>Maintenance</v>
      </c>
      <c r="N137" s="105" t="str">
        <f t="shared" si="22"/>
        <v>Coal</v>
      </c>
      <c r="O137" s="105">
        <f>IFERROR(VLOOKUP(A137,Lookup!$J$5:$P$19,7,FALSE),0)</f>
        <v>1</v>
      </c>
      <c r="P137" s="159">
        <f t="shared" si="23"/>
        <v>2015</v>
      </c>
      <c r="Q137" s="159">
        <f t="shared" si="24"/>
        <v>8</v>
      </c>
      <c r="R137" s="160">
        <f t="shared" si="25"/>
        <v>322.95000000006985</v>
      </c>
      <c r="S137" s="158">
        <f t="shared" si="26"/>
        <v>322.95000000006985</v>
      </c>
      <c r="T137" s="161">
        <f t="shared" si="27"/>
        <v>34555.650000007474</v>
      </c>
      <c r="U137" s="158">
        <f t="shared" si="29"/>
        <v>107</v>
      </c>
      <c r="V137" s="160">
        <f t="shared" si="28"/>
        <v>107</v>
      </c>
    </row>
    <row r="138" spans="1:22" x14ac:dyDescent="0.25">
      <c r="A138" s="98" t="s">
        <v>21</v>
      </c>
      <c r="B138" s="98" t="s">
        <v>17</v>
      </c>
      <c r="C138" s="98">
        <v>22</v>
      </c>
      <c r="D138" s="98">
        <v>320</v>
      </c>
      <c r="E138" s="157">
        <v>42249.552083333336</v>
      </c>
      <c r="F138" s="157">
        <v>42249.609722222223</v>
      </c>
      <c r="G138" s="98">
        <v>80</v>
      </c>
      <c r="H138" s="98">
        <v>114</v>
      </c>
      <c r="I138" s="98">
        <v>107</v>
      </c>
      <c r="J138" s="98" t="s">
        <v>1992</v>
      </c>
      <c r="K138" s="98" t="s">
        <v>3192</v>
      </c>
      <c r="L138" s="105" t="str">
        <f t="shared" si="20"/>
        <v>Brown</v>
      </c>
      <c r="M138" s="105" t="str">
        <f t="shared" si="21"/>
        <v>Derate</v>
      </c>
      <c r="N138" s="105" t="str">
        <f t="shared" si="22"/>
        <v>Coal</v>
      </c>
      <c r="O138" s="105">
        <f>IFERROR(VLOOKUP(A138,Lookup!$J$5:$P$19,7,FALSE),0)</f>
        <v>1</v>
      </c>
      <c r="P138" s="159">
        <f t="shared" si="23"/>
        <v>2015</v>
      </c>
      <c r="Q138" s="159">
        <f t="shared" si="24"/>
        <v>9</v>
      </c>
      <c r="R138" s="160">
        <f t="shared" si="25"/>
        <v>1.3833333333022892</v>
      </c>
      <c r="S138" s="158">
        <f t="shared" si="26"/>
        <v>0.41257309940594594</v>
      </c>
      <c r="T138" s="161">
        <f t="shared" si="27"/>
        <v>44.145321636436215</v>
      </c>
      <c r="U138" s="158">
        <f t="shared" si="29"/>
        <v>31.912280701754387</v>
      </c>
      <c r="V138" s="160">
        <f t="shared" si="28"/>
        <v>32</v>
      </c>
    </row>
    <row r="139" spans="1:22" x14ac:dyDescent="0.25">
      <c r="A139" s="98" t="s">
        <v>21</v>
      </c>
      <c r="B139" s="98" t="s">
        <v>20</v>
      </c>
      <c r="C139" s="98">
        <v>24</v>
      </c>
      <c r="D139" s="98">
        <v>4289</v>
      </c>
      <c r="E139" s="157">
        <v>42262.25</v>
      </c>
      <c r="F139" s="157">
        <v>42262.257638888892</v>
      </c>
      <c r="G139" s="98">
        <v>0</v>
      </c>
      <c r="H139" s="98">
        <v>114</v>
      </c>
      <c r="I139" s="98">
        <v>107</v>
      </c>
      <c r="J139" s="98" t="s">
        <v>2649</v>
      </c>
      <c r="K139" s="98" t="s">
        <v>3193</v>
      </c>
      <c r="L139" s="105" t="str">
        <f t="shared" si="20"/>
        <v>Brown</v>
      </c>
      <c r="M139" s="105" t="str">
        <f t="shared" si="21"/>
        <v>Maintenance</v>
      </c>
      <c r="N139" s="105" t="str">
        <f t="shared" si="22"/>
        <v>Coal</v>
      </c>
      <c r="O139" s="105">
        <f>IFERROR(VLOOKUP(A139,Lookup!$J$5:$P$19,7,FALSE),0)</f>
        <v>1</v>
      </c>
      <c r="P139" s="159">
        <f t="shared" si="23"/>
        <v>2015</v>
      </c>
      <c r="Q139" s="159">
        <f t="shared" si="24"/>
        <v>9</v>
      </c>
      <c r="R139" s="160">
        <f t="shared" si="25"/>
        <v>0.18333333340706304</v>
      </c>
      <c r="S139" s="158">
        <f t="shared" si="26"/>
        <v>0.18333333340706304</v>
      </c>
      <c r="T139" s="161">
        <f t="shared" si="27"/>
        <v>19.616666674555745</v>
      </c>
      <c r="U139" s="158">
        <f t="shared" si="29"/>
        <v>107</v>
      </c>
      <c r="V139" s="160">
        <f t="shared" si="28"/>
        <v>107</v>
      </c>
    </row>
    <row r="140" spans="1:22" x14ac:dyDescent="0.25">
      <c r="A140" s="98" t="s">
        <v>21</v>
      </c>
      <c r="B140" s="98" t="s">
        <v>20</v>
      </c>
      <c r="C140" s="98">
        <v>26</v>
      </c>
      <c r="D140" s="98">
        <v>8720</v>
      </c>
      <c r="E140" s="157">
        <v>42277.626388888886</v>
      </c>
      <c r="F140" s="157">
        <v>42277.688194444447</v>
      </c>
      <c r="G140" s="98">
        <v>0</v>
      </c>
      <c r="H140" s="98">
        <v>114</v>
      </c>
      <c r="I140" s="98">
        <v>107</v>
      </c>
      <c r="J140" s="98" t="s">
        <v>2641</v>
      </c>
      <c r="K140" s="98" t="s">
        <v>3194</v>
      </c>
      <c r="L140" s="105" t="str">
        <f t="shared" si="20"/>
        <v>Brown</v>
      </c>
      <c r="M140" s="105" t="str">
        <f t="shared" si="21"/>
        <v>Maintenance</v>
      </c>
      <c r="N140" s="105" t="str">
        <f t="shared" si="22"/>
        <v>Coal</v>
      </c>
      <c r="O140" s="105">
        <f>IFERROR(VLOOKUP(A140,Lookup!$J$5:$P$19,7,FALSE),0)</f>
        <v>1</v>
      </c>
      <c r="P140" s="159">
        <f t="shared" si="23"/>
        <v>2015</v>
      </c>
      <c r="Q140" s="159">
        <f t="shared" si="24"/>
        <v>9</v>
      </c>
      <c r="R140" s="160">
        <f t="shared" si="25"/>
        <v>1.4833333334536292</v>
      </c>
      <c r="S140" s="158">
        <f t="shared" si="26"/>
        <v>1.4833333334536292</v>
      </c>
      <c r="T140" s="161">
        <f t="shared" si="27"/>
        <v>158.71666667953832</v>
      </c>
      <c r="U140" s="158">
        <f t="shared" si="29"/>
        <v>107</v>
      </c>
      <c r="V140" s="160">
        <f t="shared" si="28"/>
        <v>107</v>
      </c>
    </row>
    <row r="141" spans="1:22" x14ac:dyDescent="0.25">
      <c r="A141" s="98" t="s">
        <v>21</v>
      </c>
      <c r="B141" s="98" t="s">
        <v>20</v>
      </c>
      <c r="C141" s="98">
        <v>28</v>
      </c>
      <c r="D141" s="98">
        <v>8720</v>
      </c>
      <c r="E141" s="157">
        <v>42278.25</v>
      </c>
      <c r="F141" s="157">
        <v>42279.64166666667</v>
      </c>
      <c r="G141" s="98">
        <v>0</v>
      </c>
      <c r="H141" s="98">
        <v>114</v>
      </c>
      <c r="I141" s="98">
        <v>107</v>
      </c>
      <c r="J141" s="98" t="s">
        <v>2641</v>
      </c>
      <c r="K141" s="98" t="s">
        <v>3195</v>
      </c>
      <c r="L141" s="105" t="str">
        <f t="shared" si="20"/>
        <v>Brown</v>
      </c>
      <c r="M141" s="105" t="str">
        <f t="shared" si="21"/>
        <v>Maintenance</v>
      </c>
      <c r="N141" s="105" t="str">
        <f t="shared" si="22"/>
        <v>Coal</v>
      </c>
      <c r="O141" s="105">
        <f>IFERROR(VLOOKUP(A141,Lookup!$J$5:$P$19,7,FALSE),0)</f>
        <v>1</v>
      </c>
      <c r="P141" s="159">
        <f t="shared" si="23"/>
        <v>2015</v>
      </c>
      <c r="Q141" s="159">
        <f t="shared" si="24"/>
        <v>10</v>
      </c>
      <c r="R141" s="160">
        <f t="shared" si="25"/>
        <v>33.400000000081491</v>
      </c>
      <c r="S141" s="158">
        <f t="shared" si="26"/>
        <v>33.400000000081491</v>
      </c>
      <c r="T141" s="161">
        <f t="shared" si="27"/>
        <v>3573.8000000087195</v>
      </c>
      <c r="U141" s="158">
        <f t="shared" si="29"/>
        <v>107</v>
      </c>
      <c r="V141" s="160">
        <f t="shared" si="28"/>
        <v>107</v>
      </c>
    </row>
    <row r="142" spans="1:22" x14ac:dyDescent="0.25">
      <c r="A142" s="98" t="s">
        <v>21</v>
      </c>
      <c r="B142" s="98" t="s">
        <v>20</v>
      </c>
      <c r="C142" s="98">
        <v>30</v>
      </c>
      <c r="D142" s="98">
        <v>8250</v>
      </c>
      <c r="E142" s="157">
        <v>42280.43472222222</v>
      </c>
      <c r="F142" s="157">
        <v>42280.532638888886</v>
      </c>
      <c r="G142" s="98">
        <v>0</v>
      </c>
      <c r="H142" s="98">
        <v>114</v>
      </c>
      <c r="I142" s="98">
        <v>107</v>
      </c>
      <c r="J142" s="98" t="s">
        <v>3196</v>
      </c>
      <c r="K142" s="98" t="s">
        <v>3197</v>
      </c>
      <c r="L142" s="105" t="str">
        <f t="shared" si="20"/>
        <v>Brown</v>
      </c>
      <c r="M142" s="105" t="str">
        <f t="shared" si="21"/>
        <v>Maintenance</v>
      </c>
      <c r="N142" s="105" t="str">
        <f t="shared" si="22"/>
        <v>Coal</v>
      </c>
      <c r="O142" s="105">
        <f>IFERROR(VLOOKUP(A142,Lookup!$J$5:$P$19,7,FALSE),0)</f>
        <v>1</v>
      </c>
      <c r="P142" s="159">
        <f t="shared" si="23"/>
        <v>2015</v>
      </c>
      <c r="Q142" s="159">
        <f t="shared" si="24"/>
        <v>10</v>
      </c>
      <c r="R142" s="160">
        <f t="shared" si="25"/>
        <v>2.3499999999767169</v>
      </c>
      <c r="S142" s="158">
        <f t="shared" si="26"/>
        <v>2.3499999999767169</v>
      </c>
      <c r="T142" s="161">
        <f t="shared" si="27"/>
        <v>251.44999999750871</v>
      </c>
      <c r="U142" s="158">
        <f t="shared" si="29"/>
        <v>107</v>
      </c>
      <c r="V142" s="160">
        <f t="shared" si="28"/>
        <v>107</v>
      </c>
    </row>
    <row r="143" spans="1:22" x14ac:dyDescent="0.25">
      <c r="A143" s="98" t="s">
        <v>21</v>
      </c>
      <c r="B143" s="98" t="s">
        <v>17</v>
      </c>
      <c r="C143" s="98">
        <v>33</v>
      </c>
      <c r="D143" s="98">
        <v>4261</v>
      </c>
      <c r="E143" s="157">
        <v>42312.774305555555</v>
      </c>
      <c r="F143" s="157">
        <v>42314.167361111111</v>
      </c>
      <c r="G143" s="98">
        <v>101</v>
      </c>
      <c r="H143" s="98">
        <v>114</v>
      </c>
      <c r="I143" s="98">
        <v>107</v>
      </c>
      <c r="J143" s="98" t="s">
        <v>1985</v>
      </c>
      <c r="K143" s="98" t="s">
        <v>3198</v>
      </c>
      <c r="L143" s="105" t="str">
        <f t="shared" si="20"/>
        <v>Brown</v>
      </c>
      <c r="M143" s="105" t="str">
        <f t="shared" si="21"/>
        <v>Derate</v>
      </c>
      <c r="N143" s="105" t="str">
        <f t="shared" si="22"/>
        <v>Coal</v>
      </c>
      <c r="O143" s="105">
        <f>IFERROR(VLOOKUP(A143,Lookup!$J$5:$P$19,7,FALSE),0)</f>
        <v>1</v>
      </c>
      <c r="P143" s="159">
        <f t="shared" si="23"/>
        <v>2015</v>
      </c>
      <c r="Q143" s="159">
        <f t="shared" si="24"/>
        <v>11</v>
      </c>
      <c r="R143" s="160">
        <f t="shared" si="25"/>
        <v>33.433333333348855</v>
      </c>
      <c r="S143" s="158">
        <f t="shared" si="26"/>
        <v>3.8125730994169746</v>
      </c>
      <c r="T143" s="161">
        <f t="shared" si="27"/>
        <v>407.9453216376163</v>
      </c>
      <c r="U143" s="158">
        <f t="shared" si="29"/>
        <v>12.201754385964913</v>
      </c>
      <c r="V143" s="160">
        <f t="shared" si="28"/>
        <v>12</v>
      </c>
    </row>
    <row r="144" spans="1:22" x14ac:dyDescent="0.25">
      <c r="A144" s="98" t="s">
        <v>21</v>
      </c>
      <c r="B144" s="98" t="s">
        <v>17</v>
      </c>
      <c r="C144" s="98">
        <v>34</v>
      </c>
      <c r="D144" s="98">
        <v>110</v>
      </c>
      <c r="E144" s="157">
        <v>42314.167361111111</v>
      </c>
      <c r="F144" s="157">
        <v>42314.256944444445</v>
      </c>
      <c r="G144" s="98">
        <v>79</v>
      </c>
      <c r="H144" s="98">
        <v>114</v>
      </c>
      <c r="I144" s="98">
        <v>107</v>
      </c>
      <c r="J144" s="98" t="s">
        <v>2046</v>
      </c>
      <c r="K144" s="98" t="s">
        <v>3199</v>
      </c>
      <c r="L144" s="105" t="str">
        <f t="shared" si="20"/>
        <v>Brown</v>
      </c>
      <c r="M144" s="105" t="str">
        <f t="shared" si="21"/>
        <v>Derate</v>
      </c>
      <c r="N144" s="105" t="str">
        <f t="shared" si="22"/>
        <v>Coal</v>
      </c>
      <c r="O144" s="105">
        <f>IFERROR(VLOOKUP(A144,Lookup!$J$5:$P$19,7,FALSE),0)</f>
        <v>1</v>
      </c>
      <c r="P144" s="159">
        <f t="shared" si="23"/>
        <v>2015</v>
      </c>
      <c r="Q144" s="159">
        <f t="shared" si="24"/>
        <v>11</v>
      </c>
      <c r="R144" s="160">
        <f t="shared" si="25"/>
        <v>2.1500000000232831</v>
      </c>
      <c r="S144" s="158">
        <f t="shared" si="26"/>
        <v>0.66008771930539389</v>
      </c>
      <c r="T144" s="161">
        <f t="shared" si="27"/>
        <v>70.629385965677145</v>
      </c>
      <c r="U144" s="158">
        <f t="shared" si="29"/>
        <v>32.850877192982459</v>
      </c>
      <c r="V144" s="160">
        <f t="shared" si="28"/>
        <v>33</v>
      </c>
    </row>
    <row r="145" spans="1:22" x14ac:dyDescent="0.25">
      <c r="A145" s="98" t="s">
        <v>21</v>
      </c>
      <c r="B145" s="98" t="s">
        <v>17</v>
      </c>
      <c r="C145" s="98">
        <v>35</v>
      </c>
      <c r="D145" s="98">
        <v>4261</v>
      </c>
      <c r="E145" s="157">
        <v>42314.256944444445</v>
      </c>
      <c r="F145" s="157">
        <v>42314.59097222222</v>
      </c>
      <c r="G145" s="98">
        <v>101</v>
      </c>
      <c r="H145" s="98">
        <v>114</v>
      </c>
      <c r="I145" s="98">
        <v>107</v>
      </c>
      <c r="J145" s="98" t="s">
        <v>1985</v>
      </c>
      <c r="K145" s="98" t="s">
        <v>3198</v>
      </c>
      <c r="L145" s="105" t="str">
        <f t="shared" si="20"/>
        <v>Brown</v>
      </c>
      <c r="M145" s="105" t="str">
        <f t="shared" si="21"/>
        <v>Derate</v>
      </c>
      <c r="N145" s="105" t="str">
        <f t="shared" si="22"/>
        <v>Coal</v>
      </c>
      <c r="O145" s="105">
        <f>IFERROR(VLOOKUP(A145,Lookup!$J$5:$P$19,7,FALSE),0)</f>
        <v>1</v>
      </c>
      <c r="P145" s="159">
        <f t="shared" si="23"/>
        <v>2015</v>
      </c>
      <c r="Q145" s="159">
        <f t="shared" si="24"/>
        <v>11</v>
      </c>
      <c r="R145" s="160">
        <f t="shared" si="25"/>
        <v>8.0166666666045785</v>
      </c>
      <c r="S145" s="158">
        <f t="shared" si="26"/>
        <v>0.91418128654262742</v>
      </c>
      <c r="T145" s="161">
        <f t="shared" si="27"/>
        <v>97.817397660061133</v>
      </c>
      <c r="U145" s="158">
        <f t="shared" si="29"/>
        <v>12.201754385964913</v>
      </c>
      <c r="V145" s="160">
        <f t="shared" si="28"/>
        <v>12</v>
      </c>
    </row>
    <row r="146" spans="1:22" x14ac:dyDescent="0.25">
      <c r="A146" s="98" t="s">
        <v>21</v>
      </c>
      <c r="B146" s="98" t="s">
        <v>20</v>
      </c>
      <c r="C146" s="98">
        <v>36</v>
      </c>
      <c r="D146" s="98">
        <v>4261</v>
      </c>
      <c r="E146" s="157">
        <v>42314.59097222222</v>
      </c>
      <c r="F146" s="157">
        <v>42315.828472222223</v>
      </c>
      <c r="G146" s="98">
        <v>0</v>
      </c>
      <c r="H146" s="98">
        <v>114</v>
      </c>
      <c r="I146" s="98">
        <v>107</v>
      </c>
      <c r="J146" s="98" t="s">
        <v>1985</v>
      </c>
      <c r="K146" s="98" t="s">
        <v>3200</v>
      </c>
      <c r="L146" s="105" t="str">
        <f t="shared" si="20"/>
        <v>Brown</v>
      </c>
      <c r="M146" s="105" t="str">
        <f t="shared" si="21"/>
        <v>Maintenance</v>
      </c>
      <c r="N146" s="105" t="str">
        <f t="shared" si="22"/>
        <v>Coal</v>
      </c>
      <c r="O146" s="105">
        <f>IFERROR(VLOOKUP(A146,Lookup!$J$5:$P$19,7,FALSE),0)</f>
        <v>1</v>
      </c>
      <c r="P146" s="159">
        <f t="shared" si="23"/>
        <v>2015</v>
      </c>
      <c r="Q146" s="159">
        <f t="shared" si="24"/>
        <v>11</v>
      </c>
      <c r="R146" s="160">
        <f t="shared" si="25"/>
        <v>29.700000000069849</v>
      </c>
      <c r="S146" s="158">
        <f t="shared" si="26"/>
        <v>29.700000000069849</v>
      </c>
      <c r="T146" s="161">
        <f t="shared" si="27"/>
        <v>3177.9000000074739</v>
      </c>
      <c r="U146" s="158">
        <f t="shared" si="29"/>
        <v>107</v>
      </c>
      <c r="V146" s="160">
        <f t="shared" si="28"/>
        <v>107</v>
      </c>
    </row>
    <row r="147" spans="1:22" x14ac:dyDescent="0.25">
      <c r="A147" s="98" t="s">
        <v>21</v>
      </c>
      <c r="B147" s="98" t="s">
        <v>17</v>
      </c>
      <c r="C147" s="98">
        <v>37</v>
      </c>
      <c r="D147" s="98">
        <v>4261</v>
      </c>
      <c r="E147" s="157">
        <v>42315.952777777777</v>
      </c>
      <c r="F147" s="157">
        <v>42317.349305555559</v>
      </c>
      <c r="G147" s="98">
        <v>100</v>
      </c>
      <c r="H147" s="98">
        <v>114</v>
      </c>
      <c r="I147" s="98">
        <v>107</v>
      </c>
      <c r="J147" s="98" t="s">
        <v>1985</v>
      </c>
      <c r="K147" s="98" t="s">
        <v>3201</v>
      </c>
      <c r="L147" s="105" t="str">
        <f t="shared" si="20"/>
        <v>Brown</v>
      </c>
      <c r="M147" s="105" t="str">
        <f t="shared" si="21"/>
        <v>Derate</v>
      </c>
      <c r="N147" s="105" t="str">
        <f t="shared" si="22"/>
        <v>Coal</v>
      </c>
      <c r="O147" s="105">
        <f>IFERROR(VLOOKUP(A147,Lookup!$J$5:$P$19,7,FALSE),0)</f>
        <v>1</v>
      </c>
      <c r="P147" s="159">
        <f t="shared" si="23"/>
        <v>2015</v>
      </c>
      <c r="Q147" s="159">
        <f t="shared" si="24"/>
        <v>11</v>
      </c>
      <c r="R147" s="160">
        <f t="shared" si="25"/>
        <v>33.516666666779201</v>
      </c>
      <c r="S147" s="158">
        <f t="shared" si="26"/>
        <v>4.1160818713588494</v>
      </c>
      <c r="T147" s="161">
        <f t="shared" si="27"/>
        <v>440.42076023539687</v>
      </c>
      <c r="U147" s="158">
        <f t="shared" si="29"/>
        <v>13.140350877192983</v>
      </c>
      <c r="V147" s="160">
        <f t="shared" si="28"/>
        <v>13</v>
      </c>
    </row>
    <row r="148" spans="1:22" x14ac:dyDescent="0.25">
      <c r="A148" s="98" t="s">
        <v>21</v>
      </c>
      <c r="B148" s="98" t="s">
        <v>17</v>
      </c>
      <c r="C148" s="98">
        <v>38</v>
      </c>
      <c r="D148" s="98">
        <v>310</v>
      </c>
      <c r="E148" s="157">
        <v>42331.241666666669</v>
      </c>
      <c r="F148" s="157">
        <v>42331.473611111112</v>
      </c>
      <c r="G148" s="98">
        <v>85</v>
      </c>
      <c r="H148" s="98">
        <v>114</v>
      </c>
      <c r="I148" s="98">
        <v>107</v>
      </c>
      <c r="J148" s="98" t="s">
        <v>1966</v>
      </c>
      <c r="K148" s="98" t="s">
        <v>3202</v>
      </c>
      <c r="L148" s="105" t="str">
        <f t="shared" si="20"/>
        <v>Brown</v>
      </c>
      <c r="M148" s="105" t="str">
        <f t="shared" si="21"/>
        <v>Derate</v>
      </c>
      <c r="N148" s="105" t="str">
        <f t="shared" si="22"/>
        <v>Coal</v>
      </c>
      <c r="O148" s="105">
        <f>IFERROR(VLOOKUP(A148,Lookup!$J$5:$P$19,7,FALSE),0)</f>
        <v>1</v>
      </c>
      <c r="P148" s="159">
        <f t="shared" si="23"/>
        <v>2015</v>
      </c>
      <c r="Q148" s="159">
        <f t="shared" si="24"/>
        <v>11</v>
      </c>
      <c r="R148" s="160">
        <f t="shared" si="25"/>
        <v>5.5666666666511446</v>
      </c>
      <c r="S148" s="158">
        <f t="shared" si="26"/>
        <v>1.4160818713410805</v>
      </c>
      <c r="T148" s="161">
        <f t="shared" si="27"/>
        <v>151.52076023349562</v>
      </c>
      <c r="U148" s="158">
        <f t="shared" si="29"/>
        <v>27.219298245614034</v>
      </c>
      <c r="V148" s="160">
        <f t="shared" si="28"/>
        <v>27</v>
      </c>
    </row>
    <row r="149" spans="1:22" x14ac:dyDescent="0.25">
      <c r="A149" s="98" t="s">
        <v>21</v>
      </c>
      <c r="B149" s="98" t="s">
        <v>20</v>
      </c>
      <c r="C149" s="98">
        <v>2</v>
      </c>
      <c r="D149" s="98">
        <v>1512</v>
      </c>
      <c r="E149" s="157">
        <v>42382.987500000003</v>
      </c>
      <c r="F149" s="157">
        <v>42386.056250000001</v>
      </c>
      <c r="G149" s="98">
        <v>0</v>
      </c>
      <c r="H149" s="98">
        <v>114</v>
      </c>
      <c r="I149" s="98">
        <v>107</v>
      </c>
      <c r="J149" s="98" t="s">
        <v>2023</v>
      </c>
      <c r="K149" s="98" t="s">
        <v>3203</v>
      </c>
      <c r="L149" s="105" t="str">
        <f t="shared" si="20"/>
        <v>Brown</v>
      </c>
      <c r="M149" s="105" t="str">
        <f t="shared" si="21"/>
        <v>Maintenance</v>
      </c>
      <c r="N149" s="105" t="str">
        <f t="shared" si="22"/>
        <v>Coal</v>
      </c>
      <c r="O149" s="105">
        <f>IFERROR(VLOOKUP(A149,Lookup!$J$5:$P$19,7,FALSE),0)</f>
        <v>1</v>
      </c>
      <c r="P149" s="159">
        <f t="shared" si="23"/>
        <v>2016</v>
      </c>
      <c r="Q149" s="159">
        <f t="shared" si="24"/>
        <v>1</v>
      </c>
      <c r="R149" s="160">
        <f t="shared" si="25"/>
        <v>73.649999999965075</v>
      </c>
      <c r="S149" s="158">
        <f t="shared" si="26"/>
        <v>73.649999999965075</v>
      </c>
      <c r="T149" s="161">
        <f t="shared" si="27"/>
        <v>7880.5499999962631</v>
      </c>
      <c r="U149" s="158">
        <f t="shared" si="29"/>
        <v>107</v>
      </c>
      <c r="V149" s="160">
        <f t="shared" si="28"/>
        <v>107</v>
      </c>
    </row>
    <row r="150" spans="1:22" x14ac:dyDescent="0.25">
      <c r="A150" s="98" t="s">
        <v>21</v>
      </c>
      <c r="B150" s="98" t="s">
        <v>38</v>
      </c>
      <c r="C150" s="98">
        <v>4</v>
      </c>
      <c r="D150" s="98">
        <v>4261</v>
      </c>
      <c r="E150" s="157">
        <v>42443.512499999997</v>
      </c>
      <c r="F150" s="157">
        <v>42471.92083333333</v>
      </c>
      <c r="G150" s="98">
        <v>0</v>
      </c>
      <c r="H150" s="98">
        <v>114</v>
      </c>
      <c r="I150" s="98">
        <v>107</v>
      </c>
      <c r="J150" s="98" t="s">
        <v>1985</v>
      </c>
      <c r="K150" s="98" t="s">
        <v>3204</v>
      </c>
      <c r="L150" s="105" t="str">
        <f t="shared" si="20"/>
        <v>Brown</v>
      </c>
      <c r="M150" s="105" t="str">
        <f t="shared" si="21"/>
        <v>Other</v>
      </c>
      <c r="N150" s="105" t="str">
        <f t="shared" si="22"/>
        <v>Coal</v>
      </c>
      <c r="O150" s="105">
        <f>IFERROR(VLOOKUP(A150,Lookup!$J$5:$P$19,7,FALSE),0)</f>
        <v>1</v>
      </c>
      <c r="P150" s="159">
        <f t="shared" si="23"/>
        <v>2016</v>
      </c>
      <c r="Q150" s="159">
        <f t="shared" si="24"/>
        <v>3</v>
      </c>
      <c r="R150" s="160">
        <f t="shared" si="25"/>
        <v>681.79999999998836</v>
      </c>
      <c r="S150" s="158">
        <f t="shared" si="26"/>
        <v>681.79999999998836</v>
      </c>
      <c r="T150" s="161">
        <f t="shared" si="27"/>
        <v>72952.599999998754</v>
      </c>
      <c r="U150" s="158">
        <f t="shared" si="29"/>
        <v>107</v>
      </c>
      <c r="V150" s="160">
        <f t="shared" si="28"/>
        <v>107</v>
      </c>
    </row>
    <row r="151" spans="1:22" x14ac:dyDescent="0.25">
      <c r="A151" s="98" t="s">
        <v>21</v>
      </c>
      <c r="B151" s="98" t="s">
        <v>17</v>
      </c>
      <c r="C151" s="98">
        <v>5</v>
      </c>
      <c r="D151" s="98">
        <v>253</v>
      </c>
      <c r="E151" s="157">
        <v>42472.395833333336</v>
      </c>
      <c r="F151" s="157">
        <v>42472.701388888891</v>
      </c>
      <c r="G151" s="98">
        <v>85</v>
      </c>
      <c r="H151" s="98">
        <v>114</v>
      </c>
      <c r="I151" s="98">
        <v>107</v>
      </c>
      <c r="J151" s="98" t="s">
        <v>1999</v>
      </c>
      <c r="K151" s="98" t="s">
        <v>3205</v>
      </c>
      <c r="L151" s="105" t="str">
        <f t="shared" si="20"/>
        <v>Brown</v>
      </c>
      <c r="M151" s="105" t="str">
        <f t="shared" si="21"/>
        <v>Derate</v>
      </c>
      <c r="N151" s="105" t="str">
        <f t="shared" si="22"/>
        <v>Coal</v>
      </c>
      <c r="O151" s="105">
        <f>IFERROR(VLOOKUP(A151,Lookup!$J$5:$P$19,7,FALSE),0)</f>
        <v>1</v>
      </c>
      <c r="P151" s="159">
        <f t="shared" si="23"/>
        <v>2016</v>
      </c>
      <c r="Q151" s="159">
        <f t="shared" si="24"/>
        <v>4</v>
      </c>
      <c r="R151" s="160">
        <f t="shared" si="25"/>
        <v>7.3333333333139308</v>
      </c>
      <c r="S151" s="158">
        <f t="shared" si="26"/>
        <v>1.8654970760184562</v>
      </c>
      <c r="T151" s="161">
        <f t="shared" si="27"/>
        <v>199.60818713397481</v>
      </c>
      <c r="U151" s="158">
        <f t="shared" si="29"/>
        <v>27.219298245614034</v>
      </c>
      <c r="V151" s="160">
        <f t="shared" si="28"/>
        <v>27</v>
      </c>
    </row>
    <row r="152" spans="1:22" x14ac:dyDescent="0.25">
      <c r="A152" s="98" t="s">
        <v>21</v>
      </c>
      <c r="B152" s="98" t="s">
        <v>15</v>
      </c>
      <c r="C152" s="98">
        <v>6</v>
      </c>
      <c r="D152" s="98">
        <v>4261</v>
      </c>
      <c r="E152" s="157">
        <v>42474.184027777781</v>
      </c>
      <c r="F152" s="157">
        <v>42474.893750000003</v>
      </c>
      <c r="G152" s="98">
        <v>0</v>
      </c>
      <c r="H152" s="98">
        <v>114</v>
      </c>
      <c r="I152" s="98">
        <v>107</v>
      </c>
      <c r="J152" s="98" t="s">
        <v>1985</v>
      </c>
      <c r="K152" s="98" t="s">
        <v>3206</v>
      </c>
      <c r="L152" s="105" t="str">
        <f t="shared" si="20"/>
        <v>Brown</v>
      </c>
      <c r="M152" s="105" t="str">
        <f t="shared" si="21"/>
        <v>Outage</v>
      </c>
      <c r="N152" s="105" t="str">
        <f t="shared" si="22"/>
        <v>Coal</v>
      </c>
      <c r="O152" s="105">
        <f>IFERROR(VLOOKUP(A152,Lookup!$J$5:$P$19,7,FALSE),0)</f>
        <v>1</v>
      </c>
      <c r="P152" s="159">
        <f t="shared" si="23"/>
        <v>2016</v>
      </c>
      <c r="Q152" s="159">
        <f t="shared" si="24"/>
        <v>4</v>
      </c>
      <c r="R152" s="160">
        <f t="shared" si="25"/>
        <v>17.033333333325572</v>
      </c>
      <c r="S152" s="158">
        <f t="shared" si="26"/>
        <v>17.033333333325572</v>
      </c>
      <c r="T152" s="161">
        <f t="shared" si="27"/>
        <v>1822.5666666658362</v>
      </c>
      <c r="U152" s="158">
        <f t="shared" si="29"/>
        <v>107</v>
      </c>
      <c r="V152" s="160">
        <f t="shared" si="28"/>
        <v>107</v>
      </c>
    </row>
    <row r="153" spans="1:22" x14ac:dyDescent="0.25">
      <c r="A153" s="98" t="s">
        <v>21</v>
      </c>
      <c r="B153" s="98" t="s">
        <v>79</v>
      </c>
      <c r="C153" s="98">
        <v>7</v>
      </c>
      <c r="D153" s="98">
        <v>8700</v>
      </c>
      <c r="E153" s="157">
        <v>42482.916666666664</v>
      </c>
      <c r="F153" s="157">
        <v>42483.083333333336</v>
      </c>
      <c r="G153" s="98">
        <v>0</v>
      </c>
      <c r="H153" s="98">
        <v>114</v>
      </c>
      <c r="I153" s="98">
        <v>107</v>
      </c>
      <c r="J153" s="98" t="s">
        <v>1987</v>
      </c>
      <c r="K153" s="98" t="s">
        <v>3207</v>
      </c>
      <c r="L153" s="105" t="str">
        <f t="shared" si="20"/>
        <v>Brown</v>
      </c>
      <c r="M153" s="105" t="str">
        <f t="shared" si="21"/>
        <v>Other</v>
      </c>
      <c r="N153" s="105" t="str">
        <f t="shared" si="22"/>
        <v>Coal</v>
      </c>
      <c r="O153" s="105">
        <f>IFERROR(VLOOKUP(A153,Lookup!$J$5:$P$19,7,FALSE),0)</f>
        <v>1</v>
      </c>
      <c r="P153" s="159">
        <f t="shared" si="23"/>
        <v>2016</v>
      </c>
      <c r="Q153" s="159">
        <f t="shared" si="24"/>
        <v>4</v>
      </c>
      <c r="R153" s="160">
        <f t="shared" si="25"/>
        <v>4.0000000001164153</v>
      </c>
      <c r="S153" s="158">
        <f t="shared" si="26"/>
        <v>4.0000000001164153</v>
      </c>
      <c r="T153" s="161">
        <f t="shared" si="27"/>
        <v>428.00000001245644</v>
      </c>
      <c r="U153" s="158">
        <f t="shared" si="29"/>
        <v>107</v>
      </c>
      <c r="V153" s="160">
        <f t="shared" si="28"/>
        <v>107</v>
      </c>
    </row>
    <row r="154" spans="1:22" x14ac:dyDescent="0.25">
      <c r="A154" s="98" t="s">
        <v>21</v>
      </c>
      <c r="B154" s="98" t="s">
        <v>79</v>
      </c>
      <c r="C154" s="98">
        <v>8</v>
      </c>
      <c r="D154" s="98">
        <v>8700</v>
      </c>
      <c r="E154" s="157">
        <v>42485.958333333336</v>
      </c>
      <c r="F154" s="157">
        <v>42486.072916666664</v>
      </c>
      <c r="G154" s="98">
        <v>0</v>
      </c>
      <c r="H154" s="98">
        <v>114</v>
      </c>
      <c r="I154" s="98">
        <v>107</v>
      </c>
      <c r="J154" s="98" t="s">
        <v>1987</v>
      </c>
      <c r="K154" s="98" t="s">
        <v>562</v>
      </c>
      <c r="L154" s="105" t="str">
        <f t="shared" si="20"/>
        <v>Brown</v>
      </c>
      <c r="M154" s="105" t="str">
        <f t="shared" si="21"/>
        <v>Other</v>
      </c>
      <c r="N154" s="105" t="str">
        <f t="shared" si="22"/>
        <v>Coal</v>
      </c>
      <c r="O154" s="105">
        <f>IFERROR(VLOOKUP(A154,Lookup!$J$5:$P$19,7,FALSE),0)</f>
        <v>1</v>
      </c>
      <c r="P154" s="159">
        <f t="shared" si="23"/>
        <v>2016</v>
      </c>
      <c r="Q154" s="159">
        <f t="shared" si="24"/>
        <v>4</v>
      </c>
      <c r="R154" s="160">
        <f t="shared" si="25"/>
        <v>2.7499999998835847</v>
      </c>
      <c r="S154" s="158">
        <f t="shared" si="26"/>
        <v>2.7499999998835847</v>
      </c>
      <c r="T154" s="161">
        <f t="shared" si="27"/>
        <v>294.24999998754356</v>
      </c>
      <c r="U154" s="158">
        <f t="shared" si="29"/>
        <v>107</v>
      </c>
      <c r="V154" s="160">
        <f t="shared" si="28"/>
        <v>107</v>
      </c>
    </row>
    <row r="155" spans="1:22" x14ac:dyDescent="0.25">
      <c r="A155" s="98" t="s">
        <v>21</v>
      </c>
      <c r="B155" s="98" t="s">
        <v>79</v>
      </c>
      <c r="C155" s="98">
        <v>9</v>
      </c>
      <c r="D155" s="98">
        <v>8700</v>
      </c>
      <c r="E155" s="157">
        <v>42486.875</v>
      </c>
      <c r="F155" s="157">
        <v>42487.09652777778</v>
      </c>
      <c r="G155" s="98">
        <v>0</v>
      </c>
      <c r="H155" s="98">
        <v>114</v>
      </c>
      <c r="I155" s="98">
        <v>107</v>
      </c>
      <c r="J155" s="98" t="s">
        <v>1987</v>
      </c>
      <c r="K155" s="98" t="s">
        <v>562</v>
      </c>
      <c r="L155" s="105" t="str">
        <f t="shared" si="20"/>
        <v>Brown</v>
      </c>
      <c r="M155" s="105" t="str">
        <f t="shared" si="21"/>
        <v>Other</v>
      </c>
      <c r="N155" s="105" t="str">
        <f t="shared" si="22"/>
        <v>Coal</v>
      </c>
      <c r="O155" s="105">
        <f>IFERROR(VLOOKUP(A155,Lookup!$J$5:$P$19,7,FALSE),0)</f>
        <v>1</v>
      </c>
      <c r="P155" s="159">
        <f t="shared" si="23"/>
        <v>2016</v>
      </c>
      <c r="Q155" s="159">
        <f t="shared" si="24"/>
        <v>4</v>
      </c>
      <c r="R155" s="160">
        <f t="shared" si="25"/>
        <v>5.3166666667093523</v>
      </c>
      <c r="S155" s="158">
        <f t="shared" si="26"/>
        <v>5.3166666667093523</v>
      </c>
      <c r="T155" s="161">
        <f t="shared" si="27"/>
        <v>568.88333333790069</v>
      </c>
      <c r="U155" s="158">
        <f t="shared" si="29"/>
        <v>107</v>
      </c>
      <c r="V155" s="160">
        <f t="shared" si="28"/>
        <v>107</v>
      </c>
    </row>
    <row r="156" spans="1:22" x14ac:dyDescent="0.25">
      <c r="A156" s="98" t="s">
        <v>21</v>
      </c>
      <c r="B156" s="98" t="s">
        <v>79</v>
      </c>
      <c r="C156" s="98">
        <v>10</v>
      </c>
      <c r="D156" s="98">
        <v>8700</v>
      </c>
      <c r="E156" s="157">
        <v>42487.875</v>
      </c>
      <c r="F156" s="157">
        <v>42488.168749999997</v>
      </c>
      <c r="G156" s="98">
        <v>0</v>
      </c>
      <c r="H156" s="98">
        <v>114</v>
      </c>
      <c r="I156" s="98">
        <v>107</v>
      </c>
      <c r="J156" s="98" t="s">
        <v>1987</v>
      </c>
      <c r="K156" s="98" t="s">
        <v>562</v>
      </c>
      <c r="L156" s="105" t="str">
        <f t="shared" si="20"/>
        <v>Brown</v>
      </c>
      <c r="M156" s="105" t="str">
        <f t="shared" si="21"/>
        <v>Other</v>
      </c>
      <c r="N156" s="105" t="str">
        <f t="shared" si="22"/>
        <v>Coal</v>
      </c>
      <c r="O156" s="105">
        <f>IFERROR(VLOOKUP(A156,Lookup!$J$5:$P$19,7,FALSE),0)</f>
        <v>1</v>
      </c>
      <c r="P156" s="159">
        <f t="shared" si="23"/>
        <v>2016</v>
      </c>
      <c r="Q156" s="159">
        <f t="shared" si="24"/>
        <v>4</v>
      </c>
      <c r="R156" s="160">
        <f t="shared" si="25"/>
        <v>7.0499999999301508</v>
      </c>
      <c r="S156" s="158">
        <f t="shared" si="26"/>
        <v>7.0499999999301508</v>
      </c>
      <c r="T156" s="161">
        <f t="shared" si="27"/>
        <v>754.34999999252614</v>
      </c>
      <c r="U156" s="158">
        <f t="shared" si="29"/>
        <v>107</v>
      </c>
      <c r="V156" s="160">
        <f t="shared" si="28"/>
        <v>107</v>
      </c>
    </row>
    <row r="157" spans="1:22" x14ac:dyDescent="0.25">
      <c r="A157" s="98" t="s">
        <v>21</v>
      </c>
      <c r="B157" s="98" t="s">
        <v>17</v>
      </c>
      <c r="C157" s="98">
        <v>11</v>
      </c>
      <c r="D157" s="98">
        <v>300</v>
      </c>
      <c r="E157" s="157">
        <v>42488.45208333333</v>
      </c>
      <c r="F157" s="157">
        <v>42488.478472222225</v>
      </c>
      <c r="G157" s="98">
        <v>85</v>
      </c>
      <c r="H157" s="98">
        <v>114</v>
      </c>
      <c r="I157" s="98">
        <v>107</v>
      </c>
      <c r="J157" s="98" t="s">
        <v>1977</v>
      </c>
      <c r="K157" s="98" t="s">
        <v>3208</v>
      </c>
      <c r="L157" s="105" t="str">
        <f t="shared" si="20"/>
        <v>Brown</v>
      </c>
      <c r="M157" s="105" t="str">
        <f t="shared" si="21"/>
        <v>Derate</v>
      </c>
      <c r="N157" s="105" t="str">
        <f t="shared" si="22"/>
        <v>Coal</v>
      </c>
      <c r="O157" s="105">
        <f>IFERROR(VLOOKUP(A157,Lookup!$J$5:$P$19,7,FALSE),0)</f>
        <v>1</v>
      </c>
      <c r="P157" s="159">
        <f t="shared" si="23"/>
        <v>2016</v>
      </c>
      <c r="Q157" s="159">
        <f t="shared" si="24"/>
        <v>4</v>
      </c>
      <c r="R157" s="160">
        <f t="shared" si="25"/>
        <v>0.63333333347691223</v>
      </c>
      <c r="S157" s="158">
        <f t="shared" si="26"/>
        <v>0.16111111114763557</v>
      </c>
      <c r="T157" s="161">
        <f t="shared" si="27"/>
        <v>17.238888892797007</v>
      </c>
      <c r="U157" s="158">
        <f t="shared" si="29"/>
        <v>27.219298245614034</v>
      </c>
      <c r="V157" s="160">
        <f t="shared" si="28"/>
        <v>27</v>
      </c>
    </row>
    <row r="158" spans="1:22" x14ac:dyDescent="0.25">
      <c r="A158" s="98" t="s">
        <v>21</v>
      </c>
      <c r="B158" s="98" t="s">
        <v>79</v>
      </c>
      <c r="C158" s="98">
        <v>13</v>
      </c>
      <c r="D158" s="98">
        <v>8700</v>
      </c>
      <c r="E158" s="157">
        <v>42513.958333333336</v>
      </c>
      <c r="F158" s="157">
        <v>42514.222222222219</v>
      </c>
      <c r="G158" s="98">
        <v>0</v>
      </c>
      <c r="H158" s="98">
        <v>114</v>
      </c>
      <c r="I158" s="98">
        <v>107</v>
      </c>
      <c r="J158" s="98" t="s">
        <v>1987</v>
      </c>
      <c r="K158" s="98" t="s">
        <v>3209</v>
      </c>
      <c r="L158" s="105" t="str">
        <f t="shared" si="20"/>
        <v>Brown</v>
      </c>
      <c r="M158" s="105" t="str">
        <f t="shared" si="21"/>
        <v>Other</v>
      </c>
      <c r="N158" s="105" t="str">
        <f t="shared" si="22"/>
        <v>Coal</v>
      </c>
      <c r="O158" s="105">
        <f>IFERROR(VLOOKUP(A158,Lookup!$J$5:$P$19,7,FALSE),0)</f>
        <v>1</v>
      </c>
      <c r="P158" s="159">
        <f t="shared" si="23"/>
        <v>2016</v>
      </c>
      <c r="Q158" s="159">
        <f t="shared" si="24"/>
        <v>5</v>
      </c>
      <c r="R158" s="160">
        <f t="shared" si="25"/>
        <v>6.3333333331975155</v>
      </c>
      <c r="S158" s="158">
        <f t="shared" si="26"/>
        <v>6.3333333331975155</v>
      </c>
      <c r="T158" s="161">
        <f t="shared" si="27"/>
        <v>677.66666665213415</v>
      </c>
      <c r="U158" s="158">
        <f t="shared" si="29"/>
        <v>107</v>
      </c>
      <c r="V158" s="160">
        <f t="shared" si="28"/>
        <v>107</v>
      </c>
    </row>
    <row r="159" spans="1:22" x14ac:dyDescent="0.25">
      <c r="A159" s="98" t="s">
        <v>21</v>
      </c>
      <c r="B159" s="98" t="s">
        <v>32</v>
      </c>
      <c r="C159" s="98">
        <v>14</v>
      </c>
      <c r="D159" s="98">
        <v>344</v>
      </c>
      <c r="E159" s="157">
        <v>42547.958333333336</v>
      </c>
      <c r="F159" s="157">
        <v>42548.388194444444</v>
      </c>
      <c r="G159" s="98">
        <v>80</v>
      </c>
      <c r="H159" s="98">
        <v>114</v>
      </c>
      <c r="I159" s="98">
        <v>107</v>
      </c>
      <c r="J159" s="98" t="s">
        <v>1968</v>
      </c>
      <c r="K159" s="98" t="s">
        <v>3210</v>
      </c>
      <c r="L159" s="105" t="str">
        <f t="shared" si="20"/>
        <v>Brown</v>
      </c>
      <c r="M159" s="105" t="str">
        <f t="shared" si="21"/>
        <v>Derate</v>
      </c>
      <c r="N159" s="105" t="str">
        <f t="shared" si="22"/>
        <v>Coal</v>
      </c>
      <c r="O159" s="105">
        <f>IFERROR(VLOOKUP(A159,Lookup!$J$5:$P$19,7,FALSE),0)</f>
        <v>1</v>
      </c>
      <c r="P159" s="159">
        <f t="shared" si="23"/>
        <v>2016</v>
      </c>
      <c r="Q159" s="159">
        <f t="shared" si="24"/>
        <v>6</v>
      </c>
      <c r="R159" s="160">
        <f t="shared" si="25"/>
        <v>10.316666666592937</v>
      </c>
      <c r="S159" s="158">
        <f t="shared" si="26"/>
        <v>3.0769005847733322</v>
      </c>
      <c r="T159" s="161">
        <f t="shared" si="27"/>
        <v>329.22836257074653</v>
      </c>
      <c r="U159" s="158">
        <f t="shared" si="29"/>
        <v>31.912280701754387</v>
      </c>
      <c r="V159" s="160">
        <f t="shared" si="28"/>
        <v>32</v>
      </c>
    </row>
    <row r="160" spans="1:22" x14ac:dyDescent="0.25">
      <c r="A160" s="98" t="s">
        <v>21</v>
      </c>
      <c r="B160" s="98" t="s">
        <v>32</v>
      </c>
      <c r="C160" s="98">
        <v>15</v>
      </c>
      <c r="D160" s="98">
        <v>344</v>
      </c>
      <c r="E160" s="157">
        <v>42548.958333333336</v>
      </c>
      <c r="F160" s="157">
        <v>42549.130555555559</v>
      </c>
      <c r="G160" s="98">
        <v>80</v>
      </c>
      <c r="H160" s="98">
        <v>114</v>
      </c>
      <c r="I160" s="98">
        <v>107</v>
      </c>
      <c r="J160" s="98" t="s">
        <v>1968</v>
      </c>
      <c r="K160" s="98" t="s">
        <v>3211</v>
      </c>
      <c r="L160" s="105" t="str">
        <f t="shared" si="20"/>
        <v>Brown</v>
      </c>
      <c r="M160" s="105" t="str">
        <f t="shared" si="21"/>
        <v>Derate</v>
      </c>
      <c r="N160" s="105" t="str">
        <f t="shared" si="22"/>
        <v>Coal</v>
      </c>
      <c r="O160" s="105">
        <f>IFERROR(VLOOKUP(A160,Lookup!$J$5:$P$19,7,FALSE),0)</f>
        <v>1</v>
      </c>
      <c r="P160" s="159">
        <f t="shared" si="23"/>
        <v>2016</v>
      </c>
      <c r="Q160" s="159">
        <f t="shared" si="24"/>
        <v>6</v>
      </c>
      <c r="R160" s="160">
        <f t="shared" si="25"/>
        <v>4.1333333333604969</v>
      </c>
      <c r="S160" s="158">
        <f t="shared" si="26"/>
        <v>1.2327485380197973</v>
      </c>
      <c r="T160" s="161">
        <f t="shared" si="27"/>
        <v>131.90409356811833</v>
      </c>
      <c r="U160" s="158">
        <f t="shared" si="29"/>
        <v>31.912280701754387</v>
      </c>
      <c r="V160" s="160">
        <f t="shared" si="28"/>
        <v>32</v>
      </c>
    </row>
    <row r="161" spans="1:22" x14ac:dyDescent="0.25">
      <c r="A161" s="98" t="s">
        <v>21</v>
      </c>
      <c r="B161" s="98" t="s">
        <v>32</v>
      </c>
      <c r="C161" s="98">
        <v>16</v>
      </c>
      <c r="D161" s="98">
        <v>344</v>
      </c>
      <c r="E161" s="157">
        <v>42549.958333333336</v>
      </c>
      <c r="F161" s="157">
        <v>42550.01458333333</v>
      </c>
      <c r="G161" s="98">
        <v>80</v>
      </c>
      <c r="H161" s="98">
        <v>114</v>
      </c>
      <c r="I161" s="98">
        <v>107</v>
      </c>
      <c r="J161" s="98" t="s">
        <v>1968</v>
      </c>
      <c r="K161" s="98" t="s">
        <v>314</v>
      </c>
      <c r="L161" s="105" t="str">
        <f t="shared" si="20"/>
        <v>Brown</v>
      </c>
      <c r="M161" s="105" t="str">
        <f t="shared" si="21"/>
        <v>Derate</v>
      </c>
      <c r="N161" s="105" t="str">
        <f t="shared" si="22"/>
        <v>Coal</v>
      </c>
      <c r="O161" s="105">
        <f>IFERROR(VLOOKUP(A161,Lookup!$J$5:$P$19,7,FALSE),0)</f>
        <v>1</v>
      </c>
      <c r="P161" s="159">
        <f t="shared" si="23"/>
        <v>2016</v>
      </c>
      <c r="Q161" s="159">
        <f t="shared" si="24"/>
        <v>6</v>
      </c>
      <c r="R161" s="160">
        <f t="shared" si="25"/>
        <v>1.3499999998603016</v>
      </c>
      <c r="S161" s="158">
        <f t="shared" si="26"/>
        <v>0.402631578905704</v>
      </c>
      <c r="T161" s="161">
        <f t="shared" si="27"/>
        <v>43.081578942910326</v>
      </c>
      <c r="U161" s="158">
        <f t="shared" si="29"/>
        <v>31.912280701754387</v>
      </c>
      <c r="V161" s="160">
        <f t="shared" si="28"/>
        <v>32</v>
      </c>
    </row>
    <row r="162" spans="1:22" x14ac:dyDescent="0.25">
      <c r="A162" s="98" t="s">
        <v>21</v>
      </c>
      <c r="B162" s="98" t="s">
        <v>32</v>
      </c>
      <c r="C162" s="98">
        <v>17</v>
      </c>
      <c r="D162" s="98">
        <v>310</v>
      </c>
      <c r="E162" s="157">
        <v>42571.177777777775</v>
      </c>
      <c r="F162" s="157">
        <v>42571.199999999997</v>
      </c>
      <c r="G162" s="98">
        <v>95</v>
      </c>
      <c r="H162" s="98">
        <v>114</v>
      </c>
      <c r="I162" s="98">
        <v>107</v>
      </c>
      <c r="J162" s="98" t="s">
        <v>1966</v>
      </c>
      <c r="K162" s="98" t="s">
        <v>3976</v>
      </c>
      <c r="L162" s="105" t="str">
        <f t="shared" si="20"/>
        <v>Brown</v>
      </c>
      <c r="M162" s="105" t="str">
        <f t="shared" si="21"/>
        <v>Derate</v>
      </c>
      <c r="N162" s="105" t="str">
        <f t="shared" si="22"/>
        <v>Coal</v>
      </c>
      <c r="O162" s="105">
        <f>IFERROR(VLOOKUP(A162,Lookup!$J$5:$P$19,7,FALSE),0)</f>
        <v>1</v>
      </c>
      <c r="P162" s="159">
        <f t="shared" si="23"/>
        <v>2016</v>
      </c>
      <c r="Q162" s="159">
        <f t="shared" si="24"/>
        <v>7</v>
      </c>
      <c r="R162" s="160">
        <f t="shared" si="25"/>
        <v>0.53333333332557231</v>
      </c>
      <c r="S162" s="158">
        <f t="shared" si="26"/>
        <v>8.8888888887595385E-2</v>
      </c>
      <c r="T162" s="161">
        <f t="shared" si="27"/>
        <v>9.5111111109727062</v>
      </c>
      <c r="U162" s="158">
        <f t="shared" si="29"/>
        <v>17.833333333333332</v>
      </c>
      <c r="V162" s="160">
        <f t="shared" si="28"/>
        <v>18</v>
      </c>
    </row>
    <row r="163" spans="1:22" x14ac:dyDescent="0.25">
      <c r="A163" s="98" t="s">
        <v>21</v>
      </c>
      <c r="B163" s="98" t="s">
        <v>15</v>
      </c>
      <c r="C163" s="98">
        <v>18</v>
      </c>
      <c r="D163" s="98">
        <v>4260</v>
      </c>
      <c r="E163" s="157">
        <v>42578.576388888891</v>
      </c>
      <c r="F163" s="157">
        <v>42579.390972222223</v>
      </c>
      <c r="G163" s="98">
        <v>0</v>
      </c>
      <c r="H163" s="98">
        <v>114</v>
      </c>
      <c r="I163" s="98">
        <v>107</v>
      </c>
      <c r="J163" s="98" t="s">
        <v>1982</v>
      </c>
      <c r="K163" s="98" t="s">
        <v>3977</v>
      </c>
      <c r="L163" s="105" t="str">
        <f t="shared" si="20"/>
        <v>Brown</v>
      </c>
      <c r="M163" s="105" t="str">
        <f t="shared" si="21"/>
        <v>Outage</v>
      </c>
      <c r="N163" s="105" t="str">
        <f t="shared" si="22"/>
        <v>Coal</v>
      </c>
      <c r="O163" s="105">
        <f>IFERROR(VLOOKUP(A163,Lookup!$J$5:$P$19,7,FALSE),0)</f>
        <v>1</v>
      </c>
      <c r="P163" s="159">
        <f t="shared" si="23"/>
        <v>2016</v>
      </c>
      <c r="Q163" s="159">
        <f t="shared" si="24"/>
        <v>7</v>
      </c>
      <c r="R163" s="160">
        <f t="shared" si="25"/>
        <v>19.549999999988358</v>
      </c>
      <c r="S163" s="158">
        <f t="shared" si="26"/>
        <v>19.549999999988358</v>
      </c>
      <c r="T163" s="161">
        <f t="shared" si="27"/>
        <v>2091.8499999987544</v>
      </c>
      <c r="U163" s="158">
        <f t="shared" si="29"/>
        <v>107</v>
      </c>
      <c r="V163" s="160">
        <f t="shared" si="28"/>
        <v>107</v>
      </c>
    </row>
    <row r="164" spans="1:22" x14ac:dyDescent="0.25">
      <c r="A164" s="98" t="s">
        <v>21</v>
      </c>
      <c r="B164" s="98" t="s">
        <v>20</v>
      </c>
      <c r="C164" s="98">
        <v>19</v>
      </c>
      <c r="D164" s="98">
        <v>3410</v>
      </c>
      <c r="E164" s="157">
        <v>42579.390972222223</v>
      </c>
      <c r="F164" s="157">
        <v>42579.75277777778</v>
      </c>
      <c r="G164" s="98">
        <v>0</v>
      </c>
      <c r="H164" s="98">
        <v>114</v>
      </c>
      <c r="I164" s="98">
        <v>107</v>
      </c>
      <c r="J164" s="98" t="s">
        <v>1983</v>
      </c>
      <c r="K164" s="98" t="s">
        <v>3978</v>
      </c>
      <c r="L164" s="105" t="str">
        <f t="shared" si="20"/>
        <v>Brown</v>
      </c>
      <c r="M164" s="105" t="str">
        <f t="shared" si="21"/>
        <v>Maintenance</v>
      </c>
      <c r="N164" s="105" t="str">
        <f t="shared" si="22"/>
        <v>Coal</v>
      </c>
      <c r="O164" s="105">
        <f>IFERROR(VLOOKUP(A164,Lookup!$J$5:$P$19,7,FALSE),0)</f>
        <v>1</v>
      </c>
      <c r="P164" s="159">
        <f t="shared" si="23"/>
        <v>2016</v>
      </c>
      <c r="Q164" s="159">
        <f t="shared" si="24"/>
        <v>7</v>
      </c>
      <c r="R164" s="160">
        <f t="shared" si="25"/>
        <v>8.6833333333488554</v>
      </c>
      <c r="S164" s="158">
        <f t="shared" si="26"/>
        <v>8.6833333333488554</v>
      </c>
      <c r="T164" s="161">
        <f t="shared" si="27"/>
        <v>929.11666666832753</v>
      </c>
      <c r="U164" s="158">
        <f t="shared" si="29"/>
        <v>107</v>
      </c>
      <c r="V164" s="160">
        <f t="shared" si="28"/>
        <v>107</v>
      </c>
    </row>
    <row r="165" spans="1:22" x14ac:dyDescent="0.25">
      <c r="A165" s="98" t="s">
        <v>21</v>
      </c>
      <c r="B165" s="98" t="s">
        <v>32</v>
      </c>
      <c r="C165" s="98">
        <v>20</v>
      </c>
      <c r="D165" s="98">
        <v>310</v>
      </c>
      <c r="E165" s="157">
        <v>42589.947916666664</v>
      </c>
      <c r="F165" s="157">
        <v>42590.21875</v>
      </c>
      <c r="G165" s="98">
        <v>90</v>
      </c>
      <c r="H165" s="98">
        <v>114</v>
      </c>
      <c r="I165" s="98">
        <v>107</v>
      </c>
      <c r="J165" s="98" t="s">
        <v>1966</v>
      </c>
      <c r="K165" s="98" t="s">
        <v>3979</v>
      </c>
      <c r="L165" s="105" t="str">
        <f t="shared" si="20"/>
        <v>Brown</v>
      </c>
      <c r="M165" s="105" t="str">
        <f t="shared" si="21"/>
        <v>Derate</v>
      </c>
      <c r="N165" s="105" t="str">
        <f t="shared" si="22"/>
        <v>Coal</v>
      </c>
      <c r="O165" s="105">
        <f>IFERROR(VLOOKUP(A165,Lookup!$J$5:$P$19,7,FALSE),0)</f>
        <v>1</v>
      </c>
      <c r="P165" s="159">
        <f t="shared" si="23"/>
        <v>2016</v>
      </c>
      <c r="Q165" s="159">
        <f t="shared" si="24"/>
        <v>8</v>
      </c>
      <c r="R165" s="160">
        <f t="shared" si="25"/>
        <v>6.5000000000582077</v>
      </c>
      <c r="S165" s="158">
        <f t="shared" si="26"/>
        <v>1.3684210526438332</v>
      </c>
      <c r="T165" s="161">
        <f t="shared" si="27"/>
        <v>146.42105263289014</v>
      </c>
      <c r="U165" s="158">
        <f t="shared" si="29"/>
        <v>22.526315789473685</v>
      </c>
      <c r="V165" s="160">
        <f t="shared" si="28"/>
        <v>23</v>
      </c>
    </row>
    <row r="166" spans="1:22" x14ac:dyDescent="0.25">
      <c r="A166" s="98" t="s">
        <v>21</v>
      </c>
      <c r="B166" s="98" t="s">
        <v>32</v>
      </c>
      <c r="C166" s="98">
        <v>21</v>
      </c>
      <c r="D166" s="98">
        <v>310</v>
      </c>
      <c r="E166" s="157">
        <v>42590.958333333336</v>
      </c>
      <c r="F166" s="157">
        <v>42591.198611111111</v>
      </c>
      <c r="G166" s="98">
        <v>90</v>
      </c>
      <c r="H166" s="98">
        <v>114</v>
      </c>
      <c r="I166" s="98">
        <v>107</v>
      </c>
      <c r="J166" s="98" t="s">
        <v>1966</v>
      </c>
      <c r="K166" s="98" t="s">
        <v>3980</v>
      </c>
      <c r="L166" s="105" t="str">
        <f t="shared" si="20"/>
        <v>Brown</v>
      </c>
      <c r="M166" s="105" t="str">
        <f t="shared" si="21"/>
        <v>Derate</v>
      </c>
      <c r="N166" s="105" t="str">
        <f t="shared" si="22"/>
        <v>Coal</v>
      </c>
      <c r="O166" s="105">
        <f>IFERROR(VLOOKUP(A166,Lookup!$J$5:$P$19,7,FALSE),0)</f>
        <v>1</v>
      </c>
      <c r="P166" s="159">
        <f t="shared" si="23"/>
        <v>2016</v>
      </c>
      <c r="Q166" s="159">
        <f t="shared" si="24"/>
        <v>8</v>
      </c>
      <c r="R166" s="160">
        <f t="shared" si="25"/>
        <v>5.7666666666045785</v>
      </c>
      <c r="S166" s="158">
        <f t="shared" si="26"/>
        <v>1.2140350877062271</v>
      </c>
      <c r="T166" s="161">
        <f t="shared" si="27"/>
        <v>129.90175438456632</v>
      </c>
      <c r="U166" s="158">
        <f t="shared" si="29"/>
        <v>22.526315789473685</v>
      </c>
      <c r="V166" s="160">
        <f t="shared" si="28"/>
        <v>23</v>
      </c>
    </row>
    <row r="167" spans="1:22" x14ac:dyDescent="0.25">
      <c r="A167" s="98" t="s">
        <v>21</v>
      </c>
      <c r="B167" s="98" t="s">
        <v>32</v>
      </c>
      <c r="C167" s="98">
        <v>22</v>
      </c>
      <c r="D167" s="98">
        <v>310</v>
      </c>
      <c r="E167" s="157">
        <v>42591.958333333336</v>
      </c>
      <c r="F167" s="157">
        <v>42592.199305555558</v>
      </c>
      <c r="G167" s="98">
        <v>80</v>
      </c>
      <c r="H167" s="98">
        <v>114</v>
      </c>
      <c r="I167" s="98">
        <v>107</v>
      </c>
      <c r="J167" s="98" t="s">
        <v>1966</v>
      </c>
      <c r="K167" s="98" t="s">
        <v>884</v>
      </c>
      <c r="L167" s="105" t="str">
        <f t="shared" si="20"/>
        <v>Brown</v>
      </c>
      <c r="M167" s="105" t="str">
        <f t="shared" si="21"/>
        <v>Derate</v>
      </c>
      <c r="N167" s="105" t="str">
        <f t="shared" si="22"/>
        <v>Coal</v>
      </c>
      <c r="O167" s="105">
        <f>IFERROR(VLOOKUP(A167,Lookup!$J$5:$P$19,7,FALSE),0)</f>
        <v>1</v>
      </c>
      <c r="P167" s="159">
        <f t="shared" si="23"/>
        <v>2016</v>
      </c>
      <c r="Q167" s="159">
        <f t="shared" si="24"/>
        <v>8</v>
      </c>
      <c r="R167" s="160">
        <f t="shared" si="25"/>
        <v>5.7833333333255723</v>
      </c>
      <c r="S167" s="158">
        <f t="shared" si="26"/>
        <v>1.724853801167276</v>
      </c>
      <c r="T167" s="161">
        <f t="shared" si="27"/>
        <v>184.55935672489855</v>
      </c>
      <c r="U167" s="158">
        <f t="shared" si="29"/>
        <v>31.912280701754387</v>
      </c>
      <c r="V167" s="160">
        <f t="shared" si="28"/>
        <v>32</v>
      </c>
    </row>
    <row r="168" spans="1:22" x14ac:dyDescent="0.25">
      <c r="A168" s="98" t="s">
        <v>21</v>
      </c>
      <c r="B168" s="98" t="s">
        <v>32</v>
      </c>
      <c r="C168" s="98">
        <v>23</v>
      </c>
      <c r="D168" s="98">
        <v>310</v>
      </c>
      <c r="E168" s="157">
        <v>42592.970138888886</v>
      </c>
      <c r="F168" s="157">
        <v>42593.203472222223</v>
      </c>
      <c r="G168" s="98">
        <v>90</v>
      </c>
      <c r="H168" s="98">
        <v>114</v>
      </c>
      <c r="I168" s="98">
        <v>107</v>
      </c>
      <c r="J168" s="98" t="s">
        <v>1966</v>
      </c>
      <c r="K168" s="98" t="s">
        <v>3981</v>
      </c>
      <c r="L168" s="105" t="str">
        <f t="shared" si="20"/>
        <v>Brown</v>
      </c>
      <c r="M168" s="105" t="str">
        <f t="shared" si="21"/>
        <v>Derate</v>
      </c>
      <c r="N168" s="105" t="str">
        <f t="shared" si="22"/>
        <v>Coal</v>
      </c>
      <c r="O168" s="105">
        <f>IFERROR(VLOOKUP(A168,Lookup!$J$5:$P$19,7,FALSE),0)</f>
        <v>1</v>
      </c>
      <c r="P168" s="159">
        <f t="shared" si="23"/>
        <v>2016</v>
      </c>
      <c r="Q168" s="159">
        <f t="shared" si="24"/>
        <v>8</v>
      </c>
      <c r="R168" s="160">
        <f t="shared" si="25"/>
        <v>5.6000000000931323</v>
      </c>
      <c r="S168" s="158">
        <f t="shared" si="26"/>
        <v>1.1789473684406595</v>
      </c>
      <c r="T168" s="161">
        <f t="shared" si="27"/>
        <v>126.14736842315057</v>
      </c>
      <c r="U168" s="158">
        <f t="shared" si="29"/>
        <v>22.526315789473685</v>
      </c>
      <c r="V168" s="160">
        <f t="shared" si="28"/>
        <v>23</v>
      </c>
    </row>
    <row r="169" spans="1:22" x14ac:dyDescent="0.25">
      <c r="A169" s="98" t="s">
        <v>21</v>
      </c>
      <c r="B169" s="98" t="s">
        <v>20</v>
      </c>
      <c r="C169" s="98">
        <v>25</v>
      </c>
      <c r="D169" s="98">
        <v>8250</v>
      </c>
      <c r="E169" s="157">
        <v>42604.09375</v>
      </c>
      <c r="F169" s="157">
        <v>42604.651388888888</v>
      </c>
      <c r="G169" s="98">
        <v>0</v>
      </c>
      <c r="H169" s="98">
        <v>114</v>
      </c>
      <c r="I169" s="98">
        <v>107</v>
      </c>
      <c r="J169" s="98" t="s">
        <v>3196</v>
      </c>
      <c r="K169" s="98" t="s">
        <v>3982</v>
      </c>
      <c r="L169" s="105" t="str">
        <f t="shared" si="20"/>
        <v>Brown</v>
      </c>
      <c r="M169" s="105" t="str">
        <f t="shared" si="21"/>
        <v>Maintenance</v>
      </c>
      <c r="N169" s="105" t="str">
        <f t="shared" si="22"/>
        <v>Coal</v>
      </c>
      <c r="O169" s="105">
        <f>IFERROR(VLOOKUP(A169,Lookup!$J$5:$P$19,7,FALSE),0)</f>
        <v>1</v>
      </c>
      <c r="P169" s="159">
        <f t="shared" si="23"/>
        <v>2016</v>
      </c>
      <c r="Q169" s="159">
        <f t="shared" si="24"/>
        <v>8</v>
      </c>
      <c r="R169" s="160">
        <f t="shared" si="25"/>
        <v>13.383333333302289</v>
      </c>
      <c r="S169" s="158">
        <f t="shared" si="26"/>
        <v>13.383333333302289</v>
      </c>
      <c r="T169" s="161">
        <f t="shared" si="27"/>
        <v>1432.0166666633449</v>
      </c>
      <c r="U169" s="158">
        <f t="shared" si="29"/>
        <v>107</v>
      </c>
      <c r="V169" s="160">
        <f t="shared" si="28"/>
        <v>107</v>
      </c>
    </row>
    <row r="170" spans="1:22" x14ac:dyDescent="0.25">
      <c r="A170" s="98" t="s">
        <v>21</v>
      </c>
      <c r="B170" s="98" t="s">
        <v>15</v>
      </c>
      <c r="C170" s="98">
        <v>27</v>
      </c>
      <c r="D170" s="98">
        <v>4302</v>
      </c>
      <c r="E170" s="157">
        <v>42615.075694444444</v>
      </c>
      <c r="F170" s="157">
        <v>42615.09375</v>
      </c>
      <c r="G170" s="98">
        <v>0</v>
      </c>
      <c r="H170" s="98">
        <v>114</v>
      </c>
      <c r="I170" s="98">
        <v>107</v>
      </c>
      <c r="J170" s="98" t="s">
        <v>2024</v>
      </c>
      <c r="K170" s="98" t="s">
        <v>3983</v>
      </c>
      <c r="L170" s="105" t="str">
        <f t="shared" si="20"/>
        <v>Brown</v>
      </c>
      <c r="M170" s="105" t="str">
        <f t="shared" si="21"/>
        <v>Outage</v>
      </c>
      <c r="N170" s="105" t="str">
        <f t="shared" si="22"/>
        <v>Coal</v>
      </c>
      <c r="O170" s="105">
        <f>IFERROR(VLOOKUP(A170,Lookup!$J$5:$P$19,7,FALSE),0)</f>
        <v>1</v>
      </c>
      <c r="P170" s="159">
        <f t="shared" si="23"/>
        <v>2016</v>
      </c>
      <c r="Q170" s="159">
        <f t="shared" si="24"/>
        <v>9</v>
      </c>
      <c r="R170" s="160">
        <f t="shared" si="25"/>
        <v>0.43333333334885538</v>
      </c>
      <c r="S170" s="158">
        <f t="shared" si="26"/>
        <v>0.43333333334885538</v>
      </c>
      <c r="T170" s="161">
        <f t="shared" si="27"/>
        <v>46.366666668327525</v>
      </c>
      <c r="U170" s="158">
        <f t="shared" si="29"/>
        <v>107</v>
      </c>
      <c r="V170" s="160">
        <f t="shared" si="28"/>
        <v>107</v>
      </c>
    </row>
    <row r="171" spans="1:22" x14ac:dyDescent="0.25">
      <c r="A171" s="98" t="s">
        <v>21</v>
      </c>
      <c r="B171" s="98" t="s">
        <v>20</v>
      </c>
      <c r="C171" s="98">
        <v>30</v>
      </c>
      <c r="D171" s="98">
        <v>847</v>
      </c>
      <c r="E171" s="157">
        <v>42651.034722222219</v>
      </c>
      <c r="F171" s="157">
        <v>42654.539583333331</v>
      </c>
      <c r="G171" s="98">
        <v>0</v>
      </c>
      <c r="H171" s="98">
        <v>114</v>
      </c>
      <c r="I171" s="98">
        <v>107</v>
      </c>
      <c r="J171" s="98" t="s">
        <v>3984</v>
      </c>
      <c r="K171" s="98" t="s">
        <v>3985</v>
      </c>
      <c r="L171" s="105" t="str">
        <f t="shared" si="20"/>
        <v>Brown</v>
      </c>
      <c r="M171" s="105" t="str">
        <f t="shared" si="21"/>
        <v>Maintenance</v>
      </c>
      <c r="N171" s="105" t="str">
        <f t="shared" si="22"/>
        <v>Coal</v>
      </c>
      <c r="O171" s="105">
        <f>IFERROR(VLOOKUP(A171,Lookup!$J$5:$P$19,7,FALSE),0)</f>
        <v>1</v>
      </c>
      <c r="P171" s="159">
        <f t="shared" si="23"/>
        <v>2016</v>
      </c>
      <c r="Q171" s="159">
        <f t="shared" si="24"/>
        <v>10</v>
      </c>
      <c r="R171" s="160">
        <f t="shared" si="25"/>
        <v>84.116666666697711</v>
      </c>
      <c r="S171" s="158">
        <f t="shared" si="26"/>
        <v>84.116666666697711</v>
      </c>
      <c r="T171" s="161">
        <f t="shared" si="27"/>
        <v>9000.4833333366551</v>
      </c>
      <c r="U171" s="158">
        <f t="shared" si="29"/>
        <v>107</v>
      </c>
      <c r="V171" s="160">
        <f t="shared" si="28"/>
        <v>107</v>
      </c>
    </row>
    <row r="172" spans="1:22" x14ac:dyDescent="0.25">
      <c r="A172" s="98" t="s">
        <v>21</v>
      </c>
      <c r="B172" s="98" t="s">
        <v>20</v>
      </c>
      <c r="C172" s="98">
        <v>33</v>
      </c>
      <c r="D172" s="98">
        <v>8560</v>
      </c>
      <c r="E172" s="157">
        <v>42669.25</v>
      </c>
      <c r="F172" s="157">
        <v>42669.71597222222</v>
      </c>
      <c r="G172" s="98">
        <v>0</v>
      </c>
      <c r="H172" s="98">
        <v>114</v>
      </c>
      <c r="I172" s="98">
        <v>107</v>
      </c>
      <c r="J172" s="98" t="s">
        <v>1971</v>
      </c>
      <c r="K172" s="98" t="s">
        <v>3986</v>
      </c>
      <c r="L172" s="105" t="str">
        <f t="shared" si="20"/>
        <v>Brown</v>
      </c>
      <c r="M172" s="105" t="str">
        <f t="shared" si="21"/>
        <v>Maintenance</v>
      </c>
      <c r="N172" s="105" t="str">
        <f t="shared" si="22"/>
        <v>Coal</v>
      </c>
      <c r="O172" s="105">
        <f>IFERROR(VLOOKUP(A172,Lookup!$J$5:$P$19,7,FALSE),0)</f>
        <v>1</v>
      </c>
      <c r="P172" s="159">
        <f t="shared" si="23"/>
        <v>2016</v>
      </c>
      <c r="Q172" s="159">
        <f t="shared" si="24"/>
        <v>10</v>
      </c>
      <c r="R172" s="160">
        <f t="shared" si="25"/>
        <v>11.183333333290648</v>
      </c>
      <c r="S172" s="158">
        <f t="shared" si="26"/>
        <v>11.183333333290648</v>
      </c>
      <c r="T172" s="161">
        <f t="shared" si="27"/>
        <v>1196.6166666620993</v>
      </c>
      <c r="U172" s="158">
        <f t="shared" si="29"/>
        <v>107</v>
      </c>
      <c r="V172" s="160">
        <f t="shared" si="28"/>
        <v>107</v>
      </c>
    </row>
    <row r="173" spans="1:22" x14ac:dyDescent="0.25">
      <c r="A173" s="98" t="s">
        <v>21</v>
      </c>
      <c r="B173" s="98" t="s">
        <v>15</v>
      </c>
      <c r="C173" s="98">
        <v>35</v>
      </c>
      <c r="D173" s="98">
        <v>4899</v>
      </c>
      <c r="E173" s="157">
        <v>42677.719444444447</v>
      </c>
      <c r="F173" s="157">
        <v>42678.038888888892</v>
      </c>
      <c r="G173" s="98">
        <v>0</v>
      </c>
      <c r="H173" s="98">
        <v>114</v>
      </c>
      <c r="I173" s="98">
        <v>107</v>
      </c>
      <c r="J173" s="98" t="s">
        <v>2243</v>
      </c>
      <c r="K173" s="98" t="s">
        <v>3987</v>
      </c>
      <c r="L173" s="105" t="str">
        <f t="shared" si="20"/>
        <v>Brown</v>
      </c>
      <c r="M173" s="105" t="str">
        <f t="shared" si="21"/>
        <v>Outage</v>
      </c>
      <c r="N173" s="105" t="str">
        <f t="shared" si="22"/>
        <v>Coal</v>
      </c>
      <c r="O173" s="105">
        <f>IFERROR(VLOOKUP(A173,Lookup!$J$5:$P$19,7,FALSE),0)</f>
        <v>1</v>
      </c>
      <c r="P173" s="159">
        <f t="shared" si="23"/>
        <v>2016</v>
      </c>
      <c r="Q173" s="159">
        <f t="shared" si="24"/>
        <v>11</v>
      </c>
      <c r="R173" s="160">
        <f t="shared" si="25"/>
        <v>7.6666666666860692</v>
      </c>
      <c r="S173" s="158">
        <f t="shared" si="26"/>
        <v>7.6666666666860692</v>
      </c>
      <c r="T173" s="161">
        <f t="shared" si="27"/>
        <v>820.33333333540941</v>
      </c>
      <c r="U173" s="158">
        <f t="shared" si="29"/>
        <v>107</v>
      </c>
      <c r="V173" s="160">
        <f t="shared" si="28"/>
        <v>107</v>
      </c>
    </row>
    <row r="174" spans="1:22" x14ac:dyDescent="0.25">
      <c r="A174" s="98" t="s">
        <v>21</v>
      </c>
      <c r="B174" s="98" t="s">
        <v>20</v>
      </c>
      <c r="C174" s="98">
        <v>37</v>
      </c>
      <c r="D174" s="98">
        <v>8560</v>
      </c>
      <c r="E174" s="157">
        <v>42704.291666666664</v>
      </c>
      <c r="F174" s="157">
        <v>42705.584722222222</v>
      </c>
      <c r="G174" s="98">
        <v>0</v>
      </c>
      <c r="H174" s="98">
        <v>114</v>
      </c>
      <c r="I174" s="98">
        <v>107</v>
      </c>
      <c r="J174" s="98" t="s">
        <v>1971</v>
      </c>
      <c r="K174" s="98" t="s">
        <v>3988</v>
      </c>
      <c r="L174" s="105" t="str">
        <f t="shared" si="20"/>
        <v>Brown</v>
      </c>
      <c r="M174" s="105" t="str">
        <f t="shared" si="21"/>
        <v>Maintenance</v>
      </c>
      <c r="N174" s="105" t="str">
        <f t="shared" si="22"/>
        <v>Coal</v>
      </c>
      <c r="O174" s="105">
        <f>IFERROR(VLOOKUP(A174,Lookup!$J$5:$P$19,7,FALSE),0)</f>
        <v>1</v>
      </c>
      <c r="P174" s="159">
        <f t="shared" si="23"/>
        <v>2016</v>
      </c>
      <c r="Q174" s="159">
        <f t="shared" si="24"/>
        <v>11</v>
      </c>
      <c r="R174" s="160">
        <f t="shared" si="25"/>
        <v>31.03333333338378</v>
      </c>
      <c r="S174" s="158">
        <f t="shared" si="26"/>
        <v>31.03333333338378</v>
      </c>
      <c r="T174" s="161">
        <f t="shared" si="27"/>
        <v>3320.5666666720645</v>
      </c>
      <c r="U174" s="158">
        <f t="shared" si="29"/>
        <v>107</v>
      </c>
      <c r="V174" s="160">
        <f t="shared" si="28"/>
        <v>107</v>
      </c>
    </row>
    <row r="175" spans="1:22" x14ac:dyDescent="0.25">
      <c r="A175" s="98" t="s">
        <v>21</v>
      </c>
      <c r="B175" s="98" t="s">
        <v>20</v>
      </c>
      <c r="C175" s="98">
        <v>39</v>
      </c>
      <c r="D175" s="98">
        <v>1510</v>
      </c>
      <c r="E175" s="157">
        <v>42734.208333333336</v>
      </c>
      <c r="F175" s="157">
        <v>42734.551388888889</v>
      </c>
      <c r="G175" s="98">
        <v>0</v>
      </c>
      <c r="H175" s="98">
        <v>114</v>
      </c>
      <c r="I175" s="98">
        <v>107</v>
      </c>
      <c r="J175" s="98" t="s">
        <v>2183</v>
      </c>
      <c r="K175" s="98" t="s">
        <v>3989</v>
      </c>
      <c r="L175" s="105" t="str">
        <f t="shared" si="20"/>
        <v>Brown</v>
      </c>
      <c r="M175" s="105" t="str">
        <f t="shared" si="21"/>
        <v>Maintenance</v>
      </c>
      <c r="N175" s="105" t="str">
        <f t="shared" si="22"/>
        <v>Coal</v>
      </c>
      <c r="O175" s="105">
        <f>IFERROR(VLOOKUP(A175,Lookup!$J$5:$P$19,7,FALSE),0)</f>
        <v>1</v>
      </c>
      <c r="P175" s="159">
        <f t="shared" si="23"/>
        <v>2016</v>
      </c>
      <c r="Q175" s="159">
        <f t="shared" si="24"/>
        <v>12</v>
      </c>
      <c r="R175" s="160">
        <f t="shared" si="25"/>
        <v>8.2333333332790062</v>
      </c>
      <c r="S175" s="158">
        <f t="shared" si="26"/>
        <v>8.2333333332790062</v>
      </c>
      <c r="T175" s="161">
        <f t="shared" si="27"/>
        <v>880.96666666085366</v>
      </c>
      <c r="U175" s="158">
        <f t="shared" si="29"/>
        <v>107</v>
      </c>
      <c r="V175" s="160">
        <f t="shared" si="28"/>
        <v>107</v>
      </c>
    </row>
    <row r="176" spans="1:22" x14ac:dyDescent="0.25">
      <c r="A176" s="98" t="s">
        <v>21</v>
      </c>
      <c r="B176" s="98" t="s">
        <v>38</v>
      </c>
      <c r="C176" s="98">
        <v>3</v>
      </c>
      <c r="D176" s="98">
        <v>1812</v>
      </c>
      <c r="E176" s="157">
        <v>42797.291666666664</v>
      </c>
      <c r="F176" s="157">
        <v>42807</v>
      </c>
      <c r="G176" s="98">
        <v>0</v>
      </c>
      <c r="H176" s="98">
        <v>114</v>
      </c>
      <c r="I176" s="98">
        <v>107</v>
      </c>
      <c r="J176" s="98" t="s">
        <v>1994</v>
      </c>
      <c r="K176" s="98" t="s">
        <v>3990</v>
      </c>
      <c r="L176" s="105" t="str">
        <f t="shared" si="20"/>
        <v>Brown</v>
      </c>
      <c r="M176" s="105" t="str">
        <f t="shared" si="21"/>
        <v>Other</v>
      </c>
      <c r="N176" s="105" t="str">
        <f t="shared" si="22"/>
        <v>Coal</v>
      </c>
      <c r="O176" s="105">
        <f>IFERROR(VLOOKUP(A176,Lookup!$J$5:$P$19,7,FALSE),0)</f>
        <v>1</v>
      </c>
      <c r="P176" s="159">
        <f t="shared" si="23"/>
        <v>2017</v>
      </c>
      <c r="Q176" s="159">
        <f t="shared" si="24"/>
        <v>3</v>
      </c>
      <c r="R176" s="160">
        <f t="shared" si="25"/>
        <v>233.00000000005821</v>
      </c>
      <c r="S176" s="158">
        <f t="shared" si="26"/>
        <v>233.00000000005821</v>
      </c>
      <c r="T176" s="161">
        <f t="shared" si="27"/>
        <v>24931.000000006228</v>
      </c>
      <c r="U176" s="158">
        <f t="shared" si="29"/>
        <v>107</v>
      </c>
      <c r="V176" s="160">
        <f t="shared" si="28"/>
        <v>107</v>
      </c>
    </row>
    <row r="177" spans="1:22" x14ac:dyDescent="0.25">
      <c r="A177" s="98" t="s">
        <v>21</v>
      </c>
      <c r="B177" s="98" t="s">
        <v>121</v>
      </c>
      <c r="C177" s="98">
        <v>5</v>
      </c>
      <c r="D177" s="98">
        <v>1812</v>
      </c>
      <c r="E177" s="157">
        <v>42807</v>
      </c>
      <c r="F177" s="157">
        <v>42812.570833333331</v>
      </c>
      <c r="G177" s="98">
        <v>0</v>
      </c>
      <c r="H177" s="98">
        <v>114</v>
      </c>
      <c r="I177" s="98">
        <v>107</v>
      </c>
      <c r="J177" s="98" t="s">
        <v>1994</v>
      </c>
      <c r="K177" s="98" t="s">
        <v>3991</v>
      </c>
      <c r="L177" s="105" t="str">
        <f t="shared" si="20"/>
        <v>Brown</v>
      </c>
      <c r="M177" s="105" t="str">
        <f t="shared" si="21"/>
        <v>Other</v>
      </c>
      <c r="N177" s="105" t="str">
        <f t="shared" si="22"/>
        <v>Coal</v>
      </c>
      <c r="O177" s="105">
        <f>IFERROR(VLOOKUP(A177,Lookup!$J$5:$P$19,7,FALSE),0)</f>
        <v>1</v>
      </c>
      <c r="P177" s="159">
        <f t="shared" si="23"/>
        <v>2017</v>
      </c>
      <c r="Q177" s="159">
        <f t="shared" si="24"/>
        <v>3</v>
      </c>
      <c r="R177" s="160">
        <f t="shared" si="25"/>
        <v>133.69999999995343</v>
      </c>
      <c r="S177" s="158">
        <f t="shared" si="26"/>
        <v>133.69999999995343</v>
      </c>
      <c r="T177" s="161">
        <f t="shared" si="27"/>
        <v>14305.899999995017</v>
      </c>
      <c r="U177" s="158">
        <f t="shared" si="29"/>
        <v>107</v>
      </c>
      <c r="V177" s="160">
        <f t="shared" si="28"/>
        <v>107</v>
      </c>
    </row>
    <row r="178" spans="1:22" x14ac:dyDescent="0.25">
      <c r="A178" s="98" t="s">
        <v>21</v>
      </c>
      <c r="B178" s="98" t="s">
        <v>17</v>
      </c>
      <c r="C178" s="98">
        <v>6</v>
      </c>
      <c r="D178" s="98">
        <v>310</v>
      </c>
      <c r="E178" s="157">
        <v>42843.427083333336</v>
      </c>
      <c r="F178" s="157">
        <v>42843.467361111114</v>
      </c>
      <c r="G178" s="98">
        <v>90</v>
      </c>
      <c r="H178" s="98">
        <v>114</v>
      </c>
      <c r="I178" s="98">
        <v>107</v>
      </c>
      <c r="J178" s="98" t="s">
        <v>1966</v>
      </c>
      <c r="K178" s="98" t="s">
        <v>3992</v>
      </c>
      <c r="L178" s="105" t="str">
        <f t="shared" si="20"/>
        <v>Brown</v>
      </c>
      <c r="M178" s="105" t="str">
        <f t="shared" si="21"/>
        <v>Derate</v>
      </c>
      <c r="N178" s="105" t="str">
        <f t="shared" si="22"/>
        <v>Coal</v>
      </c>
      <c r="O178" s="105">
        <f>IFERROR(VLOOKUP(A178,Lookup!$J$5:$P$19,7,FALSE),0)</f>
        <v>1</v>
      </c>
      <c r="P178" s="159">
        <f t="shared" si="23"/>
        <v>2017</v>
      </c>
      <c r="Q178" s="159">
        <f t="shared" si="24"/>
        <v>4</v>
      </c>
      <c r="R178" s="160">
        <f t="shared" si="25"/>
        <v>0.96666666667442769</v>
      </c>
      <c r="S178" s="158">
        <f t="shared" si="26"/>
        <v>0.20350877193145847</v>
      </c>
      <c r="T178" s="161">
        <f t="shared" si="27"/>
        <v>21.775438596666056</v>
      </c>
      <c r="U178" s="158">
        <f t="shared" si="29"/>
        <v>22.526315789473685</v>
      </c>
      <c r="V178" s="160">
        <f t="shared" si="28"/>
        <v>23</v>
      </c>
    </row>
    <row r="179" spans="1:22" x14ac:dyDescent="0.25">
      <c r="A179" s="98" t="s">
        <v>21</v>
      </c>
      <c r="B179" s="98" t="s">
        <v>79</v>
      </c>
      <c r="C179" s="98">
        <v>8</v>
      </c>
      <c r="D179" s="98">
        <v>4842</v>
      </c>
      <c r="E179" s="157">
        <v>42905.248611111114</v>
      </c>
      <c r="F179" s="157">
        <v>42905.286111111112</v>
      </c>
      <c r="G179" s="98">
        <v>0</v>
      </c>
      <c r="H179" s="98">
        <v>114</v>
      </c>
      <c r="I179" s="98">
        <v>107</v>
      </c>
      <c r="J179" s="98" t="s">
        <v>60</v>
      </c>
      <c r="K179" s="98" t="s">
        <v>3993</v>
      </c>
      <c r="L179" s="105" t="str">
        <f t="shared" si="20"/>
        <v>Brown</v>
      </c>
      <c r="M179" s="105" t="str">
        <f t="shared" si="21"/>
        <v>Other</v>
      </c>
      <c r="N179" s="105" t="str">
        <f t="shared" si="22"/>
        <v>Coal</v>
      </c>
      <c r="O179" s="105">
        <f>IFERROR(VLOOKUP(A179,Lookup!$J$5:$P$19,7,FALSE),0)</f>
        <v>1</v>
      </c>
      <c r="P179" s="159">
        <f t="shared" si="23"/>
        <v>2017</v>
      </c>
      <c r="Q179" s="159">
        <f t="shared" si="24"/>
        <v>6</v>
      </c>
      <c r="R179" s="160">
        <f t="shared" si="25"/>
        <v>0.8999999999650754</v>
      </c>
      <c r="S179" s="158">
        <f t="shared" si="26"/>
        <v>0.8999999999650754</v>
      </c>
      <c r="T179" s="161">
        <f t="shared" si="27"/>
        <v>96.299999996263068</v>
      </c>
      <c r="U179" s="158">
        <f t="shared" si="29"/>
        <v>107</v>
      </c>
      <c r="V179" s="160">
        <f t="shared" si="28"/>
        <v>107</v>
      </c>
    </row>
    <row r="180" spans="1:22" x14ac:dyDescent="0.25">
      <c r="A180" s="98" t="s">
        <v>21</v>
      </c>
      <c r="B180" s="98" t="s">
        <v>15</v>
      </c>
      <c r="C180" s="98">
        <v>11</v>
      </c>
      <c r="D180" s="98">
        <v>1456</v>
      </c>
      <c r="E180" s="157">
        <v>42914.435416666667</v>
      </c>
      <c r="F180" s="157">
        <v>42914.565972222219</v>
      </c>
      <c r="G180" s="98">
        <v>0</v>
      </c>
      <c r="H180" s="98">
        <v>114</v>
      </c>
      <c r="I180" s="98">
        <v>107</v>
      </c>
      <c r="J180" s="98" t="s">
        <v>3994</v>
      </c>
      <c r="K180" s="98" t="s">
        <v>3995</v>
      </c>
      <c r="L180" s="105" t="str">
        <f t="shared" si="20"/>
        <v>Brown</v>
      </c>
      <c r="M180" s="105" t="str">
        <f t="shared" si="21"/>
        <v>Outage</v>
      </c>
      <c r="N180" s="105" t="str">
        <f t="shared" si="22"/>
        <v>Coal</v>
      </c>
      <c r="O180" s="105">
        <f>IFERROR(VLOOKUP(A180,Lookup!$J$5:$P$19,7,FALSE),0)</f>
        <v>1</v>
      </c>
      <c r="P180" s="159">
        <f t="shared" si="23"/>
        <v>2017</v>
      </c>
      <c r="Q180" s="159">
        <f t="shared" si="24"/>
        <v>6</v>
      </c>
      <c r="R180" s="160">
        <f t="shared" si="25"/>
        <v>3.1333333332440816</v>
      </c>
      <c r="S180" s="158">
        <f t="shared" si="26"/>
        <v>3.1333333332440816</v>
      </c>
      <c r="T180" s="161">
        <f t="shared" si="27"/>
        <v>335.26666665711673</v>
      </c>
      <c r="U180" s="158">
        <f t="shared" si="29"/>
        <v>107</v>
      </c>
      <c r="V180" s="160">
        <f t="shared" si="28"/>
        <v>107</v>
      </c>
    </row>
    <row r="181" spans="1:22" x14ac:dyDescent="0.25">
      <c r="A181" s="98" t="s">
        <v>21</v>
      </c>
      <c r="B181" s="98" t="s">
        <v>15</v>
      </c>
      <c r="C181" s="98">
        <v>15</v>
      </c>
      <c r="D181" s="98">
        <v>4810</v>
      </c>
      <c r="E181" s="157">
        <v>42936.279861111114</v>
      </c>
      <c r="F181" s="157">
        <v>42936.504861111112</v>
      </c>
      <c r="G181" s="98">
        <v>0</v>
      </c>
      <c r="H181" s="98">
        <v>114</v>
      </c>
      <c r="I181" s="98">
        <v>107</v>
      </c>
      <c r="J181" s="98" t="s">
        <v>2139</v>
      </c>
      <c r="K181" s="98" t="s">
        <v>4560</v>
      </c>
      <c r="L181" s="105" t="str">
        <f t="shared" si="20"/>
        <v>Brown</v>
      </c>
      <c r="M181" s="105" t="str">
        <f t="shared" si="21"/>
        <v>Outage</v>
      </c>
      <c r="N181" s="105" t="str">
        <f t="shared" si="22"/>
        <v>Coal</v>
      </c>
      <c r="O181" s="105">
        <f>IFERROR(VLOOKUP(A181,Lookup!$J$5:$P$19,7,FALSE),0)</f>
        <v>1</v>
      </c>
      <c r="P181" s="159">
        <f t="shared" si="23"/>
        <v>2017</v>
      </c>
      <c r="Q181" s="159">
        <f t="shared" si="24"/>
        <v>7</v>
      </c>
      <c r="R181" s="160">
        <f t="shared" si="25"/>
        <v>5.3999999999650754</v>
      </c>
      <c r="S181" s="158">
        <f t="shared" si="26"/>
        <v>5.3999999999650754</v>
      </c>
      <c r="T181" s="161">
        <f t="shared" si="27"/>
        <v>577.79999999626307</v>
      </c>
      <c r="U181" s="158">
        <f t="shared" si="29"/>
        <v>107</v>
      </c>
      <c r="V181" s="160">
        <f t="shared" si="28"/>
        <v>107</v>
      </c>
    </row>
    <row r="182" spans="1:22" x14ac:dyDescent="0.25">
      <c r="A182" s="98" t="s">
        <v>21</v>
      </c>
      <c r="B182" s="98" t="s">
        <v>15</v>
      </c>
      <c r="C182" s="98">
        <v>16</v>
      </c>
      <c r="D182" s="98">
        <v>4810</v>
      </c>
      <c r="E182" s="157">
        <v>42936.618750000001</v>
      </c>
      <c r="F182" s="157">
        <v>42936.834722222222</v>
      </c>
      <c r="G182" s="98">
        <v>0</v>
      </c>
      <c r="H182" s="98">
        <v>114</v>
      </c>
      <c r="I182" s="98">
        <v>107</v>
      </c>
      <c r="J182" s="98" t="s">
        <v>2139</v>
      </c>
      <c r="K182" s="98" t="s">
        <v>4561</v>
      </c>
      <c r="L182" s="105" t="str">
        <f t="shared" si="20"/>
        <v>Brown</v>
      </c>
      <c r="M182" s="105" t="str">
        <f t="shared" si="21"/>
        <v>Outage</v>
      </c>
      <c r="N182" s="105" t="str">
        <f t="shared" si="22"/>
        <v>Coal</v>
      </c>
      <c r="O182" s="105">
        <f>IFERROR(VLOOKUP(A182,Lookup!$J$5:$P$19,7,FALSE),0)</f>
        <v>1</v>
      </c>
      <c r="P182" s="159">
        <f t="shared" si="23"/>
        <v>2017</v>
      </c>
      <c r="Q182" s="159">
        <f t="shared" si="24"/>
        <v>7</v>
      </c>
      <c r="R182" s="160">
        <f t="shared" si="25"/>
        <v>5.1833333332906477</v>
      </c>
      <c r="S182" s="158">
        <f t="shared" si="26"/>
        <v>5.1833333332906477</v>
      </c>
      <c r="T182" s="161">
        <f t="shared" si="27"/>
        <v>554.61666666209931</v>
      </c>
      <c r="U182" s="158">
        <f t="shared" si="29"/>
        <v>107</v>
      </c>
      <c r="V182" s="160">
        <f t="shared" si="28"/>
        <v>107</v>
      </c>
    </row>
    <row r="183" spans="1:22" x14ac:dyDescent="0.25">
      <c r="A183" s="98" t="s">
        <v>21</v>
      </c>
      <c r="B183" s="98" t="s">
        <v>20</v>
      </c>
      <c r="C183" s="98">
        <v>18</v>
      </c>
      <c r="D183" s="98">
        <v>3112</v>
      </c>
      <c r="E183" s="157">
        <v>42983.25</v>
      </c>
      <c r="F183" s="157">
        <v>42984.442361111112</v>
      </c>
      <c r="G183" s="98">
        <v>0</v>
      </c>
      <c r="H183" s="98">
        <v>114</v>
      </c>
      <c r="I183" s="98">
        <v>107</v>
      </c>
      <c r="J183" s="98" t="s">
        <v>4562</v>
      </c>
      <c r="K183" s="98" t="s">
        <v>4563</v>
      </c>
      <c r="L183" s="105" t="str">
        <f t="shared" si="20"/>
        <v>Brown</v>
      </c>
      <c r="M183" s="105" t="str">
        <f t="shared" si="21"/>
        <v>Maintenance</v>
      </c>
      <c r="N183" s="105" t="str">
        <f t="shared" si="22"/>
        <v>Coal</v>
      </c>
      <c r="O183" s="105">
        <f>IFERROR(VLOOKUP(A183,Lookup!$J$5:$P$19,7,FALSE),0)</f>
        <v>1</v>
      </c>
      <c r="P183" s="159">
        <f t="shared" si="23"/>
        <v>2017</v>
      </c>
      <c r="Q183" s="159">
        <f t="shared" si="24"/>
        <v>9</v>
      </c>
      <c r="R183" s="160">
        <f t="shared" si="25"/>
        <v>28.616666666697711</v>
      </c>
      <c r="S183" s="158">
        <f t="shared" si="26"/>
        <v>28.616666666697711</v>
      </c>
      <c r="T183" s="161">
        <f t="shared" si="27"/>
        <v>3061.9833333366551</v>
      </c>
      <c r="U183" s="158">
        <f t="shared" si="29"/>
        <v>107</v>
      </c>
      <c r="V183" s="160">
        <f t="shared" si="28"/>
        <v>107</v>
      </c>
    </row>
    <row r="184" spans="1:22" x14ac:dyDescent="0.25">
      <c r="A184" s="98" t="s">
        <v>21</v>
      </c>
      <c r="B184" s="98" t="s">
        <v>15</v>
      </c>
      <c r="C184" s="98">
        <v>20</v>
      </c>
      <c r="D184" s="98">
        <v>3612</v>
      </c>
      <c r="E184" s="157">
        <v>42986.35833333333</v>
      </c>
      <c r="F184" s="157">
        <v>42986.581250000003</v>
      </c>
      <c r="G184" s="98">
        <v>0</v>
      </c>
      <c r="H184" s="98">
        <v>114</v>
      </c>
      <c r="I184" s="98">
        <v>107</v>
      </c>
      <c r="J184" s="98" t="s">
        <v>2239</v>
      </c>
      <c r="K184" s="98" t="s">
        <v>4564</v>
      </c>
      <c r="L184" s="105" t="str">
        <f t="shared" si="20"/>
        <v>Brown</v>
      </c>
      <c r="M184" s="105" t="str">
        <f t="shared" si="21"/>
        <v>Outage</v>
      </c>
      <c r="N184" s="105" t="str">
        <f t="shared" si="22"/>
        <v>Coal</v>
      </c>
      <c r="O184" s="105">
        <f>IFERROR(VLOOKUP(A184,Lookup!$J$5:$P$19,7,FALSE),0)</f>
        <v>1</v>
      </c>
      <c r="P184" s="159">
        <f t="shared" si="23"/>
        <v>2017</v>
      </c>
      <c r="Q184" s="159">
        <f t="shared" si="24"/>
        <v>9</v>
      </c>
      <c r="R184" s="160">
        <f t="shared" si="25"/>
        <v>5.3500000001513399</v>
      </c>
      <c r="S184" s="158">
        <f t="shared" si="26"/>
        <v>5.3500000001513399</v>
      </c>
      <c r="T184" s="161">
        <f t="shared" si="27"/>
        <v>572.45000001619337</v>
      </c>
      <c r="U184" s="158">
        <f t="shared" si="29"/>
        <v>107</v>
      </c>
      <c r="V184" s="160">
        <f t="shared" si="28"/>
        <v>107</v>
      </c>
    </row>
    <row r="185" spans="1:22" x14ac:dyDescent="0.25">
      <c r="A185" s="98" t="s">
        <v>21</v>
      </c>
      <c r="B185" s="98" t="s">
        <v>15</v>
      </c>
      <c r="C185" s="98">
        <v>22</v>
      </c>
      <c r="D185" s="98">
        <v>4499</v>
      </c>
      <c r="E185" s="157">
        <v>42992.318055555559</v>
      </c>
      <c r="F185" s="157">
        <v>42992.538194444445</v>
      </c>
      <c r="G185" s="98">
        <v>0</v>
      </c>
      <c r="H185" s="98">
        <v>114</v>
      </c>
      <c r="I185" s="98">
        <v>107</v>
      </c>
      <c r="J185" s="98" t="s">
        <v>2082</v>
      </c>
      <c r="K185" s="98" t="s">
        <v>4565</v>
      </c>
      <c r="L185" s="105" t="str">
        <f t="shared" si="20"/>
        <v>Brown</v>
      </c>
      <c r="M185" s="105" t="str">
        <f t="shared" si="21"/>
        <v>Outage</v>
      </c>
      <c r="N185" s="105" t="str">
        <f t="shared" si="22"/>
        <v>Coal</v>
      </c>
      <c r="O185" s="105">
        <f>IFERROR(VLOOKUP(A185,Lookup!$J$5:$P$19,7,FALSE),0)</f>
        <v>1</v>
      </c>
      <c r="P185" s="159">
        <f t="shared" si="23"/>
        <v>2017</v>
      </c>
      <c r="Q185" s="159">
        <f t="shared" si="24"/>
        <v>9</v>
      </c>
      <c r="R185" s="160">
        <f t="shared" si="25"/>
        <v>5.2833333332673647</v>
      </c>
      <c r="S185" s="158">
        <f t="shared" si="26"/>
        <v>5.2833333332673647</v>
      </c>
      <c r="T185" s="161">
        <f t="shared" si="27"/>
        <v>565.31666665960802</v>
      </c>
      <c r="U185" s="158">
        <f t="shared" si="29"/>
        <v>107</v>
      </c>
      <c r="V185" s="160">
        <f t="shared" si="28"/>
        <v>107</v>
      </c>
    </row>
    <row r="186" spans="1:22" x14ac:dyDescent="0.25">
      <c r="A186" s="98" t="s">
        <v>21</v>
      </c>
      <c r="B186" s="98" t="s">
        <v>17</v>
      </c>
      <c r="C186" s="98">
        <v>24</v>
      </c>
      <c r="D186" s="98">
        <v>264</v>
      </c>
      <c r="E186" s="157">
        <v>43037.86041666667</v>
      </c>
      <c r="F186" s="157">
        <v>43038.282638888886</v>
      </c>
      <c r="G186" s="98">
        <v>95</v>
      </c>
      <c r="H186" s="98">
        <v>114</v>
      </c>
      <c r="I186" s="98">
        <v>107</v>
      </c>
      <c r="J186" s="98" t="s">
        <v>2008</v>
      </c>
      <c r="K186" s="98" t="s">
        <v>4566</v>
      </c>
      <c r="L186" s="105" t="str">
        <f t="shared" si="20"/>
        <v>Brown</v>
      </c>
      <c r="M186" s="105" t="str">
        <f t="shared" si="21"/>
        <v>Derate</v>
      </c>
      <c r="N186" s="105" t="str">
        <f t="shared" si="22"/>
        <v>Coal</v>
      </c>
      <c r="O186" s="105">
        <f>IFERROR(VLOOKUP(A186,Lookup!$J$5:$P$19,7,FALSE),0)</f>
        <v>1</v>
      </c>
      <c r="P186" s="159">
        <f t="shared" si="23"/>
        <v>2017</v>
      </c>
      <c r="Q186" s="159">
        <f t="shared" si="24"/>
        <v>10</v>
      </c>
      <c r="R186" s="160">
        <f t="shared" si="25"/>
        <v>10.133333333185874</v>
      </c>
      <c r="S186" s="158">
        <f t="shared" si="26"/>
        <v>1.6888888888643123</v>
      </c>
      <c r="T186" s="161">
        <f t="shared" si="27"/>
        <v>180.71111110848142</v>
      </c>
      <c r="U186" s="158">
        <f t="shared" si="29"/>
        <v>17.833333333333332</v>
      </c>
      <c r="V186" s="160">
        <f t="shared" si="28"/>
        <v>18</v>
      </c>
    </row>
    <row r="187" spans="1:22" x14ac:dyDescent="0.25">
      <c r="A187" s="98" t="s">
        <v>21</v>
      </c>
      <c r="B187" s="98" t="s">
        <v>15</v>
      </c>
      <c r="C187" s="98">
        <v>25</v>
      </c>
      <c r="D187" s="98">
        <v>4299</v>
      </c>
      <c r="E187" s="157">
        <v>43045.645833333336</v>
      </c>
      <c r="F187" s="157">
        <v>43046.384722222225</v>
      </c>
      <c r="G187" s="98">
        <v>0</v>
      </c>
      <c r="H187" s="98">
        <v>114</v>
      </c>
      <c r="I187" s="98">
        <v>107</v>
      </c>
      <c r="J187" s="98" t="s">
        <v>2121</v>
      </c>
      <c r="K187" s="98" t="s">
        <v>4567</v>
      </c>
      <c r="L187" s="105" t="str">
        <f t="shared" si="20"/>
        <v>Brown</v>
      </c>
      <c r="M187" s="105" t="str">
        <f t="shared" si="21"/>
        <v>Outage</v>
      </c>
      <c r="N187" s="105" t="str">
        <f t="shared" si="22"/>
        <v>Coal</v>
      </c>
      <c r="O187" s="105">
        <f>IFERROR(VLOOKUP(A187,Lookup!$J$5:$P$19,7,FALSE),0)</f>
        <v>1</v>
      </c>
      <c r="P187" s="159">
        <f t="shared" si="23"/>
        <v>2017</v>
      </c>
      <c r="Q187" s="159">
        <f t="shared" si="24"/>
        <v>11</v>
      </c>
      <c r="R187" s="160">
        <f t="shared" si="25"/>
        <v>17.733333333337214</v>
      </c>
      <c r="S187" s="158">
        <f t="shared" si="26"/>
        <v>17.733333333337214</v>
      </c>
      <c r="T187" s="161">
        <f t="shared" si="27"/>
        <v>1897.4666666670819</v>
      </c>
      <c r="U187" s="158">
        <f t="shared" si="29"/>
        <v>107</v>
      </c>
      <c r="V187" s="160">
        <f t="shared" si="28"/>
        <v>107</v>
      </c>
    </row>
    <row r="188" spans="1:22" x14ac:dyDescent="0.25">
      <c r="A188" s="98" t="s">
        <v>21</v>
      </c>
      <c r="B188" s="98" t="s">
        <v>15</v>
      </c>
      <c r="C188" s="98">
        <v>27</v>
      </c>
      <c r="D188" s="98">
        <v>3641</v>
      </c>
      <c r="E188" s="157">
        <v>43099.727083333331</v>
      </c>
      <c r="F188" s="157">
        <v>43101</v>
      </c>
      <c r="H188" s="98">
        <v>114</v>
      </c>
      <c r="I188" s="98">
        <v>107</v>
      </c>
      <c r="J188" s="98" t="s">
        <v>2167</v>
      </c>
      <c r="K188" s="98" t="s">
        <v>4568</v>
      </c>
      <c r="L188" s="105" t="str">
        <f t="shared" si="20"/>
        <v>Brown</v>
      </c>
      <c r="M188" s="105" t="str">
        <f t="shared" si="21"/>
        <v>Outage</v>
      </c>
      <c r="N188" s="105" t="str">
        <f t="shared" si="22"/>
        <v>Coal</v>
      </c>
      <c r="O188" s="105">
        <f>IFERROR(VLOOKUP(A188,Lookup!$J$5:$P$19,7,FALSE),0)</f>
        <v>1</v>
      </c>
      <c r="P188" s="159">
        <f t="shared" si="23"/>
        <v>2017</v>
      </c>
      <c r="Q188" s="159">
        <f t="shared" si="24"/>
        <v>12</v>
      </c>
      <c r="R188" s="160">
        <f t="shared" si="25"/>
        <v>30.550000000046566</v>
      </c>
      <c r="S188" s="158">
        <f t="shared" si="26"/>
        <v>30.550000000046566</v>
      </c>
      <c r="T188" s="161">
        <f t="shared" si="27"/>
        <v>3268.8500000049826</v>
      </c>
      <c r="U188" s="158">
        <f t="shared" si="29"/>
        <v>107</v>
      </c>
      <c r="V188" s="160">
        <f t="shared" si="28"/>
        <v>107</v>
      </c>
    </row>
    <row r="189" spans="1:22" x14ac:dyDescent="0.25">
      <c r="A189" s="98" t="s">
        <v>21</v>
      </c>
      <c r="B189" s="98" t="s">
        <v>15</v>
      </c>
      <c r="C189" s="98">
        <v>1</v>
      </c>
      <c r="D189" s="98">
        <v>3641</v>
      </c>
      <c r="E189" s="157">
        <v>43101</v>
      </c>
      <c r="F189" s="157">
        <v>43101.555555555555</v>
      </c>
      <c r="G189" s="98">
        <v>0</v>
      </c>
      <c r="H189" s="98">
        <v>114</v>
      </c>
      <c r="I189" s="98">
        <v>107</v>
      </c>
      <c r="J189" s="98" t="s">
        <v>2167</v>
      </c>
      <c r="K189" s="98" t="s">
        <v>4568</v>
      </c>
      <c r="L189" s="105" t="str">
        <f t="shared" si="20"/>
        <v>Brown</v>
      </c>
      <c r="M189" s="105" t="str">
        <f t="shared" si="21"/>
        <v>Outage</v>
      </c>
      <c r="N189" s="105" t="str">
        <f t="shared" si="22"/>
        <v>Coal</v>
      </c>
      <c r="O189" s="105">
        <f>IFERROR(VLOOKUP(A189,Lookup!$J$5:$P$19,7,FALSE),0)</f>
        <v>1</v>
      </c>
      <c r="P189" s="159">
        <f t="shared" si="23"/>
        <v>2018</v>
      </c>
      <c r="Q189" s="159">
        <f t="shared" si="24"/>
        <v>1</v>
      </c>
      <c r="R189" s="160">
        <f t="shared" si="25"/>
        <v>13.333333333313931</v>
      </c>
      <c r="S189" s="158">
        <f t="shared" si="26"/>
        <v>13.333333333313931</v>
      </c>
      <c r="T189" s="161">
        <f t="shared" si="27"/>
        <v>1426.6666666645906</v>
      </c>
      <c r="U189" s="158">
        <f t="shared" si="29"/>
        <v>107</v>
      </c>
      <c r="V189" s="160">
        <f t="shared" si="28"/>
        <v>107</v>
      </c>
    </row>
    <row r="190" spans="1:22" x14ac:dyDescent="0.25">
      <c r="A190" s="98" t="s">
        <v>21</v>
      </c>
      <c r="B190" s="98" t="s">
        <v>79</v>
      </c>
      <c r="C190" s="98">
        <v>2</v>
      </c>
      <c r="D190" s="98">
        <v>920</v>
      </c>
      <c r="E190" s="157">
        <v>43104</v>
      </c>
      <c r="F190" s="157">
        <v>43104.22152777778</v>
      </c>
      <c r="G190" s="98">
        <v>0</v>
      </c>
      <c r="H190" s="98">
        <v>114</v>
      </c>
      <c r="I190" s="98">
        <v>107</v>
      </c>
      <c r="J190" s="98" t="s">
        <v>1974</v>
      </c>
      <c r="K190" s="98" t="s">
        <v>4569</v>
      </c>
      <c r="L190" s="105" t="str">
        <f t="shared" si="20"/>
        <v>Brown</v>
      </c>
      <c r="M190" s="105" t="str">
        <f t="shared" si="21"/>
        <v>Other</v>
      </c>
      <c r="N190" s="105" t="str">
        <f t="shared" si="22"/>
        <v>Coal</v>
      </c>
      <c r="O190" s="105">
        <f>IFERROR(VLOOKUP(A190,Lookup!$J$5:$P$19,7,FALSE),0)</f>
        <v>1</v>
      </c>
      <c r="P190" s="159">
        <f t="shared" si="23"/>
        <v>2018</v>
      </c>
      <c r="Q190" s="159">
        <f t="shared" si="24"/>
        <v>1</v>
      </c>
      <c r="R190" s="160">
        <f t="shared" si="25"/>
        <v>5.3166666667093523</v>
      </c>
      <c r="S190" s="158">
        <f t="shared" si="26"/>
        <v>5.3166666667093523</v>
      </c>
      <c r="T190" s="161">
        <f t="shared" si="27"/>
        <v>568.88333333790069</v>
      </c>
      <c r="U190" s="158">
        <f t="shared" si="29"/>
        <v>107</v>
      </c>
      <c r="V190" s="160">
        <f t="shared" si="28"/>
        <v>107</v>
      </c>
    </row>
    <row r="191" spans="1:22" x14ac:dyDescent="0.25">
      <c r="A191" s="98" t="s">
        <v>21</v>
      </c>
      <c r="B191" s="98" t="s">
        <v>17</v>
      </c>
      <c r="C191" s="98">
        <v>3</v>
      </c>
      <c r="D191" s="98">
        <v>920</v>
      </c>
      <c r="E191" s="157">
        <v>43104.22152777778</v>
      </c>
      <c r="F191" s="157">
        <v>43104.368055555555</v>
      </c>
      <c r="G191" s="98">
        <v>50</v>
      </c>
      <c r="H191" s="98">
        <v>114</v>
      </c>
      <c r="I191" s="98">
        <v>107</v>
      </c>
      <c r="J191" s="98" t="s">
        <v>1974</v>
      </c>
      <c r="K191" s="98" t="s">
        <v>4569</v>
      </c>
      <c r="L191" s="105" t="str">
        <f t="shared" si="20"/>
        <v>Brown</v>
      </c>
      <c r="M191" s="105" t="str">
        <f t="shared" si="21"/>
        <v>Derate</v>
      </c>
      <c r="N191" s="105" t="str">
        <f t="shared" si="22"/>
        <v>Coal</v>
      </c>
      <c r="O191" s="105">
        <f>IFERROR(VLOOKUP(A191,Lookup!$J$5:$P$19,7,FALSE),0)</f>
        <v>1</v>
      </c>
      <c r="P191" s="159">
        <f t="shared" si="23"/>
        <v>2018</v>
      </c>
      <c r="Q191" s="159">
        <f t="shared" si="24"/>
        <v>1</v>
      </c>
      <c r="R191" s="160">
        <f t="shared" si="25"/>
        <v>3.5166666666045785</v>
      </c>
      <c r="S191" s="158">
        <f t="shared" si="26"/>
        <v>1.9742690058130967</v>
      </c>
      <c r="T191" s="161">
        <f t="shared" si="27"/>
        <v>211.24678362200135</v>
      </c>
      <c r="U191" s="158">
        <f t="shared" si="29"/>
        <v>60.070175438596493</v>
      </c>
      <c r="V191" s="160">
        <f t="shared" si="28"/>
        <v>60</v>
      </c>
    </row>
    <row r="192" spans="1:22" x14ac:dyDescent="0.25">
      <c r="A192" s="98" t="s">
        <v>21</v>
      </c>
      <c r="B192" s="98" t="s">
        <v>79</v>
      </c>
      <c r="C192" s="98">
        <v>4</v>
      </c>
      <c r="D192" s="98">
        <v>9200</v>
      </c>
      <c r="E192" s="157">
        <v>43105.45416666667</v>
      </c>
      <c r="F192" s="157">
        <v>43108.82708333333</v>
      </c>
      <c r="G192" s="98">
        <v>0</v>
      </c>
      <c r="H192" s="98">
        <v>114</v>
      </c>
      <c r="I192" s="98">
        <v>107</v>
      </c>
      <c r="J192" s="98" t="s">
        <v>4570</v>
      </c>
      <c r="K192" s="98" t="s">
        <v>4571</v>
      </c>
      <c r="L192" s="105" t="str">
        <f t="shared" si="20"/>
        <v>Brown</v>
      </c>
      <c r="M192" s="105" t="str">
        <f t="shared" si="21"/>
        <v>Other</v>
      </c>
      <c r="N192" s="105" t="str">
        <f t="shared" si="22"/>
        <v>Coal</v>
      </c>
      <c r="O192" s="105">
        <f>IFERROR(VLOOKUP(A192,Lookup!$J$5:$P$19,7,FALSE),0)</f>
        <v>1</v>
      </c>
      <c r="P192" s="159">
        <f t="shared" si="23"/>
        <v>2018</v>
      </c>
      <c r="Q192" s="159">
        <f t="shared" si="24"/>
        <v>1</v>
      </c>
      <c r="R192" s="160">
        <f t="shared" si="25"/>
        <v>80.949999999837019</v>
      </c>
      <c r="S192" s="158">
        <f t="shared" si="26"/>
        <v>80.949999999837019</v>
      </c>
      <c r="T192" s="161">
        <f t="shared" si="27"/>
        <v>8661.649999982561</v>
      </c>
      <c r="U192" s="158">
        <f t="shared" si="29"/>
        <v>107</v>
      </c>
      <c r="V192" s="160">
        <f t="shared" si="28"/>
        <v>107</v>
      </c>
    </row>
    <row r="193" spans="1:22" x14ac:dyDescent="0.25">
      <c r="A193" s="98" t="s">
        <v>21</v>
      </c>
      <c r="B193" s="98" t="s">
        <v>20</v>
      </c>
      <c r="C193" s="98">
        <v>5</v>
      </c>
      <c r="D193" s="98">
        <v>8560</v>
      </c>
      <c r="E193" s="157">
        <v>43108.82708333333</v>
      </c>
      <c r="F193" s="157">
        <v>43109.556944444441</v>
      </c>
      <c r="G193" s="98">
        <v>0</v>
      </c>
      <c r="H193" s="98">
        <v>114</v>
      </c>
      <c r="I193" s="98">
        <v>107</v>
      </c>
      <c r="J193" s="98" t="s">
        <v>1971</v>
      </c>
      <c r="K193" s="98" t="s">
        <v>4572</v>
      </c>
      <c r="L193" s="105" t="str">
        <f t="shared" si="20"/>
        <v>Brown</v>
      </c>
      <c r="M193" s="105" t="str">
        <f t="shared" si="21"/>
        <v>Maintenance</v>
      </c>
      <c r="N193" s="105" t="str">
        <f t="shared" si="22"/>
        <v>Coal</v>
      </c>
      <c r="O193" s="105">
        <f>IFERROR(VLOOKUP(A193,Lookup!$J$5:$P$19,7,FALSE),0)</f>
        <v>1</v>
      </c>
      <c r="P193" s="159">
        <f t="shared" si="23"/>
        <v>2018</v>
      </c>
      <c r="Q193" s="159">
        <f t="shared" si="24"/>
        <v>1</v>
      </c>
      <c r="R193" s="160">
        <f t="shared" si="25"/>
        <v>17.516666666662786</v>
      </c>
      <c r="S193" s="158">
        <f t="shared" si="26"/>
        <v>17.516666666662786</v>
      </c>
      <c r="T193" s="161">
        <f t="shared" si="27"/>
        <v>1874.2833333329181</v>
      </c>
      <c r="U193" s="158">
        <f t="shared" si="29"/>
        <v>107</v>
      </c>
      <c r="V193" s="160">
        <f t="shared" si="28"/>
        <v>107</v>
      </c>
    </row>
    <row r="194" spans="1:22" x14ac:dyDescent="0.25">
      <c r="A194" s="98" t="s">
        <v>21</v>
      </c>
      <c r="B194" s="98" t="s">
        <v>20</v>
      </c>
      <c r="C194" s="98">
        <v>7</v>
      </c>
      <c r="D194" s="98">
        <v>1000</v>
      </c>
      <c r="E194" s="157">
        <v>43123.879861111112</v>
      </c>
      <c r="F194" s="157">
        <v>43124.913194444445</v>
      </c>
      <c r="G194" s="98">
        <v>0</v>
      </c>
      <c r="H194" s="98">
        <v>114</v>
      </c>
      <c r="I194" s="98">
        <v>107</v>
      </c>
      <c r="J194" s="98" t="s">
        <v>2002</v>
      </c>
      <c r="K194" s="98" t="s">
        <v>4573</v>
      </c>
      <c r="L194" s="105" t="str">
        <f t="shared" ref="L194:L197" si="30">IF(OR(A194="BR1",A194="BR2",A194="BR3",A194="BR5",A194="BR6",A194="BR7",A194="BR8",A194="BR9",A194="BR10",A194="BR11"),"Brown",IF(OR(A194="CR4",A194="CR5",A194="CR6",A194="CR11"),"Cane Run",IF(OR(A194="GH1",A194="GH2",A194="GH3",A194="GH4"),"Ghent",IF(OR(A194="GR3",A194="GR4"),"Green River",IF(OR(A194="MC1",A194="MC2",A194="MC3",A194="MC4"),"Mill Creek",IF(OR(A194="TC1",A194="TC2",A194="TC5",A194="TC6",A194="TC7",A194="TC8",A194="TC9",A194="TC10"),"Trimble",IF(A194="TY3","Tyrone",IF(OR(A194="HA1",A194="HA2",A194="HA3"),"Haeflin",IF(OR(A194="PR11",A194="PR12",A194="PR13"),"Paddy's Run","Zorn")))))))))</f>
        <v>Brown</v>
      </c>
      <c r="M194" s="105" t="str">
        <f t="shared" ref="M194:M197" si="31">IF(OR(B194="D1",B194="D2",B194="D3",B194="D4",B194="PD"),"Derate",IF(OR(B194="SF",B194="U1",B194="U2",B194="U3"),"Outage",IF(OR(B194="ME",B194="MO"),"Maintenance","Other")))</f>
        <v>Maintenance</v>
      </c>
      <c r="N194" s="105" t="str">
        <f t="shared" ref="N194:N197" si="32">IF(OR(A194="BR1",A194="BR2",A194="BR3",A194="CR4",A194="CR5",A194="CR6",A194="GH1",A194="GH2",A194="GH3",A194="GH4",A194="GR3",A194="GR4",A194="MC1",A194="MC2",A194="MC3",A194="MC4",A194="TC1",A194="TC2",A194="TY3"),"Coal","Gas")</f>
        <v>Coal</v>
      </c>
      <c r="O194" s="105">
        <f>IFERROR(VLOOKUP(A194,Lookup!$J$5:$P$19,7,FALSE),0)</f>
        <v>1</v>
      </c>
      <c r="P194" s="159">
        <f t="shared" ref="P194:P197" si="33">YEAR(E194)</f>
        <v>2018</v>
      </c>
      <c r="Q194" s="159">
        <f t="shared" ref="Q194:Q197" si="34">MONTH(E194)</f>
        <v>1</v>
      </c>
      <c r="R194" s="160">
        <f t="shared" ref="R194:R197" si="35">(F194-E194)*24</f>
        <v>24.799999999988358</v>
      </c>
      <c r="S194" s="158">
        <f t="shared" ref="S194:S197" si="36">R194*(H194-G194)/H194</f>
        <v>24.799999999988358</v>
      </c>
      <c r="T194" s="161">
        <f t="shared" ref="T194:T197" si="37">S194*I194</f>
        <v>2653.5999999987544</v>
      </c>
      <c r="U194" s="158">
        <f t="shared" si="29"/>
        <v>107</v>
      </c>
      <c r="V194" s="160">
        <f t="shared" ref="V194:V197" si="38">ROUND(U194,0)</f>
        <v>107</v>
      </c>
    </row>
    <row r="195" spans="1:22" x14ac:dyDescent="0.25">
      <c r="A195" s="98" t="s">
        <v>21</v>
      </c>
      <c r="B195" s="98" t="s">
        <v>15</v>
      </c>
      <c r="C195" s="98">
        <v>9</v>
      </c>
      <c r="D195" s="98">
        <v>4284</v>
      </c>
      <c r="E195" s="157">
        <v>43131.638194444444</v>
      </c>
      <c r="F195" s="157">
        <v>43132.818749999999</v>
      </c>
      <c r="G195" s="98">
        <v>0</v>
      </c>
      <c r="H195" s="98">
        <v>114</v>
      </c>
      <c r="I195" s="98">
        <v>107</v>
      </c>
      <c r="J195" s="98" t="s">
        <v>4574</v>
      </c>
      <c r="K195" s="98" t="s">
        <v>4575</v>
      </c>
      <c r="L195" s="105" t="str">
        <f t="shared" si="30"/>
        <v>Brown</v>
      </c>
      <c r="M195" s="105" t="str">
        <f t="shared" si="31"/>
        <v>Outage</v>
      </c>
      <c r="N195" s="105" t="str">
        <f t="shared" si="32"/>
        <v>Coal</v>
      </c>
      <c r="O195" s="105">
        <f>IFERROR(VLOOKUP(A195,Lookup!$J$5:$P$19,7,FALSE),0)</f>
        <v>1</v>
      </c>
      <c r="P195" s="159">
        <f t="shared" si="33"/>
        <v>2018</v>
      </c>
      <c r="Q195" s="159">
        <f t="shared" si="34"/>
        <v>1</v>
      </c>
      <c r="R195" s="160">
        <f t="shared" si="35"/>
        <v>28.333333333313931</v>
      </c>
      <c r="S195" s="158">
        <f t="shared" si="36"/>
        <v>28.333333333313931</v>
      </c>
      <c r="T195" s="161">
        <f t="shared" si="37"/>
        <v>3031.6666666645906</v>
      </c>
      <c r="U195" s="158">
        <f t="shared" ref="U195:U197" si="39">IF(G195&gt;0,MAX((H195-G195),0)*I195/H195,I195)</f>
        <v>107</v>
      </c>
      <c r="V195" s="160">
        <f t="shared" si="38"/>
        <v>107</v>
      </c>
    </row>
    <row r="196" spans="1:22" x14ac:dyDescent="0.25">
      <c r="A196" s="98" t="s">
        <v>21</v>
      </c>
      <c r="B196" s="98" t="s">
        <v>18</v>
      </c>
      <c r="C196" s="98">
        <v>11</v>
      </c>
      <c r="D196" s="98">
        <v>4290</v>
      </c>
      <c r="E196" s="157">
        <v>43161.291666666664</v>
      </c>
      <c r="F196" s="157">
        <v>43161.501388888886</v>
      </c>
      <c r="G196" s="98">
        <v>0</v>
      </c>
      <c r="H196" s="98">
        <v>114</v>
      </c>
      <c r="I196" s="98">
        <v>107</v>
      </c>
      <c r="J196" s="98" t="s">
        <v>4576</v>
      </c>
      <c r="K196" s="98" t="s">
        <v>4577</v>
      </c>
      <c r="L196" s="105" t="str">
        <f t="shared" si="30"/>
        <v>Brown</v>
      </c>
      <c r="M196" s="105" t="str">
        <f t="shared" si="31"/>
        <v>Outage</v>
      </c>
      <c r="N196" s="105" t="str">
        <f t="shared" si="32"/>
        <v>Coal</v>
      </c>
      <c r="O196" s="105">
        <f>IFERROR(VLOOKUP(A196,Lookup!$J$5:$P$19,7,FALSE),0)</f>
        <v>1</v>
      </c>
      <c r="P196" s="159">
        <f t="shared" si="33"/>
        <v>2018</v>
      </c>
      <c r="Q196" s="159">
        <f t="shared" si="34"/>
        <v>3</v>
      </c>
      <c r="R196" s="160">
        <f t="shared" si="35"/>
        <v>5.0333333333255723</v>
      </c>
      <c r="S196" s="158">
        <f t="shared" si="36"/>
        <v>5.0333333333255723</v>
      </c>
      <c r="T196" s="161">
        <f t="shared" si="37"/>
        <v>538.56666666583624</v>
      </c>
      <c r="U196" s="158">
        <f t="shared" si="39"/>
        <v>107</v>
      </c>
      <c r="V196" s="160">
        <f t="shared" si="38"/>
        <v>107</v>
      </c>
    </row>
    <row r="197" spans="1:22" x14ac:dyDescent="0.25">
      <c r="A197" s="98" t="s">
        <v>21</v>
      </c>
      <c r="B197" s="98" t="s">
        <v>15</v>
      </c>
      <c r="C197" s="98">
        <v>12</v>
      </c>
      <c r="D197" s="98">
        <v>780</v>
      </c>
      <c r="E197" s="157">
        <v>43168.286111111112</v>
      </c>
      <c r="F197" s="157">
        <v>43173.433333333334</v>
      </c>
      <c r="G197" s="98">
        <v>0</v>
      </c>
      <c r="H197" s="98">
        <v>114</v>
      </c>
      <c r="I197" s="98">
        <v>107</v>
      </c>
      <c r="J197" s="98" t="s">
        <v>4062</v>
      </c>
      <c r="K197" s="98" t="s">
        <v>4578</v>
      </c>
      <c r="L197" s="105" t="str">
        <f t="shared" si="30"/>
        <v>Brown</v>
      </c>
      <c r="M197" s="105" t="str">
        <f t="shared" si="31"/>
        <v>Outage</v>
      </c>
      <c r="N197" s="105" t="str">
        <f t="shared" si="32"/>
        <v>Coal</v>
      </c>
      <c r="O197" s="105">
        <f>IFERROR(VLOOKUP(A197,Lookup!$J$5:$P$19,7,FALSE),0)</f>
        <v>1</v>
      </c>
      <c r="P197" s="159">
        <f t="shared" si="33"/>
        <v>2018</v>
      </c>
      <c r="Q197" s="159">
        <f t="shared" si="34"/>
        <v>3</v>
      </c>
      <c r="R197" s="160">
        <f t="shared" si="35"/>
        <v>123.53333333332557</v>
      </c>
      <c r="S197" s="158">
        <f t="shared" si="36"/>
        <v>123.53333333332557</v>
      </c>
      <c r="T197" s="161">
        <f t="shared" si="37"/>
        <v>13218.066666665836</v>
      </c>
      <c r="U197" s="158">
        <f t="shared" si="39"/>
        <v>107</v>
      </c>
      <c r="V197" s="160">
        <f t="shared" si="38"/>
        <v>107</v>
      </c>
    </row>
    <row r="198" spans="1:22" x14ac:dyDescent="0.25">
      <c r="A198" s="98" t="s">
        <v>22</v>
      </c>
      <c r="B198" s="98" t="s">
        <v>32</v>
      </c>
      <c r="C198" s="98">
        <v>1</v>
      </c>
      <c r="D198" s="98">
        <v>310</v>
      </c>
      <c r="E198" s="157">
        <v>41278.541666666664</v>
      </c>
      <c r="F198" s="157">
        <v>41278.645833333336</v>
      </c>
      <c r="G198" s="98">
        <v>123</v>
      </c>
      <c r="H198" s="98">
        <v>179</v>
      </c>
      <c r="I198" s="98">
        <v>167</v>
      </c>
      <c r="J198" s="98" t="s">
        <v>1966</v>
      </c>
      <c r="K198" s="98" t="s">
        <v>318</v>
      </c>
      <c r="L198" s="105" t="str">
        <f t="shared" ref="L198:L211" si="40">IF(OR(A198="BR1",A198="BR2",A198="BR3",A198="BR5",A198="BR6",A198="BR7",A198="BR8",A198="BR9",A198="BR10",A198="BR11"),"Brown",IF(OR(A198="CR4",A198="CR5",A198="CR6",A198="CR11"),"Cane Run",IF(OR(A198="GH1",A198="GH2",A198="GH3",A198="GH4"),"Ghent",IF(OR(A198="GR3",A198="GR4"),"Green River",IF(OR(A198="MC1",A198="MC2",A198="MC3",A198="MC4"),"Mill Creek",IF(OR(A198="TC1",A198="TC2",A198="TC5",A198="TC6",A198="TC7",A198="TC8",A198="TC9",A198="TC10"),"Trimble",IF(A198="TY3","Tyrone",IF(OR(A198="HA1",A198="HA2",A198="HA3"),"Haeflin",IF(OR(A198="PR11",A198="PR12",A198="PR13"),"Paddy's Run","Zorn")))))))))</f>
        <v>Brown</v>
      </c>
      <c r="M198" s="105" t="str">
        <f t="shared" ref="M198:M211" si="41">IF(OR(B198="D1",B198="D2",B198="D3",B198="D4",B198="PD"),"Derate",IF(OR(B198="SF",B198="U1",B198="U2",B198="U3"),"Outage",IF(OR(B198="ME",B198="MO"),"Maintenance","Other")))</f>
        <v>Derate</v>
      </c>
      <c r="N198" s="105" t="str">
        <f t="shared" ref="N198:N211" si="42">IF(OR(A198="BR1",A198="BR2",A198="BR3",A198="CR4",A198="CR5",A198="CR6",A198="GH1",A198="GH2",A198="GH3",A198="GH4",A198="GR3",A198="GR4",A198="MC1",A198="MC2",A198="MC3",A198="MC4",A198="TC1",A198="TC2",A198="TY3"),"Coal","Gas")</f>
        <v>Coal</v>
      </c>
      <c r="O198" s="105">
        <f>IFERROR(VLOOKUP(A198,Lookup!$J$5:$P$19,7,FALSE),0)</f>
        <v>2</v>
      </c>
      <c r="P198" s="159">
        <f t="shared" ref="P198:P211" si="43">YEAR(E198)</f>
        <v>2013</v>
      </c>
      <c r="Q198" s="159">
        <f t="shared" ref="Q198:Q211" si="44">MONTH(E198)</f>
        <v>1</v>
      </c>
      <c r="R198" s="160">
        <f t="shared" ref="R198:R211" si="45">(F198-E198)*24</f>
        <v>2.5000000001164153</v>
      </c>
      <c r="S198" s="158">
        <f t="shared" ref="S198:S211" si="46">R198*(H198-G198)/H198</f>
        <v>0.78212290506435345</v>
      </c>
      <c r="T198" s="161">
        <f t="shared" ref="T198:T211" si="47">S198*I198</f>
        <v>130.61452514574702</v>
      </c>
      <c r="U198" s="158">
        <f t="shared" ref="U198:U212" si="48">IF(G198&gt;0,MAX((H198-G198),0)*I198/H198,I198)</f>
        <v>52.245810055865924</v>
      </c>
      <c r="V198" s="160">
        <f t="shared" ref="V198:V211" si="49">ROUND(U198,0)</f>
        <v>52</v>
      </c>
    </row>
    <row r="199" spans="1:22" x14ac:dyDescent="0.25">
      <c r="A199" s="98" t="s">
        <v>22</v>
      </c>
      <c r="B199" s="98" t="s">
        <v>15</v>
      </c>
      <c r="C199" s="98">
        <v>2</v>
      </c>
      <c r="D199" s="98">
        <v>4601</v>
      </c>
      <c r="E199" s="157">
        <v>41283.456250000003</v>
      </c>
      <c r="F199" s="157">
        <v>41283.972222222219</v>
      </c>
      <c r="G199" s="98">
        <v>0</v>
      </c>
      <c r="H199" s="98">
        <v>179</v>
      </c>
      <c r="I199" s="98">
        <v>167</v>
      </c>
      <c r="J199" s="98" t="s">
        <v>2118</v>
      </c>
      <c r="K199" s="98" t="s">
        <v>319</v>
      </c>
      <c r="L199" s="105" t="str">
        <f t="shared" si="40"/>
        <v>Brown</v>
      </c>
      <c r="M199" s="105" t="str">
        <f t="shared" si="41"/>
        <v>Outage</v>
      </c>
      <c r="N199" s="105" t="str">
        <f t="shared" si="42"/>
        <v>Coal</v>
      </c>
      <c r="O199" s="105">
        <f>IFERROR(VLOOKUP(A199,Lookup!$J$5:$P$19,7,FALSE),0)</f>
        <v>2</v>
      </c>
      <c r="P199" s="159">
        <f t="shared" si="43"/>
        <v>2013</v>
      </c>
      <c r="Q199" s="159">
        <f t="shared" si="44"/>
        <v>1</v>
      </c>
      <c r="R199" s="160">
        <f t="shared" si="45"/>
        <v>12.383333333185874</v>
      </c>
      <c r="S199" s="158">
        <f t="shared" si="46"/>
        <v>12.383333333185874</v>
      </c>
      <c r="T199" s="161">
        <f t="shared" si="47"/>
        <v>2068.0166666420409</v>
      </c>
      <c r="U199" s="158">
        <f t="shared" si="48"/>
        <v>167</v>
      </c>
      <c r="V199" s="160">
        <f t="shared" si="49"/>
        <v>167</v>
      </c>
    </row>
    <row r="200" spans="1:22" x14ac:dyDescent="0.25">
      <c r="A200" s="98" t="s">
        <v>22</v>
      </c>
      <c r="B200" s="98" t="s">
        <v>32</v>
      </c>
      <c r="C200" s="98">
        <v>3</v>
      </c>
      <c r="D200" s="98">
        <v>255</v>
      </c>
      <c r="E200" s="157">
        <v>41285.416666666664</v>
      </c>
      <c r="F200" s="157">
        <v>41285.569444444445</v>
      </c>
      <c r="G200" s="98">
        <v>135</v>
      </c>
      <c r="H200" s="98">
        <v>179</v>
      </c>
      <c r="I200" s="98">
        <v>167</v>
      </c>
      <c r="J200" s="98" t="s">
        <v>2124</v>
      </c>
      <c r="K200" s="98" t="s">
        <v>320</v>
      </c>
      <c r="L200" s="105" t="str">
        <f t="shared" si="40"/>
        <v>Brown</v>
      </c>
      <c r="M200" s="105" t="str">
        <f t="shared" si="41"/>
        <v>Derate</v>
      </c>
      <c r="N200" s="105" t="str">
        <f t="shared" si="42"/>
        <v>Coal</v>
      </c>
      <c r="O200" s="105">
        <f>IFERROR(VLOOKUP(A200,Lookup!$J$5:$P$19,7,FALSE),0)</f>
        <v>2</v>
      </c>
      <c r="P200" s="159">
        <f t="shared" si="43"/>
        <v>2013</v>
      </c>
      <c r="Q200" s="159">
        <f t="shared" si="44"/>
        <v>1</v>
      </c>
      <c r="R200" s="160">
        <f t="shared" si="45"/>
        <v>3.6666666667442769</v>
      </c>
      <c r="S200" s="158">
        <f t="shared" si="46"/>
        <v>0.9013035381941239</v>
      </c>
      <c r="T200" s="161">
        <f t="shared" si="47"/>
        <v>150.5176908784187</v>
      </c>
      <c r="U200" s="158">
        <f t="shared" si="48"/>
        <v>41.050279329608941</v>
      </c>
      <c r="V200" s="160">
        <f t="shared" si="49"/>
        <v>41</v>
      </c>
    </row>
    <row r="201" spans="1:22" x14ac:dyDescent="0.25">
      <c r="A201" s="98" t="s">
        <v>22</v>
      </c>
      <c r="B201" s="98" t="s">
        <v>17</v>
      </c>
      <c r="C201" s="98">
        <v>4</v>
      </c>
      <c r="D201" s="98">
        <v>9270</v>
      </c>
      <c r="E201" s="157">
        <v>41288.879166666666</v>
      </c>
      <c r="F201" s="157">
        <v>41289.006944444445</v>
      </c>
      <c r="G201" s="98">
        <v>130</v>
      </c>
      <c r="H201" s="98">
        <v>179</v>
      </c>
      <c r="I201" s="98">
        <v>167</v>
      </c>
      <c r="J201" s="98" t="s">
        <v>2006</v>
      </c>
      <c r="K201" s="98" t="s">
        <v>321</v>
      </c>
      <c r="L201" s="105" t="str">
        <f t="shared" si="40"/>
        <v>Brown</v>
      </c>
      <c r="M201" s="105" t="str">
        <f t="shared" si="41"/>
        <v>Derate</v>
      </c>
      <c r="N201" s="105" t="str">
        <f t="shared" si="42"/>
        <v>Coal</v>
      </c>
      <c r="O201" s="105">
        <f>IFERROR(VLOOKUP(A201,Lookup!$J$5:$P$19,7,FALSE),0)</f>
        <v>2</v>
      </c>
      <c r="P201" s="159">
        <f t="shared" si="43"/>
        <v>2013</v>
      </c>
      <c r="Q201" s="159">
        <f t="shared" si="44"/>
        <v>1</v>
      </c>
      <c r="R201" s="160">
        <f t="shared" si="45"/>
        <v>3.0666666667093523</v>
      </c>
      <c r="S201" s="158">
        <f t="shared" si="46"/>
        <v>0.83947858474166626</v>
      </c>
      <c r="T201" s="161">
        <f t="shared" si="47"/>
        <v>140.19292365185825</v>
      </c>
      <c r="U201" s="158">
        <f t="shared" si="48"/>
        <v>45.715083798882681</v>
      </c>
      <c r="V201" s="160">
        <f t="shared" si="49"/>
        <v>46</v>
      </c>
    </row>
    <row r="202" spans="1:22" x14ac:dyDescent="0.25">
      <c r="A202" s="98" t="s">
        <v>22</v>
      </c>
      <c r="B202" s="98" t="s">
        <v>17</v>
      </c>
      <c r="C202" s="98">
        <v>5</v>
      </c>
      <c r="D202" s="98">
        <v>1700</v>
      </c>
      <c r="E202" s="157">
        <v>41290.243055555555</v>
      </c>
      <c r="F202" s="157">
        <v>41290.283333333333</v>
      </c>
      <c r="G202" s="98">
        <v>135</v>
      </c>
      <c r="H202" s="98">
        <v>179</v>
      </c>
      <c r="I202" s="98">
        <v>167</v>
      </c>
      <c r="J202" s="98" t="s">
        <v>2036</v>
      </c>
      <c r="K202" s="98" t="s">
        <v>322</v>
      </c>
      <c r="L202" s="105" t="str">
        <f t="shared" si="40"/>
        <v>Brown</v>
      </c>
      <c r="M202" s="105" t="str">
        <f t="shared" si="41"/>
        <v>Derate</v>
      </c>
      <c r="N202" s="105" t="str">
        <f t="shared" si="42"/>
        <v>Coal</v>
      </c>
      <c r="O202" s="105">
        <f>IFERROR(VLOOKUP(A202,Lookup!$J$5:$P$19,7,FALSE),0)</f>
        <v>2</v>
      </c>
      <c r="P202" s="159">
        <f t="shared" si="43"/>
        <v>2013</v>
      </c>
      <c r="Q202" s="159">
        <f t="shared" si="44"/>
        <v>1</v>
      </c>
      <c r="R202" s="160">
        <f t="shared" si="45"/>
        <v>0.96666666667442769</v>
      </c>
      <c r="S202" s="158">
        <f t="shared" si="46"/>
        <v>0.23761638733896548</v>
      </c>
      <c r="T202" s="161">
        <f t="shared" si="47"/>
        <v>39.681936685607234</v>
      </c>
      <c r="U202" s="158">
        <f t="shared" si="48"/>
        <v>41.050279329608941</v>
      </c>
      <c r="V202" s="160">
        <f t="shared" si="49"/>
        <v>41</v>
      </c>
    </row>
    <row r="203" spans="1:22" x14ac:dyDescent="0.25">
      <c r="A203" s="98" t="s">
        <v>22</v>
      </c>
      <c r="B203" s="98" t="s">
        <v>17</v>
      </c>
      <c r="C203" s="98">
        <v>6</v>
      </c>
      <c r="D203" s="98">
        <v>1700</v>
      </c>
      <c r="E203" s="157">
        <v>41290.854166666664</v>
      </c>
      <c r="F203" s="157">
        <v>41290.894444444442</v>
      </c>
      <c r="G203" s="98">
        <v>100</v>
      </c>
      <c r="H203" s="98">
        <v>179</v>
      </c>
      <c r="I203" s="98">
        <v>167</v>
      </c>
      <c r="J203" s="98" t="s">
        <v>2036</v>
      </c>
      <c r="K203" s="98" t="s">
        <v>322</v>
      </c>
      <c r="L203" s="105" t="str">
        <f t="shared" si="40"/>
        <v>Brown</v>
      </c>
      <c r="M203" s="105" t="str">
        <f t="shared" si="41"/>
        <v>Derate</v>
      </c>
      <c r="N203" s="105" t="str">
        <f t="shared" si="42"/>
        <v>Coal</v>
      </c>
      <c r="O203" s="105">
        <f>IFERROR(VLOOKUP(A203,Lookup!$J$5:$P$19,7,FALSE),0)</f>
        <v>2</v>
      </c>
      <c r="P203" s="159">
        <f t="shared" si="43"/>
        <v>2013</v>
      </c>
      <c r="Q203" s="159">
        <f t="shared" si="44"/>
        <v>1</v>
      </c>
      <c r="R203" s="160">
        <f t="shared" si="45"/>
        <v>0.96666666667442769</v>
      </c>
      <c r="S203" s="158">
        <f t="shared" si="46"/>
        <v>0.42662942272223348</v>
      </c>
      <c r="T203" s="161">
        <f t="shared" si="47"/>
        <v>71.247113594612983</v>
      </c>
      <c r="U203" s="158">
        <f t="shared" si="48"/>
        <v>73.703910614525142</v>
      </c>
      <c r="V203" s="160">
        <f t="shared" si="49"/>
        <v>74</v>
      </c>
    </row>
    <row r="204" spans="1:22" x14ac:dyDescent="0.25">
      <c r="A204" s="98" t="s">
        <v>22</v>
      </c>
      <c r="B204" s="98" t="s">
        <v>32</v>
      </c>
      <c r="C204" s="98">
        <v>7</v>
      </c>
      <c r="D204" s="98">
        <v>300</v>
      </c>
      <c r="E204" s="157">
        <v>41292.520833333336</v>
      </c>
      <c r="F204" s="157">
        <v>41292.70208333333</v>
      </c>
      <c r="G204" s="98">
        <v>130</v>
      </c>
      <c r="H204" s="98">
        <v>179</v>
      </c>
      <c r="I204" s="98">
        <v>167</v>
      </c>
      <c r="J204" s="98" t="s">
        <v>1977</v>
      </c>
      <c r="K204" s="98" t="s">
        <v>323</v>
      </c>
      <c r="L204" s="105" t="str">
        <f t="shared" si="40"/>
        <v>Brown</v>
      </c>
      <c r="M204" s="105" t="str">
        <f t="shared" si="41"/>
        <v>Derate</v>
      </c>
      <c r="N204" s="105" t="str">
        <f t="shared" si="42"/>
        <v>Coal</v>
      </c>
      <c r="O204" s="105">
        <f>IFERROR(VLOOKUP(A204,Lookup!$J$5:$P$19,7,FALSE),0)</f>
        <v>2</v>
      </c>
      <c r="P204" s="159">
        <f t="shared" si="43"/>
        <v>2013</v>
      </c>
      <c r="Q204" s="159">
        <f t="shared" si="44"/>
        <v>1</v>
      </c>
      <c r="R204" s="160">
        <f t="shared" si="45"/>
        <v>4.3499999998603016</v>
      </c>
      <c r="S204" s="158">
        <f t="shared" si="46"/>
        <v>1.1907821228667865</v>
      </c>
      <c r="T204" s="161">
        <f t="shared" si="47"/>
        <v>198.86061451875335</v>
      </c>
      <c r="U204" s="158">
        <f t="shared" si="48"/>
        <v>45.715083798882681</v>
      </c>
      <c r="V204" s="160">
        <f t="shared" si="49"/>
        <v>46</v>
      </c>
    </row>
    <row r="205" spans="1:22" x14ac:dyDescent="0.25">
      <c r="A205" s="98" t="s">
        <v>22</v>
      </c>
      <c r="B205" s="98" t="s">
        <v>32</v>
      </c>
      <c r="C205" s="98">
        <v>8</v>
      </c>
      <c r="D205" s="98">
        <v>3410</v>
      </c>
      <c r="E205" s="157">
        <v>41298.975694444445</v>
      </c>
      <c r="F205" s="157">
        <v>41299.208333333336</v>
      </c>
      <c r="G205" s="98">
        <v>105</v>
      </c>
      <c r="H205" s="98">
        <v>179</v>
      </c>
      <c r="I205" s="98">
        <v>167</v>
      </c>
      <c r="J205" s="98" t="s">
        <v>1983</v>
      </c>
      <c r="K205" s="98" t="s">
        <v>324</v>
      </c>
      <c r="L205" s="105" t="str">
        <f t="shared" si="40"/>
        <v>Brown</v>
      </c>
      <c r="M205" s="105" t="str">
        <f t="shared" si="41"/>
        <v>Derate</v>
      </c>
      <c r="N205" s="105" t="str">
        <f t="shared" si="42"/>
        <v>Coal</v>
      </c>
      <c r="O205" s="105">
        <f>IFERROR(VLOOKUP(A205,Lookup!$J$5:$P$19,7,FALSE),0)</f>
        <v>2</v>
      </c>
      <c r="P205" s="159">
        <f t="shared" si="43"/>
        <v>2013</v>
      </c>
      <c r="Q205" s="159">
        <f t="shared" si="44"/>
        <v>1</v>
      </c>
      <c r="R205" s="160">
        <f t="shared" si="45"/>
        <v>5.5833333333721384</v>
      </c>
      <c r="S205" s="158">
        <f t="shared" si="46"/>
        <v>2.3081936685449063</v>
      </c>
      <c r="T205" s="161">
        <f t="shared" si="47"/>
        <v>385.46834264699936</v>
      </c>
      <c r="U205" s="158">
        <f t="shared" si="48"/>
        <v>69.039106145251395</v>
      </c>
      <c r="V205" s="160">
        <f t="shared" si="49"/>
        <v>69</v>
      </c>
    </row>
    <row r="206" spans="1:22" x14ac:dyDescent="0.25">
      <c r="A206" s="98" t="s">
        <v>22</v>
      </c>
      <c r="B206" s="98" t="s">
        <v>43</v>
      </c>
      <c r="C206" s="98">
        <v>9</v>
      </c>
      <c r="D206" s="98">
        <v>3410</v>
      </c>
      <c r="E206" s="157">
        <v>41299.208333333336</v>
      </c>
      <c r="F206" s="157">
        <v>41299.963888888888</v>
      </c>
      <c r="G206" s="98">
        <v>105</v>
      </c>
      <c r="H206" s="98">
        <v>179</v>
      </c>
      <c r="I206" s="98">
        <v>167</v>
      </c>
      <c r="J206" s="98" t="s">
        <v>1983</v>
      </c>
      <c r="K206" s="98" t="s">
        <v>325</v>
      </c>
      <c r="L206" s="105" t="str">
        <f t="shared" si="40"/>
        <v>Brown</v>
      </c>
      <c r="M206" s="105" t="str">
        <f t="shared" si="41"/>
        <v>Derate</v>
      </c>
      <c r="N206" s="105" t="str">
        <f t="shared" si="42"/>
        <v>Coal</v>
      </c>
      <c r="O206" s="105">
        <f>IFERROR(VLOOKUP(A206,Lookup!$J$5:$P$19,7,FALSE),0)</f>
        <v>2</v>
      </c>
      <c r="P206" s="159">
        <f t="shared" si="43"/>
        <v>2013</v>
      </c>
      <c r="Q206" s="159">
        <f t="shared" si="44"/>
        <v>1</v>
      </c>
      <c r="R206" s="160">
        <f t="shared" si="45"/>
        <v>18.133333333244082</v>
      </c>
      <c r="S206" s="158">
        <f t="shared" si="46"/>
        <v>7.4964618249165476</v>
      </c>
      <c r="T206" s="161">
        <f t="shared" si="47"/>
        <v>1251.9091247610634</v>
      </c>
      <c r="U206" s="158">
        <f t="shared" si="48"/>
        <v>69.039106145251395</v>
      </c>
      <c r="V206" s="160">
        <f t="shared" si="49"/>
        <v>69</v>
      </c>
    </row>
    <row r="207" spans="1:22" x14ac:dyDescent="0.25">
      <c r="A207" s="98" t="s">
        <v>22</v>
      </c>
      <c r="B207" s="98" t="s">
        <v>17</v>
      </c>
      <c r="C207" s="98">
        <v>10</v>
      </c>
      <c r="D207" s="98">
        <v>310</v>
      </c>
      <c r="E207" s="157">
        <v>41300.364583333336</v>
      </c>
      <c r="F207" s="157">
        <v>41300.399305555555</v>
      </c>
      <c r="G207" s="98">
        <v>120</v>
      </c>
      <c r="H207" s="98">
        <v>179</v>
      </c>
      <c r="I207" s="98">
        <v>167</v>
      </c>
      <c r="J207" s="98" t="s">
        <v>1966</v>
      </c>
      <c r="K207" s="98" t="s">
        <v>326</v>
      </c>
      <c r="L207" s="105" t="str">
        <f t="shared" si="40"/>
        <v>Brown</v>
      </c>
      <c r="M207" s="105" t="str">
        <f t="shared" si="41"/>
        <v>Derate</v>
      </c>
      <c r="N207" s="105" t="str">
        <f t="shared" si="42"/>
        <v>Coal</v>
      </c>
      <c r="O207" s="105">
        <f>IFERROR(VLOOKUP(A207,Lookup!$J$5:$P$19,7,FALSE),0)</f>
        <v>2</v>
      </c>
      <c r="P207" s="159">
        <f t="shared" si="43"/>
        <v>2013</v>
      </c>
      <c r="Q207" s="159">
        <f t="shared" si="44"/>
        <v>1</v>
      </c>
      <c r="R207" s="160">
        <f t="shared" si="45"/>
        <v>0.83333333325572312</v>
      </c>
      <c r="S207" s="158">
        <f t="shared" si="46"/>
        <v>0.27467411543065734</v>
      </c>
      <c r="T207" s="161">
        <f t="shared" si="47"/>
        <v>45.870577276919775</v>
      </c>
      <c r="U207" s="158">
        <f t="shared" si="48"/>
        <v>55.044692737430168</v>
      </c>
      <c r="V207" s="160">
        <f t="shared" si="49"/>
        <v>55</v>
      </c>
    </row>
    <row r="208" spans="1:22" x14ac:dyDescent="0.25">
      <c r="A208" s="98" t="s">
        <v>22</v>
      </c>
      <c r="B208" s="98" t="s">
        <v>32</v>
      </c>
      <c r="C208" s="98">
        <v>11</v>
      </c>
      <c r="D208" s="98">
        <v>310</v>
      </c>
      <c r="E208" s="157">
        <v>41300.958333333336</v>
      </c>
      <c r="F208" s="157">
        <v>41301.023611111108</v>
      </c>
      <c r="G208" s="98">
        <v>120</v>
      </c>
      <c r="H208" s="98">
        <v>179</v>
      </c>
      <c r="I208" s="98">
        <v>167</v>
      </c>
      <c r="J208" s="98" t="s">
        <v>1966</v>
      </c>
      <c r="K208" s="98" t="s">
        <v>327</v>
      </c>
      <c r="L208" s="105" t="str">
        <f t="shared" si="40"/>
        <v>Brown</v>
      </c>
      <c r="M208" s="105" t="str">
        <f t="shared" si="41"/>
        <v>Derate</v>
      </c>
      <c r="N208" s="105" t="str">
        <f t="shared" si="42"/>
        <v>Coal</v>
      </c>
      <c r="O208" s="105">
        <f>IFERROR(VLOOKUP(A208,Lookup!$J$5:$P$19,7,FALSE),0)</f>
        <v>2</v>
      </c>
      <c r="P208" s="159">
        <f t="shared" si="43"/>
        <v>2013</v>
      </c>
      <c r="Q208" s="159">
        <f t="shared" si="44"/>
        <v>1</v>
      </c>
      <c r="R208" s="160">
        <f t="shared" si="45"/>
        <v>1.5666666665347293</v>
      </c>
      <c r="S208" s="158">
        <f t="shared" si="46"/>
        <v>0.51638733701424033</v>
      </c>
      <c r="T208" s="161">
        <f t="shared" si="47"/>
        <v>86.236685281378129</v>
      </c>
      <c r="U208" s="158">
        <f t="shared" si="48"/>
        <v>55.044692737430168</v>
      </c>
      <c r="V208" s="160">
        <f t="shared" si="49"/>
        <v>55</v>
      </c>
    </row>
    <row r="209" spans="1:22" x14ac:dyDescent="0.25">
      <c r="A209" s="98" t="s">
        <v>22</v>
      </c>
      <c r="B209" s="98" t="s">
        <v>17</v>
      </c>
      <c r="C209" s="98">
        <v>12</v>
      </c>
      <c r="D209" s="98">
        <v>310</v>
      </c>
      <c r="E209" s="157">
        <v>41301.772222222222</v>
      </c>
      <c r="F209" s="157">
        <v>41301.947916666664</v>
      </c>
      <c r="G209" s="98">
        <v>130</v>
      </c>
      <c r="H209" s="98">
        <v>179</v>
      </c>
      <c r="I209" s="98">
        <v>167</v>
      </c>
      <c r="J209" s="98" t="s">
        <v>1966</v>
      </c>
      <c r="K209" s="98" t="s">
        <v>328</v>
      </c>
      <c r="L209" s="105" t="str">
        <f t="shared" si="40"/>
        <v>Brown</v>
      </c>
      <c r="M209" s="105" t="str">
        <f t="shared" si="41"/>
        <v>Derate</v>
      </c>
      <c r="N209" s="105" t="str">
        <f t="shared" si="42"/>
        <v>Coal</v>
      </c>
      <c r="O209" s="105">
        <f>IFERROR(VLOOKUP(A209,Lookup!$J$5:$P$19,7,FALSE),0)</f>
        <v>2</v>
      </c>
      <c r="P209" s="159">
        <f t="shared" si="43"/>
        <v>2013</v>
      </c>
      <c r="Q209" s="159">
        <f t="shared" si="44"/>
        <v>1</v>
      </c>
      <c r="R209" s="160">
        <f t="shared" si="45"/>
        <v>4.21666666661622</v>
      </c>
      <c r="S209" s="158">
        <f t="shared" si="46"/>
        <v>1.1542830539899149</v>
      </c>
      <c r="T209" s="161">
        <f t="shared" si="47"/>
        <v>192.76527001631578</v>
      </c>
      <c r="U209" s="158">
        <f t="shared" si="48"/>
        <v>45.715083798882681</v>
      </c>
      <c r="V209" s="160">
        <f t="shared" si="49"/>
        <v>46</v>
      </c>
    </row>
    <row r="210" spans="1:22" x14ac:dyDescent="0.25">
      <c r="A210" s="98" t="s">
        <v>22</v>
      </c>
      <c r="B210" s="98" t="s">
        <v>79</v>
      </c>
      <c r="C210" s="98">
        <v>13</v>
      </c>
      <c r="D210" s="98">
        <v>310</v>
      </c>
      <c r="E210" s="157">
        <v>41303.958333333336</v>
      </c>
      <c r="F210" s="157">
        <v>41304.227777777778</v>
      </c>
      <c r="G210" s="98">
        <v>0</v>
      </c>
      <c r="H210" s="98">
        <v>179</v>
      </c>
      <c r="I210" s="98">
        <v>167</v>
      </c>
      <c r="J210" s="98" t="s">
        <v>1966</v>
      </c>
      <c r="K210" s="98" t="s">
        <v>329</v>
      </c>
      <c r="L210" s="105" t="str">
        <f t="shared" si="40"/>
        <v>Brown</v>
      </c>
      <c r="M210" s="105" t="str">
        <f t="shared" si="41"/>
        <v>Other</v>
      </c>
      <c r="N210" s="105" t="str">
        <f t="shared" si="42"/>
        <v>Coal</v>
      </c>
      <c r="O210" s="105">
        <f>IFERROR(VLOOKUP(A210,Lookup!$J$5:$P$19,7,FALSE),0)</f>
        <v>2</v>
      </c>
      <c r="P210" s="159">
        <f t="shared" si="43"/>
        <v>2013</v>
      </c>
      <c r="Q210" s="159">
        <f t="shared" si="44"/>
        <v>1</v>
      </c>
      <c r="R210" s="160">
        <f t="shared" si="45"/>
        <v>6.46666666661622</v>
      </c>
      <c r="S210" s="158">
        <f t="shared" si="46"/>
        <v>6.46666666661622</v>
      </c>
      <c r="T210" s="161">
        <f t="shared" si="47"/>
        <v>1079.9333333249087</v>
      </c>
      <c r="U210" s="158">
        <f t="shared" si="48"/>
        <v>167</v>
      </c>
      <c r="V210" s="160">
        <f t="shared" si="49"/>
        <v>167</v>
      </c>
    </row>
    <row r="211" spans="1:22" x14ac:dyDescent="0.25">
      <c r="A211" s="98" t="s">
        <v>22</v>
      </c>
      <c r="B211" s="98" t="s">
        <v>17</v>
      </c>
      <c r="C211" s="98">
        <v>14</v>
      </c>
      <c r="D211" s="98">
        <v>3410</v>
      </c>
      <c r="E211" s="157">
        <v>41309.895833333336</v>
      </c>
      <c r="F211" s="157">
        <v>41311.618055555555</v>
      </c>
      <c r="G211" s="98">
        <v>110</v>
      </c>
      <c r="H211" s="98">
        <v>179</v>
      </c>
      <c r="I211" s="98">
        <v>167</v>
      </c>
      <c r="J211" s="98" t="s">
        <v>1983</v>
      </c>
      <c r="K211" s="98" t="s">
        <v>330</v>
      </c>
      <c r="L211" s="105" t="str">
        <f t="shared" si="40"/>
        <v>Brown</v>
      </c>
      <c r="M211" s="105" t="str">
        <f t="shared" si="41"/>
        <v>Derate</v>
      </c>
      <c r="N211" s="105" t="str">
        <f t="shared" si="42"/>
        <v>Coal</v>
      </c>
      <c r="O211" s="105">
        <f>IFERROR(VLOOKUP(A211,Lookup!$J$5:$P$19,7,FALSE),0)</f>
        <v>2</v>
      </c>
      <c r="P211" s="159">
        <f t="shared" si="43"/>
        <v>2013</v>
      </c>
      <c r="Q211" s="159">
        <f t="shared" si="44"/>
        <v>2</v>
      </c>
      <c r="R211" s="160">
        <f t="shared" si="45"/>
        <v>41.333333333255723</v>
      </c>
      <c r="S211" s="158">
        <f t="shared" si="46"/>
        <v>15.932960893824832</v>
      </c>
      <c r="T211" s="161">
        <f t="shared" si="47"/>
        <v>2660.8044692687472</v>
      </c>
      <c r="U211" s="158">
        <f t="shared" si="48"/>
        <v>64.374301675977648</v>
      </c>
      <c r="V211" s="160">
        <f t="shared" si="49"/>
        <v>64</v>
      </c>
    </row>
    <row r="212" spans="1:22" x14ac:dyDescent="0.25">
      <c r="A212" s="98" t="s">
        <v>22</v>
      </c>
      <c r="B212" s="98" t="s">
        <v>17</v>
      </c>
      <c r="C212" s="98">
        <v>15</v>
      </c>
      <c r="D212" s="98">
        <v>30</v>
      </c>
      <c r="E212" s="157">
        <v>41312.298611111109</v>
      </c>
      <c r="F212" s="157">
        <v>41312.305555555555</v>
      </c>
      <c r="G212" s="98">
        <v>80</v>
      </c>
      <c r="H212" s="98">
        <v>179</v>
      </c>
      <c r="I212" s="98">
        <v>167</v>
      </c>
      <c r="J212" s="98" t="s">
        <v>2125</v>
      </c>
      <c r="K212" s="98" t="s">
        <v>331</v>
      </c>
      <c r="L212" s="105" t="str">
        <f t="shared" ref="L212:L275" si="50">IF(OR(A212="BR1",A212="BR2",A212="BR3",A212="BR5",A212="BR6",A212="BR7",A212="BR8",A212="BR9",A212="BR10",A212="BR11"),"Brown",IF(OR(A212="CR4",A212="CR5",A212="CR6",A212="CR11"),"Cane Run",IF(OR(A212="GH1",A212="GH2",A212="GH3",A212="GH4"),"Ghent",IF(OR(A212="GR3",A212="GR4"),"Green River",IF(OR(A212="MC1",A212="MC2",A212="MC3",A212="MC4"),"Mill Creek",IF(OR(A212="TC1",A212="TC2",A212="TC5",A212="TC6",A212="TC7",A212="TC8",A212="TC9",A212="TC10"),"Trimble",IF(A212="TY3","Tyrone",IF(OR(A212="HA1",A212="HA2",A212="HA3"),"Haeflin",IF(OR(A212="PR11",A212="PR12",A212="PR13"),"Paddy's Run","Zorn")))))))))</f>
        <v>Brown</v>
      </c>
      <c r="M212" s="105" t="str">
        <f t="shared" ref="M212:M275" si="51">IF(OR(B212="D1",B212="D2",B212="D3",B212="D4",B212="PD"),"Derate",IF(OR(B212="SF",B212="U1",B212="U2",B212="U3"),"Outage",IF(OR(B212="ME",B212="MO"),"Maintenance","Other")))</f>
        <v>Derate</v>
      </c>
      <c r="N212" s="105" t="str">
        <f t="shared" ref="N212:N275" si="52">IF(OR(A212="BR1",A212="BR2",A212="BR3",A212="CR4",A212="CR5",A212="CR6",A212="GH1",A212="GH2",A212="GH3",A212="GH4",A212="GR3",A212="GR4",A212="MC1",A212="MC2",A212="MC3",A212="MC4",A212="TC1",A212="TC2",A212="TY3"),"Coal","Gas")</f>
        <v>Coal</v>
      </c>
      <c r="O212" s="105">
        <f>IFERROR(VLOOKUP(A212,Lookup!$J$5:$P$19,7,FALSE),0)</f>
        <v>2</v>
      </c>
      <c r="P212" s="159">
        <f t="shared" ref="P212:P275" si="53">YEAR(E212)</f>
        <v>2013</v>
      </c>
      <c r="Q212" s="159">
        <f t="shared" ref="Q212:Q275" si="54">MONTH(E212)</f>
        <v>2</v>
      </c>
      <c r="R212" s="160">
        <f t="shared" ref="R212:R275" si="55">(F212-E212)*24</f>
        <v>0.16666666668606922</v>
      </c>
      <c r="S212" s="158">
        <f t="shared" ref="S212:S275" si="56">R212*(H212-G212)/H212</f>
        <v>9.2178770960451697E-2</v>
      </c>
      <c r="T212" s="161">
        <f t="shared" ref="T212:T275" si="57">S212*I212</f>
        <v>15.393854750395434</v>
      </c>
      <c r="U212" s="158">
        <f t="shared" si="48"/>
        <v>92.363128491620117</v>
      </c>
      <c r="V212" s="160">
        <f t="shared" ref="V212:V275" si="58">ROUND(U212,0)</f>
        <v>92</v>
      </c>
    </row>
    <row r="213" spans="1:22" x14ac:dyDescent="0.25">
      <c r="A213" s="98" t="s">
        <v>22</v>
      </c>
      <c r="B213" s="98" t="s">
        <v>32</v>
      </c>
      <c r="C213" s="98">
        <v>16</v>
      </c>
      <c r="D213" s="98">
        <v>250</v>
      </c>
      <c r="E213" s="157">
        <v>41326.994444444441</v>
      </c>
      <c r="F213" s="157">
        <v>41327.161805555559</v>
      </c>
      <c r="G213" s="98">
        <v>130</v>
      </c>
      <c r="H213" s="98">
        <v>179</v>
      </c>
      <c r="I213" s="98">
        <v>167</v>
      </c>
      <c r="J213" s="98" t="s">
        <v>1978</v>
      </c>
      <c r="K213" s="98" t="s">
        <v>332</v>
      </c>
      <c r="L213" s="105" t="str">
        <f t="shared" si="50"/>
        <v>Brown</v>
      </c>
      <c r="M213" s="105" t="str">
        <f t="shared" si="51"/>
        <v>Derate</v>
      </c>
      <c r="N213" s="105" t="str">
        <f t="shared" si="52"/>
        <v>Coal</v>
      </c>
      <c r="O213" s="105">
        <f>IFERROR(VLOOKUP(A213,Lookup!$J$5:$P$19,7,FALSE),0)</f>
        <v>2</v>
      </c>
      <c r="P213" s="159">
        <f t="shared" si="53"/>
        <v>2013</v>
      </c>
      <c r="Q213" s="159">
        <f t="shared" si="54"/>
        <v>2</v>
      </c>
      <c r="R213" s="160">
        <f t="shared" si="55"/>
        <v>4.0166666668374091</v>
      </c>
      <c r="S213" s="158">
        <f t="shared" si="56"/>
        <v>1.0995344506985087</v>
      </c>
      <c r="T213" s="161">
        <f t="shared" si="57"/>
        <v>183.62225326665097</v>
      </c>
      <c r="U213" s="158">
        <f t="shared" ref="U213:U276" si="59">IF(G213&gt;0,MAX((H213-G213),0)*I213/H213,I213)</f>
        <v>45.715083798882681</v>
      </c>
      <c r="V213" s="160">
        <f t="shared" si="58"/>
        <v>46</v>
      </c>
    </row>
    <row r="214" spans="1:22" x14ac:dyDescent="0.25">
      <c r="A214" s="98" t="s">
        <v>22</v>
      </c>
      <c r="B214" s="98" t="s">
        <v>79</v>
      </c>
      <c r="C214" s="98">
        <v>17</v>
      </c>
      <c r="D214" s="98">
        <v>255</v>
      </c>
      <c r="E214" s="157">
        <v>41327.440972222219</v>
      </c>
      <c r="F214" s="157">
        <v>41327.506944444445</v>
      </c>
      <c r="G214" s="98">
        <v>0</v>
      </c>
      <c r="H214" s="98">
        <v>179</v>
      </c>
      <c r="I214" s="98">
        <v>167</v>
      </c>
      <c r="J214" s="98" t="s">
        <v>2124</v>
      </c>
      <c r="K214" s="98" t="s">
        <v>333</v>
      </c>
      <c r="L214" s="105" t="str">
        <f t="shared" si="50"/>
        <v>Brown</v>
      </c>
      <c r="M214" s="105" t="str">
        <f t="shared" si="51"/>
        <v>Other</v>
      </c>
      <c r="N214" s="105" t="str">
        <f t="shared" si="52"/>
        <v>Coal</v>
      </c>
      <c r="O214" s="105">
        <f>IFERROR(VLOOKUP(A214,Lookup!$J$5:$P$19,7,FALSE),0)</f>
        <v>2</v>
      </c>
      <c r="P214" s="159">
        <f t="shared" si="53"/>
        <v>2013</v>
      </c>
      <c r="Q214" s="159">
        <f t="shared" si="54"/>
        <v>2</v>
      </c>
      <c r="R214" s="160">
        <f t="shared" si="55"/>
        <v>1.5833333334303461</v>
      </c>
      <c r="S214" s="158">
        <f t="shared" si="56"/>
        <v>1.5833333334303461</v>
      </c>
      <c r="T214" s="161">
        <f t="shared" si="57"/>
        <v>264.4166666828678</v>
      </c>
      <c r="U214" s="158">
        <f t="shared" si="59"/>
        <v>167</v>
      </c>
      <c r="V214" s="160">
        <f t="shared" si="58"/>
        <v>167</v>
      </c>
    </row>
    <row r="215" spans="1:22" x14ac:dyDescent="0.25">
      <c r="A215" s="98" t="s">
        <v>22</v>
      </c>
      <c r="B215" s="98" t="s">
        <v>79</v>
      </c>
      <c r="C215" s="98">
        <v>18</v>
      </c>
      <c r="D215" s="98">
        <v>8700</v>
      </c>
      <c r="E215" s="157">
        <v>41333.041666666664</v>
      </c>
      <c r="F215" s="157">
        <v>41333.166666666664</v>
      </c>
      <c r="G215" s="98">
        <v>0</v>
      </c>
      <c r="H215" s="98">
        <v>179</v>
      </c>
      <c r="I215" s="98">
        <v>167</v>
      </c>
      <c r="J215" s="98" t="s">
        <v>1987</v>
      </c>
      <c r="K215" s="98" t="s">
        <v>82</v>
      </c>
      <c r="L215" s="105" t="str">
        <f t="shared" si="50"/>
        <v>Brown</v>
      </c>
      <c r="M215" s="105" t="str">
        <f t="shared" si="51"/>
        <v>Other</v>
      </c>
      <c r="N215" s="105" t="str">
        <f t="shared" si="52"/>
        <v>Coal</v>
      </c>
      <c r="O215" s="105">
        <f>IFERROR(VLOOKUP(A215,Lookup!$J$5:$P$19,7,FALSE),0)</f>
        <v>2</v>
      </c>
      <c r="P215" s="159">
        <f t="shared" si="53"/>
        <v>2013</v>
      </c>
      <c r="Q215" s="159">
        <f t="shared" si="54"/>
        <v>2</v>
      </c>
      <c r="R215" s="160">
        <f t="shared" si="55"/>
        <v>3</v>
      </c>
      <c r="S215" s="158">
        <f t="shared" si="56"/>
        <v>3</v>
      </c>
      <c r="T215" s="161">
        <f t="shared" si="57"/>
        <v>501</v>
      </c>
      <c r="U215" s="158">
        <f t="shared" si="59"/>
        <v>167</v>
      </c>
      <c r="V215" s="160">
        <f t="shared" si="58"/>
        <v>167</v>
      </c>
    </row>
    <row r="216" spans="1:22" x14ac:dyDescent="0.25">
      <c r="A216" s="98" t="s">
        <v>22</v>
      </c>
      <c r="B216" s="98" t="s">
        <v>20</v>
      </c>
      <c r="C216" s="98">
        <v>19</v>
      </c>
      <c r="D216" s="98">
        <v>4263</v>
      </c>
      <c r="E216" s="157">
        <v>41333.957638888889</v>
      </c>
      <c r="F216" s="157">
        <v>41333.988888888889</v>
      </c>
      <c r="G216" s="98">
        <v>0</v>
      </c>
      <c r="H216" s="98">
        <v>179</v>
      </c>
      <c r="I216" s="98">
        <v>167</v>
      </c>
      <c r="J216" s="98" t="s">
        <v>2019</v>
      </c>
      <c r="K216" s="98" t="s">
        <v>334</v>
      </c>
      <c r="L216" s="105" t="str">
        <f t="shared" si="50"/>
        <v>Brown</v>
      </c>
      <c r="M216" s="105" t="str">
        <f t="shared" si="51"/>
        <v>Maintenance</v>
      </c>
      <c r="N216" s="105" t="str">
        <f t="shared" si="52"/>
        <v>Coal</v>
      </c>
      <c r="O216" s="105">
        <f>IFERROR(VLOOKUP(A216,Lookup!$J$5:$P$19,7,FALSE),0)</f>
        <v>2</v>
      </c>
      <c r="P216" s="159">
        <f t="shared" si="53"/>
        <v>2013</v>
      </c>
      <c r="Q216" s="159">
        <f t="shared" si="54"/>
        <v>2</v>
      </c>
      <c r="R216" s="160">
        <f t="shared" si="55"/>
        <v>0.75</v>
      </c>
      <c r="S216" s="158">
        <f t="shared" si="56"/>
        <v>0.75</v>
      </c>
      <c r="T216" s="161">
        <f t="shared" si="57"/>
        <v>125.25</v>
      </c>
      <c r="U216" s="158">
        <f t="shared" si="59"/>
        <v>167</v>
      </c>
      <c r="V216" s="160">
        <f t="shared" si="58"/>
        <v>167</v>
      </c>
    </row>
    <row r="217" spans="1:22" x14ac:dyDescent="0.25">
      <c r="A217" s="98" t="s">
        <v>22</v>
      </c>
      <c r="B217" s="98" t="s">
        <v>15</v>
      </c>
      <c r="C217" s="98">
        <v>20</v>
      </c>
      <c r="D217" s="98">
        <v>3411</v>
      </c>
      <c r="E217" s="157">
        <v>41334.905555555553</v>
      </c>
      <c r="F217" s="157">
        <v>41335.001388888886</v>
      </c>
      <c r="G217" s="98">
        <v>0</v>
      </c>
      <c r="H217" s="98">
        <v>179</v>
      </c>
      <c r="I217" s="98">
        <v>167</v>
      </c>
      <c r="J217" s="98" t="s">
        <v>2041</v>
      </c>
      <c r="K217" s="98" t="s">
        <v>335</v>
      </c>
      <c r="L217" s="105" t="str">
        <f t="shared" si="50"/>
        <v>Brown</v>
      </c>
      <c r="M217" s="105" t="str">
        <f t="shared" si="51"/>
        <v>Outage</v>
      </c>
      <c r="N217" s="105" t="str">
        <f t="shared" si="52"/>
        <v>Coal</v>
      </c>
      <c r="O217" s="105">
        <f>IFERROR(VLOOKUP(A217,Lookup!$J$5:$P$19,7,FALSE),0)</f>
        <v>2</v>
      </c>
      <c r="P217" s="159">
        <f t="shared" si="53"/>
        <v>2013</v>
      </c>
      <c r="Q217" s="159">
        <f t="shared" si="54"/>
        <v>3</v>
      </c>
      <c r="R217" s="160">
        <f t="shared" si="55"/>
        <v>2.2999999999883585</v>
      </c>
      <c r="S217" s="158">
        <f t="shared" si="56"/>
        <v>2.2999999999883585</v>
      </c>
      <c r="T217" s="161">
        <f t="shared" si="57"/>
        <v>384.09999999805586</v>
      </c>
      <c r="U217" s="158">
        <f t="shared" si="59"/>
        <v>167</v>
      </c>
      <c r="V217" s="160">
        <f t="shared" si="58"/>
        <v>167</v>
      </c>
    </row>
    <row r="218" spans="1:22" x14ac:dyDescent="0.25">
      <c r="A218" s="98" t="s">
        <v>22</v>
      </c>
      <c r="B218" s="98" t="s">
        <v>17</v>
      </c>
      <c r="C218" s="98">
        <v>21</v>
      </c>
      <c r="D218" s="98">
        <v>3411</v>
      </c>
      <c r="E218" s="157">
        <v>41335.083333333336</v>
      </c>
      <c r="F218" s="157">
        <v>41338.925000000003</v>
      </c>
      <c r="G218" s="98">
        <v>110</v>
      </c>
      <c r="H218" s="98">
        <v>179</v>
      </c>
      <c r="I218" s="98">
        <v>167</v>
      </c>
      <c r="J218" s="98" t="s">
        <v>2041</v>
      </c>
      <c r="K218" s="98" t="s">
        <v>336</v>
      </c>
      <c r="L218" s="105" t="str">
        <f t="shared" si="50"/>
        <v>Brown</v>
      </c>
      <c r="M218" s="105" t="str">
        <f t="shared" si="51"/>
        <v>Derate</v>
      </c>
      <c r="N218" s="105" t="str">
        <f t="shared" si="52"/>
        <v>Coal</v>
      </c>
      <c r="O218" s="105">
        <f>IFERROR(VLOOKUP(A218,Lookup!$J$5:$P$19,7,FALSE),0)</f>
        <v>2</v>
      </c>
      <c r="P218" s="159">
        <f t="shared" si="53"/>
        <v>2013</v>
      </c>
      <c r="Q218" s="159">
        <f t="shared" si="54"/>
        <v>3</v>
      </c>
      <c r="R218" s="160">
        <f t="shared" si="55"/>
        <v>92.200000000011642</v>
      </c>
      <c r="S218" s="158">
        <f t="shared" si="56"/>
        <v>35.540782122909512</v>
      </c>
      <c r="T218" s="161">
        <f t="shared" si="57"/>
        <v>5935.3106145258889</v>
      </c>
      <c r="U218" s="158">
        <f t="shared" si="59"/>
        <v>64.374301675977648</v>
      </c>
      <c r="V218" s="160">
        <f t="shared" si="58"/>
        <v>64</v>
      </c>
    </row>
    <row r="219" spans="1:22" x14ac:dyDescent="0.25">
      <c r="A219" s="98" t="s">
        <v>22</v>
      </c>
      <c r="B219" s="98" t="s">
        <v>20</v>
      </c>
      <c r="C219" s="98">
        <v>22</v>
      </c>
      <c r="D219" s="98">
        <v>4609</v>
      </c>
      <c r="E219" s="157">
        <v>41339.023611111108</v>
      </c>
      <c r="F219" s="157">
        <v>41339.199305555558</v>
      </c>
      <c r="G219" s="98">
        <v>0</v>
      </c>
      <c r="H219" s="98">
        <v>179</v>
      </c>
      <c r="I219" s="98">
        <v>167</v>
      </c>
      <c r="J219" s="98" t="s">
        <v>2105</v>
      </c>
      <c r="K219" s="98" t="s">
        <v>337</v>
      </c>
      <c r="L219" s="105" t="str">
        <f t="shared" si="50"/>
        <v>Brown</v>
      </c>
      <c r="M219" s="105" t="str">
        <f t="shared" si="51"/>
        <v>Maintenance</v>
      </c>
      <c r="N219" s="105" t="str">
        <f t="shared" si="52"/>
        <v>Coal</v>
      </c>
      <c r="O219" s="105">
        <f>IFERROR(VLOOKUP(A219,Lookup!$J$5:$P$19,7,FALSE),0)</f>
        <v>2</v>
      </c>
      <c r="P219" s="159">
        <f t="shared" si="53"/>
        <v>2013</v>
      </c>
      <c r="Q219" s="159">
        <f t="shared" si="54"/>
        <v>3</v>
      </c>
      <c r="R219" s="160">
        <f t="shared" si="55"/>
        <v>4.216666666790843</v>
      </c>
      <c r="S219" s="158">
        <f t="shared" si="56"/>
        <v>4.216666666790843</v>
      </c>
      <c r="T219" s="161">
        <f t="shared" si="57"/>
        <v>704.18333335407078</v>
      </c>
      <c r="U219" s="158">
        <f t="shared" si="59"/>
        <v>167</v>
      </c>
      <c r="V219" s="160">
        <f t="shared" si="58"/>
        <v>167</v>
      </c>
    </row>
    <row r="220" spans="1:22" x14ac:dyDescent="0.25">
      <c r="A220" s="98" t="s">
        <v>22</v>
      </c>
      <c r="B220" s="98" t="s">
        <v>32</v>
      </c>
      <c r="C220" s="98">
        <v>23</v>
      </c>
      <c r="D220" s="98">
        <v>1980</v>
      </c>
      <c r="E220" s="157">
        <v>41341.825694444444</v>
      </c>
      <c r="F220" s="157">
        <v>41341.923611111109</v>
      </c>
      <c r="G220" s="98">
        <v>150</v>
      </c>
      <c r="H220" s="98">
        <v>179</v>
      </c>
      <c r="I220" s="98">
        <v>167</v>
      </c>
      <c r="J220" s="98" t="s">
        <v>2126</v>
      </c>
      <c r="K220" s="98" t="s">
        <v>338</v>
      </c>
      <c r="L220" s="105" t="str">
        <f t="shared" si="50"/>
        <v>Brown</v>
      </c>
      <c r="M220" s="105" t="str">
        <f t="shared" si="51"/>
        <v>Derate</v>
      </c>
      <c r="N220" s="105" t="str">
        <f t="shared" si="52"/>
        <v>Coal</v>
      </c>
      <c r="O220" s="105">
        <f>IFERROR(VLOOKUP(A220,Lookup!$J$5:$P$19,7,FALSE),0)</f>
        <v>2</v>
      </c>
      <c r="P220" s="159">
        <f t="shared" si="53"/>
        <v>2013</v>
      </c>
      <c r="Q220" s="159">
        <f t="shared" si="54"/>
        <v>3</v>
      </c>
      <c r="R220" s="160">
        <f t="shared" si="55"/>
        <v>2.3499999999767169</v>
      </c>
      <c r="S220" s="158">
        <f t="shared" si="56"/>
        <v>0.3807262569794681</v>
      </c>
      <c r="T220" s="161">
        <f t="shared" si="57"/>
        <v>63.581284915571175</v>
      </c>
      <c r="U220" s="158">
        <f t="shared" si="59"/>
        <v>27.05586592178771</v>
      </c>
      <c r="V220" s="160">
        <f t="shared" si="58"/>
        <v>27</v>
      </c>
    </row>
    <row r="221" spans="1:22" x14ac:dyDescent="0.25">
      <c r="A221" s="98" t="s">
        <v>22</v>
      </c>
      <c r="B221" s="98" t="s">
        <v>32</v>
      </c>
      <c r="C221" s="98">
        <v>24</v>
      </c>
      <c r="D221" s="98">
        <v>300</v>
      </c>
      <c r="E221" s="157">
        <v>41343.125</v>
      </c>
      <c r="F221" s="157">
        <v>41343.722916666666</v>
      </c>
      <c r="G221" s="98">
        <v>140</v>
      </c>
      <c r="H221" s="98">
        <v>179</v>
      </c>
      <c r="I221" s="98">
        <v>167</v>
      </c>
      <c r="J221" s="98" t="s">
        <v>1977</v>
      </c>
      <c r="K221" s="98" t="s">
        <v>339</v>
      </c>
      <c r="L221" s="105" t="str">
        <f t="shared" si="50"/>
        <v>Brown</v>
      </c>
      <c r="M221" s="105" t="str">
        <f t="shared" si="51"/>
        <v>Derate</v>
      </c>
      <c r="N221" s="105" t="str">
        <f t="shared" si="52"/>
        <v>Coal</v>
      </c>
      <c r="O221" s="105">
        <f>IFERROR(VLOOKUP(A221,Lookup!$J$5:$P$19,7,FALSE),0)</f>
        <v>2</v>
      </c>
      <c r="P221" s="159">
        <f t="shared" si="53"/>
        <v>2013</v>
      </c>
      <c r="Q221" s="159">
        <f t="shared" si="54"/>
        <v>3</v>
      </c>
      <c r="R221" s="160">
        <f t="shared" si="55"/>
        <v>14.349999999976717</v>
      </c>
      <c r="S221" s="158">
        <f t="shared" si="56"/>
        <v>3.1265363128440891</v>
      </c>
      <c r="T221" s="161">
        <f t="shared" si="57"/>
        <v>522.13156424496287</v>
      </c>
      <c r="U221" s="158">
        <f t="shared" si="59"/>
        <v>36.385474860335194</v>
      </c>
      <c r="V221" s="160">
        <f t="shared" si="58"/>
        <v>36</v>
      </c>
    </row>
    <row r="222" spans="1:22" x14ac:dyDescent="0.25">
      <c r="A222" s="98" t="s">
        <v>22</v>
      </c>
      <c r="B222" s="98" t="s">
        <v>20</v>
      </c>
      <c r="C222" s="98">
        <v>25</v>
      </c>
      <c r="D222" s="98">
        <v>9656</v>
      </c>
      <c r="E222" s="157">
        <v>41344.938194444447</v>
      </c>
      <c r="F222" s="157">
        <v>41346.901388888888</v>
      </c>
      <c r="G222" s="98">
        <v>0</v>
      </c>
      <c r="H222" s="98">
        <v>179</v>
      </c>
      <c r="I222" s="98">
        <v>167</v>
      </c>
      <c r="J222" s="98" t="s">
        <v>299</v>
      </c>
      <c r="K222" s="98" t="s">
        <v>300</v>
      </c>
      <c r="L222" s="105" t="str">
        <f t="shared" si="50"/>
        <v>Brown</v>
      </c>
      <c r="M222" s="105" t="str">
        <f t="shared" si="51"/>
        <v>Maintenance</v>
      </c>
      <c r="N222" s="105" t="str">
        <f t="shared" si="52"/>
        <v>Coal</v>
      </c>
      <c r="O222" s="105">
        <f>IFERROR(VLOOKUP(A222,Lookup!$J$5:$P$19,7,FALSE),0)</f>
        <v>2</v>
      </c>
      <c r="P222" s="159">
        <f t="shared" si="53"/>
        <v>2013</v>
      </c>
      <c r="Q222" s="159">
        <f t="shared" si="54"/>
        <v>3</v>
      </c>
      <c r="R222" s="160">
        <f t="shared" si="55"/>
        <v>47.116666666581295</v>
      </c>
      <c r="S222" s="158">
        <f t="shared" si="56"/>
        <v>47.116666666581295</v>
      </c>
      <c r="T222" s="161">
        <f t="shared" si="57"/>
        <v>7868.4833333190763</v>
      </c>
      <c r="U222" s="158">
        <f t="shared" si="59"/>
        <v>167</v>
      </c>
      <c r="V222" s="160">
        <f t="shared" si="58"/>
        <v>167</v>
      </c>
    </row>
    <row r="223" spans="1:22" x14ac:dyDescent="0.25">
      <c r="A223" s="98" t="s">
        <v>22</v>
      </c>
      <c r="B223" s="98" t="s">
        <v>17</v>
      </c>
      <c r="C223" s="98">
        <v>26</v>
      </c>
      <c r="D223" s="98">
        <v>9270</v>
      </c>
      <c r="E223" s="157">
        <v>41351.756249999999</v>
      </c>
      <c r="F223" s="157">
        <v>41351.775694444441</v>
      </c>
      <c r="G223" s="98">
        <v>130</v>
      </c>
      <c r="H223" s="98">
        <v>179</v>
      </c>
      <c r="I223" s="98">
        <v>167</v>
      </c>
      <c r="J223" s="98" t="s">
        <v>2006</v>
      </c>
      <c r="K223" s="98" t="s">
        <v>340</v>
      </c>
      <c r="L223" s="105" t="str">
        <f t="shared" si="50"/>
        <v>Brown</v>
      </c>
      <c r="M223" s="105" t="str">
        <f t="shared" si="51"/>
        <v>Derate</v>
      </c>
      <c r="N223" s="105" t="str">
        <f t="shared" si="52"/>
        <v>Coal</v>
      </c>
      <c r="O223" s="105">
        <f>IFERROR(VLOOKUP(A223,Lookup!$J$5:$P$19,7,FALSE),0)</f>
        <v>2</v>
      </c>
      <c r="P223" s="159">
        <f t="shared" si="53"/>
        <v>2013</v>
      </c>
      <c r="Q223" s="159">
        <f t="shared" si="54"/>
        <v>3</v>
      </c>
      <c r="R223" s="160">
        <f t="shared" si="55"/>
        <v>0.46666666661622003</v>
      </c>
      <c r="S223" s="158">
        <f t="shared" si="56"/>
        <v>0.12774674114075296</v>
      </c>
      <c r="T223" s="161">
        <f t="shared" si="57"/>
        <v>21.333705770505745</v>
      </c>
      <c r="U223" s="158">
        <f t="shared" si="59"/>
        <v>45.715083798882681</v>
      </c>
      <c r="V223" s="160">
        <f t="shared" si="58"/>
        <v>46</v>
      </c>
    </row>
    <row r="224" spans="1:22" x14ac:dyDescent="0.25">
      <c r="A224" s="98" t="s">
        <v>22</v>
      </c>
      <c r="B224" s="98" t="s">
        <v>17</v>
      </c>
      <c r="C224" s="98">
        <v>27</v>
      </c>
      <c r="D224" s="98">
        <v>9270</v>
      </c>
      <c r="E224" s="157">
        <v>41351.775694444441</v>
      </c>
      <c r="F224" s="157">
        <v>41351.970138888886</v>
      </c>
      <c r="G224" s="98">
        <v>125</v>
      </c>
      <c r="H224" s="98">
        <v>179</v>
      </c>
      <c r="I224" s="98">
        <v>167</v>
      </c>
      <c r="J224" s="98" t="s">
        <v>2006</v>
      </c>
      <c r="K224" s="98" t="s">
        <v>340</v>
      </c>
      <c r="L224" s="105" t="str">
        <f t="shared" si="50"/>
        <v>Brown</v>
      </c>
      <c r="M224" s="105" t="str">
        <f t="shared" si="51"/>
        <v>Derate</v>
      </c>
      <c r="N224" s="105" t="str">
        <f t="shared" si="52"/>
        <v>Coal</v>
      </c>
      <c r="O224" s="105">
        <f>IFERROR(VLOOKUP(A224,Lookup!$J$5:$P$19,7,FALSE),0)</f>
        <v>2</v>
      </c>
      <c r="P224" s="159">
        <f t="shared" si="53"/>
        <v>2013</v>
      </c>
      <c r="Q224" s="159">
        <f t="shared" si="54"/>
        <v>3</v>
      </c>
      <c r="R224" s="160">
        <f t="shared" si="55"/>
        <v>4.6666666666860692</v>
      </c>
      <c r="S224" s="158">
        <f t="shared" si="56"/>
        <v>1.4078212290561327</v>
      </c>
      <c r="T224" s="161">
        <f t="shared" si="57"/>
        <v>235.10614525237418</v>
      </c>
      <c r="U224" s="158">
        <f t="shared" si="59"/>
        <v>50.379888268156428</v>
      </c>
      <c r="V224" s="160">
        <f t="shared" si="58"/>
        <v>50</v>
      </c>
    </row>
    <row r="225" spans="1:22" x14ac:dyDescent="0.25">
      <c r="A225" s="98" t="s">
        <v>22</v>
      </c>
      <c r="B225" s="98" t="s">
        <v>17</v>
      </c>
      <c r="C225" s="98">
        <v>28</v>
      </c>
      <c r="D225" s="98">
        <v>9270</v>
      </c>
      <c r="E225" s="157">
        <v>41352.251388888886</v>
      </c>
      <c r="F225" s="157">
        <v>41352.694444444445</v>
      </c>
      <c r="G225" s="98">
        <v>130</v>
      </c>
      <c r="H225" s="98">
        <v>179</v>
      </c>
      <c r="I225" s="98">
        <v>167</v>
      </c>
      <c r="J225" s="98" t="s">
        <v>2006</v>
      </c>
      <c r="K225" s="98" t="s">
        <v>340</v>
      </c>
      <c r="L225" s="105" t="str">
        <f t="shared" si="50"/>
        <v>Brown</v>
      </c>
      <c r="M225" s="105" t="str">
        <f t="shared" si="51"/>
        <v>Derate</v>
      </c>
      <c r="N225" s="105" t="str">
        <f t="shared" si="52"/>
        <v>Coal</v>
      </c>
      <c r="O225" s="105">
        <f>IFERROR(VLOOKUP(A225,Lookup!$J$5:$P$19,7,FALSE),0)</f>
        <v>2</v>
      </c>
      <c r="P225" s="159">
        <f t="shared" si="53"/>
        <v>2013</v>
      </c>
      <c r="Q225" s="159">
        <f t="shared" si="54"/>
        <v>3</v>
      </c>
      <c r="R225" s="160">
        <f t="shared" si="55"/>
        <v>10.633333333418705</v>
      </c>
      <c r="S225" s="158">
        <f t="shared" si="56"/>
        <v>2.910800744902327</v>
      </c>
      <c r="T225" s="161">
        <f t="shared" si="57"/>
        <v>486.1037243986886</v>
      </c>
      <c r="U225" s="158">
        <f t="shared" si="59"/>
        <v>45.715083798882681</v>
      </c>
      <c r="V225" s="160">
        <f t="shared" si="58"/>
        <v>46</v>
      </c>
    </row>
    <row r="226" spans="1:22" x14ac:dyDescent="0.25">
      <c r="A226" s="98" t="s">
        <v>22</v>
      </c>
      <c r="B226" s="98" t="s">
        <v>17</v>
      </c>
      <c r="C226" s="98">
        <v>29</v>
      </c>
      <c r="D226" s="98">
        <v>9270</v>
      </c>
      <c r="E226" s="157">
        <v>41352.731249999997</v>
      </c>
      <c r="F226" s="157">
        <v>41353.458333333336</v>
      </c>
      <c r="G226" s="98">
        <v>125</v>
      </c>
      <c r="H226" s="98">
        <v>179</v>
      </c>
      <c r="I226" s="98">
        <v>167</v>
      </c>
      <c r="J226" s="98" t="s">
        <v>2006</v>
      </c>
      <c r="K226" s="98" t="s">
        <v>340</v>
      </c>
      <c r="L226" s="105" t="str">
        <f t="shared" si="50"/>
        <v>Brown</v>
      </c>
      <c r="M226" s="105" t="str">
        <f t="shared" si="51"/>
        <v>Derate</v>
      </c>
      <c r="N226" s="105" t="str">
        <f t="shared" si="52"/>
        <v>Coal</v>
      </c>
      <c r="O226" s="105">
        <f>IFERROR(VLOOKUP(A226,Lookup!$J$5:$P$19,7,FALSE),0)</f>
        <v>2</v>
      </c>
      <c r="P226" s="159">
        <f t="shared" si="53"/>
        <v>2013</v>
      </c>
      <c r="Q226" s="159">
        <f t="shared" si="54"/>
        <v>3</v>
      </c>
      <c r="R226" s="160">
        <f t="shared" si="55"/>
        <v>17.450000000128057</v>
      </c>
      <c r="S226" s="158">
        <f t="shared" si="56"/>
        <v>5.264245810094498</v>
      </c>
      <c r="T226" s="161">
        <f t="shared" si="57"/>
        <v>879.1290502857812</v>
      </c>
      <c r="U226" s="158">
        <f t="shared" si="59"/>
        <v>50.379888268156428</v>
      </c>
      <c r="V226" s="160">
        <f t="shared" si="58"/>
        <v>50</v>
      </c>
    </row>
    <row r="227" spans="1:22" x14ac:dyDescent="0.25">
      <c r="A227" s="98" t="s">
        <v>22</v>
      </c>
      <c r="B227" s="98" t="s">
        <v>17</v>
      </c>
      <c r="C227" s="98">
        <v>30</v>
      </c>
      <c r="D227" s="98">
        <v>9270</v>
      </c>
      <c r="E227" s="157">
        <v>41353.458333333336</v>
      </c>
      <c r="F227" s="157">
        <v>41353.478472222225</v>
      </c>
      <c r="G227" s="98">
        <v>145</v>
      </c>
      <c r="H227" s="98">
        <v>179</v>
      </c>
      <c r="I227" s="98">
        <v>167</v>
      </c>
      <c r="J227" s="98" t="s">
        <v>2006</v>
      </c>
      <c r="K227" s="98" t="s">
        <v>340</v>
      </c>
      <c r="L227" s="105" t="str">
        <f t="shared" si="50"/>
        <v>Brown</v>
      </c>
      <c r="M227" s="105" t="str">
        <f t="shared" si="51"/>
        <v>Derate</v>
      </c>
      <c r="N227" s="105" t="str">
        <f t="shared" si="52"/>
        <v>Coal</v>
      </c>
      <c r="O227" s="105">
        <f>IFERROR(VLOOKUP(A227,Lookup!$J$5:$P$19,7,FALSE),0)</f>
        <v>2</v>
      </c>
      <c r="P227" s="159">
        <f t="shared" si="53"/>
        <v>2013</v>
      </c>
      <c r="Q227" s="159">
        <f t="shared" si="54"/>
        <v>3</v>
      </c>
      <c r="R227" s="160">
        <f t="shared" si="55"/>
        <v>0.48333333333721384</v>
      </c>
      <c r="S227" s="158">
        <f t="shared" si="56"/>
        <v>9.1806331471873018E-2</v>
      </c>
      <c r="T227" s="161">
        <f t="shared" si="57"/>
        <v>15.331657355802793</v>
      </c>
      <c r="U227" s="158">
        <f t="shared" si="59"/>
        <v>31.720670391061454</v>
      </c>
      <c r="V227" s="160">
        <f t="shared" si="58"/>
        <v>32</v>
      </c>
    </row>
    <row r="228" spans="1:22" x14ac:dyDescent="0.25">
      <c r="A228" s="98" t="s">
        <v>22</v>
      </c>
      <c r="B228" s="98" t="s">
        <v>17</v>
      </c>
      <c r="C228" s="98">
        <v>31</v>
      </c>
      <c r="D228" s="98">
        <v>9270</v>
      </c>
      <c r="E228" s="157">
        <v>41353.478472222225</v>
      </c>
      <c r="F228" s="157">
        <v>41353.720833333333</v>
      </c>
      <c r="G228" s="98">
        <v>135</v>
      </c>
      <c r="H228" s="98">
        <v>179</v>
      </c>
      <c r="I228" s="98">
        <v>167</v>
      </c>
      <c r="J228" s="98" t="s">
        <v>2006</v>
      </c>
      <c r="K228" s="98" t="s">
        <v>340</v>
      </c>
      <c r="L228" s="105" t="str">
        <f t="shared" si="50"/>
        <v>Brown</v>
      </c>
      <c r="M228" s="105" t="str">
        <f t="shared" si="51"/>
        <v>Derate</v>
      </c>
      <c r="N228" s="105" t="str">
        <f t="shared" si="52"/>
        <v>Coal</v>
      </c>
      <c r="O228" s="105">
        <f>IFERROR(VLOOKUP(A228,Lookup!$J$5:$P$19,7,FALSE),0)</f>
        <v>2</v>
      </c>
      <c r="P228" s="159">
        <f t="shared" si="53"/>
        <v>2013</v>
      </c>
      <c r="Q228" s="159">
        <f t="shared" si="54"/>
        <v>3</v>
      </c>
      <c r="R228" s="160">
        <f t="shared" si="55"/>
        <v>5.816666666592937</v>
      </c>
      <c r="S228" s="158">
        <f t="shared" si="56"/>
        <v>1.429795158268655</v>
      </c>
      <c r="T228" s="161">
        <f t="shared" si="57"/>
        <v>238.77579143086538</v>
      </c>
      <c r="U228" s="158">
        <f t="shared" si="59"/>
        <v>41.050279329608941</v>
      </c>
      <c r="V228" s="160">
        <f t="shared" si="58"/>
        <v>41</v>
      </c>
    </row>
    <row r="229" spans="1:22" x14ac:dyDescent="0.25">
      <c r="A229" s="98" t="s">
        <v>22</v>
      </c>
      <c r="B229" s="98" t="s">
        <v>17</v>
      </c>
      <c r="C229" s="98">
        <v>32</v>
      </c>
      <c r="D229" s="98">
        <v>9270</v>
      </c>
      <c r="E229" s="157">
        <v>41353.720833333333</v>
      </c>
      <c r="F229" s="157">
        <v>41353.832638888889</v>
      </c>
      <c r="G229" s="98">
        <v>135</v>
      </c>
      <c r="H229" s="98">
        <v>179</v>
      </c>
      <c r="I229" s="98">
        <v>167</v>
      </c>
      <c r="J229" s="98" t="s">
        <v>2006</v>
      </c>
      <c r="K229" s="98" t="s">
        <v>340</v>
      </c>
      <c r="L229" s="105" t="str">
        <f t="shared" si="50"/>
        <v>Brown</v>
      </c>
      <c r="M229" s="105" t="str">
        <f t="shared" si="51"/>
        <v>Derate</v>
      </c>
      <c r="N229" s="105" t="str">
        <f t="shared" si="52"/>
        <v>Coal</v>
      </c>
      <c r="O229" s="105">
        <f>IFERROR(VLOOKUP(A229,Lookup!$J$5:$P$19,7,FALSE),0)</f>
        <v>2</v>
      </c>
      <c r="P229" s="159">
        <f t="shared" si="53"/>
        <v>2013</v>
      </c>
      <c r="Q229" s="159">
        <f t="shared" si="54"/>
        <v>3</v>
      </c>
      <c r="R229" s="160">
        <f t="shared" si="55"/>
        <v>2.6833333333488554</v>
      </c>
      <c r="S229" s="158">
        <f t="shared" si="56"/>
        <v>0.65959031657737233</v>
      </c>
      <c r="T229" s="161">
        <f t="shared" si="57"/>
        <v>110.15158286842117</v>
      </c>
      <c r="U229" s="158">
        <f t="shared" si="59"/>
        <v>41.050279329608941</v>
      </c>
      <c r="V229" s="160">
        <f t="shared" si="58"/>
        <v>41</v>
      </c>
    </row>
    <row r="230" spans="1:22" x14ac:dyDescent="0.25">
      <c r="A230" s="98" t="s">
        <v>22</v>
      </c>
      <c r="B230" s="98" t="s">
        <v>17</v>
      </c>
      <c r="C230" s="98">
        <v>33</v>
      </c>
      <c r="D230" s="98">
        <v>9270</v>
      </c>
      <c r="E230" s="157">
        <v>41354.026388888888</v>
      </c>
      <c r="F230" s="157">
        <v>41354.590277777781</v>
      </c>
      <c r="G230" s="98">
        <v>130</v>
      </c>
      <c r="H230" s="98">
        <v>179</v>
      </c>
      <c r="I230" s="98">
        <v>167</v>
      </c>
      <c r="J230" s="98" t="s">
        <v>2006</v>
      </c>
      <c r="K230" s="98" t="s">
        <v>341</v>
      </c>
      <c r="L230" s="105" t="str">
        <f t="shared" si="50"/>
        <v>Brown</v>
      </c>
      <c r="M230" s="105" t="str">
        <f t="shared" si="51"/>
        <v>Derate</v>
      </c>
      <c r="N230" s="105" t="str">
        <f t="shared" si="52"/>
        <v>Coal</v>
      </c>
      <c r="O230" s="105">
        <f>IFERROR(VLOOKUP(A230,Lookup!$J$5:$P$19,7,FALSE),0)</f>
        <v>2</v>
      </c>
      <c r="P230" s="159">
        <f t="shared" si="53"/>
        <v>2013</v>
      </c>
      <c r="Q230" s="159">
        <f t="shared" si="54"/>
        <v>3</v>
      </c>
      <c r="R230" s="160">
        <f t="shared" si="55"/>
        <v>13.533333333441988</v>
      </c>
      <c r="S230" s="158">
        <f t="shared" si="56"/>
        <v>3.7046554935120524</v>
      </c>
      <c r="T230" s="161">
        <f t="shared" si="57"/>
        <v>618.67746741651274</v>
      </c>
      <c r="U230" s="158">
        <f t="shared" si="59"/>
        <v>45.715083798882681</v>
      </c>
      <c r="V230" s="160">
        <f t="shared" si="58"/>
        <v>46</v>
      </c>
    </row>
    <row r="231" spans="1:22" x14ac:dyDescent="0.25">
      <c r="A231" s="98" t="s">
        <v>22</v>
      </c>
      <c r="B231" s="98" t="s">
        <v>17</v>
      </c>
      <c r="C231" s="98">
        <v>34</v>
      </c>
      <c r="D231" s="98">
        <v>9270</v>
      </c>
      <c r="E231" s="157">
        <v>41354.590277777781</v>
      </c>
      <c r="F231" s="157">
        <v>41354.783333333333</v>
      </c>
      <c r="G231" s="98">
        <v>160</v>
      </c>
      <c r="H231" s="98">
        <v>179</v>
      </c>
      <c r="I231" s="98">
        <v>167</v>
      </c>
      <c r="J231" s="98" t="s">
        <v>2006</v>
      </c>
      <c r="K231" s="98" t="s">
        <v>341</v>
      </c>
      <c r="L231" s="105" t="str">
        <f t="shared" si="50"/>
        <v>Brown</v>
      </c>
      <c r="M231" s="105" t="str">
        <f t="shared" si="51"/>
        <v>Derate</v>
      </c>
      <c r="N231" s="105" t="str">
        <f t="shared" si="52"/>
        <v>Coal</v>
      </c>
      <c r="O231" s="105">
        <f>IFERROR(VLOOKUP(A231,Lookup!$J$5:$P$19,7,FALSE),0)</f>
        <v>2</v>
      </c>
      <c r="P231" s="159">
        <f t="shared" si="53"/>
        <v>2013</v>
      </c>
      <c r="Q231" s="159">
        <f t="shared" si="54"/>
        <v>3</v>
      </c>
      <c r="R231" s="160">
        <f t="shared" si="55"/>
        <v>4.6333333332440816</v>
      </c>
      <c r="S231" s="158">
        <f t="shared" si="56"/>
        <v>0.4918063314616623</v>
      </c>
      <c r="T231" s="161">
        <f t="shared" si="57"/>
        <v>82.131657354097598</v>
      </c>
      <c r="U231" s="158">
        <f t="shared" si="59"/>
        <v>17.726256983240223</v>
      </c>
      <c r="V231" s="160">
        <f t="shared" si="58"/>
        <v>18</v>
      </c>
    </row>
    <row r="232" spans="1:22" x14ac:dyDescent="0.25">
      <c r="A232" s="98" t="s">
        <v>22</v>
      </c>
      <c r="B232" s="98" t="s">
        <v>17</v>
      </c>
      <c r="C232" s="98">
        <v>35</v>
      </c>
      <c r="D232" s="98">
        <v>9270</v>
      </c>
      <c r="E232" s="157">
        <v>41354.783333333333</v>
      </c>
      <c r="F232" s="157">
        <v>41354.821527777778</v>
      </c>
      <c r="G232" s="98">
        <v>165</v>
      </c>
      <c r="H232" s="98">
        <v>179</v>
      </c>
      <c r="I232" s="98">
        <v>167</v>
      </c>
      <c r="J232" s="98" t="s">
        <v>2006</v>
      </c>
      <c r="K232" s="98" t="s">
        <v>341</v>
      </c>
      <c r="L232" s="105" t="str">
        <f t="shared" si="50"/>
        <v>Brown</v>
      </c>
      <c r="M232" s="105" t="str">
        <f t="shared" si="51"/>
        <v>Derate</v>
      </c>
      <c r="N232" s="105" t="str">
        <f t="shared" si="52"/>
        <v>Coal</v>
      </c>
      <c r="O232" s="105">
        <f>IFERROR(VLOOKUP(A232,Lookup!$J$5:$P$19,7,FALSE),0)</f>
        <v>2</v>
      </c>
      <c r="P232" s="159">
        <f t="shared" si="53"/>
        <v>2013</v>
      </c>
      <c r="Q232" s="159">
        <f t="shared" si="54"/>
        <v>3</v>
      </c>
      <c r="R232" s="160">
        <f t="shared" si="55"/>
        <v>0.91666666668606922</v>
      </c>
      <c r="S232" s="158">
        <f t="shared" si="56"/>
        <v>7.1694599629078037E-2</v>
      </c>
      <c r="T232" s="161">
        <f t="shared" si="57"/>
        <v>11.972998138056033</v>
      </c>
      <c r="U232" s="158">
        <f t="shared" si="59"/>
        <v>13.061452513966481</v>
      </c>
      <c r="V232" s="160">
        <f t="shared" si="58"/>
        <v>13</v>
      </c>
    </row>
    <row r="233" spans="1:22" x14ac:dyDescent="0.25">
      <c r="A233" s="98" t="s">
        <v>22</v>
      </c>
      <c r="B233" s="98" t="s">
        <v>17</v>
      </c>
      <c r="C233" s="98">
        <v>37</v>
      </c>
      <c r="D233" s="98">
        <v>9270</v>
      </c>
      <c r="E233" s="157">
        <v>41354.821527777778</v>
      </c>
      <c r="F233" s="157">
        <v>41354.839583333334</v>
      </c>
      <c r="G233" s="98">
        <v>170</v>
      </c>
      <c r="H233" s="98">
        <v>179</v>
      </c>
      <c r="I233" s="98">
        <v>167</v>
      </c>
      <c r="J233" s="98" t="s">
        <v>2006</v>
      </c>
      <c r="K233" s="98" t="s">
        <v>342</v>
      </c>
      <c r="L233" s="105" t="str">
        <f t="shared" si="50"/>
        <v>Brown</v>
      </c>
      <c r="M233" s="105" t="str">
        <f t="shared" si="51"/>
        <v>Derate</v>
      </c>
      <c r="N233" s="105" t="str">
        <f t="shared" si="52"/>
        <v>Coal</v>
      </c>
      <c r="O233" s="105">
        <f>IFERROR(VLOOKUP(A233,Lookup!$J$5:$P$19,7,FALSE),0)</f>
        <v>2</v>
      </c>
      <c r="P233" s="159">
        <f t="shared" si="53"/>
        <v>2013</v>
      </c>
      <c r="Q233" s="159">
        <f t="shared" si="54"/>
        <v>3</v>
      </c>
      <c r="R233" s="160">
        <f t="shared" si="55"/>
        <v>0.43333333334885538</v>
      </c>
      <c r="S233" s="158">
        <f t="shared" si="56"/>
        <v>2.1787709497987143E-2</v>
      </c>
      <c r="T233" s="161">
        <f t="shared" si="57"/>
        <v>3.6385474861638532</v>
      </c>
      <c r="U233" s="158">
        <f t="shared" si="59"/>
        <v>8.3966480446927374</v>
      </c>
      <c r="V233" s="160">
        <f t="shared" si="58"/>
        <v>8</v>
      </c>
    </row>
    <row r="234" spans="1:22" x14ac:dyDescent="0.25">
      <c r="A234" s="98" t="s">
        <v>22</v>
      </c>
      <c r="B234" s="98" t="s">
        <v>79</v>
      </c>
      <c r="C234" s="98">
        <v>36</v>
      </c>
      <c r="D234" s="98">
        <v>1100</v>
      </c>
      <c r="E234" s="157">
        <v>41357.909722222219</v>
      </c>
      <c r="F234" s="157">
        <v>41357.920138888891</v>
      </c>
      <c r="G234" s="98">
        <v>0</v>
      </c>
      <c r="H234" s="98">
        <v>179</v>
      </c>
      <c r="I234" s="98">
        <v>167</v>
      </c>
      <c r="J234" s="98" t="s">
        <v>2038</v>
      </c>
      <c r="K234" s="98" t="s">
        <v>81</v>
      </c>
      <c r="L234" s="105" t="str">
        <f t="shared" si="50"/>
        <v>Brown</v>
      </c>
      <c r="M234" s="105" t="str">
        <f t="shared" si="51"/>
        <v>Other</v>
      </c>
      <c r="N234" s="105" t="str">
        <f t="shared" si="52"/>
        <v>Coal</v>
      </c>
      <c r="O234" s="105">
        <f>IFERROR(VLOOKUP(A234,Lookup!$J$5:$P$19,7,FALSE),0)</f>
        <v>2</v>
      </c>
      <c r="P234" s="159">
        <f t="shared" si="53"/>
        <v>2013</v>
      </c>
      <c r="Q234" s="159">
        <f t="shared" si="54"/>
        <v>3</v>
      </c>
      <c r="R234" s="160">
        <f t="shared" si="55"/>
        <v>0.25000000011641532</v>
      </c>
      <c r="S234" s="158">
        <f t="shared" si="56"/>
        <v>0.25000000011641532</v>
      </c>
      <c r="T234" s="161">
        <f t="shared" si="57"/>
        <v>41.750000019441359</v>
      </c>
      <c r="U234" s="158">
        <f t="shared" si="59"/>
        <v>167</v>
      </c>
      <c r="V234" s="160">
        <f t="shared" si="58"/>
        <v>167</v>
      </c>
    </row>
    <row r="235" spans="1:22" x14ac:dyDescent="0.25">
      <c r="A235" s="98" t="s">
        <v>22</v>
      </c>
      <c r="B235" s="98" t="s">
        <v>79</v>
      </c>
      <c r="C235" s="98">
        <v>38</v>
      </c>
      <c r="D235" s="98">
        <v>1100</v>
      </c>
      <c r="E235" s="157">
        <v>41361.46875</v>
      </c>
      <c r="F235" s="157">
        <v>41361.510416666664</v>
      </c>
      <c r="G235" s="98">
        <v>0</v>
      </c>
      <c r="H235" s="98">
        <v>179</v>
      </c>
      <c r="I235" s="98">
        <v>167</v>
      </c>
      <c r="J235" s="98" t="s">
        <v>2038</v>
      </c>
      <c r="K235" s="98" t="s">
        <v>304</v>
      </c>
      <c r="L235" s="105" t="str">
        <f t="shared" si="50"/>
        <v>Brown</v>
      </c>
      <c r="M235" s="105" t="str">
        <f t="shared" si="51"/>
        <v>Other</v>
      </c>
      <c r="N235" s="105" t="str">
        <f t="shared" si="52"/>
        <v>Coal</v>
      </c>
      <c r="O235" s="105">
        <f>IFERROR(VLOOKUP(A235,Lookup!$J$5:$P$19,7,FALSE),0)</f>
        <v>2</v>
      </c>
      <c r="P235" s="159">
        <f t="shared" si="53"/>
        <v>2013</v>
      </c>
      <c r="Q235" s="159">
        <f t="shared" si="54"/>
        <v>3</v>
      </c>
      <c r="R235" s="160">
        <f t="shared" si="55"/>
        <v>0.99999999994179234</v>
      </c>
      <c r="S235" s="158">
        <f t="shared" si="56"/>
        <v>0.99999999994179234</v>
      </c>
      <c r="T235" s="161">
        <f t="shared" si="57"/>
        <v>166.99999999027932</v>
      </c>
      <c r="U235" s="158">
        <f t="shared" si="59"/>
        <v>167</v>
      </c>
      <c r="V235" s="160">
        <f t="shared" si="58"/>
        <v>167</v>
      </c>
    </row>
    <row r="236" spans="1:22" x14ac:dyDescent="0.25">
      <c r="A236" s="98" t="s">
        <v>22</v>
      </c>
      <c r="B236" s="98" t="s">
        <v>17</v>
      </c>
      <c r="C236" s="98">
        <v>39</v>
      </c>
      <c r="D236" s="98">
        <v>310</v>
      </c>
      <c r="E236" s="157">
        <v>41365.381249999999</v>
      </c>
      <c r="F236" s="157">
        <v>41365.399305555555</v>
      </c>
      <c r="G236" s="98">
        <v>140</v>
      </c>
      <c r="H236" s="98">
        <v>179</v>
      </c>
      <c r="I236" s="98">
        <v>167</v>
      </c>
      <c r="J236" s="98" t="s">
        <v>1966</v>
      </c>
      <c r="K236" s="98" t="s">
        <v>343</v>
      </c>
      <c r="L236" s="105" t="str">
        <f t="shared" si="50"/>
        <v>Brown</v>
      </c>
      <c r="M236" s="105" t="str">
        <f t="shared" si="51"/>
        <v>Derate</v>
      </c>
      <c r="N236" s="105" t="str">
        <f t="shared" si="52"/>
        <v>Coal</v>
      </c>
      <c r="O236" s="105">
        <f>IFERROR(VLOOKUP(A236,Lookup!$J$5:$P$19,7,FALSE),0)</f>
        <v>2</v>
      </c>
      <c r="P236" s="159">
        <f t="shared" si="53"/>
        <v>2013</v>
      </c>
      <c r="Q236" s="159">
        <f t="shared" si="54"/>
        <v>4</v>
      </c>
      <c r="R236" s="160">
        <f t="shared" si="55"/>
        <v>0.43333333334885538</v>
      </c>
      <c r="S236" s="158">
        <f t="shared" si="56"/>
        <v>9.4413407824610954E-2</v>
      </c>
      <c r="T236" s="161">
        <f t="shared" si="57"/>
        <v>15.76703910671003</v>
      </c>
      <c r="U236" s="158">
        <f t="shared" si="59"/>
        <v>36.385474860335194</v>
      </c>
      <c r="V236" s="160">
        <f t="shared" si="58"/>
        <v>36</v>
      </c>
    </row>
    <row r="237" spans="1:22" x14ac:dyDescent="0.25">
      <c r="A237" s="98" t="s">
        <v>22</v>
      </c>
      <c r="B237" s="98" t="s">
        <v>17</v>
      </c>
      <c r="C237" s="98">
        <v>40</v>
      </c>
      <c r="D237" s="98">
        <v>310</v>
      </c>
      <c r="E237" s="157">
        <v>41365.399305555555</v>
      </c>
      <c r="F237" s="157">
        <v>41365.599305555559</v>
      </c>
      <c r="G237" s="98">
        <v>135</v>
      </c>
      <c r="H237" s="98">
        <v>179</v>
      </c>
      <c r="I237" s="98">
        <v>167</v>
      </c>
      <c r="J237" s="98" t="s">
        <v>1966</v>
      </c>
      <c r="K237" s="98" t="s">
        <v>344</v>
      </c>
      <c r="L237" s="105" t="str">
        <f t="shared" si="50"/>
        <v>Brown</v>
      </c>
      <c r="M237" s="105" t="str">
        <f t="shared" si="51"/>
        <v>Derate</v>
      </c>
      <c r="N237" s="105" t="str">
        <f t="shared" si="52"/>
        <v>Coal</v>
      </c>
      <c r="O237" s="105">
        <f>IFERROR(VLOOKUP(A237,Lookup!$J$5:$P$19,7,FALSE),0)</f>
        <v>2</v>
      </c>
      <c r="P237" s="159">
        <f t="shared" si="53"/>
        <v>2013</v>
      </c>
      <c r="Q237" s="159">
        <f t="shared" si="54"/>
        <v>4</v>
      </c>
      <c r="R237" s="160">
        <f t="shared" si="55"/>
        <v>4.8000000001047738</v>
      </c>
      <c r="S237" s="158">
        <f t="shared" si="56"/>
        <v>1.179888268182179</v>
      </c>
      <c r="T237" s="161">
        <f t="shared" si="57"/>
        <v>197.04134078642389</v>
      </c>
      <c r="U237" s="158">
        <f t="shared" si="59"/>
        <v>41.050279329608941</v>
      </c>
      <c r="V237" s="160">
        <f t="shared" si="58"/>
        <v>41</v>
      </c>
    </row>
    <row r="238" spans="1:22" x14ac:dyDescent="0.25">
      <c r="A238" s="98" t="s">
        <v>22</v>
      </c>
      <c r="B238" s="98" t="s">
        <v>17</v>
      </c>
      <c r="C238" s="98">
        <v>41</v>
      </c>
      <c r="D238" s="98">
        <v>310</v>
      </c>
      <c r="E238" s="157">
        <v>41375.496527777781</v>
      </c>
      <c r="F238" s="157">
        <v>41375.537499999999</v>
      </c>
      <c r="G238" s="98">
        <v>135</v>
      </c>
      <c r="H238" s="98">
        <v>179</v>
      </c>
      <c r="I238" s="98">
        <v>167</v>
      </c>
      <c r="J238" s="98" t="s">
        <v>1966</v>
      </c>
      <c r="K238" s="98" t="s">
        <v>345</v>
      </c>
      <c r="L238" s="105" t="str">
        <f t="shared" si="50"/>
        <v>Brown</v>
      </c>
      <c r="M238" s="105" t="str">
        <f t="shared" si="51"/>
        <v>Derate</v>
      </c>
      <c r="N238" s="105" t="str">
        <f t="shared" si="52"/>
        <v>Coal</v>
      </c>
      <c r="O238" s="105">
        <f>IFERROR(VLOOKUP(A238,Lookup!$J$5:$P$19,7,FALSE),0)</f>
        <v>2</v>
      </c>
      <c r="P238" s="159">
        <f t="shared" si="53"/>
        <v>2013</v>
      </c>
      <c r="Q238" s="159">
        <f t="shared" si="54"/>
        <v>4</v>
      </c>
      <c r="R238" s="160">
        <f t="shared" si="55"/>
        <v>0.98333333322079852</v>
      </c>
      <c r="S238" s="158">
        <f t="shared" si="56"/>
        <v>0.24171322157382757</v>
      </c>
      <c r="T238" s="161">
        <f t="shared" si="57"/>
        <v>40.366108002829208</v>
      </c>
      <c r="U238" s="158">
        <f t="shared" si="59"/>
        <v>41.050279329608941</v>
      </c>
      <c r="V238" s="160">
        <f t="shared" si="58"/>
        <v>41</v>
      </c>
    </row>
    <row r="239" spans="1:22" x14ac:dyDescent="0.25">
      <c r="A239" s="98" t="s">
        <v>22</v>
      </c>
      <c r="B239" s="98" t="s">
        <v>17</v>
      </c>
      <c r="C239" s="98">
        <v>42</v>
      </c>
      <c r="D239" s="98">
        <v>310</v>
      </c>
      <c r="E239" s="157">
        <v>41383.731944444444</v>
      </c>
      <c r="F239" s="157">
        <v>41384.144444444442</v>
      </c>
      <c r="G239" s="98">
        <v>150</v>
      </c>
      <c r="H239" s="98">
        <v>179</v>
      </c>
      <c r="I239" s="98">
        <v>167</v>
      </c>
      <c r="J239" s="98" t="s">
        <v>1966</v>
      </c>
      <c r="K239" s="98" t="s">
        <v>346</v>
      </c>
      <c r="L239" s="105" t="str">
        <f t="shared" si="50"/>
        <v>Brown</v>
      </c>
      <c r="M239" s="105" t="str">
        <f t="shared" si="51"/>
        <v>Derate</v>
      </c>
      <c r="N239" s="105" t="str">
        <f t="shared" si="52"/>
        <v>Coal</v>
      </c>
      <c r="O239" s="105">
        <f>IFERROR(VLOOKUP(A239,Lookup!$J$5:$P$19,7,FALSE),0)</f>
        <v>2</v>
      </c>
      <c r="P239" s="159">
        <f t="shared" si="53"/>
        <v>2013</v>
      </c>
      <c r="Q239" s="159">
        <f t="shared" si="54"/>
        <v>4</v>
      </c>
      <c r="R239" s="160">
        <f t="shared" si="55"/>
        <v>9.8999999999650754</v>
      </c>
      <c r="S239" s="158">
        <f t="shared" si="56"/>
        <v>1.6039106145194815</v>
      </c>
      <c r="T239" s="161">
        <f t="shared" si="57"/>
        <v>267.85307262475339</v>
      </c>
      <c r="U239" s="158">
        <f t="shared" si="59"/>
        <v>27.05586592178771</v>
      </c>
      <c r="V239" s="160">
        <f t="shared" si="58"/>
        <v>27</v>
      </c>
    </row>
    <row r="240" spans="1:22" x14ac:dyDescent="0.25">
      <c r="A240" s="98" t="s">
        <v>22</v>
      </c>
      <c r="B240" s="98" t="s">
        <v>17</v>
      </c>
      <c r="C240" s="98">
        <v>43</v>
      </c>
      <c r="D240" s="98">
        <v>9620</v>
      </c>
      <c r="E240" s="157">
        <v>41386.590277777781</v>
      </c>
      <c r="F240" s="157">
        <v>41386.600694444445</v>
      </c>
      <c r="G240" s="98">
        <v>170</v>
      </c>
      <c r="H240" s="98">
        <v>179</v>
      </c>
      <c r="I240" s="98">
        <v>167</v>
      </c>
      <c r="J240" s="98" t="s">
        <v>2029</v>
      </c>
      <c r="K240" s="98" t="s">
        <v>347</v>
      </c>
      <c r="L240" s="105" t="str">
        <f t="shared" si="50"/>
        <v>Brown</v>
      </c>
      <c r="M240" s="105" t="str">
        <f t="shared" si="51"/>
        <v>Derate</v>
      </c>
      <c r="N240" s="105" t="str">
        <f t="shared" si="52"/>
        <v>Coal</v>
      </c>
      <c r="O240" s="105">
        <f>IFERROR(VLOOKUP(A240,Lookup!$J$5:$P$19,7,FALSE),0)</f>
        <v>2</v>
      </c>
      <c r="P240" s="159">
        <f t="shared" si="53"/>
        <v>2013</v>
      </c>
      <c r="Q240" s="159">
        <f t="shared" si="54"/>
        <v>4</v>
      </c>
      <c r="R240" s="160">
        <f t="shared" si="55"/>
        <v>0.24999999994179234</v>
      </c>
      <c r="S240" s="158">
        <f t="shared" si="56"/>
        <v>1.2569832399307994E-2</v>
      </c>
      <c r="T240" s="161">
        <f t="shared" si="57"/>
        <v>2.0991620106844349</v>
      </c>
      <c r="U240" s="158">
        <f t="shared" si="59"/>
        <v>8.3966480446927374</v>
      </c>
      <c r="V240" s="160">
        <f t="shared" si="58"/>
        <v>8</v>
      </c>
    </row>
    <row r="241" spans="1:22" x14ac:dyDescent="0.25">
      <c r="A241" s="98" t="s">
        <v>22</v>
      </c>
      <c r="B241" s="98" t="s">
        <v>17</v>
      </c>
      <c r="C241" s="98">
        <v>44</v>
      </c>
      <c r="D241" s="98">
        <v>9620</v>
      </c>
      <c r="E241" s="157">
        <v>41386.600694444445</v>
      </c>
      <c r="F241" s="157">
        <v>41387.231944444444</v>
      </c>
      <c r="G241" s="98">
        <v>165</v>
      </c>
      <c r="H241" s="98">
        <v>179</v>
      </c>
      <c r="I241" s="98">
        <v>167</v>
      </c>
      <c r="J241" s="98" t="s">
        <v>2029</v>
      </c>
      <c r="K241" s="98" t="s">
        <v>347</v>
      </c>
      <c r="L241" s="105" t="str">
        <f t="shared" si="50"/>
        <v>Brown</v>
      </c>
      <c r="M241" s="105" t="str">
        <f t="shared" si="51"/>
        <v>Derate</v>
      </c>
      <c r="N241" s="105" t="str">
        <f t="shared" si="52"/>
        <v>Coal</v>
      </c>
      <c r="O241" s="105">
        <f>IFERROR(VLOOKUP(A241,Lookup!$J$5:$P$19,7,FALSE),0)</f>
        <v>2</v>
      </c>
      <c r="P241" s="159">
        <f t="shared" si="53"/>
        <v>2013</v>
      </c>
      <c r="Q241" s="159">
        <f t="shared" si="54"/>
        <v>4</v>
      </c>
      <c r="R241" s="160">
        <f t="shared" si="55"/>
        <v>15.149999999965075</v>
      </c>
      <c r="S241" s="158">
        <f t="shared" si="56"/>
        <v>1.1849162011145868</v>
      </c>
      <c r="T241" s="161">
        <f t="shared" si="57"/>
        <v>197.88100558613601</v>
      </c>
      <c r="U241" s="158">
        <f t="shared" si="59"/>
        <v>13.061452513966481</v>
      </c>
      <c r="V241" s="160">
        <f t="shared" si="58"/>
        <v>13</v>
      </c>
    </row>
    <row r="242" spans="1:22" x14ac:dyDescent="0.25">
      <c r="A242" s="98" t="s">
        <v>22</v>
      </c>
      <c r="B242" s="98" t="s">
        <v>17</v>
      </c>
      <c r="C242" s="98">
        <v>45</v>
      </c>
      <c r="D242" s="98">
        <v>9620</v>
      </c>
      <c r="E242" s="157">
        <v>41387.231944444444</v>
      </c>
      <c r="F242" s="157">
        <v>41387.373611111114</v>
      </c>
      <c r="G242" s="98">
        <v>170</v>
      </c>
      <c r="H242" s="98">
        <v>179</v>
      </c>
      <c r="I242" s="98">
        <v>167</v>
      </c>
      <c r="J242" s="98" t="s">
        <v>2029</v>
      </c>
      <c r="K242" s="98" t="s">
        <v>347</v>
      </c>
      <c r="L242" s="105" t="str">
        <f t="shared" si="50"/>
        <v>Brown</v>
      </c>
      <c r="M242" s="105" t="str">
        <f t="shared" si="51"/>
        <v>Derate</v>
      </c>
      <c r="N242" s="105" t="str">
        <f t="shared" si="52"/>
        <v>Coal</v>
      </c>
      <c r="O242" s="105">
        <f>IFERROR(VLOOKUP(A242,Lookup!$J$5:$P$19,7,FALSE),0)</f>
        <v>2</v>
      </c>
      <c r="P242" s="159">
        <f t="shared" si="53"/>
        <v>2013</v>
      </c>
      <c r="Q242" s="159">
        <f t="shared" si="54"/>
        <v>4</v>
      </c>
      <c r="R242" s="160">
        <f t="shared" si="55"/>
        <v>3.4000000000814907</v>
      </c>
      <c r="S242" s="158">
        <f t="shared" si="56"/>
        <v>0.17094972067448835</v>
      </c>
      <c r="T242" s="161">
        <f t="shared" si="57"/>
        <v>28.548603352639557</v>
      </c>
      <c r="U242" s="158">
        <f t="shared" si="59"/>
        <v>8.3966480446927374</v>
      </c>
      <c r="V242" s="160">
        <f t="shared" si="58"/>
        <v>8</v>
      </c>
    </row>
    <row r="243" spans="1:22" x14ac:dyDescent="0.25">
      <c r="A243" s="98" t="s">
        <v>22</v>
      </c>
      <c r="B243" s="98" t="s">
        <v>17</v>
      </c>
      <c r="C243" s="98">
        <v>46</v>
      </c>
      <c r="D243" s="98">
        <v>310</v>
      </c>
      <c r="E243" s="157">
        <v>41389.940972222219</v>
      </c>
      <c r="F243" s="157">
        <v>41390.013888888891</v>
      </c>
      <c r="G243" s="98">
        <v>135</v>
      </c>
      <c r="H243" s="98">
        <v>179</v>
      </c>
      <c r="I243" s="98">
        <v>167</v>
      </c>
      <c r="J243" s="98" t="s">
        <v>1966</v>
      </c>
      <c r="K243" s="98" t="s">
        <v>348</v>
      </c>
      <c r="L243" s="105" t="str">
        <f t="shared" si="50"/>
        <v>Brown</v>
      </c>
      <c r="M243" s="105" t="str">
        <f t="shared" si="51"/>
        <v>Derate</v>
      </c>
      <c r="N243" s="105" t="str">
        <f t="shared" si="52"/>
        <v>Coal</v>
      </c>
      <c r="O243" s="105">
        <f>IFERROR(VLOOKUP(A243,Lookup!$J$5:$P$19,7,FALSE),0)</f>
        <v>2</v>
      </c>
      <c r="P243" s="159">
        <f t="shared" si="53"/>
        <v>2013</v>
      </c>
      <c r="Q243" s="159">
        <f t="shared" si="54"/>
        <v>4</v>
      </c>
      <c r="R243" s="160">
        <f t="shared" si="55"/>
        <v>1.7500000001164153</v>
      </c>
      <c r="S243" s="158">
        <f t="shared" si="56"/>
        <v>0.43016759779397917</v>
      </c>
      <c r="T243" s="161">
        <f t="shared" si="57"/>
        <v>71.837988831594515</v>
      </c>
      <c r="U243" s="158">
        <f t="shared" si="59"/>
        <v>41.050279329608941</v>
      </c>
      <c r="V243" s="160">
        <f t="shared" si="58"/>
        <v>41</v>
      </c>
    </row>
    <row r="244" spans="1:22" x14ac:dyDescent="0.25">
      <c r="A244" s="98" t="s">
        <v>22</v>
      </c>
      <c r="B244" s="98" t="s">
        <v>17</v>
      </c>
      <c r="C244" s="98">
        <v>47</v>
      </c>
      <c r="D244" s="98">
        <v>310</v>
      </c>
      <c r="E244" s="157">
        <v>41391.393750000003</v>
      </c>
      <c r="F244" s="157">
        <v>41391.418749999997</v>
      </c>
      <c r="G244" s="98">
        <v>150</v>
      </c>
      <c r="H244" s="98">
        <v>179</v>
      </c>
      <c r="I244" s="98">
        <v>167</v>
      </c>
      <c r="J244" s="98" t="s">
        <v>1966</v>
      </c>
      <c r="K244" s="98" t="s">
        <v>349</v>
      </c>
      <c r="L244" s="105" t="str">
        <f t="shared" si="50"/>
        <v>Brown</v>
      </c>
      <c r="M244" s="105" t="str">
        <f t="shared" si="51"/>
        <v>Derate</v>
      </c>
      <c r="N244" s="105" t="str">
        <f t="shared" si="52"/>
        <v>Coal</v>
      </c>
      <c r="O244" s="105">
        <f>IFERROR(VLOOKUP(A244,Lookup!$J$5:$P$19,7,FALSE),0)</f>
        <v>2</v>
      </c>
      <c r="P244" s="159">
        <f t="shared" si="53"/>
        <v>2013</v>
      </c>
      <c r="Q244" s="159">
        <f t="shared" si="54"/>
        <v>4</v>
      </c>
      <c r="R244" s="160">
        <f t="shared" si="55"/>
        <v>0.59999999986030161</v>
      </c>
      <c r="S244" s="158">
        <f t="shared" si="56"/>
        <v>9.7206703887981832E-2</v>
      </c>
      <c r="T244" s="161">
        <f t="shared" si="57"/>
        <v>16.233519549292964</v>
      </c>
      <c r="U244" s="158">
        <f t="shared" si="59"/>
        <v>27.05586592178771</v>
      </c>
      <c r="V244" s="160">
        <f t="shared" si="58"/>
        <v>27</v>
      </c>
    </row>
    <row r="245" spans="1:22" x14ac:dyDescent="0.25">
      <c r="A245" s="98" t="s">
        <v>22</v>
      </c>
      <c r="B245" s="98" t="s">
        <v>17</v>
      </c>
      <c r="C245" s="98">
        <v>48</v>
      </c>
      <c r="D245" s="98">
        <v>310</v>
      </c>
      <c r="E245" s="157">
        <v>41391.418749999997</v>
      </c>
      <c r="F245" s="157">
        <v>41391.438194444447</v>
      </c>
      <c r="G245" s="98">
        <v>140</v>
      </c>
      <c r="H245" s="98">
        <v>179</v>
      </c>
      <c r="I245" s="98">
        <v>167</v>
      </c>
      <c r="J245" s="98" t="s">
        <v>1966</v>
      </c>
      <c r="K245" s="98" t="s">
        <v>350</v>
      </c>
      <c r="L245" s="105" t="str">
        <f t="shared" si="50"/>
        <v>Brown</v>
      </c>
      <c r="M245" s="105" t="str">
        <f t="shared" si="51"/>
        <v>Derate</v>
      </c>
      <c r="N245" s="105" t="str">
        <f t="shared" si="52"/>
        <v>Coal</v>
      </c>
      <c r="O245" s="105">
        <f>IFERROR(VLOOKUP(A245,Lookup!$J$5:$P$19,7,FALSE),0)</f>
        <v>2</v>
      </c>
      <c r="P245" s="159">
        <f t="shared" si="53"/>
        <v>2013</v>
      </c>
      <c r="Q245" s="159">
        <f t="shared" si="54"/>
        <v>4</v>
      </c>
      <c r="R245" s="160">
        <f t="shared" si="55"/>
        <v>0.46666666679084301</v>
      </c>
      <c r="S245" s="158">
        <f t="shared" si="56"/>
        <v>0.10167597768068647</v>
      </c>
      <c r="T245" s="161">
        <f t="shared" si="57"/>
        <v>16.979888272674639</v>
      </c>
      <c r="U245" s="158">
        <f t="shared" si="59"/>
        <v>36.385474860335194</v>
      </c>
      <c r="V245" s="160">
        <f t="shared" si="58"/>
        <v>36</v>
      </c>
    </row>
    <row r="246" spans="1:22" x14ac:dyDescent="0.25">
      <c r="A246" s="98" t="s">
        <v>22</v>
      </c>
      <c r="B246" s="98" t="s">
        <v>17</v>
      </c>
      <c r="C246" s="98">
        <v>49</v>
      </c>
      <c r="D246" s="98">
        <v>310</v>
      </c>
      <c r="E246" s="157">
        <v>41395.572222222225</v>
      </c>
      <c r="F246" s="157">
        <v>41395.727777777778</v>
      </c>
      <c r="G246" s="98">
        <v>135</v>
      </c>
      <c r="H246" s="98">
        <v>179</v>
      </c>
      <c r="I246" s="98">
        <v>167</v>
      </c>
      <c r="J246" s="98" t="s">
        <v>1966</v>
      </c>
      <c r="K246" s="98" t="s">
        <v>351</v>
      </c>
      <c r="L246" s="105" t="str">
        <f t="shared" si="50"/>
        <v>Brown</v>
      </c>
      <c r="M246" s="105" t="str">
        <f t="shared" si="51"/>
        <v>Derate</v>
      </c>
      <c r="N246" s="105" t="str">
        <f t="shared" si="52"/>
        <v>Coal</v>
      </c>
      <c r="O246" s="105">
        <f>IFERROR(VLOOKUP(A246,Lookup!$J$5:$P$19,7,FALSE),0)</f>
        <v>2</v>
      </c>
      <c r="P246" s="159">
        <f t="shared" si="53"/>
        <v>2013</v>
      </c>
      <c r="Q246" s="159">
        <f t="shared" si="54"/>
        <v>5</v>
      </c>
      <c r="R246" s="160">
        <f t="shared" si="55"/>
        <v>3.7333333332790062</v>
      </c>
      <c r="S246" s="158">
        <f t="shared" si="56"/>
        <v>0.9176908752194205</v>
      </c>
      <c r="T246" s="161">
        <f t="shared" si="57"/>
        <v>153.25437616164322</v>
      </c>
      <c r="U246" s="158">
        <f t="shared" si="59"/>
        <v>41.050279329608941</v>
      </c>
      <c r="V246" s="160">
        <f t="shared" si="58"/>
        <v>41</v>
      </c>
    </row>
    <row r="247" spans="1:22" x14ac:dyDescent="0.25">
      <c r="A247" s="98" t="s">
        <v>22</v>
      </c>
      <c r="B247" s="98" t="s">
        <v>17</v>
      </c>
      <c r="C247" s="98">
        <v>50</v>
      </c>
      <c r="D247" s="98">
        <v>310</v>
      </c>
      <c r="E247" s="157">
        <v>41395.727777777778</v>
      </c>
      <c r="F247" s="157">
        <v>41395.845138888886</v>
      </c>
      <c r="G247" s="98">
        <v>80</v>
      </c>
      <c r="H247" s="98">
        <v>179</v>
      </c>
      <c r="I247" s="98">
        <v>167</v>
      </c>
      <c r="J247" s="98" t="s">
        <v>1966</v>
      </c>
      <c r="K247" s="98" t="s">
        <v>352</v>
      </c>
      <c r="L247" s="105" t="str">
        <f t="shared" si="50"/>
        <v>Brown</v>
      </c>
      <c r="M247" s="105" t="str">
        <f t="shared" si="51"/>
        <v>Derate</v>
      </c>
      <c r="N247" s="105" t="str">
        <f t="shared" si="52"/>
        <v>Coal</v>
      </c>
      <c r="O247" s="105">
        <f>IFERROR(VLOOKUP(A247,Lookup!$J$5:$P$19,7,FALSE),0)</f>
        <v>2</v>
      </c>
      <c r="P247" s="159">
        <f t="shared" si="53"/>
        <v>2013</v>
      </c>
      <c r="Q247" s="159">
        <f t="shared" si="54"/>
        <v>5</v>
      </c>
      <c r="R247" s="160">
        <f t="shared" si="55"/>
        <v>2.816666666592937</v>
      </c>
      <c r="S247" s="158">
        <f t="shared" si="56"/>
        <v>1.5578212290095015</v>
      </c>
      <c r="T247" s="161">
        <f t="shared" si="57"/>
        <v>260.15614524458675</v>
      </c>
      <c r="U247" s="158">
        <f t="shared" si="59"/>
        <v>92.363128491620117</v>
      </c>
      <c r="V247" s="160">
        <f t="shared" si="58"/>
        <v>92</v>
      </c>
    </row>
    <row r="248" spans="1:22" x14ac:dyDescent="0.25">
      <c r="A248" s="98" t="s">
        <v>22</v>
      </c>
      <c r="B248" s="98" t="s">
        <v>17</v>
      </c>
      <c r="C248" s="98">
        <v>51</v>
      </c>
      <c r="D248" s="98">
        <v>310</v>
      </c>
      <c r="E248" s="157">
        <v>41395.845138888886</v>
      </c>
      <c r="F248" s="157">
        <v>41395.9</v>
      </c>
      <c r="G248" s="98">
        <v>135</v>
      </c>
      <c r="H248" s="98">
        <v>179</v>
      </c>
      <c r="I248" s="98">
        <v>167</v>
      </c>
      <c r="J248" s="98" t="s">
        <v>1966</v>
      </c>
      <c r="K248" s="98" t="s">
        <v>353</v>
      </c>
      <c r="L248" s="105" t="str">
        <f t="shared" si="50"/>
        <v>Brown</v>
      </c>
      <c r="M248" s="105" t="str">
        <f t="shared" si="51"/>
        <v>Derate</v>
      </c>
      <c r="N248" s="105" t="str">
        <f t="shared" si="52"/>
        <v>Coal</v>
      </c>
      <c r="O248" s="105">
        <f>IFERROR(VLOOKUP(A248,Lookup!$J$5:$P$19,7,FALSE),0)</f>
        <v>2</v>
      </c>
      <c r="P248" s="159">
        <f t="shared" si="53"/>
        <v>2013</v>
      </c>
      <c r="Q248" s="159">
        <f t="shared" si="54"/>
        <v>5</v>
      </c>
      <c r="R248" s="160">
        <f t="shared" si="55"/>
        <v>1.3166666667675599</v>
      </c>
      <c r="S248" s="158">
        <f t="shared" si="56"/>
        <v>0.32364990691493095</v>
      </c>
      <c r="T248" s="161">
        <f t="shared" si="57"/>
        <v>54.049534454793466</v>
      </c>
      <c r="U248" s="158">
        <f t="shared" si="59"/>
        <v>41.050279329608941</v>
      </c>
      <c r="V248" s="160">
        <f t="shared" si="58"/>
        <v>41</v>
      </c>
    </row>
    <row r="249" spans="1:22" x14ac:dyDescent="0.25">
      <c r="A249" s="98" t="s">
        <v>22</v>
      </c>
      <c r="B249" s="98" t="s">
        <v>17</v>
      </c>
      <c r="C249" s="98">
        <v>52</v>
      </c>
      <c r="D249" s="98">
        <v>310</v>
      </c>
      <c r="E249" s="157">
        <v>41415.616666666669</v>
      </c>
      <c r="F249" s="157">
        <v>41415.715277777781</v>
      </c>
      <c r="G249" s="98">
        <v>135</v>
      </c>
      <c r="H249" s="98">
        <v>179</v>
      </c>
      <c r="I249" s="98">
        <v>167</v>
      </c>
      <c r="J249" s="98" t="s">
        <v>1966</v>
      </c>
      <c r="K249" s="98" t="s">
        <v>354</v>
      </c>
      <c r="L249" s="105" t="str">
        <f t="shared" si="50"/>
        <v>Brown</v>
      </c>
      <c r="M249" s="105" t="str">
        <f t="shared" si="51"/>
        <v>Derate</v>
      </c>
      <c r="N249" s="105" t="str">
        <f t="shared" si="52"/>
        <v>Coal</v>
      </c>
      <c r="O249" s="105">
        <f>IFERROR(VLOOKUP(A249,Lookup!$J$5:$P$19,7,FALSE),0)</f>
        <v>2</v>
      </c>
      <c r="P249" s="159">
        <f t="shared" si="53"/>
        <v>2013</v>
      </c>
      <c r="Q249" s="159">
        <f t="shared" si="54"/>
        <v>5</v>
      </c>
      <c r="R249" s="160">
        <f t="shared" si="55"/>
        <v>2.3666666666977108</v>
      </c>
      <c r="S249" s="158">
        <f t="shared" si="56"/>
        <v>0.58175046555697918</v>
      </c>
      <c r="T249" s="161">
        <f t="shared" si="57"/>
        <v>97.152327748015523</v>
      </c>
      <c r="U249" s="158">
        <f t="shared" si="59"/>
        <v>41.050279329608941</v>
      </c>
      <c r="V249" s="160">
        <f t="shared" si="58"/>
        <v>41</v>
      </c>
    </row>
    <row r="250" spans="1:22" x14ac:dyDescent="0.25">
      <c r="A250" s="98" t="s">
        <v>22</v>
      </c>
      <c r="B250" s="98" t="s">
        <v>17</v>
      </c>
      <c r="C250" s="98">
        <v>53</v>
      </c>
      <c r="D250" s="98">
        <v>310</v>
      </c>
      <c r="E250" s="157">
        <v>41415.715277777781</v>
      </c>
      <c r="F250" s="157">
        <v>41415.718055555553</v>
      </c>
      <c r="G250" s="98">
        <v>145</v>
      </c>
      <c r="H250" s="98">
        <v>179</v>
      </c>
      <c r="I250" s="98">
        <v>167</v>
      </c>
      <c r="J250" s="98" t="s">
        <v>1966</v>
      </c>
      <c r="K250" s="98" t="s">
        <v>355</v>
      </c>
      <c r="L250" s="105" t="str">
        <f t="shared" si="50"/>
        <v>Brown</v>
      </c>
      <c r="M250" s="105" t="str">
        <f t="shared" si="51"/>
        <v>Derate</v>
      </c>
      <c r="N250" s="105" t="str">
        <f t="shared" si="52"/>
        <v>Coal</v>
      </c>
      <c r="O250" s="105">
        <f>IFERROR(VLOOKUP(A250,Lookup!$J$5:$P$19,7,FALSE),0)</f>
        <v>2</v>
      </c>
      <c r="P250" s="159">
        <f t="shared" si="53"/>
        <v>2013</v>
      </c>
      <c r="Q250" s="159">
        <f t="shared" si="54"/>
        <v>5</v>
      </c>
      <c r="R250" s="160">
        <f t="shared" si="55"/>
        <v>6.6666666534729302E-2</v>
      </c>
      <c r="S250" s="158">
        <f t="shared" si="56"/>
        <v>1.266294224682009E-2</v>
      </c>
      <c r="T250" s="161">
        <f t="shared" si="57"/>
        <v>2.1147113552189549</v>
      </c>
      <c r="U250" s="158">
        <f t="shared" si="59"/>
        <v>31.720670391061454</v>
      </c>
      <c r="V250" s="160">
        <f t="shared" si="58"/>
        <v>32</v>
      </c>
    </row>
    <row r="251" spans="1:22" x14ac:dyDescent="0.25">
      <c r="A251" s="98" t="s">
        <v>22</v>
      </c>
      <c r="B251" s="98" t="s">
        <v>32</v>
      </c>
      <c r="C251" s="98">
        <v>54</v>
      </c>
      <c r="D251" s="98">
        <v>250</v>
      </c>
      <c r="E251" s="157">
        <v>41417.875</v>
      </c>
      <c r="F251" s="157">
        <v>41418.211805555555</v>
      </c>
      <c r="G251" s="98">
        <v>120</v>
      </c>
      <c r="H251" s="98">
        <v>179</v>
      </c>
      <c r="I251" s="98">
        <v>167</v>
      </c>
      <c r="J251" s="98" t="s">
        <v>1978</v>
      </c>
      <c r="K251" s="98" t="s">
        <v>356</v>
      </c>
      <c r="L251" s="105" t="str">
        <f t="shared" si="50"/>
        <v>Brown</v>
      </c>
      <c r="M251" s="105" t="str">
        <f t="shared" si="51"/>
        <v>Derate</v>
      </c>
      <c r="N251" s="105" t="str">
        <f t="shared" si="52"/>
        <v>Coal</v>
      </c>
      <c r="O251" s="105">
        <f>IFERROR(VLOOKUP(A251,Lookup!$J$5:$P$19,7,FALSE),0)</f>
        <v>2</v>
      </c>
      <c r="P251" s="159">
        <f t="shared" si="53"/>
        <v>2013</v>
      </c>
      <c r="Q251" s="159">
        <f t="shared" si="54"/>
        <v>5</v>
      </c>
      <c r="R251" s="160">
        <f t="shared" si="55"/>
        <v>8.0833333333139308</v>
      </c>
      <c r="S251" s="158">
        <f t="shared" si="56"/>
        <v>2.6643389199191168</v>
      </c>
      <c r="T251" s="161">
        <f t="shared" si="57"/>
        <v>444.9445996264925</v>
      </c>
      <c r="U251" s="158">
        <f t="shared" si="59"/>
        <v>55.044692737430168</v>
      </c>
      <c r="V251" s="160">
        <f t="shared" si="58"/>
        <v>55</v>
      </c>
    </row>
    <row r="252" spans="1:22" x14ac:dyDescent="0.25">
      <c r="A252" s="98" t="s">
        <v>22</v>
      </c>
      <c r="B252" s="98" t="s">
        <v>17</v>
      </c>
      <c r="C252" s="98">
        <v>55</v>
      </c>
      <c r="D252" s="98">
        <v>250</v>
      </c>
      <c r="E252" s="157">
        <v>41421.46875</v>
      </c>
      <c r="F252" s="157">
        <v>41421.581250000003</v>
      </c>
      <c r="G252" s="98">
        <v>120</v>
      </c>
      <c r="H252" s="98">
        <v>179</v>
      </c>
      <c r="I252" s="98">
        <v>167</v>
      </c>
      <c r="J252" s="98" t="s">
        <v>1978</v>
      </c>
      <c r="K252" s="98" t="s">
        <v>357</v>
      </c>
      <c r="L252" s="105" t="str">
        <f t="shared" si="50"/>
        <v>Brown</v>
      </c>
      <c r="M252" s="105" t="str">
        <f t="shared" si="51"/>
        <v>Derate</v>
      </c>
      <c r="N252" s="105" t="str">
        <f t="shared" si="52"/>
        <v>Coal</v>
      </c>
      <c r="O252" s="105">
        <f>IFERROR(VLOOKUP(A252,Lookup!$J$5:$P$19,7,FALSE),0)</f>
        <v>2</v>
      </c>
      <c r="P252" s="159">
        <f t="shared" si="53"/>
        <v>2013</v>
      </c>
      <c r="Q252" s="159">
        <f t="shared" si="54"/>
        <v>5</v>
      </c>
      <c r="R252" s="160">
        <f t="shared" si="55"/>
        <v>2.7000000000698492</v>
      </c>
      <c r="S252" s="158">
        <f t="shared" si="56"/>
        <v>0.88994413410123518</v>
      </c>
      <c r="T252" s="161">
        <f t="shared" si="57"/>
        <v>148.62067039490628</v>
      </c>
      <c r="U252" s="158">
        <f t="shared" si="59"/>
        <v>55.044692737430168</v>
      </c>
      <c r="V252" s="160">
        <f t="shared" si="58"/>
        <v>55</v>
      </c>
    </row>
    <row r="253" spans="1:22" x14ac:dyDescent="0.25">
      <c r="A253" s="98" t="s">
        <v>22</v>
      </c>
      <c r="B253" s="98" t="s">
        <v>79</v>
      </c>
      <c r="C253" s="98">
        <v>56</v>
      </c>
      <c r="D253" s="98">
        <v>4268</v>
      </c>
      <c r="E253" s="157">
        <v>41423.172222222223</v>
      </c>
      <c r="F253" s="157">
        <v>41423.218055555553</v>
      </c>
      <c r="G253" s="98">
        <v>0</v>
      </c>
      <c r="H253" s="98">
        <v>179</v>
      </c>
      <c r="I253" s="98">
        <v>167</v>
      </c>
      <c r="J253" s="98" t="s">
        <v>2127</v>
      </c>
      <c r="K253" s="98" t="s">
        <v>358</v>
      </c>
      <c r="L253" s="105" t="str">
        <f t="shared" si="50"/>
        <v>Brown</v>
      </c>
      <c r="M253" s="105" t="str">
        <f t="shared" si="51"/>
        <v>Other</v>
      </c>
      <c r="N253" s="105" t="str">
        <f t="shared" si="52"/>
        <v>Coal</v>
      </c>
      <c r="O253" s="105">
        <f>IFERROR(VLOOKUP(A253,Lookup!$J$5:$P$19,7,FALSE),0)</f>
        <v>2</v>
      </c>
      <c r="P253" s="159">
        <f t="shared" si="53"/>
        <v>2013</v>
      </c>
      <c r="Q253" s="159">
        <f t="shared" si="54"/>
        <v>5</v>
      </c>
      <c r="R253" s="160">
        <f t="shared" si="55"/>
        <v>1.0999999999185093</v>
      </c>
      <c r="S253" s="158">
        <f t="shared" si="56"/>
        <v>1.0999999999185093</v>
      </c>
      <c r="T253" s="161">
        <f t="shared" si="57"/>
        <v>183.69999998639105</v>
      </c>
      <c r="U253" s="158">
        <f t="shared" si="59"/>
        <v>167</v>
      </c>
      <c r="V253" s="160">
        <f t="shared" si="58"/>
        <v>167</v>
      </c>
    </row>
    <row r="254" spans="1:22" x14ac:dyDescent="0.25">
      <c r="A254" s="98" t="s">
        <v>22</v>
      </c>
      <c r="B254" s="98" t="s">
        <v>15</v>
      </c>
      <c r="C254" s="98">
        <v>57</v>
      </c>
      <c r="D254" s="98">
        <v>4268</v>
      </c>
      <c r="E254" s="157">
        <v>41423.218055555553</v>
      </c>
      <c r="F254" s="157">
        <v>41423.265972222223</v>
      </c>
      <c r="G254" s="98">
        <v>0</v>
      </c>
      <c r="H254" s="98">
        <v>179</v>
      </c>
      <c r="I254" s="98">
        <v>167</v>
      </c>
      <c r="J254" s="98" t="s">
        <v>2127</v>
      </c>
      <c r="K254" s="98" t="s">
        <v>359</v>
      </c>
      <c r="L254" s="105" t="str">
        <f t="shared" si="50"/>
        <v>Brown</v>
      </c>
      <c r="M254" s="105" t="str">
        <f t="shared" si="51"/>
        <v>Outage</v>
      </c>
      <c r="N254" s="105" t="str">
        <f t="shared" si="52"/>
        <v>Coal</v>
      </c>
      <c r="O254" s="105">
        <f>IFERROR(VLOOKUP(A254,Lookup!$J$5:$P$19,7,FALSE),0)</f>
        <v>2</v>
      </c>
      <c r="P254" s="159">
        <f t="shared" si="53"/>
        <v>2013</v>
      </c>
      <c r="Q254" s="159">
        <f t="shared" si="54"/>
        <v>5</v>
      </c>
      <c r="R254" s="160">
        <f t="shared" si="55"/>
        <v>1.1500000000814907</v>
      </c>
      <c r="S254" s="158">
        <f t="shared" si="56"/>
        <v>1.1500000000814907</v>
      </c>
      <c r="T254" s="161">
        <f t="shared" si="57"/>
        <v>192.05000001360895</v>
      </c>
      <c r="U254" s="158">
        <f t="shared" si="59"/>
        <v>167</v>
      </c>
      <c r="V254" s="160">
        <f t="shared" si="58"/>
        <v>167</v>
      </c>
    </row>
    <row r="255" spans="1:22" x14ac:dyDescent="0.25">
      <c r="A255" s="98" t="s">
        <v>22</v>
      </c>
      <c r="B255" s="98" t="s">
        <v>15</v>
      </c>
      <c r="C255" s="98">
        <v>58</v>
      </c>
      <c r="D255" s="98">
        <v>1000</v>
      </c>
      <c r="E255" s="157">
        <v>41441.457638888889</v>
      </c>
      <c r="F255" s="157">
        <v>41442.082638888889</v>
      </c>
      <c r="G255" s="98">
        <v>0</v>
      </c>
      <c r="H255" s="98">
        <v>179</v>
      </c>
      <c r="I255" s="98">
        <v>167</v>
      </c>
      <c r="J255" s="98" t="s">
        <v>2002</v>
      </c>
      <c r="K255" s="98" t="s">
        <v>360</v>
      </c>
      <c r="L255" s="105" t="str">
        <f t="shared" si="50"/>
        <v>Brown</v>
      </c>
      <c r="M255" s="105" t="str">
        <f t="shared" si="51"/>
        <v>Outage</v>
      </c>
      <c r="N255" s="105" t="str">
        <f t="shared" si="52"/>
        <v>Coal</v>
      </c>
      <c r="O255" s="105">
        <f>IFERROR(VLOOKUP(A255,Lookup!$J$5:$P$19,7,FALSE),0)</f>
        <v>2</v>
      </c>
      <c r="P255" s="159">
        <f t="shared" si="53"/>
        <v>2013</v>
      </c>
      <c r="Q255" s="159">
        <f t="shared" si="54"/>
        <v>6</v>
      </c>
      <c r="R255" s="160">
        <f t="shared" si="55"/>
        <v>15</v>
      </c>
      <c r="S255" s="158">
        <f t="shared" si="56"/>
        <v>15</v>
      </c>
      <c r="T255" s="161">
        <f t="shared" si="57"/>
        <v>2505</v>
      </c>
      <c r="U255" s="158">
        <f t="shared" si="59"/>
        <v>167</v>
      </c>
      <c r="V255" s="160">
        <f t="shared" si="58"/>
        <v>167</v>
      </c>
    </row>
    <row r="256" spans="1:22" x14ac:dyDescent="0.25">
      <c r="A256" s="98" t="s">
        <v>22</v>
      </c>
      <c r="B256" s="98" t="s">
        <v>18</v>
      </c>
      <c r="C256" s="98">
        <v>59</v>
      </c>
      <c r="D256" s="98">
        <v>400</v>
      </c>
      <c r="E256" s="157">
        <v>41442.082638888889</v>
      </c>
      <c r="F256" s="157">
        <v>41442.254861111112</v>
      </c>
      <c r="G256" s="98">
        <v>0</v>
      </c>
      <c r="H256" s="98">
        <v>179</v>
      </c>
      <c r="I256" s="98">
        <v>167</v>
      </c>
      <c r="J256" s="98" t="s">
        <v>2128</v>
      </c>
      <c r="K256" s="98" t="s">
        <v>361</v>
      </c>
      <c r="L256" s="105" t="str">
        <f t="shared" si="50"/>
        <v>Brown</v>
      </c>
      <c r="M256" s="105" t="str">
        <f t="shared" si="51"/>
        <v>Outage</v>
      </c>
      <c r="N256" s="105" t="str">
        <f t="shared" si="52"/>
        <v>Coal</v>
      </c>
      <c r="O256" s="105">
        <f>IFERROR(VLOOKUP(A256,Lookup!$J$5:$P$19,7,FALSE),0)</f>
        <v>2</v>
      </c>
      <c r="P256" s="159">
        <f t="shared" si="53"/>
        <v>2013</v>
      </c>
      <c r="Q256" s="159">
        <f t="shared" si="54"/>
        <v>6</v>
      </c>
      <c r="R256" s="160">
        <f t="shared" si="55"/>
        <v>4.1333333333604969</v>
      </c>
      <c r="S256" s="158">
        <f t="shared" si="56"/>
        <v>4.1333333333604969</v>
      </c>
      <c r="T256" s="161">
        <f t="shared" si="57"/>
        <v>690.26666667120298</v>
      </c>
      <c r="U256" s="158">
        <f t="shared" si="59"/>
        <v>167</v>
      </c>
      <c r="V256" s="160">
        <f t="shared" si="58"/>
        <v>167</v>
      </c>
    </row>
    <row r="257" spans="1:22" x14ac:dyDescent="0.25">
      <c r="A257" s="98" t="s">
        <v>22</v>
      </c>
      <c r="B257" s="98" t="s">
        <v>32</v>
      </c>
      <c r="C257" s="98">
        <v>60</v>
      </c>
      <c r="D257" s="98">
        <v>310</v>
      </c>
      <c r="E257" s="157">
        <v>41445.958333333336</v>
      </c>
      <c r="F257" s="157">
        <v>41446.083333333336</v>
      </c>
      <c r="G257" s="98">
        <v>140</v>
      </c>
      <c r="H257" s="98">
        <v>179</v>
      </c>
      <c r="I257" s="98">
        <v>167</v>
      </c>
      <c r="J257" s="98" t="s">
        <v>1966</v>
      </c>
      <c r="K257" s="98" t="s">
        <v>362</v>
      </c>
      <c r="L257" s="105" t="str">
        <f t="shared" si="50"/>
        <v>Brown</v>
      </c>
      <c r="M257" s="105" t="str">
        <f t="shared" si="51"/>
        <v>Derate</v>
      </c>
      <c r="N257" s="105" t="str">
        <f t="shared" si="52"/>
        <v>Coal</v>
      </c>
      <c r="O257" s="105">
        <f>IFERROR(VLOOKUP(A257,Lookup!$J$5:$P$19,7,FALSE),0)</f>
        <v>2</v>
      </c>
      <c r="P257" s="159">
        <f t="shared" si="53"/>
        <v>2013</v>
      </c>
      <c r="Q257" s="159">
        <f t="shared" si="54"/>
        <v>6</v>
      </c>
      <c r="R257" s="160">
        <f t="shared" si="55"/>
        <v>3</v>
      </c>
      <c r="S257" s="158">
        <f t="shared" si="56"/>
        <v>0.65363128491620115</v>
      </c>
      <c r="T257" s="161">
        <f t="shared" si="57"/>
        <v>109.1564245810056</v>
      </c>
      <c r="U257" s="158">
        <f t="shared" si="59"/>
        <v>36.385474860335194</v>
      </c>
      <c r="V257" s="160">
        <f t="shared" si="58"/>
        <v>36</v>
      </c>
    </row>
    <row r="258" spans="1:22" x14ac:dyDescent="0.25">
      <c r="A258" s="98" t="s">
        <v>22</v>
      </c>
      <c r="B258" s="98" t="s">
        <v>32</v>
      </c>
      <c r="C258" s="98">
        <v>61</v>
      </c>
      <c r="D258" s="98">
        <v>300</v>
      </c>
      <c r="E258" s="157">
        <v>41448.916666666664</v>
      </c>
      <c r="F258" s="157">
        <v>41449.319444444445</v>
      </c>
      <c r="G258" s="98">
        <v>140</v>
      </c>
      <c r="H258" s="98">
        <v>179</v>
      </c>
      <c r="I258" s="98">
        <v>167</v>
      </c>
      <c r="J258" s="98" t="s">
        <v>1977</v>
      </c>
      <c r="K258" s="98" t="s">
        <v>363</v>
      </c>
      <c r="L258" s="105" t="str">
        <f t="shared" si="50"/>
        <v>Brown</v>
      </c>
      <c r="M258" s="105" t="str">
        <f t="shared" si="51"/>
        <v>Derate</v>
      </c>
      <c r="N258" s="105" t="str">
        <f t="shared" si="52"/>
        <v>Coal</v>
      </c>
      <c r="O258" s="105">
        <f>IFERROR(VLOOKUP(A258,Lookup!$J$5:$P$19,7,FALSE),0)</f>
        <v>2</v>
      </c>
      <c r="P258" s="159">
        <f t="shared" si="53"/>
        <v>2013</v>
      </c>
      <c r="Q258" s="159">
        <f t="shared" si="54"/>
        <v>6</v>
      </c>
      <c r="R258" s="160">
        <f t="shared" si="55"/>
        <v>9.6666666667442769</v>
      </c>
      <c r="S258" s="158">
        <f t="shared" si="56"/>
        <v>2.1061452514135577</v>
      </c>
      <c r="T258" s="161">
        <f t="shared" si="57"/>
        <v>351.72625698606413</v>
      </c>
      <c r="U258" s="158">
        <f t="shared" si="59"/>
        <v>36.385474860335194</v>
      </c>
      <c r="V258" s="160">
        <f t="shared" si="58"/>
        <v>36</v>
      </c>
    </row>
    <row r="259" spans="1:22" x14ac:dyDescent="0.25">
      <c r="A259" s="98" t="s">
        <v>22</v>
      </c>
      <c r="B259" s="98" t="s">
        <v>15</v>
      </c>
      <c r="C259" s="98">
        <v>62</v>
      </c>
      <c r="D259" s="98">
        <v>3420</v>
      </c>
      <c r="E259" s="157">
        <v>41450.333333333336</v>
      </c>
      <c r="F259" s="157">
        <v>41451.219444444447</v>
      </c>
      <c r="G259" s="98">
        <v>0</v>
      </c>
      <c r="H259" s="98">
        <v>179</v>
      </c>
      <c r="I259" s="98">
        <v>167</v>
      </c>
      <c r="J259" s="98" t="s">
        <v>2056</v>
      </c>
      <c r="K259" s="98" t="s">
        <v>364</v>
      </c>
      <c r="L259" s="105" t="str">
        <f t="shared" si="50"/>
        <v>Brown</v>
      </c>
      <c r="M259" s="105" t="str">
        <f t="shared" si="51"/>
        <v>Outage</v>
      </c>
      <c r="N259" s="105" t="str">
        <f t="shared" si="52"/>
        <v>Coal</v>
      </c>
      <c r="O259" s="105">
        <f>IFERROR(VLOOKUP(A259,Lookup!$J$5:$P$19,7,FALSE),0)</f>
        <v>2</v>
      </c>
      <c r="P259" s="159">
        <f t="shared" si="53"/>
        <v>2013</v>
      </c>
      <c r="Q259" s="159">
        <f t="shared" si="54"/>
        <v>6</v>
      </c>
      <c r="R259" s="160">
        <f t="shared" si="55"/>
        <v>21.266666666662786</v>
      </c>
      <c r="S259" s="158">
        <f t="shared" si="56"/>
        <v>21.266666666662786</v>
      </c>
      <c r="T259" s="161">
        <f t="shared" si="57"/>
        <v>3551.5333333326853</v>
      </c>
      <c r="U259" s="158">
        <f t="shared" si="59"/>
        <v>167</v>
      </c>
      <c r="V259" s="160">
        <f t="shared" si="58"/>
        <v>167</v>
      </c>
    </row>
    <row r="260" spans="1:22" x14ac:dyDescent="0.25">
      <c r="A260" s="98" t="s">
        <v>22</v>
      </c>
      <c r="B260" s="98" t="s">
        <v>32</v>
      </c>
      <c r="C260" s="98">
        <v>63</v>
      </c>
      <c r="D260" s="98">
        <v>310</v>
      </c>
      <c r="E260" s="157">
        <v>41452</v>
      </c>
      <c r="F260" s="157">
        <v>41453.140277777777</v>
      </c>
      <c r="G260" s="98">
        <v>140</v>
      </c>
      <c r="H260" s="98">
        <v>179</v>
      </c>
      <c r="I260" s="98">
        <v>167</v>
      </c>
      <c r="J260" s="98" t="s">
        <v>1966</v>
      </c>
      <c r="K260" s="98" t="s">
        <v>365</v>
      </c>
      <c r="L260" s="105" t="str">
        <f t="shared" si="50"/>
        <v>Brown</v>
      </c>
      <c r="M260" s="105" t="str">
        <f t="shared" si="51"/>
        <v>Derate</v>
      </c>
      <c r="N260" s="105" t="str">
        <f t="shared" si="52"/>
        <v>Coal</v>
      </c>
      <c r="O260" s="105">
        <f>IFERROR(VLOOKUP(A260,Lookup!$J$5:$P$19,7,FALSE),0)</f>
        <v>2</v>
      </c>
      <c r="P260" s="159">
        <f t="shared" si="53"/>
        <v>2013</v>
      </c>
      <c r="Q260" s="159">
        <f t="shared" si="54"/>
        <v>6</v>
      </c>
      <c r="R260" s="160">
        <f t="shared" si="55"/>
        <v>27.366666666639503</v>
      </c>
      <c r="S260" s="158">
        <f t="shared" si="56"/>
        <v>5.9625698323963165</v>
      </c>
      <c r="T260" s="161">
        <f t="shared" si="57"/>
        <v>995.74916201018482</v>
      </c>
      <c r="U260" s="158">
        <f t="shared" si="59"/>
        <v>36.385474860335194</v>
      </c>
      <c r="V260" s="160">
        <f t="shared" si="58"/>
        <v>36</v>
      </c>
    </row>
    <row r="261" spans="1:22" x14ac:dyDescent="0.25">
      <c r="A261" s="98" t="s">
        <v>22</v>
      </c>
      <c r="B261" s="98" t="s">
        <v>15</v>
      </c>
      <c r="C261" s="98">
        <v>64</v>
      </c>
      <c r="D261" s="98">
        <v>4750</v>
      </c>
      <c r="E261" s="157">
        <v>41475.45208333333</v>
      </c>
      <c r="F261" s="157">
        <v>41475.518055555556</v>
      </c>
      <c r="G261" s="98">
        <v>0</v>
      </c>
      <c r="H261" s="98">
        <v>179</v>
      </c>
      <c r="I261" s="98">
        <v>167</v>
      </c>
      <c r="J261" s="98" t="s">
        <v>2129</v>
      </c>
      <c r="K261" s="98" t="s">
        <v>916</v>
      </c>
      <c r="L261" s="105" t="str">
        <f t="shared" si="50"/>
        <v>Brown</v>
      </c>
      <c r="M261" s="105" t="str">
        <f t="shared" si="51"/>
        <v>Outage</v>
      </c>
      <c r="N261" s="105" t="str">
        <f t="shared" si="52"/>
        <v>Coal</v>
      </c>
      <c r="O261" s="105">
        <f>IFERROR(VLOOKUP(A261,Lookup!$J$5:$P$19,7,FALSE),0)</f>
        <v>2</v>
      </c>
      <c r="P261" s="159">
        <f t="shared" si="53"/>
        <v>2013</v>
      </c>
      <c r="Q261" s="159">
        <f t="shared" si="54"/>
        <v>7</v>
      </c>
      <c r="R261" s="160">
        <f t="shared" si="55"/>
        <v>1.5833333334303461</v>
      </c>
      <c r="S261" s="158">
        <f t="shared" si="56"/>
        <v>1.5833333334303461</v>
      </c>
      <c r="T261" s="161">
        <f t="shared" si="57"/>
        <v>264.4166666828678</v>
      </c>
      <c r="U261" s="158">
        <f t="shared" si="59"/>
        <v>167</v>
      </c>
      <c r="V261" s="160">
        <f t="shared" si="58"/>
        <v>167</v>
      </c>
    </row>
    <row r="262" spans="1:22" x14ac:dyDescent="0.25">
      <c r="A262" s="98" t="s">
        <v>22</v>
      </c>
      <c r="B262" s="98" t="s">
        <v>20</v>
      </c>
      <c r="C262" s="98">
        <v>65</v>
      </c>
      <c r="D262" s="98">
        <v>8560</v>
      </c>
      <c r="E262" s="157">
        <v>41483.367361111108</v>
      </c>
      <c r="F262" s="157">
        <v>41483.847222222219</v>
      </c>
      <c r="G262" s="98">
        <v>0</v>
      </c>
      <c r="H262" s="98">
        <v>179</v>
      </c>
      <c r="I262" s="98">
        <v>167</v>
      </c>
      <c r="J262" s="98" t="s">
        <v>1971</v>
      </c>
      <c r="K262" s="98" t="s">
        <v>917</v>
      </c>
      <c r="L262" s="105" t="str">
        <f t="shared" si="50"/>
        <v>Brown</v>
      </c>
      <c r="M262" s="105" t="str">
        <f t="shared" si="51"/>
        <v>Maintenance</v>
      </c>
      <c r="N262" s="105" t="str">
        <f t="shared" si="52"/>
        <v>Coal</v>
      </c>
      <c r="O262" s="105">
        <f>IFERROR(VLOOKUP(A262,Lookup!$J$5:$P$19,7,FALSE),0)</f>
        <v>2</v>
      </c>
      <c r="P262" s="159">
        <f t="shared" si="53"/>
        <v>2013</v>
      </c>
      <c r="Q262" s="159">
        <f t="shared" si="54"/>
        <v>7</v>
      </c>
      <c r="R262" s="160">
        <f t="shared" si="55"/>
        <v>11.516666666662786</v>
      </c>
      <c r="S262" s="158">
        <f t="shared" si="56"/>
        <v>11.516666666662786</v>
      </c>
      <c r="T262" s="161">
        <f t="shared" si="57"/>
        <v>1923.2833333326853</v>
      </c>
      <c r="U262" s="158">
        <f t="shared" si="59"/>
        <v>167</v>
      </c>
      <c r="V262" s="160">
        <f t="shared" si="58"/>
        <v>167</v>
      </c>
    </row>
    <row r="263" spans="1:22" x14ac:dyDescent="0.25">
      <c r="A263" s="98" t="s">
        <v>22</v>
      </c>
      <c r="B263" s="98" t="s">
        <v>32</v>
      </c>
      <c r="C263" s="98">
        <v>67</v>
      </c>
      <c r="D263" s="98">
        <v>3410</v>
      </c>
      <c r="E263" s="157">
        <v>41497.25</v>
      </c>
      <c r="F263" s="157">
        <v>41498.105555555558</v>
      </c>
      <c r="G263" s="98">
        <v>99</v>
      </c>
      <c r="H263" s="98">
        <v>179</v>
      </c>
      <c r="I263" s="98">
        <v>167</v>
      </c>
      <c r="J263" s="98" t="s">
        <v>1983</v>
      </c>
      <c r="K263" s="98" t="s">
        <v>918</v>
      </c>
      <c r="L263" s="105" t="str">
        <f t="shared" si="50"/>
        <v>Brown</v>
      </c>
      <c r="M263" s="105" t="str">
        <f t="shared" si="51"/>
        <v>Derate</v>
      </c>
      <c r="N263" s="105" t="str">
        <f t="shared" si="52"/>
        <v>Coal</v>
      </c>
      <c r="O263" s="105">
        <f>IFERROR(VLOOKUP(A263,Lookup!$J$5:$P$19,7,FALSE),0)</f>
        <v>2</v>
      </c>
      <c r="P263" s="159">
        <f t="shared" si="53"/>
        <v>2013</v>
      </c>
      <c r="Q263" s="159">
        <f t="shared" si="54"/>
        <v>8</v>
      </c>
      <c r="R263" s="160">
        <f t="shared" si="55"/>
        <v>20.53333333338378</v>
      </c>
      <c r="S263" s="158">
        <f t="shared" si="56"/>
        <v>9.1769087523502932</v>
      </c>
      <c r="T263" s="161">
        <f t="shared" si="57"/>
        <v>1532.543761642499</v>
      </c>
      <c r="U263" s="158">
        <f t="shared" si="59"/>
        <v>74.636871508379883</v>
      </c>
      <c r="V263" s="160">
        <f t="shared" si="58"/>
        <v>75</v>
      </c>
    </row>
    <row r="264" spans="1:22" x14ac:dyDescent="0.25">
      <c r="A264" s="98" t="s">
        <v>22</v>
      </c>
      <c r="B264" s="98" t="s">
        <v>17</v>
      </c>
      <c r="C264" s="98">
        <v>68</v>
      </c>
      <c r="D264" s="98">
        <v>3210</v>
      </c>
      <c r="E264" s="157">
        <v>41510.407638888886</v>
      </c>
      <c r="F264" s="157">
        <v>41510.439583333333</v>
      </c>
      <c r="G264" s="98">
        <v>130</v>
      </c>
      <c r="H264" s="98">
        <v>179</v>
      </c>
      <c r="I264" s="98">
        <v>167</v>
      </c>
      <c r="J264" s="98" t="s">
        <v>2048</v>
      </c>
      <c r="K264" s="98" t="s">
        <v>919</v>
      </c>
      <c r="L264" s="105" t="str">
        <f t="shared" si="50"/>
        <v>Brown</v>
      </c>
      <c r="M264" s="105" t="str">
        <f t="shared" si="51"/>
        <v>Derate</v>
      </c>
      <c r="N264" s="105" t="str">
        <f t="shared" si="52"/>
        <v>Coal</v>
      </c>
      <c r="O264" s="105">
        <f>IFERROR(VLOOKUP(A264,Lookup!$J$5:$P$19,7,FALSE),0)</f>
        <v>2</v>
      </c>
      <c r="P264" s="159">
        <f t="shared" si="53"/>
        <v>2013</v>
      </c>
      <c r="Q264" s="159">
        <f t="shared" si="54"/>
        <v>8</v>
      </c>
      <c r="R264" s="160">
        <f t="shared" si="55"/>
        <v>0.76666666672099382</v>
      </c>
      <c r="S264" s="158">
        <f t="shared" si="56"/>
        <v>0.20986964619736703</v>
      </c>
      <c r="T264" s="161">
        <f t="shared" si="57"/>
        <v>35.048230914960293</v>
      </c>
      <c r="U264" s="158">
        <f t="shared" si="59"/>
        <v>45.715083798882681</v>
      </c>
      <c r="V264" s="160">
        <f t="shared" si="58"/>
        <v>46</v>
      </c>
    </row>
    <row r="265" spans="1:22" x14ac:dyDescent="0.25">
      <c r="A265" s="98" t="s">
        <v>22</v>
      </c>
      <c r="B265" s="98" t="s">
        <v>32</v>
      </c>
      <c r="C265" s="98">
        <v>69</v>
      </c>
      <c r="D265" s="98">
        <v>310</v>
      </c>
      <c r="E265" s="157">
        <v>41511.916666666664</v>
      </c>
      <c r="F265" s="157">
        <v>41512.138888888891</v>
      </c>
      <c r="G265" s="98">
        <v>140</v>
      </c>
      <c r="H265" s="98">
        <v>179</v>
      </c>
      <c r="I265" s="98">
        <v>167</v>
      </c>
      <c r="J265" s="98" t="s">
        <v>1966</v>
      </c>
      <c r="K265" s="98" t="s">
        <v>920</v>
      </c>
      <c r="L265" s="105" t="str">
        <f t="shared" si="50"/>
        <v>Brown</v>
      </c>
      <c r="M265" s="105" t="str">
        <f t="shared" si="51"/>
        <v>Derate</v>
      </c>
      <c r="N265" s="105" t="str">
        <f t="shared" si="52"/>
        <v>Coal</v>
      </c>
      <c r="O265" s="105">
        <f>IFERROR(VLOOKUP(A265,Lookup!$J$5:$P$19,7,FALSE),0)</f>
        <v>2</v>
      </c>
      <c r="P265" s="159">
        <f t="shared" si="53"/>
        <v>2013</v>
      </c>
      <c r="Q265" s="159">
        <f t="shared" si="54"/>
        <v>8</v>
      </c>
      <c r="R265" s="160">
        <f t="shared" si="55"/>
        <v>5.3333333334303461</v>
      </c>
      <c r="S265" s="158">
        <f t="shared" si="56"/>
        <v>1.1620111732054943</v>
      </c>
      <c r="T265" s="161">
        <f t="shared" si="57"/>
        <v>194.05586592531753</v>
      </c>
      <c r="U265" s="158">
        <f t="shared" si="59"/>
        <v>36.385474860335194</v>
      </c>
      <c r="V265" s="160">
        <f t="shared" si="58"/>
        <v>36</v>
      </c>
    </row>
    <row r="266" spans="1:22" x14ac:dyDescent="0.25">
      <c r="A266" s="98" t="s">
        <v>22</v>
      </c>
      <c r="B266" s="98" t="s">
        <v>32</v>
      </c>
      <c r="C266" s="98">
        <v>70</v>
      </c>
      <c r="D266" s="98">
        <v>344</v>
      </c>
      <c r="E266" s="157">
        <v>41512.916666666664</v>
      </c>
      <c r="F266" s="157">
        <v>41513.142361111109</v>
      </c>
      <c r="G266" s="98">
        <v>140</v>
      </c>
      <c r="H266" s="98">
        <v>179</v>
      </c>
      <c r="I266" s="98">
        <v>167</v>
      </c>
      <c r="J266" s="98" t="s">
        <v>1968</v>
      </c>
      <c r="K266" s="98" t="s">
        <v>921</v>
      </c>
      <c r="L266" s="105" t="str">
        <f t="shared" si="50"/>
        <v>Brown</v>
      </c>
      <c r="M266" s="105" t="str">
        <f t="shared" si="51"/>
        <v>Derate</v>
      </c>
      <c r="N266" s="105" t="str">
        <f t="shared" si="52"/>
        <v>Coal</v>
      </c>
      <c r="O266" s="105">
        <f>IFERROR(VLOOKUP(A266,Lookup!$J$5:$P$19,7,FALSE),0)</f>
        <v>2</v>
      </c>
      <c r="P266" s="159">
        <f t="shared" si="53"/>
        <v>2013</v>
      </c>
      <c r="Q266" s="159">
        <f t="shared" si="54"/>
        <v>8</v>
      </c>
      <c r="R266" s="160">
        <f t="shared" si="55"/>
        <v>5.4166666666860692</v>
      </c>
      <c r="S266" s="158">
        <f t="shared" si="56"/>
        <v>1.1801675977695905</v>
      </c>
      <c r="T266" s="161">
        <f t="shared" si="57"/>
        <v>197.0879888275216</v>
      </c>
      <c r="U266" s="158">
        <f t="shared" si="59"/>
        <v>36.385474860335194</v>
      </c>
      <c r="V266" s="160">
        <f t="shared" si="58"/>
        <v>36</v>
      </c>
    </row>
    <row r="267" spans="1:22" x14ac:dyDescent="0.25">
      <c r="A267" s="98" t="s">
        <v>22</v>
      </c>
      <c r="B267" s="98" t="s">
        <v>32</v>
      </c>
      <c r="C267" s="98">
        <v>71</v>
      </c>
      <c r="D267" s="98">
        <v>344</v>
      </c>
      <c r="E267" s="157">
        <v>41513.916666666664</v>
      </c>
      <c r="F267" s="157">
        <v>41514.104166666664</v>
      </c>
      <c r="G267" s="98">
        <v>140</v>
      </c>
      <c r="H267" s="98">
        <v>179</v>
      </c>
      <c r="I267" s="98">
        <v>167</v>
      </c>
      <c r="J267" s="98" t="s">
        <v>1968</v>
      </c>
      <c r="K267" s="98" t="s">
        <v>922</v>
      </c>
      <c r="L267" s="105" t="str">
        <f t="shared" si="50"/>
        <v>Brown</v>
      </c>
      <c r="M267" s="105" t="str">
        <f t="shared" si="51"/>
        <v>Derate</v>
      </c>
      <c r="N267" s="105" t="str">
        <f t="shared" si="52"/>
        <v>Coal</v>
      </c>
      <c r="O267" s="105">
        <f>IFERROR(VLOOKUP(A267,Lookup!$J$5:$P$19,7,FALSE),0)</f>
        <v>2</v>
      </c>
      <c r="P267" s="159">
        <f t="shared" si="53"/>
        <v>2013</v>
      </c>
      <c r="Q267" s="159">
        <f t="shared" si="54"/>
        <v>8</v>
      </c>
      <c r="R267" s="160">
        <f t="shared" si="55"/>
        <v>4.5</v>
      </c>
      <c r="S267" s="158">
        <f t="shared" si="56"/>
        <v>0.98044692737430172</v>
      </c>
      <c r="T267" s="161">
        <f t="shared" si="57"/>
        <v>163.7346368715084</v>
      </c>
      <c r="U267" s="158">
        <f t="shared" si="59"/>
        <v>36.385474860335194</v>
      </c>
      <c r="V267" s="160">
        <f t="shared" si="58"/>
        <v>36</v>
      </c>
    </row>
    <row r="268" spans="1:22" x14ac:dyDescent="0.25">
      <c r="A268" s="98" t="s">
        <v>22</v>
      </c>
      <c r="B268" s="98" t="s">
        <v>32</v>
      </c>
      <c r="C268" s="98">
        <v>72</v>
      </c>
      <c r="D268" s="98">
        <v>344</v>
      </c>
      <c r="E268" s="157">
        <v>41514.916666666664</v>
      </c>
      <c r="F268" s="157">
        <v>41515.125</v>
      </c>
      <c r="G268" s="98">
        <v>140</v>
      </c>
      <c r="H268" s="98">
        <v>179</v>
      </c>
      <c r="I268" s="98">
        <v>167</v>
      </c>
      <c r="J268" s="98" t="s">
        <v>1968</v>
      </c>
      <c r="K268" s="98" t="s">
        <v>923</v>
      </c>
      <c r="L268" s="105" t="str">
        <f t="shared" si="50"/>
        <v>Brown</v>
      </c>
      <c r="M268" s="105" t="str">
        <f t="shared" si="51"/>
        <v>Derate</v>
      </c>
      <c r="N268" s="105" t="str">
        <f t="shared" si="52"/>
        <v>Coal</v>
      </c>
      <c r="O268" s="105">
        <f>IFERROR(VLOOKUP(A268,Lookup!$J$5:$P$19,7,FALSE),0)</f>
        <v>2</v>
      </c>
      <c r="P268" s="159">
        <f t="shared" si="53"/>
        <v>2013</v>
      </c>
      <c r="Q268" s="159">
        <f t="shared" si="54"/>
        <v>8</v>
      </c>
      <c r="R268" s="160">
        <f t="shared" si="55"/>
        <v>5.0000000000582077</v>
      </c>
      <c r="S268" s="158">
        <f t="shared" si="56"/>
        <v>1.0893854748730174</v>
      </c>
      <c r="T268" s="161">
        <f t="shared" si="57"/>
        <v>181.9273743037939</v>
      </c>
      <c r="U268" s="158">
        <f t="shared" si="59"/>
        <v>36.385474860335194</v>
      </c>
      <c r="V268" s="160">
        <f t="shared" si="58"/>
        <v>36</v>
      </c>
    </row>
    <row r="269" spans="1:22" x14ac:dyDescent="0.25">
      <c r="A269" s="98" t="s">
        <v>22</v>
      </c>
      <c r="B269" s="98" t="s">
        <v>20</v>
      </c>
      <c r="C269" s="98">
        <v>73</v>
      </c>
      <c r="D269" s="98">
        <v>8551</v>
      </c>
      <c r="E269" s="157">
        <v>41520.396527777775</v>
      </c>
      <c r="F269" s="157">
        <v>41521.760416666664</v>
      </c>
      <c r="G269" s="98">
        <v>0</v>
      </c>
      <c r="H269" s="98">
        <v>179</v>
      </c>
      <c r="I269" s="98">
        <v>167</v>
      </c>
      <c r="J269" s="98" t="s">
        <v>1981</v>
      </c>
      <c r="K269" s="98" t="s">
        <v>924</v>
      </c>
      <c r="L269" s="105" t="str">
        <f t="shared" si="50"/>
        <v>Brown</v>
      </c>
      <c r="M269" s="105" t="str">
        <f t="shared" si="51"/>
        <v>Maintenance</v>
      </c>
      <c r="N269" s="105" t="str">
        <f t="shared" si="52"/>
        <v>Coal</v>
      </c>
      <c r="O269" s="105">
        <f>IFERROR(VLOOKUP(A269,Lookup!$J$5:$P$19,7,FALSE),0)</f>
        <v>2</v>
      </c>
      <c r="P269" s="159">
        <f t="shared" si="53"/>
        <v>2013</v>
      </c>
      <c r="Q269" s="159">
        <f t="shared" si="54"/>
        <v>9</v>
      </c>
      <c r="R269" s="160">
        <f t="shared" si="55"/>
        <v>32.733333333337214</v>
      </c>
      <c r="S269" s="158">
        <f t="shared" si="56"/>
        <v>32.733333333337214</v>
      </c>
      <c r="T269" s="161">
        <f t="shared" si="57"/>
        <v>5466.4666666673147</v>
      </c>
      <c r="U269" s="158">
        <f t="shared" si="59"/>
        <v>167</v>
      </c>
      <c r="V269" s="160">
        <f t="shared" si="58"/>
        <v>167</v>
      </c>
    </row>
    <row r="270" spans="1:22" x14ac:dyDescent="0.25">
      <c r="A270" s="98" t="s">
        <v>22</v>
      </c>
      <c r="B270" s="98" t="s">
        <v>18</v>
      </c>
      <c r="C270" s="98">
        <v>75</v>
      </c>
      <c r="D270" s="98">
        <v>8700</v>
      </c>
      <c r="E270" s="157">
        <v>41522.319444444445</v>
      </c>
      <c r="F270" s="157">
        <v>41522.938194444447</v>
      </c>
      <c r="G270" s="98">
        <v>0</v>
      </c>
      <c r="H270" s="98">
        <v>179</v>
      </c>
      <c r="I270" s="98">
        <v>167</v>
      </c>
      <c r="J270" s="98" t="s">
        <v>1987</v>
      </c>
      <c r="K270" s="98" t="s">
        <v>925</v>
      </c>
      <c r="L270" s="105" t="str">
        <f t="shared" si="50"/>
        <v>Brown</v>
      </c>
      <c r="M270" s="105" t="str">
        <f t="shared" si="51"/>
        <v>Outage</v>
      </c>
      <c r="N270" s="105" t="str">
        <f t="shared" si="52"/>
        <v>Coal</v>
      </c>
      <c r="O270" s="105">
        <f>IFERROR(VLOOKUP(A270,Lookup!$J$5:$P$19,7,FALSE),0)</f>
        <v>2</v>
      </c>
      <c r="P270" s="159">
        <f t="shared" si="53"/>
        <v>2013</v>
      </c>
      <c r="Q270" s="159">
        <f t="shared" si="54"/>
        <v>9</v>
      </c>
      <c r="R270" s="160">
        <f t="shared" si="55"/>
        <v>14.850000000034925</v>
      </c>
      <c r="S270" s="158">
        <f t="shared" si="56"/>
        <v>14.850000000034925</v>
      </c>
      <c r="T270" s="161">
        <f t="shared" si="57"/>
        <v>2479.9500000058324</v>
      </c>
      <c r="U270" s="158">
        <f t="shared" si="59"/>
        <v>167</v>
      </c>
      <c r="V270" s="160">
        <f t="shared" si="58"/>
        <v>167</v>
      </c>
    </row>
    <row r="271" spans="1:22" x14ac:dyDescent="0.25">
      <c r="A271" s="98" t="s">
        <v>22</v>
      </c>
      <c r="B271" s="98" t="s">
        <v>15</v>
      </c>
      <c r="C271" s="98">
        <v>76</v>
      </c>
      <c r="D271" s="98">
        <v>3431</v>
      </c>
      <c r="E271" s="157">
        <v>41523.491666666669</v>
      </c>
      <c r="F271" s="157">
        <v>41524.118750000001</v>
      </c>
      <c r="G271" s="98">
        <v>0</v>
      </c>
      <c r="H271" s="98">
        <v>179</v>
      </c>
      <c r="I271" s="98">
        <v>167</v>
      </c>
      <c r="J271" s="98" t="s">
        <v>2123</v>
      </c>
      <c r="K271" s="98" t="s">
        <v>926</v>
      </c>
      <c r="L271" s="105" t="str">
        <f t="shared" si="50"/>
        <v>Brown</v>
      </c>
      <c r="M271" s="105" t="str">
        <f t="shared" si="51"/>
        <v>Outage</v>
      </c>
      <c r="N271" s="105" t="str">
        <f t="shared" si="52"/>
        <v>Coal</v>
      </c>
      <c r="O271" s="105">
        <f>IFERROR(VLOOKUP(A271,Lookup!$J$5:$P$19,7,FALSE),0)</f>
        <v>2</v>
      </c>
      <c r="P271" s="159">
        <f t="shared" si="53"/>
        <v>2013</v>
      </c>
      <c r="Q271" s="159">
        <f t="shared" si="54"/>
        <v>9</v>
      </c>
      <c r="R271" s="160">
        <f t="shared" si="55"/>
        <v>15.049999999988358</v>
      </c>
      <c r="S271" s="158">
        <f t="shared" si="56"/>
        <v>15.049999999988358</v>
      </c>
      <c r="T271" s="161">
        <f t="shared" si="57"/>
        <v>2513.3499999980559</v>
      </c>
      <c r="U271" s="158">
        <f t="shared" si="59"/>
        <v>167</v>
      </c>
      <c r="V271" s="160">
        <f t="shared" si="58"/>
        <v>167</v>
      </c>
    </row>
    <row r="272" spans="1:22" x14ac:dyDescent="0.25">
      <c r="A272" s="98" t="s">
        <v>22</v>
      </c>
      <c r="B272" s="98" t="s">
        <v>32</v>
      </c>
      <c r="C272" s="98">
        <v>79</v>
      </c>
      <c r="D272" s="98">
        <v>310</v>
      </c>
      <c r="E272" s="157">
        <v>41557.083333333336</v>
      </c>
      <c r="F272" s="157">
        <v>41557.166666666664</v>
      </c>
      <c r="G272" s="98">
        <v>140</v>
      </c>
      <c r="H272" s="98">
        <v>179</v>
      </c>
      <c r="I272" s="98">
        <v>167</v>
      </c>
      <c r="J272" s="98" t="s">
        <v>1966</v>
      </c>
      <c r="K272" s="98" t="s">
        <v>927</v>
      </c>
      <c r="L272" s="105" t="str">
        <f t="shared" si="50"/>
        <v>Brown</v>
      </c>
      <c r="M272" s="105" t="str">
        <f t="shared" si="51"/>
        <v>Derate</v>
      </c>
      <c r="N272" s="105" t="str">
        <f t="shared" si="52"/>
        <v>Coal</v>
      </c>
      <c r="O272" s="105">
        <f>IFERROR(VLOOKUP(A272,Lookup!$J$5:$P$19,7,FALSE),0)</f>
        <v>2</v>
      </c>
      <c r="P272" s="159">
        <f t="shared" si="53"/>
        <v>2013</v>
      </c>
      <c r="Q272" s="159">
        <f t="shared" si="54"/>
        <v>10</v>
      </c>
      <c r="R272" s="160">
        <f t="shared" si="55"/>
        <v>1.9999999998835847</v>
      </c>
      <c r="S272" s="158">
        <f t="shared" si="56"/>
        <v>0.43575418991876985</v>
      </c>
      <c r="T272" s="161">
        <f t="shared" si="57"/>
        <v>72.770949716434572</v>
      </c>
      <c r="U272" s="158">
        <f t="shared" si="59"/>
        <v>36.385474860335194</v>
      </c>
      <c r="V272" s="160">
        <f t="shared" si="58"/>
        <v>36</v>
      </c>
    </row>
    <row r="273" spans="1:22" x14ac:dyDescent="0.25">
      <c r="A273" s="98" t="s">
        <v>22</v>
      </c>
      <c r="B273" s="98" t="s">
        <v>32</v>
      </c>
      <c r="C273" s="98">
        <v>80</v>
      </c>
      <c r="D273" s="98">
        <v>310</v>
      </c>
      <c r="E273" s="157">
        <v>41564.847222222219</v>
      </c>
      <c r="F273" s="157">
        <v>41564.981249999997</v>
      </c>
      <c r="G273" s="98">
        <v>140</v>
      </c>
      <c r="H273" s="98">
        <v>179</v>
      </c>
      <c r="I273" s="98">
        <v>167</v>
      </c>
      <c r="J273" s="98" t="s">
        <v>1966</v>
      </c>
      <c r="K273" s="98" t="s">
        <v>928</v>
      </c>
      <c r="L273" s="105" t="str">
        <f t="shared" si="50"/>
        <v>Brown</v>
      </c>
      <c r="M273" s="105" t="str">
        <f t="shared" si="51"/>
        <v>Derate</v>
      </c>
      <c r="N273" s="105" t="str">
        <f t="shared" si="52"/>
        <v>Coal</v>
      </c>
      <c r="O273" s="105">
        <f>IFERROR(VLOOKUP(A273,Lookup!$J$5:$P$19,7,FALSE),0)</f>
        <v>2</v>
      </c>
      <c r="P273" s="159">
        <f t="shared" si="53"/>
        <v>2013</v>
      </c>
      <c r="Q273" s="159">
        <f t="shared" si="54"/>
        <v>10</v>
      </c>
      <c r="R273" s="160">
        <f t="shared" si="55"/>
        <v>3.2166666666744277</v>
      </c>
      <c r="S273" s="158">
        <f t="shared" si="56"/>
        <v>0.70083798882850656</v>
      </c>
      <c r="T273" s="161">
        <f t="shared" si="57"/>
        <v>117.0399441343606</v>
      </c>
      <c r="U273" s="158">
        <f t="shared" si="59"/>
        <v>36.385474860335194</v>
      </c>
      <c r="V273" s="160">
        <f t="shared" si="58"/>
        <v>36</v>
      </c>
    </row>
    <row r="274" spans="1:22" x14ac:dyDescent="0.25">
      <c r="A274" s="98" t="s">
        <v>22</v>
      </c>
      <c r="B274" s="98" t="s">
        <v>33</v>
      </c>
      <c r="C274" s="98">
        <v>82</v>
      </c>
      <c r="D274" s="98">
        <v>270</v>
      </c>
      <c r="E274" s="157">
        <v>41575.398611111108</v>
      </c>
      <c r="F274" s="157">
        <v>41577.962500000001</v>
      </c>
      <c r="G274" s="98">
        <v>0</v>
      </c>
      <c r="H274" s="98">
        <v>179</v>
      </c>
      <c r="I274" s="98">
        <v>167</v>
      </c>
      <c r="J274" s="98" t="s">
        <v>2031</v>
      </c>
      <c r="K274" s="98" t="s">
        <v>929</v>
      </c>
      <c r="L274" s="105" t="str">
        <f t="shared" si="50"/>
        <v>Brown</v>
      </c>
      <c r="M274" s="105" t="str">
        <f t="shared" si="51"/>
        <v>Outage</v>
      </c>
      <c r="N274" s="105" t="str">
        <f t="shared" si="52"/>
        <v>Coal</v>
      </c>
      <c r="O274" s="105">
        <f>IFERROR(VLOOKUP(A274,Lookup!$J$5:$P$19,7,FALSE),0)</f>
        <v>2</v>
      </c>
      <c r="P274" s="159">
        <f t="shared" si="53"/>
        <v>2013</v>
      </c>
      <c r="Q274" s="159">
        <f t="shared" si="54"/>
        <v>10</v>
      </c>
      <c r="R274" s="160">
        <f t="shared" si="55"/>
        <v>61.533333333441988</v>
      </c>
      <c r="S274" s="158">
        <f t="shared" si="56"/>
        <v>61.533333333441988</v>
      </c>
      <c r="T274" s="161">
        <f t="shared" si="57"/>
        <v>10276.066666684812</v>
      </c>
      <c r="U274" s="158">
        <f t="shared" si="59"/>
        <v>167</v>
      </c>
      <c r="V274" s="160">
        <f t="shared" si="58"/>
        <v>167</v>
      </c>
    </row>
    <row r="275" spans="1:22" x14ac:dyDescent="0.25">
      <c r="A275" s="98" t="s">
        <v>22</v>
      </c>
      <c r="B275" s="98" t="s">
        <v>17</v>
      </c>
      <c r="C275" s="98">
        <v>83</v>
      </c>
      <c r="D275" s="98">
        <v>270</v>
      </c>
      <c r="E275" s="157">
        <v>41577.962500000001</v>
      </c>
      <c r="F275" s="157">
        <v>41578.316666666666</v>
      </c>
      <c r="G275" s="98">
        <v>135</v>
      </c>
      <c r="H275" s="98">
        <v>179</v>
      </c>
      <c r="I275" s="98">
        <v>167</v>
      </c>
      <c r="J275" s="98" t="s">
        <v>2031</v>
      </c>
      <c r="K275" s="98" t="s">
        <v>930</v>
      </c>
      <c r="L275" s="105" t="str">
        <f t="shared" si="50"/>
        <v>Brown</v>
      </c>
      <c r="M275" s="105" t="str">
        <f t="shared" si="51"/>
        <v>Derate</v>
      </c>
      <c r="N275" s="105" t="str">
        <f t="shared" si="52"/>
        <v>Coal</v>
      </c>
      <c r="O275" s="105">
        <f>IFERROR(VLOOKUP(A275,Lookup!$J$5:$P$19,7,FALSE),0)</f>
        <v>2</v>
      </c>
      <c r="P275" s="159">
        <f t="shared" si="53"/>
        <v>2013</v>
      </c>
      <c r="Q275" s="159">
        <f t="shared" si="54"/>
        <v>10</v>
      </c>
      <c r="R275" s="160">
        <f t="shared" si="55"/>
        <v>8.4999999999417923</v>
      </c>
      <c r="S275" s="158">
        <f t="shared" si="56"/>
        <v>2.089385474846027</v>
      </c>
      <c r="T275" s="161">
        <f t="shared" si="57"/>
        <v>348.9273742992865</v>
      </c>
      <c r="U275" s="158">
        <f t="shared" si="59"/>
        <v>41.050279329608941</v>
      </c>
      <c r="V275" s="160">
        <f t="shared" si="58"/>
        <v>41</v>
      </c>
    </row>
    <row r="276" spans="1:22" x14ac:dyDescent="0.25">
      <c r="A276" s="98" t="s">
        <v>22</v>
      </c>
      <c r="B276" s="98" t="s">
        <v>17</v>
      </c>
      <c r="C276" s="98">
        <v>84</v>
      </c>
      <c r="D276" s="98">
        <v>270</v>
      </c>
      <c r="E276" s="157">
        <v>41578.316666666666</v>
      </c>
      <c r="F276" s="157">
        <v>41579.533333333333</v>
      </c>
      <c r="G276" s="98">
        <v>140</v>
      </c>
      <c r="H276" s="98">
        <v>179</v>
      </c>
      <c r="I276" s="98">
        <v>167</v>
      </c>
      <c r="J276" s="98" t="s">
        <v>2031</v>
      </c>
      <c r="K276" s="98" t="s">
        <v>931</v>
      </c>
      <c r="L276" s="105" t="str">
        <f t="shared" ref="L276:L338" si="60">IF(OR(A276="BR1",A276="BR2",A276="BR3",A276="BR5",A276="BR6",A276="BR7",A276="BR8",A276="BR9",A276="BR10",A276="BR11"),"Brown",IF(OR(A276="CR4",A276="CR5",A276="CR6",A276="CR11"),"Cane Run",IF(OR(A276="GH1",A276="GH2",A276="GH3",A276="GH4"),"Ghent",IF(OR(A276="GR3",A276="GR4"),"Green River",IF(OR(A276="MC1",A276="MC2",A276="MC3",A276="MC4"),"Mill Creek",IF(OR(A276="TC1",A276="TC2",A276="TC5",A276="TC6",A276="TC7",A276="TC8",A276="TC9",A276="TC10"),"Trimble",IF(A276="TY3","Tyrone",IF(OR(A276="HA1",A276="HA2",A276="HA3"),"Haeflin",IF(OR(A276="PR11",A276="PR12",A276="PR13"),"Paddy's Run","Zorn")))))))))</f>
        <v>Brown</v>
      </c>
      <c r="M276" s="105" t="str">
        <f t="shared" ref="M276:M338" si="61">IF(OR(B276="D1",B276="D2",B276="D3",B276="D4",B276="PD"),"Derate",IF(OR(B276="SF",B276="U1",B276="U2",B276="U3"),"Outage",IF(OR(B276="ME",B276="MO"),"Maintenance","Other")))</f>
        <v>Derate</v>
      </c>
      <c r="N276" s="105" t="str">
        <f t="shared" ref="N276:N338" si="62">IF(OR(A276="BR1",A276="BR2",A276="BR3",A276="CR4",A276="CR5",A276="CR6",A276="GH1",A276="GH2",A276="GH3",A276="GH4",A276="GR3",A276="GR4",A276="MC1",A276="MC2",A276="MC3",A276="MC4",A276="TC1",A276="TC2",A276="TY3"),"Coal","Gas")</f>
        <v>Coal</v>
      </c>
      <c r="O276" s="105">
        <f>IFERROR(VLOOKUP(A276,Lookup!$J$5:$P$19,7,FALSE),0)</f>
        <v>2</v>
      </c>
      <c r="P276" s="159">
        <f t="shared" ref="P276:P338" si="63">YEAR(E276)</f>
        <v>2013</v>
      </c>
      <c r="Q276" s="159">
        <f t="shared" ref="Q276:Q338" si="64">MONTH(E276)</f>
        <v>10</v>
      </c>
      <c r="R276" s="160">
        <f t="shared" ref="R276:R338" si="65">(F276-E276)*24</f>
        <v>29.200000000011642</v>
      </c>
      <c r="S276" s="158">
        <f t="shared" ref="S276:S338" si="66">R276*(H276-G276)/H276</f>
        <v>6.362011173186894</v>
      </c>
      <c r="T276" s="161">
        <f t="shared" ref="T276:T338" si="67">S276*I276</f>
        <v>1062.4558659222114</v>
      </c>
      <c r="U276" s="158">
        <f t="shared" si="59"/>
        <v>36.385474860335194</v>
      </c>
      <c r="V276" s="160">
        <f t="shared" ref="V276:V338" si="68">ROUND(U276,0)</f>
        <v>36</v>
      </c>
    </row>
    <row r="277" spans="1:22" x14ac:dyDescent="0.25">
      <c r="A277" s="98" t="s">
        <v>22</v>
      </c>
      <c r="B277" s="98" t="s">
        <v>38</v>
      </c>
      <c r="C277" s="98">
        <v>85</v>
      </c>
      <c r="D277" s="98">
        <v>1801</v>
      </c>
      <c r="E277" s="157">
        <v>41579.533333333333</v>
      </c>
      <c r="F277" s="157">
        <v>41603.123611111114</v>
      </c>
      <c r="G277" s="98">
        <v>0</v>
      </c>
      <c r="H277" s="98">
        <v>179</v>
      </c>
      <c r="I277" s="98">
        <v>167</v>
      </c>
      <c r="J277" s="98" t="s">
        <v>2021</v>
      </c>
      <c r="K277" s="98" t="s">
        <v>932</v>
      </c>
      <c r="L277" s="105" t="str">
        <f t="shared" si="60"/>
        <v>Brown</v>
      </c>
      <c r="M277" s="105" t="str">
        <f t="shared" si="61"/>
        <v>Other</v>
      </c>
      <c r="N277" s="105" t="str">
        <f t="shared" si="62"/>
        <v>Coal</v>
      </c>
      <c r="O277" s="105">
        <f>IFERROR(VLOOKUP(A277,Lookup!$J$5:$P$19,7,FALSE),0)</f>
        <v>2</v>
      </c>
      <c r="P277" s="159">
        <f t="shared" si="63"/>
        <v>2013</v>
      </c>
      <c r="Q277" s="159">
        <f t="shared" si="64"/>
        <v>11</v>
      </c>
      <c r="R277" s="160">
        <f t="shared" si="65"/>
        <v>566.16666666674428</v>
      </c>
      <c r="S277" s="158">
        <f t="shared" si="66"/>
        <v>566.16666666674428</v>
      </c>
      <c r="T277" s="161">
        <f t="shared" si="67"/>
        <v>94549.833333346294</v>
      </c>
      <c r="U277" s="158">
        <f t="shared" ref="U277:U339" si="69">IF(G277&gt;0,MAX((H277-G277),0)*I277/H277,I277)</f>
        <v>167</v>
      </c>
      <c r="V277" s="160">
        <f t="shared" si="68"/>
        <v>167</v>
      </c>
    </row>
    <row r="278" spans="1:22" x14ac:dyDescent="0.25">
      <c r="A278" s="98" t="s">
        <v>22</v>
      </c>
      <c r="B278" s="98" t="s">
        <v>32</v>
      </c>
      <c r="C278" s="98">
        <v>86</v>
      </c>
      <c r="D278" s="98">
        <v>3410</v>
      </c>
      <c r="E278" s="157">
        <v>41603.129861111112</v>
      </c>
      <c r="F278" s="157">
        <v>41603.385416666664</v>
      </c>
      <c r="G278" s="98">
        <v>115</v>
      </c>
      <c r="H278" s="98">
        <v>179</v>
      </c>
      <c r="I278" s="98">
        <v>167</v>
      </c>
      <c r="J278" s="98" t="s">
        <v>1983</v>
      </c>
      <c r="K278" s="98" t="s">
        <v>933</v>
      </c>
      <c r="L278" s="105" t="str">
        <f t="shared" si="60"/>
        <v>Brown</v>
      </c>
      <c r="M278" s="105" t="str">
        <f t="shared" si="61"/>
        <v>Derate</v>
      </c>
      <c r="N278" s="105" t="str">
        <f t="shared" si="62"/>
        <v>Coal</v>
      </c>
      <c r="O278" s="105">
        <f>IFERROR(VLOOKUP(A278,Lookup!$J$5:$P$19,7,FALSE),0)</f>
        <v>2</v>
      </c>
      <c r="P278" s="159">
        <f t="shared" si="63"/>
        <v>2013</v>
      </c>
      <c r="Q278" s="159">
        <f t="shared" si="64"/>
        <v>11</v>
      </c>
      <c r="R278" s="160">
        <f t="shared" si="65"/>
        <v>6.1333333332440816</v>
      </c>
      <c r="S278" s="158">
        <f t="shared" si="66"/>
        <v>2.1929236498749787</v>
      </c>
      <c r="T278" s="161">
        <f t="shared" si="67"/>
        <v>366.21824952912147</v>
      </c>
      <c r="U278" s="158">
        <f t="shared" si="69"/>
        <v>59.709497206703908</v>
      </c>
      <c r="V278" s="160">
        <f t="shared" si="68"/>
        <v>60</v>
      </c>
    </row>
    <row r="279" spans="1:22" x14ac:dyDescent="0.25">
      <c r="A279" s="98" t="s">
        <v>22</v>
      </c>
      <c r="B279" s="98" t="s">
        <v>32</v>
      </c>
      <c r="C279" s="98">
        <v>87</v>
      </c>
      <c r="D279" s="98">
        <v>855</v>
      </c>
      <c r="E279" s="157">
        <v>41613.958333333336</v>
      </c>
      <c r="F279" s="157">
        <v>41614.041666666664</v>
      </c>
      <c r="G279" s="98">
        <v>100</v>
      </c>
      <c r="H279" s="98">
        <v>179</v>
      </c>
      <c r="I279" s="98">
        <v>167</v>
      </c>
      <c r="J279" s="98" t="s">
        <v>2130</v>
      </c>
      <c r="K279" s="98" t="s">
        <v>934</v>
      </c>
      <c r="L279" s="105" t="str">
        <f t="shared" si="60"/>
        <v>Brown</v>
      </c>
      <c r="M279" s="105" t="str">
        <f t="shared" si="61"/>
        <v>Derate</v>
      </c>
      <c r="N279" s="105" t="str">
        <f t="shared" si="62"/>
        <v>Coal</v>
      </c>
      <c r="O279" s="105">
        <f>IFERROR(VLOOKUP(A279,Lookup!$J$5:$P$19,7,FALSE),0)</f>
        <v>2</v>
      </c>
      <c r="P279" s="159">
        <f t="shared" si="63"/>
        <v>2013</v>
      </c>
      <c r="Q279" s="159">
        <f t="shared" si="64"/>
        <v>12</v>
      </c>
      <c r="R279" s="160">
        <f t="shared" si="65"/>
        <v>1.9999999998835847</v>
      </c>
      <c r="S279" s="158">
        <f t="shared" si="66"/>
        <v>0.88268156419443122</v>
      </c>
      <c r="T279" s="161">
        <f t="shared" si="67"/>
        <v>147.40782122047003</v>
      </c>
      <c r="U279" s="158">
        <f t="shared" si="69"/>
        <v>73.703910614525142</v>
      </c>
      <c r="V279" s="160">
        <f t="shared" si="68"/>
        <v>74</v>
      </c>
    </row>
    <row r="280" spans="1:22" x14ac:dyDescent="0.25">
      <c r="A280" s="98" t="s">
        <v>22</v>
      </c>
      <c r="B280" s="98" t="s">
        <v>17</v>
      </c>
      <c r="C280" s="98">
        <v>88</v>
      </c>
      <c r="D280" s="98">
        <v>3410</v>
      </c>
      <c r="E280" s="157">
        <v>41623.314583333333</v>
      </c>
      <c r="F280" s="157">
        <v>41624.693749999999</v>
      </c>
      <c r="G280" s="98">
        <v>115</v>
      </c>
      <c r="H280" s="98">
        <v>179</v>
      </c>
      <c r="I280" s="98">
        <v>167</v>
      </c>
      <c r="J280" s="98" t="s">
        <v>1983</v>
      </c>
      <c r="K280" s="98" t="s">
        <v>935</v>
      </c>
      <c r="L280" s="105" t="str">
        <f t="shared" si="60"/>
        <v>Brown</v>
      </c>
      <c r="M280" s="105" t="str">
        <f t="shared" si="61"/>
        <v>Derate</v>
      </c>
      <c r="N280" s="105" t="str">
        <f t="shared" si="62"/>
        <v>Coal</v>
      </c>
      <c r="O280" s="105">
        <f>IFERROR(VLOOKUP(A280,Lookup!$J$5:$P$19,7,FALSE),0)</f>
        <v>2</v>
      </c>
      <c r="P280" s="159">
        <f t="shared" si="63"/>
        <v>2013</v>
      </c>
      <c r="Q280" s="159">
        <f t="shared" si="64"/>
        <v>12</v>
      </c>
      <c r="R280" s="160">
        <f t="shared" si="65"/>
        <v>33.099999999976717</v>
      </c>
      <c r="S280" s="158">
        <f t="shared" si="66"/>
        <v>11.834636871500056</v>
      </c>
      <c r="T280" s="161">
        <f t="shared" si="67"/>
        <v>1976.3843575405094</v>
      </c>
      <c r="U280" s="158">
        <f t="shared" si="69"/>
        <v>59.709497206703908</v>
      </c>
      <c r="V280" s="160">
        <f t="shared" si="68"/>
        <v>60</v>
      </c>
    </row>
    <row r="281" spans="1:22" x14ac:dyDescent="0.25">
      <c r="A281" s="98" t="s">
        <v>22</v>
      </c>
      <c r="B281" s="98" t="s">
        <v>20</v>
      </c>
      <c r="C281" s="98">
        <v>89</v>
      </c>
      <c r="D281" s="98">
        <v>3410</v>
      </c>
      <c r="E281" s="157">
        <v>41624.693749999999</v>
      </c>
      <c r="F281" s="157">
        <v>41625.613888888889</v>
      </c>
      <c r="G281" s="98">
        <v>0</v>
      </c>
      <c r="H281" s="98">
        <v>179</v>
      </c>
      <c r="I281" s="98">
        <v>167</v>
      </c>
      <c r="J281" s="98" t="s">
        <v>1983</v>
      </c>
      <c r="K281" s="98" t="s">
        <v>936</v>
      </c>
      <c r="L281" s="105" t="str">
        <f t="shared" si="60"/>
        <v>Brown</v>
      </c>
      <c r="M281" s="105" t="str">
        <f t="shared" si="61"/>
        <v>Maintenance</v>
      </c>
      <c r="N281" s="105" t="str">
        <f t="shared" si="62"/>
        <v>Coal</v>
      </c>
      <c r="O281" s="105">
        <f>IFERROR(VLOOKUP(A281,Lookup!$J$5:$P$19,7,FALSE),0)</f>
        <v>2</v>
      </c>
      <c r="P281" s="159">
        <f t="shared" si="63"/>
        <v>2013</v>
      </c>
      <c r="Q281" s="159">
        <f t="shared" si="64"/>
        <v>12</v>
      </c>
      <c r="R281" s="160">
        <f t="shared" si="65"/>
        <v>22.083333333372138</v>
      </c>
      <c r="S281" s="158">
        <f t="shared" si="66"/>
        <v>22.083333333372138</v>
      </c>
      <c r="T281" s="161">
        <f t="shared" si="67"/>
        <v>3687.9166666731471</v>
      </c>
      <c r="U281" s="158">
        <f t="shared" si="69"/>
        <v>167</v>
      </c>
      <c r="V281" s="160">
        <f t="shared" si="68"/>
        <v>167</v>
      </c>
    </row>
    <row r="282" spans="1:22" x14ac:dyDescent="0.25">
      <c r="A282" s="98" t="s">
        <v>22</v>
      </c>
      <c r="B282" s="98" t="s">
        <v>17</v>
      </c>
      <c r="C282" s="98">
        <v>90</v>
      </c>
      <c r="D282" s="98">
        <v>310</v>
      </c>
      <c r="E282" s="157">
        <v>41625.895833333336</v>
      </c>
      <c r="F282" s="157">
        <v>41626.006944444445</v>
      </c>
      <c r="G282" s="98">
        <v>125</v>
      </c>
      <c r="H282" s="98">
        <v>179</v>
      </c>
      <c r="I282" s="98">
        <v>167</v>
      </c>
      <c r="J282" s="98" t="s">
        <v>1966</v>
      </c>
      <c r="K282" s="98" t="s">
        <v>937</v>
      </c>
      <c r="L282" s="105" t="str">
        <f t="shared" si="60"/>
        <v>Brown</v>
      </c>
      <c r="M282" s="105" t="str">
        <f t="shared" si="61"/>
        <v>Derate</v>
      </c>
      <c r="N282" s="105" t="str">
        <f t="shared" si="62"/>
        <v>Coal</v>
      </c>
      <c r="O282" s="105">
        <f>IFERROR(VLOOKUP(A282,Lookup!$J$5:$P$19,7,FALSE),0)</f>
        <v>2</v>
      </c>
      <c r="P282" s="159">
        <f t="shared" si="63"/>
        <v>2013</v>
      </c>
      <c r="Q282" s="159">
        <f t="shared" si="64"/>
        <v>12</v>
      </c>
      <c r="R282" s="160">
        <f t="shared" si="65"/>
        <v>2.6666666666278616</v>
      </c>
      <c r="S282" s="158">
        <f t="shared" si="66"/>
        <v>0.80446927373131016</v>
      </c>
      <c r="T282" s="161">
        <f t="shared" si="67"/>
        <v>134.34636871312881</v>
      </c>
      <c r="U282" s="158">
        <f t="shared" si="69"/>
        <v>50.379888268156428</v>
      </c>
      <c r="V282" s="160">
        <f t="shared" si="68"/>
        <v>50</v>
      </c>
    </row>
    <row r="283" spans="1:22" x14ac:dyDescent="0.25">
      <c r="A283" s="98" t="s">
        <v>22</v>
      </c>
      <c r="B283" s="98" t="s">
        <v>79</v>
      </c>
      <c r="C283" s="98">
        <v>91</v>
      </c>
      <c r="D283" s="98">
        <v>8700</v>
      </c>
      <c r="E283" s="157">
        <v>41626.354166666664</v>
      </c>
      <c r="F283" s="157">
        <v>41626.756944444445</v>
      </c>
      <c r="G283" s="98">
        <v>0</v>
      </c>
      <c r="H283" s="98">
        <v>179</v>
      </c>
      <c r="I283" s="98">
        <v>167</v>
      </c>
      <c r="J283" s="98" t="s">
        <v>1987</v>
      </c>
      <c r="K283" s="98" t="s">
        <v>938</v>
      </c>
      <c r="L283" s="105" t="str">
        <f t="shared" si="60"/>
        <v>Brown</v>
      </c>
      <c r="M283" s="105" t="str">
        <f t="shared" si="61"/>
        <v>Other</v>
      </c>
      <c r="N283" s="105" t="str">
        <f t="shared" si="62"/>
        <v>Coal</v>
      </c>
      <c r="O283" s="105">
        <f>IFERROR(VLOOKUP(A283,Lookup!$J$5:$P$19,7,FALSE),0)</f>
        <v>2</v>
      </c>
      <c r="P283" s="159">
        <f t="shared" si="63"/>
        <v>2013</v>
      </c>
      <c r="Q283" s="159">
        <f t="shared" si="64"/>
        <v>12</v>
      </c>
      <c r="R283" s="160">
        <f t="shared" si="65"/>
        <v>9.6666666667442769</v>
      </c>
      <c r="S283" s="158">
        <f t="shared" si="66"/>
        <v>9.6666666667442769</v>
      </c>
      <c r="T283" s="161">
        <f t="shared" si="67"/>
        <v>1614.3333333462942</v>
      </c>
      <c r="U283" s="158">
        <f t="shared" si="69"/>
        <v>167</v>
      </c>
      <c r="V283" s="160">
        <f t="shared" si="68"/>
        <v>167</v>
      </c>
    </row>
    <row r="284" spans="1:22" x14ac:dyDescent="0.25">
      <c r="A284" s="98" t="s">
        <v>22</v>
      </c>
      <c r="B284" s="98" t="s">
        <v>17</v>
      </c>
      <c r="C284" s="98">
        <v>92</v>
      </c>
      <c r="D284" s="98">
        <v>310</v>
      </c>
      <c r="E284" s="157">
        <v>41626.756944444445</v>
      </c>
      <c r="F284" s="157">
        <v>41626.898611111108</v>
      </c>
      <c r="G284" s="98">
        <v>130</v>
      </c>
      <c r="H284" s="98">
        <v>179</v>
      </c>
      <c r="I284" s="98">
        <v>167</v>
      </c>
      <c r="J284" s="98" t="s">
        <v>1966</v>
      </c>
      <c r="K284" s="98" t="s">
        <v>939</v>
      </c>
      <c r="L284" s="105" t="str">
        <f t="shared" si="60"/>
        <v>Brown</v>
      </c>
      <c r="M284" s="105" t="str">
        <f t="shared" si="61"/>
        <v>Derate</v>
      </c>
      <c r="N284" s="105" t="str">
        <f t="shared" si="62"/>
        <v>Coal</v>
      </c>
      <c r="O284" s="105">
        <f>IFERROR(VLOOKUP(A284,Lookup!$J$5:$P$19,7,FALSE),0)</f>
        <v>2</v>
      </c>
      <c r="P284" s="159">
        <f t="shared" si="63"/>
        <v>2013</v>
      </c>
      <c r="Q284" s="159">
        <f t="shared" si="64"/>
        <v>12</v>
      </c>
      <c r="R284" s="160">
        <f t="shared" si="65"/>
        <v>3.3999999999068677</v>
      </c>
      <c r="S284" s="158">
        <f t="shared" si="66"/>
        <v>0.93072625695774591</v>
      </c>
      <c r="T284" s="161">
        <f t="shared" si="67"/>
        <v>155.43128491194358</v>
      </c>
      <c r="U284" s="158">
        <f t="shared" si="69"/>
        <v>45.715083798882681</v>
      </c>
      <c r="V284" s="160">
        <f t="shared" si="68"/>
        <v>46</v>
      </c>
    </row>
    <row r="285" spans="1:22" x14ac:dyDescent="0.25">
      <c r="A285" s="98" t="s">
        <v>22</v>
      </c>
      <c r="B285" s="98" t="s">
        <v>79</v>
      </c>
      <c r="C285" s="98">
        <v>93</v>
      </c>
      <c r="D285" s="98">
        <v>8700</v>
      </c>
      <c r="E285" s="157">
        <v>41627.381944444445</v>
      </c>
      <c r="F285" s="157">
        <v>41627.571527777778</v>
      </c>
      <c r="G285" s="98">
        <v>0</v>
      </c>
      <c r="H285" s="98">
        <v>179</v>
      </c>
      <c r="I285" s="98">
        <v>167</v>
      </c>
      <c r="J285" s="98" t="s">
        <v>1987</v>
      </c>
      <c r="K285" s="98" t="s">
        <v>938</v>
      </c>
      <c r="L285" s="105" t="str">
        <f t="shared" si="60"/>
        <v>Brown</v>
      </c>
      <c r="M285" s="105" t="str">
        <f t="shared" si="61"/>
        <v>Other</v>
      </c>
      <c r="N285" s="105" t="str">
        <f t="shared" si="62"/>
        <v>Coal</v>
      </c>
      <c r="O285" s="105">
        <f>IFERROR(VLOOKUP(A285,Lookup!$J$5:$P$19,7,FALSE),0)</f>
        <v>2</v>
      </c>
      <c r="P285" s="159">
        <f t="shared" si="63"/>
        <v>2013</v>
      </c>
      <c r="Q285" s="159">
        <f t="shared" si="64"/>
        <v>12</v>
      </c>
      <c r="R285" s="160">
        <f t="shared" si="65"/>
        <v>4.5499999999883585</v>
      </c>
      <c r="S285" s="158">
        <f t="shared" si="66"/>
        <v>4.5499999999883585</v>
      </c>
      <c r="T285" s="161">
        <f t="shared" si="67"/>
        <v>759.84999999805586</v>
      </c>
      <c r="U285" s="158">
        <f t="shared" si="69"/>
        <v>167</v>
      </c>
      <c r="V285" s="160">
        <f t="shared" si="68"/>
        <v>167</v>
      </c>
    </row>
    <row r="286" spans="1:22" x14ac:dyDescent="0.25">
      <c r="A286" s="98" t="s">
        <v>22</v>
      </c>
      <c r="B286" s="98" t="s">
        <v>32</v>
      </c>
      <c r="C286" s="98">
        <v>1</v>
      </c>
      <c r="D286" s="98">
        <v>310</v>
      </c>
      <c r="E286" s="157">
        <v>41641.916666666664</v>
      </c>
      <c r="F286" s="157">
        <v>41642.083333333336</v>
      </c>
      <c r="G286" s="98">
        <v>125</v>
      </c>
      <c r="H286" s="98">
        <v>179</v>
      </c>
      <c r="I286" s="98">
        <v>167</v>
      </c>
      <c r="J286" s="98" t="s">
        <v>1966</v>
      </c>
      <c r="K286" s="98" t="s">
        <v>940</v>
      </c>
      <c r="L286" s="105" t="str">
        <f t="shared" si="60"/>
        <v>Brown</v>
      </c>
      <c r="M286" s="105" t="str">
        <f t="shared" si="61"/>
        <v>Derate</v>
      </c>
      <c r="N286" s="105" t="str">
        <f t="shared" si="62"/>
        <v>Coal</v>
      </c>
      <c r="O286" s="105">
        <f>IFERROR(VLOOKUP(A286,Lookup!$J$5:$P$19,7,FALSE),0)</f>
        <v>2</v>
      </c>
      <c r="P286" s="159">
        <f t="shared" si="63"/>
        <v>2014</v>
      </c>
      <c r="Q286" s="159">
        <f t="shared" si="64"/>
        <v>1</v>
      </c>
      <c r="R286" s="160">
        <f t="shared" si="65"/>
        <v>4.0000000001164153</v>
      </c>
      <c r="S286" s="158">
        <f t="shared" si="66"/>
        <v>1.2067039106496449</v>
      </c>
      <c r="T286" s="161">
        <f t="shared" si="67"/>
        <v>201.5195530784907</v>
      </c>
      <c r="U286" s="158">
        <f t="shared" si="69"/>
        <v>50.379888268156428</v>
      </c>
      <c r="V286" s="160">
        <f t="shared" si="68"/>
        <v>50</v>
      </c>
    </row>
    <row r="287" spans="1:22" x14ac:dyDescent="0.25">
      <c r="A287" s="98" t="s">
        <v>22</v>
      </c>
      <c r="B287" s="98" t="s">
        <v>17</v>
      </c>
      <c r="C287" s="98">
        <v>2</v>
      </c>
      <c r="D287" s="98">
        <v>310</v>
      </c>
      <c r="E287" s="157">
        <v>41650.788194444445</v>
      </c>
      <c r="F287" s="157">
        <v>41650.892361111109</v>
      </c>
      <c r="G287" s="98">
        <v>135</v>
      </c>
      <c r="H287" s="98">
        <v>179</v>
      </c>
      <c r="I287" s="98">
        <v>167</v>
      </c>
      <c r="J287" s="98" t="s">
        <v>1966</v>
      </c>
      <c r="K287" s="98" t="s">
        <v>941</v>
      </c>
      <c r="L287" s="105" t="str">
        <f t="shared" si="60"/>
        <v>Brown</v>
      </c>
      <c r="M287" s="105" t="str">
        <f t="shared" si="61"/>
        <v>Derate</v>
      </c>
      <c r="N287" s="105" t="str">
        <f t="shared" si="62"/>
        <v>Coal</v>
      </c>
      <c r="O287" s="105">
        <f>IFERROR(VLOOKUP(A287,Lookup!$J$5:$P$19,7,FALSE),0)</f>
        <v>2</v>
      </c>
      <c r="P287" s="159">
        <f t="shared" si="63"/>
        <v>2014</v>
      </c>
      <c r="Q287" s="159">
        <f t="shared" si="64"/>
        <v>1</v>
      </c>
      <c r="R287" s="160">
        <f t="shared" si="65"/>
        <v>2.4999999999417923</v>
      </c>
      <c r="S287" s="158">
        <f t="shared" si="66"/>
        <v>0.61452513965049649</v>
      </c>
      <c r="T287" s="161">
        <f t="shared" si="67"/>
        <v>102.62569832163291</v>
      </c>
      <c r="U287" s="158">
        <f t="shared" si="69"/>
        <v>41.050279329608941</v>
      </c>
      <c r="V287" s="160">
        <f t="shared" si="68"/>
        <v>41</v>
      </c>
    </row>
    <row r="288" spans="1:22" x14ac:dyDescent="0.25">
      <c r="A288" s="98" t="s">
        <v>22</v>
      </c>
      <c r="B288" s="98" t="s">
        <v>32</v>
      </c>
      <c r="C288" s="98">
        <v>3</v>
      </c>
      <c r="D288" s="98">
        <v>344</v>
      </c>
      <c r="E288" s="157">
        <v>41652.405555555553</v>
      </c>
      <c r="F288" s="157">
        <v>41652.510416666664</v>
      </c>
      <c r="G288" s="98">
        <v>115</v>
      </c>
      <c r="H288" s="98">
        <v>179</v>
      </c>
      <c r="I288" s="98">
        <v>167</v>
      </c>
      <c r="J288" s="98" t="s">
        <v>1968</v>
      </c>
      <c r="K288" s="98" t="s">
        <v>942</v>
      </c>
      <c r="L288" s="105" t="str">
        <f t="shared" si="60"/>
        <v>Brown</v>
      </c>
      <c r="M288" s="105" t="str">
        <f t="shared" si="61"/>
        <v>Derate</v>
      </c>
      <c r="N288" s="105" t="str">
        <f t="shared" si="62"/>
        <v>Coal</v>
      </c>
      <c r="O288" s="105">
        <f>IFERROR(VLOOKUP(A288,Lookup!$J$5:$P$19,7,FALSE),0)</f>
        <v>2</v>
      </c>
      <c r="P288" s="159">
        <f t="shared" si="63"/>
        <v>2014</v>
      </c>
      <c r="Q288" s="159">
        <f t="shared" si="64"/>
        <v>1</v>
      </c>
      <c r="R288" s="160">
        <f t="shared" si="65"/>
        <v>2.5166666666627862</v>
      </c>
      <c r="S288" s="158">
        <f t="shared" si="66"/>
        <v>0.89981378025932024</v>
      </c>
      <c r="T288" s="161">
        <f t="shared" si="67"/>
        <v>150.26890130330648</v>
      </c>
      <c r="U288" s="158">
        <f t="shared" si="69"/>
        <v>59.709497206703908</v>
      </c>
      <c r="V288" s="160">
        <f t="shared" si="68"/>
        <v>60</v>
      </c>
    </row>
    <row r="289" spans="1:22" x14ac:dyDescent="0.25">
      <c r="A289" s="98" t="s">
        <v>22</v>
      </c>
      <c r="B289" s="98" t="s">
        <v>17</v>
      </c>
      <c r="C289" s="98">
        <v>4</v>
      </c>
      <c r="D289" s="98">
        <v>310</v>
      </c>
      <c r="E289" s="157">
        <v>41681.836111111108</v>
      </c>
      <c r="F289" s="157">
        <v>41682.095138888886</v>
      </c>
      <c r="G289" s="98">
        <v>130</v>
      </c>
      <c r="H289" s="98">
        <v>179</v>
      </c>
      <c r="I289" s="98">
        <v>167</v>
      </c>
      <c r="J289" s="98" t="s">
        <v>1966</v>
      </c>
      <c r="K289" s="98" t="s">
        <v>943</v>
      </c>
      <c r="L289" s="105" t="str">
        <f t="shared" si="60"/>
        <v>Brown</v>
      </c>
      <c r="M289" s="105" t="str">
        <f t="shared" si="61"/>
        <v>Derate</v>
      </c>
      <c r="N289" s="105" t="str">
        <f t="shared" si="62"/>
        <v>Coal</v>
      </c>
      <c r="O289" s="105">
        <f>IFERROR(VLOOKUP(A289,Lookup!$J$5:$P$19,7,FALSE),0)</f>
        <v>2</v>
      </c>
      <c r="P289" s="159">
        <f t="shared" si="63"/>
        <v>2014</v>
      </c>
      <c r="Q289" s="159">
        <f t="shared" si="64"/>
        <v>2</v>
      </c>
      <c r="R289" s="160">
        <f t="shared" si="65"/>
        <v>6.2166666666744277</v>
      </c>
      <c r="S289" s="158">
        <f t="shared" si="66"/>
        <v>1.7017690875254019</v>
      </c>
      <c r="T289" s="161">
        <f t="shared" si="67"/>
        <v>284.19543761674214</v>
      </c>
      <c r="U289" s="158">
        <f t="shared" si="69"/>
        <v>45.715083798882681</v>
      </c>
      <c r="V289" s="160">
        <f t="shared" si="68"/>
        <v>46</v>
      </c>
    </row>
    <row r="290" spans="1:22" x14ac:dyDescent="0.25">
      <c r="A290" s="98" t="s">
        <v>22</v>
      </c>
      <c r="B290" s="98" t="s">
        <v>17</v>
      </c>
      <c r="C290" s="98">
        <v>5</v>
      </c>
      <c r="D290" s="98">
        <v>310</v>
      </c>
      <c r="E290" s="157">
        <v>41684.765972222223</v>
      </c>
      <c r="F290" s="157">
        <v>41684.799305555556</v>
      </c>
      <c r="G290" s="98">
        <v>135</v>
      </c>
      <c r="H290" s="98">
        <v>179</v>
      </c>
      <c r="I290" s="98">
        <v>167</v>
      </c>
      <c r="J290" s="98" t="s">
        <v>1966</v>
      </c>
      <c r="K290" s="98" t="s">
        <v>944</v>
      </c>
      <c r="L290" s="105" t="str">
        <f t="shared" si="60"/>
        <v>Brown</v>
      </c>
      <c r="M290" s="105" t="str">
        <f t="shared" si="61"/>
        <v>Derate</v>
      </c>
      <c r="N290" s="105" t="str">
        <f t="shared" si="62"/>
        <v>Coal</v>
      </c>
      <c r="O290" s="105">
        <f>IFERROR(VLOOKUP(A290,Lookup!$J$5:$P$19,7,FALSE),0)</f>
        <v>2</v>
      </c>
      <c r="P290" s="159">
        <f t="shared" si="63"/>
        <v>2014</v>
      </c>
      <c r="Q290" s="159">
        <f t="shared" si="64"/>
        <v>2</v>
      </c>
      <c r="R290" s="160">
        <f t="shared" si="65"/>
        <v>0.79999999998835847</v>
      </c>
      <c r="S290" s="158">
        <f t="shared" si="66"/>
        <v>0.19664804468987582</v>
      </c>
      <c r="T290" s="161">
        <f t="shared" si="67"/>
        <v>32.840223463209263</v>
      </c>
      <c r="U290" s="158">
        <f t="shared" si="69"/>
        <v>41.050279329608941</v>
      </c>
      <c r="V290" s="160">
        <f t="shared" si="68"/>
        <v>41</v>
      </c>
    </row>
    <row r="291" spans="1:22" x14ac:dyDescent="0.25">
      <c r="A291" s="98" t="s">
        <v>22</v>
      </c>
      <c r="B291" s="98" t="s">
        <v>17</v>
      </c>
      <c r="C291" s="98">
        <v>6</v>
      </c>
      <c r="D291" s="98">
        <v>310</v>
      </c>
      <c r="E291" s="157">
        <v>41686.273611111108</v>
      </c>
      <c r="F291" s="157">
        <v>41686.747916666667</v>
      </c>
      <c r="G291" s="98">
        <v>125</v>
      </c>
      <c r="H291" s="98">
        <v>179</v>
      </c>
      <c r="I291" s="98">
        <v>167</v>
      </c>
      <c r="J291" s="98" t="s">
        <v>1966</v>
      </c>
      <c r="K291" s="98" t="s">
        <v>945</v>
      </c>
      <c r="L291" s="105" t="str">
        <f t="shared" si="60"/>
        <v>Brown</v>
      </c>
      <c r="M291" s="105" t="str">
        <f t="shared" si="61"/>
        <v>Derate</v>
      </c>
      <c r="N291" s="105" t="str">
        <f t="shared" si="62"/>
        <v>Coal</v>
      </c>
      <c r="O291" s="105">
        <f>IFERROR(VLOOKUP(A291,Lookup!$J$5:$P$19,7,FALSE),0)</f>
        <v>2</v>
      </c>
      <c r="P291" s="159">
        <f t="shared" si="63"/>
        <v>2014</v>
      </c>
      <c r="Q291" s="159">
        <f t="shared" si="64"/>
        <v>2</v>
      </c>
      <c r="R291" s="160">
        <f t="shared" si="65"/>
        <v>11.383333333418705</v>
      </c>
      <c r="S291" s="158">
        <f t="shared" si="66"/>
        <v>3.4340782123162574</v>
      </c>
      <c r="T291" s="161">
        <f t="shared" si="67"/>
        <v>573.49106145681503</v>
      </c>
      <c r="U291" s="158">
        <f t="shared" si="69"/>
        <v>50.379888268156428</v>
      </c>
      <c r="V291" s="160">
        <f t="shared" si="68"/>
        <v>50</v>
      </c>
    </row>
    <row r="292" spans="1:22" x14ac:dyDescent="0.25">
      <c r="A292" s="98" t="s">
        <v>22</v>
      </c>
      <c r="B292" s="98" t="s">
        <v>17</v>
      </c>
      <c r="C292" s="98">
        <v>7</v>
      </c>
      <c r="D292" s="98">
        <v>310</v>
      </c>
      <c r="E292" s="157">
        <v>41686.747916666667</v>
      </c>
      <c r="F292" s="157">
        <v>41689.532638888886</v>
      </c>
      <c r="G292" s="98">
        <v>130</v>
      </c>
      <c r="H292" s="98">
        <v>179</v>
      </c>
      <c r="I292" s="98">
        <v>167</v>
      </c>
      <c r="J292" s="98" t="s">
        <v>1966</v>
      </c>
      <c r="K292" s="98" t="s">
        <v>946</v>
      </c>
      <c r="L292" s="105" t="str">
        <f t="shared" si="60"/>
        <v>Brown</v>
      </c>
      <c r="M292" s="105" t="str">
        <f t="shared" si="61"/>
        <v>Derate</v>
      </c>
      <c r="N292" s="105" t="str">
        <f t="shared" si="62"/>
        <v>Coal</v>
      </c>
      <c r="O292" s="105">
        <f>IFERROR(VLOOKUP(A292,Lookup!$J$5:$P$19,7,FALSE),0)</f>
        <v>2</v>
      </c>
      <c r="P292" s="159">
        <f t="shared" si="63"/>
        <v>2014</v>
      </c>
      <c r="Q292" s="159">
        <f t="shared" si="64"/>
        <v>2</v>
      </c>
      <c r="R292" s="160">
        <f t="shared" si="65"/>
        <v>66.833333333255723</v>
      </c>
      <c r="S292" s="158">
        <f t="shared" si="66"/>
        <v>18.295158286757154</v>
      </c>
      <c r="T292" s="161">
        <f t="shared" si="67"/>
        <v>3055.2914338884448</v>
      </c>
      <c r="U292" s="158">
        <f t="shared" si="69"/>
        <v>45.715083798882681</v>
      </c>
      <c r="V292" s="160">
        <f t="shared" si="68"/>
        <v>46</v>
      </c>
    </row>
    <row r="293" spans="1:22" x14ac:dyDescent="0.25">
      <c r="A293" s="98" t="s">
        <v>22</v>
      </c>
      <c r="B293" s="98" t="s">
        <v>17</v>
      </c>
      <c r="C293" s="98">
        <v>8</v>
      </c>
      <c r="D293" s="98">
        <v>310</v>
      </c>
      <c r="E293" s="157">
        <v>41689.532638888886</v>
      </c>
      <c r="F293" s="157">
        <v>41690.916666666664</v>
      </c>
      <c r="G293" s="98">
        <v>135</v>
      </c>
      <c r="H293" s="98">
        <v>179</v>
      </c>
      <c r="I293" s="98">
        <v>167</v>
      </c>
      <c r="J293" s="98" t="s">
        <v>1966</v>
      </c>
      <c r="K293" s="98" t="s">
        <v>947</v>
      </c>
      <c r="L293" s="105" t="str">
        <f t="shared" si="60"/>
        <v>Brown</v>
      </c>
      <c r="M293" s="105" t="str">
        <f t="shared" si="61"/>
        <v>Derate</v>
      </c>
      <c r="N293" s="105" t="str">
        <f t="shared" si="62"/>
        <v>Coal</v>
      </c>
      <c r="O293" s="105">
        <f>IFERROR(VLOOKUP(A293,Lookup!$J$5:$P$19,7,FALSE),0)</f>
        <v>2</v>
      </c>
      <c r="P293" s="159">
        <f t="shared" si="63"/>
        <v>2014</v>
      </c>
      <c r="Q293" s="159">
        <f t="shared" si="64"/>
        <v>2</v>
      </c>
      <c r="R293" s="160">
        <f t="shared" si="65"/>
        <v>33.216666666674428</v>
      </c>
      <c r="S293" s="158">
        <f t="shared" si="66"/>
        <v>8.1649906890149424</v>
      </c>
      <c r="T293" s="161">
        <f t="shared" si="67"/>
        <v>1363.5534450654955</v>
      </c>
      <c r="U293" s="158">
        <f t="shared" si="69"/>
        <v>41.050279329608941</v>
      </c>
      <c r="V293" s="160">
        <f t="shared" si="68"/>
        <v>41</v>
      </c>
    </row>
    <row r="294" spans="1:22" x14ac:dyDescent="0.25">
      <c r="A294" s="98" t="s">
        <v>22</v>
      </c>
      <c r="B294" s="98" t="s">
        <v>32</v>
      </c>
      <c r="C294" s="98">
        <v>9</v>
      </c>
      <c r="D294" s="98">
        <v>3410</v>
      </c>
      <c r="E294" s="157">
        <v>41690.916666666664</v>
      </c>
      <c r="F294" s="157">
        <v>41691.375</v>
      </c>
      <c r="G294" s="98">
        <v>110</v>
      </c>
      <c r="H294" s="98">
        <v>179</v>
      </c>
      <c r="I294" s="98">
        <v>167</v>
      </c>
      <c r="J294" s="98" t="s">
        <v>1983</v>
      </c>
      <c r="K294" s="98" t="s">
        <v>948</v>
      </c>
      <c r="L294" s="105" t="str">
        <f t="shared" si="60"/>
        <v>Brown</v>
      </c>
      <c r="M294" s="105" t="str">
        <f t="shared" si="61"/>
        <v>Derate</v>
      </c>
      <c r="N294" s="105" t="str">
        <f t="shared" si="62"/>
        <v>Coal</v>
      </c>
      <c r="O294" s="105">
        <f>IFERROR(VLOOKUP(A294,Lookup!$J$5:$P$19,7,FALSE),0)</f>
        <v>2</v>
      </c>
      <c r="P294" s="159">
        <f t="shared" si="63"/>
        <v>2014</v>
      </c>
      <c r="Q294" s="159">
        <f t="shared" si="64"/>
        <v>2</v>
      </c>
      <c r="R294" s="160">
        <f t="shared" si="65"/>
        <v>11.000000000058208</v>
      </c>
      <c r="S294" s="158">
        <f t="shared" si="66"/>
        <v>4.2402234637095884</v>
      </c>
      <c r="T294" s="161">
        <f t="shared" si="67"/>
        <v>708.11731843950122</v>
      </c>
      <c r="U294" s="158">
        <f t="shared" si="69"/>
        <v>64.374301675977648</v>
      </c>
      <c r="V294" s="160">
        <f t="shared" si="68"/>
        <v>64</v>
      </c>
    </row>
    <row r="295" spans="1:22" x14ac:dyDescent="0.25">
      <c r="A295" s="98" t="s">
        <v>22</v>
      </c>
      <c r="B295" s="98" t="s">
        <v>17</v>
      </c>
      <c r="C295" s="98">
        <v>10</v>
      </c>
      <c r="D295" s="98">
        <v>310</v>
      </c>
      <c r="E295" s="157">
        <v>41691.375</v>
      </c>
      <c r="F295" s="157">
        <v>41691.925694444442</v>
      </c>
      <c r="G295" s="98">
        <v>130</v>
      </c>
      <c r="H295" s="98">
        <v>179</v>
      </c>
      <c r="I295" s="98">
        <v>167</v>
      </c>
      <c r="J295" s="98" t="s">
        <v>1966</v>
      </c>
      <c r="K295" s="98" t="s">
        <v>947</v>
      </c>
      <c r="L295" s="105" t="str">
        <f t="shared" si="60"/>
        <v>Brown</v>
      </c>
      <c r="M295" s="105" t="str">
        <f t="shared" si="61"/>
        <v>Derate</v>
      </c>
      <c r="N295" s="105" t="str">
        <f t="shared" si="62"/>
        <v>Coal</v>
      </c>
      <c r="O295" s="105">
        <f>IFERROR(VLOOKUP(A295,Lookup!$J$5:$P$19,7,FALSE),0)</f>
        <v>2</v>
      </c>
      <c r="P295" s="159">
        <f t="shared" si="63"/>
        <v>2014</v>
      </c>
      <c r="Q295" s="159">
        <f t="shared" si="64"/>
        <v>2</v>
      </c>
      <c r="R295" s="160">
        <f t="shared" si="65"/>
        <v>13.21666666661622</v>
      </c>
      <c r="S295" s="158">
        <f t="shared" si="66"/>
        <v>3.6179702048279037</v>
      </c>
      <c r="T295" s="161">
        <f t="shared" si="67"/>
        <v>604.20102420625994</v>
      </c>
      <c r="U295" s="158">
        <f t="shared" si="69"/>
        <v>45.715083798882681</v>
      </c>
      <c r="V295" s="160">
        <f t="shared" si="68"/>
        <v>46</v>
      </c>
    </row>
    <row r="296" spans="1:22" x14ac:dyDescent="0.25">
      <c r="A296" s="98" t="s">
        <v>22</v>
      </c>
      <c r="B296" s="98" t="s">
        <v>20</v>
      </c>
      <c r="C296" s="98">
        <v>11</v>
      </c>
      <c r="D296" s="98">
        <v>3110</v>
      </c>
      <c r="E296" s="157">
        <v>41691.925694444442</v>
      </c>
      <c r="F296" s="157">
        <v>41693.088194444441</v>
      </c>
      <c r="G296" s="98">
        <v>0</v>
      </c>
      <c r="H296" s="98">
        <v>179</v>
      </c>
      <c r="I296" s="98">
        <v>167</v>
      </c>
      <c r="J296" s="98" t="s">
        <v>2119</v>
      </c>
      <c r="K296" s="98" t="s">
        <v>949</v>
      </c>
      <c r="L296" s="105" t="str">
        <f t="shared" si="60"/>
        <v>Brown</v>
      </c>
      <c r="M296" s="105" t="str">
        <f t="shared" si="61"/>
        <v>Maintenance</v>
      </c>
      <c r="N296" s="105" t="str">
        <f t="shared" si="62"/>
        <v>Coal</v>
      </c>
      <c r="O296" s="105">
        <f>IFERROR(VLOOKUP(A296,Lookup!$J$5:$P$19,7,FALSE),0)</f>
        <v>2</v>
      </c>
      <c r="P296" s="159">
        <f t="shared" si="63"/>
        <v>2014</v>
      </c>
      <c r="Q296" s="159">
        <f t="shared" si="64"/>
        <v>2</v>
      </c>
      <c r="R296" s="160">
        <f t="shared" si="65"/>
        <v>27.899999999965075</v>
      </c>
      <c r="S296" s="158">
        <f t="shared" si="66"/>
        <v>27.899999999965075</v>
      </c>
      <c r="T296" s="161">
        <f t="shared" si="67"/>
        <v>4659.2999999941676</v>
      </c>
      <c r="U296" s="158">
        <f t="shared" si="69"/>
        <v>167</v>
      </c>
      <c r="V296" s="160">
        <f t="shared" si="68"/>
        <v>167</v>
      </c>
    </row>
    <row r="297" spans="1:22" x14ac:dyDescent="0.25">
      <c r="A297" s="98" t="s">
        <v>22</v>
      </c>
      <c r="B297" s="98" t="s">
        <v>17</v>
      </c>
      <c r="C297" s="98">
        <v>12</v>
      </c>
      <c r="D297" s="98">
        <v>310</v>
      </c>
      <c r="E297" s="157">
        <v>41693.368750000001</v>
      </c>
      <c r="F297" s="157">
        <v>41694.35</v>
      </c>
      <c r="G297" s="98">
        <v>130</v>
      </c>
      <c r="H297" s="98">
        <v>179</v>
      </c>
      <c r="I297" s="98">
        <v>167</v>
      </c>
      <c r="J297" s="98" t="s">
        <v>1966</v>
      </c>
      <c r="K297" s="98" t="s">
        <v>947</v>
      </c>
      <c r="L297" s="105" t="str">
        <f t="shared" si="60"/>
        <v>Brown</v>
      </c>
      <c r="M297" s="105" t="str">
        <f t="shared" si="61"/>
        <v>Derate</v>
      </c>
      <c r="N297" s="105" t="str">
        <f t="shared" si="62"/>
        <v>Coal</v>
      </c>
      <c r="O297" s="105">
        <f>IFERROR(VLOOKUP(A297,Lookup!$J$5:$P$19,7,FALSE),0)</f>
        <v>2</v>
      </c>
      <c r="P297" s="159">
        <f t="shared" si="63"/>
        <v>2014</v>
      </c>
      <c r="Q297" s="159">
        <f t="shared" si="64"/>
        <v>2</v>
      </c>
      <c r="R297" s="160">
        <f t="shared" si="65"/>
        <v>23.549999999930151</v>
      </c>
      <c r="S297" s="158">
        <f t="shared" si="66"/>
        <v>6.4466480446736165</v>
      </c>
      <c r="T297" s="161">
        <f t="shared" si="67"/>
        <v>1076.5902234604939</v>
      </c>
      <c r="U297" s="158">
        <f t="shared" si="69"/>
        <v>45.715083798882681</v>
      </c>
      <c r="V297" s="160">
        <f t="shared" si="68"/>
        <v>46</v>
      </c>
    </row>
    <row r="298" spans="1:22" x14ac:dyDescent="0.25">
      <c r="A298" s="98" t="s">
        <v>22</v>
      </c>
      <c r="B298" s="98" t="s">
        <v>17</v>
      </c>
      <c r="C298" s="98">
        <v>13</v>
      </c>
      <c r="D298" s="98">
        <v>3410</v>
      </c>
      <c r="E298" s="157">
        <v>41694.35</v>
      </c>
      <c r="F298" s="157">
        <v>41696.833333333336</v>
      </c>
      <c r="G298" s="98">
        <v>105</v>
      </c>
      <c r="H298" s="98">
        <v>179</v>
      </c>
      <c r="I298" s="98">
        <v>167</v>
      </c>
      <c r="J298" s="98" t="s">
        <v>1983</v>
      </c>
      <c r="K298" s="98" t="s">
        <v>950</v>
      </c>
      <c r="L298" s="105" t="str">
        <f t="shared" si="60"/>
        <v>Brown</v>
      </c>
      <c r="M298" s="105" t="str">
        <f t="shared" si="61"/>
        <v>Derate</v>
      </c>
      <c r="N298" s="105" t="str">
        <f t="shared" si="62"/>
        <v>Coal</v>
      </c>
      <c r="O298" s="105">
        <f>IFERROR(VLOOKUP(A298,Lookup!$J$5:$P$19,7,FALSE),0)</f>
        <v>2</v>
      </c>
      <c r="P298" s="159">
        <f t="shared" si="63"/>
        <v>2014</v>
      </c>
      <c r="Q298" s="159">
        <f t="shared" si="64"/>
        <v>2</v>
      </c>
      <c r="R298" s="160">
        <f t="shared" si="65"/>
        <v>59.600000000093132</v>
      </c>
      <c r="S298" s="158">
        <f t="shared" si="66"/>
        <v>24.639106145289897</v>
      </c>
      <c r="T298" s="161">
        <f t="shared" si="67"/>
        <v>4114.7307262634131</v>
      </c>
      <c r="U298" s="158">
        <f t="shared" si="69"/>
        <v>69.039106145251395</v>
      </c>
      <c r="V298" s="160">
        <f t="shared" si="68"/>
        <v>69</v>
      </c>
    </row>
    <row r="299" spans="1:22" x14ac:dyDescent="0.25">
      <c r="A299" s="98" t="s">
        <v>22</v>
      </c>
      <c r="B299" s="98" t="s">
        <v>17</v>
      </c>
      <c r="C299" s="98">
        <v>14</v>
      </c>
      <c r="D299" s="98">
        <v>310</v>
      </c>
      <c r="E299" s="157">
        <v>41696.833333333336</v>
      </c>
      <c r="F299" s="157">
        <v>41698.518055555556</v>
      </c>
      <c r="G299" s="98">
        <v>130</v>
      </c>
      <c r="H299" s="98">
        <v>179</v>
      </c>
      <c r="I299" s="98">
        <v>167</v>
      </c>
      <c r="J299" s="98" t="s">
        <v>1966</v>
      </c>
      <c r="K299" s="98" t="s">
        <v>951</v>
      </c>
      <c r="L299" s="105" t="str">
        <f t="shared" si="60"/>
        <v>Brown</v>
      </c>
      <c r="M299" s="105" t="str">
        <f t="shared" si="61"/>
        <v>Derate</v>
      </c>
      <c r="N299" s="105" t="str">
        <f t="shared" si="62"/>
        <v>Coal</v>
      </c>
      <c r="O299" s="105">
        <f>IFERROR(VLOOKUP(A299,Lookup!$J$5:$P$19,7,FALSE),0)</f>
        <v>2</v>
      </c>
      <c r="P299" s="159">
        <f t="shared" si="63"/>
        <v>2014</v>
      </c>
      <c r="Q299" s="159">
        <f t="shared" si="64"/>
        <v>2</v>
      </c>
      <c r="R299" s="160">
        <f t="shared" si="65"/>
        <v>40.433333333290648</v>
      </c>
      <c r="S299" s="158">
        <f t="shared" si="66"/>
        <v>11.068342644308613</v>
      </c>
      <c r="T299" s="161">
        <f t="shared" si="67"/>
        <v>1848.4132215995385</v>
      </c>
      <c r="U299" s="158">
        <f t="shared" si="69"/>
        <v>45.715083798882681</v>
      </c>
      <c r="V299" s="160">
        <f t="shared" si="68"/>
        <v>46</v>
      </c>
    </row>
    <row r="300" spans="1:22" x14ac:dyDescent="0.25">
      <c r="A300" s="98" t="s">
        <v>22</v>
      </c>
      <c r="B300" s="98" t="s">
        <v>20</v>
      </c>
      <c r="C300" s="98">
        <v>15</v>
      </c>
      <c r="D300" s="98">
        <v>8560</v>
      </c>
      <c r="E300" s="157">
        <v>41698.518055555556</v>
      </c>
      <c r="F300" s="157">
        <v>41700.763194444444</v>
      </c>
      <c r="G300" s="98">
        <v>0</v>
      </c>
      <c r="H300" s="98">
        <v>179</v>
      </c>
      <c r="I300" s="98">
        <v>167</v>
      </c>
      <c r="J300" s="98" t="s">
        <v>1971</v>
      </c>
      <c r="K300" s="98" t="s">
        <v>952</v>
      </c>
      <c r="L300" s="105" t="str">
        <f t="shared" si="60"/>
        <v>Brown</v>
      </c>
      <c r="M300" s="105" t="str">
        <f t="shared" si="61"/>
        <v>Maintenance</v>
      </c>
      <c r="N300" s="105" t="str">
        <f t="shared" si="62"/>
        <v>Coal</v>
      </c>
      <c r="O300" s="105">
        <f>IFERROR(VLOOKUP(A300,Lookup!$J$5:$P$19,7,FALSE),0)</f>
        <v>2</v>
      </c>
      <c r="P300" s="159">
        <f t="shared" si="63"/>
        <v>2014</v>
      </c>
      <c r="Q300" s="159">
        <f t="shared" si="64"/>
        <v>2</v>
      </c>
      <c r="R300" s="160">
        <f t="shared" si="65"/>
        <v>53.883333333302289</v>
      </c>
      <c r="S300" s="158">
        <f t="shared" si="66"/>
        <v>53.883333333302289</v>
      </c>
      <c r="T300" s="161">
        <f t="shared" si="67"/>
        <v>8998.5166666614823</v>
      </c>
      <c r="U300" s="158">
        <f t="shared" si="69"/>
        <v>167</v>
      </c>
      <c r="V300" s="160">
        <f t="shared" si="68"/>
        <v>167</v>
      </c>
    </row>
    <row r="301" spans="1:22" x14ac:dyDescent="0.25">
      <c r="A301" s="98" t="s">
        <v>22</v>
      </c>
      <c r="B301" s="98" t="s">
        <v>17</v>
      </c>
      <c r="C301" s="98">
        <v>16</v>
      </c>
      <c r="D301" s="98">
        <v>310</v>
      </c>
      <c r="E301" s="157">
        <v>41700.84375</v>
      </c>
      <c r="F301" s="157">
        <v>41701.306944444441</v>
      </c>
      <c r="G301" s="98">
        <v>130</v>
      </c>
      <c r="H301" s="98">
        <v>179</v>
      </c>
      <c r="I301" s="98">
        <v>167</v>
      </c>
      <c r="J301" s="98" t="s">
        <v>1966</v>
      </c>
      <c r="K301" s="98" t="s">
        <v>947</v>
      </c>
      <c r="L301" s="105" t="str">
        <f t="shared" si="60"/>
        <v>Brown</v>
      </c>
      <c r="M301" s="105" t="str">
        <f t="shared" si="61"/>
        <v>Derate</v>
      </c>
      <c r="N301" s="105" t="str">
        <f t="shared" si="62"/>
        <v>Coal</v>
      </c>
      <c r="O301" s="105">
        <f>IFERROR(VLOOKUP(A301,Lookup!$J$5:$P$19,7,FALSE),0)</f>
        <v>2</v>
      </c>
      <c r="P301" s="159">
        <f t="shared" si="63"/>
        <v>2014</v>
      </c>
      <c r="Q301" s="159">
        <f t="shared" si="64"/>
        <v>3</v>
      </c>
      <c r="R301" s="160">
        <f t="shared" si="65"/>
        <v>11.116666666581295</v>
      </c>
      <c r="S301" s="158">
        <f t="shared" si="66"/>
        <v>3.0431098696228127</v>
      </c>
      <c r="T301" s="161">
        <f t="shared" si="67"/>
        <v>508.19934822700975</v>
      </c>
      <c r="U301" s="158">
        <f t="shared" si="69"/>
        <v>45.715083798882681</v>
      </c>
      <c r="V301" s="160">
        <f t="shared" si="68"/>
        <v>46</v>
      </c>
    </row>
    <row r="302" spans="1:22" x14ac:dyDescent="0.25">
      <c r="A302" s="98" t="s">
        <v>22</v>
      </c>
      <c r="B302" s="98" t="s">
        <v>17</v>
      </c>
      <c r="C302" s="98">
        <v>17</v>
      </c>
      <c r="D302" s="98">
        <v>3410</v>
      </c>
      <c r="E302" s="157">
        <v>41701.306944444441</v>
      </c>
      <c r="F302" s="157">
        <v>41704.701388888891</v>
      </c>
      <c r="G302" s="98">
        <v>105</v>
      </c>
      <c r="H302" s="98">
        <v>179</v>
      </c>
      <c r="I302" s="98">
        <v>167</v>
      </c>
      <c r="J302" s="98" t="s">
        <v>1983</v>
      </c>
      <c r="K302" s="98" t="s">
        <v>953</v>
      </c>
      <c r="L302" s="105" t="str">
        <f t="shared" si="60"/>
        <v>Brown</v>
      </c>
      <c r="M302" s="105" t="str">
        <f t="shared" si="61"/>
        <v>Derate</v>
      </c>
      <c r="N302" s="105" t="str">
        <f t="shared" si="62"/>
        <v>Coal</v>
      </c>
      <c r="O302" s="105">
        <f>IFERROR(VLOOKUP(A302,Lookup!$J$5:$P$19,7,FALSE),0)</f>
        <v>2</v>
      </c>
      <c r="P302" s="159">
        <f t="shared" si="63"/>
        <v>2014</v>
      </c>
      <c r="Q302" s="159">
        <f t="shared" si="64"/>
        <v>3</v>
      </c>
      <c r="R302" s="160">
        <f t="shared" si="65"/>
        <v>81.466666666790843</v>
      </c>
      <c r="S302" s="158">
        <f t="shared" si="66"/>
        <v>33.6789571695113</v>
      </c>
      <c r="T302" s="161">
        <f t="shared" si="67"/>
        <v>5624.3858473083874</v>
      </c>
      <c r="U302" s="158">
        <f t="shared" si="69"/>
        <v>69.039106145251395</v>
      </c>
      <c r="V302" s="160">
        <f t="shared" si="68"/>
        <v>69</v>
      </c>
    </row>
    <row r="303" spans="1:22" x14ac:dyDescent="0.25">
      <c r="A303" s="98" t="s">
        <v>22</v>
      </c>
      <c r="B303" s="98" t="s">
        <v>17</v>
      </c>
      <c r="C303" s="98">
        <v>18</v>
      </c>
      <c r="D303" s="98">
        <v>310</v>
      </c>
      <c r="E303" s="157">
        <v>41704.701388888891</v>
      </c>
      <c r="F303" s="157">
        <v>41704.791666666664</v>
      </c>
      <c r="G303" s="98">
        <v>130</v>
      </c>
      <c r="H303" s="98">
        <v>179</v>
      </c>
      <c r="I303" s="98">
        <v>167</v>
      </c>
      <c r="J303" s="98" t="s">
        <v>1966</v>
      </c>
      <c r="K303" s="98" t="s">
        <v>947</v>
      </c>
      <c r="L303" s="105" t="str">
        <f t="shared" si="60"/>
        <v>Brown</v>
      </c>
      <c r="M303" s="105" t="str">
        <f t="shared" si="61"/>
        <v>Derate</v>
      </c>
      <c r="N303" s="105" t="str">
        <f t="shared" si="62"/>
        <v>Coal</v>
      </c>
      <c r="O303" s="105">
        <f>IFERROR(VLOOKUP(A303,Lookup!$J$5:$P$19,7,FALSE),0)</f>
        <v>2</v>
      </c>
      <c r="P303" s="159">
        <f t="shared" si="63"/>
        <v>2014</v>
      </c>
      <c r="Q303" s="159">
        <f t="shared" si="64"/>
        <v>3</v>
      </c>
      <c r="R303" s="160">
        <f t="shared" si="65"/>
        <v>2.1666666665696539</v>
      </c>
      <c r="S303" s="158">
        <f t="shared" si="66"/>
        <v>0.59310986961962597</v>
      </c>
      <c r="T303" s="161">
        <f t="shared" si="67"/>
        <v>99.049348226477534</v>
      </c>
      <c r="U303" s="158">
        <f t="shared" si="69"/>
        <v>45.715083798882681</v>
      </c>
      <c r="V303" s="160">
        <f t="shared" si="68"/>
        <v>46</v>
      </c>
    </row>
    <row r="304" spans="1:22" x14ac:dyDescent="0.25">
      <c r="A304" s="98" t="s">
        <v>22</v>
      </c>
      <c r="B304" s="98" t="s">
        <v>32</v>
      </c>
      <c r="C304" s="98">
        <v>19</v>
      </c>
      <c r="D304" s="98">
        <v>310</v>
      </c>
      <c r="E304" s="157">
        <v>41704.791666666664</v>
      </c>
      <c r="F304" s="157">
        <v>41706.319444444445</v>
      </c>
      <c r="G304" s="98">
        <v>130</v>
      </c>
      <c r="H304" s="98">
        <v>179</v>
      </c>
      <c r="I304" s="98">
        <v>167</v>
      </c>
      <c r="J304" s="98" t="s">
        <v>1966</v>
      </c>
      <c r="K304" s="98" t="s">
        <v>954</v>
      </c>
      <c r="L304" s="105" t="str">
        <f t="shared" si="60"/>
        <v>Brown</v>
      </c>
      <c r="M304" s="105" t="str">
        <f t="shared" si="61"/>
        <v>Derate</v>
      </c>
      <c r="N304" s="105" t="str">
        <f t="shared" si="62"/>
        <v>Coal</v>
      </c>
      <c r="O304" s="105">
        <f>IFERROR(VLOOKUP(A304,Lookup!$J$5:$P$19,7,FALSE),0)</f>
        <v>2</v>
      </c>
      <c r="P304" s="159">
        <f t="shared" si="63"/>
        <v>2014</v>
      </c>
      <c r="Q304" s="159">
        <f t="shared" si="64"/>
        <v>3</v>
      </c>
      <c r="R304" s="160">
        <f t="shared" si="65"/>
        <v>36.666666666744277</v>
      </c>
      <c r="S304" s="158">
        <f t="shared" si="66"/>
        <v>10.037243947879718</v>
      </c>
      <c r="T304" s="161">
        <f t="shared" si="67"/>
        <v>1676.2197392959129</v>
      </c>
      <c r="U304" s="158">
        <f t="shared" si="69"/>
        <v>45.715083798882681</v>
      </c>
      <c r="V304" s="160">
        <f t="shared" si="68"/>
        <v>46</v>
      </c>
    </row>
    <row r="305" spans="1:22" x14ac:dyDescent="0.25">
      <c r="A305" s="98" t="s">
        <v>22</v>
      </c>
      <c r="B305" s="98" t="s">
        <v>15</v>
      </c>
      <c r="C305" s="98">
        <v>20</v>
      </c>
      <c r="D305" s="98">
        <v>1040</v>
      </c>
      <c r="E305" s="157">
        <v>41708.618055555555</v>
      </c>
      <c r="F305" s="157">
        <v>41709.881249999999</v>
      </c>
      <c r="G305" s="98">
        <v>0</v>
      </c>
      <c r="H305" s="98">
        <v>179</v>
      </c>
      <c r="I305" s="98">
        <v>167</v>
      </c>
      <c r="J305" s="98" t="s">
        <v>2001</v>
      </c>
      <c r="K305" s="98" t="s">
        <v>955</v>
      </c>
      <c r="L305" s="105" t="str">
        <f t="shared" si="60"/>
        <v>Brown</v>
      </c>
      <c r="M305" s="105" t="str">
        <f t="shared" si="61"/>
        <v>Outage</v>
      </c>
      <c r="N305" s="105" t="str">
        <f t="shared" si="62"/>
        <v>Coal</v>
      </c>
      <c r="O305" s="105">
        <f>IFERROR(VLOOKUP(A305,Lookup!$J$5:$P$19,7,FALSE),0)</f>
        <v>2</v>
      </c>
      <c r="P305" s="159">
        <f t="shared" si="63"/>
        <v>2014</v>
      </c>
      <c r="Q305" s="159">
        <f t="shared" si="64"/>
        <v>3</v>
      </c>
      <c r="R305" s="160">
        <f t="shared" si="65"/>
        <v>30.316666666651145</v>
      </c>
      <c r="S305" s="158">
        <f t="shared" si="66"/>
        <v>30.316666666651145</v>
      </c>
      <c r="T305" s="161">
        <f t="shared" si="67"/>
        <v>5062.8833333307412</v>
      </c>
      <c r="U305" s="158">
        <f t="shared" si="69"/>
        <v>167</v>
      </c>
      <c r="V305" s="160">
        <f t="shared" si="68"/>
        <v>167</v>
      </c>
    </row>
    <row r="306" spans="1:22" x14ac:dyDescent="0.25">
      <c r="A306" s="98" t="s">
        <v>22</v>
      </c>
      <c r="B306" s="98" t="s">
        <v>17</v>
      </c>
      <c r="C306" s="98">
        <v>21</v>
      </c>
      <c r="D306" s="98">
        <v>350</v>
      </c>
      <c r="E306" s="157">
        <v>41725.379166666666</v>
      </c>
      <c r="F306" s="157">
        <v>41725.420138888891</v>
      </c>
      <c r="G306" s="98">
        <v>145</v>
      </c>
      <c r="H306" s="98">
        <v>179</v>
      </c>
      <c r="I306" s="98">
        <v>167</v>
      </c>
      <c r="J306" s="98" t="s">
        <v>1976</v>
      </c>
      <c r="K306" s="98" t="s">
        <v>956</v>
      </c>
      <c r="L306" s="105" t="str">
        <f t="shared" si="60"/>
        <v>Brown</v>
      </c>
      <c r="M306" s="105" t="str">
        <f t="shared" si="61"/>
        <v>Derate</v>
      </c>
      <c r="N306" s="105" t="str">
        <f t="shared" si="62"/>
        <v>Coal</v>
      </c>
      <c r="O306" s="105">
        <f>IFERROR(VLOOKUP(A306,Lookup!$J$5:$P$19,7,FALSE),0)</f>
        <v>2</v>
      </c>
      <c r="P306" s="159">
        <f t="shared" si="63"/>
        <v>2014</v>
      </c>
      <c r="Q306" s="159">
        <f t="shared" si="64"/>
        <v>3</v>
      </c>
      <c r="R306" s="160">
        <f t="shared" si="65"/>
        <v>0.9833333333954215</v>
      </c>
      <c r="S306" s="158">
        <f t="shared" si="66"/>
        <v>0.18677839852203537</v>
      </c>
      <c r="T306" s="161">
        <f t="shared" si="67"/>
        <v>31.191992553179908</v>
      </c>
      <c r="U306" s="158">
        <f t="shared" si="69"/>
        <v>31.720670391061454</v>
      </c>
      <c r="V306" s="160">
        <f t="shared" si="68"/>
        <v>32</v>
      </c>
    </row>
    <row r="307" spans="1:22" x14ac:dyDescent="0.25">
      <c r="A307" s="98" t="s">
        <v>22</v>
      </c>
      <c r="B307" s="98" t="s">
        <v>17</v>
      </c>
      <c r="C307" s="98">
        <v>22</v>
      </c>
      <c r="D307" s="98">
        <v>350</v>
      </c>
      <c r="E307" s="157">
        <v>41725.438194444447</v>
      </c>
      <c r="F307" s="157">
        <v>41725.550694444442</v>
      </c>
      <c r="G307" s="98">
        <v>145</v>
      </c>
      <c r="H307" s="98">
        <v>179</v>
      </c>
      <c r="I307" s="98">
        <v>167</v>
      </c>
      <c r="J307" s="98" t="s">
        <v>1976</v>
      </c>
      <c r="K307" s="98" t="s">
        <v>957</v>
      </c>
      <c r="L307" s="105" t="str">
        <f t="shared" si="60"/>
        <v>Brown</v>
      </c>
      <c r="M307" s="105" t="str">
        <f t="shared" si="61"/>
        <v>Derate</v>
      </c>
      <c r="N307" s="105" t="str">
        <f t="shared" si="62"/>
        <v>Coal</v>
      </c>
      <c r="O307" s="105">
        <f>IFERROR(VLOOKUP(A307,Lookup!$J$5:$P$19,7,FALSE),0)</f>
        <v>2</v>
      </c>
      <c r="P307" s="159">
        <f t="shared" si="63"/>
        <v>2014</v>
      </c>
      <c r="Q307" s="159">
        <f t="shared" si="64"/>
        <v>3</v>
      </c>
      <c r="R307" s="160">
        <f t="shared" si="65"/>
        <v>2.6999999998952262</v>
      </c>
      <c r="S307" s="158">
        <f t="shared" si="66"/>
        <v>0.51284916199127206</v>
      </c>
      <c r="T307" s="161">
        <f t="shared" si="67"/>
        <v>85.64581005254243</v>
      </c>
      <c r="U307" s="158">
        <f t="shared" si="69"/>
        <v>31.720670391061454</v>
      </c>
      <c r="V307" s="160">
        <f t="shared" si="68"/>
        <v>32</v>
      </c>
    </row>
    <row r="308" spans="1:22" x14ac:dyDescent="0.25">
      <c r="A308" s="98" t="s">
        <v>22</v>
      </c>
      <c r="B308" s="98" t="s">
        <v>17</v>
      </c>
      <c r="C308" s="98">
        <v>23</v>
      </c>
      <c r="D308" s="98">
        <v>350</v>
      </c>
      <c r="E308" s="157">
        <v>41725.600694444445</v>
      </c>
      <c r="F308" s="157">
        <v>41725.615972222222</v>
      </c>
      <c r="G308" s="98">
        <v>145</v>
      </c>
      <c r="H308" s="98">
        <v>179</v>
      </c>
      <c r="I308" s="98">
        <v>167</v>
      </c>
      <c r="J308" s="98" t="s">
        <v>1976</v>
      </c>
      <c r="K308" s="98" t="s">
        <v>958</v>
      </c>
      <c r="L308" s="105" t="str">
        <f t="shared" si="60"/>
        <v>Brown</v>
      </c>
      <c r="M308" s="105" t="str">
        <f t="shared" si="61"/>
        <v>Derate</v>
      </c>
      <c r="N308" s="105" t="str">
        <f t="shared" si="62"/>
        <v>Coal</v>
      </c>
      <c r="O308" s="105">
        <f>IFERROR(VLOOKUP(A308,Lookup!$J$5:$P$19,7,FALSE),0)</f>
        <v>2</v>
      </c>
      <c r="P308" s="159">
        <f t="shared" si="63"/>
        <v>2014</v>
      </c>
      <c r="Q308" s="159">
        <f t="shared" si="64"/>
        <v>3</v>
      </c>
      <c r="R308" s="160">
        <f t="shared" si="65"/>
        <v>0.36666666663950309</v>
      </c>
      <c r="S308" s="158">
        <f t="shared" si="66"/>
        <v>6.9646182490184949E-2</v>
      </c>
      <c r="T308" s="161">
        <f t="shared" si="67"/>
        <v>11.630912475860887</v>
      </c>
      <c r="U308" s="158">
        <f t="shared" si="69"/>
        <v>31.720670391061454</v>
      </c>
      <c r="V308" s="160">
        <f t="shared" si="68"/>
        <v>32</v>
      </c>
    </row>
    <row r="309" spans="1:22" x14ac:dyDescent="0.25">
      <c r="A309" s="98" t="s">
        <v>22</v>
      </c>
      <c r="B309" s="98" t="s">
        <v>15</v>
      </c>
      <c r="C309" s="98">
        <v>24</v>
      </c>
      <c r="D309" s="98">
        <v>1035</v>
      </c>
      <c r="E309" s="157">
        <v>41753.424305555556</v>
      </c>
      <c r="F309" s="157">
        <v>41755.061111111114</v>
      </c>
      <c r="G309" s="98">
        <v>0</v>
      </c>
      <c r="H309" s="98">
        <v>179</v>
      </c>
      <c r="I309" s="98">
        <v>167</v>
      </c>
      <c r="J309" s="98" t="s">
        <v>2088</v>
      </c>
      <c r="K309" s="98" t="s">
        <v>959</v>
      </c>
      <c r="L309" s="105" t="str">
        <f t="shared" si="60"/>
        <v>Brown</v>
      </c>
      <c r="M309" s="105" t="str">
        <f t="shared" si="61"/>
        <v>Outage</v>
      </c>
      <c r="N309" s="105" t="str">
        <f t="shared" si="62"/>
        <v>Coal</v>
      </c>
      <c r="O309" s="105">
        <f>IFERROR(VLOOKUP(A309,Lookup!$J$5:$P$19,7,FALSE),0)</f>
        <v>2</v>
      </c>
      <c r="P309" s="159">
        <f t="shared" si="63"/>
        <v>2014</v>
      </c>
      <c r="Q309" s="159">
        <f t="shared" si="64"/>
        <v>4</v>
      </c>
      <c r="R309" s="160">
        <f t="shared" si="65"/>
        <v>39.28333333338378</v>
      </c>
      <c r="S309" s="158">
        <f t="shared" si="66"/>
        <v>39.28333333338378</v>
      </c>
      <c r="T309" s="161">
        <f t="shared" si="67"/>
        <v>6560.3166666750913</v>
      </c>
      <c r="U309" s="158">
        <f t="shared" si="69"/>
        <v>167</v>
      </c>
      <c r="V309" s="160">
        <f t="shared" si="68"/>
        <v>167</v>
      </c>
    </row>
    <row r="310" spans="1:22" x14ac:dyDescent="0.25">
      <c r="A310" s="98" t="s">
        <v>22</v>
      </c>
      <c r="B310" s="98" t="s">
        <v>17</v>
      </c>
      <c r="C310" s="98">
        <v>25</v>
      </c>
      <c r="D310" s="98">
        <v>3415</v>
      </c>
      <c r="E310" s="157">
        <v>41756.625</v>
      </c>
      <c r="F310" s="157">
        <v>41756.628472222219</v>
      </c>
      <c r="G310" s="98">
        <v>110</v>
      </c>
      <c r="H310" s="98">
        <v>179</v>
      </c>
      <c r="I310" s="98">
        <v>167</v>
      </c>
      <c r="J310" s="98" t="s">
        <v>2109</v>
      </c>
      <c r="K310" s="98" t="s">
        <v>960</v>
      </c>
      <c r="L310" s="105" t="str">
        <f t="shared" si="60"/>
        <v>Brown</v>
      </c>
      <c r="M310" s="105" t="str">
        <f t="shared" si="61"/>
        <v>Derate</v>
      </c>
      <c r="N310" s="105" t="str">
        <f t="shared" si="62"/>
        <v>Coal</v>
      </c>
      <c r="O310" s="105">
        <f>IFERROR(VLOOKUP(A310,Lookup!$J$5:$P$19,7,FALSE),0)</f>
        <v>2</v>
      </c>
      <c r="P310" s="159">
        <f t="shared" si="63"/>
        <v>2014</v>
      </c>
      <c r="Q310" s="159">
        <f t="shared" si="64"/>
        <v>4</v>
      </c>
      <c r="R310" s="160">
        <f t="shared" si="65"/>
        <v>8.3333333255723119E-2</v>
      </c>
      <c r="S310" s="158">
        <f t="shared" si="66"/>
        <v>3.2122904998016177E-2</v>
      </c>
      <c r="T310" s="161">
        <f t="shared" si="67"/>
        <v>5.3645251346687015</v>
      </c>
      <c r="U310" s="158">
        <f t="shared" si="69"/>
        <v>64.374301675977648</v>
      </c>
      <c r="V310" s="160">
        <f t="shared" si="68"/>
        <v>64</v>
      </c>
    </row>
    <row r="311" spans="1:22" x14ac:dyDescent="0.25">
      <c r="A311" s="98" t="s">
        <v>22</v>
      </c>
      <c r="B311" s="98" t="s">
        <v>17</v>
      </c>
      <c r="C311" s="98">
        <v>26</v>
      </c>
      <c r="D311" s="98">
        <v>270</v>
      </c>
      <c r="E311" s="157">
        <v>41760.263888888891</v>
      </c>
      <c r="F311" s="157">
        <v>41760.560416666667</v>
      </c>
      <c r="G311" s="98">
        <v>130</v>
      </c>
      <c r="H311" s="98">
        <v>179</v>
      </c>
      <c r="I311" s="98">
        <v>167</v>
      </c>
      <c r="J311" s="98" t="s">
        <v>2031</v>
      </c>
      <c r="K311" s="98" t="s">
        <v>961</v>
      </c>
      <c r="L311" s="105" t="str">
        <f t="shared" si="60"/>
        <v>Brown</v>
      </c>
      <c r="M311" s="105" t="str">
        <f t="shared" si="61"/>
        <v>Derate</v>
      </c>
      <c r="N311" s="105" t="str">
        <f t="shared" si="62"/>
        <v>Coal</v>
      </c>
      <c r="O311" s="105">
        <f>IFERROR(VLOOKUP(A311,Lookup!$J$5:$P$19,7,FALSE),0)</f>
        <v>2</v>
      </c>
      <c r="P311" s="159">
        <f t="shared" si="63"/>
        <v>2014</v>
      </c>
      <c r="Q311" s="159">
        <f t="shared" si="64"/>
        <v>5</v>
      </c>
      <c r="R311" s="160">
        <f t="shared" si="65"/>
        <v>7.1166666666395031</v>
      </c>
      <c r="S311" s="158">
        <f t="shared" si="66"/>
        <v>1.9481378025996405</v>
      </c>
      <c r="T311" s="161">
        <f t="shared" si="67"/>
        <v>325.33901303413995</v>
      </c>
      <c r="U311" s="158">
        <f t="shared" si="69"/>
        <v>45.715083798882681</v>
      </c>
      <c r="V311" s="160">
        <f t="shared" si="68"/>
        <v>46</v>
      </c>
    </row>
    <row r="312" spans="1:22" x14ac:dyDescent="0.25">
      <c r="A312" s="98" t="s">
        <v>22</v>
      </c>
      <c r="B312" s="98" t="s">
        <v>17</v>
      </c>
      <c r="C312" s="98">
        <v>27</v>
      </c>
      <c r="D312" s="98">
        <v>310</v>
      </c>
      <c r="E312" s="157">
        <v>41762.331944444442</v>
      </c>
      <c r="F312" s="157">
        <v>41762.552083333336</v>
      </c>
      <c r="G312" s="98">
        <v>130</v>
      </c>
      <c r="H312" s="98">
        <v>179</v>
      </c>
      <c r="I312" s="98">
        <v>167</v>
      </c>
      <c r="J312" s="98" t="s">
        <v>1966</v>
      </c>
      <c r="K312" s="98" t="s">
        <v>962</v>
      </c>
      <c r="L312" s="105" t="str">
        <f t="shared" si="60"/>
        <v>Brown</v>
      </c>
      <c r="M312" s="105" t="str">
        <f t="shared" si="61"/>
        <v>Derate</v>
      </c>
      <c r="N312" s="105" t="str">
        <f t="shared" si="62"/>
        <v>Coal</v>
      </c>
      <c r="O312" s="105">
        <f>IFERROR(VLOOKUP(A312,Lookup!$J$5:$P$19,7,FALSE),0)</f>
        <v>2</v>
      </c>
      <c r="P312" s="159">
        <f t="shared" si="63"/>
        <v>2014</v>
      </c>
      <c r="Q312" s="159">
        <f t="shared" si="64"/>
        <v>5</v>
      </c>
      <c r="R312" s="160">
        <f t="shared" si="65"/>
        <v>5.2833333334419876</v>
      </c>
      <c r="S312" s="158">
        <f t="shared" si="66"/>
        <v>1.4462756052438961</v>
      </c>
      <c r="T312" s="161">
        <f t="shared" si="67"/>
        <v>241.52802607573065</v>
      </c>
      <c r="U312" s="158">
        <f t="shared" si="69"/>
        <v>45.715083798882681</v>
      </c>
      <c r="V312" s="160">
        <f t="shared" si="68"/>
        <v>46</v>
      </c>
    </row>
    <row r="313" spans="1:22" x14ac:dyDescent="0.25">
      <c r="A313" s="98" t="s">
        <v>22</v>
      </c>
      <c r="B313" s="98" t="s">
        <v>17</v>
      </c>
      <c r="C313" s="98">
        <v>28</v>
      </c>
      <c r="D313" s="98">
        <v>310</v>
      </c>
      <c r="E313" s="157">
        <v>41767.833333333336</v>
      </c>
      <c r="F313" s="157">
        <v>41768.0625</v>
      </c>
      <c r="G313" s="98">
        <v>130</v>
      </c>
      <c r="H313" s="98">
        <v>179</v>
      </c>
      <c r="I313" s="98">
        <v>167</v>
      </c>
      <c r="J313" s="98" t="s">
        <v>1966</v>
      </c>
      <c r="K313" s="98" t="s">
        <v>963</v>
      </c>
      <c r="L313" s="105" t="str">
        <f t="shared" si="60"/>
        <v>Brown</v>
      </c>
      <c r="M313" s="105" t="str">
        <f t="shared" si="61"/>
        <v>Derate</v>
      </c>
      <c r="N313" s="105" t="str">
        <f t="shared" si="62"/>
        <v>Coal</v>
      </c>
      <c r="O313" s="105">
        <f>IFERROR(VLOOKUP(A313,Lookup!$J$5:$P$19,7,FALSE),0)</f>
        <v>2</v>
      </c>
      <c r="P313" s="159">
        <f t="shared" si="63"/>
        <v>2014</v>
      </c>
      <c r="Q313" s="159">
        <f t="shared" si="64"/>
        <v>5</v>
      </c>
      <c r="R313" s="160">
        <f t="shared" si="65"/>
        <v>5.4999999999417923</v>
      </c>
      <c r="S313" s="158">
        <f t="shared" si="66"/>
        <v>1.5055865921628371</v>
      </c>
      <c r="T313" s="161">
        <f t="shared" si="67"/>
        <v>251.4329608911938</v>
      </c>
      <c r="U313" s="158">
        <f t="shared" si="69"/>
        <v>45.715083798882681</v>
      </c>
      <c r="V313" s="160">
        <f t="shared" si="68"/>
        <v>46</v>
      </c>
    </row>
    <row r="314" spans="1:22" x14ac:dyDescent="0.25">
      <c r="A314" s="98" t="s">
        <v>22</v>
      </c>
      <c r="B314" s="98" t="s">
        <v>17</v>
      </c>
      <c r="C314" s="98">
        <v>29</v>
      </c>
      <c r="D314" s="98">
        <v>310</v>
      </c>
      <c r="E314" s="157">
        <v>41774.306944444441</v>
      </c>
      <c r="F314" s="157">
        <v>41774.489583333336</v>
      </c>
      <c r="G314" s="98">
        <v>130</v>
      </c>
      <c r="H314" s="98">
        <v>179</v>
      </c>
      <c r="I314" s="98">
        <v>167</v>
      </c>
      <c r="J314" s="98" t="s">
        <v>1966</v>
      </c>
      <c r="K314" s="98" t="s">
        <v>964</v>
      </c>
      <c r="L314" s="105" t="str">
        <f t="shared" si="60"/>
        <v>Brown</v>
      </c>
      <c r="M314" s="105" t="str">
        <f t="shared" si="61"/>
        <v>Derate</v>
      </c>
      <c r="N314" s="105" t="str">
        <f t="shared" si="62"/>
        <v>Coal</v>
      </c>
      <c r="O314" s="105">
        <f>IFERROR(VLOOKUP(A314,Lookup!$J$5:$P$19,7,FALSE),0)</f>
        <v>2</v>
      </c>
      <c r="P314" s="159">
        <f t="shared" si="63"/>
        <v>2014</v>
      </c>
      <c r="Q314" s="159">
        <f t="shared" si="64"/>
        <v>5</v>
      </c>
      <c r="R314" s="160">
        <f t="shared" si="65"/>
        <v>4.3833333334769122</v>
      </c>
      <c r="S314" s="158">
        <f t="shared" si="66"/>
        <v>1.1999068901696575</v>
      </c>
      <c r="T314" s="161">
        <f t="shared" si="67"/>
        <v>200.38445065833281</v>
      </c>
      <c r="U314" s="158">
        <f t="shared" si="69"/>
        <v>45.715083798882681</v>
      </c>
      <c r="V314" s="160">
        <f t="shared" si="68"/>
        <v>46</v>
      </c>
    </row>
    <row r="315" spans="1:22" x14ac:dyDescent="0.25">
      <c r="A315" s="98" t="s">
        <v>22</v>
      </c>
      <c r="B315" s="98" t="s">
        <v>17</v>
      </c>
      <c r="C315" s="98">
        <v>30</v>
      </c>
      <c r="D315" s="98">
        <v>3620</v>
      </c>
      <c r="E315" s="157">
        <v>41781.296527777777</v>
      </c>
      <c r="F315" s="157">
        <v>41781.3125</v>
      </c>
      <c r="G315" s="98">
        <v>80</v>
      </c>
      <c r="H315" s="98">
        <v>179</v>
      </c>
      <c r="I315" s="98">
        <v>167</v>
      </c>
      <c r="J315" s="98" t="s">
        <v>2092</v>
      </c>
      <c r="K315" s="98" t="s">
        <v>965</v>
      </c>
      <c r="L315" s="105" t="str">
        <f t="shared" si="60"/>
        <v>Brown</v>
      </c>
      <c r="M315" s="105" t="str">
        <f t="shared" si="61"/>
        <v>Derate</v>
      </c>
      <c r="N315" s="105" t="str">
        <f t="shared" si="62"/>
        <v>Coal</v>
      </c>
      <c r="O315" s="105">
        <f>IFERROR(VLOOKUP(A315,Lookup!$J$5:$P$19,7,FALSE),0)</f>
        <v>2</v>
      </c>
      <c r="P315" s="159">
        <f t="shared" si="63"/>
        <v>2014</v>
      </c>
      <c r="Q315" s="159">
        <f t="shared" si="64"/>
        <v>5</v>
      </c>
      <c r="R315" s="160">
        <f t="shared" si="65"/>
        <v>0.38333333336049691</v>
      </c>
      <c r="S315" s="158">
        <f t="shared" si="66"/>
        <v>0.21201117319938098</v>
      </c>
      <c r="T315" s="161">
        <f t="shared" si="67"/>
        <v>35.405865924296627</v>
      </c>
      <c r="U315" s="158">
        <f t="shared" si="69"/>
        <v>92.363128491620117</v>
      </c>
      <c r="V315" s="160">
        <f t="shared" si="68"/>
        <v>92</v>
      </c>
    </row>
    <row r="316" spans="1:22" x14ac:dyDescent="0.25">
      <c r="A316" s="98" t="s">
        <v>22</v>
      </c>
      <c r="B316" s="98" t="s">
        <v>17</v>
      </c>
      <c r="C316" s="98">
        <v>31</v>
      </c>
      <c r="D316" s="98">
        <v>253</v>
      </c>
      <c r="E316" s="157">
        <v>41787.994444444441</v>
      </c>
      <c r="F316" s="157">
        <v>41788.09375</v>
      </c>
      <c r="G316" s="98">
        <v>145</v>
      </c>
      <c r="H316" s="98">
        <v>179</v>
      </c>
      <c r="I316" s="98">
        <v>167</v>
      </c>
      <c r="J316" s="98" t="s">
        <v>1999</v>
      </c>
      <c r="K316" s="98" t="s">
        <v>966</v>
      </c>
      <c r="L316" s="105" t="str">
        <f t="shared" si="60"/>
        <v>Brown</v>
      </c>
      <c r="M316" s="105" t="str">
        <f t="shared" si="61"/>
        <v>Derate</v>
      </c>
      <c r="N316" s="105" t="str">
        <f t="shared" si="62"/>
        <v>Coal</v>
      </c>
      <c r="O316" s="105">
        <f>IFERROR(VLOOKUP(A316,Lookup!$J$5:$P$19,7,FALSE),0)</f>
        <v>2</v>
      </c>
      <c r="P316" s="159">
        <f t="shared" si="63"/>
        <v>2014</v>
      </c>
      <c r="Q316" s="159">
        <f t="shared" si="64"/>
        <v>5</v>
      </c>
      <c r="R316" s="160">
        <f t="shared" si="65"/>
        <v>2.3833333334187046</v>
      </c>
      <c r="S316" s="158">
        <f t="shared" si="66"/>
        <v>0.45270018623595504</v>
      </c>
      <c r="T316" s="161">
        <f t="shared" si="67"/>
        <v>75.600931101404498</v>
      </c>
      <c r="U316" s="158">
        <f t="shared" si="69"/>
        <v>31.720670391061454</v>
      </c>
      <c r="V316" s="160">
        <f t="shared" si="68"/>
        <v>32</v>
      </c>
    </row>
    <row r="317" spans="1:22" x14ac:dyDescent="0.25">
      <c r="A317" s="98" t="s">
        <v>22</v>
      </c>
      <c r="B317" s="98" t="s">
        <v>17</v>
      </c>
      <c r="C317" s="98">
        <v>32</v>
      </c>
      <c r="D317" s="98">
        <v>310</v>
      </c>
      <c r="E317" s="157">
        <v>41789.058333333334</v>
      </c>
      <c r="F317" s="157">
        <v>41789.092361111114</v>
      </c>
      <c r="G317" s="98">
        <v>145</v>
      </c>
      <c r="H317" s="98">
        <v>179</v>
      </c>
      <c r="I317" s="98">
        <v>167</v>
      </c>
      <c r="J317" s="98" t="s">
        <v>1966</v>
      </c>
      <c r="K317" s="98" t="s">
        <v>967</v>
      </c>
      <c r="L317" s="105" t="str">
        <f t="shared" si="60"/>
        <v>Brown</v>
      </c>
      <c r="M317" s="105" t="str">
        <f t="shared" si="61"/>
        <v>Derate</v>
      </c>
      <c r="N317" s="105" t="str">
        <f t="shared" si="62"/>
        <v>Coal</v>
      </c>
      <c r="O317" s="105">
        <f>IFERROR(VLOOKUP(A317,Lookup!$J$5:$P$19,7,FALSE),0)</f>
        <v>2</v>
      </c>
      <c r="P317" s="159">
        <f t="shared" si="63"/>
        <v>2014</v>
      </c>
      <c r="Q317" s="159">
        <f t="shared" si="64"/>
        <v>5</v>
      </c>
      <c r="R317" s="160">
        <f t="shared" si="65"/>
        <v>0.81666666670935228</v>
      </c>
      <c r="S317" s="158">
        <f t="shared" si="66"/>
        <v>0.15512104283864792</v>
      </c>
      <c r="T317" s="161">
        <f t="shared" si="67"/>
        <v>25.905214154054203</v>
      </c>
      <c r="U317" s="158">
        <f t="shared" si="69"/>
        <v>31.720670391061454</v>
      </c>
      <c r="V317" s="160">
        <f t="shared" si="68"/>
        <v>32</v>
      </c>
    </row>
    <row r="318" spans="1:22" x14ac:dyDescent="0.25">
      <c r="A318" s="98" t="s">
        <v>22</v>
      </c>
      <c r="B318" s="98" t="s">
        <v>17</v>
      </c>
      <c r="C318" s="98">
        <v>33</v>
      </c>
      <c r="D318" s="98">
        <v>300</v>
      </c>
      <c r="E318" s="157">
        <v>41789.172222222223</v>
      </c>
      <c r="F318" s="157">
        <v>41789.238194444442</v>
      </c>
      <c r="G318" s="98">
        <v>135</v>
      </c>
      <c r="H318" s="98">
        <v>179</v>
      </c>
      <c r="I318" s="98">
        <v>167</v>
      </c>
      <c r="J318" s="98" t="s">
        <v>1977</v>
      </c>
      <c r="K318" s="98" t="s">
        <v>968</v>
      </c>
      <c r="L318" s="105" t="str">
        <f t="shared" si="60"/>
        <v>Brown</v>
      </c>
      <c r="M318" s="105" t="str">
        <f t="shared" si="61"/>
        <v>Derate</v>
      </c>
      <c r="N318" s="105" t="str">
        <f t="shared" si="62"/>
        <v>Coal</v>
      </c>
      <c r="O318" s="105">
        <f>IFERROR(VLOOKUP(A318,Lookup!$J$5:$P$19,7,FALSE),0)</f>
        <v>2</v>
      </c>
      <c r="P318" s="159">
        <f t="shared" si="63"/>
        <v>2014</v>
      </c>
      <c r="Q318" s="159">
        <f t="shared" si="64"/>
        <v>5</v>
      </c>
      <c r="R318" s="160">
        <f t="shared" si="65"/>
        <v>1.5833333332557231</v>
      </c>
      <c r="S318" s="158">
        <f t="shared" si="66"/>
        <v>0.38919925510196546</v>
      </c>
      <c r="T318" s="161">
        <f t="shared" si="67"/>
        <v>64.996275602028234</v>
      </c>
      <c r="U318" s="158">
        <f t="shared" si="69"/>
        <v>41.050279329608941</v>
      </c>
      <c r="V318" s="160">
        <f t="shared" si="68"/>
        <v>41</v>
      </c>
    </row>
    <row r="319" spans="1:22" x14ac:dyDescent="0.25">
      <c r="A319" s="98" t="s">
        <v>22</v>
      </c>
      <c r="B319" s="98" t="s">
        <v>20</v>
      </c>
      <c r="C319" s="98">
        <v>34</v>
      </c>
      <c r="D319" s="98">
        <v>891</v>
      </c>
      <c r="E319" s="157">
        <v>41794.940972222219</v>
      </c>
      <c r="F319" s="157">
        <v>41796.993055555555</v>
      </c>
      <c r="G319" s="98">
        <v>0</v>
      </c>
      <c r="H319" s="98">
        <v>179</v>
      </c>
      <c r="I319" s="98">
        <v>167</v>
      </c>
      <c r="J319" s="98" t="s">
        <v>2122</v>
      </c>
      <c r="K319" s="98" t="s">
        <v>969</v>
      </c>
      <c r="L319" s="105" t="str">
        <f t="shared" si="60"/>
        <v>Brown</v>
      </c>
      <c r="M319" s="105" t="str">
        <f t="shared" si="61"/>
        <v>Maintenance</v>
      </c>
      <c r="N319" s="105" t="str">
        <f t="shared" si="62"/>
        <v>Coal</v>
      </c>
      <c r="O319" s="105">
        <f>IFERROR(VLOOKUP(A319,Lookup!$J$5:$P$19,7,FALSE),0)</f>
        <v>2</v>
      </c>
      <c r="P319" s="159">
        <f t="shared" si="63"/>
        <v>2014</v>
      </c>
      <c r="Q319" s="159">
        <f t="shared" si="64"/>
        <v>6</v>
      </c>
      <c r="R319" s="160">
        <f t="shared" si="65"/>
        <v>49.250000000058208</v>
      </c>
      <c r="S319" s="158">
        <f t="shared" si="66"/>
        <v>49.250000000058208</v>
      </c>
      <c r="T319" s="161">
        <f t="shared" si="67"/>
        <v>8224.7500000097207</v>
      </c>
      <c r="U319" s="158">
        <f t="shared" si="69"/>
        <v>167</v>
      </c>
      <c r="V319" s="160">
        <f t="shared" si="68"/>
        <v>167</v>
      </c>
    </row>
    <row r="320" spans="1:22" x14ac:dyDescent="0.25">
      <c r="A320" s="98" t="s">
        <v>22</v>
      </c>
      <c r="B320" s="98" t="s">
        <v>17</v>
      </c>
      <c r="C320" s="98">
        <v>35</v>
      </c>
      <c r="D320" s="98">
        <v>1455</v>
      </c>
      <c r="E320" s="157">
        <v>41797.409722222219</v>
      </c>
      <c r="F320" s="157">
        <v>41797.435416666667</v>
      </c>
      <c r="G320" s="98">
        <v>80</v>
      </c>
      <c r="H320" s="98">
        <v>179</v>
      </c>
      <c r="I320" s="98">
        <v>167</v>
      </c>
      <c r="J320" s="98" t="s">
        <v>1990</v>
      </c>
      <c r="K320" s="98" t="s">
        <v>970</v>
      </c>
      <c r="L320" s="105" t="str">
        <f t="shared" si="60"/>
        <v>Brown</v>
      </c>
      <c r="M320" s="105" t="str">
        <f t="shared" si="61"/>
        <v>Derate</v>
      </c>
      <c r="N320" s="105" t="str">
        <f t="shared" si="62"/>
        <v>Coal</v>
      </c>
      <c r="O320" s="105">
        <f>IFERROR(VLOOKUP(A320,Lookup!$J$5:$P$19,7,FALSE),0)</f>
        <v>2</v>
      </c>
      <c r="P320" s="159">
        <f t="shared" si="63"/>
        <v>2014</v>
      </c>
      <c r="Q320" s="159">
        <f t="shared" si="64"/>
        <v>6</v>
      </c>
      <c r="R320" s="160">
        <f t="shared" si="65"/>
        <v>0.61666666675591841</v>
      </c>
      <c r="S320" s="158">
        <f t="shared" si="66"/>
        <v>0.3410614525633292</v>
      </c>
      <c r="T320" s="161">
        <f t="shared" si="67"/>
        <v>56.957262578075976</v>
      </c>
      <c r="U320" s="158">
        <f t="shared" si="69"/>
        <v>92.363128491620117</v>
      </c>
      <c r="V320" s="160">
        <f t="shared" si="68"/>
        <v>92</v>
      </c>
    </row>
    <row r="321" spans="1:22" x14ac:dyDescent="0.25">
      <c r="A321" s="98" t="s">
        <v>22</v>
      </c>
      <c r="B321" s="98" t="s">
        <v>17</v>
      </c>
      <c r="C321" s="98">
        <v>36</v>
      </c>
      <c r="D321" s="98">
        <v>310</v>
      </c>
      <c r="E321" s="157">
        <v>41809.375</v>
      </c>
      <c r="F321" s="157">
        <v>41809.397222222222</v>
      </c>
      <c r="G321" s="98">
        <v>130</v>
      </c>
      <c r="H321" s="98">
        <v>179</v>
      </c>
      <c r="I321" s="98">
        <v>167</v>
      </c>
      <c r="J321" s="98" t="s">
        <v>1966</v>
      </c>
      <c r="K321" s="98" t="s">
        <v>971</v>
      </c>
      <c r="L321" s="105" t="str">
        <f t="shared" si="60"/>
        <v>Brown</v>
      </c>
      <c r="M321" s="105" t="str">
        <f t="shared" si="61"/>
        <v>Derate</v>
      </c>
      <c r="N321" s="105" t="str">
        <f t="shared" si="62"/>
        <v>Coal</v>
      </c>
      <c r="O321" s="105">
        <f>IFERROR(VLOOKUP(A321,Lookup!$J$5:$P$19,7,FALSE),0)</f>
        <v>2</v>
      </c>
      <c r="P321" s="159">
        <f t="shared" si="63"/>
        <v>2014</v>
      </c>
      <c r="Q321" s="159">
        <f t="shared" si="64"/>
        <v>6</v>
      </c>
      <c r="R321" s="160">
        <f t="shared" si="65"/>
        <v>0.53333333332557231</v>
      </c>
      <c r="S321" s="158">
        <f t="shared" si="66"/>
        <v>0.14599627560308961</v>
      </c>
      <c r="T321" s="161">
        <f t="shared" si="67"/>
        <v>24.381378025715964</v>
      </c>
      <c r="U321" s="158">
        <f t="shared" si="69"/>
        <v>45.715083798882681</v>
      </c>
      <c r="V321" s="160">
        <f t="shared" si="68"/>
        <v>46</v>
      </c>
    </row>
    <row r="322" spans="1:22" x14ac:dyDescent="0.25">
      <c r="A322" s="98" t="s">
        <v>22</v>
      </c>
      <c r="B322" s="98" t="s">
        <v>17</v>
      </c>
      <c r="C322" s="98">
        <v>37</v>
      </c>
      <c r="D322" s="98">
        <v>310</v>
      </c>
      <c r="E322" s="157">
        <v>41810.300000000003</v>
      </c>
      <c r="F322" s="157">
        <v>41810.35</v>
      </c>
      <c r="G322" s="98">
        <v>110</v>
      </c>
      <c r="H322" s="98">
        <v>179</v>
      </c>
      <c r="I322" s="98">
        <v>167</v>
      </c>
      <c r="J322" s="98" t="s">
        <v>1966</v>
      </c>
      <c r="K322" s="98" t="s">
        <v>972</v>
      </c>
      <c r="L322" s="105" t="str">
        <f t="shared" si="60"/>
        <v>Brown</v>
      </c>
      <c r="M322" s="105" t="str">
        <f t="shared" si="61"/>
        <v>Derate</v>
      </c>
      <c r="N322" s="105" t="str">
        <f t="shared" si="62"/>
        <v>Coal</v>
      </c>
      <c r="O322" s="105">
        <f>IFERROR(VLOOKUP(A322,Lookup!$J$5:$P$19,7,FALSE),0)</f>
        <v>2</v>
      </c>
      <c r="P322" s="159">
        <f t="shared" si="63"/>
        <v>2014</v>
      </c>
      <c r="Q322" s="159">
        <f t="shared" si="64"/>
        <v>6</v>
      </c>
      <c r="R322" s="160">
        <f t="shared" si="65"/>
        <v>1.1999999998952262</v>
      </c>
      <c r="S322" s="158">
        <f t="shared" si="66"/>
        <v>0.46256983236184696</v>
      </c>
      <c r="T322" s="161">
        <f t="shared" si="67"/>
        <v>77.249162004428442</v>
      </c>
      <c r="U322" s="158">
        <f t="shared" si="69"/>
        <v>64.374301675977648</v>
      </c>
      <c r="V322" s="160">
        <f t="shared" si="68"/>
        <v>64</v>
      </c>
    </row>
    <row r="323" spans="1:22" x14ac:dyDescent="0.25">
      <c r="A323" s="98" t="s">
        <v>22</v>
      </c>
      <c r="B323" s="98" t="s">
        <v>17</v>
      </c>
      <c r="C323" s="98">
        <v>38</v>
      </c>
      <c r="D323" s="98">
        <v>310</v>
      </c>
      <c r="E323" s="157">
        <v>41810.35</v>
      </c>
      <c r="F323" s="157">
        <v>41810.413888888892</v>
      </c>
      <c r="G323" s="98">
        <v>130</v>
      </c>
      <c r="H323" s="98">
        <v>179</v>
      </c>
      <c r="I323" s="98">
        <v>167</v>
      </c>
      <c r="J323" s="98" t="s">
        <v>1966</v>
      </c>
      <c r="K323" s="98" t="s">
        <v>973</v>
      </c>
      <c r="L323" s="105" t="str">
        <f t="shared" si="60"/>
        <v>Brown</v>
      </c>
      <c r="M323" s="105" t="str">
        <f t="shared" si="61"/>
        <v>Derate</v>
      </c>
      <c r="N323" s="105" t="str">
        <f t="shared" si="62"/>
        <v>Coal</v>
      </c>
      <c r="O323" s="105">
        <f>IFERROR(VLOOKUP(A323,Lookup!$J$5:$P$19,7,FALSE),0)</f>
        <v>2</v>
      </c>
      <c r="P323" s="159">
        <f t="shared" si="63"/>
        <v>2014</v>
      </c>
      <c r="Q323" s="159">
        <f t="shared" si="64"/>
        <v>6</v>
      </c>
      <c r="R323" s="160">
        <f t="shared" si="65"/>
        <v>1.5333333334419876</v>
      </c>
      <c r="S323" s="158">
        <f t="shared" si="66"/>
        <v>0.41973929239473406</v>
      </c>
      <c r="T323" s="161">
        <f t="shared" si="67"/>
        <v>70.096461829920585</v>
      </c>
      <c r="U323" s="158">
        <f t="shared" si="69"/>
        <v>45.715083798882681</v>
      </c>
      <c r="V323" s="160">
        <f t="shared" si="68"/>
        <v>46</v>
      </c>
    </row>
    <row r="324" spans="1:22" x14ac:dyDescent="0.25">
      <c r="A324" s="98" t="s">
        <v>22</v>
      </c>
      <c r="B324" s="98" t="s">
        <v>32</v>
      </c>
      <c r="C324" s="98">
        <v>39</v>
      </c>
      <c r="D324" s="98">
        <v>310</v>
      </c>
      <c r="E324" s="157">
        <v>41816.916666666664</v>
      </c>
      <c r="F324" s="157">
        <v>41817.13958333333</v>
      </c>
      <c r="G324" s="98">
        <v>130</v>
      </c>
      <c r="H324" s="98">
        <v>179</v>
      </c>
      <c r="I324" s="98">
        <v>167</v>
      </c>
      <c r="J324" s="98" t="s">
        <v>1966</v>
      </c>
      <c r="K324" s="98" t="s">
        <v>974</v>
      </c>
      <c r="L324" s="105" t="str">
        <f t="shared" si="60"/>
        <v>Brown</v>
      </c>
      <c r="M324" s="105" t="str">
        <f t="shared" si="61"/>
        <v>Derate</v>
      </c>
      <c r="N324" s="105" t="str">
        <f t="shared" si="62"/>
        <v>Coal</v>
      </c>
      <c r="O324" s="105">
        <f>IFERROR(VLOOKUP(A324,Lookup!$J$5:$P$19,7,FALSE),0)</f>
        <v>2</v>
      </c>
      <c r="P324" s="159">
        <f t="shared" si="63"/>
        <v>2014</v>
      </c>
      <c r="Q324" s="159">
        <f t="shared" si="64"/>
        <v>6</v>
      </c>
      <c r="R324" s="160">
        <f t="shared" si="65"/>
        <v>5.3499999999767169</v>
      </c>
      <c r="S324" s="158">
        <f t="shared" si="66"/>
        <v>1.4645251396584309</v>
      </c>
      <c r="T324" s="161">
        <f t="shared" si="67"/>
        <v>244.57569832295795</v>
      </c>
      <c r="U324" s="158">
        <f t="shared" si="69"/>
        <v>45.715083798882681</v>
      </c>
      <c r="V324" s="160">
        <f t="shared" si="68"/>
        <v>46</v>
      </c>
    </row>
    <row r="325" spans="1:22" x14ac:dyDescent="0.25">
      <c r="A325" s="98" t="s">
        <v>22</v>
      </c>
      <c r="B325" s="98" t="s">
        <v>32</v>
      </c>
      <c r="C325" s="98">
        <v>40</v>
      </c>
      <c r="D325" s="98">
        <v>335</v>
      </c>
      <c r="E325" s="157">
        <v>41822.916666666664</v>
      </c>
      <c r="F325" s="157">
        <v>41823.106944444444</v>
      </c>
      <c r="G325" s="98">
        <v>130</v>
      </c>
      <c r="H325" s="98">
        <v>179</v>
      </c>
      <c r="I325" s="98">
        <v>167</v>
      </c>
      <c r="J325" s="98" t="s">
        <v>2131</v>
      </c>
      <c r="K325" s="98" t="s">
        <v>2132</v>
      </c>
      <c r="L325" s="105" t="str">
        <f t="shared" si="60"/>
        <v>Brown</v>
      </c>
      <c r="M325" s="105" t="str">
        <f t="shared" si="61"/>
        <v>Derate</v>
      </c>
      <c r="N325" s="105" t="str">
        <f t="shared" si="62"/>
        <v>Coal</v>
      </c>
      <c r="O325" s="105">
        <f>IFERROR(VLOOKUP(A325,Lookup!$J$5:$P$19,7,FALSE),0)</f>
        <v>2</v>
      </c>
      <c r="P325" s="159">
        <f t="shared" si="63"/>
        <v>2014</v>
      </c>
      <c r="Q325" s="159">
        <f t="shared" si="64"/>
        <v>7</v>
      </c>
      <c r="R325" s="160">
        <f t="shared" si="65"/>
        <v>4.5666666667093523</v>
      </c>
      <c r="S325" s="158">
        <f t="shared" si="66"/>
        <v>1.250093109881331</v>
      </c>
      <c r="T325" s="161">
        <f t="shared" si="67"/>
        <v>208.76554935018228</v>
      </c>
      <c r="U325" s="158">
        <f t="shared" si="69"/>
        <v>45.715083798882681</v>
      </c>
      <c r="V325" s="160">
        <f t="shared" si="68"/>
        <v>46</v>
      </c>
    </row>
    <row r="326" spans="1:22" x14ac:dyDescent="0.25">
      <c r="A326" s="98" t="s">
        <v>22</v>
      </c>
      <c r="B326" s="98" t="s">
        <v>32</v>
      </c>
      <c r="C326" s="98">
        <v>41</v>
      </c>
      <c r="D326" s="98">
        <v>3631</v>
      </c>
      <c r="E326" s="157">
        <v>41841.982638888891</v>
      </c>
      <c r="F326" s="157">
        <v>41842.005555555559</v>
      </c>
      <c r="G326" s="98">
        <v>80</v>
      </c>
      <c r="H326" s="98">
        <v>179</v>
      </c>
      <c r="I326" s="98">
        <v>167</v>
      </c>
      <c r="J326" s="98" t="s">
        <v>2133</v>
      </c>
      <c r="K326" s="98" t="s">
        <v>2134</v>
      </c>
      <c r="L326" s="105" t="str">
        <f t="shared" si="60"/>
        <v>Brown</v>
      </c>
      <c r="M326" s="105" t="str">
        <f t="shared" si="61"/>
        <v>Derate</v>
      </c>
      <c r="N326" s="105" t="str">
        <f t="shared" si="62"/>
        <v>Coal</v>
      </c>
      <c r="O326" s="105">
        <f>IFERROR(VLOOKUP(A326,Lookup!$J$5:$P$19,7,FALSE),0)</f>
        <v>2</v>
      </c>
      <c r="P326" s="159">
        <f t="shared" si="63"/>
        <v>2014</v>
      </c>
      <c r="Q326" s="159">
        <f t="shared" si="64"/>
        <v>7</v>
      </c>
      <c r="R326" s="160">
        <f t="shared" si="65"/>
        <v>0.55000000004656613</v>
      </c>
      <c r="S326" s="158">
        <f t="shared" si="66"/>
        <v>0.30418994415983264</v>
      </c>
      <c r="T326" s="161">
        <f t="shared" si="67"/>
        <v>50.799720674692047</v>
      </c>
      <c r="U326" s="158">
        <f t="shared" si="69"/>
        <v>92.363128491620117</v>
      </c>
      <c r="V326" s="160">
        <f t="shared" si="68"/>
        <v>92</v>
      </c>
    </row>
    <row r="327" spans="1:22" x14ac:dyDescent="0.25">
      <c r="A327" s="98" t="s">
        <v>22</v>
      </c>
      <c r="B327" s="98" t="s">
        <v>15</v>
      </c>
      <c r="C327" s="98">
        <v>42</v>
      </c>
      <c r="D327" s="98">
        <v>1700</v>
      </c>
      <c r="E327" s="157">
        <v>41866.390277777777</v>
      </c>
      <c r="F327" s="157">
        <v>41866.459722222222</v>
      </c>
      <c r="G327" s="98">
        <v>0</v>
      </c>
      <c r="H327" s="98">
        <v>179</v>
      </c>
      <c r="I327" s="98">
        <v>167</v>
      </c>
      <c r="J327" s="98" t="s">
        <v>2036</v>
      </c>
      <c r="K327" s="98" t="s">
        <v>2135</v>
      </c>
      <c r="L327" s="105" t="str">
        <f t="shared" si="60"/>
        <v>Brown</v>
      </c>
      <c r="M327" s="105" t="str">
        <f t="shared" si="61"/>
        <v>Outage</v>
      </c>
      <c r="N327" s="105" t="str">
        <f t="shared" si="62"/>
        <v>Coal</v>
      </c>
      <c r="O327" s="105">
        <f>IFERROR(VLOOKUP(A327,Lookup!$J$5:$P$19,7,FALSE),0)</f>
        <v>2</v>
      </c>
      <c r="P327" s="159">
        <f t="shared" si="63"/>
        <v>2014</v>
      </c>
      <c r="Q327" s="159">
        <f t="shared" si="64"/>
        <v>8</v>
      </c>
      <c r="R327" s="160">
        <f t="shared" si="65"/>
        <v>1.6666666666860692</v>
      </c>
      <c r="S327" s="158">
        <f t="shared" si="66"/>
        <v>1.6666666666860692</v>
      </c>
      <c r="T327" s="161">
        <f t="shared" si="67"/>
        <v>278.33333333657356</v>
      </c>
      <c r="U327" s="158">
        <f t="shared" si="69"/>
        <v>167</v>
      </c>
      <c r="V327" s="160">
        <f t="shared" si="68"/>
        <v>167</v>
      </c>
    </row>
    <row r="328" spans="1:22" x14ac:dyDescent="0.25">
      <c r="A328" s="98" t="s">
        <v>22</v>
      </c>
      <c r="B328" s="98" t="s">
        <v>15</v>
      </c>
      <c r="C328" s="98">
        <v>43</v>
      </c>
      <c r="D328" s="98">
        <v>4293</v>
      </c>
      <c r="E328" s="157">
        <v>41866.459722222222</v>
      </c>
      <c r="F328" s="157">
        <v>41866.550694444442</v>
      </c>
      <c r="G328" s="98">
        <v>0</v>
      </c>
      <c r="H328" s="98">
        <v>179</v>
      </c>
      <c r="I328" s="98">
        <v>167</v>
      </c>
      <c r="J328" s="98" t="s">
        <v>2011</v>
      </c>
      <c r="K328" s="98" t="s">
        <v>2136</v>
      </c>
      <c r="L328" s="105" t="str">
        <f t="shared" si="60"/>
        <v>Brown</v>
      </c>
      <c r="M328" s="105" t="str">
        <f t="shared" si="61"/>
        <v>Outage</v>
      </c>
      <c r="N328" s="105" t="str">
        <f t="shared" si="62"/>
        <v>Coal</v>
      </c>
      <c r="O328" s="105">
        <f>IFERROR(VLOOKUP(A328,Lookup!$J$5:$P$19,7,FALSE),0)</f>
        <v>2</v>
      </c>
      <c r="P328" s="159">
        <f t="shared" si="63"/>
        <v>2014</v>
      </c>
      <c r="Q328" s="159">
        <f t="shared" si="64"/>
        <v>8</v>
      </c>
      <c r="R328" s="160">
        <f t="shared" si="65"/>
        <v>2.1833333332906477</v>
      </c>
      <c r="S328" s="158">
        <f t="shared" si="66"/>
        <v>2.1833333332906477</v>
      </c>
      <c r="T328" s="161">
        <f t="shared" si="67"/>
        <v>364.61666665953817</v>
      </c>
      <c r="U328" s="158">
        <f t="shared" si="69"/>
        <v>167</v>
      </c>
      <c r="V328" s="160">
        <f t="shared" si="68"/>
        <v>167</v>
      </c>
    </row>
    <row r="329" spans="1:22" x14ac:dyDescent="0.25">
      <c r="A329" s="98" t="s">
        <v>22</v>
      </c>
      <c r="B329" s="98" t="s">
        <v>15</v>
      </c>
      <c r="C329" s="98">
        <v>44</v>
      </c>
      <c r="D329" s="98">
        <v>1700</v>
      </c>
      <c r="E329" s="157">
        <v>41866.616666666669</v>
      </c>
      <c r="F329" s="157">
        <v>41866.651388888888</v>
      </c>
      <c r="G329" s="98">
        <v>0</v>
      </c>
      <c r="H329" s="98">
        <v>179</v>
      </c>
      <c r="I329" s="98">
        <v>167</v>
      </c>
      <c r="J329" s="98" t="s">
        <v>2036</v>
      </c>
      <c r="K329" s="98" t="s">
        <v>2137</v>
      </c>
      <c r="L329" s="105" t="str">
        <f t="shared" si="60"/>
        <v>Brown</v>
      </c>
      <c r="M329" s="105" t="str">
        <f t="shared" si="61"/>
        <v>Outage</v>
      </c>
      <c r="N329" s="105" t="str">
        <f t="shared" si="62"/>
        <v>Coal</v>
      </c>
      <c r="O329" s="105">
        <f>IFERROR(VLOOKUP(A329,Lookup!$J$5:$P$19,7,FALSE),0)</f>
        <v>2</v>
      </c>
      <c r="P329" s="159">
        <f t="shared" si="63"/>
        <v>2014</v>
      </c>
      <c r="Q329" s="159">
        <f t="shared" si="64"/>
        <v>8</v>
      </c>
      <c r="R329" s="160">
        <f t="shared" si="65"/>
        <v>0.83333333325572312</v>
      </c>
      <c r="S329" s="158">
        <f t="shared" si="66"/>
        <v>0.83333333325572312</v>
      </c>
      <c r="T329" s="161">
        <f t="shared" si="67"/>
        <v>139.16666665370576</v>
      </c>
      <c r="U329" s="158">
        <f t="shared" si="69"/>
        <v>167</v>
      </c>
      <c r="V329" s="160">
        <f t="shared" si="68"/>
        <v>167</v>
      </c>
    </row>
    <row r="330" spans="1:22" x14ac:dyDescent="0.25">
      <c r="A330" s="98" t="s">
        <v>22</v>
      </c>
      <c r="B330" s="98" t="s">
        <v>15</v>
      </c>
      <c r="C330" s="98">
        <v>45</v>
      </c>
      <c r="D330" s="98">
        <v>4293</v>
      </c>
      <c r="E330" s="157">
        <v>41866.651388888888</v>
      </c>
      <c r="F330" s="157">
        <v>41866.786111111112</v>
      </c>
      <c r="G330" s="98">
        <v>0</v>
      </c>
      <c r="H330" s="98">
        <v>179</v>
      </c>
      <c r="I330" s="98">
        <v>167</v>
      </c>
      <c r="J330" s="98" t="s">
        <v>2011</v>
      </c>
      <c r="K330" s="98" t="s">
        <v>2138</v>
      </c>
      <c r="L330" s="105" t="str">
        <f t="shared" si="60"/>
        <v>Brown</v>
      </c>
      <c r="M330" s="105" t="str">
        <f t="shared" si="61"/>
        <v>Outage</v>
      </c>
      <c r="N330" s="105" t="str">
        <f t="shared" si="62"/>
        <v>Coal</v>
      </c>
      <c r="O330" s="105">
        <f>IFERROR(VLOOKUP(A330,Lookup!$J$5:$P$19,7,FALSE),0)</f>
        <v>2</v>
      </c>
      <c r="P330" s="159">
        <f t="shared" si="63"/>
        <v>2014</v>
      </c>
      <c r="Q330" s="159">
        <f t="shared" si="64"/>
        <v>8</v>
      </c>
      <c r="R330" s="160">
        <f t="shared" si="65"/>
        <v>3.2333333333954215</v>
      </c>
      <c r="S330" s="158">
        <f t="shared" si="66"/>
        <v>3.2333333333954215</v>
      </c>
      <c r="T330" s="161">
        <f t="shared" si="67"/>
        <v>539.96666667703539</v>
      </c>
      <c r="U330" s="158">
        <f t="shared" si="69"/>
        <v>167</v>
      </c>
      <c r="V330" s="160">
        <f t="shared" si="68"/>
        <v>167</v>
      </c>
    </row>
    <row r="331" spans="1:22" x14ac:dyDescent="0.25">
      <c r="A331" s="98" t="s">
        <v>22</v>
      </c>
      <c r="B331" s="98" t="s">
        <v>18</v>
      </c>
      <c r="C331" s="98">
        <v>46</v>
      </c>
      <c r="D331" s="98">
        <v>4810</v>
      </c>
      <c r="E331" s="157">
        <v>41866.786111111112</v>
      </c>
      <c r="F331" s="157">
        <v>41866.895833333336</v>
      </c>
      <c r="G331" s="98">
        <v>0</v>
      </c>
      <c r="H331" s="98">
        <v>179</v>
      </c>
      <c r="I331" s="98">
        <v>167</v>
      </c>
      <c r="J331" s="98" t="s">
        <v>2139</v>
      </c>
      <c r="K331" s="98" t="s">
        <v>2140</v>
      </c>
      <c r="L331" s="105" t="str">
        <f t="shared" si="60"/>
        <v>Brown</v>
      </c>
      <c r="M331" s="105" t="str">
        <f t="shared" si="61"/>
        <v>Outage</v>
      </c>
      <c r="N331" s="105" t="str">
        <f t="shared" si="62"/>
        <v>Coal</v>
      </c>
      <c r="O331" s="105">
        <f>IFERROR(VLOOKUP(A331,Lookup!$J$5:$P$19,7,FALSE),0)</f>
        <v>2</v>
      </c>
      <c r="P331" s="159">
        <f t="shared" si="63"/>
        <v>2014</v>
      </c>
      <c r="Q331" s="159">
        <f t="shared" si="64"/>
        <v>8</v>
      </c>
      <c r="R331" s="160">
        <f t="shared" si="65"/>
        <v>2.6333333333604969</v>
      </c>
      <c r="S331" s="158">
        <f t="shared" si="66"/>
        <v>2.6333333333604969</v>
      </c>
      <c r="T331" s="161">
        <f t="shared" si="67"/>
        <v>439.76666667120298</v>
      </c>
      <c r="U331" s="158">
        <f t="shared" si="69"/>
        <v>167</v>
      </c>
      <c r="V331" s="160">
        <f t="shared" si="68"/>
        <v>167</v>
      </c>
    </row>
    <row r="332" spans="1:22" x14ac:dyDescent="0.25">
      <c r="A332" s="98" t="s">
        <v>22</v>
      </c>
      <c r="B332" s="98" t="s">
        <v>18</v>
      </c>
      <c r="C332" s="98">
        <v>47</v>
      </c>
      <c r="D332" s="98">
        <v>4810</v>
      </c>
      <c r="E332" s="157">
        <v>41866.895833333336</v>
      </c>
      <c r="F332" s="157">
        <v>41866.988194444442</v>
      </c>
      <c r="G332" s="98">
        <v>0</v>
      </c>
      <c r="H332" s="98">
        <v>179</v>
      </c>
      <c r="I332" s="98">
        <v>167</v>
      </c>
      <c r="J332" s="98" t="s">
        <v>2139</v>
      </c>
      <c r="K332" s="98" t="s">
        <v>2141</v>
      </c>
      <c r="L332" s="105" t="str">
        <f t="shared" si="60"/>
        <v>Brown</v>
      </c>
      <c r="M332" s="105" t="str">
        <f t="shared" si="61"/>
        <v>Outage</v>
      </c>
      <c r="N332" s="105" t="str">
        <f t="shared" si="62"/>
        <v>Coal</v>
      </c>
      <c r="O332" s="105">
        <f>IFERROR(VLOOKUP(A332,Lookup!$J$5:$P$19,7,FALSE),0)</f>
        <v>2</v>
      </c>
      <c r="P332" s="159">
        <f t="shared" si="63"/>
        <v>2014</v>
      </c>
      <c r="Q332" s="159">
        <f t="shared" si="64"/>
        <v>8</v>
      </c>
      <c r="R332" s="160">
        <f t="shared" si="65"/>
        <v>2.2166666665580124</v>
      </c>
      <c r="S332" s="158">
        <f t="shared" si="66"/>
        <v>2.2166666665580124</v>
      </c>
      <c r="T332" s="161">
        <f t="shared" si="67"/>
        <v>370.18333331518807</v>
      </c>
      <c r="U332" s="158">
        <f t="shared" si="69"/>
        <v>167</v>
      </c>
      <c r="V332" s="160">
        <f t="shared" si="68"/>
        <v>167</v>
      </c>
    </row>
    <row r="333" spans="1:22" x14ac:dyDescent="0.25">
      <c r="A333" s="98" t="s">
        <v>22</v>
      </c>
      <c r="B333" s="98" t="s">
        <v>32</v>
      </c>
      <c r="C333" s="98">
        <v>48</v>
      </c>
      <c r="D333" s="98">
        <v>1476</v>
      </c>
      <c r="E333" s="157">
        <v>41871.208333333336</v>
      </c>
      <c r="F333" s="157">
        <v>41871.230555555558</v>
      </c>
      <c r="G333" s="98">
        <v>80</v>
      </c>
      <c r="H333" s="98">
        <v>179</v>
      </c>
      <c r="I333" s="98">
        <v>167</v>
      </c>
      <c r="J333" s="98" t="s">
        <v>2117</v>
      </c>
      <c r="K333" s="98" t="s">
        <v>2142</v>
      </c>
      <c r="L333" s="105" t="str">
        <f t="shared" si="60"/>
        <v>Brown</v>
      </c>
      <c r="M333" s="105" t="str">
        <f t="shared" si="61"/>
        <v>Derate</v>
      </c>
      <c r="N333" s="105" t="str">
        <f t="shared" si="62"/>
        <v>Coal</v>
      </c>
      <c r="O333" s="105">
        <f>IFERROR(VLOOKUP(A333,Lookup!$J$5:$P$19,7,FALSE),0)</f>
        <v>2</v>
      </c>
      <c r="P333" s="159">
        <f t="shared" si="63"/>
        <v>2014</v>
      </c>
      <c r="Q333" s="159">
        <f t="shared" si="64"/>
        <v>8</v>
      </c>
      <c r="R333" s="160">
        <f t="shared" si="65"/>
        <v>0.53333333332557231</v>
      </c>
      <c r="S333" s="158">
        <f t="shared" si="66"/>
        <v>0.29497206703481371</v>
      </c>
      <c r="T333" s="161">
        <f t="shared" si="67"/>
        <v>49.260335194813891</v>
      </c>
      <c r="U333" s="158">
        <f t="shared" si="69"/>
        <v>92.363128491620117</v>
      </c>
      <c r="V333" s="160">
        <f t="shared" si="68"/>
        <v>92</v>
      </c>
    </row>
    <row r="334" spans="1:22" x14ac:dyDescent="0.25">
      <c r="A334" s="98" t="s">
        <v>22</v>
      </c>
      <c r="B334" s="98" t="s">
        <v>17</v>
      </c>
      <c r="C334" s="98">
        <v>49</v>
      </c>
      <c r="D334" s="98">
        <v>350</v>
      </c>
      <c r="E334" s="157">
        <v>41877.07916666667</v>
      </c>
      <c r="F334" s="157">
        <v>41877.219444444447</v>
      </c>
      <c r="G334" s="98">
        <v>135</v>
      </c>
      <c r="H334" s="98">
        <v>179</v>
      </c>
      <c r="I334" s="98">
        <v>167</v>
      </c>
      <c r="J334" s="98" t="s">
        <v>1976</v>
      </c>
      <c r="K334" s="98" t="s">
        <v>2143</v>
      </c>
      <c r="L334" s="105" t="str">
        <f t="shared" si="60"/>
        <v>Brown</v>
      </c>
      <c r="M334" s="105" t="str">
        <f t="shared" si="61"/>
        <v>Derate</v>
      </c>
      <c r="N334" s="105" t="str">
        <f t="shared" si="62"/>
        <v>Coal</v>
      </c>
      <c r="O334" s="105">
        <f>IFERROR(VLOOKUP(A334,Lookup!$J$5:$P$19,7,FALSE),0)</f>
        <v>2</v>
      </c>
      <c r="P334" s="159">
        <f t="shared" si="63"/>
        <v>2014</v>
      </c>
      <c r="Q334" s="159">
        <f t="shared" si="64"/>
        <v>8</v>
      </c>
      <c r="R334" s="160">
        <f t="shared" si="65"/>
        <v>3.3666666666395031</v>
      </c>
      <c r="S334" s="158">
        <f t="shared" si="66"/>
        <v>0.82756052140859293</v>
      </c>
      <c r="T334" s="161">
        <f t="shared" si="67"/>
        <v>138.20260707523502</v>
      </c>
      <c r="U334" s="158">
        <f t="shared" si="69"/>
        <v>41.050279329608941</v>
      </c>
      <c r="V334" s="160">
        <f t="shared" si="68"/>
        <v>41</v>
      </c>
    </row>
    <row r="335" spans="1:22" x14ac:dyDescent="0.25">
      <c r="A335" s="98" t="s">
        <v>22</v>
      </c>
      <c r="B335" s="98" t="s">
        <v>32</v>
      </c>
      <c r="C335" s="98">
        <v>50</v>
      </c>
      <c r="D335" s="98">
        <v>310</v>
      </c>
      <c r="E335" s="157">
        <v>41912.083333333336</v>
      </c>
      <c r="F335" s="157">
        <v>41912.361805555556</v>
      </c>
      <c r="G335" s="98">
        <v>135</v>
      </c>
      <c r="H335" s="98">
        <v>179</v>
      </c>
      <c r="I335" s="98">
        <v>167</v>
      </c>
      <c r="J335" s="98" t="s">
        <v>1966</v>
      </c>
      <c r="K335" s="98" t="s">
        <v>2144</v>
      </c>
      <c r="L335" s="105" t="str">
        <f t="shared" si="60"/>
        <v>Brown</v>
      </c>
      <c r="M335" s="105" t="str">
        <f t="shared" si="61"/>
        <v>Derate</v>
      </c>
      <c r="N335" s="105" t="str">
        <f t="shared" si="62"/>
        <v>Coal</v>
      </c>
      <c r="O335" s="105">
        <f>IFERROR(VLOOKUP(A335,Lookup!$J$5:$P$19,7,FALSE),0)</f>
        <v>2</v>
      </c>
      <c r="P335" s="159">
        <f t="shared" si="63"/>
        <v>2014</v>
      </c>
      <c r="Q335" s="159">
        <f t="shared" si="64"/>
        <v>9</v>
      </c>
      <c r="R335" s="160">
        <f t="shared" si="65"/>
        <v>6.6833333332906477</v>
      </c>
      <c r="S335" s="158">
        <f t="shared" si="66"/>
        <v>1.6428305400267513</v>
      </c>
      <c r="T335" s="161">
        <f t="shared" si="67"/>
        <v>274.35270018446749</v>
      </c>
      <c r="U335" s="158">
        <f t="shared" si="69"/>
        <v>41.050279329608941</v>
      </c>
      <c r="V335" s="160">
        <f t="shared" si="68"/>
        <v>41</v>
      </c>
    </row>
    <row r="336" spans="1:22" x14ac:dyDescent="0.25">
      <c r="A336" s="98" t="s">
        <v>22</v>
      </c>
      <c r="B336" s="98" t="s">
        <v>32</v>
      </c>
      <c r="C336" s="98">
        <v>51</v>
      </c>
      <c r="D336" s="98">
        <v>310</v>
      </c>
      <c r="E336" s="157">
        <v>41922</v>
      </c>
      <c r="F336" s="157">
        <v>41922.05972222222</v>
      </c>
      <c r="G336" s="98">
        <v>135</v>
      </c>
      <c r="H336" s="98">
        <v>179</v>
      </c>
      <c r="I336" s="98">
        <v>167</v>
      </c>
      <c r="J336" s="98" t="s">
        <v>1966</v>
      </c>
      <c r="K336" s="98" t="s">
        <v>2145</v>
      </c>
      <c r="L336" s="105" t="str">
        <f t="shared" si="60"/>
        <v>Brown</v>
      </c>
      <c r="M336" s="105" t="str">
        <f t="shared" si="61"/>
        <v>Derate</v>
      </c>
      <c r="N336" s="105" t="str">
        <f t="shared" si="62"/>
        <v>Coal</v>
      </c>
      <c r="O336" s="105">
        <f>IFERROR(VLOOKUP(A336,Lookup!$J$5:$P$19,7,FALSE),0)</f>
        <v>2</v>
      </c>
      <c r="P336" s="159">
        <f t="shared" si="63"/>
        <v>2014</v>
      </c>
      <c r="Q336" s="159">
        <f t="shared" si="64"/>
        <v>10</v>
      </c>
      <c r="R336" s="160">
        <f t="shared" si="65"/>
        <v>1.4333333332906477</v>
      </c>
      <c r="S336" s="158">
        <f t="shared" si="66"/>
        <v>0.35232774673066203</v>
      </c>
      <c r="T336" s="161">
        <f t="shared" si="67"/>
        <v>58.838733704020555</v>
      </c>
      <c r="U336" s="158">
        <f t="shared" si="69"/>
        <v>41.050279329608941</v>
      </c>
      <c r="V336" s="160">
        <f t="shared" si="68"/>
        <v>41</v>
      </c>
    </row>
    <row r="337" spans="1:22" x14ac:dyDescent="0.25">
      <c r="A337" s="98" t="s">
        <v>22</v>
      </c>
      <c r="B337" s="98" t="s">
        <v>38</v>
      </c>
      <c r="C337" s="98">
        <v>52</v>
      </c>
      <c r="D337" s="98">
        <v>4402</v>
      </c>
      <c r="E337" s="157">
        <v>41929.796527777777</v>
      </c>
      <c r="F337" s="157">
        <v>41960.590277777781</v>
      </c>
      <c r="G337" s="98">
        <v>0</v>
      </c>
      <c r="H337" s="98">
        <v>179</v>
      </c>
      <c r="I337" s="98">
        <v>167</v>
      </c>
      <c r="J337" s="98" t="s">
        <v>2146</v>
      </c>
      <c r="K337" s="98" t="s">
        <v>2147</v>
      </c>
      <c r="L337" s="105" t="str">
        <f t="shared" si="60"/>
        <v>Brown</v>
      </c>
      <c r="M337" s="105" t="str">
        <f t="shared" si="61"/>
        <v>Other</v>
      </c>
      <c r="N337" s="105" t="str">
        <f t="shared" si="62"/>
        <v>Coal</v>
      </c>
      <c r="O337" s="105">
        <f>IFERROR(VLOOKUP(A337,Lookup!$J$5:$P$19,7,FALSE),0)</f>
        <v>2</v>
      </c>
      <c r="P337" s="159">
        <f t="shared" si="63"/>
        <v>2014</v>
      </c>
      <c r="Q337" s="159">
        <f t="shared" si="64"/>
        <v>10</v>
      </c>
      <c r="R337" s="160">
        <f t="shared" si="65"/>
        <v>739.05000000010477</v>
      </c>
      <c r="S337" s="158">
        <f t="shared" si="66"/>
        <v>739.05000000010477</v>
      </c>
      <c r="T337" s="161">
        <f t="shared" si="67"/>
        <v>123421.3500000175</v>
      </c>
      <c r="U337" s="158">
        <f t="shared" si="69"/>
        <v>167</v>
      </c>
      <c r="V337" s="160">
        <f t="shared" si="68"/>
        <v>167</v>
      </c>
    </row>
    <row r="338" spans="1:22" x14ac:dyDescent="0.25">
      <c r="A338" s="98" t="s">
        <v>22</v>
      </c>
      <c r="B338" s="98" t="s">
        <v>32</v>
      </c>
      <c r="C338" s="98">
        <v>53</v>
      </c>
      <c r="D338" s="98">
        <v>1480</v>
      </c>
      <c r="E338" s="157">
        <v>41966.291666666664</v>
      </c>
      <c r="F338" s="157">
        <v>41966.513888888891</v>
      </c>
      <c r="G338" s="98">
        <v>120</v>
      </c>
      <c r="H338" s="98">
        <v>179</v>
      </c>
      <c r="I338" s="98">
        <v>167</v>
      </c>
      <c r="J338" s="98" t="s">
        <v>1972</v>
      </c>
      <c r="K338" s="98" t="s">
        <v>2148</v>
      </c>
      <c r="L338" s="105" t="str">
        <f t="shared" si="60"/>
        <v>Brown</v>
      </c>
      <c r="M338" s="105" t="str">
        <f t="shared" si="61"/>
        <v>Derate</v>
      </c>
      <c r="N338" s="105" t="str">
        <f t="shared" si="62"/>
        <v>Coal</v>
      </c>
      <c r="O338" s="105">
        <f>IFERROR(VLOOKUP(A338,Lookup!$J$5:$P$19,7,FALSE),0)</f>
        <v>2</v>
      </c>
      <c r="P338" s="159">
        <f t="shared" si="63"/>
        <v>2014</v>
      </c>
      <c r="Q338" s="159">
        <f t="shared" si="64"/>
        <v>11</v>
      </c>
      <c r="R338" s="160">
        <f t="shared" si="65"/>
        <v>5.3333333334303461</v>
      </c>
      <c r="S338" s="158">
        <f t="shared" si="66"/>
        <v>1.7579143389519019</v>
      </c>
      <c r="T338" s="161">
        <f t="shared" si="67"/>
        <v>293.5716946049676</v>
      </c>
      <c r="U338" s="158">
        <f t="shared" si="69"/>
        <v>55.044692737430168</v>
      </c>
      <c r="V338" s="160">
        <f t="shared" si="68"/>
        <v>55</v>
      </c>
    </row>
    <row r="339" spans="1:22" x14ac:dyDescent="0.25">
      <c r="A339" s="98" t="s">
        <v>22</v>
      </c>
      <c r="B339" s="98" t="s">
        <v>20</v>
      </c>
      <c r="C339" s="98">
        <v>54</v>
      </c>
      <c r="D339" s="98">
        <v>4619</v>
      </c>
      <c r="E339" s="157">
        <v>41972.75277777778</v>
      </c>
      <c r="F339" s="157">
        <v>41984.119444444441</v>
      </c>
      <c r="G339" s="98">
        <v>0</v>
      </c>
      <c r="H339" s="98">
        <v>179</v>
      </c>
      <c r="I339" s="98">
        <v>167</v>
      </c>
      <c r="J339" s="98" t="s">
        <v>2086</v>
      </c>
      <c r="K339" s="98" t="s">
        <v>2149</v>
      </c>
      <c r="L339" s="105" t="str">
        <f t="shared" ref="L339:L402" si="70">IF(OR(A339="BR1",A339="BR2",A339="BR3",A339="BR5",A339="BR6",A339="BR7",A339="BR8",A339="BR9",A339="BR10",A339="BR11"),"Brown",IF(OR(A339="CR4",A339="CR5",A339="CR6",A339="CR11"),"Cane Run",IF(OR(A339="GH1",A339="GH2",A339="GH3",A339="GH4"),"Ghent",IF(OR(A339="GR3",A339="GR4"),"Green River",IF(OR(A339="MC1",A339="MC2",A339="MC3",A339="MC4"),"Mill Creek",IF(OR(A339="TC1",A339="TC2",A339="TC5",A339="TC6",A339="TC7",A339="TC8",A339="TC9",A339="TC10"),"Trimble",IF(A339="TY3","Tyrone",IF(OR(A339="HA1",A339="HA2",A339="HA3"),"Haeflin",IF(OR(A339="PR11",A339="PR12",A339="PR13"),"Paddy's Run","Zorn")))))))))</f>
        <v>Brown</v>
      </c>
      <c r="M339" s="105" t="str">
        <f t="shared" ref="M339:M402" si="71">IF(OR(B339="D1",B339="D2",B339="D3",B339="D4",B339="PD"),"Derate",IF(OR(B339="SF",B339="U1",B339="U2",B339="U3"),"Outage",IF(OR(B339="ME",B339="MO"),"Maintenance","Other")))</f>
        <v>Maintenance</v>
      </c>
      <c r="N339" s="105" t="str">
        <f t="shared" ref="N339:N402" si="72">IF(OR(A339="BR1",A339="BR2",A339="BR3",A339="CR4",A339="CR5",A339="CR6",A339="GH1",A339="GH2",A339="GH3",A339="GH4",A339="GR3",A339="GR4",A339="MC1",A339="MC2",A339="MC3",A339="MC4",A339="TC1",A339="TC2",A339="TY3"),"Coal","Gas")</f>
        <v>Coal</v>
      </c>
      <c r="O339" s="105">
        <f>IFERROR(VLOOKUP(A339,Lookup!$J$5:$P$19,7,FALSE),0)</f>
        <v>2</v>
      </c>
      <c r="P339" s="159">
        <f t="shared" ref="P339:P402" si="73">YEAR(E339)</f>
        <v>2014</v>
      </c>
      <c r="Q339" s="159">
        <f t="shared" ref="Q339:Q402" si="74">MONTH(E339)</f>
        <v>11</v>
      </c>
      <c r="R339" s="160">
        <f t="shared" ref="R339:R402" si="75">(F339-E339)*24</f>
        <v>272.79999999987194</v>
      </c>
      <c r="S339" s="158">
        <f t="shared" ref="S339:S402" si="76">R339*(H339-G339)/H339</f>
        <v>272.79999999987194</v>
      </c>
      <c r="T339" s="161">
        <f t="shared" ref="T339:T402" si="77">S339*I339</f>
        <v>45557.599999978615</v>
      </c>
      <c r="U339" s="158">
        <f t="shared" si="69"/>
        <v>167</v>
      </c>
      <c r="V339" s="160">
        <f t="shared" ref="V339:V402" si="78">ROUND(U339,0)</f>
        <v>167</v>
      </c>
    </row>
    <row r="340" spans="1:22" x14ac:dyDescent="0.25">
      <c r="A340" s="98" t="s">
        <v>22</v>
      </c>
      <c r="B340" s="98" t="s">
        <v>32</v>
      </c>
      <c r="C340" s="98">
        <v>55</v>
      </c>
      <c r="D340" s="98">
        <v>310</v>
      </c>
      <c r="E340" s="157">
        <v>41984.958333333336</v>
      </c>
      <c r="F340" s="157">
        <v>41985.177083333336</v>
      </c>
      <c r="G340" s="98">
        <v>135</v>
      </c>
      <c r="H340" s="98">
        <v>179</v>
      </c>
      <c r="I340" s="98">
        <v>167</v>
      </c>
      <c r="J340" s="98" t="s">
        <v>1966</v>
      </c>
      <c r="K340" s="98" t="s">
        <v>2150</v>
      </c>
      <c r="L340" s="105" t="str">
        <f t="shared" si="70"/>
        <v>Brown</v>
      </c>
      <c r="M340" s="105" t="str">
        <f t="shared" si="71"/>
        <v>Derate</v>
      </c>
      <c r="N340" s="105" t="str">
        <f t="shared" si="72"/>
        <v>Coal</v>
      </c>
      <c r="O340" s="105">
        <f>IFERROR(VLOOKUP(A340,Lookup!$J$5:$P$19,7,FALSE),0)</f>
        <v>2</v>
      </c>
      <c r="P340" s="159">
        <f t="shared" si="73"/>
        <v>2014</v>
      </c>
      <c r="Q340" s="159">
        <f t="shared" si="74"/>
        <v>12</v>
      </c>
      <c r="R340" s="160">
        <f t="shared" si="75"/>
        <v>5.25</v>
      </c>
      <c r="S340" s="158">
        <f t="shared" si="76"/>
        <v>1.2905027932960893</v>
      </c>
      <c r="T340" s="161">
        <f t="shared" si="77"/>
        <v>215.51396648044692</v>
      </c>
      <c r="U340" s="158">
        <f t="shared" ref="U340:U403" si="79">IF(G340&gt;0,MAX((H340-G340),0)*I340/H340,I340)</f>
        <v>41.050279329608941</v>
      </c>
      <c r="V340" s="160">
        <f t="shared" si="78"/>
        <v>41</v>
      </c>
    </row>
    <row r="341" spans="1:22" x14ac:dyDescent="0.25">
      <c r="A341" s="98" t="s">
        <v>22</v>
      </c>
      <c r="B341" s="98" t="s">
        <v>79</v>
      </c>
      <c r="C341" s="98">
        <v>1</v>
      </c>
      <c r="D341" s="98">
        <v>8700</v>
      </c>
      <c r="E341" s="157">
        <v>42017.895833333336</v>
      </c>
      <c r="F341" s="157">
        <v>42018.074305555558</v>
      </c>
      <c r="G341" s="98">
        <v>0</v>
      </c>
      <c r="H341" s="98">
        <v>179</v>
      </c>
      <c r="I341" s="98">
        <v>167</v>
      </c>
      <c r="J341" s="98" t="s">
        <v>1987</v>
      </c>
      <c r="K341" s="98" t="s">
        <v>82</v>
      </c>
      <c r="L341" s="105" t="str">
        <f t="shared" si="70"/>
        <v>Brown</v>
      </c>
      <c r="M341" s="105" t="str">
        <f t="shared" si="71"/>
        <v>Other</v>
      </c>
      <c r="N341" s="105" t="str">
        <f t="shared" si="72"/>
        <v>Coal</v>
      </c>
      <c r="O341" s="105">
        <f>IFERROR(VLOOKUP(A341,Lookup!$J$5:$P$19,7,FALSE),0)</f>
        <v>2</v>
      </c>
      <c r="P341" s="159">
        <f t="shared" si="73"/>
        <v>2015</v>
      </c>
      <c r="Q341" s="159">
        <f t="shared" si="74"/>
        <v>1</v>
      </c>
      <c r="R341" s="160">
        <f t="shared" si="75"/>
        <v>4.2833333333255723</v>
      </c>
      <c r="S341" s="158">
        <f t="shared" si="76"/>
        <v>4.2833333333255723</v>
      </c>
      <c r="T341" s="161">
        <f t="shared" si="77"/>
        <v>715.31666666537058</v>
      </c>
      <c r="U341" s="158">
        <f t="shared" si="79"/>
        <v>167</v>
      </c>
      <c r="V341" s="160">
        <f t="shared" si="78"/>
        <v>167</v>
      </c>
    </row>
    <row r="342" spans="1:22" x14ac:dyDescent="0.25">
      <c r="A342" s="98" t="s">
        <v>22</v>
      </c>
      <c r="B342" s="98" t="s">
        <v>17</v>
      </c>
      <c r="C342" s="98">
        <v>2</v>
      </c>
      <c r="D342" s="98">
        <v>310</v>
      </c>
      <c r="E342" s="157">
        <v>42059.662499999999</v>
      </c>
      <c r="F342" s="157">
        <v>42060.386111111111</v>
      </c>
      <c r="G342" s="98">
        <v>140</v>
      </c>
      <c r="H342" s="98">
        <v>179</v>
      </c>
      <c r="I342" s="98">
        <v>167</v>
      </c>
      <c r="J342" s="98" t="s">
        <v>1966</v>
      </c>
      <c r="K342" s="98" t="s">
        <v>2151</v>
      </c>
      <c r="L342" s="105" t="str">
        <f t="shared" si="70"/>
        <v>Brown</v>
      </c>
      <c r="M342" s="105" t="str">
        <f t="shared" si="71"/>
        <v>Derate</v>
      </c>
      <c r="N342" s="105" t="str">
        <f t="shared" si="72"/>
        <v>Coal</v>
      </c>
      <c r="O342" s="105">
        <f>IFERROR(VLOOKUP(A342,Lookup!$J$5:$P$19,7,FALSE),0)</f>
        <v>2</v>
      </c>
      <c r="P342" s="159">
        <f t="shared" si="73"/>
        <v>2015</v>
      </c>
      <c r="Q342" s="159">
        <f t="shared" si="74"/>
        <v>2</v>
      </c>
      <c r="R342" s="160">
        <f t="shared" si="75"/>
        <v>17.366666666697711</v>
      </c>
      <c r="S342" s="158">
        <f t="shared" si="76"/>
        <v>3.7837988826883282</v>
      </c>
      <c r="T342" s="161">
        <f t="shared" si="77"/>
        <v>631.89441340895075</v>
      </c>
      <c r="U342" s="158">
        <f t="shared" si="79"/>
        <v>36.385474860335194</v>
      </c>
      <c r="V342" s="160">
        <f t="shared" si="78"/>
        <v>36</v>
      </c>
    </row>
    <row r="343" spans="1:22" x14ac:dyDescent="0.25">
      <c r="A343" s="98" t="s">
        <v>22</v>
      </c>
      <c r="B343" s="98" t="s">
        <v>17</v>
      </c>
      <c r="C343" s="98">
        <v>3</v>
      </c>
      <c r="D343" s="98">
        <v>320</v>
      </c>
      <c r="E343" s="157">
        <v>42068.34375</v>
      </c>
      <c r="F343" s="157">
        <v>42068.456250000003</v>
      </c>
      <c r="G343" s="98">
        <v>140</v>
      </c>
      <c r="H343" s="98">
        <v>179</v>
      </c>
      <c r="I343" s="98">
        <v>167</v>
      </c>
      <c r="J343" s="98" t="s">
        <v>1992</v>
      </c>
      <c r="K343" s="98" t="s">
        <v>2152</v>
      </c>
      <c r="L343" s="105" t="str">
        <f t="shared" si="70"/>
        <v>Brown</v>
      </c>
      <c r="M343" s="105" t="str">
        <f t="shared" si="71"/>
        <v>Derate</v>
      </c>
      <c r="N343" s="105" t="str">
        <f t="shared" si="72"/>
        <v>Coal</v>
      </c>
      <c r="O343" s="105">
        <f>IFERROR(VLOOKUP(A343,Lookup!$J$5:$P$19,7,FALSE),0)</f>
        <v>2</v>
      </c>
      <c r="P343" s="159">
        <f t="shared" si="73"/>
        <v>2015</v>
      </c>
      <c r="Q343" s="159">
        <f t="shared" si="74"/>
        <v>3</v>
      </c>
      <c r="R343" s="160">
        <f t="shared" si="75"/>
        <v>2.7000000000698492</v>
      </c>
      <c r="S343" s="158">
        <f t="shared" si="76"/>
        <v>0.58826815643979957</v>
      </c>
      <c r="T343" s="161">
        <f t="shared" si="77"/>
        <v>98.240782125446529</v>
      </c>
      <c r="U343" s="158">
        <f t="shared" si="79"/>
        <v>36.385474860335194</v>
      </c>
      <c r="V343" s="160">
        <f t="shared" si="78"/>
        <v>36</v>
      </c>
    </row>
    <row r="344" spans="1:22" x14ac:dyDescent="0.25">
      <c r="A344" s="98" t="s">
        <v>22</v>
      </c>
      <c r="B344" s="98" t="s">
        <v>17</v>
      </c>
      <c r="C344" s="98">
        <v>4</v>
      </c>
      <c r="D344" s="98">
        <v>3370</v>
      </c>
      <c r="E344" s="157">
        <v>42068.892361111109</v>
      </c>
      <c r="F344" s="157">
        <v>42068.974305555559</v>
      </c>
      <c r="G344" s="98">
        <v>15</v>
      </c>
      <c r="H344" s="98">
        <v>179</v>
      </c>
      <c r="I344" s="98">
        <v>167</v>
      </c>
      <c r="J344" s="98" t="s">
        <v>2110</v>
      </c>
      <c r="K344" s="98" t="s">
        <v>2153</v>
      </c>
      <c r="L344" s="105" t="str">
        <f t="shared" si="70"/>
        <v>Brown</v>
      </c>
      <c r="M344" s="105" t="str">
        <f t="shared" si="71"/>
        <v>Derate</v>
      </c>
      <c r="N344" s="105" t="str">
        <f t="shared" si="72"/>
        <v>Coal</v>
      </c>
      <c r="O344" s="105">
        <f>IFERROR(VLOOKUP(A344,Lookup!$J$5:$P$19,7,FALSE),0)</f>
        <v>2</v>
      </c>
      <c r="P344" s="159">
        <f t="shared" si="73"/>
        <v>2015</v>
      </c>
      <c r="Q344" s="159">
        <f t="shared" si="74"/>
        <v>3</v>
      </c>
      <c r="R344" s="160">
        <f t="shared" si="75"/>
        <v>1.966666666790843</v>
      </c>
      <c r="S344" s="158">
        <f t="shared" si="76"/>
        <v>1.8018621975066942</v>
      </c>
      <c r="T344" s="161">
        <f t="shared" si="77"/>
        <v>300.91098698361793</v>
      </c>
      <c r="U344" s="158">
        <f t="shared" si="79"/>
        <v>153.00558659217876</v>
      </c>
      <c r="V344" s="160">
        <f t="shared" si="78"/>
        <v>153</v>
      </c>
    </row>
    <row r="345" spans="1:22" x14ac:dyDescent="0.25">
      <c r="A345" s="98" t="s">
        <v>22</v>
      </c>
      <c r="B345" s="98" t="s">
        <v>17</v>
      </c>
      <c r="C345" s="98">
        <v>5</v>
      </c>
      <c r="D345" s="98">
        <v>310</v>
      </c>
      <c r="E345" s="157">
        <v>42092.170138888891</v>
      </c>
      <c r="F345" s="157">
        <v>42092.385416666664</v>
      </c>
      <c r="G345" s="98">
        <v>140</v>
      </c>
      <c r="H345" s="98">
        <v>179</v>
      </c>
      <c r="I345" s="98">
        <v>167</v>
      </c>
      <c r="J345" s="98" t="s">
        <v>1966</v>
      </c>
      <c r="K345" s="98" t="s">
        <v>2154</v>
      </c>
      <c r="L345" s="105" t="str">
        <f t="shared" si="70"/>
        <v>Brown</v>
      </c>
      <c r="M345" s="105" t="str">
        <f t="shared" si="71"/>
        <v>Derate</v>
      </c>
      <c r="N345" s="105" t="str">
        <f t="shared" si="72"/>
        <v>Coal</v>
      </c>
      <c r="O345" s="105">
        <f>IFERROR(VLOOKUP(A345,Lookup!$J$5:$P$19,7,FALSE),0)</f>
        <v>2</v>
      </c>
      <c r="P345" s="159">
        <f t="shared" si="73"/>
        <v>2015</v>
      </c>
      <c r="Q345" s="159">
        <f t="shared" si="74"/>
        <v>3</v>
      </c>
      <c r="R345" s="160">
        <f t="shared" si="75"/>
        <v>5.1666666665696539</v>
      </c>
      <c r="S345" s="158">
        <f t="shared" si="76"/>
        <v>1.1256983240012095</v>
      </c>
      <c r="T345" s="161">
        <f t="shared" si="77"/>
        <v>187.991620108202</v>
      </c>
      <c r="U345" s="158">
        <f t="shared" si="79"/>
        <v>36.385474860335194</v>
      </c>
      <c r="V345" s="160">
        <f t="shared" si="78"/>
        <v>36</v>
      </c>
    </row>
    <row r="346" spans="1:22" x14ac:dyDescent="0.25">
      <c r="A346" s="98" t="s">
        <v>22</v>
      </c>
      <c r="B346" s="98" t="s">
        <v>17</v>
      </c>
      <c r="C346" s="98">
        <v>6</v>
      </c>
      <c r="D346" s="98">
        <v>310</v>
      </c>
      <c r="E346" s="157">
        <v>42093.230555555558</v>
      </c>
      <c r="F346" s="157">
        <v>42093.244444444441</v>
      </c>
      <c r="G346" s="98">
        <v>130</v>
      </c>
      <c r="H346" s="98">
        <v>179</v>
      </c>
      <c r="I346" s="98">
        <v>167</v>
      </c>
      <c r="J346" s="98" t="s">
        <v>1966</v>
      </c>
      <c r="K346" s="98" t="s">
        <v>2155</v>
      </c>
      <c r="L346" s="105" t="str">
        <f t="shared" si="70"/>
        <v>Brown</v>
      </c>
      <c r="M346" s="105" t="str">
        <f t="shared" si="71"/>
        <v>Derate</v>
      </c>
      <c r="N346" s="105" t="str">
        <f t="shared" si="72"/>
        <v>Coal</v>
      </c>
      <c r="O346" s="105">
        <f>IFERROR(VLOOKUP(A346,Lookup!$J$5:$P$19,7,FALSE),0)</f>
        <v>2</v>
      </c>
      <c r="P346" s="159">
        <f t="shared" si="73"/>
        <v>2015</v>
      </c>
      <c r="Q346" s="159">
        <f t="shared" si="74"/>
        <v>3</v>
      </c>
      <c r="R346" s="160">
        <f t="shared" si="75"/>
        <v>0.33333333319751546</v>
      </c>
      <c r="S346" s="158">
        <f t="shared" si="76"/>
        <v>9.1247672216079656E-2</v>
      </c>
      <c r="T346" s="161">
        <f t="shared" si="77"/>
        <v>15.238361260085302</v>
      </c>
      <c r="U346" s="158">
        <f t="shared" si="79"/>
        <v>45.715083798882681</v>
      </c>
      <c r="V346" s="160">
        <f t="shared" si="78"/>
        <v>46</v>
      </c>
    </row>
    <row r="347" spans="1:22" x14ac:dyDescent="0.25">
      <c r="A347" s="98" t="s">
        <v>22</v>
      </c>
      <c r="B347" s="98" t="s">
        <v>17</v>
      </c>
      <c r="C347" s="98">
        <v>7</v>
      </c>
      <c r="D347" s="98">
        <v>9270</v>
      </c>
      <c r="E347" s="157">
        <v>42098.073611111111</v>
      </c>
      <c r="F347" s="157">
        <v>42098.102083333331</v>
      </c>
      <c r="G347" s="98">
        <v>140</v>
      </c>
      <c r="H347" s="98">
        <v>179</v>
      </c>
      <c r="I347" s="98">
        <v>167</v>
      </c>
      <c r="J347" s="98" t="s">
        <v>2006</v>
      </c>
      <c r="K347" s="98" t="s">
        <v>2156</v>
      </c>
      <c r="L347" s="105" t="str">
        <f t="shared" si="70"/>
        <v>Brown</v>
      </c>
      <c r="M347" s="105" t="str">
        <f t="shared" si="71"/>
        <v>Derate</v>
      </c>
      <c r="N347" s="105" t="str">
        <f t="shared" si="72"/>
        <v>Coal</v>
      </c>
      <c r="O347" s="105">
        <f>IFERROR(VLOOKUP(A347,Lookup!$J$5:$P$19,7,FALSE),0)</f>
        <v>2</v>
      </c>
      <c r="P347" s="159">
        <f t="shared" si="73"/>
        <v>2015</v>
      </c>
      <c r="Q347" s="159">
        <f t="shared" si="74"/>
        <v>4</v>
      </c>
      <c r="R347" s="160">
        <f t="shared" si="75"/>
        <v>0.68333333329064772</v>
      </c>
      <c r="S347" s="158">
        <f t="shared" si="76"/>
        <v>0.14888268155494558</v>
      </c>
      <c r="T347" s="161">
        <f t="shared" si="77"/>
        <v>24.86340781967591</v>
      </c>
      <c r="U347" s="158">
        <f t="shared" si="79"/>
        <v>36.385474860335194</v>
      </c>
      <c r="V347" s="160">
        <f t="shared" si="78"/>
        <v>36</v>
      </c>
    </row>
    <row r="348" spans="1:22" x14ac:dyDescent="0.25">
      <c r="A348" s="98" t="s">
        <v>22</v>
      </c>
      <c r="B348" s="98" t="s">
        <v>15</v>
      </c>
      <c r="C348" s="98">
        <v>8</v>
      </c>
      <c r="D348" s="98">
        <v>250</v>
      </c>
      <c r="E348" s="157">
        <v>42111.088194444441</v>
      </c>
      <c r="F348" s="157">
        <v>42111.094444444447</v>
      </c>
      <c r="G348" s="98">
        <v>0</v>
      </c>
      <c r="H348" s="98">
        <v>179</v>
      </c>
      <c r="I348" s="98">
        <v>167</v>
      </c>
      <c r="J348" s="98" t="s">
        <v>1978</v>
      </c>
      <c r="K348" s="98" t="s">
        <v>2157</v>
      </c>
      <c r="L348" s="105" t="str">
        <f t="shared" si="70"/>
        <v>Brown</v>
      </c>
      <c r="M348" s="105" t="str">
        <f t="shared" si="71"/>
        <v>Outage</v>
      </c>
      <c r="N348" s="105" t="str">
        <f t="shared" si="72"/>
        <v>Coal</v>
      </c>
      <c r="O348" s="105">
        <f>IFERROR(VLOOKUP(A348,Lookup!$J$5:$P$19,7,FALSE),0)</f>
        <v>2</v>
      </c>
      <c r="P348" s="159">
        <f t="shared" si="73"/>
        <v>2015</v>
      </c>
      <c r="Q348" s="159">
        <f t="shared" si="74"/>
        <v>4</v>
      </c>
      <c r="R348" s="160">
        <f t="shared" si="75"/>
        <v>0.15000000013969839</v>
      </c>
      <c r="S348" s="158">
        <f t="shared" si="76"/>
        <v>0.15000000013969839</v>
      </c>
      <c r="T348" s="161">
        <f t="shared" si="77"/>
        <v>25.05000002332963</v>
      </c>
      <c r="U348" s="158">
        <f t="shared" si="79"/>
        <v>167</v>
      </c>
      <c r="V348" s="160">
        <f t="shared" si="78"/>
        <v>167</v>
      </c>
    </row>
    <row r="349" spans="1:22" x14ac:dyDescent="0.25">
      <c r="A349" s="98" t="s">
        <v>22</v>
      </c>
      <c r="B349" s="98" t="s">
        <v>18</v>
      </c>
      <c r="C349" s="98">
        <v>9</v>
      </c>
      <c r="D349" s="98">
        <v>4740</v>
      </c>
      <c r="E349" s="157">
        <v>42111.094444444447</v>
      </c>
      <c r="F349" s="157">
        <v>42111.385416666664</v>
      </c>
      <c r="G349" s="98">
        <v>0</v>
      </c>
      <c r="H349" s="98">
        <v>179</v>
      </c>
      <c r="I349" s="98">
        <v>167</v>
      </c>
      <c r="J349" s="98" t="s">
        <v>2016</v>
      </c>
      <c r="K349" s="98" t="s">
        <v>2158</v>
      </c>
      <c r="L349" s="105" t="str">
        <f t="shared" si="70"/>
        <v>Brown</v>
      </c>
      <c r="M349" s="105" t="str">
        <f t="shared" si="71"/>
        <v>Outage</v>
      </c>
      <c r="N349" s="105" t="str">
        <f t="shared" si="72"/>
        <v>Coal</v>
      </c>
      <c r="O349" s="105">
        <f>IFERROR(VLOOKUP(A349,Lookup!$J$5:$P$19,7,FALSE),0)</f>
        <v>2</v>
      </c>
      <c r="P349" s="159">
        <f t="shared" si="73"/>
        <v>2015</v>
      </c>
      <c r="Q349" s="159">
        <f t="shared" si="74"/>
        <v>4</v>
      </c>
      <c r="R349" s="160">
        <f t="shared" si="75"/>
        <v>6.9833333332207985</v>
      </c>
      <c r="S349" s="158">
        <f t="shared" si="76"/>
        <v>6.9833333332207985</v>
      </c>
      <c r="T349" s="161">
        <f t="shared" si="77"/>
        <v>1166.2166666478734</v>
      </c>
      <c r="U349" s="158">
        <f t="shared" si="79"/>
        <v>167</v>
      </c>
      <c r="V349" s="160">
        <f t="shared" si="78"/>
        <v>167</v>
      </c>
    </row>
    <row r="350" spans="1:22" x14ac:dyDescent="0.25">
      <c r="A350" s="98" t="s">
        <v>22</v>
      </c>
      <c r="B350" s="98" t="s">
        <v>20</v>
      </c>
      <c r="C350" s="98">
        <v>11</v>
      </c>
      <c r="D350" s="98">
        <v>3619</v>
      </c>
      <c r="E350" s="157">
        <v>42112.24722222222</v>
      </c>
      <c r="F350" s="157">
        <v>42112.509027777778</v>
      </c>
      <c r="G350" s="98">
        <v>0</v>
      </c>
      <c r="H350" s="98">
        <v>179</v>
      </c>
      <c r="I350" s="98">
        <v>167</v>
      </c>
      <c r="J350" s="98" t="s">
        <v>2094</v>
      </c>
      <c r="K350" s="98" t="s">
        <v>2159</v>
      </c>
      <c r="L350" s="105" t="str">
        <f t="shared" si="70"/>
        <v>Brown</v>
      </c>
      <c r="M350" s="105" t="str">
        <f t="shared" si="71"/>
        <v>Maintenance</v>
      </c>
      <c r="N350" s="105" t="str">
        <f t="shared" si="72"/>
        <v>Coal</v>
      </c>
      <c r="O350" s="105">
        <f>IFERROR(VLOOKUP(A350,Lookup!$J$5:$P$19,7,FALSE),0)</f>
        <v>2</v>
      </c>
      <c r="P350" s="159">
        <f t="shared" si="73"/>
        <v>2015</v>
      </c>
      <c r="Q350" s="159">
        <f t="shared" si="74"/>
        <v>4</v>
      </c>
      <c r="R350" s="160">
        <f t="shared" si="75"/>
        <v>6.28333333338378</v>
      </c>
      <c r="S350" s="158">
        <f t="shared" si="76"/>
        <v>6.28333333338378</v>
      </c>
      <c r="T350" s="161">
        <f t="shared" si="77"/>
        <v>1049.3166666750913</v>
      </c>
      <c r="U350" s="158">
        <f t="shared" si="79"/>
        <v>167</v>
      </c>
      <c r="V350" s="160">
        <f t="shared" si="78"/>
        <v>167</v>
      </c>
    </row>
    <row r="351" spans="1:22" x14ac:dyDescent="0.25">
      <c r="A351" s="98" t="s">
        <v>22</v>
      </c>
      <c r="B351" s="98" t="s">
        <v>17</v>
      </c>
      <c r="C351" s="98">
        <v>13</v>
      </c>
      <c r="D351" s="98">
        <v>250</v>
      </c>
      <c r="E351" s="157">
        <v>42142.279166666667</v>
      </c>
      <c r="F351" s="157">
        <v>42142.311805555553</v>
      </c>
      <c r="G351" s="98">
        <v>130</v>
      </c>
      <c r="H351" s="98">
        <v>179</v>
      </c>
      <c r="I351" s="98">
        <v>167</v>
      </c>
      <c r="J351" s="98" t="s">
        <v>1978</v>
      </c>
      <c r="K351" s="98" t="s">
        <v>2160</v>
      </c>
      <c r="L351" s="105" t="str">
        <f t="shared" si="70"/>
        <v>Brown</v>
      </c>
      <c r="M351" s="105" t="str">
        <f t="shared" si="71"/>
        <v>Derate</v>
      </c>
      <c r="N351" s="105" t="str">
        <f t="shared" si="72"/>
        <v>Coal</v>
      </c>
      <c r="O351" s="105">
        <f>IFERROR(VLOOKUP(A351,Lookup!$J$5:$P$19,7,FALSE),0)</f>
        <v>2</v>
      </c>
      <c r="P351" s="159">
        <f t="shared" si="73"/>
        <v>2015</v>
      </c>
      <c r="Q351" s="159">
        <f t="shared" si="74"/>
        <v>5</v>
      </c>
      <c r="R351" s="160">
        <f t="shared" si="75"/>
        <v>0.78333333326736465</v>
      </c>
      <c r="S351" s="158">
        <f t="shared" si="76"/>
        <v>0.21443202977709983</v>
      </c>
      <c r="T351" s="161">
        <f t="shared" si="77"/>
        <v>35.810148972775671</v>
      </c>
      <c r="U351" s="158">
        <f t="shared" si="79"/>
        <v>45.715083798882681</v>
      </c>
      <c r="V351" s="160">
        <f t="shared" si="78"/>
        <v>46</v>
      </c>
    </row>
    <row r="352" spans="1:22" x14ac:dyDescent="0.25">
      <c r="A352" s="98" t="s">
        <v>22</v>
      </c>
      <c r="B352" s="98" t="s">
        <v>20</v>
      </c>
      <c r="C352" s="98">
        <v>14</v>
      </c>
      <c r="D352" s="98">
        <v>1512</v>
      </c>
      <c r="E352" s="157">
        <v>42145.772222222222</v>
      </c>
      <c r="F352" s="157">
        <v>42148.579861111109</v>
      </c>
      <c r="G352" s="98">
        <v>0</v>
      </c>
      <c r="H352" s="98">
        <v>179</v>
      </c>
      <c r="I352" s="98">
        <v>167</v>
      </c>
      <c r="J352" s="98" t="s">
        <v>2023</v>
      </c>
      <c r="K352" s="98" t="s">
        <v>2089</v>
      </c>
      <c r="L352" s="105" t="str">
        <f t="shared" si="70"/>
        <v>Brown</v>
      </c>
      <c r="M352" s="105" t="str">
        <f t="shared" si="71"/>
        <v>Maintenance</v>
      </c>
      <c r="N352" s="105" t="str">
        <f t="shared" si="72"/>
        <v>Coal</v>
      </c>
      <c r="O352" s="105">
        <f>IFERROR(VLOOKUP(A352,Lookup!$J$5:$P$19,7,FALSE),0)</f>
        <v>2</v>
      </c>
      <c r="P352" s="159">
        <f t="shared" si="73"/>
        <v>2015</v>
      </c>
      <c r="Q352" s="159">
        <f t="shared" si="74"/>
        <v>5</v>
      </c>
      <c r="R352" s="160">
        <f t="shared" si="75"/>
        <v>67.383333333302289</v>
      </c>
      <c r="S352" s="158">
        <f t="shared" si="76"/>
        <v>67.383333333302289</v>
      </c>
      <c r="T352" s="161">
        <f t="shared" si="77"/>
        <v>11253.016666661482</v>
      </c>
      <c r="U352" s="158">
        <f t="shared" si="79"/>
        <v>167</v>
      </c>
      <c r="V352" s="160">
        <f t="shared" si="78"/>
        <v>167</v>
      </c>
    </row>
    <row r="353" spans="1:22" x14ac:dyDescent="0.25">
      <c r="A353" s="98" t="s">
        <v>22</v>
      </c>
      <c r="B353" s="98" t="s">
        <v>32</v>
      </c>
      <c r="C353" s="98">
        <v>17</v>
      </c>
      <c r="D353" s="98">
        <v>8700</v>
      </c>
      <c r="E353" s="157">
        <v>42186.958333333336</v>
      </c>
      <c r="F353" s="157">
        <v>42187.218055555553</v>
      </c>
      <c r="G353" s="98">
        <v>110</v>
      </c>
      <c r="H353" s="98">
        <v>179</v>
      </c>
      <c r="I353" s="98">
        <v>167</v>
      </c>
      <c r="J353" s="98" t="s">
        <v>1987</v>
      </c>
      <c r="K353" s="98" t="s">
        <v>3212</v>
      </c>
      <c r="L353" s="105" t="str">
        <f t="shared" si="70"/>
        <v>Brown</v>
      </c>
      <c r="M353" s="105" t="str">
        <f t="shared" si="71"/>
        <v>Derate</v>
      </c>
      <c r="N353" s="105" t="str">
        <f t="shared" si="72"/>
        <v>Coal</v>
      </c>
      <c r="O353" s="105">
        <f>IFERROR(VLOOKUP(A353,Lookup!$J$5:$P$19,7,FALSE),0)</f>
        <v>2</v>
      </c>
      <c r="P353" s="159">
        <f t="shared" si="73"/>
        <v>2015</v>
      </c>
      <c r="Q353" s="159">
        <f t="shared" si="74"/>
        <v>7</v>
      </c>
      <c r="R353" s="160">
        <f t="shared" si="75"/>
        <v>6.2333333332207985</v>
      </c>
      <c r="S353" s="158">
        <f t="shared" si="76"/>
        <v>2.4027932960460063</v>
      </c>
      <c r="T353" s="161">
        <f t="shared" si="77"/>
        <v>401.26648043968305</v>
      </c>
      <c r="U353" s="158">
        <f t="shared" si="79"/>
        <v>64.374301675977648</v>
      </c>
      <c r="V353" s="160">
        <f t="shared" si="78"/>
        <v>64</v>
      </c>
    </row>
    <row r="354" spans="1:22" x14ac:dyDescent="0.25">
      <c r="A354" s="98" t="s">
        <v>22</v>
      </c>
      <c r="B354" s="98" t="s">
        <v>17</v>
      </c>
      <c r="C354" s="98">
        <v>18</v>
      </c>
      <c r="D354" s="98">
        <v>310</v>
      </c>
      <c r="E354" s="157">
        <v>42208.423611111109</v>
      </c>
      <c r="F354" s="157">
        <v>42208.449305555558</v>
      </c>
      <c r="G354" s="98">
        <v>125</v>
      </c>
      <c r="H354" s="98">
        <v>179</v>
      </c>
      <c r="I354" s="98">
        <v>167</v>
      </c>
      <c r="J354" s="98" t="s">
        <v>1966</v>
      </c>
      <c r="K354" s="98" t="s">
        <v>3213</v>
      </c>
      <c r="L354" s="105" t="str">
        <f t="shared" si="70"/>
        <v>Brown</v>
      </c>
      <c r="M354" s="105" t="str">
        <f t="shared" si="71"/>
        <v>Derate</v>
      </c>
      <c r="N354" s="105" t="str">
        <f t="shared" si="72"/>
        <v>Coal</v>
      </c>
      <c r="O354" s="105">
        <f>IFERROR(VLOOKUP(A354,Lookup!$J$5:$P$19,7,FALSE),0)</f>
        <v>2</v>
      </c>
      <c r="P354" s="159">
        <f t="shared" si="73"/>
        <v>2015</v>
      </c>
      <c r="Q354" s="159">
        <f t="shared" si="74"/>
        <v>7</v>
      </c>
      <c r="R354" s="160">
        <f t="shared" si="75"/>
        <v>0.61666666675591841</v>
      </c>
      <c r="S354" s="158">
        <f t="shared" si="76"/>
        <v>0.18603351957999772</v>
      </c>
      <c r="T354" s="161">
        <f t="shared" si="77"/>
        <v>31.067597769859621</v>
      </c>
      <c r="U354" s="158">
        <f t="shared" si="79"/>
        <v>50.379888268156428</v>
      </c>
      <c r="V354" s="160">
        <f t="shared" si="78"/>
        <v>50</v>
      </c>
    </row>
    <row r="355" spans="1:22" x14ac:dyDescent="0.25">
      <c r="A355" s="98" t="s">
        <v>22</v>
      </c>
      <c r="B355" s="98" t="s">
        <v>17</v>
      </c>
      <c r="C355" s="98">
        <v>19</v>
      </c>
      <c r="D355" s="98">
        <v>3414</v>
      </c>
      <c r="E355" s="157">
        <v>42220.40625</v>
      </c>
      <c r="F355" s="157">
        <v>42220.429166666669</v>
      </c>
      <c r="G355" s="98">
        <v>160</v>
      </c>
      <c r="H355" s="98">
        <v>179</v>
      </c>
      <c r="I355" s="98">
        <v>167</v>
      </c>
      <c r="J355" s="98" t="s">
        <v>1984</v>
      </c>
      <c r="K355" s="98" t="s">
        <v>3214</v>
      </c>
      <c r="L355" s="105" t="str">
        <f t="shared" si="70"/>
        <v>Brown</v>
      </c>
      <c r="M355" s="105" t="str">
        <f t="shared" si="71"/>
        <v>Derate</v>
      </c>
      <c r="N355" s="105" t="str">
        <f t="shared" si="72"/>
        <v>Coal</v>
      </c>
      <c r="O355" s="105">
        <f>IFERROR(VLOOKUP(A355,Lookup!$J$5:$P$19,7,FALSE),0)</f>
        <v>2</v>
      </c>
      <c r="P355" s="159">
        <f t="shared" si="73"/>
        <v>2015</v>
      </c>
      <c r="Q355" s="159">
        <f t="shared" si="74"/>
        <v>8</v>
      </c>
      <c r="R355" s="160">
        <f t="shared" si="75"/>
        <v>0.55000000004656613</v>
      </c>
      <c r="S355" s="158">
        <f t="shared" si="76"/>
        <v>5.8379888273099201E-2</v>
      </c>
      <c r="T355" s="161">
        <f t="shared" si="77"/>
        <v>9.7494413416075663</v>
      </c>
      <c r="U355" s="158">
        <f t="shared" si="79"/>
        <v>17.726256983240223</v>
      </c>
      <c r="V355" s="160">
        <f t="shared" si="78"/>
        <v>18</v>
      </c>
    </row>
    <row r="356" spans="1:22" x14ac:dyDescent="0.25">
      <c r="A356" s="98" t="s">
        <v>22</v>
      </c>
      <c r="B356" s="98" t="s">
        <v>17</v>
      </c>
      <c r="C356" s="98">
        <v>20</v>
      </c>
      <c r="D356" s="98">
        <v>310</v>
      </c>
      <c r="E356" s="157">
        <v>42230.804166666669</v>
      </c>
      <c r="F356" s="157">
        <v>42230.868750000001</v>
      </c>
      <c r="G356" s="98">
        <v>130</v>
      </c>
      <c r="H356" s="98">
        <v>179</v>
      </c>
      <c r="I356" s="98">
        <v>167</v>
      </c>
      <c r="J356" s="98" t="s">
        <v>1966</v>
      </c>
      <c r="K356" s="98" t="s">
        <v>3215</v>
      </c>
      <c r="L356" s="105" t="str">
        <f t="shared" si="70"/>
        <v>Brown</v>
      </c>
      <c r="M356" s="105" t="str">
        <f t="shared" si="71"/>
        <v>Derate</v>
      </c>
      <c r="N356" s="105" t="str">
        <f t="shared" si="72"/>
        <v>Coal</v>
      </c>
      <c r="O356" s="105">
        <f>IFERROR(VLOOKUP(A356,Lookup!$J$5:$P$19,7,FALSE),0)</f>
        <v>2</v>
      </c>
      <c r="P356" s="159">
        <f t="shared" si="73"/>
        <v>2015</v>
      </c>
      <c r="Q356" s="159">
        <f t="shared" si="74"/>
        <v>8</v>
      </c>
      <c r="R356" s="160">
        <f t="shared" si="75"/>
        <v>1.5499999999883585</v>
      </c>
      <c r="S356" s="158">
        <f t="shared" si="76"/>
        <v>0.42430167597446683</v>
      </c>
      <c r="T356" s="161">
        <f t="shared" si="77"/>
        <v>70.858379887735964</v>
      </c>
      <c r="U356" s="158">
        <f t="shared" si="79"/>
        <v>45.715083798882681</v>
      </c>
      <c r="V356" s="160">
        <f t="shared" si="78"/>
        <v>46</v>
      </c>
    </row>
    <row r="357" spans="1:22" x14ac:dyDescent="0.25">
      <c r="A357" s="98" t="s">
        <v>22</v>
      </c>
      <c r="B357" s="98" t="s">
        <v>20</v>
      </c>
      <c r="C357" s="98">
        <v>21</v>
      </c>
      <c r="D357" s="98">
        <v>1512</v>
      </c>
      <c r="E357" s="157">
        <v>42237.894444444442</v>
      </c>
      <c r="F357" s="157">
        <v>42239.833333333336</v>
      </c>
      <c r="G357" s="98">
        <v>0</v>
      </c>
      <c r="H357" s="98">
        <v>179</v>
      </c>
      <c r="I357" s="98">
        <v>167</v>
      </c>
      <c r="J357" s="98" t="s">
        <v>2023</v>
      </c>
      <c r="K357" s="98" t="s">
        <v>3216</v>
      </c>
      <c r="L357" s="105" t="str">
        <f t="shared" si="70"/>
        <v>Brown</v>
      </c>
      <c r="M357" s="105" t="str">
        <f t="shared" si="71"/>
        <v>Maintenance</v>
      </c>
      <c r="N357" s="105" t="str">
        <f t="shared" si="72"/>
        <v>Coal</v>
      </c>
      <c r="O357" s="105">
        <f>IFERROR(VLOOKUP(A357,Lookup!$J$5:$P$19,7,FALSE),0)</f>
        <v>2</v>
      </c>
      <c r="P357" s="159">
        <f t="shared" si="73"/>
        <v>2015</v>
      </c>
      <c r="Q357" s="159">
        <f t="shared" si="74"/>
        <v>8</v>
      </c>
      <c r="R357" s="160">
        <f t="shared" si="75"/>
        <v>46.533333333441988</v>
      </c>
      <c r="S357" s="158">
        <f t="shared" si="76"/>
        <v>46.533333333441988</v>
      </c>
      <c r="T357" s="161">
        <f t="shared" si="77"/>
        <v>7771.0666666848119</v>
      </c>
      <c r="U357" s="158">
        <f t="shared" si="79"/>
        <v>167</v>
      </c>
      <c r="V357" s="160">
        <f t="shared" si="78"/>
        <v>167</v>
      </c>
    </row>
    <row r="358" spans="1:22" x14ac:dyDescent="0.25">
      <c r="A358" s="98" t="s">
        <v>22</v>
      </c>
      <c r="B358" s="98" t="s">
        <v>17</v>
      </c>
      <c r="C358" s="98">
        <v>23</v>
      </c>
      <c r="D358" s="98">
        <v>3410</v>
      </c>
      <c r="E358" s="157">
        <v>42247.895833333336</v>
      </c>
      <c r="F358" s="157">
        <v>42248.304861111108</v>
      </c>
      <c r="G358" s="98">
        <v>110</v>
      </c>
      <c r="H358" s="98">
        <v>179</v>
      </c>
      <c r="I358" s="98">
        <v>167</v>
      </c>
      <c r="J358" s="98" t="s">
        <v>1983</v>
      </c>
      <c r="K358" s="98" t="s">
        <v>3217</v>
      </c>
      <c r="L358" s="105" t="str">
        <f t="shared" si="70"/>
        <v>Brown</v>
      </c>
      <c r="M358" s="105" t="str">
        <f t="shared" si="71"/>
        <v>Derate</v>
      </c>
      <c r="N358" s="105" t="str">
        <f t="shared" si="72"/>
        <v>Coal</v>
      </c>
      <c r="O358" s="105">
        <f>IFERROR(VLOOKUP(A358,Lookup!$J$5:$P$19,7,FALSE),0)</f>
        <v>2</v>
      </c>
      <c r="P358" s="159">
        <f t="shared" si="73"/>
        <v>2015</v>
      </c>
      <c r="Q358" s="159">
        <f t="shared" si="74"/>
        <v>8</v>
      </c>
      <c r="R358" s="160">
        <f t="shared" si="75"/>
        <v>9.8166666665347293</v>
      </c>
      <c r="S358" s="158">
        <f t="shared" si="76"/>
        <v>3.7840782122396441</v>
      </c>
      <c r="T358" s="161">
        <f t="shared" si="77"/>
        <v>631.94106144402053</v>
      </c>
      <c r="U358" s="158">
        <f t="shared" si="79"/>
        <v>64.374301675977648</v>
      </c>
      <c r="V358" s="160">
        <f t="shared" si="78"/>
        <v>64</v>
      </c>
    </row>
    <row r="359" spans="1:22" x14ac:dyDescent="0.25">
      <c r="A359" s="98" t="s">
        <v>22</v>
      </c>
      <c r="B359" s="98" t="s">
        <v>15</v>
      </c>
      <c r="C359" s="98">
        <v>24</v>
      </c>
      <c r="D359" s="98">
        <v>1710</v>
      </c>
      <c r="E359" s="157">
        <v>42256.951388888891</v>
      </c>
      <c r="F359" s="157">
        <v>42257.023611111108</v>
      </c>
      <c r="G359" s="98">
        <v>0</v>
      </c>
      <c r="H359" s="98">
        <v>179</v>
      </c>
      <c r="I359" s="98">
        <v>167</v>
      </c>
      <c r="J359" s="98" t="s">
        <v>2020</v>
      </c>
      <c r="K359" s="98" t="s">
        <v>3218</v>
      </c>
      <c r="L359" s="105" t="str">
        <f t="shared" si="70"/>
        <v>Brown</v>
      </c>
      <c r="M359" s="105" t="str">
        <f t="shared" si="71"/>
        <v>Outage</v>
      </c>
      <c r="N359" s="105" t="str">
        <f t="shared" si="72"/>
        <v>Coal</v>
      </c>
      <c r="O359" s="105">
        <f>IFERROR(VLOOKUP(A359,Lookup!$J$5:$P$19,7,FALSE),0)</f>
        <v>2</v>
      </c>
      <c r="P359" s="159">
        <f t="shared" si="73"/>
        <v>2015</v>
      </c>
      <c r="Q359" s="159">
        <f t="shared" si="74"/>
        <v>9</v>
      </c>
      <c r="R359" s="160">
        <f t="shared" si="75"/>
        <v>1.7333333332207985</v>
      </c>
      <c r="S359" s="158">
        <f t="shared" si="76"/>
        <v>1.7333333332207985</v>
      </c>
      <c r="T359" s="161">
        <f t="shared" si="77"/>
        <v>289.46666664787335</v>
      </c>
      <c r="U359" s="158">
        <f t="shared" si="79"/>
        <v>167</v>
      </c>
      <c r="V359" s="160">
        <f t="shared" si="78"/>
        <v>167</v>
      </c>
    </row>
    <row r="360" spans="1:22" x14ac:dyDescent="0.25">
      <c r="A360" s="98" t="s">
        <v>22</v>
      </c>
      <c r="B360" s="98" t="s">
        <v>20</v>
      </c>
      <c r="C360" s="98">
        <v>26</v>
      </c>
      <c r="D360" s="98">
        <v>8720</v>
      </c>
      <c r="E360" s="157">
        <v>42277.626388888886</v>
      </c>
      <c r="F360" s="157">
        <v>42277.688194444447</v>
      </c>
      <c r="G360" s="98">
        <v>0</v>
      </c>
      <c r="H360" s="98">
        <v>179</v>
      </c>
      <c r="I360" s="98">
        <v>167</v>
      </c>
      <c r="J360" s="98" t="s">
        <v>2641</v>
      </c>
      <c r="K360" s="98" t="s">
        <v>3194</v>
      </c>
      <c r="L360" s="105" t="str">
        <f t="shared" si="70"/>
        <v>Brown</v>
      </c>
      <c r="M360" s="105" t="str">
        <f t="shared" si="71"/>
        <v>Maintenance</v>
      </c>
      <c r="N360" s="105" t="str">
        <f t="shared" si="72"/>
        <v>Coal</v>
      </c>
      <c r="O360" s="105">
        <f>IFERROR(VLOOKUP(A360,Lookup!$J$5:$P$19,7,FALSE),0)</f>
        <v>2</v>
      </c>
      <c r="P360" s="159">
        <f t="shared" si="73"/>
        <v>2015</v>
      </c>
      <c r="Q360" s="159">
        <f t="shared" si="74"/>
        <v>9</v>
      </c>
      <c r="R360" s="160">
        <f t="shared" si="75"/>
        <v>1.4833333334536292</v>
      </c>
      <c r="S360" s="158">
        <f t="shared" si="76"/>
        <v>1.4833333334536292</v>
      </c>
      <c r="T360" s="161">
        <f t="shared" si="77"/>
        <v>247.71666668675607</v>
      </c>
      <c r="U360" s="158">
        <f t="shared" si="79"/>
        <v>167</v>
      </c>
      <c r="V360" s="160">
        <f t="shared" si="78"/>
        <v>167</v>
      </c>
    </row>
    <row r="361" spans="1:22" x14ac:dyDescent="0.25">
      <c r="A361" s="98" t="s">
        <v>22</v>
      </c>
      <c r="B361" s="98" t="s">
        <v>20</v>
      </c>
      <c r="C361" s="98">
        <v>28</v>
      </c>
      <c r="D361" s="98">
        <v>8720</v>
      </c>
      <c r="E361" s="157">
        <v>42278.25</v>
      </c>
      <c r="F361" s="157">
        <v>42279.64166666667</v>
      </c>
      <c r="G361" s="98">
        <v>0</v>
      </c>
      <c r="H361" s="98">
        <v>179</v>
      </c>
      <c r="I361" s="98">
        <v>167</v>
      </c>
      <c r="J361" s="98" t="s">
        <v>2641</v>
      </c>
      <c r="K361" s="98" t="s">
        <v>3195</v>
      </c>
      <c r="L361" s="105" t="str">
        <f t="shared" si="70"/>
        <v>Brown</v>
      </c>
      <c r="M361" s="105" t="str">
        <f t="shared" si="71"/>
        <v>Maintenance</v>
      </c>
      <c r="N361" s="105" t="str">
        <f t="shared" si="72"/>
        <v>Coal</v>
      </c>
      <c r="O361" s="105">
        <f>IFERROR(VLOOKUP(A361,Lookup!$J$5:$P$19,7,FALSE),0)</f>
        <v>2</v>
      </c>
      <c r="P361" s="159">
        <f t="shared" si="73"/>
        <v>2015</v>
      </c>
      <c r="Q361" s="159">
        <f t="shared" si="74"/>
        <v>10</v>
      </c>
      <c r="R361" s="160">
        <f t="shared" si="75"/>
        <v>33.400000000081491</v>
      </c>
      <c r="S361" s="158">
        <f t="shared" si="76"/>
        <v>33.400000000081491</v>
      </c>
      <c r="T361" s="161">
        <f t="shared" si="77"/>
        <v>5577.800000013609</v>
      </c>
      <c r="U361" s="158">
        <f t="shared" si="79"/>
        <v>167</v>
      </c>
      <c r="V361" s="160">
        <f t="shared" si="78"/>
        <v>167</v>
      </c>
    </row>
    <row r="362" spans="1:22" x14ac:dyDescent="0.25">
      <c r="A362" s="98" t="s">
        <v>22</v>
      </c>
      <c r="B362" s="98" t="s">
        <v>20</v>
      </c>
      <c r="C362" s="98">
        <v>30</v>
      </c>
      <c r="D362" s="98">
        <v>8250</v>
      </c>
      <c r="E362" s="157">
        <v>42280.43472222222</v>
      </c>
      <c r="F362" s="157">
        <v>42280.532638888886</v>
      </c>
      <c r="G362" s="98">
        <v>0</v>
      </c>
      <c r="H362" s="98">
        <v>179</v>
      </c>
      <c r="I362" s="98">
        <v>167</v>
      </c>
      <c r="J362" s="98" t="s">
        <v>3196</v>
      </c>
      <c r="K362" s="98" t="s">
        <v>3197</v>
      </c>
      <c r="L362" s="105" t="str">
        <f t="shared" si="70"/>
        <v>Brown</v>
      </c>
      <c r="M362" s="105" t="str">
        <f t="shared" si="71"/>
        <v>Maintenance</v>
      </c>
      <c r="N362" s="105" t="str">
        <f t="shared" si="72"/>
        <v>Coal</v>
      </c>
      <c r="O362" s="105">
        <f>IFERROR(VLOOKUP(A362,Lookup!$J$5:$P$19,7,FALSE),0)</f>
        <v>2</v>
      </c>
      <c r="P362" s="159">
        <f t="shared" si="73"/>
        <v>2015</v>
      </c>
      <c r="Q362" s="159">
        <f t="shared" si="74"/>
        <v>10</v>
      </c>
      <c r="R362" s="160">
        <f t="shared" si="75"/>
        <v>2.3499999999767169</v>
      </c>
      <c r="S362" s="158">
        <f t="shared" si="76"/>
        <v>2.3499999999767169</v>
      </c>
      <c r="T362" s="161">
        <f t="shared" si="77"/>
        <v>392.44999999611173</v>
      </c>
      <c r="U362" s="158">
        <f t="shared" si="79"/>
        <v>167</v>
      </c>
      <c r="V362" s="160">
        <f t="shared" si="78"/>
        <v>167</v>
      </c>
    </row>
    <row r="363" spans="1:22" x14ac:dyDescent="0.25">
      <c r="A363" s="98" t="s">
        <v>22</v>
      </c>
      <c r="B363" s="98" t="s">
        <v>38</v>
      </c>
      <c r="C363" s="98">
        <v>33</v>
      </c>
      <c r="D363" s="98">
        <v>1801</v>
      </c>
      <c r="E363" s="157">
        <v>42293.439583333333</v>
      </c>
      <c r="F363" s="157">
        <v>42302.397916666669</v>
      </c>
      <c r="G363" s="98">
        <v>0</v>
      </c>
      <c r="H363" s="98">
        <v>179</v>
      </c>
      <c r="I363" s="98">
        <v>167</v>
      </c>
      <c r="J363" s="98" t="s">
        <v>2021</v>
      </c>
      <c r="K363" s="98" t="s">
        <v>3219</v>
      </c>
      <c r="L363" s="105" t="str">
        <f t="shared" si="70"/>
        <v>Brown</v>
      </c>
      <c r="M363" s="105" t="str">
        <f t="shared" si="71"/>
        <v>Other</v>
      </c>
      <c r="N363" s="105" t="str">
        <f t="shared" si="72"/>
        <v>Coal</v>
      </c>
      <c r="O363" s="105">
        <f>IFERROR(VLOOKUP(A363,Lookup!$J$5:$P$19,7,FALSE),0)</f>
        <v>2</v>
      </c>
      <c r="P363" s="159">
        <f t="shared" si="73"/>
        <v>2015</v>
      </c>
      <c r="Q363" s="159">
        <f t="shared" si="74"/>
        <v>10</v>
      </c>
      <c r="R363" s="160">
        <f t="shared" si="75"/>
        <v>215.00000000005821</v>
      </c>
      <c r="S363" s="158">
        <f t="shared" si="76"/>
        <v>215.00000000005821</v>
      </c>
      <c r="T363" s="161">
        <f t="shared" si="77"/>
        <v>35905.000000009721</v>
      </c>
      <c r="U363" s="158">
        <f t="shared" si="79"/>
        <v>167</v>
      </c>
      <c r="V363" s="160">
        <f t="shared" si="78"/>
        <v>167</v>
      </c>
    </row>
    <row r="364" spans="1:22" x14ac:dyDescent="0.25">
      <c r="A364" s="98" t="s">
        <v>22</v>
      </c>
      <c r="B364" s="98" t="s">
        <v>17</v>
      </c>
      <c r="C364" s="98">
        <v>34</v>
      </c>
      <c r="D364" s="98">
        <v>129</v>
      </c>
      <c r="E364" s="157">
        <v>42314.329861111109</v>
      </c>
      <c r="F364" s="157">
        <v>42314.356249999997</v>
      </c>
      <c r="G364" s="98">
        <v>135</v>
      </c>
      <c r="H364" s="98">
        <v>179</v>
      </c>
      <c r="I364" s="98">
        <v>167</v>
      </c>
      <c r="J364" s="98" t="s">
        <v>3220</v>
      </c>
      <c r="K364" s="98" t="s">
        <v>3221</v>
      </c>
      <c r="L364" s="105" t="str">
        <f t="shared" si="70"/>
        <v>Brown</v>
      </c>
      <c r="M364" s="105" t="str">
        <f t="shared" si="71"/>
        <v>Derate</v>
      </c>
      <c r="N364" s="105" t="str">
        <f t="shared" si="72"/>
        <v>Coal</v>
      </c>
      <c r="O364" s="105">
        <f>IFERROR(VLOOKUP(A364,Lookup!$J$5:$P$19,7,FALSE),0)</f>
        <v>2</v>
      </c>
      <c r="P364" s="159">
        <f t="shared" si="73"/>
        <v>2015</v>
      </c>
      <c r="Q364" s="159">
        <f t="shared" si="74"/>
        <v>11</v>
      </c>
      <c r="R364" s="160">
        <f t="shared" si="75"/>
        <v>0.63333333330228925</v>
      </c>
      <c r="S364" s="158">
        <f t="shared" si="76"/>
        <v>0.15567970204078618</v>
      </c>
      <c r="T364" s="161">
        <f t="shared" si="77"/>
        <v>25.998510240811292</v>
      </c>
      <c r="U364" s="158">
        <f t="shared" si="79"/>
        <v>41.050279329608941</v>
      </c>
      <c r="V364" s="160">
        <f t="shared" si="78"/>
        <v>41</v>
      </c>
    </row>
    <row r="365" spans="1:22" x14ac:dyDescent="0.25">
      <c r="A365" s="98" t="s">
        <v>22</v>
      </c>
      <c r="B365" s="98" t="s">
        <v>17</v>
      </c>
      <c r="C365" s="98">
        <v>35</v>
      </c>
      <c r="D365" s="98">
        <v>250</v>
      </c>
      <c r="E365" s="157">
        <v>42314.856249999997</v>
      </c>
      <c r="F365" s="157">
        <v>42314.884722222225</v>
      </c>
      <c r="G365" s="98">
        <v>130</v>
      </c>
      <c r="H365" s="98">
        <v>179</v>
      </c>
      <c r="I365" s="98">
        <v>167</v>
      </c>
      <c r="J365" s="98" t="s">
        <v>1978</v>
      </c>
      <c r="K365" s="98" t="s">
        <v>3222</v>
      </c>
      <c r="L365" s="105" t="str">
        <f t="shared" si="70"/>
        <v>Brown</v>
      </c>
      <c r="M365" s="105" t="str">
        <f t="shared" si="71"/>
        <v>Derate</v>
      </c>
      <c r="N365" s="105" t="str">
        <f t="shared" si="72"/>
        <v>Coal</v>
      </c>
      <c r="O365" s="105">
        <f>IFERROR(VLOOKUP(A365,Lookup!$J$5:$P$19,7,FALSE),0)</f>
        <v>2</v>
      </c>
      <c r="P365" s="159">
        <f t="shared" si="73"/>
        <v>2015</v>
      </c>
      <c r="Q365" s="159">
        <f t="shared" si="74"/>
        <v>11</v>
      </c>
      <c r="R365" s="160">
        <f t="shared" si="75"/>
        <v>0.6833333334652707</v>
      </c>
      <c r="S365" s="158">
        <f t="shared" si="76"/>
        <v>0.18705772815529756</v>
      </c>
      <c r="T365" s="161">
        <f t="shared" si="77"/>
        <v>31.238640601934691</v>
      </c>
      <c r="U365" s="158">
        <f t="shared" si="79"/>
        <v>45.715083798882681</v>
      </c>
      <c r="V365" s="160">
        <f t="shared" si="78"/>
        <v>46</v>
      </c>
    </row>
    <row r="366" spans="1:22" x14ac:dyDescent="0.25">
      <c r="A366" s="98" t="s">
        <v>22</v>
      </c>
      <c r="B366" s="98" t="s">
        <v>20</v>
      </c>
      <c r="C366" s="98">
        <v>37</v>
      </c>
      <c r="D366" s="98">
        <v>1599</v>
      </c>
      <c r="E366" s="157">
        <v>42352.291666666664</v>
      </c>
      <c r="F366" s="157">
        <v>42352.640277777777</v>
      </c>
      <c r="G366" s="98">
        <v>0</v>
      </c>
      <c r="H366" s="98">
        <v>179</v>
      </c>
      <c r="I366" s="98">
        <v>167</v>
      </c>
      <c r="J366" s="98" t="s">
        <v>2013</v>
      </c>
      <c r="K366" s="98" t="s">
        <v>3223</v>
      </c>
      <c r="L366" s="105" t="str">
        <f t="shared" si="70"/>
        <v>Brown</v>
      </c>
      <c r="M366" s="105" t="str">
        <f t="shared" si="71"/>
        <v>Maintenance</v>
      </c>
      <c r="N366" s="105" t="str">
        <f t="shared" si="72"/>
        <v>Coal</v>
      </c>
      <c r="O366" s="105">
        <f>IFERROR(VLOOKUP(A366,Lookup!$J$5:$P$19,7,FALSE),0)</f>
        <v>2</v>
      </c>
      <c r="P366" s="159">
        <f t="shared" si="73"/>
        <v>2015</v>
      </c>
      <c r="Q366" s="159">
        <f t="shared" si="74"/>
        <v>12</v>
      </c>
      <c r="R366" s="160">
        <f t="shared" si="75"/>
        <v>8.3666666666977108</v>
      </c>
      <c r="S366" s="158">
        <f t="shared" si="76"/>
        <v>8.3666666666977108</v>
      </c>
      <c r="T366" s="161">
        <f t="shared" si="77"/>
        <v>1397.2333333385177</v>
      </c>
      <c r="U366" s="158">
        <f t="shared" si="79"/>
        <v>167</v>
      </c>
      <c r="V366" s="160">
        <f t="shared" si="78"/>
        <v>167</v>
      </c>
    </row>
    <row r="367" spans="1:22" x14ac:dyDescent="0.25">
      <c r="A367" s="98" t="s">
        <v>22</v>
      </c>
      <c r="B367" s="98" t="s">
        <v>20</v>
      </c>
      <c r="C367" s="98">
        <v>1</v>
      </c>
      <c r="D367" s="98">
        <v>1512</v>
      </c>
      <c r="E367" s="157">
        <v>42382.99722222222</v>
      </c>
      <c r="F367" s="157">
        <v>42386.206250000003</v>
      </c>
      <c r="G367" s="98">
        <v>0</v>
      </c>
      <c r="H367" s="98">
        <v>179</v>
      </c>
      <c r="I367" s="98">
        <v>167</v>
      </c>
      <c r="J367" s="98" t="s">
        <v>2023</v>
      </c>
      <c r="K367" s="98" t="s">
        <v>3203</v>
      </c>
      <c r="L367" s="105" t="str">
        <f t="shared" si="70"/>
        <v>Brown</v>
      </c>
      <c r="M367" s="105" t="str">
        <f t="shared" si="71"/>
        <v>Maintenance</v>
      </c>
      <c r="N367" s="105" t="str">
        <f t="shared" si="72"/>
        <v>Coal</v>
      </c>
      <c r="O367" s="105">
        <f>IFERROR(VLOOKUP(A367,Lookup!$J$5:$P$19,7,FALSE),0)</f>
        <v>2</v>
      </c>
      <c r="P367" s="159">
        <f t="shared" si="73"/>
        <v>2016</v>
      </c>
      <c r="Q367" s="159">
        <f t="shared" si="74"/>
        <v>1</v>
      </c>
      <c r="R367" s="160">
        <f t="shared" si="75"/>
        <v>77.016666666779201</v>
      </c>
      <c r="S367" s="158">
        <f t="shared" si="76"/>
        <v>77.016666666779201</v>
      </c>
      <c r="T367" s="161">
        <f t="shared" si="77"/>
        <v>12861.783333352127</v>
      </c>
      <c r="U367" s="158">
        <f t="shared" si="79"/>
        <v>167</v>
      </c>
      <c r="V367" s="160">
        <f t="shared" si="78"/>
        <v>167</v>
      </c>
    </row>
    <row r="368" spans="1:22" x14ac:dyDescent="0.25">
      <c r="A368" s="98" t="s">
        <v>22</v>
      </c>
      <c r="B368" s="98" t="s">
        <v>20</v>
      </c>
      <c r="C368" s="98">
        <v>2</v>
      </c>
      <c r="D368" s="98">
        <v>8560</v>
      </c>
      <c r="E368" s="157">
        <v>42399.404166666667</v>
      </c>
      <c r="F368" s="157">
        <v>42401.616666666669</v>
      </c>
      <c r="G368" s="98">
        <v>0</v>
      </c>
      <c r="H368" s="98">
        <v>179</v>
      </c>
      <c r="I368" s="98">
        <v>167</v>
      </c>
      <c r="J368" s="98" t="s">
        <v>1971</v>
      </c>
      <c r="K368" s="98" t="s">
        <v>3224</v>
      </c>
      <c r="L368" s="105" t="str">
        <f t="shared" si="70"/>
        <v>Brown</v>
      </c>
      <c r="M368" s="105" t="str">
        <f t="shared" si="71"/>
        <v>Maintenance</v>
      </c>
      <c r="N368" s="105" t="str">
        <f t="shared" si="72"/>
        <v>Coal</v>
      </c>
      <c r="O368" s="105">
        <f>IFERROR(VLOOKUP(A368,Lookup!$J$5:$P$19,7,FALSE),0)</f>
        <v>2</v>
      </c>
      <c r="P368" s="159">
        <f t="shared" si="73"/>
        <v>2016</v>
      </c>
      <c r="Q368" s="159">
        <f t="shared" si="74"/>
        <v>1</v>
      </c>
      <c r="R368" s="160">
        <f t="shared" si="75"/>
        <v>53.100000000034925</v>
      </c>
      <c r="S368" s="158">
        <f t="shared" si="76"/>
        <v>53.100000000034925</v>
      </c>
      <c r="T368" s="161">
        <f t="shared" si="77"/>
        <v>8867.7000000058324</v>
      </c>
      <c r="U368" s="158">
        <f t="shared" si="79"/>
        <v>167</v>
      </c>
      <c r="V368" s="160">
        <f t="shared" si="78"/>
        <v>167</v>
      </c>
    </row>
    <row r="369" spans="1:22" x14ac:dyDescent="0.25">
      <c r="A369" s="98" t="s">
        <v>22</v>
      </c>
      <c r="B369" s="98" t="s">
        <v>20</v>
      </c>
      <c r="C369" s="98">
        <v>3</v>
      </c>
      <c r="D369" s="98">
        <v>8560</v>
      </c>
      <c r="E369" s="157">
        <v>42401.636805555558</v>
      </c>
      <c r="F369" s="157">
        <v>42401.876388888886</v>
      </c>
      <c r="G369" s="98">
        <v>0</v>
      </c>
      <c r="H369" s="98">
        <v>179</v>
      </c>
      <c r="I369" s="98">
        <v>167</v>
      </c>
      <c r="J369" s="98" t="s">
        <v>1971</v>
      </c>
      <c r="K369" s="98" t="s">
        <v>3225</v>
      </c>
      <c r="L369" s="105" t="str">
        <f t="shared" si="70"/>
        <v>Brown</v>
      </c>
      <c r="M369" s="105" t="str">
        <f t="shared" si="71"/>
        <v>Maintenance</v>
      </c>
      <c r="N369" s="105" t="str">
        <f t="shared" si="72"/>
        <v>Coal</v>
      </c>
      <c r="O369" s="105">
        <f>IFERROR(VLOOKUP(A369,Lookup!$J$5:$P$19,7,FALSE),0)</f>
        <v>2</v>
      </c>
      <c r="P369" s="159">
        <f t="shared" si="73"/>
        <v>2016</v>
      </c>
      <c r="Q369" s="159">
        <f t="shared" si="74"/>
        <v>2</v>
      </c>
      <c r="R369" s="160">
        <f t="shared" si="75"/>
        <v>5.7499999998835847</v>
      </c>
      <c r="S369" s="158">
        <f t="shared" si="76"/>
        <v>5.7499999998835847</v>
      </c>
      <c r="T369" s="161">
        <f t="shared" si="77"/>
        <v>960.24999998055864</v>
      </c>
      <c r="U369" s="158">
        <f t="shared" si="79"/>
        <v>167</v>
      </c>
      <c r="V369" s="160">
        <f t="shared" si="78"/>
        <v>167</v>
      </c>
    </row>
    <row r="370" spans="1:22" x14ac:dyDescent="0.25">
      <c r="A370" s="98" t="s">
        <v>22</v>
      </c>
      <c r="B370" s="98" t="s">
        <v>20</v>
      </c>
      <c r="C370" s="98">
        <v>7</v>
      </c>
      <c r="D370" s="98">
        <v>8560</v>
      </c>
      <c r="E370" s="157">
        <v>42417.291666666664</v>
      </c>
      <c r="F370" s="157">
        <v>42418.597222222219</v>
      </c>
      <c r="G370" s="98">
        <v>0</v>
      </c>
      <c r="H370" s="98">
        <v>179</v>
      </c>
      <c r="I370" s="98">
        <v>167</v>
      </c>
      <c r="J370" s="98" t="s">
        <v>1971</v>
      </c>
      <c r="K370" s="98" t="s">
        <v>3226</v>
      </c>
      <c r="L370" s="105" t="str">
        <f t="shared" si="70"/>
        <v>Brown</v>
      </c>
      <c r="M370" s="105" t="str">
        <f t="shared" si="71"/>
        <v>Maintenance</v>
      </c>
      <c r="N370" s="105" t="str">
        <f t="shared" si="72"/>
        <v>Coal</v>
      </c>
      <c r="O370" s="105">
        <f>IFERROR(VLOOKUP(A370,Lookup!$J$5:$P$19,7,FALSE),0)</f>
        <v>2</v>
      </c>
      <c r="P370" s="159">
        <f t="shared" si="73"/>
        <v>2016</v>
      </c>
      <c r="Q370" s="159">
        <f t="shared" si="74"/>
        <v>2</v>
      </c>
      <c r="R370" s="160">
        <f t="shared" si="75"/>
        <v>31.333333333313931</v>
      </c>
      <c r="S370" s="158">
        <f t="shared" si="76"/>
        <v>31.333333333313931</v>
      </c>
      <c r="T370" s="161">
        <f t="shared" si="77"/>
        <v>5232.6666666634264</v>
      </c>
      <c r="U370" s="158">
        <f t="shared" si="79"/>
        <v>167</v>
      </c>
      <c r="V370" s="160">
        <f t="shared" si="78"/>
        <v>167</v>
      </c>
    </row>
    <row r="371" spans="1:22" x14ac:dyDescent="0.25">
      <c r="A371" s="98" t="s">
        <v>22</v>
      </c>
      <c r="B371" s="98" t="s">
        <v>20</v>
      </c>
      <c r="C371" s="98">
        <v>9</v>
      </c>
      <c r="D371" s="98">
        <v>1599</v>
      </c>
      <c r="E371" s="157">
        <v>42419.340277777781</v>
      </c>
      <c r="F371" s="157">
        <v>42419.583333333336</v>
      </c>
      <c r="G371" s="98">
        <v>0</v>
      </c>
      <c r="H371" s="98">
        <v>179</v>
      </c>
      <c r="I371" s="98">
        <v>167</v>
      </c>
      <c r="J371" s="98" t="s">
        <v>2013</v>
      </c>
      <c r="K371" s="98" t="s">
        <v>3227</v>
      </c>
      <c r="L371" s="105" t="str">
        <f t="shared" si="70"/>
        <v>Brown</v>
      </c>
      <c r="M371" s="105" t="str">
        <f t="shared" si="71"/>
        <v>Maintenance</v>
      </c>
      <c r="N371" s="105" t="str">
        <f t="shared" si="72"/>
        <v>Coal</v>
      </c>
      <c r="O371" s="105">
        <f>IFERROR(VLOOKUP(A371,Lookup!$J$5:$P$19,7,FALSE),0)</f>
        <v>2</v>
      </c>
      <c r="P371" s="159">
        <f t="shared" si="73"/>
        <v>2016</v>
      </c>
      <c r="Q371" s="159">
        <f t="shared" si="74"/>
        <v>2</v>
      </c>
      <c r="R371" s="160">
        <f t="shared" si="75"/>
        <v>5.8333333333139308</v>
      </c>
      <c r="S371" s="158">
        <f t="shared" si="76"/>
        <v>5.8333333333139308</v>
      </c>
      <c r="T371" s="161">
        <f t="shared" si="77"/>
        <v>974.16666666342644</v>
      </c>
      <c r="U371" s="158">
        <f t="shared" si="79"/>
        <v>167</v>
      </c>
      <c r="V371" s="160">
        <f t="shared" si="78"/>
        <v>167</v>
      </c>
    </row>
    <row r="372" spans="1:22" x14ac:dyDescent="0.25">
      <c r="A372" s="98" t="s">
        <v>22</v>
      </c>
      <c r="B372" s="98" t="s">
        <v>38</v>
      </c>
      <c r="C372" s="98">
        <v>11</v>
      </c>
      <c r="D372" s="98">
        <v>1801</v>
      </c>
      <c r="E372" s="157">
        <v>42443.512499999997</v>
      </c>
      <c r="F372" s="157">
        <v>42470.739583333336</v>
      </c>
      <c r="G372" s="98">
        <v>0</v>
      </c>
      <c r="H372" s="98">
        <v>179</v>
      </c>
      <c r="I372" s="98">
        <v>167</v>
      </c>
      <c r="J372" s="98" t="s">
        <v>2021</v>
      </c>
      <c r="K372" s="98" t="s">
        <v>3228</v>
      </c>
      <c r="L372" s="105" t="str">
        <f t="shared" si="70"/>
        <v>Brown</v>
      </c>
      <c r="M372" s="105" t="str">
        <f t="shared" si="71"/>
        <v>Other</v>
      </c>
      <c r="N372" s="105" t="str">
        <f t="shared" si="72"/>
        <v>Coal</v>
      </c>
      <c r="O372" s="105">
        <f>IFERROR(VLOOKUP(A372,Lookup!$J$5:$P$19,7,FALSE),0)</f>
        <v>2</v>
      </c>
      <c r="P372" s="159">
        <f t="shared" si="73"/>
        <v>2016</v>
      </c>
      <c r="Q372" s="159">
        <f t="shared" si="74"/>
        <v>3</v>
      </c>
      <c r="R372" s="160">
        <f t="shared" si="75"/>
        <v>653.45000000012806</v>
      </c>
      <c r="S372" s="158">
        <f t="shared" si="76"/>
        <v>653.45000000012806</v>
      </c>
      <c r="T372" s="161">
        <f t="shared" si="77"/>
        <v>109126.15000002139</v>
      </c>
      <c r="U372" s="158">
        <f t="shared" si="79"/>
        <v>167</v>
      </c>
      <c r="V372" s="160">
        <f t="shared" si="78"/>
        <v>167</v>
      </c>
    </row>
    <row r="373" spans="1:22" x14ac:dyDescent="0.25">
      <c r="A373" s="98" t="s">
        <v>22</v>
      </c>
      <c r="B373" s="98" t="s">
        <v>17</v>
      </c>
      <c r="C373" s="98">
        <v>12</v>
      </c>
      <c r="D373" s="98">
        <v>3431</v>
      </c>
      <c r="E373" s="157">
        <v>42471.002083333333</v>
      </c>
      <c r="F373" s="157">
        <v>42471.126388888886</v>
      </c>
      <c r="G373" s="98">
        <v>110</v>
      </c>
      <c r="H373" s="98">
        <v>179</v>
      </c>
      <c r="I373" s="98">
        <v>167</v>
      </c>
      <c r="J373" s="98" t="s">
        <v>2123</v>
      </c>
      <c r="K373" s="98" t="s">
        <v>3229</v>
      </c>
      <c r="L373" s="105" t="str">
        <f t="shared" si="70"/>
        <v>Brown</v>
      </c>
      <c r="M373" s="105" t="str">
        <f t="shared" si="71"/>
        <v>Derate</v>
      </c>
      <c r="N373" s="105" t="str">
        <f t="shared" si="72"/>
        <v>Coal</v>
      </c>
      <c r="O373" s="105">
        <f>IFERROR(VLOOKUP(A373,Lookup!$J$5:$P$19,7,FALSE),0)</f>
        <v>2</v>
      </c>
      <c r="P373" s="159">
        <f t="shared" si="73"/>
        <v>2016</v>
      </c>
      <c r="Q373" s="159">
        <f t="shared" si="74"/>
        <v>4</v>
      </c>
      <c r="R373" s="160">
        <f t="shared" si="75"/>
        <v>2.9833333332790062</v>
      </c>
      <c r="S373" s="158">
        <f t="shared" si="76"/>
        <v>1.1499999999790582</v>
      </c>
      <c r="T373" s="161">
        <f t="shared" si="77"/>
        <v>192.04999999650272</v>
      </c>
      <c r="U373" s="158">
        <f t="shared" si="79"/>
        <v>64.374301675977648</v>
      </c>
      <c r="V373" s="160">
        <f t="shared" si="78"/>
        <v>64</v>
      </c>
    </row>
    <row r="374" spans="1:22" x14ac:dyDescent="0.25">
      <c r="A374" s="98" t="s">
        <v>22</v>
      </c>
      <c r="B374" s="98" t="s">
        <v>32</v>
      </c>
      <c r="C374" s="98">
        <v>13</v>
      </c>
      <c r="D374" s="98">
        <v>1455</v>
      </c>
      <c r="E374" s="157">
        <v>42472.917361111111</v>
      </c>
      <c r="F374" s="157">
        <v>42473.119444444441</v>
      </c>
      <c r="G374" s="98">
        <v>80</v>
      </c>
      <c r="H374" s="98">
        <v>179</v>
      </c>
      <c r="I374" s="98">
        <v>167</v>
      </c>
      <c r="J374" s="98" t="s">
        <v>1990</v>
      </c>
      <c r="K374" s="98" t="s">
        <v>3230</v>
      </c>
      <c r="L374" s="105" t="str">
        <f t="shared" si="70"/>
        <v>Brown</v>
      </c>
      <c r="M374" s="105" t="str">
        <f t="shared" si="71"/>
        <v>Derate</v>
      </c>
      <c r="N374" s="105" t="str">
        <f t="shared" si="72"/>
        <v>Coal</v>
      </c>
      <c r="O374" s="105">
        <f>IFERROR(VLOOKUP(A374,Lookup!$J$5:$P$19,7,FALSE),0)</f>
        <v>2</v>
      </c>
      <c r="P374" s="159">
        <f t="shared" si="73"/>
        <v>2016</v>
      </c>
      <c r="Q374" s="159">
        <f t="shared" si="74"/>
        <v>4</v>
      </c>
      <c r="R374" s="160">
        <f t="shared" si="75"/>
        <v>4.8499999999185093</v>
      </c>
      <c r="S374" s="158">
        <f t="shared" si="76"/>
        <v>2.6824022345918013</v>
      </c>
      <c r="T374" s="161">
        <f t="shared" si="77"/>
        <v>447.96117317683081</v>
      </c>
      <c r="U374" s="158">
        <f t="shared" si="79"/>
        <v>92.363128491620117</v>
      </c>
      <c r="V374" s="160">
        <f t="shared" si="78"/>
        <v>92</v>
      </c>
    </row>
    <row r="375" spans="1:22" x14ac:dyDescent="0.25">
      <c r="A375" s="98" t="s">
        <v>22</v>
      </c>
      <c r="B375" s="98" t="s">
        <v>17</v>
      </c>
      <c r="C375" s="98">
        <v>14</v>
      </c>
      <c r="D375" s="98">
        <v>310</v>
      </c>
      <c r="E375" s="157">
        <v>42473.208333333336</v>
      </c>
      <c r="F375" s="157">
        <v>42473.347222222219</v>
      </c>
      <c r="G375" s="98">
        <v>130</v>
      </c>
      <c r="H375" s="98">
        <v>179</v>
      </c>
      <c r="I375" s="98">
        <v>167</v>
      </c>
      <c r="J375" s="98" t="s">
        <v>1966</v>
      </c>
      <c r="K375" s="98" t="s">
        <v>3231</v>
      </c>
      <c r="L375" s="105" t="str">
        <f t="shared" si="70"/>
        <v>Brown</v>
      </c>
      <c r="M375" s="105" t="str">
        <f t="shared" si="71"/>
        <v>Derate</v>
      </c>
      <c r="N375" s="105" t="str">
        <f t="shared" si="72"/>
        <v>Coal</v>
      </c>
      <c r="O375" s="105">
        <f>IFERROR(VLOOKUP(A375,Lookup!$J$5:$P$19,7,FALSE),0)</f>
        <v>2</v>
      </c>
      <c r="P375" s="159">
        <f t="shared" si="73"/>
        <v>2016</v>
      </c>
      <c r="Q375" s="159">
        <f t="shared" si="74"/>
        <v>4</v>
      </c>
      <c r="R375" s="160">
        <f t="shared" si="75"/>
        <v>3.3333333331975155</v>
      </c>
      <c r="S375" s="158">
        <f t="shared" si="76"/>
        <v>0.91247672249540923</v>
      </c>
      <c r="T375" s="161">
        <f t="shared" si="77"/>
        <v>152.38361265673333</v>
      </c>
      <c r="U375" s="158">
        <f t="shared" si="79"/>
        <v>45.715083798882681</v>
      </c>
      <c r="V375" s="160">
        <f t="shared" si="78"/>
        <v>46</v>
      </c>
    </row>
    <row r="376" spans="1:22" x14ac:dyDescent="0.25">
      <c r="A376" s="98" t="s">
        <v>22</v>
      </c>
      <c r="B376" s="98" t="s">
        <v>17</v>
      </c>
      <c r="C376" s="98">
        <v>15</v>
      </c>
      <c r="D376" s="98">
        <v>1455</v>
      </c>
      <c r="E376" s="157">
        <v>42476.578472222223</v>
      </c>
      <c r="F376" s="157">
        <v>42476.598611111112</v>
      </c>
      <c r="G376" s="98">
        <v>125</v>
      </c>
      <c r="H376" s="98">
        <v>179</v>
      </c>
      <c r="I376" s="98">
        <v>167</v>
      </c>
      <c r="J376" s="98" t="s">
        <v>1990</v>
      </c>
      <c r="K376" s="98" t="s">
        <v>3232</v>
      </c>
      <c r="L376" s="105" t="str">
        <f t="shared" si="70"/>
        <v>Brown</v>
      </c>
      <c r="M376" s="105" t="str">
        <f t="shared" si="71"/>
        <v>Derate</v>
      </c>
      <c r="N376" s="105" t="str">
        <f t="shared" si="72"/>
        <v>Coal</v>
      </c>
      <c r="O376" s="105">
        <f>IFERROR(VLOOKUP(A376,Lookup!$J$5:$P$19,7,FALSE),0)</f>
        <v>2</v>
      </c>
      <c r="P376" s="159">
        <f t="shared" si="73"/>
        <v>2016</v>
      </c>
      <c r="Q376" s="159">
        <f t="shared" si="74"/>
        <v>4</v>
      </c>
      <c r="R376" s="160">
        <f t="shared" si="75"/>
        <v>0.48333333333721384</v>
      </c>
      <c r="S376" s="158">
        <f t="shared" si="76"/>
        <v>0.14581005586709245</v>
      </c>
      <c r="T376" s="161">
        <f t="shared" si="77"/>
        <v>24.35027932980444</v>
      </c>
      <c r="U376" s="158">
        <f t="shared" si="79"/>
        <v>50.379888268156428</v>
      </c>
      <c r="V376" s="160">
        <f t="shared" si="78"/>
        <v>50</v>
      </c>
    </row>
    <row r="377" spans="1:22" x14ac:dyDescent="0.25">
      <c r="A377" s="98" t="s">
        <v>22</v>
      </c>
      <c r="B377" s="98" t="s">
        <v>17</v>
      </c>
      <c r="C377" s="98">
        <v>16</v>
      </c>
      <c r="D377" s="98">
        <v>1455</v>
      </c>
      <c r="E377" s="157">
        <v>42476.598611111112</v>
      </c>
      <c r="F377" s="157">
        <v>42478.524305555555</v>
      </c>
      <c r="G377" s="98">
        <v>160</v>
      </c>
      <c r="H377" s="98">
        <v>179</v>
      </c>
      <c r="I377" s="98">
        <v>167</v>
      </c>
      <c r="J377" s="98" t="s">
        <v>1990</v>
      </c>
      <c r="K377" s="98" t="s">
        <v>3232</v>
      </c>
      <c r="L377" s="105" t="str">
        <f t="shared" si="70"/>
        <v>Brown</v>
      </c>
      <c r="M377" s="105" t="str">
        <f t="shared" si="71"/>
        <v>Derate</v>
      </c>
      <c r="N377" s="105" t="str">
        <f t="shared" si="72"/>
        <v>Coal</v>
      </c>
      <c r="O377" s="105">
        <f>IFERROR(VLOOKUP(A377,Lookup!$J$5:$P$19,7,FALSE),0)</f>
        <v>2</v>
      </c>
      <c r="P377" s="159">
        <f t="shared" si="73"/>
        <v>2016</v>
      </c>
      <c r="Q377" s="159">
        <f t="shared" si="74"/>
        <v>4</v>
      </c>
      <c r="R377" s="160">
        <f t="shared" si="75"/>
        <v>46.21666666661622</v>
      </c>
      <c r="S377" s="158">
        <f t="shared" si="76"/>
        <v>4.905679702043062</v>
      </c>
      <c r="T377" s="161">
        <f t="shared" si="77"/>
        <v>819.24851024119141</v>
      </c>
      <c r="U377" s="158">
        <f t="shared" si="79"/>
        <v>17.726256983240223</v>
      </c>
      <c r="V377" s="160">
        <f t="shared" si="78"/>
        <v>18</v>
      </c>
    </row>
    <row r="378" spans="1:22" x14ac:dyDescent="0.25">
      <c r="A378" s="98" t="s">
        <v>22</v>
      </c>
      <c r="B378" s="98" t="s">
        <v>17</v>
      </c>
      <c r="C378" s="98">
        <v>17</v>
      </c>
      <c r="D378" s="98">
        <v>1455</v>
      </c>
      <c r="E378" s="157">
        <v>42478.524305555555</v>
      </c>
      <c r="F378" s="157">
        <v>42483.697916666664</v>
      </c>
      <c r="G378" s="98">
        <v>150</v>
      </c>
      <c r="H378" s="98">
        <v>179</v>
      </c>
      <c r="I378" s="98">
        <v>167</v>
      </c>
      <c r="J378" s="98" t="s">
        <v>1990</v>
      </c>
      <c r="K378" s="98" t="s">
        <v>3233</v>
      </c>
      <c r="L378" s="105" t="str">
        <f t="shared" si="70"/>
        <v>Brown</v>
      </c>
      <c r="M378" s="105" t="str">
        <f t="shared" si="71"/>
        <v>Derate</v>
      </c>
      <c r="N378" s="105" t="str">
        <f t="shared" si="72"/>
        <v>Coal</v>
      </c>
      <c r="O378" s="105">
        <f>IFERROR(VLOOKUP(A378,Lookup!$J$5:$P$19,7,FALSE),0)</f>
        <v>2</v>
      </c>
      <c r="P378" s="159">
        <f t="shared" si="73"/>
        <v>2016</v>
      </c>
      <c r="Q378" s="159">
        <f t="shared" si="74"/>
        <v>4</v>
      </c>
      <c r="R378" s="160">
        <f t="shared" si="75"/>
        <v>124.16666666662786</v>
      </c>
      <c r="S378" s="158">
        <f t="shared" si="76"/>
        <v>20.116387337051442</v>
      </c>
      <c r="T378" s="161">
        <f t="shared" si="77"/>
        <v>3359.436685287591</v>
      </c>
      <c r="U378" s="158">
        <f t="shared" si="79"/>
        <v>27.05586592178771</v>
      </c>
      <c r="V378" s="160">
        <f t="shared" si="78"/>
        <v>27</v>
      </c>
    </row>
    <row r="379" spans="1:22" x14ac:dyDescent="0.25">
      <c r="A379" s="98" t="s">
        <v>22</v>
      </c>
      <c r="B379" s="98" t="s">
        <v>20</v>
      </c>
      <c r="C379" s="98">
        <v>18</v>
      </c>
      <c r="D379" s="98">
        <v>1455</v>
      </c>
      <c r="E379" s="157">
        <v>42482.875</v>
      </c>
      <c r="F379" s="157">
        <v>42483.697916666664</v>
      </c>
      <c r="G379" s="98">
        <v>0</v>
      </c>
      <c r="H379" s="98">
        <v>179</v>
      </c>
      <c r="I379" s="98">
        <v>167</v>
      </c>
      <c r="J379" s="98" t="s">
        <v>1990</v>
      </c>
      <c r="K379" s="98" t="s">
        <v>3232</v>
      </c>
      <c r="L379" s="105" t="str">
        <f t="shared" si="70"/>
        <v>Brown</v>
      </c>
      <c r="M379" s="105" t="str">
        <f t="shared" si="71"/>
        <v>Maintenance</v>
      </c>
      <c r="N379" s="105" t="str">
        <f t="shared" si="72"/>
        <v>Coal</v>
      </c>
      <c r="O379" s="105">
        <f>IFERROR(VLOOKUP(A379,Lookup!$J$5:$P$19,7,FALSE),0)</f>
        <v>2</v>
      </c>
      <c r="P379" s="159">
        <f t="shared" si="73"/>
        <v>2016</v>
      </c>
      <c r="Q379" s="159">
        <f t="shared" si="74"/>
        <v>4</v>
      </c>
      <c r="R379" s="160">
        <f t="shared" si="75"/>
        <v>19.749999999941792</v>
      </c>
      <c r="S379" s="158">
        <f t="shared" si="76"/>
        <v>19.749999999941792</v>
      </c>
      <c r="T379" s="161">
        <f t="shared" si="77"/>
        <v>3298.2499999902793</v>
      </c>
      <c r="U379" s="158">
        <f t="shared" si="79"/>
        <v>167</v>
      </c>
      <c r="V379" s="160">
        <f t="shared" si="78"/>
        <v>167</v>
      </c>
    </row>
    <row r="380" spans="1:22" x14ac:dyDescent="0.25">
      <c r="A380" s="98" t="s">
        <v>22</v>
      </c>
      <c r="B380" s="98" t="s">
        <v>79</v>
      </c>
      <c r="C380" s="98">
        <v>20</v>
      </c>
      <c r="D380" s="98">
        <v>8700</v>
      </c>
      <c r="E380" s="157">
        <v>42485.958333333336</v>
      </c>
      <c r="F380" s="157">
        <v>42486.072916666664</v>
      </c>
      <c r="G380" s="98">
        <v>0</v>
      </c>
      <c r="H380" s="98">
        <v>179</v>
      </c>
      <c r="I380" s="98">
        <v>167</v>
      </c>
      <c r="J380" s="98" t="s">
        <v>1987</v>
      </c>
      <c r="K380" s="98" t="s">
        <v>3234</v>
      </c>
      <c r="L380" s="105" t="str">
        <f t="shared" si="70"/>
        <v>Brown</v>
      </c>
      <c r="M380" s="105" t="str">
        <f t="shared" si="71"/>
        <v>Other</v>
      </c>
      <c r="N380" s="105" t="str">
        <f t="shared" si="72"/>
        <v>Coal</v>
      </c>
      <c r="O380" s="105">
        <f>IFERROR(VLOOKUP(A380,Lookup!$J$5:$P$19,7,FALSE),0)</f>
        <v>2</v>
      </c>
      <c r="P380" s="159">
        <f t="shared" si="73"/>
        <v>2016</v>
      </c>
      <c r="Q380" s="159">
        <f t="shared" si="74"/>
        <v>4</v>
      </c>
      <c r="R380" s="160">
        <f t="shared" si="75"/>
        <v>2.7499999998835847</v>
      </c>
      <c r="S380" s="158">
        <f t="shared" si="76"/>
        <v>2.7499999998835847</v>
      </c>
      <c r="T380" s="161">
        <f t="shared" si="77"/>
        <v>459.24999998055864</v>
      </c>
      <c r="U380" s="158">
        <f t="shared" si="79"/>
        <v>167</v>
      </c>
      <c r="V380" s="160">
        <f t="shared" si="78"/>
        <v>167</v>
      </c>
    </row>
    <row r="381" spans="1:22" x14ac:dyDescent="0.25">
      <c r="A381" s="98" t="s">
        <v>22</v>
      </c>
      <c r="B381" s="98" t="s">
        <v>79</v>
      </c>
      <c r="C381" s="98">
        <v>21</v>
      </c>
      <c r="D381" s="98">
        <v>8700</v>
      </c>
      <c r="E381" s="157">
        <v>42486.875</v>
      </c>
      <c r="F381" s="157">
        <v>42487.09652777778</v>
      </c>
      <c r="G381" s="98">
        <v>0</v>
      </c>
      <c r="H381" s="98">
        <v>179</v>
      </c>
      <c r="I381" s="98">
        <v>167</v>
      </c>
      <c r="J381" s="98" t="s">
        <v>1987</v>
      </c>
      <c r="K381" s="98" t="s">
        <v>3234</v>
      </c>
      <c r="L381" s="105" t="str">
        <f t="shared" si="70"/>
        <v>Brown</v>
      </c>
      <c r="M381" s="105" t="str">
        <f t="shared" si="71"/>
        <v>Other</v>
      </c>
      <c r="N381" s="105" t="str">
        <f t="shared" si="72"/>
        <v>Coal</v>
      </c>
      <c r="O381" s="105">
        <f>IFERROR(VLOOKUP(A381,Lookup!$J$5:$P$19,7,FALSE),0)</f>
        <v>2</v>
      </c>
      <c r="P381" s="159">
        <f t="shared" si="73"/>
        <v>2016</v>
      </c>
      <c r="Q381" s="159">
        <f t="shared" si="74"/>
        <v>4</v>
      </c>
      <c r="R381" s="160">
        <f t="shared" si="75"/>
        <v>5.3166666667093523</v>
      </c>
      <c r="S381" s="158">
        <f t="shared" si="76"/>
        <v>5.3166666667093523</v>
      </c>
      <c r="T381" s="161">
        <f t="shared" si="77"/>
        <v>887.88333334046183</v>
      </c>
      <c r="U381" s="158">
        <f t="shared" si="79"/>
        <v>167</v>
      </c>
      <c r="V381" s="160">
        <f t="shared" si="78"/>
        <v>167</v>
      </c>
    </row>
    <row r="382" spans="1:22" x14ac:dyDescent="0.25">
      <c r="A382" s="98" t="s">
        <v>22</v>
      </c>
      <c r="B382" s="98" t="s">
        <v>79</v>
      </c>
      <c r="C382" s="98">
        <v>22</v>
      </c>
      <c r="D382" s="98">
        <v>8700</v>
      </c>
      <c r="E382" s="157">
        <v>42487.875</v>
      </c>
      <c r="F382" s="157">
        <v>42488.168749999997</v>
      </c>
      <c r="G382" s="98">
        <v>0</v>
      </c>
      <c r="H382" s="98">
        <v>179</v>
      </c>
      <c r="I382" s="98">
        <v>167</v>
      </c>
      <c r="J382" s="98" t="s">
        <v>1987</v>
      </c>
      <c r="K382" s="98" t="s">
        <v>3234</v>
      </c>
      <c r="L382" s="105" t="str">
        <f t="shared" si="70"/>
        <v>Brown</v>
      </c>
      <c r="M382" s="105" t="str">
        <f t="shared" si="71"/>
        <v>Other</v>
      </c>
      <c r="N382" s="105" t="str">
        <f t="shared" si="72"/>
        <v>Coal</v>
      </c>
      <c r="O382" s="105">
        <f>IFERROR(VLOOKUP(A382,Lookup!$J$5:$P$19,7,FALSE),0)</f>
        <v>2</v>
      </c>
      <c r="P382" s="159">
        <f t="shared" si="73"/>
        <v>2016</v>
      </c>
      <c r="Q382" s="159">
        <f t="shared" si="74"/>
        <v>4</v>
      </c>
      <c r="R382" s="160">
        <f t="shared" si="75"/>
        <v>7.0499999999301508</v>
      </c>
      <c r="S382" s="158">
        <f t="shared" si="76"/>
        <v>7.0499999999301508</v>
      </c>
      <c r="T382" s="161">
        <f t="shared" si="77"/>
        <v>1177.3499999883352</v>
      </c>
      <c r="U382" s="158">
        <f t="shared" si="79"/>
        <v>167</v>
      </c>
      <c r="V382" s="160">
        <f t="shared" si="78"/>
        <v>167</v>
      </c>
    </row>
    <row r="383" spans="1:22" x14ac:dyDescent="0.25">
      <c r="A383" s="98" t="s">
        <v>22</v>
      </c>
      <c r="B383" s="98" t="s">
        <v>20</v>
      </c>
      <c r="C383" s="98">
        <v>24</v>
      </c>
      <c r="D383" s="98">
        <v>1360</v>
      </c>
      <c r="E383" s="157">
        <v>42494.25</v>
      </c>
      <c r="F383" s="157">
        <v>42494.695833333331</v>
      </c>
      <c r="G383" s="98">
        <v>0</v>
      </c>
      <c r="H383" s="98">
        <v>179</v>
      </c>
      <c r="I383" s="98">
        <v>167</v>
      </c>
      <c r="J383" s="98" t="s">
        <v>2191</v>
      </c>
      <c r="K383" s="98" t="s">
        <v>3235</v>
      </c>
      <c r="L383" s="105" t="str">
        <f t="shared" si="70"/>
        <v>Brown</v>
      </c>
      <c r="M383" s="105" t="str">
        <f t="shared" si="71"/>
        <v>Maintenance</v>
      </c>
      <c r="N383" s="105" t="str">
        <f t="shared" si="72"/>
        <v>Coal</v>
      </c>
      <c r="O383" s="105">
        <f>IFERROR(VLOOKUP(A383,Lookup!$J$5:$P$19,7,FALSE),0)</f>
        <v>2</v>
      </c>
      <c r="P383" s="159">
        <f t="shared" si="73"/>
        <v>2016</v>
      </c>
      <c r="Q383" s="159">
        <f t="shared" si="74"/>
        <v>5</v>
      </c>
      <c r="R383" s="160">
        <f t="shared" si="75"/>
        <v>10.699999999953434</v>
      </c>
      <c r="S383" s="158">
        <f t="shared" si="76"/>
        <v>10.699999999953434</v>
      </c>
      <c r="T383" s="161">
        <f t="shared" si="77"/>
        <v>1786.8999999922235</v>
      </c>
      <c r="U383" s="158">
        <f t="shared" si="79"/>
        <v>167</v>
      </c>
      <c r="V383" s="160">
        <f t="shared" si="78"/>
        <v>167</v>
      </c>
    </row>
    <row r="384" spans="1:22" x14ac:dyDescent="0.25">
      <c r="A384" s="98" t="s">
        <v>22</v>
      </c>
      <c r="B384" s="98" t="s">
        <v>20</v>
      </c>
      <c r="C384" s="98">
        <v>25</v>
      </c>
      <c r="D384" s="98">
        <v>1000</v>
      </c>
      <c r="E384" s="157">
        <v>42495.611111111109</v>
      </c>
      <c r="F384" s="157">
        <v>42495.759722222225</v>
      </c>
      <c r="G384" s="98">
        <v>0</v>
      </c>
      <c r="H384" s="98">
        <v>179</v>
      </c>
      <c r="I384" s="98">
        <v>167</v>
      </c>
      <c r="J384" s="98" t="s">
        <v>2002</v>
      </c>
      <c r="K384" s="98" t="s">
        <v>3236</v>
      </c>
      <c r="L384" s="105" t="str">
        <f t="shared" si="70"/>
        <v>Brown</v>
      </c>
      <c r="M384" s="105" t="str">
        <f t="shared" si="71"/>
        <v>Maintenance</v>
      </c>
      <c r="N384" s="105" t="str">
        <f t="shared" si="72"/>
        <v>Coal</v>
      </c>
      <c r="O384" s="105">
        <f>IFERROR(VLOOKUP(A384,Lookup!$J$5:$P$19,7,FALSE),0)</f>
        <v>2</v>
      </c>
      <c r="P384" s="159">
        <f t="shared" si="73"/>
        <v>2016</v>
      </c>
      <c r="Q384" s="159">
        <f t="shared" si="74"/>
        <v>5</v>
      </c>
      <c r="R384" s="160">
        <f t="shared" si="75"/>
        <v>3.5666666667675599</v>
      </c>
      <c r="S384" s="158">
        <f t="shared" si="76"/>
        <v>3.5666666667675599</v>
      </c>
      <c r="T384" s="161">
        <f t="shared" si="77"/>
        <v>595.63333335018251</v>
      </c>
      <c r="U384" s="158">
        <f t="shared" si="79"/>
        <v>167</v>
      </c>
      <c r="V384" s="160">
        <f t="shared" si="78"/>
        <v>167</v>
      </c>
    </row>
    <row r="385" spans="1:22" x14ac:dyDescent="0.25">
      <c r="A385" s="98" t="s">
        <v>22</v>
      </c>
      <c r="B385" s="98" t="s">
        <v>15</v>
      </c>
      <c r="C385" s="98">
        <v>28</v>
      </c>
      <c r="D385" s="98">
        <v>3399</v>
      </c>
      <c r="E385" s="157">
        <v>42510.318749999999</v>
      </c>
      <c r="F385" s="157">
        <v>42510.387499999997</v>
      </c>
      <c r="G385" s="98">
        <v>0</v>
      </c>
      <c r="H385" s="98">
        <v>179</v>
      </c>
      <c r="I385" s="98">
        <v>167</v>
      </c>
      <c r="J385" s="98" t="s">
        <v>2120</v>
      </c>
      <c r="K385" s="98" t="s">
        <v>3237</v>
      </c>
      <c r="L385" s="105" t="str">
        <f t="shared" si="70"/>
        <v>Brown</v>
      </c>
      <c r="M385" s="105" t="str">
        <f t="shared" si="71"/>
        <v>Outage</v>
      </c>
      <c r="N385" s="105" t="str">
        <f t="shared" si="72"/>
        <v>Coal</v>
      </c>
      <c r="O385" s="105">
        <f>IFERROR(VLOOKUP(A385,Lookup!$J$5:$P$19,7,FALSE),0)</f>
        <v>2</v>
      </c>
      <c r="P385" s="159">
        <f t="shared" si="73"/>
        <v>2016</v>
      </c>
      <c r="Q385" s="159">
        <f t="shared" si="74"/>
        <v>5</v>
      </c>
      <c r="R385" s="160">
        <f t="shared" si="75"/>
        <v>1.6499999999650754</v>
      </c>
      <c r="S385" s="158">
        <f t="shared" si="76"/>
        <v>1.6499999999650754</v>
      </c>
      <c r="T385" s="161">
        <f t="shared" si="77"/>
        <v>275.54999999416759</v>
      </c>
      <c r="U385" s="158">
        <f t="shared" si="79"/>
        <v>167</v>
      </c>
      <c r="V385" s="160">
        <f t="shared" si="78"/>
        <v>167</v>
      </c>
    </row>
    <row r="386" spans="1:22" x14ac:dyDescent="0.25">
      <c r="A386" s="98" t="s">
        <v>22</v>
      </c>
      <c r="B386" s="98" t="s">
        <v>79</v>
      </c>
      <c r="C386" s="98">
        <v>29</v>
      </c>
      <c r="D386" s="98">
        <v>8700</v>
      </c>
      <c r="E386" s="157">
        <v>42513.958333333336</v>
      </c>
      <c r="F386" s="157">
        <v>42514.222222222219</v>
      </c>
      <c r="G386" s="98">
        <v>0</v>
      </c>
      <c r="H386" s="98">
        <v>179</v>
      </c>
      <c r="I386" s="98">
        <v>167</v>
      </c>
      <c r="J386" s="98" t="s">
        <v>1987</v>
      </c>
      <c r="K386" s="98" t="s">
        <v>3209</v>
      </c>
      <c r="L386" s="105" t="str">
        <f t="shared" si="70"/>
        <v>Brown</v>
      </c>
      <c r="M386" s="105" t="str">
        <f t="shared" si="71"/>
        <v>Other</v>
      </c>
      <c r="N386" s="105" t="str">
        <f t="shared" si="72"/>
        <v>Coal</v>
      </c>
      <c r="O386" s="105">
        <f>IFERROR(VLOOKUP(A386,Lookup!$J$5:$P$19,7,FALSE),0)</f>
        <v>2</v>
      </c>
      <c r="P386" s="159">
        <f t="shared" si="73"/>
        <v>2016</v>
      </c>
      <c r="Q386" s="159">
        <f t="shared" si="74"/>
        <v>5</v>
      </c>
      <c r="R386" s="160">
        <f t="shared" si="75"/>
        <v>6.3333333331975155</v>
      </c>
      <c r="S386" s="158">
        <f t="shared" si="76"/>
        <v>6.3333333331975155</v>
      </c>
      <c r="T386" s="161">
        <f t="shared" si="77"/>
        <v>1057.6666666439851</v>
      </c>
      <c r="U386" s="158">
        <f t="shared" si="79"/>
        <v>167</v>
      </c>
      <c r="V386" s="160">
        <f t="shared" si="78"/>
        <v>167</v>
      </c>
    </row>
    <row r="387" spans="1:22" x14ac:dyDescent="0.25">
      <c r="A387" s="98" t="s">
        <v>22</v>
      </c>
      <c r="B387" s="98" t="s">
        <v>17</v>
      </c>
      <c r="C387" s="98">
        <v>30</v>
      </c>
      <c r="D387" s="98">
        <v>310</v>
      </c>
      <c r="E387" s="157">
        <v>42583.810416666667</v>
      </c>
      <c r="F387" s="157">
        <v>42584.025694444441</v>
      </c>
      <c r="G387" s="98">
        <v>130</v>
      </c>
      <c r="H387" s="98">
        <v>179</v>
      </c>
      <c r="I387" s="98">
        <v>167</v>
      </c>
      <c r="J387" s="98" t="s">
        <v>1966</v>
      </c>
      <c r="K387" s="98" t="s">
        <v>3996</v>
      </c>
      <c r="L387" s="105" t="str">
        <f t="shared" si="70"/>
        <v>Brown</v>
      </c>
      <c r="M387" s="105" t="str">
        <f t="shared" si="71"/>
        <v>Derate</v>
      </c>
      <c r="N387" s="105" t="str">
        <f t="shared" si="72"/>
        <v>Coal</v>
      </c>
      <c r="O387" s="105">
        <f>IFERROR(VLOOKUP(A387,Lookup!$J$5:$P$19,7,FALSE),0)</f>
        <v>2</v>
      </c>
      <c r="P387" s="159">
        <f t="shared" si="73"/>
        <v>2016</v>
      </c>
      <c r="Q387" s="159">
        <f t="shared" si="74"/>
        <v>8</v>
      </c>
      <c r="R387" s="160">
        <f t="shared" si="75"/>
        <v>5.1666666665696539</v>
      </c>
      <c r="S387" s="158">
        <f t="shared" si="76"/>
        <v>1.4143389198989555</v>
      </c>
      <c r="T387" s="161">
        <f t="shared" si="77"/>
        <v>236.19459962312558</v>
      </c>
      <c r="U387" s="158">
        <f t="shared" si="79"/>
        <v>45.715083798882681</v>
      </c>
      <c r="V387" s="160">
        <f t="shared" si="78"/>
        <v>46</v>
      </c>
    </row>
    <row r="388" spans="1:22" x14ac:dyDescent="0.25">
      <c r="A388" s="98" t="s">
        <v>22</v>
      </c>
      <c r="B388" s="98" t="s">
        <v>17</v>
      </c>
      <c r="C388" s="98">
        <v>31</v>
      </c>
      <c r="D388" s="98">
        <v>310</v>
      </c>
      <c r="E388" s="157">
        <v>42586.29791666667</v>
      </c>
      <c r="F388" s="157">
        <v>42586.48541666667</v>
      </c>
      <c r="G388" s="98">
        <v>135</v>
      </c>
      <c r="H388" s="98">
        <v>179</v>
      </c>
      <c r="I388" s="98">
        <v>167</v>
      </c>
      <c r="J388" s="98" t="s">
        <v>1966</v>
      </c>
      <c r="K388" s="98" t="s">
        <v>3997</v>
      </c>
      <c r="L388" s="105" t="str">
        <f t="shared" si="70"/>
        <v>Brown</v>
      </c>
      <c r="M388" s="105" t="str">
        <f t="shared" si="71"/>
        <v>Derate</v>
      </c>
      <c r="N388" s="105" t="str">
        <f t="shared" si="72"/>
        <v>Coal</v>
      </c>
      <c r="O388" s="105">
        <f>IFERROR(VLOOKUP(A388,Lookup!$J$5:$P$19,7,FALSE),0)</f>
        <v>2</v>
      </c>
      <c r="P388" s="159">
        <f t="shared" si="73"/>
        <v>2016</v>
      </c>
      <c r="Q388" s="159">
        <f t="shared" si="74"/>
        <v>8</v>
      </c>
      <c r="R388" s="160">
        <f t="shared" si="75"/>
        <v>4.5</v>
      </c>
      <c r="S388" s="158">
        <f t="shared" si="76"/>
        <v>1.1061452513966481</v>
      </c>
      <c r="T388" s="161">
        <f t="shared" si="77"/>
        <v>184.72625698324023</v>
      </c>
      <c r="U388" s="158">
        <f t="shared" si="79"/>
        <v>41.050279329608941</v>
      </c>
      <c r="V388" s="160">
        <f t="shared" si="78"/>
        <v>41</v>
      </c>
    </row>
    <row r="389" spans="1:22" x14ac:dyDescent="0.25">
      <c r="A389" s="98" t="s">
        <v>22</v>
      </c>
      <c r="B389" s="98" t="s">
        <v>20</v>
      </c>
      <c r="C389" s="98">
        <v>33</v>
      </c>
      <c r="D389" s="98">
        <v>8250</v>
      </c>
      <c r="E389" s="157">
        <v>42604.09375</v>
      </c>
      <c r="F389" s="157">
        <v>42604.651388888888</v>
      </c>
      <c r="G389" s="98">
        <v>0</v>
      </c>
      <c r="H389" s="98">
        <v>179</v>
      </c>
      <c r="I389" s="98">
        <v>167</v>
      </c>
      <c r="J389" s="98" t="s">
        <v>3196</v>
      </c>
      <c r="K389" s="98" t="s">
        <v>3982</v>
      </c>
      <c r="L389" s="105" t="str">
        <f t="shared" si="70"/>
        <v>Brown</v>
      </c>
      <c r="M389" s="105" t="str">
        <f t="shared" si="71"/>
        <v>Maintenance</v>
      </c>
      <c r="N389" s="105" t="str">
        <f t="shared" si="72"/>
        <v>Coal</v>
      </c>
      <c r="O389" s="105">
        <f>IFERROR(VLOOKUP(A389,Lookup!$J$5:$P$19,7,FALSE),0)</f>
        <v>2</v>
      </c>
      <c r="P389" s="159">
        <f t="shared" si="73"/>
        <v>2016</v>
      </c>
      <c r="Q389" s="159">
        <f t="shared" si="74"/>
        <v>8</v>
      </c>
      <c r="R389" s="160">
        <f t="shared" si="75"/>
        <v>13.383333333302289</v>
      </c>
      <c r="S389" s="158">
        <f t="shared" si="76"/>
        <v>13.383333333302289</v>
      </c>
      <c r="T389" s="161">
        <f t="shared" si="77"/>
        <v>2235.0166666614823</v>
      </c>
      <c r="U389" s="158">
        <f t="shared" si="79"/>
        <v>167</v>
      </c>
      <c r="V389" s="160">
        <f t="shared" si="78"/>
        <v>167</v>
      </c>
    </row>
    <row r="390" spans="1:22" x14ac:dyDescent="0.25">
      <c r="A390" s="98" t="s">
        <v>22</v>
      </c>
      <c r="B390" s="98" t="s">
        <v>20</v>
      </c>
      <c r="C390" s="98">
        <v>36</v>
      </c>
      <c r="D390" s="98">
        <v>1000</v>
      </c>
      <c r="E390" s="157">
        <v>42630.505555555559</v>
      </c>
      <c r="F390" s="157">
        <v>42630.852777777778</v>
      </c>
      <c r="G390" s="98">
        <v>0</v>
      </c>
      <c r="H390" s="98">
        <v>179</v>
      </c>
      <c r="I390" s="98">
        <v>167</v>
      </c>
      <c r="J390" s="98" t="s">
        <v>2002</v>
      </c>
      <c r="K390" s="98" t="s">
        <v>3998</v>
      </c>
      <c r="L390" s="105" t="str">
        <f t="shared" si="70"/>
        <v>Brown</v>
      </c>
      <c r="M390" s="105" t="str">
        <f t="shared" si="71"/>
        <v>Maintenance</v>
      </c>
      <c r="N390" s="105" t="str">
        <f t="shared" si="72"/>
        <v>Coal</v>
      </c>
      <c r="O390" s="105">
        <f>IFERROR(VLOOKUP(A390,Lookup!$J$5:$P$19,7,FALSE),0)</f>
        <v>2</v>
      </c>
      <c r="P390" s="159">
        <f t="shared" si="73"/>
        <v>2016</v>
      </c>
      <c r="Q390" s="159">
        <f t="shared" si="74"/>
        <v>9</v>
      </c>
      <c r="R390" s="160">
        <f t="shared" si="75"/>
        <v>8.3333333332557231</v>
      </c>
      <c r="S390" s="158">
        <f t="shared" si="76"/>
        <v>8.3333333332557231</v>
      </c>
      <c r="T390" s="161">
        <f t="shared" si="77"/>
        <v>1391.6666666537058</v>
      </c>
      <c r="U390" s="158">
        <f t="shared" si="79"/>
        <v>167</v>
      </c>
      <c r="V390" s="160">
        <f t="shared" si="78"/>
        <v>167</v>
      </c>
    </row>
    <row r="391" spans="1:22" x14ac:dyDescent="0.25">
      <c r="A391" s="98" t="s">
        <v>22</v>
      </c>
      <c r="B391" s="98" t="s">
        <v>20</v>
      </c>
      <c r="C391" s="98">
        <v>39</v>
      </c>
      <c r="D391" s="98">
        <v>1999</v>
      </c>
      <c r="E391" s="157">
        <v>42640.227777777778</v>
      </c>
      <c r="F391" s="157">
        <v>42642.486805555556</v>
      </c>
      <c r="G391" s="98">
        <v>0</v>
      </c>
      <c r="H391" s="98">
        <v>179</v>
      </c>
      <c r="I391" s="98">
        <v>167</v>
      </c>
      <c r="J391" s="98" t="s">
        <v>2108</v>
      </c>
      <c r="K391" s="98" t="s">
        <v>3999</v>
      </c>
      <c r="L391" s="105" t="str">
        <f t="shared" si="70"/>
        <v>Brown</v>
      </c>
      <c r="M391" s="105" t="str">
        <f t="shared" si="71"/>
        <v>Maintenance</v>
      </c>
      <c r="N391" s="105" t="str">
        <f t="shared" si="72"/>
        <v>Coal</v>
      </c>
      <c r="O391" s="105">
        <f>IFERROR(VLOOKUP(A391,Lookup!$J$5:$P$19,7,FALSE),0)</f>
        <v>2</v>
      </c>
      <c r="P391" s="159">
        <f t="shared" si="73"/>
        <v>2016</v>
      </c>
      <c r="Q391" s="159">
        <f t="shared" si="74"/>
        <v>9</v>
      </c>
      <c r="R391" s="160">
        <f t="shared" si="75"/>
        <v>54.216666666674428</v>
      </c>
      <c r="S391" s="158">
        <f t="shared" si="76"/>
        <v>54.216666666674428</v>
      </c>
      <c r="T391" s="161">
        <f t="shared" si="77"/>
        <v>9054.1833333346294</v>
      </c>
      <c r="U391" s="158">
        <f t="shared" si="79"/>
        <v>167</v>
      </c>
      <c r="V391" s="160">
        <f t="shared" si="78"/>
        <v>167</v>
      </c>
    </row>
    <row r="392" spans="1:22" x14ac:dyDescent="0.25">
      <c r="A392" s="98" t="s">
        <v>22</v>
      </c>
      <c r="B392" s="98" t="s">
        <v>20</v>
      </c>
      <c r="C392" s="98">
        <v>41</v>
      </c>
      <c r="D392" s="98">
        <v>847</v>
      </c>
      <c r="E392" s="157">
        <v>42650.943055555559</v>
      </c>
      <c r="F392" s="157">
        <v>42654.539583333331</v>
      </c>
      <c r="G392" s="98">
        <v>0</v>
      </c>
      <c r="H392" s="98">
        <v>179</v>
      </c>
      <c r="I392" s="98">
        <v>167</v>
      </c>
      <c r="J392" s="98" t="s">
        <v>3984</v>
      </c>
      <c r="K392" s="98" t="s">
        <v>4000</v>
      </c>
      <c r="L392" s="105" t="str">
        <f t="shared" si="70"/>
        <v>Brown</v>
      </c>
      <c r="M392" s="105" t="str">
        <f t="shared" si="71"/>
        <v>Maintenance</v>
      </c>
      <c r="N392" s="105" t="str">
        <f t="shared" si="72"/>
        <v>Coal</v>
      </c>
      <c r="O392" s="105">
        <f>IFERROR(VLOOKUP(A392,Lookup!$J$5:$P$19,7,FALSE),0)</f>
        <v>2</v>
      </c>
      <c r="P392" s="159">
        <f t="shared" si="73"/>
        <v>2016</v>
      </c>
      <c r="Q392" s="159">
        <f t="shared" si="74"/>
        <v>10</v>
      </c>
      <c r="R392" s="160">
        <f t="shared" si="75"/>
        <v>86.316666666534729</v>
      </c>
      <c r="S392" s="158">
        <f t="shared" si="76"/>
        <v>86.316666666534729</v>
      </c>
      <c r="T392" s="161">
        <f t="shared" si="77"/>
        <v>14414.8833333113</v>
      </c>
      <c r="U392" s="158">
        <f t="shared" si="79"/>
        <v>167</v>
      </c>
      <c r="V392" s="160">
        <f t="shared" si="78"/>
        <v>167</v>
      </c>
    </row>
    <row r="393" spans="1:22" x14ac:dyDescent="0.25">
      <c r="A393" s="98" t="s">
        <v>22</v>
      </c>
      <c r="B393" s="98" t="s">
        <v>17</v>
      </c>
      <c r="C393" s="98">
        <v>43</v>
      </c>
      <c r="D393" s="98">
        <v>350</v>
      </c>
      <c r="E393" s="157">
        <v>42664.182638888888</v>
      </c>
      <c r="F393" s="157">
        <v>42664.26458333333</v>
      </c>
      <c r="G393" s="98">
        <v>130</v>
      </c>
      <c r="H393" s="98">
        <v>179</v>
      </c>
      <c r="I393" s="98">
        <v>167</v>
      </c>
      <c r="J393" s="98" t="s">
        <v>1976</v>
      </c>
      <c r="K393" s="98" t="s">
        <v>4001</v>
      </c>
      <c r="L393" s="105" t="str">
        <f t="shared" si="70"/>
        <v>Brown</v>
      </c>
      <c r="M393" s="105" t="str">
        <f t="shared" si="71"/>
        <v>Derate</v>
      </c>
      <c r="N393" s="105" t="str">
        <f t="shared" si="72"/>
        <v>Coal</v>
      </c>
      <c r="O393" s="105">
        <f>IFERROR(VLOOKUP(A393,Lookup!$J$5:$P$19,7,FALSE),0)</f>
        <v>2</v>
      </c>
      <c r="P393" s="159">
        <f t="shared" si="73"/>
        <v>2016</v>
      </c>
      <c r="Q393" s="159">
        <f t="shared" si="74"/>
        <v>10</v>
      </c>
      <c r="R393" s="160">
        <f t="shared" si="75"/>
        <v>1.96666666661622</v>
      </c>
      <c r="S393" s="158">
        <f t="shared" si="76"/>
        <v>0.53836126628041781</v>
      </c>
      <c r="T393" s="161">
        <f t="shared" si="77"/>
        <v>89.906331468829777</v>
      </c>
      <c r="U393" s="158">
        <f t="shared" si="79"/>
        <v>45.715083798882681</v>
      </c>
      <c r="V393" s="160">
        <f t="shared" si="78"/>
        <v>46</v>
      </c>
    </row>
    <row r="394" spans="1:22" x14ac:dyDescent="0.25">
      <c r="A394" s="98" t="s">
        <v>22</v>
      </c>
      <c r="B394" s="98" t="s">
        <v>20</v>
      </c>
      <c r="C394" s="98">
        <v>45</v>
      </c>
      <c r="D394" s="98">
        <v>8560</v>
      </c>
      <c r="E394" s="157">
        <v>42669.25</v>
      </c>
      <c r="F394" s="157">
        <v>42670.732638888891</v>
      </c>
      <c r="G394" s="98">
        <v>0</v>
      </c>
      <c r="H394" s="98">
        <v>179</v>
      </c>
      <c r="I394" s="98">
        <v>167</v>
      </c>
      <c r="J394" s="98" t="s">
        <v>1971</v>
      </c>
      <c r="K394" s="98" t="s">
        <v>4002</v>
      </c>
      <c r="L394" s="105" t="str">
        <f t="shared" si="70"/>
        <v>Brown</v>
      </c>
      <c r="M394" s="105" t="str">
        <f t="shared" si="71"/>
        <v>Maintenance</v>
      </c>
      <c r="N394" s="105" t="str">
        <f t="shared" si="72"/>
        <v>Coal</v>
      </c>
      <c r="O394" s="105">
        <f>IFERROR(VLOOKUP(A394,Lookup!$J$5:$P$19,7,FALSE),0)</f>
        <v>2</v>
      </c>
      <c r="P394" s="159">
        <f t="shared" si="73"/>
        <v>2016</v>
      </c>
      <c r="Q394" s="159">
        <f t="shared" si="74"/>
        <v>10</v>
      </c>
      <c r="R394" s="160">
        <f t="shared" si="75"/>
        <v>35.583333333372138</v>
      </c>
      <c r="S394" s="158">
        <f t="shared" si="76"/>
        <v>35.583333333372138</v>
      </c>
      <c r="T394" s="161">
        <f t="shared" si="77"/>
        <v>5942.4166666731471</v>
      </c>
      <c r="U394" s="158">
        <f t="shared" si="79"/>
        <v>167</v>
      </c>
      <c r="V394" s="160">
        <f t="shared" si="78"/>
        <v>167</v>
      </c>
    </row>
    <row r="395" spans="1:22" x14ac:dyDescent="0.25">
      <c r="A395" s="98" t="s">
        <v>22</v>
      </c>
      <c r="B395" s="98" t="s">
        <v>17</v>
      </c>
      <c r="C395" s="98">
        <v>47</v>
      </c>
      <c r="D395" s="98">
        <v>250</v>
      </c>
      <c r="E395" s="157">
        <v>42674.180555555555</v>
      </c>
      <c r="F395" s="157">
        <v>42674.304861111108</v>
      </c>
      <c r="G395" s="98">
        <v>135</v>
      </c>
      <c r="H395" s="98">
        <v>179</v>
      </c>
      <c r="I395" s="98">
        <v>167</v>
      </c>
      <c r="J395" s="98" t="s">
        <v>1978</v>
      </c>
      <c r="K395" s="98" t="s">
        <v>4003</v>
      </c>
      <c r="L395" s="105" t="str">
        <f t="shared" si="70"/>
        <v>Brown</v>
      </c>
      <c r="M395" s="105" t="str">
        <f t="shared" si="71"/>
        <v>Derate</v>
      </c>
      <c r="N395" s="105" t="str">
        <f t="shared" si="72"/>
        <v>Coal</v>
      </c>
      <c r="O395" s="105">
        <f>IFERROR(VLOOKUP(A395,Lookup!$J$5:$P$19,7,FALSE),0)</f>
        <v>2</v>
      </c>
      <c r="P395" s="159">
        <f t="shared" si="73"/>
        <v>2016</v>
      </c>
      <c r="Q395" s="159">
        <f t="shared" si="74"/>
        <v>10</v>
      </c>
      <c r="R395" s="160">
        <f t="shared" si="75"/>
        <v>2.9833333332790062</v>
      </c>
      <c r="S395" s="158">
        <f t="shared" si="76"/>
        <v>0.73333333331997919</v>
      </c>
      <c r="T395" s="161">
        <f t="shared" si="77"/>
        <v>122.46666666443653</v>
      </c>
      <c r="U395" s="158">
        <f t="shared" si="79"/>
        <v>41.050279329608941</v>
      </c>
      <c r="V395" s="160">
        <f t="shared" si="78"/>
        <v>41</v>
      </c>
    </row>
    <row r="396" spans="1:22" x14ac:dyDescent="0.25">
      <c r="A396" s="98" t="s">
        <v>22</v>
      </c>
      <c r="B396" s="98" t="s">
        <v>15</v>
      </c>
      <c r="C396" s="98">
        <v>48</v>
      </c>
      <c r="D396" s="98">
        <v>3420</v>
      </c>
      <c r="E396" s="157">
        <v>42689.51458333333</v>
      </c>
      <c r="F396" s="157">
        <v>42690.121527777781</v>
      </c>
      <c r="G396" s="98">
        <v>0</v>
      </c>
      <c r="H396" s="98">
        <v>179</v>
      </c>
      <c r="I396" s="98">
        <v>167</v>
      </c>
      <c r="J396" s="98" t="s">
        <v>2056</v>
      </c>
      <c r="K396" s="98" t="s">
        <v>4004</v>
      </c>
      <c r="L396" s="105" t="str">
        <f t="shared" si="70"/>
        <v>Brown</v>
      </c>
      <c r="M396" s="105" t="str">
        <f t="shared" si="71"/>
        <v>Outage</v>
      </c>
      <c r="N396" s="105" t="str">
        <f t="shared" si="72"/>
        <v>Coal</v>
      </c>
      <c r="O396" s="105">
        <f>IFERROR(VLOOKUP(A396,Lookup!$J$5:$P$19,7,FALSE),0)</f>
        <v>2</v>
      </c>
      <c r="P396" s="159">
        <f t="shared" si="73"/>
        <v>2016</v>
      </c>
      <c r="Q396" s="159">
        <f t="shared" si="74"/>
        <v>11</v>
      </c>
      <c r="R396" s="160">
        <f t="shared" si="75"/>
        <v>14.566666666825768</v>
      </c>
      <c r="S396" s="158">
        <f t="shared" si="76"/>
        <v>14.566666666825768</v>
      </c>
      <c r="T396" s="161">
        <f t="shared" si="77"/>
        <v>2432.6333333599032</v>
      </c>
      <c r="U396" s="158">
        <f t="shared" si="79"/>
        <v>167</v>
      </c>
      <c r="V396" s="160">
        <f t="shared" si="78"/>
        <v>167</v>
      </c>
    </row>
    <row r="397" spans="1:22" x14ac:dyDescent="0.25">
      <c r="A397" s="98" t="s">
        <v>22</v>
      </c>
      <c r="B397" s="98" t="s">
        <v>20</v>
      </c>
      <c r="C397" s="98">
        <v>50</v>
      </c>
      <c r="D397" s="98">
        <v>580</v>
      </c>
      <c r="E397" s="157">
        <v>42716.291666666664</v>
      </c>
      <c r="F397" s="157">
        <v>42717.586111111108</v>
      </c>
      <c r="G397" s="98">
        <v>0</v>
      </c>
      <c r="H397" s="98">
        <v>179</v>
      </c>
      <c r="I397" s="98">
        <v>167</v>
      </c>
      <c r="J397" s="98" t="s">
        <v>2497</v>
      </c>
      <c r="K397" s="98" t="s">
        <v>4005</v>
      </c>
      <c r="L397" s="105" t="str">
        <f t="shared" si="70"/>
        <v>Brown</v>
      </c>
      <c r="M397" s="105" t="str">
        <f t="shared" si="71"/>
        <v>Maintenance</v>
      </c>
      <c r="N397" s="105" t="str">
        <f t="shared" si="72"/>
        <v>Coal</v>
      </c>
      <c r="O397" s="105">
        <f>IFERROR(VLOOKUP(A397,Lookup!$J$5:$P$19,7,FALSE),0)</f>
        <v>2</v>
      </c>
      <c r="P397" s="159">
        <f t="shared" si="73"/>
        <v>2016</v>
      </c>
      <c r="Q397" s="159">
        <f t="shared" si="74"/>
        <v>12</v>
      </c>
      <c r="R397" s="160">
        <f t="shared" si="75"/>
        <v>31.066666666651145</v>
      </c>
      <c r="S397" s="158">
        <f t="shared" si="76"/>
        <v>31.066666666651145</v>
      </c>
      <c r="T397" s="161">
        <f t="shared" si="77"/>
        <v>5188.1333333307412</v>
      </c>
      <c r="U397" s="158">
        <f t="shared" si="79"/>
        <v>167</v>
      </c>
      <c r="V397" s="160">
        <f t="shared" si="78"/>
        <v>167</v>
      </c>
    </row>
    <row r="398" spans="1:22" x14ac:dyDescent="0.25">
      <c r="A398" s="98" t="s">
        <v>22</v>
      </c>
      <c r="B398" s="98" t="s">
        <v>20</v>
      </c>
      <c r="C398" s="98">
        <v>52</v>
      </c>
      <c r="D398" s="98">
        <v>1510</v>
      </c>
      <c r="E398" s="157">
        <v>42734.208333333336</v>
      </c>
      <c r="F398" s="157">
        <v>42734.551388888889</v>
      </c>
      <c r="G398" s="98">
        <v>0</v>
      </c>
      <c r="H398" s="98">
        <v>179</v>
      </c>
      <c r="I398" s="98">
        <v>167</v>
      </c>
      <c r="J398" s="98" t="s">
        <v>2183</v>
      </c>
      <c r="K398" s="98" t="s">
        <v>3989</v>
      </c>
      <c r="L398" s="105" t="str">
        <f t="shared" si="70"/>
        <v>Brown</v>
      </c>
      <c r="M398" s="105" t="str">
        <f t="shared" si="71"/>
        <v>Maintenance</v>
      </c>
      <c r="N398" s="105" t="str">
        <f t="shared" si="72"/>
        <v>Coal</v>
      </c>
      <c r="O398" s="105">
        <f>IFERROR(VLOOKUP(A398,Lookup!$J$5:$P$19,7,FALSE),0)</f>
        <v>2</v>
      </c>
      <c r="P398" s="159">
        <f t="shared" si="73"/>
        <v>2016</v>
      </c>
      <c r="Q398" s="159">
        <f t="shared" si="74"/>
        <v>12</v>
      </c>
      <c r="R398" s="160">
        <f t="shared" si="75"/>
        <v>8.2333333332790062</v>
      </c>
      <c r="S398" s="158">
        <f t="shared" si="76"/>
        <v>8.2333333332790062</v>
      </c>
      <c r="T398" s="161">
        <f t="shared" si="77"/>
        <v>1374.966666657594</v>
      </c>
      <c r="U398" s="158">
        <f t="shared" si="79"/>
        <v>167</v>
      </c>
      <c r="V398" s="160">
        <f t="shared" si="78"/>
        <v>167</v>
      </c>
    </row>
    <row r="399" spans="1:22" x14ac:dyDescent="0.25">
      <c r="A399" s="98" t="s">
        <v>22</v>
      </c>
      <c r="B399" s="98" t="s">
        <v>17</v>
      </c>
      <c r="C399" s="98">
        <v>2</v>
      </c>
      <c r="D399" s="98">
        <v>270</v>
      </c>
      <c r="E399" s="157">
        <v>42740.463888888888</v>
      </c>
      <c r="F399" s="157">
        <v>42740.500694444447</v>
      </c>
      <c r="G399" s="98">
        <v>130</v>
      </c>
      <c r="H399" s="98">
        <v>179</v>
      </c>
      <c r="I399" s="98">
        <v>167</v>
      </c>
      <c r="J399" s="98" t="s">
        <v>2031</v>
      </c>
      <c r="K399" s="98" t="s">
        <v>4006</v>
      </c>
      <c r="L399" s="105" t="str">
        <f t="shared" si="70"/>
        <v>Brown</v>
      </c>
      <c r="M399" s="105" t="str">
        <f t="shared" si="71"/>
        <v>Derate</v>
      </c>
      <c r="N399" s="105" t="str">
        <f t="shared" si="72"/>
        <v>Coal</v>
      </c>
      <c r="O399" s="105">
        <f>IFERROR(VLOOKUP(A399,Lookup!$J$5:$P$19,7,FALSE),0)</f>
        <v>2</v>
      </c>
      <c r="P399" s="159">
        <f t="shared" si="73"/>
        <v>2017</v>
      </c>
      <c r="Q399" s="159">
        <f t="shared" si="74"/>
        <v>1</v>
      </c>
      <c r="R399" s="160">
        <f t="shared" si="75"/>
        <v>0.88333333341870457</v>
      </c>
      <c r="S399" s="158">
        <f t="shared" si="76"/>
        <v>0.24180633149450573</v>
      </c>
      <c r="T399" s="161">
        <f t="shared" si="77"/>
        <v>40.381657359582455</v>
      </c>
      <c r="U399" s="158">
        <f t="shared" si="79"/>
        <v>45.715083798882681</v>
      </c>
      <c r="V399" s="160">
        <f t="shared" si="78"/>
        <v>46</v>
      </c>
    </row>
    <row r="400" spans="1:22" x14ac:dyDescent="0.25">
      <c r="A400" s="98" t="s">
        <v>22</v>
      </c>
      <c r="B400" s="98" t="s">
        <v>17</v>
      </c>
      <c r="C400" s="98">
        <v>3</v>
      </c>
      <c r="D400" s="98">
        <v>270</v>
      </c>
      <c r="E400" s="157">
        <v>42740.500694444447</v>
      </c>
      <c r="F400" s="157">
        <v>42740.625694444447</v>
      </c>
      <c r="G400" s="98">
        <v>140</v>
      </c>
      <c r="H400" s="98">
        <v>179</v>
      </c>
      <c r="I400" s="98">
        <v>167</v>
      </c>
      <c r="J400" s="98" t="s">
        <v>2031</v>
      </c>
      <c r="K400" s="98" t="s">
        <v>4006</v>
      </c>
      <c r="L400" s="105" t="str">
        <f t="shared" si="70"/>
        <v>Brown</v>
      </c>
      <c r="M400" s="105" t="str">
        <f t="shared" si="71"/>
        <v>Derate</v>
      </c>
      <c r="N400" s="105" t="str">
        <f t="shared" si="72"/>
        <v>Coal</v>
      </c>
      <c r="O400" s="105">
        <f>IFERROR(VLOOKUP(A400,Lookup!$J$5:$P$19,7,FALSE),0)</f>
        <v>2</v>
      </c>
      <c r="P400" s="159">
        <f t="shared" si="73"/>
        <v>2017</v>
      </c>
      <c r="Q400" s="159">
        <f t="shared" si="74"/>
        <v>1</v>
      </c>
      <c r="R400" s="160">
        <f t="shared" si="75"/>
        <v>3</v>
      </c>
      <c r="S400" s="158">
        <f t="shared" si="76"/>
        <v>0.65363128491620115</v>
      </c>
      <c r="T400" s="161">
        <f t="shared" si="77"/>
        <v>109.1564245810056</v>
      </c>
      <c r="U400" s="158">
        <f t="shared" si="79"/>
        <v>36.385474860335194</v>
      </c>
      <c r="V400" s="160">
        <f t="shared" si="78"/>
        <v>36</v>
      </c>
    </row>
    <row r="401" spans="1:22" x14ac:dyDescent="0.25">
      <c r="A401" s="98" t="s">
        <v>22</v>
      </c>
      <c r="B401" s="98" t="s">
        <v>105</v>
      </c>
      <c r="C401" s="98">
        <v>4</v>
      </c>
      <c r="D401" s="98">
        <v>310</v>
      </c>
      <c r="E401" s="157">
        <v>42758.395833333336</v>
      </c>
      <c r="F401" s="157">
        <v>42758.479166666664</v>
      </c>
      <c r="G401" s="98">
        <v>145</v>
      </c>
      <c r="H401" s="98">
        <v>179</v>
      </c>
      <c r="I401" s="98">
        <v>167</v>
      </c>
      <c r="J401" s="98" t="s">
        <v>1966</v>
      </c>
      <c r="K401" s="98" t="s">
        <v>4007</v>
      </c>
      <c r="L401" s="105" t="str">
        <f t="shared" si="70"/>
        <v>Brown</v>
      </c>
      <c r="M401" s="105" t="str">
        <f t="shared" si="71"/>
        <v>Derate</v>
      </c>
      <c r="N401" s="105" t="str">
        <f t="shared" si="72"/>
        <v>Coal</v>
      </c>
      <c r="O401" s="105">
        <f>IFERROR(VLOOKUP(A401,Lookup!$J$5:$P$19,7,FALSE),0)</f>
        <v>2</v>
      </c>
      <c r="P401" s="159">
        <f t="shared" si="73"/>
        <v>2017</v>
      </c>
      <c r="Q401" s="159">
        <f t="shared" si="74"/>
        <v>1</v>
      </c>
      <c r="R401" s="160">
        <f t="shared" si="75"/>
        <v>1.9999999998835847</v>
      </c>
      <c r="S401" s="158">
        <f t="shared" si="76"/>
        <v>0.37988826813431215</v>
      </c>
      <c r="T401" s="161">
        <f t="shared" si="77"/>
        <v>63.441340778430131</v>
      </c>
      <c r="U401" s="158">
        <f t="shared" si="79"/>
        <v>31.720670391061454</v>
      </c>
      <c r="V401" s="160">
        <f t="shared" si="78"/>
        <v>32</v>
      </c>
    </row>
    <row r="402" spans="1:22" x14ac:dyDescent="0.25">
      <c r="A402" s="98" t="s">
        <v>22</v>
      </c>
      <c r="B402" s="98" t="s">
        <v>20</v>
      </c>
      <c r="C402" s="98">
        <v>6</v>
      </c>
      <c r="D402" s="98">
        <v>4263</v>
      </c>
      <c r="E402" s="157">
        <v>42786.291666666664</v>
      </c>
      <c r="F402" s="157">
        <v>42787.412499999999</v>
      </c>
      <c r="G402" s="98">
        <v>0</v>
      </c>
      <c r="H402" s="98">
        <v>179</v>
      </c>
      <c r="I402" s="98">
        <v>167</v>
      </c>
      <c r="J402" s="98" t="s">
        <v>2019</v>
      </c>
      <c r="K402" s="98" t="s">
        <v>4008</v>
      </c>
      <c r="L402" s="105" t="str">
        <f t="shared" si="70"/>
        <v>Brown</v>
      </c>
      <c r="M402" s="105" t="str">
        <f t="shared" si="71"/>
        <v>Maintenance</v>
      </c>
      <c r="N402" s="105" t="str">
        <f t="shared" si="72"/>
        <v>Coal</v>
      </c>
      <c r="O402" s="105">
        <f>IFERROR(VLOOKUP(A402,Lookup!$J$5:$P$19,7,FALSE),0)</f>
        <v>2</v>
      </c>
      <c r="P402" s="159">
        <f t="shared" si="73"/>
        <v>2017</v>
      </c>
      <c r="Q402" s="159">
        <f t="shared" si="74"/>
        <v>2</v>
      </c>
      <c r="R402" s="160">
        <f t="shared" si="75"/>
        <v>26.900000000023283</v>
      </c>
      <c r="S402" s="158">
        <f t="shared" si="76"/>
        <v>26.900000000023283</v>
      </c>
      <c r="T402" s="161">
        <f t="shared" si="77"/>
        <v>4492.3000000038883</v>
      </c>
      <c r="U402" s="158">
        <f t="shared" si="79"/>
        <v>167</v>
      </c>
      <c r="V402" s="160">
        <f t="shared" si="78"/>
        <v>167</v>
      </c>
    </row>
    <row r="403" spans="1:22" x14ac:dyDescent="0.25">
      <c r="A403" s="98" t="s">
        <v>22</v>
      </c>
      <c r="B403" s="98" t="s">
        <v>79</v>
      </c>
      <c r="C403" s="98">
        <v>8</v>
      </c>
      <c r="D403" s="98">
        <v>8700</v>
      </c>
      <c r="E403" s="157">
        <v>42807.916666666664</v>
      </c>
      <c r="F403" s="157">
        <v>42808.125</v>
      </c>
      <c r="G403" s="98">
        <v>0</v>
      </c>
      <c r="H403" s="98">
        <v>179</v>
      </c>
      <c r="I403" s="98">
        <v>167</v>
      </c>
      <c r="J403" s="98" t="s">
        <v>1987</v>
      </c>
      <c r="K403" s="98" t="s">
        <v>4009</v>
      </c>
      <c r="L403" s="105" t="str">
        <f t="shared" ref="L403:L465" si="80">IF(OR(A403="BR1",A403="BR2",A403="BR3",A403="BR5",A403="BR6",A403="BR7",A403="BR8",A403="BR9",A403="BR10",A403="BR11"),"Brown",IF(OR(A403="CR4",A403="CR5",A403="CR6",A403="CR11"),"Cane Run",IF(OR(A403="GH1",A403="GH2",A403="GH3",A403="GH4"),"Ghent",IF(OR(A403="GR3",A403="GR4"),"Green River",IF(OR(A403="MC1",A403="MC2",A403="MC3",A403="MC4"),"Mill Creek",IF(OR(A403="TC1",A403="TC2",A403="TC5",A403="TC6",A403="TC7",A403="TC8",A403="TC9",A403="TC10"),"Trimble",IF(A403="TY3","Tyrone",IF(OR(A403="HA1",A403="HA2",A403="HA3"),"Haeflin",IF(OR(A403="PR11",A403="PR12",A403="PR13"),"Paddy's Run","Zorn")))))))))</f>
        <v>Brown</v>
      </c>
      <c r="M403" s="105" t="str">
        <f t="shared" ref="M403:M465" si="81">IF(OR(B403="D1",B403="D2",B403="D3",B403="D4",B403="PD"),"Derate",IF(OR(B403="SF",B403="U1",B403="U2",B403="U3"),"Outage",IF(OR(B403="ME",B403="MO"),"Maintenance","Other")))</f>
        <v>Other</v>
      </c>
      <c r="N403" s="105" t="str">
        <f t="shared" ref="N403:N465" si="82">IF(OR(A403="BR1",A403="BR2",A403="BR3",A403="CR4",A403="CR5",A403="CR6",A403="GH1",A403="GH2",A403="GH3",A403="GH4",A403="GR3",A403="GR4",A403="MC1",A403="MC2",A403="MC3",A403="MC4",A403="TC1",A403="TC2",A403="TY3"),"Coal","Gas")</f>
        <v>Coal</v>
      </c>
      <c r="O403" s="105">
        <f>IFERROR(VLOOKUP(A403,Lookup!$J$5:$P$19,7,FALSE),0)</f>
        <v>2</v>
      </c>
      <c r="P403" s="159">
        <f t="shared" ref="P403:P465" si="83">YEAR(E403)</f>
        <v>2017</v>
      </c>
      <c r="Q403" s="159">
        <f t="shared" ref="Q403:Q465" si="84">MONTH(E403)</f>
        <v>3</v>
      </c>
      <c r="R403" s="160">
        <f t="shared" ref="R403:R465" si="85">(F403-E403)*24</f>
        <v>5.0000000000582077</v>
      </c>
      <c r="S403" s="158">
        <f t="shared" ref="S403:S465" si="86">R403*(H403-G403)/H403</f>
        <v>5.0000000000582077</v>
      </c>
      <c r="T403" s="161">
        <f t="shared" ref="T403:T465" si="87">S403*I403</f>
        <v>835.00000000972068</v>
      </c>
      <c r="U403" s="158">
        <f t="shared" si="79"/>
        <v>167</v>
      </c>
      <c r="V403" s="160">
        <f t="shared" ref="V403:V465" si="88">ROUND(U403,0)</f>
        <v>167</v>
      </c>
    </row>
    <row r="404" spans="1:22" x14ac:dyDescent="0.25">
      <c r="A404" s="98" t="s">
        <v>22</v>
      </c>
      <c r="B404" s="98" t="s">
        <v>79</v>
      </c>
      <c r="C404" s="98">
        <v>9</v>
      </c>
      <c r="D404" s="98">
        <v>8700</v>
      </c>
      <c r="E404" s="157">
        <v>42808.125</v>
      </c>
      <c r="F404" s="157">
        <v>42808.385416666664</v>
      </c>
      <c r="G404" s="98">
        <v>0</v>
      </c>
      <c r="H404" s="98">
        <v>179</v>
      </c>
      <c r="I404" s="98">
        <v>167</v>
      </c>
      <c r="J404" s="98" t="s">
        <v>1987</v>
      </c>
      <c r="K404" s="98" t="s">
        <v>4009</v>
      </c>
      <c r="L404" s="105" t="str">
        <f t="shared" si="80"/>
        <v>Brown</v>
      </c>
      <c r="M404" s="105" t="str">
        <f t="shared" si="81"/>
        <v>Other</v>
      </c>
      <c r="N404" s="105" t="str">
        <f t="shared" si="82"/>
        <v>Coal</v>
      </c>
      <c r="O404" s="105">
        <f>IFERROR(VLOOKUP(A404,Lookup!$J$5:$P$19,7,FALSE),0)</f>
        <v>2</v>
      </c>
      <c r="P404" s="159">
        <f t="shared" si="83"/>
        <v>2017</v>
      </c>
      <c r="Q404" s="159">
        <f t="shared" si="84"/>
        <v>3</v>
      </c>
      <c r="R404" s="160">
        <f t="shared" si="85"/>
        <v>6.2499999999417923</v>
      </c>
      <c r="S404" s="158">
        <f t="shared" si="86"/>
        <v>6.2499999999417923</v>
      </c>
      <c r="T404" s="161">
        <f t="shared" si="87"/>
        <v>1043.7499999902793</v>
      </c>
      <c r="U404" s="158">
        <f t="shared" ref="U404:U466" si="89">IF(G404&gt;0,MAX((H404-G404),0)*I404/H404,I404)</f>
        <v>167</v>
      </c>
      <c r="V404" s="160">
        <f t="shared" si="88"/>
        <v>167</v>
      </c>
    </row>
    <row r="405" spans="1:22" x14ac:dyDescent="0.25">
      <c r="A405" s="98" t="s">
        <v>22</v>
      </c>
      <c r="B405" s="98" t="s">
        <v>38</v>
      </c>
      <c r="C405" s="98">
        <v>10</v>
      </c>
      <c r="D405" s="98">
        <v>1801</v>
      </c>
      <c r="E405" s="157">
        <v>42817.996527777781</v>
      </c>
      <c r="F405" s="157">
        <v>42834.055555555555</v>
      </c>
      <c r="G405" s="98">
        <v>0</v>
      </c>
      <c r="H405" s="98">
        <v>179</v>
      </c>
      <c r="I405" s="98">
        <v>167</v>
      </c>
      <c r="J405" s="98" t="s">
        <v>2021</v>
      </c>
      <c r="K405" s="98" t="s">
        <v>4010</v>
      </c>
      <c r="L405" s="105" t="str">
        <f t="shared" si="80"/>
        <v>Brown</v>
      </c>
      <c r="M405" s="105" t="str">
        <f t="shared" si="81"/>
        <v>Other</v>
      </c>
      <c r="N405" s="105" t="str">
        <f t="shared" si="82"/>
        <v>Coal</v>
      </c>
      <c r="O405" s="105">
        <f>IFERROR(VLOOKUP(A405,Lookup!$J$5:$P$19,7,FALSE),0)</f>
        <v>2</v>
      </c>
      <c r="P405" s="159">
        <f t="shared" si="83"/>
        <v>2017</v>
      </c>
      <c r="Q405" s="159">
        <f t="shared" si="84"/>
        <v>3</v>
      </c>
      <c r="R405" s="160">
        <f t="shared" si="85"/>
        <v>385.41666666656965</v>
      </c>
      <c r="S405" s="158">
        <f t="shared" si="86"/>
        <v>385.41666666656965</v>
      </c>
      <c r="T405" s="161">
        <f t="shared" si="87"/>
        <v>64364.583333317132</v>
      </c>
      <c r="U405" s="158">
        <f t="shared" si="89"/>
        <v>167</v>
      </c>
      <c r="V405" s="160">
        <f t="shared" si="88"/>
        <v>167</v>
      </c>
    </row>
    <row r="406" spans="1:22" x14ac:dyDescent="0.25">
      <c r="A406" s="98" t="s">
        <v>22</v>
      </c>
      <c r="B406" s="98" t="s">
        <v>17</v>
      </c>
      <c r="C406" s="98">
        <v>12</v>
      </c>
      <c r="D406" s="98">
        <v>3410</v>
      </c>
      <c r="E406" s="157">
        <v>42834.166666666664</v>
      </c>
      <c r="F406" s="157">
        <v>42835.145833333336</v>
      </c>
      <c r="G406" s="98">
        <v>110</v>
      </c>
      <c r="H406" s="98">
        <v>179</v>
      </c>
      <c r="I406" s="98">
        <v>167</v>
      </c>
      <c r="J406" s="98" t="s">
        <v>1983</v>
      </c>
      <c r="K406" s="98" t="s">
        <v>4011</v>
      </c>
      <c r="L406" s="105" t="str">
        <f t="shared" si="80"/>
        <v>Brown</v>
      </c>
      <c r="M406" s="105" t="str">
        <f t="shared" si="81"/>
        <v>Derate</v>
      </c>
      <c r="N406" s="105" t="str">
        <f t="shared" si="82"/>
        <v>Coal</v>
      </c>
      <c r="O406" s="105">
        <f>IFERROR(VLOOKUP(A406,Lookup!$J$5:$P$19,7,FALSE),0)</f>
        <v>2</v>
      </c>
      <c r="P406" s="159">
        <f t="shared" si="83"/>
        <v>2017</v>
      </c>
      <c r="Q406" s="159">
        <f t="shared" si="84"/>
        <v>4</v>
      </c>
      <c r="R406" s="160">
        <f t="shared" si="85"/>
        <v>23.500000000116415</v>
      </c>
      <c r="S406" s="158">
        <f t="shared" si="86"/>
        <v>9.0586592179219707</v>
      </c>
      <c r="T406" s="161">
        <f t="shared" si="87"/>
        <v>1512.7960893929692</v>
      </c>
      <c r="U406" s="158">
        <f t="shared" si="89"/>
        <v>64.374301675977648</v>
      </c>
      <c r="V406" s="160">
        <f t="shared" si="88"/>
        <v>64</v>
      </c>
    </row>
    <row r="407" spans="1:22" x14ac:dyDescent="0.25">
      <c r="A407" s="98" t="s">
        <v>22</v>
      </c>
      <c r="B407" s="98" t="s">
        <v>17</v>
      </c>
      <c r="C407" s="98">
        <v>13</v>
      </c>
      <c r="D407" s="98">
        <v>3410</v>
      </c>
      <c r="E407" s="157">
        <v>42834.818055555559</v>
      </c>
      <c r="F407" s="157">
        <v>42835.145833333336</v>
      </c>
      <c r="G407" s="98">
        <v>90</v>
      </c>
      <c r="H407" s="98">
        <v>179</v>
      </c>
      <c r="I407" s="98">
        <v>167</v>
      </c>
      <c r="J407" s="98" t="s">
        <v>1983</v>
      </c>
      <c r="K407" s="98" t="s">
        <v>4012</v>
      </c>
      <c r="L407" s="105" t="str">
        <f t="shared" si="80"/>
        <v>Brown</v>
      </c>
      <c r="M407" s="105" t="str">
        <f t="shared" si="81"/>
        <v>Derate</v>
      </c>
      <c r="N407" s="105" t="str">
        <f t="shared" si="82"/>
        <v>Coal</v>
      </c>
      <c r="O407" s="105">
        <f>IFERROR(VLOOKUP(A407,Lookup!$J$5:$P$19,7,FALSE),0)</f>
        <v>2</v>
      </c>
      <c r="P407" s="159">
        <f t="shared" si="83"/>
        <v>2017</v>
      </c>
      <c r="Q407" s="159">
        <f t="shared" si="84"/>
        <v>4</v>
      </c>
      <c r="R407" s="160">
        <f t="shared" si="85"/>
        <v>7.8666666666395031</v>
      </c>
      <c r="S407" s="158">
        <f t="shared" si="86"/>
        <v>3.9113594040833282</v>
      </c>
      <c r="T407" s="161">
        <f t="shared" si="87"/>
        <v>653.19702048191584</v>
      </c>
      <c r="U407" s="158">
        <f t="shared" si="89"/>
        <v>83.033519553072622</v>
      </c>
      <c r="V407" s="160">
        <f t="shared" si="88"/>
        <v>83</v>
      </c>
    </row>
    <row r="408" spans="1:22" x14ac:dyDescent="0.25">
      <c r="A408" s="98" t="s">
        <v>22</v>
      </c>
      <c r="B408" s="98" t="s">
        <v>32</v>
      </c>
      <c r="C408" s="98">
        <v>14</v>
      </c>
      <c r="D408" s="98">
        <v>1980</v>
      </c>
      <c r="E408" s="157">
        <v>42836.881944444445</v>
      </c>
      <c r="F408" s="157">
        <v>42836.930555555555</v>
      </c>
      <c r="G408" s="98">
        <v>120</v>
      </c>
      <c r="H408" s="98">
        <v>179</v>
      </c>
      <c r="I408" s="98">
        <v>167</v>
      </c>
      <c r="J408" s="98" t="s">
        <v>2126</v>
      </c>
      <c r="K408" s="98" t="s">
        <v>4013</v>
      </c>
      <c r="L408" s="105" t="str">
        <f t="shared" si="80"/>
        <v>Brown</v>
      </c>
      <c r="M408" s="105" t="str">
        <f t="shared" si="81"/>
        <v>Derate</v>
      </c>
      <c r="N408" s="105" t="str">
        <f t="shared" si="82"/>
        <v>Coal</v>
      </c>
      <c r="O408" s="105">
        <f>IFERROR(VLOOKUP(A408,Lookup!$J$5:$P$19,7,FALSE),0)</f>
        <v>2</v>
      </c>
      <c r="P408" s="159">
        <f t="shared" si="83"/>
        <v>2017</v>
      </c>
      <c r="Q408" s="159">
        <f t="shared" si="84"/>
        <v>4</v>
      </c>
      <c r="R408" s="160">
        <f t="shared" si="85"/>
        <v>1.1666666666278616</v>
      </c>
      <c r="S408" s="158">
        <f t="shared" si="86"/>
        <v>0.38454376162594317</v>
      </c>
      <c r="T408" s="161">
        <f t="shared" si="87"/>
        <v>64.218808191532503</v>
      </c>
      <c r="U408" s="158">
        <f t="shared" si="89"/>
        <v>55.044692737430168</v>
      </c>
      <c r="V408" s="160">
        <f t="shared" si="88"/>
        <v>55</v>
      </c>
    </row>
    <row r="409" spans="1:22" x14ac:dyDescent="0.25">
      <c r="A409" s="98" t="s">
        <v>22</v>
      </c>
      <c r="B409" s="98" t="s">
        <v>32</v>
      </c>
      <c r="C409" s="98">
        <v>15</v>
      </c>
      <c r="D409" s="98">
        <v>1980</v>
      </c>
      <c r="E409" s="157">
        <v>42836.930555555555</v>
      </c>
      <c r="F409" s="157">
        <v>42837.04583333333</v>
      </c>
      <c r="G409" s="98">
        <v>80</v>
      </c>
      <c r="H409" s="98">
        <v>179</v>
      </c>
      <c r="I409" s="98">
        <v>167</v>
      </c>
      <c r="J409" s="98" t="s">
        <v>2126</v>
      </c>
      <c r="K409" s="98" t="s">
        <v>4013</v>
      </c>
      <c r="L409" s="105" t="str">
        <f t="shared" si="80"/>
        <v>Brown</v>
      </c>
      <c r="M409" s="105" t="str">
        <f t="shared" si="81"/>
        <v>Derate</v>
      </c>
      <c r="N409" s="105" t="str">
        <f t="shared" si="82"/>
        <v>Coal</v>
      </c>
      <c r="O409" s="105">
        <f>IFERROR(VLOOKUP(A409,Lookup!$J$5:$P$19,7,FALSE),0)</f>
        <v>2</v>
      </c>
      <c r="P409" s="159">
        <f t="shared" si="83"/>
        <v>2017</v>
      </c>
      <c r="Q409" s="159">
        <f t="shared" si="84"/>
        <v>4</v>
      </c>
      <c r="R409" s="160">
        <f t="shared" si="85"/>
        <v>2.7666666666045785</v>
      </c>
      <c r="S409" s="158">
        <f t="shared" si="86"/>
        <v>1.5301675977310238</v>
      </c>
      <c r="T409" s="161">
        <f t="shared" si="87"/>
        <v>255.53798882108097</v>
      </c>
      <c r="U409" s="158">
        <f t="shared" si="89"/>
        <v>92.363128491620117</v>
      </c>
      <c r="V409" s="160">
        <f t="shared" si="88"/>
        <v>92</v>
      </c>
    </row>
    <row r="410" spans="1:22" x14ac:dyDescent="0.25">
      <c r="A410" s="98" t="s">
        <v>22</v>
      </c>
      <c r="B410" s="98" t="s">
        <v>15</v>
      </c>
      <c r="C410" s="98">
        <v>17</v>
      </c>
      <c r="D410" s="98">
        <v>1090</v>
      </c>
      <c r="E410" s="157">
        <v>42888.434027777781</v>
      </c>
      <c r="F410" s="157">
        <v>42889.445833333331</v>
      </c>
      <c r="G410" s="98">
        <v>0</v>
      </c>
      <c r="H410" s="98">
        <v>179</v>
      </c>
      <c r="I410" s="98">
        <v>167</v>
      </c>
      <c r="J410" s="98" t="s">
        <v>2096</v>
      </c>
      <c r="K410" s="98" t="s">
        <v>4014</v>
      </c>
      <c r="L410" s="105" t="str">
        <f t="shared" si="80"/>
        <v>Brown</v>
      </c>
      <c r="M410" s="105" t="str">
        <f t="shared" si="81"/>
        <v>Outage</v>
      </c>
      <c r="N410" s="105" t="str">
        <f t="shared" si="82"/>
        <v>Coal</v>
      </c>
      <c r="O410" s="105">
        <f>IFERROR(VLOOKUP(A410,Lookup!$J$5:$P$19,7,FALSE),0)</f>
        <v>2</v>
      </c>
      <c r="P410" s="159">
        <f t="shared" si="83"/>
        <v>2017</v>
      </c>
      <c r="Q410" s="159">
        <f t="shared" si="84"/>
        <v>6</v>
      </c>
      <c r="R410" s="160">
        <f t="shared" si="85"/>
        <v>24.283333333209157</v>
      </c>
      <c r="S410" s="158">
        <f t="shared" si="86"/>
        <v>24.283333333209157</v>
      </c>
      <c r="T410" s="161">
        <f t="shared" si="87"/>
        <v>4055.3166666459292</v>
      </c>
      <c r="U410" s="158">
        <f t="shared" si="89"/>
        <v>167</v>
      </c>
      <c r="V410" s="160">
        <f t="shared" si="88"/>
        <v>167</v>
      </c>
    </row>
    <row r="411" spans="1:22" x14ac:dyDescent="0.25">
      <c r="A411" s="98" t="s">
        <v>22</v>
      </c>
      <c r="B411" s="98" t="s">
        <v>79</v>
      </c>
      <c r="C411" s="98">
        <v>19</v>
      </c>
      <c r="D411" s="98">
        <v>9999</v>
      </c>
      <c r="E411" s="157">
        <v>42900.993055555555</v>
      </c>
      <c r="F411" s="157">
        <v>42901.042361111111</v>
      </c>
      <c r="G411" s="98">
        <v>0</v>
      </c>
      <c r="H411" s="98">
        <v>179</v>
      </c>
      <c r="I411" s="98">
        <v>167</v>
      </c>
      <c r="J411" s="98" t="s">
        <v>2261</v>
      </c>
      <c r="K411" s="98" t="s">
        <v>4015</v>
      </c>
      <c r="L411" s="105" t="str">
        <f t="shared" si="80"/>
        <v>Brown</v>
      </c>
      <c r="M411" s="105" t="str">
        <f t="shared" si="81"/>
        <v>Other</v>
      </c>
      <c r="N411" s="105" t="str">
        <f t="shared" si="82"/>
        <v>Coal</v>
      </c>
      <c r="O411" s="105">
        <f>IFERROR(VLOOKUP(A411,Lookup!$J$5:$P$19,7,FALSE),0)</f>
        <v>2</v>
      </c>
      <c r="P411" s="159">
        <f t="shared" si="83"/>
        <v>2017</v>
      </c>
      <c r="Q411" s="159">
        <f t="shared" si="84"/>
        <v>6</v>
      </c>
      <c r="R411" s="160">
        <f t="shared" si="85"/>
        <v>1.1833333333488554</v>
      </c>
      <c r="S411" s="158">
        <f t="shared" si="86"/>
        <v>1.1833333333488554</v>
      </c>
      <c r="T411" s="161">
        <f t="shared" si="87"/>
        <v>197.61666666925885</v>
      </c>
      <c r="U411" s="158">
        <f t="shared" si="89"/>
        <v>167</v>
      </c>
      <c r="V411" s="160">
        <f t="shared" si="88"/>
        <v>167</v>
      </c>
    </row>
    <row r="412" spans="1:22" x14ac:dyDescent="0.25">
      <c r="A412" s="98" t="s">
        <v>22</v>
      </c>
      <c r="B412" s="98" t="s">
        <v>17</v>
      </c>
      <c r="C412" s="98">
        <v>20</v>
      </c>
      <c r="D412" s="98">
        <v>250</v>
      </c>
      <c r="E412" s="157">
        <v>42908.613194444442</v>
      </c>
      <c r="F412" s="157">
        <v>42908.65347222222</v>
      </c>
      <c r="G412" s="98">
        <v>140</v>
      </c>
      <c r="H412" s="98">
        <v>179</v>
      </c>
      <c r="I412" s="98">
        <v>167</v>
      </c>
      <c r="J412" s="98" t="s">
        <v>1978</v>
      </c>
      <c r="K412" s="98" t="s">
        <v>4016</v>
      </c>
      <c r="L412" s="105" t="str">
        <f t="shared" si="80"/>
        <v>Brown</v>
      </c>
      <c r="M412" s="105" t="str">
        <f t="shared" si="81"/>
        <v>Derate</v>
      </c>
      <c r="N412" s="105" t="str">
        <f t="shared" si="82"/>
        <v>Coal</v>
      </c>
      <c r="O412" s="105">
        <f>IFERROR(VLOOKUP(A412,Lookup!$J$5:$P$19,7,FALSE),0)</f>
        <v>2</v>
      </c>
      <c r="P412" s="159">
        <f t="shared" si="83"/>
        <v>2017</v>
      </c>
      <c r="Q412" s="159">
        <f t="shared" si="84"/>
        <v>6</v>
      </c>
      <c r="R412" s="160">
        <f t="shared" si="85"/>
        <v>0.96666666667442769</v>
      </c>
      <c r="S412" s="158">
        <f t="shared" si="86"/>
        <v>0.21061452514135576</v>
      </c>
      <c r="T412" s="161">
        <f t="shared" si="87"/>
        <v>35.17262569860641</v>
      </c>
      <c r="U412" s="158">
        <f t="shared" si="89"/>
        <v>36.385474860335194</v>
      </c>
      <c r="V412" s="160">
        <f t="shared" si="88"/>
        <v>36</v>
      </c>
    </row>
    <row r="413" spans="1:22" x14ac:dyDescent="0.25">
      <c r="A413" s="98" t="s">
        <v>22</v>
      </c>
      <c r="B413" s="98" t="s">
        <v>20</v>
      </c>
      <c r="C413" s="98">
        <v>23</v>
      </c>
      <c r="D413" s="98">
        <v>3110</v>
      </c>
      <c r="E413" s="157">
        <v>42956.25</v>
      </c>
      <c r="F413" s="157">
        <v>42956.730555555558</v>
      </c>
      <c r="G413" s="98">
        <v>0</v>
      </c>
      <c r="H413" s="98">
        <v>179</v>
      </c>
      <c r="I413" s="98">
        <v>167</v>
      </c>
      <c r="J413" s="98" t="s">
        <v>2119</v>
      </c>
      <c r="K413" s="98" t="s">
        <v>4579</v>
      </c>
      <c r="L413" s="105" t="str">
        <f t="shared" si="80"/>
        <v>Brown</v>
      </c>
      <c r="M413" s="105" t="str">
        <f t="shared" si="81"/>
        <v>Maintenance</v>
      </c>
      <c r="N413" s="105" t="str">
        <f t="shared" si="82"/>
        <v>Coal</v>
      </c>
      <c r="O413" s="105">
        <f>IFERROR(VLOOKUP(A413,Lookup!$J$5:$P$19,7,FALSE),0)</f>
        <v>2</v>
      </c>
      <c r="P413" s="159">
        <f t="shared" si="83"/>
        <v>2017</v>
      </c>
      <c r="Q413" s="159">
        <f t="shared" si="84"/>
        <v>8</v>
      </c>
      <c r="R413" s="160">
        <f t="shared" si="85"/>
        <v>11.53333333338378</v>
      </c>
      <c r="S413" s="158">
        <f t="shared" si="86"/>
        <v>11.53333333338378</v>
      </c>
      <c r="T413" s="161">
        <f t="shared" si="87"/>
        <v>1926.0666666750913</v>
      </c>
      <c r="U413" s="158">
        <f t="shared" si="89"/>
        <v>167</v>
      </c>
      <c r="V413" s="160">
        <f t="shared" si="88"/>
        <v>167</v>
      </c>
    </row>
    <row r="414" spans="1:22" x14ac:dyDescent="0.25">
      <c r="A414" s="98" t="s">
        <v>22</v>
      </c>
      <c r="B414" s="98" t="s">
        <v>15</v>
      </c>
      <c r="C414" s="98">
        <v>26</v>
      </c>
      <c r="D414" s="98">
        <v>3612</v>
      </c>
      <c r="E414" s="157">
        <v>42986.35833333333</v>
      </c>
      <c r="F414" s="157">
        <v>42986.581250000003</v>
      </c>
      <c r="G414" s="98">
        <v>0</v>
      </c>
      <c r="H414" s="98">
        <v>179</v>
      </c>
      <c r="I414" s="98">
        <v>167</v>
      </c>
      <c r="J414" s="98" t="s">
        <v>2239</v>
      </c>
      <c r="K414" s="98" t="s">
        <v>4580</v>
      </c>
      <c r="L414" s="105" t="str">
        <f t="shared" si="80"/>
        <v>Brown</v>
      </c>
      <c r="M414" s="105" t="str">
        <f t="shared" si="81"/>
        <v>Outage</v>
      </c>
      <c r="N414" s="105" t="str">
        <f t="shared" si="82"/>
        <v>Coal</v>
      </c>
      <c r="O414" s="105">
        <f>IFERROR(VLOOKUP(A414,Lookup!$J$5:$P$19,7,FALSE),0)</f>
        <v>2</v>
      </c>
      <c r="P414" s="159">
        <f t="shared" si="83"/>
        <v>2017</v>
      </c>
      <c r="Q414" s="159">
        <f t="shared" si="84"/>
        <v>9</v>
      </c>
      <c r="R414" s="160">
        <f t="shared" si="85"/>
        <v>5.3500000001513399</v>
      </c>
      <c r="S414" s="158">
        <f t="shared" si="86"/>
        <v>5.3500000001513399</v>
      </c>
      <c r="T414" s="161">
        <f t="shared" si="87"/>
        <v>893.45000002527377</v>
      </c>
      <c r="U414" s="158">
        <f t="shared" si="89"/>
        <v>167</v>
      </c>
      <c r="V414" s="160">
        <f t="shared" si="88"/>
        <v>167</v>
      </c>
    </row>
    <row r="415" spans="1:22" x14ac:dyDescent="0.25">
      <c r="A415" s="98" t="s">
        <v>22</v>
      </c>
      <c r="B415" s="98" t="s">
        <v>17</v>
      </c>
      <c r="C415" s="98">
        <v>28</v>
      </c>
      <c r="D415" s="98">
        <v>3210</v>
      </c>
      <c r="E415" s="157">
        <v>43031.759027777778</v>
      </c>
      <c r="F415" s="157">
        <v>43031.772222222222</v>
      </c>
      <c r="G415" s="98">
        <v>80</v>
      </c>
      <c r="H415" s="98">
        <v>179</v>
      </c>
      <c r="I415" s="98">
        <v>167</v>
      </c>
      <c r="J415" s="98" t="s">
        <v>2048</v>
      </c>
      <c r="K415" s="98" t="s">
        <v>4581</v>
      </c>
      <c r="L415" s="105" t="str">
        <f t="shared" si="80"/>
        <v>Brown</v>
      </c>
      <c r="M415" s="105" t="str">
        <f t="shared" si="81"/>
        <v>Derate</v>
      </c>
      <c r="N415" s="105" t="str">
        <f t="shared" si="82"/>
        <v>Coal</v>
      </c>
      <c r="O415" s="105">
        <f>IFERROR(VLOOKUP(A415,Lookup!$J$5:$P$19,7,FALSE),0)</f>
        <v>2</v>
      </c>
      <c r="P415" s="159">
        <f t="shared" si="83"/>
        <v>2017</v>
      </c>
      <c r="Q415" s="159">
        <f t="shared" si="84"/>
        <v>10</v>
      </c>
      <c r="R415" s="160">
        <f t="shared" si="85"/>
        <v>0.31666666665114462</v>
      </c>
      <c r="S415" s="158">
        <f t="shared" si="86"/>
        <v>0.17513966479588447</v>
      </c>
      <c r="T415" s="161">
        <f t="shared" si="87"/>
        <v>29.248324020912708</v>
      </c>
      <c r="U415" s="158">
        <f t="shared" si="89"/>
        <v>92.363128491620117</v>
      </c>
      <c r="V415" s="160">
        <f t="shared" si="88"/>
        <v>92</v>
      </c>
    </row>
    <row r="416" spans="1:22" x14ac:dyDescent="0.25">
      <c r="A416" s="98" t="s">
        <v>22</v>
      </c>
      <c r="B416" s="98" t="s">
        <v>17</v>
      </c>
      <c r="C416" s="98">
        <v>30</v>
      </c>
      <c r="D416" s="98">
        <v>3411</v>
      </c>
      <c r="E416" s="157">
        <v>43098.356249999997</v>
      </c>
      <c r="F416" s="157">
        <v>43098.361805555556</v>
      </c>
      <c r="G416" s="98">
        <v>110</v>
      </c>
      <c r="H416" s="98">
        <v>179</v>
      </c>
      <c r="I416" s="98">
        <v>167</v>
      </c>
      <c r="J416" s="98" t="s">
        <v>2041</v>
      </c>
      <c r="K416" s="98" t="s">
        <v>4582</v>
      </c>
      <c r="L416" s="105" t="str">
        <f t="shared" si="80"/>
        <v>Brown</v>
      </c>
      <c r="M416" s="105" t="str">
        <f t="shared" si="81"/>
        <v>Derate</v>
      </c>
      <c r="N416" s="105" t="str">
        <f t="shared" si="82"/>
        <v>Coal</v>
      </c>
      <c r="O416" s="105">
        <f>IFERROR(VLOOKUP(A416,Lookup!$J$5:$P$19,7,FALSE),0)</f>
        <v>2</v>
      </c>
      <c r="P416" s="159">
        <f t="shared" si="83"/>
        <v>2017</v>
      </c>
      <c r="Q416" s="159">
        <f t="shared" si="84"/>
        <v>12</v>
      </c>
      <c r="R416" s="160">
        <f t="shared" si="85"/>
        <v>0.13333333341870457</v>
      </c>
      <c r="S416" s="158">
        <f t="shared" si="86"/>
        <v>5.1396648077601199E-2</v>
      </c>
      <c r="T416" s="161">
        <f t="shared" si="87"/>
        <v>8.5832402289594008</v>
      </c>
      <c r="U416" s="158">
        <f t="shared" si="89"/>
        <v>64.374301675977648</v>
      </c>
      <c r="V416" s="160">
        <f t="shared" si="88"/>
        <v>64</v>
      </c>
    </row>
    <row r="417" spans="1:22" x14ac:dyDescent="0.25">
      <c r="A417" s="98" t="s">
        <v>22</v>
      </c>
      <c r="B417" s="98" t="s">
        <v>17</v>
      </c>
      <c r="C417" s="98">
        <v>1</v>
      </c>
      <c r="D417" s="98">
        <v>1710</v>
      </c>
      <c r="E417" s="157">
        <v>43102.083333333336</v>
      </c>
      <c r="F417" s="157">
        <v>43102.131944444445</v>
      </c>
      <c r="G417" s="98">
        <v>10</v>
      </c>
      <c r="H417" s="98">
        <v>179</v>
      </c>
      <c r="I417" s="98">
        <v>167</v>
      </c>
      <c r="J417" s="98" t="s">
        <v>2020</v>
      </c>
      <c r="K417" s="98" t="s">
        <v>4583</v>
      </c>
      <c r="L417" s="105" t="str">
        <f t="shared" si="80"/>
        <v>Brown</v>
      </c>
      <c r="M417" s="105" t="str">
        <f t="shared" si="81"/>
        <v>Derate</v>
      </c>
      <c r="N417" s="105" t="str">
        <f t="shared" si="82"/>
        <v>Coal</v>
      </c>
      <c r="O417" s="105">
        <f>IFERROR(VLOOKUP(A417,Lookup!$J$5:$P$19,7,FALSE),0)</f>
        <v>2</v>
      </c>
      <c r="P417" s="159">
        <f t="shared" si="83"/>
        <v>2018</v>
      </c>
      <c r="Q417" s="159">
        <f t="shared" si="84"/>
        <v>1</v>
      </c>
      <c r="R417" s="160">
        <f t="shared" si="85"/>
        <v>1.1666666666278616</v>
      </c>
      <c r="S417" s="158">
        <f t="shared" si="86"/>
        <v>1.1014897578777016</v>
      </c>
      <c r="T417" s="161">
        <f t="shared" si="87"/>
        <v>183.94878956557616</v>
      </c>
      <c r="U417" s="158">
        <f t="shared" si="89"/>
        <v>157.67039106145251</v>
      </c>
      <c r="V417" s="160">
        <f t="shared" si="88"/>
        <v>158</v>
      </c>
    </row>
    <row r="418" spans="1:22" x14ac:dyDescent="0.25">
      <c r="A418" s="98" t="s">
        <v>22</v>
      </c>
      <c r="B418" s="98" t="s">
        <v>17</v>
      </c>
      <c r="C418" s="98">
        <v>2</v>
      </c>
      <c r="D418" s="98">
        <v>1710</v>
      </c>
      <c r="E418" s="157">
        <v>43102.154861111114</v>
      </c>
      <c r="F418" s="157">
        <v>43102.341666666667</v>
      </c>
      <c r="G418" s="98">
        <v>10</v>
      </c>
      <c r="H418" s="98">
        <v>179</v>
      </c>
      <c r="I418" s="98">
        <v>167</v>
      </c>
      <c r="J418" s="98" t="s">
        <v>2020</v>
      </c>
      <c r="K418" s="98" t="s">
        <v>4583</v>
      </c>
      <c r="L418" s="105" t="str">
        <f t="shared" si="80"/>
        <v>Brown</v>
      </c>
      <c r="M418" s="105" t="str">
        <f t="shared" si="81"/>
        <v>Derate</v>
      </c>
      <c r="N418" s="105" t="str">
        <f t="shared" si="82"/>
        <v>Coal</v>
      </c>
      <c r="O418" s="105">
        <f>IFERROR(VLOOKUP(A418,Lookup!$J$5:$P$19,7,FALSE),0)</f>
        <v>2</v>
      </c>
      <c r="P418" s="159">
        <f t="shared" si="83"/>
        <v>2018</v>
      </c>
      <c r="Q418" s="159">
        <f t="shared" si="84"/>
        <v>1</v>
      </c>
      <c r="R418" s="160">
        <f t="shared" si="85"/>
        <v>4.4833333332790062</v>
      </c>
      <c r="S418" s="158">
        <f t="shared" si="86"/>
        <v>4.23286778393381</v>
      </c>
      <c r="T418" s="161">
        <f t="shared" si="87"/>
        <v>706.88891991694629</v>
      </c>
      <c r="U418" s="158">
        <f t="shared" si="89"/>
        <v>157.67039106145251</v>
      </c>
      <c r="V418" s="160">
        <f t="shared" si="88"/>
        <v>158</v>
      </c>
    </row>
    <row r="419" spans="1:22" x14ac:dyDescent="0.25">
      <c r="A419" s="98" t="s">
        <v>22</v>
      </c>
      <c r="B419" s="98" t="s">
        <v>17</v>
      </c>
      <c r="C419" s="98">
        <v>3</v>
      </c>
      <c r="D419" s="98">
        <v>1710</v>
      </c>
      <c r="E419" s="157">
        <v>43102.395833333336</v>
      </c>
      <c r="F419" s="157">
        <v>43102.510416666664</v>
      </c>
      <c r="G419" s="98">
        <v>10</v>
      </c>
      <c r="H419" s="98">
        <v>179</v>
      </c>
      <c r="I419" s="98">
        <v>167</v>
      </c>
      <c r="J419" s="98" t="s">
        <v>2020</v>
      </c>
      <c r="K419" s="98" t="s">
        <v>4583</v>
      </c>
      <c r="L419" s="105" t="str">
        <f t="shared" si="80"/>
        <v>Brown</v>
      </c>
      <c r="M419" s="105" t="str">
        <f t="shared" si="81"/>
        <v>Derate</v>
      </c>
      <c r="N419" s="105" t="str">
        <f t="shared" si="82"/>
        <v>Coal</v>
      </c>
      <c r="O419" s="105">
        <f>IFERROR(VLOOKUP(A419,Lookup!$J$5:$P$19,7,FALSE),0)</f>
        <v>2</v>
      </c>
      <c r="P419" s="159">
        <f t="shared" si="83"/>
        <v>2018</v>
      </c>
      <c r="Q419" s="159">
        <f t="shared" si="84"/>
        <v>1</v>
      </c>
      <c r="R419" s="160">
        <f t="shared" si="85"/>
        <v>2.7499999998835847</v>
      </c>
      <c r="S419" s="158">
        <f t="shared" si="86"/>
        <v>2.5963687149738872</v>
      </c>
      <c r="T419" s="161">
        <f t="shared" si="87"/>
        <v>433.59357540063917</v>
      </c>
      <c r="U419" s="158">
        <f t="shared" si="89"/>
        <v>157.67039106145251</v>
      </c>
      <c r="V419" s="160">
        <f t="shared" si="88"/>
        <v>158</v>
      </c>
    </row>
    <row r="420" spans="1:22" x14ac:dyDescent="0.25">
      <c r="A420" s="98" t="s">
        <v>22</v>
      </c>
      <c r="B420" s="98" t="s">
        <v>79</v>
      </c>
      <c r="C420" s="98">
        <v>4</v>
      </c>
      <c r="D420" s="98">
        <v>920</v>
      </c>
      <c r="E420" s="157">
        <v>43104</v>
      </c>
      <c r="F420" s="157">
        <v>43104.125</v>
      </c>
      <c r="G420" s="98">
        <v>0</v>
      </c>
      <c r="H420" s="98">
        <v>179</v>
      </c>
      <c r="I420" s="98">
        <v>167</v>
      </c>
      <c r="J420" s="98" t="s">
        <v>1974</v>
      </c>
      <c r="K420" s="98" t="s">
        <v>4569</v>
      </c>
      <c r="L420" s="105" t="str">
        <f t="shared" si="80"/>
        <v>Brown</v>
      </c>
      <c r="M420" s="105" t="str">
        <f t="shared" si="81"/>
        <v>Other</v>
      </c>
      <c r="N420" s="105" t="str">
        <f t="shared" si="82"/>
        <v>Coal</v>
      </c>
      <c r="O420" s="105">
        <f>IFERROR(VLOOKUP(A420,Lookup!$J$5:$P$19,7,FALSE),0)</f>
        <v>2</v>
      </c>
      <c r="P420" s="159">
        <f t="shared" si="83"/>
        <v>2018</v>
      </c>
      <c r="Q420" s="159">
        <f t="shared" si="84"/>
        <v>1</v>
      </c>
      <c r="R420" s="160">
        <f t="shared" si="85"/>
        <v>3</v>
      </c>
      <c r="S420" s="158">
        <f t="shared" si="86"/>
        <v>3</v>
      </c>
      <c r="T420" s="161">
        <f t="shared" si="87"/>
        <v>501</v>
      </c>
      <c r="U420" s="158">
        <f t="shared" si="89"/>
        <v>167</v>
      </c>
      <c r="V420" s="160">
        <f t="shared" si="88"/>
        <v>167</v>
      </c>
    </row>
    <row r="421" spans="1:22" x14ac:dyDescent="0.25">
      <c r="A421" s="98" t="s">
        <v>22</v>
      </c>
      <c r="B421" s="98" t="s">
        <v>20</v>
      </c>
      <c r="C421" s="98">
        <v>5</v>
      </c>
      <c r="D421" s="98">
        <v>3621</v>
      </c>
      <c r="E421" s="157">
        <v>43121.030555555553</v>
      </c>
      <c r="F421" s="157">
        <v>43121.040277777778</v>
      </c>
      <c r="G421" s="98">
        <v>0</v>
      </c>
      <c r="H421" s="98">
        <v>179</v>
      </c>
      <c r="I421" s="98">
        <v>167</v>
      </c>
      <c r="J421" s="98" t="s">
        <v>1993</v>
      </c>
      <c r="K421" s="98" t="s">
        <v>4584</v>
      </c>
      <c r="L421" s="105" t="str">
        <f t="shared" si="80"/>
        <v>Brown</v>
      </c>
      <c r="M421" s="105" t="str">
        <f t="shared" si="81"/>
        <v>Maintenance</v>
      </c>
      <c r="N421" s="105" t="str">
        <f t="shared" si="82"/>
        <v>Coal</v>
      </c>
      <c r="O421" s="105">
        <f>IFERROR(VLOOKUP(A421,Lookup!$J$5:$P$19,7,FALSE),0)</f>
        <v>2</v>
      </c>
      <c r="P421" s="159">
        <f t="shared" si="83"/>
        <v>2018</v>
      </c>
      <c r="Q421" s="159">
        <f t="shared" si="84"/>
        <v>1</v>
      </c>
      <c r="R421" s="160">
        <f t="shared" si="85"/>
        <v>0.2333333333954215</v>
      </c>
      <c r="S421" s="158">
        <f t="shared" si="86"/>
        <v>0.2333333333954215</v>
      </c>
      <c r="T421" s="161">
        <f t="shared" si="87"/>
        <v>38.966666677035391</v>
      </c>
      <c r="U421" s="158">
        <f t="shared" si="89"/>
        <v>167</v>
      </c>
      <c r="V421" s="160">
        <f t="shared" si="88"/>
        <v>167</v>
      </c>
    </row>
    <row r="422" spans="1:22" x14ac:dyDescent="0.25">
      <c r="A422" s="98" t="s">
        <v>22</v>
      </c>
      <c r="B422" s="98" t="s">
        <v>32</v>
      </c>
      <c r="C422" s="98">
        <v>7</v>
      </c>
      <c r="D422" s="98">
        <v>310</v>
      </c>
      <c r="E422" s="157">
        <v>43165.083333333336</v>
      </c>
      <c r="F422" s="157">
        <v>43165.208333333336</v>
      </c>
      <c r="G422" s="98">
        <v>135</v>
      </c>
      <c r="H422" s="98">
        <v>179</v>
      </c>
      <c r="I422" s="98">
        <v>167</v>
      </c>
      <c r="J422" s="98" t="s">
        <v>1966</v>
      </c>
      <c r="K422" s="98" t="s">
        <v>4585</v>
      </c>
      <c r="L422" s="105" t="str">
        <f t="shared" si="80"/>
        <v>Brown</v>
      </c>
      <c r="M422" s="105" t="str">
        <f t="shared" si="81"/>
        <v>Derate</v>
      </c>
      <c r="N422" s="105" t="str">
        <f t="shared" si="82"/>
        <v>Coal</v>
      </c>
      <c r="O422" s="105">
        <f>IFERROR(VLOOKUP(A422,Lookup!$J$5:$P$19,7,FALSE),0)</f>
        <v>2</v>
      </c>
      <c r="P422" s="159">
        <f t="shared" si="83"/>
        <v>2018</v>
      </c>
      <c r="Q422" s="159">
        <f t="shared" si="84"/>
        <v>3</v>
      </c>
      <c r="R422" s="160">
        <f t="shared" si="85"/>
        <v>3</v>
      </c>
      <c r="S422" s="158">
        <f t="shared" si="86"/>
        <v>0.73743016759776536</v>
      </c>
      <c r="T422" s="161">
        <f t="shared" si="87"/>
        <v>123.15083798882682</v>
      </c>
      <c r="U422" s="158">
        <f t="shared" si="89"/>
        <v>41.050279329608941</v>
      </c>
      <c r="V422" s="160">
        <f t="shared" si="88"/>
        <v>41</v>
      </c>
    </row>
    <row r="423" spans="1:22" x14ac:dyDescent="0.25">
      <c r="A423" s="98" t="s">
        <v>22</v>
      </c>
      <c r="B423" s="98" t="s">
        <v>15</v>
      </c>
      <c r="C423" s="98">
        <v>8</v>
      </c>
      <c r="D423" s="98">
        <v>9650</v>
      </c>
      <c r="E423" s="157">
        <v>43171.332638888889</v>
      </c>
      <c r="F423" s="157">
        <v>43171.811111111114</v>
      </c>
      <c r="G423" s="98">
        <v>0</v>
      </c>
      <c r="H423" s="98">
        <v>179</v>
      </c>
      <c r="I423" s="98">
        <v>167</v>
      </c>
      <c r="J423" s="98" t="s">
        <v>2035</v>
      </c>
      <c r="K423" s="98" t="s">
        <v>4586</v>
      </c>
      <c r="L423" s="105" t="str">
        <f t="shared" si="80"/>
        <v>Brown</v>
      </c>
      <c r="M423" s="105" t="str">
        <f t="shared" si="81"/>
        <v>Outage</v>
      </c>
      <c r="N423" s="105" t="str">
        <f t="shared" si="82"/>
        <v>Coal</v>
      </c>
      <c r="O423" s="105">
        <f>IFERROR(VLOOKUP(A423,Lookup!$J$5:$P$19,7,FALSE),0)</f>
        <v>2</v>
      </c>
      <c r="P423" s="159">
        <f t="shared" si="83"/>
        <v>2018</v>
      </c>
      <c r="Q423" s="159">
        <f t="shared" si="84"/>
        <v>3</v>
      </c>
      <c r="R423" s="160">
        <f t="shared" si="85"/>
        <v>11.483333333395422</v>
      </c>
      <c r="S423" s="158">
        <f t="shared" si="86"/>
        <v>11.483333333395422</v>
      </c>
      <c r="T423" s="161">
        <f t="shared" si="87"/>
        <v>1917.7166666770354</v>
      </c>
      <c r="U423" s="158">
        <f t="shared" si="89"/>
        <v>167</v>
      </c>
      <c r="V423" s="160">
        <f t="shared" si="88"/>
        <v>167</v>
      </c>
    </row>
    <row r="424" spans="1:22" x14ac:dyDescent="0.25">
      <c r="A424" s="98" t="s">
        <v>22</v>
      </c>
      <c r="B424" s="98" t="s">
        <v>32</v>
      </c>
      <c r="C424" s="98">
        <v>9</v>
      </c>
      <c r="D424" s="98">
        <v>250</v>
      </c>
      <c r="E424" s="157">
        <v>43178.915972222225</v>
      </c>
      <c r="F424" s="157">
        <v>43178.990277777775</v>
      </c>
      <c r="G424" s="98">
        <v>59</v>
      </c>
      <c r="H424" s="98">
        <v>179</v>
      </c>
      <c r="I424" s="98">
        <v>167</v>
      </c>
      <c r="J424" s="98" t="s">
        <v>1978</v>
      </c>
      <c r="K424" s="98" t="s">
        <v>4587</v>
      </c>
      <c r="L424" s="105" t="str">
        <f t="shared" si="80"/>
        <v>Brown</v>
      </c>
      <c r="M424" s="105" t="str">
        <f t="shared" si="81"/>
        <v>Derate</v>
      </c>
      <c r="N424" s="105" t="str">
        <f t="shared" si="82"/>
        <v>Coal</v>
      </c>
      <c r="O424" s="105">
        <f>IFERROR(VLOOKUP(A424,Lookup!$J$5:$P$19,7,FALSE),0)</f>
        <v>2</v>
      </c>
      <c r="P424" s="159">
        <f t="shared" si="83"/>
        <v>2018</v>
      </c>
      <c r="Q424" s="159">
        <f t="shared" si="84"/>
        <v>3</v>
      </c>
      <c r="R424" s="160">
        <f t="shared" si="85"/>
        <v>1.783333333209157</v>
      </c>
      <c r="S424" s="158">
        <f t="shared" si="86"/>
        <v>1.1955307261737365</v>
      </c>
      <c r="T424" s="161">
        <f t="shared" si="87"/>
        <v>199.65363127101398</v>
      </c>
      <c r="U424" s="158">
        <f t="shared" si="89"/>
        <v>111.95530726256983</v>
      </c>
      <c r="V424" s="160">
        <f t="shared" si="88"/>
        <v>112</v>
      </c>
    </row>
    <row r="425" spans="1:22" x14ac:dyDescent="0.25">
      <c r="A425" s="98" t="s">
        <v>28</v>
      </c>
      <c r="B425" s="98" t="s">
        <v>79</v>
      </c>
      <c r="C425" s="98">
        <v>1</v>
      </c>
      <c r="D425" s="98">
        <v>1710</v>
      </c>
      <c r="E425" s="157">
        <v>41279.791666666664</v>
      </c>
      <c r="F425" s="157">
        <v>41279.885416666664</v>
      </c>
      <c r="G425" s="98">
        <v>0</v>
      </c>
      <c r="H425" s="98">
        <v>456</v>
      </c>
      <c r="I425" s="98">
        <v>411</v>
      </c>
      <c r="J425" s="98" t="s">
        <v>2020</v>
      </c>
      <c r="K425" s="98" t="s">
        <v>80</v>
      </c>
      <c r="L425" s="105" t="str">
        <f t="shared" si="80"/>
        <v>Brown</v>
      </c>
      <c r="M425" s="105" t="str">
        <f t="shared" si="81"/>
        <v>Other</v>
      </c>
      <c r="N425" s="105" t="str">
        <f t="shared" si="82"/>
        <v>Coal</v>
      </c>
      <c r="O425" s="105">
        <f>IFERROR(VLOOKUP(A425,Lookup!$J$5:$P$19,7,FALSE),0)</f>
        <v>3</v>
      </c>
      <c r="P425" s="159">
        <f t="shared" si="83"/>
        <v>2013</v>
      </c>
      <c r="Q425" s="159">
        <f t="shared" si="84"/>
        <v>1</v>
      </c>
      <c r="R425" s="160">
        <f t="shared" si="85"/>
        <v>2.25</v>
      </c>
      <c r="S425" s="158">
        <f t="shared" si="86"/>
        <v>2.25</v>
      </c>
      <c r="T425" s="161">
        <f t="shared" si="87"/>
        <v>924.75</v>
      </c>
      <c r="U425" s="158">
        <f t="shared" si="89"/>
        <v>411</v>
      </c>
      <c r="V425" s="160">
        <f t="shared" si="88"/>
        <v>411</v>
      </c>
    </row>
    <row r="426" spans="1:22" x14ac:dyDescent="0.25">
      <c r="A426" s="98" t="s">
        <v>28</v>
      </c>
      <c r="B426" s="98" t="s">
        <v>15</v>
      </c>
      <c r="C426" s="98">
        <v>2</v>
      </c>
      <c r="D426" s="98">
        <v>1060</v>
      </c>
      <c r="E426" s="157">
        <v>41281.536111111112</v>
      </c>
      <c r="F426" s="157">
        <v>41283.613888888889</v>
      </c>
      <c r="G426" s="98">
        <v>0</v>
      </c>
      <c r="H426" s="98">
        <v>456</v>
      </c>
      <c r="I426" s="98">
        <v>411</v>
      </c>
      <c r="J426" s="98" t="s">
        <v>2179</v>
      </c>
      <c r="K426" s="98" t="s">
        <v>366</v>
      </c>
      <c r="L426" s="105" t="str">
        <f t="shared" si="80"/>
        <v>Brown</v>
      </c>
      <c r="M426" s="105" t="str">
        <f t="shared" si="81"/>
        <v>Outage</v>
      </c>
      <c r="N426" s="105" t="str">
        <f t="shared" si="82"/>
        <v>Coal</v>
      </c>
      <c r="O426" s="105">
        <f>IFERROR(VLOOKUP(A426,Lookup!$J$5:$P$19,7,FALSE),0)</f>
        <v>3</v>
      </c>
      <c r="P426" s="159">
        <f t="shared" si="83"/>
        <v>2013</v>
      </c>
      <c r="Q426" s="159">
        <f t="shared" si="84"/>
        <v>1</v>
      </c>
      <c r="R426" s="160">
        <f t="shared" si="85"/>
        <v>49.866666666639503</v>
      </c>
      <c r="S426" s="158">
        <f t="shared" si="86"/>
        <v>49.866666666639503</v>
      </c>
      <c r="T426" s="161">
        <f t="shared" si="87"/>
        <v>20495.199999988836</v>
      </c>
      <c r="U426" s="158">
        <f t="shared" si="89"/>
        <v>411</v>
      </c>
      <c r="V426" s="160">
        <f t="shared" si="88"/>
        <v>411</v>
      </c>
    </row>
    <row r="427" spans="1:22" x14ac:dyDescent="0.25">
      <c r="A427" s="98" t="s">
        <v>28</v>
      </c>
      <c r="B427" s="98" t="s">
        <v>17</v>
      </c>
      <c r="C427" s="98">
        <v>3</v>
      </c>
      <c r="D427" s="98">
        <v>3410</v>
      </c>
      <c r="E427" s="157">
        <v>41284.488888888889</v>
      </c>
      <c r="F427" s="157">
        <v>41284.638888888891</v>
      </c>
      <c r="G427" s="98">
        <v>325</v>
      </c>
      <c r="H427" s="98">
        <v>456</v>
      </c>
      <c r="I427" s="98">
        <v>411</v>
      </c>
      <c r="J427" s="98" t="s">
        <v>1983</v>
      </c>
      <c r="K427" s="98" t="s">
        <v>367</v>
      </c>
      <c r="L427" s="105" t="str">
        <f t="shared" si="80"/>
        <v>Brown</v>
      </c>
      <c r="M427" s="105" t="str">
        <f t="shared" si="81"/>
        <v>Derate</v>
      </c>
      <c r="N427" s="105" t="str">
        <f t="shared" si="82"/>
        <v>Coal</v>
      </c>
      <c r="O427" s="105">
        <f>IFERROR(VLOOKUP(A427,Lookup!$J$5:$P$19,7,FALSE),0)</f>
        <v>3</v>
      </c>
      <c r="P427" s="159">
        <f t="shared" si="83"/>
        <v>2013</v>
      </c>
      <c r="Q427" s="159">
        <f t="shared" si="84"/>
        <v>1</v>
      </c>
      <c r="R427" s="160">
        <f t="shared" si="85"/>
        <v>3.6000000000349246</v>
      </c>
      <c r="S427" s="158">
        <f t="shared" si="86"/>
        <v>1.0342105263258226</v>
      </c>
      <c r="T427" s="161">
        <f t="shared" si="87"/>
        <v>425.06052631991309</v>
      </c>
      <c r="U427" s="158">
        <f t="shared" si="89"/>
        <v>118.07236842105263</v>
      </c>
      <c r="V427" s="160">
        <f t="shared" si="88"/>
        <v>118</v>
      </c>
    </row>
    <row r="428" spans="1:22" x14ac:dyDescent="0.25">
      <c r="A428" s="98" t="s">
        <v>28</v>
      </c>
      <c r="B428" s="98" t="s">
        <v>79</v>
      </c>
      <c r="C428" s="98">
        <v>4</v>
      </c>
      <c r="D428" s="98">
        <v>8817</v>
      </c>
      <c r="E428" s="157">
        <v>41285.375</v>
      </c>
      <c r="F428" s="157">
        <v>41285.75</v>
      </c>
      <c r="G428" s="98">
        <v>0</v>
      </c>
      <c r="H428" s="98">
        <v>456</v>
      </c>
      <c r="I428" s="98">
        <v>411</v>
      </c>
      <c r="J428" s="98" t="s">
        <v>2189</v>
      </c>
      <c r="K428" s="98" t="s">
        <v>368</v>
      </c>
      <c r="L428" s="105" t="str">
        <f t="shared" si="80"/>
        <v>Brown</v>
      </c>
      <c r="M428" s="105" t="str">
        <f t="shared" si="81"/>
        <v>Other</v>
      </c>
      <c r="N428" s="105" t="str">
        <f t="shared" si="82"/>
        <v>Coal</v>
      </c>
      <c r="O428" s="105">
        <f>IFERROR(VLOOKUP(A428,Lookup!$J$5:$P$19,7,FALSE),0)</f>
        <v>3</v>
      </c>
      <c r="P428" s="159">
        <f t="shared" si="83"/>
        <v>2013</v>
      </c>
      <c r="Q428" s="159">
        <f t="shared" si="84"/>
        <v>1</v>
      </c>
      <c r="R428" s="160">
        <f t="shared" si="85"/>
        <v>9</v>
      </c>
      <c r="S428" s="158">
        <f t="shared" si="86"/>
        <v>9</v>
      </c>
      <c r="T428" s="161">
        <f t="shared" si="87"/>
        <v>3699</v>
      </c>
      <c r="U428" s="158">
        <f t="shared" si="89"/>
        <v>411</v>
      </c>
      <c r="V428" s="160">
        <f t="shared" si="88"/>
        <v>411</v>
      </c>
    </row>
    <row r="429" spans="1:22" x14ac:dyDescent="0.25">
      <c r="A429" s="98" t="s">
        <v>28</v>
      </c>
      <c r="B429" s="98" t="s">
        <v>32</v>
      </c>
      <c r="C429" s="98">
        <v>5</v>
      </c>
      <c r="D429" s="98">
        <v>250</v>
      </c>
      <c r="E429" s="157">
        <v>41291</v>
      </c>
      <c r="F429" s="157">
        <v>41291.177083333336</v>
      </c>
      <c r="G429" s="98">
        <v>350</v>
      </c>
      <c r="H429" s="98">
        <v>456</v>
      </c>
      <c r="I429" s="98">
        <v>411</v>
      </c>
      <c r="J429" s="98" t="s">
        <v>1978</v>
      </c>
      <c r="K429" s="98" t="s">
        <v>369</v>
      </c>
      <c r="L429" s="105" t="str">
        <f t="shared" si="80"/>
        <v>Brown</v>
      </c>
      <c r="M429" s="105" t="str">
        <f t="shared" si="81"/>
        <v>Derate</v>
      </c>
      <c r="N429" s="105" t="str">
        <f t="shared" si="82"/>
        <v>Coal</v>
      </c>
      <c r="O429" s="105">
        <f>IFERROR(VLOOKUP(A429,Lookup!$J$5:$P$19,7,FALSE),0)</f>
        <v>3</v>
      </c>
      <c r="P429" s="159">
        <f t="shared" si="83"/>
        <v>2013</v>
      </c>
      <c r="Q429" s="159">
        <f t="shared" si="84"/>
        <v>1</v>
      </c>
      <c r="R429" s="160">
        <f t="shared" si="85"/>
        <v>4.2500000000582077</v>
      </c>
      <c r="S429" s="158">
        <f t="shared" si="86"/>
        <v>0.98793859650475879</v>
      </c>
      <c r="T429" s="161">
        <f t="shared" si="87"/>
        <v>406.04276316345585</v>
      </c>
      <c r="U429" s="158">
        <f t="shared" si="89"/>
        <v>95.53947368421052</v>
      </c>
      <c r="V429" s="160">
        <f t="shared" si="88"/>
        <v>96</v>
      </c>
    </row>
    <row r="430" spans="1:22" x14ac:dyDescent="0.25">
      <c r="A430" s="98" t="s">
        <v>28</v>
      </c>
      <c r="B430" s="98" t="s">
        <v>17</v>
      </c>
      <c r="C430" s="98">
        <v>6</v>
      </c>
      <c r="D430" s="98">
        <v>310</v>
      </c>
      <c r="E430" s="157">
        <v>41291.283333333333</v>
      </c>
      <c r="F430" s="157">
        <v>41291.392361111109</v>
      </c>
      <c r="G430" s="98">
        <v>355</v>
      </c>
      <c r="H430" s="98">
        <v>456</v>
      </c>
      <c r="I430" s="98">
        <v>411</v>
      </c>
      <c r="J430" s="98" t="s">
        <v>1966</v>
      </c>
      <c r="K430" s="98" t="s">
        <v>370</v>
      </c>
      <c r="L430" s="105" t="str">
        <f t="shared" si="80"/>
        <v>Brown</v>
      </c>
      <c r="M430" s="105" t="str">
        <f t="shared" si="81"/>
        <v>Derate</v>
      </c>
      <c r="N430" s="105" t="str">
        <f t="shared" si="82"/>
        <v>Coal</v>
      </c>
      <c r="O430" s="105">
        <f>IFERROR(VLOOKUP(A430,Lookup!$J$5:$P$19,7,FALSE),0)</f>
        <v>3</v>
      </c>
      <c r="P430" s="159">
        <f t="shared" si="83"/>
        <v>2013</v>
      </c>
      <c r="Q430" s="159">
        <f t="shared" si="84"/>
        <v>1</v>
      </c>
      <c r="R430" s="160">
        <f t="shared" si="85"/>
        <v>2.6166666666395031</v>
      </c>
      <c r="S430" s="158">
        <f t="shared" si="86"/>
        <v>0.57956871344427585</v>
      </c>
      <c r="T430" s="161">
        <f t="shared" si="87"/>
        <v>238.20274122559738</v>
      </c>
      <c r="U430" s="158">
        <f t="shared" si="89"/>
        <v>91.03289473684211</v>
      </c>
      <c r="V430" s="160">
        <f t="shared" si="88"/>
        <v>91</v>
      </c>
    </row>
    <row r="431" spans="1:22" x14ac:dyDescent="0.25">
      <c r="A431" s="98" t="s">
        <v>28</v>
      </c>
      <c r="B431" s="98" t="s">
        <v>32</v>
      </c>
      <c r="C431" s="98">
        <v>7</v>
      </c>
      <c r="D431" s="98">
        <v>8817</v>
      </c>
      <c r="E431" s="157">
        <v>41291.392361111109</v>
      </c>
      <c r="F431" s="157">
        <v>41291.743055555555</v>
      </c>
      <c r="G431" s="98">
        <v>340</v>
      </c>
      <c r="H431" s="98">
        <v>456</v>
      </c>
      <c r="I431" s="98">
        <v>411</v>
      </c>
      <c r="J431" s="98" t="s">
        <v>2189</v>
      </c>
      <c r="K431" s="98" t="s">
        <v>371</v>
      </c>
      <c r="L431" s="105" t="str">
        <f t="shared" si="80"/>
        <v>Brown</v>
      </c>
      <c r="M431" s="105" t="str">
        <f t="shared" si="81"/>
        <v>Derate</v>
      </c>
      <c r="N431" s="105" t="str">
        <f t="shared" si="82"/>
        <v>Coal</v>
      </c>
      <c r="O431" s="105">
        <f>IFERROR(VLOOKUP(A431,Lookup!$J$5:$P$19,7,FALSE),0)</f>
        <v>3</v>
      </c>
      <c r="P431" s="159">
        <f t="shared" si="83"/>
        <v>2013</v>
      </c>
      <c r="Q431" s="159">
        <f t="shared" si="84"/>
        <v>1</v>
      </c>
      <c r="R431" s="160">
        <f t="shared" si="85"/>
        <v>8.4166666666860692</v>
      </c>
      <c r="S431" s="158">
        <f t="shared" si="86"/>
        <v>2.1410818713499649</v>
      </c>
      <c r="T431" s="161">
        <f t="shared" si="87"/>
        <v>879.98464912483553</v>
      </c>
      <c r="U431" s="158">
        <f t="shared" si="89"/>
        <v>104.55263157894737</v>
      </c>
      <c r="V431" s="160">
        <f t="shared" si="88"/>
        <v>105</v>
      </c>
    </row>
    <row r="432" spans="1:22" x14ac:dyDescent="0.25">
      <c r="A432" s="98" t="s">
        <v>28</v>
      </c>
      <c r="B432" s="98" t="s">
        <v>17</v>
      </c>
      <c r="C432" s="98">
        <v>8</v>
      </c>
      <c r="D432" s="98">
        <v>310</v>
      </c>
      <c r="E432" s="157">
        <v>41291.743055555555</v>
      </c>
      <c r="F432" s="157">
        <v>41293.5</v>
      </c>
      <c r="G432" s="98">
        <v>355</v>
      </c>
      <c r="H432" s="98">
        <v>456</v>
      </c>
      <c r="I432" s="98">
        <v>411</v>
      </c>
      <c r="J432" s="98" t="s">
        <v>1966</v>
      </c>
      <c r="K432" s="98" t="s">
        <v>370</v>
      </c>
      <c r="L432" s="105" t="str">
        <f t="shared" si="80"/>
        <v>Brown</v>
      </c>
      <c r="M432" s="105" t="str">
        <f t="shared" si="81"/>
        <v>Derate</v>
      </c>
      <c r="N432" s="105" t="str">
        <f t="shared" si="82"/>
        <v>Coal</v>
      </c>
      <c r="O432" s="105">
        <f>IFERROR(VLOOKUP(A432,Lookup!$J$5:$P$19,7,FALSE),0)</f>
        <v>3</v>
      </c>
      <c r="P432" s="159">
        <f t="shared" si="83"/>
        <v>2013</v>
      </c>
      <c r="Q432" s="159">
        <f t="shared" si="84"/>
        <v>1</v>
      </c>
      <c r="R432" s="160">
        <f t="shared" si="85"/>
        <v>42.166666666686069</v>
      </c>
      <c r="S432" s="158">
        <f t="shared" si="86"/>
        <v>9.3395467836300288</v>
      </c>
      <c r="T432" s="161">
        <f t="shared" si="87"/>
        <v>3838.5537280719418</v>
      </c>
      <c r="U432" s="158">
        <f t="shared" si="89"/>
        <v>91.03289473684211</v>
      </c>
      <c r="V432" s="160">
        <f t="shared" si="88"/>
        <v>91</v>
      </c>
    </row>
    <row r="433" spans="1:22" x14ac:dyDescent="0.25">
      <c r="A433" s="98" t="s">
        <v>28</v>
      </c>
      <c r="B433" s="98" t="s">
        <v>32</v>
      </c>
      <c r="C433" s="98">
        <v>9</v>
      </c>
      <c r="D433" s="98">
        <v>8817</v>
      </c>
      <c r="E433" s="157">
        <v>41293.5</v>
      </c>
      <c r="F433" s="157">
        <v>41293.736111111109</v>
      </c>
      <c r="G433" s="98">
        <v>180</v>
      </c>
      <c r="H433" s="98">
        <v>456</v>
      </c>
      <c r="I433" s="98">
        <v>411</v>
      </c>
      <c r="J433" s="98" t="s">
        <v>2189</v>
      </c>
      <c r="K433" s="98" t="s">
        <v>372</v>
      </c>
      <c r="L433" s="105" t="str">
        <f t="shared" si="80"/>
        <v>Brown</v>
      </c>
      <c r="M433" s="105" t="str">
        <f t="shared" si="81"/>
        <v>Derate</v>
      </c>
      <c r="N433" s="105" t="str">
        <f t="shared" si="82"/>
        <v>Coal</v>
      </c>
      <c r="O433" s="105">
        <f>IFERROR(VLOOKUP(A433,Lookup!$J$5:$P$19,7,FALSE),0)</f>
        <v>3</v>
      </c>
      <c r="P433" s="159">
        <f t="shared" si="83"/>
        <v>2013</v>
      </c>
      <c r="Q433" s="159">
        <f t="shared" si="84"/>
        <v>1</v>
      </c>
      <c r="R433" s="160">
        <f t="shared" si="85"/>
        <v>5.6666666666278616</v>
      </c>
      <c r="S433" s="158">
        <f t="shared" si="86"/>
        <v>3.4298245613800216</v>
      </c>
      <c r="T433" s="161">
        <f t="shared" si="87"/>
        <v>1409.6578947271889</v>
      </c>
      <c r="U433" s="158">
        <f t="shared" si="89"/>
        <v>248.76315789473685</v>
      </c>
      <c r="V433" s="160">
        <f t="shared" si="88"/>
        <v>249</v>
      </c>
    </row>
    <row r="434" spans="1:22" x14ac:dyDescent="0.25">
      <c r="A434" s="98" t="s">
        <v>28</v>
      </c>
      <c r="B434" s="98" t="s">
        <v>17</v>
      </c>
      <c r="C434" s="98">
        <v>10</v>
      </c>
      <c r="D434" s="98">
        <v>310</v>
      </c>
      <c r="E434" s="157">
        <v>41293.736111111109</v>
      </c>
      <c r="F434" s="157">
        <v>41293.945138888892</v>
      </c>
      <c r="G434" s="98">
        <v>355</v>
      </c>
      <c r="H434" s="98">
        <v>456</v>
      </c>
      <c r="I434" s="98">
        <v>411</v>
      </c>
      <c r="J434" s="98" t="s">
        <v>1966</v>
      </c>
      <c r="K434" s="98" t="s">
        <v>373</v>
      </c>
      <c r="L434" s="105" t="str">
        <f t="shared" si="80"/>
        <v>Brown</v>
      </c>
      <c r="M434" s="105" t="str">
        <f t="shared" si="81"/>
        <v>Derate</v>
      </c>
      <c r="N434" s="105" t="str">
        <f t="shared" si="82"/>
        <v>Coal</v>
      </c>
      <c r="O434" s="105">
        <f>IFERROR(VLOOKUP(A434,Lookup!$J$5:$P$19,7,FALSE),0)</f>
        <v>3</v>
      </c>
      <c r="P434" s="159">
        <f t="shared" si="83"/>
        <v>2013</v>
      </c>
      <c r="Q434" s="159">
        <f t="shared" si="84"/>
        <v>1</v>
      </c>
      <c r="R434" s="160">
        <f t="shared" si="85"/>
        <v>5.0166666667792015</v>
      </c>
      <c r="S434" s="158">
        <f t="shared" si="86"/>
        <v>1.111147660843639</v>
      </c>
      <c r="T434" s="161">
        <f t="shared" si="87"/>
        <v>456.68168860673563</v>
      </c>
      <c r="U434" s="158">
        <f t="shared" si="89"/>
        <v>91.03289473684211</v>
      </c>
      <c r="V434" s="160">
        <f t="shared" si="88"/>
        <v>91</v>
      </c>
    </row>
    <row r="435" spans="1:22" x14ac:dyDescent="0.25">
      <c r="A435" s="98" t="s">
        <v>28</v>
      </c>
      <c r="B435" s="98" t="s">
        <v>17</v>
      </c>
      <c r="C435" s="98">
        <v>11</v>
      </c>
      <c r="D435" s="98">
        <v>3414</v>
      </c>
      <c r="E435" s="157">
        <v>41296.263888888891</v>
      </c>
      <c r="F435" s="157">
        <v>41296.287499999999</v>
      </c>
      <c r="G435" s="98">
        <v>295</v>
      </c>
      <c r="H435" s="98">
        <v>456</v>
      </c>
      <c r="I435" s="98">
        <v>411</v>
      </c>
      <c r="J435" s="98" t="s">
        <v>1984</v>
      </c>
      <c r="K435" s="98" t="s">
        <v>374</v>
      </c>
      <c r="L435" s="105" t="str">
        <f t="shared" si="80"/>
        <v>Brown</v>
      </c>
      <c r="M435" s="105" t="str">
        <f t="shared" si="81"/>
        <v>Derate</v>
      </c>
      <c r="N435" s="105" t="str">
        <f t="shared" si="82"/>
        <v>Coal</v>
      </c>
      <c r="O435" s="105">
        <f>IFERROR(VLOOKUP(A435,Lookup!$J$5:$P$19,7,FALSE),0)</f>
        <v>3</v>
      </c>
      <c r="P435" s="159">
        <f t="shared" si="83"/>
        <v>2013</v>
      </c>
      <c r="Q435" s="159">
        <f t="shared" si="84"/>
        <v>1</v>
      </c>
      <c r="R435" s="160">
        <f t="shared" si="85"/>
        <v>0.56666666659293696</v>
      </c>
      <c r="S435" s="158">
        <f t="shared" si="86"/>
        <v>0.20007309938917292</v>
      </c>
      <c r="T435" s="161">
        <f t="shared" si="87"/>
        <v>82.230043848950075</v>
      </c>
      <c r="U435" s="158">
        <f t="shared" si="89"/>
        <v>145.11184210526315</v>
      </c>
      <c r="V435" s="160">
        <f t="shared" si="88"/>
        <v>145</v>
      </c>
    </row>
    <row r="436" spans="1:22" x14ac:dyDescent="0.25">
      <c r="A436" s="98" t="s">
        <v>28</v>
      </c>
      <c r="B436" s="98" t="s">
        <v>32</v>
      </c>
      <c r="C436" s="98">
        <v>12</v>
      </c>
      <c r="D436" s="98">
        <v>310</v>
      </c>
      <c r="E436" s="157">
        <v>41301.916666666664</v>
      </c>
      <c r="F436" s="157">
        <v>41302.206250000003</v>
      </c>
      <c r="G436" s="98">
        <v>330</v>
      </c>
      <c r="H436" s="98">
        <v>456</v>
      </c>
      <c r="I436" s="98">
        <v>411</v>
      </c>
      <c r="J436" s="98" t="s">
        <v>1966</v>
      </c>
      <c r="K436" s="98" t="s">
        <v>375</v>
      </c>
      <c r="L436" s="105" t="str">
        <f t="shared" si="80"/>
        <v>Brown</v>
      </c>
      <c r="M436" s="105" t="str">
        <f t="shared" si="81"/>
        <v>Derate</v>
      </c>
      <c r="N436" s="105" t="str">
        <f t="shared" si="82"/>
        <v>Coal</v>
      </c>
      <c r="O436" s="105">
        <f>IFERROR(VLOOKUP(A436,Lookup!$J$5:$P$19,7,FALSE),0)</f>
        <v>3</v>
      </c>
      <c r="P436" s="159">
        <f t="shared" si="83"/>
        <v>2013</v>
      </c>
      <c r="Q436" s="159">
        <f t="shared" si="84"/>
        <v>1</v>
      </c>
      <c r="R436" s="160">
        <f t="shared" si="85"/>
        <v>6.9500000001280569</v>
      </c>
      <c r="S436" s="158">
        <f t="shared" si="86"/>
        <v>1.9203947368774894</v>
      </c>
      <c r="T436" s="161">
        <f t="shared" si="87"/>
        <v>789.28223685664818</v>
      </c>
      <c r="U436" s="158">
        <f t="shared" si="89"/>
        <v>113.56578947368421</v>
      </c>
      <c r="V436" s="160">
        <f t="shared" si="88"/>
        <v>114</v>
      </c>
    </row>
    <row r="437" spans="1:22" x14ac:dyDescent="0.25">
      <c r="A437" s="98" t="s">
        <v>28</v>
      </c>
      <c r="B437" s="98" t="s">
        <v>79</v>
      </c>
      <c r="C437" s="98">
        <v>13</v>
      </c>
      <c r="D437" s="98">
        <v>740</v>
      </c>
      <c r="E437" s="157">
        <v>41302.875</v>
      </c>
      <c r="F437" s="157">
        <v>41302.916666666664</v>
      </c>
      <c r="G437" s="98">
        <v>0</v>
      </c>
      <c r="H437" s="98">
        <v>456</v>
      </c>
      <c r="I437" s="98">
        <v>411</v>
      </c>
      <c r="J437" s="98" t="s">
        <v>2176</v>
      </c>
      <c r="K437" s="98" t="s">
        <v>376</v>
      </c>
      <c r="L437" s="105" t="str">
        <f t="shared" si="80"/>
        <v>Brown</v>
      </c>
      <c r="M437" s="105" t="str">
        <f t="shared" si="81"/>
        <v>Other</v>
      </c>
      <c r="N437" s="105" t="str">
        <f t="shared" si="82"/>
        <v>Coal</v>
      </c>
      <c r="O437" s="105">
        <f>IFERROR(VLOOKUP(A437,Lookup!$J$5:$P$19,7,FALSE),0)</f>
        <v>3</v>
      </c>
      <c r="P437" s="159">
        <f t="shared" si="83"/>
        <v>2013</v>
      </c>
      <c r="Q437" s="159">
        <f t="shared" si="84"/>
        <v>1</v>
      </c>
      <c r="R437" s="160">
        <f t="shared" si="85"/>
        <v>0.99999999994179234</v>
      </c>
      <c r="S437" s="158">
        <f t="shared" si="86"/>
        <v>0.99999999994179234</v>
      </c>
      <c r="T437" s="161">
        <f t="shared" si="87"/>
        <v>410.99999997607665</v>
      </c>
      <c r="U437" s="158">
        <f t="shared" si="89"/>
        <v>411</v>
      </c>
      <c r="V437" s="160">
        <f t="shared" si="88"/>
        <v>411</v>
      </c>
    </row>
    <row r="438" spans="1:22" x14ac:dyDescent="0.25">
      <c r="A438" s="98" t="s">
        <v>28</v>
      </c>
      <c r="B438" s="98" t="s">
        <v>32</v>
      </c>
      <c r="C438" s="98">
        <v>14</v>
      </c>
      <c r="D438" s="98">
        <v>310</v>
      </c>
      <c r="E438" s="157">
        <v>41302.916666666664</v>
      </c>
      <c r="F438" s="157">
        <v>41303.18472222222</v>
      </c>
      <c r="G438" s="98">
        <v>350</v>
      </c>
      <c r="H438" s="98">
        <v>456</v>
      </c>
      <c r="I438" s="98">
        <v>411</v>
      </c>
      <c r="J438" s="98" t="s">
        <v>1966</v>
      </c>
      <c r="K438" s="98" t="s">
        <v>377</v>
      </c>
      <c r="L438" s="105" t="str">
        <f t="shared" si="80"/>
        <v>Brown</v>
      </c>
      <c r="M438" s="105" t="str">
        <f t="shared" si="81"/>
        <v>Derate</v>
      </c>
      <c r="N438" s="105" t="str">
        <f t="shared" si="82"/>
        <v>Coal</v>
      </c>
      <c r="O438" s="105">
        <f>IFERROR(VLOOKUP(A438,Lookup!$J$5:$P$19,7,FALSE),0)</f>
        <v>3</v>
      </c>
      <c r="P438" s="159">
        <f t="shared" si="83"/>
        <v>2013</v>
      </c>
      <c r="Q438" s="159">
        <f t="shared" si="84"/>
        <v>1</v>
      </c>
      <c r="R438" s="160">
        <f t="shared" si="85"/>
        <v>6.4333333333488554</v>
      </c>
      <c r="S438" s="158">
        <f t="shared" si="86"/>
        <v>1.4954678362609182</v>
      </c>
      <c r="T438" s="161">
        <f t="shared" si="87"/>
        <v>614.63728070323737</v>
      </c>
      <c r="U438" s="158">
        <f t="shared" si="89"/>
        <v>95.53947368421052</v>
      </c>
      <c r="V438" s="160">
        <f t="shared" si="88"/>
        <v>96</v>
      </c>
    </row>
    <row r="439" spans="1:22" x14ac:dyDescent="0.25">
      <c r="A439" s="98" t="s">
        <v>28</v>
      </c>
      <c r="B439" s="98" t="s">
        <v>79</v>
      </c>
      <c r="C439" s="98">
        <v>15</v>
      </c>
      <c r="D439" s="98">
        <v>740</v>
      </c>
      <c r="E439" s="157">
        <v>41303.583333333336</v>
      </c>
      <c r="F439" s="157">
        <v>41303.916666666664</v>
      </c>
      <c r="G439" s="98">
        <v>0</v>
      </c>
      <c r="H439" s="98">
        <v>456</v>
      </c>
      <c r="I439" s="98">
        <v>411</v>
      </c>
      <c r="J439" s="98" t="s">
        <v>2176</v>
      </c>
      <c r="K439" s="98" t="s">
        <v>378</v>
      </c>
      <c r="L439" s="105" t="str">
        <f t="shared" si="80"/>
        <v>Brown</v>
      </c>
      <c r="M439" s="105" t="str">
        <f t="shared" si="81"/>
        <v>Other</v>
      </c>
      <c r="N439" s="105" t="str">
        <f t="shared" si="82"/>
        <v>Coal</v>
      </c>
      <c r="O439" s="105">
        <f>IFERROR(VLOOKUP(A439,Lookup!$J$5:$P$19,7,FALSE),0)</f>
        <v>3</v>
      </c>
      <c r="P439" s="159">
        <f t="shared" si="83"/>
        <v>2013</v>
      </c>
      <c r="Q439" s="159">
        <f t="shared" si="84"/>
        <v>1</v>
      </c>
      <c r="R439" s="160">
        <f t="shared" si="85"/>
        <v>7.9999999998835847</v>
      </c>
      <c r="S439" s="158">
        <f t="shared" si="86"/>
        <v>7.9999999998835847</v>
      </c>
      <c r="T439" s="161">
        <f t="shared" si="87"/>
        <v>3287.9999999521533</v>
      </c>
      <c r="U439" s="158">
        <f t="shared" si="89"/>
        <v>411</v>
      </c>
      <c r="V439" s="160">
        <f t="shared" si="88"/>
        <v>411</v>
      </c>
    </row>
    <row r="440" spans="1:22" x14ac:dyDescent="0.25">
      <c r="A440" s="98" t="s">
        <v>28</v>
      </c>
      <c r="B440" s="98" t="s">
        <v>32</v>
      </c>
      <c r="C440" s="98">
        <v>16</v>
      </c>
      <c r="D440" s="98">
        <v>310</v>
      </c>
      <c r="E440" s="157">
        <v>41303.916666666664</v>
      </c>
      <c r="F440" s="157">
        <v>41304.131944444445</v>
      </c>
      <c r="G440" s="98">
        <v>350</v>
      </c>
      <c r="H440" s="98">
        <v>456</v>
      </c>
      <c r="I440" s="98">
        <v>411</v>
      </c>
      <c r="J440" s="98" t="s">
        <v>1966</v>
      </c>
      <c r="K440" s="98" t="s">
        <v>379</v>
      </c>
      <c r="L440" s="105" t="str">
        <f t="shared" si="80"/>
        <v>Brown</v>
      </c>
      <c r="M440" s="105" t="str">
        <f t="shared" si="81"/>
        <v>Derate</v>
      </c>
      <c r="N440" s="105" t="str">
        <f t="shared" si="82"/>
        <v>Coal</v>
      </c>
      <c r="O440" s="105">
        <f>IFERROR(VLOOKUP(A440,Lookup!$J$5:$P$19,7,FALSE),0)</f>
        <v>3</v>
      </c>
      <c r="P440" s="159">
        <f t="shared" si="83"/>
        <v>2013</v>
      </c>
      <c r="Q440" s="159">
        <f t="shared" si="84"/>
        <v>1</v>
      </c>
      <c r="R440" s="160">
        <f t="shared" si="85"/>
        <v>5.1666666667442769</v>
      </c>
      <c r="S440" s="158">
        <f t="shared" si="86"/>
        <v>1.2010233918309066</v>
      </c>
      <c r="T440" s="161">
        <f t="shared" si="87"/>
        <v>493.62061404250261</v>
      </c>
      <c r="U440" s="158">
        <f t="shared" si="89"/>
        <v>95.53947368421052</v>
      </c>
      <c r="V440" s="160">
        <f t="shared" si="88"/>
        <v>96</v>
      </c>
    </row>
    <row r="441" spans="1:22" x14ac:dyDescent="0.25">
      <c r="A441" s="98" t="s">
        <v>28</v>
      </c>
      <c r="B441" s="98" t="s">
        <v>79</v>
      </c>
      <c r="C441" s="98">
        <v>17</v>
      </c>
      <c r="D441" s="98">
        <v>310</v>
      </c>
      <c r="E441" s="157">
        <v>41313.024305555555</v>
      </c>
      <c r="F441" s="157">
        <v>41313.0625</v>
      </c>
      <c r="G441" s="98">
        <v>0</v>
      </c>
      <c r="H441" s="98">
        <v>456</v>
      </c>
      <c r="I441" s="98">
        <v>411</v>
      </c>
      <c r="J441" s="98" t="s">
        <v>1966</v>
      </c>
      <c r="K441" s="98" t="s">
        <v>380</v>
      </c>
      <c r="L441" s="105" t="str">
        <f t="shared" si="80"/>
        <v>Brown</v>
      </c>
      <c r="M441" s="105" t="str">
        <f t="shared" si="81"/>
        <v>Other</v>
      </c>
      <c r="N441" s="105" t="str">
        <f t="shared" si="82"/>
        <v>Coal</v>
      </c>
      <c r="O441" s="105">
        <f>IFERROR(VLOOKUP(A441,Lookup!$J$5:$P$19,7,FALSE),0)</f>
        <v>3</v>
      </c>
      <c r="P441" s="159">
        <f t="shared" si="83"/>
        <v>2013</v>
      </c>
      <c r="Q441" s="159">
        <f t="shared" si="84"/>
        <v>2</v>
      </c>
      <c r="R441" s="160">
        <f t="shared" si="85"/>
        <v>0.91666666668606922</v>
      </c>
      <c r="S441" s="158">
        <f t="shared" si="86"/>
        <v>0.91666666668606922</v>
      </c>
      <c r="T441" s="161">
        <f t="shared" si="87"/>
        <v>376.75000000797445</v>
      </c>
      <c r="U441" s="158">
        <f t="shared" si="89"/>
        <v>411</v>
      </c>
      <c r="V441" s="160">
        <f t="shared" si="88"/>
        <v>411</v>
      </c>
    </row>
    <row r="442" spans="1:22" x14ac:dyDescent="0.25">
      <c r="A442" s="98" t="s">
        <v>28</v>
      </c>
      <c r="B442" s="98" t="s">
        <v>20</v>
      </c>
      <c r="C442" s="98">
        <v>18</v>
      </c>
      <c r="D442" s="98">
        <v>1500</v>
      </c>
      <c r="E442" s="157">
        <v>41315.033333333333</v>
      </c>
      <c r="F442" s="157">
        <v>41317.963194444441</v>
      </c>
      <c r="G442" s="98">
        <v>0</v>
      </c>
      <c r="H442" s="98">
        <v>456</v>
      </c>
      <c r="I442" s="98">
        <v>411</v>
      </c>
      <c r="J442" s="98" t="s">
        <v>2190</v>
      </c>
      <c r="K442" s="98" t="s">
        <v>381</v>
      </c>
      <c r="L442" s="105" t="str">
        <f t="shared" si="80"/>
        <v>Brown</v>
      </c>
      <c r="M442" s="105" t="str">
        <f t="shared" si="81"/>
        <v>Maintenance</v>
      </c>
      <c r="N442" s="105" t="str">
        <f t="shared" si="82"/>
        <v>Coal</v>
      </c>
      <c r="O442" s="105">
        <f>IFERROR(VLOOKUP(A442,Lookup!$J$5:$P$19,7,FALSE),0)</f>
        <v>3</v>
      </c>
      <c r="P442" s="159">
        <f t="shared" si="83"/>
        <v>2013</v>
      </c>
      <c r="Q442" s="159">
        <f t="shared" si="84"/>
        <v>2</v>
      </c>
      <c r="R442" s="160">
        <f t="shared" si="85"/>
        <v>70.316666666592937</v>
      </c>
      <c r="S442" s="158">
        <f t="shared" si="86"/>
        <v>70.316666666592937</v>
      </c>
      <c r="T442" s="161">
        <f t="shared" si="87"/>
        <v>28900.149999969697</v>
      </c>
      <c r="U442" s="158">
        <f t="shared" si="89"/>
        <v>411</v>
      </c>
      <c r="V442" s="160">
        <f t="shared" si="88"/>
        <v>411</v>
      </c>
    </row>
    <row r="443" spans="1:22" x14ac:dyDescent="0.25">
      <c r="A443" s="98" t="s">
        <v>28</v>
      </c>
      <c r="B443" s="98" t="s">
        <v>17</v>
      </c>
      <c r="C443" s="98">
        <v>19</v>
      </c>
      <c r="D443" s="98">
        <v>310</v>
      </c>
      <c r="E443" s="157">
        <v>41318.10833333333</v>
      </c>
      <c r="F443" s="157">
        <v>41319.590277777781</v>
      </c>
      <c r="G443" s="98">
        <v>350</v>
      </c>
      <c r="H443" s="98">
        <v>456</v>
      </c>
      <c r="I443" s="98">
        <v>411</v>
      </c>
      <c r="J443" s="98" t="s">
        <v>1966</v>
      </c>
      <c r="K443" s="98" t="s">
        <v>382</v>
      </c>
      <c r="L443" s="105" t="str">
        <f t="shared" si="80"/>
        <v>Brown</v>
      </c>
      <c r="M443" s="105" t="str">
        <f t="shared" si="81"/>
        <v>Derate</v>
      </c>
      <c r="N443" s="105" t="str">
        <f t="shared" si="82"/>
        <v>Coal</v>
      </c>
      <c r="O443" s="105">
        <f>IFERROR(VLOOKUP(A443,Lookup!$J$5:$P$19,7,FALSE),0)</f>
        <v>3</v>
      </c>
      <c r="P443" s="159">
        <f t="shared" si="83"/>
        <v>2013</v>
      </c>
      <c r="Q443" s="159">
        <f t="shared" si="84"/>
        <v>2</v>
      </c>
      <c r="R443" s="160">
        <f t="shared" si="85"/>
        <v>35.566666666825768</v>
      </c>
      <c r="S443" s="158">
        <f t="shared" si="86"/>
        <v>8.2676900585165161</v>
      </c>
      <c r="T443" s="161">
        <f t="shared" si="87"/>
        <v>3398.0206140502883</v>
      </c>
      <c r="U443" s="158">
        <f t="shared" si="89"/>
        <v>95.53947368421052</v>
      </c>
      <c r="V443" s="160">
        <f t="shared" si="88"/>
        <v>96</v>
      </c>
    </row>
    <row r="444" spans="1:22" x14ac:dyDescent="0.25">
      <c r="A444" s="98" t="s">
        <v>28</v>
      </c>
      <c r="B444" s="98" t="s">
        <v>17</v>
      </c>
      <c r="C444" s="98">
        <v>20</v>
      </c>
      <c r="D444" s="98">
        <v>310</v>
      </c>
      <c r="E444" s="157">
        <v>41319.590277777781</v>
      </c>
      <c r="F444" s="157">
        <v>41320.480555555558</v>
      </c>
      <c r="G444" s="98">
        <v>360</v>
      </c>
      <c r="H444" s="98">
        <v>456</v>
      </c>
      <c r="I444" s="98">
        <v>411</v>
      </c>
      <c r="J444" s="98" t="s">
        <v>1966</v>
      </c>
      <c r="K444" s="98" t="s">
        <v>383</v>
      </c>
      <c r="L444" s="105" t="str">
        <f t="shared" si="80"/>
        <v>Brown</v>
      </c>
      <c r="M444" s="105" t="str">
        <f t="shared" si="81"/>
        <v>Derate</v>
      </c>
      <c r="N444" s="105" t="str">
        <f t="shared" si="82"/>
        <v>Coal</v>
      </c>
      <c r="O444" s="105">
        <f>IFERROR(VLOOKUP(A444,Lookup!$J$5:$P$19,7,FALSE),0)</f>
        <v>3</v>
      </c>
      <c r="P444" s="159">
        <f t="shared" si="83"/>
        <v>2013</v>
      </c>
      <c r="Q444" s="159">
        <f t="shared" si="84"/>
        <v>2</v>
      </c>
      <c r="R444" s="160">
        <f t="shared" si="85"/>
        <v>21.366666666639503</v>
      </c>
      <c r="S444" s="158">
        <f t="shared" si="86"/>
        <v>4.4982456140293694</v>
      </c>
      <c r="T444" s="161">
        <f t="shared" si="87"/>
        <v>1848.7789473660707</v>
      </c>
      <c r="U444" s="158">
        <f t="shared" si="89"/>
        <v>86.526315789473685</v>
      </c>
      <c r="V444" s="160">
        <f t="shared" si="88"/>
        <v>87</v>
      </c>
    </row>
    <row r="445" spans="1:22" x14ac:dyDescent="0.25">
      <c r="A445" s="98" t="s">
        <v>28</v>
      </c>
      <c r="B445" s="98" t="s">
        <v>20</v>
      </c>
      <c r="C445" s="98">
        <v>22</v>
      </c>
      <c r="D445" s="98">
        <v>1360</v>
      </c>
      <c r="E445" s="157">
        <v>41321.354166666664</v>
      </c>
      <c r="F445" s="157">
        <v>41322.661805555559</v>
      </c>
      <c r="G445" s="98">
        <v>0</v>
      </c>
      <c r="H445" s="98">
        <v>456</v>
      </c>
      <c r="I445" s="98">
        <v>411</v>
      </c>
      <c r="J445" s="98" t="s">
        <v>2191</v>
      </c>
      <c r="K445" s="98" t="s">
        <v>384</v>
      </c>
      <c r="L445" s="105" t="str">
        <f t="shared" si="80"/>
        <v>Brown</v>
      </c>
      <c r="M445" s="105" t="str">
        <f t="shared" si="81"/>
        <v>Maintenance</v>
      </c>
      <c r="N445" s="105" t="str">
        <f t="shared" si="82"/>
        <v>Coal</v>
      </c>
      <c r="O445" s="105">
        <f>IFERROR(VLOOKUP(A445,Lookup!$J$5:$P$19,7,FALSE),0)</f>
        <v>3</v>
      </c>
      <c r="P445" s="159">
        <f t="shared" si="83"/>
        <v>2013</v>
      </c>
      <c r="Q445" s="159">
        <f t="shared" si="84"/>
        <v>2</v>
      </c>
      <c r="R445" s="160">
        <f t="shared" si="85"/>
        <v>31.383333333476912</v>
      </c>
      <c r="S445" s="158">
        <f t="shared" si="86"/>
        <v>31.383333333476912</v>
      </c>
      <c r="T445" s="161">
        <f t="shared" si="87"/>
        <v>12898.550000059011</v>
      </c>
      <c r="U445" s="158">
        <f t="shared" si="89"/>
        <v>411</v>
      </c>
      <c r="V445" s="160">
        <f t="shared" si="88"/>
        <v>411</v>
      </c>
    </row>
    <row r="446" spans="1:22" x14ac:dyDescent="0.25">
      <c r="A446" s="98" t="s">
        <v>28</v>
      </c>
      <c r="B446" s="98" t="s">
        <v>17</v>
      </c>
      <c r="C446" s="98">
        <v>24</v>
      </c>
      <c r="D446" s="98">
        <v>310</v>
      </c>
      <c r="E446" s="157">
        <v>41324.255555555559</v>
      </c>
      <c r="F446" s="157">
        <v>41324.708333333336</v>
      </c>
      <c r="G446" s="98">
        <v>360</v>
      </c>
      <c r="H446" s="98">
        <v>456</v>
      </c>
      <c r="I446" s="98">
        <v>411</v>
      </c>
      <c r="J446" s="98" t="s">
        <v>1966</v>
      </c>
      <c r="K446" s="98" t="s">
        <v>385</v>
      </c>
      <c r="L446" s="105" t="str">
        <f t="shared" si="80"/>
        <v>Brown</v>
      </c>
      <c r="M446" s="105" t="str">
        <f t="shared" si="81"/>
        <v>Derate</v>
      </c>
      <c r="N446" s="105" t="str">
        <f t="shared" si="82"/>
        <v>Coal</v>
      </c>
      <c r="O446" s="105">
        <f>IFERROR(VLOOKUP(A446,Lookup!$J$5:$P$19,7,FALSE),0)</f>
        <v>3</v>
      </c>
      <c r="P446" s="159">
        <f t="shared" si="83"/>
        <v>2013</v>
      </c>
      <c r="Q446" s="159">
        <f t="shared" si="84"/>
        <v>2</v>
      </c>
      <c r="R446" s="160">
        <f t="shared" si="85"/>
        <v>10.866666666639503</v>
      </c>
      <c r="S446" s="158">
        <f t="shared" si="86"/>
        <v>2.2877192982398955</v>
      </c>
      <c r="T446" s="161">
        <f t="shared" si="87"/>
        <v>940.25263157659708</v>
      </c>
      <c r="U446" s="158">
        <f t="shared" si="89"/>
        <v>86.526315789473685</v>
      </c>
      <c r="V446" s="160">
        <f t="shared" si="88"/>
        <v>87</v>
      </c>
    </row>
    <row r="447" spans="1:22" x14ac:dyDescent="0.25">
      <c r="A447" s="98" t="s">
        <v>28</v>
      </c>
      <c r="B447" s="98" t="s">
        <v>17</v>
      </c>
      <c r="C447" s="98">
        <v>25</v>
      </c>
      <c r="D447" s="98">
        <v>300</v>
      </c>
      <c r="E447" s="157">
        <v>41325.251388888886</v>
      </c>
      <c r="F447" s="157">
        <v>41325.272222222222</v>
      </c>
      <c r="G447" s="98">
        <v>350</v>
      </c>
      <c r="H447" s="98">
        <v>456</v>
      </c>
      <c r="I447" s="98">
        <v>411</v>
      </c>
      <c r="J447" s="98" t="s">
        <v>1977</v>
      </c>
      <c r="K447" s="98" t="s">
        <v>386</v>
      </c>
      <c r="L447" s="105" t="str">
        <f t="shared" si="80"/>
        <v>Brown</v>
      </c>
      <c r="M447" s="105" t="str">
        <f t="shared" si="81"/>
        <v>Derate</v>
      </c>
      <c r="N447" s="105" t="str">
        <f t="shared" si="82"/>
        <v>Coal</v>
      </c>
      <c r="O447" s="105">
        <f>IFERROR(VLOOKUP(A447,Lookup!$J$5:$P$19,7,FALSE),0)</f>
        <v>3</v>
      </c>
      <c r="P447" s="159">
        <f t="shared" si="83"/>
        <v>2013</v>
      </c>
      <c r="Q447" s="159">
        <f t="shared" si="84"/>
        <v>2</v>
      </c>
      <c r="R447" s="160">
        <f t="shared" si="85"/>
        <v>0.50000000005820766</v>
      </c>
      <c r="S447" s="158">
        <f t="shared" si="86"/>
        <v>0.11622807018896933</v>
      </c>
      <c r="T447" s="161">
        <f t="shared" si="87"/>
        <v>47.769736847666394</v>
      </c>
      <c r="U447" s="158">
        <f t="shared" si="89"/>
        <v>95.53947368421052</v>
      </c>
      <c r="V447" s="160">
        <f t="shared" si="88"/>
        <v>96</v>
      </c>
    </row>
    <row r="448" spans="1:22" x14ac:dyDescent="0.25">
      <c r="A448" s="98" t="s">
        <v>28</v>
      </c>
      <c r="B448" s="98" t="s">
        <v>17</v>
      </c>
      <c r="C448" s="98">
        <v>26</v>
      </c>
      <c r="D448" s="98">
        <v>300</v>
      </c>
      <c r="E448" s="157">
        <v>41325.272222222222</v>
      </c>
      <c r="F448" s="157">
        <v>41325.732638888891</v>
      </c>
      <c r="G448" s="98">
        <v>365</v>
      </c>
      <c r="H448" s="98">
        <v>456</v>
      </c>
      <c r="I448" s="98">
        <v>411</v>
      </c>
      <c r="J448" s="98" t="s">
        <v>1977</v>
      </c>
      <c r="K448" s="98" t="s">
        <v>386</v>
      </c>
      <c r="L448" s="105" t="str">
        <f t="shared" si="80"/>
        <v>Brown</v>
      </c>
      <c r="M448" s="105" t="str">
        <f t="shared" si="81"/>
        <v>Derate</v>
      </c>
      <c r="N448" s="105" t="str">
        <f t="shared" si="82"/>
        <v>Coal</v>
      </c>
      <c r="O448" s="105">
        <f>IFERROR(VLOOKUP(A448,Lookup!$J$5:$P$19,7,FALSE),0)</f>
        <v>3</v>
      </c>
      <c r="P448" s="159">
        <f t="shared" si="83"/>
        <v>2013</v>
      </c>
      <c r="Q448" s="159">
        <f t="shared" si="84"/>
        <v>2</v>
      </c>
      <c r="R448" s="160">
        <f t="shared" si="85"/>
        <v>11.050000000046566</v>
      </c>
      <c r="S448" s="158">
        <f t="shared" si="86"/>
        <v>2.2051535087812226</v>
      </c>
      <c r="T448" s="161">
        <f t="shared" si="87"/>
        <v>906.3180921090825</v>
      </c>
      <c r="U448" s="158">
        <f t="shared" si="89"/>
        <v>82.01973684210526</v>
      </c>
      <c r="V448" s="160">
        <f t="shared" si="88"/>
        <v>82</v>
      </c>
    </row>
    <row r="449" spans="1:22" x14ac:dyDescent="0.25">
      <c r="A449" s="98" t="s">
        <v>28</v>
      </c>
      <c r="B449" s="98" t="s">
        <v>17</v>
      </c>
      <c r="C449" s="98">
        <v>27</v>
      </c>
      <c r="D449" s="98">
        <v>8825</v>
      </c>
      <c r="E449" s="157">
        <v>41325.732638888891</v>
      </c>
      <c r="F449" s="157">
        <v>41325.760416666664</v>
      </c>
      <c r="G449" s="98">
        <v>365</v>
      </c>
      <c r="H449" s="98">
        <v>456</v>
      </c>
      <c r="I449" s="98">
        <v>411</v>
      </c>
      <c r="J449" s="98" t="s">
        <v>2187</v>
      </c>
      <c r="K449" s="98" t="s">
        <v>387</v>
      </c>
      <c r="L449" s="105" t="str">
        <f t="shared" si="80"/>
        <v>Brown</v>
      </c>
      <c r="M449" s="105" t="str">
        <f t="shared" si="81"/>
        <v>Derate</v>
      </c>
      <c r="N449" s="105" t="str">
        <f t="shared" si="82"/>
        <v>Coal</v>
      </c>
      <c r="O449" s="105">
        <f>IFERROR(VLOOKUP(A449,Lookup!$J$5:$P$19,7,FALSE),0)</f>
        <v>3</v>
      </c>
      <c r="P449" s="159">
        <f t="shared" si="83"/>
        <v>2013</v>
      </c>
      <c r="Q449" s="159">
        <f t="shared" si="84"/>
        <v>2</v>
      </c>
      <c r="R449" s="160">
        <f t="shared" si="85"/>
        <v>0.6666666665696539</v>
      </c>
      <c r="S449" s="158">
        <f t="shared" si="86"/>
        <v>0.13304093565315461</v>
      </c>
      <c r="T449" s="161">
        <f t="shared" si="87"/>
        <v>54.679824553446544</v>
      </c>
      <c r="U449" s="158">
        <f t="shared" si="89"/>
        <v>82.01973684210526</v>
      </c>
      <c r="V449" s="160">
        <f t="shared" si="88"/>
        <v>82</v>
      </c>
    </row>
    <row r="450" spans="1:22" x14ac:dyDescent="0.25">
      <c r="A450" s="98" t="s">
        <v>28</v>
      </c>
      <c r="B450" s="98" t="s">
        <v>17</v>
      </c>
      <c r="C450" s="98">
        <v>28</v>
      </c>
      <c r="D450" s="98">
        <v>300</v>
      </c>
      <c r="E450" s="157">
        <v>41325.760416666664</v>
      </c>
      <c r="F450" s="157">
        <v>41325.871527777781</v>
      </c>
      <c r="G450" s="98">
        <v>365</v>
      </c>
      <c r="H450" s="98">
        <v>456</v>
      </c>
      <c r="I450" s="98">
        <v>411</v>
      </c>
      <c r="J450" s="98" t="s">
        <v>1977</v>
      </c>
      <c r="K450" s="98" t="s">
        <v>388</v>
      </c>
      <c r="L450" s="105" t="str">
        <f t="shared" si="80"/>
        <v>Brown</v>
      </c>
      <c r="M450" s="105" t="str">
        <f t="shared" si="81"/>
        <v>Derate</v>
      </c>
      <c r="N450" s="105" t="str">
        <f t="shared" si="82"/>
        <v>Coal</v>
      </c>
      <c r="O450" s="105">
        <f>IFERROR(VLOOKUP(A450,Lookup!$J$5:$P$19,7,FALSE),0)</f>
        <v>3</v>
      </c>
      <c r="P450" s="159">
        <f t="shared" si="83"/>
        <v>2013</v>
      </c>
      <c r="Q450" s="159">
        <f t="shared" si="84"/>
        <v>2</v>
      </c>
      <c r="R450" s="160">
        <f t="shared" si="85"/>
        <v>2.6666666668024845</v>
      </c>
      <c r="S450" s="158">
        <f t="shared" si="86"/>
        <v>0.53216374271716249</v>
      </c>
      <c r="T450" s="161">
        <f t="shared" si="87"/>
        <v>218.71929825675377</v>
      </c>
      <c r="U450" s="158">
        <f t="shared" si="89"/>
        <v>82.01973684210526</v>
      </c>
      <c r="V450" s="160">
        <f t="shared" si="88"/>
        <v>82</v>
      </c>
    </row>
    <row r="451" spans="1:22" x14ac:dyDescent="0.25">
      <c r="A451" s="98" t="s">
        <v>28</v>
      </c>
      <c r="B451" s="98" t="s">
        <v>79</v>
      </c>
      <c r="C451" s="98">
        <v>29</v>
      </c>
      <c r="D451" s="98">
        <v>770</v>
      </c>
      <c r="E451" s="157">
        <v>41327.375</v>
      </c>
      <c r="F451" s="157">
        <v>41327.482638888891</v>
      </c>
      <c r="G451" s="98">
        <v>0</v>
      </c>
      <c r="H451" s="98">
        <v>456</v>
      </c>
      <c r="I451" s="98">
        <v>411</v>
      </c>
      <c r="J451" s="98" t="s">
        <v>2186</v>
      </c>
      <c r="K451" s="98" t="s">
        <v>389</v>
      </c>
      <c r="L451" s="105" t="str">
        <f t="shared" si="80"/>
        <v>Brown</v>
      </c>
      <c r="M451" s="105" t="str">
        <f t="shared" si="81"/>
        <v>Other</v>
      </c>
      <c r="N451" s="105" t="str">
        <f t="shared" si="82"/>
        <v>Coal</v>
      </c>
      <c r="O451" s="105">
        <f>IFERROR(VLOOKUP(A451,Lookup!$J$5:$P$19,7,FALSE),0)</f>
        <v>3</v>
      </c>
      <c r="P451" s="159">
        <f t="shared" si="83"/>
        <v>2013</v>
      </c>
      <c r="Q451" s="159">
        <f t="shared" si="84"/>
        <v>2</v>
      </c>
      <c r="R451" s="160">
        <f t="shared" si="85"/>
        <v>2.5833333333721384</v>
      </c>
      <c r="S451" s="158">
        <f t="shared" si="86"/>
        <v>2.5833333333721384</v>
      </c>
      <c r="T451" s="161">
        <f t="shared" si="87"/>
        <v>1061.7500000159489</v>
      </c>
      <c r="U451" s="158">
        <f t="shared" si="89"/>
        <v>411</v>
      </c>
      <c r="V451" s="160">
        <f t="shared" si="88"/>
        <v>411</v>
      </c>
    </row>
    <row r="452" spans="1:22" x14ac:dyDescent="0.25">
      <c r="A452" s="98" t="s">
        <v>28</v>
      </c>
      <c r="B452" s="98" t="s">
        <v>32</v>
      </c>
      <c r="C452" s="98">
        <v>30</v>
      </c>
      <c r="D452" s="98">
        <v>300</v>
      </c>
      <c r="E452" s="157">
        <v>41328.270833333336</v>
      </c>
      <c r="F452" s="157">
        <v>41328.465277777781</v>
      </c>
      <c r="G452" s="98">
        <v>350</v>
      </c>
      <c r="H452" s="98">
        <v>456</v>
      </c>
      <c r="I452" s="98">
        <v>411</v>
      </c>
      <c r="J452" s="98" t="s">
        <v>1977</v>
      </c>
      <c r="K452" s="98" t="s">
        <v>390</v>
      </c>
      <c r="L452" s="105" t="str">
        <f t="shared" si="80"/>
        <v>Brown</v>
      </c>
      <c r="M452" s="105" t="str">
        <f t="shared" si="81"/>
        <v>Derate</v>
      </c>
      <c r="N452" s="105" t="str">
        <f t="shared" si="82"/>
        <v>Coal</v>
      </c>
      <c r="O452" s="105">
        <f>IFERROR(VLOOKUP(A452,Lookup!$J$5:$P$19,7,FALSE),0)</f>
        <v>3</v>
      </c>
      <c r="P452" s="159">
        <f t="shared" si="83"/>
        <v>2013</v>
      </c>
      <c r="Q452" s="159">
        <f t="shared" si="84"/>
        <v>2</v>
      </c>
      <c r="R452" s="160">
        <f t="shared" si="85"/>
        <v>4.6666666666860692</v>
      </c>
      <c r="S452" s="158">
        <f t="shared" si="86"/>
        <v>1.084795321641937</v>
      </c>
      <c r="T452" s="161">
        <f t="shared" si="87"/>
        <v>445.85087719483613</v>
      </c>
      <c r="U452" s="158">
        <f t="shared" si="89"/>
        <v>95.53947368421052</v>
      </c>
      <c r="V452" s="160">
        <f t="shared" si="88"/>
        <v>96</v>
      </c>
    </row>
    <row r="453" spans="1:22" x14ac:dyDescent="0.25">
      <c r="A453" s="98" t="s">
        <v>28</v>
      </c>
      <c r="B453" s="98" t="s">
        <v>79</v>
      </c>
      <c r="C453" s="98">
        <v>31</v>
      </c>
      <c r="D453" s="98">
        <v>8700</v>
      </c>
      <c r="E453" s="157">
        <v>41333.041666666664</v>
      </c>
      <c r="F453" s="157">
        <v>41333.166666666664</v>
      </c>
      <c r="G453" s="98">
        <v>0</v>
      </c>
      <c r="H453" s="98">
        <v>456</v>
      </c>
      <c r="I453" s="98">
        <v>411</v>
      </c>
      <c r="J453" s="98" t="s">
        <v>1987</v>
      </c>
      <c r="K453" s="98" t="s">
        <v>82</v>
      </c>
      <c r="L453" s="105" t="str">
        <f t="shared" si="80"/>
        <v>Brown</v>
      </c>
      <c r="M453" s="105" t="str">
        <f t="shared" si="81"/>
        <v>Other</v>
      </c>
      <c r="N453" s="105" t="str">
        <f t="shared" si="82"/>
        <v>Coal</v>
      </c>
      <c r="O453" s="105">
        <f>IFERROR(VLOOKUP(A453,Lookup!$J$5:$P$19,7,FALSE),0)</f>
        <v>3</v>
      </c>
      <c r="P453" s="159">
        <f t="shared" si="83"/>
        <v>2013</v>
      </c>
      <c r="Q453" s="159">
        <f t="shared" si="84"/>
        <v>2</v>
      </c>
      <c r="R453" s="160">
        <f t="shared" si="85"/>
        <v>3</v>
      </c>
      <c r="S453" s="158">
        <f t="shared" si="86"/>
        <v>3</v>
      </c>
      <c r="T453" s="161">
        <f t="shared" si="87"/>
        <v>1233</v>
      </c>
      <c r="U453" s="158">
        <f t="shared" si="89"/>
        <v>411</v>
      </c>
      <c r="V453" s="160">
        <f t="shared" si="88"/>
        <v>411</v>
      </c>
    </row>
    <row r="454" spans="1:22" x14ac:dyDescent="0.25">
      <c r="A454" s="98" t="s">
        <v>28</v>
      </c>
      <c r="B454" s="98" t="s">
        <v>32</v>
      </c>
      <c r="C454" s="98">
        <v>32</v>
      </c>
      <c r="D454" s="98">
        <v>3412</v>
      </c>
      <c r="E454" s="157">
        <v>41347.916666666664</v>
      </c>
      <c r="F454" s="157">
        <v>41347.947916666664</v>
      </c>
      <c r="G454" s="98">
        <v>315</v>
      </c>
      <c r="H454" s="98">
        <v>456</v>
      </c>
      <c r="I454" s="98">
        <v>411</v>
      </c>
      <c r="J454" s="98" t="s">
        <v>2162</v>
      </c>
      <c r="K454" s="98" t="s">
        <v>391</v>
      </c>
      <c r="L454" s="105" t="str">
        <f t="shared" si="80"/>
        <v>Brown</v>
      </c>
      <c r="M454" s="105" t="str">
        <f t="shared" si="81"/>
        <v>Derate</v>
      </c>
      <c r="N454" s="105" t="str">
        <f t="shared" si="82"/>
        <v>Coal</v>
      </c>
      <c r="O454" s="105">
        <f>IFERROR(VLOOKUP(A454,Lookup!$J$5:$P$19,7,FALSE),0)</f>
        <v>3</v>
      </c>
      <c r="P454" s="159">
        <f t="shared" si="83"/>
        <v>2013</v>
      </c>
      <c r="Q454" s="159">
        <f t="shared" si="84"/>
        <v>3</v>
      </c>
      <c r="R454" s="160">
        <f t="shared" si="85"/>
        <v>0.75</v>
      </c>
      <c r="S454" s="158">
        <f t="shared" si="86"/>
        <v>0.23190789473684212</v>
      </c>
      <c r="T454" s="161">
        <f t="shared" si="87"/>
        <v>95.31414473684211</v>
      </c>
      <c r="U454" s="158">
        <f t="shared" si="89"/>
        <v>127.08552631578948</v>
      </c>
      <c r="V454" s="160">
        <f t="shared" si="88"/>
        <v>127</v>
      </c>
    </row>
    <row r="455" spans="1:22" x14ac:dyDescent="0.25">
      <c r="A455" s="98" t="s">
        <v>28</v>
      </c>
      <c r="B455" s="98" t="s">
        <v>38</v>
      </c>
      <c r="C455" s="98">
        <v>33</v>
      </c>
      <c r="D455" s="98">
        <v>1812</v>
      </c>
      <c r="E455" s="157">
        <v>41349.007638888892</v>
      </c>
      <c r="F455" s="157">
        <v>41357.239583333336</v>
      </c>
      <c r="G455" s="98">
        <v>0</v>
      </c>
      <c r="H455" s="98">
        <v>456</v>
      </c>
      <c r="I455" s="98">
        <v>411</v>
      </c>
      <c r="J455" s="98" t="s">
        <v>1994</v>
      </c>
      <c r="K455" s="98" t="s">
        <v>392</v>
      </c>
      <c r="L455" s="105" t="str">
        <f t="shared" si="80"/>
        <v>Brown</v>
      </c>
      <c r="M455" s="105" t="str">
        <f t="shared" si="81"/>
        <v>Other</v>
      </c>
      <c r="N455" s="105" t="str">
        <f t="shared" si="82"/>
        <v>Coal</v>
      </c>
      <c r="O455" s="105">
        <f>IFERROR(VLOOKUP(A455,Lookup!$J$5:$P$19,7,FALSE),0)</f>
        <v>3</v>
      </c>
      <c r="P455" s="159">
        <f t="shared" si="83"/>
        <v>2013</v>
      </c>
      <c r="Q455" s="159">
        <f t="shared" si="84"/>
        <v>3</v>
      </c>
      <c r="R455" s="160">
        <f t="shared" si="85"/>
        <v>197.56666666665114</v>
      </c>
      <c r="S455" s="158">
        <f t="shared" si="86"/>
        <v>197.56666666665114</v>
      </c>
      <c r="T455" s="161">
        <f t="shared" si="87"/>
        <v>81199.89999999362</v>
      </c>
      <c r="U455" s="158">
        <f t="shared" si="89"/>
        <v>411</v>
      </c>
      <c r="V455" s="160">
        <f t="shared" si="88"/>
        <v>411</v>
      </c>
    </row>
    <row r="456" spans="1:22" x14ac:dyDescent="0.25">
      <c r="A456" s="98" t="s">
        <v>28</v>
      </c>
      <c r="B456" s="98" t="s">
        <v>18</v>
      </c>
      <c r="C456" s="98">
        <v>34</v>
      </c>
      <c r="D456" s="98">
        <v>860</v>
      </c>
      <c r="E456" s="157">
        <v>41357.239583333336</v>
      </c>
      <c r="F456" s="157">
        <v>41358.106249999997</v>
      </c>
      <c r="G456" s="98">
        <v>0</v>
      </c>
      <c r="H456" s="98">
        <v>456</v>
      </c>
      <c r="I456" s="98">
        <v>411</v>
      </c>
      <c r="J456" s="98" t="s">
        <v>2192</v>
      </c>
      <c r="K456" s="98" t="s">
        <v>393</v>
      </c>
      <c r="L456" s="105" t="str">
        <f t="shared" si="80"/>
        <v>Brown</v>
      </c>
      <c r="M456" s="105" t="str">
        <f t="shared" si="81"/>
        <v>Outage</v>
      </c>
      <c r="N456" s="105" t="str">
        <f t="shared" si="82"/>
        <v>Coal</v>
      </c>
      <c r="O456" s="105">
        <f>IFERROR(VLOOKUP(A456,Lookup!$J$5:$P$19,7,FALSE),0)</f>
        <v>3</v>
      </c>
      <c r="P456" s="159">
        <f t="shared" si="83"/>
        <v>2013</v>
      </c>
      <c r="Q456" s="159">
        <f t="shared" si="84"/>
        <v>3</v>
      </c>
      <c r="R456" s="160">
        <f t="shared" si="85"/>
        <v>20.799999999871943</v>
      </c>
      <c r="S456" s="158">
        <f t="shared" si="86"/>
        <v>20.799999999871943</v>
      </c>
      <c r="T456" s="161">
        <f t="shared" si="87"/>
        <v>8548.7999999473686</v>
      </c>
      <c r="U456" s="158">
        <f t="shared" si="89"/>
        <v>411</v>
      </c>
      <c r="V456" s="160">
        <f t="shared" si="88"/>
        <v>411</v>
      </c>
    </row>
    <row r="457" spans="1:22" x14ac:dyDescent="0.25">
      <c r="A457" s="98" t="s">
        <v>28</v>
      </c>
      <c r="B457" s="98" t="s">
        <v>15</v>
      </c>
      <c r="C457" s="98">
        <v>35</v>
      </c>
      <c r="D457" s="98">
        <v>1750</v>
      </c>
      <c r="E457" s="157">
        <v>41358.152083333334</v>
      </c>
      <c r="F457" s="157">
        <v>41358.176388888889</v>
      </c>
      <c r="G457" s="98">
        <v>0</v>
      </c>
      <c r="H457" s="98">
        <v>456</v>
      </c>
      <c r="I457" s="98">
        <v>411</v>
      </c>
      <c r="J457" s="98" t="s">
        <v>2018</v>
      </c>
      <c r="K457" s="98" t="s">
        <v>394</v>
      </c>
      <c r="L457" s="105" t="str">
        <f t="shared" si="80"/>
        <v>Brown</v>
      </c>
      <c r="M457" s="105" t="str">
        <f t="shared" si="81"/>
        <v>Outage</v>
      </c>
      <c r="N457" s="105" t="str">
        <f t="shared" si="82"/>
        <v>Coal</v>
      </c>
      <c r="O457" s="105">
        <f>IFERROR(VLOOKUP(A457,Lookup!$J$5:$P$19,7,FALSE),0)</f>
        <v>3</v>
      </c>
      <c r="P457" s="159">
        <f t="shared" si="83"/>
        <v>2013</v>
      </c>
      <c r="Q457" s="159">
        <f t="shared" si="84"/>
        <v>3</v>
      </c>
      <c r="R457" s="160">
        <f t="shared" si="85"/>
        <v>0.58333333331393078</v>
      </c>
      <c r="S457" s="158">
        <f t="shared" si="86"/>
        <v>0.58333333331393078</v>
      </c>
      <c r="T457" s="161">
        <f t="shared" si="87"/>
        <v>239.74999999202555</v>
      </c>
      <c r="U457" s="158">
        <f t="shared" si="89"/>
        <v>411</v>
      </c>
      <c r="V457" s="160">
        <f t="shared" si="88"/>
        <v>411</v>
      </c>
    </row>
    <row r="458" spans="1:22" x14ac:dyDescent="0.25">
      <c r="A458" s="98" t="s">
        <v>28</v>
      </c>
      <c r="B458" s="98" t="s">
        <v>15</v>
      </c>
      <c r="C458" s="98">
        <v>36</v>
      </c>
      <c r="D458" s="98">
        <v>810</v>
      </c>
      <c r="E458" s="157">
        <v>41358.345833333333</v>
      </c>
      <c r="F458" s="157">
        <v>41363.1875</v>
      </c>
      <c r="G458" s="98">
        <v>0</v>
      </c>
      <c r="H458" s="98">
        <v>456</v>
      </c>
      <c r="I458" s="98">
        <v>411</v>
      </c>
      <c r="J458" s="98" t="s">
        <v>2193</v>
      </c>
      <c r="K458" s="98" t="s">
        <v>395</v>
      </c>
      <c r="L458" s="105" t="str">
        <f t="shared" si="80"/>
        <v>Brown</v>
      </c>
      <c r="M458" s="105" t="str">
        <f t="shared" si="81"/>
        <v>Outage</v>
      </c>
      <c r="N458" s="105" t="str">
        <f t="shared" si="82"/>
        <v>Coal</v>
      </c>
      <c r="O458" s="105">
        <f>IFERROR(VLOOKUP(A458,Lookup!$J$5:$P$19,7,FALSE),0)</f>
        <v>3</v>
      </c>
      <c r="P458" s="159">
        <f t="shared" si="83"/>
        <v>2013</v>
      </c>
      <c r="Q458" s="159">
        <f t="shared" si="84"/>
        <v>3</v>
      </c>
      <c r="R458" s="160">
        <f t="shared" si="85"/>
        <v>116.20000000001164</v>
      </c>
      <c r="S458" s="158">
        <f t="shared" si="86"/>
        <v>116.20000000001164</v>
      </c>
      <c r="T458" s="161">
        <f t="shared" si="87"/>
        <v>47758.200000004785</v>
      </c>
      <c r="U458" s="158">
        <f t="shared" si="89"/>
        <v>411</v>
      </c>
      <c r="V458" s="160">
        <f t="shared" si="88"/>
        <v>411</v>
      </c>
    </row>
    <row r="459" spans="1:22" x14ac:dyDescent="0.25">
      <c r="A459" s="98" t="s">
        <v>28</v>
      </c>
      <c r="B459" s="98" t="s">
        <v>17</v>
      </c>
      <c r="C459" s="98">
        <v>37</v>
      </c>
      <c r="D459" s="98">
        <v>3410</v>
      </c>
      <c r="E459" s="157">
        <v>41363.517361111109</v>
      </c>
      <c r="F459" s="157">
        <v>41366.0625</v>
      </c>
      <c r="G459" s="98">
        <v>312</v>
      </c>
      <c r="H459" s="98">
        <v>456</v>
      </c>
      <c r="I459" s="98">
        <v>411</v>
      </c>
      <c r="J459" s="98" t="s">
        <v>1983</v>
      </c>
      <c r="K459" s="98" t="s">
        <v>396</v>
      </c>
      <c r="L459" s="105" t="str">
        <f t="shared" si="80"/>
        <v>Brown</v>
      </c>
      <c r="M459" s="105" t="str">
        <f t="shared" si="81"/>
        <v>Derate</v>
      </c>
      <c r="N459" s="105" t="str">
        <f t="shared" si="82"/>
        <v>Coal</v>
      </c>
      <c r="O459" s="105">
        <f>IFERROR(VLOOKUP(A459,Lookup!$J$5:$P$19,7,FALSE),0)</f>
        <v>3</v>
      </c>
      <c r="P459" s="159">
        <f t="shared" si="83"/>
        <v>2013</v>
      </c>
      <c r="Q459" s="159">
        <f t="shared" si="84"/>
        <v>3</v>
      </c>
      <c r="R459" s="160">
        <f t="shared" si="85"/>
        <v>61.083333333372138</v>
      </c>
      <c r="S459" s="158">
        <f t="shared" si="86"/>
        <v>19.289473684222781</v>
      </c>
      <c r="T459" s="161">
        <f t="shared" si="87"/>
        <v>7927.9736842155626</v>
      </c>
      <c r="U459" s="158">
        <f t="shared" si="89"/>
        <v>129.78947368421052</v>
      </c>
      <c r="V459" s="160">
        <f t="shared" si="88"/>
        <v>130</v>
      </c>
    </row>
    <row r="460" spans="1:22" x14ac:dyDescent="0.25">
      <c r="A460" s="98" t="s">
        <v>28</v>
      </c>
      <c r="B460" s="98" t="s">
        <v>17</v>
      </c>
      <c r="C460" s="98">
        <v>38</v>
      </c>
      <c r="D460" s="98">
        <v>3410</v>
      </c>
      <c r="E460" s="157">
        <v>41366.493055555555</v>
      </c>
      <c r="F460" s="157">
        <v>41372.644444444442</v>
      </c>
      <c r="G460" s="98">
        <v>310</v>
      </c>
      <c r="H460" s="98">
        <v>456</v>
      </c>
      <c r="I460" s="98">
        <v>411</v>
      </c>
      <c r="J460" s="98" t="s">
        <v>1983</v>
      </c>
      <c r="K460" s="98" t="s">
        <v>397</v>
      </c>
      <c r="L460" s="105" t="str">
        <f t="shared" si="80"/>
        <v>Brown</v>
      </c>
      <c r="M460" s="105" t="str">
        <f t="shared" si="81"/>
        <v>Derate</v>
      </c>
      <c r="N460" s="105" t="str">
        <f t="shared" si="82"/>
        <v>Coal</v>
      </c>
      <c r="O460" s="105">
        <f>IFERROR(VLOOKUP(A460,Lookup!$J$5:$P$19,7,FALSE),0)</f>
        <v>3</v>
      </c>
      <c r="P460" s="159">
        <f t="shared" si="83"/>
        <v>2013</v>
      </c>
      <c r="Q460" s="159">
        <f t="shared" si="84"/>
        <v>4</v>
      </c>
      <c r="R460" s="160">
        <f t="shared" si="85"/>
        <v>147.63333333330229</v>
      </c>
      <c r="S460" s="158">
        <f t="shared" si="86"/>
        <v>47.268567251452048</v>
      </c>
      <c r="T460" s="161">
        <f t="shared" si="87"/>
        <v>19427.381140346792</v>
      </c>
      <c r="U460" s="158">
        <f t="shared" si="89"/>
        <v>131.59210526315789</v>
      </c>
      <c r="V460" s="160">
        <f t="shared" si="88"/>
        <v>132</v>
      </c>
    </row>
    <row r="461" spans="1:22" x14ac:dyDescent="0.25">
      <c r="A461" s="98" t="s">
        <v>28</v>
      </c>
      <c r="B461" s="98" t="s">
        <v>17</v>
      </c>
      <c r="C461" s="98">
        <v>39</v>
      </c>
      <c r="D461" s="98">
        <v>3410</v>
      </c>
      <c r="E461" s="157">
        <v>41373.631944444445</v>
      </c>
      <c r="F461" s="157">
        <v>41374.394444444442</v>
      </c>
      <c r="G461" s="98">
        <v>310</v>
      </c>
      <c r="H461" s="98">
        <v>456</v>
      </c>
      <c r="I461" s="98">
        <v>411</v>
      </c>
      <c r="J461" s="98" t="s">
        <v>1983</v>
      </c>
      <c r="K461" s="98" t="s">
        <v>398</v>
      </c>
      <c r="L461" s="105" t="str">
        <f t="shared" si="80"/>
        <v>Brown</v>
      </c>
      <c r="M461" s="105" t="str">
        <f t="shared" si="81"/>
        <v>Derate</v>
      </c>
      <c r="N461" s="105" t="str">
        <f t="shared" si="82"/>
        <v>Coal</v>
      </c>
      <c r="O461" s="105">
        <f>IFERROR(VLOOKUP(A461,Lookup!$J$5:$P$19,7,FALSE),0)</f>
        <v>3</v>
      </c>
      <c r="P461" s="159">
        <f t="shared" si="83"/>
        <v>2013</v>
      </c>
      <c r="Q461" s="159">
        <f t="shared" si="84"/>
        <v>4</v>
      </c>
      <c r="R461" s="160">
        <f t="shared" si="85"/>
        <v>18.299999999930151</v>
      </c>
      <c r="S461" s="158">
        <f t="shared" si="86"/>
        <v>5.8592105262934258</v>
      </c>
      <c r="T461" s="161">
        <f t="shared" si="87"/>
        <v>2408.135526306598</v>
      </c>
      <c r="U461" s="158">
        <f t="shared" si="89"/>
        <v>131.59210526315789</v>
      </c>
      <c r="V461" s="160">
        <f t="shared" si="88"/>
        <v>132</v>
      </c>
    </row>
    <row r="462" spans="1:22" x14ac:dyDescent="0.25">
      <c r="A462" s="98" t="s">
        <v>28</v>
      </c>
      <c r="B462" s="98" t="s">
        <v>17</v>
      </c>
      <c r="C462" s="98">
        <v>40</v>
      </c>
      <c r="D462" s="98">
        <v>3410</v>
      </c>
      <c r="E462" s="157">
        <v>41374.394444444442</v>
      </c>
      <c r="F462" s="157">
        <v>41379.444444444445</v>
      </c>
      <c r="G462" s="98">
        <v>320</v>
      </c>
      <c r="H462" s="98">
        <v>456</v>
      </c>
      <c r="I462" s="98">
        <v>411</v>
      </c>
      <c r="J462" s="98" t="s">
        <v>1983</v>
      </c>
      <c r="K462" s="98" t="s">
        <v>399</v>
      </c>
      <c r="L462" s="105" t="str">
        <f t="shared" si="80"/>
        <v>Brown</v>
      </c>
      <c r="M462" s="105" t="str">
        <f t="shared" si="81"/>
        <v>Derate</v>
      </c>
      <c r="N462" s="105" t="str">
        <f t="shared" si="82"/>
        <v>Coal</v>
      </c>
      <c r="O462" s="105">
        <f>IFERROR(VLOOKUP(A462,Lookup!$J$5:$P$19,7,FALSE),0)</f>
        <v>3</v>
      </c>
      <c r="P462" s="159">
        <f t="shared" si="83"/>
        <v>2013</v>
      </c>
      <c r="Q462" s="159">
        <f t="shared" si="84"/>
        <v>4</v>
      </c>
      <c r="R462" s="160">
        <f t="shared" si="85"/>
        <v>121.20000000006985</v>
      </c>
      <c r="S462" s="158">
        <f t="shared" si="86"/>
        <v>36.147368421073466</v>
      </c>
      <c r="T462" s="161">
        <f t="shared" si="87"/>
        <v>14856.568421061194</v>
      </c>
      <c r="U462" s="158">
        <f t="shared" si="89"/>
        <v>122.57894736842105</v>
      </c>
      <c r="V462" s="160">
        <f t="shared" si="88"/>
        <v>123</v>
      </c>
    </row>
    <row r="463" spans="1:22" x14ac:dyDescent="0.25">
      <c r="A463" s="98" t="s">
        <v>28</v>
      </c>
      <c r="B463" s="98" t="s">
        <v>17</v>
      </c>
      <c r="C463" s="98">
        <v>41</v>
      </c>
      <c r="D463" s="98">
        <v>3410</v>
      </c>
      <c r="E463" s="157">
        <v>41379.444444444445</v>
      </c>
      <c r="F463" s="157">
        <v>41379.5625</v>
      </c>
      <c r="G463" s="98">
        <v>310</v>
      </c>
      <c r="H463" s="98">
        <v>456</v>
      </c>
      <c r="I463" s="98">
        <v>411</v>
      </c>
      <c r="J463" s="98" t="s">
        <v>1983</v>
      </c>
      <c r="K463" s="98" t="s">
        <v>399</v>
      </c>
      <c r="L463" s="105" t="str">
        <f t="shared" si="80"/>
        <v>Brown</v>
      </c>
      <c r="M463" s="105" t="str">
        <f t="shared" si="81"/>
        <v>Derate</v>
      </c>
      <c r="N463" s="105" t="str">
        <f t="shared" si="82"/>
        <v>Coal</v>
      </c>
      <c r="O463" s="105">
        <f>IFERROR(VLOOKUP(A463,Lookup!$J$5:$P$19,7,FALSE),0)</f>
        <v>3</v>
      </c>
      <c r="P463" s="159">
        <f t="shared" si="83"/>
        <v>2013</v>
      </c>
      <c r="Q463" s="159">
        <f t="shared" si="84"/>
        <v>4</v>
      </c>
      <c r="R463" s="160">
        <f t="shared" si="85"/>
        <v>2.8333333333139308</v>
      </c>
      <c r="S463" s="158">
        <f t="shared" si="86"/>
        <v>0.90716374268384625</v>
      </c>
      <c r="T463" s="161">
        <f t="shared" si="87"/>
        <v>372.84429824306079</v>
      </c>
      <c r="U463" s="158">
        <f t="shared" si="89"/>
        <v>131.59210526315789</v>
      </c>
      <c r="V463" s="160">
        <f t="shared" si="88"/>
        <v>132</v>
      </c>
    </row>
    <row r="464" spans="1:22" x14ac:dyDescent="0.25">
      <c r="A464" s="98" t="s">
        <v>28</v>
      </c>
      <c r="B464" s="98" t="s">
        <v>17</v>
      </c>
      <c r="C464" s="98">
        <v>42</v>
      </c>
      <c r="D464" s="98">
        <v>3410</v>
      </c>
      <c r="E464" s="157">
        <v>41379.5625</v>
      </c>
      <c r="F464" s="157">
        <v>41382.868055555555</v>
      </c>
      <c r="G464" s="98">
        <v>320</v>
      </c>
      <c r="H464" s="98">
        <v>456</v>
      </c>
      <c r="I464" s="98">
        <v>411</v>
      </c>
      <c r="J464" s="98" t="s">
        <v>1983</v>
      </c>
      <c r="K464" s="98" t="s">
        <v>399</v>
      </c>
      <c r="L464" s="105" t="str">
        <f t="shared" si="80"/>
        <v>Brown</v>
      </c>
      <c r="M464" s="105" t="str">
        <f t="shared" si="81"/>
        <v>Derate</v>
      </c>
      <c r="N464" s="105" t="str">
        <f t="shared" si="82"/>
        <v>Coal</v>
      </c>
      <c r="O464" s="105">
        <f>IFERROR(VLOOKUP(A464,Lookup!$J$5:$P$19,7,FALSE),0)</f>
        <v>3</v>
      </c>
      <c r="P464" s="159">
        <f t="shared" si="83"/>
        <v>2013</v>
      </c>
      <c r="Q464" s="159">
        <f t="shared" si="84"/>
        <v>4</v>
      </c>
      <c r="R464" s="160">
        <f t="shared" si="85"/>
        <v>79.333333333313931</v>
      </c>
      <c r="S464" s="158">
        <f t="shared" si="86"/>
        <v>23.660818713444506</v>
      </c>
      <c r="T464" s="161">
        <f t="shared" si="87"/>
        <v>9724.5964912256914</v>
      </c>
      <c r="U464" s="158">
        <f t="shared" si="89"/>
        <v>122.57894736842105</v>
      </c>
      <c r="V464" s="160">
        <f t="shared" si="88"/>
        <v>123</v>
      </c>
    </row>
    <row r="465" spans="1:22" x14ac:dyDescent="0.25">
      <c r="A465" s="98" t="s">
        <v>28</v>
      </c>
      <c r="B465" s="98" t="s">
        <v>17</v>
      </c>
      <c r="C465" s="98">
        <v>43</v>
      </c>
      <c r="D465" s="98">
        <v>3412</v>
      </c>
      <c r="E465" s="157">
        <v>41383.90625</v>
      </c>
      <c r="F465" s="157">
        <v>41384.048611111109</v>
      </c>
      <c r="G465" s="98">
        <v>310</v>
      </c>
      <c r="H465" s="98">
        <v>456</v>
      </c>
      <c r="I465" s="98">
        <v>411</v>
      </c>
      <c r="J465" s="98" t="s">
        <v>2162</v>
      </c>
      <c r="K465" s="98" t="s">
        <v>400</v>
      </c>
      <c r="L465" s="105" t="str">
        <f t="shared" si="80"/>
        <v>Brown</v>
      </c>
      <c r="M465" s="105" t="str">
        <f t="shared" si="81"/>
        <v>Derate</v>
      </c>
      <c r="N465" s="105" t="str">
        <f t="shared" si="82"/>
        <v>Coal</v>
      </c>
      <c r="O465" s="105">
        <f>IFERROR(VLOOKUP(A465,Lookup!$J$5:$P$19,7,FALSE),0)</f>
        <v>3</v>
      </c>
      <c r="P465" s="159">
        <f t="shared" si="83"/>
        <v>2013</v>
      </c>
      <c r="Q465" s="159">
        <f t="shared" si="84"/>
        <v>4</v>
      </c>
      <c r="R465" s="160">
        <f t="shared" si="85"/>
        <v>3.4166666666278616</v>
      </c>
      <c r="S465" s="158">
        <f t="shared" si="86"/>
        <v>1.0939327485255872</v>
      </c>
      <c r="T465" s="161">
        <f t="shared" si="87"/>
        <v>449.60635964401632</v>
      </c>
      <c r="U465" s="158">
        <f t="shared" si="89"/>
        <v>131.59210526315789</v>
      </c>
      <c r="V465" s="160">
        <f t="shared" si="88"/>
        <v>132</v>
      </c>
    </row>
    <row r="466" spans="1:22" x14ac:dyDescent="0.25">
      <c r="A466" s="98" t="s">
        <v>28</v>
      </c>
      <c r="B466" s="98" t="s">
        <v>17</v>
      </c>
      <c r="C466" s="98">
        <v>44</v>
      </c>
      <c r="D466" s="98">
        <v>3412</v>
      </c>
      <c r="E466" s="157">
        <v>41384.09375</v>
      </c>
      <c r="F466" s="157">
        <v>41384.926388888889</v>
      </c>
      <c r="G466" s="98">
        <v>320</v>
      </c>
      <c r="H466" s="98">
        <v>456</v>
      </c>
      <c r="I466" s="98">
        <v>411</v>
      </c>
      <c r="J466" s="98" t="s">
        <v>2162</v>
      </c>
      <c r="K466" s="98" t="s">
        <v>400</v>
      </c>
      <c r="L466" s="105" t="str">
        <f t="shared" ref="L466:L529" si="90">IF(OR(A466="BR1",A466="BR2",A466="BR3",A466="BR5",A466="BR6",A466="BR7",A466="BR8",A466="BR9",A466="BR10",A466="BR11"),"Brown",IF(OR(A466="CR4",A466="CR5",A466="CR6",A466="CR11"),"Cane Run",IF(OR(A466="GH1",A466="GH2",A466="GH3",A466="GH4"),"Ghent",IF(OR(A466="GR3",A466="GR4"),"Green River",IF(OR(A466="MC1",A466="MC2",A466="MC3",A466="MC4"),"Mill Creek",IF(OR(A466="TC1",A466="TC2",A466="TC5",A466="TC6",A466="TC7",A466="TC8",A466="TC9",A466="TC10"),"Trimble",IF(A466="TY3","Tyrone",IF(OR(A466="HA1",A466="HA2",A466="HA3"),"Haeflin",IF(OR(A466="PR11",A466="PR12",A466="PR13"),"Paddy's Run","Zorn")))))))))</f>
        <v>Brown</v>
      </c>
      <c r="M466" s="105" t="str">
        <f t="shared" ref="M466:M529" si="91">IF(OR(B466="D1",B466="D2",B466="D3",B466="D4",B466="PD"),"Derate",IF(OR(B466="SF",B466="U1",B466="U2",B466="U3"),"Outage",IF(OR(B466="ME",B466="MO"),"Maintenance","Other")))</f>
        <v>Derate</v>
      </c>
      <c r="N466" s="105" t="str">
        <f t="shared" ref="N466:N529" si="92">IF(OR(A466="BR1",A466="BR2",A466="BR3",A466="CR4",A466="CR5",A466="CR6",A466="GH1",A466="GH2",A466="GH3",A466="GH4",A466="GR3",A466="GR4",A466="MC1",A466="MC2",A466="MC3",A466="MC4",A466="TC1",A466="TC2",A466="TY3"),"Coal","Gas")</f>
        <v>Coal</v>
      </c>
      <c r="O466" s="105">
        <f>IFERROR(VLOOKUP(A466,Lookup!$J$5:$P$19,7,FALSE),0)</f>
        <v>3</v>
      </c>
      <c r="P466" s="159">
        <f t="shared" ref="P466:P529" si="93">YEAR(E466)</f>
        <v>2013</v>
      </c>
      <c r="Q466" s="159">
        <f t="shared" ref="Q466:Q529" si="94">MONTH(E466)</f>
        <v>4</v>
      </c>
      <c r="R466" s="160">
        <f t="shared" ref="R466:R529" si="95">(F466-E466)*24</f>
        <v>19.983333333337214</v>
      </c>
      <c r="S466" s="158">
        <f t="shared" ref="S466:S529" si="96">R466*(H466-G466)/H466</f>
        <v>5.9599415204689938</v>
      </c>
      <c r="T466" s="161">
        <f t="shared" ref="T466:T529" si="97">S466*I466</f>
        <v>2449.5359649127563</v>
      </c>
      <c r="U466" s="158">
        <f t="shared" si="89"/>
        <v>122.57894736842105</v>
      </c>
      <c r="V466" s="160">
        <f t="shared" ref="V466:V529" si="98">ROUND(U466,0)</f>
        <v>123</v>
      </c>
    </row>
    <row r="467" spans="1:22" x14ac:dyDescent="0.25">
      <c r="A467" s="98" t="s">
        <v>28</v>
      </c>
      <c r="B467" s="98" t="s">
        <v>17</v>
      </c>
      <c r="C467" s="98">
        <v>45</v>
      </c>
      <c r="D467" s="98">
        <v>3410</v>
      </c>
      <c r="E467" s="157">
        <v>41387.430555555555</v>
      </c>
      <c r="F467" s="157">
        <v>41397.369444444441</v>
      </c>
      <c r="G467" s="98">
        <v>320</v>
      </c>
      <c r="H467" s="98">
        <v>456</v>
      </c>
      <c r="I467" s="98">
        <v>411</v>
      </c>
      <c r="J467" s="98" t="s">
        <v>1983</v>
      </c>
      <c r="K467" s="98" t="s">
        <v>401</v>
      </c>
      <c r="L467" s="105" t="str">
        <f t="shared" si="90"/>
        <v>Brown</v>
      </c>
      <c r="M467" s="105" t="str">
        <f t="shared" si="91"/>
        <v>Derate</v>
      </c>
      <c r="N467" s="105" t="str">
        <f t="shared" si="92"/>
        <v>Coal</v>
      </c>
      <c r="O467" s="105">
        <f>IFERROR(VLOOKUP(A467,Lookup!$J$5:$P$19,7,FALSE),0)</f>
        <v>3</v>
      </c>
      <c r="P467" s="159">
        <f t="shared" si="93"/>
        <v>2013</v>
      </c>
      <c r="Q467" s="159">
        <f t="shared" si="94"/>
        <v>4</v>
      </c>
      <c r="R467" s="160">
        <f t="shared" si="95"/>
        <v>238.53333333326736</v>
      </c>
      <c r="S467" s="158">
        <f t="shared" si="96"/>
        <v>71.141520467816576</v>
      </c>
      <c r="T467" s="161">
        <f t="shared" si="97"/>
        <v>29239.164912272612</v>
      </c>
      <c r="U467" s="158">
        <f t="shared" ref="U467:U530" si="99">IF(G467&gt;0,MAX((H467-G467),0)*I467/H467,I467)</f>
        <v>122.57894736842105</v>
      </c>
      <c r="V467" s="160">
        <f t="shared" si="98"/>
        <v>123</v>
      </c>
    </row>
    <row r="468" spans="1:22" x14ac:dyDescent="0.25">
      <c r="A468" s="98" t="s">
        <v>28</v>
      </c>
      <c r="B468" s="98" t="s">
        <v>20</v>
      </c>
      <c r="C468" s="98">
        <v>46</v>
      </c>
      <c r="D468" s="98">
        <v>360</v>
      </c>
      <c r="E468" s="157">
        <v>41397.369444444441</v>
      </c>
      <c r="F468" s="157">
        <v>41399.47152777778</v>
      </c>
      <c r="G468" s="98">
        <v>0</v>
      </c>
      <c r="H468" s="98">
        <v>456</v>
      </c>
      <c r="I468" s="98">
        <v>411</v>
      </c>
      <c r="J468" s="98" t="s">
        <v>229</v>
      </c>
      <c r="K468" s="98" t="s">
        <v>402</v>
      </c>
      <c r="L468" s="105" t="str">
        <f t="shared" si="90"/>
        <v>Brown</v>
      </c>
      <c r="M468" s="105" t="str">
        <f t="shared" si="91"/>
        <v>Maintenance</v>
      </c>
      <c r="N468" s="105" t="str">
        <f t="shared" si="92"/>
        <v>Coal</v>
      </c>
      <c r="O468" s="105">
        <f>IFERROR(VLOOKUP(A468,Lookup!$J$5:$P$19,7,FALSE),0)</f>
        <v>3</v>
      </c>
      <c r="P468" s="159">
        <f t="shared" si="93"/>
        <v>2013</v>
      </c>
      <c r="Q468" s="159">
        <f t="shared" si="94"/>
        <v>5</v>
      </c>
      <c r="R468" s="160">
        <f t="shared" si="95"/>
        <v>50.450000000128057</v>
      </c>
      <c r="S468" s="158">
        <f t="shared" si="96"/>
        <v>50.450000000128057</v>
      </c>
      <c r="T468" s="161">
        <f t="shared" si="97"/>
        <v>20734.950000052631</v>
      </c>
      <c r="U468" s="158">
        <f t="shared" si="99"/>
        <v>411</v>
      </c>
      <c r="V468" s="160">
        <f t="shared" si="98"/>
        <v>411</v>
      </c>
    </row>
    <row r="469" spans="1:22" x14ac:dyDescent="0.25">
      <c r="A469" s="98" t="s">
        <v>28</v>
      </c>
      <c r="B469" s="98" t="s">
        <v>17</v>
      </c>
      <c r="C469" s="98">
        <v>47</v>
      </c>
      <c r="D469" s="98">
        <v>3410</v>
      </c>
      <c r="E469" s="157">
        <v>41399.623611111114</v>
      </c>
      <c r="F469" s="157">
        <v>41407.4375</v>
      </c>
      <c r="G469" s="98">
        <v>320</v>
      </c>
      <c r="H469" s="98">
        <v>456</v>
      </c>
      <c r="I469" s="98">
        <v>411</v>
      </c>
      <c r="J469" s="98" t="s">
        <v>1983</v>
      </c>
      <c r="K469" s="98" t="s">
        <v>403</v>
      </c>
      <c r="L469" s="105" t="str">
        <f t="shared" si="90"/>
        <v>Brown</v>
      </c>
      <c r="M469" s="105" t="str">
        <f t="shared" si="91"/>
        <v>Derate</v>
      </c>
      <c r="N469" s="105" t="str">
        <f t="shared" si="92"/>
        <v>Coal</v>
      </c>
      <c r="O469" s="105">
        <f>IFERROR(VLOOKUP(A469,Lookup!$J$5:$P$19,7,FALSE),0)</f>
        <v>3</v>
      </c>
      <c r="P469" s="159">
        <f t="shared" si="93"/>
        <v>2013</v>
      </c>
      <c r="Q469" s="159">
        <f t="shared" si="94"/>
        <v>5</v>
      </c>
      <c r="R469" s="160">
        <f t="shared" si="95"/>
        <v>187.53333333326736</v>
      </c>
      <c r="S469" s="158">
        <f t="shared" si="96"/>
        <v>55.930994152027111</v>
      </c>
      <c r="T469" s="161">
        <f t="shared" si="97"/>
        <v>22987.638596483142</v>
      </c>
      <c r="U469" s="158">
        <f t="shared" si="99"/>
        <v>122.57894736842105</v>
      </c>
      <c r="V469" s="160">
        <f t="shared" si="98"/>
        <v>123</v>
      </c>
    </row>
    <row r="470" spans="1:22" x14ac:dyDescent="0.25">
      <c r="A470" s="98" t="s">
        <v>28</v>
      </c>
      <c r="B470" s="98" t="s">
        <v>17</v>
      </c>
      <c r="C470" s="98">
        <v>48</v>
      </c>
      <c r="D470" s="98">
        <v>253</v>
      </c>
      <c r="E470" s="157">
        <v>41413.527777777781</v>
      </c>
      <c r="F470" s="157">
        <v>41413.663194444445</v>
      </c>
      <c r="G470" s="98">
        <v>325</v>
      </c>
      <c r="H470" s="98">
        <v>456</v>
      </c>
      <c r="I470" s="98">
        <v>411</v>
      </c>
      <c r="J470" s="98" t="s">
        <v>1999</v>
      </c>
      <c r="K470" s="98" t="s">
        <v>404</v>
      </c>
      <c r="L470" s="105" t="str">
        <f t="shared" si="90"/>
        <v>Brown</v>
      </c>
      <c r="M470" s="105" t="str">
        <f t="shared" si="91"/>
        <v>Derate</v>
      </c>
      <c r="N470" s="105" t="str">
        <f t="shared" si="92"/>
        <v>Coal</v>
      </c>
      <c r="O470" s="105">
        <f>IFERROR(VLOOKUP(A470,Lookup!$J$5:$P$19,7,FALSE),0)</f>
        <v>3</v>
      </c>
      <c r="P470" s="159">
        <f t="shared" si="93"/>
        <v>2013</v>
      </c>
      <c r="Q470" s="159">
        <f t="shared" si="94"/>
        <v>5</v>
      </c>
      <c r="R470" s="160">
        <f t="shared" si="95"/>
        <v>3.2499999999417923</v>
      </c>
      <c r="S470" s="158">
        <f t="shared" si="96"/>
        <v>0.93366228068503243</v>
      </c>
      <c r="T470" s="161">
        <f t="shared" si="97"/>
        <v>383.73519736154833</v>
      </c>
      <c r="U470" s="158">
        <f t="shared" si="99"/>
        <v>118.07236842105263</v>
      </c>
      <c r="V470" s="160">
        <f t="shared" si="98"/>
        <v>118</v>
      </c>
    </row>
    <row r="471" spans="1:22" x14ac:dyDescent="0.25">
      <c r="A471" s="98" t="s">
        <v>28</v>
      </c>
      <c r="B471" s="98" t="s">
        <v>17</v>
      </c>
      <c r="C471" s="98">
        <v>49</v>
      </c>
      <c r="D471" s="98">
        <v>253</v>
      </c>
      <c r="E471" s="157">
        <v>41413.670138888891</v>
      </c>
      <c r="F471" s="157">
        <v>41413.796527777777</v>
      </c>
      <c r="G471" s="98">
        <v>350</v>
      </c>
      <c r="H471" s="98">
        <v>456</v>
      </c>
      <c r="I471" s="98">
        <v>411</v>
      </c>
      <c r="J471" s="98" t="s">
        <v>1999</v>
      </c>
      <c r="K471" s="98" t="s">
        <v>405</v>
      </c>
      <c r="L471" s="105" t="str">
        <f t="shared" si="90"/>
        <v>Brown</v>
      </c>
      <c r="M471" s="105" t="str">
        <f t="shared" si="91"/>
        <v>Derate</v>
      </c>
      <c r="N471" s="105" t="str">
        <f t="shared" si="92"/>
        <v>Coal</v>
      </c>
      <c r="O471" s="105">
        <f>IFERROR(VLOOKUP(A471,Lookup!$J$5:$P$19,7,FALSE),0)</f>
        <v>3</v>
      </c>
      <c r="P471" s="159">
        <f t="shared" si="93"/>
        <v>2013</v>
      </c>
      <c r="Q471" s="159">
        <f t="shared" si="94"/>
        <v>5</v>
      </c>
      <c r="R471" s="160">
        <f t="shared" si="95"/>
        <v>3.0333333332673647</v>
      </c>
      <c r="S471" s="158">
        <f t="shared" si="96"/>
        <v>0.70511695904899263</v>
      </c>
      <c r="T471" s="161">
        <f t="shared" si="97"/>
        <v>289.80307016913599</v>
      </c>
      <c r="U471" s="158">
        <f t="shared" si="99"/>
        <v>95.53947368421052</v>
      </c>
      <c r="V471" s="160">
        <f t="shared" si="98"/>
        <v>96</v>
      </c>
    </row>
    <row r="472" spans="1:22" x14ac:dyDescent="0.25">
      <c r="A472" s="98" t="s">
        <v>28</v>
      </c>
      <c r="B472" s="98" t="s">
        <v>17</v>
      </c>
      <c r="C472" s="98">
        <v>50</v>
      </c>
      <c r="D472" s="98">
        <v>310</v>
      </c>
      <c r="E472" s="157">
        <v>41414.531944444447</v>
      </c>
      <c r="F472" s="157">
        <v>41414.557638888888</v>
      </c>
      <c r="G472" s="98">
        <v>370</v>
      </c>
      <c r="H472" s="98">
        <v>456</v>
      </c>
      <c r="I472" s="98">
        <v>411</v>
      </c>
      <c r="J472" s="98" t="s">
        <v>1966</v>
      </c>
      <c r="K472" s="98" t="s">
        <v>406</v>
      </c>
      <c r="L472" s="105" t="str">
        <f t="shared" si="90"/>
        <v>Brown</v>
      </c>
      <c r="M472" s="105" t="str">
        <f t="shared" si="91"/>
        <v>Derate</v>
      </c>
      <c r="N472" s="105" t="str">
        <f t="shared" si="92"/>
        <v>Coal</v>
      </c>
      <c r="O472" s="105">
        <f>IFERROR(VLOOKUP(A472,Lookup!$J$5:$P$19,7,FALSE),0)</f>
        <v>3</v>
      </c>
      <c r="P472" s="159">
        <f t="shared" si="93"/>
        <v>2013</v>
      </c>
      <c r="Q472" s="159">
        <f t="shared" si="94"/>
        <v>5</v>
      </c>
      <c r="R472" s="160">
        <f t="shared" si="95"/>
        <v>0.61666666658129543</v>
      </c>
      <c r="S472" s="158">
        <f t="shared" si="96"/>
        <v>0.11630116957454256</v>
      </c>
      <c r="T472" s="161">
        <f t="shared" si="97"/>
        <v>47.799780695136995</v>
      </c>
      <c r="U472" s="158">
        <f t="shared" si="99"/>
        <v>77.513157894736835</v>
      </c>
      <c r="V472" s="160">
        <f t="shared" si="98"/>
        <v>78</v>
      </c>
    </row>
    <row r="473" spans="1:22" x14ac:dyDescent="0.25">
      <c r="A473" s="98" t="s">
        <v>28</v>
      </c>
      <c r="B473" s="98" t="s">
        <v>32</v>
      </c>
      <c r="C473" s="98">
        <v>51</v>
      </c>
      <c r="D473" s="98">
        <v>250</v>
      </c>
      <c r="E473" s="157">
        <v>41414.958333333336</v>
      </c>
      <c r="F473" s="157">
        <v>41415.198611111111</v>
      </c>
      <c r="G473" s="98">
        <v>350</v>
      </c>
      <c r="H473" s="98">
        <v>456</v>
      </c>
      <c r="I473" s="98">
        <v>411</v>
      </c>
      <c r="J473" s="98" t="s">
        <v>1978</v>
      </c>
      <c r="K473" s="98" t="s">
        <v>407</v>
      </c>
      <c r="L473" s="105" t="str">
        <f t="shared" si="90"/>
        <v>Brown</v>
      </c>
      <c r="M473" s="105" t="str">
        <f t="shared" si="91"/>
        <v>Derate</v>
      </c>
      <c r="N473" s="105" t="str">
        <f t="shared" si="92"/>
        <v>Coal</v>
      </c>
      <c r="O473" s="105">
        <f>IFERROR(VLOOKUP(A473,Lookup!$J$5:$P$19,7,FALSE),0)</f>
        <v>3</v>
      </c>
      <c r="P473" s="159">
        <f t="shared" si="93"/>
        <v>2013</v>
      </c>
      <c r="Q473" s="159">
        <f t="shared" si="94"/>
        <v>5</v>
      </c>
      <c r="R473" s="160">
        <f t="shared" si="95"/>
        <v>5.7666666666045785</v>
      </c>
      <c r="S473" s="158">
        <f t="shared" si="96"/>
        <v>1.340497076008959</v>
      </c>
      <c r="T473" s="161">
        <f t="shared" si="97"/>
        <v>550.9442982396821</v>
      </c>
      <c r="U473" s="158">
        <f t="shared" si="99"/>
        <v>95.53947368421052</v>
      </c>
      <c r="V473" s="160">
        <f t="shared" si="98"/>
        <v>96</v>
      </c>
    </row>
    <row r="474" spans="1:22" x14ac:dyDescent="0.25">
      <c r="A474" s="98" t="s">
        <v>28</v>
      </c>
      <c r="B474" s="98" t="s">
        <v>17</v>
      </c>
      <c r="C474" s="98">
        <v>52</v>
      </c>
      <c r="D474" s="98">
        <v>310</v>
      </c>
      <c r="E474" s="157">
        <v>41419.542361111111</v>
      </c>
      <c r="F474" s="157">
        <v>41419.777777777781</v>
      </c>
      <c r="G474" s="98">
        <v>350</v>
      </c>
      <c r="H474" s="98">
        <v>456</v>
      </c>
      <c r="I474" s="98">
        <v>411</v>
      </c>
      <c r="J474" s="98" t="s">
        <v>1966</v>
      </c>
      <c r="K474" s="98" t="s">
        <v>408</v>
      </c>
      <c r="L474" s="105" t="str">
        <f t="shared" si="90"/>
        <v>Brown</v>
      </c>
      <c r="M474" s="105" t="str">
        <f t="shared" si="91"/>
        <v>Derate</v>
      </c>
      <c r="N474" s="105" t="str">
        <f t="shared" si="92"/>
        <v>Coal</v>
      </c>
      <c r="O474" s="105">
        <f>IFERROR(VLOOKUP(A474,Lookup!$J$5:$P$19,7,FALSE),0)</f>
        <v>3</v>
      </c>
      <c r="P474" s="159">
        <f t="shared" si="93"/>
        <v>2013</v>
      </c>
      <c r="Q474" s="159">
        <f t="shared" si="94"/>
        <v>5</v>
      </c>
      <c r="R474" s="160">
        <f t="shared" si="95"/>
        <v>5.6500000000814907</v>
      </c>
      <c r="S474" s="158">
        <f t="shared" si="96"/>
        <v>1.3133771930013991</v>
      </c>
      <c r="T474" s="161">
        <f t="shared" si="97"/>
        <v>539.79802632357507</v>
      </c>
      <c r="U474" s="158">
        <f t="shared" si="99"/>
        <v>95.53947368421052</v>
      </c>
      <c r="V474" s="160">
        <f t="shared" si="98"/>
        <v>96</v>
      </c>
    </row>
    <row r="475" spans="1:22" x14ac:dyDescent="0.25">
      <c r="A475" s="98" t="s">
        <v>28</v>
      </c>
      <c r="B475" s="98" t="s">
        <v>17</v>
      </c>
      <c r="C475" s="98">
        <v>53</v>
      </c>
      <c r="D475" s="98">
        <v>3410</v>
      </c>
      <c r="E475" s="157">
        <v>41424.774305555555</v>
      </c>
      <c r="F475" s="157">
        <v>41424.799305555556</v>
      </c>
      <c r="G475" s="98">
        <v>310</v>
      </c>
      <c r="H475" s="98">
        <v>456</v>
      </c>
      <c r="I475" s="98">
        <v>411</v>
      </c>
      <c r="J475" s="98" t="s">
        <v>1983</v>
      </c>
      <c r="K475" s="98" t="s">
        <v>409</v>
      </c>
      <c r="L475" s="105" t="str">
        <f t="shared" si="90"/>
        <v>Brown</v>
      </c>
      <c r="M475" s="105" t="str">
        <f t="shared" si="91"/>
        <v>Derate</v>
      </c>
      <c r="N475" s="105" t="str">
        <f t="shared" si="92"/>
        <v>Coal</v>
      </c>
      <c r="O475" s="105">
        <f>IFERROR(VLOOKUP(A475,Lookup!$J$5:$P$19,7,FALSE),0)</f>
        <v>3</v>
      </c>
      <c r="P475" s="159">
        <f t="shared" si="93"/>
        <v>2013</v>
      </c>
      <c r="Q475" s="159">
        <f t="shared" si="94"/>
        <v>5</v>
      </c>
      <c r="R475" s="160">
        <f t="shared" si="95"/>
        <v>0.6000000000349246</v>
      </c>
      <c r="S475" s="158">
        <f t="shared" si="96"/>
        <v>0.19210526316907672</v>
      </c>
      <c r="T475" s="161">
        <f t="shared" si="97"/>
        <v>78.955263162490539</v>
      </c>
      <c r="U475" s="158">
        <f t="shared" si="99"/>
        <v>131.59210526315789</v>
      </c>
      <c r="V475" s="160">
        <f t="shared" si="98"/>
        <v>132</v>
      </c>
    </row>
    <row r="476" spans="1:22" x14ac:dyDescent="0.25">
      <c r="A476" s="98" t="s">
        <v>28</v>
      </c>
      <c r="B476" s="98" t="s">
        <v>17</v>
      </c>
      <c r="C476" s="98">
        <v>54</v>
      </c>
      <c r="D476" s="98">
        <v>3410</v>
      </c>
      <c r="E476" s="157">
        <v>41424.799305555556</v>
      </c>
      <c r="F476" s="157">
        <v>41425.137499999997</v>
      </c>
      <c r="G476" s="98">
        <v>320</v>
      </c>
      <c r="H476" s="98">
        <v>456</v>
      </c>
      <c r="I476" s="98">
        <v>411</v>
      </c>
      <c r="J476" s="98" t="s">
        <v>1983</v>
      </c>
      <c r="K476" s="98" t="s">
        <v>410</v>
      </c>
      <c r="L476" s="105" t="str">
        <f t="shared" si="90"/>
        <v>Brown</v>
      </c>
      <c r="M476" s="105" t="str">
        <f t="shared" si="91"/>
        <v>Derate</v>
      </c>
      <c r="N476" s="105" t="str">
        <f t="shared" si="92"/>
        <v>Coal</v>
      </c>
      <c r="O476" s="105">
        <f>IFERROR(VLOOKUP(A476,Lookup!$J$5:$P$19,7,FALSE),0)</f>
        <v>3</v>
      </c>
      <c r="P476" s="159">
        <f t="shared" si="93"/>
        <v>2013</v>
      </c>
      <c r="Q476" s="159">
        <f t="shared" si="94"/>
        <v>5</v>
      </c>
      <c r="R476" s="160">
        <f t="shared" si="95"/>
        <v>8.1166666665812954</v>
      </c>
      <c r="S476" s="158">
        <f t="shared" si="96"/>
        <v>2.420760233892667</v>
      </c>
      <c r="T476" s="161">
        <f t="shared" si="97"/>
        <v>994.93245612988619</v>
      </c>
      <c r="U476" s="158">
        <f t="shared" si="99"/>
        <v>122.57894736842105</v>
      </c>
      <c r="V476" s="160">
        <f t="shared" si="98"/>
        <v>123</v>
      </c>
    </row>
    <row r="477" spans="1:22" x14ac:dyDescent="0.25">
      <c r="A477" s="98" t="s">
        <v>28</v>
      </c>
      <c r="B477" s="98" t="s">
        <v>32</v>
      </c>
      <c r="C477" s="98">
        <v>55</v>
      </c>
      <c r="D477" s="98">
        <v>350</v>
      </c>
      <c r="E477" s="157">
        <v>41425.137499999997</v>
      </c>
      <c r="F477" s="157">
        <v>41425.144444444442</v>
      </c>
      <c r="G477" s="98">
        <v>350</v>
      </c>
      <c r="H477" s="98">
        <v>456</v>
      </c>
      <c r="I477" s="98">
        <v>411</v>
      </c>
      <c r="J477" s="98" t="s">
        <v>1976</v>
      </c>
      <c r="K477" s="98" t="s">
        <v>411</v>
      </c>
      <c r="L477" s="105" t="str">
        <f t="shared" si="90"/>
        <v>Brown</v>
      </c>
      <c r="M477" s="105" t="str">
        <f t="shared" si="91"/>
        <v>Derate</v>
      </c>
      <c r="N477" s="105" t="str">
        <f t="shared" si="92"/>
        <v>Coal</v>
      </c>
      <c r="O477" s="105">
        <f>IFERROR(VLOOKUP(A477,Lookup!$J$5:$P$19,7,FALSE),0)</f>
        <v>3</v>
      </c>
      <c r="P477" s="159">
        <f t="shared" si="93"/>
        <v>2013</v>
      </c>
      <c r="Q477" s="159">
        <f t="shared" si="94"/>
        <v>5</v>
      </c>
      <c r="R477" s="160">
        <f t="shared" si="95"/>
        <v>0.16666666668606922</v>
      </c>
      <c r="S477" s="158">
        <f t="shared" si="96"/>
        <v>3.8742690062989776E-2</v>
      </c>
      <c r="T477" s="161">
        <f t="shared" si="97"/>
        <v>15.923245615888797</v>
      </c>
      <c r="U477" s="158">
        <f t="shared" si="99"/>
        <v>95.53947368421052</v>
      </c>
      <c r="V477" s="160">
        <f t="shared" si="98"/>
        <v>96</v>
      </c>
    </row>
    <row r="478" spans="1:22" x14ac:dyDescent="0.25">
      <c r="A478" s="98" t="s">
        <v>28</v>
      </c>
      <c r="B478" s="98" t="s">
        <v>17</v>
      </c>
      <c r="C478" s="98">
        <v>56</v>
      </c>
      <c r="D478" s="98">
        <v>310</v>
      </c>
      <c r="E478" s="157">
        <v>41426.62777777778</v>
      </c>
      <c r="F478" s="157">
        <v>41426.647222222222</v>
      </c>
      <c r="G478" s="98">
        <v>360</v>
      </c>
      <c r="H478" s="98">
        <v>456</v>
      </c>
      <c r="I478" s="98">
        <v>411</v>
      </c>
      <c r="J478" s="98" t="s">
        <v>1966</v>
      </c>
      <c r="K478" s="98" t="s">
        <v>412</v>
      </c>
      <c r="L478" s="105" t="str">
        <f t="shared" si="90"/>
        <v>Brown</v>
      </c>
      <c r="M478" s="105" t="str">
        <f t="shared" si="91"/>
        <v>Derate</v>
      </c>
      <c r="N478" s="105" t="str">
        <f t="shared" si="92"/>
        <v>Coal</v>
      </c>
      <c r="O478" s="105">
        <f>IFERROR(VLOOKUP(A478,Lookup!$J$5:$P$19,7,FALSE),0)</f>
        <v>3</v>
      </c>
      <c r="P478" s="159">
        <f t="shared" si="93"/>
        <v>2013</v>
      </c>
      <c r="Q478" s="159">
        <f t="shared" si="94"/>
        <v>6</v>
      </c>
      <c r="R478" s="160">
        <f t="shared" si="95"/>
        <v>0.46666666661622003</v>
      </c>
      <c r="S478" s="158">
        <f t="shared" si="96"/>
        <v>9.8245614024467368E-2</v>
      </c>
      <c r="T478" s="161">
        <f t="shared" si="97"/>
        <v>40.378947364056089</v>
      </c>
      <c r="U478" s="158">
        <f t="shared" si="99"/>
        <v>86.526315789473685</v>
      </c>
      <c r="V478" s="160">
        <f t="shared" si="98"/>
        <v>87</v>
      </c>
    </row>
    <row r="479" spans="1:22" x14ac:dyDescent="0.25">
      <c r="A479" s="98" t="s">
        <v>28</v>
      </c>
      <c r="B479" s="98" t="s">
        <v>79</v>
      </c>
      <c r="C479" s="98">
        <v>57</v>
      </c>
      <c r="D479" s="98">
        <v>750</v>
      </c>
      <c r="E479" s="157">
        <v>41431.916666666664</v>
      </c>
      <c r="F479" s="157">
        <v>41432.159722222219</v>
      </c>
      <c r="G479" s="98">
        <v>0</v>
      </c>
      <c r="H479" s="98">
        <v>456</v>
      </c>
      <c r="I479" s="98">
        <v>411</v>
      </c>
      <c r="J479" s="98" t="s">
        <v>2175</v>
      </c>
      <c r="K479" s="98" t="s">
        <v>389</v>
      </c>
      <c r="L479" s="105" t="str">
        <f t="shared" si="90"/>
        <v>Brown</v>
      </c>
      <c r="M479" s="105" t="str">
        <f t="shared" si="91"/>
        <v>Other</v>
      </c>
      <c r="N479" s="105" t="str">
        <f t="shared" si="92"/>
        <v>Coal</v>
      </c>
      <c r="O479" s="105">
        <f>IFERROR(VLOOKUP(A479,Lookup!$J$5:$P$19,7,FALSE),0)</f>
        <v>3</v>
      </c>
      <c r="P479" s="159">
        <f t="shared" si="93"/>
        <v>2013</v>
      </c>
      <c r="Q479" s="159">
        <f t="shared" si="94"/>
        <v>6</v>
      </c>
      <c r="R479" s="160">
        <f t="shared" si="95"/>
        <v>5.8333333333139308</v>
      </c>
      <c r="S479" s="158">
        <f t="shared" si="96"/>
        <v>5.8333333333139308</v>
      </c>
      <c r="T479" s="161">
        <f t="shared" si="97"/>
        <v>2397.4999999920256</v>
      </c>
      <c r="U479" s="158">
        <f t="shared" si="99"/>
        <v>411</v>
      </c>
      <c r="V479" s="160">
        <f t="shared" si="98"/>
        <v>411</v>
      </c>
    </row>
    <row r="480" spans="1:22" x14ac:dyDescent="0.25">
      <c r="A480" s="98" t="s">
        <v>28</v>
      </c>
      <c r="B480" s="98" t="s">
        <v>17</v>
      </c>
      <c r="C480" s="98">
        <v>59</v>
      </c>
      <c r="D480" s="98">
        <v>3440</v>
      </c>
      <c r="E480" s="157">
        <v>41444.145833333336</v>
      </c>
      <c r="F480" s="157">
        <v>41444.617361111108</v>
      </c>
      <c r="G480" s="98">
        <v>400</v>
      </c>
      <c r="H480" s="98">
        <v>456</v>
      </c>
      <c r="I480" s="98">
        <v>411</v>
      </c>
      <c r="J480" s="98" t="s">
        <v>2100</v>
      </c>
      <c r="K480" s="98" t="s">
        <v>413</v>
      </c>
      <c r="L480" s="105" t="str">
        <f t="shared" si="90"/>
        <v>Brown</v>
      </c>
      <c r="M480" s="105" t="str">
        <f t="shared" si="91"/>
        <v>Derate</v>
      </c>
      <c r="N480" s="105" t="str">
        <f t="shared" si="92"/>
        <v>Coal</v>
      </c>
      <c r="O480" s="105">
        <f>IFERROR(VLOOKUP(A480,Lookup!$J$5:$P$19,7,FALSE),0)</f>
        <v>3</v>
      </c>
      <c r="P480" s="159">
        <f t="shared" si="93"/>
        <v>2013</v>
      </c>
      <c r="Q480" s="159">
        <f t="shared" si="94"/>
        <v>6</v>
      </c>
      <c r="R480" s="160">
        <f t="shared" si="95"/>
        <v>11.316666666534729</v>
      </c>
      <c r="S480" s="158">
        <f t="shared" si="96"/>
        <v>1.3897660818551423</v>
      </c>
      <c r="T480" s="161">
        <f t="shared" si="97"/>
        <v>571.19385964246351</v>
      </c>
      <c r="U480" s="158">
        <f t="shared" si="99"/>
        <v>50.473684210526315</v>
      </c>
      <c r="V480" s="160">
        <f t="shared" si="98"/>
        <v>50</v>
      </c>
    </row>
    <row r="481" spans="1:22" x14ac:dyDescent="0.25">
      <c r="A481" s="98" t="s">
        <v>28</v>
      </c>
      <c r="B481" s="98" t="s">
        <v>17</v>
      </c>
      <c r="C481" s="98">
        <v>60</v>
      </c>
      <c r="D481" s="98">
        <v>3440</v>
      </c>
      <c r="E481" s="157">
        <v>41444.617361111108</v>
      </c>
      <c r="F481" s="157">
        <v>41444.975694444445</v>
      </c>
      <c r="G481" s="98">
        <v>435</v>
      </c>
      <c r="H481" s="98">
        <v>456</v>
      </c>
      <c r="I481" s="98">
        <v>411</v>
      </c>
      <c r="J481" s="98" t="s">
        <v>2100</v>
      </c>
      <c r="K481" s="98" t="s">
        <v>413</v>
      </c>
      <c r="L481" s="105" t="str">
        <f t="shared" si="90"/>
        <v>Brown</v>
      </c>
      <c r="M481" s="105" t="str">
        <f t="shared" si="91"/>
        <v>Derate</v>
      </c>
      <c r="N481" s="105" t="str">
        <f t="shared" si="92"/>
        <v>Coal</v>
      </c>
      <c r="O481" s="105">
        <f>IFERROR(VLOOKUP(A481,Lookup!$J$5:$P$19,7,FALSE),0)</f>
        <v>3</v>
      </c>
      <c r="P481" s="159">
        <f t="shared" si="93"/>
        <v>2013</v>
      </c>
      <c r="Q481" s="159">
        <f t="shared" si="94"/>
        <v>6</v>
      </c>
      <c r="R481" s="160">
        <f t="shared" si="95"/>
        <v>8.6000000000931323</v>
      </c>
      <c r="S481" s="158">
        <f t="shared" si="96"/>
        <v>0.39605263158323634</v>
      </c>
      <c r="T481" s="161">
        <f t="shared" si="97"/>
        <v>162.77763158071014</v>
      </c>
      <c r="U481" s="158">
        <f t="shared" si="99"/>
        <v>18.92763157894737</v>
      </c>
      <c r="V481" s="160">
        <f t="shared" si="98"/>
        <v>19</v>
      </c>
    </row>
    <row r="482" spans="1:22" x14ac:dyDescent="0.25">
      <c r="A482" s="98" t="s">
        <v>28</v>
      </c>
      <c r="B482" s="98" t="s">
        <v>32</v>
      </c>
      <c r="C482" s="98">
        <v>61</v>
      </c>
      <c r="D482" s="98">
        <v>3410</v>
      </c>
      <c r="E482" s="157">
        <v>41444.975694444445</v>
      </c>
      <c r="F482" s="157">
        <v>41445.089583333334</v>
      </c>
      <c r="G482" s="98">
        <v>310</v>
      </c>
      <c r="H482" s="98">
        <v>456</v>
      </c>
      <c r="I482" s="98">
        <v>411</v>
      </c>
      <c r="J482" s="98" t="s">
        <v>1983</v>
      </c>
      <c r="K482" s="98" t="s">
        <v>414</v>
      </c>
      <c r="L482" s="105" t="str">
        <f t="shared" si="90"/>
        <v>Brown</v>
      </c>
      <c r="M482" s="105" t="str">
        <f t="shared" si="91"/>
        <v>Derate</v>
      </c>
      <c r="N482" s="105" t="str">
        <f t="shared" si="92"/>
        <v>Coal</v>
      </c>
      <c r="O482" s="105">
        <f>IFERROR(VLOOKUP(A482,Lookup!$J$5:$P$19,7,FALSE),0)</f>
        <v>3</v>
      </c>
      <c r="P482" s="159">
        <f t="shared" si="93"/>
        <v>2013</v>
      </c>
      <c r="Q482" s="159">
        <f t="shared" si="94"/>
        <v>6</v>
      </c>
      <c r="R482" s="160">
        <f t="shared" si="95"/>
        <v>2.7333333333372138</v>
      </c>
      <c r="S482" s="158">
        <f t="shared" si="96"/>
        <v>0.87514619883165179</v>
      </c>
      <c r="T482" s="161">
        <f t="shared" si="97"/>
        <v>359.68508771980891</v>
      </c>
      <c r="U482" s="158">
        <f t="shared" si="99"/>
        <v>131.59210526315789</v>
      </c>
      <c r="V482" s="160">
        <f t="shared" si="98"/>
        <v>132</v>
      </c>
    </row>
    <row r="483" spans="1:22" x14ac:dyDescent="0.25">
      <c r="A483" s="98" t="s">
        <v>28</v>
      </c>
      <c r="B483" s="98" t="s">
        <v>17</v>
      </c>
      <c r="C483" s="98">
        <v>62</v>
      </c>
      <c r="D483" s="98">
        <v>3440</v>
      </c>
      <c r="E483" s="157">
        <v>41445.089583333334</v>
      </c>
      <c r="F483" s="157">
        <v>41445.415972222225</v>
      </c>
      <c r="G483" s="98">
        <v>435</v>
      </c>
      <c r="H483" s="98">
        <v>456</v>
      </c>
      <c r="I483" s="98">
        <v>411</v>
      </c>
      <c r="J483" s="98" t="s">
        <v>2100</v>
      </c>
      <c r="K483" s="98" t="s">
        <v>413</v>
      </c>
      <c r="L483" s="105" t="str">
        <f t="shared" si="90"/>
        <v>Brown</v>
      </c>
      <c r="M483" s="105" t="str">
        <f t="shared" si="91"/>
        <v>Derate</v>
      </c>
      <c r="N483" s="105" t="str">
        <f t="shared" si="92"/>
        <v>Coal</v>
      </c>
      <c r="O483" s="105">
        <f>IFERROR(VLOOKUP(A483,Lookup!$J$5:$P$19,7,FALSE),0)</f>
        <v>3</v>
      </c>
      <c r="P483" s="159">
        <f t="shared" si="93"/>
        <v>2013</v>
      </c>
      <c r="Q483" s="159">
        <f t="shared" si="94"/>
        <v>6</v>
      </c>
      <c r="R483" s="160">
        <f t="shared" si="95"/>
        <v>7.8333333333721384</v>
      </c>
      <c r="S483" s="158">
        <f t="shared" si="96"/>
        <v>0.36074561403687477</v>
      </c>
      <c r="T483" s="161">
        <f t="shared" si="97"/>
        <v>148.26644736915554</v>
      </c>
      <c r="U483" s="158">
        <f t="shared" si="99"/>
        <v>18.92763157894737</v>
      </c>
      <c r="V483" s="160">
        <f t="shared" si="98"/>
        <v>19</v>
      </c>
    </row>
    <row r="484" spans="1:22" x14ac:dyDescent="0.25">
      <c r="A484" s="98" t="s">
        <v>28</v>
      </c>
      <c r="B484" s="98" t="s">
        <v>17</v>
      </c>
      <c r="C484" s="98">
        <v>63</v>
      </c>
      <c r="D484" s="98">
        <v>3414</v>
      </c>
      <c r="E484" s="157">
        <v>41445.415972222225</v>
      </c>
      <c r="F484" s="157">
        <v>41445.482638888891</v>
      </c>
      <c r="G484" s="98">
        <v>320</v>
      </c>
      <c r="H484" s="98">
        <v>456</v>
      </c>
      <c r="I484" s="98">
        <v>411</v>
      </c>
      <c r="J484" s="98" t="s">
        <v>1984</v>
      </c>
      <c r="K484" s="98" t="s">
        <v>415</v>
      </c>
      <c r="L484" s="105" t="str">
        <f t="shared" si="90"/>
        <v>Brown</v>
      </c>
      <c r="M484" s="105" t="str">
        <f t="shared" si="91"/>
        <v>Derate</v>
      </c>
      <c r="N484" s="105" t="str">
        <f t="shared" si="92"/>
        <v>Coal</v>
      </c>
      <c r="O484" s="105">
        <f>IFERROR(VLOOKUP(A484,Lookup!$J$5:$P$19,7,FALSE),0)</f>
        <v>3</v>
      </c>
      <c r="P484" s="159">
        <f t="shared" si="93"/>
        <v>2013</v>
      </c>
      <c r="Q484" s="159">
        <f t="shared" si="94"/>
        <v>6</v>
      </c>
      <c r="R484" s="160">
        <f t="shared" si="95"/>
        <v>1.5999999999767169</v>
      </c>
      <c r="S484" s="158">
        <f t="shared" si="96"/>
        <v>0.47719298244919628</v>
      </c>
      <c r="T484" s="161">
        <f t="shared" si="97"/>
        <v>196.12631578661967</v>
      </c>
      <c r="U484" s="158">
        <f t="shared" si="99"/>
        <v>122.57894736842105</v>
      </c>
      <c r="V484" s="160">
        <f t="shared" si="98"/>
        <v>123</v>
      </c>
    </row>
    <row r="485" spans="1:22" x14ac:dyDescent="0.25">
      <c r="A485" s="98" t="s">
        <v>28</v>
      </c>
      <c r="B485" s="98" t="s">
        <v>17</v>
      </c>
      <c r="C485" s="98">
        <v>64</v>
      </c>
      <c r="D485" s="98">
        <v>3440</v>
      </c>
      <c r="E485" s="157">
        <v>41445.482638888891</v>
      </c>
      <c r="F485" s="157">
        <v>41445.916666666664</v>
      </c>
      <c r="G485" s="98">
        <v>435</v>
      </c>
      <c r="H485" s="98">
        <v>456</v>
      </c>
      <c r="I485" s="98">
        <v>411</v>
      </c>
      <c r="J485" s="98" t="s">
        <v>2100</v>
      </c>
      <c r="K485" s="98" t="s">
        <v>413</v>
      </c>
      <c r="L485" s="105" t="str">
        <f t="shared" si="90"/>
        <v>Brown</v>
      </c>
      <c r="M485" s="105" t="str">
        <f t="shared" si="91"/>
        <v>Derate</v>
      </c>
      <c r="N485" s="105" t="str">
        <f t="shared" si="92"/>
        <v>Coal</v>
      </c>
      <c r="O485" s="105">
        <f>IFERROR(VLOOKUP(A485,Lookup!$J$5:$P$19,7,FALSE),0)</f>
        <v>3</v>
      </c>
      <c r="P485" s="159">
        <f t="shared" si="93"/>
        <v>2013</v>
      </c>
      <c r="Q485" s="159">
        <f t="shared" si="94"/>
        <v>6</v>
      </c>
      <c r="R485" s="160">
        <f t="shared" si="95"/>
        <v>10.416666666569654</v>
      </c>
      <c r="S485" s="158">
        <f t="shared" si="96"/>
        <v>0.47971491227623408</v>
      </c>
      <c r="T485" s="161">
        <f t="shared" si="97"/>
        <v>197.1628289455322</v>
      </c>
      <c r="U485" s="158">
        <f t="shared" si="99"/>
        <v>18.92763157894737</v>
      </c>
      <c r="V485" s="160">
        <f t="shared" si="98"/>
        <v>19</v>
      </c>
    </row>
    <row r="486" spans="1:22" x14ac:dyDescent="0.25">
      <c r="A486" s="98" t="s">
        <v>28</v>
      </c>
      <c r="B486" s="98" t="s">
        <v>32</v>
      </c>
      <c r="C486" s="98">
        <v>65</v>
      </c>
      <c r="D486" s="98">
        <v>3410</v>
      </c>
      <c r="E486" s="157">
        <v>41445.916666666664</v>
      </c>
      <c r="F486" s="157">
        <v>41446.180555555555</v>
      </c>
      <c r="G486" s="98">
        <v>310</v>
      </c>
      <c r="H486" s="98">
        <v>456</v>
      </c>
      <c r="I486" s="98">
        <v>411</v>
      </c>
      <c r="J486" s="98" t="s">
        <v>1983</v>
      </c>
      <c r="K486" s="98" t="s">
        <v>416</v>
      </c>
      <c r="L486" s="105" t="str">
        <f t="shared" si="90"/>
        <v>Brown</v>
      </c>
      <c r="M486" s="105" t="str">
        <f t="shared" si="91"/>
        <v>Derate</v>
      </c>
      <c r="N486" s="105" t="str">
        <f t="shared" si="92"/>
        <v>Coal</v>
      </c>
      <c r="O486" s="105">
        <f>IFERROR(VLOOKUP(A486,Lookup!$J$5:$P$19,7,FALSE),0)</f>
        <v>3</v>
      </c>
      <c r="P486" s="159">
        <f t="shared" si="93"/>
        <v>2013</v>
      </c>
      <c r="Q486" s="159">
        <f t="shared" si="94"/>
        <v>6</v>
      </c>
      <c r="R486" s="160">
        <f t="shared" si="95"/>
        <v>6.3333333333721384</v>
      </c>
      <c r="S486" s="158">
        <f t="shared" si="96"/>
        <v>2.0277777777902024</v>
      </c>
      <c r="T486" s="161">
        <f t="shared" si="97"/>
        <v>833.41666667177321</v>
      </c>
      <c r="U486" s="158">
        <f t="shared" si="99"/>
        <v>131.59210526315789</v>
      </c>
      <c r="V486" s="160">
        <f t="shared" si="98"/>
        <v>132</v>
      </c>
    </row>
    <row r="487" spans="1:22" x14ac:dyDescent="0.25">
      <c r="A487" s="98" t="s">
        <v>28</v>
      </c>
      <c r="B487" s="98" t="s">
        <v>17</v>
      </c>
      <c r="C487" s="98">
        <v>66</v>
      </c>
      <c r="D487" s="98">
        <v>3440</v>
      </c>
      <c r="E487" s="157">
        <v>41446.180555555555</v>
      </c>
      <c r="F487" s="157">
        <v>41446.227083333331</v>
      </c>
      <c r="G487" s="98">
        <v>435</v>
      </c>
      <c r="H487" s="98">
        <v>456</v>
      </c>
      <c r="I487" s="98">
        <v>411</v>
      </c>
      <c r="J487" s="98" t="s">
        <v>2100</v>
      </c>
      <c r="K487" s="98" t="s">
        <v>413</v>
      </c>
      <c r="L487" s="105" t="str">
        <f t="shared" si="90"/>
        <v>Brown</v>
      </c>
      <c r="M487" s="105" t="str">
        <f t="shared" si="91"/>
        <v>Derate</v>
      </c>
      <c r="N487" s="105" t="str">
        <f t="shared" si="92"/>
        <v>Coal</v>
      </c>
      <c r="O487" s="105">
        <f>IFERROR(VLOOKUP(A487,Lookup!$J$5:$P$19,7,FALSE),0)</f>
        <v>3</v>
      </c>
      <c r="P487" s="159">
        <f t="shared" si="93"/>
        <v>2013</v>
      </c>
      <c r="Q487" s="159">
        <f t="shared" si="94"/>
        <v>6</v>
      </c>
      <c r="R487" s="160">
        <f t="shared" si="95"/>
        <v>1.1166666666395031</v>
      </c>
      <c r="S487" s="158">
        <f t="shared" si="96"/>
        <v>5.1425438595240271E-2</v>
      </c>
      <c r="T487" s="161">
        <f t="shared" si="97"/>
        <v>21.135855262643751</v>
      </c>
      <c r="U487" s="158">
        <f t="shared" si="99"/>
        <v>18.92763157894737</v>
      </c>
      <c r="V487" s="160">
        <f t="shared" si="98"/>
        <v>19</v>
      </c>
    </row>
    <row r="488" spans="1:22" x14ac:dyDescent="0.25">
      <c r="A488" s="98" t="s">
        <v>28</v>
      </c>
      <c r="B488" s="98" t="s">
        <v>17</v>
      </c>
      <c r="C488" s="98">
        <v>67</v>
      </c>
      <c r="D488" s="98">
        <v>3410</v>
      </c>
      <c r="E488" s="157">
        <v>41446.227083333331</v>
      </c>
      <c r="F488" s="157">
        <v>41446.40902777778</v>
      </c>
      <c r="G488" s="98">
        <v>310</v>
      </c>
      <c r="H488" s="98">
        <v>456</v>
      </c>
      <c r="I488" s="98">
        <v>411</v>
      </c>
      <c r="J488" s="98" t="s">
        <v>1983</v>
      </c>
      <c r="K488" s="98" t="s">
        <v>417</v>
      </c>
      <c r="L488" s="105" t="str">
        <f t="shared" si="90"/>
        <v>Brown</v>
      </c>
      <c r="M488" s="105" t="str">
        <f t="shared" si="91"/>
        <v>Derate</v>
      </c>
      <c r="N488" s="105" t="str">
        <f t="shared" si="92"/>
        <v>Coal</v>
      </c>
      <c r="O488" s="105">
        <f>IFERROR(VLOOKUP(A488,Lookup!$J$5:$P$19,7,FALSE),0)</f>
        <v>3</v>
      </c>
      <c r="P488" s="159">
        <f t="shared" si="93"/>
        <v>2013</v>
      </c>
      <c r="Q488" s="159">
        <f t="shared" si="94"/>
        <v>6</v>
      </c>
      <c r="R488" s="160">
        <f t="shared" si="95"/>
        <v>4.3666666667559184</v>
      </c>
      <c r="S488" s="158">
        <f t="shared" si="96"/>
        <v>1.3980994152332546</v>
      </c>
      <c r="T488" s="161">
        <f t="shared" si="97"/>
        <v>574.61885966086766</v>
      </c>
      <c r="U488" s="158">
        <f t="shared" si="99"/>
        <v>131.59210526315789</v>
      </c>
      <c r="V488" s="160">
        <f t="shared" si="98"/>
        <v>132</v>
      </c>
    </row>
    <row r="489" spans="1:22" x14ac:dyDescent="0.25">
      <c r="A489" s="98" t="s">
        <v>28</v>
      </c>
      <c r="B489" s="98" t="s">
        <v>17</v>
      </c>
      <c r="C489" s="98">
        <v>68</v>
      </c>
      <c r="D489" s="98">
        <v>3440</v>
      </c>
      <c r="E489" s="157">
        <v>41446.40902777778</v>
      </c>
      <c r="F489" s="157">
        <v>41448.520833333336</v>
      </c>
      <c r="G489" s="98">
        <v>435</v>
      </c>
      <c r="H489" s="98">
        <v>456</v>
      </c>
      <c r="I489" s="98">
        <v>411</v>
      </c>
      <c r="J489" s="98" t="s">
        <v>2100</v>
      </c>
      <c r="K489" s="98" t="s">
        <v>418</v>
      </c>
      <c r="L489" s="105" t="str">
        <f t="shared" si="90"/>
        <v>Brown</v>
      </c>
      <c r="M489" s="105" t="str">
        <f t="shared" si="91"/>
        <v>Derate</v>
      </c>
      <c r="N489" s="105" t="str">
        <f t="shared" si="92"/>
        <v>Coal</v>
      </c>
      <c r="O489" s="105">
        <f>IFERROR(VLOOKUP(A489,Lookup!$J$5:$P$19,7,FALSE),0)</f>
        <v>3</v>
      </c>
      <c r="P489" s="159">
        <f t="shared" si="93"/>
        <v>2013</v>
      </c>
      <c r="Q489" s="159">
        <f t="shared" si="94"/>
        <v>6</v>
      </c>
      <c r="R489" s="160">
        <f t="shared" si="95"/>
        <v>50.683333333348855</v>
      </c>
      <c r="S489" s="158">
        <f t="shared" si="96"/>
        <v>2.3341008771936971</v>
      </c>
      <c r="T489" s="161">
        <f t="shared" si="97"/>
        <v>959.31546052660951</v>
      </c>
      <c r="U489" s="158">
        <f t="shared" si="99"/>
        <v>18.92763157894737</v>
      </c>
      <c r="V489" s="160">
        <f t="shared" si="98"/>
        <v>19</v>
      </c>
    </row>
    <row r="490" spans="1:22" x14ac:dyDescent="0.25">
      <c r="A490" s="98" t="s">
        <v>28</v>
      </c>
      <c r="B490" s="98" t="s">
        <v>17</v>
      </c>
      <c r="C490" s="98">
        <v>69</v>
      </c>
      <c r="D490" s="98">
        <v>1750</v>
      </c>
      <c r="E490" s="157">
        <v>41448.520833333336</v>
      </c>
      <c r="F490" s="157">
        <v>41448.541666666664</v>
      </c>
      <c r="G490" s="98">
        <v>60</v>
      </c>
      <c r="H490" s="98">
        <v>456</v>
      </c>
      <c r="I490" s="98">
        <v>411</v>
      </c>
      <c r="J490" s="98" t="s">
        <v>2018</v>
      </c>
      <c r="K490" s="98" t="s">
        <v>419</v>
      </c>
      <c r="L490" s="105" t="str">
        <f t="shared" si="90"/>
        <v>Brown</v>
      </c>
      <c r="M490" s="105" t="str">
        <f t="shared" si="91"/>
        <v>Derate</v>
      </c>
      <c r="N490" s="105" t="str">
        <f t="shared" si="92"/>
        <v>Coal</v>
      </c>
      <c r="O490" s="105">
        <f>IFERROR(VLOOKUP(A490,Lookup!$J$5:$P$19,7,FALSE),0)</f>
        <v>3</v>
      </c>
      <c r="P490" s="159">
        <f t="shared" si="93"/>
        <v>2013</v>
      </c>
      <c r="Q490" s="159">
        <f t="shared" si="94"/>
        <v>6</v>
      </c>
      <c r="R490" s="160">
        <f t="shared" si="95"/>
        <v>0.49999999988358468</v>
      </c>
      <c r="S490" s="158">
        <f t="shared" si="96"/>
        <v>0.43421052621469197</v>
      </c>
      <c r="T490" s="161">
        <f t="shared" si="97"/>
        <v>178.46052627423839</v>
      </c>
      <c r="U490" s="158">
        <f t="shared" si="99"/>
        <v>356.92105263157896</v>
      </c>
      <c r="V490" s="160">
        <f t="shared" si="98"/>
        <v>357</v>
      </c>
    </row>
    <row r="491" spans="1:22" x14ac:dyDescent="0.25">
      <c r="A491" s="98" t="s">
        <v>28</v>
      </c>
      <c r="B491" s="98" t="s">
        <v>17</v>
      </c>
      <c r="C491" s="98">
        <v>70</v>
      </c>
      <c r="D491" s="98">
        <v>1750</v>
      </c>
      <c r="E491" s="157">
        <v>41448.541666666664</v>
      </c>
      <c r="F491" s="157">
        <v>41448.569444444445</v>
      </c>
      <c r="G491" s="98">
        <v>145</v>
      </c>
      <c r="H491" s="98">
        <v>456</v>
      </c>
      <c r="I491" s="98">
        <v>411</v>
      </c>
      <c r="J491" s="98" t="s">
        <v>2018</v>
      </c>
      <c r="K491" s="98" t="s">
        <v>419</v>
      </c>
      <c r="L491" s="105" t="str">
        <f t="shared" si="90"/>
        <v>Brown</v>
      </c>
      <c r="M491" s="105" t="str">
        <f t="shared" si="91"/>
        <v>Derate</v>
      </c>
      <c r="N491" s="105" t="str">
        <f t="shared" si="92"/>
        <v>Coal</v>
      </c>
      <c r="O491" s="105">
        <f>IFERROR(VLOOKUP(A491,Lookup!$J$5:$P$19,7,FALSE),0)</f>
        <v>3</v>
      </c>
      <c r="P491" s="159">
        <f t="shared" si="93"/>
        <v>2013</v>
      </c>
      <c r="Q491" s="159">
        <f t="shared" si="94"/>
        <v>6</v>
      </c>
      <c r="R491" s="160">
        <f t="shared" si="95"/>
        <v>0.66666666674427688</v>
      </c>
      <c r="S491" s="158">
        <f t="shared" si="96"/>
        <v>0.45467836262603095</v>
      </c>
      <c r="T491" s="161">
        <f t="shared" si="97"/>
        <v>186.87280703929872</v>
      </c>
      <c r="U491" s="158">
        <f t="shared" si="99"/>
        <v>280.30921052631578</v>
      </c>
      <c r="V491" s="160">
        <f t="shared" si="98"/>
        <v>280</v>
      </c>
    </row>
    <row r="492" spans="1:22" x14ac:dyDescent="0.25">
      <c r="A492" s="98" t="s">
        <v>28</v>
      </c>
      <c r="B492" s="98" t="s">
        <v>17</v>
      </c>
      <c r="C492" s="98">
        <v>71</v>
      </c>
      <c r="D492" s="98">
        <v>3440</v>
      </c>
      <c r="E492" s="157">
        <v>41448.569444444445</v>
      </c>
      <c r="F492" s="157">
        <v>41450.517361111109</v>
      </c>
      <c r="G492" s="98">
        <v>435</v>
      </c>
      <c r="H492" s="98">
        <v>456</v>
      </c>
      <c r="I492" s="98">
        <v>411</v>
      </c>
      <c r="J492" s="98" t="s">
        <v>2100</v>
      </c>
      <c r="K492" s="98" t="s">
        <v>420</v>
      </c>
      <c r="L492" s="105" t="str">
        <f t="shared" si="90"/>
        <v>Brown</v>
      </c>
      <c r="M492" s="105" t="str">
        <f t="shared" si="91"/>
        <v>Derate</v>
      </c>
      <c r="N492" s="105" t="str">
        <f t="shared" si="92"/>
        <v>Coal</v>
      </c>
      <c r="O492" s="105">
        <f>IFERROR(VLOOKUP(A492,Lookup!$J$5:$P$19,7,FALSE),0)</f>
        <v>3</v>
      </c>
      <c r="P492" s="159">
        <f t="shared" si="93"/>
        <v>2013</v>
      </c>
      <c r="Q492" s="159">
        <f t="shared" si="94"/>
        <v>6</v>
      </c>
      <c r="R492" s="160">
        <f t="shared" si="95"/>
        <v>46.749999999941792</v>
      </c>
      <c r="S492" s="158">
        <f t="shared" si="96"/>
        <v>2.1529605263131089</v>
      </c>
      <c r="T492" s="161">
        <f t="shared" si="97"/>
        <v>884.86677631468774</v>
      </c>
      <c r="U492" s="158">
        <f t="shared" si="99"/>
        <v>18.92763157894737</v>
      </c>
      <c r="V492" s="160">
        <f t="shared" si="98"/>
        <v>19</v>
      </c>
    </row>
    <row r="493" spans="1:22" x14ac:dyDescent="0.25">
      <c r="A493" s="98" t="s">
        <v>28</v>
      </c>
      <c r="B493" s="98" t="s">
        <v>17</v>
      </c>
      <c r="C493" s="98">
        <v>72</v>
      </c>
      <c r="D493" s="98">
        <v>3440</v>
      </c>
      <c r="E493" s="157">
        <v>41450.517361111109</v>
      </c>
      <c r="F493" s="157">
        <v>41453.89166666667</v>
      </c>
      <c r="G493" s="98">
        <v>430</v>
      </c>
      <c r="H493" s="98">
        <v>456</v>
      </c>
      <c r="I493" s="98">
        <v>411</v>
      </c>
      <c r="J493" s="98" t="s">
        <v>2100</v>
      </c>
      <c r="K493" s="98" t="s">
        <v>421</v>
      </c>
      <c r="L493" s="105" t="str">
        <f t="shared" si="90"/>
        <v>Brown</v>
      </c>
      <c r="M493" s="105" t="str">
        <f t="shared" si="91"/>
        <v>Derate</v>
      </c>
      <c r="N493" s="105" t="str">
        <f t="shared" si="92"/>
        <v>Coal</v>
      </c>
      <c r="O493" s="105">
        <f>IFERROR(VLOOKUP(A493,Lookup!$J$5:$P$19,7,FALSE),0)</f>
        <v>3</v>
      </c>
      <c r="P493" s="159">
        <f t="shared" si="93"/>
        <v>2013</v>
      </c>
      <c r="Q493" s="159">
        <f t="shared" si="94"/>
        <v>6</v>
      </c>
      <c r="R493" s="160">
        <f t="shared" si="95"/>
        <v>80.983333333453629</v>
      </c>
      <c r="S493" s="158">
        <f t="shared" si="96"/>
        <v>4.617470760240777</v>
      </c>
      <c r="T493" s="161">
        <f t="shared" si="97"/>
        <v>1897.7804824589593</v>
      </c>
      <c r="U493" s="158">
        <f t="shared" si="99"/>
        <v>23.434210526315791</v>
      </c>
      <c r="V493" s="160">
        <f t="shared" si="98"/>
        <v>23</v>
      </c>
    </row>
    <row r="494" spans="1:22" x14ac:dyDescent="0.25">
      <c r="A494" s="98" t="s">
        <v>28</v>
      </c>
      <c r="B494" s="98" t="s">
        <v>20</v>
      </c>
      <c r="C494" s="98">
        <v>73</v>
      </c>
      <c r="D494" s="98">
        <v>3440</v>
      </c>
      <c r="E494" s="157">
        <v>41453.89166666667</v>
      </c>
      <c r="F494" s="157">
        <v>41457.436111111114</v>
      </c>
      <c r="G494" s="98">
        <v>0</v>
      </c>
      <c r="H494" s="98">
        <v>456</v>
      </c>
      <c r="I494" s="98">
        <v>411</v>
      </c>
      <c r="J494" s="98" t="s">
        <v>2100</v>
      </c>
      <c r="K494" s="98" t="s">
        <v>2194</v>
      </c>
      <c r="L494" s="105" t="str">
        <f t="shared" si="90"/>
        <v>Brown</v>
      </c>
      <c r="M494" s="105" t="str">
        <f t="shared" si="91"/>
        <v>Maintenance</v>
      </c>
      <c r="N494" s="105" t="str">
        <f t="shared" si="92"/>
        <v>Coal</v>
      </c>
      <c r="O494" s="105">
        <f>IFERROR(VLOOKUP(A494,Lookup!$J$5:$P$19,7,FALSE),0)</f>
        <v>3</v>
      </c>
      <c r="P494" s="159">
        <f t="shared" si="93"/>
        <v>2013</v>
      </c>
      <c r="Q494" s="159">
        <f t="shared" si="94"/>
        <v>6</v>
      </c>
      <c r="R494" s="160">
        <f t="shared" si="95"/>
        <v>85.066666666651145</v>
      </c>
      <c r="S494" s="158">
        <f t="shared" si="96"/>
        <v>85.066666666651145</v>
      </c>
      <c r="T494" s="161">
        <f t="shared" si="97"/>
        <v>34962.39999999362</v>
      </c>
      <c r="U494" s="158">
        <f t="shared" si="99"/>
        <v>411</v>
      </c>
      <c r="V494" s="160">
        <f t="shared" si="98"/>
        <v>411</v>
      </c>
    </row>
    <row r="495" spans="1:22" x14ac:dyDescent="0.25">
      <c r="A495" s="98" t="s">
        <v>28</v>
      </c>
      <c r="B495" s="98" t="s">
        <v>17</v>
      </c>
      <c r="C495" s="98">
        <v>75</v>
      </c>
      <c r="D495" s="98">
        <v>1470</v>
      </c>
      <c r="E495" s="157">
        <v>41463.402777777781</v>
      </c>
      <c r="F495" s="157">
        <v>41463.439583333333</v>
      </c>
      <c r="G495" s="98">
        <v>55</v>
      </c>
      <c r="H495" s="98">
        <v>456</v>
      </c>
      <c r="I495" s="98">
        <v>411</v>
      </c>
      <c r="J495" s="98" t="s">
        <v>2005</v>
      </c>
      <c r="K495" s="98" t="s">
        <v>975</v>
      </c>
      <c r="L495" s="105" t="str">
        <f t="shared" si="90"/>
        <v>Brown</v>
      </c>
      <c r="M495" s="105" t="str">
        <f t="shared" si="91"/>
        <v>Derate</v>
      </c>
      <c r="N495" s="105" t="str">
        <f t="shared" si="92"/>
        <v>Coal</v>
      </c>
      <c r="O495" s="105">
        <f>IFERROR(VLOOKUP(A495,Lookup!$J$5:$P$19,7,FALSE),0)</f>
        <v>3</v>
      </c>
      <c r="P495" s="159">
        <f t="shared" si="93"/>
        <v>2013</v>
      </c>
      <c r="Q495" s="159">
        <f t="shared" si="94"/>
        <v>7</v>
      </c>
      <c r="R495" s="160">
        <f t="shared" si="95"/>
        <v>0.88333333324408159</v>
      </c>
      <c r="S495" s="158">
        <f t="shared" si="96"/>
        <v>0.7767909355940279</v>
      </c>
      <c r="T495" s="161">
        <f t="shared" si="97"/>
        <v>319.26107452914545</v>
      </c>
      <c r="U495" s="158">
        <f t="shared" si="99"/>
        <v>361.42763157894734</v>
      </c>
      <c r="V495" s="160">
        <f t="shared" si="98"/>
        <v>361</v>
      </c>
    </row>
    <row r="496" spans="1:22" x14ac:dyDescent="0.25">
      <c r="A496" s="98" t="s">
        <v>28</v>
      </c>
      <c r="B496" s="98" t="s">
        <v>15</v>
      </c>
      <c r="C496" s="98">
        <v>76</v>
      </c>
      <c r="D496" s="98">
        <v>1470</v>
      </c>
      <c r="E496" s="157">
        <v>41463.439583333333</v>
      </c>
      <c r="F496" s="157">
        <v>41463.517361111109</v>
      </c>
      <c r="G496" s="98">
        <v>0</v>
      </c>
      <c r="H496" s="98">
        <v>456</v>
      </c>
      <c r="I496" s="98">
        <v>411</v>
      </c>
      <c r="J496" s="98" t="s">
        <v>2005</v>
      </c>
      <c r="K496" s="98" t="s">
        <v>976</v>
      </c>
      <c r="L496" s="105" t="str">
        <f t="shared" si="90"/>
        <v>Brown</v>
      </c>
      <c r="M496" s="105" t="str">
        <f t="shared" si="91"/>
        <v>Outage</v>
      </c>
      <c r="N496" s="105" t="str">
        <f t="shared" si="92"/>
        <v>Coal</v>
      </c>
      <c r="O496" s="105">
        <f>IFERROR(VLOOKUP(A496,Lookup!$J$5:$P$19,7,FALSE),0)</f>
        <v>3</v>
      </c>
      <c r="P496" s="159">
        <f t="shared" si="93"/>
        <v>2013</v>
      </c>
      <c r="Q496" s="159">
        <f t="shared" si="94"/>
        <v>7</v>
      </c>
      <c r="R496" s="160">
        <f t="shared" si="95"/>
        <v>1.8666666666395031</v>
      </c>
      <c r="S496" s="158">
        <f t="shared" si="96"/>
        <v>1.8666666666395031</v>
      </c>
      <c r="T496" s="161">
        <f t="shared" si="97"/>
        <v>767.19999998883577</v>
      </c>
      <c r="U496" s="158">
        <f t="shared" si="99"/>
        <v>411</v>
      </c>
      <c r="V496" s="160">
        <f t="shared" si="98"/>
        <v>411</v>
      </c>
    </row>
    <row r="497" spans="1:22" x14ac:dyDescent="0.25">
      <c r="A497" s="98" t="s">
        <v>28</v>
      </c>
      <c r="B497" s="98" t="s">
        <v>17</v>
      </c>
      <c r="C497" s="98">
        <v>77</v>
      </c>
      <c r="D497" s="98">
        <v>300</v>
      </c>
      <c r="E497" s="157">
        <v>41465.678472222222</v>
      </c>
      <c r="F497" s="157">
        <v>41466.150694444441</v>
      </c>
      <c r="G497" s="98">
        <v>350</v>
      </c>
      <c r="H497" s="98">
        <v>456</v>
      </c>
      <c r="I497" s="98">
        <v>411</v>
      </c>
      <c r="J497" s="98" t="s">
        <v>1977</v>
      </c>
      <c r="K497" s="98" t="s">
        <v>977</v>
      </c>
      <c r="L497" s="105" t="str">
        <f t="shared" si="90"/>
        <v>Brown</v>
      </c>
      <c r="M497" s="105" t="str">
        <f t="shared" si="91"/>
        <v>Derate</v>
      </c>
      <c r="N497" s="105" t="str">
        <f t="shared" si="92"/>
        <v>Coal</v>
      </c>
      <c r="O497" s="105">
        <f>IFERROR(VLOOKUP(A497,Lookup!$J$5:$P$19,7,FALSE),0)</f>
        <v>3</v>
      </c>
      <c r="P497" s="159">
        <f t="shared" si="93"/>
        <v>2013</v>
      </c>
      <c r="Q497" s="159">
        <f t="shared" si="94"/>
        <v>7</v>
      </c>
      <c r="R497" s="160">
        <f t="shared" si="95"/>
        <v>11.333333333255723</v>
      </c>
      <c r="S497" s="158">
        <f t="shared" si="96"/>
        <v>2.6345029239585673</v>
      </c>
      <c r="T497" s="161">
        <f t="shared" si="97"/>
        <v>1082.7807017469711</v>
      </c>
      <c r="U497" s="158">
        <f t="shared" si="99"/>
        <v>95.53947368421052</v>
      </c>
      <c r="V497" s="160">
        <f t="shared" si="98"/>
        <v>96</v>
      </c>
    </row>
    <row r="498" spans="1:22" x14ac:dyDescent="0.25">
      <c r="A498" s="98" t="s">
        <v>28</v>
      </c>
      <c r="B498" s="98" t="s">
        <v>17</v>
      </c>
      <c r="C498" s="98">
        <v>78</v>
      </c>
      <c r="D498" s="98">
        <v>3439</v>
      </c>
      <c r="E498" s="157">
        <v>41466.150694444441</v>
      </c>
      <c r="F498" s="157">
        <v>41466.706250000003</v>
      </c>
      <c r="G498" s="98">
        <v>435</v>
      </c>
      <c r="H498" s="98">
        <v>456</v>
      </c>
      <c r="I498" s="98">
        <v>411</v>
      </c>
      <c r="J498" s="98" t="s">
        <v>2026</v>
      </c>
      <c r="K498" s="98" t="s">
        <v>978</v>
      </c>
      <c r="L498" s="105" t="str">
        <f t="shared" si="90"/>
        <v>Brown</v>
      </c>
      <c r="M498" s="105" t="str">
        <f t="shared" si="91"/>
        <v>Derate</v>
      </c>
      <c r="N498" s="105" t="str">
        <f t="shared" si="92"/>
        <v>Coal</v>
      </c>
      <c r="O498" s="105">
        <f>IFERROR(VLOOKUP(A498,Lookup!$J$5:$P$19,7,FALSE),0)</f>
        <v>3</v>
      </c>
      <c r="P498" s="159">
        <f t="shared" si="93"/>
        <v>2013</v>
      </c>
      <c r="Q498" s="159">
        <f t="shared" si="94"/>
        <v>7</v>
      </c>
      <c r="R498" s="160">
        <f t="shared" si="95"/>
        <v>13.333333333488554</v>
      </c>
      <c r="S498" s="158">
        <f t="shared" si="96"/>
        <v>0.61403508772644655</v>
      </c>
      <c r="T498" s="161">
        <f t="shared" si="97"/>
        <v>252.36842105556954</v>
      </c>
      <c r="U498" s="158">
        <f t="shared" si="99"/>
        <v>18.92763157894737</v>
      </c>
      <c r="V498" s="160">
        <f t="shared" si="98"/>
        <v>19</v>
      </c>
    </row>
    <row r="499" spans="1:22" x14ac:dyDescent="0.25">
      <c r="A499" s="98" t="s">
        <v>28</v>
      </c>
      <c r="B499" s="98" t="s">
        <v>17</v>
      </c>
      <c r="C499" s="98">
        <v>79</v>
      </c>
      <c r="D499" s="98">
        <v>3439</v>
      </c>
      <c r="E499" s="157">
        <v>41467.256944444445</v>
      </c>
      <c r="F499" s="157">
        <v>41468</v>
      </c>
      <c r="G499" s="98">
        <v>435</v>
      </c>
      <c r="H499" s="98">
        <v>456</v>
      </c>
      <c r="I499" s="98">
        <v>411</v>
      </c>
      <c r="J499" s="98" t="s">
        <v>2026</v>
      </c>
      <c r="K499" s="98" t="s">
        <v>978</v>
      </c>
      <c r="L499" s="105" t="str">
        <f t="shared" si="90"/>
        <v>Brown</v>
      </c>
      <c r="M499" s="105" t="str">
        <f t="shared" si="91"/>
        <v>Derate</v>
      </c>
      <c r="N499" s="105" t="str">
        <f t="shared" si="92"/>
        <v>Coal</v>
      </c>
      <c r="O499" s="105">
        <f>IFERROR(VLOOKUP(A499,Lookup!$J$5:$P$19,7,FALSE),0)</f>
        <v>3</v>
      </c>
      <c r="P499" s="159">
        <f t="shared" si="93"/>
        <v>2013</v>
      </c>
      <c r="Q499" s="159">
        <f t="shared" si="94"/>
        <v>7</v>
      </c>
      <c r="R499" s="160">
        <f t="shared" si="95"/>
        <v>17.833333333313931</v>
      </c>
      <c r="S499" s="158">
        <f t="shared" si="96"/>
        <v>0.82127192982366781</v>
      </c>
      <c r="T499" s="161">
        <f t="shared" si="97"/>
        <v>337.54276315752747</v>
      </c>
      <c r="U499" s="158">
        <f t="shared" si="99"/>
        <v>18.92763157894737</v>
      </c>
      <c r="V499" s="160">
        <f t="shared" si="98"/>
        <v>19</v>
      </c>
    </row>
    <row r="500" spans="1:22" x14ac:dyDescent="0.25">
      <c r="A500" s="98" t="s">
        <v>28</v>
      </c>
      <c r="B500" s="98" t="s">
        <v>32</v>
      </c>
      <c r="C500" s="98">
        <v>80</v>
      </c>
      <c r="D500" s="98">
        <v>350</v>
      </c>
      <c r="E500" s="157">
        <v>41468</v>
      </c>
      <c r="F500" s="157">
        <v>41468.184027777781</v>
      </c>
      <c r="G500" s="98">
        <v>370</v>
      </c>
      <c r="H500" s="98">
        <v>456</v>
      </c>
      <c r="I500" s="98">
        <v>411</v>
      </c>
      <c r="J500" s="98" t="s">
        <v>1976</v>
      </c>
      <c r="K500" s="98" t="s">
        <v>979</v>
      </c>
      <c r="L500" s="105" t="str">
        <f t="shared" si="90"/>
        <v>Brown</v>
      </c>
      <c r="M500" s="105" t="str">
        <f t="shared" si="91"/>
        <v>Derate</v>
      </c>
      <c r="N500" s="105" t="str">
        <f t="shared" si="92"/>
        <v>Coal</v>
      </c>
      <c r="O500" s="105">
        <f>IFERROR(VLOOKUP(A500,Lookup!$J$5:$P$19,7,FALSE),0)</f>
        <v>3</v>
      </c>
      <c r="P500" s="159">
        <f t="shared" si="93"/>
        <v>2013</v>
      </c>
      <c r="Q500" s="159">
        <f t="shared" si="94"/>
        <v>7</v>
      </c>
      <c r="R500" s="160">
        <f t="shared" si="95"/>
        <v>4.4166666667442769</v>
      </c>
      <c r="S500" s="158">
        <f t="shared" si="96"/>
        <v>0.83296783627194693</v>
      </c>
      <c r="T500" s="161">
        <f t="shared" si="97"/>
        <v>342.34978070777021</v>
      </c>
      <c r="U500" s="158">
        <f t="shared" si="99"/>
        <v>77.513157894736835</v>
      </c>
      <c r="V500" s="160">
        <f t="shared" si="98"/>
        <v>78</v>
      </c>
    </row>
    <row r="501" spans="1:22" x14ac:dyDescent="0.25">
      <c r="A501" s="98" t="s">
        <v>28</v>
      </c>
      <c r="B501" s="98" t="s">
        <v>17</v>
      </c>
      <c r="C501" s="98">
        <v>81</v>
      </c>
      <c r="D501" s="98">
        <v>3439</v>
      </c>
      <c r="E501" s="157">
        <v>41468.184027777781</v>
      </c>
      <c r="F501" s="157">
        <v>41470.322916666664</v>
      </c>
      <c r="G501" s="98">
        <v>435</v>
      </c>
      <c r="H501" s="98">
        <v>456</v>
      </c>
      <c r="I501" s="98">
        <v>411</v>
      </c>
      <c r="J501" s="98" t="s">
        <v>2026</v>
      </c>
      <c r="K501" s="98" t="s">
        <v>980</v>
      </c>
      <c r="L501" s="105" t="str">
        <f t="shared" si="90"/>
        <v>Brown</v>
      </c>
      <c r="M501" s="105" t="str">
        <f t="shared" si="91"/>
        <v>Derate</v>
      </c>
      <c r="N501" s="105" t="str">
        <f t="shared" si="92"/>
        <v>Coal</v>
      </c>
      <c r="O501" s="105">
        <f>IFERROR(VLOOKUP(A501,Lookup!$J$5:$P$19,7,FALSE),0)</f>
        <v>3</v>
      </c>
      <c r="P501" s="159">
        <f t="shared" si="93"/>
        <v>2013</v>
      </c>
      <c r="Q501" s="159">
        <f t="shared" si="94"/>
        <v>7</v>
      </c>
      <c r="R501" s="160">
        <f t="shared" si="95"/>
        <v>51.333333333197515</v>
      </c>
      <c r="S501" s="158">
        <f t="shared" si="96"/>
        <v>2.3640350877130434</v>
      </c>
      <c r="T501" s="161">
        <f t="shared" si="97"/>
        <v>971.61842105006087</v>
      </c>
      <c r="U501" s="158">
        <f t="shared" si="99"/>
        <v>18.92763157894737</v>
      </c>
      <c r="V501" s="160">
        <f t="shared" si="98"/>
        <v>19</v>
      </c>
    </row>
    <row r="502" spans="1:22" x14ac:dyDescent="0.25">
      <c r="A502" s="98" t="s">
        <v>28</v>
      </c>
      <c r="B502" s="98" t="s">
        <v>17</v>
      </c>
      <c r="C502" s="98">
        <v>82</v>
      </c>
      <c r="D502" s="98">
        <v>310</v>
      </c>
      <c r="E502" s="157">
        <v>41470.322916666664</v>
      </c>
      <c r="F502" s="157">
        <v>41470.355555555558</v>
      </c>
      <c r="G502" s="98">
        <v>360</v>
      </c>
      <c r="H502" s="98">
        <v>456</v>
      </c>
      <c r="I502" s="98">
        <v>411</v>
      </c>
      <c r="J502" s="98" t="s">
        <v>1966</v>
      </c>
      <c r="K502" s="98" t="s">
        <v>981</v>
      </c>
      <c r="L502" s="105" t="str">
        <f t="shared" si="90"/>
        <v>Brown</v>
      </c>
      <c r="M502" s="105" t="str">
        <f t="shared" si="91"/>
        <v>Derate</v>
      </c>
      <c r="N502" s="105" t="str">
        <f t="shared" si="92"/>
        <v>Coal</v>
      </c>
      <c r="O502" s="105">
        <f>IFERROR(VLOOKUP(A502,Lookup!$J$5:$P$19,7,FALSE),0)</f>
        <v>3</v>
      </c>
      <c r="P502" s="159">
        <f t="shared" si="93"/>
        <v>2013</v>
      </c>
      <c r="Q502" s="159">
        <f t="shared" si="94"/>
        <v>7</v>
      </c>
      <c r="R502" s="160">
        <f t="shared" si="95"/>
        <v>0.78333333344198763</v>
      </c>
      <c r="S502" s="158">
        <f t="shared" si="96"/>
        <v>0.16491228072462896</v>
      </c>
      <c r="T502" s="161">
        <f t="shared" si="97"/>
        <v>67.778947377822504</v>
      </c>
      <c r="U502" s="158">
        <f t="shared" si="99"/>
        <v>86.526315789473685</v>
      </c>
      <c r="V502" s="160">
        <f t="shared" si="98"/>
        <v>87</v>
      </c>
    </row>
    <row r="503" spans="1:22" x14ac:dyDescent="0.25">
      <c r="A503" s="98" t="s">
        <v>28</v>
      </c>
      <c r="B503" s="98" t="s">
        <v>17</v>
      </c>
      <c r="C503" s="98">
        <v>83</v>
      </c>
      <c r="D503" s="98">
        <v>3439</v>
      </c>
      <c r="E503" s="157">
        <v>41470.355555555558</v>
      </c>
      <c r="F503" s="157">
        <v>41471</v>
      </c>
      <c r="G503" s="98">
        <v>435</v>
      </c>
      <c r="H503" s="98">
        <v>456</v>
      </c>
      <c r="I503" s="98">
        <v>411</v>
      </c>
      <c r="J503" s="98" t="s">
        <v>2026</v>
      </c>
      <c r="K503" s="98" t="s">
        <v>978</v>
      </c>
      <c r="L503" s="105" t="str">
        <f t="shared" si="90"/>
        <v>Brown</v>
      </c>
      <c r="M503" s="105" t="str">
        <f t="shared" si="91"/>
        <v>Derate</v>
      </c>
      <c r="N503" s="105" t="str">
        <f t="shared" si="92"/>
        <v>Coal</v>
      </c>
      <c r="O503" s="105">
        <f>IFERROR(VLOOKUP(A503,Lookup!$J$5:$P$19,7,FALSE),0)</f>
        <v>3</v>
      </c>
      <c r="P503" s="159">
        <f t="shared" si="93"/>
        <v>2013</v>
      </c>
      <c r="Q503" s="159">
        <f t="shared" si="94"/>
        <v>7</v>
      </c>
      <c r="R503" s="160">
        <f t="shared" si="95"/>
        <v>15.46666666661622</v>
      </c>
      <c r="S503" s="158">
        <f t="shared" si="96"/>
        <v>0.71228070175206282</v>
      </c>
      <c r="T503" s="161">
        <f t="shared" si="97"/>
        <v>292.74736842009781</v>
      </c>
      <c r="U503" s="158">
        <f t="shared" si="99"/>
        <v>18.92763157894737</v>
      </c>
      <c r="V503" s="160">
        <f t="shared" si="98"/>
        <v>19</v>
      </c>
    </row>
    <row r="504" spans="1:22" x14ac:dyDescent="0.25">
      <c r="A504" s="98" t="s">
        <v>28</v>
      </c>
      <c r="B504" s="98" t="s">
        <v>32</v>
      </c>
      <c r="C504" s="98">
        <v>84</v>
      </c>
      <c r="D504" s="98">
        <v>310</v>
      </c>
      <c r="E504" s="157">
        <v>41471</v>
      </c>
      <c r="F504" s="157">
        <v>41471.220833333333</v>
      </c>
      <c r="G504" s="98">
        <v>370</v>
      </c>
      <c r="H504" s="98">
        <v>456</v>
      </c>
      <c r="I504" s="98">
        <v>411</v>
      </c>
      <c r="J504" s="98" t="s">
        <v>1966</v>
      </c>
      <c r="K504" s="98" t="s">
        <v>982</v>
      </c>
      <c r="L504" s="105" t="str">
        <f t="shared" si="90"/>
        <v>Brown</v>
      </c>
      <c r="M504" s="105" t="str">
        <f t="shared" si="91"/>
        <v>Derate</v>
      </c>
      <c r="N504" s="105" t="str">
        <f t="shared" si="92"/>
        <v>Coal</v>
      </c>
      <c r="O504" s="105">
        <f>IFERROR(VLOOKUP(A504,Lookup!$J$5:$P$19,7,FALSE),0)</f>
        <v>3</v>
      </c>
      <c r="P504" s="159">
        <f t="shared" si="93"/>
        <v>2013</v>
      </c>
      <c r="Q504" s="159">
        <f t="shared" si="94"/>
        <v>7</v>
      </c>
      <c r="R504" s="160">
        <f t="shared" si="95"/>
        <v>5.2999999999883585</v>
      </c>
      <c r="S504" s="158">
        <f t="shared" si="96"/>
        <v>0.99956140350657641</v>
      </c>
      <c r="T504" s="161">
        <f t="shared" si="97"/>
        <v>410.81973684120288</v>
      </c>
      <c r="U504" s="158">
        <f t="shared" si="99"/>
        <v>77.513157894736835</v>
      </c>
      <c r="V504" s="160">
        <f t="shared" si="98"/>
        <v>78</v>
      </c>
    </row>
    <row r="505" spans="1:22" x14ac:dyDescent="0.25">
      <c r="A505" s="98" t="s">
        <v>28</v>
      </c>
      <c r="B505" s="98" t="s">
        <v>17</v>
      </c>
      <c r="C505" s="98">
        <v>85</v>
      </c>
      <c r="D505" s="98">
        <v>3439</v>
      </c>
      <c r="E505" s="157">
        <v>41471.220833333333</v>
      </c>
      <c r="F505" s="157">
        <v>41471.947916666664</v>
      </c>
      <c r="G505" s="98">
        <v>435</v>
      </c>
      <c r="H505" s="98">
        <v>456</v>
      </c>
      <c r="I505" s="98">
        <v>411</v>
      </c>
      <c r="J505" s="98" t="s">
        <v>2026</v>
      </c>
      <c r="K505" s="98" t="s">
        <v>983</v>
      </c>
      <c r="L505" s="105" t="str">
        <f t="shared" si="90"/>
        <v>Brown</v>
      </c>
      <c r="M505" s="105" t="str">
        <f t="shared" si="91"/>
        <v>Derate</v>
      </c>
      <c r="N505" s="105" t="str">
        <f t="shared" si="92"/>
        <v>Coal</v>
      </c>
      <c r="O505" s="105">
        <f>IFERROR(VLOOKUP(A505,Lookup!$J$5:$P$19,7,FALSE),0)</f>
        <v>3</v>
      </c>
      <c r="P505" s="159">
        <f t="shared" si="93"/>
        <v>2013</v>
      </c>
      <c r="Q505" s="159">
        <f t="shared" si="94"/>
        <v>7</v>
      </c>
      <c r="R505" s="160">
        <f t="shared" si="95"/>
        <v>17.449999999953434</v>
      </c>
      <c r="S505" s="158">
        <f t="shared" si="96"/>
        <v>0.80361842105048709</v>
      </c>
      <c r="T505" s="161">
        <f t="shared" si="97"/>
        <v>330.28717105175019</v>
      </c>
      <c r="U505" s="158">
        <f t="shared" si="99"/>
        <v>18.92763157894737</v>
      </c>
      <c r="V505" s="160">
        <f t="shared" si="98"/>
        <v>19</v>
      </c>
    </row>
    <row r="506" spans="1:22" x14ac:dyDescent="0.25">
      <c r="A506" s="98" t="s">
        <v>28</v>
      </c>
      <c r="B506" s="98" t="s">
        <v>17</v>
      </c>
      <c r="C506" s="98">
        <v>86</v>
      </c>
      <c r="D506" s="98">
        <v>3415</v>
      </c>
      <c r="E506" s="157">
        <v>41471.947916666664</v>
      </c>
      <c r="F506" s="157">
        <v>41471.982638888891</v>
      </c>
      <c r="G506" s="98">
        <v>275</v>
      </c>
      <c r="H506" s="98">
        <v>456</v>
      </c>
      <c r="I506" s="98">
        <v>411</v>
      </c>
      <c r="J506" s="98" t="s">
        <v>2109</v>
      </c>
      <c r="K506" s="98" t="s">
        <v>984</v>
      </c>
      <c r="L506" s="105" t="str">
        <f t="shared" si="90"/>
        <v>Brown</v>
      </c>
      <c r="M506" s="105" t="str">
        <f t="shared" si="91"/>
        <v>Derate</v>
      </c>
      <c r="N506" s="105" t="str">
        <f t="shared" si="92"/>
        <v>Coal</v>
      </c>
      <c r="O506" s="105">
        <f>IFERROR(VLOOKUP(A506,Lookup!$J$5:$P$19,7,FALSE),0)</f>
        <v>3</v>
      </c>
      <c r="P506" s="159">
        <f t="shared" si="93"/>
        <v>2013</v>
      </c>
      <c r="Q506" s="159">
        <f t="shared" si="94"/>
        <v>7</v>
      </c>
      <c r="R506" s="160">
        <f t="shared" si="95"/>
        <v>0.8333333334303461</v>
      </c>
      <c r="S506" s="158">
        <f t="shared" si="96"/>
        <v>0.33077485383967686</v>
      </c>
      <c r="T506" s="161">
        <f t="shared" si="97"/>
        <v>135.9484649281072</v>
      </c>
      <c r="U506" s="158">
        <f t="shared" si="99"/>
        <v>163.13815789473685</v>
      </c>
      <c r="V506" s="160">
        <f t="shared" si="98"/>
        <v>163</v>
      </c>
    </row>
    <row r="507" spans="1:22" x14ac:dyDescent="0.25">
      <c r="A507" s="98" t="s">
        <v>28</v>
      </c>
      <c r="B507" s="98" t="s">
        <v>17</v>
      </c>
      <c r="C507" s="98">
        <v>87</v>
      </c>
      <c r="D507" s="98">
        <v>3439</v>
      </c>
      <c r="E507" s="157">
        <v>41471.982638888891</v>
      </c>
      <c r="F507" s="157">
        <v>41472.317361111112</v>
      </c>
      <c r="G507" s="98">
        <v>435</v>
      </c>
      <c r="H507" s="98">
        <v>456</v>
      </c>
      <c r="I507" s="98">
        <v>411</v>
      </c>
      <c r="J507" s="98" t="s">
        <v>2026</v>
      </c>
      <c r="K507" s="98" t="s">
        <v>985</v>
      </c>
      <c r="L507" s="105" t="str">
        <f t="shared" si="90"/>
        <v>Brown</v>
      </c>
      <c r="M507" s="105" t="str">
        <f t="shared" si="91"/>
        <v>Derate</v>
      </c>
      <c r="N507" s="105" t="str">
        <f t="shared" si="92"/>
        <v>Coal</v>
      </c>
      <c r="O507" s="105">
        <f>IFERROR(VLOOKUP(A507,Lookup!$J$5:$P$19,7,FALSE),0)</f>
        <v>3</v>
      </c>
      <c r="P507" s="159">
        <f t="shared" si="93"/>
        <v>2013</v>
      </c>
      <c r="Q507" s="159">
        <f t="shared" si="94"/>
        <v>7</v>
      </c>
      <c r="R507" s="160">
        <f t="shared" si="95"/>
        <v>8.0333333333255723</v>
      </c>
      <c r="S507" s="158">
        <f t="shared" si="96"/>
        <v>0.36995614035051977</v>
      </c>
      <c r="T507" s="161">
        <f t="shared" si="97"/>
        <v>152.05197368406363</v>
      </c>
      <c r="U507" s="158">
        <f t="shared" si="99"/>
        <v>18.92763157894737</v>
      </c>
      <c r="V507" s="160">
        <f t="shared" si="98"/>
        <v>19</v>
      </c>
    </row>
    <row r="508" spans="1:22" x14ac:dyDescent="0.25">
      <c r="A508" s="98" t="s">
        <v>28</v>
      </c>
      <c r="B508" s="98" t="s">
        <v>17</v>
      </c>
      <c r="C508" s="98">
        <v>88</v>
      </c>
      <c r="D508" s="98">
        <v>1470</v>
      </c>
      <c r="E508" s="157">
        <v>41472.645138888889</v>
      </c>
      <c r="F508" s="157">
        <v>41472.834722222222</v>
      </c>
      <c r="G508" s="98">
        <v>435</v>
      </c>
      <c r="H508" s="98">
        <v>456</v>
      </c>
      <c r="I508" s="98">
        <v>411</v>
      </c>
      <c r="J508" s="98" t="s">
        <v>2005</v>
      </c>
      <c r="K508" s="98" t="s">
        <v>986</v>
      </c>
      <c r="L508" s="105" t="str">
        <f t="shared" si="90"/>
        <v>Brown</v>
      </c>
      <c r="M508" s="105" t="str">
        <f t="shared" si="91"/>
        <v>Derate</v>
      </c>
      <c r="N508" s="105" t="str">
        <f t="shared" si="92"/>
        <v>Coal</v>
      </c>
      <c r="O508" s="105">
        <f>IFERROR(VLOOKUP(A508,Lookup!$J$5:$P$19,7,FALSE),0)</f>
        <v>3</v>
      </c>
      <c r="P508" s="159">
        <f t="shared" si="93"/>
        <v>2013</v>
      </c>
      <c r="Q508" s="159">
        <f t="shared" si="94"/>
        <v>7</v>
      </c>
      <c r="R508" s="160">
        <f t="shared" si="95"/>
        <v>4.5499999999883585</v>
      </c>
      <c r="S508" s="158">
        <f t="shared" si="96"/>
        <v>0.2095394736836744</v>
      </c>
      <c r="T508" s="161">
        <f t="shared" si="97"/>
        <v>86.120723683990178</v>
      </c>
      <c r="U508" s="158">
        <f t="shared" si="99"/>
        <v>18.92763157894737</v>
      </c>
      <c r="V508" s="160">
        <f t="shared" si="98"/>
        <v>19</v>
      </c>
    </row>
    <row r="509" spans="1:22" x14ac:dyDescent="0.25">
      <c r="A509" s="98" t="s">
        <v>28</v>
      </c>
      <c r="B509" s="98" t="s">
        <v>15</v>
      </c>
      <c r="C509" s="98">
        <v>89</v>
      </c>
      <c r="D509" s="98">
        <v>1060</v>
      </c>
      <c r="E509" s="157">
        <v>41472.834722222222</v>
      </c>
      <c r="F509" s="157">
        <v>41476.957638888889</v>
      </c>
      <c r="G509" s="98">
        <v>0</v>
      </c>
      <c r="H509" s="98">
        <v>456</v>
      </c>
      <c r="I509" s="98">
        <v>411</v>
      </c>
      <c r="J509" s="98" t="s">
        <v>2179</v>
      </c>
      <c r="K509" s="98" t="s">
        <v>987</v>
      </c>
      <c r="L509" s="105" t="str">
        <f t="shared" si="90"/>
        <v>Brown</v>
      </c>
      <c r="M509" s="105" t="str">
        <f t="shared" si="91"/>
        <v>Outage</v>
      </c>
      <c r="N509" s="105" t="str">
        <f t="shared" si="92"/>
        <v>Coal</v>
      </c>
      <c r="O509" s="105">
        <f>IFERROR(VLOOKUP(A509,Lookup!$J$5:$P$19,7,FALSE),0)</f>
        <v>3</v>
      </c>
      <c r="P509" s="159">
        <f t="shared" si="93"/>
        <v>2013</v>
      </c>
      <c r="Q509" s="159">
        <f t="shared" si="94"/>
        <v>7</v>
      </c>
      <c r="R509" s="160">
        <f t="shared" si="95"/>
        <v>98.950000000011642</v>
      </c>
      <c r="S509" s="158">
        <f t="shared" si="96"/>
        <v>98.950000000011642</v>
      </c>
      <c r="T509" s="161">
        <f t="shared" si="97"/>
        <v>40668.450000004785</v>
      </c>
      <c r="U509" s="158">
        <f t="shared" si="99"/>
        <v>411</v>
      </c>
      <c r="V509" s="160">
        <f t="shared" si="98"/>
        <v>411</v>
      </c>
    </row>
    <row r="510" spans="1:22" x14ac:dyDescent="0.25">
      <c r="A510" s="98" t="s">
        <v>28</v>
      </c>
      <c r="B510" s="98" t="s">
        <v>17</v>
      </c>
      <c r="C510" s="98">
        <v>90</v>
      </c>
      <c r="D510" s="98">
        <v>300</v>
      </c>
      <c r="E510" s="157">
        <v>41478.327777777777</v>
      </c>
      <c r="F510" s="157">
        <v>41478.371527777781</v>
      </c>
      <c r="G510" s="98">
        <v>350</v>
      </c>
      <c r="H510" s="98">
        <v>456</v>
      </c>
      <c r="I510" s="98">
        <v>411</v>
      </c>
      <c r="J510" s="98" t="s">
        <v>1977</v>
      </c>
      <c r="K510" s="98" t="s">
        <v>988</v>
      </c>
      <c r="L510" s="105" t="str">
        <f t="shared" si="90"/>
        <v>Brown</v>
      </c>
      <c r="M510" s="105" t="str">
        <f t="shared" si="91"/>
        <v>Derate</v>
      </c>
      <c r="N510" s="105" t="str">
        <f t="shared" si="92"/>
        <v>Coal</v>
      </c>
      <c r="O510" s="105">
        <f>IFERROR(VLOOKUP(A510,Lookup!$J$5:$P$19,7,FALSE),0)</f>
        <v>3</v>
      </c>
      <c r="P510" s="159">
        <f t="shared" si="93"/>
        <v>2013</v>
      </c>
      <c r="Q510" s="159">
        <f t="shared" si="94"/>
        <v>7</v>
      </c>
      <c r="R510" s="160">
        <f t="shared" si="95"/>
        <v>1.0500000001047738</v>
      </c>
      <c r="S510" s="158">
        <f t="shared" si="96"/>
        <v>0.24407894739277636</v>
      </c>
      <c r="T510" s="161">
        <f t="shared" si="97"/>
        <v>100.31644737843108</v>
      </c>
      <c r="U510" s="158">
        <f t="shared" si="99"/>
        <v>95.53947368421052</v>
      </c>
      <c r="V510" s="160">
        <f t="shared" si="98"/>
        <v>96</v>
      </c>
    </row>
    <row r="511" spans="1:22" x14ac:dyDescent="0.25">
      <c r="A511" s="98" t="s">
        <v>28</v>
      </c>
      <c r="B511" s="98" t="s">
        <v>79</v>
      </c>
      <c r="C511" s="98">
        <v>91</v>
      </c>
      <c r="D511" s="98">
        <v>4842</v>
      </c>
      <c r="E511" s="157">
        <v>41487.503472222219</v>
      </c>
      <c r="F511" s="157">
        <v>41487.554861111108</v>
      </c>
      <c r="G511" s="98">
        <v>0</v>
      </c>
      <c r="H511" s="98">
        <v>456</v>
      </c>
      <c r="I511" s="98">
        <v>411</v>
      </c>
      <c r="J511" s="98" t="s">
        <v>60</v>
      </c>
      <c r="K511" s="98" t="s">
        <v>989</v>
      </c>
      <c r="L511" s="105" t="str">
        <f t="shared" si="90"/>
        <v>Brown</v>
      </c>
      <c r="M511" s="105" t="str">
        <f t="shared" si="91"/>
        <v>Other</v>
      </c>
      <c r="N511" s="105" t="str">
        <f t="shared" si="92"/>
        <v>Coal</v>
      </c>
      <c r="O511" s="105">
        <f>IFERROR(VLOOKUP(A511,Lookup!$J$5:$P$19,7,FALSE),0)</f>
        <v>3</v>
      </c>
      <c r="P511" s="159">
        <f t="shared" si="93"/>
        <v>2013</v>
      </c>
      <c r="Q511" s="159">
        <f t="shared" si="94"/>
        <v>8</v>
      </c>
      <c r="R511" s="160">
        <f t="shared" si="95"/>
        <v>1.2333333333372138</v>
      </c>
      <c r="S511" s="158">
        <f t="shared" si="96"/>
        <v>1.2333333333372138</v>
      </c>
      <c r="T511" s="161">
        <f t="shared" si="97"/>
        <v>506.90000000159489</v>
      </c>
      <c r="U511" s="158">
        <f t="shared" si="99"/>
        <v>411</v>
      </c>
      <c r="V511" s="160">
        <f t="shared" si="98"/>
        <v>411</v>
      </c>
    </row>
    <row r="512" spans="1:22" x14ac:dyDescent="0.25">
      <c r="A512" s="98" t="s">
        <v>28</v>
      </c>
      <c r="B512" s="98" t="s">
        <v>15</v>
      </c>
      <c r="C512" s="98">
        <v>92</v>
      </c>
      <c r="D512" s="98">
        <v>1060</v>
      </c>
      <c r="E512" s="157">
        <v>41496.013194444444</v>
      </c>
      <c r="F512" s="157">
        <v>41501.25</v>
      </c>
      <c r="G512" s="98">
        <v>0</v>
      </c>
      <c r="H512" s="98">
        <v>456</v>
      </c>
      <c r="I512" s="98">
        <v>411</v>
      </c>
      <c r="J512" s="98" t="s">
        <v>2179</v>
      </c>
      <c r="K512" s="98" t="s">
        <v>990</v>
      </c>
      <c r="L512" s="105" t="str">
        <f t="shared" si="90"/>
        <v>Brown</v>
      </c>
      <c r="M512" s="105" t="str">
        <f t="shared" si="91"/>
        <v>Outage</v>
      </c>
      <c r="N512" s="105" t="str">
        <f t="shared" si="92"/>
        <v>Coal</v>
      </c>
      <c r="O512" s="105">
        <f>IFERROR(VLOOKUP(A512,Lookup!$J$5:$P$19,7,FALSE),0)</f>
        <v>3</v>
      </c>
      <c r="P512" s="159">
        <f t="shared" si="93"/>
        <v>2013</v>
      </c>
      <c r="Q512" s="159">
        <f t="shared" si="94"/>
        <v>8</v>
      </c>
      <c r="R512" s="160">
        <f t="shared" si="95"/>
        <v>125.68333333334886</v>
      </c>
      <c r="S512" s="158">
        <f t="shared" si="96"/>
        <v>125.68333333334886</v>
      </c>
      <c r="T512" s="161">
        <f t="shared" si="97"/>
        <v>51655.85000000638</v>
      </c>
      <c r="U512" s="158">
        <f t="shared" si="99"/>
        <v>411</v>
      </c>
      <c r="V512" s="160">
        <f t="shared" si="98"/>
        <v>411</v>
      </c>
    </row>
    <row r="513" spans="1:22" x14ac:dyDescent="0.25">
      <c r="A513" s="98" t="s">
        <v>28</v>
      </c>
      <c r="B513" s="98" t="s">
        <v>17</v>
      </c>
      <c r="C513" s="98">
        <v>94</v>
      </c>
      <c r="D513" s="98">
        <v>253</v>
      </c>
      <c r="E513" s="157">
        <v>41505.40625</v>
      </c>
      <c r="F513" s="157">
        <v>41505.65625</v>
      </c>
      <c r="G513" s="98">
        <v>340</v>
      </c>
      <c r="H513" s="98">
        <v>456</v>
      </c>
      <c r="I513" s="98">
        <v>411</v>
      </c>
      <c r="J513" s="98" t="s">
        <v>1999</v>
      </c>
      <c r="K513" s="98" t="s">
        <v>991</v>
      </c>
      <c r="L513" s="105" t="str">
        <f t="shared" si="90"/>
        <v>Brown</v>
      </c>
      <c r="M513" s="105" t="str">
        <f t="shared" si="91"/>
        <v>Derate</v>
      </c>
      <c r="N513" s="105" t="str">
        <f t="shared" si="92"/>
        <v>Coal</v>
      </c>
      <c r="O513" s="105">
        <f>IFERROR(VLOOKUP(A513,Lookup!$J$5:$P$19,7,FALSE),0)</f>
        <v>3</v>
      </c>
      <c r="P513" s="159">
        <f t="shared" si="93"/>
        <v>2013</v>
      </c>
      <c r="Q513" s="159">
        <f t="shared" si="94"/>
        <v>8</v>
      </c>
      <c r="R513" s="160">
        <f t="shared" si="95"/>
        <v>6</v>
      </c>
      <c r="S513" s="158">
        <f t="shared" si="96"/>
        <v>1.5263157894736843</v>
      </c>
      <c r="T513" s="161">
        <f t="shared" si="97"/>
        <v>627.31578947368428</v>
      </c>
      <c r="U513" s="158">
        <f t="shared" si="99"/>
        <v>104.55263157894737</v>
      </c>
      <c r="V513" s="160">
        <f t="shared" si="98"/>
        <v>105</v>
      </c>
    </row>
    <row r="514" spans="1:22" x14ac:dyDescent="0.25">
      <c r="A514" s="98" t="s">
        <v>28</v>
      </c>
      <c r="B514" s="98" t="s">
        <v>17</v>
      </c>
      <c r="C514" s="98">
        <v>95</v>
      </c>
      <c r="D514" s="98">
        <v>3415</v>
      </c>
      <c r="E514" s="157">
        <v>41506.493750000001</v>
      </c>
      <c r="F514" s="157">
        <v>41506.837500000001</v>
      </c>
      <c r="G514" s="98">
        <v>300</v>
      </c>
      <c r="H514" s="98">
        <v>456</v>
      </c>
      <c r="I514" s="98">
        <v>411</v>
      </c>
      <c r="J514" s="98" t="s">
        <v>2109</v>
      </c>
      <c r="K514" s="98" t="s">
        <v>992</v>
      </c>
      <c r="L514" s="105" t="str">
        <f t="shared" si="90"/>
        <v>Brown</v>
      </c>
      <c r="M514" s="105" t="str">
        <f t="shared" si="91"/>
        <v>Derate</v>
      </c>
      <c r="N514" s="105" t="str">
        <f t="shared" si="92"/>
        <v>Coal</v>
      </c>
      <c r="O514" s="105">
        <f>IFERROR(VLOOKUP(A514,Lookup!$J$5:$P$19,7,FALSE),0)</f>
        <v>3</v>
      </c>
      <c r="P514" s="159">
        <f t="shared" si="93"/>
        <v>2013</v>
      </c>
      <c r="Q514" s="159">
        <f t="shared" si="94"/>
        <v>8</v>
      </c>
      <c r="R514" s="160">
        <f t="shared" si="95"/>
        <v>8.25</v>
      </c>
      <c r="S514" s="158">
        <f t="shared" si="96"/>
        <v>2.8223684210526314</v>
      </c>
      <c r="T514" s="161">
        <f t="shared" si="97"/>
        <v>1159.9934210526314</v>
      </c>
      <c r="U514" s="158">
        <f t="shared" si="99"/>
        <v>140.60526315789474</v>
      </c>
      <c r="V514" s="160">
        <f t="shared" si="98"/>
        <v>141</v>
      </c>
    </row>
    <row r="515" spans="1:22" x14ac:dyDescent="0.25">
      <c r="A515" s="98" t="s">
        <v>28</v>
      </c>
      <c r="B515" s="98" t="s">
        <v>32</v>
      </c>
      <c r="C515" s="98">
        <v>96</v>
      </c>
      <c r="D515" s="98">
        <v>344</v>
      </c>
      <c r="E515" s="157">
        <v>41506.958333333336</v>
      </c>
      <c r="F515" s="157">
        <v>41507.058333333334</v>
      </c>
      <c r="G515" s="98">
        <v>340</v>
      </c>
      <c r="H515" s="98">
        <v>456</v>
      </c>
      <c r="I515" s="98">
        <v>411</v>
      </c>
      <c r="J515" s="98" t="s">
        <v>1968</v>
      </c>
      <c r="K515" s="98" t="s">
        <v>993</v>
      </c>
      <c r="L515" s="105" t="str">
        <f t="shared" si="90"/>
        <v>Brown</v>
      </c>
      <c r="M515" s="105" t="str">
        <f t="shared" si="91"/>
        <v>Derate</v>
      </c>
      <c r="N515" s="105" t="str">
        <f t="shared" si="92"/>
        <v>Coal</v>
      </c>
      <c r="O515" s="105">
        <f>IFERROR(VLOOKUP(A515,Lookup!$J$5:$P$19,7,FALSE),0)</f>
        <v>3</v>
      </c>
      <c r="P515" s="159">
        <f t="shared" si="93"/>
        <v>2013</v>
      </c>
      <c r="Q515" s="159">
        <f t="shared" si="94"/>
        <v>8</v>
      </c>
      <c r="R515" s="160">
        <f t="shared" si="95"/>
        <v>2.3999999999650754</v>
      </c>
      <c r="S515" s="158">
        <f t="shared" si="96"/>
        <v>0.61052631578058936</v>
      </c>
      <c r="T515" s="161">
        <f t="shared" si="97"/>
        <v>250.92631578582223</v>
      </c>
      <c r="U515" s="158">
        <f t="shared" si="99"/>
        <v>104.55263157894737</v>
      </c>
      <c r="V515" s="160">
        <f t="shared" si="98"/>
        <v>105</v>
      </c>
    </row>
    <row r="516" spans="1:22" x14ac:dyDescent="0.25">
      <c r="A516" s="98" t="s">
        <v>28</v>
      </c>
      <c r="B516" s="98" t="s">
        <v>32</v>
      </c>
      <c r="C516" s="98">
        <v>97</v>
      </c>
      <c r="D516" s="98">
        <v>344</v>
      </c>
      <c r="E516" s="157">
        <v>41507.963194444441</v>
      </c>
      <c r="F516" s="157">
        <v>41508.037499999999</v>
      </c>
      <c r="G516" s="98">
        <v>360</v>
      </c>
      <c r="H516" s="98">
        <v>456</v>
      </c>
      <c r="I516" s="98">
        <v>411</v>
      </c>
      <c r="J516" s="98" t="s">
        <v>1968</v>
      </c>
      <c r="K516" s="98" t="s">
        <v>994</v>
      </c>
      <c r="L516" s="105" t="str">
        <f t="shared" si="90"/>
        <v>Brown</v>
      </c>
      <c r="M516" s="105" t="str">
        <f t="shared" si="91"/>
        <v>Derate</v>
      </c>
      <c r="N516" s="105" t="str">
        <f t="shared" si="92"/>
        <v>Coal</v>
      </c>
      <c r="O516" s="105">
        <f>IFERROR(VLOOKUP(A516,Lookup!$J$5:$P$19,7,FALSE),0)</f>
        <v>3</v>
      </c>
      <c r="P516" s="159">
        <f t="shared" si="93"/>
        <v>2013</v>
      </c>
      <c r="Q516" s="159">
        <f t="shared" si="94"/>
        <v>8</v>
      </c>
      <c r="R516" s="160">
        <f t="shared" si="95"/>
        <v>1.78333333338378</v>
      </c>
      <c r="S516" s="158">
        <f t="shared" si="96"/>
        <v>0.37543859650184841</v>
      </c>
      <c r="T516" s="161">
        <f t="shared" si="97"/>
        <v>154.30526316225971</v>
      </c>
      <c r="U516" s="158">
        <f t="shared" si="99"/>
        <v>86.526315789473685</v>
      </c>
      <c r="V516" s="160">
        <f t="shared" si="98"/>
        <v>87</v>
      </c>
    </row>
    <row r="517" spans="1:22" x14ac:dyDescent="0.25">
      <c r="A517" s="98" t="s">
        <v>28</v>
      </c>
      <c r="B517" s="98" t="s">
        <v>32</v>
      </c>
      <c r="C517" s="98">
        <v>98</v>
      </c>
      <c r="D517" s="98">
        <v>344</v>
      </c>
      <c r="E517" s="157">
        <v>41508.979166666664</v>
      </c>
      <c r="F517" s="157">
        <v>41509.018055555556</v>
      </c>
      <c r="G517" s="98">
        <v>360</v>
      </c>
      <c r="H517" s="98">
        <v>456</v>
      </c>
      <c r="I517" s="98">
        <v>411</v>
      </c>
      <c r="J517" s="98" t="s">
        <v>1968</v>
      </c>
      <c r="K517" s="98" t="s">
        <v>995</v>
      </c>
      <c r="L517" s="105" t="str">
        <f t="shared" si="90"/>
        <v>Brown</v>
      </c>
      <c r="M517" s="105" t="str">
        <f t="shared" si="91"/>
        <v>Derate</v>
      </c>
      <c r="N517" s="105" t="str">
        <f t="shared" si="92"/>
        <v>Coal</v>
      </c>
      <c r="O517" s="105">
        <f>IFERROR(VLOOKUP(A517,Lookup!$J$5:$P$19,7,FALSE),0)</f>
        <v>3</v>
      </c>
      <c r="P517" s="159">
        <f t="shared" si="93"/>
        <v>2013</v>
      </c>
      <c r="Q517" s="159">
        <f t="shared" si="94"/>
        <v>8</v>
      </c>
      <c r="R517" s="160">
        <f t="shared" si="95"/>
        <v>0.93333333340706304</v>
      </c>
      <c r="S517" s="158">
        <f t="shared" si="96"/>
        <v>0.19649122808569749</v>
      </c>
      <c r="T517" s="161">
        <f t="shared" si="97"/>
        <v>80.757894743221669</v>
      </c>
      <c r="U517" s="158">
        <f t="shared" si="99"/>
        <v>86.526315789473685</v>
      </c>
      <c r="V517" s="160">
        <f t="shared" si="98"/>
        <v>87</v>
      </c>
    </row>
    <row r="518" spans="1:22" x14ac:dyDescent="0.25">
      <c r="A518" s="98" t="s">
        <v>28</v>
      </c>
      <c r="B518" s="98" t="s">
        <v>32</v>
      </c>
      <c r="C518" s="98">
        <v>99</v>
      </c>
      <c r="D518" s="98">
        <v>344</v>
      </c>
      <c r="E518" s="157">
        <v>41511.916666666664</v>
      </c>
      <c r="F518" s="157">
        <v>41512.029861111114</v>
      </c>
      <c r="G518" s="98">
        <v>360</v>
      </c>
      <c r="H518" s="98">
        <v>456</v>
      </c>
      <c r="I518" s="98">
        <v>411</v>
      </c>
      <c r="J518" s="98" t="s">
        <v>1968</v>
      </c>
      <c r="K518" s="98" t="s">
        <v>995</v>
      </c>
      <c r="L518" s="105" t="str">
        <f t="shared" si="90"/>
        <v>Brown</v>
      </c>
      <c r="M518" s="105" t="str">
        <f t="shared" si="91"/>
        <v>Derate</v>
      </c>
      <c r="N518" s="105" t="str">
        <f t="shared" si="92"/>
        <v>Coal</v>
      </c>
      <c r="O518" s="105">
        <f>IFERROR(VLOOKUP(A518,Lookup!$J$5:$P$19,7,FALSE),0)</f>
        <v>3</v>
      </c>
      <c r="P518" s="159">
        <f t="shared" si="93"/>
        <v>2013</v>
      </c>
      <c r="Q518" s="159">
        <f t="shared" si="94"/>
        <v>8</v>
      </c>
      <c r="R518" s="160">
        <f t="shared" si="95"/>
        <v>2.716666666790843</v>
      </c>
      <c r="S518" s="158">
        <f t="shared" si="96"/>
        <v>0.57192982458754593</v>
      </c>
      <c r="T518" s="161">
        <f t="shared" si="97"/>
        <v>235.06315790548138</v>
      </c>
      <c r="U518" s="158">
        <f t="shared" si="99"/>
        <v>86.526315789473685</v>
      </c>
      <c r="V518" s="160">
        <f t="shared" si="98"/>
        <v>87</v>
      </c>
    </row>
    <row r="519" spans="1:22" x14ac:dyDescent="0.25">
      <c r="A519" s="98" t="s">
        <v>28</v>
      </c>
      <c r="B519" s="98" t="s">
        <v>32</v>
      </c>
      <c r="C519" s="98">
        <v>100</v>
      </c>
      <c r="D519" s="98">
        <v>310</v>
      </c>
      <c r="E519" s="157">
        <v>41512.916666666664</v>
      </c>
      <c r="F519" s="157">
        <v>41512.993055555555</v>
      </c>
      <c r="G519" s="98">
        <v>360</v>
      </c>
      <c r="H519" s="98">
        <v>456</v>
      </c>
      <c r="I519" s="98">
        <v>411</v>
      </c>
      <c r="J519" s="98" t="s">
        <v>1966</v>
      </c>
      <c r="K519" s="98" t="s">
        <v>996</v>
      </c>
      <c r="L519" s="105" t="str">
        <f t="shared" si="90"/>
        <v>Brown</v>
      </c>
      <c r="M519" s="105" t="str">
        <f t="shared" si="91"/>
        <v>Derate</v>
      </c>
      <c r="N519" s="105" t="str">
        <f t="shared" si="92"/>
        <v>Coal</v>
      </c>
      <c r="O519" s="105">
        <f>IFERROR(VLOOKUP(A519,Lookup!$J$5:$P$19,7,FALSE),0)</f>
        <v>3</v>
      </c>
      <c r="P519" s="159">
        <f t="shared" si="93"/>
        <v>2013</v>
      </c>
      <c r="Q519" s="159">
        <f t="shared" si="94"/>
        <v>8</v>
      </c>
      <c r="R519" s="160">
        <f t="shared" si="95"/>
        <v>1.8333333333721384</v>
      </c>
      <c r="S519" s="158">
        <f t="shared" si="96"/>
        <v>0.38596491228887125</v>
      </c>
      <c r="T519" s="161">
        <f t="shared" si="97"/>
        <v>158.63157895072609</v>
      </c>
      <c r="U519" s="158">
        <f t="shared" si="99"/>
        <v>86.526315789473685</v>
      </c>
      <c r="V519" s="160">
        <f t="shared" si="98"/>
        <v>87</v>
      </c>
    </row>
    <row r="520" spans="1:22" x14ac:dyDescent="0.25">
      <c r="A520" s="98" t="s">
        <v>28</v>
      </c>
      <c r="B520" s="98" t="s">
        <v>17</v>
      </c>
      <c r="C520" s="98">
        <v>101</v>
      </c>
      <c r="D520" s="98">
        <v>740</v>
      </c>
      <c r="E520" s="157">
        <v>41513.738194444442</v>
      </c>
      <c r="F520" s="157">
        <v>41514</v>
      </c>
      <c r="G520" s="98">
        <v>430</v>
      </c>
      <c r="H520" s="98">
        <v>456</v>
      </c>
      <c r="I520" s="98">
        <v>411</v>
      </c>
      <c r="J520" s="98" t="s">
        <v>2176</v>
      </c>
      <c r="K520" s="98" t="s">
        <v>997</v>
      </c>
      <c r="L520" s="105" t="str">
        <f t="shared" si="90"/>
        <v>Brown</v>
      </c>
      <c r="M520" s="105" t="str">
        <f t="shared" si="91"/>
        <v>Derate</v>
      </c>
      <c r="N520" s="105" t="str">
        <f t="shared" si="92"/>
        <v>Coal</v>
      </c>
      <c r="O520" s="105">
        <f>IFERROR(VLOOKUP(A520,Lookup!$J$5:$P$19,7,FALSE),0)</f>
        <v>3</v>
      </c>
      <c r="P520" s="159">
        <f t="shared" si="93"/>
        <v>2013</v>
      </c>
      <c r="Q520" s="159">
        <f t="shared" si="94"/>
        <v>8</v>
      </c>
      <c r="R520" s="160">
        <f t="shared" si="95"/>
        <v>6.28333333338378</v>
      </c>
      <c r="S520" s="158">
        <f t="shared" si="96"/>
        <v>0.35826023392100498</v>
      </c>
      <c r="T520" s="161">
        <f t="shared" si="97"/>
        <v>147.24495614153304</v>
      </c>
      <c r="U520" s="158">
        <f t="shared" si="99"/>
        <v>23.434210526315791</v>
      </c>
      <c r="V520" s="160">
        <f t="shared" si="98"/>
        <v>23</v>
      </c>
    </row>
    <row r="521" spans="1:22" x14ac:dyDescent="0.25">
      <c r="A521" s="98" t="s">
        <v>28</v>
      </c>
      <c r="B521" s="98" t="s">
        <v>17</v>
      </c>
      <c r="C521" s="98">
        <v>102</v>
      </c>
      <c r="D521" s="98">
        <v>740</v>
      </c>
      <c r="E521" s="157">
        <v>41514.835416666669</v>
      </c>
      <c r="F521" s="157">
        <v>41514.916666666664</v>
      </c>
      <c r="G521" s="98">
        <v>430</v>
      </c>
      <c r="H521" s="98">
        <v>456</v>
      </c>
      <c r="I521" s="98">
        <v>411</v>
      </c>
      <c r="J521" s="98" t="s">
        <v>2176</v>
      </c>
      <c r="K521" s="98" t="s">
        <v>997</v>
      </c>
      <c r="L521" s="105" t="str">
        <f t="shared" si="90"/>
        <v>Brown</v>
      </c>
      <c r="M521" s="105" t="str">
        <f t="shared" si="91"/>
        <v>Derate</v>
      </c>
      <c r="N521" s="105" t="str">
        <f t="shared" si="92"/>
        <v>Coal</v>
      </c>
      <c r="O521" s="105">
        <f>IFERROR(VLOOKUP(A521,Lookup!$J$5:$P$19,7,FALSE),0)</f>
        <v>3</v>
      </c>
      <c r="P521" s="159">
        <f t="shared" si="93"/>
        <v>2013</v>
      </c>
      <c r="Q521" s="159">
        <f t="shared" si="94"/>
        <v>8</v>
      </c>
      <c r="R521" s="160">
        <f t="shared" si="95"/>
        <v>1.9499999998952262</v>
      </c>
      <c r="S521" s="158">
        <f t="shared" si="96"/>
        <v>0.11118421052034184</v>
      </c>
      <c r="T521" s="161">
        <f t="shared" si="97"/>
        <v>45.696710523860496</v>
      </c>
      <c r="U521" s="158">
        <f t="shared" si="99"/>
        <v>23.434210526315791</v>
      </c>
      <c r="V521" s="160">
        <f t="shared" si="98"/>
        <v>23</v>
      </c>
    </row>
    <row r="522" spans="1:22" x14ac:dyDescent="0.25">
      <c r="A522" s="98" t="s">
        <v>28</v>
      </c>
      <c r="B522" s="98" t="s">
        <v>32</v>
      </c>
      <c r="C522" s="98">
        <v>103</v>
      </c>
      <c r="D522" s="98">
        <v>310</v>
      </c>
      <c r="E522" s="157">
        <v>41514.916666666664</v>
      </c>
      <c r="F522" s="157">
        <v>41515.159722222219</v>
      </c>
      <c r="G522" s="98">
        <v>360</v>
      </c>
      <c r="H522" s="98">
        <v>456</v>
      </c>
      <c r="I522" s="98">
        <v>411</v>
      </c>
      <c r="J522" s="98" t="s">
        <v>1966</v>
      </c>
      <c r="K522" s="98" t="s">
        <v>998</v>
      </c>
      <c r="L522" s="105" t="str">
        <f t="shared" si="90"/>
        <v>Brown</v>
      </c>
      <c r="M522" s="105" t="str">
        <f t="shared" si="91"/>
        <v>Derate</v>
      </c>
      <c r="N522" s="105" t="str">
        <f t="shared" si="92"/>
        <v>Coal</v>
      </c>
      <c r="O522" s="105">
        <f>IFERROR(VLOOKUP(A522,Lookup!$J$5:$P$19,7,FALSE),0)</f>
        <v>3</v>
      </c>
      <c r="P522" s="159">
        <f t="shared" si="93"/>
        <v>2013</v>
      </c>
      <c r="Q522" s="159">
        <f t="shared" si="94"/>
        <v>8</v>
      </c>
      <c r="R522" s="160">
        <f t="shared" si="95"/>
        <v>5.8333333333139308</v>
      </c>
      <c r="S522" s="158">
        <f t="shared" si="96"/>
        <v>1.2280701754345118</v>
      </c>
      <c r="T522" s="161">
        <f t="shared" si="97"/>
        <v>504.73684210358437</v>
      </c>
      <c r="U522" s="158">
        <f t="shared" si="99"/>
        <v>86.526315789473685</v>
      </c>
      <c r="V522" s="160">
        <f t="shared" si="98"/>
        <v>87</v>
      </c>
    </row>
    <row r="523" spans="1:22" x14ac:dyDescent="0.25">
      <c r="A523" s="98" t="s">
        <v>28</v>
      </c>
      <c r="B523" s="98" t="s">
        <v>17</v>
      </c>
      <c r="C523" s="98">
        <v>104</v>
      </c>
      <c r="D523" s="98">
        <v>1470</v>
      </c>
      <c r="E523" s="157">
        <v>41515.578472222223</v>
      </c>
      <c r="F523" s="157">
        <v>41516.930555555555</v>
      </c>
      <c r="G523" s="98">
        <v>180</v>
      </c>
      <c r="H523" s="98">
        <v>456</v>
      </c>
      <c r="I523" s="98">
        <v>411</v>
      </c>
      <c r="J523" s="98" t="s">
        <v>2005</v>
      </c>
      <c r="K523" s="98" t="s">
        <v>999</v>
      </c>
      <c r="L523" s="105" t="str">
        <f t="shared" si="90"/>
        <v>Brown</v>
      </c>
      <c r="M523" s="105" t="str">
        <f t="shared" si="91"/>
        <v>Derate</v>
      </c>
      <c r="N523" s="105" t="str">
        <f t="shared" si="92"/>
        <v>Coal</v>
      </c>
      <c r="O523" s="105">
        <f>IFERROR(VLOOKUP(A523,Lookup!$J$5:$P$19,7,FALSE),0)</f>
        <v>3</v>
      </c>
      <c r="P523" s="159">
        <f t="shared" si="93"/>
        <v>2013</v>
      </c>
      <c r="Q523" s="159">
        <f t="shared" si="94"/>
        <v>8</v>
      </c>
      <c r="R523" s="160">
        <f t="shared" si="95"/>
        <v>32.449999999953434</v>
      </c>
      <c r="S523" s="158">
        <f t="shared" si="96"/>
        <v>19.640789473656024</v>
      </c>
      <c r="T523" s="161">
        <f t="shared" si="97"/>
        <v>8072.3644736726264</v>
      </c>
      <c r="U523" s="158">
        <f t="shared" si="99"/>
        <v>248.76315789473685</v>
      </c>
      <c r="V523" s="160">
        <f t="shared" si="98"/>
        <v>249</v>
      </c>
    </row>
    <row r="524" spans="1:22" x14ac:dyDescent="0.25">
      <c r="A524" s="98" t="s">
        <v>28</v>
      </c>
      <c r="B524" s="98" t="s">
        <v>33</v>
      </c>
      <c r="C524" s="98">
        <v>105</v>
      </c>
      <c r="D524" s="98">
        <v>1512</v>
      </c>
      <c r="E524" s="157">
        <v>41516.930555555555</v>
      </c>
      <c r="F524" s="157">
        <v>41518.932638888888</v>
      </c>
      <c r="G524" s="98">
        <v>0</v>
      </c>
      <c r="H524" s="98">
        <v>456</v>
      </c>
      <c r="I524" s="98">
        <v>411</v>
      </c>
      <c r="J524" s="98" t="s">
        <v>2023</v>
      </c>
      <c r="K524" s="98" t="s">
        <v>1000</v>
      </c>
      <c r="L524" s="105" t="str">
        <f t="shared" si="90"/>
        <v>Brown</v>
      </c>
      <c r="M524" s="105" t="str">
        <f t="shared" si="91"/>
        <v>Outage</v>
      </c>
      <c r="N524" s="105" t="str">
        <f t="shared" si="92"/>
        <v>Coal</v>
      </c>
      <c r="O524" s="105">
        <f>IFERROR(VLOOKUP(A524,Lookup!$J$5:$P$19,7,FALSE),0)</f>
        <v>3</v>
      </c>
      <c r="P524" s="159">
        <f t="shared" si="93"/>
        <v>2013</v>
      </c>
      <c r="Q524" s="159">
        <f t="shared" si="94"/>
        <v>8</v>
      </c>
      <c r="R524" s="160">
        <f t="shared" si="95"/>
        <v>48.049999999988358</v>
      </c>
      <c r="S524" s="158">
        <f t="shared" si="96"/>
        <v>48.049999999988358</v>
      </c>
      <c r="T524" s="161">
        <f t="shared" si="97"/>
        <v>19748.549999995215</v>
      </c>
      <c r="U524" s="158">
        <f t="shared" si="99"/>
        <v>411</v>
      </c>
      <c r="V524" s="160">
        <f t="shared" si="98"/>
        <v>411</v>
      </c>
    </row>
    <row r="525" spans="1:22" x14ac:dyDescent="0.25">
      <c r="A525" s="98" t="s">
        <v>28</v>
      </c>
      <c r="B525" s="98" t="s">
        <v>32</v>
      </c>
      <c r="C525" s="98">
        <v>106</v>
      </c>
      <c r="D525" s="98">
        <v>310</v>
      </c>
      <c r="E525" s="157">
        <v>41519.920138888891</v>
      </c>
      <c r="F525" s="157">
        <v>41519.951388888891</v>
      </c>
      <c r="G525" s="98">
        <v>350</v>
      </c>
      <c r="H525" s="98">
        <v>456</v>
      </c>
      <c r="I525" s="98">
        <v>411</v>
      </c>
      <c r="J525" s="98" t="s">
        <v>1966</v>
      </c>
      <c r="K525" s="98" t="s">
        <v>1001</v>
      </c>
      <c r="L525" s="105" t="str">
        <f t="shared" si="90"/>
        <v>Brown</v>
      </c>
      <c r="M525" s="105" t="str">
        <f t="shared" si="91"/>
        <v>Derate</v>
      </c>
      <c r="N525" s="105" t="str">
        <f t="shared" si="92"/>
        <v>Coal</v>
      </c>
      <c r="O525" s="105">
        <f>IFERROR(VLOOKUP(A525,Lookup!$J$5:$P$19,7,FALSE),0)</f>
        <v>3</v>
      </c>
      <c r="P525" s="159">
        <f t="shared" si="93"/>
        <v>2013</v>
      </c>
      <c r="Q525" s="159">
        <f t="shared" si="94"/>
        <v>9</v>
      </c>
      <c r="R525" s="160">
        <f t="shared" si="95"/>
        <v>0.75</v>
      </c>
      <c r="S525" s="158">
        <f t="shared" si="96"/>
        <v>0.17434210526315788</v>
      </c>
      <c r="T525" s="161">
        <f t="shared" si="97"/>
        <v>71.65460526315789</v>
      </c>
      <c r="U525" s="158">
        <f t="shared" si="99"/>
        <v>95.53947368421052</v>
      </c>
      <c r="V525" s="160">
        <f t="shared" si="98"/>
        <v>96</v>
      </c>
    </row>
    <row r="526" spans="1:22" x14ac:dyDescent="0.25">
      <c r="A526" s="98" t="s">
        <v>28</v>
      </c>
      <c r="B526" s="98" t="s">
        <v>17</v>
      </c>
      <c r="C526" s="98">
        <v>107</v>
      </c>
      <c r="D526" s="98">
        <v>300</v>
      </c>
      <c r="E526" s="157">
        <v>41519.951388888891</v>
      </c>
      <c r="F526" s="157">
        <v>41519.996527777781</v>
      </c>
      <c r="G526" s="98">
        <v>250</v>
      </c>
      <c r="H526" s="98">
        <v>456</v>
      </c>
      <c r="I526" s="98">
        <v>411</v>
      </c>
      <c r="J526" s="98" t="s">
        <v>1977</v>
      </c>
      <c r="K526" s="98" t="s">
        <v>1002</v>
      </c>
      <c r="L526" s="105" t="str">
        <f t="shared" si="90"/>
        <v>Brown</v>
      </c>
      <c r="M526" s="105" t="str">
        <f t="shared" si="91"/>
        <v>Derate</v>
      </c>
      <c r="N526" s="105" t="str">
        <f t="shared" si="92"/>
        <v>Coal</v>
      </c>
      <c r="O526" s="105">
        <f>IFERROR(VLOOKUP(A526,Lookup!$J$5:$P$19,7,FALSE),0)</f>
        <v>3</v>
      </c>
      <c r="P526" s="159">
        <f t="shared" si="93"/>
        <v>2013</v>
      </c>
      <c r="Q526" s="159">
        <f t="shared" si="94"/>
        <v>9</v>
      </c>
      <c r="R526" s="160">
        <f t="shared" si="95"/>
        <v>1.0833333333721384</v>
      </c>
      <c r="S526" s="158">
        <f t="shared" si="96"/>
        <v>0.48940058481285204</v>
      </c>
      <c r="T526" s="161">
        <f t="shared" si="97"/>
        <v>201.14364035808219</v>
      </c>
      <c r="U526" s="158">
        <f t="shared" si="99"/>
        <v>185.67105263157896</v>
      </c>
      <c r="V526" s="160">
        <f t="shared" si="98"/>
        <v>186</v>
      </c>
    </row>
    <row r="527" spans="1:22" x14ac:dyDescent="0.25">
      <c r="A527" s="98" t="s">
        <v>28</v>
      </c>
      <c r="B527" s="98" t="s">
        <v>32</v>
      </c>
      <c r="C527" s="98">
        <v>108</v>
      </c>
      <c r="D527" s="98">
        <v>310</v>
      </c>
      <c r="E527" s="157">
        <v>41519.996527777781</v>
      </c>
      <c r="F527" s="157">
        <v>41520.041666666664</v>
      </c>
      <c r="G527" s="98">
        <v>350</v>
      </c>
      <c r="H527" s="98">
        <v>456</v>
      </c>
      <c r="I527" s="98">
        <v>411</v>
      </c>
      <c r="J527" s="98" t="s">
        <v>1966</v>
      </c>
      <c r="K527" s="98" t="s">
        <v>1003</v>
      </c>
      <c r="L527" s="105" t="str">
        <f t="shared" si="90"/>
        <v>Brown</v>
      </c>
      <c r="M527" s="105" t="str">
        <f t="shared" si="91"/>
        <v>Derate</v>
      </c>
      <c r="N527" s="105" t="str">
        <f t="shared" si="92"/>
        <v>Coal</v>
      </c>
      <c r="O527" s="105">
        <f>IFERROR(VLOOKUP(A527,Lookup!$J$5:$P$19,7,FALSE),0)</f>
        <v>3</v>
      </c>
      <c r="P527" s="159">
        <f t="shared" si="93"/>
        <v>2013</v>
      </c>
      <c r="Q527" s="159">
        <f t="shared" si="94"/>
        <v>9</v>
      </c>
      <c r="R527" s="160">
        <f t="shared" si="95"/>
        <v>1.0833333331975155</v>
      </c>
      <c r="S527" s="158">
        <f t="shared" si="96"/>
        <v>0.25182748534854527</v>
      </c>
      <c r="T527" s="161">
        <f t="shared" si="97"/>
        <v>103.50109647825211</v>
      </c>
      <c r="U527" s="158">
        <f t="shared" si="99"/>
        <v>95.53947368421052</v>
      </c>
      <c r="V527" s="160">
        <f t="shared" si="98"/>
        <v>96</v>
      </c>
    </row>
    <row r="528" spans="1:22" x14ac:dyDescent="0.25">
      <c r="A528" s="98" t="s">
        <v>28</v>
      </c>
      <c r="B528" s="98" t="s">
        <v>32</v>
      </c>
      <c r="C528" s="98">
        <v>109</v>
      </c>
      <c r="D528" s="98">
        <v>310</v>
      </c>
      <c r="E528" s="157">
        <v>41520.916666666664</v>
      </c>
      <c r="F528" s="157">
        <v>41521.070138888892</v>
      </c>
      <c r="G528" s="98">
        <v>350</v>
      </c>
      <c r="H528" s="98">
        <v>456</v>
      </c>
      <c r="I528" s="98">
        <v>411</v>
      </c>
      <c r="J528" s="98" t="s">
        <v>1966</v>
      </c>
      <c r="K528" s="98" t="s">
        <v>1003</v>
      </c>
      <c r="L528" s="105" t="str">
        <f t="shared" si="90"/>
        <v>Brown</v>
      </c>
      <c r="M528" s="105" t="str">
        <f t="shared" si="91"/>
        <v>Derate</v>
      </c>
      <c r="N528" s="105" t="str">
        <f t="shared" si="92"/>
        <v>Coal</v>
      </c>
      <c r="O528" s="105">
        <f>IFERROR(VLOOKUP(A528,Lookup!$J$5:$P$19,7,FALSE),0)</f>
        <v>3</v>
      </c>
      <c r="P528" s="159">
        <f t="shared" si="93"/>
        <v>2013</v>
      </c>
      <c r="Q528" s="159">
        <f t="shared" si="94"/>
        <v>9</v>
      </c>
      <c r="R528" s="160">
        <f t="shared" si="95"/>
        <v>3.6833333334652707</v>
      </c>
      <c r="S528" s="158">
        <f t="shared" si="96"/>
        <v>0.85621345032306728</v>
      </c>
      <c r="T528" s="161">
        <f t="shared" si="97"/>
        <v>351.90372808278067</v>
      </c>
      <c r="U528" s="158">
        <f t="shared" si="99"/>
        <v>95.53947368421052</v>
      </c>
      <c r="V528" s="160">
        <f t="shared" si="98"/>
        <v>96</v>
      </c>
    </row>
    <row r="529" spans="1:22" x14ac:dyDescent="0.25">
      <c r="A529" s="98" t="s">
        <v>28</v>
      </c>
      <c r="B529" s="98" t="s">
        <v>17</v>
      </c>
      <c r="C529" s="98">
        <v>110</v>
      </c>
      <c r="D529" s="98">
        <v>3408</v>
      </c>
      <c r="E529" s="157">
        <v>41521.643750000003</v>
      </c>
      <c r="F529" s="157">
        <v>41521.648611111108</v>
      </c>
      <c r="G529" s="98">
        <v>310</v>
      </c>
      <c r="H529" s="98">
        <v>456</v>
      </c>
      <c r="I529" s="98">
        <v>411</v>
      </c>
      <c r="J529" s="98" t="s">
        <v>2195</v>
      </c>
      <c r="K529" s="98" t="s">
        <v>1004</v>
      </c>
      <c r="L529" s="105" t="str">
        <f t="shared" si="90"/>
        <v>Brown</v>
      </c>
      <c r="M529" s="105" t="str">
        <f t="shared" si="91"/>
        <v>Derate</v>
      </c>
      <c r="N529" s="105" t="str">
        <f t="shared" si="92"/>
        <v>Coal</v>
      </c>
      <c r="O529" s="105">
        <f>IFERROR(VLOOKUP(A529,Lookup!$J$5:$P$19,7,FALSE),0)</f>
        <v>3</v>
      </c>
      <c r="P529" s="159">
        <f t="shared" si="93"/>
        <v>2013</v>
      </c>
      <c r="Q529" s="159">
        <f t="shared" si="94"/>
        <v>9</v>
      </c>
      <c r="R529" s="160">
        <f t="shared" si="95"/>
        <v>0.11666666652308777</v>
      </c>
      <c r="S529" s="158">
        <f t="shared" si="96"/>
        <v>3.735380112362021E-2</v>
      </c>
      <c r="T529" s="161">
        <f t="shared" si="97"/>
        <v>15.352412261807906</v>
      </c>
      <c r="U529" s="158">
        <f t="shared" si="99"/>
        <v>131.59210526315789</v>
      </c>
      <c r="V529" s="160">
        <f t="shared" si="98"/>
        <v>132</v>
      </c>
    </row>
    <row r="530" spans="1:22" x14ac:dyDescent="0.25">
      <c r="A530" s="98" t="s">
        <v>28</v>
      </c>
      <c r="B530" s="98" t="s">
        <v>32</v>
      </c>
      <c r="C530" s="98">
        <v>111</v>
      </c>
      <c r="D530" s="98">
        <v>310</v>
      </c>
      <c r="E530" s="157">
        <v>41521.916666666664</v>
      </c>
      <c r="F530" s="157">
        <v>41522.040972222225</v>
      </c>
      <c r="G530" s="98">
        <v>350</v>
      </c>
      <c r="H530" s="98">
        <v>456</v>
      </c>
      <c r="I530" s="98">
        <v>411</v>
      </c>
      <c r="J530" s="98" t="s">
        <v>1966</v>
      </c>
      <c r="K530" s="98" t="s">
        <v>1003</v>
      </c>
      <c r="L530" s="105" t="str">
        <f t="shared" ref="L530:L593" si="100">IF(OR(A530="BR1",A530="BR2",A530="BR3",A530="BR5",A530="BR6",A530="BR7",A530="BR8",A530="BR9",A530="BR10",A530="BR11"),"Brown",IF(OR(A530="CR4",A530="CR5",A530="CR6",A530="CR11"),"Cane Run",IF(OR(A530="GH1",A530="GH2",A530="GH3",A530="GH4"),"Ghent",IF(OR(A530="GR3",A530="GR4"),"Green River",IF(OR(A530="MC1",A530="MC2",A530="MC3",A530="MC4"),"Mill Creek",IF(OR(A530="TC1",A530="TC2",A530="TC5",A530="TC6",A530="TC7",A530="TC8",A530="TC9",A530="TC10"),"Trimble",IF(A530="TY3","Tyrone",IF(OR(A530="HA1",A530="HA2",A530="HA3"),"Haeflin",IF(OR(A530="PR11",A530="PR12",A530="PR13"),"Paddy's Run","Zorn")))))))))</f>
        <v>Brown</v>
      </c>
      <c r="M530" s="105" t="str">
        <f t="shared" ref="M530:M593" si="101">IF(OR(B530="D1",B530="D2",B530="D3",B530="D4",B530="PD"),"Derate",IF(OR(B530="SF",B530="U1",B530="U2",B530="U3"),"Outage",IF(OR(B530="ME",B530="MO"),"Maintenance","Other")))</f>
        <v>Derate</v>
      </c>
      <c r="N530" s="105" t="str">
        <f t="shared" ref="N530:N593" si="102">IF(OR(A530="BR1",A530="BR2",A530="BR3",A530="CR4",A530="CR5",A530="CR6",A530="GH1",A530="GH2",A530="GH3",A530="GH4",A530="GR3",A530="GR4",A530="MC1",A530="MC2",A530="MC3",A530="MC4",A530="TC1",A530="TC2",A530="TY3"),"Coal","Gas")</f>
        <v>Coal</v>
      </c>
      <c r="O530" s="105">
        <f>IFERROR(VLOOKUP(A530,Lookup!$J$5:$P$19,7,FALSE),0)</f>
        <v>3</v>
      </c>
      <c r="P530" s="159">
        <f t="shared" ref="P530:P593" si="103">YEAR(E530)</f>
        <v>2013</v>
      </c>
      <c r="Q530" s="159">
        <f t="shared" ref="Q530:Q593" si="104">MONTH(E530)</f>
        <v>9</v>
      </c>
      <c r="R530" s="160">
        <f t="shared" ref="R530:R593" si="105">(F530-E530)*24</f>
        <v>2.9833333334536292</v>
      </c>
      <c r="S530" s="158">
        <f t="shared" ref="S530:S593" si="106">R530*(H530-G530)/H530</f>
        <v>0.69349415207474718</v>
      </c>
      <c r="T530" s="161">
        <f t="shared" ref="T530:T593" si="107">S530*I530</f>
        <v>285.02609650272109</v>
      </c>
      <c r="U530" s="158">
        <f t="shared" si="99"/>
        <v>95.53947368421052</v>
      </c>
      <c r="V530" s="160">
        <f t="shared" ref="V530:V593" si="108">ROUND(U530,0)</f>
        <v>96</v>
      </c>
    </row>
    <row r="531" spans="1:22" x14ac:dyDescent="0.25">
      <c r="A531" s="98" t="s">
        <v>28</v>
      </c>
      <c r="B531" s="98" t="s">
        <v>79</v>
      </c>
      <c r="C531" s="98">
        <v>112</v>
      </c>
      <c r="D531" s="98">
        <v>8700</v>
      </c>
      <c r="E531" s="157">
        <v>41522.427083333336</v>
      </c>
      <c r="F531" s="157">
        <v>41522.802083333336</v>
      </c>
      <c r="G531" s="98">
        <v>0</v>
      </c>
      <c r="H531" s="98">
        <v>456</v>
      </c>
      <c r="I531" s="98">
        <v>411</v>
      </c>
      <c r="J531" s="98" t="s">
        <v>1987</v>
      </c>
      <c r="K531" s="98" t="s">
        <v>1005</v>
      </c>
      <c r="L531" s="105" t="str">
        <f t="shared" si="100"/>
        <v>Brown</v>
      </c>
      <c r="M531" s="105" t="str">
        <f t="shared" si="101"/>
        <v>Other</v>
      </c>
      <c r="N531" s="105" t="str">
        <f t="shared" si="102"/>
        <v>Coal</v>
      </c>
      <c r="O531" s="105">
        <f>IFERROR(VLOOKUP(A531,Lookup!$J$5:$P$19,7,FALSE),0)</f>
        <v>3</v>
      </c>
      <c r="P531" s="159">
        <f t="shared" si="103"/>
        <v>2013</v>
      </c>
      <c r="Q531" s="159">
        <f t="shared" si="104"/>
        <v>9</v>
      </c>
      <c r="R531" s="160">
        <f t="shared" si="105"/>
        <v>9</v>
      </c>
      <c r="S531" s="158">
        <f t="shared" si="106"/>
        <v>9</v>
      </c>
      <c r="T531" s="161">
        <f t="shared" si="107"/>
        <v>3699</v>
      </c>
      <c r="U531" s="158">
        <f t="shared" ref="U531:U594" si="109">IF(G531&gt;0,MAX((H531-G531),0)*I531/H531,I531)</f>
        <v>411</v>
      </c>
      <c r="V531" s="160">
        <f t="shared" si="108"/>
        <v>411</v>
      </c>
    </row>
    <row r="532" spans="1:22" x14ac:dyDescent="0.25">
      <c r="A532" s="98" t="s">
        <v>28</v>
      </c>
      <c r="B532" s="98" t="s">
        <v>32</v>
      </c>
      <c r="C532" s="98">
        <v>113</v>
      </c>
      <c r="D532" s="98">
        <v>310</v>
      </c>
      <c r="E532" s="157">
        <v>41522.916666666664</v>
      </c>
      <c r="F532" s="157">
        <v>41523.002083333333</v>
      </c>
      <c r="G532" s="98">
        <v>350</v>
      </c>
      <c r="H532" s="98">
        <v>456</v>
      </c>
      <c r="I532" s="98">
        <v>411</v>
      </c>
      <c r="J532" s="98" t="s">
        <v>1966</v>
      </c>
      <c r="K532" s="98" t="s">
        <v>1003</v>
      </c>
      <c r="L532" s="105" t="str">
        <f t="shared" si="100"/>
        <v>Brown</v>
      </c>
      <c r="M532" s="105" t="str">
        <f t="shared" si="101"/>
        <v>Derate</v>
      </c>
      <c r="N532" s="105" t="str">
        <f t="shared" si="102"/>
        <v>Coal</v>
      </c>
      <c r="O532" s="105">
        <f>IFERROR(VLOOKUP(A532,Lookup!$J$5:$P$19,7,FALSE),0)</f>
        <v>3</v>
      </c>
      <c r="P532" s="159">
        <f t="shared" si="103"/>
        <v>2013</v>
      </c>
      <c r="Q532" s="159">
        <f t="shared" si="104"/>
        <v>9</v>
      </c>
      <c r="R532" s="160">
        <f t="shared" si="105"/>
        <v>2.0500000000465661</v>
      </c>
      <c r="S532" s="158">
        <f t="shared" si="106"/>
        <v>0.47653508773012282</v>
      </c>
      <c r="T532" s="161">
        <f t="shared" si="107"/>
        <v>195.85592105708048</v>
      </c>
      <c r="U532" s="158">
        <f t="shared" si="109"/>
        <v>95.53947368421052</v>
      </c>
      <c r="V532" s="160">
        <f t="shared" si="108"/>
        <v>96</v>
      </c>
    </row>
    <row r="533" spans="1:22" x14ac:dyDescent="0.25">
      <c r="A533" s="98" t="s">
        <v>28</v>
      </c>
      <c r="B533" s="98" t="s">
        <v>32</v>
      </c>
      <c r="C533" s="98">
        <v>114</v>
      </c>
      <c r="D533" s="98">
        <v>310</v>
      </c>
      <c r="E533" s="157">
        <v>41523.002083333333</v>
      </c>
      <c r="F533" s="157">
        <v>41523.066666666666</v>
      </c>
      <c r="G533" s="98">
        <v>350</v>
      </c>
      <c r="H533" s="98">
        <v>456</v>
      </c>
      <c r="I533" s="98">
        <v>411</v>
      </c>
      <c r="J533" s="98" t="s">
        <v>1966</v>
      </c>
      <c r="K533" s="98" t="s">
        <v>1006</v>
      </c>
      <c r="L533" s="105" t="str">
        <f t="shared" si="100"/>
        <v>Brown</v>
      </c>
      <c r="M533" s="105" t="str">
        <f t="shared" si="101"/>
        <v>Derate</v>
      </c>
      <c r="N533" s="105" t="str">
        <f t="shared" si="102"/>
        <v>Coal</v>
      </c>
      <c r="O533" s="105">
        <f>IFERROR(VLOOKUP(A533,Lookup!$J$5:$P$19,7,FALSE),0)</f>
        <v>3</v>
      </c>
      <c r="P533" s="159">
        <f t="shared" si="103"/>
        <v>2013</v>
      </c>
      <c r="Q533" s="159">
        <f t="shared" si="104"/>
        <v>9</v>
      </c>
      <c r="R533" s="160">
        <f t="shared" si="105"/>
        <v>1.5499999999883585</v>
      </c>
      <c r="S533" s="158">
        <f t="shared" si="106"/>
        <v>0.36030701754115352</v>
      </c>
      <c r="T533" s="161">
        <f t="shared" si="107"/>
        <v>148.08618420941409</v>
      </c>
      <c r="U533" s="158">
        <f t="shared" si="109"/>
        <v>95.53947368421052</v>
      </c>
      <c r="V533" s="160">
        <f t="shared" si="108"/>
        <v>96</v>
      </c>
    </row>
    <row r="534" spans="1:22" x14ac:dyDescent="0.25">
      <c r="A534" s="98" t="s">
        <v>28</v>
      </c>
      <c r="B534" s="98" t="s">
        <v>32</v>
      </c>
      <c r="C534" s="98">
        <v>115</v>
      </c>
      <c r="D534" s="98">
        <v>3410</v>
      </c>
      <c r="E534" s="157">
        <v>41523.066666666666</v>
      </c>
      <c r="F534" s="157">
        <v>41524.125</v>
      </c>
      <c r="G534" s="98">
        <v>310</v>
      </c>
      <c r="H534" s="98">
        <v>456</v>
      </c>
      <c r="I534" s="98">
        <v>411</v>
      </c>
      <c r="J534" s="98" t="s">
        <v>1983</v>
      </c>
      <c r="K534" s="98" t="s">
        <v>1007</v>
      </c>
      <c r="L534" s="105" t="str">
        <f t="shared" si="100"/>
        <v>Brown</v>
      </c>
      <c r="M534" s="105" t="str">
        <f t="shared" si="101"/>
        <v>Derate</v>
      </c>
      <c r="N534" s="105" t="str">
        <f t="shared" si="102"/>
        <v>Coal</v>
      </c>
      <c r="O534" s="105">
        <f>IFERROR(VLOOKUP(A534,Lookup!$J$5:$P$19,7,FALSE),0)</f>
        <v>3</v>
      </c>
      <c r="P534" s="159">
        <f t="shared" si="103"/>
        <v>2013</v>
      </c>
      <c r="Q534" s="159">
        <f t="shared" si="104"/>
        <v>9</v>
      </c>
      <c r="R534" s="160">
        <f t="shared" si="105"/>
        <v>25.400000000023283</v>
      </c>
      <c r="S534" s="158">
        <f t="shared" si="106"/>
        <v>8.1324561403583324</v>
      </c>
      <c r="T534" s="161">
        <f t="shared" si="107"/>
        <v>3342.4394736872746</v>
      </c>
      <c r="U534" s="158">
        <f t="shared" si="109"/>
        <v>131.59210526315789</v>
      </c>
      <c r="V534" s="160">
        <f t="shared" si="108"/>
        <v>132</v>
      </c>
    </row>
    <row r="535" spans="1:22" x14ac:dyDescent="0.25">
      <c r="A535" s="98" t="s">
        <v>28</v>
      </c>
      <c r="B535" s="98" t="s">
        <v>17</v>
      </c>
      <c r="C535" s="98">
        <v>116</v>
      </c>
      <c r="D535" s="98">
        <v>3410</v>
      </c>
      <c r="E535" s="157">
        <v>41526.645833333336</v>
      </c>
      <c r="F535" s="157">
        <v>41541.363888888889</v>
      </c>
      <c r="G535" s="98">
        <v>440</v>
      </c>
      <c r="H535" s="98">
        <v>456</v>
      </c>
      <c r="I535" s="98">
        <v>411</v>
      </c>
      <c r="J535" s="98" t="s">
        <v>1983</v>
      </c>
      <c r="K535" s="98" t="s">
        <v>1008</v>
      </c>
      <c r="L535" s="105" t="str">
        <f t="shared" si="100"/>
        <v>Brown</v>
      </c>
      <c r="M535" s="105" t="str">
        <f t="shared" si="101"/>
        <v>Derate</v>
      </c>
      <c r="N535" s="105" t="str">
        <f t="shared" si="102"/>
        <v>Coal</v>
      </c>
      <c r="O535" s="105">
        <f>IFERROR(VLOOKUP(A535,Lookup!$J$5:$P$19,7,FALSE),0)</f>
        <v>3</v>
      </c>
      <c r="P535" s="159">
        <f t="shared" si="103"/>
        <v>2013</v>
      </c>
      <c r="Q535" s="159">
        <f t="shared" si="104"/>
        <v>9</v>
      </c>
      <c r="R535" s="160">
        <f t="shared" si="105"/>
        <v>353.23333333327901</v>
      </c>
      <c r="S535" s="158">
        <f t="shared" si="106"/>
        <v>12.39415204678172</v>
      </c>
      <c r="T535" s="161">
        <f t="shared" si="107"/>
        <v>5093.9964912272872</v>
      </c>
      <c r="U535" s="158">
        <f t="shared" si="109"/>
        <v>14.421052631578947</v>
      </c>
      <c r="V535" s="160">
        <f t="shared" si="108"/>
        <v>14</v>
      </c>
    </row>
    <row r="536" spans="1:22" x14ac:dyDescent="0.25">
      <c r="A536" s="98" t="s">
        <v>28</v>
      </c>
      <c r="B536" s="98" t="s">
        <v>17</v>
      </c>
      <c r="C536" s="98">
        <v>117</v>
      </c>
      <c r="D536" s="98">
        <v>250</v>
      </c>
      <c r="E536" s="157">
        <v>41541.363888888889</v>
      </c>
      <c r="F536" s="157">
        <v>41541.393750000003</v>
      </c>
      <c r="G536" s="98">
        <v>350</v>
      </c>
      <c r="H536" s="98">
        <v>456</v>
      </c>
      <c r="I536" s="98">
        <v>411</v>
      </c>
      <c r="J536" s="98" t="s">
        <v>1978</v>
      </c>
      <c r="K536" s="98" t="s">
        <v>1009</v>
      </c>
      <c r="L536" s="105" t="str">
        <f t="shared" si="100"/>
        <v>Brown</v>
      </c>
      <c r="M536" s="105" t="str">
        <f t="shared" si="101"/>
        <v>Derate</v>
      </c>
      <c r="N536" s="105" t="str">
        <f t="shared" si="102"/>
        <v>Coal</v>
      </c>
      <c r="O536" s="105">
        <f>IFERROR(VLOOKUP(A536,Lookup!$J$5:$P$19,7,FALSE),0)</f>
        <v>3</v>
      </c>
      <c r="P536" s="159">
        <f t="shared" si="103"/>
        <v>2013</v>
      </c>
      <c r="Q536" s="159">
        <f t="shared" si="104"/>
        <v>9</v>
      </c>
      <c r="R536" s="160">
        <f t="shared" si="105"/>
        <v>0.71666666673263535</v>
      </c>
      <c r="S536" s="158">
        <f t="shared" si="106"/>
        <v>0.1665935672667968</v>
      </c>
      <c r="T536" s="161">
        <f t="shared" si="107"/>
        <v>68.469956146653487</v>
      </c>
      <c r="U536" s="158">
        <f t="shared" si="109"/>
        <v>95.53947368421052</v>
      </c>
      <c r="V536" s="160">
        <f t="shared" si="108"/>
        <v>96</v>
      </c>
    </row>
    <row r="537" spans="1:22" x14ac:dyDescent="0.25">
      <c r="A537" s="98" t="s">
        <v>28</v>
      </c>
      <c r="B537" s="98" t="s">
        <v>17</v>
      </c>
      <c r="C537" s="98">
        <v>118</v>
      </c>
      <c r="D537" s="98">
        <v>3410</v>
      </c>
      <c r="E537" s="157">
        <v>41541.393750000003</v>
      </c>
      <c r="F537" s="157">
        <v>41541.787499999999</v>
      </c>
      <c r="G537" s="98">
        <v>440</v>
      </c>
      <c r="H537" s="98">
        <v>456</v>
      </c>
      <c r="I537" s="98">
        <v>411</v>
      </c>
      <c r="J537" s="98" t="s">
        <v>1983</v>
      </c>
      <c r="K537" s="98" t="s">
        <v>1010</v>
      </c>
      <c r="L537" s="105" t="str">
        <f t="shared" si="100"/>
        <v>Brown</v>
      </c>
      <c r="M537" s="105" t="str">
        <f t="shared" si="101"/>
        <v>Derate</v>
      </c>
      <c r="N537" s="105" t="str">
        <f t="shared" si="102"/>
        <v>Coal</v>
      </c>
      <c r="O537" s="105">
        <f>IFERROR(VLOOKUP(A537,Lookup!$J$5:$P$19,7,FALSE),0)</f>
        <v>3</v>
      </c>
      <c r="P537" s="159">
        <f t="shared" si="103"/>
        <v>2013</v>
      </c>
      <c r="Q537" s="159">
        <f t="shared" si="104"/>
        <v>9</v>
      </c>
      <c r="R537" s="160">
        <f t="shared" si="105"/>
        <v>9.4499999998952262</v>
      </c>
      <c r="S537" s="158">
        <f t="shared" si="106"/>
        <v>0.3315789473647448</v>
      </c>
      <c r="T537" s="161">
        <f t="shared" si="107"/>
        <v>136.2789473669101</v>
      </c>
      <c r="U537" s="158">
        <f t="shared" si="109"/>
        <v>14.421052631578947</v>
      </c>
      <c r="V537" s="160">
        <f t="shared" si="108"/>
        <v>14</v>
      </c>
    </row>
    <row r="538" spans="1:22" x14ac:dyDescent="0.25">
      <c r="A538" s="98" t="s">
        <v>28</v>
      </c>
      <c r="B538" s="98" t="s">
        <v>17</v>
      </c>
      <c r="C538" s="98">
        <v>119</v>
      </c>
      <c r="D538" s="98">
        <v>3410</v>
      </c>
      <c r="E538" s="157">
        <v>41541.787499999999</v>
      </c>
      <c r="F538" s="157">
        <v>41541.906944444447</v>
      </c>
      <c r="G538" s="98">
        <v>370</v>
      </c>
      <c r="H538" s="98">
        <v>456</v>
      </c>
      <c r="I538" s="98">
        <v>411</v>
      </c>
      <c r="J538" s="98" t="s">
        <v>1983</v>
      </c>
      <c r="K538" s="98" t="s">
        <v>1010</v>
      </c>
      <c r="L538" s="105" t="str">
        <f t="shared" si="100"/>
        <v>Brown</v>
      </c>
      <c r="M538" s="105" t="str">
        <f t="shared" si="101"/>
        <v>Derate</v>
      </c>
      <c r="N538" s="105" t="str">
        <f t="shared" si="102"/>
        <v>Coal</v>
      </c>
      <c r="O538" s="105">
        <f>IFERROR(VLOOKUP(A538,Lookup!$J$5:$P$19,7,FALSE),0)</f>
        <v>3</v>
      </c>
      <c r="P538" s="159">
        <f t="shared" si="103"/>
        <v>2013</v>
      </c>
      <c r="Q538" s="159">
        <f t="shared" si="104"/>
        <v>9</v>
      </c>
      <c r="R538" s="160">
        <f t="shared" si="105"/>
        <v>2.8666666667559184</v>
      </c>
      <c r="S538" s="158">
        <f t="shared" si="106"/>
        <v>0.54064327487063368</v>
      </c>
      <c r="T538" s="161">
        <f t="shared" si="107"/>
        <v>222.20438597183045</v>
      </c>
      <c r="U538" s="158">
        <f t="shared" si="109"/>
        <v>77.513157894736835</v>
      </c>
      <c r="V538" s="160">
        <f t="shared" si="108"/>
        <v>78</v>
      </c>
    </row>
    <row r="539" spans="1:22" x14ac:dyDescent="0.25">
      <c r="A539" s="98" t="s">
        <v>28</v>
      </c>
      <c r="B539" s="98" t="s">
        <v>17</v>
      </c>
      <c r="C539" s="98">
        <v>120</v>
      </c>
      <c r="D539" s="98">
        <v>3410</v>
      </c>
      <c r="E539" s="157">
        <v>41541.906944444447</v>
      </c>
      <c r="F539" s="157">
        <v>41548</v>
      </c>
      <c r="G539" s="98">
        <v>310</v>
      </c>
      <c r="H539" s="98">
        <v>456</v>
      </c>
      <c r="I539" s="98">
        <v>411</v>
      </c>
      <c r="J539" s="98" t="s">
        <v>1983</v>
      </c>
      <c r="K539" s="98" t="s">
        <v>1011</v>
      </c>
      <c r="L539" s="105" t="str">
        <f t="shared" si="100"/>
        <v>Brown</v>
      </c>
      <c r="M539" s="105" t="str">
        <f t="shared" si="101"/>
        <v>Derate</v>
      </c>
      <c r="N539" s="105" t="str">
        <f t="shared" si="102"/>
        <v>Coal</v>
      </c>
      <c r="O539" s="105">
        <f>IFERROR(VLOOKUP(A539,Lookup!$J$5:$P$19,7,FALSE),0)</f>
        <v>3</v>
      </c>
      <c r="P539" s="159">
        <f t="shared" si="103"/>
        <v>2013</v>
      </c>
      <c r="Q539" s="159">
        <f t="shared" si="104"/>
        <v>9</v>
      </c>
      <c r="R539" s="160">
        <f t="shared" si="105"/>
        <v>146.23333333327901</v>
      </c>
      <c r="S539" s="158">
        <f t="shared" si="106"/>
        <v>46.820321637409506</v>
      </c>
      <c r="T539" s="161">
        <f t="shared" si="107"/>
        <v>19243.152192975307</v>
      </c>
      <c r="U539" s="158">
        <f t="shared" si="109"/>
        <v>131.59210526315789</v>
      </c>
      <c r="V539" s="160">
        <f t="shared" si="108"/>
        <v>132</v>
      </c>
    </row>
    <row r="540" spans="1:22" x14ac:dyDescent="0.25">
      <c r="A540" s="98" t="s">
        <v>28</v>
      </c>
      <c r="B540" s="98" t="s">
        <v>17</v>
      </c>
      <c r="C540" s="98">
        <v>121</v>
      </c>
      <c r="D540" s="98">
        <v>3410</v>
      </c>
      <c r="E540" s="157">
        <v>41548</v>
      </c>
      <c r="F540" s="157">
        <v>41559.468055555553</v>
      </c>
      <c r="G540" s="98">
        <v>310</v>
      </c>
      <c r="H540" s="98">
        <v>456</v>
      </c>
      <c r="I540" s="98">
        <v>411</v>
      </c>
      <c r="J540" s="98" t="s">
        <v>1983</v>
      </c>
      <c r="K540" s="98" t="s">
        <v>1012</v>
      </c>
      <c r="L540" s="105" t="str">
        <f t="shared" si="100"/>
        <v>Brown</v>
      </c>
      <c r="M540" s="105" t="str">
        <f t="shared" si="101"/>
        <v>Derate</v>
      </c>
      <c r="N540" s="105" t="str">
        <f t="shared" si="102"/>
        <v>Coal</v>
      </c>
      <c r="O540" s="105">
        <f>IFERROR(VLOOKUP(A540,Lookup!$J$5:$P$19,7,FALSE),0)</f>
        <v>3</v>
      </c>
      <c r="P540" s="159">
        <f t="shared" si="103"/>
        <v>2013</v>
      </c>
      <c r="Q540" s="159">
        <f t="shared" si="104"/>
        <v>10</v>
      </c>
      <c r="R540" s="160">
        <f t="shared" si="105"/>
        <v>275.23333333327901</v>
      </c>
      <c r="S540" s="158">
        <f t="shared" si="106"/>
        <v>88.122953216356876</v>
      </c>
      <c r="T540" s="161">
        <f t="shared" si="107"/>
        <v>36218.533771922674</v>
      </c>
      <c r="U540" s="158">
        <f t="shared" si="109"/>
        <v>131.59210526315789</v>
      </c>
      <c r="V540" s="160">
        <f t="shared" si="108"/>
        <v>132</v>
      </c>
    </row>
    <row r="541" spans="1:22" x14ac:dyDescent="0.25">
      <c r="A541" s="98" t="s">
        <v>28</v>
      </c>
      <c r="B541" s="98" t="s">
        <v>38</v>
      </c>
      <c r="C541" s="98">
        <v>122</v>
      </c>
      <c r="D541" s="98">
        <v>360</v>
      </c>
      <c r="E541" s="157">
        <v>41559.468055555553</v>
      </c>
      <c r="F541" s="157">
        <v>41568.90347222222</v>
      </c>
      <c r="G541" s="98">
        <v>0</v>
      </c>
      <c r="H541" s="98">
        <v>456</v>
      </c>
      <c r="I541" s="98">
        <v>411</v>
      </c>
      <c r="J541" s="98" t="s">
        <v>229</v>
      </c>
      <c r="K541" s="98" t="s">
        <v>1013</v>
      </c>
      <c r="L541" s="105" t="str">
        <f t="shared" si="100"/>
        <v>Brown</v>
      </c>
      <c r="M541" s="105" t="str">
        <f t="shared" si="101"/>
        <v>Other</v>
      </c>
      <c r="N541" s="105" t="str">
        <f t="shared" si="102"/>
        <v>Coal</v>
      </c>
      <c r="O541" s="105">
        <f>IFERROR(VLOOKUP(A541,Lookup!$J$5:$P$19,7,FALSE),0)</f>
        <v>3</v>
      </c>
      <c r="P541" s="159">
        <f t="shared" si="103"/>
        <v>2013</v>
      </c>
      <c r="Q541" s="159">
        <f t="shared" si="104"/>
        <v>10</v>
      </c>
      <c r="R541" s="160">
        <f t="shared" si="105"/>
        <v>226.45000000001164</v>
      </c>
      <c r="S541" s="158">
        <f t="shared" si="106"/>
        <v>226.45000000001164</v>
      </c>
      <c r="T541" s="161">
        <f t="shared" si="107"/>
        <v>93070.950000004785</v>
      </c>
      <c r="U541" s="158">
        <f t="shared" si="109"/>
        <v>411</v>
      </c>
      <c r="V541" s="160">
        <f t="shared" si="108"/>
        <v>411</v>
      </c>
    </row>
    <row r="542" spans="1:22" x14ac:dyDescent="0.25">
      <c r="A542" s="98" t="s">
        <v>28</v>
      </c>
      <c r="B542" s="98" t="s">
        <v>17</v>
      </c>
      <c r="C542" s="98">
        <v>123</v>
      </c>
      <c r="D542" s="98">
        <v>3410</v>
      </c>
      <c r="E542" s="157">
        <v>41568.90347222222</v>
      </c>
      <c r="F542" s="157">
        <v>41569.737500000003</v>
      </c>
      <c r="G542" s="98">
        <v>310</v>
      </c>
      <c r="H542" s="98">
        <v>456</v>
      </c>
      <c r="I542" s="98">
        <v>411</v>
      </c>
      <c r="J542" s="98" t="s">
        <v>1983</v>
      </c>
      <c r="K542" s="98" t="s">
        <v>1014</v>
      </c>
      <c r="L542" s="105" t="str">
        <f t="shared" si="100"/>
        <v>Brown</v>
      </c>
      <c r="M542" s="105" t="str">
        <f t="shared" si="101"/>
        <v>Derate</v>
      </c>
      <c r="N542" s="105" t="str">
        <f t="shared" si="102"/>
        <v>Coal</v>
      </c>
      <c r="O542" s="105">
        <f>IFERROR(VLOOKUP(A542,Lookup!$J$5:$P$19,7,FALSE),0)</f>
        <v>3</v>
      </c>
      <c r="P542" s="159">
        <f t="shared" si="103"/>
        <v>2013</v>
      </c>
      <c r="Q542" s="159">
        <f t="shared" si="104"/>
        <v>10</v>
      </c>
      <c r="R542" s="160">
        <f t="shared" si="105"/>
        <v>20.016666666779201</v>
      </c>
      <c r="S542" s="158">
        <f t="shared" si="106"/>
        <v>6.4088450292757972</v>
      </c>
      <c r="T542" s="161">
        <f t="shared" si="107"/>
        <v>2634.0353070323526</v>
      </c>
      <c r="U542" s="158">
        <f t="shared" si="109"/>
        <v>131.59210526315789</v>
      </c>
      <c r="V542" s="160">
        <f t="shared" si="108"/>
        <v>132</v>
      </c>
    </row>
    <row r="543" spans="1:22" x14ac:dyDescent="0.25">
      <c r="A543" s="98" t="s">
        <v>28</v>
      </c>
      <c r="B543" s="98" t="s">
        <v>15</v>
      </c>
      <c r="C543" s="98">
        <v>124</v>
      </c>
      <c r="D543" s="98">
        <v>3620</v>
      </c>
      <c r="E543" s="157">
        <v>41569.737500000003</v>
      </c>
      <c r="F543" s="157">
        <v>41569.863194444442</v>
      </c>
      <c r="G543" s="98">
        <v>0</v>
      </c>
      <c r="H543" s="98">
        <v>456</v>
      </c>
      <c r="I543" s="98">
        <v>411</v>
      </c>
      <c r="J543" s="98" t="s">
        <v>2092</v>
      </c>
      <c r="K543" s="98" t="s">
        <v>1015</v>
      </c>
      <c r="L543" s="105" t="str">
        <f t="shared" si="100"/>
        <v>Brown</v>
      </c>
      <c r="M543" s="105" t="str">
        <f t="shared" si="101"/>
        <v>Outage</v>
      </c>
      <c r="N543" s="105" t="str">
        <f t="shared" si="102"/>
        <v>Coal</v>
      </c>
      <c r="O543" s="105">
        <f>IFERROR(VLOOKUP(A543,Lookup!$J$5:$P$19,7,FALSE),0)</f>
        <v>3</v>
      </c>
      <c r="P543" s="159">
        <f t="shared" si="103"/>
        <v>2013</v>
      </c>
      <c r="Q543" s="159">
        <f t="shared" si="104"/>
        <v>10</v>
      </c>
      <c r="R543" s="160">
        <f t="shared" si="105"/>
        <v>3.0166666665463708</v>
      </c>
      <c r="S543" s="158">
        <f t="shared" si="106"/>
        <v>3.0166666665463708</v>
      </c>
      <c r="T543" s="161">
        <f t="shared" si="107"/>
        <v>1239.8499999505584</v>
      </c>
      <c r="U543" s="158">
        <f t="shared" si="109"/>
        <v>411</v>
      </c>
      <c r="V543" s="160">
        <f t="shared" si="108"/>
        <v>411</v>
      </c>
    </row>
    <row r="544" spans="1:22" x14ac:dyDescent="0.25">
      <c r="A544" s="98" t="s">
        <v>28</v>
      </c>
      <c r="B544" s="98" t="s">
        <v>17</v>
      </c>
      <c r="C544" s="98">
        <v>125</v>
      </c>
      <c r="D544" s="98">
        <v>3410</v>
      </c>
      <c r="E544" s="157">
        <v>41569.863194444442</v>
      </c>
      <c r="F544" s="157">
        <v>41576</v>
      </c>
      <c r="G544" s="98">
        <v>310</v>
      </c>
      <c r="H544" s="98">
        <v>456</v>
      </c>
      <c r="I544" s="98">
        <v>411</v>
      </c>
      <c r="J544" s="98" t="s">
        <v>1983</v>
      </c>
      <c r="K544" s="98" t="s">
        <v>1012</v>
      </c>
      <c r="L544" s="105" t="str">
        <f t="shared" si="100"/>
        <v>Brown</v>
      </c>
      <c r="M544" s="105" t="str">
        <f t="shared" si="101"/>
        <v>Derate</v>
      </c>
      <c r="N544" s="105" t="str">
        <f t="shared" si="102"/>
        <v>Coal</v>
      </c>
      <c r="O544" s="105">
        <f>IFERROR(VLOOKUP(A544,Lookup!$J$5:$P$19,7,FALSE),0)</f>
        <v>3</v>
      </c>
      <c r="P544" s="159">
        <f t="shared" si="103"/>
        <v>2013</v>
      </c>
      <c r="Q544" s="159">
        <f t="shared" si="104"/>
        <v>10</v>
      </c>
      <c r="R544" s="160">
        <f t="shared" si="105"/>
        <v>147.28333333338378</v>
      </c>
      <c r="S544" s="158">
        <f t="shared" si="106"/>
        <v>47.15650584796937</v>
      </c>
      <c r="T544" s="161">
        <f t="shared" si="107"/>
        <v>19381.323903515411</v>
      </c>
      <c r="U544" s="158">
        <f t="shared" si="109"/>
        <v>131.59210526315789</v>
      </c>
      <c r="V544" s="160">
        <f t="shared" si="108"/>
        <v>132</v>
      </c>
    </row>
    <row r="545" spans="1:22" x14ac:dyDescent="0.25">
      <c r="A545" s="98" t="s">
        <v>28</v>
      </c>
      <c r="B545" s="98" t="s">
        <v>79</v>
      </c>
      <c r="C545" s="98">
        <v>126</v>
      </c>
      <c r="D545" s="98">
        <v>8700</v>
      </c>
      <c r="E545" s="157">
        <v>41576</v>
      </c>
      <c r="F545" s="157">
        <v>41577.15625</v>
      </c>
      <c r="G545" s="98">
        <v>0</v>
      </c>
      <c r="H545" s="98">
        <v>456</v>
      </c>
      <c r="I545" s="98">
        <v>411</v>
      </c>
      <c r="J545" s="98" t="s">
        <v>1987</v>
      </c>
      <c r="K545" s="98" t="s">
        <v>82</v>
      </c>
      <c r="L545" s="105" t="str">
        <f t="shared" si="100"/>
        <v>Brown</v>
      </c>
      <c r="M545" s="105" t="str">
        <f t="shared" si="101"/>
        <v>Other</v>
      </c>
      <c r="N545" s="105" t="str">
        <f t="shared" si="102"/>
        <v>Coal</v>
      </c>
      <c r="O545" s="105">
        <f>IFERROR(VLOOKUP(A545,Lookup!$J$5:$P$19,7,FALSE),0)</f>
        <v>3</v>
      </c>
      <c r="P545" s="159">
        <f t="shared" si="103"/>
        <v>2013</v>
      </c>
      <c r="Q545" s="159">
        <f t="shared" si="104"/>
        <v>10</v>
      </c>
      <c r="R545" s="160">
        <f t="shared" si="105"/>
        <v>27.75</v>
      </c>
      <c r="S545" s="158">
        <f t="shared" si="106"/>
        <v>27.75</v>
      </c>
      <c r="T545" s="161">
        <f t="shared" si="107"/>
        <v>11405.25</v>
      </c>
      <c r="U545" s="158">
        <f t="shared" si="109"/>
        <v>411</v>
      </c>
      <c r="V545" s="160">
        <f t="shared" si="108"/>
        <v>411</v>
      </c>
    </row>
    <row r="546" spans="1:22" x14ac:dyDescent="0.25">
      <c r="A546" s="98" t="s">
        <v>28</v>
      </c>
      <c r="B546" s="98" t="s">
        <v>17</v>
      </c>
      <c r="C546" s="98">
        <v>127</v>
      </c>
      <c r="D546" s="98">
        <v>3410</v>
      </c>
      <c r="E546" s="157">
        <v>41577.15625</v>
      </c>
      <c r="F546" s="157">
        <v>41579.364583333336</v>
      </c>
      <c r="G546" s="98">
        <v>310</v>
      </c>
      <c r="H546" s="98">
        <v>456</v>
      </c>
      <c r="I546" s="98">
        <v>411</v>
      </c>
      <c r="J546" s="98" t="s">
        <v>1983</v>
      </c>
      <c r="K546" s="98" t="s">
        <v>1016</v>
      </c>
      <c r="L546" s="105" t="str">
        <f t="shared" si="100"/>
        <v>Brown</v>
      </c>
      <c r="M546" s="105" t="str">
        <f t="shared" si="101"/>
        <v>Derate</v>
      </c>
      <c r="N546" s="105" t="str">
        <f t="shared" si="102"/>
        <v>Coal</v>
      </c>
      <c r="O546" s="105">
        <f>IFERROR(VLOOKUP(A546,Lookup!$J$5:$P$19,7,FALSE),0)</f>
        <v>3</v>
      </c>
      <c r="P546" s="159">
        <f t="shared" si="103"/>
        <v>2013</v>
      </c>
      <c r="Q546" s="159">
        <f t="shared" si="104"/>
        <v>10</v>
      </c>
      <c r="R546" s="160">
        <f t="shared" si="105"/>
        <v>53.000000000058208</v>
      </c>
      <c r="S546" s="158">
        <f t="shared" si="106"/>
        <v>16.969298245632672</v>
      </c>
      <c r="T546" s="161">
        <f t="shared" si="107"/>
        <v>6974.3815789550281</v>
      </c>
      <c r="U546" s="158">
        <f t="shared" si="109"/>
        <v>131.59210526315789</v>
      </c>
      <c r="V546" s="160">
        <f t="shared" si="108"/>
        <v>132</v>
      </c>
    </row>
    <row r="547" spans="1:22" x14ac:dyDescent="0.25">
      <c r="A547" s="98" t="s">
        <v>28</v>
      </c>
      <c r="B547" s="98" t="s">
        <v>32</v>
      </c>
      <c r="C547" s="98">
        <v>128</v>
      </c>
      <c r="D547" s="98">
        <v>8700</v>
      </c>
      <c r="E547" s="157">
        <v>41579.364583333336</v>
      </c>
      <c r="F547" s="157">
        <v>41579.876388888886</v>
      </c>
      <c r="G547" s="98">
        <v>430</v>
      </c>
      <c r="H547" s="98">
        <v>456</v>
      </c>
      <c r="I547" s="98">
        <v>411</v>
      </c>
      <c r="J547" s="98" t="s">
        <v>1987</v>
      </c>
      <c r="K547" s="98" t="s">
        <v>1017</v>
      </c>
      <c r="L547" s="105" t="str">
        <f t="shared" si="100"/>
        <v>Brown</v>
      </c>
      <c r="M547" s="105" t="str">
        <f t="shared" si="101"/>
        <v>Derate</v>
      </c>
      <c r="N547" s="105" t="str">
        <f t="shared" si="102"/>
        <v>Coal</v>
      </c>
      <c r="O547" s="105">
        <f>IFERROR(VLOOKUP(A547,Lookup!$J$5:$P$19,7,FALSE),0)</f>
        <v>3</v>
      </c>
      <c r="P547" s="159">
        <f t="shared" si="103"/>
        <v>2013</v>
      </c>
      <c r="Q547" s="159">
        <f t="shared" si="104"/>
        <v>11</v>
      </c>
      <c r="R547" s="160">
        <f t="shared" si="105"/>
        <v>12.283333333209157</v>
      </c>
      <c r="S547" s="158">
        <f t="shared" si="106"/>
        <v>0.70036549706894313</v>
      </c>
      <c r="T547" s="161">
        <f t="shared" si="107"/>
        <v>287.85021929533565</v>
      </c>
      <c r="U547" s="158">
        <f t="shared" si="109"/>
        <v>23.434210526315791</v>
      </c>
      <c r="V547" s="160">
        <f t="shared" si="108"/>
        <v>23</v>
      </c>
    </row>
    <row r="548" spans="1:22" x14ac:dyDescent="0.25">
      <c r="A548" s="98" t="s">
        <v>28</v>
      </c>
      <c r="B548" s="98" t="s">
        <v>17</v>
      </c>
      <c r="C548" s="98">
        <v>129</v>
      </c>
      <c r="D548" s="98">
        <v>3502</v>
      </c>
      <c r="E548" s="157">
        <v>41584.682638888888</v>
      </c>
      <c r="F548" s="157">
        <v>41584.715277777781</v>
      </c>
      <c r="G548" s="98">
        <v>435</v>
      </c>
      <c r="H548" s="98">
        <v>456</v>
      </c>
      <c r="I548" s="98">
        <v>411</v>
      </c>
      <c r="J548" s="98" t="s">
        <v>2196</v>
      </c>
      <c r="K548" s="98" t="s">
        <v>1018</v>
      </c>
      <c r="L548" s="105" t="str">
        <f t="shared" si="100"/>
        <v>Brown</v>
      </c>
      <c r="M548" s="105" t="str">
        <f t="shared" si="101"/>
        <v>Derate</v>
      </c>
      <c r="N548" s="105" t="str">
        <f t="shared" si="102"/>
        <v>Coal</v>
      </c>
      <c r="O548" s="105">
        <f>IFERROR(VLOOKUP(A548,Lookup!$J$5:$P$19,7,FALSE),0)</f>
        <v>3</v>
      </c>
      <c r="P548" s="159">
        <f t="shared" si="103"/>
        <v>2013</v>
      </c>
      <c r="Q548" s="159">
        <f t="shared" si="104"/>
        <v>11</v>
      </c>
      <c r="R548" s="160">
        <f t="shared" si="105"/>
        <v>0.78333333344198763</v>
      </c>
      <c r="S548" s="158">
        <f t="shared" si="106"/>
        <v>3.607456140851259E-2</v>
      </c>
      <c r="T548" s="161">
        <f t="shared" si="107"/>
        <v>14.826644738898674</v>
      </c>
      <c r="U548" s="158">
        <f t="shared" si="109"/>
        <v>18.92763157894737</v>
      </c>
      <c r="V548" s="160">
        <f t="shared" si="108"/>
        <v>19</v>
      </c>
    </row>
    <row r="549" spans="1:22" x14ac:dyDescent="0.25">
      <c r="A549" s="98" t="s">
        <v>28</v>
      </c>
      <c r="B549" s="98" t="s">
        <v>32</v>
      </c>
      <c r="C549" s="98">
        <v>130</v>
      </c>
      <c r="D549" s="98">
        <v>310</v>
      </c>
      <c r="E549" s="157">
        <v>41589.451388888891</v>
      </c>
      <c r="F549" s="157">
        <v>41589.597222222219</v>
      </c>
      <c r="G549" s="98">
        <v>355</v>
      </c>
      <c r="H549" s="98">
        <v>456</v>
      </c>
      <c r="I549" s="98">
        <v>411</v>
      </c>
      <c r="J549" s="98" t="s">
        <v>1966</v>
      </c>
      <c r="K549" s="98" t="s">
        <v>1019</v>
      </c>
      <c r="L549" s="105" t="str">
        <f t="shared" si="100"/>
        <v>Brown</v>
      </c>
      <c r="M549" s="105" t="str">
        <f t="shared" si="101"/>
        <v>Derate</v>
      </c>
      <c r="N549" s="105" t="str">
        <f t="shared" si="102"/>
        <v>Coal</v>
      </c>
      <c r="O549" s="105">
        <f>IFERROR(VLOOKUP(A549,Lookup!$J$5:$P$19,7,FALSE),0)</f>
        <v>3</v>
      </c>
      <c r="P549" s="159">
        <f t="shared" si="103"/>
        <v>2013</v>
      </c>
      <c r="Q549" s="159">
        <f t="shared" si="104"/>
        <v>11</v>
      </c>
      <c r="R549" s="160">
        <f t="shared" si="105"/>
        <v>3.4999999998835847</v>
      </c>
      <c r="S549" s="158">
        <f t="shared" si="106"/>
        <v>0.77521929821982904</v>
      </c>
      <c r="T549" s="161">
        <f t="shared" si="107"/>
        <v>318.61513156834974</v>
      </c>
      <c r="U549" s="158">
        <f t="shared" si="109"/>
        <v>91.03289473684211</v>
      </c>
      <c r="V549" s="160">
        <f t="shared" si="108"/>
        <v>91</v>
      </c>
    </row>
    <row r="550" spans="1:22" x14ac:dyDescent="0.25">
      <c r="A550" s="98" t="s">
        <v>28</v>
      </c>
      <c r="B550" s="98" t="s">
        <v>32</v>
      </c>
      <c r="C550" s="98">
        <v>131</v>
      </c>
      <c r="D550" s="98">
        <v>310</v>
      </c>
      <c r="E550" s="157">
        <v>41589.616666666669</v>
      </c>
      <c r="F550" s="157">
        <v>41589.697916666664</v>
      </c>
      <c r="G550" s="98">
        <v>355</v>
      </c>
      <c r="H550" s="98">
        <v>456</v>
      </c>
      <c r="I550" s="98">
        <v>411</v>
      </c>
      <c r="J550" s="98" t="s">
        <v>1966</v>
      </c>
      <c r="K550" s="98" t="s">
        <v>1020</v>
      </c>
      <c r="L550" s="105" t="str">
        <f t="shared" si="100"/>
        <v>Brown</v>
      </c>
      <c r="M550" s="105" t="str">
        <f t="shared" si="101"/>
        <v>Derate</v>
      </c>
      <c r="N550" s="105" t="str">
        <f t="shared" si="102"/>
        <v>Coal</v>
      </c>
      <c r="O550" s="105">
        <f>IFERROR(VLOOKUP(A550,Lookup!$J$5:$P$19,7,FALSE),0)</f>
        <v>3</v>
      </c>
      <c r="P550" s="159">
        <f t="shared" si="103"/>
        <v>2013</v>
      </c>
      <c r="Q550" s="159">
        <f t="shared" si="104"/>
        <v>11</v>
      </c>
      <c r="R550" s="160">
        <f t="shared" si="105"/>
        <v>1.9499999998952262</v>
      </c>
      <c r="S550" s="158">
        <f t="shared" si="106"/>
        <v>0.43190789471363561</v>
      </c>
      <c r="T550" s="161">
        <f t="shared" si="107"/>
        <v>177.51414472730423</v>
      </c>
      <c r="U550" s="158">
        <f t="shared" si="109"/>
        <v>91.03289473684211</v>
      </c>
      <c r="V550" s="160">
        <f t="shared" si="108"/>
        <v>91</v>
      </c>
    </row>
    <row r="551" spans="1:22" x14ac:dyDescent="0.25">
      <c r="A551" s="98" t="s">
        <v>28</v>
      </c>
      <c r="B551" s="98" t="s">
        <v>15</v>
      </c>
      <c r="C551" s="98">
        <v>132</v>
      </c>
      <c r="D551" s="98">
        <v>9910</v>
      </c>
      <c r="E551" s="157">
        <v>41590.701388888891</v>
      </c>
      <c r="F551" s="157">
        <v>41590.720833333333</v>
      </c>
      <c r="G551" s="98">
        <v>0</v>
      </c>
      <c r="H551" s="98">
        <v>456</v>
      </c>
      <c r="I551" s="98">
        <v>411</v>
      </c>
      <c r="J551" s="98" t="s">
        <v>2014</v>
      </c>
      <c r="K551" s="98" t="s">
        <v>1021</v>
      </c>
      <c r="L551" s="105" t="str">
        <f t="shared" si="100"/>
        <v>Brown</v>
      </c>
      <c r="M551" s="105" t="str">
        <f t="shared" si="101"/>
        <v>Outage</v>
      </c>
      <c r="N551" s="105" t="str">
        <f t="shared" si="102"/>
        <v>Coal</v>
      </c>
      <c r="O551" s="105">
        <f>IFERROR(VLOOKUP(A551,Lookup!$J$5:$P$19,7,FALSE),0)</f>
        <v>3</v>
      </c>
      <c r="P551" s="159">
        <f t="shared" si="103"/>
        <v>2013</v>
      </c>
      <c r="Q551" s="159">
        <f t="shared" si="104"/>
        <v>11</v>
      </c>
      <c r="R551" s="160">
        <f t="shared" si="105"/>
        <v>0.46666666661622003</v>
      </c>
      <c r="S551" s="158">
        <f t="shared" si="106"/>
        <v>0.46666666661622003</v>
      </c>
      <c r="T551" s="161">
        <f t="shared" si="107"/>
        <v>191.79999997926643</v>
      </c>
      <c r="U551" s="158">
        <f t="shared" si="109"/>
        <v>411</v>
      </c>
      <c r="V551" s="160">
        <f t="shared" si="108"/>
        <v>411</v>
      </c>
    </row>
    <row r="552" spans="1:22" x14ac:dyDescent="0.25">
      <c r="A552" s="98" t="s">
        <v>28</v>
      </c>
      <c r="B552" s="98" t="s">
        <v>20</v>
      </c>
      <c r="C552" s="98">
        <v>134</v>
      </c>
      <c r="D552" s="98">
        <v>740</v>
      </c>
      <c r="E552" s="157">
        <v>41609.561805555553</v>
      </c>
      <c r="F552" s="157">
        <v>41612.854166666664</v>
      </c>
      <c r="G552" s="98">
        <v>0</v>
      </c>
      <c r="H552" s="98">
        <v>456</v>
      </c>
      <c r="I552" s="98">
        <v>411</v>
      </c>
      <c r="J552" s="98" t="s">
        <v>2176</v>
      </c>
      <c r="K552" s="98" t="s">
        <v>1022</v>
      </c>
      <c r="L552" s="105" t="str">
        <f t="shared" si="100"/>
        <v>Brown</v>
      </c>
      <c r="M552" s="105" t="str">
        <f t="shared" si="101"/>
        <v>Maintenance</v>
      </c>
      <c r="N552" s="105" t="str">
        <f t="shared" si="102"/>
        <v>Coal</v>
      </c>
      <c r="O552" s="105">
        <f>IFERROR(VLOOKUP(A552,Lookup!$J$5:$P$19,7,FALSE),0)</f>
        <v>3</v>
      </c>
      <c r="P552" s="159">
        <f t="shared" si="103"/>
        <v>2013</v>
      </c>
      <c r="Q552" s="159">
        <f t="shared" si="104"/>
        <v>12</v>
      </c>
      <c r="R552" s="160">
        <f t="shared" si="105"/>
        <v>79.016666666662786</v>
      </c>
      <c r="S552" s="158">
        <f t="shared" si="106"/>
        <v>79.016666666662786</v>
      </c>
      <c r="T552" s="161">
        <f t="shared" si="107"/>
        <v>32475.849999998405</v>
      </c>
      <c r="U552" s="158">
        <f t="shared" si="109"/>
        <v>411</v>
      </c>
      <c r="V552" s="160">
        <f t="shared" si="108"/>
        <v>411</v>
      </c>
    </row>
    <row r="553" spans="1:22" x14ac:dyDescent="0.25">
      <c r="A553" s="98" t="s">
        <v>28</v>
      </c>
      <c r="B553" s="98" t="s">
        <v>15</v>
      </c>
      <c r="C553" s="98">
        <v>135</v>
      </c>
      <c r="D553" s="98">
        <v>1000</v>
      </c>
      <c r="E553" s="157">
        <v>41612.854166666664</v>
      </c>
      <c r="F553" s="157">
        <v>41614.064583333333</v>
      </c>
      <c r="G553" s="98">
        <v>0</v>
      </c>
      <c r="H553" s="98">
        <v>456</v>
      </c>
      <c r="I553" s="98">
        <v>411</v>
      </c>
      <c r="J553" s="98" t="s">
        <v>2002</v>
      </c>
      <c r="K553" s="98" t="s">
        <v>1023</v>
      </c>
      <c r="L553" s="105" t="str">
        <f t="shared" si="100"/>
        <v>Brown</v>
      </c>
      <c r="M553" s="105" t="str">
        <f t="shared" si="101"/>
        <v>Outage</v>
      </c>
      <c r="N553" s="105" t="str">
        <f t="shared" si="102"/>
        <v>Coal</v>
      </c>
      <c r="O553" s="105">
        <f>IFERROR(VLOOKUP(A553,Lookup!$J$5:$P$19,7,FALSE),0)</f>
        <v>3</v>
      </c>
      <c r="P553" s="159">
        <f t="shared" si="103"/>
        <v>2013</v>
      </c>
      <c r="Q553" s="159">
        <f t="shared" si="104"/>
        <v>12</v>
      </c>
      <c r="R553" s="160">
        <f t="shared" si="105"/>
        <v>29.050000000046566</v>
      </c>
      <c r="S553" s="158">
        <f t="shared" si="106"/>
        <v>29.050000000046566</v>
      </c>
      <c r="T553" s="161">
        <f t="shared" si="107"/>
        <v>11939.550000019139</v>
      </c>
      <c r="U553" s="158">
        <f t="shared" si="109"/>
        <v>411</v>
      </c>
      <c r="V553" s="160">
        <f t="shared" si="108"/>
        <v>411</v>
      </c>
    </row>
    <row r="554" spans="1:22" x14ac:dyDescent="0.25">
      <c r="A554" s="98" t="s">
        <v>28</v>
      </c>
      <c r="B554" s="98" t="s">
        <v>32</v>
      </c>
      <c r="C554" s="98">
        <v>136</v>
      </c>
      <c r="D554" s="98">
        <v>310</v>
      </c>
      <c r="E554" s="157">
        <v>41617.9375</v>
      </c>
      <c r="F554" s="157">
        <v>41618.14166666667</v>
      </c>
      <c r="G554" s="98">
        <v>360</v>
      </c>
      <c r="H554" s="98">
        <v>456</v>
      </c>
      <c r="I554" s="98">
        <v>411</v>
      </c>
      <c r="J554" s="98" t="s">
        <v>1966</v>
      </c>
      <c r="K554" s="98" t="s">
        <v>1024</v>
      </c>
      <c r="L554" s="105" t="str">
        <f t="shared" si="100"/>
        <v>Brown</v>
      </c>
      <c r="M554" s="105" t="str">
        <f t="shared" si="101"/>
        <v>Derate</v>
      </c>
      <c r="N554" s="105" t="str">
        <f t="shared" si="102"/>
        <v>Coal</v>
      </c>
      <c r="O554" s="105">
        <f>IFERROR(VLOOKUP(A554,Lookup!$J$5:$P$19,7,FALSE),0)</f>
        <v>3</v>
      </c>
      <c r="P554" s="159">
        <f t="shared" si="103"/>
        <v>2013</v>
      </c>
      <c r="Q554" s="159">
        <f t="shared" si="104"/>
        <v>12</v>
      </c>
      <c r="R554" s="160">
        <f t="shared" si="105"/>
        <v>4.9000000000814907</v>
      </c>
      <c r="S554" s="158">
        <f t="shared" si="106"/>
        <v>1.031578947385577</v>
      </c>
      <c r="T554" s="161">
        <f t="shared" si="107"/>
        <v>423.97894737547216</v>
      </c>
      <c r="U554" s="158">
        <f t="shared" si="109"/>
        <v>86.526315789473685</v>
      </c>
      <c r="V554" s="160">
        <f t="shared" si="108"/>
        <v>87</v>
      </c>
    </row>
    <row r="555" spans="1:22" x14ac:dyDescent="0.25">
      <c r="A555" s="98" t="s">
        <v>28</v>
      </c>
      <c r="B555" s="98" t="s">
        <v>32</v>
      </c>
      <c r="C555" s="98">
        <v>137</v>
      </c>
      <c r="D555" s="98">
        <v>310</v>
      </c>
      <c r="E555" s="157">
        <v>41618.954861111109</v>
      </c>
      <c r="F555" s="157">
        <v>41619.106249999997</v>
      </c>
      <c r="G555" s="98">
        <v>360</v>
      </c>
      <c r="H555" s="98">
        <v>456</v>
      </c>
      <c r="I555" s="98">
        <v>411</v>
      </c>
      <c r="J555" s="98" t="s">
        <v>1966</v>
      </c>
      <c r="K555" s="98" t="s">
        <v>1025</v>
      </c>
      <c r="L555" s="105" t="str">
        <f t="shared" si="100"/>
        <v>Brown</v>
      </c>
      <c r="M555" s="105" t="str">
        <f t="shared" si="101"/>
        <v>Derate</v>
      </c>
      <c r="N555" s="105" t="str">
        <f t="shared" si="102"/>
        <v>Coal</v>
      </c>
      <c r="O555" s="105">
        <f>IFERROR(VLOOKUP(A555,Lookup!$J$5:$P$19,7,FALSE),0)</f>
        <v>3</v>
      </c>
      <c r="P555" s="159">
        <f t="shared" si="103"/>
        <v>2013</v>
      </c>
      <c r="Q555" s="159">
        <f t="shared" si="104"/>
        <v>12</v>
      </c>
      <c r="R555" s="160">
        <f t="shared" si="105"/>
        <v>3.6333333333022892</v>
      </c>
      <c r="S555" s="158">
        <f t="shared" si="106"/>
        <v>0.76491228069521877</v>
      </c>
      <c r="T555" s="161">
        <f t="shared" si="107"/>
        <v>314.37894736573492</v>
      </c>
      <c r="U555" s="158">
        <f t="shared" si="109"/>
        <v>86.526315789473685</v>
      </c>
      <c r="V555" s="160">
        <f t="shared" si="108"/>
        <v>87</v>
      </c>
    </row>
    <row r="556" spans="1:22" x14ac:dyDescent="0.25">
      <c r="A556" s="98" t="s">
        <v>28</v>
      </c>
      <c r="B556" s="98" t="s">
        <v>32</v>
      </c>
      <c r="C556" s="98">
        <v>138</v>
      </c>
      <c r="D556" s="98">
        <v>310</v>
      </c>
      <c r="E556" s="157">
        <v>41619.920138888891</v>
      </c>
      <c r="F556" s="157">
        <v>41620.088194444441</v>
      </c>
      <c r="G556" s="98">
        <v>360</v>
      </c>
      <c r="H556" s="98">
        <v>456</v>
      </c>
      <c r="I556" s="98">
        <v>411</v>
      </c>
      <c r="J556" s="98" t="s">
        <v>1966</v>
      </c>
      <c r="K556" s="98" t="s">
        <v>1025</v>
      </c>
      <c r="L556" s="105" t="str">
        <f t="shared" si="100"/>
        <v>Brown</v>
      </c>
      <c r="M556" s="105" t="str">
        <f t="shared" si="101"/>
        <v>Derate</v>
      </c>
      <c r="N556" s="105" t="str">
        <f t="shared" si="102"/>
        <v>Coal</v>
      </c>
      <c r="O556" s="105">
        <f>IFERROR(VLOOKUP(A556,Lookup!$J$5:$P$19,7,FALSE),0)</f>
        <v>3</v>
      </c>
      <c r="P556" s="159">
        <f t="shared" si="103"/>
        <v>2013</v>
      </c>
      <c r="Q556" s="159">
        <f t="shared" si="104"/>
        <v>12</v>
      </c>
      <c r="R556" s="160">
        <f t="shared" si="105"/>
        <v>4.033333333209157</v>
      </c>
      <c r="S556" s="158">
        <f t="shared" si="106"/>
        <v>0.84912280699140152</v>
      </c>
      <c r="T556" s="161">
        <f t="shared" si="107"/>
        <v>348.98947367346602</v>
      </c>
      <c r="U556" s="158">
        <f t="shared" si="109"/>
        <v>86.526315789473685</v>
      </c>
      <c r="V556" s="160">
        <f t="shared" si="108"/>
        <v>87</v>
      </c>
    </row>
    <row r="557" spans="1:22" x14ac:dyDescent="0.25">
      <c r="A557" s="98" t="s">
        <v>28</v>
      </c>
      <c r="B557" s="98" t="s">
        <v>32</v>
      </c>
      <c r="C557" s="98">
        <v>139</v>
      </c>
      <c r="D557" s="98">
        <v>310</v>
      </c>
      <c r="E557" s="157">
        <v>41620.916666666664</v>
      </c>
      <c r="F557" s="157">
        <v>41621.0625</v>
      </c>
      <c r="G557" s="98">
        <v>360</v>
      </c>
      <c r="H557" s="98">
        <v>456</v>
      </c>
      <c r="I557" s="98">
        <v>411</v>
      </c>
      <c r="J557" s="98" t="s">
        <v>1966</v>
      </c>
      <c r="K557" s="98" t="s">
        <v>1026</v>
      </c>
      <c r="L557" s="105" t="str">
        <f t="shared" si="100"/>
        <v>Brown</v>
      </c>
      <c r="M557" s="105" t="str">
        <f t="shared" si="101"/>
        <v>Derate</v>
      </c>
      <c r="N557" s="105" t="str">
        <f t="shared" si="102"/>
        <v>Coal</v>
      </c>
      <c r="O557" s="105">
        <f>IFERROR(VLOOKUP(A557,Lookup!$J$5:$P$19,7,FALSE),0)</f>
        <v>3</v>
      </c>
      <c r="P557" s="159">
        <f t="shared" si="103"/>
        <v>2013</v>
      </c>
      <c r="Q557" s="159">
        <f t="shared" si="104"/>
        <v>12</v>
      </c>
      <c r="R557" s="160">
        <f t="shared" si="105"/>
        <v>3.5000000000582077</v>
      </c>
      <c r="S557" s="158">
        <f t="shared" si="106"/>
        <v>0.73684210527541216</v>
      </c>
      <c r="T557" s="161">
        <f t="shared" si="107"/>
        <v>302.84210526819442</v>
      </c>
      <c r="U557" s="158">
        <f t="shared" si="109"/>
        <v>86.526315789473685</v>
      </c>
      <c r="V557" s="160">
        <f t="shared" si="108"/>
        <v>87</v>
      </c>
    </row>
    <row r="558" spans="1:22" x14ac:dyDescent="0.25">
      <c r="A558" s="98" t="s">
        <v>28</v>
      </c>
      <c r="B558" s="98" t="s">
        <v>32</v>
      </c>
      <c r="C558" s="98">
        <v>140</v>
      </c>
      <c r="D558" s="98">
        <v>300</v>
      </c>
      <c r="E558" s="157">
        <v>41621.916666666664</v>
      </c>
      <c r="F558" s="157">
        <v>41622.223611111112</v>
      </c>
      <c r="G558" s="98">
        <v>360</v>
      </c>
      <c r="H558" s="98">
        <v>456</v>
      </c>
      <c r="I558" s="98">
        <v>411</v>
      </c>
      <c r="J558" s="98" t="s">
        <v>1977</v>
      </c>
      <c r="K558" s="98" t="s">
        <v>1027</v>
      </c>
      <c r="L558" s="105" t="str">
        <f t="shared" si="100"/>
        <v>Brown</v>
      </c>
      <c r="M558" s="105" t="str">
        <f t="shared" si="101"/>
        <v>Derate</v>
      </c>
      <c r="N558" s="105" t="str">
        <f t="shared" si="102"/>
        <v>Coal</v>
      </c>
      <c r="O558" s="105">
        <f>IFERROR(VLOOKUP(A558,Lookup!$J$5:$P$19,7,FALSE),0)</f>
        <v>3</v>
      </c>
      <c r="P558" s="159">
        <f t="shared" si="103"/>
        <v>2013</v>
      </c>
      <c r="Q558" s="159">
        <f t="shared" si="104"/>
        <v>12</v>
      </c>
      <c r="R558" s="160">
        <f t="shared" si="105"/>
        <v>7.3666666667559184</v>
      </c>
      <c r="S558" s="158">
        <f t="shared" si="106"/>
        <v>1.5508771930012459</v>
      </c>
      <c r="T558" s="161">
        <f t="shared" si="107"/>
        <v>637.41052632351204</v>
      </c>
      <c r="U558" s="158">
        <f t="shared" si="109"/>
        <v>86.526315789473685</v>
      </c>
      <c r="V558" s="160">
        <f t="shared" si="108"/>
        <v>87</v>
      </c>
    </row>
    <row r="559" spans="1:22" x14ac:dyDescent="0.25">
      <c r="A559" s="98" t="s">
        <v>28</v>
      </c>
      <c r="B559" s="98" t="s">
        <v>32</v>
      </c>
      <c r="C559" s="98">
        <v>141</v>
      </c>
      <c r="D559" s="98">
        <v>310</v>
      </c>
      <c r="E559" s="157">
        <v>41624.912499999999</v>
      </c>
      <c r="F559" s="157">
        <v>41625.029861111114</v>
      </c>
      <c r="G559" s="98">
        <v>350</v>
      </c>
      <c r="H559" s="98">
        <v>456</v>
      </c>
      <c r="I559" s="98">
        <v>411</v>
      </c>
      <c r="J559" s="98" t="s">
        <v>1966</v>
      </c>
      <c r="K559" s="98" t="s">
        <v>1026</v>
      </c>
      <c r="L559" s="105" t="str">
        <f t="shared" si="100"/>
        <v>Brown</v>
      </c>
      <c r="M559" s="105" t="str">
        <f t="shared" si="101"/>
        <v>Derate</v>
      </c>
      <c r="N559" s="105" t="str">
        <f t="shared" si="102"/>
        <v>Coal</v>
      </c>
      <c r="O559" s="105">
        <f>IFERROR(VLOOKUP(A559,Lookup!$J$5:$P$19,7,FALSE),0)</f>
        <v>3</v>
      </c>
      <c r="P559" s="159">
        <f t="shared" si="103"/>
        <v>2013</v>
      </c>
      <c r="Q559" s="159">
        <f t="shared" si="104"/>
        <v>12</v>
      </c>
      <c r="R559" s="160">
        <f t="shared" si="105"/>
        <v>2.8166666667675599</v>
      </c>
      <c r="S559" s="158">
        <f t="shared" si="106"/>
        <v>0.65475146201175738</v>
      </c>
      <c r="T559" s="161">
        <f t="shared" si="107"/>
        <v>269.1028508868323</v>
      </c>
      <c r="U559" s="158">
        <f t="shared" si="109"/>
        <v>95.53947368421052</v>
      </c>
      <c r="V559" s="160">
        <f t="shared" si="108"/>
        <v>96</v>
      </c>
    </row>
    <row r="560" spans="1:22" x14ac:dyDescent="0.25">
      <c r="A560" s="98" t="s">
        <v>28</v>
      </c>
      <c r="B560" s="98" t="s">
        <v>32</v>
      </c>
      <c r="C560" s="98">
        <v>142</v>
      </c>
      <c r="D560" s="98">
        <v>310</v>
      </c>
      <c r="E560" s="157">
        <v>41625.916666666664</v>
      </c>
      <c r="F560" s="157">
        <v>41626.125</v>
      </c>
      <c r="G560" s="98">
        <v>350</v>
      </c>
      <c r="H560" s="98">
        <v>456</v>
      </c>
      <c r="I560" s="98">
        <v>411</v>
      </c>
      <c r="J560" s="98" t="s">
        <v>1966</v>
      </c>
      <c r="K560" s="98" t="s">
        <v>1028</v>
      </c>
      <c r="L560" s="105" t="str">
        <f t="shared" si="100"/>
        <v>Brown</v>
      </c>
      <c r="M560" s="105" t="str">
        <f t="shared" si="101"/>
        <v>Derate</v>
      </c>
      <c r="N560" s="105" t="str">
        <f t="shared" si="102"/>
        <v>Coal</v>
      </c>
      <c r="O560" s="105">
        <f>IFERROR(VLOOKUP(A560,Lookup!$J$5:$P$19,7,FALSE),0)</f>
        <v>3</v>
      </c>
      <c r="P560" s="159">
        <f t="shared" si="103"/>
        <v>2013</v>
      </c>
      <c r="Q560" s="159">
        <f t="shared" si="104"/>
        <v>12</v>
      </c>
      <c r="R560" s="160">
        <f t="shared" si="105"/>
        <v>5.0000000000582077</v>
      </c>
      <c r="S560" s="158">
        <f t="shared" si="106"/>
        <v>1.1622807017679166</v>
      </c>
      <c r="T560" s="161">
        <f t="shared" si="107"/>
        <v>477.69736842661376</v>
      </c>
      <c r="U560" s="158">
        <f t="shared" si="109"/>
        <v>95.53947368421052</v>
      </c>
      <c r="V560" s="160">
        <f t="shared" si="108"/>
        <v>96</v>
      </c>
    </row>
    <row r="561" spans="1:22" x14ac:dyDescent="0.25">
      <c r="A561" s="98" t="s">
        <v>28</v>
      </c>
      <c r="B561" s="98" t="s">
        <v>32</v>
      </c>
      <c r="C561" s="98">
        <v>143</v>
      </c>
      <c r="D561" s="98">
        <v>310</v>
      </c>
      <c r="E561" s="157">
        <v>41626.90625</v>
      </c>
      <c r="F561" s="157">
        <v>41627.078472222223</v>
      </c>
      <c r="G561" s="98">
        <v>350</v>
      </c>
      <c r="H561" s="98">
        <v>456</v>
      </c>
      <c r="I561" s="98">
        <v>411</v>
      </c>
      <c r="J561" s="98" t="s">
        <v>1966</v>
      </c>
      <c r="K561" s="98" t="s">
        <v>1028</v>
      </c>
      <c r="L561" s="105" t="str">
        <f t="shared" si="100"/>
        <v>Brown</v>
      </c>
      <c r="M561" s="105" t="str">
        <f t="shared" si="101"/>
        <v>Derate</v>
      </c>
      <c r="N561" s="105" t="str">
        <f t="shared" si="102"/>
        <v>Coal</v>
      </c>
      <c r="O561" s="105">
        <f>IFERROR(VLOOKUP(A561,Lookup!$J$5:$P$19,7,FALSE),0)</f>
        <v>3</v>
      </c>
      <c r="P561" s="159">
        <f t="shared" si="103"/>
        <v>2013</v>
      </c>
      <c r="Q561" s="159">
        <f t="shared" si="104"/>
        <v>12</v>
      </c>
      <c r="R561" s="160">
        <f t="shared" si="105"/>
        <v>4.1333333333604969</v>
      </c>
      <c r="S561" s="158">
        <f t="shared" si="106"/>
        <v>0.96081871345660674</v>
      </c>
      <c r="T561" s="161">
        <f t="shared" si="107"/>
        <v>394.89649123066539</v>
      </c>
      <c r="U561" s="158">
        <f t="shared" si="109"/>
        <v>95.53947368421052</v>
      </c>
      <c r="V561" s="160">
        <f t="shared" si="108"/>
        <v>96</v>
      </c>
    </row>
    <row r="562" spans="1:22" x14ac:dyDescent="0.25">
      <c r="A562" s="98" t="s">
        <v>28</v>
      </c>
      <c r="B562" s="98" t="s">
        <v>32</v>
      </c>
      <c r="C562" s="98">
        <v>144</v>
      </c>
      <c r="D562" s="98">
        <v>310</v>
      </c>
      <c r="E562" s="157">
        <v>41627.899305555555</v>
      </c>
      <c r="F562" s="157">
        <v>41628.025000000001</v>
      </c>
      <c r="G562" s="98">
        <v>350</v>
      </c>
      <c r="H562" s="98">
        <v>456</v>
      </c>
      <c r="I562" s="98">
        <v>411</v>
      </c>
      <c r="J562" s="98" t="s">
        <v>1966</v>
      </c>
      <c r="K562" s="98" t="s">
        <v>1028</v>
      </c>
      <c r="L562" s="105" t="str">
        <f t="shared" si="100"/>
        <v>Brown</v>
      </c>
      <c r="M562" s="105" t="str">
        <f t="shared" si="101"/>
        <v>Derate</v>
      </c>
      <c r="N562" s="105" t="str">
        <f t="shared" si="102"/>
        <v>Coal</v>
      </c>
      <c r="O562" s="105">
        <f>IFERROR(VLOOKUP(A562,Lookup!$J$5:$P$19,7,FALSE),0)</f>
        <v>3</v>
      </c>
      <c r="P562" s="159">
        <f t="shared" si="103"/>
        <v>2013</v>
      </c>
      <c r="Q562" s="159">
        <f t="shared" si="104"/>
        <v>12</v>
      </c>
      <c r="R562" s="160">
        <f t="shared" si="105"/>
        <v>3.0166666667209938</v>
      </c>
      <c r="S562" s="158">
        <f t="shared" si="106"/>
        <v>0.70124269007110818</v>
      </c>
      <c r="T562" s="161">
        <f t="shared" si="107"/>
        <v>288.21074561922546</v>
      </c>
      <c r="U562" s="158">
        <f t="shared" si="109"/>
        <v>95.53947368421052</v>
      </c>
      <c r="V562" s="160">
        <f t="shared" si="108"/>
        <v>96</v>
      </c>
    </row>
    <row r="563" spans="1:22" x14ac:dyDescent="0.25">
      <c r="A563" s="98" t="s">
        <v>28</v>
      </c>
      <c r="B563" s="98" t="s">
        <v>15</v>
      </c>
      <c r="C563" s="98">
        <v>146</v>
      </c>
      <c r="D563" s="98">
        <v>1000</v>
      </c>
      <c r="E563" s="157">
        <v>41630.490277777775</v>
      </c>
      <c r="F563" s="157">
        <v>41631.815972222219</v>
      </c>
      <c r="G563" s="98">
        <v>0</v>
      </c>
      <c r="H563" s="98">
        <v>456</v>
      </c>
      <c r="I563" s="98">
        <v>411</v>
      </c>
      <c r="J563" s="98" t="s">
        <v>2002</v>
      </c>
      <c r="K563" s="98" t="s">
        <v>1029</v>
      </c>
      <c r="L563" s="105" t="str">
        <f t="shared" si="100"/>
        <v>Brown</v>
      </c>
      <c r="M563" s="105" t="str">
        <f t="shared" si="101"/>
        <v>Outage</v>
      </c>
      <c r="N563" s="105" t="str">
        <f t="shared" si="102"/>
        <v>Coal</v>
      </c>
      <c r="O563" s="105">
        <f>IFERROR(VLOOKUP(A563,Lookup!$J$5:$P$19,7,FALSE),0)</f>
        <v>3</v>
      </c>
      <c r="P563" s="159">
        <f t="shared" si="103"/>
        <v>2013</v>
      </c>
      <c r="Q563" s="159">
        <f t="shared" si="104"/>
        <v>12</v>
      </c>
      <c r="R563" s="160">
        <f t="shared" si="105"/>
        <v>31.816666666651145</v>
      </c>
      <c r="S563" s="158">
        <f t="shared" si="106"/>
        <v>31.816666666651145</v>
      </c>
      <c r="T563" s="161">
        <f t="shared" si="107"/>
        <v>13076.64999999362</v>
      </c>
      <c r="U563" s="158">
        <f t="shared" si="109"/>
        <v>411</v>
      </c>
      <c r="V563" s="160">
        <f t="shared" si="108"/>
        <v>411</v>
      </c>
    </row>
    <row r="564" spans="1:22" x14ac:dyDescent="0.25">
      <c r="A564" s="98" t="s">
        <v>28</v>
      </c>
      <c r="B564" s="98" t="s">
        <v>32</v>
      </c>
      <c r="C564" s="98">
        <v>1</v>
      </c>
      <c r="D564" s="98">
        <v>310</v>
      </c>
      <c r="E564" s="157">
        <v>41647.939583333333</v>
      </c>
      <c r="F564" s="157">
        <v>41648.052083333336</v>
      </c>
      <c r="G564" s="98">
        <v>350</v>
      </c>
      <c r="H564" s="98">
        <v>456</v>
      </c>
      <c r="I564" s="98">
        <v>411</v>
      </c>
      <c r="J564" s="98" t="s">
        <v>1966</v>
      </c>
      <c r="K564" s="98" t="s">
        <v>1030</v>
      </c>
      <c r="L564" s="105" t="str">
        <f t="shared" si="100"/>
        <v>Brown</v>
      </c>
      <c r="M564" s="105" t="str">
        <f t="shared" si="101"/>
        <v>Derate</v>
      </c>
      <c r="N564" s="105" t="str">
        <f t="shared" si="102"/>
        <v>Coal</v>
      </c>
      <c r="O564" s="105">
        <f>IFERROR(VLOOKUP(A564,Lookup!$J$5:$P$19,7,FALSE),0)</f>
        <v>3</v>
      </c>
      <c r="P564" s="159">
        <f t="shared" si="103"/>
        <v>2014</v>
      </c>
      <c r="Q564" s="159">
        <f t="shared" si="104"/>
        <v>1</v>
      </c>
      <c r="R564" s="160">
        <f t="shared" si="105"/>
        <v>2.7000000000698492</v>
      </c>
      <c r="S564" s="158">
        <f t="shared" si="106"/>
        <v>0.62763157896360533</v>
      </c>
      <c r="T564" s="161">
        <f t="shared" si="107"/>
        <v>257.95657895404179</v>
      </c>
      <c r="U564" s="158">
        <f t="shared" si="109"/>
        <v>95.53947368421052</v>
      </c>
      <c r="V564" s="160">
        <f t="shared" si="108"/>
        <v>96</v>
      </c>
    </row>
    <row r="565" spans="1:22" x14ac:dyDescent="0.25">
      <c r="A565" s="98" t="s">
        <v>28</v>
      </c>
      <c r="B565" s="98" t="s">
        <v>32</v>
      </c>
      <c r="C565" s="98">
        <v>2</v>
      </c>
      <c r="D565" s="98">
        <v>310</v>
      </c>
      <c r="E565" s="157">
        <v>41648.888888888891</v>
      </c>
      <c r="F565" s="157">
        <v>41649.022916666669</v>
      </c>
      <c r="G565" s="98">
        <v>350</v>
      </c>
      <c r="H565" s="98">
        <v>456</v>
      </c>
      <c r="I565" s="98">
        <v>411</v>
      </c>
      <c r="J565" s="98" t="s">
        <v>1966</v>
      </c>
      <c r="K565" s="98" t="s">
        <v>1031</v>
      </c>
      <c r="L565" s="105" t="str">
        <f t="shared" si="100"/>
        <v>Brown</v>
      </c>
      <c r="M565" s="105" t="str">
        <f t="shared" si="101"/>
        <v>Derate</v>
      </c>
      <c r="N565" s="105" t="str">
        <f t="shared" si="102"/>
        <v>Coal</v>
      </c>
      <c r="O565" s="105">
        <f>IFERROR(VLOOKUP(A565,Lookup!$J$5:$P$19,7,FALSE),0)</f>
        <v>3</v>
      </c>
      <c r="P565" s="159">
        <f t="shared" si="103"/>
        <v>2014</v>
      </c>
      <c r="Q565" s="159">
        <f t="shared" si="104"/>
        <v>1</v>
      </c>
      <c r="R565" s="160">
        <f t="shared" si="105"/>
        <v>3.2166666666744277</v>
      </c>
      <c r="S565" s="158">
        <f t="shared" si="106"/>
        <v>0.74773391813045909</v>
      </c>
      <c r="T565" s="161">
        <f t="shared" si="107"/>
        <v>307.31864035161868</v>
      </c>
      <c r="U565" s="158">
        <f t="shared" si="109"/>
        <v>95.53947368421052</v>
      </c>
      <c r="V565" s="160">
        <f t="shared" si="108"/>
        <v>96</v>
      </c>
    </row>
    <row r="566" spans="1:22" x14ac:dyDescent="0.25">
      <c r="A566" s="98" t="s">
        <v>28</v>
      </c>
      <c r="B566" s="98" t="s">
        <v>20</v>
      </c>
      <c r="C566" s="98">
        <v>4</v>
      </c>
      <c r="D566" s="98">
        <v>740</v>
      </c>
      <c r="E566" s="157">
        <v>41650.442361111112</v>
      </c>
      <c r="F566" s="157">
        <v>41651.172222222223</v>
      </c>
      <c r="G566" s="98">
        <v>0</v>
      </c>
      <c r="H566" s="98">
        <v>456</v>
      </c>
      <c r="I566" s="98">
        <v>411</v>
      </c>
      <c r="J566" s="98" t="s">
        <v>2176</v>
      </c>
      <c r="K566" s="98" t="s">
        <v>1032</v>
      </c>
      <c r="L566" s="105" t="str">
        <f t="shared" si="100"/>
        <v>Brown</v>
      </c>
      <c r="M566" s="105" t="str">
        <f t="shared" si="101"/>
        <v>Maintenance</v>
      </c>
      <c r="N566" s="105" t="str">
        <f t="shared" si="102"/>
        <v>Coal</v>
      </c>
      <c r="O566" s="105">
        <f>IFERROR(VLOOKUP(A566,Lookup!$J$5:$P$19,7,FALSE),0)</f>
        <v>3</v>
      </c>
      <c r="P566" s="159">
        <f t="shared" si="103"/>
        <v>2014</v>
      </c>
      <c r="Q566" s="159">
        <f t="shared" si="104"/>
        <v>1</v>
      </c>
      <c r="R566" s="160">
        <f t="shared" si="105"/>
        <v>17.516666666662786</v>
      </c>
      <c r="S566" s="158">
        <f t="shared" si="106"/>
        <v>17.516666666662786</v>
      </c>
      <c r="T566" s="161">
        <f t="shared" si="107"/>
        <v>7199.3499999984051</v>
      </c>
      <c r="U566" s="158">
        <f t="shared" si="109"/>
        <v>411</v>
      </c>
      <c r="V566" s="160">
        <f t="shared" si="108"/>
        <v>411</v>
      </c>
    </row>
    <row r="567" spans="1:22" x14ac:dyDescent="0.25">
      <c r="A567" s="98" t="s">
        <v>28</v>
      </c>
      <c r="B567" s="98" t="s">
        <v>32</v>
      </c>
      <c r="C567" s="98">
        <v>5</v>
      </c>
      <c r="D567" s="98">
        <v>310</v>
      </c>
      <c r="E567" s="157">
        <v>41652.916666666664</v>
      </c>
      <c r="F567" s="157">
        <v>41653.020138888889</v>
      </c>
      <c r="G567" s="98">
        <v>350</v>
      </c>
      <c r="H567" s="98">
        <v>456</v>
      </c>
      <c r="I567" s="98">
        <v>411</v>
      </c>
      <c r="J567" s="98" t="s">
        <v>1966</v>
      </c>
      <c r="K567" s="98" t="s">
        <v>1031</v>
      </c>
      <c r="L567" s="105" t="str">
        <f t="shared" si="100"/>
        <v>Brown</v>
      </c>
      <c r="M567" s="105" t="str">
        <f t="shared" si="101"/>
        <v>Derate</v>
      </c>
      <c r="N567" s="105" t="str">
        <f t="shared" si="102"/>
        <v>Coal</v>
      </c>
      <c r="O567" s="105">
        <f>IFERROR(VLOOKUP(A567,Lookup!$J$5:$P$19,7,FALSE),0)</f>
        <v>3</v>
      </c>
      <c r="P567" s="159">
        <f t="shared" si="103"/>
        <v>2014</v>
      </c>
      <c r="Q567" s="159">
        <f t="shared" si="104"/>
        <v>1</v>
      </c>
      <c r="R567" s="160">
        <f t="shared" si="105"/>
        <v>2.4833333333954215</v>
      </c>
      <c r="S567" s="158">
        <f t="shared" si="106"/>
        <v>0.57726608188577777</v>
      </c>
      <c r="T567" s="161">
        <f t="shared" si="107"/>
        <v>237.25635965505467</v>
      </c>
      <c r="U567" s="158">
        <f t="shared" si="109"/>
        <v>95.53947368421052</v>
      </c>
      <c r="V567" s="160">
        <f t="shared" si="108"/>
        <v>96</v>
      </c>
    </row>
    <row r="568" spans="1:22" x14ac:dyDescent="0.25">
      <c r="A568" s="98" t="s">
        <v>28</v>
      </c>
      <c r="B568" s="98" t="s">
        <v>32</v>
      </c>
      <c r="C568" s="98">
        <v>6</v>
      </c>
      <c r="D568" s="98">
        <v>310</v>
      </c>
      <c r="E568" s="157">
        <v>41653.899305555555</v>
      </c>
      <c r="F568" s="157">
        <v>41654.025694444441</v>
      </c>
      <c r="G568" s="98">
        <v>350</v>
      </c>
      <c r="H568" s="98">
        <v>456</v>
      </c>
      <c r="I568" s="98">
        <v>411</v>
      </c>
      <c r="J568" s="98" t="s">
        <v>1966</v>
      </c>
      <c r="K568" s="98" t="s">
        <v>1033</v>
      </c>
      <c r="L568" s="105" t="str">
        <f t="shared" si="100"/>
        <v>Brown</v>
      </c>
      <c r="M568" s="105" t="str">
        <f t="shared" si="101"/>
        <v>Derate</v>
      </c>
      <c r="N568" s="105" t="str">
        <f t="shared" si="102"/>
        <v>Coal</v>
      </c>
      <c r="O568" s="105">
        <f>IFERROR(VLOOKUP(A568,Lookup!$J$5:$P$19,7,FALSE),0)</f>
        <v>3</v>
      </c>
      <c r="P568" s="159">
        <f t="shared" si="103"/>
        <v>2014</v>
      </c>
      <c r="Q568" s="159">
        <f t="shared" si="104"/>
        <v>1</v>
      </c>
      <c r="R568" s="160">
        <f t="shared" si="105"/>
        <v>3.0333333332673647</v>
      </c>
      <c r="S568" s="158">
        <f t="shared" si="106"/>
        <v>0.70511695904899263</v>
      </c>
      <c r="T568" s="161">
        <f t="shared" si="107"/>
        <v>289.80307016913599</v>
      </c>
      <c r="U568" s="158">
        <f t="shared" si="109"/>
        <v>95.53947368421052</v>
      </c>
      <c r="V568" s="160">
        <f t="shared" si="108"/>
        <v>96</v>
      </c>
    </row>
    <row r="569" spans="1:22" x14ac:dyDescent="0.25">
      <c r="A569" s="98" t="s">
        <v>28</v>
      </c>
      <c r="B569" s="98" t="s">
        <v>32</v>
      </c>
      <c r="C569" s="98">
        <v>7</v>
      </c>
      <c r="D569" s="98">
        <v>310</v>
      </c>
      <c r="E569" s="157">
        <v>41654.914583333331</v>
      </c>
      <c r="F569" s="157">
        <v>41655.027777777781</v>
      </c>
      <c r="G569" s="98">
        <v>350</v>
      </c>
      <c r="H569" s="98">
        <v>456</v>
      </c>
      <c r="I569" s="98">
        <v>411</v>
      </c>
      <c r="J569" s="98" t="s">
        <v>1966</v>
      </c>
      <c r="K569" s="98" t="s">
        <v>1031</v>
      </c>
      <c r="L569" s="105" t="str">
        <f t="shared" si="100"/>
        <v>Brown</v>
      </c>
      <c r="M569" s="105" t="str">
        <f t="shared" si="101"/>
        <v>Derate</v>
      </c>
      <c r="N569" s="105" t="str">
        <f t="shared" si="102"/>
        <v>Coal</v>
      </c>
      <c r="O569" s="105">
        <f>IFERROR(VLOOKUP(A569,Lookup!$J$5:$P$19,7,FALSE),0)</f>
        <v>3</v>
      </c>
      <c r="P569" s="159">
        <f t="shared" si="103"/>
        <v>2014</v>
      </c>
      <c r="Q569" s="159">
        <f t="shared" si="104"/>
        <v>1</v>
      </c>
      <c r="R569" s="160">
        <f t="shared" si="105"/>
        <v>2.716666666790843</v>
      </c>
      <c r="S569" s="158">
        <f t="shared" si="106"/>
        <v>0.63150584798208198</v>
      </c>
      <c r="T569" s="161">
        <f t="shared" si="107"/>
        <v>259.54890352063569</v>
      </c>
      <c r="U569" s="158">
        <f t="shared" si="109"/>
        <v>95.53947368421052</v>
      </c>
      <c r="V569" s="160">
        <f t="shared" si="108"/>
        <v>96</v>
      </c>
    </row>
    <row r="570" spans="1:22" x14ac:dyDescent="0.25">
      <c r="A570" s="98" t="s">
        <v>28</v>
      </c>
      <c r="B570" s="98" t="s">
        <v>15</v>
      </c>
      <c r="C570" s="98">
        <v>8</v>
      </c>
      <c r="D570" s="98">
        <v>339</v>
      </c>
      <c r="E570" s="157">
        <v>41669.164583333331</v>
      </c>
      <c r="F570" s="157">
        <v>41671.670138888891</v>
      </c>
      <c r="G570" s="98">
        <v>0</v>
      </c>
      <c r="H570" s="98">
        <v>456</v>
      </c>
      <c r="I570" s="98">
        <v>411</v>
      </c>
      <c r="J570" s="98" t="s">
        <v>67</v>
      </c>
      <c r="K570" s="98" t="s">
        <v>1034</v>
      </c>
      <c r="L570" s="105" t="str">
        <f t="shared" si="100"/>
        <v>Brown</v>
      </c>
      <c r="M570" s="105" t="str">
        <f t="shared" si="101"/>
        <v>Outage</v>
      </c>
      <c r="N570" s="105" t="str">
        <f t="shared" si="102"/>
        <v>Coal</v>
      </c>
      <c r="O570" s="105">
        <f>IFERROR(VLOOKUP(A570,Lookup!$J$5:$P$19,7,FALSE),0)</f>
        <v>3</v>
      </c>
      <c r="P570" s="159">
        <f t="shared" si="103"/>
        <v>2014</v>
      </c>
      <c r="Q570" s="159">
        <f t="shared" si="104"/>
        <v>1</v>
      </c>
      <c r="R570" s="160">
        <f t="shared" si="105"/>
        <v>60.133333333418705</v>
      </c>
      <c r="S570" s="158">
        <f t="shared" si="106"/>
        <v>60.133333333418705</v>
      </c>
      <c r="T570" s="161">
        <f t="shared" si="107"/>
        <v>24714.800000035088</v>
      </c>
      <c r="U570" s="158">
        <f t="shared" si="109"/>
        <v>411</v>
      </c>
      <c r="V570" s="160">
        <f t="shared" si="108"/>
        <v>411</v>
      </c>
    </row>
    <row r="571" spans="1:22" x14ac:dyDescent="0.25">
      <c r="A571" s="98" t="s">
        <v>28</v>
      </c>
      <c r="B571" s="98" t="s">
        <v>32</v>
      </c>
      <c r="C571" s="98">
        <v>9</v>
      </c>
      <c r="D571" s="98">
        <v>3412</v>
      </c>
      <c r="E571" s="157">
        <v>41674.916666666664</v>
      </c>
      <c r="F571" s="157">
        <v>41675.077777777777</v>
      </c>
      <c r="G571" s="98">
        <v>310</v>
      </c>
      <c r="H571" s="98">
        <v>456</v>
      </c>
      <c r="I571" s="98">
        <v>411</v>
      </c>
      <c r="J571" s="98" t="s">
        <v>2162</v>
      </c>
      <c r="K571" s="98" t="s">
        <v>1035</v>
      </c>
      <c r="L571" s="105" t="str">
        <f t="shared" si="100"/>
        <v>Brown</v>
      </c>
      <c r="M571" s="105" t="str">
        <f t="shared" si="101"/>
        <v>Derate</v>
      </c>
      <c r="N571" s="105" t="str">
        <f t="shared" si="102"/>
        <v>Coal</v>
      </c>
      <c r="O571" s="105">
        <f>IFERROR(VLOOKUP(A571,Lookup!$J$5:$P$19,7,FALSE),0)</f>
        <v>3</v>
      </c>
      <c r="P571" s="159">
        <f t="shared" si="103"/>
        <v>2014</v>
      </c>
      <c r="Q571" s="159">
        <f t="shared" si="104"/>
        <v>2</v>
      </c>
      <c r="R571" s="160">
        <f t="shared" si="105"/>
        <v>3.8666666666977108</v>
      </c>
      <c r="S571" s="158">
        <f t="shared" si="106"/>
        <v>1.2380116959163723</v>
      </c>
      <c r="T571" s="161">
        <f t="shared" si="107"/>
        <v>508.82280702162899</v>
      </c>
      <c r="U571" s="158">
        <f t="shared" si="109"/>
        <v>131.59210526315789</v>
      </c>
      <c r="V571" s="160">
        <f t="shared" si="108"/>
        <v>132</v>
      </c>
    </row>
    <row r="572" spans="1:22" x14ac:dyDescent="0.25">
      <c r="A572" s="98" t="s">
        <v>28</v>
      </c>
      <c r="B572" s="98" t="s">
        <v>17</v>
      </c>
      <c r="C572" s="98">
        <v>10</v>
      </c>
      <c r="D572" s="98">
        <v>3414</v>
      </c>
      <c r="E572" s="157">
        <v>41691.922222222223</v>
      </c>
      <c r="F572" s="157">
        <v>41692.998611111114</v>
      </c>
      <c r="G572" s="98">
        <v>305</v>
      </c>
      <c r="H572" s="98">
        <v>456</v>
      </c>
      <c r="I572" s="98">
        <v>411</v>
      </c>
      <c r="J572" s="98" t="s">
        <v>1984</v>
      </c>
      <c r="K572" s="98" t="s">
        <v>1036</v>
      </c>
      <c r="L572" s="105" t="str">
        <f t="shared" si="100"/>
        <v>Brown</v>
      </c>
      <c r="M572" s="105" t="str">
        <f t="shared" si="101"/>
        <v>Derate</v>
      </c>
      <c r="N572" s="105" t="str">
        <f t="shared" si="102"/>
        <v>Coal</v>
      </c>
      <c r="O572" s="105">
        <f>IFERROR(VLOOKUP(A572,Lookup!$J$5:$P$19,7,FALSE),0)</f>
        <v>3</v>
      </c>
      <c r="P572" s="159">
        <f t="shared" si="103"/>
        <v>2014</v>
      </c>
      <c r="Q572" s="159">
        <f t="shared" si="104"/>
        <v>2</v>
      </c>
      <c r="R572" s="160">
        <f t="shared" si="105"/>
        <v>25.833333333372138</v>
      </c>
      <c r="S572" s="158">
        <f t="shared" si="106"/>
        <v>8.5544590643403353</v>
      </c>
      <c r="T572" s="161">
        <f t="shared" si="107"/>
        <v>3515.8826754438778</v>
      </c>
      <c r="U572" s="158">
        <f t="shared" si="109"/>
        <v>136.09868421052633</v>
      </c>
      <c r="V572" s="160">
        <f t="shared" si="108"/>
        <v>136</v>
      </c>
    </row>
    <row r="573" spans="1:22" x14ac:dyDescent="0.25">
      <c r="A573" s="98" t="s">
        <v>28</v>
      </c>
      <c r="B573" s="98" t="s">
        <v>79</v>
      </c>
      <c r="C573" s="98">
        <v>11</v>
      </c>
      <c r="D573" s="98">
        <v>1710</v>
      </c>
      <c r="E573" s="157">
        <v>41694.916666666664</v>
      </c>
      <c r="F573" s="157">
        <v>41695.086805555555</v>
      </c>
      <c r="G573" s="98">
        <v>0</v>
      </c>
      <c r="H573" s="98">
        <v>456</v>
      </c>
      <c r="I573" s="98">
        <v>411</v>
      </c>
      <c r="J573" s="98" t="s">
        <v>2020</v>
      </c>
      <c r="K573" s="98" t="s">
        <v>1037</v>
      </c>
      <c r="L573" s="105" t="str">
        <f t="shared" si="100"/>
        <v>Brown</v>
      </c>
      <c r="M573" s="105" t="str">
        <f t="shared" si="101"/>
        <v>Other</v>
      </c>
      <c r="N573" s="105" t="str">
        <f t="shared" si="102"/>
        <v>Coal</v>
      </c>
      <c r="O573" s="105">
        <f>IFERROR(VLOOKUP(A573,Lookup!$J$5:$P$19,7,FALSE),0)</f>
        <v>3</v>
      </c>
      <c r="P573" s="159">
        <f t="shared" si="103"/>
        <v>2014</v>
      </c>
      <c r="Q573" s="159">
        <f t="shared" si="104"/>
        <v>2</v>
      </c>
      <c r="R573" s="160">
        <f t="shared" si="105"/>
        <v>4.0833333333721384</v>
      </c>
      <c r="S573" s="158">
        <f t="shared" si="106"/>
        <v>4.0833333333721384</v>
      </c>
      <c r="T573" s="161">
        <f t="shared" si="107"/>
        <v>1678.2500000159489</v>
      </c>
      <c r="U573" s="158">
        <f t="shared" si="109"/>
        <v>411</v>
      </c>
      <c r="V573" s="160">
        <f t="shared" si="108"/>
        <v>411</v>
      </c>
    </row>
    <row r="574" spans="1:22" x14ac:dyDescent="0.25">
      <c r="A574" s="98" t="s">
        <v>28</v>
      </c>
      <c r="B574" s="98" t="s">
        <v>17</v>
      </c>
      <c r="C574" s="98">
        <v>12</v>
      </c>
      <c r="D574" s="98">
        <v>3414</v>
      </c>
      <c r="E574" s="157">
        <v>41695.243750000001</v>
      </c>
      <c r="F574" s="157">
        <v>41695.318749999999</v>
      </c>
      <c r="G574" s="98">
        <v>300</v>
      </c>
      <c r="H574" s="98">
        <v>456</v>
      </c>
      <c r="I574" s="98">
        <v>411</v>
      </c>
      <c r="J574" s="98" t="s">
        <v>1984</v>
      </c>
      <c r="K574" s="98" t="s">
        <v>1038</v>
      </c>
      <c r="L574" s="105" t="str">
        <f t="shared" si="100"/>
        <v>Brown</v>
      </c>
      <c r="M574" s="105" t="str">
        <f t="shared" si="101"/>
        <v>Derate</v>
      </c>
      <c r="N574" s="105" t="str">
        <f t="shared" si="102"/>
        <v>Coal</v>
      </c>
      <c r="O574" s="105">
        <f>IFERROR(VLOOKUP(A574,Lookup!$J$5:$P$19,7,FALSE),0)</f>
        <v>3</v>
      </c>
      <c r="P574" s="159">
        <f t="shared" si="103"/>
        <v>2014</v>
      </c>
      <c r="Q574" s="159">
        <f t="shared" si="104"/>
        <v>2</v>
      </c>
      <c r="R574" s="160">
        <f t="shared" si="105"/>
        <v>1.7999999999301508</v>
      </c>
      <c r="S574" s="158">
        <f t="shared" si="106"/>
        <v>0.61578947366031478</v>
      </c>
      <c r="T574" s="161">
        <f t="shared" si="107"/>
        <v>253.08947367438938</v>
      </c>
      <c r="U574" s="158">
        <f t="shared" si="109"/>
        <v>140.60526315789474</v>
      </c>
      <c r="V574" s="160">
        <f t="shared" si="108"/>
        <v>141</v>
      </c>
    </row>
    <row r="575" spans="1:22" x14ac:dyDescent="0.25">
      <c r="A575" s="98" t="s">
        <v>28</v>
      </c>
      <c r="B575" s="98" t="s">
        <v>79</v>
      </c>
      <c r="C575" s="98">
        <v>13</v>
      </c>
      <c r="D575" s="98">
        <v>9656</v>
      </c>
      <c r="E575" s="157">
        <v>41709.487500000003</v>
      </c>
      <c r="F575" s="157">
        <v>41709.57708333333</v>
      </c>
      <c r="G575" s="98">
        <v>0</v>
      </c>
      <c r="H575" s="98">
        <v>456</v>
      </c>
      <c r="I575" s="98">
        <v>411</v>
      </c>
      <c r="J575" s="98" t="s">
        <v>299</v>
      </c>
      <c r="K575" s="98" t="s">
        <v>82</v>
      </c>
      <c r="L575" s="105" t="str">
        <f t="shared" si="100"/>
        <v>Brown</v>
      </c>
      <c r="M575" s="105" t="str">
        <f t="shared" si="101"/>
        <v>Other</v>
      </c>
      <c r="N575" s="105" t="str">
        <f t="shared" si="102"/>
        <v>Coal</v>
      </c>
      <c r="O575" s="105">
        <f>IFERROR(VLOOKUP(A575,Lookup!$J$5:$P$19,7,FALSE),0)</f>
        <v>3</v>
      </c>
      <c r="P575" s="159">
        <f t="shared" si="103"/>
        <v>2014</v>
      </c>
      <c r="Q575" s="159">
        <f t="shared" si="104"/>
        <v>3</v>
      </c>
      <c r="R575" s="160">
        <f t="shared" si="105"/>
        <v>2.1499999998486601</v>
      </c>
      <c r="S575" s="158">
        <f t="shared" si="106"/>
        <v>2.1499999998486601</v>
      </c>
      <c r="T575" s="161">
        <f t="shared" si="107"/>
        <v>883.64999993779929</v>
      </c>
      <c r="U575" s="158">
        <f t="shared" si="109"/>
        <v>411</v>
      </c>
      <c r="V575" s="160">
        <f t="shared" si="108"/>
        <v>411</v>
      </c>
    </row>
    <row r="576" spans="1:22" x14ac:dyDescent="0.25">
      <c r="A576" s="98" t="s">
        <v>28</v>
      </c>
      <c r="B576" s="98" t="s">
        <v>17</v>
      </c>
      <c r="C576" s="98">
        <v>14</v>
      </c>
      <c r="D576" s="98">
        <v>310</v>
      </c>
      <c r="E576" s="157">
        <v>41709.57708333333</v>
      </c>
      <c r="F576" s="157">
        <v>41709.65</v>
      </c>
      <c r="G576" s="98">
        <v>350</v>
      </c>
      <c r="H576" s="98">
        <v>456</v>
      </c>
      <c r="I576" s="98">
        <v>411</v>
      </c>
      <c r="J576" s="98" t="s">
        <v>1966</v>
      </c>
      <c r="K576" s="98" t="s">
        <v>1039</v>
      </c>
      <c r="L576" s="105" t="str">
        <f t="shared" si="100"/>
        <v>Brown</v>
      </c>
      <c r="M576" s="105" t="str">
        <f t="shared" si="101"/>
        <v>Derate</v>
      </c>
      <c r="N576" s="105" t="str">
        <f t="shared" si="102"/>
        <v>Coal</v>
      </c>
      <c r="O576" s="105">
        <f>IFERROR(VLOOKUP(A576,Lookup!$J$5:$P$19,7,FALSE),0)</f>
        <v>3</v>
      </c>
      <c r="P576" s="159">
        <f t="shared" si="103"/>
        <v>2014</v>
      </c>
      <c r="Q576" s="159">
        <f t="shared" si="104"/>
        <v>3</v>
      </c>
      <c r="R576" s="160">
        <f t="shared" si="105"/>
        <v>1.7500000001164153</v>
      </c>
      <c r="S576" s="158">
        <f t="shared" si="106"/>
        <v>0.40679824564109657</v>
      </c>
      <c r="T576" s="161">
        <f t="shared" si="107"/>
        <v>167.19407895849068</v>
      </c>
      <c r="U576" s="158">
        <f t="shared" si="109"/>
        <v>95.53947368421052</v>
      </c>
      <c r="V576" s="160">
        <f t="shared" si="108"/>
        <v>96</v>
      </c>
    </row>
    <row r="577" spans="1:22" x14ac:dyDescent="0.25">
      <c r="A577" s="98" t="s">
        <v>28</v>
      </c>
      <c r="B577" s="98" t="s">
        <v>79</v>
      </c>
      <c r="C577" s="98">
        <v>15</v>
      </c>
      <c r="D577" s="98">
        <v>9656</v>
      </c>
      <c r="E577" s="157">
        <v>41709.65</v>
      </c>
      <c r="F577" s="157">
        <v>41709.672222222223</v>
      </c>
      <c r="G577" s="98">
        <v>0</v>
      </c>
      <c r="H577" s="98">
        <v>456</v>
      </c>
      <c r="I577" s="98">
        <v>411</v>
      </c>
      <c r="J577" s="98" t="s">
        <v>299</v>
      </c>
      <c r="K577" s="98" t="s">
        <v>82</v>
      </c>
      <c r="L577" s="105" t="str">
        <f t="shared" si="100"/>
        <v>Brown</v>
      </c>
      <c r="M577" s="105" t="str">
        <f t="shared" si="101"/>
        <v>Other</v>
      </c>
      <c r="N577" s="105" t="str">
        <f t="shared" si="102"/>
        <v>Coal</v>
      </c>
      <c r="O577" s="105">
        <f>IFERROR(VLOOKUP(A577,Lookup!$J$5:$P$19,7,FALSE),0)</f>
        <v>3</v>
      </c>
      <c r="P577" s="159">
        <f t="shared" si="103"/>
        <v>2014</v>
      </c>
      <c r="Q577" s="159">
        <f t="shared" si="104"/>
        <v>3</v>
      </c>
      <c r="R577" s="160">
        <f t="shared" si="105"/>
        <v>0.53333333332557231</v>
      </c>
      <c r="S577" s="158">
        <f t="shared" si="106"/>
        <v>0.53333333332557231</v>
      </c>
      <c r="T577" s="161">
        <f t="shared" si="107"/>
        <v>219.19999999681022</v>
      </c>
      <c r="U577" s="158">
        <f t="shared" si="109"/>
        <v>411</v>
      </c>
      <c r="V577" s="160">
        <f t="shared" si="108"/>
        <v>411</v>
      </c>
    </row>
    <row r="578" spans="1:22" x14ac:dyDescent="0.25">
      <c r="A578" s="98" t="s">
        <v>28</v>
      </c>
      <c r="B578" s="98" t="s">
        <v>79</v>
      </c>
      <c r="C578" s="98">
        <v>16</v>
      </c>
      <c r="D578" s="98">
        <v>9656</v>
      </c>
      <c r="E578" s="157">
        <v>41710.364583333336</v>
      </c>
      <c r="F578" s="157">
        <v>41710.859722222223</v>
      </c>
      <c r="G578" s="98">
        <v>0</v>
      </c>
      <c r="H578" s="98">
        <v>456</v>
      </c>
      <c r="I578" s="98">
        <v>411</v>
      </c>
      <c r="J578" s="98" t="s">
        <v>299</v>
      </c>
      <c r="K578" s="98" t="s">
        <v>1040</v>
      </c>
      <c r="L578" s="105" t="str">
        <f t="shared" si="100"/>
        <v>Brown</v>
      </c>
      <c r="M578" s="105" t="str">
        <f t="shared" si="101"/>
        <v>Other</v>
      </c>
      <c r="N578" s="105" t="str">
        <f t="shared" si="102"/>
        <v>Coal</v>
      </c>
      <c r="O578" s="105">
        <f>IFERROR(VLOOKUP(A578,Lookup!$J$5:$P$19,7,FALSE),0)</f>
        <v>3</v>
      </c>
      <c r="P578" s="159">
        <f t="shared" si="103"/>
        <v>2014</v>
      </c>
      <c r="Q578" s="159">
        <f t="shared" si="104"/>
        <v>3</v>
      </c>
      <c r="R578" s="160">
        <f t="shared" si="105"/>
        <v>11.883333333302289</v>
      </c>
      <c r="S578" s="158">
        <f t="shared" si="106"/>
        <v>11.883333333302289</v>
      </c>
      <c r="T578" s="161">
        <f t="shared" si="107"/>
        <v>4884.0499999872409</v>
      </c>
      <c r="U578" s="158">
        <f t="shared" si="109"/>
        <v>411</v>
      </c>
      <c r="V578" s="160">
        <f t="shared" si="108"/>
        <v>411</v>
      </c>
    </row>
    <row r="579" spans="1:22" x14ac:dyDescent="0.25">
      <c r="A579" s="98" t="s">
        <v>28</v>
      </c>
      <c r="B579" s="98" t="s">
        <v>79</v>
      </c>
      <c r="C579" s="98">
        <v>17</v>
      </c>
      <c r="D579" s="98">
        <v>9656</v>
      </c>
      <c r="E579" s="157">
        <v>41711.520833333336</v>
      </c>
      <c r="F579" s="157">
        <v>41711.708333333336</v>
      </c>
      <c r="G579" s="98">
        <v>0</v>
      </c>
      <c r="H579" s="98">
        <v>456</v>
      </c>
      <c r="I579" s="98">
        <v>411</v>
      </c>
      <c r="J579" s="98" t="s">
        <v>299</v>
      </c>
      <c r="K579" s="98" t="s">
        <v>1040</v>
      </c>
      <c r="L579" s="105" t="str">
        <f t="shared" si="100"/>
        <v>Brown</v>
      </c>
      <c r="M579" s="105" t="str">
        <f t="shared" si="101"/>
        <v>Other</v>
      </c>
      <c r="N579" s="105" t="str">
        <f t="shared" si="102"/>
        <v>Coal</v>
      </c>
      <c r="O579" s="105">
        <f>IFERROR(VLOOKUP(A579,Lookup!$J$5:$P$19,7,FALSE),0)</f>
        <v>3</v>
      </c>
      <c r="P579" s="159">
        <f t="shared" si="103"/>
        <v>2014</v>
      </c>
      <c r="Q579" s="159">
        <f t="shared" si="104"/>
        <v>3</v>
      </c>
      <c r="R579" s="160">
        <f t="shared" si="105"/>
        <v>4.5</v>
      </c>
      <c r="S579" s="158">
        <f t="shared" si="106"/>
        <v>4.5</v>
      </c>
      <c r="T579" s="161">
        <f t="shared" si="107"/>
        <v>1849.5</v>
      </c>
      <c r="U579" s="158">
        <f t="shared" si="109"/>
        <v>411</v>
      </c>
      <c r="V579" s="160">
        <f t="shared" si="108"/>
        <v>411</v>
      </c>
    </row>
    <row r="580" spans="1:22" x14ac:dyDescent="0.25">
      <c r="A580" s="98" t="s">
        <v>28</v>
      </c>
      <c r="B580" s="98" t="s">
        <v>17</v>
      </c>
      <c r="C580" s="98">
        <v>18</v>
      </c>
      <c r="D580" s="98">
        <v>740</v>
      </c>
      <c r="E580" s="157">
        <v>41715.59375</v>
      </c>
      <c r="F580" s="157">
        <v>41716</v>
      </c>
      <c r="G580" s="98">
        <v>430</v>
      </c>
      <c r="H580" s="98">
        <v>456</v>
      </c>
      <c r="I580" s="98">
        <v>411</v>
      </c>
      <c r="J580" s="98" t="s">
        <v>2176</v>
      </c>
      <c r="K580" s="98" t="s">
        <v>233</v>
      </c>
      <c r="L580" s="105" t="str">
        <f t="shared" si="100"/>
        <v>Brown</v>
      </c>
      <c r="M580" s="105" t="str">
        <f t="shared" si="101"/>
        <v>Derate</v>
      </c>
      <c r="N580" s="105" t="str">
        <f t="shared" si="102"/>
        <v>Coal</v>
      </c>
      <c r="O580" s="105">
        <f>IFERROR(VLOOKUP(A580,Lookup!$J$5:$P$19,7,FALSE),0)</f>
        <v>3</v>
      </c>
      <c r="P580" s="159">
        <f t="shared" si="103"/>
        <v>2014</v>
      </c>
      <c r="Q580" s="159">
        <f t="shared" si="104"/>
        <v>3</v>
      </c>
      <c r="R580" s="160">
        <f t="shared" si="105"/>
        <v>9.75</v>
      </c>
      <c r="S580" s="158">
        <f t="shared" si="106"/>
        <v>0.55592105263157898</v>
      </c>
      <c r="T580" s="161">
        <f t="shared" si="107"/>
        <v>228.48355263157896</v>
      </c>
      <c r="U580" s="158">
        <f t="shared" si="109"/>
        <v>23.434210526315791</v>
      </c>
      <c r="V580" s="160">
        <f t="shared" si="108"/>
        <v>23</v>
      </c>
    </row>
    <row r="581" spans="1:22" x14ac:dyDescent="0.25">
      <c r="A581" s="98" t="s">
        <v>28</v>
      </c>
      <c r="B581" s="98" t="s">
        <v>17</v>
      </c>
      <c r="C581" s="98">
        <v>19</v>
      </c>
      <c r="D581" s="98">
        <v>740</v>
      </c>
      <c r="E581" s="157">
        <v>41717.425694444442</v>
      </c>
      <c r="F581" s="157">
        <v>41717.438888888886</v>
      </c>
      <c r="G581" s="98">
        <v>57</v>
      </c>
      <c r="H581" s="98">
        <v>456</v>
      </c>
      <c r="I581" s="98">
        <v>411</v>
      </c>
      <c r="J581" s="98" t="s">
        <v>2176</v>
      </c>
      <c r="K581" s="98" t="s">
        <v>1041</v>
      </c>
      <c r="L581" s="105" t="str">
        <f t="shared" si="100"/>
        <v>Brown</v>
      </c>
      <c r="M581" s="105" t="str">
        <f t="shared" si="101"/>
        <v>Derate</v>
      </c>
      <c r="N581" s="105" t="str">
        <f t="shared" si="102"/>
        <v>Coal</v>
      </c>
      <c r="O581" s="105">
        <f>IFERROR(VLOOKUP(A581,Lookup!$J$5:$P$19,7,FALSE),0)</f>
        <v>3</v>
      </c>
      <c r="P581" s="159">
        <f t="shared" si="103"/>
        <v>2014</v>
      </c>
      <c r="Q581" s="159">
        <f t="shared" si="104"/>
        <v>3</v>
      </c>
      <c r="R581" s="160">
        <f t="shared" si="105"/>
        <v>0.31666666665114462</v>
      </c>
      <c r="S581" s="158">
        <f t="shared" si="106"/>
        <v>0.27708333331975155</v>
      </c>
      <c r="T581" s="161">
        <f t="shared" si="107"/>
        <v>113.88124999441789</v>
      </c>
      <c r="U581" s="158">
        <f t="shared" si="109"/>
        <v>359.625</v>
      </c>
      <c r="V581" s="160">
        <f t="shared" si="108"/>
        <v>360</v>
      </c>
    </row>
    <row r="582" spans="1:22" x14ac:dyDescent="0.25">
      <c r="A582" s="98" t="s">
        <v>28</v>
      </c>
      <c r="B582" s="98" t="s">
        <v>15</v>
      </c>
      <c r="C582" s="98">
        <v>20</v>
      </c>
      <c r="D582" s="98">
        <v>740</v>
      </c>
      <c r="E582" s="157">
        <v>41717.438888888886</v>
      </c>
      <c r="F582" s="157">
        <v>41717.520138888889</v>
      </c>
      <c r="G582" s="98">
        <v>0</v>
      </c>
      <c r="H582" s="98">
        <v>456</v>
      </c>
      <c r="I582" s="98">
        <v>411</v>
      </c>
      <c r="J582" s="98" t="s">
        <v>2176</v>
      </c>
      <c r="K582" s="98" t="s">
        <v>1041</v>
      </c>
      <c r="L582" s="105" t="str">
        <f t="shared" si="100"/>
        <v>Brown</v>
      </c>
      <c r="M582" s="105" t="str">
        <f t="shared" si="101"/>
        <v>Outage</v>
      </c>
      <c r="N582" s="105" t="str">
        <f t="shared" si="102"/>
        <v>Coal</v>
      </c>
      <c r="O582" s="105">
        <f>IFERROR(VLOOKUP(A582,Lookup!$J$5:$P$19,7,FALSE),0)</f>
        <v>3</v>
      </c>
      <c r="P582" s="159">
        <f t="shared" si="103"/>
        <v>2014</v>
      </c>
      <c r="Q582" s="159">
        <f t="shared" si="104"/>
        <v>3</v>
      </c>
      <c r="R582" s="160">
        <f t="shared" si="105"/>
        <v>1.9500000000698492</v>
      </c>
      <c r="S582" s="158">
        <f t="shared" si="106"/>
        <v>1.9500000000698492</v>
      </c>
      <c r="T582" s="161">
        <f t="shared" si="107"/>
        <v>801.45000002870802</v>
      </c>
      <c r="U582" s="158">
        <f t="shared" si="109"/>
        <v>411</v>
      </c>
      <c r="V582" s="160">
        <f t="shared" si="108"/>
        <v>411</v>
      </c>
    </row>
    <row r="583" spans="1:22" x14ac:dyDescent="0.25">
      <c r="A583" s="98" t="s">
        <v>28</v>
      </c>
      <c r="B583" s="98" t="s">
        <v>17</v>
      </c>
      <c r="C583" s="98">
        <v>21</v>
      </c>
      <c r="D583" s="98">
        <v>310</v>
      </c>
      <c r="E583" s="157">
        <v>41717.907638888886</v>
      </c>
      <c r="F583" s="157">
        <v>41717.961111111108</v>
      </c>
      <c r="G583" s="98">
        <v>350</v>
      </c>
      <c r="H583" s="98">
        <v>456</v>
      </c>
      <c r="I583" s="98">
        <v>411</v>
      </c>
      <c r="J583" s="98" t="s">
        <v>1966</v>
      </c>
      <c r="K583" s="98" t="s">
        <v>1042</v>
      </c>
      <c r="L583" s="105" t="str">
        <f t="shared" si="100"/>
        <v>Brown</v>
      </c>
      <c r="M583" s="105" t="str">
        <f t="shared" si="101"/>
        <v>Derate</v>
      </c>
      <c r="N583" s="105" t="str">
        <f t="shared" si="102"/>
        <v>Coal</v>
      </c>
      <c r="O583" s="105">
        <f>IFERROR(VLOOKUP(A583,Lookup!$J$5:$P$19,7,FALSE),0)</f>
        <v>3</v>
      </c>
      <c r="P583" s="159">
        <f t="shared" si="103"/>
        <v>2014</v>
      </c>
      <c r="Q583" s="159">
        <f t="shared" si="104"/>
        <v>3</v>
      </c>
      <c r="R583" s="160">
        <f t="shared" si="105"/>
        <v>1.2833333333255723</v>
      </c>
      <c r="S583" s="158">
        <f t="shared" si="106"/>
        <v>0.29831871344848832</v>
      </c>
      <c r="T583" s="161">
        <f t="shared" si="107"/>
        <v>122.6089912273287</v>
      </c>
      <c r="U583" s="158">
        <f t="shared" si="109"/>
        <v>95.53947368421052</v>
      </c>
      <c r="V583" s="160">
        <f t="shared" si="108"/>
        <v>96</v>
      </c>
    </row>
    <row r="584" spans="1:22" x14ac:dyDescent="0.25">
      <c r="A584" s="98" t="s">
        <v>28</v>
      </c>
      <c r="B584" s="98" t="s">
        <v>15</v>
      </c>
      <c r="C584" s="98">
        <v>22</v>
      </c>
      <c r="D584" s="98">
        <v>310</v>
      </c>
      <c r="E584" s="157">
        <v>41717.961111111108</v>
      </c>
      <c r="F584" s="157">
        <v>41719.253472222219</v>
      </c>
      <c r="G584" s="98">
        <v>0</v>
      </c>
      <c r="H584" s="98">
        <v>456</v>
      </c>
      <c r="I584" s="98">
        <v>411</v>
      </c>
      <c r="J584" s="98" t="s">
        <v>1966</v>
      </c>
      <c r="K584" s="98" t="s">
        <v>1043</v>
      </c>
      <c r="L584" s="105" t="str">
        <f t="shared" si="100"/>
        <v>Brown</v>
      </c>
      <c r="M584" s="105" t="str">
        <f t="shared" si="101"/>
        <v>Outage</v>
      </c>
      <c r="N584" s="105" t="str">
        <f t="shared" si="102"/>
        <v>Coal</v>
      </c>
      <c r="O584" s="105">
        <f>IFERROR(VLOOKUP(A584,Lookup!$J$5:$P$19,7,FALSE),0)</f>
        <v>3</v>
      </c>
      <c r="P584" s="159">
        <f t="shared" si="103"/>
        <v>2014</v>
      </c>
      <c r="Q584" s="159">
        <f t="shared" si="104"/>
        <v>3</v>
      </c>
      <c r="R584" s="160">
        <f t="shared" si="105"/>
        <v>31.016666666662786</v>
      </c>
      <c r="S584" s="158">
        <f t="shared" si="106"/>
        <v>31.016666666662786</v>
      </c>
      <c r="T584" s="161">
        <f t="shared" si="107"/>
        <v>12747.849999998405</v>
      </c>
      <c r="U584" s="158">
        <f t="shared" si="109"/>
        <v>411</v>
      </c>
      <c r="V584" s="160">
        <f t="shared" si="108"/>
        <v>411</v>
      </c>
    </row>
    <row r="585" spans="1:22" x14ac:dyDescent="0.25">
      <c r="A585" s="98" t="s">
        <v>28</v>
      </c>
      <c r="B585" s="98" t="s">
        <v>17</v>
      </c>
      <c r="C585" s="98">
        <v>23</v>
      </c>
      <c r="D585" s="98">
        <v>310</v>
      </c>
      <c r="E585" s="157">
        <v>41719.472222222219</v>
      </c>
      <c r="F585" s="157">
        <v>41719.686111111114</v>
      </c>
      <c r="G585" s="98">
        <v>340</v>
      </c>
      <c r="H585" s="98">
        <v>456</v>
      </c>
      <c r="I585" s="98">
        <v>411</v>
      </c>
      <c r="J585" s="98" t="s">
        <v>1966</v>
      </c>
      <c r="K585" s="98" t="s">
        <v>1044</v>
      </c>
      <c r="L585" s="105" t="str">
        <f t="shared" si="100"/>
        <v>Brown</v>
      </c>
      <c r="M585" s="105" t="str">
        <f t="shared" si="101"/>
        <v>Derate</v>
      </c>
      <c r="N585" s="105" t="str">
        <f t="shared" si="102"/>
        <v>Coal</v>
      </c>
      <c r="O585" s="105">
        <f>IFERROR(VLOOKUP(A585,Lookup!$J$5:$P$19,7,FALSE),0)</f>
        <v>3</v>
      </c>
      <c r="P585" s="159">
        <f t="shared" si="103"/>
        <v>2014</v>
      </c>
      <c r="Q585" s="159">
        <f t="shared" si="104"/>
        <v>3</v>
      </c>
      <c r="R585" s="160">
        <f t="shared" si="105"/>
        <v>5.1333333334769122</v>
      </c>
      <c r="S585" s="158">
        <f t="shared" si="106"/>
        <v>1.3058479532528988</v>
      </c>
      <c r="T585" s="161">
        <f t="shared" si="107"/>
        <v>536.70350878694137</v>
      </c>
      <c r="U585" s="158">
        <f t="shared" si="109"/>
        <v>104.55263157894737</v>
      </c>
      <c r="V585" s="160">
        <f t="shared" si="108"/>
        <v>105</v>
      </c>
    </row>
    <row r="586" spans="1:22" x14ac:dyDescent="0.25">
      <c r="A586" s="98" t="s">
        <v>28</v>
      </c>
      <c r="B586" s="98" t="s">
        <v>17</v>
      </c>
      <c r="C586" s="98">
        <v>24</v>
      </c>
      <c r="D586" s="98">
        <v>310</v>
      </c>
      <c r="E586" s="157">
        <v>41719.686111111114</v>
      </c>
      <c r="F586" s="157">
        <v>41722.4375</v>
      </c>
      <c r="G586" s="98">
        <v>420</v>
      </c>
      <c r="H586" s="98">
        <v>456</v>
      </c>
      <c r="I586" s="98">
        <v>411</v>
      </c>
      <c r="J586" s="98" t="s">
        <v>1966</v>
      </c>
      <c r="K586" s="98" t="s">
        <v>1045</v>
      </c>
      <c r="L586" s="105" t="str">
        <f t="shared" si="100"/>
        <v>Brown</v>
      </c>
      <c r="M586" s="105" t="str">
        <f t="shared" si="101"/>
        <v>Derate</v>
      </c>
      <c r="N586" s="105" t="str">
        <f t="shared" si="102"/>
        <v>Coal</v>
      </c>
      <c r="O586" s="105">
        <f>IFERROR(VLOOKUP(A586,Lookup!$J$5:$P$19,7,FALSE),0)</f>
        <v>3</v>
      </c>
      <c r="P586" s="159">
        <f t="shared" si="103"/>
        <v>2014</v>
      </c>
      <c r="Q586" s="159">
        <f t="shared" si="104"/>
        <v>3</v>
      </c>
      <c r="R586" s="160">
        <f t="shared" si="105"/>
        <v>66.033333333267365</v>
      </c>
      <c r="S586" s="158">
        <f t="shared" si="106"/>
        <v>5.2131578947316344</v>
      </c>
      <c r="T586" s="161">
        <f t="shared" si="107"/>
        <v>2142.6078947347019</v>
      </c>
      <c r="U586" s="158">
        <f t="shared" si="109"/>
        <v>32.44736842105263</v>
      </c>
      <c r="V586" s="160">
        <f t="shared" si="108"/>
        <v>32</v>
      </c>
    </row>
    <row r="587" spans="1:22" x14ac:dyDescent="0.25">
      <c r="A587" s="98" t="s">
        <v>28</v>
      </c>
      <c r="B587" s="98" t="s">
        <v>17</v>
      </c>
      <c r="C587" s="98">
        <v>25</v>
      </c>
      <c r="D587" s="98">
        <v>310</v>
      </c>
      <c r="E587" s="157">
        <v>41722.4375</v>
      </c>
      <c r="F587" s="157">
        <v>41722.446527777778</v>
      </c>
      <c r="G587" s="98">
        <v>335</v>
      </c>
      <c r="H587" s="98">
        <v>456</v>
      </c>
      <c r="I587" s="98">
        <v>411</v>
      </c>
      <c r="J587" s="98" t="s">
        <v>1966</v>
      </c>
      <c r="K587" s="98" t="s">
        <v>1046</v>
      </c>
      <c r="L587" s="105" t="str">
        <f t="shared" si="100"/>
        <v>Brown</v>
      </c>
      <c r="M587" s="105" t="str">
        <f t="shared" si="101"/>
        <v>Derate</v>
      </c>
      <c r="N587" s="105" t="str">
        <f t="shared" si="102"/>
        <v>Coal</v>
      </c>
      <c r="O587" s="105">
        <f>IFERROR(VLOOKUP(A587,Lookup!$J$5:$P$19,7,FALSE),0)</f>
        <v>3</v>
      </c>
      <c r="P587" s="159">
        <f t="shared" si="103"/>
        <v>2014</v>
      </c>
      <c r="Q587" s="159">
        <f t="shared" si="104"/>
        <v>3</v>
      </c>
      <c r="R587" s="160">
        <f t="shared" si="105"/>
        <v>0.21666666667442769</v>
      </c>
      <c r="S587" s="158">
        <f t="shared" si="106"/>
        <v>5.7492690060538927E-2</v>
      </c>
      <c r="T587" s="161">
        <f t="shared" si="107"/>
        <v>23.629495614881499</v>
      </c>
      <c r="U587" s="158">
        <f t="shared" si="109"/>
        <v>109.05921052631579</v>
      </c>
      <c r="V587" s="160">
        <f t="shared" si="108"/>
        <v>109</v>
      </c>
    </row>
    <row r="588" spans="1:22" x14ac:dyDescent="0.25">
      <c r="A588" s="98" t="s">
        <v>28</v>
      </c>
      <c r="B588" s="98" t="s">
        <v>17</v>
      </c>
      <c r="C588" s="98">
        <v>26</v>
      </c>
      <c r="D588" s="98">
        <v>310</v>
      </c>
      <c r="E588" s="157">
        <v>41722.446527777778</v>
      </c>
      <c r="F588" s="157">
        <v>41723.294444444444</v>
      </c>
      <c r="G588" s="98">
        <v>420</v>
      </c>
      <c r="H588" s="98">
        <v>456</v>
      </c>
      <c r="I588" s="98">
        <v>411</v>
      </c>
      <c r="J588" s="98" t="s">
        <v>1966</v>
      </c>
      <c r="K588" s="98" t="s">
        <v>1045</v>
      </c>
      <c r="L588" s="105" t="str">
        <f t="shared" si="100"/>
        <v>Brown</v>
      </c>
      <c r="M588" s="105" t="str">
        <f t="shared" si="101"/>
        <v>Derate</v>
      </c>
      <c r="N588" s="105" t="str">
        <f t="shared" si="102"/>
        <v>Coal</v>
      </c>
      <c r="O588" s="105">
        <f>IFERROR(VLOOKUP(A588,Lookup!$J$5:$P$19,7,FALSE),0)</f>
        <v>3</v>
      </c>
      <c r="P588" s="159">
        <f t="shared" si="103"/>
        <v>2014</v>
      </c>
      <c r="Q588" s="159">
        <f t="shared" si="104"/>
        <v>3</v>
      </c>
      <c r="R588" s="160">
        <f t="shared" si="105"/>
        <v>20.349999999976717</v>
      </c>
      <c r="S588" s="158">
        <f t="shared" si="106"/>
        <v>1.606578947366583</v>
      </c>
      <c r="T588" s="161">
        <f t="shared" si="107"/>
        <v>660.30394736766561</v>
      </c>
      <c r="U588" s="158">
        <f t="shared" si="109"/>
        <v>32.44736842105263</v>
      </c>
      <c r="V588" s="160">
        <f t="shared" si="108"/>
        <v>32</v>
      </c>
    </row>
    <row r="589" spans="1:22" x14ac:dyDescent="0.25">
      <c r="A589" s="98" t="s">
        <v>28</v>
      </c>
      <c r="B589" s="98" t="s">
        <v>17</v>
      </c>
      <c r="C589" s="98">
        <v>27</v>
      </c>
      <c r="D589" s="98">
        <v>350</v>
      </c>
      <c r="E589" s="157">
        <v>41723.294444444444</v>
      </c>
      <c r="F589" s="157">
        <v>41723.458333333336</v>
      </c>
      <c r="G589" s="98">
        <v>335</v>
      </c>
      <c r="H589" s="98">
        <v>456</v>
      </c>
      <c r="I589" s="98">
        <v>411</v>
      </c>
      <c r="J589" s="98" t="s">
        <v>1976</v>
      </c>
      <c r="K589" s="98" t="s">
        <v>1047</v>
      </c>
      <c r="L589" s="105" t="str">
        <f t="shared" si="100"/>
        <v>Brown</v>
      </c>
      <c r="M589" s="105" t="str">
        <f t="shared" si="101"/>
        <v>Derate</v>
      </c>
      <c r="N589" s="105" t="str">
        <f t="shared" si="102"/>
        <v>Coal</v>
      </c>
      <c r="O589" s="105">
        <f>IFERROR(VLOOKUP(A589,Lookup!$J$5:$P$19,7,FALSE),0)</f>
        <v>3</v>
      </c>
      <c r="P589" s="159">
        <f t="shared" si="103"/>
        <v>2014</v>
      </c>
      <c r="Q589" s="159">
        <f t="shared" si="104"/>
        <v>3</v>
      </c>
      <c r="R589" s="160">
        <f t="shared" si="105"/>
        <v>3.933333333407063</v>
      </c>
      <c r="S589" s="158">
        <f t="shared" si="106"/>
        <v>1.0437134503119618</v>
      </c>
      <c r="T589" s="161">
        <f t="shared" si="107"/>
        <v>428.96622807821632</v>
      </c>
      <c r="U589" s="158">
        <f t="shared" si="109"/>
        <v>109.05921052631579</v>
      </c>
      <c r="V589" s="160">
        <f t="shared" si="108"/>
        <v>109</v>
      </c>
    </row>
    <row r="590" spans="1:22" x14ac:dyDescent="0.25">
      <c r="A590" s="98" t="s">
        <v>28</v>
      </c>
      <c r="B590" s="98" t="s">
        <v>17</v>
      </c>
      <c r="C590" s="98">
        <v>28</v>
      </c>
      <c r="D590" s="98">
        <v>350</v>
      </c>
      <c r="E590" s="157">
        <v>41723.458333333336</v>
      </c>
      <c r="F590" s="157">
        <v>41723.504166666666</v>
      </c>
      <c r="G590" s="98">
        <v>345</v>
      </c>
      <c r="H590" s="98">
        <v>456</v>
      </c>
      <c r="I590" s="98">
        <v>411</v>
      </c>
      <c r="J590" s="98" t="s">
        <v>1976</v>
      </c>
      <c r="K590" s="98" t="s">
        <v>1047</v>
      </c>
      <c r="L590" s="105" t="str">
        <f t="shared" si="100"/>
        <v>Brown</v>
      </c>
      <c r="M590" s="105" t="str">
        <f t="shared" si="101"/>
        <v>Derate</v>
      </c>
      <c r="N590" s="105" t="str">
        <f t="shared" si="102"/>
        <v>Coal</v>
      </c>
      <c r="O590" s="105">
        <f>IFERROR(VLOOKUP(A590,Lookup!$J$5:$P$19,7,FALSE),0)</f>
        <v>3</v>
      </c>
      <c r="P590" s="159">
        <f t="shared" si="103"/>
        <v>2014</v>
      </c>
      <c r="Q590" s="159">
        <f t="shared" si="104"/>
        <v>3</v>
      </c>
      <c r="R590" s="160">
        <f t="shared" si="105"/>
        <v>1.0999999999185093</v>
      </c>
      <c r="S590" s="158">
        <f t="shared" si="106"/>
        <v>0.26776315787490029</v>
      </c>
      <c r="T590" s="161">
        <f t="shared" si="107"/>
        <v>110.05065788658402</v>
      </c>
      <c r="U590" s="158">
        <f t="shared" si="109"/>
        <v>100.04605263157895</v>
      </c>
      <c r="V590" s="160">
        <f t="shared" si="108"/>
        <v>100</v>
      </c>
    </row>
    <row r="591" spans="1:22" x14ac:dyDescent="0.25">
      <c r="A591" s="98" t="s">
        <v>28</v>
      </c>
      <c r="B591" s="98" t="s">
        <v>17</v>
      </c>
      <c r="C591" s="98">
        <v>29</v>
      </c>
      <c r="D591" s="98">
        <v>310</v>
      </c>
      <c r="E591" s="157">
        <v>41723.504166666666</v>
      </c>
      <c r="F591" s="157">
        <v>41726.981249999997</v>
      </c>
      <c r="G591" s="98">
        <v>420</v>
      </c>
      <c r="H591" s="98">
        <v>456</v>
      </c>
      <c r="I591" s="98">
        <v>411</v>
      </c>
      <c r="J591" s="98" t="s">
        <v>1966</v>
      </c>
      <c r="K591" s="98" t="s">
        <v>1045</v>
      </c>
      <c r="L591" s="105" t="str">
        <f t="shared" si="100"/>
        <v>Brown</v>
      </c>
      <c r="M591" s="105" t="str">
        <f t="shared" si="101"/>
        <v>Derate</v>
      </c>
      <c r="N591" s="105" t="str">
        <f t="shared" si="102"/>
        <v>Coal</v>
      </c>
      <c r="O591" s="105">
        <f>IFERROR(VLOOKUP(A591,Lookup!$J$5:$P$19,7,FALSE),0)</f>
        <v>3</v>
      </c>
      <c r="P591" s="159">
        <f t="shared" si="103"/>
        <v>2014</v>
      </c>
      <c r="Q591" s="159">
        <f t="shared" si="104"/>
        <v>3</v>
      </c>
      <c r="R591" s="160">
        <f t="shared" si="105"/>
        <v>83.449999999953434</v>
      </c>
      <c r="S591" s="158">
        <f t="shared" si="106"/>
        <v>6.5881578947331656</v>
      </c>
      <c r="T591" s="161">
        <f t="shared" si="107"/>
        <v>2707.7328947353312</v>
      </c>
      <c r="U591" s="158">
        <f t="shared" si="109"/>
        <v>32.44736842105263</v>
      </c>
      <c r="V591" s="160">
        <f t="shared" si="108"/>
        <v>32</v>
      </c>
    </row>
    <row r="592" spans="1:22" x14ac:dyDescent="0.25">
      <c r="A592" s="98" t="s">
        <v>28</v>
      </c>
      <c r="B592" s="98" t="s">
        <v>38</v>
      </c>
      <c r="C592" s="98">
        <v>30</v>
      </c>
      <c r="D592" s="98">
        <v>1801</v>
      </c>
      <c r="E592" s="157">
        <v>41726.981249999997</v>
      </c>
      <c r="F592" s="157">
        <v>41757.770833333336</v>
      </c>
      <c r="G592" s="98">
        <v>0</v>
      </c>
      <c r="H592" s="98">
        <v>456</v>
      </c>
      <c r="I592" s="98">
        <v>411</v>
      </c>
      <c r="J592" s="98" t="s">
        <v>2021</v>
      </c>
      <c r="K592" s="98" t="s">
        <v>1048</v>
      </c>
      <c r="L592" s="105" t="str">
        <f t="shared" si="100"/>
        <v>Brown</v>
      </c>
      <c r="M592" s="105" t="str">
        <f t="shared" si="101"/>
        <v>Other</v>
      </c>
      <c r="N592" s="105" t="str">
        <f t="shared" si="102"/>
        <v>Coal</v>
      </c>
      <c r="O592" s="105">
        <f>IFERROR(VLOOKUP(A592,Lookup!$J$5:$P$19,7,FALSE),0)</f>
        <v>3</v>
      </c>
      <c r="P592" s="159">
        <f t="shared" si="103"/>
        <v>2014</v>
      </c>
      <c r="Q592" s="159">
        <f t="shared" si="104"/>
        <v>3</v>
      </c>
      <c r="R592" s="160">
        <f t="shared" si="105"/>
        <v>738.95000000012806</v>
      </c>
      <c r="S592" s="158">
        <f t="shared" si="106"/>
        <v>738.95000000012806</v>
      </c>
      <c r="T592" s="161">
        <f t="shared" si="107"/>
        <v>303708.45000005263</v>
      </c>
      <c r="U592" s="158">
        <f t="shared" si="109"/>
        <v>411</v>
      </c>
      <c r="V592" s="160">
        <f t="shared" si="108"/>
        <v>411</v>
      </c>
    </row>
    <row r="593" spans="1:22" x14ac:dyDescent="0.25">
      <c r="A593" s="98" t="s">
        <v>28</v>
      </c>
      <c r="B593" s="98" t="s">
        <v>18</v>
      </c>
      <c r="C593" s="98">
        <v>31</v>
      </c>
      <c r="D593" s="98">
        <v>1000</v>
      </c>
      <c r="E593" s="157">
        <v>41757.770833333336</v>
      </c>
      <c r="F593" s="157">
        <v>41759.239583333336</v>
      </c>
      <c r="G593" s="98">
        <v>0</v>
      </c>
      <c r="H593" s="98">
        <v>456</v>
      </c>
      <c r="I593" s="98">
        <v>411</v>
      </c>
      <c r="J593" s="98" t="s">
        <v>2002</v>
      </c>
      <c r="K593" s="98" t="s">
        <v>1049</v>
      </c>
      <c r="L593" s="105" t="str">
        <f t="shared" si="100"/>
        <v>Brown</v>
      </c>
      <c r="M593" s="105" t="str">
        <f t="shared" si="101"/>
        <v>Outage</v>
      </c>
      <c r="N593" s="105" t="str">
        <f t="shared" si="102"/>
        <v>Coal</v>
      </c>
      <c r="O593" s="105">
        <f>IFERROR(VLOOKUP(A593,Lookup!$J$5:$P$19,7,FALSE),0)</f>
        <v>3</v>
      </c>
      <c r="P593" s="159">
        <f t="shared" si="103"/>
        <v>2014</v>
      </c>
      <c r="Q593" s="159">
        <f t="shared" si="104"/>
        <v>4</v>
      </c>
      <c r="R593" s="160">
        <f t="shared" si="105"/>
        <v>35.25</v>
      </c>
      <c r="S593" s="158">
        <f t="shared" si="106"/>
        <v>35.25</v>
      </c>
      <c r="T593" s="161">
        <f t="shared" si="107"/>
        <v>14487.75</v>
      </c>
      <c r="U593" s="158">
        <f t="shared" si="109"/>
        <v>411</v>
      </c>
      <c r="V593" s="160">
        <f t="shared" si="108"/>
        <v>411</v>
      </c>
    </row>
    <row r="594" spans="1:22" x14ac:dyDescent="0.25">
      <c r="A594" s="98" t="s">
        <v>28</v>
      </c>
      <c r="B594" s="98" t="s">
        <v>18</v>
      </c>
      <c r="C594" s="98">
        <v>32</v>
      </c>
      <c r="D594" s="98">
        <v>1090</v>
      </c>
      <c r="E594" s="157">
        <v>41759.239583333336</v>
      </c>
      <c r="F594" s="157">
        <v>41760.061111111114</v>
      </c>
      <c r="G594" s="98">
        <v>0</v>
      </c>
      <c r="H594" s="98">
        <v>456</v>
      </c>
      <c r="I594" s="98">
        <v>411</v>
      </c>
      <c r="J594" s="98" t="s">
        <v>2096</v>
      </c>
      <c r="K594" s="98" t="s">
        <v>1050</v>
      </c>
      <c r="L594" s="105" t="str">
        <f t="shared" ref="L594:L657" si="110">IF(OR(A594="BR1",A594="BR2",A594="BR3",A594="BR5",A594="BR6",A594="BR7",A594="BR8",A594="BR9",A594="BR10",A594="BR11"),"Brown",IF(OR(A594="CR4",A594="CR5",A594="CR6",A594="CR11"),"Cane Run",IF(OR(A594="GH1",A594="GH2",A594="GH3",A594="GH4"),"Ghent",IF(OR(A594="GR3",A594="GR4"),"Green River",IF(OR(A594="MC1",A594="MC2",A594="MC3",A594="MC4"),"Mill Creek",IF(OR(A594="TC1",A594="TC2",A594="TC5",A594="TC6",A594="TC7",A594="TC8",A594="TC9",A594="TC10"),"Trimble",IF(A594="TY3","Tyrone",IF(OR(A594="HA1",A594="HA2",A594="HA3"),"Haeflin",IF(OR(A594="PR11",A594="PR12",A594="PR13"),"Paddy's Run","Zorn")))))))))</f>
        <v>Brown</v>
      </c>
      <c r="M594" s="105" t="str">
        <f t="shared" ref="M594:M657" si="111">IF(OR(B594="D1",B594="D2",B594="D3",B594="D4",B594="PD"),"Derate",IF(OR(B594="SF",B594="U1",B594="U2",B594="U3"),"Outage",IF(OR(B594="ME",B594="MO"),"Maintenance","Other")))</f>
        <v>Outage</v>
      </c>
      <c r="N594" s="105" t="str">
        <f t="shared" ref="N594:N657" si="112">IF(OR(A594="BR1",A594="BR2",A594="BR3",A594="CR4",A594="CR5",A594="CR6",A594="GH1",A594="GH2",A594="GH3",A594="GH4",A594="GR3",A594="GR4",A594="MC1",A594="MC2",A594="MC3",A594="MC4",A594="TC1",A594="TC2",A594="TY3"),"Coal","Gas")</f>
        <v>Coal</v>
      </c>
      <c r="O594" s="105">
        <f>IFERROR(VLOOKUP(A594,Lookup!$J$5:$P$19,7,FALSE),0)</f>
        <v>3</v>
      </c>
      <c r="P594" s="159">
        <f t="shared" ref="P594:P657" si="113">YEAR(E594)</f>
        <v>2014</v>
      </c>
      <c r="Q594" s="159">
        <f t="shared" ref="Q594:Q657" si="114">MONTH(E594)</f>
        <v>4</v>
      </c>
      <c r="R594" s="160">
        <f t="shared" ref="R594:R657" si="115">(F594-E594)*24</f>
        <v>19.716666666674428</v>
      </c>
      <c r="S594" s="158">
        <f t="shared" ref="S594:S657" si="116">R594*(H594-G594)/H594</f>
        <v>19.716666666674428</v>
      </c>
      <c r="T594" s="161">
        <f t="shared" ref="T594:T657" si="117">S594*I594</f>
        <v>8103.5500000031898</v>
      </c>
      <c r="U594" s="158">
        <f t="shared" si="109"/>
        <v>411</v>
      </c>
      <c r="V594" s="160">
        <f t="shared" ref="V594:V657" si="118">ROUND(U594,0)</f>
        <v>411</v>
      </c>
    </row>
    <row r="595" spans="1:22" x14ac:dyDescent="0.25">
      <c r="A595" s="98" t="s">
        <v>28</v>
      </c>
      <c r="B595" s="98" t="s">
        <v>17</v>
      </c>
      <c r="C595" s="98">
        <v>33</v>
      </c>
      <c r="D595" s="98">
        <v>3352</v>
      </c>
      <c r="E595" s="157">
        <v>41760.413888888892</v>
      </c>
      <c r="F595" s="157">
        <v>41760.465277777781</v>
      </c>
      <c r="G595" s="98">
        <v>250</v>
      </c>
      <c r="H595" s="98">
        <v>456</v>
      </c>
      <c r="I595" s="98">
        <v>411</v>
      </c>
      <c r="J595" s="98" t="s">
        <v>2106</v>
      </c>
      <c r="K595" s="98" t="s">
        <v>1051</v>
      </c>
      <c r="L595" s="105" t="str">
        <f t="shared" si="110"/>
        <v>Brown</v>
      </c>
      <c r="M595" s="105" t="str">
        <f t="shared" si="111"/>
        <v>Derate</v>
      </c>
      <c r="N595" s="105" t="str">
        <f t="shared" si="112"/>
        <v>Coal</v>
      </c>
      <c r="O595" s="105">
        <f>IFERROR(VLOOKUP(A595,Lookup!$J$5:$P$19,7,FALSE),0)</f>
        <v>3</v>
      </c>
      <c r="P595" s="159">
        <f t="shared" si="113"/>
        <v>2014</v>
      </c>
      <c r="Q595" s="159">
        <f t="shared" si="114"/>
        <v>5</v>
      </c>
      <c r="R595" s="160">
        <f t="shared" si="115"/>
        <v>1.2333333333372138</v>
      </c>
      <c r="S595" s="158">
        <f t="shared" si="116"/>
        <v>0.55716374269181157</v>
      </c>
      <c r="T595" s="161">
        <f t="shared" si="117"/>
        <v>228.99429824633455</v>
      </c>
      <c r="U595" s="158">
        <f t="shared" ref="U595:U658" si="119">IF(G595&gt;0,MAX((H595-G595),0)*I595/H595,I595)</f>
        <v>185.67105263157896</v>
      </c>
      <c r="V595" s="160">
        <f t="shared" si="118"/>
        <v>186</v>
      </c>
    </row>
    <row r="596" spans="1:22" x14ac:dyDescent="0.25">
      <c r="A596" s="98" t="s">
        <v>28</v>
      </c>
      <c r="B596" s="98" t="s">
        <v>17</v>
      </c>
      <c r="C596" s="98">
        <v>34</v>
      </c>
      <c r="D596" s="98">
        <v>3352</v>
      </c>
      <c r="E596" s="157">
        <v>41760.465277777781</v>
      </c>
      <c r="F596" s="157">
        <v>41760.579861111109</v>
      </c>
      <c r="G596" s="98">
        <v>330</v>
      </c>
      <c r="H596" s="98">
        <v>456</v>
      </c>
      <c r="I596" s="98">
        <v>411</v>
      </c>
      <c r="J596" s="98" t="s">
        <v>2106</v>
      </c>
      <c r="K596" s="98" t="s">
        <v>1051</v>
      </c>
      <c r="L596" s="105" t="str">
        <f t="shared" si="110"/>
        <v>Brown</v>
      </c>
      <c r="M596" s="105" t="str">
        <f t="shared" si="111"/>
        <v>Derate</v>
      </c>
      <c r="N596" s="105" t="str">
        <f t="shared" si="112"/>
        <v>Coal</v>
      </c>
      <c r="O596" s="105">
        <f>IFERROR(VLOOKUP(A596,Lookup!$J$5:$P$19,7,FALSE),0)</f>
        <v>3</v>
      </c>
      <c r="P596" s="159">
        <f t="shared" si="113"/>
        <v>2014</v>
      </c>
      <c r="Q596" s="159">
        <f t="shared" si="114"/>
        <v>5</v>
      </c>
      <c r="R596" s="160">
        <f t="shared" si="115"/>
        <v>2.7499999998835847</v>
      </c>
      <c r="S596" s="158">
        <f t="shared" si="116"/>
        <v>0.75986842102046415</v>
      </c>
      <c r="T596" s="161">
        <f t="shared" si="117"/>
        <v>312.30592103941075</v>
      </c>
      <c r="U596" s="158">
        <f t="shared" si="119"/>
        <v>113.56578947368421</v>
      </c>
      <c r="V596" s="160">
        <f t="shared" si="118"/>
        <v>114</v>
      </c>
    </row>
    <row r="597" spans="1:22" x14ac:dyDescent="0.25">
      <c r="A597" s="98" t="s">
        <v>28</v>
      </c>
      <c r="B597" s="98" t="s">
        <v>17</v>
      </c>
      <c r="C597" s="98">
        <v>35</v>
      </c>
      <c r="D597" s="98">
        <v>310</v>
      </c>
      <c r="E597" s="157">
        <v>41760.579861111109</v>
      </c>
      <c r="F597" s="157">
        <v>41760.645833333336</v>
      </c>
      <c r="G597" s="98">
        <v>365</v>
      </c>
      <c r="H597" s="98">
        <v>456</v>
      </c>
      <c r="I597" s="98">
        <v>411</v>
      </c>
      <c r="J597" s="98" t="s">
        <v>1966</v>
      </c>
      <c r="K597" s="98" t="s">
        <v>1052</v>
      </c>
      <c r="L597" s="105" t="str">
        <f t="shared" si="110"/>
        <v>Brown</v>
      </c>
      <c r="M597" s="105" t="str">
        <f t="shared" si="111"/>
        <v>Derate</v>
      </c>
      <c r="N597" s="105" t="str">
        <f t="shared" si="112"/>
        <v>Coal</v>
      </c>
      <c r="O597" s="105">
        <f>IFERROR(VLOOKUP(A597,Lookup!$J$5:$P$19,7,FALSE),0)</f>
        <v>3</v>
      </c>
      <c r="P597" s="159">
        <f t="shared" si="113"/>
        <v>2014</v>
      </c>
      <c r="Q597" s="159">
        <f t="shared" si="114"/>
        <v>5</v>
      </c>
      <c r="R597" s="160">
        <f t="shared" si="115"/>
        <v>1.5833333334303461</v>
      </c>
      <c r="S597" s="158">
        <f t="shared" si="116"/>
        <v>0.31597222224158222</v>
      </c>
      <c r="T597" s="161">
        <f t="shared" si="117"/>
        <v>129.86458334129028</v>
      </c>
      <c r="U597" s="158">
        <f t="shared" si="119"/>
        <v>82.01973684210526</v>
      </c>
      <c r="V597" s="160">
        <f t="shared" si="118"/>
        <v>82</v>
      </c>
    </row>
    <row r="598" spans="1:22" x14ac:dyDescent="0.25">
      <c r="A598" s="98" t="s">
        <v>28</v>
      </c>
      <c r="B598" s="98" t="s">
        <v>17</v>
      </c>
      <c r="C598" s="98">
        <v>36</v>
      </c>
      <c r="D598" s="98">
        <v>3352</v>
      </c>
      <c r="E598" s="157">
        <v>41760.645833333336</v>
      </c>
      <c r="F598" s="157">
        <v>41760.757638888892</v>
      </c>
      <c r="G598" s="98">
        <v>430</v>
      </c>
      <c r="H598" s="98">
        <v>456</v>
      </c>
      <c r="I598" s="98">
        <v>411</v>
      </c>
      <c r="J598" s="98" t="s">
        <v>2106</v>
      </c>
      <c r="K598" s="98" t="s">
        <v>1051</v>
      </c>
      <c r="L598" s="105" t="str">
        <f t="shared" si="110"/>
        <v>Brown</v>
      </c>
      <c r="M598" s="105" t="str">
        <f t="shared" si="111"/>
        <v>Derate</v>
      </c>
      <c r="N598" s="105" t="str">
        <f t="shared" si="112"/>
        <v>Coal</v>
      </c>
      <c r="O598" s="105">
        <f>IFERROR(VLOOKUP(A598,Lookup!$J$5:$P$19,7,FALSE),0)</f>
        <v>3</v>
      </c>
      <c r="P598" s="159">
        <f t="shared" si="113"/>
        <v>2014</v>
      </c>
      <c r="Q598" s="159">
        <f t="shared" si="114"/>
        <v>5</v>
      </c>
      <c r="R598" s="160">
        <f t="shared" si="115"/>
        <v>2.6833333333488554</v>
      </c>
      <c r="S598" s="158">
        <f t="shared" si="116"/>
        <v>0.15299707602427684</v>
      </c>
      <c r="T598" s="161">
        <f t="shared" si="117"/>
        <v>62.881798245977784</v>
      </c>
      <c r="U598" s="158">
        <f t="shared" si="119"/>
        <v>23.434210526315791</v>
      </c>
      <c r="V598" s="160">
        <f t="shared" si="118"/>
        <v>23</v>
      </c>
    </row>
    <row r="599" spans="1:22" x14ac:dyDescent="0.25">
      <c r="A599" s="98" t="s">
        <v>28</v>
      </c>
      <c r="B599" s="98" t="s">
        <v>17</v>
      </c>
      <c r="C599" s="98">
        <v>37</v>
      </c>
      <c r="D599" s="98">
        <v>800</v>
      </c>
      <c r="E599" s="157">
        <v>41761.166666666664</v>
      </c>
      <c r="F599" s="157">
        <v>41761.177083333336</v>
      </c>
      <c r="G599" s="98">
        <v>180</v>
      </c>
      <c r="H599" s="98">
        <v>456</v>
      </c>
      <c r="I599" s="98">
        <v>411</v>
      </c>
      <c r="J599" s="98" t="s">
        <v>2197</v>
      </c>
      <c r="K599" s="98" t="s">
        <v>1053</v>
      </c>
      <c r="L599" s="105" t="str">
        <f t="shared" si="110"/>
        <v>Brown</v>
      </c>
      <c r="M599" s="105" t="str">
        <f t="shared" si="111"/>
        <v>Derate</v>
      </c>
      <c r="N599" s="105" t="str">
        <f t="shared" si="112"/>
        <v>Coal</v>
      </c>
      <c r="O599" s="105">
        <f>IFERROR(VLOOKUP(A599,Lookup!$J$5:$P$19,7,FALSE),0)</f>
        <v>3</v>
      </c>
      <c r="P599" s="159">
        <f t="shared" si="113"/>
        <v>2014</v>
      </c>
      <c r="Q599" s="159">
        <f t="shared" si="114"/>
        <v>5</v>
      </c>
      <c r="R599" s="160">
        <f t="shared" si="115"/>
        <v>0.25000000011641532</v>
      </c>
      <c r="S599" s="158">
        <f t="shared" si="116"/>
        <v>0.15131578954414612</v>
      </c>
      <c r="T599" s="161">
        <f t="shared" si="117"/>
        <v>62.190789502644058</v>
      </c>
      <c r="U599" s="158">
        <f t="shared" si="119"/>
        <v>248.76315789473685</v>
      </c>
      <c r="V599" s="160">
        <f t="shared" si="118"/>
        <v>249</v>
      </c>
    </row>
    <row r="600" spans="1:22" x14ac:dyDescent="0.25">
      <c r="A600" s="98" t="s">
        <v>28</v>
      </c>
      <c r="B600" s="98" t="s">
        <v>32</v>
      </c>
      <c r="C600" s="98">
        <v>38</v>
      </c>
      <c r="D600" s="98">
        <v>510</v>
      </c>
      <c r="E600" s="157">
        <v>41772.799305555556</v>
      </c>
      <c r="F600" s="157">
        <v>41772.958333333336</v>
      </c>
      <c r="G600" s="98">
        <v>389</v>
      </c>
      <c r="H600" s="98">
        <v>456</v>
      </c>
      <c r="I600" s="98">
        <v>411</v>
      </c>
      <c r="J600" s="98" t="s">
        <v>3188</v>
      </c>
      <c r="K600" s="98" t="s">
        <v>1054</v>
      </c>
      <c r="L600" s="105" t="str">
        <f t="shared" si="110"/>
        <v>Brown</v>
      </c>
      <c r="M600" s="105" t="str">
        <f t="shared" si="111"/>
        <v>Derate</v>
      </c>
      <c r="N600" s="105" t="str">
        <f t="shared" si="112"/>
        <v>Coal</v>
      </c>
      <c r="O600" s="105">
        <f>IFERROR(VLOOKUP(A600,Lookup!$J$5:$P$19,7,FALSE),0)</f>
        <v>3</v>
      </c>
      <c r="P600" s="159">
        <f t="shared" si="113"/>
        <v>2014</v>
      </c>
      <c r="Q600" s="159">
        <f t="shared" si="114"/>
        <v>5</v>
      </c>
      <c r="R600" s="160">
        <f t="shared" si="115"/>
        <v>3.8166666667093523</v>
      </c>
      <c r="S600" s="158">
        <f t="shared" si="116"/>
        <v>0.56078216374896184</v>
      </c>
      <c r="T600" s="161">
        <f t="shared" si="117"/>
        <v>230.48146930082331</v>
      </c>
      <c r="U600" s="158">
        <f t="shared" si="119"/>
        <v>60.388157894736842</v>
      </c>
      <c r="V600" s="160">
        <f t="shared" si="118"/>
        <v>60</v>
      </c>
    </row>
    <row r="601" spans="1:22" x14ac:dyDescent="0.25">
      <c r="A601" s="98" t="s">
        <v>28</v>
      </c>
      <c r="B601" s="98" t="s">
        <v>20</v>
      </c>
      <c r="C601" s="98">
        <v>39</v>
      </c>
      <c r="D601" s="98">
        <v>740</v>
      </c>
      <c r="E601" s="157">
        <v>41775.988194444442</v>
      </c>
      <c r="F601" s="157">
        <v>41777.103472222225</v>
      </c>
      <c r="G601" s="98">
        <v>0</v>
      </c>
      <c r="H601" s="98">
        <v>456</v>
      </c>
      <c r="I601" s="98">
        <v>411</v>
      </c>
      <c r="J601" s="98" t="s">
        <v>2176</v>
      </c>
      <c r="K601" s="98" t="s">
        <v>1055</v>
      </c>
      <c r="L601" s="105" t="str">
        <f t="shared" si="110"/>
        <v>Brown</v>
      </c>
      <c r="M601" s="105" t="str">
        <f t="shared" si="111"/>
        <v>Maintenance</v>
      </c>
      <c r="N601" s="105" t="str">
        <f t="shared" si="112"/>
        <v>Coal</v>
      </c>
      <c r="O601" s="105">
        <f>IFERROR(VLOOKUP(A601,Lookup!$J$5:$P$19,7,FALSE),0)</f>
        <v>3</v>
      </c>
      <c r="P601" s="159">
        <f t="shared" si="113"/>
        <v>2014</v>
      </c>
      <c r="Q601" s="159">
        <f t="shared" si="114"/>
        <v>5</v>
      </c>
      <c r="R601" s="160">
        <f t="shared" si="115"/>
        <v>26.766666666779201</v>
      </c>
      <c r="S601" s="158">
        <f t="shared" si="116"/>
        <v>26.766666666779201</v>
      </c>
      <c r="T601" s="161">
        <f t="shared" si="117"/>
        <v>11001.100000046252</v>
      </c>
      <c r="U601" s="158">
        <f t="shared" si="119"/>
        <v>411</v>
      </c>
      <c r="V601" s="160">
        <f t="shared" si="118"/>
        <v>411</v>
      </c>
    </row>
    <row r="602" spans="1:22" x14ac:dyDescent="0.25">
      <c r="A602" s="98" t="s">
        <v>28</v>
      </c>
      <c r="B602" s="98" t="s">
        <v>17</v>
      </c>
      <c r="C602" s="98">
        <v>40</v>
      </c>
      <c r="D602" s="98">
        <v>3414</v>
      </c>
      <c r="E602" s="157">
        <v>41781.645833333336</v>
      </c>
      <c r="F602" s="157">
        <v>41781.708333333336</v>
      </c>
      <c r="G602" s="98">
        <v>310</v>
      </c>
      <c r="H602" s="98">
        <v>456</v>
      </c>
      <c r="I602" s="98">
        <v>411</v>
      </c>
      <c r="J602" s="98" t="s">
        <v>1984</v>
      </c>
      <c r="K602" s="98" t="s">
        <v>1056</v>
      </c>
      <c r="L602" s="105" t="str">
        <f t="shared" si="110"/>
        <v>Brown</v>
      </c>
      <c r="M602" s="105" t="str">
        <f t="shared" si="111"/>
        <v>Derate</v>
      </c>
      <c r="N602" s="105" t="str">
        <f t="shared" si="112"/>
        <v>Coal</v>
      </c>
      <c r="O602" s="105">
        <f>IFERROR(VLOOKUP(A602,Lookup!$J$5:$P$19,7,FALSE),0)</f>
        <v>3</v>
      </c>
      <c r="P602" s="159">
        <f t="shared" si="113"/>
        <v>2014</v>
      </c>
      <c r="Q602" s="159">
        <f t="shared" si="114"/>
        <v>5</v>
      </c>
      <c r="R602" s="160">
        <f t="shared" si="115"/>
        <v>1.5</v>
      </c>
      <c r="S602" s="158">
        <f t="shared" si="116"/>
        <v>0.48026315789473684</v>
      </c>
      <c r="T602" s="161">
        <f t="shared" si="117"/>
        <v>197.38815789473685</v>
      </c>
      <c r="U602" s="158">
        <f t="shared" si="119"/>
        <v>131.59210526315789</v>
      </c>
      <c r="V602" s="160">
        <f t="shared" si="118"/>
        <v>132</v>
      </c>
    </row>
    <row r="603" spans="1:22" x14ac:dyDescent="0.25">
      <c r="A603" s="98" t="s">
        <v>28</v>
      </c>
      <c r="B603" s="98" t="s">
        <v>17</v>
      </c>
      <c r="C603" s="98">
        <v>41</v>
      </c>
      <c r="D603" s="98">
        <v>3414</v>
      </c>
      <c r="E603" s="157">
        <v>41781.708333333336</v>
      </c>
      <c r="F603" s="157">
        <v>41781.896527777775</v>
      </c>
      <c r="G603" s="98">
        <v>285</v>
      </c>
      <c r="H603" s="98">
        <v>456</v>
      </c>
      <c r="I603" s="98">
        <v>411</v>
      </c>
      <c r="J603" s="98" t="s">
        <v>1984</v>
      </c>
      <c r="K603" s="98" t="s">
        <v>1056</v>
      </c>
      <c r="L603" s="105" t="str">
        <f t="shared" si="110"/>
        <v>Brown</v>
      </c>
      <c r="M603" s="105" t="str">
        <f t="shared" si="111"/>
        <v>Derate</v>
      </c>
      <c r="N603" s="105" t="str">
        <f t="shared" si="112"/>
        <v>Coal</v>
      </c>
      <c r="O603" s="105">
        <f>IFERROR(VLOOKUP(A603,Lookup!$J$5:$P$19,7,FALSE),0)</f>
        <v>3</v>
      </c>
      <c r="P603" s="159">
        <f t="shared" si="113"/>
        <v>2014</v>
      </c>
      <c r="Q603" s="159">
        <f t="shared" si="114"/>
        <v>5</v>
      </c>
      <c r="R603" s="160">
        <f t="shared" si="115"/>
        <v>4.5166666665463708</v>
      </c>
      <c r="S603" s="158">
        <f t="shared" si="116"/>
        <v>1.6937499999548891</v>
      </c>
      <c r="T603" s="161">
        <f t="shared" si="117"/>
        <v>696.1312499814594</v>
      </c>
      <c r="U603" s="158">
        <f t="shared" si="119"/>
        <v>154.125</v>
      </c>
      <c r="V603" s="160">
        <f t="shared" si="118"/>
        <v>154</v>
      </c>
    </row>
    <row r="604" spans="1:22" x14ac:dyDescent="0.25">
      <c r="A604" s="98" t="s">
        <v>28</v>
      </c>
      <c r="B604" s="98" t="s">
        <v>32</v>
      </c>
      <c r="C604" s="98">
        <v>42</v>
      </c>
      <c r="D604" s="98">
        <v>3410</v>
      </c>
      <c r="E604" s="157">
        <v>41787.916666666664</v>
      </c>
      <c r="F604" s="157">
        <v>41788.053472222222</v>
      </c>
      <c r="G604" s="98">
        <v>310</v>
      </c>
      <c r="H604" s="98">
        <v>456</v>
      </c>
      <c r="I604" s="98">
        <v>411</v>
      </c>
      <c r="J604" s="98" t="s">
        <v>1983</v>
      </c>
      <c r="K604" s="98" t="s">
        <v>1057</v>
      </c>
      <c r="L604" s="105" t="str">
        <f t="shared" si="110"/>
        <v>Brown</v>
      </c>
      <c r="M604" s="105" t="str">
        <f t="shared" si="111"/>
        <v>Derate</v>
      </c>
      <c r="N604" s="105" t="str">
        <f t="shared" si="112"/>
        <v>Coal</v>
      </c>
      <c r="O604" s="105">
        <f>IFERROR(VLOOKUP(A604,Lookup!$J$5:$P$19,7,FALSE),0)</f>
        <v>3</v>
      </c>
      <c r="P604" s="159">
        <f t="shared" si="113"/>
        <v>2014</v>
      </c>
      <c r="Q604" s="159">
        <f t="shared" si="114"/>
        <v>5</v>
      </c>
      <c r="R604" s="160">
        <f t="shared" si="115"/>
        <v>3.28333333338378</v>
      </c>
      <c r="S604" s="158">
        <f t="shared" si="116"/>
        <v>1.0512426900746312</v>
      </c>
      <c r="T604" s="161">
        <f t="shared" si="117"/>
        <v>432.06074562067346</v>
      </c>
      <c r="U604" s="158">
        <f t="shared" si="119"/>
        <v>131.59210526315789</v>
      </c>
      <c r="V604" s="160">
        <f t="shared" si="118"/>
        <v>132</v>
      </c>
    </row>
    <row r="605" spans="1:22" x14ac:dyDescent="0.25">
      <c r="A605" s="98" t="s">
        <v>28</v>
      </c>
      <c r="B605" s="98" t="s">
        <v>32</v>
      </c>
      <c r="C605" s="98">
        <v>43</v>
      </c>
      <c r="D605" s="98">
        <v>3410</v>
      </c>
      <c r="E605" s="157">
        <v>41788.916666666664</v>
      </c>
      <c r="F605" s="157">
        <v>41789.258333333331</v>
      </c>
      <c r="G605" s="98">
        <v>310</v>
      </c>
      <c r="H605" s="98">
        <v>456</v>
      </c>
      <c r="I605" s="98">
        <v>411</v>
      </c>
      <c r="J605" s="98" t="s">
        <v>1983</v>
      </c>
      <c r="K605" s="98" t="s">
        <v>1057</v>
      </c>
      <c r="L605" s="105" t="str">
        <f t="shared" si="110"/>
        <v>Brown</v>
      </c>
      <c r="M605" s="105" t="str">
        <f t="shared" si="111"/>
        <v>Derate</v>
      </c>
      <c r="N605" s="105" t="str">
        <f t="shared" si="112"/>
        <v>Coal</v>
      </c>
      <c r="O605" s="105">
        <f>IFERROR(VLOOKUP(A605,Lookup!$J$5:$P$19,7,FALSE),0)</f>
        <v>3</v>
      </c>
      <c r="P605" s="159">
        <f t="shared" si="113"/>
        <v>2014</v>
      </c>
      <c r="Q605" s="159">
        <f t="shared" si="114"/>
        <v>5</v>
      </c>
      <c r="R605" s="160">
        <f t="shared" si="115"/>
        <v>8.2000000000116415</v>
      </c>
      <c r="S605" s="158">
        <f t="shared" si="116"/>
        <v>2.6254385964949556</v>
      </c>
      <c r="T605" s="161">
        <f t="shared" si="117"/>
        <v>1079.0552631594267</v>
      </c>
      <c r="U605" s="158">
        <f t="shared" si="119"/>
        <v>131.59210526315789</v>
      </c>
      <c r="V605" s="160">
        <f t="shared" si="118"/>
        <v>132</v>
      </c>
    </row>
    <row r="606" spans="1:22" x14ac:dyDescent="0.25">
      <c r="A606" s="98" t="s">
        <v>28</v>
      </c>
      <c r="B606" s="98" t="s">
        <v>32</v>
      </c>
      <c r="C606" s="98">
        <v>44</v>
      </c>
      <c r="D606" s="98">
        <v>1400</v>
      </c>
      <c r="E606" s="157">
        <v>41792.958333333336</v>
      </c>
      <c r="F606" s="157">
        <v>41793.107638888891</v>
      </c>
      <c r="G606" s="98">
        <v>300</v>
      </c>
      <c r="H606" s="98">
        <v>456</v>
      </c>
      <c r="I606" s="98">
        <v>411</v>
      </c>
      <c r="J606" s="98" t="s">
        <v>2043</v>
      </c>
      <c r="K606" s="98" t="s">
        <v>1058</v>
      </c>
      <c r="L606" s="105" t="str">
        <f t="shared" si="110"/>
        <v>Brown</v>
      </c>
      <c r="M606" s="105" t="str">
        <f t="shared" si="111"/>
        <v>Derate</v>
      </c>
      <c r="N606" s="105" t="str">
        <f t="shared" si="112"/>
        <v>Coal</v>
      </c>
      <c r="O606" s="105">
        <f>IFERROR(VLOOKUP(A606,Lookup!$J$5:$P$19,7,FALSE),0)</f>
        <v>3</v>
      </c>
      <c r="P606" s="159">
        <f t="shared" si="113"/>
        <v>2014</v>
      </c>
      <c r="Q606" s="159">
        <f t="shared" si="114"/>
        <v>6</v>
      </c>
      <c r="R606" s="160">
        <f t="shared" si="115"/>
        <v>3.5833333333139308</v>
      </c>
      <c r="S606" s="158">
        <f t="shared" si="116"/>
        <v>1.2258771929758183</v>
      </c>
      <c r="T606" s="161">
        <f t="shared" si="117"/>
        <v>503.83552631306134</v>
      </c>
      <c r="U606" s="158">
        <f t="shared" si="119"/>
        <v>140.60526315789474</v>
      </c>
      <c r="V606" s="160">
        <f t="shared" si="118"/>
        <v>141</v>
      </c>
    </row>
    <row r="607" spans="1:22" x14ac:dyDescent="0.25">
      <c r="A607" s="98" t="s">
        <v>28</v>
      </c>
      <c r="B607" s="98" t="s">
        <v>17</v>
      </c>
      <c r="C607" s="98">
        <v>45</v>
      </c>
      <c r="D607" s="98">
        <v>3440</v>
      </c>
      <c r="E607" s="157">
        <v>41794.552083333336</v>
      </c>
      <c r="F607" s="157">
        <v>41797.080555555556</v>
      </c>
      <c r="G607" s="98">
        <v>425</v>
      </c>
      <c r="H607" s="98">
        <v>456</v>
      </c>
      <c r="I607" s="98">
        <v>411</v>
      </c>
      <c r="J607" s="98" t="s">
        <v>2100</v>
      </c>
      <c r="K607" s="98" t="s">
        <v>1059</v>
      </c>
      <c r="L607" s="105" t="str">
        <f t="shared" si="110"/>
        <v>Brown</v>
      </c>
      <c r="M607" s="105" t="str">
        <f t="shared" si="111"/>
        <v>Derate</v>
      </c>
      <c r="N607" s="105" t="str">
        <f t="shared" si="112"/>
        <v>Coal</v>
      </c>
      <c r="O607" s="105">
        <f>IFERROR(VLOOKUP(A607,Lookup!$J$5:$P$19,7,FALSE),0)</f>
        <v>3</v>
      </c>
      <c r="P607" s="159">
        <f t="shared" si="113"/>
        <v>2014</v>
      </c>
      <c r="Q607" s="159">
        <f t="shared" si="114"/>
        <v>6</v>
      </c>
      <c r="R607" s="160">
        <f t="shared" si="115"/>
        <v>60.683333333290648</v>
      </c>
      <c r="S607" s="158">
        <f t="shared" si="116"/>
        <v>4.1254020467807235</v>
      </c>
      <c r="T607" s="161">
        <f t="shared" si="117"/>
        <v>1695.5402412268775</v>
      </c>
      <c r="U607" s="158">
        <f t="shared" si="119"/>
        <v>27.940789473684209</v>
      </c>
      <c r="V607" s="160">
        <f t="shared" si="118"/>
        <v>28</v>
      </c>
    </row>
    <row r="608" spans="1:22" x14ac:dyDescent="0.25">
      <c r="A608" s="98" t="s">
        <v>28</v>
      </c>
      <c r="B608" s="98" t="s">
        <v>20</v>
      </c>
      <c r="C608" s="98">
        <v>46</v>
      </c>
      <c r="D608" s="98">
        <v>3440</v>
      </c>
      <c r="E608" s="157">
        <v>41797.080555555556</v>
      </c>
      <c r="F608" s="157">
        <v>41800.079861111109</v>
      </c>
      <c r="G608" s="98">
        <v>0</v>
      </c>
      <c r="H608" s="98">
        <v>456</v>
      </c>
      <c r="I608" s="98">
        <v>411</v>
      </c>
      <c r="J608" s="98" t="s">
        <v>2100</v>
      </c>
      <c r="K608" s="98" t="s">
        <v>1060</v>
      </c>
      <c r="L608" s="105" t="str">
        <f t="shared" si="110"/>
        <v>Brown</v>
      </c>
      <c r="M608" s="105" t="str">
        <f t="shared" si="111"/>
        <v>Maintenance</v>
      </c>
      <c r="N608" s="105" t="str">
        <f t="shared" si="112"/>
        <v>Coal</v>
      </c>
      <c r="O608" s="105">
        <f>IFERROR(VLOOKUP(A608,Lookup!$J$5:$P$19,7,FALSE),0)</f>
        <v>3</v>
      </c>
      <c r="P608" s="159">
        <f t="shared" si="113"/>
        <v>2014</v>
      </c>
      <c r="Q608" s="159">
        <f t="shared" si="114"/>
        <v>6</v>
      </c>
      <c r="R608" s="160">
        <f t="shared" si="115"/>
        <v>71.983333333279006</v>
      </c>
      <c r="S608" s="158">
        <f t="shared" si="116"/>
        <v>71.983333333279006</v>
      </c>
      <c r="T608" s="161">
        <f t="shared" si="117"/>
        <v>29585.149999977672</v>
      </c>
      <c r="U608" s="158">
        <f t="shared" si="119"/>
        <v>411</v>
      </c>
      <c r="V608" s="160">
        <f t="shared" si="118"/>
        <v>411</v>
      </c>
    </row>
    <row r="609" spans="1:22" x14ac:dyDescent="0.25">
      <c r="A609" s="98" t="s">
        <v>28</v>
      </c>
      <c r="B609" s="98" t="s">
        <v>15</v>
      </c>
      <c r="C609" s="98">
        <v>47</v>
      </c>
      <c r="D609" s="98">
        <v>4860</v>
      </c>
      <c r="E609" s="157">
        <v>41800.67291666667</v>
      </c>
      <c r="F609" s="157">
        <v>41801.181250000001</v>
      </c>
      <c r="G609" s="98">
        <v>0</v>
      </c>
      <c r="H609" s="98">
        <v>456</v>
      </c>
      <c r="I609" s="98">
        <v>411</v>
      </c>
      <c r="J609" s="98" t="s">
        <v>866</v>
      </c>
      <c r="K609" s="98" t="s">
        <v>1061</v>
      </c>
      <c r="L609" s="105" t="str">
        <f t="shared" si="110"/>
        <v>Brown</v>
      </c>
      <c r="M609" s="105" t="str">
        <f t="shared" si="111"/>
        <v>Outage</v>
      </c>
      <c r="N609" s="105" t="str">
        <f t="shared" si="112"/>
        <v>Coal</v>
      </c>
      <c r="O609" s="105">
        <f>IFERROR(VLOOKUP(A609,Lookup!$J$5:$P$19,7,FALSE),0)</f>
        <v>3</v>
      </c>
      <c r="P609" s="159">
        <f t="shared" si="113"/>
        <v>2014</v>
      </c>
      <c r="Q609" s="159">
        <f t="shared" si="114"/>
        <v>6</v>
      </c>
      <c r="R609" s="160">
        <f t="shared" si="115"/>
        <v>12.199999999953434</v>
      </c>
      <c r="S609" s="158">
        <f t="shared" si="116"/>
        <v>12.199999999953434</v>
      </c>
      <c r="T609" s="161">
        <f t="shared" si="117"/>
        <v>5014.1999999808613</v>
      </c>
      <c r="U609" s="158">
        <f t="shared" si="119"/>
        <v>411</v>
      </c>
      <c r="V609" s="160">
        <f t="shared" si="118"/>
        <v>411</v>
      </c>
    </row>
    <row r="610" spans="1:22" x14ac:dyDescent="0.25">
      <c r="A610" s="98" t="s">
        <v>28</v>
      </c>
      <c r="B610" s="98" t="s">
        <v>15</v>
      </c>
      <c r="C610" s="98">
        <v>48</v>
      </c>
      <c r="D610" s="98">
        <v>3621</v>
      </c>
      <c r="E610" s="157">
        <v>41801.369444444441</v>
      </c>
      <c r="F610" s="157">
        <v>41801.963194444441</v>
      </c>
      <c r="G610" s="98">
        <v>0</v>
      </c>
      <c r="H610" s="98">
        <v>456</v>
      </c>
      <c r="I610" s="98">
        <v>411</v>
      </c>
      <c r="J610" s="98" t="s">
        <v>1993</v>
      </c>
      <c r="K610" s="98" t="s">
        <v>1062</v>
      </c>
      <c r="L610" s="105" t="str">
        <f t="shared" si="110"/>
        <v>Brown</v>
      </c>
      <c r="M610" s="105" t="str">
        <f t="shared" si="111"/>
        <v>Outage</v>
      </c>
      <c r="N610" s="105" t="str">
        <f t="shared" si="112"/>
        <v>Coal</v>
      </c>
      <c r="O610" s="105">
        <f>IFERROR(VLOOKUP(A610,Lookup!$J$5:$P$19,7,FALSE),0)</f>
        <v>3</v>
      </c>
      <c r="P610" s="159">
        <f t="shared" si="113"/>
        <v>2014</v>
      </c>
      <c r="Q610" s="159">
        <f t="shared" si="114"/>
        <v>6</v>
      </c>
      <c r="R610" s="160">
        <f t="shared" si="115"/>
        <v>14.25</v>
      </c>
      <c r="S610" s="158">
        <f t="shared" si="116"/>
        <v>14.25</v>
      </c>
      <c r="T610" s="161">
        <f t="shared" si="117"/>
        <v>5856.75</v>
      </c>
      <c r="U610" s="158">
        <f t="shared" si="119"/>
        <v>411</v>
      </c>
      <c r="V610" s="160">
        <f t="shared" si="118"/>
        <v>411</v>
      </c>
    </row>
    <row r="611" spans="1:22" x14ac:dyDescent="0.25">
      <c r="A611" s="98" t="s">
        <v>28</v>
      </c>
      <c r="B611" s="98" t="s">
        <v>17</v>
      </c>
      <c r="C611" s="98">
        <v>49</v>
      </c>
      <c r="D611" s="98">
        <v>3352</v>
      </c>
      <c r="E611" s="157">
        <v>41802.243055555555</v>
      </c>
      <c r="F611" s="157">
        <v>41802.302777777775</v>
      </c>
      <c r="G611" s="98">
        <v>425</v>
      </c>
      <c r="H611" s="98">
        <v>456</v>
      </c>
      <c r="I611" s="98">
        <v>411</v>
      </c>
      <c r="J611" s="98" t="s">
        <v>2106</v>
      </c>
      <c r="K611" s="98" t="s">
        <v>1063</v>
      </c>
      <c r="L611" s="105" t="str">
        <f t="shared" si="110"/>
        <v>Brown</v>
      </c>
      <c r="M611" s="105" t="str">
        <f t="shared" si="111"/>
        <v>Derate</v>
      </c>
      <c r="N611" s="105" t="str">
        <f t="shared" si="112"/>
        <v>Coal</v>
      </c>
      <c r="O611" s="105">
        <f>IFERROR(VLOOKUP(A611,Lookup!$J$5:$P$19,7,FALSE),0)</f>
        <v>3</v>
      </c>
      <c r="P611" s="159">
        <f t="shared" si="113"/>
        <v>2014</v>
      </c>
      <c r="Q611" s="159">
        <f t="shared" si="114"/>
        <v>6</v>
      </c>
      <c r="R611" s="160">
        <f t="shared" si="115"/>
        <v>1.4333333332906477</v>
      </c>
      <c r="S611" s="158">
        <f t="shared" si="116"/>
        <v>9.7441520464934386E-2</v>
      </c>
      <c r="T611" s="161">
        <f t="shared" si="117"/>
        <v>40.048464911088033</v>
      </c>
      <c r="U611" s="158">
        <f t="shared" si="119"/>
        <v>27.940789473684209</v>
      </c>
      <c r="V611" s="160">
        <f t="shared" si="118"/>
        <v>28</v>
      </c>
    </row>
    <row r="612" spans="1:22" x14ac:dyDescent="0.25">
      <c r="A612" s="98" t="s">
        <v>28</v>
      </c>
      <c r="B612" s="98" t="s">
        <v>15</v>
      </c>
      <c r="C612" s="98">
        <v>50</v>
      </c>
      <c r="D612" s="98">
        <v>1000</v>
      </c>
      <c r="E612" s="157">
        <v>41804.955555555556</v>
      </c>
      <c r="F612" s="157">
        <v>41806.340277777781</v>
      </c>
      <c r="G612" s="98">
        <v>0</v>
      </c>
      <c r="H612" s="98">
        <v>456</v>
      </c>
      <c r="I612" s="98">
        <v>411</v>
      </c>
      <c r="J612" s="98" t="s">
        <v>2002</v>
      </c>
      <c r="K612" s="98" t="s">
        <v>1064</v>
      </c>
      <c r="L612" s="105" t="str">
        <f t="shared" si="110"/>
        <v>Brown</v>
      </c>
      <c r="M612" s="105" t="str">
        <f t="shared" si="111"/>
        <v>Outage</v>
      </c>
      <c r="N612" s="105" t="str">
        <f t="shared" si="112"/>
        <v>Coal</v>
      </c>
      <c r="O612" s="105">
        <f>IFERROR(VLOOKUP(A612,Lookup!$J$5:$P$19,7,FALSE),0)</f>
        <v>3</v>
      </c>
      <c r="P612" s="159">
        <f t="shared" si="113"/>
        <v>2014</v>
      </c>
      <c r="Q612" s="159">
        <f t="shared" si="114"/>
        <v>6</v>
      </c>
      <c r="R612" s="160">
        <f t="shared" si="115"/>
        <v>33.233333333395422</v>
      </c>
      <c r="S612" s="158">
        <f t="shared" si="116"/>
        <v>33.233333333395422</v>
      </c>
      <c r="T612" s="161">
        <f t="shared" si="117"/>
        <v>13658.900000025518</v>
      </c>
      <c r="U612" s="158">
        <f t="shared" si="119"/>
        <v>411</v>
      </c>
      <c r="V612" s="160">
        <f t="shared" si="118"/>
        <v>411</v>
      </c>
    </row>
    <row r="613" spans="1:22" x14ac:dyDescent="0.25">
      <c r="A613" s="98" t="s">
        <v>28</v>
      </c>
      <c r="B613" s="98" t="s">
        <v>17</v>
      </c>
      <c r="C613" s="98">
        <v>51</v>
      </c>
      <c r="D613" s="98">
        <v>9910</v>
      </c>
      <c r="E613" s="157">
        <v>41821.475694444445</v>
      </c>
      <c r="F613" s="157">
        <v>41821.506944444445</v>
      </c>
      <c r="G613" s="98">
        <v>55</v>
      </c>
      <c r="H613" s="98">
        <v>456</v>
      </c>
      <c r="I613" s="98">
        <v>411</v>
      </c>
      <c r="J613" s="98" t="s">
        <v>2014</v>
      </c>
      <c r="K613" s="98" t="s">
        <v>2198</v>
      </c>
      <c r="L613" s="105" t="str">
        <f t="shared" si="110"/>
        <v>Brown</v>
      </c>
      <c r="M613" s="105" t="str">
        <f t="shared" si="111"/>
        <v>Derate</v>
      </c>
      <c r="N613" s="105" t="str">
        <f t="shared" si="112"/>
        <v>Coal</v>
      </c>
      <c r="O613" s="105">
        <f>IFERROR(VLOOKUP(A613,Lookup!$J$5:$P$19,7,FALSE),0)</f>
        <v>3</v>
      </c>
      <c r="P613" s="159">
        <f t="shared" si="113"/>
        <v>2014</v>
      </c>
      <c r="Q613" s="159">
        <f t="shared" si="114"/>
        <v>7</v>
      </c>
      <c r="R613" s="160">
        <f t="shared" si="115"/>
        <v>0.75</v>
      </c>
      <c r="S613" s="158">
        <f t="shared" si="116"/>
        <v>0.65953947368421051</v>
      </c>
      <c r="T613" s="161">
        <f t="shared" si="117"/>
        <v>271.07072368421052</v>
      </c>
      <c r="U613" s="158">
        <f t="shared" si="119"/>
        <v>361.42763157894734</v>
      </c>
      <c r="V613" s="160">
        <f t="shared" si="118"/>
        <v>361</v>
      </c>
    </row>
    <row r="614" spans="1:22" x14ac:dyDescent="0.25">
      <c r="A614" s="98" t="s">
        <v>28</v>
      </c>
      <c r="B614" s="98" t="s">
        <v>15</v>
      </c>
      <c r="C614" s="98">
        <v>52</v>
      </c>
      <c r="D614" s="98">
        <v>9910</v>
      </c>
      <c r="E614" s="157">
        <v>41821.506944444445</v>
      </c>
      <c r="F614" s="157">
        <v>41821.555555555555</v>
      </c>
      <c r="G614" s="98">
        <v>0</v>
      </c>
      <c r="H614" s="98">
        <v>456</v>
      </c>
      <c r="I614" s="98">
        <v>411</v>
      </c>
      <c r="J614" s="98" t="s">
        <v>2014</v>
      </c>
      <c r="K614" s="98" t="s">
        <v>2198</v>
      </c>
      <c r="L614" s="105" t="str">
        <f t="shared" si="110"/>
        <v>Brown</v>
      </c>
      <c r="M614" s="105" t="str">
        <f t="shared" si="111"/>
        <v>Outage</v>
      </c>
      <c r="N614" s="105" t="str">
        <f t="shared" si="112"/>
        <v>Coal</v>
      </c>
      <c r="O614" s="105">
        <f>IFERROR(VLOOKUP(A614,Lookup!$J$5:$P$19,7,FALSE),0)</f>
        <v>3</v>
      </c>
      <c r="P614" s="159">
        <f t="shared" si="113"/>
        <v>2014</v>
      </c>
      <c r="Q614" s="159">
        <f t="shared" si="114"/>
        <v>7</v>
      </c>
      <c r="R614" s="160">
        <f t="shared" si="115"/>
        <v>1.1666666666278616</v>
      </c>
      <c r="S614" s="158">
        <f t="shared" si="116"/>
        <v>1.1666666666278616</v>
      </c>
      <c r="T614" s="161">
        <f t="shared" si="117"/>
        <v>479.4999999840511</v>
      </c>
      <c r="U614" s="158">
        <f t="shared" si="119"/>
        <v>411</v>
      </c>
      <c r="V614" s="160">
        <f t="shared" si="118"/>
        <v>411</v>
      </c>
    </row>
    <row r="615" spans="1:22" x14ac:dyDescent="0.25">
      <c r="A615" s="98" t="s">
        <v>28</v>
      </c>
      <c r="B615" s="98" t="s">
        <v>15</v>
      </c>
      <c r="C615" s="98">
        <v>53</v>
      </c>
      <c r="D615" s="98">
        <v>3245</v>
      </c>
      <c r="E615" s="157">
        <v>41837.549305555556</v>
      </c>
      <c r="F615" s="157">
        <v>41842.659722222219</v>
      </c>
      <c r="G615" s="98">
        <v>0</v>
      </c>
      <c r="H615" s="98">
        <v>456</v>
      </c>
      <c r="I615" s="98">
        <v>411</v>
      </c>
      <c r="J615" s="98" t="s">
        <v>2199</v>
      </c>
      <c r="K615" s="98" t="s">
        <v>2200</v>
      </c>
      <c r="L615" s="105" t="str">
        <f t="shared" si="110"/>
        <v>Brown</v>
      </c>
      <c r="M615" s="105" t="str">
        <f t="shared" si="111"/>
        <v>Outage</v>
      </c>
      <c r="N615" s="105" t="str">
        <f t="shared" si="112"/>
        <v>Coal</v>
      </c>
      <c r="O615" s="105">
        <f>IFERROR(VLOOKUP(A615,Lookup!$J$5:$P$19,7,FALSE),0)</f>
        <v>3</v>
      </c>
      <c r="P615" s="159">
        <f t="shared" si="113"/>
        <v>2014</v>
      </c>
      <c r="Q615" s="159">
        <f t="shared" si="114"/>
        <v>7</v>
      </c>
      <c r="R615" s="160">
        <f t="shared" si="115"/>
        <v>122.64999999990687</v>
      </c>
      <c r="S615" s="158">
        <f t="shared" si="116"/>
        <v>122.64999999990687</v>
      </c>
      <c r="T615" s="161">
        <f t="shared" si="117"/>
        <v>50409.149999961723</v>
      </c>
      <c r="U615" s="158">
        <f t="shared" si="119"/>
        <v>411</v>
      </c>
      <c r="V615" s="160">
        <f t="shared" si="118"/>
        <v>411</v>
      </c>
    </row>
    <row r="616" spans="1:22" x14ac:dyDescent="0.25">
      <c r="A616" s="98" t="s">
        <v>28</v>
      </c>
      <c r="B616" s="98" t="s">
        <v>18</v>
      </c>
      <c r="C616" s="98">
        <v>54</v>
      </c>
      <c r="D616" s="98">
        <v>3210</v>
      </c>
      <c r="E616" s="157">
        <v>41842.659722222219</v>
      </c>
      <c r="F616" s="157">
        <v>41842.861805555556</v>
      </c>
      <c r="G616" s="98">
        <v>0</v>
      </c>
      <c r="H616" s="98">
        <v>456</v>
      </c>
      <c r="I616" s="98">
        <v>411</v>
      </c>
      <c r="J616" s="98" t="s">
        <v>2048</v>
      </c>
      <c r="K616" s="98" t="s">
        <v>2201</v>
      </c>
      <c r="L616" s="105" t="str">
        <f t="shared" si="110"/>
        <v>Brown</v>
      </c>
      <c r="M616" s="105" t="str">
        <f t="shared" si="111"/>
        <v>Outage</v>
      </c>
      <c r="N616" s="105" t="str">
        <f t="shared" si="112"/>
        <v>Coal</v>
      </c>
      <c r="O616" s="105">
        <f>IFERROR(VLOOKUP(A616,Lookup!$J$5:$P$19,7,FALSE),0)</f>
        <v>3</v>
      </c>
      <c r="P616" s="159">
        <f t="shared" si="113"/>
        <v>2014</v>
      </c>
      <c r="Q616" s="159">
        <f t="shared" si="114"/>
        <v>7</v>
      </c>
      <c r="R616" s="160">
        <f t="shared" si="115"/>
        <v>4.8500000000931323</v>
      </c>
      <c r="S616" s="158">
        <f t="shared" si="116"/>
        <v>4.8500000000931323</v>
      </c>
      <c r="T616" s="161">
        <f t="shared" si="117"/>
        <v>1993.3500000382774</v>
      </c>
      <c r="U616" s="158">
        <f t="shared" si="119"/>
        <v>411</v>
      </c>
      <c r="V616" s="160">
        <f t="shared" si="118"/>
        <v>411</v>
      </c>
    </row>
    <row r="617" spans="1:22" x14ac:dyDescent="0.25">
      <c r="A617" s="98" t="s">
        <v>28</v>
      </c>
      <c r="B617" s="98" t="s">
        <v>17</v>
      </c>
      <c r="C617" s="98">
        <v>55</v>
      </c>
      <c r="D617" s="98">
        <v>3412</v>
      </c>
      <c r="E617" s="157">
        <v>41843.004861111112</v>
      </c>
      <c r="F617" s="157">
        <v>41843.149305555555</v>
      </c>
      <c r="G617" s="98">
        <v>300</v>
      </c>
      <c r="H617" s="98">
        <v>456</v>
      </c>
      <c r="I617" s="98">
        <v>411</v>
      </c>
      <c r="J617" s="98" t="s">
        <v>2162</v>
      </c>
      <c r="K617" s="98" t="s">
        <v>2202</v>
      </c>
      <c r="L617" s="105" t="str">
        <f t="shared" si="110"/>
        <v>Brown</v>
      </c>
      <c r="M617" s="105" t="str">
        <f t="shared" si="111"/>
        <v>Derate</v>
      </c>
      <c r="N617" s="105" t="str">
        <f t="shared" si="112"/>
        <v>Coal</v>
      </c>
      <c r="O617" s="105">
        <f>IFERROR(VLOOKUP(A617,Lookup!$J$5:$P$19,7,FALSE),0)</f>
        <v>3</v>
      </c>
      <c r="P617" s="159">
        <f t="shared" si="113"/>
        <v>2014</v>
      </c>
      <c r="Q617" s="159">
        <f t="shared" si="114"/>
        <v>7</v>
      </c>
      <c r="R617" s="160">
        <f t="shared" si="115"/>
        <v>3.46666666661622</v>
      </c>
      <c r="S617" s="158">
        <f t="shared" si="116"/>
        <v>1.1859649122634437</v>
      </c>
      <c r="T617" s="161">
        <f t="shared" si="117"/>
        <v>487.43157894027536</v>
      </c>
      <c r="U617" s="158">
        <f t="shared" si="119"/>
        <v>140.60526315789474</v>
      </c>
      <c r="V617" s="160">
        <f t="shared" si="118"/>
        <v>141</v>
      </c>
    </row>
    <row r="618" spans="1:22" x14ac:dyDescent="0.25">
      <c r="A618" s="98" t="s">
        <v>28</v>
      </c>
      <c r="B618" s="98" t="s">
        <v>17</v>
      </c>
      <c r="C618" s="98">
        <v>56</v>
      </c>
      <c r="D618" s="98">
        <v>3412</v>
      </c>
      <c r="E618" s="157">
        <v>41843.149305555555</v>
      </c>
      <c r="F618" s="157">
        <v>41844.4375</v>
      </c>
      <c r="G618" s="98">
        <v>280</v>
      </c>
      <c r="H618" s="98">
        <v>456</v>
      </c>
      <c r="I618" s="98">
        <v>411</v>
      </c>
      <c r="J618" s="98" t="s">
        <v>2162</v>
      </c>
      <c r="K618" s="98" t="s">
        <v>2202</v>
      </c>
      <c r="L618" s="105" t="str">
        <f t="shared" si="110"/>
        <v>Brown</v>
      </c>
      <c r="M618" s="105" t="str">
        <f t="shared" si="111"/>
        <v>Derate</v>
      </c>
      <c r="N618" s="105" t="str">
        <f t="shared" si="112"/>
        <v>Coal</v>
      </c>
      <c r="O618" s="105">
        <f>IFERROR(VLOOKUP(A618,Lookup!$J$5:$P$19,7,FALSE),0)</f>
        <v>3</v>
      </c>
      <c r="P618" s="159">
        <f t="shared" si="113"/>
        <v>2014</v>
      </c>
      <c r="Q618" s="159">
        <f t="shared" si="114"/>
        <v>7</v>
      </c>
      <c r="R618" s="160">
        <f t="shared" si="115"/>
        <v>30.916666666686069</v>
      </c>
      <c r="S618" s="158">
        <f t="shared" si="116"/>
        <v>11.932748538019185</v>
      </c>
      <c r="T618" s="161">
        <f t="shared" si="117"/>
        <v>4904.359649125885</v>
      </c>
      <c r="U618" s="158">
        <f t="shared" si="119"/>
        <v>158.63157894736841</v>
      </c>
      <c r="V618" s="160">
        <f t="shared" si="118"/>
        <v>159</v>
      </c>
    </row>
    <row r="619" spans="1:22" x14ac:dyDescent="0.25">
      <c r="A619" s="98" t="s">
        <v>28</v>
      </c>
      <c r="B619" s="98" t="s">
        <v>17</v>
      </c>
      <c r="C619" s="98">
        <v>57</v>
      </c>
      <c r="D619" s="98">
        <v>3410</v>
      </c>
      <c r="E619" s="157">
        <v>41846.704861111109</v>
      </c>
      <c r="F619" s="157">
        <v>41847.600694444445</v>
      </c>
      <c r="G619" s="98">
        <v>300</v>
      </c>
      <c r="H619" s="98">
        <v>456</v>
      </c>
      <c r="I619" s="98">
        <v>411</v>
      </c>
      <c r="J619" s="98" t="s">
        <v>1983</v>
      </c>
      <c r="K619" s="98" t="s">
        <v>2203</v>
      </c>
      <c r="L619" s="105" t="str">
        <f t="shared" si="110"/>
        <v>Brown</v>
      </c>
      <c r="M619" s="105" t="str">
        <f t="shared" si="111"/>
        <v>Derate</v>
      </c>
      <c r="N619" s="105" t="str">
        <f t="shared" si="112"/>
        <v>Coal</v>
      </c>
      <c r="O619" s="105">
        <f>IFERROR(VLOOKUP(A619,Lookup!$J$5:$P$19,7,FALSE),0)</f>
        <v>3</v>
      </c>
      <c r="P619" s="159">
        <f t="shared" si="113"/>
        <v>2014</v>
      </c>
      <c r="Q619" s="159">
        <f t="shared" si="114"/>
        <v>7</v>
      </c>
      <c r="R619" s="160">
        <f t="shared" si="115"/>
        <v>21.500000000058208</v>
      </c>
      <c r="S619" s="158">
        <f t="shared" si="116"/>
        <v>7.3552631579146501</v>
      </c>
      <c r="T619" s="161">
        <f t="shared" si="117"/>
        <v>3023.0131579029212</v>
      </c>
      <c r="U619" s="158">
        <f t="shared" si="119"/>
        <v>140.60526315789474</v>
      </c>
      <c r="V619" s="160">
        <f t="shared" si="118"/>
        <v>141</v>
      </c>
    </row>
    <row r="620" spans="1:22" x14ac:dyDescent="0.25">
      <c r="A620" s="98" t="s">
        <v>28</v>
      </c>
      <c r="B620" s="98" t="s">
        <v>32</v>
      </c>
      <c r="C620" s="98">
        <v>58</v>
      </c>
      <c r="D620" s="98">
        <v>3415</v>
      </c>
      <c r="E620" s="157">
        <v>41856.097222222219</v>
      </c>
      <c r="F620" s="157">
        <v>41856.277777777781</v>
      </c>
      <c r="G620" s="98">
        <v>300</v>
      </c>
      <c r="H620" s="98">
        <v>456</v>
      </c>
      <c r="I620" s="98">
        <v>411</v>
      </c>
      <c r="J620" s="98" t="s">
        <v>2109</v>
      </c>
      <c r="K620" s="98" t="s">
        <v>2204</v>
      </c>
      <c r="L620" s="105" t="str">
        <f t="shared" si="110"/>
        <v>Brown</v>
      </c>
      <c r="M620" s="105" t="str">
        <f t="shared" si="111"/>
        <v>Derate</v>
      </c>
      <c r="N620" s="105" t="str">
        <f t="shared" si="112"/>
        <v>Coal</v>
      </c>
      <c r="O620" s="105">
        <f>IFERROR(VLOOKUP(A620,Lookup!$J$5:$P$19,7,FALSE),0)</f>
        <v>3</v>
      </c>
      <c r="P620" s="159">
        <f t="shared" si="113"/>
        <v>2014</v>
      </c>
      <c r="Q620" s="159">
        <f t="shared" si="114"/>
        <v>8</v>
      </c>
      <c r="R620" s="160">
        <f t="shared" si="115"/>
        <v>4.3333333334885538</v>
      </c>
      <c r="S620" s="158">
        <f t="shared" si="116"/>
        <v>1.4824561404039789</v>
      </c>
      <c r="T620" s="161">
        <f t="shared" si="117"/>
        <v>609.28947370603532</v>
      </c>
      <c r="U620" s="158">
        <f t="shared" si="119"/>
        <v>140.60526315789474</v>
      </c>
      <c r="V620" s="160">
        <f t="shared" si="118"/>
        <v>141</v>
      </c>
    </row>
    <row r="621" spans="1:22" x14ac:dyDescent="0.25">
      <c r="A621" s="98" t="s">
        <v>28</v>
      </c>
      <c r="B621" s="98" t="s">
        <v>32</v>
      </c>
      <c r="C621" s="98">
        <v>59</v>
      </c>
      <c r="D621" s="98">
        <v>3412</v>
      </c>
      <c r="E621" s="157">
        <v>41884.916666666664</v>
      </c>
      <c r="F621" s="157">
        <v>41885.193055555559</v>
      </c>
      <c r="G621" s="98">
        <v>300</v>
      </c>
      <c r="H621" s="98">
        <v>456</v>
      </c>
      <c r="I621" s="98">
        <v>411</v>
      </c>
      <c r="J621" s="98" t="s">
        <v>2162</v>
      </c>
      <c r="K621" s="98" t="s">
        <v>2205</v>
      </c>
      <c r="L621" s="105" t="str">
        <f t="shared" si="110"/>
        <v>Brown</v>
      </c>
      <c r="M621" s="105" t="str">
        <f t="shared" si="111"/>
        <v>Derate</v>
      </c>
      <c r="N621" s="105" t="str">
        <f t="shared" si="112"/>
        <v>Coal</v>
      </c>
      <c r="O621" s="105">
        <f>IFERROR(VLOOKUP(A621,Lookup!$J$5:$P$19,7,FALSE),0)</f>
        <v>3</v>
      </c>
      <c r="P621" s="159">
        <f t="shared" si="113"/>
        <v>2014</v>
      </c>
      <c r="Q621" s="159">
        <f t="shared" si="114"/>
        <v>9</v>
      </c>
      <c r="R621" s="160">
        <f t="shared" si="115"/>
        <v>6.6333333334769122</v>
      </c>
      <c r="S621" s="158">
        <f t="shared" si="116"/>
        <v>2.2692982456631543</v>
      </c>
      <c r="T621" s="161">
        <f t="shared" si="117"/>
        <v>932.68157896755645</v>
      </c>
      <c r="U621" s="158">
        <f t="shared" si="119"/>
        <v>140.60526315789474</v>
      </c>
      <c r="V621" s="160">
        <f t="shared" si="118"/>
        <v>141</v>
      </c>
    </row>
    <row r="622" spans="1:22" x14ac:dyDescent="0.25">
      <c r="A622" s="98" t="s">
        <v>28</v>
      </c>
      <c r="B622" s="98" t="s">
        <v>79</v>
      </c>
      <c r="C622" s="98">
        <v>60</v>
      </c>
      <c r="D622" s="98">
        <v>3412</v>
      </c>
      <c r="E622" s="157">
        <v>41893.493055555555</v>
      </c>
      <c r="F622" s="157">
        <v>41893.572916666664</v>
      </c>
      <c r="G622" s="98">
        <v>0</v>
      </c>
      <c r="H622" s="98">
        <v>456</v>
      </c>
      <c r="I622" s="98">
        <v>411</v>
      </c>
      <c r="J622" s="98" t="s">
        <v>2162</v>
      </c>
      <c r="K622" s="98" t="s">
        <v>2206</v>
      </c>
      <c r="L622" s="105" t="str">
        <f t="shared" si="110"/>
        <v>Brown</v>
      </c>
      <c r="M622" s="105" t="str">
        <f t="shared" si="111"/>
        <v>Other</v>
      </c>
      <c r="N622" s="105" t="str">
        <f t="shared" si="112"/>
        <v>Coal</v>
      </c>
      <c r="O622" s="105">
        <f>IFERROR(VLOOKUP(A622,Lookup!$J$5:$P$19,7,FALSE),0)</f>
        <v>3</v>
      </c>
      <c r="P622" s="159">
        <f t="shared" si="113"/>
        <v>2014</v>
      </c>
      <c r="Q622" s="159">
        <f t="shared" si="114"/>
        <v>9</v>
      </c>
      <c r="R622" s="160">
        <f t="shared" si="115"/>
        <v>1.9166666666278616</v>
      </c>
      <c r="S622" s="158">
        <f t="shared" si="116"/>
        <v>1.9166666666278616</v>
      </c>
      <c r="T622" s="161">
        <f t="shared" si="117"/>
        <v>787.7499999840511</v>
      </c>
      <c r="U622" s="158">
        <f t="shared" si="119"/>
        <v>411</v>
      </c>
      <c r="V622" s="160">
        <f t="shared" si="118"/>
        <v>411</v>
      </c>
    </row>
    <row r="623" spans="1:22" x14ac:dyDescent="0.25">
      <c r="A623" s="98" t="s">
        <v>28</v>
      </c>
      <c r="B623" s="98" t="s">
        <v>20</v>
      </c>
      <c r="C623" s="98">
        <v>62</v>
      </c>
      <c r="D623" s="98">
        <v>1500</v>
      </c>
      <c r="E623" s="157">
        <v>41897.277777777781</v>
      </c>
      <c r="F623" s="157">
        <v>41897.679166666669</v>
      </c>
      <c r="G623" s="98">
        <v>0</v>
      </c>
      <c r="H623" s="98">
        <v>456</v>
      </c>
      <c r="I623" s="98">
        <v>411</v>
      </c>
      <c r="J623" s="98" t="s">
        <v>2190</v>
      </c>
      <c r="K623" s="98" t="s">
        <v>2207</v>
      </c>
      <c r="L623" s="105" t="str">
        <f t="shared" si="110"/>
        <v>Brown</v>
      </c>
      <c r="M623" s="105" t="str">
        <f t="shared" si="111"/>
        <v>Maintenance</v>
      </c>
      <c r="N623" s="105" t="str">
        <f t="shared" si="112"/>
        <v>Coal</v>
      </c>
      <c r="O623" s="105">
        <f>IFERROR(VLOOKUP(A623,Lookup!$J$5:$P$19,7,FALSE),0)</f>
        <v>3</v>
      </c>
      <c r="P623" s="159">
        <f t="shared" si="113"/>
        <v>2014</v>
      </c>
      <c r="Q623" s="159">
        <f t="shared" si="114"/>
        <v>9</v>
      </c>
      <c r="R623" s="160">
        <f t="shared" si="115"/>
        <v>9.6333333333022892</v>
      </c>
      <c r="S623" s="158">
        <f t="shared" si="116"/>
        <v>9.6333333333022892</v>
      </c>
      <c r="T623" s="161">
        <f t="shared" si="117"/>
        <v>3959.2999999872409</v>
      </c>
      <c r="U623" s="158">
        <f t="shared" si="119"/>
        <v>411</v>
      </c>
      <c r="V623" s="160">
        <f t="shared" si="118"/>
        <v>411</v>
      </c>
    </row>
    <row r="624" spans="1:22" x14ac:dyDescent="0.25">
      <c r="A624" s="98" t="s">
        <v>28</v>
      </c>
      <c r="B624" s="98" t="s">
        <v>15</v>
      </c>
      <c r="C624" s="98">
        <v>64</v>
      </c>
      <c r="D624" s="98">
        <v>4281</v>
      </c>
      <c r="E624" s="157">
        <v>41899.545138888891</v>
      </c>
      <c r="F624" s="157">
        <v>41902.566666666666</v>
      </c>
      <c r="G624" s="98">
        <v>0</v>
      </c>
      <c r="H624" s="98">
        <v>456</v>
      </c>
      <c r="I624" s="98">
        <v>411</v>
      </c>
      <c r="J624" s="98" t="s">
        <v>2208</v>
      </c>
      <c r="K624" s="98" t="s">
        <v>2209</v>
      </c>
      <c r="L624" s="105" t="str">
        <f t="shared" si="110"/>
        <v>Brown</v>
      </c>
      <c r="M624" s="105" t="str">
        <f t="shared" si="111"/>
        <v>Outage</v>
      </c>
      <c r="N624" s="105" t="str">
        <f t="shared" si="112"/>
        <v>Coal</v>
      </c>
      <c r="O624" s="105">
        <f>IFERROR(VLOOKUP(A624,Lookup!$J$5:$P$19,7,FALSE),0)</f>
        <v>3</v>
      </c>
      <c r="P624" s="159">
        <f t="shared" si="113"/>
        <v>2014</v>
      </c>
      <c r="Q624" s="159">
        <f t="shared" si="114"/>
        <v>9</v>
      </c>
      <c r="R624" s="160">
        <f t="shared" si="115"/>
        <v>72.516666666604578</v>
      </c>
      <c r="S624" s="158">
        <f t="shared" si="116"/>
        <v>72.516666666604578</v>
      </c>
      <c r="T624" s="161">
        <f t="shared" si="117"/>
        <v>29804.349999974482</v>
      </c>
      <c r="U624" s="158">
        <f t="shared" si="119"/>
        <v>411</v>
      </c>
      <c r="V624" s="160">
        <f t="shared" si="118"/>
        <v>411</v>
      </c>
    </row>
    <row r="625" spans="1:22" x14ac:dyDescent="0.25">
      <c r="A625" s="98" t="s">
        <v>28</v>
      </c>
      <c r="B625" s="98" t="s">
        <v>20</v>
      </c>
      <c r="C625" s="98">
        <v>66</v>
      </c>
      <c r="D625" s="98">
        <v>3621</v>
      </c>
      <c r="E625" s="157">
        <v>41921.915972222225</v>
      </c>
      <c r="F625" s="157">
        <v>41923.729166666664</v>
      </c>
      <c r="G625" s="98">
        <v>0</v>
      </c>
      <c r="H625" s="98">
        <v>456</v>
      </c>
      <c r="I625" s="98">
        <v>411</v>
      </c>
      <c r="J625" s="98" t="s">
        <v>1993</v>
      </c>
      <c r="K625" s="98" t="s">
        <v>2210</v>
      </c>
      <c r="L625" s="105" t="str">
        <f t="shared" si="110"/>
        <v>Brown</v>
      </c>
      <c r="M625" s="105" t="str">
        <f t="shared" si="111"/>
        <v>Maintenance</v>
      </c>
      <c r="N625" s="105" t="str">
        <f t="shared" si="112"/>
        <v>Coal</v>
      </c>
      <c r="O625" s="105">
        <f>IFERROR(VLOOKUP(A625,Lookup!$J$5:$P$19,7,FALSE),0)</f>
        <v>3</v>
      </c>
      <c r="P625" s="159">
        <f t="shared" si="113"/>
        <v>2014</v>
      </c>
      <c r="Q625" s="159">
        <f t="shared" si="114"/>
        <v>10</v>
      </c>
      <c r="R625" s="160">
        <f t="shared" si="115"/>
        <v>43.516666666546371</v>
      </c>
      <c r="S625" s="158">
        <f t="shared" si="116"/>
        <v>43.516666666546371</v>
      </c>
      <c r="T625" s="161">
        <f t="shared" si="117"/>
        <v>17885.349999950558</v>
      </c>
      <c r="U625" s="158">
        <f t="shared" si="119"/>
        <v>411</v>
      </c>
      <c r="V625" s="160">
        <f t="shared" si="118"/>
        <v>411</v>
      </c>
    </row>
    <row r="626" spans="1:22" x14ac:dyDescent="0.25">
      <c r="A626" s="98" t="s">
        <v>28</v>
      </c>
      <c r="B626" s="98" t="s">
        <v>17</v>
      </c>
      <c r="C626" s="98">
        <v>69</v>
      </c>
      <c r="D626" s="98">
        <v>3440</v>
      </c>
      <c r="E626" s="157">
        <v>41933.791666666664</v>
      </c>
      <c r="F626" s="157">
        <v>41934.295138888891</v>
      </c>
      <c r="G626" s="98">
        <v>400</v>
      </c>
      <c r="H626" s="98">
        <v>456</v>
      </c>
      <c r="I626" s="98">
        <v>411</v>
      </c>
      <c r="J626" s="98" t="s">
        <v>2100</v>
      </c>
      <c r="K626" s="98" t="s">
        <v>2211</v>
      </c>
      <c r="L626" s="105" t="str">
        <f t="shared" si="110"/>
        <v>Brown</v>
      </c>
      <c r="M626" s="105" t="str">
        <f t="shared" si="111"/>
        <v>Derate</v>
      </c>
      <c r="N626" s="105" t="str">
        <f t="shared" si="112"/>
        <v>Coal</v>
      </c>
      <c r="O626" s="105">
        <f>IFERROR(VLOOKUP(A626,Lookup!$J$5:$P$19,7,FALSE),0)</f>
        <v>3</v>
      </c>
      <c r="P626" s="159">
        <f t="shared" si="113"/>
        <v>2014</v>
      </c>
      <c r="Q626" s="159">
        <f t="shared" si="114"/>
        <v>10</v>
      </c>
      <c r="R626" s="160">
        <f t="shared" si="115"/>
        <v>12.083333333430346</v>
      </c>
      <c r="S626" s="158">
        <f t="shared" si="116"/>
        <v>1.4839181286668846</v>
      </c>
      <c r="T626" s="161">
        <f t="shared" si="117"/>
        <v>609.89035088208959</v>
      </c>
      <c r="U626" s="158">
        <f t="shared" si="119"/>
        <v>50.473684210526315</v>
      </c>
      <c r="V626" s="160">
        <f t="shared" si="118"/>
        <v>50</v>
      </c>
    </row>
    <row r="627" spans="1:22" x14ac:dyDescent="0.25">
      <c r="A627" s="98" t="s">
        <v>28</v>
      </c>
      <c r="B627" s="98" t="s">
        <v>17</v>
      </c>
      <c r="C627" s="98">
        <v>70</v>
      </c>
      <c r="D627" s="98">
        <v>3440</v>
      </c>
      <c r="E627" s="157">
        <v>41934.295138888891</v>
      </c>
      <c r="F627" s="157">
        <v>41934.353472222225</v>
      </c>
      <c r="G627" s="98">
        <v>405</v>
      </c>
      <c r="H627" s="98">
        <v>456</v>
      </c>
      <c r="I627" s="98">
        <v>411</v>
      </c>
      <c r="J627" s="98" t="s">
        <v>2100</v>
      </c>
      <c r="K627" s="98" t="s">
        <v>2212</v>
      </c>
      <c r="L627" s="105" t="str">
        <f t="shared" si="110"/>
        <v>Brown</v>
      </c>
      <c r="M627" s="105" t="str">
        <f t="shared" si="111"/>
        <v>Derate</v>
      </c>
      <c r="N627" s="105" t="str">
        <f t="shared" si="112"/>
        <v>Coal</v>
      </c>
      <c r="O627" s="105">
        <f>IFERROR(VLOOKUP(A627,Lookup!$J$5:$P$19,7,FALSE),0)</f>
        <v>3</v>
      </c>
      <c r="P627" s="159">
        <f t="shared" si="113"/>
        <v>2014</v>
      </c>
      <c r="Q627" s="159">
        <f t="shared" si="114"/>
        <v>10</v>
      </c>
      <c r="R627" s="160">
        <f t="shared" si="115"/>
        <v>1.4000000000232831</v>
      </c>
      <c r="S627" s="158">
        <f t="shared" si="116"/>
        <v>0.15657894737102507</v>
      </c>
      <c r="T627" s="161">
        <f t="shared" si="117"/>
        <v>64.353947369491308</v>
      </c>
      <c r="U627" s="158">
        <f t="shared" si="119"/>
        <v>45.967105263157897</v>
      </c>
      <c r="V627" s="160">
        <f t="shared" si="118"/>
        <v>46</v>
      </c>
    </row>
    <row r="628" spans="1:22" x14ac:dyDescent="0.25">
      <c r="A628" s="98" t="s">
        <v>28</v>
      </c>
      <c r="B628" s="98" t="s">
        <v>17</v>
      </c>
      <c r="C628" s="98">
        <v>71</v>
      </c>
      <c r="D628" s="98">
        <v>3440</v>
      </c>
      <c r="E628" s="157">
        <v>41934.353472222225</v>
      </c>
      <c r="F628" s="157">
        <v>41935.520833333336</v>
      </c>
      <c r="G628" s="98">
        <v>430</v>
      </c>
      <c r="H628" s="98">
        <v>456</v>
      </c>
      <c r="I628" s="98">
        <v>411</v>
      </c>
      <c r="J628" s="98" t="s">
        <v>2100</v>
      </c>
      <c r="K628" s="98" t="s">
        <v>2213</v>
      </c>
      <c r="L628" s="105" t="str">
        <f t="shared" si="110"/>
        <v>Brown</v>
      </c>
      <c r="M628" s="105" t="str">
        <f t="shared" si="111"/>
        <v>Derate</v>
      </c>
      <c r="N628" s="105" t="str">
        <f t="shared" si="112"/>
        <v>Coal</v>
      </c>
      <c r="O628" s="105">
        <f>IFERROR(VLOOKUP(A628,Lookup!$J$5:$P$19,7,FALSE),0)</f>
        <v>3</v>
      </c>
      <c r="P628" s="159">
        <f t="shared" si="113"/>
        <v>2014</v>
      </c>
      <c r="Q628" s="159">
        <f t="shared" si="114"/>
        <v>10</v>
      </c>
      <c r="R628" s="160">
        <f t="shared" si="115"/>
        <v>28.016666666662786</v>
      </c>
      <c r="S628" s="158">
        <f t="shared" si="116"/>
        <v>1.5974415204676149</v>
      </c>
      <c r="T628" s="161">
        <f t="shared" si="117"/>
        <v>656.54846491218973</v>
      </c>
      <c r="U628" s="158">
        <f t="shared" si="119"/>
        <v>23.434210526315791</v>
      </c>
      <c r="V628" s="160">
        <f t="shared" si="118"/>
        <v>23</v>
      </c>
    </row>
    <row r="629" spans="1:22" x14ac:dyDescent="0.25">
      <c r="A629" s="98" t="s">
        <v>28</v>
      </c>
      <c r="B629" s="98" t="s">
        <v>32</v>
      </c>
      <c r="C629" s="98">
        <v>72</v>
      </c>
      <c r="D629" s="98">
        <v>8700</v>
      </c>
      <c r="E629" s="157">
        <v>41935.520833333336</v>
      </c>
      <c r="F629" s="157">
        <v>41935.673611111109</v>
      </c>
      <c r="G629" s="98">
        <v>225</v>
      </c>
      <c r="H629" s="98">
        <v>456</v>
      </c>
      <c r="I629" s="98">
        <v>411</v>
      </c>
      <c r="J629" s="98" t="s">
        <v>1987</v>
      </c>
      <c r="K629" s="98" t="s">
        <v>2214</v>
      </c>
      <c r="L629" s="105" t="str">
        <f t="shared" si="110"/>
        <v>Brown</v>
      </c>
      <c r="M629" s="105" t="str">
        <f t="shared" si="111"/>
        <v>Derate</v>
      </c>
      <c r="N629" s="105" t="str">
        <f t="shared" si="112"/>
        <v>Coal</v>
      </c>
      <c r="O629" s="105">
        <f>IFERROR(VLOOKUP(A629,Lookup!$J$5:$P$19,7,FALSE),0)</f>
        <v>3</v>
      </c>
      <c r="P629" s="159">
        <f t="shared" si="113"/>
        <v>2014</v>
      </c>
      <c r="Q629" s="159">
        <f t="shared" si="114"/>
        <v>10</v>
      </c>
      <c r="R629" s="160">
        <f t="shared" si="115"/>
        <v>3.6666666665696539</v>
      </c>
      <c r="S629" s="158">
        <f t="shared" si="116"/>
        <v>1.8574561403017327</v>
      </c>
      <c r="T629" s="161">
        <f t="shared" si="117"/>
        <v>763.41447366401212</v>
      </c>
      <c r="U629" s="158">
        <f t="shared" si="119"/>
        <v>208.20394736842104</v>
      </c>
      <c r="V629" s="160">
        <f t="shared" si="118"/>
        <v>208</v>
      </c>
    </row>
    <row r="630" spans="1:22" x14ac:dyDescent="0.25">
      <c r="A630" s="98" t="s">
        <v>28</v>
      </c>
      <c r="B630" s="98" t="s">
        <v>17</v>
      </c>
      <c r="C630" s="98">
        <v>73</v>
      </c>
      <c r="D630" s="98">
        <v>3440</v>
      </c>
      <c r="E630" s="157">
        <v>41935.673611111109</v>
      </c>
      <c r="F630" s="157">
        <v>41936.920138888891</v>
      </c>
      <c r="G630" s="98">
        <v>430</v>
      </c>
      <c r="H630" s="98">
        <v>456</v>
      </c>
      <c r="I630" s="98">
        <v>411</v>
      </c>
      <c r="J630" s="98" t="s">
        <v>2100</v>
      </c>
      <c r="K630" s="98" t="s">
        <v>2215</v>
      </c>
      <c r="L630" s="105" t="str">
        <f t="shared" si="110"/>
        <v>Brown</v>
      </c>
      <c r="M630" s="105" t="str">
        <f t="shared" si="111"/>
        <v>Derate</v>
      </c>
      <c r="N630" s="105" t="str">
        <f t="shared" si="112"/>
        <v>Coal</v>
      </c>
      <c r="O630" s="105">
        <f>IFERROR(VLOOKUP(A630,Lookup!$J$5:$P$19,7,FALSE),0)</f>
        <v>3</v>
      </c>
      <c r="P630" s="159">
        <f t="shared" si="113"/>
        <v>2014</v>
      </c>
      <c r="Q630" s="159">
        <f t="shared" si="114"/>
        <v>10</v>
      </c>
      <c r="R630" s="160">
        <f t="shared" si="115"/>
        <v>29.916666666744277</v>
      </c>
      <c r="S630" s="158">
        <f t="shared" si="116"/>
        <v>1.7057748538055948</v>
      </c>
      <c r="T630" s="161">
        <f t="shared" si="117"/>
        <v>701.07346491409942</v>
      </c>
      <c r="U630" s="158">
        <f t="shared" si="119"/>
        <v>23.434210526315791</v>
      </c>
      <c r="V630" s="160">
        <f t="shared" si="118"/>
        <v>23</v>
      </c>
    </row>
    <row r="631" spans="1:22" x14ac:dyDescent="0.25">
      <c r="A631" s="98" t="s">
        <v>28</v>
      </c>
      <c r="B631" s="98" t="s">
        <v>20</v>
      </c>
      <c r="C631" s="98">
        <v>74</v>
      </c>
      <c r="D631" s="98">
        <v>3440</v>
      </c>
      <c r="E631" s="157">
        <v>41936.920138888891</v>
      </c>
      <c r="F631" s="157">
        <v>41939.572916666664</v>
      </c>
      <c r="G631" s="98">
        <v>0</v>
      </c>
      <c r="H631" s="98">
        <v>456</v>
      </c>
      <c r="I631" s="98">
        <v>411</v>
      </c>
      <c r="J631" s="98" t="s">
        <v>2100</v>
      </c>
      <c r="K631" s="98" t="s">
        <v>2216</v>
      </c>
      <c r="L631" s="105" t="str">
        <f t="shared" si="110"/>
        <v>Brown</v>
      </c>
      <c r="M631" s="105" t="str">
        <f t="shared" si="111"/>
        <v>Maintenance</v>
      </c>
      <c r="N631" s="105" t="str">
        <f t="shared" si="112"/>
        <v>Coal</v>
      </c>
      <c r="O631" s="105">
        <f>IFERROR(VLOOKUP(A631,Lookup!$J$5:$P$19,7,FALSE),0)</f>
        <v>3</v>
      </c>
      <c r="P631" s="159">
        <f t="shared" si="113"/>
        <v>2014</v>
      </c>
      <c r="Q631" s="159">
        <f t="shared" si="114"/>
        <v>10</v>
      </c>
      <c r="R631" s="160">
        <f t="shared" si="115"/>
        <v>63.666666666569654</v>
      </c>
      <c r="S631" s="158">
        <f t="shared" si="116"/>
        <v>63.666666666569654</v>
      </c>
      <c r="T631" s="161">
        <f t="shared" si="117"/>
        <v>26166.999999960128</v>
      </c>
      <c r="U631" s="158">
        <f t="shared" si="119"/>
        <v>411</v>
      </c>
      <c r="V631" s="160">
        <f t="shared" si="118"/>
        <v>411</v>
      </c>
    </row>
    <row r="632" spans="1:22" x14ac:dyDescent="0.25">
      <c r="A632" s="98" t="s">
        <v>28</v>
      </c>
      <c r="B632" s="98" t="s">
        <v>17</v>
      </c>
      <c r="C632" s="98">
        <v>76</v>
      </c>
      <c r="D632" s="98">
        <v>3502</v>
      </c>
      <c r="E632" s="157">
        <v>41943.286805555559</v>
      </c>
      <c r="F632" s="157">
        <v>41943.333333333336</v>
      </c>
      <c r="G632" s="98">
        <v>400</v>
      </c>
      <c r="H632" s="98">
        <v>456</v>
      </c>
      <c r="I632" s="98">
        <v>411</v>
      </c>
      <c r="J632" s="98" t="s">
        <v>2196</v>
      </c>
      <c r="K632" s="98" t="s">
        <v>2217</v>
      </c>
      <c r="L632" s="105" t="str">
        <f t="shared" si="110"/>
        <v>Brown</v>
      </c>
      <c r="M632" s="105" t="str">
        <f t="shared" si="111"/>
        <v>Derate</v>
      </c>
      <c r="N632" s="105" t="str">
        <f t="shared" si="112"/>
        <v>Coal</v>
      </c>
      <c r="O632" s="105">
        <f>IFERROR(VLOOKUP(A632,Lookup!$J$5:$P$19,7,FALSE),0)</f>
        <v>3</v>
      </c>
      <c r="P632" s="159">
        <f t="shared" si="113"/>
        <v>2014</v>
      </c>
      <c r="Q632" s="159">
        <f t="shared" si="114"/>
        <v>10</v>
      </c>
      <c r="R632" s="160">
        <f t="shared" si="115"/>
        <v>1.1166666666395031</v>
      </c>
      <c r="S632" s="158">
        <f t="shared" si="116"/>
        <v>0.13713450292064072</v>
      </c>
      <c r="T632" s="161">
        <f t="shared" si="117"/>
        <v>56.362280700383337</v>
      </c>
      <c r="U632" s="158">
        <f t="shared" si="119"/>
        <v>50.473684210526315</v>
      </c>
      <c r="V632" s="160">
        <f t="shared" si="118"/>
        <v>50</v>
      </c>
    </row>
    <row r="633" spans="1:22" x14ac:dyDescent="0.25">
      <c r="A633" s="98" t="s">
        <v>28</v>
      </c>
      <c r="B633" s="98" t="s">
        <v>15</v>
      </c>
      <c r="C633" s="98">
        <v>77</v>
      </c>
      <c r="D633" s="98">
        <v>1070</v>
      </c>
      <c r="E633" s="157">
        <v>41955.724999999999</v>
      </c>
      <c r="F633" s="157">
        <v>41960.195138888892</v>
      </c>
      <c r="G633" s="98">
        <v>0</v>
      </c>
      <c r="H633" s="98">
        <v>456</v>
      </c>
      <c r="I633" s="98">
        <v>411</v>
      </c>
      <c r="J633" s="98" t="s">
        <v>2168</v>
      </c>
      <c r="K633" s="98" t="s">
        <v>2218</v>
      </c>
      <c r="L633" s="105" t="str">
        <f t="shared" si="110"/>
        <v>Brown</v>
      </c>
      <c r="M633" s="105" t="str">
        <f t="shared" si="111"/>
        <v>Outage</v>
      </c>
      <c r="N633" s="105" t="str">
        <f t="shared" si="112"/>
        <v>Coal</v>
      </c>
      <c r="O633" s="105">
        <f>IFERROR(VLOOKUP(A633,Lookup!$J$5:$P$19,7,FALSE),0)</f>
        <v>3</v>
      </c>
      <c r="P633" s="159">
        <f t="shared" si="113"/>
        <v>2014</v>
      </c>
      <c r="Q633" s="159">
        <f t="shared" si="114"/>
        <v>11</v>
      </c>
      <c r="R633" s="160">
        <f t="shared" si="115"/>
        <v>107.28333333344199</v>
      </c>
      <c r="S633" s="158">
        <f t="shared" si="116"/>
        <v>107.28333333344199</v>
      </c>
      <c r="T633" s="161">
        <f t="shared" si="117"/>
        <v>44093.450000044657</v>
      </c>
      <c r="U633" s="158">
        <f t="shared" si="119"/>
        <v>411</v>
      </c>
      <c r="V633" s="160">
        <f t="shared" si="118"/>
        <v>411</v>
      </c>
    </row>
    <row r="634" spans="1:22" x14ac:dyDescent="0.25">
      <c r="A634" s="98" t="s">
        <v>28</v>
      </c>
      <c r="B634" s="98" t="s">
        <v>20</v>
      </c>
      <c r="C634" s="98">
        <v>78</v>
      </c>
      <c r="D634" s="98">
        <v>8816</v>
      </c>
      <c r="E634" s="157">
        <v>41986.090277777781</v>
      </c>
      <c r="F634" s="157">
        <v>41993.188194444447</v>
      </c>
      <c r="G634" s="98">
        <v>0</v>
      </c>
      <c r="H634" s="98">
        <v>456</v>
      </c>
      <c r="I634" s="98">
        <v>411</v>
      </c>
      <c r="J634" s="98" t="s">
        <v>2219</v>
      </c>
      <c r="K634" s="98" t="s">
        <v>2220</v>
      </c>
      <c r="L634" s="105" t="str">
        <f t="shared" si="110"/>
        <v>Brown</v>
      </c>
      <c r="M634" s="105" t="str">
        <f t="shared" si="111"/>
        <v>Maintenance</v>
      </c>
      <c r="N634" s="105" t="str">
        <f t="shared" si="112"/>
        <v>Coal</v>
      </c>
      <c r="O634" s="105">
        <f>IFERROR(VLOOKUP(A634,Lookup!$J$5:$P$19,7,FALSE),0)</f>
        <v>3</v>
      </c>
      <c r="P634" s="159">
        <f t="shared" si="113"/>
        <v>2014</v>
      </c>
      <c r="Q634" s="159">
        <f t="shared" si="114"/>
        <v>12</v>
      </c>
      <c r="R634" s="160">
        <f t="shared" si="115"/>
        <v>170.34999999997672</v>
      </c>
      <c r="S634" s="158">
        <f t="shared" si="116"/>
        <v>170.34999999997672</v>
      </c>
      <c r="T634" s="161">
        <f t="shared" si="117"/>
        <v>70013.849999990431</v>
      </c>
      <c r="U634" s="158">
        <f t="shared" si="119"/>
        <v>411</v>
      </c>
      <c r="V634" s="160">
        <f t="shared" si="118"/>
        <v>411</v>
      </c>
    </row>
    <row r="635" spans="1:22" x14ac:dyDescent="0.25">
      <c r="A635" s="98" t="s">
        <v>28</v>
      </c>
      <c r="B635" s="98" t="s">
        <v>17</v>
      </c>
      <c r="C635" s="98">
        <v>1</v>
      </c>
      <c r="D635" s="98">
        <v>1710</v>
      </c>
      <c r="E635" s="157">
        <v>42006.454861111109</v>
      </c>
      <c r="F635" s="157">
        <v>42006.515277777777</v>
      </c>
      <c r="G635" s="98">
        <v>57</v>
      </c>
      <c r="H635" s="98">
        <v>456</v>
      </c>
      <c r="I635" s="98">
        <v>411</v>
      </c>
      <c r="J635" s="98" t="s">
        <v>2020</v>
      </c>
      <c r="K635" s="98" t="s">
        <v>2221</v>
      </c>
      <c r="L635" s="105" t="str">
        <f t="shared" si="110"/>
        <v>Brown</v>
      </c>
      <c r="M635" s="105" t="str">
        <f t="shared" si="111"/>
        <v>Derate</v>
      </c>
      <c r="N635" s="105" t="str">
        <f t="shared" si="112"/>
        <v>Coal</v>
      </c>
      <c r="O635" s="105">
        <f>IFERROR(VLOOKUP(A635,Lookup!$J$5:$P$19,7,FALSE),0)</f>
        <v>3</v>
      </c>
      <c r="P635" s="159">
        <f t="shared" si="113"/>
        <v>2015</v>
      </c>
      <c r="Q635" s="159">
        <f t="shared" si="114"/>
        <v>1</v>
      </c>
      <c r="R635" s="160">
        <f t="shared" si="115"/>
        <v>1.4500000000116415</v>
      </c>
      <c r="S635" s="158">
        <f t="shared" si="116"/>
        <v>1.2687500000101863</v>
      </c>
      <c r="T635" s="161">
        <f t="shared" si="117"/>
        <v>521.45625000418659</v>
      </c>
      <c r="U635" s="158">
        <f t="shared" si="119"/>
        <v>359.625</v>
      </c>
      <c r="V635" s="160">
        <f t="shared" si="118"/>
        <v>360</v>
      </c>
    </row>
    <row r="636" spans="1:22" x14ac:dyDescent="0.25">
      <c r="A636" s="98" t="s">
        <v>28</v>
      </c>
      <c r="B636" s="98" t="s">
        <v>32</v>
      </c>
      <c r="C636" s="98">
        <v>2</v>
      </c>
      <c r="D636" s="98">
        <v>335</v>
      </c>
      <c r="E636" s="157">
        <v>42009.958333333336</v>
      </c>
      <c r="F636" s="157">
        <v>42010.072916666664</v>
      </c>
      <c r="G636" s="98">
        <v>350</v>
      </c>
      <c r="H636" s="98">
        <v>456</v>
      </c>
      <c r="I636" s="98">
        <v>411</v>
      </c>
      <c r="J636" s="98" t="s">
        <v>2131</v>
      </c>
      <c r="K636" s="98" t="s">
        <v>2222</v>
      </c>
      <c r="L636" s="105" t="str">
        <f t="shared" si="110"/>
        <v>Brown</v>
      </c>
      <c r="M636" s="105" t="str">
        <f t="shared" si="111"/>
        <v>Derate</v>
      </c>
      <c r="N636" s="105" t="str">
        <f t="shared" si="112"/>
        <v>Coal</v>
      </c>
      <c r="O636" s="105">
        <f>IFERROR(VLOOKUP(A636,Lookup!$J$5:$P$19,7,FALSE),0)</f>
        <v>3</v>
      </c>
      <c r="P636" s="159">
        <f t="shared" si="113"/>
        <v>2015</v>
      </c>
      <c r="Q636" s="159">
        <f t="shared" si="114"/>
        <v>1</v>
      </c>
      <c r="R636" s="160">
        <f t="shared" si="115"/>
        <v>2.7499999998835847</v>
      </c>
      <c r="S636" s="158">
        <f t="shared" si="116"/>
        <v>0.63925438593785078</v>
      </c>
      <c r="T636" s="161">
        <f t="shared" si="117"/>
        <v>262.73355262045669</v>
      </c>
      <c r="U636" s="158">
        <f t="shared" si="119"/>
        <v>95.53947368421052</v>
      </c>
      <c r="V636" s="160">
        <f t="shared" si="118"/>
        <v>96</v>
      </c>
    </row>
    <row r="637" spans="1:22" x14ac:dyDescent="0.25">
      <c r="A637" s="98" t="s">
        <v>28</v>
      </c>
      <c r="B637" s="98" t="s">
        <v>79</v>
      </c>
      <c r="C637" s="98">
        <v>3</v>
      </c>
      <c r="D637" s="98">
        <v>8700</v>
      </c>
      <c r="E637" s="157">
        <v>42017.90625</v>
      </c>
      <c r="F637" s="157">
        <v>42018.074305555558</v>
      </c>
      <c r="G637" s="98">
        <v>0</v>
      </c>
      <c r="H637" s="98">
        <v>456</v>
      </c>
      <c r="I637" s="98">
        <v>411</v>
      </c>
      <c r="J637" s="98" t="s">
        <v>1987</v>
      </c>
      <c r="K637" s="98" t="s">
        <v>82</v>
      </c>
      <c r="L637" s="105" t="str">
        <f t="shared" si="110"/>
        <v>Brown</v>
      </c>
      <c r="M637" s="105" t="str">
        <f t="shared" si="111"/>
        <v>Other</v>
      </c>
      <c r="N637" s="105" t="str">
        <f t="shared" si="112"/>
        <v>Coal</v>
      </c>
      <c r="O637" s="105">
        <f>IFERROR(VLOOKUP(A637,Lookup!$J$5:$P$19,7,FALSE),0)</f>
        <v>3</v>
      </c>
      <c r="P637" s="159">
        <f t="shared" si="113"/>
        <v>2015</v>
      </c>
      <c r="Q637" s="159">
        <f t="shared" si="114"/>
        <v>1</v>
      </c>
      <c r="R637" s="160">
        <f t="shared" si="115"/>
        <v>4.03333333338378</v>
      </c>
      <c r="S637" s="158">
        <f t="shared" si="116"/>
        <v>4.03333333338378</v>
      </c>
      <c r="T637" s="161">
        <f t="shared" si="117"/>
        <v>1657.7000000207336</v>
      </c>
      <c r="U637" s="158">
        <f t="shared" si="119"/>
        <v>411</v>
      </c>
      <c r="V637" s="160">
        <f t="shared" si="118"/>
        <v>411</v>
      </c>
    </row>
    <row r="638" spans="1:22" x14ac:dyDescent="0.25">
      <c r="A638" s="98" t="s">
        <v>28</v>
      </c>
      <c r="B638" s="98" t="s">
        <v>15</v>
      </c>
      <c r="C638" s="98">
        <v>5</v>
      </c>
      <c r="D638" s="98">
        <v>4609</v>
      </c>
      <c r="E638" s="157">
        <v>42026.791666666664</v>
      </c>
      <c r="F638" s="157">
        <v>42026.918055555558</v>
      </c>
      <c r="G638" s="98">
        <v>0</v>
      </c>
      <c r="H638" s="98">
        <v>456</v>
      </c>
      <c r="I638" s="98">
        <v>411</v>
      </c>
      <c r="J638" s="98" t="s">
        <v>2105</v>
      </c>
      <c r="K638" s="98" t="s">
        <v>2223</v>
      </c>
      <c r="L638" s="105" t="str">
        <f t="shared" si="110"/>
        <v>Brown</v>
      </c>
      <c r="M638" s="105" t="str">
        <f t="shared" si="111"/>
        <v>Outage</v>
      </c>
      <c r="N638" s="105" t="str">
        <f t="shared" si="112"/>
        <v>Coal</v>
      </c>
      <c r="O638" s="105">
        <f>IFERROR(VLOOKUP(A638,Lookup!$J$5:$P$19,7,FALSE),0)</f>
        <v>3</v>
      </c>
      <c r="P638" s="159">
        <f t="shared" si="113"/>
        <v>2015</v>
      </c>
      <c r="Q638" s="159">
        <f t="shared" si="114"/>
        <v>1</v>
      </c>
      <c r="R638" s="160">
        <f t="shared" si="115"/>
        <v>3.0333333334419876</v>
      </c>
      <c r="S638" s="158">
        <f t="shared" si="116"/>
        <v>3.0333333334419876</v>
      </c>
      <c r="T638" s="161">
        <f t="shared" si="117"/>
        <v>1246.7000000446569</v>
      </c>
      <c r="U638" s="158">
        <f t="shared" si="119"/>
        <v>411</v>
      </c>
      <c r="V638" s="160">
        <f t="shared" si="118"/>
        <v>411</v>
      </c>
    </row>
    <row r="639" spans="1:22" x14ac:dyDescent="0.25">
      <c r="A639" s="98" t="s">
        <v>28</v>
      </c>
      <c r="B639" s="98" t="s">
        <v>18</v>
      </c>
      <c r="C639" s="98">
        <v>7</v>
      </c>
      <c r="D639" s="98">
        <v>500</v>
      </c>
      <c r="E639" s="157">
        <v>42029.880555555559</v>
      </c>
      <c r="F639" s="157">
        <v>42030.763888888891</v>
      </c>
      <c r="G639" s="98">
        <v>0</v>
      </c>
      <c r="H639" s="98">
        <v>456</v>
      </c>
      <c r="I639" s="98">
        <v>411</v>
      </c>
      <c r="J639" s="98" t="s">
        <v>3238</v>
      </c>
      <c r="K639" s="98" t="s">
        <v>2224</v>
      </c>
      <c r="L639" s="105" t="str">
        <f t="shared" si="110"/>
        <v>Brown</v>
      </c>
      <c r="M639" s="105" t="str">
        <f t="shared" si="111"/>
        <v>Outage</v>
      </c>
      <c r="N639" s="105" t="str">
        <f t="shared" si="112"/>
        <v>Coal</v>
      </c>
      <c r="O639" s="105">
        <f>IFERROR(VLOOKUP(A639,Lookup!$J$5:$P$19,7,FALSE),0)</f>
        <v>3</v>
      </c>
      <c r="P639" s="159">
        <f t="shared" si="113"/>
        <v>2015</v>
      </c>
      <c r="Q639" s="159">
        <f t="shared" si="114"/>
        <v>1</v>
      </c>
      <c r="R639" s="160">
        <f t="shared" si="115"/>
        <v>21.199999999953434</v>
      </c>
      <c r="S639" s="158">
        <f t="shared" si="116"/>
        <v>21.199999999953434</v>
      </c>
      <c r="T639" s="161">
        <f t="shared" si="117"/>
        <v>8713.1999999808613</v>
      </c>
      <c r="U639" s="158">
        <f t="shared" si="119"/>
        <v>411</v>
      </c>
      <c r="V639" s="160">
        <f t="shared" si="118"/>
        <v>411</v>
      </c>
    </row>
    <row r="640" spans="1:22" x14ac:dyDescent="0.25">
      <c r="A640" s="98" t="s">
        <v>28</v>
      </c>
      <c r="B640" s="98" t="s">
        <v>17</v>
      </c>
      <c r="C640" s="98">
        <v>8</v>
      </c>
      <c r="D640" s="98">
        <v>310</v>
      </c>
      <c r="E640" s="157">
        <v>42040.324999999997</v>
      </c>
      <c r="F640" s="157">
        <v>42040.386111111111</v>
      </c>
      <c r="G640" s="98">
        <v>350</v>
      </c>
      <c r="H640" s="98">
        <v>456</v>
      </c>
      <c r="I640" s="98">
        <v>411</v>
      </c>
      <c r="J640" s="98" t="s">
        <v>1966</v>
      </c>
      <c r="K640" s="98" t="s">
        <v>2225</v>
      </c>
      <c r="L640" s="105" t="str">
        <f t="shared" si="110"/>
        <v>Brown</v>
      </c>
      <c r="M640" s="105" t="str">
        <f t="shared" si="111"/>
        <v>Derate</v>
      </c>
      <c r="N640" s="105" t="str">
        <f t="shared" si="112"/>
        <v>Coal</v>
      </c>
      <c r="O640" s="105">
        <f>IFERROR(VLOOKUP(A640,Lookup!$J$5:$P$19,7,FALSE),0)</f>
        <v>3</v>
      </c>
      <c r="P640" s="159">
        <f t="shared" si="113"/>
        <v>2015</v>
      </c>
      <c r="Q640" s="159">
        <f t="shared" si="114"/>
        <v>2</v>
      </c>
      <c r="R640" s="160">
        <f t="shared" si="115"/>
        <v>1.4666666667326353</v>
      </c>
      <c r="S640" s="158">
        <f t="shared" si="116"/>
        <v>0.34093567252995471</v>
      </c>
      <c r="T640" s="161">
        <f t="shared" si="117"/>
        <v>140.12456140981138</v>
      </c>
      <c r="U640" s="158">
        <f t="shared" si="119"/>
        <v>95.53947368421052</v>
      </c>
      <c r="V640" s="160">
        <f t="shared" si="118"/>
        <v>96</v>
      </c>
    </row>
    <row r="641" spans="1:22" x14ac:dyDescent="0.25">
      <c r="A641" s="98" t="s">
        <v>28</v>
      </c>
      <c r="B641" s="98" t="s">
        <v>17</v>
      </c>
      <c r="C641" s="98">
        <v>9</v>
      </c>
      <c r="D641" s="98">
        <v>4560</v>
      </c>
      <c r="E641" s="157">
        <v>42041.283333333333</v>
      </c>
      <c r="F641" s="157">
        <v>42041.322916666664</v>
      </c>
      <c r="G641" s="98">
        <v>325</v>
      </c>
      <c r="H641" s="98">
        <v>456</v>
      </c>
      <c r="I641" s="98">
        <v>411</v>
      </c>
      <c r="J641" s="98" t="s">
        <v>2226</v>
      </c>
      <c r="K641" s="98" t="s">
        <v>2227</v>
      </c>
      <c r="L641" s="105" t="str">
        <f t="shared" si="110"/>
        <v>Brown</v>
      </c>
      <c r="M641" s="105" t="str">
        <f t="shared" si="111"/>
        <v>Derate</v>
      </c>
      <c r="N641" s="105" t="str">
        <f t="shared" si="112"/>
        <v>Coal</v>
      </c>
      <c r="O641" s="105">
        <f>IFERROR(VLOOKUP(A641,Lookup!$J$5:$P$19,7,FALSE),0)</f>
        <v>3</v>
      </c>
      <c r="P641" s="159">
        <f t="shared" si="113"/>
        <v>2015</v>
      </c>
      <c r="Q641" s="159">
        <f t="shared" si="114"/>
        <v>2</v>
      </c>
      <c r="R641" s="160">
        <f t="shared" si="115"/>
        <v>0.94999999995343387</v>
      </c>
      <c r="S641" s="158">
        <f t="shared" si="116"/>
        <v>0.27291666665328912</v>
      </c>
      <c r="T641" s="161">
        <f t="shared" si="117"/>
        <v>112.16874999450182</v>
      </c>
      <c r="U641" s="158">
        <f t="shared" si="119"/>
        <v>118.07236842105263</v>
      </c>
      <c r="V641" s="160">
        <f t="shared" si="118"/>
        <v>118</v>
      </c>
    </row>
    <row r="642" spans="1:22" x14ac:dyDescent="0.25">
      <c r="A642" s="98" t="s">
        <v>28</v>
      </c>
      <c r="B642" s="98" t="s">
        <v>17</v>
      </c>
      <c r="C642" s="98">
        <v>10</v>
      </c>
      <c r="D642" s="98">
        <v>4560</v>
      </c>
      <c r="E642" s="157">
        <v>42041.322916666664</v>
      </c>
      <c r="F642" s="157">
        <v>42041.380555555559</v>
      </c>
      <c r="G642" s="98">
        <v>380</v>
      </c>
      <c r="H642" s="98">
        <v>456</v>
      </c>
      <c r="I642" s="98">
        <v>411</v>
      </c>
      <c r="J642" s="98" t="s">
        <v>2226</v>
      </c>
      <c r="K642" s="98" t="s">
        <v>2227</v>
      </c>
      <c r="L642" s="105" t="str">
        <f t="shared" si="110"/>
        <v>Brown</v>
      </c>
      <c r="M642" s="105" t="str">
        <f t="shared" si="111"/>
        <v>Derate</v>
      </c>
      <c r="N642" s="105" t="str">
        <f t="shared" si="112"/>
        <v>Coal</v>
      </c>
      <c r="O642" s="105">
        <f>IFERROR(VLOOKUP(A642,Lookup!$J$5:$P$19,7,FALSE),0)</f>
        <v>3</v>
      </c>
      <c r="P642" s="159">
        <f t="shared" si="113"/>
        <v>2015</v>
      </c>
      <c r="Q642" s="159">
        <f t="shared" si="114"/>
        <v>2</v>
      </c>
      <c r="R642" s="160">
        <f t="shared" si="115"/>
        <v>1.3833333334769122</v>
      </c>
      <c r="S642" s="158">
        <f t="shared" si="116"/>
        <v>0.23055555557948537</v>
      </c>
      <c r="T642" s="161">
        <f t="shared" si="117"/>
        <v>94.758333343168488</v>
      </c>
      <c r="U642" s="158">
        <f t="shared" si="119"/>
        <v>68.5</v>
      </c>
      <c r="V642" s="160">
        <f t="shared" si="118"/>
        <v>69</v>
      </c>
    </row>
    <row r="643" spans="1:22" x14ac:dyDescent="0.25">
      <c r="A643" s="98" t="s">
        <v>28</v>
      </c>
      <c r="B643" s="98" t="s">
        <v>15</v>
      </c>
      <c r="C643" s="98">
        <v>11</v>
      </c>
      <c r="D643" s="98">
        <v>4560</v>
      </c>
      <c r="E643" s="157">
        <v>42041.380555555559</v>
      </c>
      <c r="F643" s="157">
        <v>42041.793749999997</v>
      </c>
      <c r="G643" s="98">
        <v>0</v>
      </c>
      <c r="H643" s="98">
        <v>456</v>
      </c>
      <c r="I643" s="98">
        <v>411</v>
      </c>
      <c r="J643" s="98" t="s">
        <v>2226</v>
      </c>
      <c r="K643" s="98" t="s">
        <v>2227</v>
      </c>
      <c r="L643" s="105" t="str">
        <f t="shared" si="110"/>
        <v>Brown</v>
      </c>
      <c r="M643" s="105" t="str">
        <f t="shared" si="111"/>
        <v>Outage</v>
      </c>
      <c r="N643" s="105" t="str">
        <f t="shared" si="112"/>
        <v>Coal</v>
      </c>
      <c r="O643" s="105">
        <f>IFERROR(VLOOKUP(A643,Lookup!$J$5:$P$19,7,FALSE),0)</f>
        <v>3</v>
      </c>
      <c r="P643" s="159">
        <f t="shared" si="113"/>
        <v>2015</v>
      </c>
      <c r="Q643" s="159">
        <f t="shared" si="114"/>
        <v>2</v>
      </c>
      <c r="R643" s="160">
        <f t="shared" si="115"/>
        <v>9.9166666665114462</v>
      </c>
      <c r="S643" s="158">
        <f t="shared" si="116"/>
        <v>9.9166666665114462</v>
      </c>
      <c r="T643" s="161">
        <f t="shared" si="117"/>
        <v>4075.7499999362044</v>
      </c>
      <c r="U643" s="158">
        <f t="shared" si="119"/>
        <v>411</v>
      </c>
      <c r="V643" s="160">
        <f t="shared" si="118"/>
        <v>411</v>
      </c>
    </row>
    <row r="644" spans="1:22" x14ac:dyDescent="0.25">
      <c r="A644" s="98" t="s">
        <v>28</v>
      </c>
      <c r="B644" s="98" t="s">
        <v>15</v>
      </c>
      <c r="C644" s="98">
        <v>12</v>
      </c>
      <c r="D644" s="98">
        <v>90</v>
      </c>
      <c r="E644" s="157">
        <v>42055.56527777778</v>
      </c>
      <c r="F644" s="157">
        <v>42055.663194444445</v>
      </c>
      <c r="G644" s="98">
        <v>0</v>
      </c>
      <c r="H644" s="98">
        <v>456</v>
      </c>
      <c r="I644" s="98">
        <v>411</v>
      </c>
      <c r="J644" s="98" t="s">
        <v>2027</v>
      </c>
      <c r="K644" s="98" t="s">
        <v>2228</v>
      </c>
      <c r="L644" s="105" t="str">
        <f t="shared" si="110"/>
        <v>Brown</v>
      </c>
      <c r="M644" s="105" t="str">
        <f t="shared" si="111"/>
        <v>Outage</v>
      </c>
      <c r="N644" s="105" t="str">
        <f t="shared" si="112"/>
        <v>Coal</v>
      </c>
      <c r="O644" s="105">
        <f>IFERROR(VLOOKUP(A644,Lookup!$J$5:$P$19,7,FALSE),0)</f>
        <v>3</v>
      </c>
      <c r="P644" s="159">
        <f t="shared" si="113"/>
        <v>2015</v>
      </c>
      <c r="Q644" s="159">
        <f t="shared" si="114"/>
        <v>2</v>
      </c>
      <c r="R644" s="160">
        <f t="shared" si="115"/>
        <v>2.3499999999767169</v>
      </c>
      <c r="S644" s="158">
        <f t="shared" si="116"/>
        <v>2.3499999999767169</v>
      </c>
      <c r="T644" s="161">
        <f t="shared" si="117"/>
        <v>965.84999999043066</v>
      </c>
      <c r="U644" s="158">
        <f t="shared" si="119"/>
        <v>411</v>
      </c>
      <c r="V644" s="160">
        <f t="shared" si="118"/>
        <v>411</v>
      </c>
    </row>
    <row r="645" spans="1:22" x14ac:dyDescent="0.25">
      <c r="A645" s="98" t="s">
        <v>28</v>
      </c>
      <c r="B645" s="98" t="s">
        <v>17</v>
      </c>
      <c r="C645" s="98">
        <v>13</v>
      </c>
      <c r="D645" s="98">
        <v>9270</v>
      </c>
      <c r="E645" s="157">
        <v>42055.927777777775</v>
      </c>
      <c r="F645" s="157">
        <v>42056.138888888891</v>
      </c>
      <c r="G645" s="98">
        <v>350</v>
      </c>
      <c r="H645" s="98">
        <v>456</v>
      </c>
      <c r="I645" s="98">
        <v>411</v>
      </c>
      <c r="J645" s="98" t="s">
        <v>2006</v>
      </c>
      <c r="K645" s="98" t="s">
        <v>91</v>
      </c>
      <c r="L645" s="105" t="str">
        <f t="shared" si="110"/>
        <v>Brown</v>
      </c>
      <c r="M645" s="105" t="str">
        <f t="shared" si="111"/>
        <v>Derate</v>
      </c>
      <c r="N645" s="105" t="str">
        <f t="shared" si="112"/>
        <v>Coal</v>
      </c>
      <c r="O645" s="105">
        <f>IFERROR(VLOOKUP(A645,Lookup!$J$5:$P$19,7,FALSE),0)</f>
        <v>3</v>
      </c>
      <c r="P645" s="159">
        <f t="shared" si="113"/>
        <v>2015</v>
      </c>
      <c r="Q645" s="159">
        <f t="shared" si="114"/>
        <v>2</v>
      </c>
      <c r="R645" s="160">
        <f t="shared" si="115"/>
        <v>5.0666666667675599</v>
      </c>
      <c r="S645" s="158">
        <f t="shared" si="116"/>
        <v>1.1777777778012311</v>
      </c>
      <c r="T645" s="161">
        <f t="shared" si="117"/>
        <v>484.06666667630594</v>
      </c>
      <c r="U645" s="158">
        <f t="shared" si="119"/>
        <v>95.53947368421052</v>
      </c>
      <c r="V645" s="160">
        <f t="shared" si="118"/>
        <v>96</v>
      </c>
    </row>
    <row r="646" spans="1:22" x14ac:dyDescent="0.25">
      <c r="A646" s="98" t="s">
        <v>28</v>
      </c>
      <c r="B646" s="98" t="s">
        <v>17</v>
      </c>
      <c r="C646" s="98">
        <v>14</v>
      </c>
      <c r="D646" s="98">
        <v>340</v>
      </c>
      <c r="E646" s="157">
        <v>42057.982638888891</v>
      </c>
      <c r="F646" s="157">
        <v>42058.037499999999</v>
      </c>
      <c r="G646" s="98">
        <v>360</v>
      </c>
      <c r="H646" s="98">
        <v>456</v>
      </c>
      <c r="I646" s="98">
        <v>411</v>
      </c>
      <c r="J646" s="98" t="s">
        <v>1970</v>
      </c>
      <c r="K646" s="98" t="s">
        <v>2229</v>
      </c>
      <c r="L646" s="105" t="str">
        <f t="shared" si="110"/>
        <v>Brown</v>
      </c>
      <c r="M646" s="105" t="str">
        <f t="shared" si="111"/>
        <v>Derate</v>
      </c>
      <c r="N646" s="105" t="str">
        <f t="shared" si="112"/>
        <v>Coal</v>
      </c>
      <c r="O646" s="105">
        <f>IFERROR(VLOOKUP(A646,Lookup!$J$5:$P$19,7,FALSE),0)</f>
        <v>3</v>
      </c>
      <c r="P646" s="159">
        <f t="shared" si="113"/>
        <v>2015</v>
      </c>
      <c r="Q646" s="159">
        <f t="shared" si="114"/>
        <v>2</v>
      </c>
      <c r="R646" s="160">
        <f t="shared" si="115"/>
        <v>1.316666666592937</v>
      </c>
      <c r="S646" s="158">
        <f t="shared" si="116"/>
        <v>0.2771929824406183</v>
      </c>
      <c r="T646" s="161">
        <f t="shared" si="117"/>
        <v>113.92631578309413</v>
      </c>
      <c r="U646" s="158">
        <f t="shared" si="119"/>
        <v>86.526315789473685</v>
      </c>
      <c r="V646" s="160">
        <f t="shared" si="118"/>
        <v>87</v>
      </c>
    </row>
    <row r="647" spans="1:22" x14ac:dyDescent="0.25">
      <c r="A647" s="98" t="s">
        <v>28</v>
      </c>
      <c r="B647" s="98" t="s">
        <v>32</v>
      </c>
      <c r="C647" s="98">
        <v>15</v>
      </c>
      <c r="D647" s="98">
        <v>344</v>
      </c>
      <c r="E647" s="157">
        <v>42059.916666666664</v>
      </c>
      <c r="F647" s="157">
        <v>42060.045138888891</v>
      </c>
      <c r="G647" s="98">
        <v>350</v>
      </c>
      <c r="H647" s="98">
        <v>456</v>
      </c>
      <c r="I647" s="98">
        <v>411</v>
      </c>
      <c r="J647" s="98" t="s">
        <v>1968</v>
      </c>
      <c r="K647" s="98" t="s">
        <v>2230</v>
      </c>
      <c r="L647" s="105" t="str">
        <f t="shared" si="110"/>
        <v>Brown</v>
      </c>
      <c r="M647" s="105" t="str">
        <f t="shared" si="111"/>
        <v>Derate</v>
      </c>
      <c r="N647" s="105" t="str">
        <f t="shared" si="112"/>
        <v>Coal</v>
      </c>
      <c r="O647" s="105">
        <f>IFERROR(VLOOKUP(A647,Lookup!$J$5:$P$19,7,FALSE),0)</f>
        <v>3</v>
      </c>
      <c r="P647" s="159">
        <f t="shared" si="113"/>
        <v>2015</v>
      </c>
      <c r="Q647" s="159">
        <f t="shared" si="114"/>
        <v>2</v>
      </c>
      <c r="R647" s="160">
        <f t="shared" si="115"/>
        <v>3.0833333334303461</v>
      </c>
      <c r="S647" s="158">
        <f t="shared" si="116"/>
        <v>0.71673976610442258</v>
      </c>
      <c r="T647" s="161">
        <f t="shared" si="117"/>
        <v>294.5800438689177</v>
      </c>
      <c r="U647" s="158">
        <f t="shared" si="119"/>
        <v>95.53947368421052</v>
      </c>
      <c r="V647" s="160">
        <f t="shared" si="118"/>
        <v>96</v>
      </c>
    </row>
    <row r="648" spans="1:22" x14ac:dyDescent="0.25">
      <c r="A648" s="98" t="s">
        <v>28</v>
      </c>
      <c r="B648" s="98" t="s">
        <v>15</v>
      </c>
      <c r="C648" s="98">
        <v>16</v>
      </c>
      <c r="D648" s="98">
        <v>500</v>
      </c>
      <c r="E648" s="157">
        <v>42069.075694444444</v>
      </c>
      <c r="F648" s="157">
        <v>42070.138194444444</v>
      </c>
      <c r="G648" s="98">
        <v>0</v>
      </c>
      <c r="H648" s="98">
        <v>456</v>
      </c>
      <c r="I648" s="98">
        <v>411</v>
      </c>
      <c r="J648" s="98" t="s">
        <v>3238</v>
      </c>
      <c r="K648" s="98" t="s">
        <v>2231</v>
      </c>
      <c r="L648" s="105" t="str">
        <f t="shared" si="110"/>
        <v>Brown</v>
      </c>
      <c r="M648" s="105" t="str">
        <f t="shared" si="111"/>
        <v>Outage</v>
      </c>
      <c r="N648" s="105" t="str">
        <f t="shared" si="112"/>
        <v>Coal</v>
      </c>
      <c r="O648" s="105">
        <f>IFERROR(VLOOKUP(A648,Lookup!$J$5:$P$19,7,FALSE),0)</f>
        <v>3</v>
      </c>
      <c r="P648" s="159">
        <f t="shared" si="113"/>
        <v>2015</v>
      </c>
      <c r="Q648" s="159">
        <f t="shared" si="114"/>
        <v>3</v>
      </c>
      <c r="R648" s="160">
        <f t="shared" si="115"/>
        <v>25.5</v>
      </c>
      <c r="S648" s="158">
        <f t="shared" si="116"/>
        <v>25.5</v>
      </c>
      <c r="T648" s="161">
        <f t="shared" si="117"/>
        <v>10480.5</v>
      </c>
      <c r="U648" s="158">
        <f t="shared" si="119"/>
        <v>411</v>
      </c>
      <c r="V648" s="160">
        <f t="shared" si="118"/>
        <v>411</v>
      </c>
    </row>
    <row r="649" spans="1:22" x14ac:dyDescent="0.25">
      <c r="A649" s="98" t="s">
        <v>28</v>
      </c>
      <c r="B649" s="98" t="s">
        <v>38</v>
      </c>
      <c r="C649" s="98">
        <v>17</v>
      </c>
      <c r="D649" s="98">
        <v>8812</v>
      </c>
      <c r="E649" s="157">
        <v>42092.531944444447</v>
      </c>
      <c r="F649" s="157">
        <v>42114.304861111108</v>
      </c>
      <c r="G649" s="98">
        <v>0</v>
      </c>
      <c r="H649" s="98">
        <v>456</v>
      </c>
      <c r="I649" s="98">
        <v>411</v>
      </c>
      <c r="J649" s="98" t="s">
        <v>2232</v>
      </c>
      <c r="K649" s="98" t="s">
        <v>2233</v>
      </c>
      <c r="L649" s="105" t="str">
        <f t="shared" si="110"/>
        <v>Brown</v>
      </c>
      <c r="M649" s="105" t="str">
        <f t="shared" si="111"/>
        <v>Other</v>
      </c>
      <c r="N649" s="105" t="str">
        <f t="shared" si="112"/>
        <v>Coal</v>
      </c>
      <c r="O649" s="105">
        <f>IFERROR(VLOOKUP(A649,Lookup!$J$5:$P$19,7,FALSE),0)</f>
        <v>3</v>
      </c>
      <c r="P649" s="159">
        <f t="shared" si="113"/>
        <v>2015</v>
      </c>
      <c r="Q649" s="159">
        <f t="shared" si="114"/>
        <v>3</v>
      </c>
      <c r="R649" s="160">
        <f t="shared" si="115"/>
        <v>522.54999999987194</v>
      </c>
      <c r="S649" s="158">
        <f t="shared" si="116"/>
        <v>522.54999999987194</v>
      </c>
      <c r="T649" s="161">
        <f t="shared" si="117"/>
        <v>214768.04999994737</v>
      </c>
      <c r="U649" s="158">
        <f t="shared" si="119"/>
        <v>411</v>
      </c>
      <c r="V649" s="160">
        <f t="shared" si="118"/>
        <v>411</v>
      </c>
    </row>
    <row r="650" spans="1:22" x14ac:dyDescent="0.25">
      <c r="A650" s="98" t="s">
        <v>28</v>
      </c>
      <c r="B650" s="98" t="s">
        <v>17</v>
      </c>
      <c r="C650" s="98">
        <v>18</v>
      </c>
      <c r="D650" s="98">
        <v>3352</v>
      </c>
      <c r="E650" s="157">
        <v>42114.638194444444</v>
      </c>
      <c r="F650" s="157">
        <v>42115.236111111109</v>
      </c>
      <c r="G650" s="98">
        <v>420</v>
      </c>
      <c r="H650" s="98">
        <v>456</v>
      </c>
      <c r="I650" s="98">
        <v>411</v>
      </c>
      <c r="J650" s="98" t="s">
        <v>2106</v>
      </c>
      <c r="K650" s="98" t="s">
        <v>2234</v>
      </c>
      <c r="L650" s="105" t="str">
        <f t="shared" si="110"/>
        <v>Brown</v>
      </c>
      <c r="M650" s="105" t="str">
        <f t="shared" si="111"/>
        <v>Derate</v>
      </c>
      <c r="N650" s="105" t="str">
        <f t="shared" si="112"/>
        <v>Coal</v>
      </c>
      <c r="O650" s="105">
        <f>IFERROR(VLOOKUP(A650,Lookup!$J$5:$P$19,7,FALSE),0)</f>
        <v>3</v>
      </c>
      <c r="P650" s="159">
        <f t="shared" si="113"/>
        <v>2015</v>
      </c>
      <c r="Q650" s="159">
        <f t="shared" si="114"/>
        <v>4</v>
      </c>
      <c r="R650" s="160">
        <f t="shared" si="115"/>
        <v>14.349999999976717</v>
      </c>
      <c r="S650" s="158">
        <f t="shared" si="116"/>
        <v>1.1328947368402671</v>
      </c>
      <c r="T650" s="161">
        <f t="shared" si="117"/>
        <v>465.61973684134978</v>
      </c>
      <c r="U650" s="158">
        <f t="shared" si="119"/>
        <v>32.44736842105263</v>
      </c>
      <c r="V650" s="160">
        <f t="shared" si="118"/>
        <v>32</v>
      </c>
    </row>
    <row r="651" spans="1:22" x14ac:dyDescent="0.25">
      <c r="A651" s="98" t="s">
        <v>28</v>
      </c>
      <c r="B651" s="98" t="s">
        <v>32</v>
      </c>
      <c r="C651" s="98">
        <v>19</v>
      </c>
      <c r="D651" s="98">
        <v>3410</v>
      </c>
      <c r="E651" s="157">
        <v>42118.958333333336</v>
      </c>
      <c r="F651" s="157">
        <v>42119.027777777781</v>
      </c>
      <c r="G651" s="98">
        <v>310</v>
      </c>
      <c r="H651" s="98">
        <v>456</v>
      </c>
      <c r="I651" s="98">
        <v>411</v>
      </c>
      <c r="J651" s="98" t="s">
        <v>1983</v>
      </c>
      <c r="K651" s="98" t="s">
        <v>2235</v>
      </c>
      <c r="L651" s="105" t="str">
        <f t="shared" si="110"/>
        <v>Brown</v>
      </c>
      <c r="M651" s="105" t="str">
        <f t="shared" si="111"/>
        <v>Derate</v>
      </c>
      <c r="N651" s="105" t="str">
        <f t="shared" si="112"/>
        <v>Coal</v>
      </c>
      <c r="O651" s="105">
        <f>IFERROR(VLOOKUP(A651,Lookup!$J$5:$P$19,7,FALSE),0)</f>
        <v>3</v>
      </c>
      <c r="P651" s="159">
        <f t="shared" si="113"/>
        <v>2015</v>
      </c>
      <c r="Q651" s="159">
        <f t="shared" si="114"/>
        <v>4</v>
      </c>
      <c r="R651" s="160">
        <f t="shared" si="115"/>
        <v>1.6666666666860692</v>
      </c>
      <c r="S651" s="158">
        <f t="shared" si="116"/>
        <v>0.53362573100036426</v>
      </c>
      <c r="T651" s="161">
        <f t="shared" si="117"/>
        <v>219.3201754411497</v>
      </c>
      <c r="U651" s="158">
        <f t="shared" si="119"/>
        <v>131.59210526315789</v>
      </c>
      <c r="V651" s="160">
        <f t="shared" si="118"/>
        <v>132</v>
      </c>
    </row>
    <row r="652" spans="1:22" x14ac:dyDescent="0.25">
      <c r="A652" s="98" t="s">
        <v>28</v>
      </c>
      <c r="B652" s="98" t="s">
        <v>79</v>
      </c>
      <c r="C652" s="98">
        <v>20</v>
      </c>
      <c r="D652" s="98">
        <v>8812</v>
      </c>
      <c r="E652" s="157">
        <v>42131.875</v>
      </c>
      <c r="F652" s="157">
        <v>42131.974999999999</v>
      </c>
      <c r="G652" s="98">
        <v>0</v>
      </c>
      <c r="H652" s="98">
        <v>456</v>
      </c>
      <c r="I652" s="98">
        <v>411</v>
      </c>
      <c r="J652" s="98" t="s">
        <v>2232</v>
      </c>
      <c r="K652" s="98" t="s">
        <v>2236</v>
      </c>
      <c r="L652" s="105" t="str">
        <f t="shared" si="110"/>
        <v>Brown</v>
      </c>
      <c r="M652" s="105" t="str">
        <f t="shared" si="111"/>
        <v>Other</v>
      </c>
      <c r="N652" s="105" t="str">
        <f t="shared" si="112"/>
        <v>Coal</v>
      </c>
      <c r="O652" s="105">
        <f>IFERROR(VLOOKUP(A652,Lookup!$J$5:$P$19,7,FALSE),0)</f>
        <v>3</v>
      </c>
      <c r="P652" s="159">
        <f t="shared" si="113"/>
        <v>2015</v>
      </c>
      <c r="Q652" s="159">
        <f t="shared" si="114"/>
        <v>5</v>
      </c>
      <c r="R652" s="160">
        <f t="shared" si="115"/>
        <v>2.3999999999650754</v>
      </c>
      <c r="S652" s="158">
        <f t="shared" si="116"/>
        <v>2.3999999999650754</v>
      </c>
      <c r="T652" s="161">
        <f t="shared" si="117"/>
        <v>986.39999998564599</v>
      </c>
      <c r="U652" s="158">
        <f t="shared" si="119"/>
        <v>411</v>
      </c>
      <c r="V652" s="160">
        <f t="shared" si="118"/>
        <v>411</v>
      </c>
    </row>
    <row r="653" spans="1:22" x14ac:dyDescent="0.25">
      <c r="A653" s="98" t="s">
        <v>28</v>
      </c>
      <c r="B653" s="98" t="s">
        <v>79</v>
      </c>
      <c r="C653" s="98">
        <v>21</v>
      </c>
      <c r="D653" s="98">
        <v>8812</v>
      </c>
      <c r="E653" s="157">
        <v>42131.974999999999</v>
      </c>
      <c r="F653" s="157">
        <v>42132</v>
      </c>
      <c r="G653" s="98">
        <v>0</v>
      </c>
      <c r="H653" s="98">
        <v>456</v>
      </c>
      <c r="I653" s="98">
        <v>411</v>
      </c>
      <c r="J653" s="98" t="s">
        <v>2232</v>
      </c>
      <c r="K653" s="98" t="s">
        <v>2237</v>
      </c>
      <c r="L653" s="105" t="str">
        <f t="shared" si="110"/>
        <v>Brown</v>
      </c>
      <c r="M653" s="105" t="str">
        <f t="shared" si="111"/>
        <v>Other</v>
      </c>
      <c r="N653" s="105" t="str">
        <f t="shared" si="112"/>
        <v>Coal</v>
      </c>
      <c r="O653" s="105">
        <f>IFERROR(VLOOKUP(A653,Lookup!$J$5:$P$19,7,FALSE),0)</f>
        <v>3</v>
      </c>
      <c r="P653" s="159">
        <f t="shared" si="113"/>
        <v>2015</v>
      </c>
      <c r="Q653" s="159">
        <f t="shared" si="114"/>
        <v>5</v>
      </c>
      <c r="R653" s="160">
        <f t="shared" si="115"/>
        <v>0.6000000000349246</v>
      </c>
      <c r="S653" s="158">
        <f t="shared" si="116"/>
        <v>0.6000000000349246</v>
      </c>
      <c r="T653" s="161">
        <f t="shared" si="117"/>
        <v>246.60000001435401</v>
      </c>
      <c r="U653" s="158">
        <f t="shared" si="119"/>
        <v>411</v>
      </c>
      <c r="V653" s="160">
        <f t="shared" si="118"/>
        <v>411</v>
      </c>
    </row>
    <row r="654" spans="1:22" x14ac:dyDescent="0.25">
      <c r="A654" s="98" t="s">
        <v>28</v>
      </c>
      <c r="B654" s="98" t="s">
        <v>15</v>
      </c>
      <c r="C654" s="98">
        <v>22</v>
      </c>
      <c r="D654" s="98">
        <v>3211</v>
      </c>
      <c r="E654" s="157">
        <v>42135.513888888891</v>
      </c>
      <c r="F654" s="157">
        <v>42135.54583333333</v>
      </c>
      <c r="G654" s="98">
        <v>0</v>
      </c>
      <c r="H654" s="98">
        <v>456</v>
      </c>
      <c r="I654" s="98">
        <v>411</v>
      </c>
      <c r="J654" s="98" t="s">
        <v>2180</v>
      </c>
      <c r="K654" s="98" t="s">
        <v>2238</v>
      </c>
      <c r="L654" s="105" t="str">
        <f t="shared" si="110"/>
        <v>Brown</v>
      </c>
      <c r="M654" s="105" t="str">
        <f t="shared" si="111"/>
        <v>Outage</v>
      </c>
      <c r="N654" s="105" t="str">
        <f t="shared" si="112"/>
        <v>Coal</v>
      </c>
      <c r="O654" s="105">
        <f>IFERROR(VLOOKUP(A654,Lookup!$J$5:$P$19,7,FALSE),0)</f>
        <v>3</v>
      </c>
      <c r="P654" s="159">
        <f t="shared" si="113"/>
        <v>2015</v>
      </c>
      <c r="Q654" s="159">
        <f t="shared" si="114"/>
        <v>5</v>
      </c>
      <c r="R654" s="160">
        <f t="shared" si="115"/>
        <v>0.76666666654637083</v>
      </c>
      <c r="S654" s="158">
        <f t="shared" si="116"/>
        <v>0.76666666654637083</v>
      </c>
      <c r="T654" s="161">
        <f t="shared" si="117"/>
        <v>315.09999995055841</v>
      </c>
      <c r="U654" s="158">
        <f t="shared" si="119"/>
        <v>411</v>
      </c>
      <c r="V654" s="160">
        <f t="shared" si="118"/>
        <v>411</v>
      </c>
    </row>
    <row r="655" spans="1:22" x14ac:dyDescent="0.25">
      <c r="A655" s="98" t="s">
        <v>28</v>
      </c>
      <c r="B655" s="98" t="s">
        <v>20</v>
      </c>
      <c r="C655" s="98">
        <v>24</v>
      </c>
      <c r="D655" s="98">
        <v>1090</v>
      </c>
      <c r="E655" s="157">
        <v>42157.301388888889</v>
      </c>
      <c r="F655" s="157">
        <v>42157.604166666664</v>
      </c>
      <c r="G655" s="98">
        <v>0</v>
      </c>
      <c r="H655" s="98">
        <v>456</v>
      </c>
      <c r="I655" s="98">
        <v>411</v>
      </c>
      <c r="J655" s="98" t="s">
        <v>2096</v>
      </c>
      <c r="K655" s="98" t="s">
        <v>3239</v>
      </c>
      <c r="L655" s="105" t="str">
        <f t="shared" si="110"/>
        <v>Brown</v>
      </c>
      <c r="M655" s="105" t="str">
        <f t="shared" si="111"/>
        <v>Maintenance</v>
      </c>
      <c r="N655" s="105" t="str">
        <f t="shared" si="112"/>
        <v>Coal</v>
      </c>
      <c r="O655" s="105">
        <f>IFERROR(VLOOKUP(A655,Lookup!$J$5:$P$19,7,FALSE),0)</f>
        <v>3</v>
      </c>
      <c r="P655" s="159">
        <f t="shared" si="113"/>
        <v>2015</v>
      </c>
      <c r="Q655" s="159">
        <f t="shared" si="114"/>
        <v>6</v>
      </c>
      <c r="R655" s="160">
        <f t="shared" si="115"/>
        <v>7.2666666666045785</v>
      </c>
      <c r="S655" s="158">
        <f t="shared" si="116"/>
        <v>7.2666666666045785</v>
      </c>
      <c r="T655" s="161">
        <f t="shared" si="117"/>
        <v>2986.5999999744818</v>
      </c>
      <c r="U655" s="158">
        <f t="shared" si="119"/>
        <v>411</v>
      </c>
      <c r="V655" s="160">
        <f t="shared" si="118"/>
        <v>411</v>
      </c>
    </row>
    <row r="656" spans="1:22" x14ac:dyDescent="0.25">
      <c r="A656" s="98" t="s">
        <v>28</v>
      </c>
      <c r="B656" s="98" t="s">
        <v>32</v>
      </c>
      <c r="C656" s="98">
        <v>26</v>
      </c>
      <c r="D656" s="98">
        <v>3415</v>
      </c>
      <c r="E656" s="157">
        <v>42183.916666666664</v>
      </c>
      <c r="F656" s="157">
        <v>42184.09375</v>
      </c>
      <c r="G656" s="98">
        <v>300</v>
      </c>
      <c r="H656" s="98">
        <v>456</v>
      </c>
      <c r="I656" s="98">
        <v>411</v>
      </c>
      <c r="J656" s="98" t="s">
        <v>2109</v>
      </c>
      <c r="K656" s="98" t="s">
        <v>3240</v>
      </c>
      <c r="L656" s="105" t="str">
        <f t="shared" si="110"/>
        <v>Brown</v>
      </c>
      <c r="M656" s="105" t="str">
        <f t="shared" si="111"/>
        <v>Derate</v>
      </c>
      <c r="N656" s="105" t="str">
        <f t="shared" si="112"/>
        <v>Coal</v>
      </c>
      <c r="O656" s="105">
        <f>IFERROR(VLOOKUP(A656,Lookup!$J$5:$P$19,7,FALSE),0)</f>
        <v>3</v>
      </c>
      <c r="P656" s="159">
        <f t="shared" si="113"/>
        <v>2015</v>
      </c>
      <c r="Q656" s="159">
        <f t="shared" si="114"/>
        <v>6</v>
      </c>
      <c r="R656" s="160">
        <f t="shared" si="115"/>
        <v>4.2500000000582077</v>
      </c>
      <c r="S656" s="158">
        <f t="shared" si="116"/>
        <v>1.4539473684409658</v>
      </c>
      <c r="T656" s="161">
        <f t="shared" si="117"/>
        <v>597.57236842923692</v>
      </c>
      <c r="U656" s="158">
        <f t="shared" si="119"/>
        <v>140.60526315789474</v>
      </c>
      <c r="V656" s="160">
        <f t="shared" si="118"/>
        <v>141</v>
      </c>
    </row>
    <row r="657" spans="1:22" x14ac:dyDescent="0.25">
      <c r="A657" s="98" t="s">
        <v>28</v>
      </c>
      <c r="B657" s="98" t="s">
        <v>17</v>
      </c>
      <c r="C657" s="98">
        <v>27</v>
      </c>
      <c r="D657" s="98">
        <v>310</v>
      </c>
      <c r="E657" s="157">
        <v>42184.09375</v>
      </c>
      <c r="F657" s="157">
        <v>42184.268055555556</v>
      </c>
      <c r="G657" s="98">
        <v>350</v>
      </c>
      <c r="H657" s="98">
        <v>456</v>
      </c>
      <c r="I657" s="98">
        <v>411</v>
      </c>
      <c r="J657" s="98" t="s">
        <v>1966</v>
      </c>
      <c r="K657" s="98" t="s">
        <v>3241</v>
      </c>
      <c r="L657" s="105" t="str">
        <f t="shared" si="110"/>
        <v>Brown</v>
      </c>
      <c r="M657" s="105" t="str">
        <f t="shared" si="111"/>
        <v>Derate</v>
      </c>
      <c r="N657" s="105" t="str">
        <f t="shared" si="112"/>
        <v>Coal</v>
      </c>
      <c r="O657" s="105">
        <f>IFERROR(VLOOKUP(A657,Lookup!$J$5:$P$19,7,FALSE),0)</f>
        <v>3</v>
      </c>
      <c r="P657" s="159">
        <f t="shared" si="113"/>
        <v>2015</v>
      </c>
      <c r="Q657" s="159">
        <f t="shared" si="114"/>
        <v>6</v>
      </c>
      <c r="R657" s="160">
        <f t="shared" si="115"/>
        <v>4.1833333333488554</v>
      </c>
      <c r="S657" s="158">
        <f t="shared" si="116"/>
        <v>0.9724415204714445</v>
      </c>
      <c r="T657" s="161">
        <f t="shared" si="117"/>
        <v>399.67346491376367</v>
      </c>
      <c r="U657" s="158">
        <f t="shared" si="119"/>
        <v>95.53947368421052</v>
      </c>
      <c r="V657" s="160">
        <f t="shared" si="118"/>
        <v>96</v>
      </c>
    </row>
    <row r="658" spans="1:22" x14ac:dyDescent="0.25">
      <c r="A658" s="98" t="s">
        <v>28</v>
      </c>
      <c r="B658" s="98" t="s">
        <v>32</v>
      </c>
      <c r="C658" s="98">
        <v>28</v>
      </c>
      <c r="D658" s="98">
        <v>3412</v>
      </c>
      <c r="E658" s="157">
        <v>42184.916666666664</v>
      </c>
      <c r="F658" s="157">
        <v>42185.091666666667</v>
      </c>
      <c r="G658" s="98">
        <v>300</v>
      </c>
      <c r="H658" s="98">
        <v>456</v>
      </c>
      <c r="I658" s="98">
        <v>411</v>
      </c>
      <c r="J658" s="98" t="s">
        <v>2162</v>
      </c>
      <c r="K658" s="98" t="s">
        <v>3242</v>
      </c>
      <c r="L658" s="105" t="str">
        <f t="shared" ref="L658:L721" si="120">IF(OR(A658="BR1",A658="BR2",A658="BR3",A658="BR5",A658="BR6",A658="BR7",A658="BR8",A658="BR9",A658="BR10",A658="BR11"),"Brown",IF(OR(A658="CR4",A658="CR5",A658="CR6",A658="CR11"),"Cane Run",IF(OR(A658="GH1",A658="GH2",A658="GH3",A658="GH4"),"Ghent",IF(OR(A658="GR3",A658="GR4"),"Green River",IF(OR(A658="MC1",A658="MC2",A658="MC3",A658="MC4"),"Mill Creek",IF(OR(A658="TC1",A658="TC2",A658="TC5",A658="TC6",A658="TC7",A658="TC8",A658="TC9",A658="TC10"),"Trimble",IF(A658="TY3","Tyrone",IF(OR(A658="HA1",A658="HA2",A658="HA3"),"Haeflin",IF(OR(A658="PR11",A658="PR12",A658="PR13"),"Paddy's Run","Zorn")))))))))</f>
        <v>Brown</v>
      </c>
      <c r="M658" s="105" t="str">
        <f t="shared" ref="M658:M721" si="121">IF(OR(B658="D1",B658="D2",B658="D3",B658="D4",B658="PD"),"Derate",IF(OR(B658="SF",B658="U1",B658="U2",B658="U3"),"Outage",IF(OR(B658="ME",B658="MO"),"Maintenance","Other")))</f>
        <v>Derate</v>
      </c>
      <c r="N658" s="105" t="str">
        <f t="shared" ref="N658:N721" si="122">IF(OR(A658="BR1",A658="BR2",A658="BR3",A658="CR4",A658="CR5",A658="CR6",A658="GH1",A658="GH2",A658="GH3",A658="GH4",A658="GR3",A658="GR4",A658="MC1",A658="MC2",A658="MC3",A658="MC4",A658="TC1",A658="TC2",A658="TY3"),"Coal","Gas")</f>
        <v>Coal</v>
      </c>
      <c r="O658" s="105">
        <f>IFERROR(VLOOKUP(A658,Lookup!$J$5:$P$19,7,FALSE),0)</f>
        <v>3</v>
      </c>
      <c r="P658" s="159">
        <f t="shared" ref="P658:P721" si="123">YEAR(E658)</f>
        <v>2015</v>
      </c>
      <c r="Q658" s="159">
        <f t="shared" ref="Q658:Q721" si="124">MONTH(E658)</f>
        <v>6</v>
      </c>
      <c r="R658" s="160">
        <f t="shared" ref="R658:R721" si="125">(F658-E658)*24</f>
        <v>4.2000000000698492</v>
      </c>
      <c r="S658" s="158">
        <f t="shared" ref="S658:S721" si="126">R658*(H658-G658)/H658</f>
        <v>1.4368421052870537</v>
      </c>
      <c r="T658" s="161">
        <f t="shared" ref="T658:T721" si="127">S658*I658</f>
        <v>590.54210527297903</v>
      </c>
      <c r="U658" s="158">
        <f t="shared" si="119"/>
        <v>140.60526315789474</v>
      </c>
      <c r="V658" s="160">
        <f t="shared" ref="V658:V721" si="128">ROUND(U658,0)</f>
        <v>141</v>
      </c>
    </row>
    <row r="659" spans="1:22" x14ac:dyDescent="0.25">
      <c r="A659" s="98" t="s">
        <v>28</v>
      </c>
      <c r="B659" s="98" t="s">
        <v>17</v>
      </c>
      <c r="C659" s="98">
        <v>29</v>
      </c>
      <c r="D659" s="98">
        <v>3440</v>
      </c>
      <c r="E659" s="157">
        <v>42185.40347222222</v>
      </c>
      <c r="F659" s="157">
        <v>42186.958333333336</v>
      </c>
      <c r="G659" s="98">
        <v>425</v>
      </c>
      <c r="H659" s="98">
        <v>456</v>
      </c>
      <c r="I659" s="98">
        <v>411</v>
      </c>
      <c r="J659" s="98" t="s">
        <v>2100</v>
      </c>
      <c r="K659" s="98" t="s">
        <v>3243</v>
      </c>
      <c r="L659" s="105" t="str">
        <f t="shared" si="120"/>
        <v>Brown</v>
      </c>
      <c r="M659" s="105" t="str">
        <f t="shared" si="121"/>
        <v>Derate</v>
      </c>
      <c r="N659" s="105" t="str">
        <f t="shared" si="122"/>
        <v>Coal</v>
      </c>
      <c r="O659" s="105">
        <f>IFERROR(VLOOKUP(A659,Lookup!$J$5:$P$19,7,FALSE),0)</f>
        <v>3</v>
      </c>
      <c r="P659" s="159">
        <f t="shared" si="123"/>
        <v>2015</v>
      </c>
      <c r="Q659" s="159">
        <f t="shared" si="124"/>
        <v>6</v>
      </c>
      <c r="R659" s="160">
        <f t="shared" si="125"/>
        <v>37.31666666676756</v>
      </c>
      <c r="S659" s="158">
        <f t="shared" si="126"/>
        <v>2.536878654977619</v>
      </c>
      <c r="T659" s="161">
        <f t="shared" si="127"/>
        <v>1042.6571271958014</v>
      </c>
      <c r="U659" s="158">
        <f t="shared" ref="U659:U722" si="129">IF(G659&gt;0,MAX((H659-G659),0)*I659/H659,I659)</f>
        <v>27.940789473684209</v>
      </c>
      <c r="V659" s="160">
        <f t="shared" si="128"/>
        <v>28</v>
      </c>
    </row>
    <row r="660" spans="1:22" x14ac:dyDescent="0.25">
      <c r="A660" s="98" t="s">
        <v>28</v>
      </c>
      <c r="B660" s="98" t="s">
        <v>32</v>
      </c>
      <c r="C660" s="98">
        <v>30</v>
      </c>
      <c r="D660" s="98">
        <v>8700</v>
      </c>
      <c r="E660" s="157">
        <v>42186.958333333336</v>
      </c>
      <c r="F660" s="157">
        <v>42187.218055555553</v>
      </c>
      <c r="G660" s="98">
        <v>180</v>
      </c>
      <c r="H660" s="98">
        <v>456</v>
      </c>
      <c r="I660" s="98">
        <v>411</v>
      </c>
      <c r="J660" s="98" t="s">
        <v>1987</v>
      </c>
      <c r="K660" s="98" t="s">
        <v>3212</v>
      </c>
      <c r="L660" s="105" t="str">
        <f t="shared" si="120"/>
        <v>Brown</v>
      </c>
      <c r="M660" s="105" t="str">
        <f t="shared" si="121"/>
        <v>Derate</v>
      </c>
      <c r="N660" s="105" t="str">
        <f t="shared" si="122"/>
        <v>Coal</v>
      </c>
      <c r="O660" s="105">
        <f>IFERROR(VLOOKUP(A660,Lookup!$J$5:$P$19,7,FALSE),0)</f>
        <v>3</v>
      </c>
      <c r="P660" s="159">
        <f t="shared" si="123"/>
        <v>2015</v>
      </c>
      <c r="Q660" s="159">
        <f t="shared" si="124"/>
        <v>7</v>
      </c>
      <c r="R660" s="160">
        <f t="shared" si="125"/>
        <v>6.2333333332207985</v>
      </c>
      <c r="S660" s="158">
        <f t="shared" si="126"/>
        <v>3.7728070174757464</v>
      </c>
      <c r="T660" s="161">
        <f t="shared" si="127"/>
        <v>1550.6236841825319</v>
      </c>
      <c r="U660" s="158">
        <f t="shared" si="129"/>
        <v>248.76315789473685</v>
      </c>
      <c r="V660" s="160">
        <f t="shared" si="128"/>
        <v>249</v>
      </c>
    </row>
    <row r="661" spans="1:22" x14ac:dyDescent="0.25">
      <c r="A661" s="98" t="s">
        <v>28</v>
      </c>
      <c r="B661" s="98" t="s">
        <v>17</v>
      </c>
      <c r="C661" s="98">
        <v>31</v>
      </c>
      <c r="D661" s="98">
        <v>3440</v>
      </c>
      <c r="E661" s="157">
        <v>42187.218055555553</v>
      </c>
      <c r="F661" s="157">
        <v>42187.916666666664</v>
      </c>
      <c r="G661" s="98">
        <v>425</v>
      </c>
      <c r="H661" s="98">
        <v>456</v>
      </c>
      <c r="I661" s="98">
        <v>411</v>
      </c>
      <c r="J661" s="98" t="s">
        <v>2100</v>
      </c>
      <c r="K661" s="98" t="s">
        <v>3243</v>
      </c>
      <c r="L661" s="105" t="str">
        <f t="shared" si="120"/>
        <v>Brown</v>
      </c>
      <c r="M661" s="105" t="str">
        <f t="shared" si="121"/>
        <v>Derate</v>
      </c>
      <c r="N661" s="105" t="str">
        <f t="shared" si="122"/>
        <v>Coal</v>
      </c>
      <c r="O661" s="105">
        <f>IFERROR(VLOOKUP(A661,Lookup!$J$5:$P$19,7,FALSE),0)</f>
        <v>3</v>
      </c>
      <c r="P661" s="159">
        <f t="shared" si="123"/>
        <v>2015</v>
      </c>
      <c r="Q661" s="159">
        <f t="shared" si="124"/>
        <v>7</v>
      </c>
      <c r="R661" s="160">
        <f t="shared" si="125"/>
        <v>16.766666666662786</v>
      </c>
      <c r="S661" s="158">
        <f t="shared" si="126"/>
        <v>1.1398391812862858</v>
      </c>
      <c r="T661" s="161">
        <f t="shared" si="127"/>
        <v>468.47390350866345</v>
      </c>
      <c r="U661" s="158">
        <f t="shared" si="129"/>
        <v>27.940789473684209</v>
      </c>
      <c r="V661" s="160">
        <f t="shared" si="128"/>
        <v>28</v>
      </c>
    </row>
    <row r="662" spans="1:22" x14ac:dyDescent="0.25">
      <c r="A662" s="98" t="s">
        <v>28</v>
      </c>
      <c r="B662" s="98" t="s">
        <v>20</v>
      </c>
      <c r="C662" s="98">
        <v>32</v>
      </c>
      <c r="D662" s="98">
        <v>3440</v>
      </c>
      <c r="E662" s="157">
        <v>42187.916666666664</v>
      </c>
      <c r="F662" s="157">
        <v>42189.753472222219</v>
      </c>
      <c r="G662" s="98">
        <v>0</v>
      </c>
      <c r="H662" s="98">
        <v>456</v>
      </c>
      <c r="I662" s="98">
        <v>411</v>
      </c>
      <c r="J662" s="98" t="s">
        <v>2100</v>
      </c>
      <c r="K662" s="98" t="s">
        <v>3244</v>
      </c>
      <c r="L662" s="105" t="str">
        <f t="shared" si="120"/>
        <v>Brown</v>
      </c>
      <c r="M662" s="105" t="str">
        <f t="shared" si="121"/>
        <v>Maintenance</v>
      </c>
      <c r="N662" s="105" t="str">
        <f t="shared" si="122"/>
        <v>Coal</v>
      </c>
      <c r="O662" s="105">
        <f>IFERROR(VLOOKUP(A662,Lookup!$J$5:$P$19,7,FALSE),0)</f>
        <v>3</v>
      </c>
      <c r="P662" s="159">
        <f t="shared" si="123"/>
        <v>2015</v>
      </c>
      <c r="Q662" s="159">
        <f t="shared" si="124"/>
        <v>7</v>
      </c>
      <c r="R662" s="160">
        <f t="shared" si="125"/>
        <v>44.083333333313931</v>
      </c>
      <c r="S662" s="158">
        <f t="shared" si="126"/>
        <v>44.083333333313931</v>
      </c>
      <c r="T662" s="161">
        <f t="shared" si="127"/>
        <v>18118.249999992026</v>
      </c>
      <c r="U662" s="158">
        <f t="shared" si="129"/>
        <v>411</v>
      </c>
      <c r="V662" s="160">
        <f t="shared" si="128"/>
        <v>411</v>
      </c>
    </row>
    <row r="663" spans="1:22" x14ac:dyDescent="0.25">
      <c r="A663" s="98" t="s">
        <v>28</v>
      </c>
      <c r="B663" s="98" t="s">
        <v>17</v>
      </c>
      <c r="C663" s="98">
        <v>34</v>
      </c>
      <c r="D663" s="98">
        <v>1710</v>
      </c>
      <c r="E663" s="157">
        <v>42192.354166666664</v>
      </c>
      <c r="F663" s="157">
        <v>42192.373611111114</v>
      </c>
      <c r="G663" s="98">
        <v>95</v>
      </c>
      <c r="H663" s="98">
        <v>456</v>
      </c>
      <c r="I663" s="98">
        <v>411</v>
      </c>
      <c r="J663" s="98" t="s">
        <v>2020</v>
      </c>
      <c r="K663" s="98" t="s">
        <v>3245</v>
      </c>
      <c r="L663" s="105" t="str">
        <f t="shared" si="120"/>
        <v>Brown</v>
      </c>
      <c r="M663" s="105" t="str">
        <f t="shared" si="121"/>
        <v>Derate</v>
      </c>
      <c r="N663" s="105" t="str">
        <f t="shared" si="122"/>
        <v>Coal</v>
      </c>
      <c r="O663" s="105">
        <f>IFERROR(VLOOKUP(A663,Lookup!$J$5:$P$19,7,FALSE),0)</f>
        <v>3</v>
      </c>
      <c r="P663" s="159">
        <f t="shared" si="123"/>
        <v>2015</v>
      </c>
      <c r="Q663" s="159">
        <f t="shared" si="124"/>
        <v>7</v>
      </c>
      <c r="R663" s="160">
        <f t="shared" si="125"/>
        <v>0.46666666679084301</v>
      </c>
      <c r="S663" s="158">
        <f t="shared" si="126"/>
        <v>0.36944444454275072</v>
      </c>
      <c r="T663" s="161">
        <f t="shared" si="127"/>
        <v>151.84166670707054</v>
      </c>
      <c r="U663" s="158">
        <f t="shared" si="129"/>
        <v>325.375</v>
      </c>
      <c r="V663" s="160">
        <f t="shared" si="128"/>
        <v>325</v>
      </c>
    </row>
    <row r="664" spans="1:22" x14ac:dyDescent="0.25">
      <c r="A664" s="98" t="s">
        <v>28</v>
      </c>
      <c r="B664" s="98" t="s">
        <v>20</v>
      </c>
      <c r="C664" s="98">
        <v>35</v>
      </c>
      <c r="D664" s="98">
        <v>740</v>
      </c>
      <c r="E664" s="157">
        <v>42193.302777777775</v>
      </c>
      <c r="F664" s="157">
        <v>42194.679861111108</v>
      </c>
      <c r="G664" s="98">
        <v>0</v>
      </c>
      <c r="H664" s="98">
        <v>456</v>
      </c>
      <c r="I664" s="98">
        <v>411</v>
      </c>
      <c r="J664" s="98" t="s">
        <v>2176</v>
      </c>
      <c r="K664" s="98" t="s">
        <v>3246</v>
      </c>
      <c r="L664" s="105" t="str">
        <f t="shared" si="120"/>
        <v>Brown</v>
      </c>
      <c r="M664" s="105" t="str">
        <f t="shared" si="121"/>
        <v>Maintenance</v>
      </c>
      <c r="N664" s="105" t="str">
        <f t="shared" si="122"/>
        <v>Coal</v>
      </c>
      <c r="O664" s="105">
        <f>IFERROR(VLOOKUP(A664,Lookup!$J$5:$P$19,7,FALSE),0)</f>
        <v>3</v>
      </c>
      <c r="P664" s="159">
        <f t="shared" si="123"/>
        <v>2015</v>
      </c>
      <c r="Q664" s="159">
        <f t="shared" si="124"/>
        <v>7</v>
      </c>
      <c r="R664" s="160">
        <f t="shared" si="125"/>
        <v>33.049999999988358</v>
      </c>
      <c r="S664" s="158">
        <f t="shared" si="126"/>
        <v>33.049999999988358</v>
      </c>
      <c r="T664" s="161">
        <f t="shared" si="127"/>
        <v>13583.549999995215</v>
      </c>
      <c r="U664" s="158">
        <f t="shared" si="129"/>
        <v>411</v>
      </c>
      <c r="V664" s="160">
        <f t="shared" si="128"/>
        <v>411</v>
      </c>
    </row>
    <row r="665" spans="1:22" x14ac:dyDescent="0.25">
      <c r="A665" s="98" t="s">
        <v>28</v>
      </c>
      <c r="B665" s="98" t="s">
        <v>17</v>
      </c>
      <c r="C665" s="98">
        <v>37</v>
      </c>
      <c r="D665" s="98">
        <v>9270</v>
      </c>
      <c r="E665" s="157">
        <v>42199.676388888889</v>
      </c>
      <c r="F665" s="157">
        <v>42199.736111111109</v>
      </c>
      <c r="G665" s="98">
        <v>340</v>
      </c>
      <c r="H665" s="98">
        <v>456</v>
      </c>
      <c r="I665" s="98">
        <v>411</v>
      </c>
      <c r="J665" s="98" t="s">
        <v>2006</v>
      </c>
      <c r="K665" s="98" t="s">
        <v>3247</v>
      </c>
      <c r="L665" s="105" t="str">
        <f t="shared" si="120"/>
        <v>Brown</v>
      </c>
      <c r="M665" s="105" t="str">
        <f t="shared" si="121"/>
        <v>Derate</v>
      </c>
      <c r="N665" s="105" t="str">
        <f t="shared" si="122"/>
        <v>Coal</v>
      </c>
      <c r="O665" s="105">
        <f>IFERROR(VLOOKUP(A665,Lookup!$J$5:$P$19,7,FALSE),0)</f>
        <v>3</v>
      </c>
      <c r="P665" s="159">
        <f t="shared" si="123"/>
        <v>2015</v>
      </c>
      <c r="Q665" s="159">
        <f t="shared" si="124"/>
        <v>7</v>
      </c>
      <c r="R665" s="160">
        <f t="shared" si="125"/>
        <v>1.4333333332906477</v>
      </c>
      <c r="S665" s="158">
        <f t="shared" si="126"/>
        <v>0.36461988303007703</v>
      </c>
      <c r="T665" s="161">
        <f t="shared" si="127"/>
        <v>149.85877192536165</v>
      </c>
      <c r="U665" s="158">
        <f t="shared" si="129"/>
        <v>104.55263157894737</v>
      </c>
      <c r="V665" s="160">
        <f t="shared" si="128"/>
        <v>105</v>
      </c>
    </row>
    <row r="666" spans="1:22" x14ac:dyDescent="0.25">
      <c r="A666" s="98" t="s">
        <v>28</v>
      </c>
      <c r="B666" s="98" t="s">
        <v>17</v>
      </c>
      <c r="C666" s="98">
        <v>38</v>
      </c>
      <c r="D666" s="98">
        <v>9270</v>
      </c>
      <c r="E666" s="157">
        <v>42199.736111111109</v>
      </c>
      <c r="F666" s="157">
        <v>42200.029861111114</v>
      </c>
      <c r="G666" s="98">
        <v>240</v>
      </c>
      <c r="H666" s="98">
        <v>456</v>
      </c>
      <c r="I666" s="98">
        <v>411</v>
      </c>
      <c r="J666" s="98" t="s">
        <v>2006</v>
      </c>
      <c r="K666" s="98" t="s">
        <v>3248</v>
      </c>
      <c r="L666" s="105" t="str">
        <f t="shared" si="120"/>
        <v>Brown</v>
      </c>
      <c r="M666" s="105" t="str">
        <f t="shared" si="121"/>
        <v>Derate</v>
      </c>
      <c r="N666" s="105" t="str">
        <f t="shared" si="122"/>
        <v>Coal</v>
      </c>
      <c r="O666" s="105">
        <f>IFERROR(VLOOKUP(A666,Lookup!$J$5:$P$19,7,FALSE),0)</f>
        <v>3</v>
      </c>
      <c r="P666" s="159">
        <f t="shared" si="123"/>
        <v>2015</v>
      </c>
      <c r="Q666" s="159">
        <f t="shared" si="124"/>
        <v>7</v>
      </c>
      <c r="R666" s="160">
        <f t="shared" si="125"/>
        <v>7.0500000001047738</v>
      </c>
      <c r="S666" s="158">
        <f t="shared" si="126"/>
        <v>3.339473684260156</v>
      </c>
      <c r="T666" s="161">
        <f t="shared" si="127"/>
        <v>1372.5236842309241</v>
      </c>
      <c r="U666" s="158">
        <f t="shared" si="129"/>
        <v>194.68421052631578</v>
      </c>
      <c r="V666" s="160">
        <f t="shared" si="128"/>
        <v>195</v>
      </c>
    </row>
    <row r="667" spans="1:22" x14ac:dyDescent="0.25">
      <c r="A667" s="98" t="s">
        <v>28</v>
      </c>
      <c r="B667" s="98" t="s">
        <v>17</v>
      </c>
      <c r="C667" s="98">
        <v>39</v>
      </c>
      <c r="D667" s="98">
        <v>9270</v>
      </c>
      <c r="E667" s="157">
        <v>42200.029861111114</v>
      </c>
      <c r="F667" s="157">
        <v>42200.065972222219</v>
      </c>
      <c r="G667" s="98">
        <v>240</v>
      </c>
      <c r="H667" s="98">
        <v>456</v>
      </c>
      <c r="I667" s="98">
        <v>411</v>
      </c>
      <c r="J667" s="98" t="s">
        <v>2006</v>
      </c>
      <c r="K667" s="98" t="s">
        <v>3249</v>
      </c>
      <c r="L667" s="105" t="str">
        <f t="shared" si="120"/>
        <v>Brown</v>
      </c>
      <c r="M667" s="105" t="str">
        <f t="shared" si="121"/>
        <v>Derate</v>
      </c>
      <c r="N667" s="105" t="str">
        <f t="shared" si="122"/>
        <v>Coal</v>
      </c>
      <c r="O667" s="105">
        <f>IFERROR(VLOOKUP(A667,Lookup!$J$5:$P$19,7,FALSE),0)</f>
        <v>3</v>
      </c>
      <c r="P667" s="159">
        <f t="shared" si="123"/>
        <v>2015</v>
      </c>
      <c r="Q667" s="159">
        <f t="shared" si="124"/>
        <v>7</v>
      </c>
      <c r="R667" s="160">
        <f t="shared" si="125"/>
        <v>0.86666666652308777</v>
      </c>
      <c r="S667" s="158">
        <f t="shared" si="126"/>
        <v>0.41052631572146264</v>
      </c>
      <c r="T667" s="161">
        <f t="shared" si="127"/>
        <v>168.72631576152114</v>
      </c>
      <c r="U667" s="158">
        <f t="shared" si="129"/>
        <v>194.68421052631578</v>
      </c>
      <c r="V667" s="160">
        <f t="shared" si="128"/>
        <v>195</v>
      </c>
    </row>
    <row r="668" spans="1:22" x14ac:dyDescent="0.25">
      <c r="A668" s="98" t="s">
        <v>28</v>
      </c>
      <c r="B668" s="98" t="s">
        <v>32</v>
      </c>
      <c r="C668" s="98">
        <v>40</v>
      </c>
      <c r="D668" s="98">
        <v>300</v>
      </c>
      <c r="E668" s="157">
        <v>42200.065972222219</v>
      </c>
      <c r="F668" s="157">
        <v>42200.107638888891</v>
      </c>
      <c r="G668" s="98">
        <v>350</v>
      </c>
      <c r="H668" s="98">
        <v>456</v>
      </c>
      <c r="I668" s="98">
        <v>411</v>
      </c>
      <c r="J668" s="98" t="s">
        <v>1977</v>
      </c>
      <c r="K668" s="98" t="s">
        <v>3250</v>
      </c>
      <c r="L668" s="105" t="str">
        <f t="shared" si="120"/>
        <v>Brown</v>
      </c>
      <c r="M668" s="105" t="str">
        <f t="shared" si="121"/>
        <v>Derate</v>
      </c>
      <c r="N668" s="105" t="str">
        <f t="shared" si="122"/>
        <v>Coal</v>
      </c>
      <c r="O668" s="105">
        <f>IFERROR(VLOOKUP(A668,Lookup!$J$5:$P$19,7,FALSE),0)</f>
        <v>3</v>
      </c>
      <c r="P668" s="159">
        <f t="shared" si="123"/>
        <v>2015</v>
      </c>
      <c r="Q668" s="159">
        <f t="shared" si="124"/>
        <v>7</v>
      </c>
      <c r="R668" s="160">
        <f t="shared" si="125"/>
        <v>1.0000000001164153</v>
      </c>
      <c r="S668" s="158">
        <f t="shared" si="126"/>
        <v>0.23245614037793866</v>
      </c>
      <c r="T668" s="161">
        <f t="shared" si="127"/>
        <v>95.539473695332788</v>
      </c>
      <c r="U668" s="158">
        <f t="shared" si="129"/>
        <v>95.53947368421052</v>
      </c>
      <c r="V668" s="160">
        <f t="shared" si="128"/>
        <v>96</v>
      </c>
    </row>
    <row r="669" spans="1:22" x14ac:dyDescent="0.25">
      <c r="A669" s="98" t="s">
        <v>28</v>
      </c>
      <c r="B669" s="98" t="s">
        <v>17</v>
      </c>
      <c r="C669" s="98">
        <v>41</v>
      </c>
      <c r="D669" s="98">
        <v>9270</v>
      </c>
      <c r="E669" s="157">
        <v>42200.107638888891</v>
      </c>
      <c r="F669" s="157">
        <v>42200.15902777778</v>
      </c>
      <c r="G669" s="98">
        <v>55</v>
      </c>
      <c r="H669" s="98">
        <v>456</v>
      </c>
      <c r="I669" s="98">
        <v>411</v>
      </c>
      <c r="J669" s="98" t="s">
        <v>2006</v>
      </c>
      <c r="K669" s="98" t="s">
        <v>3251</v>
      </c>
      <c r="L669" s="105" t="str">
        <f t="shared" si="120"/>
        <v>Brown</v>
      </c>
      <c r="M669" s="105" t="str">
        <f t="shared" si="121"/>
        <v>Derate</v>
      </c>
      <c r="N669" s="105" t="str">
        <f t="shared" si="122"/>
        <v>Coal</v>
      </c>
      <c r="O669" s="105">
        <f>IFERROR(VLOOKUP(A669,Lookup!$J$5:$P$19,7,FALSE),0)</f>
        <v>3</v>
      </c>
      <c r="P669" s="159">
        <f t="shared" si="123"/>
        <v>2015</v>
      </c>
      <c r="Q669" s="159">
        <f t="shared" si="124"/>
        <v>7</v>
      </c>
      <c r="R669" s="160">
        <f t="shared" si="125"/>
        <v>1.2333333333372138</v>
      </c>
      <c r="S669" s="158">
        <f t="shared" si="126"/>
        <v>1.0845760233952253</v>
      </c>
      <c r="T669" s="161">
        <f t="shared" si="127"/>
        <v>445.7607456154376</v>
      </c>
      <c r="U669" s="158">
        <f t="shared" si="129"/>
        <v>361.42763157894734</v>
      </c>
      <c r="V669" s="160">
        <f t="shared" si="128"/>
        <v>361</v>
      </c>
    </row>
    <row r="670" spans="1:22" x14ac:dyDescent="0.25">
      <c r="A670" s="98" t="s">
        <v>28</v>
      </c>
      <c r="B670" s="98" t="s">
        <v>15</v>
      </c>
      <c r="C670" s="98">
        <v>42</v>
      </c>
      <c r="D670" s="98">
        <v>9270</v>
      </c>
      <c r="E670" s="157">
        <v>42200.15902777778</v>
      </c>
      <c r="F670" s="157">
        <v>42200.286111111112</v>
      </c>
      <c r="G670" s="98">
        <v>0</v>
      </c>
      <c r="H670" s="98">
        <v>456</v>
      </c>
      <c r="I670" s="98">
        <v>411</v>
      </c>
      <c r="J670" s="98" t="s">
        <v>2006</v>
      </c>
      <c r="K670" s="98" t="s">
        <v>3252</v>
      </c>
      <c r="L670" s="105" t="str">
        <f t="shared" si="120"/>
        <v>Brown</v>
      </c>
      <c r="M670" s="105" t="str">
        <f t="shared" si="121"/>
        <v>Outage</v>
      </c>
      <c r="N670" s="105" t="str">
        <f t="shared" si="122"/>
        <v>Coal</v>
      </c>
      <c r="O670" s="105">
        <f>IFERROR(VLOOKUP(A670,Lookup!$J$5:$P$19,7,FALSE),0)</f>
        <v>3</v>
      </c>
      <c r="P670" s="159">
        <f t="shared" si="123"/>
        <v>2015</v>
      </c>
      <c r="Q670" s="159">
        <f t="shared" si="124"/>
        <v>7</v>
      </c>
      <c r="R670" s="160">
        <f t="shared" si="125"/>
        <v>3.0499999999883585</v>
      </c>
      <c r="S670" s="158">
        <f t="shared" si="126"/>
        <v>3.0499999999883585</v>
      </c>
      <c r="T670" s="161">
        <f t="shared" si="127"/>
        <v>1253.5499999952153</v>
      </c>
      <c r="U670" s="158">
        <f t="shared" si="129"/>
        <v>411</v>
      </c>
      <c r="V670" s="160">
        <f t="shared" si="128"/>
        <v>411</v>
      </c>
    </row>
    <row r="671" spans="1:22" x14ac:dyDescent="0.25">
      <c r="A671" s="98" t="s">
        <v>28</v>
      </c>
      <c r="B671" s="98" t="s">
        <v>18</v>
      </c>
      <c r="C671" s="98">
        <v>43</v>
      </c>
      <c r="D671" s="98">
        <v>9270</v>
      </c>
      <c r="E671" s="157">
        <v>42200.286111111112</v>
      </c>
      <c r="F671" s="157">
        <v>42200.51458333333</v>
      </c>
      <c r="G671" s="98">
        <v>0</v>
      </c>
      <c r="H671" s="98">
        <v>456</v>
      </c>
      <c r="I671" s="98">
        <v>411</v>
      </c>
      <c r="J671" s="98" t="s">
        <v>2006</v>
      </c>
      <c r="K671" s="98" t="s">
        <v>3253</v>
      </c>
      <c r="L671" s="105" t="str">
        <f t="shared" si="120"/>
        <v>Brown</v>
      </c>
      <c r="M671" s="105" t="str">
        <f t="shared" si="121"/>
        <v>Outage</v>
      </c>
      <c r="N671" s="105" t="str">
        <f t="shared" si="122"/>
        <v>Coal</v>
      </c>
      <c r="O671" s="105">
        <f>IFERROR(VLOOKUP(A671,Lookup!$J$5:$P$19,7,FALSE),0)</f>
        <v>3</v>
      </c>
      <c r="P671" s="159">
        <f t="shared" si="123"/>
        <v>2015</v>
      </c>
      <c r="Q671" s="159">
        <f t="shared" si="124"/>
        <v>7</v>
      </c>
      <c r="R671" s="160">
        <f t="shared" si="125"/>
        <v>5.4833333332207985</v>
      </c>
      <c r="S671" s="158">
        <f t="shared" si="126"/>
        <v>5.4833333332207985</v>
      </c>
      <c r="T671" s="161">
        <f t="shared" si="127"/>
        <v>2253.6499999537482</v>
      </c>
      <c r="U671" s="158">
        <f t="shared" si="129"/>
        <v>411</v>
      </c>
      <c r="V671" s="160">
        <f t="shared" si="128"/>
        <v>411</v>
      </c>
    </row>
    <row r="672" spans="1:22" x14ac:dyDescent="0.25">
      <c r="A672" s="98" t="s">
        <v>28</v>
      </c>
      <c r="B672" s="98" t="s">
        <v>17</v>
      </c>
      <c r="C672" s="98">
        <v>44</v>
      </c>
      <c r="D672" s="98">
        <v>9270</v>
      </c>
      <c r="E672" s="157">
        <v>42200.76666666667</v>
      </c>
      <c r="F672" s="157">
        <v>42200.931944444441</v>
      </c>
      <c r="G672" s="98">
        <v>305</v>
      </c>
      <c r="H672" s="98">
        <v>456</v>
      </c>
      <c r="I672" s="98">
        <v>411</v>
      </c>
      <c r="J672" s="98" t="s">
        <v>2006</v>
      </c>
      <c r="K672" s="98" t="s">
        <v>3254</v>
      </c>
      <c r="L672" s="105" t="str">
        <f t="shared" si="120"/>
        <v>Brown</v>
      </c>
      <c r="M672" s="105" t="str">
        <f t="shared" si="121"/>
        <v>Derate</v>
      </c>
      <c r="N672" s="105" t="str">
        <f t="shared" si="122"/>
        <v>Coal</v>
      </c>
      <c r="O672" s="105">
        <f>IFERROR(VLOOKUP(A672,Lookup!$J$5:$P$19,7,FALSE),0)</f>
        <v>3</v>
      </c>
      <c r="P672" s="159">
        <f t="shared" si="123"/>
        <v>2015</v>
      </c>
      <c r="Q672" s="159">
        <f t="shared" si="124"/>
        <v>7</v>
      </c>
      <c r="R672" s="160">
        <f t="shared" si="125"/>
        <v>3.9666666664998047</v>
      </c>
      <c r="S672" s="158">
        <f t="shared" si="126"/>
        <v>1.3135233917576108</v>
      </c>
      <c r="T672" s="161">
        <f t="shared" si="127"/>
        <v>539.858114012378</v>
      </c>
      <c r="U672" s="158">
        <f t="shared" si="129"/>
        <v>136.09868421052633</v>
      </c>
      <c r="V672" s="160">
        <f t="shared" si="128"/>
        <v>136</v>
      </c>
    </row>
    <row r="673" spans="1:22" x14ac:dyDescent="0.25">
      <c r="A673" s="98" t="s">
        <v>28</v>
      </c>
      <c r="B673" s="98" t="s">
        <v>17</v>
      </c>
      <c r="C673" s="98">
        <v>45</v>
      </c>
      <c r="D673" s="98">
        <v>9270</v>
      </c>
      <c r="E673" s="157">
        <v>42200.931944444441</v>
      </c>
      <c r="F673" s="157">
        <v>42201.020833333336</v>
      </c>
      <c r="G673" s="98">
        <v>160</v>
      </c>
      <c r="H673" s="98">
        <v>456</v>
      </c>
      <c r="I673" s="98">
        <v>411</v>
      </c>
      <c r="J673" s="98" t="s">
        <v>2006</v>
      </c>
      <c r="K673" s="98" t="s">
        <v>3254</v>
      </c>
      <c r="L673" s="105" t="str">
        <f t="shared" si="120"/>
        <v>Brown</v>
      </c>
      <c r="M673" s="105" t="str">
        <f t="shared" si="121"/>
        <v>Derate</v>
      </c>
      <c r="N673" s="105" t="str">
        <f t="shared" si="122"/>
        <v>Coal</v>
      </c>
      <c r="O673" s="105">
        <f>IFERROR(VLOOKUP(A673,Lookup!$J$5:$P$19,7,FALSE),0)</f>
        <v>3</v>
      </c>
      <c r="P673" s="159">
        <f t="shared" si="123"/>
        <v>2015</v>
      </c>
      <c r="Q673" s="159">
        <f t="shared" si="124"/>
        <v>7</v>
      </c>
      <c r="R673" s="160">
        <f t="shared" si="125"/>
        <v>2.1333333334769122</v>
      </c>
      <c r="S673" s="158">
        <f t="shared" si="126"/>
        <v>1.3847953217306272</v>
      </c>
      <c r="T673" s="161">
        <f t="shared" si="127"/>
        <v>569.15087723128784</v>
      </c>
      <c r="U673" s="158">
        <f t="shared" si="129"/>
        <v>266.78947368421052</v>
      </c>
      <c r="V673" s="160">
        <f t="shared" si="128"/>
        <v>267</v>
      </c>
    </row>
    <row r="674" spans="1:22" x14ac:dyDescent="0.25">
      <c r="A674" s="98" t="s">
        <v>28</v>
      </c>
      <c r="B674" s="98" t="s">
        <v>17</v>
      </c>
      <c r="C674" s="98">
        <v>46</v>
      </c>
      <c r="D674" s="98">
        <v>9930</v>
      </c>
      <c r="E674" s="157">
        <v>42210.383333333331</v>
      </c>
      <c r="F674" s="157">
        <v>42210.388888888891</v>
      </c>
      <c r="G674" s="98">
        <v>240</v>
      </c>
      <c r="H674" s="98">
        <v>456</v>
      </c>
      <c r="I674" s="98">
        <v>411</v>
      </c>
      <c r="J674" s="98" t="s">
        <v>2639</v>
      </c>
      <c r="K674" s="98" t="s">
        <v>3255</v>
      </c>
      <c r="L674" s="105" t="str">
        <f t="shared" si="120"/>
        <v>Brown</v>
      </c>
      <c r="M674" s="105" t="str">
        <f t="shared" si="121"/>
        <v>Derate</v>
      </c>
      <c r="N674" s="105" t="str">
        <f t="shared" si="122"/>
        <v>Coal</v>
      </c>
      <c r="O674" s="105">
        <f>IFERROR(VLOOKUP(A674,Lookup!$J$5:$P$19,7,FALSE),0)</f>
        <v>3</v>
      </c>
      <c r="P674" s="159">
        <f t="shared" si="123"/>
        <v>2015</v>
      </c>
      <c r="Q674" s="159">
        <f t="shared" si="124"/>
        <v>7</v>
      </c>
      <c r="R674" s="160">
        <f t="shared" si="125"/>
        <v>0.13333333341870457</v>
      </c>
      <c r="S674" s="158">
        <f t="shared" si="126"/>
        <v>6.3157894777281107E-2</v>
      </c>
      <c r="T674" s="161">
        <f t="shared" si="127"/>
        <v>25.957894753462536</v>
      </c>
      <c r="U674" s="158">
        <f t="shared" si="129"/>
        <v>194.68421052631578</v>
      </c>
      <c r="V674" s="160">
        <f t="shared" si="128"/>
        <v>195</v>
      </c>
    </row>
    <row r="675" spans="1:22" x14ac:dyDescent="0.25">
      <c r="A675" s="98" t="s">
        <v>28</v>
      </c>
      <c r="B675" s="98" t="s">
        <v>17</v>
      </c>
      <c r="C675" s="98">
        <v>47</v>
      </c>
      <c r="D675" s="98">
        <v>250</v>
      </c>
      <c r="E675" s="157">
        <v>42210.393055555556</v>
      </c>
      <c r="F675" s="157">
        <v>42210.5625</v>
      </c>
      <c r="G675" s="98">
        <v>350</v>
      </c>
      <c r="H675" s="98">
        <v>456</v>
      </c>
      <c r="I675" s="98">
        <v>411</v>
      </c>
      <c r="J675" s="98" t="s">
        <v>1978</v>
      </c>
      <c r="K675" s="98" t="s">
        <v>3256</v>
      </c>
      <c r="L675" s="105" t="str">
        <f t="shared" si="120"/>
        <v>Brown</v>
      </c>
      <c r="M675" s="105" t="str">
        <f t="shared" si="121"/>
        <v>Derate</v>
      </c>
      <c r="N675" s="105" t="str">
        <f t="shared" si="122"/>
        <v>Coal</v>
      </c>
      <c r="O675" s="105">
        <f>IFERROR(VLOOKUP(A675,Lookup!$J$5:$P$19,7,FALSE),0)</f>
        <v>3</v>
      </c>
      <c r="P675" s="159">
        <f t="shared" si="123"/>
        <v>2015</v>
      </c>
      <c r="Q675" s="159">
        <f t="shared" si="124"/>
        <v>7</v>
      </c>
      <c r="R675" s="160">
        <f t="shared" si="125"/>
        <v>4.0666666666511446</v>
      </c>
      <c r="S675" s="158">
        <f t="shared" si="126"/>
        <v>0.94532163742329234</v>
      </c>
      <c r="T675" s="161">
        <f t="shared" si="127"/>
        <v>388.52719298097315</v>
      </c>
      <c r="U675" s="158">
        <f t="shared" si="129"/>
        <v>95.53947368421052</v>
      </c>
      <c r="V675" s="160">
        <f t="shared" si="128"/>
        <v>96</v>
      </c>
    </row>
    <row r="676" spans="1:22" x14ac:dyDescent="0.25">
      <c r="A676" s="98" t="s">
        <v>28</v>
      </c>
      <c r="B676" s="98" t="s">
        <v>17</v>
      </c>
      <c r="C676" s="98">
        <v>48</v>
      </c>
      <c r="D676" s="98">
        <v>3414</v>
      </c>
      <c r="E676" s="157">
        <v>42213.750694444447</v>
      </c>
      <c r="F676" s="157">
        <v>42213.845138888886</v>
      </c>
      <c r="G676" s="98">
        <v>275</v>
      </c>
      <c r="H676" s="98">
        <v>456</v>
      </c>
      <c r="I676" s="98">
        <v>411</v>
      </c>
      <c r="J676" s="98" t="s">
        <v>1984</v>
      </c>
      <c r="K676" s="98" t="s">
        <v>3257</v>
      </c>
      <c r="L676" s="105" t="str">
        <f t="shared" si="120"/>
        <v>Brown</v>
      </c>
      <c r="M676" s="105" t="str">
        <f t="shared" si="121"/>
        <v>Derate</v>
      </c>
      <c r="N676" s="105" t="str">
        <f t="shared" si="122"/>
        <v>Coal</v>
      </c>
      <c r="O676" s="105">
        <f>IFERROR(VLOOKUP(A676,Lookup!$J$5:$P$19,7,FALSE),0)</f>
        <v>3</v>
      </c>
      <c r="P676" s="159">
        <f t="shared" si="123"/>
        <v>2015</v>
      </c>
      <c r="Q676" s="159">
        <f t="shared" si="124"/>
        <v>7</v>
      </c>
      <c r="R676" s="160">
        <f t="shared" si="125"/>
        <v>2.2666666665463708</v>
      </c>
      <c r="S676" s="158">
        <f t="shared" si="126"/>
        <v>0.89970760229143232</v>
      </c>
      <c r="T676" s="161">
        <f t="shared" si="127"/>
        <v>369.77982454177868</v>
      </c>
      <c r="U676" s="158">
        <f t="shared" si="129"/>
        <v>163.13815789473685</v>
      </c>
      <c r="V676" s="160">
        <f t="shared" si="128"/>
        <v>163</v>
      </c>
    </row>
    <row r="677" spans="1:22" x14ac:dyDescent="0.25">
      <c r="A677" s="98" t="s">
        <v>28</v>
      </c>
      <c r="B677" s="98" t="s">
        <v>17</v>
      </c>
      <c r="C677" s="98">
        <v>49</v>
      </c>
      <c r="D677" s="98">
        <v>3414</v>
      </c>
      <c r="E677" s="157">
        <v>42213.845138888886</v>
      </c>
      <c r="F677" s="157">
        <v>42213.90625</v>
      </c>
      <c r="G677" s="98">
        <v>315</v>
      </c>
      <c r="H677" s="98">
        <v>456</v>
      </c>
      <c r="I677" s="98">
        <v>411</v>
      </c>
      <c r="J677" s="98" t="s">
        <v>1984</v>
      </c>
      <c r="K677" s="98" t="s">
        <v>3257</v>
      </c>
      <c r="L677" s="105" t="str">
        <f t="shared" si="120"/>
        <v>Brown</v>
      </c>
      <c r="M677" s="105" t="str">
        <f t="shared" si="121"/>
        <v>Derate</v>
      </c>
      <c r="N677" s="105" t="str">
        <f t="shared" si="122"/>
        <v>Coal</v>
      </c>
      <c r="O677" s="105">
        <f>IFERROR(VLOOKUP(A677,Lookup!$J$5:$P$19,7,FALSE),0)</f>
        <v>3</v>
      </c>
      <c r="P677" s="159">
        <f t="shared" si="123"/>
        <v>2015</v>
      </c>
      <c r="Q677" s="159">
        <f t="shared" si="124"/>
        <v>7</v>
      </c>
      <c r="R677" s="160">
        <f t="shared" si="125"/>
        <v>1.4666666667326353</v>
      </c>
      <c r="S677" s="158">
        <f t="shared" si="126"/>
        <v>0.45350877195022277</v>
      </c>
      <c r="T677" s="161">
        <f t="shared" si="127"/>
        <v>186.39210527154157</v>
      </c>
      <c r="U677" s="158">
        <f t="shared" si="129"/>
        <v>127.08552631578948</v>
      </c>
      <c r="V677" s="160">
        <f t="shared" si="128"/>
        <v>127</v>
      </c>
    </row>
    <row r="678" spans="1:22" x14ac:dyDescent="0.25">
      <c r="A678" s="98" t="s">
        <v>28</v>
      </c>
      <c r="B678" s="98" t="s">
        <v>17</v>
      </c>
      <c r="C678" s="98">
        <v>50</v>
      </c>
      <c r="D678" s="98">
        <v>3414</v>
      </c>
      <c r="E678" s="157">
        <v>42218.671527777777</v>
      </c>
      <c r="F678" s="157">
        <v>42218.684027777781</v>
      </c>
      <c r="G678" s="98">
        <v>315</v>
      </c>
      <c r="H678" s="98">
        <v>456</v>
      </c>
      <c r="I678" s="98">
        <v>411</v>
      </c>
      <c r="J678" s="98" t="s">
        <v>1984</v>
      </c>
      <c r="K678" s="98" t="s">
        <v>3258</v>
      </c>
      <c r="L678" s="105" t="str">
        <f t="shared" si="120"/>
        <v>Brown</v>
      </c>
      <c r="M678" s="105" t="str">
        <f t="shared" si="121"/>
        <v>Derate</v>
      </c>
      <c r="N678" s="105" t="str">
        <f t="shared" si="122"/>
        <v>Coal</v>
      </c>
      <c r="O678" s="105">
        <f>IFERROR(VLOOKUP(A678,Lookup!$J$5:$P$19,7,FALSE),0)</f>
        <v>3</v>
      </c>
      <c r="P678" s="159">
        <f t="shared" si="123"/>
        <v>2015</v>
      </c>
      <c r="Q678" s="159">
        <f t="shared" si="124"/>
        <v>8</v>
      </c>
      <c r="R678" s="160">
        <f t="shared" si="125"/>
        <v>0.30000000010477379</v>
      </c>
      <c r="S678" s="158">
        <f t="shared" si="126"/>
        <v>9.2763157927134007E-2</v>
      </c>
      <c r="T678" s="161">
        <f t="shared" si="127"/>
        <v>38.125657908052077</v>
      </c>
      <c r="U678" s="158">
        <f t="shared" si="129"/>
        <v>127.08552631578948</v>
      </c>
      <c r="V678" s="160">
        <f t="shared" si="128"/>
        <v>127</v>
      </c>
    </row>
    <row r="679" spans="1:22" x14ac:dyDescent="0.25">
      <c r="A679" s="98" t="s">
        <v>28</v>
      </c>
      <c r="B679" s="98" t="s">
        <v>17</v>
      </c>
      <c r="C679" s="98">
        <v>51</v>
      </c>
      <c r="D679" s="98">
        <v>3414</v>
      </c>
      <c r="E679" s="157">
        <v>42220.576388888891</v>
      </c>
      <c r="F679" s="157">
        <v>42221.493750000001</v>
      </c>
      <c r="G679" s="98">
        <v>300</v>
      </c>
      <c r="H679" s="98">
        <v>456</v>
      </c>
      <c r="I679" s="98">
        <v>411</v>
      </c>
      <c r="J679" s="98" t="s">
        <v>1984</v>
      </c>
      <c r="K679" s="98" t="s">
        <v>3259</v>
      </c>
      <c r="L679" s="105" t="str">
        <f t="shared" si="120"/>
        <v>Brown</v>
      </c>
      <c r="M679" s="105" t="str">
        <f t="shared" si="121"/>
        <v>Derate</v>
      </c>
      <c r="N679" s="105" t="str">
        <f t="shared" si="122"/>
        <v>Coal</v>
      </c>
      <c r="O679" s="105">
        <f>IFERROR(VLOOKUP(A679,Lookup!$J$5:$P$19,7,FALSE),0)</f>
        <v>3</v>
      </c>
      <c r="P679" s="159">
        <f t="shared" si="123"/>
        <v>2015</v>
      </c>
      <c r="Q679" s="159">
        <f t="shared" si="124"/>
        <v>8</v>
      </c>
      <c r="R679" s="160">
        <f t="shared" si="125"/>
        <v>22.016666666662786</v>
      </c>
      <c r="S679" s="158">
        <f t="shared" si="126"/>
        <v>7.5320175438583217</v>
      </c>
      <c r="T679" s="161">
        <f t="shared" si="127"/>
        <v>3095.65921052577</v>
      </c>
      <c r="U679" s="158">
        <f t="shared" si="129"/>
        <v>140.60526315789474</v>
      </c>
      <c r="V679" s="160">
        <f t="shared" si="128"/>
        <v>141</v>
      </c>
    </row>
    <row r="680" spans="1:22" x14ac:dyDescent="0.25">
      <c r="A680" s="98" t="s">
        <v>28</v>
      </c>
      <c r="B680" s="98" t="s">
        <v>17</v>
      </c>
      <c r="C680" s="98">
        <v>52</v>
      </c>
      <c r="D680" s="98">
        <v>3412</v>
      </c>
      <c r="E680" s="157">
        <v>42233.582638888889</v>
      </c>
      <c r="F680" s="157">
        <v>42234.196527777778</v>
      </c>
      <c r="G680" s="98">
        <v>300</v>
      </c>
      <c r="H680" s="98">
        <v>456</v>
      </c>
      <c r="I680" s="98">
        <v>411</v>
      </c>
      <c r="J680" s="98" t="s">
        <v>2162</v>
      </c>
      <c r="K680" s="98" t="s">
        <v>3260</v>
      </c>
      <c r="L680" s="105" t="str">
        <f t="shared" si="120"/>
        <v>Brown</v>
      </c>
      <c r="M680" s="105" t="str">
        <f t="shared" si="121"/>
        <v>Derate</v>
      </c>
      <c r="N680" s="105" t="str">
        <f t="shared" si="122"/>
        <v>Coal</v>
      </c>
      <c r="O680" s="105">
        <f>IFERROR(VLOOKUP(A680,Lookup!$J$5:$P$19,7,FALSE),0)</f>
        <v>3</v>
      </c>
      <c r="P680" s="159">
        <f t="shared" si="123"/>
        <v>2015</v>
      </c>
      <c r="Q680" s="159">
        <f t="shared" si="124"/>
        <v>8</v>
      </c>
      <c r="R680" s="160">
        <f t="shared" si="125"/>
        <v>14.733333333337214</v>
      </c>
      <c r="S680" s="158">
        <f t="shared" si="126"/>
        <v>5.0403508771943102</v>
      </c>
      <c r="T680" s="161">
        <f t="shared" si="127"/>
        <v>2071.5842105268616</v>
      </c>
      <c r="U680" s="158">
        <f t="shared" si="129"/>
        <v>140.60526315789474</v>
      </c>
      <c r="V680" s="160">
        <f t="shared" si="128"/>
        <v>141</v>
      </c>
    </row>
    <row r="681" spans="1:22" x14ac:dyDescent="0.25">
      <c r="A681" s="98" t="s">
        <v>28</v>
      </c>
      <c r="B681" s="98" t="s">
        <v>79</v>
      </c>
      <c r="C681" s="98">
        <v>53</v>
      </c>
      <c r="D681" s="98">
        <v>8700</v>
      </c>
      <c r="E681" s="157">
        <v>42234.890972222223</v>
      </c>
      <c r="F681" s="157">
        <v>42235.447222222225</v>
      </c>
      <c r="G681" s="98">
        <v>0</v>
      </c>
      <c r="H681" s="98">
        <v>456</v>
      </c>
      <c r="I681" s="98">
        <v>411</v>
      </c>
      <c r="J681" s="98" t="s">
        <v>1987</v>
      </c>
      <c r="K681" s="98" t="s">
        <v>3261</v>
      </c>
      <c r="L681" s="105" t="str">
        <f t="shared" si="120"/>
        <v>Brown</v>
      </c>
      <c r="M681" s="105" t="str">
        <f t="shared" si="121"/>
        <v>Other</v>
      </c>
      <c r="N681" s="105" t="str">
        <f t="shared" si="122"/>
        <v>Coal</v>
      </c>
      <c r="O681" s="105">
        <f>IFERROR(VLOOKUP(A681,Lookup!$J$5:$P$19,7,FALSE),0)</f>
        <v>3</v>
      </c>
      <c r="P681" s="159">
        <f t="shared" si="123"/>
        <v>2015</v>
      </c>
      <c r="Q681" s="159">
        <f t="shared" si="124"/>
        <v>8</v>
      </c>
      <c r="R681" s="160">
        <f t="shared" si="125"/>
        <v>13.350000000034925</v>
      </c>
      <c r="S681" s="158">
        <f t="shared" si="126"/>
        <v>13.350000000034925</v>
      </c>
      <c r="T681" s="161">
        <f t="shared" si="127"/>
        <v>5486.850000014354</v>
      </c>
      <c r="U681" s="158">
        <f t="shared" si="129"/>
        <v>411</v>
      </c>
      <c r="V681" s="160">
        <f t="shared" si="128"/>
        <v>411</v>
      </c>
    </row>
    <row r="682" spans="1:22" x14ac:dyDescent="0.25">
      <c r="A682" s="98" t="s">
        <v>28</v>
      </c>
      <c r="B682" s="98" t="s">
        <v>79</v>
      </c>
      <c r="C682" s="98">
        <v>54</v>
      </c>
      <c r="D682" s="98">
        <v>8700</v>
      </c>
      <c r="E682" s="157">
        <v>42235.875</v>
      </c>
      <c r="F682" s="157">
        <v>42236.033333333333</v>
      </c>
      <c r="G682" s="98">
        <v>0</v>
      </c>
      <c r="H682" s="98">
        <v>456</v>
      </c>
      <c r="I682" s="98">
        <v>411</v>
      </c>
      <c r="J682" s="98" t="s">
        <v>1987</v>
      </c>
      <c r="K682" s="98" t="s">
        <v>3262</v>
      </c>
      <c r="L682" s="105" t="str">
        <f t="shared" si="120"/>
        <v>Brown</v>
      </c>
      <c r="M682" s="105" t="str">
        <f t="shared" si="121"/>
        <v>Other</v>
      </c>
      <c r="N682" s="105" t="str">
        <f t="shared" si="122"/>
        <v>Coal</v>
      </c>
      <c r="O682" s="105">
        <f>IFERROR(VLOOKUP(A682,Lookup!$J$5:$P$19,7,FALSE),0)</f>
        <v>3</v>
      </c>
      <c r="P682" s="159">
        <f t="shared" si="123"/>
        <v>2015</v>
      </c>
      <c r="Q682" s="159">
        <f t="shared" si="124"/>
        <v>8</v>
      </c>
      <c r="R682" s="160">
        <f t="shared" si="125"/>
        <v>3.7999999999883585</v>
      </c>
      <c r="S682" s="158">
        <f t="shared" si="126"/>
        <v>3.7999999999883585</v>
      </c>
      <c r="T682" s="161">
        <f t="shared" si="127"/>
        <v>1561.7999999952153</v>
      </c>
      <c r="U682" s="158">
        <f t="shared" si="129"/>
        <v>411</v>
      </c>
      <c r="V682" s="160">
        <f t="shared" si="128"/>
        <v>411</v>
      </c>
    </row>
    <row r="683" spans="1:22" x14ac:dyDescent="0.25">
      <c r="A683" s="98" t="s">
        <v>28</v>
      </c>
      <c r="B683" s="98" t="s">
        <v>17</v>
      </c>
      <c r="C683" s="98">
        <v>55</v>
      </c>
      <c r="D683" s="98">
        <v>350</v>
      </c>
      <c r="E683" s="157">
        <v>42248.556250000001</v>
      </c>
      <c r="F683" s="157">
        <v>42248.619444444441</v>
      </c>
      <c r="G683" s="98">
        <v>325</v>
      </c>
      <c r="H683" s="98">
        <v>456</v>
      </c>
      <c r="I683" s="98">
        <v>411</v>
      </c>
      <c r="J683" s="98" t="s">
        <v>1976</v>
      </c>
      <c r="K683" s="98" t="s">
        <v>3263</v>
      </c>
      <c r="L683" s="105" t="str">
        <f t="shared" si="120"/>
        <v>Brown</v>
      </c>
      <c r="M683" s="105" t="str">
        <f t="shared" si="121"/>
        <v>Derate</v>
      </c>
      <c r="N683" s="105" t="str">
        <f t="shared" si="122"/>
        <v>Coal</v>
      </c>
      <c r="O683" s="105">
        <f>IFERROR(VLOOKUP(A683,Lookup!$J$5:$P$19,7,FALSE),0)</f>
        <v>3</v>
      </c>
      <c r="P683" s="159">
        <f t="shared" si="123"/>
        <v>2015</v>
      </c>
      <c r="Q683" s="159">
        <f t="shared" si="124"/>
        <v>9</v>
      </c>
      <c r="R683" s="160">
        <f t="shared" si="125"/>
        <v>1.5166666665463708</v>
      </c>
      <c r="S683" s="158">
        <f t="shared" si="126"/>
        <v>0.43570906429292672</v>
      </c>
      <c r="T683" s="161">
        <f t="shared" si="127"/>
        <v>179.07642542439288</v>
      </c>
      <c r="U683" s="158">
        <f t="shared" si="129"/>
        <v>118.07236842105263</v>
      </c>
      <c r="V683" s="160">
        <f t="shared" si="128"/>
        <v>118</v>
      </c>
    </row>
    <row r="684" spans="1:22" x14ac:dyDescent="0.25">
      <c r="A684" s="98" t="s">
        <v>28</v>
      </c>
      <c r="B684" s="98" t="s">
        <v>17</v>
      </c>
      <c r="C684" s="98">
        <v>56</v>
      </c>
      <c r="D684" s="98">
        <v>310</v>
      </c>
      <c r="E684" s="157">
        <v>42248.619444444441</v>
      </c>
      <c r="F684" s="157">
        <v>42248.645833333336</v>
      </c>
      <c r="G684" s="98">
        <v>325</v>
      </c>
      <c r="H684" s="98">
        <v>456</v>
      </c>
      <c r="I684" s="98">
        <v>411</v>
      </c>
      <c r="J684" s="98" t="s">
        <v>1966</v>
      </c>
      <c r="K684" s="98" t="s">
        <v>3264</v>
      </c>
      <c r="L684" s="105" t="str">
        <f t="shared" si="120"/>
        <v>Brown</v>
      </c>
      <c r="M684" s="105" t="str">
        <f t="shared" si="121"/>
        <v>Derate</v>
      </c>
      <c r="N684" s="105" t="str">
        <f t="shared" si="122"/>
        <v>Coal</v>
      </c>
      <c r="O684" s="105">
        <f>IFERROR(VLOOKUP(A684,Lookup!$J$5:$P$19,7,FALSE),0)</f>
        <v>3</v>
      </c>
      <c r="P684" s="159">
        <f t="shared" si="123"/>
        <v>2015</v>
      </c>
      <c r="Q684" s="159">
        <f t="shared" si="124"/>
        <v>9</v>
      </c>
      <c r="R684" s="160">
        <f t="shared" si="125"/>
        <v>0.63333333347691223</v>
      </c>
      <c r="S684" s="158">
        <f t="shared" si="126"/>
        <v>0.18194444448569189</v>
      </c>
      <c r="T684" s="161">
        <f t="shared" si="127"/>
        <v>74.779166683619366</v>
      </c>
      <c r="U684" s="158">
        <f t="shared" si="129"/>
        <v>118.07236842105263</v>
      </c>
      <c r="V684" s="160">
        <f t="shared" si="128"/>
        <v>118</v>
      </c>
    </row>
    <row r="685" spans="1:22" x14ac:dyDescent="0.25">
      <c r="A685" s="98" t="s">
        <v>28</v>
      </c>
      <c r="B685" s="98" t="s">
        <v>17</v>
      </c>
      <c r="C685" s="98">
        <v>57</v>
      </c>
      <c r="D685" s="98">
        <v>310</v>
      </c>
      <c r="E685" s="157">
        <v>42248.645833333336</v>
      </c>
      <c r="F685" s="157">
        <v>42249.211111111108</v>
      </c>
      <c r="G685" s="98">
        <v>350</v>
      </c>
      <c r="H685" s="98">
        <v>456</v>
      </c>
      <c r="I685" s="98">
        <v>411</v>
      </c>
      <c r="J685" s="98" t="s">
        <v>1966</v>
      </c>
      <c r="K685" s="98" t="s">
        <v>3265</v>
      </c>
      <c r="L685" s="105" t="str">
        <f t="shared" si="120"/>
        <v>Brown</v>
      </c>
      <c r="M685" s="105" t="str">
        <f t="shared" si="121"/>
        <v>Derate</v>
      </c>
      <c r="N685" s="105" t="str">
        <f t="shared" si="122"/>
        <v>Coal</v>
      </c>
      <c r="O685" s="105">
        <f>IFERROR(VLOOKUP(A685,Lookup!$J$5:$P$19,7,FALSE),0)</f>
        <v>3</v>
      </c>
      <c r="P685" s="159">
        <f t="shared" si="123"/>
        <v>2015</v>
      </c>
      <c r="Q685" s="159">
        <f t="shared" si="124"/>
        <v>9</v>
      </c>
      <c r="R685" s="160">
        <f t="shared" si="125"/>
        <v>13.566666666534729</v>
      </c>
      <c r="S685" s="158">
        <f t="shared" si="126"/>
        <v>3.1536549707295642</v>
      </c>
      <c r="T685" s="161">
        <f t="shared" si="127"/>
        <v>1296.1521929698508</v>
      </c>
      <c r="U685" s="158">
        <f t="shared" si="129"/>
        <v>95.53947368421052</v>
      </c>
      <c r="V685" s="160">
        <f t="shared" si="128"/>
        <v>96</v>
      </c>
    </row>
    <row r="686" spans="1:22" x14ac:dyDescent="0.25">
      <c r="A686" s="98" t="s">
        <v>28</v>
      </c>
      <c r="B686" s="98" t="s">
        <v>17</v>
      </c>
      <c r="C686" s="98">
        <v>58</v>
      </c>
      <c r="D686" s="98">
        <v>350</v>
      </c>
      <c r="E686" s="157">
        <v>42249.338194444441</v>
      </c>
      <c r="F686" s="157">
        <v>42249.453472222223</v>
      </c>
      <c r="G686" s="98">
        <v>350</v>
      </c>
      <c r="H686" s="98">
        <v>456</v>
      </c>
      <c r="I686" s="98">
        <v>411</v>
      </c>
      <c r="J686" s="98" t="s">
        <v>1976</v>
      </c>
      <c r="K686" s="98" t="s">
        <v>3266</v>
      </c>
      <c r="L686" s="105" t="str">
        <f t="shared" si="120"/>
        <v>Brown</v>
      </c>
      <c r="M686" s="105" t="str">
        <f t="shared" si="121"/>
        <v>Derate</v>
      </c>
      <c r="N686" s="105" t="str">
        <f t="shared" si="122"/>
        <v>Coal</v>
      </c>
      <c r="O686" s="105">
        <f>IFERROR(VLOOKUP(A686,Lookup!$J$5:$P$19,7,FALSE),0)</f>
        <v>3</v>
      </c>
      <c r="P686" s="159">
        <f t="shared" si="123"/>
        <v>2015</v>
      </c>
      <c r="Q686" s="159">
        <f t="shared" si="124"/>
        <v>9</v>
      </c>
      <c r="R686" s="160">
        <f t="shared" si="125"/>
        <v>2.7666666667792015</v>
      </c>
      <c r="S686" s="158">
        <f t="shared" si="126"/>
        <v>0.64312865499691962</v>
      </c>
      <c r="T686" s="161">
        <f t="shared" si="127"/>
        <v>264.32587720373397</v>
      </c>
      <c r="U686" s="158">
        <f t="shared" si="129"/>
        <v>95.53947368421052</v>
      </c>
      <c r="V686" s="160">
        <f t="shared" si="128"/>
        <v>96</v>
      </c>
    </row>
    <row r="687" spans="1:22" x14ac:dyDescent="0.25">
      <c r="A687" s="98" t="s">
        <v>28</v>
      </c>
      <c r="B687" s="98" t="s">
        <v>20</v>
      </c>
      <c r="C687" s="98">
        <v>60</v>
      </c>
      <c r="D687" s="98">
        <v>891</v>
      </c>
      <c r="E687" s="157">
        <v>42261.25</v>
      </c>
      <c r="F687" s="157">
        <v>42261.922222222223</v>
      </c>
      <c r="G687" s="98">
        <v>0</v>
      </c>
      <c r="H687" s="98">
        <v>456</v>
      </c>
      <c r="I687" s="98">
        <v>411</v>
      </c>
      <c r="J687" s="98" t="s">
        <v>2122</v>
      </c>
      <c r="K687" s="98" t="s">
        <v>3267</v>
      </c>
      <c r="L687" s="105" t="str">
        <f t="shared" si="120"/>
        <v>Brown</v>
      </c>
      <c r="M687" s="105" t="str">
        <f t="shared" si="121"/>
        <v>Maintenance</v>
      </c>
      <c r="N687" s="105" t="str">
        <f t="shared" si="122"/>
        <v>Coal</v>
      </c>
      <c r="O687" s="105">
        <f>IFERROR(VLOOKUP(A687,Lookup!$J$5:$P$19,7,FALSE),0)</f>
        <v>3</v>
      </c>
      <c r="P687" s="159">
        <f t="shared" si="123"/>
        <v>2015</v>
      </c>
      <c r="Q687" s="159">
        <f t="shared" si="124"/>
        <v>9</v>
      </c>
      <c r="R687" s="160">
        <f t="shared" si="125"/>
        <v>16.133333333360497</v>
      </c>
      <c r="S687" s="158">
        <f t="shared" si="126"/>
        <v>16.133333333360497</v>
      </c>
      <c r="T687" s="161">
        <f t="shared" si="127"/>
        <v>6630.8000000111642</v>
      </c>
      <c r="U687" s="158">
        <f t="shared" si="129"/>
        <v>411</v>
      </c>
      <c r="V687" s="160">
        <f t="shared" si="128"/>
        <v>411</v>
      </c>
    </row>
    <row r="688" spans="1:22" x14ac:dyDescent="0.25">
      <c r="A688" s="98" t="s">
        <v>28</v>
      </c>
      <c r="B688" s="98" t="s">
        <v>20</v>
      </c>
      <c r="C688" s="98">
        <v>62</v>
      </c>
      <c r="D688" s="98">
        <v>350</v>
      </c>
      <c r="E688" s="157">
        <v>42263.334722222222</v>
      </c>
      <c r="F688" s="157">
        <v>42263.463194444441</v>
      </c>
      <c r="G688" s="98">
        <v>0</v>
      </c>
      <c r="H688" s="98">
        <v>456</v>
      </c>
      <c r="I688" s="98">
        <v>411</v>
      </c>
      <c r="J688" s="98" t="s">
        <v>1976</v>
      </c>
      <c r="K688" s="98" t="s">
        <v>3268</v>
      </c>
      <c r="L688" s="105" t="str">
        <f t="shared" si="120"/>
        <v>Brown</v>
      </c>
      <c r="M688" s="105" t="str">
        <f t="shared" si="121"/>
        <v>Maintenance</v>
      </c>
      <c r="N688" s="105" t="str">
        <f t="shared" si="122"/>
        <v>Coal</v>
      </c>
      <c r="O688" s="105">
        <f>IFERROR(VLOOKUP(A688,Lookup!$J$5:$P$19,7,FALSE),0)</f>
        <v>3</v>
      </c>
      <c r="P688" s="159">
        <f t="shared" si="123"/>
        <v>2015</v>
      </c>
      <c r="Q688" s="159">
        <f t="shared" si="124"/>
        <v>9</v>
      </c>
      <c r="R688" s="160">
        <f t="shared" si="125"/>
        <v>3.0833333332557231</v>
      </c>
      <c r="S688" s="158">
        <f t="shared" si="126"/>
        <v>3.0833333332557231</v>
      </c>
      <c r="T688" s="161">
        <f t="shared" si="127"/>
        <v>1267.2499999681022</v>
      </c>
      <c r="U688" s="158">
        <f t="shared" si="129"/>
        <v>411</v>
      </c>
      <c r="V688" s="160">
        <f t="shared" si="128"/>
        <v>411</v>
      </c>
    </row>
    <row r="689" spans="1:22" x14ac:dyDescent="0.25">
      <c r="A689" s="98" t="s">
        <v>28</v>
      </c>
      <c r="B689" s="98" t="s">
        <v>17</v>
      </c>
      <c r="C689" s="98">
        <v>65</v>
      </c>
      <c r="D689" s="98">
        <v>110</v>
      </c>
      <c r="E689" s="157">
        <v>42270.711111111108</v>
      </c>
      <c r="F689" s="157">
        <v>42270.741666666669</v>
      </c>
      <c r="G689" s="98">
        <v>105</v>
      </c>
      <c r="H689" s="98">
        <v>456</v>
      </c>
      <c r="I689" s="98">
        <v>411</v>
      </c>
      <c r="J689" s="98" t="s">
        <v>2046</v>
      </c>
      <c r="K689" s="98" t="s">
        <v>3269</v>
      </c>
      <c r="L689" s="105" t="str">
        <f t="shared" si="120"/>
        <v>Brown</v>
      </c>
      <c r="M689" s="105" t="str">
        <f t="shared" si="121"/>
        <v>Derate</v>
      </c>
      <c r="N689" s="105" t="str">
        <f t="shared" si="122"/>
        <v>Coal</v>
      </c>
      <c r="O689" s="105">
        <f>IFERROR(VLOOKUP(A689,Lookup!$J$5:$P$19,7,FALSE),0)</f>
        <v>3</v>
      </c>
      <c r="P689" s="159">
        <f t="shared" si="123"/>
        <v>2015</v>
      </c>
      <c r="Q689" s="159">
        <f t="shared" si="124"/>
        <v>9</v>
      </c>
      <c r="R689" s="160">
        <f t="shared" si="125"/>
        <v>0.73333333345362917</v>
      </c>
      <c r="S689" s="158">
        <f t="shared" si="126"/>
        <v>0.5644736843031225</v>
      </c>
      <c r="T689" s="161">
        <f t="shared" si="127"/>
        <v>231.99868424858334</v>
      </c>
      <c r="U689" s="158">
        <f t="shared" si="129"/>
        <v>316.36184210526318</v>
      </c>
      <c r="V689" s="160">
        <f t="shared" si="128"/>
        <v>316</v>
      </c>
    </row>
    <row r="690" spans="1:22" x14ac:dyDescent="0.25">
      <c r="A690" s="98" t="s">
        <v>28</v>
      </c>
      <c r="B690" s="98" t="s">
        <v>17</v>
      </c>
      <c r="C690" s="98">
        <v>66</v>
      </c>
      <c r="D690" s="98">
        <v>310</v>
      </c>
      <c r="E690" s="157">
        <v>42275.277777777781</v>
      </c>
      <c r="F690" s="157">
        <v>42276.071527777778</v>
      </c>
      <c r="G690" s="98">
        <v>350</v>
      </c>
      <c r="H690" s="98">
        <v>456</v>
      </c>
      <c r="I690" s="98">
        <v>411</v>
      </c>
      <c r="J690" s="98" t="s">
        <v>1966</v>
      </c>
      <c r="K690" s="98" t="s">
        <v>3270</v>
      </c>
      <c r="L690" s="105" t="str">
        <f t="shared" si="120"/>
        <v>Brown</v>
      </c>
      <c r="M690" s="105" t="str">
        <f t="shared" si="121"/>
        <v>Derate</v>
      </c>
      <c r="N690" s="105" t="str">
        <f t="shared" si="122"/>
        <v>Coal</v>
      </c>
      <c r="O690" s="105">
        <f>IFERROR(VLOOKUP(A690,Lookup!$J$5:$P$19,7,FALSE),0)</f>
        <v>3</v>
      </c>
      <c r="P690" s="159">
        <f t="shared" si="123"/>
        <v>2015</v>
      </c>
      <c r="Q690" s="159">
        <f t="shared" si="124"/>
        <v>9</v>
      </c>
      <c r="R690" s="160">
        <f t="shared" si="125"/>
        <v>19.049999999930151</v>
      </c>
      <c r="S690" s="158">
        <f t="shared" si="126"/>
        <v>4.4282894736679737</v>
      </c>
      <c r="T690" s="161">
        <f t="shared" si="127"/>
        <v>1820.0269736775372</v>
      </c>
      <c r="U690" s="158">
        <f t="shared" si="129"/>
        <v>95.53947368421052</v>
      </c>
      <c r="V690" s="160">
        <f t="shared" si="128"/>
        <v>96</v>
      </c>
    </row>
    <row r="691" spans="1:22" x14ac:dyDescent="0.25">
      <c r="A691" s="98" t="s">
        <v>28</v>
      </c>
      <c r="B691" s="98" t="s">
        <v>38</v>
      </c>
      <c r="C691" s="98">
        <v>67</v>
      </c>
      <c r="D691" s="98">
        <v>1800</v>
      </c>
      <c r="E691" s="157">
        <v>42279.55</v>
      </c>
      <c r="F691" s="157">
        <v>42330.750694444447</v>
      </c>
      <c r="G691" s="98">
        <v>0</v>
      </c>
      <c r="H691" s="98">
        <v>456</v>
      </c>
      <c r="I691" s="98">
        <v>411</v>
      </c>
      <c r="J691" s="98" t="s">
        <v>2178</v>
      </c>
      <c r="K691" s="98" t="s">
        <v>3271</v>
      </c>
      <c r="L691" s="105" t="str">
        <f t="shared" si="120"/>
        <v>Brown</v>
      </c>
      <c r="M691" s="105" t="str">
        <f t="shared" si="121"/>
        <v>Other</v>
      </c>
      <c r="N691" s="105" t="str">
        <f t="shared" si="122"/>
        <v>Coal</v>
      </c>
      <c r="O691" s="105">
        <f>IFERROR(VLOOKUP(A691,Lookup!$J$5:$P$19,7,FALSE),0)</f>
        <v>3</v>
      </c>
      <c r="P691" s="159">
        <f t="shared" si="123"/>
        <v>2015</v>
      </c>
      <c r="Q691" s="159">
        <f t="shared" si="124"/>
        <v>10</v>
      </c>
      <c r="R691" s="160">
        <f t="shared" si="125"/>
        <v>1228.8166666666511</v>
      </c>
      <c r="S691" s="158">
        <f t="shared" si="126"/>
        <v>1228.8166666666511</v>
      </c>
      <c r="T691" s="161">
        <f t="shared" si="127"/>
        <v>505043.64999999362</v>
      </c>
      <c r="U691" s="158">
        <f t="shared" si="129"/>
        <v>411</v>
      </c>
      <c r="V691" s="160">
        <f t="shared" si="128"/>
        <v>411</v>
      </c>
    </row>
    <row r="692" spans="1:22" x14ac:dyDescent="0.25">
      <c r="A692" s="98" t="s">
        <v>28</v>
      </c>
      <c r="B692" s="98" t="s">
        <v>17</v>
      </c>
      <c r="C692" s="98">
        <v>68</v>
      </c>
      <c r="D692" s="98">
        <v>3410</v>
      </c>
      <c r="E692" s="157">
        <v>42331.145833333336</v>
      </c>
      <c r="F692" s="157">
        <v>42331.201388888891</v>
      </c>
      <c r="G692" s="98">
        <v>340</v>
      </c>
      <c r="H692" s="98">
        <v>456</v>
      </c>
      <c r="I692" s="98">
        <v>411</v>
      </c>
      <c r="J692" s="98" t="s">
        <v>1983</v>
      </c>
      <c r="K692" s="98" t="s">
        <v>3272</v>
      </c>
      <c r="L692" s="105" t="str">
        <f t="shared" si="120"/>
        <v>Brown</v>
      </c>
      <c r="M692" s="105" t="str">
        <f t="shared" si="121"/>
        <v>Derate</v>
      </c>
      <c r="N692" s="105" t="str">
        <f t="shared" si="122"/>
        <v>Coal</v>
      </c>
      <c r="O692" s="105">
        <f>IFERROR(VLOOKUP(A692,Lookup!$J$5:$P$19,7,FALSE),0)</f>
        <v>3</v>
      </c>
      <c r="P692" s="159">
        <f t="shared" si="123"/>
        <v>2015</v>
      </c>
      <c r="Q692" s="159">
        <f t="shared" si="124"/>
        <v>11</v>
      </c>
      <c r="R692" s="160">
        <f t="shared" si="125"/>
        <v>1.3333333333139308</v>
      </c>
      <c r="S692" s="158">
        <f t="shared" si="126"/>
        <v>0.33918128654477187</v>
      </c>
      <c r="T692" s="161">
        <f t="shared" si="127"/>
        <v>139.40350876990124</v>
      </c>
      <c r="U692" s="158">
        <f t="shared" si="129"/>
        <v>104.55263157894737</v>
      </c>
      <c r="V692" s="160">
        <f t="shared" si="128"/>
        <v>105</v>
      </c>
    </row>
    <row r="693" spans="1:22" x14ac:dyDescent="0.25">
      <c r="A693" s="98" t="s">
        <v>28</v>
      </c>
      <c r="B693" s="98" t="s">
        <v>17</v>
      </c>
      <c r="C693" s="98">
        <v>69</v>
      </c>
      <c r="D693" s="98">
        <v>3410</v>
      </c>
      <c r="E693" s="157">
        <v>42331.201388888891</v>
      </c>
      <c r="F693" s="157">
        <v>42331.506249999999</v>
      </c>
      <c r="G693" s="98">
        <v>310</v>
      </c>
      <c r="H693" s="98">
        <v>456</v>
      </c>
      <c r="I693" s="98">
        <v>411</v>
      </c>
      <c r="J693" s="98" t="s">
        <v>1983</v>
      </c>
      <c r="K693" s="98" t="s">
        <v>3272</v>
      </c>
      <c r="L693" s="105" t="str">
        <f t="shared" si="120"/>
        <v>Brown</v>
      </c>
      <c r="M693" s="105" t="str">
        <f t="shared" si="121"/>
        <v>Derate</v>
      </c>
      <c r="N693" s="105" t="str">
        <f t="shared" si="122"/>
        <v>Coal</v>
      </c>
      <c r="O693" s="105">
        <f>IFERROR(VLOOKUP(A693,Lookup!$J$5:$P$19,7,FALSE),0)</f>
        <v>3</v>
      </c>
      <c r="P693" s="159">
        <f t="shared" si="123"/>
        <v>2015</v>
      </c>
      <c r="Q693" s="159">
        <f t="shared" si="124"/>
        <v>11</v>
      </c>
      <c r="R693" s="160">
        <f t="shared" si="125"/>
        <v>7.316666666592937</v>
      </c>
      <c r="S693" s="158">
        <f t="shared" si="126"/>
        <v>2.3426169590407211</v>
      </c>
      <c r="T693" s="161">
        <f t="shared" si="127"/>
        <v>962.8155701657364</v>
      </c>
      <c r="U693" s="158">
        <f t="shared" si="129"/>
        <v>131.59210526315789</v>
      </c>
      <c r="V693" s="160">
        <f t="shared" si="128"/>
        <v>132</v>
      </c>
    </row>
    <row r="694" spans="1:22" x14ac:dyDescent="0.25">
      <c r="A694" s="98" t="s">
        <v>28</v>
      </c>
      <c r="B694" s="98" t="s">
        <v>15</v>
      </c>
      <c r="C694" s="98">
        <v>70</v>
      </c>
      <c r="D694" s="98">
        <v>3399</v>
      </c>
      <c r="E694" s="157">
        <v>42331.506249999999</v>
      </c>
      <c r="F694" s="157">
        <v>42331.958333333336</v>
      </c>
      <c r="G694" s="98">
        <v>0</v>
      </c>
      <c r="H694" s="98">
        <v>456</v>
      </c>
      <c r="I694" s="98">
        <v>411</v>
      </c>
      <c r="J694" s="98" t="s">
        <v>2120</v>
      </c>
      <c r="K694" s="98" t="s">
        <v>3273</v>
      </c>
      <c r="L694" s="105" t="str">
        <f t="shared" si="120"/>
        <v>Brown</v>
      </c>
      <c r="M694" s="105" t="str">
        <f t="shared" si="121"/>
        <v>Outage</v>
      </c>
      <c r="N694" s="105" t="str">
        <f t="shared" si="122"/>
        <v>Coal</v>
      </c>
      <c r="O694" s="105">
        <f>IFERROR(VLOOKUP(A694,Lookup!$J$5:$P$19,7,FALSE),0)</f>
        <v>3</v>
      </c>
      <c r="P694" s="159">
        <f t="shared" si="123"/>
        <v>2015</v>
      </c>
      <c r="Q694" s="159">
        <f t="shared" si="124"/>
        <v>11</v>
      </c>
      <c r="R694" s="160">
        <f t="shared" si="125"/>
        <v>10.850000000093132</v>
      </c>
      <c r="S694" s="158">
        <f t="shared" si="126"/>
        <v>10.850000000093132</v>
      </c>
      <c r="T694" s="161">
        <f t="shared" si="127"/>
        <v>4459.3500000382774</v>
      </c>
      <c r="U694" s="158">
        <f t="shared" si="129"/>
        <v>411</v>
      </c>
      <c r="V694" s="160">
        <f t="shared" si="128"/>
        <v>411</v>
      </c>
    </row>
    <row r="695" spans="1:22" x14ac:dyDescent="0.25">
      <c r="A695" s="98" t="s">
        <v>28</v>
      </c>
      <c r="B695" s="98" t="s">
        <v>18</v>
      </c>
      <c r="C695" s="98">
        <v>71</v>
      </c>
      <c r="D695" s="98">
        <v>9930</v>
      </c>
      <c r="E695" s="157">
        <v>42331.958333333336</v>
      </c>
      <c r="F695" s="157">
        <v>42332.136111111111</v>
      </c>
      <c r="G695" s="98">
        <v>0</v>
      </c>
      <c r="H695" s="98">
        <v>456</v>
      </c>
      <c r="I695" s="98">
        <v>411</v>
      </c>
      <c r="J695" s="98" t="s">
        <v>2639</v>
      </c>
      <c r="K695" s="98" t="s">
        <v>3274</v>
      </c>
      <c r="L695" s="105" t="str">
        <f t="shared" si="120"/>
        <v>Brown</v>
      </c>
      <c r="M695" s="105" t="str">
        <f t="shared" si="121"/>
        <v>Outage</v>
      </c>
      <c r="N695" s="105" t="str">
        <f t="shared" si="122"/>
        <v>Coal</v>
      </c>
      <c r="O695" s="105">
        <f>IFERROR(VLOOKUP(A695,Lookup!$J$5:$P$19,7,FALSE),0)</f>
        <v>3</v>
      </c>
      <c r="P695" s="159">
        <f t="shared" si="123"/>
        <v>2015</v>
      </c>
      <c r="Q695" s="159">
        <f t="shared" si="124"/>
        <v>11</v>
      </c>
      <c r="R695" s="160">
        <f t="shared" si="125"/>
        <v>4.2666666666045785</v>
      </c>
      <c r="S695" s="158">
        <f t="shared" si="126"/>
        <v>4.2666666666045785</v>
      </c>
      <c r="T695" s="161">
        <f t="shared" si="127"/>
        <v>1753.5999999744818</v>
      </c>
      <c r="U695" s="158">
        <f t="shared" si="129"/>
        <v>411</v>
      </c>
      <c r="V695" s="160">
        <f t="shared" si="128"/>
        <v>411</v>
      </c>
    </row>
    <row r="696" spans="1:22" x14ac:dyDescent="0.25">
      <c r="A696" s="98" t="s">
        <v>28</v>
      </c>
      <c r="B696" s="98" t="s">
        <v>17</v>
      </c>
      <c r="C696" s="98">
        <v>72</v>
      </c>
      <c r="D696" s="98">
        <v>3410</v>
      </c>
      <c r="E696" s="157">
        <v>42332.136111111111</v>
      </c>
      <c r="F696" s="157">
        <v>42332.4375</v>
      </c>
      <c r="G696" s="98">
        <v>310</v>
      </c>
      <c r="H696" s="98">
        <v>456</v>
      </c>
      <c r="I696" s="98">
        <v>411</v>
      </c>
      <c r="J696" s="98" t="s">
        <v>1983</v>
      </c>
      <c r="K696" s="98" t="s">
        <v>3272</v>
      </c>
      <c r="L696" s="105" t="str">
        <f t="shared" si="120"/>
        <v>Brown</v>
      </c>
      <c r="M696" s="105" t="str">
        <f t="shared" si="121"/>
        <v>Derate</v>
      </c>
      <c r="N696" s="105" t="str">
        <f t="shared" si="122"/>
        <v>Coal</v>
      </c>
      <c r="O696" s="105">
        <f>IFERROR(VLOOKUP(A696,Lookup!$J$5:$P$19,7,FALSE),0)</f>
        <v>3</v>
      </c>
      <c r="P696" s="159">
        <f t="shared" si="123"/>
        <v>2015</v>
      </c>
      <c r="Q696" s="159">
        <f t="shared" si="124"/>
        <v>11</v>
      </c>
      <c r="R696" s="160">
        <f t="shared" si="125"/>
        <v>7.2333333333372138</v>
      </c>
      <c r="S696" s="158">
        <f t="shared" si="126"/>
        <v>2.3159356725158622</v>
      </c>
      <c r="T696" s="161">
        <f t="shared" si="127"/>
        <v>951.84956140401937</v>
      </c>
      <c r="U696" s="158">
        <f t="shared" si="129"/>
        <v>131.59210526315789</v>
      </c>
      <c r="V696" s="160">
        <f t="shared" si="128"/>
        <v>132</v>
      </c>
    </row>
    <row r="697" spans="1:22" x14ac:dyDescent="0.25">
      <c r="A697" s="98" t="s">
        <v>28</v>
      </c>
      <c r="B697" s="98" t="s">
        <v>17</v>
      </c>
      <c r="C697" s="98">
        <v>73</v>
      </c>
      <c r="D697" s="98">
        <v>3410</v>
      </c>
      <c r="E697" s="157">
        <v>42332.4375</v>
      </c>
      <c r="F697" s="157">
        <v>42333.666666666664</v>
      </c>
      <c r="G697" s="98">
        <v>325</v>
      </c>
      <c r="H697" s="98">
        <v>456</v>
      </c>
      <c r="I697" s="98">
        <v>411</v>
      </c>
      <c r="J697" s="98" t="s">
        <v>1983</v>
      </c>
      <c r="K697" s="98" t="s">
        <v>3272</v>
      </c>
      <c r="L697" s="105" t="str">
        <f t="shared" si="120"/>
        <v>Brown</v>
      </c>
      <c r="M697" s="105" t="str">
        <f t="shared" si="121"/>
        <v>Derate</v>
      </c>
      <c r="N697" s="105" t="str">
        <f t="shared" si="122"/>
        <v>Coal</v>
      </c>
      <c r="O697" s="105">
        <f>IFERROR(VLOOKUP(A697,Lookup!$J$5:$P$19,7,FALSE),0)</f>
        <v>3</v>
      </c>
      <c r="P697" s="159">
        <f t="shared" si="123"/>
        <v>2015</v>
      </c>
      <c r="Q697" s="159">
        <f t="shared" si="124"/>
        <v>11</v>
      </c>
      <c r="R697" s="160">
        <f t="shared" si="125"/>
        <v>29.499999999941792</v>
      </c>
      <c r="S697" s="158">
        <f t="shared" si="126"/>
        <v>8.4747807017376644</v>
      </c>
      <c r="T697" s="161">
        <f t="shared" si="127"/>
        <v>3483.1348684141799</v>
      </c>
      <c r="U697" s="158">
        <f t="shared" si="129"/>
        <v>118.07236842105263</v>
      </c>
      <c r="V697" s="160">
        <f t="shared" si="128"/>
        <v>118</v>
      </c>
    </row>
    <row r="698" spans="1:22" x14ac:dyDescent="0.25">
      <c r="A698" s="98" t="s">
        <v>28</v>
      </c>
      <c r="B698" s="98" t="s">
        <v>17</v>
      </c>
      <c r="C698" s="98">
        <v>74</v>
      </c>
      <c r="D698" s="98">
        <v>1761</v>
      </c>
      <c r="E698" s="157">
        <v>42333.666666666664</v>
      </c>
      <c r="F698" s="157">
        <v>42333.855555555558</v>
      </c>
      <c r="G698" s="98">
        <v>67</v>
      </c>
      <c r="H698" s="98">
        <v>456</v>
      </c>
      <c r="I698" s="98">
        <v>411</v>
      </c>
      <c r="J698" s="98" t="s">
        <v>3275</v>
      </c>
      <c r="K698" s="98" t="s">
        <v>3276</v>
      </c>
      <c r="L698" s="105" t="str">
        <f t="shared" si="120"/>
        <v>Brown</v>
      </c>
      <c r="M698" s="105" t="str">
        <f t="shared" si="121"/>
        <v>Derate</v>
      </c>
      <c r="N698" s="105" t="str">
        <f t="shared" si="122"/>
        <v>Coal</v>
      </c>
      <c r="O698" s="105">
        <f>IFERROR(VLOOKUP(A698,Lookup!$J$5:$P$19,7,FALSE),0)</f>
        <v>3</v>
      </c>
      <c r="P698" s="159">
        <f t="shared" si="123"/>
        <v>2015</v>
      </c>
      <c r="Q698" s="159">
        <f t="shared" si="124"/>
        <v>11</v>
      </c>
      <c r="R698" s="160">
        <f t="shared" si="125"/>
        <v>4.5333333334419876</v>
      </c>
      <c r="S698" s="158">
        <f t="shared" si="126"/>
        <v>3.8672514620809939</v>
      </c>
      <c r="T698" s="161">
        <f t="shared" si="127"/>
        <v>1589.4403509152885</v>
      </c>
      <c r="U698" s="158">
        <f t="shared" si="129"/>
        <v>350.61184210526318</v>
      </c>
      <c r="V698" s="160">
        <f t="shared" si="128"/>
        <v>351</v>
      </c>
    </row>
    <row r="699" spans="1:22" x14ac:dyDescent="0.25">
      <c r="A699" s="98" t="s">
        <v>28</v>
      </c>
      <c r="B699" s="98" t="s">
        <v>17</v>
      </c>
      <c r="C699" s="98">
        <v>75</v>
      </c>
      <c r="D699" s="98">
        <v>3410</v>
      </c>
      <c r="E699" s="157">
        <v>42333.855555555558</v>
      </c>
      <c r="F699" s="157">
        <v>42340.681250000001</v>
      </c>
      <c r="G699" s="98">
        <v>325</v>
      </c>
      <c r="H699" s="98">
        <v>456</v>
      </c>
      <c r="I699" s="98">
        <v>411</v>
      </c>
      <c r="J699" s="98" t="s">
        <v>1983</v>
      </c>
      <c r="K699" s="98" t="s">
        <v>3272</v>
      </c>
      <c r="L699" s="105" t="str">
        <f t="shared" si="120"/>
        <v>Brown</v>
      </c>
      <c r="M699" s="105" t="str">
        <f t="shared" si="121"/>
        <v>Derate</v>
      </c>
      <c r="N699" s="105" t="str">
        <f t="shared" si="122"/>
        <v>Coal</v>
      </c>
      <c r="O699" s="105">
        <f>IFERROR(VLOOKUP(A699,Lookup!$J$5:$P$19,7,FALSE),0)</f>
        <v>3</v>
      </c>
      <c r="P699" s="159">
        <f t="shared" si="123"/>
        <v>2015</v>
      </c>
      <c r="Q699" s="159">
        <f t="shared" si="124"/>
        <v>11</v>
      </c>
      <c r="R699" s="160">
        <f t="shared" si="125"/>
        <v>163.81666666665114</v>
      </c>
      <c r="S699" s="158">
        <f t="shared" si="126"/>
        <v>47.061366959059868</v>
      </c>
      <c r="T699" s="161">
        <f t="shared" si="127"/>
        <v>19342.221820173607</v>
      </c>
      <c r="U699" s="158">
        <f t="shared" si="129"/>
        <v>118.07236842105263</v>
      </c>
      <c r="V699" s="160">
        <f t="shared" si="128"/>
        <v>118</v>
      </c>
    </row>
    <row r="700" spans="1:22" x14ac:dyDescent="0.25">
      <c r="A700" s="98" t="s">
        <v>28</v>
      </c>
      <c r="B700" s="98" t="s">
        <v>17</v>
      </c>
      <c r="C700" s="98">
        <v>76</v>
      </c>
      <c r="D700" s="98">
        <v>250</v>
      </c>
      <c r="E700" s="157">
        <v>42340.722222222219</v>
      </c>
      <c r="F700" s="157">
        <v>42340.734027777777</v>
      </c>
      <c r="G700" s="98">
        <v>350</v>
      </c>
      <c r="H700" s="98">
        <v>456</v>
      </c>
      <c r="I700" s="98">
        <v>411</v>
      </c>
      <c r="J700" s="98" t="s">
        <v>1978</v>
      </c>
      <c r="K700" s="98" t="s">
        <v>3277</v>
      </c>
      <c r="L700" s="105" t="str">
        <f t="shared" si="120"/>
        <v>Brown</v>
      </c>
      <c r="M700" s="105" t="str">
        <f t="shared" si="121"/>
        <v>Derate</v>
      </c>
      <c r="N700" s="105" t="str">
        <f t="shared" si="122"/>
        <v>Coal</v>
      </c>
      <c r="O700" s="105">
        <f>IFERROR(VLOOKUP(A700,Lookup!$J$5:$P$19,7,FALSE),0)</f>
        <v>3</v>
      </c>
      <c r="P700" s="159">
        <f t="shared" si="123"/>
        <v>2015</v>
      </c>
      <c r="Q700" s="159">
        <f t="shared" si="124"/>
        <v>12</v>
      </c>
      <c r="R700" s="160">
        <f t="shared" si="125"/>
        <v>0.28333333338377997</v>
      </c>
      <c r="S700" s="158">
        <f t="shared" si="126"/>
        <v>6.5862573111141839E-2</v>
      </c>
      <c r="T700" s="161">
        <f t="shared" si="127"/>
        <v>27.069517548679297</v>
      </c>
      <c r="U700" s="158">
        <f t="shared" si="129"/>
        <v>95.53947368421052</v>
      </c>
      <c r="V700" s="160">
        <f t="shared" si="128"/>
        <v>96</v>
      </c>
    </row>
    <row r="701" spans="1:22" x14ac:dyDescent="0.25">
      <c r="A701" s="98" t="s">
        <v>28</v>
      </c>
      <c r="B701" s="98" t="s">
        <v>17</v>
      </c>
      <c r="C701" s="98">
        <v>77</v>
      </c>
      <c r="D701" s="98">
        <v>250</v>
      </c>
      <c r="E701" s="157">
        <v>42340.734027777777</v>
      </c>
      <c r="F701" s="157">
        <v>42341.914583333331</v>
      </c>
      <c r="G701" s="98">
        <v>360</v>
      </c>
      <c r="H701" s="98">
        <v>456</v>
      </c>
      <c r="I701" s="98">
        <v>411</v>
      </c>
      <c r="J701" s="98" t="s">
        <v>1978</v>
      </c>
      <c r="K701" s="98" t="s">
        <v>3277</v>
      </c>
      <c r="L701" s="105" t="str">
        <f t="shared" si="120"/>
        <v>Brown</v>
      </c>
      <c r="M701" s="105" t="str">
        <f t="shared" si="121"/>
        <v>Derate</v>
      </c>
      <c r="N701" s="105" t="str">
        <f t="shared" si="122"/>
        <v>Coal</v>
      </c>
      <c r="O701" s="105">
        <f>IFERROR(VLOOKUP(A701,Lookup!$J$5:$P$19,7,FALSE),0)</f>
        <v>3</v>
      </c>
      <c r="P701" s="159">
        <f t="shared" si="123"/>
        <v>2015</v>
      </c>
      <c r="Q701" s="159">
        <f t="shared" si="124"/>
        <v>12</v>
      </c>
      <c r="R701" s="160">
        <f t="shared" si="125"/>
        <v>28.333333333313931</v>
      </c>
      <c r="S701" s="158">
        <f t="shared" si="126"/>
        <v>5.9649122806976695</v>
      </c>
      <c r="T701" s="161">
        <f t="shared" si="127"/>
        <v>2451.5789473667423</v>
      </c>
      <c r="U701" s="158">
        <f t="shared" si="129"/>
        <v>86.526315789473685</v>
      </c>
      <c r="V701" s="160">
        <f t="shared" si="128"/>
        <v>87</v>
      </c>
    </row>
    <row r="702" spans="1:22" x14ac:dyDescent="0.25">
      <c r="A702" s="98" t="s">
        <v>28</v>
      </c>
      <c r="B702" s="98" t="s">
        <v>17</v>
      </c>
      <c r="C702" s="98">
        <v>78</v>
      </c>
      <c r="D702" s="98">
        <v>250</v>
      </c>
      <c r="E702" s="157">
        <v>42341.914583333331</v>
      </c>
      <c r="F702" s="157">
        <v>42341.977777777778</v>
      </c>
      <c r="G702" s="98">
        <v>57</v>
      </c>
      <c r="H702" s="98">
        <v>456</v>
      </c>
      <c r="I702" s="98">
        <v>411</v>
      </c>
      <c r="J702" s="98" t="s">
        <v>1978</v>
      </c>
      <c r="K702" s="98" t="s">
        <v>3278</v>
      </c>
      <c r="L702" s="105" t="str">
        <f t="shared" si="120"/>
        <v>Brown</v>
      </c>
      <c r="M702" s="105" t="str">
        <f t="shared" si="121"/>
        <v>Derate</v>
      </c>
      <c r="N702" s="105" t="str">
        <f t="shared" si="122"/>
        <v>Coal</v>
      </c>
      <c r="O702" s="105">
        <f>IFERROR(VLOOKUP(A702,Lookup!$J$5:$P$19,7,FALSE),0)</f>
        <v>3</v>
      </c>
      <c r="P702" s="159">
        <f t="shared" si="123"/>
        <v>2015</v>
      </c>
      <c r="Q702" s="159">
        <f t="shared" si="124"/>
        <v>12</v>
      </c>
      <c r="R702" s="160">
        <f t="shared" si="125"/>
        <v>1.5166666667209938</v>
      </c>
      <c r="S702" s="158">
        <f t="shared" si="126"/>
        <v>1.3270833333808696</v>
      </c>
      <c r="T702" s="161">
        <f t="shared" si="127"/>
        <v>545.4312500195374</v>
      </c>
      <c r="U702" s="158">
        <f t="shared" si="129"/>
        <v>359.625</v>
      </c>
      <c r="V702" s="160">
        <f t="shared" si="128"/>
        <v>360</v>
      </c>
    </row>
    <row r="703" spans="1:22" x14ac:dyDescent="0.25">
      <c r="A703" s="98" t="s">
        <v>28</v>
      </c>
      <c r="B703" s="98" t="s">
        <v>17</v>
      </c>
      <c r="C703" s="98">
        <v>79</v>
      </c>
      <c r="D703" s="98">
        <v>250</v>
      </c>
      <c r="E703" s="157">
        <v>42341.977777777778</v>
      </c>
      <c r="F703" s="157">
        <v>42342.177083333336</v>
      </c>
      <c r="G703" s="98">
        <v>360</v>
      </c>
      <c r="H703" s="98">
        <v>456</v>
      </c>
      <c r="I703" s="98">
        <v>411</v>
      </c>
      <c r="J703" s="98" t="s">
        <v>1978</v>
      </c>
      <c r="K703" s="98" t="s">
        <v>3277</v>
      </c>
      <c r="L703" s="105" t="str">
        <f t="shared" si="120"/>
        <v>Brown</v>
      </c>
      <c r="M703" s="105" t="str">
        <f t="shared" si="121"/>
        <v>Derate</v>
      </c>
      <c r="N703" s="105" t="str">
        <f t="shared" si="122"/>
        <v>Coal</v>
      </c>
      <c r="O703" s="105">
        <f>IFERROR(VLOOKUP(A703,Lookup!$J$5:$P$19,7,FALSE),0)</f>
        <v>3</v>
      </c>
      <c r="P703" s="159">
        <f t="shared" si="123"/>
        <v>2015</v>
      </c>
      <c r="Q703" s="159">
        <f t="shared" si="124"/>
        <v>12</v>
      </c>
      <c r="R703" s="160">
        <f t="shared" si="125"/>
        <v>4.78333333338378</v>
      </c>
      <c r="S703" s="158">
        <f t="shared" si="126"/>
        <v>1.0070175438702695</v>
      </c>
      <c r="T703" s="161">
        <f t="shared" si="127"/>
        <v>413.88421053068078</v>
      </c>
      <c r="U703" s="158">
        <f t="shared" si="129"/>
        <v>86.526315789473685</v>
      </c>
      <c r="V703" s="160">
        <f t="shared" si="128"/>
        <v>87</v>
      </c>
    </row>
    <row r="704" spans="1:22" x14ac:dyDescent="0.25">
      <c r="A704" s="98" t="s">
        <v>28</v>
      </c>
      <c r="B704" s="98" t="s">
        <v>17</v>
      </c>
      <c r="C704" s="98">
        <v>80</v>
      </c>
      <c r="D704" s="98">
        <v>250</v>
      </c>
      <c r="E704" s="157">
        <v>42342.177083333336</v>
      </c>
      <c r="F704" s="157">
        <v>42342.746527777781</v>
      </c>
      <c r="G704" s="98">
        <v>250</v>
      </c>
      <c r="H704" s="98">
        <v>456</v>
      </c>
      <c r="I704" s="98">
        <v>411</v>
      </c>
      <c r="J704" s="98" t="s">
        <v>1978</v>
      </c>
      <c r="K704" s="98" t="s">
        <v>3279</v>
      </c>
      <c r="L704" s="105" t="str">
        <f t="shared" si="120"/>
        <v>Brown</v>
      </c>
      <c r="M704" s="105" t="str">
        <f t="shared" si="121"/>
        <v>Derate</v>
      </c>
      <c r="N704" s="105" t="str">
        <f t="shared" si="122"/>
        <v>Coal</v>
      </c>
      <c r="O704" s="105">
        <f>IFERROR(VLOOKUP(A704,Lookup!$J$5:$P$19,7,FALSE),0)</f>
        <v>3</v>
      </c>
      <c r="P704" s="159">
        <f t="shared" si="123"/>
        <v>2015</v>
      </c>
      <c r="Q704" s="159">
        <f t="shared" si="124"/>
        <v>12</v>
      </c>
      <c r="R704" s="160">
        <f t="shared" si="125"/>
        <v>13.666666666686069</v>
      </c>
      <c r="S704" s="158">
        <f t="shared" si="126"/>
        <v>6.1739766081958996</v>
      </c>
      <c r="T704" s="161">
        <f t="shared" si="127"/>
        <v>2537.5043859685147</v>
      </c>
      <c r="U704" s="158">
        <f t="shared" si="129"/>
        <v>185.67105263157896</v>
      </c>
      <c r="V704" s="160">
        <f t="shared" si="128"/>
        <v>186</v>
      </c>
    </row>
    <row r="705" spans="1:22" x14ac:dyDescent="0.25">
      <c r="A705" s="98" t="s">
        <v>28</v>
      </c>
      <c r="B705" s="98" t="s">
        <v>17</v>
      </c>
      <c r="C705" s="98">
        <v>81</v>
      </c>
      <c r="D705" s="98">
        <v>250</v>
      </c>
      <c r="E705" s="157">
        <v>42342.746527777781</v>
      </c>
      <c r="F705" s="157">
        <v>42343.036111111112</v>
      </c>
      <c r="G705" s="98">
        <v>360</v>
      </c>
      <c r="H705" s="98">
        <v>456</v>
      </c>
      <c r="I705" s="98">
        <v>411</v>
      </c>
      <c r="J705" s="98" t="s">
        <v>1978</v>
      </c>
      <c r="K705" s="98" t="s">
        <v>3280</v>
      </c>
      <c r="L705" s="105" t="str">
        <f t="shared" si="120"/>
        <v>Brown</v>
      </c>
      <c r="M705" s="105" t="str">
        <f t="shared" si="121"/>
        <v>Derate</v>
      </c>
      <c r="N705" s="105" t="str">
        <f t="shared" si="122"/>
        <v>Coal</v>
      </c>
      <c r="O705" s="105">
        <f>IFERROR(VLOOKUP(A705,Lookup!$J$5:$P$19,7,FALSE),0)</f>
        <v>3</v>
      </c>
      <c r="P705" s="159">
        <f t="shared" si="123"/>
        <v>2015</v>
      </c>
      <c r="Q705" s="159">
        <f t="shared" si="124"/>
        <v>12</v>
      </c>
      <c r="R705" s="160">
        <f t="shared" si="125"/>
        <v>6.9499999999534339</v>
      </c>
      <c r="S705" s="158">
        <f t="shared" si="126"/>
        <v>1.4631578947270387</v>
      </c>
      <c r="T705" s="161">
        <f t="shared" si="127"/>
        <v>601.35789473281295</v>
      </c>
      <c r="U705" s="158">
        <f t="shared" si="129"/>
        <v>86.526315789473685</v>
      </c>
      <c r="V705" s="160">
        <f t="shared" si="128"/>
        <v>87</v>
      </c>
    </row>
    <row r="706" spans="1:22" x14ac:dyDescent="0.25">
      <c r="A706" s="98" t="s">
        <v>28</v>
      </c>
      <c r="B706" s="98" t="s">
        <v>79</v>
      </c>
      <c r="C706" s="98">
        <v>82</v>
      </c>
      <c r="D706" s="98">
        <v>8100</v>
      </c>
      <c r="E706" s="157">
        <v>42348.305555555555</v>
      </c>
      <c r="F706" s="157">
        <v>42348.650694444441</v>
      </c>
      <c r="G706" s="98">
        <v>0</v>
      </c>
      <c r="H706" s="98">
        <v>456</v>
      </c>
      <c r="I706" s="98">
        <v>411</v>
      </c>
      <c r="J706" s="98" t="s">
        <v>2260</v>
      </c>
      <c r="K706" s="98" t="s">
        <v>3281</v>
      </c>
      <c r="L706" s="105" t="str">
        <f t="shared" si="120"/>
        <v>Brown</v>
      </c>
      <c r="M706" s="105" t="str">
        <f t="shared" si="121"/>
        <v>Other</v>
      </c>
      <c r="N706" s="105" t="str">
        <f t="shared" si="122"/>
        <v>Coal</v>
      </c>
      <c r="O706" s="105">
        <f>IFERROR(VLOOKUP(A706,Lookup!$J$5:$P$19,7,FALSE),0)</f>
        <v>3</v>
      </c>
      <c r="P706" s="159">
        <f t="shared" si="123"/>
        <v>2015</v>
      </c>
      <c r="Q706" s="159">
        <f t="shared" si="124"/>
        <v>12</v>
      </c>
      <c r="R706" s="160">
        <f t="shared" si="125"/>
        <v>8.2833333332673647</v>
      </c>
      <c r="S706" s="158">
        <f t="shared" si="126"/>
        <v>8.2833333332673647</v>
      </c>
      <c r="T706" s="161">
        <f t="shared" si="127"/>
        <v>3404.4499999728869</v>
      </c>
      <c r="U706" s="158">
        <f t="shared" si="129"/>
        <v>411</v>
      </c>
      <c r="V706" s="160">
        <f t="shared" si="128"/>
        <v>411</v>
      </c>
    </row>
    <row r="707" spans="1:22" x14ac:dyDescent="0.25">
      <c r="A707" s="98" t="s">
        <v>28</v>
      </c>
      <c r="B707" s="98" t="s">
        <v>79</v>
      </c>
      <c r="C707" s="98">
        <v>83</v>
      </c>
      <c r="D707" s="98">
        <v>8100</v>
      </c>
      <c r="E707" s="157">
        <v>42349.375</v>
      </c>
      <c r="F707" s="157">
        <v>42349.646527777775</v>
      </c>
      <c r="G707" s="98">
        <v>0</v>
      </c>
      <c r="H707" s="98">
        <v>456</v>
      </c>
      <c r="I707" s="98">
        <v>411</v>
      </c>
      <c r="J707" s="98" t="s">
        <v>2260</v>
      </c>
      <c r="K707" s="98" t="s">
        <v>3282</v>
      </c>
      <c r="L707" s="105" t="str">
        <f t="shared" si="120"/>
        <v>Brown</v>
      </c>
      <c r="M707" s="105" t="str">
        <f t="shared" si="121"/>
        <v>Other</v>
      </c>
      <c r="N707" s="105" t="str">
        <f t="shared" si="122"/>
        <v>Coal</v>
      </c>
      <c r="O707" s="105">
        <f>IFERROR(VLOOKUP(A707,Lookup!$J$5:$P$19,7,FALSE),0)</f>
        <v>3</v>
      </c>
      <c r="P707" s="159">
        <f t="shared" si="123"/>
        <v>2015</v>
      </c>
      <c r="Q707" s="159">
        <f t="shared" si="124"/>
        <v>12</v>
      </c>
      <c r="R707" s="160">
        <f t="shared" si="125"/>
        <v>6.5166666666045785</v>
      </c>
      <c r="S707" s="158">
        <f t="shared" si="126"/>
        <v>6.5166666666045785</v>
      </c>
      <c r="T707" s="161">
        <f t="shared" si="127"/>
        <v>2678.3499999744818</v>
      </c>
      <c r="U707" s="158">
        <f t="shared" si="129"/>
        <v>411</v>
      </c>
      <c r="V707" s="160">
        <f t="shared" si="128"/>
        <v>411</v>
      </c>
    </row>
    <row r="708" spans="1:22" x14ac:dyDescent="0.25">
      <c r="A708" s="98" t="s">
        <v>28</v>
      </c>
      <c r="B708" s="98" t="s">
        <v>79</v>
      </c>
      <c r="C708" s="98">
        <v>84</v>
      </c>
      <c r="D708" s="98">
        <v>4261</v>
      </c>
      <c r="E708" s="157">
        <v>42349.646527777775</v>
      </c>
      <c r="F708" s="157">
        <v>42349.71875</v>
      </c>
      <c r="G708" s="98">
        <v>0</v>
      </c>
      <c r="H708" s="98">
        <v>456</v>
      </c>
      <c r="I708" s="98">
        <v>411</v>
      </c>
      <c r="J708" s="98" t="s">
        <v>1985</v>
      </c>
      <c r="K708" s="98" t="s">
        <v>3283</v>
      </c>
      <c r="L708" s="105" t="str">
        <f t="shared" si="120"/>
        <v>Brown</v>
      </c>
      <c r="M708" s="105" t="str">
        <f t="shared" si="121"/>
        <v>Other</v>
      </c>
      <c r="N708" s="105" t="str">
        <f t="shared" si="122"/>
        <v>Coal</v>
      </c>
      <c r="O708" s="105">
        <f>IFERROR(VLOOKUP(A708,Lookup!$J$5:$P$19,7,FALSE),0)</f>
        <v>3</v>
      </c>
      <c r="P708" s="159">
        <f t="shared" si="123"/>
        <v>2015</v>
      </c>
      <c r="Q708" s="159">
        <f t="shared" si="124"/>
        <v>12</v>
      </c>
      <c r="R708" s="160">
        <f t="shared" si="125"/>
        <v>1.7333333333954215</v>
      </c>
      <c r="S708" s="158">
        <f t="shared" si="126"/>
        <v>1.7333333333954215</v>
      </c>
      <c r="T708" s="161">
        <f t="shared" si="127"/>
        <v>712.40000002551824</v>
      </c>
      <c r="U708" s="158">
        <f t="shared" si="129"/>
        <v>411</v>
      </c>
      <c r="V708" s="160">
        <f t="shared" si="128"/>
        <v>411</v>
      </c>
    </row>
    <row r="709" spans="1:22" x14ac:dyDescent="0.25">
      <c r="A709" s="98" t="s">
        <v>28</v>
      </c>
      <c r="B709" s="98" t="s">
        <v>17</v>
      </c>
      <c r="C709" s="98">
        <v>85</v>
      </c>
      <c r="D709" s="98">
        <v>310</v>
      </c>
      <c r="E709" s="157">
        <v>42355.326388888891</v>
      </c>
      <c r="F709" s="157">
        <v>42355.518055555556</v>
      </c>
      <c r="G709" s="98">
        <v>360</v>
      </c>
      <c r="H709" s="98">
        <v>456</v>
      </c>
      <c r="I709" s="98">
        <v>411</v>
      </c>
      <c r="J709" s="98" t="s">
        <v>1966</v>
      </c>
      <c r="K709" s="98" t="s">
        <v>3284</v>
      </c>
      <c r="L709" s="105" t="str">
        <f t="shared" si="120"/>
        <v>Brown</v>
      </c>
      <c r="M709" s="105" t="str">
        <f t="shared" si="121"/>
        <v>Derate</v>
      </c>
      <c r="N709" s="105" t="str">
        <f t="shared" si="122"/>
        <v>Coal</v>
      </c>
      <c r="O709" s="105">
        <f>IFERROR(VLOOKUP(A709,Lookup!$J$5:$P$19,7,FALSE),0)</f>
        <v>3</v>
      </c>
      <c r="P709" s="159">
        <f t="shared" si="123"/>
        <v>2015</v>
      </c>
      <c r="Q709" s="159">
        <f t="shared" si="124"/>
        <v>12</v>
      </c>
      <c r="R709" s="160">
        <f t="shared" si="125"/>
        <v>4.5999999999767169</v>
      </c>
      <c r="S709" s="158">
        <f t="shared" si="126"/>
        <v>0.96842105262667721</v>
      </c>
      <c r="T709" s="161">
        <f t="shared" si="127"/>
        <v>398.02105262956434</v>
      </c>
      <c r="U709" s="158">
        <f t="shared" si="129"/>
        <v>86.526315789473685</v>
      </c>
      <c r="V709" s="160">
        <f t="shared" si="128"/>
        <v>87</v>
      </c>
    </row>
    <row r="710" spans="1:22" x14ac:dyDescent="0.25">
      <c r="A710" s="98" t="s">
        <v>28</v>
      </c>
      <c r="B710" s="98" t="s">
        <v>79</v>
      </c>
      <c r="C710" s="98">
        <v>86</v>
      </c>
      <c r="D710" s="98">
        <v>8650</v>
      </c>
      <c r="E710" s="157">
        <v>42355.833333333336</v>
      </c>
      <c r="F710" s="157">
        <v>42356.209027777775</v>
      </c>
      <c r="G710" s="98">
        <v>0</v>
      </c>
      <c r="H710" s="98">
        <v>456</v>
      </c>
      <c r="I710" s="98">
        <v>411</v>
      </c>
      <c r="J710" s="98" t="s">
        <v>2668</v>
      </c>
      <c r="K710" s="98" t="s">
        <v>3285</v>
      </c>
      <c r="L710" s="105" t="str">
        <f t="shared" si="120"/>
        <v>Brown</v>
      </c>
      <c r="M710" s="105" t="str">
        <f t="shared" si="121"/>
        <v>Other</v>
      </c>
      <c r="N710" s="105" t="str">
        <f t="shared" si="122"/>
        <v>Coal</v>
      </c>
      <c r="O710" s="105">
        <f>IFERROR(VLOOKUP(A710,Lookup!$J$5:$P$19,7,FALSE),0)</f>
        <v>3</v>
      </c>
      <c r="P710" s="159">
        <f t="shared" si="123"/>
        <v>2015</v>
      </c>
      <c r="Q710" s="159">
        <f t="shared" si="124"/>
        <v>12</v>
      </c>
      <c r="R710" s="160">
        <f t="shared" si="125"/>
        <v>9.0166666665463708</v>
      </c>
      <c r="S710" s="158">
        <f t="shared" si="126"/>
        <v>9.0166666665463708</v>
      </c>
      <c r="T710" s="161">
        <f t="shared" si="127"/>
        <v>3705.8499999505584</v>
      </c>
      <c r="U710" s="158">
        <f t="shared" si="129"/>
        <v>411</v>
      </c>
      <c r="V710" s="160">
        <f t="shared" si="128"/>
        <v>411</v>
      </c>
    </row>
    <row r="711" spans="1:22" x14ac:dyDescent="0.25">
      <c r="A711" s="98" t="s">
        <v>28</v>
      </c>
      <c r="B711" s="98" t="s">
        <v>79</v>
      </c>
      <c r="C711" s="98">
        <v>87</v>
      </c>
      <c r="D711" s="98">
        <v>8650</v>
      </c>
      <c r="E711" s="157">
        <v>42357.003472222219</v>
      </c>
      <c r="F711" s="157">
        <v>42357.203472222223</v>
      </c>
      <c r="G711" s="98">
        <v>0</v>
      </c>
      <c r="H711" s="98">
        <v>456</v>
      </c>
      <c r="I711" s="98">
        <v>411</v>
      </c>
      <c r="J711" s="98" t="s">
        <v>2668</v>
      </c>
      <c r="K711" s="98" t="s">
        <v>3285</v>
      </c>
      <c r="L711" s="105" t="str">
        <f t="shared" si="120"/>
        <v>Brown</v>
      </c>
      <c r="M711" s="105" t="str">
        <f t="shared" si="121"/>
        <v>Other</v>
      </c>
      <c r="N711" s="105" t="str">
        <f t="shared" si="122"/>
        <v>Coal</v>
      </c>
      <c r="O711" s="105">
        <f>IFERROR(VLOOKUP(A711,Lookup!$J$5:$P$19,7,FALSE),0)</f>
        <v>3</v>
      </c>
      <c r="P711" s="159">
        <f t="shared" si="123"/>
        <v>2015</v>
      </c>
      <c r="Q711" s="159">
        <f t="shared" si="124"/>
        <v>12</v>
      </c>
      <c r="R711" s="160">
        <f t="shared" si="125"/>
        <v>4.8000000001047738</v>
      </c>
      <c r="S711" s="158">
        <f t="shared" si="126"/>
        <v>4.8000000001047738</v>
      </c>
      <c r="T711" s="161">
        <f t="shared" si="127"/>
        <v>1972.800000043062</v>
      </c>
      <c r="U711" s="158">
        <f t="shared" si="129"/>
        <v>411</v>
      </c>
      <c r="V711" s="160">
        <f t="shared" si="128"/>
        <v>411</v>
      </c>
    </row>
    <row r="712" spans="1:22" x14ac:dyDescent="0.25">
      <c r="A712" s="98" t="s">
        <v>28</v>
      </c>
      <c r="B712" s="98" t="s">
        <v>20</v>
      </c>
      <c r="C712" s="98">
        <v>89</v>
      </c>
      <c r="D712" s="98">
        <v>880</v>
      </c>
      <c r="E712" s="157">
        <v>42366.5</v>
      </c>
      <c r="F712" s="157">
        <v>42366.697916666664</v>
      </c>
      <c r="G712" s="98">
        <v>0</v>
      </c>
      <c r="H712" s="98">
        <v>456</v>
      </c>
      <c r="I712" s="98">
        <v>411</v>
      </c>
      <c r="J712" s="98" t="s">
        <v>2304</v>
      </c>
      <c r="K712" s="98" t="s">
        <v>3286</v>
      </c>
      <c r="L712" s="105" t="str">
        <f t="shared" si="120"/>
        <v>Brown</v>
      </c>
      <c r="M712" s="105" t="str">
        <f t="shared" si="121"/>
        <v>Maintenance</v>
      </c>
      <c r="N712" s="105" t="str">
        <f t="shared" si="122"/>
        <v>Coal</v>
      </c>
      <c r="O712" s="105">
        <f>IFERROR(VLOOKUP(A712,Lookup!$J$5:$P$19,7,FALSE),0)</f>
        <v>3</v>
      </c>
      <c r="P712" s="159">
        <f t="shared" si="123"/>
        <v>2015</v>
      </c>
      <c r="Q712" s="159">
        <f t="shared" si="124"/>
        <v>12</v>
      </c>
      <c r="R712" s="160">
        <f t="shared" si="125"/>
        <v>4.7499999999417923</v>
      </c>
      <c r="S712" s="158">
        <f t="shared" si="126"/>
        <v>4.7499999999417923</v>
      </c>
      <c r="T712" s="161">
        <f t="shared" si="127"/>
        <v>1952.2499999760767</v>
      </c>
      <c r="U712" s="158">
        <f t="shared" si="129"/>
        <v>411</v>
      </c>
      <c r="V712" s="160">
        <f t="shared" si="128"/>
        <v>411</v>
      </c>
    </row>
    <row r="713" spans="1:22" x14ac:dyDescent="0.25">
      <c r="A713" s="98" t="s">
        <v>28</v>
      </c>
      <c r="B713" s="98" t="s">
        <v>17</v>
      </c>
      <c r="C713" s="98">
        <v>2</v>
      </c>
      <c r="D713" s="98">
        <v>1455</v>
      </c>
      <c r="E713" s="157">
        <v>42375.305555555555</v>
      </c>
      <c r="F713" s="157">
        <v>42379.977777777778</v>
      </c>
      <c r="G713" s="98">
        <v>290</v>
      </c>
      <c r="H713" s="98">
        <v>456</v>
      </c>
      <c r="I713" s="98">
        <v>411</v>
      </c>
      <c r="J713" s="98" t="s">
        <v>1990</v>
      </c>
      <c r="K713" s="98" t="s">
        <v>3287</v>
      </c>
      <c r="L713" s="105" t="str">
        <f t="shared" si="120"/>
        <v>Brown</v>
      </c>
      <c r="M713" s="105" t="str">
        <f t="shared" si="121"/>
        <v>Derate</v>
      </c>
      <c r="N713" s="105" t="str">
        <f t="shared" si="122"/>
        <v>Coal</v>
      </c>
      <c r="O713" s="105">
        <f>IFERROR(VLOOKUP(A713,Lookup!$J$5:$P$19,7,FALSE),0)</f>
        <v>3</v>
      </c>
      <c r="P713" s="159">
        <f t="shared" si="123"/>
        <v>2016</v>
      </c>
      <c r="Q713" s="159">
        <f t="shared" si="124"/>
        <v>1</v>
      </c>
      <c r="R713" s="160">
        <f t="shared" si="125"/>
        <v>112.1333333333605</v>
      </c>
      <c r="S713" s="158">
        <f t="shared" si="126"/>
        <v>40.820467836267198</v>
      </c>
      <c r="T713" s="161">
        <f t="shared" si="127"/>
        <v>16777.212280705819</v>
      </c>
      <c r="U713" s="158">
        <f t="shared" si="129"/>
        <v>149.61842105263159</v>
      </c>
      <c r="V713" s="160">
        <f t="shared" si="128"/>
        <v>150</v>
      </c>
    </row>
    <row r="714" spans="1:22" x14ac:dyDescent="0.25">
      <c r="A714" s="98" t="s">
        <v>28</v>
      </c>
      <c r="B714" s="98" t="s">
        <v>20</v>
      </c>
      <c r="C714" s="98">
        <v>3</v>
      </c>
      <c r="D714" s="98">
        <v>4260</v>
      </c>
      <c r="E714" s="157">
        <v>42376.5</v>
      </c>
      <c r="F714" s="157">
        <v>42379.765277777777</v>
      </c>
      <c r="G714" s="98">
        <v>0</v>
      </c>
      <c r="H714" s="98">
        <v>456</v>
      </c>
      <c r="I714" s="98">
        <v>411</v>
      </c>
      <c r="J714" s="98" t="s">
        <v>1982</v>
      </c>
      <c r="K714" s="98" t="s">
        <v>3288</v>
      </c>
      <c r="L714" s="105" t="str">
        <f t="shared" si="120"/>
        <v>Brown</v>
      </c>
      <c r="M714" s="105" t="str">
        <f t="shared" si="121"/>
        <v>Maintenance</v>
      </c>
      <c r="N714" s="105" t="str">
        <f t="shared" si="122"/>
        <v>Coal</v>
      </c>
      <c r="O714" s="105">
        <f>IFERROR(VLOOKUP(A714,Lookup!$J$5:$P$19,7,FALSE),0)</f>
        <v>3</v>
      </c>
      <c r="P714" s="159">
        <f t="shared" si="123"/>
        <v>2016</v>
      </c>
      <c r="Q714" s="159">
        <f t="shared" si="124"/>
        <v>1</v>
      </c>
      <c r="R714" s="160">
        <f t="shared" si="125"/>
        <v>78.366666666639503</v>
      </c>
      <c r="S714" s="158">
        <f t="shared" si="126"/>
        <v>78.366666666639503</v>
      </c>
      <c r="T714" s="161">
        <f t="shared" si="127"/>
        <v>32208.699999988836</v>
      </c>
      <c r="U714" s="158">
        <f t="shared" si="129"/>
        <v>411</v>
      </c>
      <c r="V714" s="160">
        <f t="shared" si="128"/>
        <v>411</v>
      </c>
    </row>
    <row r="715" spans="1:22" x14ac:dyDescent="0.25">
      <c r="A715" s="98" t="s">
        <v>28</v>
      </c>
      <c r="B715" s="98" t="s">
        <v>17</v>
      </c>
      <c r="C715" s="98">
        <v>4</v>
      </c>
      <c r="D715" s="98">
        <v>1455</v>
      </c>
      <c r="E715" s="157">
        <v>42379.977777777778</v>
      </c>
      <c r="F715" s="157">
        <v>42381.427083333336</v>
      </c>
      <c r="G715" s="98">
        <v>425</v>
      </c>
      <c r="H715" s="98">
        <v>456</v>
      </c>
      <c r="I715" s="98">
        <v>411</v>
      </c>
      <c r="J715" s="98" t="s">
        <v>1990</v>
      </c>
      <c r="K715" s="98" t="s">
        <v>3289</v>
      </c>
      <c r="L715" s="105" t="str">
        <f t="shared" si="120"/>
        <v>Brown</v>
      </c>
      <c r="M715" s="105" t="str">
        <f t="shared" si="121"/>
        <v>Derate</v>
      </c>
      <c r="N715" s="105" t="str">
        <f t="shared" si="122"/>
        <v>Coal</v>
      </c>
      <c r="O715" s="105">
        <f>IFERROR(VLOOKUP(A715,Lookup!$J$5:$P$19,7,FALSE),0)</f>
        <v>3</v>
      </c>
      <c r="P715" s="159">
        <f t="shared" si="123"/>
        <v>2016</v>
      </c>
      <c r="Q715" s="159">
        <f t="shared" si="124"/>
        <v>1</v>
      </c>
      <c r="R715" s="160">
        <f t="shared" si="125"/>
        <v>34.78333333338378</v>
      </c>
      <c r="S715" s="158">
        <f t="shared" si="126"/>
        <v>2.3646564327519677</v>
      </c>
      <c r="T715" s="161">
        <f t="shared" si="127"/>
        <v>971.87379386105874</v>
      </c>
      <c r="U715" s="158">
        <f t="shared" si="129"/>
        <v>27.940789473684209</v>
      </c>
      <c r="V715" s="160">
        <f t="shared" si="128"/>
        <v>28</v>
      </c>
    </row>
    <row r="716" spans="1:22" x14ac:dyDescent="0.25">
      <c r="A716" s="98" t="s">
        <v>28</v>
      </c>
      <c r="B716" s="98" t="s">
        <v>32</v>
      </c>
      <c r="C716" s="98">
        <v>5</v>
      </c>
      <c r="D716" s="98">
        <v>250</v>
      </c>
      <c r="E716" s="157">
        <v>42381.427083333336</v>
      </c>
      <c r="F716" s="157">
        <v>42381.54583333333</v>
      </c>
      <c r="G716" s="98">
        <v>360</v>
      </c>
      <c r="H716" s="98">
        <v>456</v>
      </c>
      <c r="I716" s="98">
        <v>411</v>
      </c>
      <c r="J716" s="98" t="s">
        <v>1978</v>
      </c>
      <c r="K716" s="98" t="s">
        <v>3290</v>
      </c>
      <c r="L716" s="105" t="str">
        <f t="shared" si="120"/>
        <v>Brown</v>
      </c>
      <c r="M716" s="105" t="str">
        <f t="shared" si="121"/>
        <v>Derate</v>
      </c>
      <c r="N716" s="105" t="str">
        <f t="shared" si="122"/>
        <v>Coal</v>
      </c>
      <c r="O716" s="105">
        <f>IFERROR(VLOOKUP(A716,Lookup!$J$5:$P$19,7,FALSE),0)</f>
        <v>3</v>
      </c>
      <c r="P716" s="159">
        <f t="shared" si="123"/>
        <v>2016</v>
      </c>
      <c r="Q716" s="159">
        <f t="shared" si="124"/>
        <v>1</v>
      </c>
      <c r="R716" s="160">
        <f t="shared" si="125"/>
        <v>2.8499999998603016</v>
      </c>
      <c r="S716" s="158">
        <f t="shared" si="126"/>
        <v>0.59999999997058984</v>
      </c>
      <c r="T716" s="161">
        <f t="shared" si="127"/>
        <v>246.59999998791241</v>
      </c>
      <c r="U716" s="158">
        <f t="shared" si="129"/>
        <v>86.526315789473685</v>
      </c>
      <c r="V716" s="160">
        <f t="shared" si="128"/>
        <v>87</v>
      </c>
    </row>
    <row r="717" spans="1:22" x14ac:dyDescent="0.25">
      <c r="A717" s="98" t="s">
        <v>28</v>
      </c>
      <c r="B717" s="98" t="s">
        <v>17</v>
      </c>
      <c r="C717" s="98">
        <v>6</v>
      </c>
      <c r="D717" s="98">
        <v>1455</v>
      </c>
      <c r="E717" s="157">
        <v>42381.54583333333</v>
      </c>
      <c r="F717" s="157">
        <v>42395.523611111108</v>
      </c>
      <c r="G717" s="98">
        <v>425</v>
      </c>
      <c r="H717" s="98">
        <v>456</v>
      </c>
      <c r="I717" s="98">
        <v>411</v>
      </c>
      <c r="J717" s="98" t="s">
        <v>1990</v>
      </c>
      <c r="K717" s="98" t="s">
        <v>3291</v>
      </c>
      <c r="L717" s="105" t="str">
        <f t="shared" si="120"/>
        <v>Brown</v>
      </c>
      <c r="M717" s="105" t="str">
        <f t="shared" si="121"/>
        <v>Derate</v>
      </c>
      <c r="N717" s="105" t="str">
        <f t="shared" si="122"/>
        <v>Coal</v>
      </c>
      <c r="O717" s="105">
        <f>IFERROR(VLOOKUP(A717,Lookup!$J$5:$P$19,7,FALSE),0)</f>
        <v>3</v>
      </c>
      <c r="P717" s="159">
        <f t="shared" si="123"/>
        <v>2016</v>
      </c>
      <c r="Q717" s="159">
        <f t="shared" si="124"/>
        <v>1</v>
      </c>
      <c r="R717" s="160">
        <f t="shared" si="125"/>
        <v>335.46666666667443</v>
      </c>
      <c r="S717" s="158">
        <f t="shared" si="126"/>
        <v>22.805847953216901</v>
      </c>
      <c r="T717" s="161">
        <f t="shared" si="127"/>
        <v>9373.203508772147</v>
      </c>
      <c r="U717" s="158">
        <f t="shared" si="129"/>
        <v>27.940789473684209</v>
      </c>
      <c r="V717" s="160">
        <f t="shared" si="128"/>
        <v>28</v>
      </c>
    </row>
    <row r="718" spans="1:22" x14ac:dyDescent="0.25">
      <c r="A718" s="98" t="s">
        <v>28</v>
      </c>
      <c r="B718" s="98" t="s">
        <v>20</v>
      </c>
      <c r="C718" s="98">
        <v>7</v>
      </c>
      <c r="D718" s="98">
        <v>1455</v>
      </c>
      <c r="E718" s="157">
        <v>42395.523611111108</v>
      </c>
      <c r="F718" s="157">
        <v>42399.816666666666</v>
      </c>
      <c r="G718" s="98">
        <v>0</v>
      </c>
      <c r="H718" s="98">
        <v>456</v>
      </c>
      <c r="I718" s="98">
        <v>411</v>
      </c>
      <c r="J718" s="98" t="s">
        <v>1990</v>
      </c>
      <c r="K718" s="98" t="s">
        <v>3292</v>
      </c>
      <c r="L718" s="105" t="str">
        <f t="shared" si="120"/>
        <v>Brown</v>
      </c>
      <c r="M718" s="105" t="str">
        <f t="shared" si="121"/>
        <v>Maintenance</v>
      </c>
      <c r="N718" s="105" t="str">
        <f t="shared" si="122"/>
        <v>Coal</v>
      </c>
      <c r="O718" s="105">
        <f>IFERROR(VLOOKUP(A718,Lookup!$J$5:$P$19,7,FALSE),0)</f>
        <v>3</v>
      </c>
      <c r="P718" s="159">
        <f t="shared" si="123"/>
        <v>2016</v>
      </c>
      <c r="Q718" s="159">
        <f t="shared" si="124"/>
        <v>1</v>
      </c>
      <c r="R718" s="160">
        <f t="shared" si="125"/>
        <v>103.03333333338378</v>
      </c>
      <c r="S718" s="158">
        <f t="shared" si="126"/>
        <v>103.03333333338378</v>
      </c>
      <c r="T718" s="161">
        <f t="shared" si="127"/>
        <v>42346.700000020734</v>
      </c>
      <c r="U718" s="158">
        <f t="shared" si="129"/>
        <v>411</v>
      </c>
      <c r="V718" s="160">
        <f t="shared" si="128"/>
        <v>411</v>
      </c>
    </row>
    <row r="719" spans="1:22" x14ac:dyDescent="0.25">
      <c r="A719" s="98" t="s">
        <v>28</v>
      </c>
      <c r="B719" s="98" t="s">
        <v>17</v>
      </c>
      <c r="C719" s="98">
        <v>9</v>
      </c>
      <c r="D719" s="98">
        <v>3410</v>
      </c>
      <c r="E719" s="157">
        <v>42416.363194444442</v>
      </c>
      <c r="F719" s="157">
        <v>42416.875</v>
      </c>
      <c r="G719" s="98">
        <v>440</v>
      </c>
      <c r="H719" s="98">
        <v>456</v>
      </c>
      <c r="I719" s="98">
        <v>411</v>
      </c>
      <c r="J719" s="98" t="s">
        <v>1983</v>
      </c>
      <c r="K719" s="98" t="s">
        <v>3293</v>
      </c>
      <c r="L719" s="105" t="str">
        <f t="shared" si="120"/>
        <v>Brown</v>
      </c>
      <c r="M719" s="105" t="str">
        <f t="shared" si="121"/>
        <v>Derate</v>
      </c>
      <c r="N719" s="105" t="str">
        <f t="shared" si="122"/>
        <v>Coal</v>
      </c>
      <c r="O719" s="105">
        <f>IFERROR(VLOOKUP(A719,Lookup!$J$5:$P$19,7,FALSE),0)</f>
        <v>3</v>
      </c>
      <c r="P719" s="159">
        <f t="shared" si="123"/>
        <v>2016</v>
      </c>
      <c r="Q719" s="159">
        <f t="shared" si="124"/>
        <v>2</v>
      </c>
      <c r="R719" s="160">
        <f t="shared" si="125"/>
        <v>12.28333333338378</v>
      </c>
      <c r="S719" s="158">
        <f t="shared" si="126"/>
        <v>0.43099415204855368</v>
      </c>
      <c r="T719" s="161">
        <f t="shared" si="127"/>
        <v>177.13859649195555</v>
      </c>
      <c r="U719" s="158">
        <f t="shared" si="129"/>
        <v>14.421052631578947</v>
      </c>
      <c r="V719" s="160">
        <f t="shared" si="128"/>
        <v>14</v>
      </c>
    </row>
    <row r="720" spans="1:22" x14ac:dyDescent="0.25">
      <c r="A720" s="98" t="s">
        <v>28</v>
      </c>
      <c r="B720" s="98" t="s">
        <v>32</v>
      </c>
      <c r="C720" s="98">
        <v>10</v>
      </c>
      <c r="D720" s="98">
        <v>310</v>
      </c>
      <c r="E720" s="157">
        <v>42416.875</v>
      </c>
      <c r="F720" s="157">
        <v>42416.970138888886</v>
      </c>
      <c r="G720" s="98">
        <v>350</v>
      </c>
      <c r="H720" s="98">
        <v>456</v>
      </c>
      <c r="I720" s="98">
        <v>411</v>
      </c>
      <c r="J720" s="98" t="s">
        <v>1966</v>
      </c>
      <c r="K720" s="98" t="s">
        <v>3294</v>
      </c>
      <c r="L720" s="105" t="str">
        <f t="shared" si="120"/>
        <v>Brown</v>
      </c>
      <c r="M720" s="105" t="str">
        <f t="shared" si="121"/>
        <v>Derate</v>
      </c>
      <c r="N720" s="105" t="str">
        <f t="shared" si="122"/>
        <v>Coal</v>
      </c>
      <c r="O720" s="105">
        <f>IFERROR(VLOOKUP(A720,Lookup!$J$5:$P$19,7,FALSE),0)</f>
        <v>3</v>
      </c>
      <c r="P720" s="159">
        <f t="shared" si="123"/>
        <v>2016</v>
      </c>
      <c r="Q720" s="159">
        <f t="shared" si="124"/>
        <v>2</v>
      </c>
      <c r="R720" s="160">
        <f t="shared" si="125"/>
        <v>2.2833333332673647</v>
      </c>
      <c r="S720" s="158">
        <f t="shared" si="126"/>
        <v>0.53077485378583478</v>
      </c>
      <c r="T720" s="161">
        <f t="shared" si="127"/>
        <v>218.1484649059781</v>
      </c>
      <c r="U720" s="158">
        <f t="shared" si="129"/>
        <v>95.53947368421052</v>
      </c>
      <c r="V720" s="160">
        <f t="shared" si="128"/>
        <v>96</v>
      </c>
    </row>
    <row r="721" spans="1:22" x14ac:dyDescent="0.25">
      <c r="A721" s="98" t="s">
        <v>28</v>
      </c>
      <c r="B721" s="98" t="s">
        <v>17</v>
      </c>
      <c r="C721" s="98">
        <v>11</v>
      </c>
      <c r="D721" s="98">
        <v>3410</v>
      </c>
      <c r="E721" s="157">
        <v>42416.970138888886</v>
      </c>
      <c r="F721" s="157">
        <v>42417.291666666664</v>
      </c>
      <c r="G721" s="98">
        <v>440</v>
      </c>
      <c r="H721" s="98">
        <v>456</v>
      </c>
      <c r="I721" s="98">
        <v>411</v>
      </c>
      <c r="J721" s="98" t="s">
        <v>1983</v>
      </c>
      <c r="K721" s="98" t="s">
        <v>3293</v>
      </c>
      <c r="L721" s="105" t="str">
        <f t="shared" si="120"/>
        <v>Brown</v>
      </c>
      <c r="M721" s="105" t="str">
        <f t="shared" si="121"/>
        <v>Derate</v>
      </c>
      <c r="N721" s="105" t="str">
        <f t="shared" si="122"/>
        <v>Coal</v>
      </c>
      <c r="O721" s="105">
        <f>IFERROR(VLOOKUP(A721,Lookup!$J$5:$P$19,7,FALSE),0)</f>
        <v>3</v>
      </c>
      <c r="P721" s="159">
        <f t="shared" si="123"/>
        <v>2016</v>
      </c>
      <c r="Q721" s="159">
        <f t="shared" si="124"/>
        <v>2</v>
      </c>
      <c r="R721" s="160">
        <f t="shared" si="125"/>
        <v>7.7166666666744277</v>
      </c>
      <c r="S721" s="158">
        <f t="shared" si="126"/>
        <v>0.27076023391840098</v>
      </c>
      <c r="T721" s="161">
        <f t="shared" si="127"/>
        <v>111.2824561404628</v>
      </c>
      <c r="U721" s="158">
        <f t="shared" si="129"/>
        <v>14.421052631578947</v>
      </c>
      <c r="V721" s="160">
        <f t="shared" si="128"/>
        <v>14</v>
      </c>
    </row>
    <row r="722" spans="1:22" x14ac:dyDescent="0.25">
      <c r="A722" s="98" t="s">
        <v>28</v>
      </c>
      <c r="B722" s="98" t="s">
        <v>20</v>
      </c>
      <c r="C722" s="98">
        <v>13</v>
      </c>
      <c r="D722" s="98">
        <v>1510</v>
      </c>
      <c r="E722" s="157">
        <v>42423.291666666664</v>
      </c>
      <c r="F722" s="157">
        <v>42423.640277777777</v>
      </c>
      <c r="G722" s="98">
        <v>0</v>
      </c>
      <c r="H722" s="98">
        <v>456</v>
      </c>
      <c r="I722" s="98">
        <v>411</v>
      </c>
      <c r="J722" s="98" t="s">
        <v>2183</v>
      </c>
      <c r="K722" s="98" t="s">
        <v>3295</v>
      </c>
      <c r="L722" s="105" t="str">
        <f t="shared" ref="L722:L785" si="130">IF(OR(A722="BR1",A722="BR2",A722="BR3",A722="BR5",A722="BR6",A722="BR7",A722="BR8",A722="BR9",A722="BR10",A722="BR11"),"Brown",IF(OR(A722="CR4",A722="CR5",A722="CR6",A722="CR11"),"Cane Run",IF(OR(A722="GH1",A722="GH2",A722="GH3",A722="GH4"),"Ghent",IF(OR(A722="GR3",A722="GR4"),"Green River",IF(OR(A722="MC1",A722="MC2",A722="MC3",A722="MC4"),"Mill Creek",IF(OR(A722="TC1",A722="TC2",A722="TC5",A722="TC6",A722="TC7",A722="TC8",A722="TC9",A722="TC10"),"Trimble",IF(A722="TY3","Tyrone",IF(OR(A722="HA1",A722="HA2",A722="HA3"),"Haeflin",IF(OR(A722="PR11",A722="PR12",A722="PR13"),"Paddy's Run","Zorn")))))))))</f>
        <v>Brown</v>
      </c>
      <c r="M722" s="105" t="str">
        <f t="shared" ref="M722:M785" si="131">IF(OR(B722="D1",B722="D2",B722="D3",B722="D4",B722="PD"),"Derate",IF(OR(B722="SF",B722="U1",B722="U2",B722="U3"),"Outage",IF(OR(B722="ME",B722="MO"),"Maintenance","Other")))</f>
        <v>Maintenance</v>
      </c>
      <c r="N722" s="105" t="str">
        <f t="shared" ref="N722:N785" si="132">IF(OR(A722="BR1",A722="BR2",A722="BR3",A722="CR4",A722="CR5",A722="CR6",A722="GH1",A722="GH2",A722="GH3",A722="GH4",A722="GR3",A722="GR4",A722="MC1",A722="MC2",A722="MC3",A722="MC4",A722="TC1",A722="TC2",A722="TY3"),"Coal","Gas")</f>
        <v>Coal</v>
      </c>
      <c r="O722" s="105">
        <f>IFERROR(VLOOKUP(A722,Lookup!$J$5:$P$19,7,FALSE),0)</f>
        <v>3</v>
      </c>
      <c r="P722" s="159">
        <f t="shared" ref="P722:P785" si="133">YEAR(E722)</f>
        <v>2016</v>
      </c>
      <c r="Q722" s="159">
        <f t="shared" ref="Q722:Q785" si="134">MONTH(E722)</f>
        <v>2</v>
      </c>
      <c r="R722" s="160">
        <f t="shared" ref="R722:R785" si="135">(F722-E722)*24</f>
        <v>8.3666666666977108</v>
      </c>
      <c r="S722" s="158">
        <f t="shared" ref="S722:S785" si="136">R722*(H722-G722)/H722</f>
        <v>8.3666666666977108</v>
      </c>
      <c r="T722" s="161">
        <f t="shared" ref="T722:T785" si="137">S722*I722</f>
        <v>3438.7000000127591</v>
      </c>
      <c r="U722" s="158">
        <f t="shared" si="129"/>
        <v>411</v>
      </c>
      <c r="V722" s="160">
        <f t="shared" ref="V722:V785" si="138">ROUND(U722,0)</f>
        <v>411</v>
      </c>
    </row>
    <row r="723" spans="1:22" x14ac:dyDescent="0.25">
      <c r="A723" s="98" t="s">
        <v>28</v>
      </c>
      <c r="B723" s="98" t="s">
        <v>17</v>
      </c>
      <c r="C723" s="98">
        <v>15</v>
      </c>
      <c r="D723" s="98">
        <v>9900</v>
      </c>
      <c r="E723" s="157">
        <v>42446.5</v>
      </c>
      <c r="F723" s="157">
        <v>42446.527083333334</v>
      </c>
      <c r="G723" s="98">
        <v>56</v>
      </c>
      <c r="H723" s="98">
        <v>456</v>
      </c>
      <c r="I723" s="98">
        <v>411</v>
      </c>
      <c r="J723" s="98" t="s">
        <v>1996</v>
      </c>
      <c r="K723" s="98" t="s">
        <v>3296</v>
      </c>
      <c r="L723" s="105" t="str">
        <f t="shared" si="130"/>
        <v>Brown</v>
      </c>
      <c r="M723" s="105" t="str">
        <f t="shared" si="131"/>
        <v>Derate</v>
      </c>
      <c r="N723" s="105" t="str">
        <f t="shared" si="132"/>
        <v>Coal</v>
      </c>
      <c r="O723" s="105">
        <f>IFERROR(VLOOKUP(A723,Lookup!$J$5:$P$19,7,FALSE),0)</f>
        <v>3</v>
      </c>
      <c r="P723" s="159">
        <f t="shared" si="133"/>
        <v>2016</v>
      </c>
      <c r="Q723" s="159">
        <f t="shared" si="134"/>
        <v>3</v>
      </c>
      <c r="R723" s="160">
        <f t="shared" si="135"/>
        <v>0.65000000002328306</v>
      </c>
      <c r="S723" s="158">
        <f t="shared" si="136"/>
        <v>0.570175438616915</v>
      </c>
      <c r="T723" s="161">
        <f t="shared" si="137"/>
        <v>234.34210527155207</v>
      </c>
      <c r="U723" s="158">
        <f t="shared" ref="U723:U786" si="139">IF(G723&gt;0,MAX((H723-G723),0)*I723/H723,I723)</f>
        <v>360.5263157894737</v>
      </c>
      <c r="V723" s="160">
        <f t="shared" si="138"/>
        <v>361</v>
      </c>
    </row>
    <row r="724" spans="1:22" x14ac:dyDescent="0.25">
      <c r="A724" s="98" t="s">
        <v>28</v>
      </c>
      <c r="B724" s="98" t="s">
        <v>15</v>
      </c>
      <c r="C724" s="98">
        <v>16</v>
      </c>
      <c r="D724" s="98">
        <v>9900</v>
      </c>
      <c r="E724" s="157">
        <v>42446.527083333334</v>
      </c>
      <c r="F724" s="157">
        <v>42446.628472222219</v>
      </c>
      <c r="G724" s="98">
        <v>0</v>
      </c>
      <c r="H724" s="98">
        <v>456</v>
      </c>
      <c r="I724" s="98">
        <v>411</v>
      </c>
      <c r="J724" s="98" t="s">
        <v>1996</v>
      </c>
      <c r="K724" s="98" t="s">
        <v>3296</v>
      </c>
      <c r="L724" s="105" t="str">
        <f t="shared" si="130"/>
        <v>Brown</v>
      </c>
      <c r="M724" s="105" t="str">
        <f t="shared" si="131"/>
        <v>Outage</v>
      </c>
      <c r="N724" s="105" t="str">
        <f t="shared" si="132"/>
        <v>Coal</v>
      </c>
      <c r="O724" s="105">
        <f>IFERROR(VLOOKUP(A724,Lookup!$J$5:$P$19,7,FALSE),0)</f>
        <v>3</v>
      </c>
      <c r="P724" s="159">
        <f t="shared" si="133"/>
        <v>2016</v>
      </c>
      <c r="Q724" s="159">
        <f t="shared" si="134"/>
        <v>3</v>
      </c>
      <c r="R724" s="160">
        <f t="shared" si="135"/>
        <v>2.4333333332324401</v>
      </c>
      <c r="S724" s="158">
        <f t="shared" si="136"/>
        <v>2.4333333332324401</v>
      </c>
      <c r="T724" s="161">
        <f t="shared" si="137"/>
        <v>1000.0999999585329</v>
      </c>
      <c r="U724" s="158">
        <f t="shared" si="139"/>
        <v>411</v>
      </c>
      <c r="V724" s="160">
        <f t="shared" si="138"/>
        <v>411</v>
      </c>
    </row>
    <row r="725" spans="1:22" x14ac:dyDescent="0.25">
      <c r="A725" s="98" t="s">
        <v>28</v>
      </c>
      <c r="B725" s="98" t="s">
        <v>38</v>
      </c>
      <c r="C725" s="98">
        <v>17</v>
      </c>
      <c r="D725" s="98">
        <v>8812</v>
      </c>
      <c r="E725" s="157">
        <v>42450.419444444444</v>
      </c>
      <c r="F725" s="157">
        <v>42476.71875</v>
      </c>
      <c r="G725" s="98">
        <v>0</v>
      </c>
      <c r="H725" s="98">
        <v>456</v>
      </c>
      <c r="I725" s="98">
        <v>411</v>
      </c>
      <c r="J725" s="98" t="s">
        <v>2232</v>
      </c>
      <c r="K725" s="98" t="s">
        <v>3297</v>
      </c>
      <c r="L725" s="105" t="str">
        <f t="shared" si="130"/>
        <v>Brown</v>
      </c>
      <c r="M725" s="105" t="str">
        <f t="shared" si="131"/>
        <v>Other</v>
      </c>
      <c r="N725" s="105" t="str">
        <f t="shared" si="132"/>
        <v>Coal</v>
      </c>
      <c r="O725" s="105">
        <f>IFERROR(VLOOKUP(A725,Lookup!$J$5:$P$19,7,FALSE),0)</f>
        <v>3</v>
      </c>
      <c r="P725" s="159">
        <f t="shared" si="133"/>
        <v>2016</v>
      </c>
      <c r="Q725" s="159">
        <f t="shared" si="134"/>
        <v>3</v>
      </c>
      <c r="R725" s="160">
        <f t="shared" si="135"/>
        <v>631.18333333334886</v>
      </c>
      <c r="S725" s="158">
        <f t="shared" si="136"/>
        <v>631.18333333334886</v>
      </c>
      <c r="T725" s="161">
        <f t="shared" si="137"/>
        <v>259416.35000000638</v>
      </c>
      <c r="U725" s="158">
        <f t="shared" si="139"/>
        <v>411</v>
      </c>
      <c r="V725" s="160">
        <f t="shared" si="138"/>
        <v>411</v>
      </c>
    </row>
    <row r="726" spans="1:22" x14ac:dyDescent="0.25">
      <c r="A726" s="98" t="s">
        <v>28</v>
      </c>
      <c r="B726" s="98" t="s">
        <v>18</v>
      </c>
      <c r="C726" s="98">
        <v>18</v>
      </c>
      <c r="D726" s="98">
        <v>1591</v>
      </c>
      <c r="E726" s="157">
        <v>42476.71875</v>
      </c>
      <c r="F726" s="157">
        <v>42478.249305555553</v>
      </c>
      <c r="G726" s="98">
        <v>0</v>
      </c>
      <c r="H726" s="98">
        <v>456</v>
      </c>
      <c r="I726" s="98">
        <v>411</v>
      </c>
      <c r="J726" s="98" t="s">
        <v>3298</v>
      </c>
      <c r="K726" s="98" t="s">
        <v>3299</v>
      </c>
      <c r="L726" s="105" t="str">
        <f t="shared" si="130"/>
        <v>Brown</v>
      </c>
      <c r="M726" s="105" t="str">
        <f t="shared" si="131"/>
        <v>Outage</v>
      </c>
      <c r="N726" s="105" t="str">
        <f t="shared" si="132"/>
        <v>Coal</v>
      </c>
      <c r="O726" s="105">
        <f>IFERROR(VLOOKUP(A726,Lookup!$J$5:$P$19,7,FALSE),0)</f>
        <v>3</v>
      </c>
      <c r="P726" s="159">
        <f t="shared" si="133"/>
        <v>2016</v>
      </c>
      <c r="Q726" s="159">
        <f t="shared" si="134"/>
        <v>4</v>
      </c>
      <c r="R726" s="160">
        <f t="shared" si="135"/>
        <v>36.733333333279006</v>
      </c>
      <c r="S726" s="158">
        <f t="shared" si="136"/>
        <v>36.733333333279006</v>
      </c>
      <c r="T726" s="161">
        <f t="shared" si="137"/>
        <v>15097.399999977672</v>
      </c>
      <c r="U726" s="158">
        <f t="shared" si="139"/>
        <v>411</v>
      </c>
      <c r="V726" s="160">
        <f t="shared" si="138"/>
        <v>411</v>
      </c>
    </row>
    <row r="727" spans="1:22" x14ac:dyDescent="0.25">
      <c r="A727" s="98" t="s">
        <v>28</v>
      </c>
      <c r="B727" s="98" t="s">
        <v>15</v>
      </c>
      <c r="C727" s="98">
        <v>19</v>
      </c>
      <c r="D727" s="98">
        <v>1999</v>
      </c>
      <c r="E727" s="157">
        <v>42478.384722222225</v>
      </c>
      <c r="F727" s="157">
        <v>42479.361805555556</v>
      </c>
      <c r="G727" s="98">
        <v>0</v>
      </c>
      <c r="H727" s="98">
        <v>456</v>
      </c>
      <c r="I727" s="98">
        <v>411</v>
      </c>
      <c r="J727" s="98" t="s">
        <v>2108</v>
      </c>
      <c r="K727" s="98" t="s">
        <v>3300</v>
      </c>
      <c r="L727" s="105" t="str">
        <f t="shared" si="130"/>
        <v>Brown</v>
      </c>
      <c r="M727" s="105" t="str">
        <f t="shared" si="131"/>
        <v>Outage</v>
      </c>
      <c r="N727" s="105" t="str">
        <f t="shared" si="132"/>
        <v>Coal</v>
      </c>
      <c r="O727" s="105">
        <f>IFERROR(VLOOKUP(A727,Lookup!$J$5:$P$19,7,FALSE),0)</f>
        <v>3</v>
      </c>
      <c r="P727" s="159">
        <f t="shared" si="133"/>
        <v>2016</v>
      </c>
      <c r="Q727" s="159">
        <f t="shared" si="134"/>
        <v>4</v>
      </c>
      <c r="R727" s="160">
        <f t="shared" si="135"/>
        <v>23.449999999953434</v>
      </c>
      <c r="S727" s="158">
        <f t="shared" si="136"/>
        <v>23.449999999953434</v>
      </c>
      <c r="T727" s="161">
        <f t="shared" si="137"/>
        <v>9637.9499999808613</v>
      </c>
      <c r="U727" s="158">
        <f t="shared" si="139"/>
        <v>411</v>
      </c>
      <c r="V727" s="160">
        <f t="shared" si="138"/>
        <v>411</v>
      </c>
    </row>
    <row r="728" spans="1:22" x14ac:dyDescent="0.25">
      <c r="A728" s="98" t="s">
        <v>28</v>
      </c>
      <c r="B728" s="98" t="s">
        <v>17</v>
      </c>
      <c r="C728" s="98">
        <v>20</v>
      </c>
      <c r="D728" s="98">
        <v>3412</v>
      </c>
      <c r="E728" s="157">
        <v>42479.861805555556</v>
      </c>
      <c r="F728" s="157">
        <v>42480.761805555558</v>
      </c>
      <c r="G728" s="98">
        <v>320</v>
      </c>
      <c r="H728" s="98">
        <v>456</v>
      </c>
      <c r="I728" s="98">
        <v>411</v>
      </c>
      <c r="J728" s="98" t="s">
        <v>2162</v>
      </c>
      <c r="K728" s="98" t="s">
        <v>3293</v>
      </c>
      <c r="L728" s="105" t="str">
        <f t="shared" si="130"/>
        <v>Brown</v>
      </c>
      <c r="M728" s="105" t="str">
        <f t="shared" si="131"/>
        <v>Derate</v>
      </c>
      <c r="N728" s="105" t="str">
        <f t="shared" si="132"/>
        <v>Coal</v>
      </c>
      <c r="O728" s="105">
        <f>IFERROR(VLOOKUP(A728,Lookup!$J$5:$P$19,7,FALSE),0)</f>
        <v>3</v>
      </c>
      <c r="P728" s="159">
        <f t="shared" si="133"/>
        <v>2016</v>
      </c>
      <c r="Q728" s="159">
        <f t="shared" si="134"/>
        <v>4</v>
      </c>
      <c r="R728" s="160">
        <f t="shared" si="135"/>
        <v>21.600000000034925</v>
      </c>
      <c r="S728" s="158">
        <f t="shared" si="136"/>
        <v>6.4421052631683109</v>
      </c>
      <c r="T728" s="161">
        <f t="shared" si="137"/>
        <v>2647.7052631621759</v>
      </c>
      <c r="U728" s="158">
        <f t="shared" si="139"/>
        <v>122.57894736842105</v>
      </c>
      <c r="V728" s="160">
        <f t="shared" si="138"/>
        <v>123</v>
      </c>
    </row>
    <row r="729" spans="1:22" x14ac:dyDescent="0.25">
      <c r="A729" s="98" t="s">
        <v>28</v>
      </c>
      <c r="B729" s="98" t="s">
        <v>79</v>
      </c>
      <c r="C729" s="98">
        <v>21</v>
      </c>
      <c r="D729" s="98">
        <v>8700</v>
      </c>
      <c r="E729" s="157">
        <v>42482.916666666664</v>
      </c>
      <c r="F729" s="157">
        <v>42483.083333333336</v>
      </c>
      <c r="G729" s="98">
        <v>0</v>
      </c>
      <c r="H729" s="98">
        <v>456</v>
      </c>
      <c r="I729" s="98">
        <v>411</v>
      </c>
      <c r="J729" s="98" t="s">
        <v>1987</v>
      </c>
      <c r="K729" s="98" t="s">
        <v>3207</v>
      </c>
      <c r="L729" s="105" t="str">
        <f t="shared" si="130"/>
        <v>Brown</v>
      </c>
      <c r="M729" s="105" t="str">
        <f t="shared" si="131"/>
        <v>Other</v>
      </c>
      <c r="N729" s="105" t="str">
        <f t="shared" si="132"/>
        <v>Coal</v>
      </c>
      <c r="O729" s="105">
        <f>IFERROR(VLOOKUP(A729,Lookup!$J$5:$P$19,7,FALSE),0)</f>
        <v>3</v>
      </c>
      <c r="P729" s="159">
        <f t="shared" si="133"/>
        <v>2016</v>
      </c>
      <c r="Q729" s="159">
        <f t="shared" si="134"/>
        <v>4</v>
      </c>
      <c r="R729" s="160">
        <f t="shared" si="135"/>
        <v>4.0000000001164153</v>
      </c>
      <c r="S729" s="158">
        <f t="shared" si="136"/>
        <v>4.0000000001164153</v>
      </c>
      <c r="T729" s="161">
        <f t="shared" si="137"/>
        <v>1644.0000000478467</v>
      </c>
      <c r="U729" s="158">
        <f t="shared" si="139"/>
        <v>411</v>
      </c>
      <c r="V729" s="160">
        <f t="shared" si="138"/>
        <v>411</v>
      </c>
    </row>
    <row r="730" spans="1:22" x14ac:dyDescent="0.25">
      <c r="A730" s="98" t="s">
        <v>28</v>
      </c>
      <c r="B730" s="98" t="s">
        <v>79</v>
      </c>
      <c r="C730" s="98">
        <v>22</v>
      </c>
      <c r="D730" s="98">
        <v>8700</v>
      </c>
      <c r="E730" s="157">
        <v>42485.958333333336</v>
      </c>
      <c r="F730" s="157">
        <v>42486.072916666664</v>
      </c>
      <c r="G730" s="98">
        <v>0</v>
      </c>
      <c r="H730" s="98">
        <v>456</v>
      </c>
      <c r="I730" s="98">
        <v>411</v>
      </c>
      <c r="J730" s="98" t="s">
        <v>1987</v>
      </c>
      <c r="K730" s="98" t="s">
        <v>3234</v>
      </c>
      <c r="L730" s="105" t="str">
        <f t="shared" si="130"/>
        <v>Brown</v>
      </c>
      <c r="M730" s="105" t="str">
        <f t="shared" si="131"/>
        <v>Other</v>
      </c>
      <c r="N730" s="105" t="str">
        <f t="shared" si="132"/>
        <v>Coal</v>
      </c>
      <c r="O730" s="105">
        <f>IFERROR(VLOOKUP(A730,Lookup!$J$5:$P$19,7,FALSE),0)</f>
        <v>3</v>
      </c>
      <c r="P730" s="159">
        <f t="shared" si="133"/>
        <v>2016</v>
      </c>
      <c r="Q730" s="159">
        <f t="shared" si="134"/>
        <v>4</v>
      </c>
      <c r="R730" s="160">
        <f t="shared" si="135"/>
        <v>2.7499999998835847</v>
      </c>
      <c r="S730" s="158">
        <f t="shared" si="136"/>
        <v>2.7499999998835847</v>
      </c>
      <c r="T730" s="161">
        <f t="shared" si="137"/>
        <v>1130.2499999521533</v>
      </c>
      <c r="U730" s="158">
        <f t="shared" si="139"/>
        <v>411</v>
      </c>
      <c r="V730" s="160">
        <f t="shared" si="138"/>
        <v>411</v>
      </c>
    </row>
    <row r="731" spans="1:22" x14ac:dyDescent="0.25">
      <c r="A731" s="98" t="s">
        <v>28</v>
      </c>
      <c r="B731" s="98" t="s">
        <v>79</v>
      </c>
      <c r="C731" s="98">
        <v>23</v>
      </c>
      <c r="D731" s="98">
        <v>8700</v>
      </c>
      <c r="E731" s="157">
        <v>42486.875</v>
      </c>
      <c r="F731" s="157">
        <v>42487.09652777778</v>
      </c>
      <c r="G731" s="98">
        <v>0</v>
      </c>
      <c r="H731" s="98">
        <v>456</v>
      </c>
      <c r="I731" s="98">
        <v>411</v>
      </c>
      <c r="J731" s="98" t="s">
        <v>1987</v>
      </c>
      <c r="K731" s="98" t="s">
        <v>3234</v>
      </c>
      <c r="L731" s="105" t="str">
        <f t="shared" si="130"/>
        <v>Brown</v>
      </c>
      <c r="M731" s="105" t="str">
        <f t="shared" si="131"/>
        <v>Other</v>
      </c>
      <c r="N731" s="105" t="str">
        <f t="shared" si="132"/>
        <v>Coal</v>
      </c>
      <c r="O731" s="105">
        <f>IFERROR(VLOOKUP(A731,Lookup!$J$5:$P$19,7,FALSE),0)</f>
        <v>3</v>
      </c>
      <c r="P731" s="159">
        <f t="shared" si="133"/>
        <v>2016</v>
      </c>
      <c r="Q731" s="159">
        <f t="shared" si="134"/>
        <v>4</v>
      </c>
      <c r="R731" s="160">
        <f t="shared" si="135"/>
        <v>5.3166666667093523</v>
      </c>
      <c r="S731" s="158">
        <f t="shared" si="136"/>
        <v>5.3166666667093523</v>
      </c>
      <c r="T731" s="161">
        <f t="shared" si="137"/>
        <v>2185.1500000175438</v>
      </c>
      <c r="U731" s="158">
        <f t="shared" si="139"/>
        <v>411</v>
      </c>
      <c r="V731" s="160">
        <f t="shared" si="138"/>
        <v>411</v>
      </c>
    </row>
    <row r="732" spans="1:22" x14ac:dyDescent="0.25">
      <c r="A732" s="98" t="s">
        <v>28</v>
      </c>
      <c r="B732" s="98" t="s">
        <v>79</v>
      </c>
      <c r="C732" s="98">
        <v>24</v>
      </c>
      <c r="D732" s="98">
        <v>8812</v>
      </c>
      <c r="E732" s="157">
        <v>42487.554166666669</v>
      </c>
      <c r="F732" s="157">
        <v>42487.69027777778</v>
      </c>
      <c r="G732" s="98">
        <v>0</v>
      </c>
      <c r="H732" s="98">
        <v>456</v>
      </c>
      <c r="I732" s="98">
        <v>411</v>
      </c>
      <c r="J732" s="98" t="s">
        <v>2232</v>
      </c>
      <c r="K732" s="98" t="s">
        <v>3301</v>
      </c>
      <c r="L732" s="105" t="str">
        <f t="shared" si="130"/>
        <v>Brown</v>
      </c>
      <c r="M732" s="105" t="str">
        <f t="shared" si="131"/>
        <v>Other</v>
      </c>
      <c r="N732" s="105" t="str">
        <f t="shared" si="132"/>
        <v>Coal</v>
      </c>
      <c r="O732" s="105">
        <f>IFERROR(VLOOKUP(A732,Lookup!$J$5:$P$19,7,FALSE),0)</f>
        <v>3</v>
      </c>
      <c r="P732" s="159">
        <f t="shared" si="133"/>
        <v>2016</v>
      </c>
      <c r="Q732" s="159">
        <f t="shared" si="134"/>
        <v>4</v>
      </c>
      <c r="R732" s="160">
        <f t="shared" si="135"/>
        <v>3.2666666666627862</v>
      </c>
      <c r="S732" s="158">
        <f t="shared" si="136"/>
        <v>3.2666666666627862</v>
      </c>
      <c r="T732" s="161">
        <f t="shared" si="137"/>
        <v>1342.5999999984051</v>
      </c>
      <c r="U732" s="158">
        <f t="shared" si="139"/>
        <v>411</v>
      </c>
      <c r="V732" s="160">
        <f t="shared" si="138"/>
        <v>411</v>
      </c>
    </row>
    <row r="733" spans="1:22" x14ac:dyDescent="0.25">
      <c r="A733" s="98" t="s">
        <v>28</v>
      </c>
      <c r="B733" s="98" t="s">
        <v>79</v>
      </c>
      <c r="C733" s="98">
        <v>25</v>
      </c>
      <c r="D733" s="98">
        <v>8700</v>
      </c>
      <c r="E733" s="157">
        <v>42487.875</v>
      </c>
      <c r="F733" s="157">
        <v>42488.168749999997</v>
      </c>
      <c r="G733" s="98">
        <v>0</v>
      </c>
      <c r="H733" s="98">
        <v>456</v>
      </c>
      <c r="I733" s="98">
        <v>411</v>
      </c>
      <c r="J733" s="98" t="s">
        <v>1987</v>
      </c>
      <c r="K733" s="98" t="s">
        <v>3234</v>
      </c>
      <c r="L733" s="105" t="str">
        <f t="shared" si="130"/>
        <v>Brown</v>
      </c>
      <c r="M733" s="105" t="str">
        <f t="shared" si="131"/>
        <v>Other</v>
      </c>
      <c r="N733" s="105" t="str">
        <f t="shared" si="132"/>
        <v>Coal</v>
      </c>
      <c r="O733" s="105">
        <f>IFERROR(VLOOKUP(A733,Lookup!$J$5:$P$19,7,FALSE),0)</f>
        <v>3</v>
      </c>
      <c r="P733" s="159">
        <f t="shared" si="133"/>
        <v>2016</v>
      </c>
      <c r="Q733" s="159">
        <f t="shared" si="134"/>
        <v>4</v>
      </c>
      <c r="R733" s="160">
        <f t="shared" si="135"/>
        <v>7.0499999999301508</v>
      </c>
      <c r="S733" s="158">
        <f t="shared" si="136"/>
        <v>7.0499999999301508</v>
      </c>
      <c r="T733" s="161">
        <f t="shared" si="137"/>
        <v>2897.549999971292</v>
      </c>
      <c r="U733" s="158">
        <f t="shared" si="139"/>
        <v>411</v>
      </c>
      <c r="V733" s="160">
        <f t="shared" si="138"/>
        <v>411</v>
      </c>
    </row>
    <row r="734" spans="1:22" x14ac:dyDescent="0.25">
      <c r="A734" s="98" t="s">
        <v>28</v>
      </c>
      <c r="B734" s="98" t="s">
        <v>79</v>
      </c>
      <c r="C734" s="98">
        <v>26</v>
      </c>
      <c r="D734" s="98">
        <v>8812</v>
      </c>
      <c r="E734" s="157">
        <v>42488.916666666664</v>
      </c>
      <c r="F734" s="157">
        <v>42489.09375</v>
      </c>
      <c r="G734" s="98">
        <v>0</v>
      </c>
      <c r="H734" s="98">
        <v>456</v>
      </c>
      <c r="I734" s="98">
        <v>411</v>
      </c>
      <c r="J734" s="98" t="s">
        <v>2232</v>
      </c>
      <c r="K734" s="98" t="s">
        <v>3302</v>
      </c>
      <c r="L734" s="105" t="str">
        <f t="shared" si="130"/>
        <v>Brown</v>
      </c>
      <c r="M734" s="105" t="str">
        <f t="shared" si="131"/>
        <v>Other</v>
      </c>
      <c r="N734" s="105" t="str">
        <f t="shared" si="132"/>
        <v>Coal</v>
      </c>
      <c r="O734" s="105">
        <f>IFERROR(VLOOKUP(A734,Lookup!$J$5:$P$19,7,FALSE),0)</f>
        <v>3</v>
      </c>
      <c r="P734" s="159">
        <f t="shared" si="133"/>
        <v>2016</v>
      </c>
      <c r="Q734" s="159">
        <f t="shared" si="134"/>
        <v>4</v>
      </c>
      <c r="R734" s="160">
        <f t="shared" si="135"/>
        <v>4.2500000000582077</v>
      </c>
      <c r="S734" s="158">
        <f t="shared" si="136"/>
        <v>4.2500000000582077</v>
      </c>
      <c r="T734" s="161">
        <f t="shared" si="137"/>
        <v>1746.7500000239233</v>
      </c>
      <c r="U734" s="158">
        <f t="shared" si="139"/>
        <v>411</v>
      </c>
      <c r="V734" s="160">
        <f t="shared" si="138"/>
        <v>411</v>
      </c>
    </row>
    <row r="735" spans="1:22" x14ac:dyDescent="0.25">
      <c r="A735" s="98" t="s">
        <v>28</v>
      </c>
      <c r="B735" s="98" t="s">
        <v>17</v>
      </c>
      <c r="C735" s="98">
        <v>27</v>
      </c>
      <c r="D735" s="98">
        <v>3410</v>
      </c>
      <c r="E735" s="157">
        <v>42499.256944444445</v>
      </c>
      <c r="F735" s="157">
        <v>42499.468055555553</v>
      </c>
      <c r="G735" s="98">
        <v>320</v>
      </c>
      <c r="H735" s="98">
        <v>456</v>
      </c>
      <c r="I735" s="98">
        <v>411</v>
      </c>
      <c r="J735" s="98" t="s">
        <v>1983</v>
      </c>
      <c r="K735" s="98" t="s">
        <v>3303</v>
      </c>
      <c r="L735" s="105" t="str">
        <f t="shared" si="130"/>
        <v>Brown</v>
      </c>
      <c r="M735" s="105" t="str">
        <f t="shared" si="131"/>
        <v>Derate</v>
      </c>
      <c r="N735" s="105" t="str">
        <f t="shared" si="132"/>
        <v>Coal</v>
      </c>
      <c r="O735" s="105">
        <f>IFERROR(VLOOKUP(A735,Lookup!$J$5:$P$19,7,FALSE),0)</f>
        <v>3</v>
      </c>
      <c r="P735" s="159">
        <f t="shared" si="133"/>
        <v>2016</v>
      </c>
      <c r="Q735" s="159">
        <f t="shared" si="134"/>
        <v>5</v>
      </c>
      <c r="R735" s="160">
        <f t="shared" si="135"/>
        <v>5.066666666592937</v>
      </c>
      <c r="S735" s="158">
        <f t="shared" si="136"/>
        <v>1.5111111110891216</v>
      </c>
      <c r="T735" s="161">
        <f t="shared" si="137"/>
        <v>621.06666665762896</v>
      </c>
      <c r="U735" s="158">
        <f t="shared" si="139"/>
        <v>122.57894736842105</v>
      </c>
      <c r="V735" s="160">
        <f t="shared" si="138"/>
        <v>123</v>
      </c>
    </row>
    <row r="736" spans="1:22" x14ac:dyDescent="0.25">
      <c r="A736" s="98" t="s">
        <v>28</v>
      </c>
      <c r="B736" s="98" t="s">
        <v>20</v>
      </c>
      <c r="C736" s="98">
        <v>29</v>
      </c>
      <c r="D736" s="98">
        <v>1000</v>
      </c>
      <c r="E736" s="157">
        <v>42506.664583333331</v>
      </c>
      <c r="F736" s="157">
        <v>42508.5</v>
      </c>
      <c r="G736" s="98">
        <v>0</v>
      </c>
      <c r="H736" s="98">
        <v>456</v>
      </c>
      <c r="I736" s="98">
        <v>411</v>
      </c>
      <c r="J736" s="98" t="s">
        <v>2002</v>
      </c>
      <c r="K736" s="98" t="s">
        <v>3304</v>
      </c>
      <c r="L736" s="105" t="str">
        <f t="shared" si="130"/>
        <v>Brown</v>
      </c>
      <c r="M736" s="105" t="str">
        <f t="shared" si="131"/>
        <v>Maintenance</v>
      </c>
      <c r="N736" s="105" t="str">
        <f t="shared" si="132"/>
        <v>Coal</v>
      </c>
      <c r="O736" s="105">
        <f>IFERROR(VLOOKUP(A736,Lookup!$J$5:$P$19,7,FALSE),0)</f>
        <v>3</v>
      </c>
      <c r="P736" s="159">
        <f t="shared" si="133"/>
        <v>2016</v>
      </c>
      <c r="Q736" s="159">
        <f t="shared" si="134"/>
        <v>5</v>
      </c>
      <c r="R736" s="160">
        <f t="shared" si="135"/>
        <v>44.050000000046566</v>
      </c>
      <c r="S736" s="158">
        <f t="shared" si="136"/>
        <v>44.050000000046566</v>
      </c>
      <c r="T736" s="161">
        <f t="shared" si="137"/>
        <v>18104.550000019139</v>
      </c>
      <c r="U736" s="158">
        <f t="shared" si="139"/>
        <v>411</v>
      </c>
      <c r="V736" s="160">
        <f t="shared" si="138"/>
        <v>411</v>
      </c>
    </row>
    <row r="737" spans="1:22" x14ac:dyDescent="0.25">
      <c r="A737" s="98" t="s">
        <v>28</v>
      </c>
      <c r="B737" s="98" t="s">
        <v>79</v>
      </c>
      <c r="C737" s="98">
        <v>31</v>
      </c>
      <c r="D737" s="98">
        <v>8700</v>
      </c>
      <c r="E737" s="157">
        <v>42513.958333333336</v>
      </c>
      <c r="F737" s="157">
        <v>42514.222222222219</v>
      </c>
      <c r="G737" s="98">
        <v>0</v>
      </c>
      <c r="H737" s="98">
        <v>456</v>
      </c>
      <c r="I737" s="98">
        <v>411</v>
      </c>
      <c r="J737" s="98" t="s">
        <v>1987</v>
      </c>
      <c r="K737" s="98" t="s">
        <v>3209</v>
      </c>
      <c r="L737" s="105" t="str">
        <f t="shared" si="130"/>
        <v>Brown</v>
      </c>
      <c r="M737" s="105" t="str">
        <f t="shared" si="131"/>
        <v>Other</v>
      </c>
      <c r="N737" s="105" t="str">
        <f t="shared" si="132"/>
        <v>Coal</v>
      </c>
      <c r="O737" s="105">
        <f>IFERROR(VLOOKUP(A737,Lookup!$J$5:$P$19,7,FALSE),0)</f>
        <v>3</v>
      </c>
      <c r="P737" s="159">
        <f t="shared" si="133"/>
        <v>2016</v>
      </c>
      <c r="Q737" s="159">
        <f t="shared" si="134"/>
        <v>5</v>
      </c>
      <c r="R737" s="160">
        <f t="shared" si="135"/>
        <v>6.3333333331975155</v>
      </c>
      <c r="S737" s="158">
        <f t="shared" si="136"/>
        <v>6.3333333331975155</v>
      </c>
      <c r="T737" s="161">
        <f t="shared" si="137"/>
        <v>2602.9999999441789</v>
      </c>
      <c r="U737" s="158">
        <f t="shared" si="139"/>
        <v>411</v>
      </c>
      <c r="V737" s="160">
        <f t="shared" si="138"/>
        <v>411</v>
      </c>
    </row>
    <row r="738" spans="1:22" x14ac:dyDescent="0.25">
      <c r="A738" s="98" t="s">
        <v>28</v>
      </c>
      <c r="B738" s="98" t="s">
        <v>17</v>
      </c>
      <c r="C738" s="98">
        <v>32</v>
      </c>
      <c r="D738" s="98">
        <v>95</v>
      </c>
      <c r="E738" s="157">
        <v>42520.720138888886</v>
      </c>
      <c r="F738" s="157">
        <v>42520.747916666667</v>
      </c>
      <c r="G738" s="98">
        <v>360</v>
      </c>
      <c r="H738" s="98">
        <v>456</v>
      </c>
      <c r="I738" s="98">
        <v>411</v>
      </c>
      <c r="J738" s="98" t="s">
        <v>1998</v>
      </c>
      <c r="K738" s="98" t="s">
        <v>3305</v>
      </c>
      <c r="L738" s="105" t="str">
        <f t="shared" si="130"/>
        <v>Brown</v>
      </c>
      <c r="M738" s="105" t="str">
        <f t="shared" si="131"/>
        <v>Derate</v>
      </c>
      <c r="N738" s="105" t="str">
        <f t="shared" si="132"/>
        <v>Coal</v>
      </c>
      <c r="O738" s="105">
        <f>IFERROR(VLOOKUP(A738,Lookup!$J$5:$P$19,7,FALSE),0)</f>
        <v>3</v>
      </c>
      <c r="P738" s="159">
        <f t="shared" si="133"/>
        <v>2016</v>
      </c>
      <c r="Q738" s="159">
        <f t="shared" si="134"/>
        <v>5</v>
      </c>
      <c r="R738" s="160">
        <f t="shared" si="135"/>
        <v>0.66666666674427688</v>
      </c>
      <c r="S738" s="158">
        <f t="shared" si="136"/>
        <v>0.14035087720932146</v>
      </c>
      <c r="T738" s="161">
        <f t="shared" si="137"/>
        <v>57.68421053303112</v>
      </c>
      <c r="U738" s="158">
        <f t="shared" si="139"/>
        <v>86.526315789473685</v>
      </c>
      <c r="V738" s="160">
        <f t="shared" si="138"/>
        <v>87</v>
      </c>
    </row>
    <row r="739" spans="1:22" x14ac:dyDescent="0.25">
      <c r="A739" s="98" t="s">
        <v>28</v>
      </c>
      <c r="B739" s="98" t="s">
        <v>32</v>
      </c>
      <c r="C739" s="98">
        <v>33</v>
      </c>
      <c r="D739" s="98">
        <v>344</v>
      </c>
      <c r="E739" s="157">
        <v>42544.916666666664</v>
      </c>
      <c r="F739" s="157">
        <v>42545.111111111109</v>
      </c>
      <c r="G739" s="98">
        <v>360</v>
      </c>
      <c r="H739" s="98">
        <v>456</v>
      </c>
      <c r="I739" s="98">
        <v>411</v>
      </c>
      <c r="J739" s="98" t="s">
        <v>1968</v>
      </c>
      <c r="K739" s="98" t="s">
        <v>3306</v>
      </c>
      <c r="L739" s="105" t="str">
        <f t="shared" si="130"/>
        <v>Brown</v>
      </c>
      <c r="M739" s="105" t="str">
        <f t="shared" si="131"/>
        <v>Derate</v>
      </c>
      <c r="N739" s="105" t="str">
        <f t="shared" si="132"/>
        <v>Coal</v>
      </c>
      <c r="O739" s="105">
        <f>IFERROR(VLOOKUP(A739,Lookup!$J$5:$P$19,7,FALSE),0)</f>
        <v>3</v>
      </c>
      <c r="P739" s="159">
        <f t="shared" si="133"/>
        <v>2016</v>
      </c>
      <c r="Q739" s="159">
        <f t="shared" si="134"/>
        <v>6</v>
      </c>
      <c r="R739" s="160">
        <f t="shared" si="135"/>
        <v>4.6666666666860692</v>
      </c>
      <c r="S739" s="158">
        <f t="shared" si="136"/>
        <v>0.98245614035496198</v>
      </c>
      <c r="T739" s="161">
        <f t="shared" si="137"/>
        <v>403.78947368588939</v>
      </c>
      <c r="U739" s="158">
        <f t="shared" si="139"/>
        <v>86.526315789473685</v>
      </c>
      <c r="V739" s="160">
        <f t="shared" si="138"/>
        <v>87</v>
      </c>
    </row>
    <row r="740" spans="1:22" x14ac:dyDescent="0.25">
      <c r="A740" s="98" t="s">
        <v>28</v>
      </c>
      <c r="B740" s="98" t="s">
        <v>17</v>
      </c>
      <c r="C740" s="98">
        <v>34</v>
      </c>
      <c r="D740" s="98">
        <v>1750</v>
      </c>
      <c r="E740" s="157">
        <v>42545.13958333333</v>
      </c>
      <c r="F740" s="157">
        <v>42545.333333333336</v>
      </c>
      <c r="G740" s="98">
        <v>47</v>
      </c>
      <c r="H740" s="98">
        <v>456</v>
      </c>
      <c r="I740" s="98">
        <v>411</v>
      </c>
      <c r="J740" s="98" t="s">
        <v>2018</v>
      </c>
      <c r="K740" s="98" t="s">
        <v>3307</v>
      </c>
      <c r="L740" s="105" t="str">
        <f t="shared" si="130"/>
        <v>Brown</v>
      </c>
      <c r="M740" s="105" t="str">
        <f t="shared" si="131"/>
        <v>Derate</v>
      </c>
      <c r="N740" s="105" t="str">
        <f t="shared" si="132"/>
        <v>Coal</v>
      </c>
      <c r="O740" s="105">
        <f>IFERROR(VLOOKUP(A740,Lookup!$J$5:$P$19,7,FALSE),0)</f>
        <v>3</v>
      </c>
      <c r="P740" s="159">
        <f t="shared" si="133"/>
        <v>2016</v>
      </c>
      <c r="Q740" s="159">
        <f t="shared" si="134"/>
        <v>6</v>
      </c>
      <c r="R740" s="160">
        <f t="shared" si="135"/>
        <v>4.6500000001396984</v>
      </c>
      <c r="S740" s="158">
        <f t="shared" si="136"/>
        <v>4.170723684335826</v>
      </c>
      <c r="T740" s="161">
        <f t="shared" si="137"/>
        <v>1714.1674342620245</v>
      </c>
      <c r="U740" s="158">
        <f t="shared" si="139"/>
        <v>368.63815789473682</v>
      </c>
      <c r="V740" s="160">
        <f t="shared" si="138"/>
        <v>369</v>
      </c>
    </row>
    <row r="741" spans="1:22" x14ac:dyDescent="0.25">
      <c r="A741" s="98" t="s">
        <v>28</v>
      </c>
      <c r="B741" s="98" t="s">
        <v>17</v>
      </c>
      <c r="C741" s="98">
        <v>35</v>
      </c>
      <c r="D741" s="98">
        <v>1750</v>
      </c>
      <c r="E741" s="157">
        <v>42545.333333333336</v>
      </c>
      <c r="F741" s="157">
        <v>42545.469444444447</v>
      </c>
      <c r="G741" s="98">
        <v>140</v>
      </c>
      <c r="H741" s="98">
        <v>456</v>
      </c>
      <c r="I741" s="98">
        <v>411</v>
      </c>
      <c r="J741" s="98" t="s">
        <v>2018</v>
      </c>
      <c r="K741" s="98" t="s">
        <v>3308</v>
      </c>
      <c r="L741" s="105" t="str">
        <f t="shared" si="130"/>
        <v>Brown</v>
      </c>
      <c r="M741" s="105" t="str">
        <f t="shared" si="131"/>
        <v>Derate</v>
      </c>
      <c r="N741" s="105" t="str">
        <f t="shared" si="132"/>
        <v>Coal</v>
      </c>
      <c r="O741" s="105">
        <f>IFERROR(VLOOKUP(A741,Lookup!$J$5:$P$19,7,FALSE),0)</f>
        <v>3</v>
      </c>
      <c r="P741" s="159">
        <f t="shared" si="133"/>
        <v>2016</v>
      </c>
      <c r="Q741" s="159">
        <f t="shared" si="134"/>
        <v>6</v>
      </c>
      <c r="R741" s="160">
        <f t="shared" si="135"/>
        <v>3.2666666666627862</v>
      </c>
      <c r="S741" s="158">
        <f t="shared" si="136"/>
        <v>2.2637426900557904</v>
      </c>
      <c r="T741" s="161">
        <f t="shared" si="137"/>
        <v>930.39824561292983</v>
      </c>
      <c r="U741" s="158">
        <f t="shared" si="139"/>
        <v>284.81578947368422</v>
      </c>
      <c r="V741" s="160">
        <f t="shared" si="138"/>
        <v>285</v>
      </c>
    </row>
    <row r="742" spans="1:22" x14ac:dyDescent="0.25">
      <c r="A742" s="98" t="s">
        <v>28</v>
      </c>
      <c r="B742" s="98" t="s">
        <v>17</v>
      </c>
      <c r="C742" s="98">
        <v>36</v>
      </c>
      <c r="D742" s="98">
        <v>310</v>
      </c>
      <c r="E742" s="157">
        <v>42545.469444444447</v>
      </c>
      <c r="F742" s="157">
        <v>42545.5</v>
      </c>
      <c r="G742" s="98">
        <v>200</v>
      </c>
      <c r="H742" s="98">
        <v>456</v>
      </c>
      <c r="I742" s="98">
        <v>411</v>
      </c>
      <c r="J742" s="98" t="s">
        <v>1966</v>
      </c>
      <c r="K742" s="98" t="s">
        <v>3309</v>
      </c>
      <c r="L742" s="105" t="str">
        <f t="shared" si="130"/>
        <v>Brown</v>
      </c>
      <c r="M742" s="105" t="str">
        <f t="shared" si="131"/>
        <v>Derate</v>
      </c>
      <c r="N742" s="105" t="str">
        <f t="shared" si="132"/>
        <v>Coal</v>
      </c>
      <c r="O742" s="105">
        <f>IFERROR(VLOOKUP(A742,Lookup!$J$5:$P$19,7,FALSE),0)</f>
        <v>3</v>
      </c>
      <c r="P742" s="159">
        <f t="shared" si="133"/>
        <v>2016</v>
      </c>
      <c r="Q742" s="159">
        <f t="shared" si="134"/>
        <v>6</v>
      </c>
      <c r="R742" s="160">
        <f t="shared" si="135"/>
        <v>0.73333333327900618</v>
      </c>
      <c r="S742" s="158">
        <f t="shared" si="136"/>
        <v>0.41169590640224907</v>
      </c>
      <c r="T742" s="161">
        <f t="shared" si="137"/>
        <v>169.20701753132437</v>
      </c>
      <c r="U742" s="158">
        <f t="shared" si="139"/>
        <v>230.73684210526315</v>
      </c>
      <c r="V742" s="160">
        <f t="shared" si="138"/>
        <v>231</v>
      </c>
    </row>
    <row r="743" spans="1:22" x14ac:dyDescent="0.25">
      <c r="A743" s="98" t="s">
        <v>28</v>
      </c>
      <c r="B743" s="98" t="s">
        <v>17</v>
      </c>
      <c r="C743" s="98">
        <v>37</v>
      </c>
      <c r="D743" s="98">
        <v>300</v>
      </c>
      <c r="E743" s="157">
        <v>42545.5</v>
      </c>
      <c r="F743" s="157">
        <v>42545.825694444444</v>
      </c>
      <c r="G743" s="98">
        <v>360</v>
      </c>
      <c r="H743" s="98">
        <v>456</v>
      </c>
      <c r="I743" s="98">
        <v>411</v>
      </c>
      <c r="J743" s="98" t="s">
        <v>1977</v>
      </c>
      <c r="K743" s="98" t="s">
        <v>3310</v>
      </c>
      <c r="L743" s="105" t="str">
        <f t="shared" si="130"/>
        <v>Brown</v>
      </c>
      <c r="M743" s="105" t="str">
        <f t="shared" si="131"/>
        <v>Derate</v>
      </c>
      <c r="N743" s="105" t="str">
        <f t="shared" si="132"/>
        <v>Coal</v>
      </c>
      <c r="O743" s="105">
        <f>IFERROR(VLOOKUP(A743,Lookup!$J$5:$P$19,7,FALSE),0)</f>
        <v>3</v>
      </c>
      <c r="P743" s="159">
        <f t="shared" si="133"/>
        <v>2016</v>
      </c>
      <c r="Q743" s="159">
        <f t="shared" si="134"/>
        <v>6</v>
      </c>
      <c r="R743" s="160">
        <f t="shared" si="135"/>
        <v>7.8166666666511446</v>
      </c>
      <c r="S743" s="158">
        <f t="shared" si="136"/>
        <v>1.6456140350844515</v>
      </c>
      <c r="T743" s="161">
        <f t="shared" si="137"/>
        <v>676.3473684197096</v>
      </c>
      <c r="U743" s="158">
        <f t="shared" si="139"/>
        <v>86.526315789473685</v>
      </c>
      <c r="V743" s="160">
        <f t="shared" si="138"/>
        <v>87</v>
      </c>
    </row>
    <row r="744" spans="1:22" x14ac:dyDescent="0.25">
      <c r="A744" s="98" t="s">
        <v>28</v>
      </c>
      <c r="B744" s="98" t="s">
        <v>32</v>
      </c>
      <c r="C744" s="98">
        <v>38</v>
      </c>
      <c r="D744" s="98">
        <v>344</v>
      </c>
      <c r="E744" s="157">
        <v>42551.958333333336</v>
      </c>
      <c r="F744" s="157">
        <v>42552.010416666664</v>
      </c>
      <c r="G744" s="98">
        <v>360</v>
      </c>
      <c r="H744" s="98">
        <v>456</v>
      </c>
      <c r="I744" s="98">
        <v>411</v>
      </c>
      <c r="J744" s="98" t="s">
        <v>1968</v>
      </c>
      <c r="K744" s="98" t="s">
        <v>4017</v>
      </c>
      <c r="L744" s="105" t="str">
        <f t="shared" si="130"/>
        <v>Brown</v>
      </c>
      <c r="M744" s="105" t="str">
        <f t="shared" si="131"/>
        <v>Derate</v>
      </c>
      <c r="N744" s="105" t="str">
        <f t="shared" si="132"/>
        <v>Coal</v>
      </c>
      <c r="O744" s="105">
        <f>IFERROR(VLOOKUP(A744,Lookup!$J$5:$P$19,7,FALSE),0)</f>
        <v>3</v>
      </c>
      <c r="P744" s="159">
        <f t="shared" si="133"/>
        <v>2016</v>
      </c>
      <c r="Q744" s="159">
        <f t="shared" si="134"/>
        <v>6</v>
      </c>
      <c r="R744" s="160">
        <f t="shared" si="135"/>
        <v>1.2499999998835847</v>
      </c>
      <c r="S744" s="158">
        <f t="shared" si="136"/>
        <v>0.26315789471233364</v>
      </c>
      <c r="T744" s="161">
        <f t="shared" si="137"/>
        <v>108.15789472676913</v>
      </c>
      <c r="U744" s="158">
        <f t="shared" si="139"/>
        <v>86.526315789473685</v>
      </c>
      <c r="V744" s="160">
        <f t="shared" si="138"/>
        <v>87</v>
      </c>
    </row>
    <row r="745" spans="1:22" x14ac:dyDescent="0.25">
      <c r="A745" s="98" t="s">
        <v>28</v>
      </c>
      <c r="B745" s="98" t="s">
        <v>17</v>
      </c>
      <c r="C745" s="98">
        <v>39</v>
      </c>
      <c r="D745" s="98">
        <v>1750</v>
      </c>
      <c r="E745" s="157">
        <v>42552.1875</v>
      </c>
      <c r="F745" s="157">
        <v>42552.265972222223</v>
      </c>
      <c r="G745" s="98">
        <v>25</v>
      </c>
      <c r="H745" s="98">
        <v>456</v>
      </c>
      <c r="I745" s="98">
        <v>411</v>
      </c>
      <c r="J745" s="98" t="s">
        <v>2018</v>
      </c>
      <c r="K745" s="98" t="s">
        <v>4018</v>
      </c>
      <c r="L745" s="105" t="str">
        <f t="shared" si="130"/>
        <v>Brown</v>
      </c>
      <c r="M745" s="105" t="str">
        <f t="shared" si="131"/>
        <v>Derate</v>
      </c>
      <c r="N745" s="105" t="str">
        <f t="shared" si="132"/>
        <v>Coal</v>
      </c>
      <c r="O745" s="105">
        <f>IFERROR(VLOOKUP(A745,Lookup!$J$5:$P$19,7,FALSE),0)</f>
        <v>3</v>
      </c>
      <c r="P745" s="159">
        <f t="shared" si="133"/>
        <v>2016</v>
      </c>
      <c r="Q745" s="159">
        <f t="shared" si="134"/>
        <v>7</v>
      </c>
      <c r="R745" s="160">
        <f t="shared" si="135"/>
        <v>1.8833333333604969</v>
      </c>
      <c r="S745" s="158">
        <f t="shared" si="136"/>
        <v>1.7800804093823994</v>
      </c>
      <c r="T745" s="161">
        <f t="shared" si="137"/>
        <v>731.61304825616617</v>
      </c>
      <c r="U745" s="158">
        <f t="shared" si="139"/>
        <v>388.46710526315792</v>
      </c>
      <c r="V745" s="160">
        <f t="shared" si="138"/>
        <v>388</v>
      </c>
    </row>
    <row r="746" spans="1:22" x14ac:dyDescent="0.25">
      <c r="A746" s="98" t="s">
        <v>28</v>
      </c>
      <c r="B746" s="98" t="s">
        <v>17</v>
      </c>
      <c r="C746" s="98">
        <v>40</v>
      </c>
      <c r="D746" s="98">
        <v>1710</v>
      </c>
      <c r="E746" s="157">
        <v>42552.1875</v>
      </c>
      <c r="F746" s="157">
        <v>42552.265972222223</v>
      </c>
      <c r="G746" s="98">
        <v>55</v>
      </c>
      <c r="H746" s="98">
        <v>456</v>
      </c>
      <c r="I746" s="98">
        <v>411</v>
      </c>
      <c r="J746" s="98" t="s">
        <v>2020</v>
      </c>
      <c r="K746" s="98" t="s">
        <v>4019</v>
      </c>
      <c r="L746" s="105" t="str">
        <f t="shared" si="130"/>
        <v>Brown</v>
      </c>
      <c r="M746" s="105" t="str">
        <f t="shared" si="131"/>
        <v>Derate</v>
      </c>
      <c r="N746" s="105" t="str">
        <f t="shared" si="132"/>
        <v>Coal</v>
      </c>
      <c r="O746" s="105">
        <f>IFERROR(VLOOKUP(A746,Lookup!$J$5:$P$19,7,FALSE),0)</f>
        <v>3</v>
      </c>
      <c r="P746" s="159">
        <f t="shared" si="133"/>
        <v>2016</v>
      </c>
      <c r="Q746" s="159">
        <f t="shared" si="134"/>
        <v>7</v>
      </c>
      <c r="R746" s="160">
        <f t="shared" si="135"/>
        <v>1.8833333333604969</v>
      </c>
      <c r="S746" s="158">
        <f t="shared" si="136"/>
        <v>1.6561769006086826</v>
      </c>
      <c r="T746" s="161">
        <f t="shared" si="137"/>
        <v>680.68870615016851</v>
      </c>
      <c r="U746" s="158">
        <f t="shared" si="139"/>
        <v>361.42763157894734</v>
      </c>
      <c r="V746" s="160">
        <f t="shared" si="138"/>
        <v>361</v>
      </c>
    </row>
    <row r="747" spans="1:22" x14ac:dyDescent="0.25">
      <c r="A747" s="98" t="s">
        <v>28</v>
      </c>
      <c r="B747" s="98" t="s">
        <v>15</v>
      </c>
      <c r="C747" s="98">
        <v>41</v>
      </c>
      <c r="D747" s="98">
        <v>1160</v>
      </c>
      <c r="E747" s="157">
        <v>42552.51458333333</v>
      </c>
      <c r="F747" s="157">
        <v>42556.65</v>
      </c>
      <c r="G747" s="98">
        <v>0</v>
      </c>
      <c r="H747" s="98">
        <v>456</v>
      </c>
      <c r="I747" s="98">
        <v>411</v>
      </c>
      <c r="J747" s="98" t="s">
        <v>2273</v>
      </c>
      <c r="K747" s="98" t="s">
        <v>4020</v>
      </c>
      <c r="L747" s="105" t="str">
        <f t="shared" si="130"/>
        <v>Brown</v>
      </c>
      <c r="M747" s="105" t="str">
        <f t="shared" si="131"/>
        <v>Outage</v>
      </c>
      <c r="N747" s="105" t="str">
        <f t="shared" si="132"/>
        <v>Coal</v>
      </c>
      <c r="O747" s="105">
        <f>IFERROR(VLOOKUP(A747,Lookup!$J$5:$P$19,7,FALSE),0)</f>
        <v>3</v>
      </c>
      <c r="P747" s="159">
        <f t="shared" si="133"/>
        <v>2016</v>
      </c>
      <c r="Q747" s="159">
        <f t="shared" si="134"/>
        <v>7</v>
      </c>
      <c r="R747" s="160">
        <f t="shared" si="135"/>
        <v>99.250000000116415</v>
      </c>
      <c r="S747" s="158">
        <f t="shared" si="136"/>
        <v>99.250000000116415</v>
      </c>
      <c r="T747" s="161">
        <f t="shared" si="137"/>
        <v>40791.750000047847</v>
      </c>
      <c r="U747" s="158">
        <f t="shared" si="139"/>
        <v>411</v>
      </c>
      <c r="V747" s="160">
        <f t="shared" si="138"/>
        <v>411</v>
      </c>
    </row>
    <row r="748" spans="1:22" x14ac:dyDescent="0.25">
      <c r="A748" s="98" t="s">
        <v>28</v>
      </c>
      <c r="B748" s="98" t="s">
        <v>17</v>
      </c>
      <c r="C748" s="98">
        <v>42</v>
      </c>
      <c r="D748" s="98">
        <v>1512</v>
      </c>
      <c r="E748" s="157">
        <v>42556.726388888892</v>
      </c>
      <c r="F748" s="157">
        <v>42556.904861111114</v>
      </c>
      <c r="G748" s="98">
        <v>250</v>
      </c>
      <c r="H748" s="98">
        <v>456</v>
      </c>
      <c r="I748" s="98">
        <v>411</v>
      </c>
      <c r="J748" s="98" t="s">
        <v>2023</v>
      </c>
      <c r="K748" s="98" t="s">
        <v>4021</v>
      </c>
      <c r="L748" s="105" t="str">
        <f t="shared" si="130"/>
        <v>Brown</v>
      </c>
      <c r="M748" s="105" t="str">
        <f t="shared" si="131"/>
        <v>Derate</v>
      </c>
      <c r="N748" s="105" t="str">
        <f t="shared" si="132"/>
        <v>Coal</v>
      </c>
      <c r="O748" s="105">
        <f>IFERROR(VLOOKUP(A748,Lookup!$J$5:$P$19,7,FALSE),0)</f>
        <v>3</v>
      </c>
      <c r="P748" s="159">
        <f t="shared" si="133"/>
        <v>2016</v>
      </c>
      <c r="Q748" s="159">
        <f t="shared" si="134"/>
        <v>7</v>
      </c>
      <c r="R748" s="160">
        <f t="shared" si="135"/>
        <v>4.2833333333255723</v>
      </c>
      <c r="S748" s="158">
        <f t="shared" si="136"/>
        <v>1.9350146198795348</v>
      </c>
      <c r="T748" s="161">
        <f t="shared" si="137"/>
        <v>795.29100877048882</v>
      </c>
      <c r="U748" s="158">
        <f t="shared" si="139"/>
        <v>185.67105263157896</v>
      </c>
      <c r="V748" s="160">
        <f t="shared" si="138"/>
        <v>186</v>
      </c>
    </row>
    <row r="749" spans="1:22" x14ac:dyDescent="0.25">
      <c r="A749" s="98" t="s">
        <v>28</v>
      </c>
      <c r="B749" s="98" t="s">
        <v>15</v>
      </c>
      <c r="C749" s="98">
        <v>43</v>
      </c>
      <c r="D749" s="98">
        <v>1512</v>
      </c>
      <c r="E749" s="157">
        <v>42556.904861111114</v>
      </c>
      <c r="F749" s="157">
        <v>42558.445138888892</v>
      </c>
      <c r="G749" s="98">
        <v>0</v>
      </c>
      <c r="H749" s="98">
        <v>456</v>
      </c>
      <c r="I749" s="98">
        <v>411</v>
      </c>
      <c r="J749" s="98" t="s">
        <v>2023</v>
      </c>
      <c r="K749" s="98" t="s">
        <v>4021</v>
      </c>
      <c r="L749" s="105" t="str">
        <f t="shared" si="130"/>
        <v>Brown</v>
      </c>
      <c r="M749" s="105" t="str">
        <f t="shared" si="131"/>
        <v>Outage</v>
      </c>
      <c r="N749" s="105" t="str">
        <f t="shared" si="132"/>
        <v>Coal</v>
      </c>
      <c r="O749" s="105">
        <f>IFERROR(VLOOKUP(A749,Lookup!$J$5:$P$19,7,FALSE),0)</f>
        <v>3</v>
      </c>
      <c r="P749" s="159">
        <f t="shared" si="133"/>
        <v>2016</v>
      </c>
      <c r="Q749" s="159">
        <f t="shared" si="134"/>
        <v>7</v>
      </c>
      <c r="R749" s="160">
        <f t="shared" si="135"/>
        <v>36.966666666674428</v>
      </c>
      <c r="S749" s="158">
        <f t="shared" si="136"/>
        <v>36.966666666674428</v>
      </c>
      <c r="T749" s="161">
        <f t="shared" si="137"/>
        <v>15193.30000000319</v>
      </c>
      <c r="U749" s="158">
        <f t="shared" si="139"/>
        <v>411</v>
      </c>
      <c r="V749" s="160">
        <f t="shared" si="138"/>
        <v>411</v>
      </c>
    </row>
    <row r="750" spans="1:22" x14ac:dyDescent="0.25">
      <c r="A750" s="98" t="s">
        <v>28</v>
      </c>
      <c r="B750" s="98" t="s">
        <v>17</v>
      </c>
      <c r="C750" s="98">
        <v>44</v>
      </c>
      <c r="D750" s="98">
        <v>4263</v>
      </c>
      <c r="E750" s="157">
        <v>42560.712500000001</v>
      </c>
      <c r="F750" s="157">
        <v>42560.823611111111</v>
      </c>
      <c r="G750" s="98">
        <v>300</v>
      </c>
      <c r="H750" s="98">
        <v>456</v>
      </c>
      <c r="I750" s="98">
        <v>411</v>
      </c>
      <c r="J750" s="98" t="s">
        <v>2019</v>
      </c>
      <c r="K750" s="98" t="s">
        <v>4022</v>
      </c>
      <c r="L750" s="105" t="str">
        <f t="shared" si="130"/>
        <v>Brown</v>
      </c>
      <c r="M750" s="105" t="str">
        <f t="shared" si="131"/>
        <v>Derate</v>
      </c>
      <c r="N750" s="105" t="str">
        <f t="shared" si="132"/>
        <v>Coal</v>
      </c>
      <c r="O750" s="105">
        <f>IFERROR(VLOOKUP(A750,Lookup!$J$5:$P$19,7,FALSE),0)</f>
        <v>3</v>
      </c>
      <c r="P750" s="159">
        <f t="shared" si="133"/>
        <v>2016</v>
      </c>
      <c r="Q750" s="159">
        <f t="shared" si="134"/>
        <v>7</v>
      </c>
      <c r="R750" s="160">
        <f t="shared" si="135"/>
        <v>2.6666666666278616</v>
      </c>
      <c r="S750" s="158">
        <f t="shared" si="136"/>
        <v>0.91228070174111053</v>
      </c>
      <c r="T750" s="161">
        <f t="shared" si="137"/>
        <v>374.94736841559643</v>
      </c>
      <c r="U750" s="158">
        <f t="shared" si="139"/>
        <v>140.60526315789474</v>
      </c>
      <c r="V750" s="160">
        <f t="shared" si="138"/>
        <v>141</v>
      </c>
    </row>
    <row r="751" spans="1:22" x14ac:dyDescent="0.25">
      <c r="A751" s="98" t="s">
        <v>28</v>
      </c>
      <c r="B751" s="98" t="s">
        <v>17</v>
      </c>
      <c r="C751" s="98">
        <v>45</v>
      </c>
      <c r="D751" s="98">
        <v>310</v>
      </c>
      <c r="E751" s="157">
        <v>42566.326388888891</v>
      </c>
      <c r="F751" s="157">
        <v>42566.510416666664</v>
      </c>
      <c r="G751" s="98">
        <v>360</v>
      </c>
      <c r="H751" s="98">
        <v>456</v>
      </c>
      <c r="I751" s="98">
        <v>411</v>
      </c>
      <c r="J751" s="98" t="s">
        <v>1966</v>
      </c>
      <c r="K751" s="98" t="s">
        <v>4023</v>
      </c>
      <c r="L751" s="105" t="str">
        <f t="shared" si="130"/>
        <v>Brown</v>
      </c>
      <c r="M751" s="105" t="str">
        <f t="shared" si="131"/>
        <v>Derate</v>
      </c>
      <c r="N751" s="105" t="str">
        <f t="shared" si="132"/>
        <v>Coal</v>
      </c>
      <c r="O751" s="105">
        <f>IFERROR(VLOOKUP(A751,Lookup!$J$5:$P$19,7,FALSE),0)</f>
        <v>3</v>
      </c>
      <c r="P751" s="159">
        <f t="shared" si="133"/>
        <v>2016</v>
      </c>
      <c r="Q751" s="159">
        <f t="shared" si="134"/>
        <v>7</v>
      </c>
      <c r="R751" s="160">
        <f t="shared" si="135"/>
        <v>4.4166666665696539</v>
      </c>
      <c r="S751" s="158">
        <f t="shared" si="136"/>
        <v>0.929824561383085</v>
      </c>
      <c r="T751" s="161">
        <f t="shared" si="137"/>
        <v>382.15789472844796</v>
      </c>
      <c r="U751" s="158">
        <f t="shared" si="139"/>
        <v>86.526315789473685</v>
      </c>
      <c r="V751" s="160">
        <f t="shared" si="138"/>
        <v>87</v>
      </c>
    </row>
    <row r="752" spans="1:22" x14ac:dyDescent="0.25">
      <c r="A752" s="98" t="s">
        <v>28</v>
      </c>
      <c r="B752" s="98" t="s">
        <v>17</v>
      </c>
      <c r="C752" s="98">
        <v>46</v>
      </c>
      <c r="D752" s="98">
        <v>3620</v>
      </c>
      <c r="E752" s="157">
        <v>42570.906944444447</v>
      </c>
      <c r="F752" s="157">
        <v>42570.918749999997</v>
      </c>
      <c r="G752" s="98">
        <v>428</v>
      </c>
      <c r="H752" s="98">
        <v>456</v>
      </c>
      <c r="I752" s="98">
        <v>411</v>
      </c>
      <c r="J752" s="98" t="s">
        <v>2092</v>
      </c>
      <c r="K752" s="98" t="s">
        <v>4024</v>
      </c>
      <c r="L752" s="105" t="str">
        <f t="shared" si="130"/>
        <v>Brown</v>
      </c>
      <c r="M752" s="105" t="str">
        <f t="shared" si="131"/>
        <v>Derate</v>
      </c>
      <c r="N752" s="105" t="str">
        <f t="shared" si="132"/>
        <v>Coal</v>
      </c>
      <c r="O752" s="105">
        <f>IFERROR(VLOOKUP(A752,Lookup!$J$5:$P$19,7,FALSE),0)</f>
        <v>3</v>
      </c>
      <c r="P752" s="159">
        <f t="shared" si="133"/>
        <v>2016</v>
      </c>
      <c r="Q752" s="159">
        <f t="shared" si="134"/>
        <v>7</v>
      </c>
      <c r="R752" s="160">
        <f t="shared" si="135"/>
        <v>0.28333333320915699</v>
      </c>
      <c r="S752" s="158">
        <f t="shared" si="136"/>
        <v>1.7397660811088587E-2</v>
      </c>
      <c r="T752" s="161">
        <f t="shared" si="137"/>
        <v>7.1504385933574097</v>
      </c>
      <c r="U752" s="158">
        <f t="shared" si="139"/>
        <v>25.236842105263158</v>
      </c>
      <c r="V752" s="160">
        <f t="shared" si="138"/>
        <v>25</v>
      </c>
    </row>
    <row r="753" spans="1:22" x14ac:dyDescent="0.25">
      <c r="A753" s="98" t="s">
        <v>28</v>
      </c>
      <c r="B753" s="98" t="s">
        <v>17</v>
      </c>
      <c r="C753" s="98">
        <v>47</v>
      </c>
      <c r="D753" s="98">
        <v>3620</v>
      </c>
      <c r="E753" s="157">
        <v>42570.918749999997</v>
      </c>
      <c r="F753" s="157">
        <v>42570.926388888889</v>
      </c>
      <c r="G753" s="98">
        <v>418</v>
      </c>
      <c r="H753" s="98">
        <v>456</v>
      </c>
      <c r="I753" s="98">
        <v>411</v>
      </c>
      <c r="J753" s="98" t="s">
        <v>2092</v>
      </c>
      <c r="K753" s="98" t="s">
        <v>4025</v>
      </c>
      <c r="L753" s="105" t="str">
        <f t="shared" si="130"/>
        <v>Brown</v>
      </c>
      <c r="M753" s="105" t="str">
        <f t="shared" si="131"/>
        <v>Derate</v>
      </c>
      <c r="N753" s="105" t="str">
        <f t="shared" si="132"/>
        <v>Coal</v>
      </c>
      <c r="O753" s="105">
        <f>IFERROR(VLOOKUP(A753,Lookup!$J$5:$P$19,7,FALSE),0)</f>
        <v>3</v>
      </c>
      <c r="P753" s="159">
        <f t="shared" si="133"/>
        <v>2016</v>
      </c>
      <c r="Q753" s="159">
        <f t="shared" si="134"/>
        <v>7</v>
      </c>
      <c r="R753" s="160">
        <f t="shared" si="135"/>
        <v>0.18333333340706304</v>
      </c>
      <c r="S753" s="158">
        <f t="shared" si="136"/>
        <v>1.527777778392192E-2</v>
      </c>
      <c r="T753" s="161">
        <f t="shared" si="137"/>
        <v>6.279166669191909</v>
      </c>
      <c r="U753" s="158">
        <f t="shared" si="139"/>
        <v>34.25</v>
      </c>
      <c r="V753" s="160">
        <f t="shared" si="138"/>
        <v>34</v>
      </c>
    </row>
    <row r="754" spans="1:22" x14ac:dyDescent="0.25">
      <c r="A754" s="98" t="s">
        <v>28</v>
      </c>
      <c r="B754" s="98" t="s">
        <v>17</v>
      </c>
      <c r="C754" s="98">
        <v>48</v>
      </c>
      <c r="D754" s="98">
        <v>3620</v>
      </c>
      <c r="E754" s="157">
        <v>42570.926388888889</v>
      </c>
      <c r="F754" s="157">
        <v>42570.944444444445</v>
      </c>
      <c r="G754" s="98">
        <v>408</v>
      </c>
      <c r="H754" s="98">
        <v>456</v>
      </c>
      <c r="I754" s="98">
        <v>411</v>
      </c>
      <c r="J754" s="98" t="s">
        <v>2092</v>
      </c>
      <c r="K754" s="98" t="s">
        <v>4025</v>
      </c>
      <c r="L754" s="105" t="str">
        <f t="shared" si="130"/>
        <v>Brown</v>
      </c>
      <c r="M754" s="105" t="str">
        <f t="shared" si="131"/>
        <v>Derate</v>
      </c>
      <c r="N754" s="105" t="str">
        <f t="shared" si="132"/>
        <v>Coal</v>
      </c>
      <c r="O754" s="105">
        <f>IFERROR(VLOOKUP(A754,Lookup!$J$5:$P$19,7,FALSE),0)</f>
        <v>3</v>
      </c>
      <c r="P754" s="159">
        <f t="shared" si="133"/>
        <v>2016</v>
      </c>
      <c r="Q754" s="159">
        <f t="shared" si="134"/>
        <v>7</v>
      </c>
      <c r="R754" s="160">
        <f t="shared" si="135"/>
        <v>0.43333333334885538</v>
      </c>
      <c r="S754" s="158">
        <f t="shared" si="136"/>
        <v>4.5614035089353196E-2</v>
      </c>
      <c r="T754" s="161">
        <f t="shared" si="137"/>
        <v>18.747368421724165</v>
      </c>
      <c r="U754" s="158">
        <f t="shared" si="139"/>
        <v>43.263157894736842</v>
      </c>
      <c r="V754" s="160">
        <f t="shared" si="138"/>
        <v>43</v>
      </c>
    </row>
    <row r="755" spans="1:22" x14ac:dyDescent="0.25">
      <c r="A755" s="98" t="s">
        <v>28</v>
      </c>
      <c r="B755" s="98" t="s">
        <v>17</v>
      </c>
      <c r="C755" s="98">
        <v>49</v>
      </c>
      <c r="D755" s="98">
        <v>3620</v>
      </c>
      <c r="E755" s="157">
        <v>42570.944444444445</v>
      </c>
      <c r="F755" s="157">
        <v>42571.010416666664</v>
      </c>
      <c r="G755" s="98">
        <v>390</v>
      </c>
      <c r="H755" s="98">
        <v>456</v>
      </c>
      <c r="I755" s="98">
        <v>411</v>
      </c>
      <c r="J755" s="98" t="s">
        <v>2092</v>
      </c>
      <c r="K755" s="98" t="s">
        <v>4025</v>
      </c>
      <c r="L755" s="105" t="str">
        <f t="shared" si="130"/>
        <v>Brown</v>
      </c>
      <c r="M755" s="105" t="str">
        <f t="shared" si="131"/>
        <v>Derate</v>
      </c>
      <c r="N755" s="105" t="str">
        <f t="shared" si="132"/>
        <v>Coal</v>
      </c>
      <c r="O755" s="105">
        <f>IFERROR(VLOOKUP(A755,Lookup!$J$5:$P$19,7,FALSE),0)</f>
        <v>3</v>
      </c>
      <c r="P755" s="159">
        <f t="shared" si="133"/>
        <v>2016</v>
      </c>
      <c r="Q755" s="159">
        <f t="shared" si="134"/>
        <v>7</v>
      </c>
      <c r="R755" s="160">
        <f t="shared" si="135"/>
        <v>1.5833333332557231</v>
      </c>
      <c r="S755" s="158">
        <f t="shared" si="136"/>
        <v>0.22916666665543362</v>
      </c>
      <c r="T755" s="161">
        <f t="shared" si="137"/>
        <v>94.18749999538322</v>
      </c>
      <c r="U755" s="158">
        <f t="shared" si="139"/>
        <v>59.486842105263158</v>
      </c>
      <c r="V755" s="160">
        <f t="shared" si="138"/>
        <v>59</v>
      </c>
    </row>
    <row r="756" spans="1:22" x14ac:dyDescent="0.25">
      <c r="A756" s="98" t="s">
        <v>28</v>
      </c>
      <c r="B756" s="98" t="s">
        <v>79</v>
      </c>
      <c r="C756" s="98">
        <v>50</v>
      </c>
      <c r="D756" s="98">
        <v>9999</v>
      </c>
      <c r="E756" s="157">
        <v>42578.958333333336</v>
      </c>
      <c r="F756" s="157">
        <v>42579.405555555553</v>
      </c>
      <c r="G756" s="98">
        <v>0</v>
      </c>
      <c r="H756" s="98">
        <v>456</v>
      </c>
      <c r="I756" s="98">
        <v>411</v>
      </c>
      <c r="J756" s="98" t="s">
        <v>2261</v>
      </c>
      <c r="K756" s="98" t="s">
        <v>4026</v>
      </c>
      <c r="L756" s="105" t="str">
        <f t="shared" si="130"/>
        <v>Brown</v>
      </c>
      <c r="M756" s="105" t="str">
        <f t="shared" si="131"/>
        <v>Other</v>
      </c>
      <c r="N756" s="105" t="str">
        <f t="shared" si="132"/>
        <v>Coal</v>
      </c>
      <c r="O756" s="105">
        <f>IFERROR(VLOOKUP(A756,Lookup!$J$5:$P$19,7,FALSE),0)</f>
        <v>3</v>
      </c>
      <c r="P756" s="159">
        <f t="shared" si="133"/>
        <v>2016</v>
      </c>
      <c r="Q756" s="159">
        <f t="shared" si="134"/>
        <v>7</v>
      </c>
      <c r="R756" s="160">
        <f t="shared" si="135"/>
        <v>10.733333333220799</v>
      </c>
      <c r="S756" s="158">
        <f t="shared" si="136"/>
        <v>10.733333333220799</v>
      </c>
      <c r="T756" s="161">
        <f t="shared" si="137"/>
        <v>4411.3999999537482</v>
      </c>
      <c r="U756" s="158">
        <f t="shared" si="139"/>
        <v>411</v>
      </c>
      <c r="V756" s="160">
        <f t="shared" si="138"/>
        <v>411</v>
      </c>
    </row>
    <row r="757" spans="1:22" x14ac:dyDescent="0.25">
      <c r="A757" s="98" t="s">
        <v>28</v>
      </c>
      <c r="B757" s="98" t="s">
        <v>79</v>
      </c>
      <c r="C757" s="98">
        <v>51</v>
      </c>
      <c r="D757" s="98">
        <v>4263</v>
      </c>
      <c r="E757" s="157">
        <v>42590.919444444444</v>
      </c>
      <c r="F757" s="157">
        <v>42590.97152777778</v>
      </c>
      <c r="G757" s="98">
        <v>0</v>
      </c>
      <c r="H757" s="98">
        <v>456</v>
      </c>
      <c r="I757" s="98">
        <v>411</v>
      </c>
      <c r="J757" s="98" t="s">
        <v>2019</v>
      </c>
      <c r="K757" s="98" t="s">
        <v>4027</v>
      </c>
      <c r="L757" s="105" t="str">
        <f t="shared" si="130"/>
        <v>Brown</v>
      </c>
      <c r="M757" s="105" t="str">
        <f t="shared" si="131"/>
        <v>Other</v>
      </c>
      <c r="N757" s="105" t="str">
        <f t="shared" si="132"/>
        <v>Coal</v>
      </c>
      <c r="O757" s="105">
        <f>IFERROR(VLOOKUP(A757,Lookup!$J$5:$P$19,7,FALSE),0)</f>
        <v>3</v>
      </c>
      <c r="P757" s="159">
        <f t="shared" si="133"/>
        <v>2016</v>
      </c>
      <c r="Q757" s="159">
        <f t="shared" si="134"/>
        <v>8</v>
      </c>
      <c r="R757" s="160">
        <f t="shared" si="135"/>
        <v>1.2500000000582077</v>
      </c>
      <c r="S757" s="158">
        <f t="shared" si="136"/>
        <v>1.2500000000582077</v>
      </c>
      <c r="T757" s="161">
        <f t="shared" si="137"/>
        <v>513.75000002392335</v>
      </c>
      <c r="U757" s="158">
        <f t="shared" si="139"/>
        <v>411</v>
      </c>
      <c r="V757" s="160">
        <f t="shared" si="138"/>
        <v>411</v>
      </c>
    </row>
    <row r="758" spans="1:22" x14ac:dyDescent="0.25">
      <c r="A758" s="98" t="s">
        <v>28</v>
      </c>
      <c r="B758" s="98" t="s">
        <v>32</v>
      </c>
      <c r="C758" s="98">
        <v>52</v>
      </c>
      <c r="D758" s="98">
        <v>3412</v>
      </c>
      <c r="E758" s="157">
        <v>42593.95416666667</v>
      </c>
      <c r="F758" s="157">
        <v>42594.238888888889</v>
      </c>
      <c r="G758" s="98">
        <v>320</v>
      </c>
      <c r="H758" s="98">
        <v>456</v>
      </c>
      <c r="I758" s="98">
        <v>411</v>
      </c>
      <c r="J758" s="98" t="s">
        <v>2162</v>
      </c>
      <c r="K758" s="98" t="s">
        <v>4028</v>
      </c>
      <c r="L758" s="105" t="str">
        <f t="shared" si="130"/>
        <v>Brown</v>
      </c>
      <c r="M758" s="105" t="str">
        <f t="shared" si="131"/>
        <v>Derate</v>
      </c>
      <c r="N758" s="105" t="str">
        <f t="shared" si="132"/>
        <v>Coal</v>
      </c>
      <c r="O758" s="105">
        <f>IFERROR(VLOOKUP(A758,Lookup!$J$5:$P$19,7,FALSE),0)</f>
        <v>3</v>
      </c>
      <c r="P758" s="159">
        <f t="shared" si="133"/>
        <v>2016</v>
      </c>
      <c r="Q758" s="159">
        <f t="shared" si="134"/>
        <v>8</v>
      </c>
      <c r="R758" s="160">
        <f t="shared" si="135"/>
        <v>6.8333333332557231</v>
      </c>
      <c r="S758" s="158">
        <f t="shared" si="136"/>
        <v>2.0380116958832857</v>
      </c>
      <c r="T758" s="161">
        <f t="shared" si="137"/>
        <v>837.62280700803046</v>
      </c>
      <c r="U758" s="158">
        <f t="shared" si="139"/>
        <v>122.57894736842105</v>
      </c>
      <c r="V758" s="160">
        <f t="shared" si="138"/>
        <v>123</v>
      </c>
    </row>
    <row r="759" spans="1:22" x14ac:dyDescent="0.25">
      <c r="A759" s="98" t="s">
        <v>28</v>
      </c>
      <c r="B759" s="98" t="s">
        <v>20</v>
      </c>
      <c r="C759" s="98">
        <v>53</v>
      </c>
      <c r="D759" s="98">
        <v>740</v>
      </c>
      <c r="E759" s="157">
        <v>42595.842361111114</v>
      </c>
      <c r="F759" s="157">
        <v>42599.24722222222</v>
      </c>
      <c r="G759" s="98">
        <v>0</v>
      </c>
      <c r="H759" s="98">
        <v>456</v>
      </c>
      <c r="I759" s="98">
        <v>411</v>
      </c>
      <c r="J759" s="98" t="s">
        <v>2176</v>
      </c>
      <c r="K759" s="98" t="s">
        <v>4029</v>
      </c>
      <c r="L759" s="105" t="str">
        <f t="shared" si="130"/>
        <v>Brown</v>
      </c>
      <c r="M759" s="105" t="str">
        <f t="shared" si="131"/>
        <v>Maintenance</v>
      </c>
      <c r="N759" s="105" t="str">
        <f t="shared" si="132"/>
        <v>Coal</v>
      </c>
      <c r="O759" s="105">
        <f>IFERROR(VLOOKUP(A759,Lookup!$J$5:$P$19,7,FALSE),0)</f>
        <v>3</v>
      </c>
      <c r="P759" s="159">
        <f t="shared" si="133"/>
        <v>2016</v>
      </c>
      <c r="Q759" s="159">
        <f t="shared" si="134"/>
        <v>8</v>
      </c>
      <c r="R759" s="160">
        <f t="shared" si="135"/>
        <v>81.716666666558012</v>
      </c>
      <c r="S759" s="158">
        <f t="shared" si="136"/>
        <v>81.716666666558012</v>
      </c>
      <c r="T759" s="161">
        <f t="shared" si="137"/>
        <v>33585.549999955343</v>
      </c>
      <c r="U759" s="158">
        <f t="shared" si="139"/>
        <v>411</v>
      </c>
      <c r="V759" s="160">
        <f t="shared" si="138"/>
        <v>411</v>
      </c>
    </row>
    <row r="760" spans="1:22" x14ac:dyDescent="0.25">
      <c r="A760" s="98" t="s">
        <v>28</v>
      </c>
      <c r="B760" s="98" t="s">
        <v>15</v>
      </c>
      <c r="C760" s="98">
        <v>54</v>
      </c>
      <c r="D760" s="98">
        <v>740</v>
      </c>
      <c r="E760" s="157">
        <v>42599.946527777778</v>
      </c>
      <c r="F760" s="157">
        <v>42600.904861111114</v>
      </c>
      <c r="G760" s="98">
        <v>0</v>
      </c>
      <c r="H760" s="98">
        <v>456</v>
      </c>
      <c r="I760" s="98">
        <v>411</v>
      </c>
      <c r="J760" s="98" t="s">
        <v>2176</v>
      </c>
      <c r="K760" s="98" t="s">
        <v>4030</v>
      </c>
      <c r="L760" s="105" t="str">
        <f t="shared" si="130"/>
        <v>Brown</v>
      </c>
      <c r="M760" s="105" t="str">
        <f t="shared" si="131"/>
        <v>Outage</v>
      </c>
      <c r="N760" s="105" t="str">
        <f t="shared" si="132"/>
        <v>Coal</v>
      </c>
      <c r="O760" s="105">
        <f>IFERROR(VLOOKUP(A760,Lookup!$J$5:$P$19,7,FALSE),0)</f>
        <v>3</v>
      </c>
      <c r="P760" s="159">
        <f t="shared" si="133"/>
        <v>2016</v>
      </c>
      <c r="Q760" s="159">
        <f t="shared" si="134"/>
        <v>8</v>
      </c>
      <c r="R760" s="160">
        <f t="shared" si="135"/>
        <v>23.000000000058208</v>
      </c>
      <c r="S760" s="158">
        <f t="shared" si="136"/>
        <v>23.000000000058208</v>
      </c>
      <c r="T760" s="161">
        <f t="shared" si="137"/>
        <v>9453.0000000239233</v>
      </c>
      <c r="U760" s="158">
        <f t="shared" si="139"/>
        <v>411</v>
      </c>
      <c r="V760" s="160">
        <f t="shared" si="138"/>
        <v>411</v>
      </c>
    </row>
    <row r="761" spans="1:22" x14ac:dyDescent="0.25">
      <c r="A761" s="98" t="s">
        <v>28</v>
      </c>
      <c r="B761" s="98" t="s">
        <v>20</v>
      </c>
      <c r="C761" s="98">
        <v>56</v>
      </c>
      <c r="D761" s="98">
        <v>8250</v>
      </c>
      <c r="E761" s="157">
        <v>42604.09375</v>
      </c>
      <c r="F761" s="157">
        <v>42604.649305555555</v>
      </c>
      <c r="G761" s="98">
        <v>0</v>
      </c>
      <c r="H761" s="98">
        <v>456</v>
      </c>
      <c r="I761" s="98">
        <v>411</v>
      </c>
      <c r="J761" s="98" t="s">
        <v>3196</v>
      </c>
      <c r="K761" s="98" t="s">
        <v>3982</v>
      </c>
      <c r="L761" s="105" t="str">
        <f t="shared" si="130"/>
        <v>Brown</v>
      </c>
      <c r="M761" s="105" t="str">
        <f t="shared" si="131"/>
        <v>Maintenance</v>
      </c>
      <c r="N761" s="105" t="str">
        <f t="shared" si="132"/>
        <v>Coal</v>
      </c>
      <c r="O761" s="105">
        <f>IFERROR(VLOOKUP(A761,Lookup!$J$5:$P$19,7,FALSE),0)</f>
        <v>3</v>
      </c>
      <c r="P761" s="159">
        <f t="shared" si="133"/>
        <v>2016</v>
      </c>
      <c r="Q761" s="159">
        <f t="shared" si="134"/>
        <v>8</v>
      </c>
      <c r="R761" s="160">
        <f t="shared" si="135"/>
        <v>13.333333333313931</v>
      </c>
      <c r="S761" s="158">
        <f t="shared" si="136"/>
        <v>13.333333333313931</v>
      </c>
      <c r="T761" s="161">
        <f t="shared" si="137"/>
        <v>5479.9999999920256</v>
      </c>
      <c r="U761" s="158">
        <f t="shared" si="139"/>
        <v>411</v>
      </c>
      <c r="V761" s="160">
        <f t="shared" si="138"/>
        <v>411</v>
      </c>
    </row>
    <row r="762" spans="1:22" x14ac:dyDescent="0.25">
      <c r="A762" s="98" t="s">
        <v>28</v>
      </c>
      <c r="B762" s="98" t="s">
        <v>17</v>
      </c>
      <c r="C762" s="98">
        <v>58</v>
      </c>
      <c r="D762" s="98">
        <v>4263</v>
      </c>
      <c r="E762" s="157">
        <v>42610.755555555559</v>
      </c>
      <c r="F762" s="157">
        <v>42610.762499999997</v>
      </c>
      <c r="G762" s="98">
        <v>280</v>
      </c>
      <c r="H762" s="98">
        <v>456</v>
      </c>
      <c r="I762" s="98">
        <v>411</v>
      </c>
      <c r="J762" s="98" t="s">
        <v>2019</v>
      </c>
      <c r="K762" s="98" t="s">
        <v>4031</v>
      </c>
      <c r="L762" s="105" t="str">
        <f t="shared" si="130"/>
        <v>Brown</v>
      </c>
      <c r="M762" s="105" t="str">
        <f t="shared" si="131"/>
        <v>Derate</v>
      </c>
      <c r="N762" s="105" t="str">
        <f t="shared" si="132"/>
        <v>Coal</v>
      </c>
      <c r="O762" s="105">
        <f>IFERROR(VLOOKUP(A762,Lookup!$J$5:$P$19,7,FALSE),0)</f>
        <v>3</v>
      </c>
      <c r="P762" s="159">
        <f t="shared" si="133"/>
        <v>2016</v>
      </c>
      <c r="Q762" s="159">
        <f t="shared" si="134"/>
        <v>8</v>
      </c>
      <c r="R762" s="160">
        <f t="shared" si="135"/>
        <v>0.16666666651144624</v>
      </c>
      <c r="S762" s="158">
        <f t="shared" si="136"/>
        <v>6.4327485320207323E-2</v>
      </c>
      <c r="T762" s="161">
        <f t="shared" si="137"/>
        <v>26.438596466605208</v>
      </c>
      <c r="U762" s="158">
        <f t="shared" si="139"/>
        <v>158.63157894736841</v>
      </c>
      <c r="V762" s="160">
        <f t="shared" si="138"/>
        <v>159</v>
      </c>
    </row>
    <row r="763" spans="1:22" x14ac:dyDescent="0.25">
      <c r="A763" s="98" t="s">
        <v>28</v>
      </c>
      <c r="B763" s="98" t="s">
        <v>15</v>
      </c>
      <c r="C763" s="98">
        <v>59</v>
      </c>
      <c r="D763" s="98">
        <v>1090</v>
      </c>
      <c r="E763" s="157">
        <v>42611.555555555555</v>
      </c>
      <c r="F763" s="157">
        <v>42613.729166666664</v>
      </c>
      <c r="G763" s="98">
        <v>0</v>
      </c>
      <c r="H763" s="98">
        <v>456</v>
      </c>
      <c r="I763" s="98">
        <v>411</v>
      </c>
      <c r="J763" s="98" t="s">
        <v>2096</v>
      </c>
      <c r="K763" s="98" t="s">
        <v>4032</v>
      </c>
      <c r="L763" s="105" t="str">
        <f t="shared" si="130"/>
        <v>Brown</v>
      </c>
      <c r="M763" s="105" t="str">
        <f t="shared" si="131"/>
        <v>Outage</v>
      </c>
      <c r="N763" s="105" t="str">
        <f t="shared" si="132"/>
        <v>Coal</v>
      </c>
      <c r="O763" s="105">
        <f>IFERROR(VLOOKUP(A763,Lookup!$J$5:$P$19,7,FALSE),0)</f>
        <v>3</v>
      </c>
      <c r="P763" s="159">
        <f t="shared" si="133"/>
        <v>2016</v>
      </c>
      <c r="Q763" s="159">
        <f t="shared" si="134"/>
        <v>8</v>
      </c>
      <c r="R763" s="160">
        <f t="shared" si="135"/>
        <v>52.166666666627862</v>
      </c>
      <c r="S763" s="158">
        <f t="shared" si="136"/>
        <v>52.166666666627862</v>
      </c>
      <c r="T763" s="161">
        <f t="shared" si="137"/>
        <v>21440.499999984051</v>
      </c>
      <c r="U763" s="158">
        <f t="shared" si="139"/>
        <v>411</v>
      </c>
      <c r="V763" s="160">
        <f t="shared" si="138"/>
        <v>411</v>
      </c>
    </row>
    <row r="764" spans="1:22" x14ac:dyDescent="0.25">
      <c r="A764" s="98" t="s">
        <v>28</v>
      </c>
      <c r="B764" s="98" t="s">
        <v>79</v>
      </c>
      <c r="C764" s="98">
        <v>60</v>
      </c>
      <c r="D764" s="98">
        <v>8700</v>
      </c>
      <c r="E764" s="157">
        <v>42635.125</v>
      </c>
      <c r="F764" s="157">
        <v>42635.256944444445</v>
      </c>
      <c r="G764" s="98">
        <v>0</v>
      </c>
      <c r="H764" s="98">
        <v>456</v>
      </c>
      <c r="I764" s="98">
        <v>411</v>
      </c>
      <c r="J764" s="98" t="s">
        <v>1987</v>
      </c>
      <c r="K764" s="98" t="s">
        <v>4033</v>
      </c>
      <c r="L764" s="105" t="str">
        <f t="shared" si="130"/>
        <v>Brown</v>
      </c>
      <c r="M764" s="105" t="str">
        <f t="shared" si="131"/>
        <v>Other</v>
      </c>
      <c r="N764" s="105" t="str">
        <f t="shared" si="132"/>
        <v>Coal</v>
      </c>
      <c r="O764" s="105">
        <f>IFERROR(VLOOKUP(A764,Lookup!$J$5:$P$19,7,FALSE),0)</f>
        <v>3</v>
      </c>
      <c r="P764" s="159">
        <f t="shared" si="133"/>
        <v>2016</v>
      </c>
      <c r="Q764" s="159">
        <f t="shared" si="134"/>
        <v>9</v>
      </c>
      <c r="R764" s="160">
        <f t="shared" si="135"/>
        <v>3.1666666666860692</v>
      </c>
      <c r="S764" s="158">
        <f t="shared" si="136"/>
        <v>3.1666666666860692</v>
      </c>
      <c r="T764" s="161">
        <f t="shared" si="137"/>
        <v>1301.5000000079744</v>
      </c>
      <c r="U764" s="158">
        <f t="shared" si="139"/>
        <v>411</v>
      </c>
      <c r="V764" s="160">
        <f t="shared" si="138"/>
        <v>411</v>
      </c>
    </row>
    <row r="765" spans="1:22" x14ac:dyDescent="0.25">
      <c r="A765" s="98" t="s">
        <v>28</v>
      </c>
      <c r="B765" s="98" t="s">
        <v>79</v>
      </c>
      <c r="C765" s="98">
        <v>61</v>
      </c>
      <c r="D765" s="98">
        <v>8700</v>
      </c>
      <c r="E765" s="157">
        <v>42635.958333333336</v>
      </c>
      <c r="F765" s="157">
        <v>42636.37777777778</v>
      </c>
      <c r="G765" s="98">
        <v>0</v>
      </c>
      <c r="H765" s="98">
        <v>456</v>
      </c>
      <c r="I765" s="98">
        <v>411</v>
      </c>
      <c r="J765" s="98" t="s">
        <v>1987</v>
      </c>
      <c r="K765" s="98" t="s">
        <v>82</v>
      </c>
      <c r="L765" s="105" t="str">
        <f t="shared" si="130"/>
        <v>Brown</v>
      </c>
      <c r="M765" s="105" t="str">
        <f t="shared" si="131"/>
        <v>Other</v>
      </c>
      <c r="N765" s="105" t="str">
        <f t="shared" si="132"/>
        <v>Coal</v>
      </c>
      <c r="O765" s="105">
        <f>IFERROR(VLOOKUP(A765,Lookup!$J$5:$P$19,7,FALSE),0)</f>
        <v>3</v>
      </c>
      <c r="P765" s="159">
        <f t="shared" si="133"/>
        <v>2016</v>
      </c>
      <c r="Q765" s="159">
        <f t="shared" si="134"/>
        <v>9</v>
      </c>
      <c r="R765" s="160">
        <f t="shared" si="135"/>
        <v>10.066666666651145</v>
      </c>
      <c r="S765" s="158">
        <f t="shared" si="136"/>
        <v>10.066666666651145</v>
      </c>
      <c r="T765" s="161">
        <f t="shared" si="137"/>
        <v>4137.3999999936204</v>
      </c>
      <c r="U765" s="158">
        <f t="shared" si="139"/>
        <v>411</v>
      </c>
      <c r="V765" s="160">
        <f t="shared" si="138"/>
        <v>411</v>
      </c>
    </row>
    <row r="766" spans="1:22" x14ac:dyDescent="0.25">
      <c r="A766" s="98" t="s">
        <v>28</v>
      </c>
      <c r="B766" s="98" t="s">
        <v>17</v>
      </c>
      <c r="C766" s="98">
        <v>62</v>
      </c>
      <c r="D766" s="98">
        <v>310</v>
      </c>
      <c r="E766" s="157">
        <v>42636.936805555553</v>
      </c>
      <c r="F766" s="157">
        <v>42637.286805555559</v>
      </c>
      <c r="G766" s="98">
        <v>350</v>
      </c>
      <c r="H766" s="98">
        <v>456</v>
      </c>
      <c r="I766" s="98">
        <v>411</v>
      </c>
      <c r="J766" s="98" t="s">
        <v>1966</v>
      </c>
      <c r="K766" s="98" t="s">
        <v>4034</v>
      </c>
      <c r="L766" s="105" t="str">
        <f t="shared" si="130"/>
        <v>Brown</v>
      </c>
      <c r="M766" s="105" t="str">
        <f t="shared" si="131"/>
        <v>Derate</v>
      </c>
      <c r="N766" s="105" t="str">
        <f t="shared" si="132"/>
        <v>Coal</v>
      </c>
      <c r="O766" s="105">
        <f>IFERROR(VLOOKUP(A766,Lookup!$J$5:$P$19,7,FALSE),0)</f>
        <v>3</v>
      </c>
      <c r="P766" s="159">
        <f t="shared" si="133"/>
        <v>2016</v>
      </c>
      <c r="Q766" s="159">
        <f t="shared" si="134"/>
        <v>9</v>
      </c>
      <c r="R766" s="160">
        <f t="shared" si="135"/>
        <v>8.4000000001396984</v>
      </c>
      <c r="S766" s="158">
        <f t="shared" si="136"/>
        <v>1.9526315789798421</v>
      </c>
      <c r="T766" s="161">
        <f t="shared" si="137"/>
        <v>802.53157896071514</v>
      </c>
      <c r="U766" s="158">
        <f t="shared" si="139"/>
        <v>95.53947368421052</v>
      </c>
      <c r="V766" s="160">
        <f t="shared" si="138"/>
        <v>96</v>
      </c>
    </row>
    <row r="767" spans="1:22" x14ac:dyDescent="0.25">
      <c r="A767" s="98" t="s">
        <v>28</v>
      </c>
      <c r="B767" s="98" t="s">
        <v>20</v>
      </c>
      <c r="C767" s="98">
        <v>64</v>
      </c>
      <c r="D767" s="98">
        <v>1000</v>
      </c>
      <c r="E767" s="157">
        <v>42646.25</v>
      </c>
      <c r="F767" s="157">
        <v>42659.004861111112</v>
      </c>
      <c r="G767" s="98">
        <v>0</v>
      </c>
      <c r="H767" s="98">
        <v>456</v>
      </c>
      <c r="I767" s="98">
        <v>411</v>
      </c>
      <c r="J767" s="98" t="s">
        <v>2002</v>
      </c>
      <c r="K767" s="98" t="s">
        <v>4035</v>
      </c>
      <c r="L767" s="105" t="str">
        <f t="shared" si="130"/>
        <v>Brown</v>
      </c>
      <c r="M767" s="105" t="str">
        <f t="shared" si="131"/>
        <v>Maintenance</v>
      </c>
      <c r="N767" s="105" t="str">
        <f t="shared" si="132"/>
        <v>Coal</v>
      </c>
      <c r="O767" s="105">
        <f>IFERROR(VLOOKUP(A767,Lookup!$J$5:$P$19,7,FALSE),0)</f>
        <v>3</v>
      </c>
      <c r="P767" s="159">
        <f t="shared" si="133"/>
        <v>2016</v>
      </c>
      <c r="Q767" s="159">
        <f t="shared" si="134"/>
        <v>10</v>
      </c>
      <c r="R767" s="160">
        <f t="shared" si="135"/>
        <v>306.11666666669771</v>
      </c>
      <c r="S767" s="158">
        <f t="shared" si="136"/>
        <v>306.11666666669771</v>
      </c>
      <c r="T767" s="161">
        <f t="shared" si="137"/>
        <v>125813.95000001276</v>
      </c>
      <c r="U767" s="158">
        <f t="shared" si="139"/>
        <v>411</v>
      </c>
      <c r="V767" s="160">
        <f t="shared" si="138"/>
        <v>411</v>
      </c>
    </row>
    <row r="768" spans="1:22" x14ac:dyDescent="0.25">
      <c r="A768" s="98" t="s">
        <v>28</v>
      </c>
      <c r="B768" s="98" t="s">
        <v>15</v>
      </c>
      <c r="C768" s="98">
        <v>65</v>
      </c>
      <c r="D768" s="98">
        <v>4609</v>
      </c>
      <c r="E768" s="157">
        <v>42675.288888888892</v>
      </c>
      <c r="F768" s="157">
        <v>42684.586805555555</v>
      </c>
      <c r="G768" s="98">
        <v>0</v>
      </c>
      <c r="H768" s="98">
        <v>456</v>
      </c>
      <c r="I768" s="98">
        <v>411</v>
      </c>
      <c r="J768" s="98" t="s">
        <v>2105</v>
      </c>
      <c r="K768" s="98" t="s">
        <v>4036</v>
      </c>
      <c r="L768" s="105" t="str">
        <f t="shared" si="130"/>
        <v>Brown</v>
      </c>
      <c r="M768" s="105" t="str">
        <f t="shared" si="131"/>
        <v>Outage</v>
      </c>
      <c r="N768" s="105" t="str">
        <f t="shared" si="132"/>
        <v>Coal</v>
      </c>
      <c r="O768" s="105">
        <f>IFERROR(VLOOKUP(A768,Lookup!$J$5:$P$19,7,FALSE),0)</f>
        <v>3</v>
      </c>
      <c r="P768" s="159">
        <f t="shared" si="133"/>
        <v>2016</v>
      </c>
      <c r="Q768" s="159">
        <f t="shared" si="134"/>
        <v>11</v>
      </c>
      <c r="R768" s="160">
        <f t="shared" si="135"/>
        <v>223.14999999990687</v>
      </c>
      <c r="S768" s="158">
        <f t="shared" si="136"/>
        <v>223.14999999990687</v>
      </c>
      <c r="T768" s="161">
        <f t="shared" si="137"/>
        <v>91714.649999961723</v>
      </c>
      <c r="U768" s="158">
        <f t="shared" si="139"/>
        <v>411</v>
      </c>
      <c r="V768" s="160">
        <f t="shared" si="138"/>
        <v>411</v>
      </c>
    </row>
    <row r="769" spans="1:22" x14ac:dyDescent="0.25">
      <c r="A769" s="98" t="s">
        <v>28</v>
      </c>
      <c r="B769" s="98" t="s">
        <v>15</v>
      </c>
      <c r="C769" s="98">
        <v>66</v>
      </c>
      <c r="D769" s="98">
        <v>4710</v>
      </c>
      <c r="E769" s="157">
        <v>42684.606944444444</v>
      </c>
      <c r="F769" s="157">
        <v>42685.204861111109</v>
      </c>
      <c r="G769" s="98">
        <v>0</v>
      </c>
      <c r="H769" s="98">
        <v>456</v>
      </c>
      <c r="I769" s="98">
        <v>411</v>
      </c>
      <c r="J769" s="98" t="s">
        <v>2009</v>
      </c>
      <c r="K769" s="98" t="s">
        <v>4037</v>
      </c>
      <c r="L769" s="105" t="str">
        <f t="shared" si="130"/>
        <v>Brown</v>
      </c>
      <c r="M769" s="105" t="str">
        <f t="shared" si="131"/>
        <v>Outage</v>
      </c>
      <c r="N769" s="105" t="str">
        <f t="shared" si="132"/>
        <v>Coal</v>
      </c>
      <c r="O769" s="105">
        <f>IFERROR(VLOOKUP(A769,Lookup!$J$5:$P$19,7,FALSE),0)</f>
        <v>3</v>
      </c>
      <c r="P769" s="159">
        <f t="shared" si="133"/>
        <v>2016</v>
      </c>
      <c r="Q769" s="159">
        <f t="shared" si="134"/>
        <v>11</v>
      </c>
      <c r="R769" s="160">
        <f t="shared" si="135"/>
        <v>14.349999999976717</v>
      </c>
      <c r="S769" s="158">
        <f t="shared" si="136"/>
        <v>14.349999999976717</v>
      </c>
      <c r="T769" s="161">
        <f t="shared" si="137"/>
        <v>5897.8499999904307</v>
      </c>
      <c r="U769" s="158">
        <f t="shared" si="139"/>
        <v>411</v>
      </c>
      <c r="V769" s="160">
        <f t="shared" si="138"/>
        <v>411</v>
      </c>
    </row>
    <row r="770" spans="1:22" x14ac:dyDescent="0.25">
      <c r="A770" s="98" t="s">
        <v>28</v>
      </c>
      <c r="B770" s="98" t="s">
        <v>15</v>
      </c>
      <c r="C770" s="98">
        <v>67</v>
      </c>
      <c r="D770" s="98">
        <v>4609</v>
      </c>
      <c r="E770" s="157">
        <v>42685.556944444441</v>
      </c>
      <c r="F770" s="157">
        <v>42685.633333333331</v>
      </c>
      <c r="G770" s="98">
        <v>0</v>
      </c>
      <c r="H770" s="98">
        <v>456</v>
      </c>
      <c r="I770" s="98">
        <v>411</v>
      </c>
      <c r="J770" s="98" t="s">
        <v>2105</v>
      </c>
      <c r="K770" s="98" t="s">
        <v>4038</v>
      </c>
      <c r="L770" s="105" t="str">
        <f t="shared" si="130"/>
        <v>Brown</v>
      </c>
      <c r="M770" s="105" t="str">
        <f t="shared" si="131"/>
        <v>Outage</v>
      </c>
      <c r="N770" s="105" t="str">
        <f t="shared" si="132"/>
        <v>Coal</v>
      </c>
      <c r="O770" s="105">
        <f>IFERROR(VLOOKUP(A770,Lookup!$J$5:$P$19,7,FALSE),0)</f>
        <v>3</v>
      </c>
      <c r="P770" s="159">
        <f t="shared" si="133"/>
        <v>2016</v>
      </c>
      <c r="Q770" s="159">
        <f t="shared" si="134"/>
        <v>11</v>
      </c>
      <c r="R770" s="160">
        <f t="shared" si="135"/>
        <v>1.8333333333721384</v>
      </c>
      <c r="S770" s="158">
        <f t="shared" si="136"/>
        <v>1.8333333333721384</v>
      </c>
      <c r="T770" s="161">
        <f t="shared" si="137"/>
        <v>753.5000000159489</v>
      </c>
      <c r="U770" s="158">
        <f t="shared" si="139"/>
        <v>411</v>
      </c>
      <c r="V770" s="160">
        <f t="shared" si="138"/>
        <v>411</v>
      </c>
    </row>
    <row r="771" spans="1:22" x14ac:dyDescent="0.25">
      <c r="A771" s="98" t="s">
        <v>28</v>
      </c>
      <c r="B771" s="98" t="s">
        <v>15</v>
      </c>
      <c r="C771" s="98">
        <v>68</v>
      </c>
      <c r="D771" s="98">
        <v>4609</v>
      </c>
      <c r="E771" s="157">
        <v>42685.79583333333</v>
      </c>
      <c r="F771" s="157">
        <v>42686.042361111111</v>
      </c>
      <c r="G771" s="98">
        <v>0</v>
      </c>
      <c r="H771" s="98">
        <v>456</v>
      </c>
      <c r="I771" s="98">
        <v>411</v>
      </c>
      <c r="J771" s="98" t="s">
        <v>2105</v>
      </c>
      <c r="K771" s="98" t="s">
        <v>4038</v>
      </c>
      <c r="L771" s="105" t="str">
        <f t="shared" si="130"/>
        <v>Brown</v>
      </c>
      <c r="M771" s="105" t="str">
        <f t="shared" si="131"/>
        <v>Outage</v>
      </c>
      <c r="N771" s="105" t="str">
        <f t="shared" si="132"/>
        <v>Coal</v>
      </c>
      <c r="O771" s="105">
        <f>IFERROR(VLOOKUP(A771,Lookup!$J$5:$P$19,7,FALSE),0)</f>
        <v>3</v>
      </c>
      <c r="P771" s="159">
        <f t="shared" si="133"/>
        <v>2016</v>
      </c>
      <c r="Q771" s="159">
        <f t="shared" si="134"/>
        <v>11</v>
      </c>
      <c r="R771" s="160">
        <f t="shared" si="135"/>
        <v>5.9166666667442769</v>
      </c>
      <c r="S771" s="158">
        <f t="shared" si="136"/>
        <v>5.9166666667442769</v>
      </c>
      <c r="T771" s="161">
        <f t="shared" si="137"/>
        <v>2431.7500000318978</v>
      </c>
      <c r="U771" s="158">
        <f t="shared" si="139"/>
        <v>411</v>
      </c>
      <c r="V771" s="160">
        <f t="shared" si="138"/>
        <v>411</v>
      </c>
    </row>
    <row r="772" spans="1:22" x14ac:dyDescent="0.25">
      <c r="A772" s="98" t="s">
        <v>28</v>
      </c>
      <c r="B772" s="98" t="s">
        <v>18</v>
      </c>
      <c r="C772" s="98">
        <v>69</v>
      </c>
      <c r="D772" s="98">
        <v>4609</v>
      </c>
      <c r="E772" s="157">
        <v>42686.042361111111</v>
      </c>
      <c r="F772" s="157">
        <v>42686.172222222223</v>
      </c>
      <c r="G772" s="98">
        <v>0</v>
      </c>
      <c r="H772" s="98">
        <v>456</v>
      </c>
      <c r="I772" s="98">
        <v>411</v>
      </c>
      <c r="J772" s="98" t="s">
        <v>2105</v>
      </c>
      <c r="K772" s="98" t="s">
        <v>4039</v>
      </c>
      <c r="L772" s="105" t="str">
        <f t="shared" si="130"/>
        <v>Brown</v>
      </c>
      <c r="M772" s="105" t="str">
        <f t="shared" si="131"/>
        <v>Outage</v>
      </c>
      <c r="N772" s="105" t="str">
        <f t="shared" si="132"/>
        <v>Coal</v>
      </c>
      <c r="O772" s="105">
        <f>IFERROR(VLOOKUP(A772,Lookup!$J$5:$P$19,7,FALSE),0)</f>
        <v>3</v>
      </c>
      <c r="P772" s="159">
        <f t="shared" si="133"/>
        <v>2016</v>
      </c>
      <c r="Q772" s="159">
        <f t="shared" si="134"/>
        <v>11</v>
      </c>
      <c r="R772" s="160">
        <f t="shared" si="135"/>
        <v>3.1166666666977108</v>
      </c>
      <c r="S772" s="158">
        <f t="shared" si="136"/>
        <v>3.1166666666977108</v>
      </c>
      <c r="T772" s="161">
        <f t="shared" si="137"/>
        <v>1280.9500000127591</v>
      </c>
      <c r="U772" s="158">
        <f t="shared" si="139"/>
        <v>411</v>
      </c>
      <c r="V772" s="160">
        <f t="shared" si="138"/>
        <v>411</v>
      </c>
    </row>
    <row r="773" spans="1:22" x14ac:dyDescent="0.25">
      <c r="A773" s="98" t="s">
        <v>28</v>
      </c>
      <c r="B773" s="98" t="s">
        <v>17</v>
      </c>
      <c r="C773" s="98">
        <v>71</v>
      </c>
      <c r="D773" s="98">
        <v>250</v>
      </c>
      <c r="E773" s="157">
        <v>42708.805555555555</v>
      </c>
      <c r="F773" s="157">
        <v>42709.084722222222</v>
      </c>
      <c r="G773" s="98">
        <v>360</v>
      </c>
      <c r="H773" s="98">
        <v>456</v>
      </c>
      <c r="I773" s="98">
        <v>411</v>
      </c>
      <c r="J773" s="98" t="s">
        <v>1978</v>
      </c>
      <c r="K773" s="98" t="s">
        <v>4040</v>
      </c>
      <c r="L773" s="105" t="str">
        <f t="shared" si="130"/>
        <v>Brown</v>
      </c>
      <c r="M773" s="105" t="str">
        <f t="shared" si="131"/>
        <v>Derate</v>
      </c>
      <c r="N773" s="105" t="str">
        <f t="shared" si="132"/>
        <v>Coal</v>
      </c>
      <c r="O773" s="105">
        <f>IFERROR(VLOOKUP(A773,Lookup!$J$5:$P$19,7,FALSE),0)</f>
        <v>3</v>
      </c>
      <c r="P773" s="159">
        <f t="shared" si="133"/>
        <v>2016</v>
      </c>
      <c r="Q773" s="159">
        <f t="shared" si="134"/>
        <v>12</v>
      </c>
      <c r="R773" s="160">
        <f t="shared" si="135"/>
        <v>6.7000000000116415</v>
      </c>
      <c r="S773" s="158">
        <f t="shared" si="136"/>
        <v>1.4105263157919246</v>
      </c>
      <c r="T773" s="161">
        <f t="shared" si="137"/>
        <v>579.72631579048095</v>
      </c>
      <c r="U773" s="158">
        <f t="shared" si="139"/>
        <v>86.526315789473685</v>
      </c>
      <c r="V773" s="160">
        <f t="shared" si="138"/>
        <v>87</v>
      </c>
    </row>
    <row r="774" spans="1:22" x14ac:dyDescent="0.25">
      <c r="A774" s="98" t="s">
        <v>28</v>
      </c>
      <c r="B774" s="98" t="s">
        <v>20</v>
      </c>
      <c r="C774" s="98">
        <v>73</v>
      </c>
      <c r="D774" s="98">
        <v>1510</v>
      </c>
      <c r="E774" s="157">
        <v>42734.208333333336</v>
      </c>
      <c r="F774" s="157">
        <v>42734.551388888889</v>
      </c>
      <c r="G774" s="98">
        <v>0</v>
      </c>
      <c r="H774" s="98">
        <v>456</v>
      </c>
      <c r="I774" s="98">
        <v>411</v>
      </c>
      <c r="J774" s="98" t="s">
        <v>2183</v>
      </c>
      <c r="K774" s="98" t="s">
        <v>3989</v>
      </c>
      <c r="L774" s="105" t="str">
        <f t="shared" si="130"/>
        <v>Brown</v>
      </c>
      <c r="M774" s="105" t="str">
        <f t="shared" si="131"/>
        <v>Maintenance</v>
      </c>
      <c r="N774" s="105" t="str">
        <f t="shared" si="132"/>
        <v>Coal</v>
      </c>
      <c r="O774" s="105">
        <f>IFERROR(VLOOKUP(A774,Lookup!$J$5:$P$19,7,FALSE),0)</f>
        <v>3</v>
      </c>
      <c r="P774" s="159">
        <f t="shared" si="133"/>
        <v>2016</v>
      </c>
      <c r="Q774" s="159">
        <f t="shared" si="134"/>
        <v>12</v>
      </c>
      <c r="R774" s="160">
        <f t="shared" si="135"/>
        <v>8.2333333332790062</v>
      </c>
      <c r="S774" s="158">
        <f t="shared" si="136"/>
        <v>8.2333333332790062</v>
      </c>
      <c r="T774" s="161">
        <f t="shared" si="137"/>
        <v>3383.8999999776715</v>
      </c>
      <c r="U774" s="158">
        <f t="shared" si="139"/>
        <v>411</v>
      </c>
      <c r="V774" s="160">
        <f t="shared" si="138"/>
        <v>411</v>
      </c>
    </row>
    <row r="775" spans="1:22" x14ac:dyDescent="0.25">
      <c r="A775" s="98" t="s">
        <v>28</v>
      </c>
      <c r="B775" s="98" t="s">
        <v>17</v>
      </c>
      <c r="C775" s="98">
        <v>2</v>
      </c>
      <c r="D775" s="98">
        <v>1455</v>
      </c>
      <c r="E775" s="157">
        <v>42740.427777777775</v>
      </c>
      <c r="F775" s="157">
        <v>42740.492361111108</v>
      </c>
      <c r="G775" s="98">
        <v>260</v>
      </c>
      <c r="H775" s="98">
        <v>456</v>
      </c>
      <c r="I775" s="98">
        <v>411</v>
      </c>
      <c r="J775" s="98" t="s">
        <v>1990</v>
      </c>
      <c r="K775" s="98" t="s">
        <v>4041</v>
      </c>
      <c r="L775" s="105" t="str">
        <f t="shared" si="130"/>
        <v>Brown</v>
      </c>
      <c r="M775" s="105" t="str">
        <f t="shared" si="131"/>
        <v>Derate</v>
      </c>
      <c r="N775" s="105" t="str">
        <f t="shared" si="132"/>
        <v>Coal</v>
      </c>
      <c r="O775" s="105">
        <f>IFERROR(VLOOKUP(A775,Lookup!$J$5:$P$19,7,FALSE),0)</f>
        <v>3</v>
      </c>
      <c r="P775" s="159">
        <f t="shared" si="133"/>
        <v>2017</v>
      </c>
      <c r="Q775" s="159">
        <f t="shared" si="134"/>
        <v>1</v>
      </c>
      <c r="R775" s="160">
        <f t="shared" si="135"/>
        <v>1.5499999999883585</v>
      </c>
      <c r="S775" s="158">
        <f t="shared" si="136"/>
        <v>0.66622807017043473</v>
      </c>
      <c r="T775" s="161">
        <f t="shared" si="137"/>
        <v>273.81973684004868</v>
      </c>
      <c r="U775" s="158">
        <f t="shared" si="139"/>
        <v>176.65789473684211</v>
      </c>
      <c r="V775" s="160">
        <f t="shared" si="138"/>
        <v>177</v>
      </c>
    </row>
    <row r="776" spans="1:22" x14ac:dyDescent="0.25">
      <c r="A776" s="98" t="s">
        <v>28</v>
      </c>
      <c r="B776" s="98" t="s">
        <v>20</v>
      </c>
      <c r="C776" s="98">
        <v>3</v>
      </c>
      <c r="D776" s="98">
        <v>1100</v>
      </c>
      <c r="E776" s="157">
        <v>42745.009722222225</v>
      </c>
      <c r="F776" s="157">
        <v>42747.559027777781</v>
      </c>
      <c r="G776" s="98">
        <v>0</v>
      </c>
      <c r="H776" s="98">
        <v>456</v>
      </c>
      <c r="I776" s="98">
        <v>411</v>
      </c>
      <c r="J776" s="98" t="s">
        <v>2038</v>
      </c>
      <c r="K776" s="98" t="s">
        <v>4042</v>
      </c>
      <c r="L776" s="105" t="str">
        <f t="shared" si="130"/>
        <v>Brown</v>
      </c>
      <c r="M776" s="105" t="str">
        <f t="shared" si="131"/>
        <v>Maintenance</v>
      </c>
      <c r="N776" s="105" t="str">
        <f t="shared" si="132"/>
        <v>Coal</v>
      </c>
      <c r="O776" s="105">
        <f>IFERROR(VLOOKUP(A776,Lookup!$J$5:$P$19,7,FALSE),0)</f>
        <v>3</v>
      </c>
      <c r="P776" s="159">
        <f t="shared" si="133"/>
        <v>2017</v>
      </c>
      <c r="Q776" s="159">
        <f t="shared" si="134"/>
        <v>1</v>
      </c>
      <c r="R776" s="160">
        <f t="shared" si="135"/>
        <v>61.183333333348855</v>
      </c>
      <c r="S776" s="158">
        <f t="shared" si="136"/>
        <v>61.183333333348855</v>
      </c>
      <c r="T776" s="161">
        <f t="shared" si="137"/>
        <v>25146.35000000638</v>
      </c>
      <c r="U776" s="158">
        <f t="shared" si="139"/>
        <v>411</v>
      </c>
      <c r="V776" s="160">
        <f t="shared" si="138"/>
        <v>411</v>
      </c>
    </row>
    <row r="777" spans="1:22" x14ac:dyDescent="0.25">
      <c r="A777" s="98" t="s">
        <v>28</v>
      </c>
      <c r="B777" s="98" t="s">
        <v>20</v>
      </c>
      <c r="C777" s="98">
        <v>5</v>
      </c>
      <c r="D777" s="98">
        <v>1455</v>
      </c>
      <c r="E777" s="157">
        <v>42754.291666666664</v>
      </c>
      <c r="F777" s="157">
        <v>42755.492361111108</v>
      </c>
      <c r="G777" s="98">
        <v>0</v>
      </c>
      <c r="H777" s="98">
        <v>456</v>
      </c>
      <c r="I777" s="98">
        <v>411</v>
      </c>
      <c r="J777" s="98" t="s">
        <v>1990</v>
      </c>
      <c r="K777" s="98" t="s">
        <v>4043</v>
      </c>
      <c r="L777" s="105" t="str">
        <f t="shared" si="130"/>
        <v>Brown</v>
      </c>
      <c r="M777" s="105" t="str">
        <f t="shared" si="131"/>
        <v>Maintenance</v>
      </c>
      <c r="N777" s="105" t="str">
        <f t="shared" si="132"/>
        <v>Coal</v>
      </c>
      <c r="O777" s="105">
        <f>IFERROR(VLOOKUP(A777,Lookup!$J$5:$P$19,7,FALSE),0)</f>
        <v>3</v>
      </c>
      <c r="P777" s="159">
        <f t="shared" si="133"/>
        <v>2017</v>
      </c>
      <c r="Q777" s="159">
        <f t="shared" si="134"/>
        <v>1</v>
      </c>
      <c r="R777" s="160">
        <f t="shared" si="135"/>
        <v>28.816666666651145</v>
      </c>
      <c r="S777" s="158">
        <f t="shared" si="136"/>
        <v>28.816666666651145</v>
      </c>
      <c r="T777" s="161">
        <f t="shared" si="137"/>
        <v>11843.64999999362</v>
      </c>
      <c r="U777" s="158">
        <f t="shared" si="139"/>
        <v>411</v>
      </c>
      <c r="V777" s="160">
        <f t="shared" si="138"/>
        <v>411</v>
      </c>
    </row>
    <row r="778" spans="1:22" x14ac:dyDescent="0.25">
      <c r="A778" s="98" t="s">
        <v>28</v>
      </c>
      <c r="B778" s="98" t="s">
        <v>18</v>
      </c>
      <c r="C778" s="98">
        <v>7</v>
      </c>
      <c r="D778" s="98">
        <v>440</v>
      </c>
      <c r="E778" s="157">
        <v>42794.15347222222</v>
      </c>
      <c r="F778" s="157">
        <v>42794.504166666666</v>
      </c>
      <c r="G778" s="98">
        <v>0</v>
      </c>
      <c r="H778" s="98">
        <v>456</v>
      </c>
      <c r="I778" s="98">
        <v>411</v>
      </c>
      <c r="J778" s="98" t="s">
        <v>4044</v>
      </c>
      <c r="K778" s="98" t="s">
        <v>4045</v>
      </c>
      <c r="L778" s="105" t="str">
        <f t="shared" si="130"/>
        <v>Brown</v>
      </c>
      <c r="M778" s="105" t="str">
        <f t="shared" si="131"/>
        <v>Outage</v>
      </c>
      <c r="N778" s="105" t="str">
        <f t="shared" si="132"/>
        <v>Coal</v>
      </c>
      <c r="O778" s="105">
        <f>IFERROR(VLOOKUP(A778,Lookup!$J$5:$P$19,7,FALSE),0)</f>
        <v>3</v>
      </c>
      <c r="P778" s="159">
        <f t="shared" si="133"/>
        <v>2017</v>
      </c>
      <c r="Q778" s="159">
        <f t="shared" si="134"/>
        <v>2</v>
      </c>
      <c r="R778" s="160">
        <f t="shared" si="135"/>
        <v>8.4166666666860692</v>
      </c>
      <c r="S778" s="158">
        <f t="shared" si="136"/>
        <v>8.4166666666860692</v>
      </c>
      <c r="T778" s="161">
        <f t="shared" si="137"/>
        <v>3459.2500000079744</v>
      </c>
      <c r="U778" s="158">
        <f t="shared" si="139"/>
        <v>411</v>
      </c>
      <c r="V778" s="160">
        <f t="shared" si="138"/>
        <v>411</v>
      </c>
    </row>
    <row r="779" spans="1:22" x14ac:dyDescent="0.25">
      <c r="A779" s="98" t="s">
        <v>28</v>
      </c>
      <c r="B779" s="98" t="s">
        <v>15</v>
      </c>
      <c r="C779" s="98">
        <v>8</v>
      </c>
      <c r="D779" s="98">
        <v>1000</v>
      </c>
      <c r="E779" s="157">
        <v>42802.373611111114</v>
      </c>
      <c r="F779" s="157">
        <v>42803.263194444444</v>
      </c>
      <c r="G779" s="98">
        <v>0</v>
      </c>
      <c r="H779" s="98">
        <v>456</v>
      </c>
      <c r="I779" s="98">
        <v>411</v>
      </c>
      <c r="J779" s="98" t="s">
        <v>2002</v>
      </c>
      <c r="K779" s="98" t="s">
        <v>4046</v>
      </c>
      <c r="L779" s="105" t="str">
        <f t="shared" si="130"/>
        <v>Brown</v>
      </c>
      <c r="M779" s="105" t="str">
        <f t="shared" si="131"/>
        <v>Outage</v>
      </c>
      <c r="N779" s="105" t="str">
        <f t="shared" si="132"/>
        <v>Coal</v>
      </c>
      <c r="O779" s="105">
        <f>IFERROR(VLOOKUP(A779,Lookup!$J$5:$P$19,7,FALSE),0)</f>
        <v>3</v>
      </c>
      <c r="P779" s="159">
        <f t="shared" si="133"/>
        <v>2017</v>
      </c>
      <c r="Q779" s="159">
        <f t="shared" si="134"/>
        <v>3</v>
      </c>
      <c r="R779" s="160">
        <f t="shared" si="135"/>
        <v>21.349999999918509</v>
      </c>
      <c r="S779" s="158">
        <f t="shared" si="136"/>
        <v>21.349999999918509</v>
      </c>
      <c r="T779" s="161">
        <f t="shared" si="137"/>
        <v>8774.8499999665073</v>
      </c>
      <c r="U779" s="158">
        <f t="shared" si="139"/>
        <v>411</v>
      </c>
      <c r="V779" s="160">
        <f t="shared" si="138"/>
        <v>411</v>
      </c>
    </row>
    <row r="780" spans="1:22" x14ac:dyDescent="0.25">
      <c r="A780" s="98" t="s">
        <v>28</v>
      </c>
      <c r="B780" s="98" t="s">
        <v>79</v>
      </c>
      <c r="C780" s="98">
        <v>10</v>
      </c>
      <c r="D780" s="98">
        <v>8700</v>
      </c>
      <c r="E780" s="157">
        <v>42807.916666666664</v>
      </c>
      <c r="F780" s="157">
        <v>42808.125</v>
      </c>
      <c r="G780" s="98">
        <v>0</v>
      </c>
      <c r="H780" s="98">
        <v>456</v>
      </c>
      <c r="I780" s="98">
        <v>411</v>
      </c>
      <c r="J780" s="98" t="s">
        <v>1987</v>
      </c>
      <c r="K780" s="98" t="s">
        <v>4009</v>
      </c>
      <c r="L780" s="105" t="str">
        <f t="shared" si="130"/>
        <v>Brown</v>
      </c>
      <c r="M780" s="105" t="str">
        <f t="shared" si="131"/>
        <v>Other</v>
      </c>
      <c r="N780" s="105" t="str">
        <f t="shared" si="132"/>
        <v>Coal</v>
      </c>
      <c r="O780" s="105">
        <f>IFERROR(VLOOKUP(A780,Lookup!$J$5:$P$19,7,FALSE),0)</f>
        <v>3</v>
      </c>
      <c r="P780" s="159">
        <f t="shared" si="133"/>
        <v>2017</v>
      </c>
      <c r="Q780" s="159">
        <f t="shared" si="134"/>
        <v>3</v>
      </c>
      <c r="R780" s="160">
        <f t="shared" si="135"/>
        <v>5.0000000000582077</v>
      </c>
      <c r="S780" s="158">
        <f t="shared" si="136"/>
        <v>5.0000000000582077</v>
      </c>
      <c r="T780" s="161">
        <f t="shared" si="137"/>
        <v>2055.0000000239233</v>
      </c>
      <c r="U780" s="158">
        <f t="shared" si="139"/>
        <v>411</v>
      </c>
      <c r="V780" s="160">
        <f t="shared" si="138"/>
        <v>411</v>
      </c>
    </row>
    <row r="781" spans="1:22" x14ac:dyDescent="0.25">
      <c r="A781" s="98" t="s">
        <v>28</v>
      </c>
      <c r="B781" s="98" t="s">
        <v>79</v>
      </c>
      <c r="C781" s="98">
        <v>11</v>
      </c>
      <c r="D781" s="98">
        <v>8700</v>
      </c>
      <c r="E781" s="157">
        <v>42808.125</v>
      </c>
      <c r="F781" s="157">
        <v>42808.385416666664</v>
      </c>
      <c r="G781" s="98">
        <v>0</v>
      </c>
      <c r="H781" s="98">
        <v>456</v>
      </c>
      <c r="I781" s="98">
        <v>411</v>
      </c>
      <c r="J781" s="98" t="s">
        <v>1987</v>
      </c>
      <c r="K781" s="98" t="s">
        <v>4009</v>
      </c>
      <c r="L781" s="105" t="str">
        <f t="shared" si="130"/>
        <v>Brown</v>
      </c>
      <c r="M781" s="105" t="str">
        <f t="shared" si="131"/>
        <v>Other</v>
      </c>
      <c r="N781" s="105" t="str">
        <f t="shared" si="132"/>
        <v>Coal</v>
      </c>
      <c r="O781" s="105">
        <f>IFERROR(VLOOKUP(A781,Lookup!$J$5:$P$19,7,FALSE),0)</f>
        <v>3</v>
      </c>
      <c r="P781" s="159">
        <f t="shared" si="133"/>
        <v>2017</v>
      </c>
      <c r="Q781" s="159">
        <f t="shared" si="134"/>
        <v>3</v>
      </c>
      <c r="R781" s="160">
        <f t="shared" si="135"/>
        <v>6.2499999999417923</v>
      </c>
      <c r="S781" s="158">
        <f t="shared" si="136"/>
        <v>6.2499999999417923</v>
      </c>
      <c r="T781" s="161">
        <f t="shared" si="137"/>
        <v>2568.7499999760767</v>
      </c>
      <c r="U781" s="158">
        <f t="shared" si="139"/>
        <v>411</v>
      </c>
      <c r="V781" s="160">
        <f t="shared" si="138"/>
        <v>411</v>
      </c>
    </row>
    <row r="782" spans="1:22" x14ac:dyDescent="0.25">
      <c r="A782" s="98" t="s">
        <v>28</v>
      </c>
      <c r="B782" s="98" t="s">
        <v>17</v>
      </c>
      <c r="C782" s="98">
        <v>9</v>
      </c>
      <c r="D782" s="98">
        <v>4263</v>
      </c>
      <c r="E782" s="157">
        <v>42812.878472222219</v>
      </c>
      <c r="F782" s="157">
        <v>42812.882638888892</v>
      </c>
      <c r="G782" s="98">
        <v>292</v>
      </c>
      <c r="H782" s="98">
        <v>456</v>
      </c>
      <c r="I782" s="98">
        <v>411</v>
      </c>
      <c r="J782" s="98" t="s">
        <v>2019</v>
      </c>
      <c r="K782" s="98" t="s">
        <v>4047</v>
      </c>
      <c r="L782" s="105" t="str">
        <f t="shared" si="130"/>
        <v>Brown</v>
      </c>
      <c r="M782" s="105" t="str">
        <f t="shared" si="131"/>
        <v>Derate</v>
      </c>
      <c r="N782" s="105" t="str">
        <f t="shared" si="132"/>
        <v>Coal</v>
      </c>
      <c r="O782" s="105">
        <f>IFERROR(VLOOKUP(A782,Lookup!$J$5:$P$19,7,FALSE),0)</f>
        <v>3</v>
      </c>
      <c r="P782" s="159">
        <f t="shared" si="133"/>
        <v>2017</v>
      </c>
      <c r="Q782" s="159">
        <f t="shared" si="134"/>
        <v>3</v>
      </c>
      <c r="R782" s="160">
        <f t="shared" si="135"/>
        <v>0.10000000015133992</v>
      </c>
      <c r="S782" s="158">
        <f t="shared" si="136"/>
        <v>3.5964912335131022E-2</v>
      </c>
      <c r="T782" s="161">
        <f t="shared" si="137"/>
        <v>14.781578969738851</v>
      </c>
      <c r="U782" s="158">
        <f t="shared" si="139"/>
        <v>147.81578947368422</v>
      </c>
      <c r="V782" s="160">
        <f t="shared" si="138"/>
        <v>148</v>
      </c>
    </row>
    <row r="783" spans="1:22" x14ac:dyDescent="0.25">
      <c r="A783" s="98" t="s">
        <v>28</v>
      </c>
      <c r="B783" s="98" t="s">
        <v>15</v>
      </c>
      <c r="C783" s="98">
        <v>12</v>
      </c>
      <c r="D783" s="98">
        <v>9900</v>
      </c>
      <c r="E783" s="157">
        <v>42818.481249999997</v>
      </c>
      <c r="F783" s="157">
        <v>42818.501388888886</v>
      </c>
      <c r="G783" s="98">
        <v>0</v>
      </c>
      <c r="H783" s="98">
        <v>456</v>
      </c>
      <c r="I783" s="98">
        <v>411</v>
      </c>
      <c r="J783" s="98" t="s">
        <v>1996</v>
      </c>
      <c r="K783" s="98" t="s">
        <v>4048</v>
      </c>
      <c r="L783" s="105" t="str">
        <f t="shared" si="130"/>
        <v>Brown</v>
      </c>
      <c r="M783" s="105" t="str">
        <f t="shared" si="131"/>
        <v>Outage</v>
      </c>
      <c r="N783" s="105" t="str">
        <f t="shared" si="132"/>
        <v>Coal</v>
      </c>
      <c r="O783" s="105">
        <f>IFERROR(VLOOKUP(A783,Lookup!$J$5:$P$19,7,FALSE),0)</f>
        <v>3</v>
      </c>
      <c r="P783" s="159">
        <f t="shared" si="133"/>
        <v>2017</v>
      </c>
      <c r="Q783" s="159">
        <f t="shared" si="134"/>
        <v>3</v>
      </c>
      <c r="R783" s="160">
        <f t="shared" si="135"/>
        <v>0.48333333333721384</v>
      </c>
      <c r="S783" s="158">
        <f t="shared" si="136"/>
        <v>0.48333333333721384</v>
      </c>
      <c r="T783" s="161">
        <f t="shared" si="137"/>
        <v>198.65000000159489</v>
      </c>
      <c r="U783" s="158">
        <f t="shared" si="139"/>
        <v>411</v>
      </c>
      <c r="V783" s="160">
        <f t="shared" si="138"/>
        <v>411</v>
      </c>
    </row>
    <row r="784" spans="1:22" x14ac:dyDescent="0.25">
      <c r="A784" s="98" t="s">
        <v>28</v>
      </c>
      <c r="B784" s="98" t="s">
        <v>38</v>
      </c>
      <c r="C784" s="98">
        <v>13</v>
      </c>
      <c r="D784" s="98">
        <v>1801</v>
      </c>
      <c r="E784" s="157">
        <v>42839.959027777775</v>
      </c>
      <c r="F784" s="157">
        <v>42861.73541666667</v>
      </c>
      <c r="G784" s="98">
        <v>0</v>
      </c>
      <c r="H784" s="98">
        <v>456</v>
      </c>
      <c r="I784" s="98">
        <v>411</v>
      </c>
      <c r="J784" s="98" t="s">
        <v>2021</v>
      </c>
      <c r="K784" s="98" t="s">
        <v>4049</v>
      </c>
      <c r="L784" s="105" t="str">
        <f t="shared" si="130"/>
        <v>Brown</v>
      </c>
      <c r="M784" s="105" t="str">
        <f t="shared" si="131"/>
        <v>Other</v>
      </c>
      <c r="N784" s="105" t="str">
        <f t="shared" si="132"/>
        <v>Coal</v>
      </c>
      <c r="O784" s="105">
        <f>IFERROR(VLOOKUP(A784,Lookup!$J$5:$P$19,7,FALSE),0)</f>
        <v>3</v>
      </c>
      <c r="P784" s="159">
        <f t="shared" si="133"/>
        <v>2017</v>
      </c>
      <c r="Q784" s="159">
        <f t="shared" si="134"/>
        <v>4</v>
      </c>
      <c r="R784" s="160">
        <f t="shared" si="135"/>
        <v>522.63333333347691</v>
      </c>
      <c r="S784" s="158">
        <f t="shared" si="136"/>
        <v>522.63333333347691</v>
      </c>
      <c r="T784" s="161">
        <f t="shared" si="137"/>
        <v>214802.30000005901</v>
      </c>
      <c r="U784" s="158">
        <f t="shared" si="139"/>
        <v>411</v>
      </c>
      <c r="V784" s="160">
        <f t="shared" si="138"/>
        <v>411</v>
      </c>
    </row>
    <row r="785" spans="1:22" x14ac:dyDescent="0.25">
      <c r="A785" s="98" t="s">
        <v>28</v>
      </c>
      <c r="B785" s="98" t="s">
        <v>20</v>
      </c>
      <c r="C785" s="98">
        <v>15</v>
      </c>
      <c r="D785" s="98">
        <v>4609</v>
      </c>
      <c r="E785" s="157">
        <v>42864.90347222222</v>
      </c>
      <c r="F785" s="157">
        <v>42865.125694444447</v>
      </c>
      <c r="G785" s="98">
        <v>0</v>
      </c>
      <c r="H785" s="98">
        <v>456</v>
      </c>
      <c r="I785" s="98">
        <v>411</v>
      </c>
      <c r="J785" s="98" t="s">
        <v>2105</v>
      </c>
      <c r="K785" s="98" t="s">
        <v>4050</v>
      </c>
      <c r="L785" s="105" t="str">
        <f t="shared" si="130"/>
        <v>Brown</v>
      </c>
      <c r="M785" s="105" t="str">
        <f t="shared" si="131"/>
        <v>Maintenance</v>
      </c>
      <c r="N785" s="105" t="str">
        <f t="shared" si="132"/>
        <v>Coal</v>
      </c>
      <c r="O785" s="105">
        <f>IFERROR(VLOOKUP(A785,Lookup!$J$5:$P$19,7,FALSE),0)</f>
        <v>3</v>
      </c>
      <c r="P785" s="159">
        <f t="shared" si="133"/>
        <v>2017</v>
      </c>
      <c r="Q785" s="159">
        <f t="shared" si="134"/>
        <v>5</v>
      </c>
      <c r="R785" s="160">
        <f t="shared" si="135"/>
        <v>5.3333333334303461</v>
      </c>
      <c r="S785" s="158">
        <f t="shared" si="136"/>
        <v>5.3333333334303461</v>
      </c>
      <c r="T785" s="161">
        <f t="shared" si="137"/>
        <v>2192.0000000398722</v>
      </c>
      <c r="U785" s="158">
        <f t="shared" si="139"/>
        <v>411</v>
      </c>
      <c r="V785" s="160">
        <f t="shared" si="138"/>
        <v>411</v>
      </c>
    </row>
    <row r="786" spans="1:22" x14ac:dyDescent="0.25">
      <c r="A786" s="98" t="s">
        <v>28</v>
      </c>
      <c r="B786" s="98" t="s">
        <v>32</v>
      </c>
      <c r="C786" s="98">
        <v>16</v>
      </c>
      <c r="D786" s="98">
        <v>3410</v>
      </c>
      <c r="E786" s="157">
        <v>42865.125694444447</v>
      </c>
      <c r="F786" s="157">
        <v>42865.260416666664</v>
      </c>
      <c r="G786" s="98">
        <v>300</v>
      </c>
      <c r="H786" s="98">
        <v>456</v>
      </c>
      <c r="I786" s="98">
        <v>411</v>
      </c>
      <c r="J786" s="98" t="s">
        <v>1983</v>
      </c>
      <c r="K786" s="98" t="s">
        <v>4051</v>
      </c>
      <c r="L786" s="105" t="str">
        <f t="shared" ref="L786:L842" si="140">IF(OR(A786="BR1",A786="BR2",A786="BR3",A786="BR5",A786="BR6",A786="BR7",A786="BR8",A786="BR9",A786="BR10",A786="BR11"),"Brown",IF(OR(A786="CR4",A786="CR5",A786="CR6",A786="CR11"),"Cane Run",IF(OR(A786="GH1",A786="GH2",A786="GH3",A786="GH4"),"Ghent",IF(OR(A786="GR3",A786="GR4"),"Green River",IF(OR(A786="MC1",A786="MC2",A786="MC3",A786="MC4"),"Mill Creek",IF(OR(A786="TC1",A786="TC2",A786="TC5",A786="TC6",A786="TC7",A786="TC8",A786="TC9",A786="TC10"),"Trimble",IF(A786="TY3","Tyrone",IF(OR(A786="HA1",A786="HA2",A786="HA3"),"Haeflin",IF(OR(A786="PR11",A786="PR12",A786="PR13"),"Paddy's Run","Zorn")))))))))</f>
        <v>Brown</v>
      </c>
      <c r="M786" s="105" t="str">
        <f t="shared" ref="M786:M842" si="141">IF(OR(B786="D1",B786="D2",B786="D3",B786="D4",B786="PD"),"Derate",IF(OR(B786="SF",B786="U1",B786="U2",B786="U3"),"Outage",IF(OR(B786="ME",B786="MO"),"Maintenance","Other")))</f>
        <v>Derate</v>
      </c>
      <c r="N786" s="105" t="str">
        <f t="shared" ref="N786:N842" si="142">IF(OR(A786="BR1",A786="BR2",A786="BR3",A786="CR4",A786="CR5",A786="CR6",A786="GH1",A786="GH2",A786="GH3",A786="GH4",A786="GR3",A786="GR4",A786="MC1",A786="MC2",A786="MC3",A786="MC4",A786="TC1",A786="TC2",A786="TY3"),"Coal","Gas")</f>
        <v>Coal</v>
      </c>
      <c r="O786" s="105">
        <f>IFERROR(VLOOKUP(A786,Lookup!$J$5:$P$19,7,FALSE),0)</f>
        <v>3</v>
      </c>
      <c r="P786" s="159">
        <f t="shared" ref="P786:P842" si="143">YEAR(E786)</f>
        <v>2017</v>
      </c>
      <c r="Q786" s="159">
        <f t="shared" ref="Q786:Q842" si="144">MONTH(E786)</f>
        <v>5</v>
      </c>
      <c r="R786" s="160">
        <f t="shared" ref="R786:R842" si="145">(F786-E786)*24</f>
        <v>3.2333333332207985</v>
      </c>
      <c r="S786" s="158">
        <f t="shared" ref="S786:S842" si="146">R786*(H786-G786)/H786</f>
        <v>1.1061403508386942</v>
      </c>
      <c r="T786" s="161">
        <f t="shared" ref="T786:T842" si="147">S786*I786</f>
        <v>454.62368419470334</v>
      </c>
      <c r="U786" s="158">
        <f t="shared" si="139"/>
        <v>140.60526315789474</v>
      </c>
      <c r="V786" s="160">
        <f t="shared" ref="V786:V842" si="148">ROUND(U786,0)</f>
        <v>141</v>
      </c>
    </row>
    <row r="787" spans="1:22" x14ac:dyDescent="0.25">
      <c r="A787" s="98" t="s">
        <v>28</v>
      </c>
      <c r="B787" s="98" t="s">
        <v>20</v>
      </c>
      <c r="C787" s="98">
        <v>17</v>
      </c>
      <c r="D787" s="98">
        <v>4609</v>
      </c>
      <c r="E787" s="157">
        <v>42865.260416666664</v>
      </c>
      <c r="F787" s="157">
        <v>42865.4</v>
      </c>
      <c r="G787" s="98">
        <v>0</v>
      </c>
      <c r="H787" s="98">
        <v>456</v>
      </c>
      <c r="I787" s="98">
        <v>411</v>
      </c>
      <c r="J787" s="98" t="s">
        <v>2105</v>
      </c>
      <c r="K787" s="98" t="s">
        <v>4050</v>
      </c>
      <c r="L787" s="105" t="str">
        <f t="shared" si="140"/>
        <v>Brown</v>
      </c>
      <c r="M787" s="105" t="str">
        <f t="shared" si="141"/>
        <v>Maintenance</v>
      </c>
      <c r="N787" s="105" t="str">
        <f t="shared" si="142"/>
        <v>Coal</v>
      </c>
      <c r="O787" s="105">
        <f>IFERROR(VLOOKUP(A787,Lookup!$J$5:$P$19,7,FALSE),0)</f>
        <v>3</v>
      </c>
      <c r="P787" s="159">
        <f t="shared" si="143"/>
        <v>2017</v>
      </c>
      <c r="Q787" s="159">
        <f t="shared" si="144"/>
        <v>5</v>
      </c>
      <c r="R787" s="160">
        <f t="shared" si="145"/>
        <v>3.3500000000931323</v>
      </c>
      <c r="S787" s="158">
        <f t="shared" si="146"/>
        <v>3.3500000000931323</v>
      </c>
      <c r="T787" s="161">
        <f t="shared" si="147"/>
        <v>1376.8500000382774</v>
      </c>
      <c r="U787" s="158">
        <f t="shared" ref="U787:U842" si="149">IF(G787&gt;0,MAX((H787-G787),0)*I787/H787,I787)</f>
        <v>411</v>
      </c>
      <c r="V787" s="160">
        <f t="shared" si="148"/>
        <v>411</v>
      </c>
    </row>
    <row r="788" spans="1:22" x14ac:dyDescent="0.25">
      <c r="A788" s="98" t="s">
        <v>28</v>
      </c>
      <c r="B788" s="98" t="s">
        <v>17</v>
      </c>
      <c r="C788" s="98">
        <v>18</v>
      </c>
      <c r="D788" s="98">
        <v>1850</v>
      </c>
      <c r="E788" s="157">
        <v>42866.275694444441</v>
      </c>
      <c r="F788" s="157">
        <v>42866.293055555558</v>
      </c>
      <c r="G788" s="98">
        <v>420</v>
      </c>
      <c r="H788" s="98">
        <v>456</v>
      </c>
      <c r="I788" s="98">
        <v>411</v>
      </c>
      <c r="J788" s="98" t="s">
        <v>2263</v>
      </c>
      <c r="K788" s="98" t="s">
        <v>4052</v>
      </c>
      <c r="L788" s="105" t="str">
        <f t="shared" si="140"/>
        <v>Brown</v>
      </c>
      <c r="M788" s="105" t="str">
        <f t="shared" si="141"/>
        <v>Derate</v>
      </c>
      <c r="N788" s="105" t="str">
        <f t="shared" si="142"/>
        <v>Coal</v>
      </c>
      <c r="O788" s="105">
        <f>IFERROR(VLOOKUP(A788,Lookup!$J$5:$P$19,7,FALSE),0)</f>
        <v>3</v>
      </c>
      <c r="P788" s="159">
        <f t="shared" si="143"/>
        <v>2017</v>
      </c>
      <c r="Q788" s="159">
        <f t="shared" si="144"/>
        <v>5</v>
      </c>
      <c r="R788" s="160">
        <f t="shared" si="145"/>
        <v>0.41666666680248454</v>
      </c>
      <c r="S788" s="158">
        <f t="shared" si="146"/>
        <v>3.2894736852827726E-2</v>
      </c>
      <c r="T788" s="161">
        <f t="shared" si="147"/>
        <v>13.519736846512195</v>
      </c>
      <c r="U788" s="158">
        <f t="shared" si="149"/>
        <v>32.44736842105263</v>
      </c>
      <c r="V788" s="160">
        <f t="shared" si="148"/>
        <v>32</v>
      </c>
    </row>
    <row r="789" spans="1:22" x14ac:dyDescent="0.25">
      <c r="A789" s="98" t="s">
        <v>28</v>
      </c>
      <c r="B789" s="98" t="s">
        <v>20</v>
      </c>
      <c r="C789" s="98">
        <v>19</v>
      </c>
      <c r="D789" s="98">
        <v>4609</v>
      </c>
      <c r="E789" s="157">
        <v>42866.331944444442</v>
      </c>
      <c r="F789" s="157">
        <v>42866.504166666666</v>
      </c>
      <c r="G789" s="98">
        <v>0</v>
      </c>
      <c r="H789" s="98">
        <v>456</v>
      </c>
      <c r="I789" s="98">
        <v>411</v>
      </c>
      <c r="J789" s="98" t="s">
        <v>2105</v>
      </c>
      <c r="K789" s="98" t="s">
        <v>4050</v>
      </c>
      <c r="L789" s="105" t="str">
        <f t="shared" si="140"/>
        <v>Brown</v>
      </c>
      <c r="M789" s="105" t="str">
        <f t="shared" si="141"/>
        <v>Maintenance</v>
      </c>
      <c r="N789" s="105" t="str">
        <f t="shared" si="142"/>
        <v>Coal</v>
      </c>
      <c r="O789" s="105">
        <f>IFERROR(VLOOKUP(A789,Lookup!$J$5:$P$19,7,FALSE),0)</f>
        <v>3</v>
      </c>
      <c r="P789" s="159">
        <f t="shared" si="143"/>
        <v>2017</v>
      </c>
      <c r="Q789" s="159">
        <f t="shared" si="144"/>
        <v>5</v>
      </c>
      <c r="R789" s="160">
        <f t="shared" si="145"/>
        <v>4.1333333333604969</v>
      </c>
      <c r="S789" s="158">
        <f t="shared" si="146"/>
        <v>4.1333333333604969</v>
      </c>
      <c r="T789" s="161">
        <f t="shared" si="147"/>
        <v>1698.8000000111642</v>
      </c>
      <c r="U789" s="158">
        <f t="shared" si="149"/>
        <v>411</v>
      </c>
      <c r="V789" s="160">
        <f t="shared" si="148"/>
        <v>411</v>
      </c>
    </row>
    <row r="790" spans="1:22" x14ac:dyDescent="0.25">
      <c r="A790" s="98" t="s">
        <v>28</v>
      </c>
      <c r="B790" s="98" t="s">
        <v>17</v>
      </c>
      <c r="C790" s="98">
        <v>20</v>
      </c>
      <c r="D790" s="98">
        <v>1850</v>
      </c>
      <c r="E790" s="157">
        <v>42866.587500000001</v>
      </c>
      <c r="F790" s="157">
        <v>42866.652777777781</v>
      </c>
      <c r="G790" s="98">
        <v>400</v>
      </c>
      <c r="H790" s="98">
        <v>456</v>
      </c>
      <c r="I790" s="98">
        <v>411</v>
      </c>
      <c r="J790" s="98" t="s">
        <v>2263</v>
      </c>
      <c r="K790" s="98" t="s">
        <v>4053</v>
      </c>
      <c r="L790" s="105" t="str">
        <f t="shared" si="140"/>
        <v>Brown</v>
      </c>
      <c r="M790" s="105" t="str">
        <f t="shared" si="141"/>
        <v>Derate</v>
      </c>
      <c r="N790" s="105" t="str">
        <f t="shared" si="142"/>
        <v>Coal</v>
      </c>
      <c r="O790" s="105">
        <f>IFERROR(VLOOKUP(A790,Lookup!$J$5:$P$19,7,FALSE),0)</f>
        <v>3</v>
      </c>
      <c r="P790" s="159">
        <f t="shared" si="143"/>
        <v>2017</v>
      </c>
      <c r="Q790" s="159">
        <f t="shared" si="144"/>
        <v>5</v>
      </c>
      <c r="R790" s="160">
        <f t="shared" si="145"/>
        <v>1.5666666667093523</v>
      </c>
      <c r="S790" s="158">
        <f t="shared" si="146"/>
        <v>0.19239766082395554</v>
      </c>
      <c r="T790" s="161">
        <f t="shared" si="147"/>
        <v>79.075438598645732</v>
      </c>
      <c r="U790" s="158">
        <f t="shared" si="149"/>
        <v>50.473684210526315</v>
      </c>
      <c r="V790" s="160">
        <f t="shared" si="148"/>
        <v>50</v>
      </c>
    </row>
    <row r="791" spans="1:22" x14ac:dyDescent="0.25">
      <c r="A791" s="98" t="s">
        <v>28</v>
      </c>
      <c r="B791" s="98" t="s">
        <v>15</v>
      </c>
      <c r="C791" s="98">
        <v>21</v>
      </c>
      <c r="D791" s="98">
        <v>4609</v>
      </c>
      <c r="E791" s="157">
        <v>42867.455555555556</v>
      </c>
      <c r="F791" s="157">
        <v>42867.520833333336</v>
      </c>
      <c r="G791" s="98">
        <v>0</v>
      </c>
      <c r="H791" s="98">
        <v>456</v>
      </c>
      <c r="I791" s="98">
        <v>411</v>
      </c>
      <c r="J791" s="98" t="s">
        <v>2105</v>
      </c>
      <c r="K791" s="98" t="s">
        <v>4054</v>
      </c>
      <c r="L791" s="105" t="str">
        <f t="shared" si="140"/>
        <v>Brown</v>
      </c>
      <c r="M791" s="105" t="str">
        <f t="shared" si="141"/>
        <v>Outage</v>
      </c>
      <c r="N791" s="105" t="str">
        <f t="shared" si="142"/>
        <v>Coal</v>
      </c>
      <c r="O791" s="105">
        <f>IFERROR(VLOOKUP(A791,Lookup!$J$5:$P$19,7,FALSE),0)</f>
        <v>3</v>
      </c>
      <c r="P791" s="159">
        <f t="shared" si="143"/>
        <v>2017</v>
      </c>
      <c r="Q791" s="159">
        <f t="shared" si="144"/>
        <v>5</v>
      </c>
      <c r="R791" s="160">
        <f t="shared" si="145"/>
        <v>1.5666666667093523</v>
      </c>
      <c r="S791" s="158">
        <f t="shared" si="146"/>
        <v>1.5666666667093523</v>
      </c>
      <c r="T791" s="161">
        <f t="shared" si="147"/>
        <v>643.90000001754379</v>
      </c>
      <c r="U791" s="158">
        <f t="shared" si="149"/>
        <v>411</v>
      </c>
      <c r="V791" s="160">
        <f t="shared" si="148"/>
        <v>411</v>
      </c>
    </row>
    <row r="792" spans="1:22" x14ac:dyDescent="0.25">
      <c r="A792" s="98" t="s">
        <v>28</v>
      </c>
      <c r="B792" s="98" t="s">
        <v>20</v>
      </c>
      <c r="C792" s="98">
        <v>22</v>
      </c>
      <c r="D792" s="98">
        <v>4609</v>
      </c>
      <c r="E792" s="157">
        <v>42867.520833333336</v>
      </c>
      <c r="F792" s="157">
        <v>42868.834027777775</v>
      </c>
      <c r="G792" s="98">
        <v>0</v>
      </c>
      <c r="H792" s="98">
        <v>456</v>
      </c>
      <c r="I792" s="98">
        <v>411</v>
      </c>
      <c r="J792" s="98" t="s">
        <v>2105</v>
      </c>
      <c r="K792" s="98" t="s">
        <v>4055</v>
      </c>
      <c r="L792" s="105" t="str">
        <f t="shared" si="140"/>
        <v>Brown</v>
      </c>
      <c r="M792" s="105" t="str">
        <f t="shared" si="141"/>
        <v>Maintenance</v>
      </c>
      <c r="N792" s="105" t="str">
        <f t="shared" si="142"/>
        <v>Coal</v>
      </c>
      <c r="O792" s="105">
        <f>IFERROR(VLOOKUP(A792,Lookup!$J$5:$P$19,7,FALSE),0)</f>
        <v>3</v>
      </c>
      <c r="P792" s="159">
        <f t="shared" si="143"/>
        <v>2017</v>
      </c>
      <c r="Q792" s="159">
        <f t="shared" si="144"/>
        <v>5</v>
      </c>
      <c r="R792" s="160">
        <f t="shared" si="145"/>
        <v>31.516666666546371</v>
      </c>
      <c r="S792" s="158">
        <f t="shared" si="146"/>
        <v>31.516666666546371</v>
      </c>
      <c r="T792" s="161">
        <f t="shared" si="147"/>
        <v>12953.349999950558</v>
      </c>
      <c r="U792" s="158">
        <f t="shared" si="149"/>
        <v>411</v>
      </c>
      <c r="V792" s="160">
        <f t="shared" si="148"/>
        <v>411</v>
      </c>
    </row>
    <row r="793" spans="1:22" x14ac:dyDescent="0.25">
      <c r="A793" s="98" t="s">
        <v>28</v>
      </c>
      <c r="B793" s="98" t="s">
        <v>17</v>
      </c>
      <c r="C793" s="98">
        <v>23</v>
      </c>
      <c r="D793" s="98">
        <v>310</v>
      </c>
      <c r="E793" s="157">
        <v>42869.055555555555</v>
      </c>
      <c r="F793" s="157">
        <v>42869.255555555559</v>
      </c>
      <c r="G793" s="98">
        <v>370</v>
      </c>
      <c r="H793" s="98">
        <v>456</v>
      </c>
      <c r="I793" s="98">
        <v>411</v>
      </c>
      <c r="J793" s="98" t="s">
        <v>1966</v>
      </c>
      <c r="K793" s="98" t="s">
        <v>4056</v>
      </c>
      <c r="L793" s="105" t="str">
        <f t="shared" si="140"/>
        <v>Brown</v>
      </c>
      <c r="M793" s="105" t="str">
        <f t="shared" si="141"/>
        <v>Derate</v>
      </c>
      <c r="N793" s="105" t="str">
        <f t="shared" si="142"/>
        <v>Coal</v>
      </c>
      <c r="O793" s="105">
        <f>IFERROR(VLOOKUP(A793,Lookup!$J$5:$P$19,7,FALSE),0)</f>
        <v>3</v>
      </c>
      <c r="P793" s="159">
        <f t="shared" si="143"/>
        <v>2017</v>
      </c>
      <c r="Q793" s="159">
        <f t="shared" si="144"/>
        <v>5</v>
      </c>
      <c r="R793" s="160">
        <f t="shared" si="145"/>
        <v>4.8000000001047738</v>
      </c>
      <c r="S793" s="158">
        <f t="shared" si="146"/>
        <v>0.90526315791449685</v>
      </c>
      <c r="T793" s="161">
        <f t="shared" si="147"/>
        <v>372.06315790285822</v>
      </c>
      <c r="U793" s="158">
        <f t="shared" si="149"/>
        <v>77.513157894736835</v>
      </c>
      <c r="V793" s="160">
        <f t="shared" si="148"/>
        <v>78</v>
      </c>
    </row>
    <row r="794" spans="1:22" x14ac:dyDescent="0.25">
      <c r="A794" s="98" t="s">
        <v>28</v>
      </c>
      <c r="B794" s="98" t="s">
        <v>32</v>
      </c>
      <c r="C794" s="98">
        <v>24</v>
      </c>
      <c r="D794" s="98">
        <v>1980</v>
      </c>
      <c r="E794" s="157">
        <v>42870.791666666664</v>
      </c>
      <c r="F794" s="157">
        <v>42870.929166666669</v>
      </c>
      <c r="G794" s="98">
        <v>365</v>
      </c>
      <c r="H794" s="98">
        <v>456</v>
      </c>
      <c r="I794" s="98">
        <v>411</v>
      </c>
      <c r="J794" s="98" t="s">
        <v>2126</v>
      </c>
      <c r="K794" s="98" t="s">
        <v>4057</v>
      </c>
      <c r="L794" s="105" t="str">
        <f t="shared" si="140"/>
        <v>Brown</v>
      </c>
      <c r="M794" s="105" t="str">
        <f t="shared" si="141"/>
        <v>Derate</v>
      </c>
      <c r="N794" s="105" t="str">
        <f t="shared" si="142"/>
        <v>Coal</v>
      </c>
      <c r="O794" s="105">
        <f>IFERROR(VLOOKUP(A794,Lookup!$J$5:$P$19,7,FALSE),0)</f>
        <v>3</v>
      </c>
      <c r="P794" s="159">
        <f t="shared" si="143"/>
        <v>2017</v>
      </c>
      <c r="Q794" s="159">
        <f t="shared" si="144"/>
        <v>5</v>
      </c>
      <c r="R794" s="160">
        <f t="shared" si="145"/>
        <v>3.3000000001047738</v>
      </c>
      <c r="S794" s="158">
        <f t="shared" si="146"/>
        <v>0.65855263159985622</v>
      </c>
      <c r="T794" s="161">
        <f t="shared" si="147"/>
        <v>270.66513158754088</v>
      </c>
      <c r="U794" s="158">
        <f t="shared" si="149"/>
        <v>82.01973684210526</v>
      </c>
      <c r="V794" s="160">
        <f t="shared" si="148"/>
        <v>82</v>
      </c>
    </row>
    <row r="795" spans="1:22" x14ac:dyDescent="0.25">
      <c r="A795" s="98" t="s">
        <v>28</v>
      </c>
      <c r="B795" s="98" t="s">
        <v>17</v>
      </c>
      <c r="C795" s="98">
        <v>25</v>
      </c>
      <c r="D795" s="98">
        <v>250</v>
      </c>
      <c r="E795" s="157">
        <v>42874.645833333336</v>
      </c>
      <c r="F795" s="157">
        <v>42875.003472222219</v>
      </c>
      <c r="G795" s="98">
        <v>350</v>
      </c>
      <c r="H795" s="98">
        <v>456</v>
      </c>
      <c r="I795" s="98">
        <v>411</v>
      </c>
      <c r="J795" s="98" t="s">
        <v>1978</v>
      </c>
      <c r="K795" s="98" t="s">
        <v>4058</v>
      </c>
      <c r="L795" s="105" t="str">
        <f t="shared" si="140"/>
        <v>Brown</v>
      </c>
      <c r="M795" s="105" t="str">
        <f t="shared" si="141"/>
        <v>Derate</v>
      </c>
      <c r="N795" s="105" t="str">
        <f t="shared" si="142"/>
        <v>Coal</v>
      </c>
      <c r="O795" s="105">
        <f>IFERROR(VLOOKUP(A795,Lookup!$J$5:$P$19,7,FALSE),0)</f>
        <v>3</v>
      </c>
      <c r="P795" s="159">
        <f t="shared" si="143"/>
        <v>2017</v>
      </c>
      <c r="Q795" s="159">
        <f t="shared" si="144"/>
        <v>5</v>
      </c>
      <c r="R795" s="160">
        <f t="shared" si="145"/>
        <v>8.5833333331975155</v>
      </c>
      <c r="S795" s="158">
        <f t="shared" si="146"/>
        <v>1.9952485379801241</v>
      </c>
      <c r="T795" s="161">
        <f t="shared" si="147"/>
        <v>820.04714910983103</v>
      </c>
      <c r="U795" s="158">
        <f t="shared" si="149"/>
        <v>95.53947368421052</v>
      </c>
      <c r="V795" s="160">
        <f t="shared" si="148"/>
        <v>96</v>
      </c>
    </row>
    <row r="796" spans="1:22" x14ac:dyDescent="0.25">
      <c r="A796" s="98" t="s">
        <v>28</v>
      </c>
      <c r="B796" s="98" t="s">
        <v>17</v>
      </c>
      <c r="C796" s="98">
        <v>26</v>
      </c>
      <c r="D796" s="98">
        <v>3620</v>
      </c>
      <c r="E796" s="157">
        <v>42875.723611111112</v>
      </c>
      <c r="F796" s="157">
        <v>42875.885416666664</v>
      </c>
      <c r="G796" s="98">
        <v>390</v>
      </c>
      <c r="H796" s="98">
        <v>456</v>
      </c>
      <c r="I796" s="98">
        <v>411</v>
      </c>
      <c r="J796" s="98" t="s">
        <v>2092</v>
      </c>
      <c r="K796" s="98" t="s">
        <v>4059</v>
      </c>
      <c r="L796" s="105" t="str">
        <f t="shared" si="140"/>
        <v>Brown</v>
      </c>
      <c r="M796" s="105" t="str">
        <f t="shared" si="141"/>
        <v>Derate</v>
      </c>
      <c r="N796" s="105" t="str">
        <f t="shared" si="142"/>
        <v>Coal</v>
      </c>
      <c r="O796" s="105">
        <f>IFERROR(VLOOKUP(A796,Lookup!$J$5:$P$19,7,FALSE),0)</f>
        <v>3</v>
      </c>
      <c r="P796" s="159">
        <f t="shared" si="143"/>
        <v>2017</v>
      </c>
      <c r="Q796" s="159">
        <f t="shared" si="144"/>
        <v>5</v>
      </c>
      <c r="R796" s="160">
        <f t="shared" si="145"/>
        <v>3.8833333332440816</v>
      </c>
      <c r="S796" s="158">
        <f t="shared" si="146"/>
        <v>0.56206140349585387</v>
      </c>
      <c r="T796" s="161">
        <f t="shared" si="147"/>
        <v>231.00723683679595</v>
      </c>
      <c r="U796" s="158">
        <f t="shared" si="149"/>
        <v>59.486842105263158</v>
      </c>
      <c r="V796" s="160">
        <f t="shared" si="148"/>
        <v>59</v>
      </c>
    </row>
    <row r="797" spans="1:22" x14ac:dyDescent="0.25">
      <c r="A797" s="98" t="s">
        <v>28</v>
      </c>
      <c r="B797" s="98" t="s">
        <v>17</v>
      </c>
      <c r="C797" s="98">
        <v>27</v>
      </c>
      <c r="D797" s="98">
        <v>310</v>
      </c>
      <c r="E797" s="157">
        <v>42891.65625</v>
      </c>
      <c r="F797" s="157">
        <v>42891.751388888886</v>
      </c>
      <c r="G797" s="98">
        <v>370</v>
      </c>
      <c r="H797" s="98">
        <v>456</v>
      </c>
      <c r="I797" s="98">
        <v>411</v>
      </c>
      <c r="J797" s="98" t="s">
        <v>1966</v>
      </c>
      <c r="K797" s="98" t="s">
        <v>4060</v>
      </c>
      <c r="L797" s="105" t="str">
        <f t="shared" si="140"/>
        <v>Brown</v>
      </c>
      <c r="M797" s="105" t="str">
        <f t="shared" si="141"/>
        <v>Derate</v>
      </c>
      <c r="N797" s="105" t="str">
        <f t="shared" si="142"/>
        <v>Coal</v>
      </c>
      <c r="O797" s="105">
        <f>IFERROR(VLOOKUP(A797,Lookup!$J$5:$P$19,7,FALSE),0)</f>
        <v>3</v>
      </c>
      <c r="P797" s="159">
        <f t="shared" si="143"/>
        <v>2017</v>
      </c>
      <c r="Q797" s="159">
        <f t="shared" si="144"/>
        <v>6</v>
      </c>
      <c r="R797" s="160">
        <f t="shared" si="145"/>
        <v>2.2833333332673647</v>
      </c>
      <c r="S797" s="158">
        <f t="shared" si="146"/>
        <v>0.43062865495831876</v>
      </c>
      <c r="T797" s="161">
        <f t="shared" si="147"/>
        <v>176.98837718786902</v>
      </c>
      <c r="U797" s="158">
        <f t="shared" si="149"/>
        <v>77.513157894736835</v>
      </c>
      <c r="V797" s="160">
        <f t="shared" si="148"/>
        <v>78</v>
      </c>
    </row>
    <row r="798" spans="1:22" x14ac:dyDescent="0.25">
      <c r="A798" s="98" t="s">
        <v>28</v>
      </c>
      <c r="B798" s="98" t="s">
        <v>17</v>
      </c>
      <c r="C798" s="98">
        <v>28</v>
      </c>
      <c r="D798" s="98">
        <v>310</v>
      </c>
      <c r="E798" s="157">
        <v>42895.419444444444</v>
      </c>
      <c r="F798" s="157">
        <v>42895.543055555558</v>
      </c>
      <c r="G798" s="98">
        <v>370</v>
      </c>
      <c r="H798" s="98">
        <v>456</v>
      </c>
      <c r="I798" s="98">
        <v>411</v>
      </c>
      <c r="J798" s="98" t="s">
        <v>1966</v>
      </c>
      <c r="K798" s="98" t="s">
        <v>4061</v>
      </c>
      <c r="L798" s="105" t="str">
        <f t="shared" si="140"/>
        <v>Brown</v>
      </c>
      <c r="M798" s="105" t="str">
        <f t="shared" si="141"/>
        <v>Derate</v>
      </c>
      <c r="N798" s="105" t="str">
        <f t="shared" si="142"/>
        <v>Coal</v>
      </c>
      <c r="O798" s="105">
        <f>IFERROR(VLOOKUP(A798,Lookup!$J$5:$P$19,7,FALSE),0)</f>
        <v>3</v>
      </c>
      <c r="P798" s="159">
        <f t="shared" si="143"/>
        <v>2017</v>
      </c>
      <c r="Q798" s="159">
        <f t="shared" si="144"/>
        <v>6</v>
      </c>
      <c r="R798" s="160">
        <f t="shared" si="145"/>
        <v>2.9666666667326353</v>
      </c>
      <c r="S798" s="158">
        <f t="shared" si="146"/>
        <v>0.55950292398904966</v>
      </c>
      <c r="T798" s="161">
        <f t="shared" si="147"/>
        <v>229.95570175949942</v>
      </c>
      <c r="U798" s="158">
        <f t="shared" si="149"/>
        <v>77.513157894736835</v>
      </c>
      <c r="V798" s="160">
        <f t="shared" si="148"/>
        <v>78</v>
      </c>
    </row>
    <row r="799" spans="1:22" x14ac:dyDescent="0.25">
      <c r="A799" s="98" t="s">
        <v>28</v>
      </c>
      <c r="B799" s="98" t="s">
        <v>17</v>
      </c>
      <c r="C799" s="98">
        <v>30</v>
      </c>
      <c r="D799" s="98">
        <v>310</v>
      </c>
      <c r="E799" s="157">
        <v>42919.276388888888</v>
      </c>
      <c r="F799" s="157">
        <v>42919.401388888888</v>
      </c>
      <c r="G799" s="98">
        <v>360</v>
      </c>
      <c r="H799" s="98">
        <v>456</v>
      </c>
      <c r="I799" s="98">
        <v>411</v>
      </c>
      <c r="J799" s="98" t="s">
        <v>1966</v>
      </c>
      <c r="K799" s="98" t="s">
        <v>4588</v>
      </c>
      <c r="L799" s="105" t="str">
        <f t="shared" si="140"/>
        <v>Brown</v>
      </c>
      <c r="M799" s="105" t="str">
        <f t="shared" si="141"/>
        <v>Derate</v>
      </c>
      <c r="N799" s="105" t="str">
        <f t="shared" si="142"/>
        <v>Coal</v>
      </c>
      <c r="O799" s="105">
        <f>IFERROR(VLOOKUP(A799,Lookup!$J$5:$P$19,7,FALSE),0)</f>
        <v>3</v>
      </c>
      <c r="P799" s="159">
        <f t="shared" si="143"/>
        <v>2017</v>
      </c>
      <c r="Q799" s="159">
        <f t="shared" si="144"/>
        <v>7</v>
      </c>
      <c r="R799" s="160">
        <f t="shared" si="145"/>
        <v>3</v>
      </c>
      <c r="S799" s="158">
        <f t="shared" si="146"/>
        <v>0.63157894736842102</v>
      </c>
      <c r="T799" s="161">
        <f t="shared" si="147"/>
        <v>259.57894736842104</v>
      </c>
      <c r="U799" s="158">
        <f t="shared" si="149"/>
        <v>86.526315789473685</v>
      </c>
      <c r="V799" s="160">
        <f t="shared" si="148"/>
        <v>87</v>
      </c>
    </row>
    <row r="800" spans="1:22" x14ac:dyDescent="0.25">
      <c r="A800" s="98" t="s">
        <v>28</v>
      </c>
      <c r="B800" s="98" t="s">
        <v>17</v>
      </c>
      <c r="C800" s="98">
        <v>31</v>
      </c>
      <c r="D800" s="98">
        <v>310</v>
      </c>
      <c r="E800" s="157">
        <v>42920.6875</v>
      </c>
      <c r="F800" s="157">
        <v>42920.817361111112</v>
      </c>
      <c r="G800" s="98">
        <v>360</v>
      </c>
      <c r="H800" s="98">
        <v>456</v>
      </c>
      <c r="I800" s="98">
        <v>411</v>
      </c>
      <c r="J800" s="98" t="s">
        <v>1966</v>
      </c>
      <c r="K800" s="98" t="s">
        <v>4588</v>
      </c>
      <c r="L800" s="105" t="str">
        <f t="shared" si="140"/>
        <v>Brown</v>
      </c>
      <c r="M800" s="105" t="str">
        <f t="shared" si="141"/>
        <v>Derate</v>
      </c>
      <c r="N800" s="105" t="str">
        <f t="shared" si="142"/>
        <v>Coal</v>
      </c>
      <c r="O800" s="105">
        <f>IFERROR(VLOOKUP(A800,Lookup!$J$5:$P$19,7,FALSE),0)</f>
        <v>3</v>
      </c>
      <c r="P800" s="159">
        <f t="shared" si="143"/>
        <v>2017</v>
      </c>
      <c r="Q800" s="159">
        <f t="shared" si="144"/>
        <v>7</v>
      </c>
      <c r="R800" s="160">
        <f t="shared" si="145"/>
        <v>3.1166666666977108</v>
      </c>
      <c r="S800" s="158">
        <f t="shared" si="146"/>
        <v>0.65614035088372857</v>
      </c>
      <c r="T800" s="161">
        <f t="shared" si="147"/>
        <v>269.67368421321243</v>
      </c>
      <c r="U800" s="158">
        <f t="shared" si="149"/>
        <v>86.526315789473685</v>
      </c>
      <c r="V800" s="160">
        <f t="shared" si="148"/>
        <v>87</v>
      </c>
    </row>
    <row r="801" spans="1:22" x14ac:dyDescent="0.25">
      <c r="A801" s="98" t="s">
        <v>28</v>
      </c>
      <c r="B801" s="98" t="s">
        <v>17</v>
      </c>
      <c r="C801" s="98">
        <v>32</v>
      </c>
      <c r="D801" s="98">
        <v>310</v>
      </c>
      <c r="E801" s="157">
        <v>42924.670138888891</v>
      </c>
      <c r="F801" s="157">
        <v>42924.886111111111</v>
      </c>
      <c r="G801" s="98">
        <v>350</v>
      </c>
      <c r="H801" s="98">
        <v>456</v>
      </c>
      <c r="I801" s="98">
        <v>411</v>
      </c>
      <c r="J801" s="98" t="s">
        <v>1966</v>
      </c>
      <c r="K801" s="98" t="s">
        <v>4589</v>
      </c>
      <c r="L801" s="105" t="str">
        <f t="shared" si="140"/>
        <v>Brown</v>
      </c>
      <c r="M801" s="105" t="str">
        <f t="shared" si="141"/>
        <v>Derate</v>
      </c>
      <c r="N801" s="105" t="str">
        <f t="shared" si="142"/>
        <v>Coal</v>
      </c>
      <c r="O801" s="105">
        <f>IFERROR(VLOOKUP(A801,Lookup!$J$5:$P$19,7,FALSE),0)</f>
        <v>3</v>
      </c>
      <c r="P801" s="159">
        <f t="shared" si="143"/>
        <v>2017</v>
      </c>
      <c r="Q801" s="159">
        <f t="shared" si="144"/>
        <v>7</v>
      </c>
      <c r="R801" s="160">
        <f t="shared" si="145"/>
        <v>5.1833333332906477</v>
      </c>
      <c r="S801" s="158">
        <f t="shared" si="146"/>
        <v>1.2048976608087909</v>
      </c>
      <c r="T801" s="161">
        <f t="shared" si="147"/>
        <v>495.21293859241308</v>
      </c>
      <c r="U801" s="158">
        <f t="shared" si="149"/>
        <v>95.53947368421052</v>
      </c>
      <c r="V801" s="160">
        <f t="shared" si="148"/>
        <v>96</v>
      </c>
    </row>
    <row r="802" spans="1:22" x14ac:dyDescent="0.25">
      <c r="A802" s="98" t="s">
        <v>28</v>
      </c>
      <c r="B802" s="98" t="s">
        <v>32</v>
      </c>
      <c r="C802" s="98">
        <v>33</v>
      </c>
      <c r="D802" s="98">
        <v>1407</v>
      </c>
      <c r="E802" s="157">
        <v>42930.958333333336</v>
      </c>
      <c r="F802" s="157">
        <v>42931.039583333331</v>
      </c>
      <c r="G802" s="98">
        <v>300</v>
      </c>
      <c r="H802" s="98">
        <v>456</v>
      </c>
      <c r="I802" s="98">
        <v>411</v>
      </c>
      <c r="J802" s="98" t="s">
        <v>3740</v>
      </c>
      <c r="K802" s="98" t="s">
        <v>4590</v>
      </c>
      <c r="L802" s="105" t="str">
        <f t="shared" si="140"/>
        <v>Brown</v>
      </c>
      <c r="M802" s="105" t="str">
        <f t="shared" si="141"/>
        <v>Derate</v>
      </c>
      <c r="N802" s="105" t="str">
        <f t="shared" si="142"/>
        <v>Coal</v>
      </c>
      <c r="O802" s="105">
        <f>IFERROR(VLOOKUP(A802,Lookup!$J$5:$P$19,7,FALSE),0)</f>
        <v>3</v>
      </c>
      <c r="P802" s="159">
        <f t="shared" si="143"/>
        <v>2017</v>
      </c>
      <c r="Q802" s="159">
        <f t="shared" si="144"/>
        <v>7</v>
      </c>
      <c r="R802" s="160">
        <f t="shared" si="145"/>
        <v>1.9499999998952262</v>
      </c>
      <c r="S802" s="158">
        <f t="shared" si="146"/>
        <v>0.6671052631220511</v>
      </c>
      <c r="T802" s="161">
        <f t="shared" si="147"/>
        <v>274.18026314316302</v>
      </c>
      <c r="U802" s="158">
        <f t="shared" si="149"/>
        <v>140.60526315789474</v>
      </c>
      <c r="V802" s="160">
        <f t="shared" si="148"/>
        <v>141</v>
      </c>
    </row>
    <row r="803" spans="1:22" x14ac:dyDescent="0.25">
      <c r="A803" s="98" t="s">
        <v>28</v>
      </c>
      <c r="B803" s="98" t="s">
        <v>20</v>
      </c>
      <c r="C803" s="98">
        <v>34</v>
      </c>
      <c r="D803" s="98">
        <v>1060</v>
      </c>
      <c r="E803" s="157">
        <v>42951.855555555558</v>
      </c>
      <c r="F803" s="157">
        <v>42954.678472222222</v>
      </c>
      <c r="G803" s="98">
        <v>0</v>
      </c>
      <c r="H803" s="98">
        <v>456</v>
      </c>
      <c r="I803" s="98">
        <v>411</v>
      </c>
      <c r="J803" s="98" t="s">
        <v>2179</v>
      </c>
      <c r="K803" s="98" t="s">
        <v>4591</v>
      </c>
      <c r="L803" s="105" t="str">
        <f t="shared" si="140"/>
        <v>Brown</v>
      </c>
      <c r="M803" s="105" t="str">
        <f t="shared" si="141"/>
        <v>Maintenance</v>
      </c>
      <c r="N803" s="105" t="str">
        <f t="shared" si="142"/>
        <v>Coal</v>
      </c>
      <c r="O803" s="105">
        <f>IFERROR(VLOOKUP(A803,Lookup!$J$5:$P$19,7,FALSE),0)</f>
        <v>3</v>
      </c>
      <c r="P803" s="159">
        <f t="shared" si="143"/>
        <v>2017</v>
      </c>
      <c r="Q803" s="159">
        <f t="shared" si="144"/>
        <v>8</v>
      </c>
      <c r="R803" s="160">
        <f t="shared" si="145"/>
        <v>67.749999999941792</v>
      </c>
      <c r="S803" s="158">
        <f t="shared" si="146"/>
        <v>67.749999999941792</v>
      </c>
      <c r="T803" s="161">
        <f t="shared" si="147"/>
        <v>27845.249999976077</v>
      </c>
      <c r="U803" s="158">
        <f t="shared" si="149"/>
        <v>411</v>
      </c>
      <c r="V803" s="160">
        <f t="shared" si="148"/>
        <v>411</v>
      </c>
    </row>
    <row r="804" spans="1:22" x14ac:dyDescent="0.25">
      <c r="A804" s="98" t="s">
        <v>28</v>
      </c>
      <c r="B804" s="98" t="s">
        <v>15</v>
      </c>
      <c r="C804" s="98">
        <v>36</v>
      </c>
      <c r="D804" s="98">
        <v>4430</v>
      </c>
      <c r="E804" s="157">
        <v>42961.675694444442</v>
      </c>
      <c r="F804" s="157">
        <v>42961.961111111108</v>
      </c>
      <c r="G804" s="98">
        <v>0</v>
      </c>
      <c r="H804" s="98">
        <v>456</v>
      </c>
      <c r="I804" s="98">
        <v>411</v>
      </c>
      <c r="J804" s="98" t="s">
        <v>2310</v>
      </c>
      <c r="K804" s="98" t="s">
        <v>4592</v>
      </c>
      <c r="L804" s="105" t="str">
        <f t="shared" si="140"/>
        <v>Brown</v>
      </c>
      <c r="M804" s="105" t="str">
        <f t="shared" si="141"/>
        <v>Outage</v>
      </c>
      <c r="N804" s="105" t="str">
        <f t="shared" si="142"/>
        <v>Coal</v>
      </c>
      <c r="O804" s="105">
        <f>IFERROR(VLOOKUP(A804,Lookup!$J$5:$P$19,7,FALSE),0)</f>
        <v>3</v>
      </c>
      <c r="P804" s="159">
        <f t="shared" si="143"/>
        <v>2017</v>
      </c>
      <c r="Q804" s="159">
        <f t="shared" si="144"/>
        <v>8</v>
      </c>
      <c r="R804" s="160">
        <f t="shared" si="145"/>
        <v>6.8499999999767169</v>
      </c>
      <c r="S804" s="158">
        <f t="shared" si="146"/>
        <v>6.8499999999767169</v>
      </c>
      <c r="T804" s="161">
        <f t="shared" si="147"/>
        <v>2815.3499999904307</v>
      </c>
      <c r="U804" s="158">
        <f t="shared" si="149"/>
        <v>411</v>
      </c>
      <c r="V804" s="160">
        <f t="shared" si="148"/>
        <v>411</v>
      </c>
    </row>
    <row r="805" spans="1:22" x14ac:dyDescent="0.25">
      <c r="A805" s="98" t="s">
        <v>28</v>
      </c>
      <c r="B805" s="98" t="s">
        <v>17</v>
      </c>
      <c r="C805" s="98">
        <v>37</v>
      </c>
      <c r="D805" s="98">
        <v>300</v>
      </c>
      <c r="E805" s="157">
        <v>42964.448611111111</v>
      </c>
      <c r="F805" s="157">
        <v>42964.474999999999</v>
      </c>
      <c r="G805" s="98">
        <v>350</v>
      </c>
      <c r="H805" s="98">
        <v>456</v>
      </c>
      <c r="I805" s="98">
        <v>411</v>
      </c>
      <c r="J805" s="98" t="s">
        <v>1977</v>
      </c>
      <c r="K805" s="98" t="s">
        <v>4593</v>
      </c>
      <c r="L805" s="105" t="str">
        <f t="shared" si="140"/>
        <v>Brown</v>
      </c>
      <c r="M805" s="105" t="str">
        <f t="shared" si="141"/>
        <v>Derate</v>
      </c>
      <c r="N805" s="105" t="str">
        <f t="shared" si="142"/>
        <v>Coal</v>
      </c>
      <c r="O805" s="105">
        <f>IFERROR(VLOOKUP(A805,Lookup!$J$5:$P$19,7,FALSE),0)</f>
        <v>3</v>
      </c>
      <c r="P805" s="159">
        <f t="shared" si="143"/>
        <v>2017</v>
      </c>
      <c r="Q805" s="159">
        <f t="shared" si="144"/>
        <v>8</v>
      </c>
      <c r="R805" s="160">
        <f t="shared" si="145"/>
        <v>0.63333333330228925</v>
      </c>
      <c r="S805" s="158">
        <f t="shared" si="146"/>
        <v>0.14722222221500583</v>
      </c>
      <c r="T805" s="161">
        <f t="shared" si="147"/>
        <v>60.5083333303674</v>
      </c>
      <c r="U805" s="158">
        <f t="shared" si="149"/>
        <v>95.53947368421052</v>
      </c>
      <c r="V805" s="160">
        <f t="shared" si="148"/>
        <v>96</v>
      </c>
    </row>
    <row r="806" spans="1:22" x14ac:dyDescent="0.25">
      <c r="A806" s="98" t="s">
        <v>28</v>
      </c>
      <c r="B806" s="98" t="s">
        <v>32</v>
      </c>
      <c r="C806" s="98">
        <v>38</v>
      </c>
      <c r="D806" s="98">
        <v>310</v>
      </c>
      <c r="E806" s="157">
        <v>42971.916666666664</v>
      </c>
      <c r="F806" s="157">
        <v>42972.03125</v>
      </c>
      <c r="G806" s="98">
        <v>350</v>
      </c>
      <c r="H806" s="98">
        <v>456</v>
      </c>
      <c r="I806" s="98">
        <v>411</v>
      </c>
      <c r="J806" s="98" t="s">
        <v>1966</v>
      </c>
      <c r="K806" s="98" t="s">
        <v>4594</v>
      </c>
      <c r="L806" s="105" t="str">
        <f t="shared" si="140"/>
        <v>Brown</v>
      </c>
      <c r="M806" s="105" t="str">
        <f t="shared" si="141"/>
        <v>Derate</v>
      </c>
      <c r="N806" s="105" t="str">
        <f t="shared" si="142"/>
        <v>Coal</v>
      </c>
      <c r="O806" s="105">
        <f>IFERROR(VLOOKUP(A806,Lookup!$J$5:$P$19,7,FALSE),0)</f>
        <v>3</v>
      </c>
      <c r="P806" s="159">
        <f t="shared" si="143"/>
        <v>2017</v>
      </c>
      <c r="Q806" s="159">
        <f t="shared" si="144"/>
        <v>8</v>
      </c>
      <c r="R806" s="160">
        <f t="shared" si="145"/>
        <v>2.7500000000582077</v>
      </c>
      <c r="S806" s="158">
        <f t="shared" si="146"/>
        <v>0.63925438597844297</v>
      </c>
      <c r="T806" s="161">
        <f t="shared" si="147"/>
        <v>262.73355263714006</v>
      </c>
      <c r="U806" s="158">
        <f t="shared" si="149"/>
        <v>95.53947368421052</v>
      </c>
      <c r="V806" s="160">
        <f t="shared" si="148"/>
        <v>96</v>
      </c>
    </row>
    <row r="807" spans="1:22" x14ac:dyDescent="0.25">
      <c r="A807" s="98" t="s">
        <v>28</v>
      </c>
      <c r="B807" s="98" t="s">
        <v>15</v>
      </c>
      <c r="C807" s="98">
        <v>40</v>
      </c>
      <c r="D807" s="98">
        <v>1180</v>
      </c>
      <c r="E807" s="157">
        <v>42983.490277777775</v>
      </c>
      <c r="F807" s="157">
        <v>42985.657638888886</v>
      </c>
      <c r="G807" s="98">
        <v>0</v>
      </c>
      <c r="H807" s="98">
        <v>456</v>
      </c>
      <c r="I807" s="98">
        <v>411</v>
      </c>
      <c r="J807" s="98" t="s">
        <v>2657</v>
      </c>
      <c r="K807" s="98" t="s">
        <v>4595</v>
      </c>
      <c r="L807" s="105" t="str">
        <f t="shared" si="140"/>
        <v>Brown</v>
      </c>
      <c r="M807" s="105" t="str">
        <f t="shared" si="141"/>
        <v>Outage</v>
      </c>
      <c r="N807" s="105" t="str">
        <f t="shared" si="142"/>
        <v>Coal</v>
      </c>
      <c r="O807" s="105">
        <f>IFERROR(VLOOKUP(A807,Lookup!$J$5:$P$19,7,FALSE),0)</f>
        <v>3</v>
      </c>
      <c r="P807" s="159">
        <f t="shared" si="143"/>
        <v>2017</v>
      </c>
      <c r="Q807" s="159">
        <f t="shared" si="144"/>
        <v>9</v>
      </c>
      <c r="R807" s="160">
        <f t="shared" si="145"/>
        <v>52.016666666662786</v>
      </c>
      <c r="S807" s="158">
        <f t="shared" si="146"/>
        <v>52.016666666662786</v>
      </c>
      <c r="T807" s="161">
        <f t="shared" si="147"/>
        <v>21378.849999998405</v>
      </c>
      <c r="U807" s="158">
        <f t="shared" si="149"/>
        <v>411</v>
      </c>
      <c r="V807" s="160">
        <f t="shared" si="148"/>
        <v>411</v>
      </c>
    </row>
    <row r="808" spans="1:22" x14ac:dyDescent="0.25">
      <c r="A808" s="98" t="s">
        <v>28</v>
      </c>
      <c r="B808" s="98" t="s">
        <v>15</v>
      </c>
      <c r="C808" s="98">
        <v>41</v>
      </c>
      <c r="D808" s="98">
        <v>3612</v>
      </c>
      <c r="E808" s="157">
        <v>42986.35833333333</v>
      </c>
      <c r="F808" s="157">
        <v>42986.581250000003</v>
      </c>
      <c r="G808" s="98">
        <v>0</v>
      </c>
      <c r="H808" s="98">
        <v>456</v>
      </c>
      <c r="I808" s="98">
        <v>411</v>
      </c>
      <c r="J808" s="98" t="s">
        <v>2239</v>
      </c>
      <c r="K808" s="98" t="s">
        <v>4596</v>
      </c>
      <c r="L808" s="105" t="str">
        <f t="shared" si="140"/>
        <v>Brown</v>
      </c>
      <c r="M808" s="105" t="str">
        <f t="shared" si="141"/>
        <v>Outage</v>
      </c>
      <c r="N808" s="105" t="str">
        <f t="shared" si="142"/>
        <v>Coal</v>
      </c>
      <c r="O808" s="105">
        <f>IFERROR(VLOOKUP(A808,Lookup!$J$5:$P$19,7,FALSE),0)</f>
        <v>3</v>
      </c>
      <c r="P808" s="159">
        <f t="shared" si="143"/>
        <v>2017</v>
      </c>
      <c r="Q808" s="159">
        <f t="shared" si="144"/>
        <v>9</v>
      </c>
      <c r="R808" s="160">
        <f t="shared" si="145"/>
        <v>5.3500000001513399</v>
      </c>
      <c r="S808" s="158">
        <f t="shared" si="146"/>
        <v>5.3500000001513399</v>
      </c>
      <c r="T808" s="161">
        <f t="shared" si="147"/>
        <v>2198.8500000622007</v>
      </c>
      <c r="U808" s="158">
        <f t="shared" si="149"/>
        <v>411</v>
      </c>
      <c r="V808" s="160">
        <f t="shared" si="148"/>
        <v>411</v>
      </c>
    </row>
    <row r="809" spans="1:22" x14ac:dyDescent="0.25">
      <c r="A809" s="98" t="s">
        <v>28</v>
      </c>
      <c r="B809" s="98" t="s">
        <v>17</v>
      </c>
      <c r="C809" s="98">
        <v>44</v>
      </c>
      <c r="D809" s="98">
        <v>3414</v>
      </c>
      <c r="E809" s="157">
        <v>43002.59375</v>
      </c>
      <c r="F809" s="157">
        <v>43002.618750000001</v>
      </c>
      <c r="G809" s="98">
        <v>245</v>
      </c>
      <c r="H809" s="98">
        <v>456</v>
      </c>
      <c r="I809" s="98">
        <v>411</v>
      </c>
      <c r="J809" s="98" t="s">
        <v>1984</v>
      </c>
      <c r="K809" s="98" t="s">
        <v>4597</v>
      </c>
      <c r="L809" s="105" t="str">
        <f t="shared" si="140"/>
        <v>Brown</v>
      </c>
      <c r="M809" s="105" t="str">
        <f t="shared" si="141"/>
        <v>Derate</v>
      </c>
      <c r="N809" s="105" t="str">
        <f t="shared" si="142"/>
        <v>Coal</v>
      </c>
      <c r="O809" s="105">
        <f>IFERROR(VLOOKUP(A809,Lookup!$J$5:$P$19,7,FALSE),0)</f>
        <v>3</v>
      </c>
      <c r="P809" s="159">
        <f t="shared" si="143"/>
        <v>2017</v>
      </c>
      <c r="Q809" s="159">
        <f t="shared" si="144"/>
        <v>9</v>
      </c>
      <c r="R809" s="160">
        <f t="shared" si="145"/>
        <v>0.6000000000349246</v>
      </c>
      <c r="S809" s="158">
        <f t="shared" si="146"/>
        <v>0.27763157896352869</v>
      </c>
      <c r="T809" s="161">
        <f t="shared" si="147"/>
        <v>114.10657895401029</v>
      </c>
      <c r="U809" s="158">
        <f t="shared" si="149"/>
        <v>190.17763157894737</v>
      </c>
      <c r="V809" s="160">
        <f t="shared" si="148"/>
        <v>190</v>
      </c>
    </row>
    <row r="810" spans="1:22" x14ac:dyDescent="0.25">
      <c r="A810" s="98" t="s">
        <v>28</v>
      </c>
      <c r="B810" s="98" t="s">
        <v>79</v>
      </c>
      <c r="C810" s="98">
        <v>45</v>
      </c>
      <c r="D810" s="98">
        <v>8700</v>
      </c>
      <c r="E810" s="157">
        <v>43024.695833333331</v>
      </c>
      <c r="F810" s="157">
        <v>43024.875</v>
      </c>
      <c r="G810" s="98">
        <v>0</v>
      </c>
      <c r="H810" s="98">
        <v>456</v>
      </c>
      <c r="I810" s="98">
        <v>411</v>
      </c>
      <c r="J810" s="98" t="s">
        <v>1987</v>
      </c>
      <c r="K810" s="98" t="s">
        <v>82</v>
      </c>
      <c r="L810" s="105" t="str">
        <f t="shared" si="140"/>
        <v>Brown</v>
      </c>
      <c r="M810" s="105" t="str">
        <f t="shared" si="141"/>
        <v>Other</v>
      </c>
      <c r="N810" s="105" t="str">
        <f t="shared" si="142"/>
        <v>Coal</v>
      </c>
      <c r="O810" s="105">
        <f>IFERROR(VLOOKUP(A810,Lookup!$J$5:$P$19,7,FALSE),0)</f>
        <v>3</v>
      </c>
      <c r="P810" s="159">
        <f t="shared" si="143"/>
        <v>2017</v>
      </c>
      <c r="Q810" s="159">
        <f t="shared" si="144"/>
        <v>10</v>
      </c>
      <c r="R810" s="160">
        <f t="shared" si="145"/>
        <v>4.3000000000465661</v>
      </c>
      <c r="S810" s="158">
        <f t="shared" si="146"/>
        <v>4.3000000000465661</v>
      </c>
      <c r="T810" s="161">
        <f t="shared" si="147"/>
        <v>1767.3000000191387</v>
      </c>
      <c r="U810" s="158">
        <f t="shared" si="149"/>
        <v>411</v>
      </c>
      <c r="V810" s="160">
        <f t="shared" si="148"/>
        <v>411</v>
      </c>
    </row>
    <row r="811" spans="1:22" x14ac:dyDescent="0.25">
      <c r="A811" s="98" t="s">
        <v>28</v>
      </c>
      <c r="B811" s="98" t="s">
        <v>32</v>
      </c>
      <c r="C811" s="98">
        <v>46</v>
      </c>
      <c r="D811" s="98">
        <v>3412</v>
      </c>
      <c r="E811" s="157">
        <v>43024.875</v>
      </c>
      <c r="F811" s="157">
        <v>43025.226388888892</v>
      </c>
      <c r="G811" s="98">
        <v>300</v>
      </c>
      <c r="H811" s="98">
        <v>456</v>
      </c>
      <c r="I811" s="98">
        <v>411</v>
      </c>
      <c r="J811" s="98" t="s">
        <v>2162</v>
      </c>
      <c r="K811" s="98" t="s">
        <v>4598</v>
      </c>
      <c r="L811" s="105" t="str">
        <f t="shared" si="140"/>
        <v>Brown</v>
      </c>
      <c r="M811" s="105" t="str">
        <f t="shared" si="141"/>
        <v>Derate</v>
      </c>
      <c r="N811" s="105" t="str">
        <f t="shared" si="142"/>
        <v>Coal</v>
      </c>
      <c r="O811" s="105">
        <f>IFERROR(VLOOKUP(A811,Lookup!$J$5:$P$19,7,FALSE),0)</f>
        <v>3</v>
      </c>
      <c r="P811" s="159">
        <f t="shared" si="143"/>
        <v>2017</v>
      </c>
      <c r="Q811" s="159">
        <f t="shared" si="144"/>
        <v>10</v>
      </c>
      <c r="R811" s="160">
        <f t="shared" si="145"/>
        <v>8.433333333407063</v>
      </c>
      <c r="S811" s="158">
        <f t="shared" si="146"/>
        <v>2.8850877193234687</v>
      </c>
      <c r="T811" s="161">
        <f t="shared" si="147"/>
        <v>1185.7710526419457</v>
      </c>
      <c r="U811" s="158">
        <f t="shared" si="149"/>
        <v>140.60526315789474</v>
      </c>
      <c r="V811" s="160">
        <f t="shared" si="148"/>
        <v>141</v>
      </c>
    </row>
    <row r="812" spans="1:22" x14ac:dyDescent="0.25">
      <c r="A812" s="98" t="s">
        <v>28</v>
      </c>
      <c r="B812" s="98" t="s">
        <v>17</v>
      </c>
      <c r="C812" s="98">
        <v>47</v>
      </c>
      <c r="D812" s="98">
        <v>3412</v>
      </c>
      <c r="E812" s="157">
        <v>43040.637499999997</v>
      </c>
      <c r="F812" s="157">
        <v>43040.661805555559</v>
      </c>
      <c r="G812" s="98">
        <v>310</v>
      </c>
      <c r="H812" s="98">
        <v>456</v>
      </c>
      <c r="I812" s="98">
        <v>411</v>
      </c>
      <c r="J812" s="98" t="s">
        <v>2162</v>
      </c>
      <c r="K812" s="98" t="s">
        <v>4599</v>
      </c>
      <c r="L812" s="105" t="str">
        <f t="shared" si="140"/>
        <v>Brown</v>
      </c>
      <c r="M812" s="105" t="str">
        <f t="shared" si="141"/>
        <v>Derate</v>
      </c>
      <c r="N812" s="105" t="str">
        <f t="shared" si="142"/>
        <v>Coal</v>
      </c>
      <c r="O812" s="105">
        <f>IFERROR(VLOOKUP(A812,Lookup!$J$5:$P$19,7,FALSE),0)</f>
        <v>3</v>
      </c>
      <c r="P812" s="159">
        <f t="shared" si="143"/>
        <v>2017</v>
      </c>
      <c r="Q812" s="159">
        <f t="shared" si="144"/>
        <v>11</v>
      </c>
      <c r="R812" s="160">
        <f t="shared" si="145"/>
        <v>0.58333333348855376</v>
      </c>
      <c r="S812" s="158">
        <f t="shared" si="146"/>
        <v>0.186769005897651</v>
      </c>
      <c r="T812" s="161">
        <f t="shared" si="147"/>
        <v>76.762061423934554</v>
      </c>
      <c r="U812" s="158">
        <f t="shared" si="149"/>
        <v>131.59210526315789</v>
      </c>
      <c r="V812" s="160">
        <f t="shared" si="148"/>
        <v>132</v>
      </c>
    </row>
    <row r="813" spans="1:22" x14ac:dyDescent="0.25">
      <c r="A813" s="98" t="s">
        <v>28</v>
      </c>
      <c r="B813" s="98" t="s">
        <v>17</v>
      </c>
      <c r="C813" s="98">
        <v>48</v>
      </c>
      <c r="D813" s="98">
        <v>3412</v>
      </c>
      <c r="E813" s="157">
        <v>43040.661805555559</v>
      </c>
      <c r="F813" s="157">
        <v>43040.863194444442</v>
      </c>
      <c r="G813" s="98">
        <v>325</v>
      </c>
      <c r="H813" s="98">
        <v>456</v>
      </c>
      <c r="I813" s="98">
        <v>411</v>
      </c>
      <c r="J813" s="98" t="s">
        <v>2162</v>
      </c>
      <c r="K813" s="98" t="s">
        <v>4599</v>
      </c>
      <c r="L813" s="105" t="str">
        <f t="shared" si="140"/>
        <v>Brown</v>
      </c>
      <c r="M813" s="105" t="str">
        <f t="shared" si="141"/>
        <v>Derate</v>
      </c>
      <c r="N813" s="105" t="str">
        <f t="shared" si="142"/>
        <v>Coal</v>
      </c>
      <c r="O813" s="105">
        <f>IFERROR(VLOOKUP(A813,Lookup!$J$5:$P$19,7,FALSE),0)</f>
        <v>3</v>
      </c>
      <c r="P813" s="159">
        <f t="shared" si="143"/>
        <v>2017</v>
      </c>
      <c r="Q813" s="159">
        <f t="shared" si="144"/>
        <v>11</v>
      </c>
      <c r="R813" s="160">
        <f t="shared" si="145"/>
        <v>4.8333333331975155</v>
      </c>
      <c r="S813" s="158">
        <f t="shared" si="146"/>
        <v>1.3885233917738475</v>
      </c>
      <c r="T813" s="161">
        <f t="shared" si="147"/>
        <v>570.68311401905135</v>
      </c>
      <c r="U813" s="158">
        <f t="shared" si="149"/>
        <v>118.07236842105263</v>
      </c>
      <c r="V813" s="160">
        <f t="shared" si="148"/>
        <v>118</v>
      </c>
    </row>
    <row r="814" spans="1:22" x14ac:dyDescent="0.25">
      <c r="A814" s="98" t="s">
        <v>28</v>
      </c>
      <c r="B814" s="98" t="s">
        <v>38</v>
      </c>
      <c r="C814" s="98">
        <v>50</v>
      </c>
      <c r="D814" s="98">
        <v>891</v>
      </c>
      <c r="E814" s="157">
        <v>43064</v>
      </c>
      <c r="F814" s="157">
        <v>43077.536111111112</v>
      </c>
      <c r="G814" s="98">
        <v>0</v>
      </c>
      <c r="H814" s="98">
        <v>456</v>
      </c>
      <c r="I814" s="98">
        <v>411</v>
      </c>
      <c r="J814" s="98" t="s">
        <v>2122</v>
      </c>
      <c r="K814" s="98" t="s">
        <v>4600</v>
      </c>
      <c r="L814" s="105" t="str">
        <f t="shared" si="140"/>
        <v>Brown</v>
      </c>
      <c r="M814" s="105" t="str">
        <f t="shared" si="141"/>
        <v>Other</v>
      </c>
      <c r="N814" s="105" t="str">
        <f t="shared" si="142"/>
        <v>Coal</v>
      </c>
      <c r="O814" s="105">
        <f>IFERROR(VLOOKUP(A814,Lookup!$J$5:$P$19,7,FALSE),0)</f>
        <v>3</v>
      </c>
      <c r="P814" s="159">
        <f t="shared" si="143"/>
        <v>2017</v>
      </c>
      <c r="Q814" s="159">
        <f t="shared" si="144"/>
        <v>11</v>
      </c>
      <c r="R814" s="160">
        <f t="shared" si="145"/>
        <v>324.86666666669771</v>
      </c>
      <c r="S814" s="158">
        <f t="shared" si="146"/>
        <v>324.86666666669771</v>
      </c>
      <c r="T814" s="161">
        <f t="shared" si="147"/>
        <v>133520.20000001276</v>
      </c>
      <c r="U814" s="158">
        <f t="shared" si="149"/>
        <v>411</v>
      </c>
      <c r="V814" s="160">
        <f t="shared" si="148"/>
        <v>411</v>
      </c>
    </row>
    <row r="815" spans="1:22" x14ac:dyDescent="0.25">
      <c r="A815" s="98" t="s">
        <v>28</v>
      </c>
      <c r="B815" s="98" t="s">
        <v>32</v>
      </c>
      <c r="C815" s="98">
        <v>51</v>
      </c>
      <c r="D815" s="98">
        <v>3412</v>
      </c>
      <c r="E815" s="157">
        <v>43078.291666666664</v>
      </c>
      <c r="F815" s="157">
        <v>43078.576388888891</v>
      </c>
      <c r="G815" s="98">
        <v>315</v>
      </c>
      <c r="H815" s="98">
        <v>456</v>
      </c>
      <c r="I815" s="98">
        <v>411</v>
      </c>
      <c r="J815" s="98" t="s">
        <v>2162</v>
      </c>
      <c r="K815" s="98" t="s">
        <v>4601</v>
      </c>
      <c r="L815" s="105" t="str">
        <f t="shared" si="140"/>
        <v>Brown</v>
      </c>
      <c r="M815" s="105" t="str">
        <f t="shared" si="141"/>
        <v>Derate</v>
      </c>
      <c r="N815" s="105" t="str">
        <f t="shared" si="142"/>
        <v>Coal</v>
      </c>
      <c r="O815" s="105">
        <f>IFERROR(VLOOKUP(A815,Lookup!$J$5:$P$19,7,FALSE),0)</f>
        <v>3</v>
      </c>
      <c r="P815" s="159">
        <f t="shared" si="143"/>
        <v>2017</v>
      </c>
      <c r="Q815" s="159">
        <f t="shared" si="144"/>
        <v>12</v>
      </c>
      <c r="R815" s="160">
        <f t="shared" si="145"/>
        <v>6.8333333334303461</v>
      </c>
      <c r="S815" s="158">
        <f t="shared" si="146"/>
        <v>2.1129385965212255</v>
      </c>
      <c r="T815" s="161">
        <f t="shared" si="147"/>
        <v>868.41776317022368</v>
      </c>
      <c r="U815" s="158">
        <f t="shared" si="149"/>
        <v>127.08552631578948</v>
      </c>
      <c r="V815" s="160">
        <f t="shared" si="148"/>
        <v>127</v>
      </c>
    </row>
    <row r="816" spans="1:22" x14ac:dyDescent="0.25">
      <c r="A816" s="98" t="s">
        <v>28</v>
      </c>
      <c r="B816" s="98" t="s">
        <v>15</v>
      </c>
      <c r="C816" s="98">
        <v>53</v>
      </c>
      <c r="D816" s="98">
        <v>385</v>
      </c>
      <c r="E816" s="157">
        <v>43094.263888888891</v>
      </c>
      <c r="F816" s="157">
        <v>43094.275694444441</v>
      </c>
      <c r="G816" s="98">
        <v>0</v>
      </c>
      <c r="H816" s="98">
        <v>456</v>
      </c>
      <c r="I816" s="98">
        <v>411</v>
      </c>
      <c r="J816" s="98" t="s">
        <v>228</v>
      </c>
      <c r="K816" s="98" t="s">
        <v>4602</v>
      </c>
      <c r="L816" s="105" t="str">
        <f t="shared" si="140"/>
        <v>Brown</v>
      </c>
      <c r="M816" s="105" t="str">
        <f t="shared" si="141"/>
        <v>Outage</v>
      </c>
      <c r="N816" s="105" t="str">
        <f t="shared" si="142"/>
        <v>Coal</v>
      </c>
      <c r="O816" s="105">
        <f>IFERROR(VLOOKUP(A816,Lookup!$J$5:$P$19,7,FALSE),0)</f>
        <v>3</v>
      </c>
      <c r="P816" s="159">
        <f t="shared" si="143"/>
        <v>2017</v>
      </c>
      <c r="Q816" s="159">
        <f t="shared" si="144"/>
        <v>12</v>
      </c>
      <c r="R816" s="160">
        <f t="shared" si="145"/>
        <v>0.28333333320915699</v>
      </c>
      <c r="S816" s="158">
        <f t="shared" si="146"/>
        <v>0.28333333320915699</v>
      </c>
      <c r="T816" s="161">
        <f t="shared" si="147"/>
        <v>116.44999994896352</v>
      </c>
      <c r="U816" s="158">
        <f t="shared" si="149"/>
        <v>411</v>
      </c>
      <c r="V816" s="160">
        <f t="shared" si="148"/>
        <v>411</v>
      </c>
    </row>
    <row r="817" spans="1:22" x14ac:dyDescent="0.25">
      <c r="A817" s="98" t="s">
        <v>28</v>
      </c>
      <c r="B817" s="98" t="s">
        <v>15</v>
      </c>
      <c r="C817" s="98">
        <v>54</v>
      </c>
      <c r="D817" s="98">
        <v>1180</v>
      </c>
      <c r="E817" s="157">
        <v>43096.070138888892</v>
      </c>
      <c r="F817" s="157">
        <v>43098.909722222219</v>
      </c>
      <c r="G817" s="98">
        <v>0</v>
      </c>
      <c r="H817" s="98">
        <v>456</v>
      </c>
      <c r="I817" s="98">
        <v>411</v>
      </c>
      <c r="J817" s="98" t="s">
        <v>2657</v>
      </c>
      <c r="K817" s="98" t="s">
        <v>4595</v>
      </c>
      <c r="L817" s="105" t="str">
        <f t="shared" si="140"/>
        <v>Brown</v>
      </c>
      <c r="M817" s="105" t="str">
        <f t="shared" si="141"/>
        <v>Outage</v>
      </c>
      <c r="N817" s="105" t="str">
        <f t="shared" si="142"/>
        <v>Coal</v>
      </c>
      <c r="O817" s="105">
        <f>IFERROR(VLOOKUP(A817,Lookup!$J$5:$P$19,7,FALSE),0)</f>
        <v>3</v>
      </c>
      <c r="P817" s="159">
        <f t="shared" si="143"/>
        <v>2017</v>
      </c>
      <c r="Q817" s="159">
        <f t="shared" si="144"/>
        <v>12</v>
      </c>
      <c r="R817" s="160">
        <f t="shared" si="145"/>
        <v>68.14999999984866</v>
      </c>
      <c r="S817" s="158">
        <f t="shared" si="146"/>
        <v>68.14999999984866</v>
      </c>
      <c r="T817" s="161">
        <f t="shared" si="147"/>
        <v>28009.649999937799</v>
      </c>
      <c r="U817" s="158">
        <f t="shared" si="149"/>
        <v>411</v>
      </c>
      <c r="V817" s="160">
        <f t="shared" si="148"/>
        <v>411</v>
      </c>
    </row>
    <row r="818" spans="1:22" x14ac:dyDescent="0.25">
      <c r="A818" s="98" t="s">
        <v>28</v>
      </c>
      <c r="B818" s="98" t="s">
        <v>17</v>
      </c>
      <c r="C818" s="98">
        <v>55</v>
      </c>
      <c r="D818" s="98">
        <v>310</v>
      </c>
      <c r="E818" s="157">
        <v>43099.636805555558</v>
      </c>
      <c r="F818" s="157">
        <v>43100.415972222225</v>
      </c>
      <c r="G818" s="98">
        <v>375</v>
      </c>
      <c r="H818" s="98">
        <v>456</v>
      </c>
      <c r="I818" s="98">
        <v>411</v>
      </c>
      <c r="J818" s="98" t="s">
        <v>1966</v>
      </c>
      <c r="K818" s="98" t="s">
        <v>4603</v>
      </c>
      <c r="L818" s="105" t="str">
        <f t="shared" si="140"/>
        <v>Brown</v>
      </c>
      <c r="M818" s="105" t="str">
        <f t="shared" si="141"/>
        <v>Derate</v>
      </c>
      <c r="N818" s="105" t="str">
        <f t="shared" si="142"/>
        <v>Coal</v>
      </c>
      <c r="O818" s="105">
        <f>IFERROR(VLOOKUP(A818,Lookup!$J$5:$P$19,7,FALSE),0)</f>
        <v>3</v>
      </c>
      <c r="P818" s="159">
        <f t="shared" si="143"/>
        <v>2017</v>
      </c>
      <c r="Q818" s="159">
        <f t="shared" si="144"/>
        <v>12</v>
      </c>
      <c r="R818" s="160">
        <f t="shared" si="145"/>
        <v>18.700000000011642</v>
      </c>
      <c r="S818" s="158">
        <f t="shared" si="146"/>
        <v>3.3217105263178572</v>
      </c>
      <c r="T818" s="161">
        <f t="shared" si="147"/>
        <v>1365.2230263166393</v>
      </c>
      <c r="U818" s="158">
        <f t="shared" si="149"/>
        <v>73.006578947368425</v>
      </c>
      <c r="V818" s="160">
        <f t="shared" si="148"/>
        <v>73</v>
      </c>
    </row>
    <row r="819" spans="1:22" x14ac:dyDescent="0.25">
      <c r="A819" s="98" t="s">
        <v>28</v>
      </c>
      <c r="B819" s="98" t="s">
        <v>17</v>
      </c>
      <c r="C819" s="98">
        <v>56</v>
      </c>
      <c r="D819" s="98">
        <v>30</v>
      </c>
      <c r="E819" s="157">
        <v>43100.415972222225</v>
      </c>
      <c r="F819" s="157">
        <v>43100.453472222223</v>
      </c>
      <c r="G819" s="98">
        <v>250</v>
      </c>
      <c r="H819" s="98">
        <v>456</v>
      </c>
      <c r="I819" s="98">
        <v>411</v>
      </c>
      <c r="J819" s="98" t="s">
        <v>2125</v>
      </c>
      <c r="K819" s="98" t="s">
        <v>4604</v>
      </c>
      <c r="L819" s="105" t="str">
        <f t="shared" si="140"/>
        <v>Brown</v>
      </c>
      <c r="M819" s="105" t="str">
        <f t="shared" si="141"/>
        <v>Derate</v>
      </c>
      <c r="N819" s="105" t="str">
        <f t="shared" si="142"/>
        <v>Coal</v>
      </c>
      <c r="O819" s="105">
        <f>IFERROR(VLOOKUP(A819,Lookup!$J$5:$P$19,7,FALSE),0)</f>
        <v>3</v>
      </c>
      <c r="P819" s="159">
        <f t="shared" si="143"/>
        <v>2017</v>
      </c>
      <c r="Q819" s="159">
        <f t="shared" si="144"/>
        <v>12</v>
      </c>
      <c r="R819" s="160">
        <f t="shared" si="145"/>
        <v>0.8999999999650754</v>
      </c>
      <c r="S819" s="158">
        <f t="shared" si="146"/>
        <v>0.40657894735264372</v>
      </c>
      <c r="T819" s="161">
        <f t="shared" si="147"/>
        <v>167.10394736193658</v>
      </c>
      <c r="U819" s="158">
        <f t="shared" si="149"/>
        <v>185.67105263157896</v>
      </c>
      <c r="V819" s="160">
        <f t="shared" si="148"/>
        <v>186</v>
      </c>
    </row>
    <row r="820" spans="1:22" x14ac:dyDescent="0.25">
      <c r="A820" s="98" t="s">
        <v>28</v>
      </c>
      <c r="B820" s="98" t="s">
        <v>17</v>
      </c>
      <c r="C820" s="98">
        <v>57</v>
      </c>
      <c r="D820" s="98">
        <v>310</v>
      </c>
      <c r="E820" s="157">
        <v>43100.453472222223</v>
      </c>
      <c r="F820" s="157">
        <v>43100.76666666667</v>
      </c>
      <c r="G820" s="98">
        <v>375</v>
      </c>
      <c r="H820" s="98">
        <v>456</v>
      </c>
      <c r="I820" s="98">
        <v>411</v>
      </c>
      <c r="J820" s="98" t="s">
        <v>1966</v>
      </c>
      <c r="K820" s="98" t="s">
        <v>4605</v>
      </c>
      <c r="L820" s="105" t="str">
        <f t="shared" si="140"/>
        <v>Brown</v>
      </c>
      <c r="M820" s="105" t="str">
        <f t="shared" si="141"/>
        <v>Derate</v>
      </c>
      <c r="N820" s="105" t="str">
        <f t="shared" si="142"/>
        <v>Coal</v>
      </c>
      <c r="O820" s="105">
        <f>IFERROR(VLOOKUP(A820,Lookup!$J$5:$P$19,7,FALSE),0)</f>
        <v>3</v>
      </c>
      <c r="P820" s="159">
        <f t="shared" si="143"/>
        <v>2017</v>
      </c>
      <c r="Q820" s="159">
        <f t="shared" si="144"/>
        <v>12</v>
      </c>
      <c r="R820" s="160">
        <f t="shared" si="145"/>
        <v>7.5166666667209938</v>
      </c>
      <c r="S820" s="158">
        <f t="shared" si="146"/>
        <v>1.3351973684307028</v>
      </c>
      <c r="T820" s="161">
        <f t="shared" si="147"/>
        <v>548.76611842501882</v>
      </c>
      <c r="U820" s="158">
        <f t="shared" si="149"/>
        <v>73.006578947368425</v>
      </c>
      <c r="V820" s="160">
        <f t="shared" si="148"/>
        <v>73</v>
      </c>
    </row>
    <row r="821" spans="1:22" x14ac:dyDescent="0.25">
      <c r="A821" s="98" t="s">
        <v>28</v>
      </c>
      <c r="B821" s="98" t="s">
        <v>17</v>
      </c>
      <c r="C821" s="98">
        <v>58</v>
      </c>
      <c r="D821" s="98">
        <v>310</v>
      </c>
      <c r="E821" s="157">
        <v>43100.76666666667</v>
      </c>
      <c r="F821" s="157">
        <v>43101</v>
      </c>
      <c r="G821" s="98">
        <v>360</v>
      </c>
      <c r="H821" s="98">
        <v>456</v>
      </c>
      <c r="I821" s="98">
        <v>411</v>
      </c>
      <c r="J821" s="98" t="s">
        <v>1966</v>
      </c>
      <c r="K821" s="98" t="s">
        <v>4605</v>
      </c>
      <c r="L821" s="105" t="str">
        <f t="shared" si="140"/>
        <v>Brown</v>
      </c>
      <c r="M821" s="105" t="str">
        <f t="shared" si="141"/>
        <v>Derate</v>
      </c>
      <c r="N821" s="105" t="str">
        <f t="shared" si="142"/>
        <v>Coal</v>
      </c>
      <c r="O821" s="105">
        <f>IFERROR(VLOOKUP(A821,Lookup!$J$5:$P$19,7,FALSE),0)</f>
        <v>3</v>
      </c>
      <c r="P821" s="159">
        <f t="shared" si="143"/>
        <v>2017</v>
      </c>
      <c r="Q821" s="159">
        <f t="shared" si="144"/>
        <v>12</v>
      </c>
      <c r="R821" s="160">
        <f t="shared" si="145"/>
        <v>5.5999999999185093</v>
      </c>
      <c r="S821" s="158">
        <f t="shared" si="146"/>
        <v>1.1789473684038967</v>
      </c>
      <c r="T821" s="161">
        <f t="shared" si="147"/>
        <v>484.54736841400154</v>
      </c>
      <c r="U821" s="158">
        <f t="shared" si="149"/>
        <v>86.526315789473685</v>
      </c>
      <c r="V821" s="160">
        <f t="shared" si="148"/>
        <v>87</v>
      </c>
    </row>
    <row r="822" spans="1:22" x14ac:dyDescent="0.25">
      <c r="A822" s="98" t="s">
        <v>28</v>
      </c>
      <c r="B822" s="98" t="s">
        <v>17</v>
      </c>
      <c r="C822" s="98">
        <v>1</v>
      </c>
      <c r="D822" s="98">
        <v>310</v>
      </c>
      <c r="E822" s="157">
        <v>43101</v>
      </c>
      <c r="F822" s="157">
        <v>43104.722916666666</v>
      </c>
      <c r="G822" s="98">
        <v>360</v>
      </c>
      <c r="H822" s="98">
        <v>456</v>
      </c>
      <c r="I822" s="98">
        <v>411</v>
      </c>
      <c r="J822" s="98" t="s">
        <v>1966</v>
      </c>
      <c r="K822" s="98" t="s">
        <v>4605</v>
      </c>
      <c r="L822" s="105" t="str">
        <f t="shared" si="140"/>
        <v>Brown</v>
      </c>
      <c r="M822" s="105" t="str">
        <f t="shared" si="141"/>
        <v>Derate</v>
      </c>
      <c r="N822" s="105" t="str">
        <f t="shared" si="142"/>
        <v>Coal</v>
      </c>
      <c r="O822" s="105">
        <f>IFERROR(VLOOKUP(A822,Lookup!$J$5:$P$19,7,FALSE),0)</f>
        <v>3</v>
      </c>
      <c r="P822" s="159">
        <f t="shared" si="143"/>
        <v>2018</v>
      </c>
      <c r="Q822" s="159">
        <f t="shared" si="144"/>
        <v>1</v>
      </c>
      <c r="R822" s="160">
        <f t="shared" si="145"/>
        <v>89.349999999976717</v>
      </c>
      <c r="S822" s="158">
        <f t="shared" si="146"/>
        <v>18.810526315784571</v>
      </c>
      <c r="T822" s="161">
        <f t="shared" si="147"/>
        <v>7731.1263157874591</v>
      </c>
      <c r="U822" s="158">
        <f t="shared" si="149"/>
        <v>86.526315789473685</v>
      </c>
      <c r="V822" s="160">
        <f t="shared" si="148"/>
        <v>87</v>
      </c>
    </row>
    <row r="823" spans="1:22" x14ac:dyDescent="0.25">
      <c r="A823" s="98" t="s">
        <v>28</v>
      </c>
      <c r="B823" s="98" t="s">
        <v>15</v>
      </c>
      <c r="C823" s="98">
        <v>2</v>
      </c>
      <c r="D823" s="98">
        <v>1090</v>
      </c>
      <c r="E823" s="157">
        <v>43104.722916666666</v>
      </c>
      <c r="F823" s="157">
        <v>43105.811805555553</v>
      </c>
      <c r="G823" s="98">
        <v>0</v>
      </c>
      <c r="H823" s="98">
        <v>456</v>
      </c>
      <c r="I823" s="98">
        <v>411</v>
      </c>
      <c r="J823" s="98" t="s">
        <v>2096</v>
      </c>
      <c r="K823" s="98" t="s">
        <v>4606</v>
      </c>
      <c r="L823" s="105" t="str">
        <f t="shared" si="140"/>
        <v>Brown</v>
      </c>
      <c r="M823" s="105" t="str">
        <f t="shared" si="141"/>
        <v>Outage</v>
      </c>
      <c r="N823" s="105" t="str">
        <f t="shared" si="142"/>
        <v>Coal</v>
      </c>
      <c r="O823" s="105">
        <f>IFERROR(VLOOKUP(A823,Lookup!$J$5:$P$19,7,FALSE),0)</f>
        <v>3</v>
      </c>
      <c r="P823" s="159">
        <f t="shared" si="143"/>
        <v>2018</v>
      </c>
      <c r="Q823" s="159">
        <f t="shared" si="144"/>
        <v>1</v>
      </c>
      <c r="R823" s="160">
        <f t="shared" si="145"/>
        <v>26.133333333302289</v>
      </c>
      <c r="S823" s="158">
        <f t="shared" si="146"/>
        <v>26.133333333302289</v>
      </c>
      <c r="T823" s="161">
        <f t="shared" si="147"/>
        <v>10740.799999987241</v>
      </c>
      <c r="U823" s="158">
        <f t="shared" si="149"/>
        <v>411</v>
      </c>
      <c r="V823" s="160">
        <f t="shared" si="148"/>
        <v>411</v>
      </c>
    </row>
    <row r="824" spans="1:22" x14ac:dyDescent="0.25">
      <c r="A824" s="98" t="s">
        <v>28</v>
      </c>
      <c r="B824" s="98" t="s">
        <v>17</v>
      </c>
      <c r="C824" s="98">
        <v>3</v>
      </c>
      <c r="D824" s="98">
        <v>310</v>
      </c>
      <c r="E824" s="157">
        <v>43105.8125</v>
      </c>
      <c r="F824" s="157">
        <v>43111.6875</v>
      </c>
      <c r="G824" s="98">
        <v>360</v>
      </c>
      <c r="H824" s="98">
        <v>456</v>
      </c>
      <c r="I824" s="98">
        <v>411</v>
      </c>
      <c r="J824" s="98" t="s">
        <v>1966</v>
      </c>
      <c r="K824" s="98" t="s">
        <v>4605</v>
      </c>
      <c r="L824" s="105" t="str">
        <f t="shared" si="140"/>
        <v>Brown</v>
      </c>
      <c r="M824" s="105" t="str">
        <f t="shared" si="141"/>
        <v>Derate</v>
      </c>
      <c r="N824" s="105" t="str">
        <f t="shared" si="142"/>
        <v>Coal</v>
      </c>
      <c r="O824" s="105">
        <f>IFERROR(VLOOKUP(A824,Lookup!$J$5:$P$19,7,FALSE),0)</f>
        <v>3</v>
      </c>
      <c r="P824" s="159">
        <f t="shared" si="143"/>
        <v>2018</v>
      </c>
      <c r="Q824" s="159">
        <f t="shared" si="144"/>
        <v>1</v>
      </c>
      <c r="R824" s="160">
        <f t="shared" si="145"/>
        <v>141</v>
      </c>
      <c r="S824" s="158">
        <f t="shared" si="146"/>
        <v>29.684210526315791</v>
      </c>
      <c r="T824" s="161">
        <f t="shared" si="147"/>
        <v>12200.21052631579</v>
      </c>
      <c r="U824" s="158">
        <f t="shared" si="149"/>
        <v>86.526315789473685</v>
      </c>
      <c r="V824" s="160">
        <f t="shared" si="148"/>
        <v>87</v>
      </c>
    </row>
    <row r="825" spans="1:22" x14ac:dyDescent="0.25">
      <c r="A825" s="98" t="s">
        <v>28</v>
      </c>
      <c r="B825" s="98" t="s">
        <v>15</v>
      </c>
      <c r="C825" s="98">
        <v>4</v>
      </c>
      <c r="D825" s="98">
        <v>1090</v>
      </c>
      <c r="E825" s="157">
        <v>43111.6875</v>
      </c>
      <c r="F825" s="157">
        <v>43115.622916666667</v>
      </c>
      <c r="G825" s="98">
        <v>0</v>
      </c>
      <c r="H825" s="98">
        <v>456</v>
      </c>
      <c r="I825" s="98">
        <v>411</v>
      </c>
      <c r="J825" s="98" t="s">
        <v>2096</v>
      </c>
      <c r="K825" s="98" t="s">
        <v>4607</v>
      </c>
      <c r="L825" s="105" t="str">
        <f t="shared" si="140"/>
        <v>Brown</v>
      </c>
      <c r="M825" s="105" t="str">
        <f t="shared" si="141"/>
        <v>Outage</v>
      </c>
      <c r="N825" s="105" t="str">
        <f t="shared" si="142"/>
        <v>Coal</v>
      </c>
      <c r="O825" s="105">
        <f>IFERROR(VLOOKUP(A825,Lookup!$J$5:$P$19,7,FALSE),0)</f>
        <v>3</v>
      </c>
      <c r="P825" s="159">
        <f t="shared" si="143"/>
        <v>2018</v>
      </c>
      <c r="Q825" s="159">
        <f t="shared" si="144"/>
        <v>1</v>
      </c>
      <c r="R825" s="160">
        <f t="shared" si="145"/>
        <v>94.450000000011642</v>
      </c>
      <c r="S825" s="158">
        <f t="shared" si="146"/>
        <v>94.450000000011642</v>
      </c>
      <c r="T825" s="161">
        <f t="shared" si="147"/>
        <v>38818.950000004785</v>
      </c>
      <c r="U825" s="158">
        <f t="shared" si="149"/>
        <v>411</v>
      </c>
      <c r="V825" s="160">
        <f t="shared" si="148"/>
        <v>411</v>
      </c>
    </row>
    <row r="826" spans="1:22" x14ac:dyDescent="0.25">
      <c r="A826" s="98" t="s">
        <v>28</v>
      </c>
      <c r="B826" s="98" t="s">
        <v>17</v>
      </c>
      <c r="C826" s="98">
        <v>5</v>
      </c>
      <c r="D826" s="98">
        <v>310</v>
      </c>
      <c r="E826" s="157">
        <v>43115.623611111114</v>
      </c>
      <c r="F826" s="157">
        <v>43115.7</v>
      </c>
      <c r="G826" s="98">
        <v>360</v>
      </c>
      <c r="H826" s="98">
        <v>456</v>
      </c>
      <c r="I826" s="98">
        <v>411</v>
      </c>
      <c r="J826" s="98" t="s">
        <v>1966</v>
      </c>
      <c r="K826" s="98" t="s">
        <v>4603</v>
      </c>
      <c r="L826" s="105" t="str">
        <f t="shared" si="140"/>
        <v>Brown</v>
      </c>
      <c r="M826" s="105" t="str">
        <f t="shared" si="141"/>
        <v>Derate</v>
      </c>
      <c r="N826" s="105" t="str">
        <f t="shared" si="142"/>
        <v>Coal</v>
      </c>
      <c r="O826" s="105">
        <f>IFERROR(VLOOKUP(A826,Lookup!$J$5:$P$19,7,FALSE),0)</f>
        <v>3</v>
      </c>
      <c r="P826" s="159">
        <f t="shared" si="143"/>
        <v>2018</v>
      </c>
      <c r="Q826" s="159">
        <f t="shared" si="144"/>
        <v>1</v>
      </c>
      <c r="R826" s="160">
        <f t="shared" si="145"/>
        <v>1.8333333331975155</v>
      </c>
      <c r="S826" s="158">
        <f t="shared" si="146"/>
        <v>0.38596491225210849</v>
      </c>
      <c r="T826" s="161">
        <f t="shared" si="147"/>
        <v>158.6315789356166</v>
      </c>
      <c r="U826" s="158">
        <f t="shared" si="149"/>
        <v>86.526315789473685</v>
      </c>
      <c r="V826" s="160">
        <f t="shared" si="148"/>
        <v>87</v>
      </c>
    </row>
    <row r="827" spans="1:22" x14ac:dyDescent="0.25">
      <c r="A827" s="98" t="s">
        <v>28</v>
      </c>
      <c r="B827" s="98" t="s">
        <v>15</v>
      </c>
      <c r="C827" s="98">
        <v>6</v>
      </c>
      <c r="D827" s="98">
        <v>1710</v>
      </c>
      <c r="E827" s="157">
        <v>43115.7</v>
      </c>
      <c r="F827" s="157">
        <v>43115.879166666666</v>
      </c>
      <c r="G827" s="98">
        <v>0</v>
      </c>
      <c r="H827" s="98">
        <v>456</v>
      </c>
      <c r="I827" s="98">
        <v>411</v>
      </c>
      <c r="J827" s="98" t="s">
        <v>2020</v>
      </c>
      <c r="K827" s="98" t="s">
        <v>4608</v>
      </c>
      <c r="L827" s="105" t="str">
        <f t="shared" si="140"/>
        <v>Brown</v>
      </c>
      <c r="M827" s="105" t="str">
        <f t="shared" si="141"/>
        <v>Outage</v>
      </c>
      <c r="N827" s="105" t="str">
        <f t="shared" si="142"/>
        <v>Coal</v>
      </c>
      <c r="O827" s="105">
        <f>IFERROR(VLOOKUP(A827,Lookup!$J$5:$P$19,7,FALSE),0)</f>
        <v>3</v>
      </c>
      <c r="P827" s="159">
        <f t="shared" si="143"/>
        <v>2018</v>
      </c>
      <c r="Q827" s="159">
        <f t="shared" si="144"/>
        <v>1</v>
      </c>
      <c r="R827" s="160">
        <f t="shared" si="145"/>
        <v>4.3000000000465661</v>
      </c>
      <c r="S827" s="158">
        <f t="shared" si="146"/>
        <v>4.3000000000465661</v>
      </c>
      <c r="T827" s="161">
        <f t="shared" si="147"/>
        <v>1767.3000000191387</v>
      </c>
      <c r="U827" s="158">
        <f t="shared" si="149"/>
        <v>411</v>
      </c>
      <c r="V827" s="160">
        <f t="shared" si="148"/>
        <v>411</v>
      </c>
    </row>
    <row r="828" spans="1:22" x14ac:dyDescent="0.25">
      <c r="A828" s="98" t="s">
        <v>28</v>
      </c>
      <c r="B828" s="98" t="s">
        <v>17</v>
      </c>
      <c r="C828" s="98">
        <v>7</v>
      </c>
      <c r="D828" s="98">
        <v>310</v>
      </c>
      <c r="E828" s="157">
        <v>43115.879861111112</v>
      </c>
      <c r="F828" s="157">
        <v>43116.508333333331</v>
      </c>
      <c r="G828" s="98">
        <v>360</v>
      </c>
      <c r="H828" s="98">
        <v>456</v>
      </c>
      <c r="I828" s="98">
        <v>411</v>
      </c>
      <c r="J828" s="98" t="s">
        <v>1966</v>
      </c>
      <c r="K828" s="98" t="s">
        <v>4603</v>
      </c>
      <c r="L828" s="105" t="str">
        <f t="shared" si="140"/>
        <v>Brown</v>
      </c>
      <c r="M828" s="105" t="str">
        <f t="shared" si="141"/>
        <v>Derate</v>
      </c>
      <c r="N828" s="105" t="str">
        <f t="shared" si="142"/>
        <v>Coal</v>
      </c>
      <c r="O828" s="105">
        <f>IFERROR(VLOOKUP(A828,Lookup!$J$5:$P$19,7,FALSE),0)</f>
        <v>3</v>
      </c>
      <c r="P828" s="159">
        <f t="shared" si="143"/>
        <v>2018</v>
      </c>
      <c r="Q828" s="159">
        <f t="shared" si="144"/>
        <v>1</v>
      </c>
      <c r="R828" s="160">
        <f t="shared" si="145"/>
        <v>15.083333333255723</v>
      </c>
      <c r="S828" s="158">
        <f t="shared" si="146"/>
        <v>3.1754385964748892</v>
      </c>
      <c r="T828" s="161">
        <f t="shared" si="147"/>
        <v>1305.1052631511795</v>
      </c>
      <c r="U828" s="158">
        <f t="shared" si="149"/>
        <v>86.526315789473685</v>
      </c>
      <c r="V828" s="160">
        <f t="shared" si="148"/>
        <v>87</v>
      </c>
    </row>
    <row r="829" spans="1:22" x14ac:dyDescent="0.25">
      <c r="A829" s="98" t="s">
        <v>28</v>
      </c>
      <c r="B829" s="98" t="s">
        <v>17</v>
      </c>
      <c r="C829" s="98">
        <v>8</v>
      </c>
      <c r="D829" s="98">
        <v>1488</v>
      </c>
      <c r="E829" s="157">
        <v>43116.508333333331</v>
      </c>
      <c r="F829" s="157">
        <v>43116.542361111111</v>
      </c>
      <c r="G829" s="98">
        <v>270</v>
      </c>
      <c r="H829" s="98">
        <v>456</v>
      </c>
      <c r="I829" s="98">
        <v>411</v>
      </c>
      <c r="J829" s="98" t="s">
        <v>2284</v>
      </c>
      <c r="K829" s="98" t="s">
        <v>4609</v>
      </c>
      <c r="L829" s="105" t="str">
        <f t="shared" si="140"/>
        <v>Brown</v>
      </c>
      <c r="M829" s="105" t="str">
        <f t="shared" si="141"/>
        <v>Derate</v>
      </c>
      <c r="N829" s="105" t="str">
        <f t="shared" si="142"/>
        <v>Coal</v>
      </c>
      <c r="O829" s="105">
        <f>IFERROR(VLOOKUP(A829,Lookup!$J$5:$P$19,7,FALSE),0)</f>
        <v>3</v>
      </c>
      <c r="P829" s="159">
        <f t="shared" si="143"/>
        <v>2018</v>
      </c>
      <c r="Q829" s="159">
        <f t="shared" si="144"/>
        <v>1</v>
      </c>
      <c r="R829" s="160">
        <f t="shared" si="145"/>
        <v>0.81666666670935228</v>
      </c>
      <c r="S829" s="158">
        <f t="shared" si="146"/>
        <v>0.33311403510513055</v>
      </c>
      <c r="T829" s="161">
        <f t="shared" si="147"/>
        <v>136.90986842820865</v>
      </c>
      <c r="U829" s="158">
        <f t="shared" si="149"/>
        <v>167.64473684210526</v>
      </c>
      <c r="V829" s="160">
        <f t="shared" si="148"/>
        <v>168</v>
      </c>
    </row>
    <row r="830" spans="1:22" x14ac:dyDescent="0.25">
      <c r="A830" s="98" t="s">
        <v>28</v>
      </c>
      <c r="B830" s="98" t="s">
        <v>17</v>
      </c>
      <c r="C830" s="98">
        <v>9</v>
      </c>
      <c r="D830" s="98">
        <v>310</v>
      </c>
      <c r="E830" s="157">
        <v>43116.542361111111</v>
      </c>
      <c r="F830" s="157">
        <v>43116.915277777778</v>
      </c>
      <c r="G830" s="98">
        <v>360</v>
      </c>
      <c r="H830" s="98">
        <v>456</v>
      </c>
      <c r="I830" s="98">
        <v>411</v>
      </c>
      <c r="J830" s="98" t="s">
        <v>1966</v>
      </c>
      <c r="K830" s="98" t="s">
        <v>4603</v>
      </c>
      <c r="L830" s="105" t="str">
        <f t="shared" si="140"/>
        <v>Brown</v>
      </c>
      <c r="M830" s="105" t="str">
        <f t="shared" si="141"/>
        <v>Derate</v>
      </c>
      <c r="N830" s="105" t="str">
        <f t="shared" si="142"/>
        <v>Coal</v>
      </c>
      <c r="O830" s="105">
        <f>IFERROR(VLOOKUP(A830,Lookup!$J$5:$P$19,7,FALSE),0)</f>
        <v>3</v>
      </c>
      <c r="P830" s="159">
        <f t="shared" si="143"/>
        <v>2018</v>
      </c>
      <c r="Q830" s="159">
        <f t="shared" si="144"/>
        <v>1</v>
      </c>
      <c r="R830" s="160">
        <f t="shared" si="145"/>
        <v>8.9500000000116415</v>
      </c>
      <c r="S830" s="158">
        <f t="shared" si="146"/>
        <v>1.8842105263182403</v>
      </c>
      <c r="T830" s="161">
        <f t="shared" si="147"/>
        <v>774.41052631679679</v>
      </c>
      <c r="U830" s="158">
        <f t="shared" si="149"/>
        <v>86.526315789473685</v>
      </c>
      <c r="V830" s="160">
        <f t="shared" si="148"/>
        <v>87</v>
      </c>
    </row>
    <row r="831" spans="1:22" x14ac:dyDescent="0.25">
      <c r="A831" s="98" t="s">
        <v>28</v>
      </c>
      <c r="B831" s="98" t="s">
        <v>32</v>
      </c>
      <c r="C831" s="98">
        <v>10</v>
      </c>
      <c r="D831" s="98">
        <v>3221</v>
      </c>
      <c r="E831" s="157">
        <v>43120.875</v>
      </c>
      <c r="F831" s="157">
        <v>43120.958333333336</v>
      </c>
      <c r="G831" s="98">
        <v>310</v>
      </c>
      <c r="H831" s="98">
        <v>456</v>
      </c>
      <c r="I831" s="98">
        <v>411</v>
      </c>
      <c r="J831" s="98" t="s">
        <v>4610</v>
      </c>
      <c r="K831" s="98" t="s">
        <v>4611</v>
      </c>
      <c r="L831" s="105" t="str">
        <f t="shared" si="140"/>
        <v>Brown</v>
      </c>
      <c r="M831" s="105" t="str">
        <f t="shared" si="141"/>
        <v>Derate</v>
      </c>
      <c r="N831" s="105" t="str">
        <f t="shared" si="142"/>
        <v>Coal</v>
      </c>
      <c r="O831" s="105">
        <f>IFERROR(VLOOKUP(A831,Lookup!$J$5:$P$19,7,FALSE),0)</f>
        <v>3</v>
      </c>
      <c r="P831" s="159">
        <f t="shared" si="143"/>
        <v>2018</v>
      </c>
      <c r="Q831" s="159">
        <f t="shared" si="144"/>
        <v>1</v>
      </c>
      <c r="R831" s="160">
        <f t="shared" si="145"/>
        <v>2.0000000000582077</v>
      </c>
      <c r="S831" s="158">
        <f t="shared" si="146"/>
        <v>0.6403508772116191</v>
      </c>
      <c r="T831" s="161">
        <f t="shared" si="147"/>
        <v>263.18421053397543</v>
      </c>
      <c r="U831" s="158">
        <f t="shared" si="149"/>
        <v>131.59210526315789</v>
      </c>
      <c r="V831" s="160">
        <f t="shared" si="148"/>
        <v>132</v>
      </c>
    </row>
    <row r="832" spans="1:22" x14ac:dyDescent="0.25">
      <c r="A832" s="98" t="s">
        <v>28</v>
      </c>
      <c r="B832" s="98" t="s">
        <v>20</v>
      </c>
      <c r="C832" s="98">
        <v>11</v>
      </c>
      <c r="D832" s="98">
        <v>3340</v>
      </c>
      <c r="E832" s="157">
        <v>43131.462500000001</v>
      </c>
      <c r="F832" s="157">
        <v>43133.100694444445</v>
      </c>
      <c r="G832" s="98">
        <v>0</v>
      </c>
      <c r="H832" s="98">
        <v>456</v>
      </c>
      <c r="I832" s="98">
        <v>411</v>
      </c>
      <c r="J832" s="98" t="s">
        <v>2389</v>
      </c>
      <c r="K832" s="98" t="s">
        <v>4612</v>
      </c>
      <c r="L832" s="105" t="str">
        <f t="shared" si="140"/>
        <v>Brown</v>
      </c>
      <c r="M832" s="105" t="str">
        <f t="shared" si="141"/>
        <v>Maintenance</v>
      </c>
      <c r="N832" s="105" t="str">
        <f t="shared" si="142"/>
        <v>Coal</v>
      </c>
      <c r="O832" s="105">
        <f>IFERROR(VLOOKUP(A832,Lookup!$J$5:$P$19,7,FALSE),0)</f>
        <v>3</v>
      </c>
      <c r="P832" s="159">
        <f t="shared" si="143"/>
        <v>2018</v>
      </c>
      <c r="Q832" s="159">
        <f t="shared" si="144"/>
        <v>1</v>
      </c>
      <c r="R832" s="160">
        <f t="shared" si="145"/>
        <v>39.316666666651145</v>
      </c>
      <c r="S832" s="158">
        <f t="shared" si="146"/>
        <v>39.316666666651145</v>
      </c>
      <c r="T832" s="161">
        <f t="shared" si="147"/>
        <v>16159.14999999362</v>
      </c>
      <c r="U832" s="158">
        <f t="shared" si="149"/>
        <v>411</v>
      </c>
      <c r="V832" s="160">
        <f t="shared" si="148"/>
        <v>411</v>
      </c>
    </row>
    <row r="833" spans="1:22" x14ac:dyDescent="0.25">
      <c r="A833" s="98" t="s">
        <v>28</v>
      </c>
      <c r="B833" s="98" t="s">
        <v>32</v>
      </c>
      <c r="C833" s="98">
        <v>12</v>
      </c>
      <c r="D833" s="98">
        <v>310</v>
      </c>
      <c r="E833" s="157">
        <v>43137.916666666664</v>
      </c>
      <c r="F833" s="157">
        <v>43138.166666666664</v>
      </c>
      <c r="G833" s="98">
        <v>360</v>
      </c>
      <c r="H833" s="98">
        <v>456</v>
      </c>
      <c r="I833" s="98">
        <v>411</v>
      </c>
      <c r="J833" s="98" t="s">
        <v>1966</v>
      </c>
      <c r="K833" s="98" t="s">
        <v>4613</v>
      </c>
      <c r="L833" s="105" t="str">
        <f t="shared" si="140"/>
        <v>Brown</v>
      </c>
      <c r="M833" s="105" t="str">
        <f t="shared" si="141"/>
        <v>Derate</v>
      </c>
      <c r="N833" s="105" t="str">
        <f t="shared" si="142"/>
        <v>Coal</v>
      </c>
      <c r="O833" s="105">
        <f>IFERROR(VLOOKUP(A833,Lookup!$J$5:$P$19,7,FALSE),0)</f>
        <v>3</v>
      </c>
      <c r="P833" s="159">
        <f t="shared" si="143"/>
        <v>2018</v>
      </c>
      <c r="Q833" s="159">
        <f t="shared" si="144"/>
        <v>2</v>
      </c>
      <c r="R833" s="160">
        <f t="shared" si="145"/>
        <v>6</v>
      </c>
      <c r="S833" s="158">
        <f t="shared" si="146"/>
        <v>1.263157894736842</v>
      </c>
      <c r="T833" s="161">
        <f t="shared" si="147"/>
        <v>519.15789473684208</v>
      </c>
      <c r="U833" s="158">
        <f t="shared" si="149"/>
        <v>86.526315789473685</v>
      </c>
      <c r="V833" s="160">
        <f t="shared" si="148"/>
        <v>87</v>
      </c>
    </row>
    <row r="834" spans="1:22" x14ac:dyDescent="0.25">
      <c r="A834" s="98" t="s">
        <v>28</v>
      </c>
      <c r="B834" s="98" t="s">
        <v>15</v>
      </c>
      <c r="C834" s="98">
        <v>15</v>
      </c>
      <c r="D834" s="98">
        <v>3621</v>
      </c>
      <c r="E834" s="157">
        <v>43171.070833333331</v>
      </c>
      <c r="F834" s="157">
        <v>43172.239583333336</v>
      </c>
      <c r="G834" s="98">
        <v>0</v>
      </c>
      <c r="H834" s="98">
        <v>456</v>
      </c>
      <c r="I834" s="98">
        <v>411</v>
      </c>
      <c r="J834" s="98" t="s">
        <v>1993</v>
      </c>
      <c r="K834" s="98" t="s">
        <v>4614</v>
      </c>
      <c r="L834" s="105" t="str">
        <f t="shared" si="140"/>
        <v>Brown</v>
      </c>
      <c r="M834" s="105" t="str">
        <f t="shared" si="141"/>
        <v>Outage</v>
      </c>
      <c r="N834" s="105" t="str">
        <f t="shared" si="142"/>
        <v>Coal</v>
      </c>
      <c r="O834" s="105">
        <f>IFERROR(VLOOKUP(A834,Lookup!$J$5:$P$19,7,FALSE),0)</f>
        <v>3</v>
      </c>
      <c r="P834" s="159">
        <f t="shared" si="143"/>
        <v>2018</v>
      </c>
      <c r="Q834" s="159">
        <f t="shared" si="144"/>
        <v>3</v>
      </c>
      <c r="R834" s="160">
        <f t="shared" si="145"/>
        <v>28.050000000104774</v>
      </c>
      <c r="S834" s="158">
        <f t="shared" si="146"/>
        <v>28.050000000104774</v>
      </c>
      <c r="T834" s="161">
        <f t="shared" si="147"/>
        <v>11528.550000043062</v>
      </c>
      <c r="U834" s="158">
        <f t="shared" si="149"/>
        <v>411</v>
      </c>
      <c r="V834" s="160">
        <f t="shared" si="148"/>
        <v>411</v>
      </c>
    </row>
    <row r="835" spans="1:22" x14ac:dyDescent="0.25">
      <c r="A835" s="98" t="s">
        <v>28</v>
      </c>
      <c r="B835" s="98" t="s">
        <v>18</v>
      </c>
      <c r="C835" s="98">
        <v>16</v>
      </c>
      <c r="D835" s="98">
        <v>3621</v>
      </c>
      <c r="E835" s="157">
        <v>43172.239583333336</v>
      </c>
      <c r="F835" s="157">
        <v>43172.29791666667</v>
      </c>
      <c r="G835" s="98">
        <v>0</v>
      </c>
      <c r="H835" s="98">
        <v>456</v>
      </c>
      <c r="I835" s="98">
        <v>411</v>
      </c>
      <c r="J835" s="98" t="s">
        <v>1993</v>
      </c>
      <c r="K835" s="98" t="s">
        <v>4615</v>
      </c>
      <c r="L835" s="105" t="str">
        <f t="shared" si="140"/>
        <v>Brown</v>
      </c>
      <c r="M835" s="105" t="str">
        <f t="shared" si="141"/>
        <v>Outage</v>
      </c>
      <c r="N835" s="105" t="str">
        <f t="shared" si="142"/>
        <v>Coal</v>
      </c>
      <c r="O835" s="105">
        <f>IFERROR(VLOOKUP(A835,Lookup!$J$5:$P$19,7,FALSE),0)</f>
        <v>3</v>
      </c>
      <c r="P835" s="159">
        <f t="shared" si="143"/>
        <v>2018</v>
      </c>
      <c r="Q835" s="159">
        <f t="shared" si="144"/>
        <v>3</v>
      </c>
      <c r="R835" s="160">
        <f t="shared" si="145"/>
        <v>1.4000000000232831</v>
      </c>
      <c r="S835" s="158">
        <f t="shared" si="146"/>
        <v>1.4000000000232831</v>
      </c>
      <c r="T835" s="161">
        <f t="shared" si="147"/>
        <v>575.40000000956934</v>
      </c>
      <c r="U835" s="158">
        <f t="shared" si="149"/>
        <v>411</v>
      </c>
      <c r="V835" s="160">
        <f t="shared" si="148"/>
        <v>411</v>
      </c>
    </row>
    <row r="836" spans="1:22" x14ac:dyDescent="0.25">
      <c r="A836" s="98" t="s">
        <v>28</v>
      </c>
      <c r="B836" s="98" t="s">
        <v>17</v>
      </c>
      <c r="C836" s="98">
        <v>17</v>
      </c>
      <c r="D836" s="98">
        <v>1470</v>
      </c>
      <c r="E836" s="157">
        <v>43172.298611111109</v>
      </c>
      <c r="F836" s="157">
        <v>43204.053472222222</v>
      </c>
      <c r="G836" s="98">
        <v>375</v>
      </c>
      <c r="H836" s="98">
        <v>456</v>
      </c>
      <c r="I836" s="98">
        <v>411</v>
      </c>
      <c r="J836" s="98" t="s">
        <v>2005</v>
      </c>
      <c r="K836" s="98" t="s">
        <v>4616</v>
      </c>
      <c r="L836" s="105" t="str">
        <f t="shared" si="140"/>
        <v>Brown</v>
      </c>
      <c r="M836" s="105" t="str">
        <f t="shared" si="141"/>
        <v>Derate</v>
      </c>
      <c r="N836" s="105" t="str">
        <f t="shared" si="142"/>
        <v>Coal</v>
      </c>
      <c r="O836" s="105">
        <f>IFERROR(VLOOKUP(A836,Lookup!$J$5:$P$19,7,FALSE),0)</f>
        <v>3</v>
      </c>
      <c r="P836" s="159">
        <f t="shared" si="143"/>
        <v>2018</v>
      </c>
      <c r="Q836" s="159">
        <f t="shared" si="144"/>
        <v>3</v>
      </c>
      <c r="R836" s="160">
        <f t="shared" si="145"/>
        <v>762.11666666669771</v>
      </c>
      <c r="S836" s="158">
        <f t="shared" si="146"/>
        <v>135.37598684211079</v>
      </c>
      <c r="T836" s="161">
        <f t="shared" si="147"/>
        <v>55639.530592107534</v>
      </c>
      <c r="U836" s="158">
        <f t="shared" si="149"/>
        <v>73.006578947368425</v>
      </c>
      <c r="V836" s="160">
        <f t="shared" si="148"/>
        <v>73</v>
      </c>
    </row>
    <row r="837" spans="1:22" x14ac:dyDescent="0.25">
      <c r="A837" s="98" t="s">
        <v>28</v>
      </c>
      <c r="B837" s="98" t="s">
        <v>79</v>
      </c>
      <c r="C837" s="98">
        <v>18</v>
      </c>
      <c r="D837" s="98">
        <v>9656</v>
      </c>
      <c r="E837" s="157">
        <v>43172.833333333336</v>
      </c>
      <c r="F837" s="157">
        <v>43173.088194444441</v>
      </c>
      <c r="G837" s="98">
        <v>0</v>
      </c>
      <c r="H837" s="98">
        <v>456</v>
      </c>
      <c r="I837" s="98">
        <v>411</v>
      </c>
      <c r="J837" s="98" t="s">
        <v>299</v>
      </c>
      <c r="K837" s="98" t="s">
        <v>4617</v>
      </c>
      <c r="L837" s="105" t="str">
        <f t="shared" si="140"/>
        <v>Brown</v>
      </c>
      <c r="M837" s="105" t="str">
        <f t="shared" si="141"/>
        <v>Other</v>
      </c>
      <c r="N837" s="105" t="str">
        <f t="shared" si="142"/>
        <v>Coal</v>
      </c>
      <c r="O837" s="105">
        <f>IFERROR(VLOOKUP(A837,Lookup!$J$5:$P$19,7,FALSE),0)</f>
        <v>3</v>
      </c>
      <c r="P837" s="159">
        <f t="shared" si="143"/>
        <v>2018</v>
      </c>
      <c r="Q837" s="159">
        <f t="shared" si="144"/>
        <v>3</v>
      </c>
      <c r="R837" s="160">
        <f t="shared" si="145"/>
        <v>6.1166666665230878</v>
      </c>
      <c r="S837" s="158">
        <f t="shared" si="146"/>
        <v>6.1166666665230878</v>
      </c>
      <c r="T837" s="161">
        <f t="shared" si="147"/>
        <v>2513.9499999409891</v>
      </c>
      <c r="U837" s="158">
        <f t="shared" si="149"/>
        <v>411</v>
      </c>
      <c r="V837" s="160">
        <f t="shared" si="148"/>
        <v>411</v>
      </c>
    </row>
    <row r="838" spans="1:22" x14ac:dyDescent="0.25">
      <c r="A838" s="98" t="s">
        <v>28</v>
      </c>
      <c r="B838" s="98" t="s">
        <v>79</v>
      </c>
      <c r="C838" s="98">
        <v>19</v>
      </c>
      <c r="D838" s="98">
        <v>9656</v>
      </c>
      <c r="E838" s="157">
        <v>43173.833333333336</v>
      </c>
      <c r="F838" s="157">
        <v>43174.018750000003</v>
      </c>
      <c r="G838" s="98">
        <v>0</v>
      </c>
      <c r="H838" s="98">
        <v>456</v>
      </c>
      <c r="I838" s="98">
        <v>411</v>
      </c>
      <c r="J838" s="98" t="s">
        <v>299</v>
      </c>
      <c r="K838" s="98" t="s">
        <v>4618</v>
      </c>
      <c r="L838" s="105" t="str">
        <f t="shared" si="140"/>
        <v>Brown</v>
      </c>
      <c r="M838" s="105" t="str">
        <f t="shared" si="141"/>
        <v>Other</v>
      </c>
      <c r="N838" s="105" t="str">
        <f t="shared" si="142"/>
        <v>Coal</v>
      </c>
      <c r="O838" s="105">
        <f>IFERROR(VLOOKUP(A838,Lookup!$J$5:$P$19,7,FALSE),0)</f>
        <v>3</v>
      </c>
      <c r="P838" s="159">
        <f t="shared" si="143"/>
        <v>2018</v>
      </c>
      <c r="Q838" s="159">
        <f t="shared" si="144"/>
        <v>3</v>
      </c>
      <c r="R838" s="160">
        <f t="shared" si="145"/>
        <v>4.4500000000116415</v>
      </c>
      <c r="S838" s="158">
        <f t="shared" si="146"/>
        <v>4.4500000000116415</v>
      </c>
      <c r="T838" s="161">
        <f t="shared" si="147"/>
        <v>1828.9500000047847</v>
      </c>
      <c r="U838" s="158">
        <f t="shared" si="149"/>
        <v>411</v>
      </c>
      <c r="V838" s="160">
        <f t="shared" si="148"/>
        <v>411</v>
      </c>
    </row>
    <row r="839" spans="1:22" x14ac:dyDescent="0.25">
      <c r="A839" s="98" t="s">
        <v>28</v>
      </c>
      <c r="B839" s="98" t="s">
        <v>17</v>
      </c>
      <c r="C839" s="98">
        <v>20</v>
      </c>
      <c r="D839" s="98">
        <v>344</v>
      </c>
      <c r="E839" s="157">
        <v>43175.57916666667</v>
      </c>
      <c r="F839" s="157">
        <v>43175.723611111112</v>
      </c>
      <c r="G839" s="98">
        <v>350</v>
      </c>
      <c r="H839" s="98">
        <v>456</v>
      </c>
      <c r="I839" s="98">
        <v>411</v>
      </c>
      <c r="J839" s="98" t="s">
        <v>1968</v>
      </c>
      <c r="K839" s="98" t="s">
        <v>4619</v>
      </c>
      <c r="L839" s="105" t="str">
        <f t="shared" si="140"/>
        <v>Brown</v>
      </c>
      <c r="M839" s="105" t="str">
        <f t="shared" si="141"/>
        <v>Derate</v>
      </c>
      <c r="N839" s="105" t="str">
        <f t="shared" si="142"/>
        <v>Coal</v>
      </c>
      <c r="O839" s="105">
        <f>IFERROR(VLOOKUP(A839,Lookup!$J$5:$P$19,7,FALSE),0)</f>
        <v>3</v>
      </c>
      <c r="P839" s="159">
        <f t="shared" si="143"/>
        <v>2018</v>
      </c>
      <c r="Q839" s="159">
        <f t="shared" si="144"/>
        <v>3</v>
      </c>
      <c r="R839" s="160">
        <f t="shared" si="145"/>
        <v>3.46666666661622</v>
      </c>
      <c r="S839" s="158">
        <f t="shared" si="146"/>
        <v>0.80584795320464764</v>
      </c>
      <c r="T839" s="161">
        <f t="shared" si="147"/>
        <v>331.20350876711018</v>
      </c>
      <c r="U839" s="158">
        <f t="shared" si="149"/>
        <v>95.53947368421052</v>
      </c>
      <c r="V839" s="160">
        <f t="shared" si="148"/>
        <v>96</v>
      </c>
    </row>
    <row r="840" spans="1:22" x14ac:dyDescent="0.25">
      <c r="A840" s="98" t="s">
        <v>28</v>
      </c>
      <c r="B840" s="98" t="s">
        <v>17</v>
      </c>
      <c r="C840" s="98">
        <v>21</v>
      </c>
      <c r="D840" s="98">
        <v>8544</v>
      </c>
      <c r="E840" s="157">
        <v>43184.956944444442</v>
      </c>
      <c r="F840" s="157">
        <v>43184.967361111114</v>
      </c>
      <c r="G840" s="98">
        <v>295</v>
      </c>
      <c r="H840" s="98">
        <v>456</v>
      </c>
      <c r="I840" s="98">
        <v>411</v>
      </c>
      <c r="J840" s="98" t="s">
        <v>4620</v>
      </c>
      <c r="K840" s="98" t="s">
        <v>4621</v>
      </c>
      <c r="L840" s="105" t="str">
        <f t="shared" si="140"/>
        <v>Brown</v>
      </c>
      <c r="M840" s="105" t="str">
        <f t="shared" si="141"/>
        <v>Derate</v>
      </c>
      <c r="N840" s="105" t="str">
        <f t="shared" si="142"/>
        <v>Coal</v>
      </c>
      <c r="O840" s="105">
        <f>IFERROR(VLOOKUP(A840,Lookup!$J$5:$P$19,7,FALSE),0)</f>
        <v>3</v>
      </c>
      <c r="P840" s="159">
        <f t="shared" si="143"/>
        <v>2018</v>
      </c>
      <c r="Q840" s="159">
        <f t="shared" si="144"/>
        <v>3</v>
      </c>
      <c r="R840" s="160">
        <f t="shared" si="145"/>
        <v>0.25000000011641532</v>
      </c>
      <c r="S840" s="158">
        <f t="shared" si="146"/>
        <v>8.8267543900751907E-2</v>
      </c>
      <c r="T840" s="161">
        <f t="shared" si="147"/>
        <v>36.277960543209034</v>
      </c>
      <c r="U840" s="158">
        <f t="shared" si="149"/>
        <v>145.11184210526315</v>
      </c>
      <c r="V840" s="160">
        <f t="shared" si="148"/>
        <v>145</v>
      </c>
    </row>
    <row r="841" spans="1:22" x14ac:dyDescent="0.25">
      <c r="A841" s="98" t="s">
        <v>28</v>
      </c>
      <c r="B841" s="98" t="s">
        <v>79</v>
      </c>
      <c r="C841" s="98">
        <v>22</v>
      </c>
      <c r="D841" s="98">
        <v>9590</v>
      </c>
      <c r="E841" s="157">
        <v>43186</v>
      </c>
      <c r="F841" s="157">
        <v>43186.067361111112</v>
      </c>
      <c r="G841" s="98">
        <v>0</v>
      </c>
      <c r="H841" s="98">
        <v>456</v>
      </c>
      <c r="I841" s="98">
        <v>411</v>
      </c>
      <c r="J841" s="98" t="s">
        <v>4622</v>
      </c>
      <c r="K841" s="98" t="s">
        <v>4623</v>
      </c>
      <c r="L841" s="105" t="str">
        <f t="shared" si="140"/>
        <v>Brown</v>
      </c>
      <c r="M841" s="105" t="str">
        <f t="shared" si="141"/>
        <v>Other</v>
      </c>
      <c r="N841" s="105" t="str">
        <f t="shared" si="142"/>
        <v>Coal</v>
      </c>
      <c r="O841" s="105">
        <f>IFERROR(VLOOKUP(A841,Lookup!$J$5:$P$19,7,FALSE),0)</f>
        <v>3</v>
      </c>
      <c r="P841" s="159">
        <f t="shared" si="143"/>
        <v>2018</v>
      </c>
      <c r="Q841" s="159">
        <f t="shared" si="144"/>
        <v>3</v>
      </c>
      <c r="R841" s="160">
        <f t="shared" si="145"/>
        <v>1.6166666666977108</v>
      </c>
      <c r="S841" s="158">
        <f t="shared" si="146"/>
        <v>1.6166666666977108</v>
      </c>
      <c r="T841" s="161">
        <f t="shared" si="147"/>
        <v>664.45000001275912</v>
      </c>
      <c r="U841" s="158">
        <f t="shared" si="149"/>
        <v>411</v>
      </c>
      <c r="V841" s="160">
        <f t="shared" si="148"/>
        <v>411</v>
      </c>
    </row>
    <row r="842" spans="1:22" x14ac:dyDescent="0.25">
      <c r="A842" s="98" t="s">
        <v>28</v>
      </c>
      <c r="B842" s="98" t="s">
        <v>17</v>
      </c>
      <c r="C842" s="98">
        <v>23</v>
      </c>
      <c r="D842" s="98">
        <v>9270</v>
      </c>
      <c r="E842" s="157">
        <v>43187.561805555553</v>
      </c>
      <c r="F842" s="157">
        <v>43187.785416666666</v>
      </c>
      <c r="G842" s="98">
        <v>83</v>
      </c>
      <c r="H842" s="98">
        <v>456</v>
      </c>
      <c r="I842" s="98">
        <v>411</v>
      </c>
      <c r="J842" s="98" t="s">
        <v>2006</v>
      </c>
      <c r="K842" s="98" t="s">
        <v>4624</v>
      </c>
      <c r="L842" s="105" t="str">
        <f t="shared" si="140"/>
        <v>Brown</v>
      </c>
      <c r="M842" s="105" t="str">
        <f t="shared" si="141"/>
        <v>Derate</v>
      </c>
      <c r="N842" s="105" t="str">
        <f t="shared" si="142"/>
        <v>Coal</v>
      </c>
      <c r="O842" s="105">
        <f>IFERROR(VLOOKUP(A842,Lookup!$J$5:$P$19,7,FALSE),0)</f>
        <v>3</v>
      </c>
      <c r="P842" s="159">
        <f t="shared" si="143"/>
        <v>2018</v>
      </c>
      <c r="Q842" s="159">
        <f t="shared" si="144"/>
        <v>3</v>
      </c>
      <c r="R842" s="160">
        <f t="shared" si="145"/>
        <v>5.3666666666977108</v>
      </c>
      <c r="S842" s="158">
        <f t="shared" si="146"/>
        <v>4.3898391813119435</v>
      </c>
      <c r="T842" s="161">
        <f t="shared" si="147"/>
        <v>1804.2239035192088</v>
      </c>
      <c r="U842" s="158">
        <f t="shared" si="149"/>
        <v>336.19078947368422</v>
      </c>
      <c r="V842" s="160">
        <f t="shared" si="148"/>
        <v>336</v>
      </c>
    </row>
    <row r="843" spans="1:22" x14ac:dyDescent="0.25">
      <c r="A843" s="98" t="s">
        <v>26</v>
      </c>
      <c r="B843" s="98" t="s">
        <v>17</v>
      </c>
      <c r="C843" s="98">
        <v>1</v>
      </c>
      <c r="D843" s="98">
        <v>740</v>
      </c>
      <c r="E843" s="157">
        <v>41275</v>
      </c>
      <c r="F843" s="157">
        <v>41284.926388888889</v>
      </c>
      <c r="G843" s="98">
        <v>460</v>
      </c>
      <c r="H843" s="98">
        <v>520</v>
      </c>
      <c r="I843" s="98">
        <v>477</v>
      </c>
      <c r="J843" s="98" t="s">
        <v>2176</v>
      </c>
      <c r="K843" s="98" t="s">
        <v>423</v>
      </c>
      <c r="L843" s="105" t="str">
        <f t="shared" ref="L843:L876" si="150">IF(OR(A843="BR1",A843="BR2",A843="BR3",A843="BR5",A843="BR6",A843="BR7",A843="BR8",A843="BR9",A843="BR10",A843="BR11"),"Brown",IF(OR(A843="CR4",A843="CR5",A843="CR6",A843="CR11"),"Cane Run",IF(OR(A843="GH1",A843="GH2",A843="GH3",A843="GH4"),"Ghent",IF(OR(A843="GR3",A843="GR4"),"Green River",IF(OR(A843="MC1",A843="MC2",A843="MC3",A843="MC4"),"Mill Creek",IF(OR(A843="TC1",A843="TC2",A843="TC5",A843="TC6",A843="TC7",A843="TC8",A843="TC9",A843="TC10"),"Trimble",IF(A843="TY3","Tyrone",IF(OR(A843="HA1",A843="HA2",A843="HA3"),"Haeflin",IF(OR(A843="PR11",A843="PR12",A843="PR13"),"Paddy's Run","Zorn")))))))))</f>
        <v>Ghent</v>
      </c>
      <c r="M843" s="105" t="str">
        <f t="shared" ref="M843:M876" si="151">IF(OR(B843="D1",B843="D2",B843="D3",B843="D4",B843="PD"),"Derate",IF(OR(B843="SF",B843="U1",B843="U2",B843="U3"),"Outage",IF(OR(B843="ME",B843="MO"),"Maintenance","Other")))</f>
        <v>Derate</v>
      </c>
      <c r="N843" s="105" t="str">
        <f t="shared" ref="N843:N876" si="152">IF(OR(A843="BR1",A843="BR2",A843="BR3",A843="CR4",A843="CR5",A843="CR6",A843="GH1",A843="GH2",A843="GH3",A843="GH4",A843="GR3",A843="GR4",A843="MC1",A843="MC2",A843="MC3",A843="MC4",A843="TC1",A843="TC2",A843="TY3"),"Coal","Gas")</f>
        <v>Coal</v>
      </c>
      <c r="O843" s="105">
        <f>IFERROR(VLOOKUP(A843,Lookup!$J$5:$P$19,7,FALSE),0)</f>
        <v>3</v>
      </c>
      <c r="P843" s="159">
        <f t="shared" ref="P843:P876" si="153">YEAR(E843)</f>
        <v>2013</v>
      </c>
      <c r="Q843" s="159">
        <f t="shared" ref="Q843:Q876" si="154">MONTH(E843)</f>
        <v>1</v>
      </c>
      <c r="R843" s="160">
        <f t="shared" ref="R843:R876" si="155">(F843-E843)*24</f>
        <v>238.23333333333721</v>
      </c>
      <c r="S843" s="158">
        <f t="shared" ref="S843:S876" si="156">R843*(H843-G843)/H843</f>
        <v>27.488461538461987</v>
      </c>
      <c r="T843" s="161">
        <f t="shared" ref="T843:T876" si="157">S843*I843</f>
        <v>13111.996153846369</v>
      </c>
      <c r="U843" s="158">
        <f t="shared" ref="U843:U877" si="158">IF(G843&gt;0,MAX((H843-G843),0)*I843/H843,I843)</f>
        <v>55.03846153846154</v>
      </c>
      <c r="V843" s="160">
        <f t="shared" ref="V843:V876" si="159">ROUND(U843,0)</f>
        <v>55</v>
      </c>
    </row>
    <row r="844" spans="1:22" x14ac:dyDescent="0.25">
      <c r="A844" s="98" t="s">
        <v>26</v>
      </c>
      <c r="B844" s="98" t="s">
        <v>20</v>
      </c>
      <c r="C844" s="98">
        <v>3</v>
      </c>
      <c r="D844" s="98">
        <v>740</v>
      </c>
      <c r="E844" s="157">
        <v>41284.926388888889</v>
      </c>
      <c r="F844" s="157">
        <v>41286.07708333333</v>
      </c>
      <c r="G844" s="98">
        <v>0</v>
      </c>
      <c r="H844" s="98">
        <v>520</v>
      </c>
      <c r="I844" s="98">
        <v>477</v>
      </c>
      <c r="J844" s="98" t="s">
        <v>2176</v>
      </c>
      <c r="K844" s="98" t="s">
        <v>424</v>
      </c>
      <c r="L844" s="105" t="str">
        <f t="shared" si="150"/>
        <v>Ghent</v>
      </c>
      <c r="M844" s="105" t="str">
        <f t="shared" si="151"/>
        <v>Maintenance</v>
      </c>
      <c r="N844" s="105" t="str">
        <f t="shared" si="152"/>
        <v>Coal</v>
      </c>
      <c r="O844" s="105">
        <f>IFERROR(VLOOKUP(A844,Lookup!$J$5:$P$19,7,FALSE),0)</f>
        <v>3</v>
      </c>
      <c r="P844" s="159">
        <f t="shared" si="153"/>
        <v>2013</v>
      </c>
      <c r="Q844" s="159">
        <f t="shared" si="154"/>
        <v>1</v>
      </c>
      <c r="R844" s="160">
        <f t="shared" si="155"/>
        <v>27.616666666581295</v>
      </c>
      <c r="S844" s="158">
        <f t="shared" si="156"/>
        <v>27.616666666581295</v>
      </c>
      <c r="T844" s="161">
        <f t="shared" si="157"/>
        <v>13173.149999959278</v>
      </c>
      <c r="U844" s="158">
        <f t="shared" si="158"/>
        <v>477</v>
      </c>
      <c r="V844" s="160">
        <f t="shared" si="159"/>
        <v>477</v>
      </c>
    </row>
    <row r="845" spans="1:22" x14ac:dyDescent="0.25">
      <c r="A845" s="98" t="s">
        <v>26</v>
      </c>
      <c r="B845" s="98" t="s">
        <v>18</v>
      </c>
      <c r="C845" s="98">
        <v>4</v>
      </c>
      <c r="D845" s="98">
        <v>9900</v>
      </c>
      <c r="E845" s="157">
        <v>41286.07708333333</v>
      </c>
      <c r="F845" s="157">
        <v>41286.405555555553</v>
      </c>
      <c r="G845" s="98">
        <v>0</v>
      </c>
      <c r="H845" s="98">
        <v>520</v>
      </c>
      <c r="I845" s="98">
        <v>477</v>
      </c>
      <c r="J845" s="98" t="s">
        <v>1996</v>
      </c>
      <c r="K845" s="98" t="s">
        <v>425</v>
      </c>
      <c r="L845" s="105" t="str">
        <f t="shared" si="150"/>
        <v>Ghent</v>
      </c>
      <c r="M845" s="105" t="str">
        <f t="shared" si="151"/>
        <v>Outage</v>
      </c>
      <c r="N845" s="105" t="str">
        <f t="shared" si="152"/>
        <v>Coal</v>
      </c>
      <c r="O845" s="105">
        <f>IFERROR(VLOOKUP(A845,Lookup!$J$5:$P$19,7,FALSE),0)</f>
        <v>3</v>
      </c>
      <c r="P845" s="159">
        <f t="shared" si="153"/>
        <v>2013</v>
      </c>
      <c r="Q845" s="159">
        <f t="shared" si="154"/>
        <v>1</v>
      </c>
      <c r="R845" s="160">
        <f t="shared" si="155"/>
        <v>7.8833333333604969</v>
      </c>
      <c r="S845" s="158">
        <f t="shared" si="156"/>
        <v>7.8833333333604969</v>
      </c>
      <c r="T845" s="161">
        <f t="shared" si="157"/>
        <v>3760.350000012957</v>
      </c>
      <c r="U845" s="158">
        <f t="shared" si="158"/>
        <v>477</v>
      </c>
      <c r="V845" s="160">
        <f t="shared" si="159"/>
        <v>477</v>
      </c>
    </row>
    <row r="846" spans="1:22" x14ac:dyDescent="0.25">
      <c r="A846" s="98" t="s">
        <v>26</v>
      </c>
      <c r="B846" s="98" t="s">
        <v>17</v>
      </c>
      <c r="C846" s="98">
        <v>5</v>
      </c>
      <c r="D846" s="98">
        <v>4499</v>
      </c>
      <c r="E846" s="157">
        <v>41286.405555555553</v>
      </c>
      <c r="F846" s="157">
        <v>41286.427083333336</v>
      </c>
      <c r="G846" s="98">
        <v>200</v>
      </c>
      <c r="H846" s="98">
        <v>520</v>
      </c>
      <c r="I846" s="98">
        <v>477</v>
      </c>
      <c r="J846" s="98" t="s">
        <v>2082</v>
      </c>
      <c r="K846" s="98" t="s">
        <v>426</v>
      </c>
      <c r="L846" s="105" t="str">
        <f t="shared" si="150"/>
        <v>Ghent</v>
      </c>
      <c r="M846" s="105" t="str">
        <f t="shared" si="151"/>
        <v>Derate</v>
      </c>
      <c r="N846" s="105" t="str">
        <f t="shared" si="152"/>
        <v>Coal</v>
      </c>
      <c r="O846" s="105">
        <f>IFERROR(VLOOKUP(A846,Lookup!$J$5:$P$19,7,FALSE),0)</f>
        <v>3</v>
      </c>
      <c r="P846" s="159">
        <f t="shared" si="153"/>
        <v>2013</v>
      </c>
      <c r="Q846" s="159">
        <f t="shared" si="154"/>
        <v>1</v>
      </c>
      <c r="R846" s="160">
        <f t="shared" si="155"/>
        <v>0.51666666677920148</v>
      </c>
      <c r="S846" s="158">
        <f t="shared" si="156"/>
        <v>0.31794871801797014</v>
      </c>
      <c r="T846" s="161">
        <f t="shared" si="157"/>
        <v>151.66153849457177</v>
      </c>
      <c r="U846" s="158">
        <f t="shared" si="158"/>
        <v>293.53846153846155</v>
      </c>
      <c r="V846" s="160">
        <f t="shared" si="159"/>
        <v>294</v>
      </c>
    </row>
    <row r="847" spans="1:22" x14ac:dyDescent="0.25">
      <c r="A847" s="98" t="s">
        <v>26</v>
      </c>
      <c r="B847" s="98" t="s">
        <v>17</v>
      </c>
      <c r="C847" s="98">
        <v>6</v>
      </c>
      <c r="D847" s="98">
        <v>4499</v>
      </c>
      <c r="E847" s="157">
        <v>41286.711111111108</v>
      </c>
      <c r="F847" s="157">
        <v>41332.940972222219</v>
      </c>
      <c r="G847" s="98">
        <v>450</v>
      </c>
      <c r="H847" s="98">
        <v>520</v>
      </c>
      <c r="I847" s="98">
        <v>477</v>
      </c>
      <c r="J847" s="98" t="s">
        <v>2082</v>
      </c>
      <c r="K847" s="98" t="s">
        <v>427</v>
      </c>
      <c r="L847" s="105" t="str">
        <f t="shared" si="150"/>
        <v>Ghent</v>
      </c>
      <c r="M847" s="105" t="str">
        <f t="shared" si="151"/>
        <v>Derate</v>
      </c>
      <c r="N847" s="105" t="str">
        <f t="shared" si="152"/>
        <v>Coal</v>
      </c>
      <c r="O847" s="105">
        <f>IFERROR(VLOOKUP(A847,Lookup!$J$5:$P$19,7,FALSE),0)</f>
        <v>3</v>
      </c>
      <c r="P847" s="159">
        <f t="shared" si="153"/>
        <v>2013</v>
      </c>
      <c r="Q847" s="159">
        <f t="shared" si="154"/>
        <v>1</v>
      </c>
      <c r="R847" s="160">
        <f t="shared" si="155"/>
        <v>1109.5166666666628</v>
      </c>
      <c r="S847" s="158">
        <f t="shared" si="156"/>
        <v>149.3580128205123</v>
      </c>
      <c r="T847" s="161">
        <f t="shared" si="157"/>
        <v>71243.772115384374</v>
      </c>
      <c r="U847" s="158">
        <f t="shared" si="158"/>
        <v>64.211538461538467</v>
      </c>
      <c r="V847" s="160">
        <f t="shared" si="159"/>
        <v>64</v>
      </c>
    </row>
    <row r="848" spans="1:22" x14ac:dyDescent="0.25">
      <c r="A848" s="98" t="s">
        <v>26</v>
      </c>
      <c r="B848" s="98" t="s">
        <v>17</v>
      </c>
      <c r="C848" s="98">
        <v>7</v>
      </c>
      <c r="D848" s="98">
        <v>9270</v>
      </c>
      <c r="E848" s="162">
        <v>41287.711111111108</v>
      </c>
      <c r="F848" s="157">
        <v>41287.75</v>
      </c>
      <c r="G848" s="98">
        <v>450</v>
      </c>
      <c r="H848" s="98">
        <v>520</v>
      </c>
      <c r="I848" s="98">
        <v>477</v>
      </c>
      <c r="J848" s="98" t="s">
        <v>2006</v>
      </c>
      <c r="K848" s="98" t="s">
        <v>428</v>
      </c>
      <c r="L848" s="105" t="str">
        <f t="shared" si="150"/>
        <v>Ghent</v>
      </c>
      <c r="M848" s="105" t="str">
        <f t="shared" si="151"/>
        <v>Derate</v>
      </c>
      <c r="N848" s="105" t="str">
        <f t="shared" si="152"/>
        <v>Coal</v>
      </c>
      <c r="O848" s="105">
        <f>IFERROR(VLOOKUP(A848,Lookup!$J$5:$P$19,7,FALSE),0)</f>
        <v>3</v>
      </c>
      <c r="P848" s="159">
        <f t="shared" si="153"/>
        <v>2013</v>
      </c>
      <c r="Q848" s="159">
        <f t="shared" si="154"/>
        <v>1</v>
      </c>
      <c r="R848" s="160">
        <f t="shared" si="155"/>
        <v>0.93333333340706304</v>
      </c>
      <c r="S848" s="158">
        <f t="shared" si="156"/>
        <v>0.12564102565095078</v>
      </c>
      <c r="T848" s="161">
        <f t="shared" si="157"/>
        <v>59.930769235503526</v>
      </c>
      <c r="U848" s="158">
        <f t="shared" si="158"/>
        <v>64.211538461538467</v>
      </c>
      <c r="V848" s="160">
        <f t="shared" si="159"/>
        <v>64</v>
      </c>
    </row>
    <row r="849" spans="1:22" x14ac:dyDescent="0.25">
      <c r="A849" s="98" t="s">
        <v>26</v>
      </c>
      <c r="B849" s="98" t="s">
        <v>32</v>
      </c>
      <c r="C849" s="98">
        <v>8</v>
      </c>
      <c r="D849" s="98">
        <v>4611</v>
      </c>
      <c r="E849" s="157">
        <v>41299.916666666664</v>
      </c>
      <c r="F849" s="157">
        <v>41300.04583333333</v>
      </c>
      <c r="G849" s="98">
        <v>400</v>
      </c>
      <c r="H849" s="98">
        <v>520</v>
      </c>
      <c r="I849" s="98">
        <v>477</v>
      </c>
      <c r="J849" s="98" t="s">
        <v>2303</v>
      </c>
      <c r="K849" s="98" t="s">
        <v>429</v>
      </c>
      <c r="L849" s="105" t="str">
        <f t="shared" si="150"/>
        <v>Ghent</v>
      </c>
      <c r="M849" s="105" t="str">
        <f t="shared" si="151"/>
        <v>Derate</v>
      </c>
      <c r="N849" s="105" t="str">
        <f t="shared" si="152"/>
        <v>Coal</v>
      </c>
      <c r="O849" s="105">
        <f>IFERROR(VLOOKUP(A849,Lookup!$J$5:$P$19,7,FALSE),0)</f>
        <v>3</v>
      </c>
      <c r="P849" s="159">
        <f t="shared" si="153"/>
        <v>2013</v>
      </c>
      <c r="Q849" s="159">
        <f t="shared" si="154"/>
        <v>1</v>
      </c>
      <c r="R849" s="160">
        <f t="shared" si="155"/>
        <v>3.0999999999767169</v>
      </c>
      <c r="S849" s="158">
        <f t="shared" si="156"/>
        <v>0.71538461537924236</v>
      </c>
      <c r="T849" s="161">
        <f t="shared" si="157"/>
        <v>341.23846153589858</v>
      </c>
      <c r="U849" s="158">
        <f t="shared" si="158"/>
        <v>110.07692307692308</v>
      </c>
      <c r="V849" s="160">
        <f t="shared" si="159"/>
        <v>110</v>
      </c>
    </row>
    <row r="850" spans="1:22" x14ac:dyDescent="0.25">
      <c r="A850" s="98" t="s">
        <v>26</v>
      </c>
      <c r="B850" s="98" t="s">
        <v>17</v>
      </c>
      <c r="C850" s="98">
        <v>9</v>
      </c>
      <c r="D850" s="98">
        <v>3415</v>
      </c>
      <c r="E850" s="157">
        <v>41306.490277777775</v>
      </c>
      <c r="F850" s="157">
        <v>41306.527777777781</v>
      </c>
      <c r="G850" s="98">
        <v>325</v>
      </c>
      <c r="H850" s="98">
        <v>520</v>
      </c>
      <c r="I850" s="98">
        <v>477</v>
      </c>
      <c r="J850" s="98" t="s">
        <v>2109</v>
      </c>
      <c r="K850" s="98" t="s">
        <v>430</v>
      </c>
      <c r="L850" s="105" t="str">
        <f t="shared" si="150"/>
        <v>Ghent</v>
      </c>
      <c r="M850" s="105" t="str">
        <f t="shared" si="151"/>
        <v>Derate</v>
      </c>
      <c r="N850" s="105" t="str">
        <f t="shared" si="152"/>
        <v>Coal</v>
      </c>
      <c r="O850" s="105">
        <f>IFERROR(VLOOKUP(A850,Lookup!$J$5:$P$19,7,FALSE),0)</f>
        <v>3</v>
      </c>
      <c r="P850" s="159">
        <f t="shared" si="153"/>
        <v>2013</v>
      </c>
      <c r="Q850" s="159">
        <f t="shared" si="154"/>
        <v>2</v>
      </c>
      <c r="R850" s="160">
        <f t="shared" si="155"/>
        <v>0.90000000013969839</v>
      </c>
      <c r="S850" s="158">
        <f t="shared" si="156"/>
        <v>0.33750000005238689</v>
      </c>
      <c r="T850" s="161">
        <f t="shared" si="157"/>
        <v>160.98750002498855</v>
      </c>
      <c r="U850" s="158">
        <f t="shared" si="158"/>
        <v>178.875</v>
      </c>
      <c r="V850" s="160">
        <f t="shared" si="159"/>
        <v>179</v>
      </c>
    </row>
    <row r="851" spans="1:22" x14ac:dyDescent="0.25">
      <c r="A851" s="98" t="s">
        <v>26</v>
      </c>
      <c r="B851" s="98" t="s">
        <v>17</v>
      </c>
      <c r="C851" s="98">
        <v>10</v>
      </c>
      <c r="D851" s="98">
        <v>9270</v>
      </c>
      <c r="E851" s="157">
        <v>41312.80972222222</v>
      </c>
      <c r="F851" s="157">
        <v>41312.866666666669</v>
      </c>
      <c r="G851" s="98">
        <v>485</v>
      </c>
      <c r="H851" s="98">
        <v>520</v>
      </c>
      <c r="I851" s="98">
        <v>477</v>
      </c>
      <c r="J851" s="98" t="s">
        <v>2006</v>
      </c>
      <c r="K851" s="98" t="s">
        <v>431</v>
      </c>
      <c r="L851" s="105" t="str">
        <f t="shared" si="150"/>
        <v>Ghent</v>
      </c>
      <c r="M851" s="105" t="str">
        <f t="shared" si="151"/>
        <v>Derate</v>
      </c>
      <c r="N851" s="105" t="str">
        <f t="shared" si="152"/>
        <v>Coal</v>
      </c>
      <c r="O851" s="105">
        <f>IFERROR(VLOOKUP(A851,Lookup!$J$5:$P$19,7,FALSE),0)</f>
        <v>3</v>
      </c>
      <c r="P851" s="159">
        <f t="shared" si="153"/>
        <v>2013</v>
      </c>
      <c r="Q851" s="159">
        <f t="shared" si="154"/>
        <v>2</v>
      </c>
      <c r="R851" s="160">
        <f t="shared" si="155"/>
        <v>1.3666666667559184</v>
      </c>
      <c r="S851" s="158">
        <f t="shared" si="156"/>
        <v>9.1987179493186813E-2</v>
      </c>
      <c r="T851" s="161">
        <f t="shared" si="157"/>
        <v>43.877884618250107</v>
      </c>
      <c r="U851" s="158">
        <f t="shared" si="158"/>
        <v>32.105769230769234</v>
      </c>
      <c r="V851" s="160">
        <f t="shared" si="159"/>
        <v>32</v>
      </c>
    </row>
    <row r="852" spans="1:22" x14ac:dyDescent="0.25">
      <c r="A852" s="98" t="s">
        <v>26</v>
      </c>
      <c r="B852" s="98" t="s">
        <v>32</v>
      </c>
      <c r="C852" s="98">
        <v>11</v>
      </c>
      <c r="D852" s="98">
        <v>344</v>
      </c>
      <c r="E852" s="157">
        <v>41319.361111111109</v>
      </c>
      <c r="F852" s="157">
        <v>41319.597222222219</v>
      </c>
      <c r="G852" s="98">
        <v>470</v>
      </c>
      <c r="H852" s="98">
        <v>520</v>
      </c>
      <c r="I852" s="98">
        <v>477</v>
      </c>
      <c r="J852" s="98" t="s">
        <v>1968</v>
      </c>
      <c r="K852" s="98" t="s">
        <v>432</v>
      </c>
      <c r="L852" s="105" t="str">
        <f t="shared" si="150"/>
        <v>Ghent</v>
      </c>
      <c r="M852" s="105" t="str">
        <f t="shared" si="151"/>
        <v>Derate</v>
      </c>
      <c r="N852" s="105" t="str">
        <f t="shared" si="152"/>
        <v>Coal</v>
      </c>
      <c r="O852" s="105">
        <f>IFERROR(VLOOKUP(A852,Lookup!$J$5:$P$19,7,FALSE),0)</f>
        <v>3</v>
      </c>
      <c r="P852" s="159">
        <f t="shared" si="153"/>
        <v>2013</v>
      </c>
      <c r="Q852" s="159">
        <f t="shared" si="154"/>
        <v>2</v>
      </c>
      <c r="R852" s="160">
        <f t="shared" si="155"/>
        <v>5.6666666666278616</v>
      </c>
      <c r="S852" s="158">
        <f t="shared" si="156"/>
        <v>0.54487179486806359</v>
      </c>
      <c r="T852" s="161">
        <f t="shared" si="157"/>
        <v>259.90384615206631</v>
      </c>
      <c r="U852" s="158">
        <f t="shared" si="158"/>
        <v>45.865384615384613</v>
      </c>
      <c r="V852" s="160">
        <f t="shared" si="159"/>
        <v>46</v>
      </c>
    </row>
    <row r="853" spans="1:22" x14ac:dyDescent="0.25">
      <c r="A853" s="98" t="s">
        <v>26</v>
      </c>
      <c r="B853" s="98" t="s">
        <v>15</v>
      </c>
      <c r="C853" s="98">
        <v>12</v>
      </c>
      <c r="D853" s="98">
        <v>1000</v>
      </c>
      <c r="E853" s="157">
        <v>41332.940972222219</v>
      </c>
      <c r="F853" s="157">
        <v>41333.932638888888</v>
      </c>
      <c r="G853" s="98">
        <v>0</v>
      </c>
      <c r="H853" s="98">
        <v>520</v>
      </c>
      <c r="I853" s="98">
        <v>477</v>
      </c>
      <c r="J853" s="98" t="s">
        <v>2002</v>
      </c>
      <c r="K853" s="98" t="s">
        <v>433</v>
      </c>
      <c r="L853" s="105" t="str">
        <f t="shared" si="150"/>
        <v>Ghent</v>
      </c>
      <c r="M853" s="105" t="str">
        <f t="shared" si="151"/>
        <v>Outage</v>
      </c>
      <c r="N853" s="105" t="str">
        <f t="shared" si="152"/>
        <v>Coal</v>
      </c>
      <c r="O853" s="105">
        <f>IFERROR(VLOOKUP(A853,Lookup!$J$5:$P$19,7,FALSE),0)</f>
        <v>3</v>
      </c>
      <c r="P853" s="159">
        <f t="shared" si="153"/>
        <v>2013</v>
      </c>
      <c r="Q853" s="159">
        <f t="shared" si="154"/>
        <v>2</v>
      </c>
      <c r="R853" s="160">
        <f t="shared" si="155"/>
        <v>23.800000000046566</v>
      </c>
      <c r="S853" s="158">
        <f t="shared" si="156"/>
        <v>23.800000000046566</v>
      </c>
      <c r="T853" s="161">
        <f t="shared" si="157"/>
        <v>11352.600000022212</v>
      </c>
      <c r="U853" s="158">
        <f t="shared" si="158"/>
        <v>477</v>
      </c>
      <c r="V853" s="160">
        <f t="shared" si="159"/>
        <v>477</v>
      </c>
    </row>
    <row r="854" spans="1:22" x14ac:dyDescent="0.25">
      <c r="A854" s="98" t="s">
        <v>26</v>
      </c>
      <c r="B854" s="98" t="s">
        <v>17</v>
      </c>
      <c r="C854" s="98">
        <v>13</v>
      </c>
      <c r="D854" s="98">
        <v>4499</v>
      </c>
      <c r="E854" s="157">
        <v>41334.215277777781</v>
      </c>
      <c r="F854" s="157">
        <v>41372.25</v>
      </c>
      <c r="G854" s="98">
        <v>510</v>
      </c>
      <c r="H854" s="98">
        <v>520</v>
      </c>
      <c r="I854" s="98">
        <v>477</v>
      </c>
      <c r="J854" s="98" t="s">
        <v>2082</v>
      </c>
      <c r="K854" s="98" t="s">
        <v>434</v>
      </c>
      <c r="L854" s="105" t="str">
        <f t="shared" si="150"/>
        <v>Ghent</v>
      </c>
      <c r="M854" s="105" t="str">
        <f t="shared" si="151"/>
        <v>Derate</v>
      </c>
      <c r="N854" s="105" t="str">
        <f t="shared" si="152"/>
        <v>Coal</v>
      </c>
      <c r="O854" s="105">
        <f>IFERROR(VLOOKUP(A854,Lookup!$J$5:$P$19,7,FALSE),0)</f>
        <v>3</v>
      </c>
      <c r="P854" s="159">
        <f t="shared" si="153"/>
        <v>2013</v>
      </c>
      <c r="Q854" s="159">
        <f t="shared" si="154"/>
        <v>3</v>
      </c>
      <c r="R854" s="160">
        <f t="shared" si="155"/>
        <v>912.83333333325572</v>
      </c>
      <c r="S854" s="158">
        <f t="shared" si="156"/>
        <v>17.554487179485687</v>
      </c>
      <c r="T854" s="161">
        <f t="shared" si="157"/>
        <v>8373.4903846146717</v>
      </c>
      <c r="U854" s="158">
        <f t="shared" si="158"/>
        <v>9.1730769230769234</v>
      </c>
      <c r="V854" s="160">
        <f t="shared" si="159"/>
        <v>9</v>
      </c>
    </row>
    <row r="855" spans="1:22" x14ac:dyDescent="0.25">
      <c r="A855" s="98" t="s">
        <v>26</v>
      </c>
      <c r="B855" s="98" t="s">
        <v>17</v>
      </c>
      <c r="C855" s="98">
        <v>14</v>
      </c>
      <c r="D855" s="98">
        <v>1000</v>
      </c>
      <c r="E855" s="157">
        <v>41372.25</v>
      </c>
      <c r="F855" s="157">
        <v>41374.039583333331</v>
      </c>
      <c r="G855" s="98">
        <v>390</v>
      </c>
      <c r="H855" s="98">
        <v>520</v>
      </c>
      <c r="I855" s="98">
        <v>477</v>
      </c>
      <c r="J855" s="98" t="s">
        <v>2002</v>
      </c>
      <c r="K855" s="98" t="s">
        <v>435</v>
      </c>
      <c r="L855" s="105" t="str">
        <f t="shared" si="150"/>
        <v>Ghent</v>
      </c>
      <c r="M855" s="105" t="str">
        <f t="shared" si="151"/>
        <v>Derate</v>
      </c>
      <c r="N855" s="105" t="str">
        <f t="shared" si="152"/>
        <v>Coal</v>
      </c>
      <c r="O855" s="105">
        <f>IFERROR(VLOOKUP(A855,Lookup!$J$5:$P$19,7,FALSE),0)</f>
        <v>3</v>
      </c>
      <c r="P855" s="159">
        <f t="shared" si="153"/>
        <v>2013</v>
      </c>
      <c r="Q855" s="159">
        <f t="shared" si="154"/>
        <v>4</v>
      </c>
      <c r="R855" s="160">
        <f t="shared" si="155"/>
        <v>42.949999999953434</v>
      </c>
      <c r="S855" s="158">
        <f t="shared" si="156"/>
        <v>10.737499999988358</v>
      </c>
      <c r="T855" s="161">
        <f t="shared" si="157"/>
        <v>5121.787499994447</v>
      </c>
      <c r="U855" s="158">
        <f t="shared" si="158"/>
        <v>119.25</v>
      </c>
      <c r="V855" s="160">
        <f t="shared" si="159"/>
        <v>119</v>
      </c>
    </row>
    <row r="856" spans="1:22" x14ac:dyDescent="0.25">
      <c r="A856" s="98" t="s">
        <v>26</v>
      </c>
      <c r="B856" s="98" t="s">
        <v>33</v>
      </c>
      <c r="C856" s="98">
        <v>15</v>
      </c>
      <c r="D856" s="98">
        <v>1075</v>
      </c>
      <c r="E856" s="157">
        <v>41374.039583333331</v>
      </c>
      <c r="F856" s="157">
        <v>41375.914583333331</v>
      </c>
      <c r="G856" s="98">
        <v>0</v>
      </c>
      <c r="H856" s="98">
        <v>520</v>
      </c>
      <c r="I856" s="98">
        <v>477</v>
      </c>
      <c r="J856" s="98" t="s">
        <v>2288</v>
      </c>
      <c r="K856" s="98" t="s">
        <v>436</v>
      </c>
      <c r="L856" s="105" t="str">
        <f t="shared" si="150"/>
        <v>Ghent</v>
      </c>
      <c r="M856" s="105" t="str">
        <f t="shared" si="151"/>
        <v>Outage</v>
      </c>
      <c r="N856" s="105" t="str">
        <f t="shared" si="152"/>
        <v>Coal</v>
      </c>
      <c r="O856" s="105">
        <f>IFERROR(VLOOKUP(A856,Lookup!$J$5:$P$19,7,FALSE),0)</f>
        <v>3</v>
      </c>
      <c r="P856" s="159">
        <f t="shared" si="153"/>
        <v>2013</v>
      </c>
      <c r="Q856" s="159">
        <f t="shared" si="154"/>
        <v>4</v>
      </c>
      <c r="R856" s="160">
        <f t="shared" si="155"/>
        <v>45</v>
      </c>
      <c r="S856" s="158">
        <f t="shared" si="156"/>
        <v>45</v>
      </c>
      <c r="T856" s="161">
        <f t="shared" si="157"/>
        <v>21465</v>
      </c>
      <c r="U856" s="158">
        <f t="shared" si="158"/>
        <v>477</v>
      </c>
      <c r="V856" s="160">
        <f t="shared" si="159"/>
        <v>477</v>
      </c>
    </row>
    <row r="857" spans="1:22" x14ac:dyDescent="0.25">
      <c r="A857" s="98" t="s">
        <v>26</v>
      </c>
      <c r="B857" s="98" t="s">
        <v>38</v>
      </c>
      <c r="C857" s="98">
        <v>16</v>
      </c>
      <c r="D857" s="98">
        <v>1060</v>
      </c>
      <c r="E857" s="157">
        <v>41375.914583333331</v>
      </c>
      <c r="F857" s="157">
        <v>41391.574305555558</v>
      </c>
      <c r="G857" s="98">
        <v>0</v>
      </c>
      <c r="H857" s="98">
        <v>520</v>
      </c>
      <c r="I857" s="98">
        <v>477</v>
      </c>
      <c r="J857" s="98" t="s">
        <v>2179</v>
      </c>
      <c r="K857" s="98" t="s">
        <v>437</v>
      </c>
      <c r="L857" s="105" t="str">
        <f t="shared" si="150"/>
        <v>Ghent</v>
      </c>
      <c r="M857" s="105" t="str">
        <f t="shared" si="151"/>
        <v>Other</v>
      </c>
      <c r="N857" s="105" t="str">
        <f t="shared" si="152"/>
        <v>Coal</v>
      </c>
      <c r="O857" s="105">
        <f>IFERROR(VLOOKUP(A857,Lookup!$J$5:$P$19,7,FALSE),0)</f>
        <v>3</v>
      </c>
      <c r="P857" s="159">
        <f t="shared" si="153"/>
        <v>2013</v>
      </c>
      <c r="Q857" s="159">
        <f t="shared" si="154"/>
        <v>4</v>
      </c>
      <c r="R857" s="160">
        <f t="shared" si="155"/>
        <v>375.83333333343035</v>
      </c>
      <c r="S857" s="158">
        <f t="shared" si="156"/>
        <v>375.83333333343035</v>
      </c>
      <c r="T857" s="161">
        <f t="shared" si="157"/>
        <v>179272.50000004628</v>
      </c>
      <c r="U857" s="158">
        <f t="shared" si="158"/>
        <v>477</v>
      </c>
      <c r="V857" s="160">
        <f t="shared" si="159"/>
        <v>477</v>
      </c>
    </row>
    <row r="858" spans="1:22" x14ac:dyDescent="0.25">
      <c r="A858" s="98" t="s">
        <v>26</v>
      </c>
      <c r="B858" s="98" t="s">
        <v>15</v>
      </c>
      <c r="C858" s="98">
        <v>17</v>
      </c>
      <c r="D858" s="98">
        <v>4700</v>
      </c>
      <c r="E858" s="157">
        <v>41391.584722222222</v>
      </c>
      <c r="F858" s="157">
        <v>41391.609722222223</v>
      </c>
      <c r="G858" s="98">
        <v>0</v>
      </c>
      <c r="H858" s="98">
        <v>520</v>
      </c>
      <c r="I858" s="98">
        <v>477</v>
      </c>
      <c r="J858" s="98" t="s">
        <v>2010</v>
      </c>
      <c r="K858" s="98" t="s">
        <v>438</v>
      </c>
      <c r="L858" s="105" t="str">
        <f t="shared" si="150"/>
        <v>Ghent</v>
      </c>
      <c r="M858" s="105" t="str">
        <f t="shared" si="151"/>
        <v>Outage</v>
      </c>
      <c r="N858" s="105" t="str">
        <f t="shared" si="152"/>
        <v>Coal</v>
      </c>
      <c r="O858" s="105">
        <f>IFERROR(VLOOKUP(A858,Lookup!$J$5:$P$19,7,FALSE),0)</f>
        <v>3</v>
      </c>
      <c r="P858" s="159">
        <f t="shared" si="153"/>
        <v>2013</v>
      </c>
      <c r="Q858" s="159">
        <f t="shared" si="154"/>
        <v>4</v>
      </c>
      <c r="R858" s="160">
        <f t="shared" si="155"/>
        <v>0.6000000000349246</v>
      </c>
      <c r="S858" s="158">
        <f t="shared" si="156"/>
        <v>0.6000000000349246</v>
      </c>
      <c r="T858" s="161">
        <f t="shared" si="157"/>
        <v>286.20000001665903</v>
      </c>
      <c r="U858" s="158">
        <f t="shared" si="158"/>
        <v>477</v>
      </c>
      <c r="V858" s="160">
        <f t="shared" si="159"/>
        <v>477</v>
      </c>
    </row>
    <row r="859" spans="1:22" x14ac:dyDescent="0.25">
      <c r="A859" s="98" t="s">
        <v>26</v>
      </c>
      <c r="B859" s="98" t="s">
        <v>17</v>
      </c>
      <c r="C859" s="98">
        <v>18</v>
      </c>
      <c r="D859" s="98">
        <v>1850</v>
      </c>
      <c r="E859" s="157">
        <v>41392.145833333336</v>
      </c>
      <c r="F859" s="157">
        <v>41392.395833333336</v>
      </c>
      <c r="G859" s="98">
        <v>450</v>
      </c>
      <c r="H859" s="98">
        <v>520</v>
      </c>
      <c r="I859" s="98">
        <v>477</v>
      </c>
      <c r="J859" s="98" t="s">
        <v>2263</v>
      </c>
      <c r="K859" s="98" t="s">
        <v>439</v>
      </c>
      <c r="L859" s="105" t="str">
        <f t="shared" si="150"/>
        <v>Ghent</v>
      </c>
      <c r="M859" s="105" t="str">
        <f t="shared" si="151"/>
        <v>Derate</v>
      </c>
      <c r="N859" s="105" t="str">
        <f t="shared" si="152"/>
        <v>Coal</v>
      </c>
      <c r="O859" s="105">
        <f>IFERROR(VLOOKUP(A859,Lookup!$J$5:$P$19,7,FALSE),0)</f>
        <v>3</v>
      </c>
      <c r="P859" s="159">
        <f t="shared" si="153"/>
        <v>2013</v>
      </c>
      <c r="Q859" s="159">
        <f t="shared" si="154"/>
        <v>4</v>
      </c>
      <c r="R859" s="160">
        <f t="shared" si="155"/>
        <v>6</v>
      </c>
      <c r="S859" s="158">
        <f t="shared" si="156"/>
        <v>0.80769230769230771</v>
      </c>
      <c r="T859" s="161">
        <f t="shared" si="157"/>
        <v>385.26923076923077</v>
      </c>
      <c r="U859" s="158">
        <f t="shared" si="158"/>
        <v>64.211538461538467</v>
      </c>
      <c r="V859" s="160">
        <f t="shared" si="159"/>
        <v>64</v>
      </c>
    </row>
    <row r="860" spans="1:22" x14ac:dyDescent="0.25">
      <c r="A860" s="98" t="s">
        <v>26</v>
      </c>
      <c r="B860" s="98" t="s">
        <v>17</v>
      </c>
      <c r="C860" s="98">
        <v>19</v>
      </c>
      <c r="D860" s="98">
        <v>340</v>
      </c>
      <c r="E860" s="157">
        <v>41394.736111111109</v>
      </c>
      <c r="F860" s="157">
        <v>41395.067361111112</v>
      </c>
      <c r="G860" s="98">
        <v>500</v>
      </c>
      <c r="H860" s="98">
        <v>520</v>
      </c>
      <c r="I860" s="98">
        <v>477</v>
      </c>
      <c r="J860" s="98" t="s">
        <v>1970</v>
      </c>
      <c r="K860" s="98" t="s">
        <v>440</v>
      </c>
      <c r="L860" s="105" t="str">
        <f t="shared" si="150"/>
        <v>Ghent</v>
      </c>
      <c r="M860" s="105" t="str">
        <f t="shared" si="151"/>
        <v>Derate</v>
      </c>
      <c r="N860" s="105" t="str">
        <f t="shared" si="152"/>
        <v>Coal</v>
      </c>
      <c r="O860" s="105">
        <f>IFERROR(VLOOKUP(A860,Lookup!$J$5:$P$19,7,FALSE),0)</f>
        <v>3</v>
      </c>
      <c r="P860" s="159">
        <f t="shared" si="153"/>
        <v>2013</v>
      </c>
      <c r="Q860" s="159">
        <f t="shared" si="154"/>
        <v>4</v>
      </c>
      <c r="R860" s="160">
        <f t="shared" si="155"/>
        <v>7.9500000000698492</v>
      </c>
      <c r="S860" s="158">
        <f t="shared" si="156"/>
        <v>0.30576923077191726</v>
      </c>
      <c r="T860" s="161">
        <f t="shared" si="157"/>
        <v>145.85192307820452</v>
      </c>
      <c r="U860" s="158">
        <f t="shared" si="158"/>
        <v>18.346153846153847</v>
      </c>
      <c r="V860" s="160">
        <f t="shared" si="159"/>
        <v>18</v>
      </c>
    </row>
    <row r="861" spans="1:22" x14ac:dyDescent="0.25">
      <c r="A861" s="98" t="s">
        <v>26</v>
      </c>
      <c r="B861" s="98" t="s">
        <v>17</v>
      </c>
      <c r="C861" s="98">
        <v>20</v>
      </c>
      <c r="D861" s="98">
        <v>340</v>
      </c>
      <c r="E861" s="157">
        <v>41397.140972222223</v>
      </c>
      <c r="F861" s="157">
        <v>41397.456944444442</v>
      </c>
      <c r="G861" s="98">
        <v>500</v>
      </c>
      <c r="H861" s="98">
        <v>520</v>
      </c>
      <c r="I861" s="98">
        <v>477</v>
      </c>
      <c r="J861" s="98" t="s">
        <v>1970</v>
      </c>
      <c r="K861" s="98" t="s">
        <v>441</v>
      </c>
      <c r="L861" s="105" t="str">
        <f t="shared" si="150"/>
        <v>Ghent</v>
      </c>
      <c r="M861" s="105" t="str">
        <f t="shared" si="151"/>
        <v>Derate</v>
      </c>
      <c r="N861" s="105" t="str">
        <f t="shared" si="152"/>
        <v>Coal</v>
      </c>
      <c r="O861" s="105">
        <f>IFERROR(VLOOKUP(A861,Lookup!$J$5:$P$19,7,FALSE),0)</f>
        <v>3</v>
      </c>
      <c r="P861" s="159">
        <f t="shared" si="153"/>
        <v>2013</v>
      </c>
      <c r="Q861" s="159">
        <f t="shared" si="154"/>
        <v>5</v>
      </c>
      <c r="R861" s="160">
        <f t="shared" si="155"/>
        <v>7.5833333332557231</v>
      </c>
      <c r="S861" s="158">
        <f t="shared" si="156"/>
        <v>0.29166666666368168</v>
      </c>
      <c r="T861" s="161">
        <f t="shared" si="157"/>
        <v>139.12499999857616</v>
      </c>
      <c r="U861" s="158">
        <f t="shared" si="158"/>
        <v>18.346153846153847</v>
      </c>
      <c r="V861" s="160">
        <f t="shared" si="159"/>
        <v>18</v>
      </c>
    </row>
    <row r="862" spans="1:22" x14ac:dyDescent="0.25">
      <c r="A862" s="98" t="s">
        <v>26</v>
      </c>
      <c r="B862" s="98" t="s">
        <v>17</v>
      </c>
      <c r="C862" s="98">
        <v>21</v>
      </c>
      <c r="D862" s="98">
        <v>340</v>
      </c>
      <c r="E862" s="157">
        <v>41401.318749999999</v>
      </c>
      <c r="F862" s="157">
        <v>41401.480555555558</v>
      </c>
      <c r="G862" s="98">
        <v>500</v>
      </c>
      <c r="H862" s="98">
        <v>520</v>
      </c>
      <c r="I862" s="98">
        <v>477</v>
      </c>
      <c r="J862" s="98" t="s">
        <v>1970</v>
      </c>
      <c r="K862" s="98" t="s">
        <v>442</v>
      </c>
      <c r="L862" s="105" t="str">
        <f t="shared" si="150"/>
        <v>Ghent</v>
      </c>
      <c r="M862" s="105" t="str">
        <f t="shared" si="151"/>
        <v>Derate</v>
      </c>
      <c r="N862" s="105" t="str">
        <f t="shared" si="152"/>
        <v>Coal</v>
      </c>
      <c r="O862" s="105">
        <f>IFERROR(VLOOKUP(A862,Lookup!$J$5:$P$19,7,FALSE),0)</f>
        <v>3</v>
      </c>
      <c r="P862" s="159">
        <f t="shared" si="153"/>
        <v>2013</v>
      </c>
      <c r="Q862" s="159">
        <f t="shared" si="154"/>
        <v>5</v>
      </c>
      <c r="R862" s="160">
        <f t="shared" si="155"/>
        <v>3.8833333334187046</v>
      </c>
      <c r="S862" s="158">
        <f t="shared" si="156"/>
        <v>0.14935897436225787</v>
      </c>
      <c r="T862" s="161">
        <f t="shared" si="157"/>
        <v>71.244230770797003</v>
      </c>
      <c r="U862" s="158">
        <f t="shared" si="158"/>
        <v>18.346153846153847</v>
      </c>
      <c r="V862" s="160">
        <f t="shared" si="159"/>
        <v>18</v>
      </c>
    </row>
    <row r="863" spans="1:22" x14ac:dyDescent="0.25">
      <c r="A863" s="98" t="s">
        <v>26</v>
      </c>
      <c r="B863" s="98" t="s">
        <v>17</v>
      </c>
      <c r="C863" s="98">
        <v>22</v>
      </c>
      <c r="D863" s="98">
        <v>1470</v>
      </c>
      <c r="E863" s="157">
        <v>41403.731944444444</v>
      </c>
      <c r="F863" s="157">
        <v>41403.791666666664</v>
      </c>
      <c r="G863" s="98">
        <v>180</v>
      </c>
      <c r="H863" s="98">
        <v>520</v>
      </c>
      <c r="I863" s="98">
        <v>477</v>
      </c>
      <c r="J863" s="98" t="s">
        <v>2005</v>
      </c>
      <c r="K863" s="98" t="s">
        <v>443</v>
      </c>
      <c r="L863" s="105" t="str">
        <f t="shared" si="150"/>
        <v>Ghent</v>
      </c>
      <c r="M863" s="105" t="str">
        <f t="shared" si="151"/>
        <v>Derate</v>
      </c>
      <c r="N863" s="105" t="str">
        <f t="shared" si="152"/>
        <v>Coal</v>
      </c>
      <c r="O863" s="105">
        <f>IFERROR(VLOOKUP(A863,Lookup!$J$5:$P$19,7,FALSE),0)</f>
        <v>3</v>
      </c>
      <c r="P863" s="159">
        <f t="shared" si="153"/>
        <v>2013</v>
      </c>
      <c r="Q863" s="159">
        <f t="shared" si="154"/>
        <v>5</v>
      </c>
      <c r="R863" s="160">
        <f t="shared" si="155"/>
        <v>1.4333333332906477</v>
      </c>
      <c r="S863" s="158">
        <f t="shared" si="156"/>
        <v>0.9371794871515774</v>
      </c>
      <c r="T863" s="161">
        <f t="shared" si="157"/>
        <v>447.03461537130244</v>
      </c>
      <c r="U863" s="158">
        <f t="shared" si="158"/>
        <v>311.88461538461536</v>
      </c>
      <c r="V863" s="160">
        <f t="shared" si="159"/>
        <v>312</v>
      </c>
    </row>
    <row r="864" spans="1:22" x14ac:dyDescent="0.25">
      <c r="A864" s="98" t="s">
        <v>26</v>
      </c>
      <c r="B864" s="98" t="s">
        <v>17</v>
      </c>
      <c r="C864" s="98">
        <v>23</v>
      </c>
      <c r="D864" s="98">
        <v>1470</v>
      </c>
      <c r="E864" s="157">
        <v>41403.791666666664</v>
      </c>
      <c r="F864" s="157">
        <v>41403.972222222219</v>
      </c>
      <c r="G864" s="98">
        <v>225</v>
      </c>
      <c r="H864" s="98">
        <v>520</v>
      </c>
      <c r="I864" s="98">
        <v>477</v>
      </c>
      <c r="J864" s="98" t="s">
        <v>2005</v>
      </c>
      <c r="K864" s="98" t="s">
        <v>444</v>
      </c>
      <c r="L864" s="105" t="str">
        <f t="shared" si="150"/>
        <v>Ghent</v>
      </c>
      <c r="M864" s="105" t="str">
        <f t="shared" si="151"/>
        <v>Derate</v>
      </c>
      <c r="N864" s="105" t="str">
        <f t="shared" si="152"/>
        <v>Coal</v>
      </c>
      <c r="O864" s="105">
        <f>IFERROR(VLOOKUP(A864,Lookup!$J$5:$P$19,7,FALSE),0)</f>
        <v>3</v>
      </c>
      <c r="P864" s="159">
        <f t="shared" si="153"/>
        <v>2013</v>
      </c>
      <c r="Q864" s="159">
        <f t="shared" si="154"/>
        <v>5</v>
      </c>
      <c r="R864" s="160">
        <f t="shared" si="155"/>
        <v>4.3333333333139308</v>
      </c>
      <c r="S864" s="158">
        <f t="shared" si="156"/>
        <v>2.4583333333223263</v>
      </c>
      <c r="T864" s="161">
        <f t="shared" si="157"/>
        <v>1172.6249999947497</v>
      </c>
      <c r="U864" s="158">
        <f t="shared" si="158"/>
        <v>270.60576923076923</v>
      </c>
      <c r="V864" s="160">
        <f t="shared" si="159"/>
        <v>271</v>
      </c>
    </row>
    <row r="865" spans="1:22" x14ac:dyDescent="0.25">
      <c r="A865" s="98" t="s">
        <v>26</v>
      </c>
      <c r="B865" s="98" t="s">
        <v>17</v>
      </c>
      <c r="C865" s="98">
        <v>24</v>
      </c>
      <c r="D865" s="98">
        <v>1470</v>
      </c>
      <c r="E865" s="157">
        <v>41404.260416666664</v>
      </c>
      <c r="F865" s="157">
        <v>41404.861805555556</v>
      </c>
      <c r="G865" s="98">
        <v>220</v>
      </c>
      <c r="H865" s="98">
        <v>520</v>
      </c>
      <c r="I865" s="98">
        <v>477</v>
      </c>
      <c r="J865" s="98" t="s">
        <v>2005</v>
      </c>
      <c r="K865" s="98" t="s">
        <v>445</v>
      </c>
      <c r="L865" s="105" t="str">
        <f t="shared" si="150"/>
        <v>Ghent</v>
      </c>
      <c r="M865" s="105" t="str">
        <f t="shared" si="151"/>
        <v>Derate</v>
      </c>
      <c r="N865" s="105" t="str">
        <f t="shared" si="152"/>
        <v>Coal</v>
      </c>
      <c r="O865" s="105">
        <f>IFERROR(VLOOKUP(A865,Lookup!$J$5:$P$19,7,FALSE),0)</f>
        <v>3</v>
      </c>
      <c r="P865" s="159">
        <f t="shared" si="153"/>
        <v>2013</v>
      </c>
      <c r="Q865" s="159">
        <f t="shared" si="154"/>
        <v>5</v>
      </c>
      <c r="R865" s="160">
        <f t="shared" si="155"/>
        <v>14.433333333407063</v>
      </c>
      <c r="S865" s="158">
        <f t="shared" si="156"/>
        <v>8.3269230769656133</v>
      </c>
      <c r="T865" s="161">
        <f t="shared" si="157"/>
        <v>3971.9423077125975</v>
      </c>
      <c r="U865" s="158">
        <f t="shared" si="158"/>
        <v>275.19230769230768</v>
      </c>
      <c r="V865" s="160">
        <f t="shared" si="159"/>
        <v>275</v>
      </c>
    </row>
    <row r="866" spans="1:22" x14ac:dyDescent="0.25">
      <c r="A866" s="98" t="s">
        <v>26</v>
      </c>
      <c r="B866" s="98" t="s">
        <v>17</v>
      </c>
      <c r="C866" s="98">
        <v>25</v>
      </c>
      <c r="D866" s="98">
        <v>340</v>
      </c>
      <c r="E866" s="157">
        <v>41407.916666666664</v>
      </c>
      <c r="F866" s="157">
        <v>41408.114583333336</v>
      </c>
      <c r="G866" s="98">
        <v>470</v>
      </c>
      <c r="H866" s="98">
        <v>520</v>
      </c>
      <c r="I866" s="98">
        <v>477</v>
      </c>
      <c r="J866" s="98" t="s">
        <v>1970</v>
      </c>
      <c r="K866" s="98" t="s">
        <v>446</v>
      </c>
      <c r="L866" s="105" t="str">
        <f t="shared" si="150"/>
        <v>Ghent</v>
      </c>
      <c r="M866" s="105" t="str">
        <f t="shared" si="151"/>
        <v>Derate</v>
      </c>
      <c r="N866" s="105" t="str">
        <f t="shared" si="152"/>
        <v>Coal</v>
      </c>
      <c r="O866" s="105">
        <f>IFERROR(VLOOKUP(A866,Lookup!$J$5:$P$19,7,FALSE),0)</f>
        <v>3</v>
      </c>
      <c r="P866" s="159">
        <f t="shared" si="153"/>
        <v>2013</v>
      </c>
      <c r="Q866" s="159">
        <f t="shared" si="154"/>
        <v>5</v>
      </c>
      <c r="R866" s="160">
        <f t="shared" si="155"/>
        <v>4.7500000001164153</v>
      </c>
      <c r="S866" s="158">
        <f t="shared" si="156"/>
        <v>0.45673076924196299</v>
      </c>
      <c r="T866" s="161">
        <f t="shared" si="157"/>
        <v>217.86057692841635</v>
      </c>
      <c r="U866" s="158">
        <f t="shared" si="158"/>
        <v>45.865384615384613</v>
      </c>
      <c r="V866" s="160">
        <f t="shared" si="159"/>
        <v>46</v>
      </c>
    </row>
    <row r="867" spans="1:22" x14ac:dyDescent="0.25">
      <c r="A867" s="98" t="s">
        <v>26</v>
      </c>
      <c r="B867" s="98" t="s">
        <v>32</v>
      </c>
      <c r="C867" s="98">
        <v>26</v>
      </c>
      <c r="D867" s="98">
        <v>340</v>
      </c>
      <c r="E867" s="157">
        <v>41429.958333333336</v>
      </c>
      <c r="F867" s="157">
        <v>41430.041666666664</v>
      </c>
      <c r="G867" s="98">
        <v>470</v>
      </c>
      <c r="H867" s="98">
        <v>520</v>
      </c>
      <c r="I867" s="98">
        <v>477</v>
      </c>
      <c r="J867" s="98" t="s">
        <v>1970</v>
      </c>
      <c r="K867" s="98" t="s">
        <v>447</v>
      </c>
      <c r="L867" s="105" t="str">
        <f t="shared" si="150"/>
        <v>Ghent</v>
      </c>
      <c r="M867" s="105" t="str">
        <f t="shared" si="151"/>
        <v>Derate</v>
      </c>
      <c r="N867" s="105" t="str">
        <f t="shared" si="152"/>
        <v>Coal</v>
      </c>
      <c r="O867" s="105">
        <f>IFERROR(VLOOKUP(A867,Lookup!$J$5:$P$19,7,FALSE),0)</f>
        <v>3</v>
      </c>
      <c r="P867" s="159">
        <f t="shared" si="153"/>
        <v>2013</v>
      </c>
      <c r="Q867" s="159">
        <f t="shared" si="154"/>
        <v>6</v>
      </c>
      <c r="R867" s="160">
        <f t="shared" si="155"/>
        <v>1.9999999998835847</v>
      </c>
      <c r="S867" s="158">
        <f t="shared" si="156"/>
        <v>0.19230769229649852</v>
      </c>
      <c r="T867" s="161">
        <f t="shared" si="157"/>
        <v>91.730769225429796</v>
      </c>
      <c r="U867" s="158">
        <f t="shared" si="158"/>
        <v>45.865384615384613</v>
      </c>
      <c r="V867" s="160">
        <f t="shared" si="159"/>
        <v>46</v>
      </c>
    </row>
    <row r="868" spans="1:22" x14ac:dyDescent="0.25">
      <c r="A868" s="98" t="s">
        <v>26</v>
      </c>
      <c r="B868" s="98" t="s">
        <v>17</v>
      </c>
      <c r="C868" s="98">
        <v>27</v>
      </c>
      <c r="D868" s="98">
        <v>1470</v>
      </c>
      <c r="E868" s="157">
        <v>41437.598611111112</v>
      </c>
      <c r="F868" s="157">
        <v>41437.623611111114</v>
      </c>
      <c r="G868" s="98">
        <v>500</v>
      </c>
      <c r="H868" s="98">
        <v>520</v>
      </c>
      <c r="I868" s="98">
        <v>477</v>
      </c>
      <c r="J868" s="98" t="s">
        <v>2005</v>
      </c>
      <c r="K868" s="98" t="s">
        <v>448</v>
      </c>
      <c r="L868" s="105" t="str">
        <f t="shared" si="150"/>
        <v>Ghent</v>
      </c>
      <c r="M868" s="105" t="str">
        <f t="shared" si="151"/>
        <v>Derate</v>
      </c>
      <c r="N868" s="105" t="str">
        <f t="shared" si="152"/>
        <v>Coal</v>
      </c>
      <c r="O868" s="105">
        <f>IFERROR(VLOOKUP(A868,Lookup!$J$5:$P$19,7,FALSE),0)</f>
        <v>3</v>
      </c>
      <c r="P868" s="159">
        <f t="shared" si="153"/>
        <v>2013</v>
      </c>
      <c r="Q868" s="159">
        <f t="shared" si="154"/>
        <v>6</v>
      </c>
      <c r="R868" s="160">
        <f t="shared" si="155"/>
        <v>0.6000000000349246</v>
      </c>
      <c r="S868" s="158">
        <f t="shared" si="156"/>
        <v>2.307692307826633E-2</v>
      </c>
      <c r="T868" s="161">
        <f t="shared" si="157"/>
        <v>11.00769230833304</v>
      </c>
      <c r="U868" s="158">
        <f t="shared" si="158"/>
        <v>18.346153846153847</v>
      </c>
      <c r="V868" s="160">
        <f t="shared" si="159"/>
        <v>18</v>
      </c>
    </row>
    <row r="869" spans="1:22" x14ac:dyDescent="0.25">
      <c r="A869" s="98" t="s">
        <v>26</v>
      </c>
      <c r="B869" s="98" t="s">
        <v>32</v>
      </c>
      <c r="C869" s="98">
        <v>28</v>
      </c>
      <c r="D869" s="98">
        <v>340</v>
      </c>
      <c r="E869" s="157">
        <v>41445.125</v>
      </c>
      <c r="F869" s="157">
        <v>41445.222222222219</v>
      </c>
      <c r="G869" s="98">
        <v>460</v>
      </c>
      <c r="H869" s="98">
        <v>520</v>
      </c>
      <c r="I869" s="98">
        <v>477</v>
      </c>
      <c r="J869" s="98" t="s">
        <v>1970</v>
      </c>
      <c r="K869" s="98" t="s">
        <v>449</v>
      </c>
      <c r="L869" s="105" t="str">
        <f t="shared" si="150"/>
        <v>Ghent</v>
      </c>
      <c r="M869" s="105" t="str">
        <f t="shared" si="151"/>
        <v>Derate</v>
      </c>
      <c r="N869" s="105" t="str">
        <f t="shared" si="152"/>
        <v>Coal</v>
      </c>
      <c r="O869" s="105">
        <f>IFERROR(VLOOKUP(A869,Lookup!$J$5:$P$19,7,FALSE),0)</f>
        <v>3</v>
      </c>
      <c r="P869" s="159">
        <f t="shared" si="153"/>
        <v>2013</v>
      </c>
      <c r="Q869" s="159">
        <f t="shared" si="154"/>
        <v>6</v>
      </c>
      <c r="R869" s="160">
        <f t="shared" si="155"/>
        <v>2.3333333332557231</v>
      </c>
      <c r="S869" s="158">
        <f t="shared" si="156"/>
        <v>0.26923076922181421</v>
      </c>
      <c r="T869" s="161">
        <f t="shared" si="157"/>
        <v>128.42307691880538</v>
      </c>
      <c r="U869" s="158">
        <f t="shared" si="158"/>
        <v>55.03846153846154</v>
      </c>
      <c r="V869" s="160">
        <f t="shared" si="159"/>
        <v>55</v>
      </c>
    </row>
    <row r="870" spans="1:22" x14ac:dyDescent="0.25">
      <c r="A870" s="98" t="s">
        <v>26</v>
      </c>
      <c r="B870" s="98" t="s">
        <v>17</v>
      </c>
      <c r="C870" s="98">
        <v>29</v>
      </c>
      <c r="D870" s="98">
        <v>340</v>
      </c>
      <c r="E870" s="157">
        <v>41475.432638888888</v>
      </c>
      <c r="F870" s="157">
        <v>41475.895833333336</v>
      </c>
      <c r="G870" s="98">
        <v>510</v>
      </c>
      <c r="H870" s="98">
        <v>520</v>
      </c>
      <c r="I870" s="98">
        <v>477</v>
      </c>
      <c r="J870" s="98" t="s">
        <v>1970</v>
      </c>
      <c r="K870" s="98" t="s">
        <v>1065</v>
      </c>
      <c r="L870" s="105" t="str">
        <f t="shared" si="150"/>
        <v>Ghent</v>
      </c>
      <c r="M870" s="105" t="str">
        <f t="shared" si="151"/>
        <v>Derate</v>
      </c>
      <c r="N870" s="105" t="str">
        <f t="shared" si="152"/>
        <v>Coal</v>
      </c>
      <c r="O870" s="105">
        <f>IFERROR(VLOOKUP(A870,Lookup!$J$5:$P$19,7,FALSE),0)</f>
        <v>3</v>
      </c>
      <c r="P870" s="159">
        <f t="shared" si="153"/>
        <v>2013</v>
      </c>
      <c r="Q870" s="159">
        <f t="shared" si="154"/>
        <v>7</v>
      </c>
      <c r="R870" s="160">
        <f t="shared" si="155"/>
        <v>11.116666666755918</v>
      </c>
      <c r="S870" s="158">
        <f t="shared" si="156"/>
        <v>0.21378205128376765</v>
      </c>
      <c r="T870" s="161">
        <f t="shared" si="157"/>
        <v>101.97403846235717</v>
      </c>
      <c r="U870" s="158">
        <f t="shared" si="158"/>
        <v>9.1730769230769234</v>
      </c>
      <c r="V870" s="160">
        <f t="shared" si="159"/>
        <v>9</v>
      </c>
    </row>
    <row r="871" spans="1:22" x14ac:dyDescent="0.25">
      <c r="A871" s="98" t="s">
        <v>26</v>
      </c>
      <c r="B871" s="98" t="s">
        <v>32</v>
      </c>
      <c r="C871" s="98">
        <v>30</v>
      </c>
      <c r="D871" s="98">
        <v>340</v>
      </c>
      <c r="E871" s="157">
        <v>41475.943749999999</v>
      </c>
      <c r="F871" s="157">
        <v>41476.001388888886</v>
      </c>
      <c r="G871" s="98">
        <v>420</v>
      </c>
      <c r="H871" s="98">
        <v>520</v>
      </c>
      <c r="I871" s="98">
        <v>477</v>
      </c>
      <c r="J871" s="98" t="s">
        <v>1970</v>
      </c>
      <c r="K871" s="98" t="s">
        <v>1066</v>
      </c>
      <c r="L871" s="105" t="str">
        <f t="shared" si="150"/>
        <v>Ghent</v>
      </c>
      <c r="M871" s="105" t="str">
        <f t="shared" si="151"/>
        <v>Derate</v>
      </c>
      <c r="N871" s="105" t="str">
        <f t="shared" si="152"/>
        <v>Coal</v>
      </c>
      <c r="O871" s="105">
        <f>IFERROR(VLOOKUP(A871,Lookup!$J$5:$P$19,7,FALSE),0)</f>
        <v>3</v>
      </c>
      <c r="P871" s="159">
        <f t="shared" si="153"/>
        <v>2013</v>
      </c>
      <c r="Q871" s="159">
        <f t="shared" si="154"/>
        <v>7</v>
      </c>
      <c r="R871" s="160">
        <f t="shared" si="155"/>
        <v>1.3833333333022892</v>
      </c>
      <c r="S871" s="158">
        <f t="shared" si="156"/>
        <v>0.26602564101967102</v>
      </c>
      <c r="T871" s="161">
        <f t="shared" si="157"/>
        <v>126.89423076638307</v>
      </c>
      <c r="U871" s="158">
        <f t="shared" si="158"/>
        <v>91.730769230769226</v>
      </c>
      <c r="V871" s="160">
        <f t="shared" si="159"/>
        <v>92</v>
      </c>
    </row>
    <row r="872" spans="1:22" x14ac:dyDescent="0.25">
      <c r="A872" s="98" t="s">
        <v>26</v>
      </c>
      <c r="B872" s="98" t="s">
        <v>17</v>
      </c>
      <c r="C872" s="98">
        <v>31</v>
      </c>
      <c r="D872" s="98">
        <v>340</v>
      </c>
      <c r="E872" s="157">
        <v>41481.180555555555</v>
      </c>
      <c r="F872" s="157">
        <v>41481.492361111108</v>
      </c>
      <c r="G872" s="98">
        <v>475</v>
      </c>
      <c r="H872" s="98">
        <v>520</v>
      </c>
      <c r="I872" s="98">
        <v>477</v>
      </c>
      <c r="J872" s="98" t="s">
        <v>1970</v>
      </c>
      <c r="K872" s="98" t="s">
        <v>1067</v>
      </c>
      <c r="L872" s="105" t="str">
        <f t="shared" si="150"/>
        <v>Ghent</v>
      </c>
      <c r="M872" s="105" t="str">
        <f t="shared" si="151"/>
        <v>Derate</v>
      </c>
      <c r="N872" s="105" t="str">
        <f t="shared" si="152"/>
        <v>Coal</v>
      </c>
      <c r="O872" s="105">
        <f>IFERROR(VLOOKUP(A872,Lookup!$J$5:$P$19,7,FALSE),0)</f>
        <v>3</v>
      </c>
      <c r="P872" s="159">
        <f t="shared" si="153"/>
        <v>2013</v>
      </c>
      <c r="Q872" s="159">
        <f t="shared" si="154"/>
        <v>7</v>
      </c>
      <c r="R872" s="160">
        <f t="shared" si="155"/>
        <v>7.4833333332790062</v>
      </c>
      <c r="S872" s="158">
        <f t="shared" si="156"/>
        <v>0.64759615384145242</v>
      </c>
      <c r="T872" s="161">
        <f t="shared" si="157"/>
        <v>308.90336538237278</v>
      </c>
      <c r="U872" s="158">
        <f t="shared" si="158"/>
        <v>41.278846153846153</v>
      </c>
      <c r="V872" s="160">
        <f t="shared" si="159"/>
        <v>41</v>
      </c>
    </row>
    <row r="873" spans="1:22" x14ac:dyDescent="0.25">
      <c r="A873" s="98" t="s">
        <v>26</v>
      </c>
      <c r="B873" s="98" t="s">
        <v>32</v>
      </c>
      <c r="C873" s="98">
        <v>32</v>
      </c>
      <c r="D873" s="98">
        <v>340</v>
      </c>
      <c r="E873" s="157">
        <v>41501.916666666664</v>
      </c>
      <c r="F873" s="157">
        <v>41502.034722222219</v>
      </c>
      <c r="G873" s="98">
        <v>475</v>
      </c>
      <c r="H873" s="98">
        <v>520</v>
      </c>
      <c r="I873" s="98">
        <v>477</v>
      </c>
      <c r="J873" s="98" t="s">
        <v>1970</v>
      </c>
      <c r="K873" s="98" t="s">
        <v>1068</v>
      </c>
      <c r="L873" s="105" t="str">
        <f t="shared" si="150"/>
        <v>Ghent</v>
      </c>
      <c r="M873" s="105" t="str">
        <f t="shared" si="151"/>
        <v>Derate</v>
      </c>
      <c r="N873" s="105" t="str">
        <f t="shared" si="152"/>
        <v>Coal</v>
      </c>
      <c r="O873" s="105">
        <f>IFERROR(VLOOKUP(A873,Lookup!$J$5:$P$19,7,FALSE),0)</f>
        <v>3</v>
      </c>
      <c r="P873" s="159">
        <f t="shared" si="153"/>
        <v>2013</v>
      </c>
      <c r="Q873" s="159">
        <f t="shared" si="154"/>
        <v>8</v>
      </c>
      <c r="R873" s="160">
        <f t="shared" si="155"/>
        <v>2.8333333333139308</v>
      </c>
      <c r="S873" s="158">
        <f t="shared" si="156"/>
        <v>0.24519230769062864</v>
      </c>
      <c r="T873" s="161">
        <f t="shared" si="157"/>
        <v>116.95673076842986</v>
      </c>
      <c r="U873" s="158">
        <f t="shared" si="158"/>
        <v>41.278846153846153</v>
      </c>
      <c r="V873" s="160">
        <f t="shared" si="159"/>
        <v>41</v>
      </c>
    </row>
    <row r="874" spans="1:22" x14ac:dyDescent="0.25">
      <c r="A874" s="98" t="s">
        <v>26</v>
      </c>
      <c r="B874" s="98" t="s">
        <v>17</v>
      </c>
      <c r="C874" s="98">
        <v>33</v>
      </c>
      <c r="D874" s="98">
        <v>250</v>
      </c>
      <c r="E874" s="157">
        <v>41514.048611111109</v>
      </c>
      <c r="F874" s="157">
        <v>41514.083333333336</v>
      </c>
      <c r="G874" s="98">
        <v>470</v>
      </c>
      <c r="H874" s="98">
        <v>520</v>
      </c>
      <c r="I874" s="98">
        <v>477</v>
      </c>
      <c r="J874" s="98" t="s">
        <v>1978</v>
      </c>
      <c r="K874" s="98" t="s">
        <v>1069</v>
      </c>
      <c r="L874" s="105" t="str">
        <f t="shared" si="150"/>
        <v>Ghent</v>
      </c>
      <c r="M874" s="105" t="str">
        <f t="shared" si="151"/>
        <v>Derate</v>
      </c>
      <c r="N874" s="105" t="str">
        <f t="shared" si="152"/>
        <v>Coal</v>
      </c>
      <c r="O874" s="105">
        <f>IFERROR(VLOOKUP(A874,Lookup!$J$5:$P$19,7,FALSE),0)</f>
        <v>3</v>
      </c>
      <c r="P874" s="159">
        <f t="shared" si="153"/>
        <v>2013</v>
      </c>
      <c r="Q874" s="159">
        <f t="shared" si="154"/>
        <v>8</v>
      </c>
      <c r="R874" s="160">
        <f t="shared" si="155"/>
        <v>0.8333333334303461</v>
      </c>
      <c r="S874" s="158">
        <f t="shared" si="156"/>
        <v>8.0128205137533284E-2</v>
      </c>
      <c r="T874" s="161">
        <f t="shared" si="157"/>
        <v>38.221153850603379</v>
      </c>
      <c r="U874" s="158">
        <f t="shared" si="158"/>
        <v>45.865384615384613</v>
      </c>
      <c r="V874" s="160">
        <f t="shared" si="159"/>
        <v>46</v>
      </c>
    </row>
    <row r="875" spans="1:22" x14ac:dyDescent="0.25">
      <c r="A875" s="98" t="s">
        <v>26</v>
      </c>
      <c r="B875" s="98" t="s">
        <v>17</v>
      </c>
      <c r="C875" s="98">
        <v>34</v>
      </c>
      <c r="D875" s="98">
        <v>1000</v>
      </c>
      <c r="E875" s="157">
        <v>41526.251388888886</v>
      </c>
      <c r="F875" s="157">
        <v>41530.328472222223</v>
      </c>
      <c r="G875" s="98">
        <v>450</v>
      </c>
      <c r="H875" s="98">
        <v>520</v>
      </c>
      <c r="I875" s="98">
        <v>477</v>
      </c>
      <c r="J875" s="98" t="s">
        <v>2002</v>
      </c>
      <c r="K875" s="98" t="s">
        <v>1070</v>
      </c>
      <c r="L875" s="105" t="str">
        <f t="shared" si="150"/>
        <v>Ghent</v>
      </c>
      <c r="M875" s="105" t="str">
        <f t="shared" si="151"/>
        <v>Derate</v>
      </c>
      <c r="N875" s="105" t="str">
        <f t="shared" si="152"/>
        <v>Coal</v>
      </c>
      <c r="O875" s="105">
        <f>IFERROR(VLOOKUP(A875,Lookup!$J$5:$P$19,7,FALSE),0)</f>
        <v>3</v>
      </c>
      <c r="P875" s="159">
        <f t="shared" si="153"/>
        <v>2013</v>
      </c>
      <c r="Q875" s="159">
        <f t="shared" si="154"/>
        <v>9</v>
      </c>
      <c r="R875" s="160">
        <f t="shared" si="155"/>
        <v>97.850000000093132</v>
      </c>
      <c r="S875" s="158">
        <f t="shared" si="156"/>
        <v>13.172115384627922</v>
      </c>
      <c r="T875" s="161">
        <f t="shared" si="157"/>
        <v>6283.0990384675188</v>
      </c>
      <c r="U875" s="158">
        <f t="shared" si="158"/>
        <v>64.211538461538467</v>
      </c>
      <c r="V875" s="160">
        <f t="shared" si="159"/>
        <v>64</v>
      </c>
    </row>
    <row r="876" spans="1:22" x14ac:dyDescent="0.25">
      <c r="A876" s="98" t="s">
        <v>26</v>
      </c>
      <c r="B876" s="98" t="s">
        <v>20</v>
      </c>
      <c r="C876" s="98">
        <v>35</v>
      </c>
      <c r="D876" s="98">
        <v>1000</v>
      </c>
      <c r="E876" s="157">
        <v>41530.328472222223</v>
      </c>
      <c r="F876" s="157">
        <v>41531.770833333336</v>
      </c>
      <c r="G876" s="98">
        <v>0</v>
      </c>
      <c r="H876" s="98">
        <v>520</v>
      </c>
      <c r="I876" s="98">
        <v>477</v>
      </c>
      <c r="J876" s="98" t="s">
        <v>2002</v>
      </c>
      <c r="K876" s="98" t="s">
        <v>1071</v>
      </c>
      <c r="L876" s="105" t="str">
        <f t="shared" si="150"/>
        <v>Ghent</v>
      </c>
      <c r="M876" s="105" t="str">
        <f t="shared" si="151"/>
        <v>Maintenance</v>
      </c>
      <c r="N876" s="105" t="str">
        <f t="shared" si="152"/>
        <v>Coal</v>
      </c>
      <c r="O876" s="105">
        <f>IFERROR(VLOOKUP(A876,Lookup!$J$5:$P$19,7,FALSE),0)</f>
        <v>3</v>
      </c>
      <c r="P876" s="159">
        <f t="shared" si="153"/>
        <v>2013</v>
      </c>
      <c r="Q876" s="159">
        <f t="shared" si="154"/>
        <v>9</v>
      </c>
      <c r="R876" s="160">
        <f t="shared" si="155"/>
        <v>34.616666666697711</v>
      </c>
      <c r="S876" s="158">
        <f t="shared" si="156"/>
        <v>34.616666666697711</v>
      </c>
      <c r="T876" s="161">
        <f t="shared" si="157"/>
        <v>16512.150000014808</v>
      </c>
      <c r="U876" s="158">
        <f t="shared" si="158"/>
        <v>477</v>
      </c>
      <c r="V876" s="160">
        <f t="shared" si="159"/>
        <v>477</v>
      </c>
    </row>
    <row r="877" spans="1:22" x14ac:dyDescent="0.25">
      <c r="A877" s="98" t="s">
        <v>26</v>
      </c>
      <c r="B877" s="98" t="s">
        <v>17</v>
      </c>
      <c r="C877" s="98">
        <v>37</v>
      </c>
      <c r="D877" s="98">
        <v>340</v>
      </c>
      <c r="E877" s="157">
        <v>41533.991666666669</v>
      </c>
      <c r="F877" s="157">
        <v>41534.335416666669</v>
      </c>
      <c r="G877" s="98">
        <v>460</v>
      </c>
      <c r="H877" s="98">
        <v>520</v>
      </c>
      <c r="I877" s="98">
        <v>477</v>
      </c>
      <c r="J877" s="98" t="s">
        <v>1970</v>
      </c>
      <c r="K877" s="98" t="s">
        <v>1072</v>
      </c>
      <c r="L877" s="105" t="str">
        <f t="shared" ref="L877:L940" si="160">IF(OR(A877="BR1",A877="BR2",A877="BR3",A877="BR5",A877="BR6",A877="BR7",A877="BR8",A877="BR9",A877="BR10",A877="BR11"),"Brown",IF(OR(A877="CR4",A877="CR5",A877="CR6",A877="CR11"),"Cane Run",IF(OR(A877="GH1",A877="GH2",A877="GH3",A877="GH4"),"Ghent",IF(OR(A877="GR3",A877="GR4"),"Green River",IF(OR(A877="MC1",A877="MC2",A877="MC3",A877="MC4"),"Mill Creek",IF(OR(A877="TC1",A877="TC2",A877="TC5",A877="TC6",A877="TC7",A877="TC8",A877="TC9",A877="TC10"),"Trimble",IF(A877="TY3","Tyrone",IF(OR(A877="HA1",A877="HA2",A877="HA3"),"Haeflin",IF(OR(A877="PR11",A877="PR12",A877="PR13"),"Paddy's Run","Zorn")))))))))</f>
        <v>Ghent</v>
      </c>
      <c r="M877" s="105" t="str">
        <f t="shared" ref="M877:M940" si="161">IF(OR(B877="D1",B877="D2",B877="D3",B877="D4",B877="PD"),"Derate",IF(OR(B877="SF",B877="U1",B877="U2",B877="U3"),"Outage",IF(OR(B877="ME",B877="MO"),"Maintenance","Other")))</f>
        <v>Derate</v>
      </c>
      <c r="N877" s="105" t="str">
        <f t="shared" ref="N877:N940" si="162">IF(OR(A877="BR1",A877="BR2",A877="BR3",A877="CR4",A877="CR5",A877="CR6",A877="GH1",A877="GH2",A877="GH3",A877="GH4",A877="GR3",A877="GR4",A877="MC1",A877="MC2",A877="MC3",A877="MC4",A877="TC1",A877="TC2",A877="TY3"),"Coal","Gas")</f>
        <v>Coal</v>
      </c>
      <c r="O877" s="105">
        <f>IFERROR(VLOOKUP(A877,Lookup!$J$5:$P$19,7,FALSE),0)</f>
        <v>3</v>
      </c>
      <c r="P877" s="159">
        <f t="shared" ref="P877:P940" si="163">YEAR(E877)</f>
        <v>2013</v>
      </c>
      <c r="Q877" s="159">
        <f t="shared" ref="Q877:Q940" si="164">MONTH(E877)</f>
        <v>9</v>
      </c>
      <c r="R877" s="160">
        <f t="shared" ref="R877:R940" si="165">(F877-E877)*24</f>
        <v>8.25</v>
      </c>
      <c r="S877" s="158">
        <f t="shared" ref="S877:S940" si="166">R877*(H877-G877)/H877</f>
        <v>0.95192307692307687</v>
      </c>
      <c r="T877" s="161">
        <f t="shared" ref="T877:T940" si="167">S877*I877</f>
        <v>454.06730769230768</v>
      </c>
      <c r="U877" s="158">
        <f t="shared" si="158"/>
        <v>55.03846153846154</v>
      </c>
      <c r="V877" s="160">
        <f t="shared" ref="V877:V940" si="168">ROUND(U877,0)</f>
        <v>55</v>
      </c>
    </row>
    <row r="878" spans="1:22" x14ac:dyDescent="0.25">
      <c r="A878" s="98" t="s">
        <v>26</v>
      </c>
      <c r="B878" s="98" t="s">
        <v>17</v>
      </c>
      <c r="C878" s="98">
        <v>38</v>
      </c>
      <c r="D878" s="98">
        <v>344</v>
      </c>
      <c r="E878" s="157">
        <v>41534.522916666669</v>
      </c>
      <c r="F878" s="157">
        <v>41534.599305555559</v>
      </c>
      <c r="G878" s="98">
        <v>460</v>
      </c>
      <c r="H878" s="98">
        <v>520</v>
      </c>
      <c r="I878" s="98">
        <v>477</v>
      </c>
      <c r="J878" s="98" t="s">
        <v>1968</v>
      </c>
      <c r="K878" s="98" t="s">
        <v>1073</v>
      </c>
      <c r="L878" s="105" t="str">
        <f t="shared" si="160"/>
        <v>Ghent</v>
      </c>
      <c r="M878" s="105" t="str">
        <f t="shared" si="161"/>
        <v>Derate</v>
      </c>
      <c r="N878" s="105" t="str">
        <f t="shared" si="162"/>
        <v>Coal</v>
      </c>
      <c r="O878" s="105">
        <f>IFERROR(VLOOKUP(A878,Lookup!$J$5:$P$19,7,FALSE),0)</f>
        <v>3</v>
      </c>
      <c r="P878" s="159">
        <f t="shared" si="163"/>
        <v>2013</v>
      </c>
      <c r="Q878" s="159">
        <f t="shared" si="164"/>
        <v>9</v>
      </c>
      <c r="R878" s="160">
        <f t="shared" si="165"/>
        <v>1.8333333333721384</v>
      </c>
      <c r="S878" s="158">
        <f t="shared" si="166"/>
        <v>0.21153846154293904</v>
      </c>
      <c r="T878" s="161">
        <f t="shared" si="167"/>
        <v>100.90384615598192</v>
      </c>
      <c r="U878" s="158">
        <f t="shared" ref="U878:U941" si="169">IF(G878&gt;0,MAX((H878-G878),0)*I878/H878,I878)</f>
        <v>55.03846153846154</v>
      </c>
      <c r="V878" s="160">
        <f t="shared" si="168"/>
        <v>55</v>
      </c>
    </row>
    <row r="879" spans="1:22" x14ac:dyDescent="0.25">
      <c r="A879" s="98" t="s">
        <v>26</v>
      </c>
      <c r="B879" s="98" t="s">
        <v>17</v>
      </c>
      <c r="C879" s="98">
        <v>39</v>
      </c>
      <c r="D879" s="98">
        <v>250</v>
      </c>
      <c r="E879" s="157">
        <v>41535.320833333331</v>
      </c>
      <c r="F879" s="157">
        <v>41535.45416666667</v>
      </c>
      <c r="G879" s="98">
        <v>460</v>
      </c>
      <c r="H879" s="98">
        <v>520</v>
      </c>
      <c r="I879" s="98">
        <v>477</v>
      </c>
      <c r="J879" s="98" t="s">
        <v>1978</v>
      </c>
      <c r="K879" s="98" t="s">
        <v>1074</v>
      </c>
      <c r="L879" s="105" t="str">
        <f t="shared" si="160"/>
        <v>Ghent</v>
      </c>
      <c r="M879" s="105" t="str">
        <f t="shared" si="161"/>
        <v>Derate</v>
      </c>
      <c r="N879" s="105" t="str">
        <f t="shared" si="162"/>
        <v>Coal</v>
      </c>
      <c r="O879" s="105">
        <f>IFERROR(VLOOKUP(A879,Lookup!$J$5:$P$19,7,FALSE),0)</f>
        <v>3</v>
      </c>
      <c r="P879" s="159">
        <f t="shared" si="163"/>
        <v>2013</v>
      </c>
      <c r="Q879" s="159">
        <f t="shared" si="164"/>
        <v>9</v>
      </c>
      <c r="R879" s="160">
        <f t="shared" si="165"/>
        <v>3.2000000001280569</v>
      </c>
      <c r="S879" s="158">
        <f t="shared" si="166"/>
        <v>0.36923076924554504</v>
      </c>
      <c r="T879" s="161">
        <f t="shared" si="167"/>
        <v>176.12307693012499</v>
      </c>
      <c r="U879" s="158">
        <f t="shared" si="169"/>
        <v>55.03846153846154</v>
      </c>
      <c r="V879" s="160">
        <f t="shared" si="168"/>
        <v>55</v>
      </c>
    </row>
    <row r="880" spans="1:22" x14ac:dyDescent="0.25">
      <c r="A880" s="98" t="s">
        <v>26</v>
      </c>
      <c r="B880" s="98" t="s">
        <v>17</v>
      </c>
      <c r="C880" s="98">
        <v>40</v>
      </c>
      <c r="D880" s="98">
        <v>340</v>
      </c>
      <c r="E880" s="157">
        <v>41541.861111111109</v>
      </c>
      <c r="F880" s="157">
        <v>41541.979166666664</v>
      </c>
      <c r="G880" s="98">
        <v>460</v>
      </c>
      <c r="H880" s="98">
        <v>520</v>
      </c>
      <c r="I880" s="98">
        <v>477</v>
      </c>
      <c r="J880" s="98" t="s">
        <v>1970</v>
      </c>
      <c r="K880" s="98" t="s">
        <v>1075</v>
      </c>
      <c r="L880" s="105" t="str">
        <f t="shared" si="160"/>
        <v>Ghent</v>
      </c>
      <c r="M880" s="105" t="str">
        <f t="shared" si="161"/>
        <v>Derate</v>
      </c>
      <c r="N880" s="105" t="str">
        <f t="shared" si="162"/>
        <v>Coal</v>
      </c>
      <c r="O880" s="105">
        <f>IFERROR(VLOOKUP(A880,Lookup!$J$5:$P$19,7,FALSE),0)</f>
        <v>3</v>
      </c>
      <c r="P880" s="159">
        <f t="shared" si="163"/>
        <v>2013</v>
      </c>
      <c r="Q880" s="159">
        <f t="shared" si="164"/>
        <v>9</v>
      </c>
      <c r="R880" s="160">
        <f t="shared" si="165"/>
        <v>2.8333333333139308</v>
      </c>
      <c r="S880" s="158">
        <f t="shared" si="166"/>
        <v>0.32692307692083816</v>
      </c>
      <c r="T880" s="161">
        <f t="shared" si="167"/>
        <v>155.94230769123979</v>
      </c>
      <c r="U880" s="158">
        <f t="shared" si="169"/>
        <v>55.03846153846154</v>
      </c>
      <c r="V880" s="160">
        <f t="shared" si="168"/>
        <v>55</v>
      </c>
    </row>
    <row r="881" spans="1:22" x14ac:dyDescent="0.25">
      <c r="A881" s="98" t="s">
        <v>26</v>
      </c>
      <c r="B881" s="98" t="s">
        <v>17</v>
      </c>
      <c r="C881" s="98">
        <v>41</v>
      </c>
      <c r="D881" s="98">
        <v>3815</v>
      </c>
      <c r="E881" s="157">
        <v>41553.729166666664</v>
      </c>
      <c r="F881" s="157">
        <v>41553.763888888891</v>
      </c>
      <c r="G881" s="98">
        <v>300</v>
      </c>
      <c r="H881" s="98">
        <v>520</v>
      </c>
      <c r="I881" s="98">
        <v>477</v>
      </c>
      <c r="J881" s="98" t="s">
        <v>2172</v>
      </c>
      <c r="K881" s="98" t="s">
        <v>1076</v>
      </c>
      <c r="L881" s="105" t="str">
        <f t="shared" si="160"/>
        <v>Ghent</v>
      </c>
      <c r="M881" s="105" t="str">
        <f t="shared" si="161"/>
        <v>Derate</v>
      </c>
      <c r="N881" s="105" t="str">
        <f t="shared" si="162"/>
        <v>Coal</v>
      </c>
      <c r="O881" s="105">
        <f>IFERROR(VLOOKUP(A881,Lookup!$J$5:$P$19,7,FALSE),0)</f>
        <v>3</v>
      </c>
      <c r="P881" s="159">
        <f t="shared" si="163"/>
        <v>2013</v>
      </c>
      <c r="Q881" s="159">
        <f t="shared" si="164"/>
        <v>10</v>
      </c>
      <c r="R881" s="160">
        <f t="shared" si="165"/>
        <v>0.8333333334303461</v>
      </c>
      <c r="S881" s="158">
        <f t="shared" si="166"/>
        <v>0.35256410260514642</v>
      </c>
      <c r="T881" s="161">
        <f t="shared" si="167"/>
        <v>168.17307694265483</v>
      </c>
      <c r="U881" s="158">
        <f t="shared" si="169"/>
        <v>201.80769230769232</v>
      </c>
      <c r="V881" s="160">
        <f t="shared" si="168"/>
        <v>202</v>
      </c>
    </row>
    <row r="882" spans="1:22" x14ac:dyDescent="0.25">
      <c r="A882" s="98" t="s">
        <v>26</v>
      </c>
      <c r="B882" s="98" t="s">
        <v>17</v>
      </c>
      <c r="C882" s="98">
        <v>42</v>
      </c>
      <c r="D882" s="98">
        <v>340</v>
      </c>
      <c r="E882" s="157">
        <v>41561.772222222222</v>
      </c>
      <c r="F882" s="157">
        <v>41561.925000000003</v>
      </c>
      <c r="G882" s="98">
        <v>460</v>
      </c>
      <c r="H882" s="98">
        <v>520</v>
      </c>
      <c r="I882" s="98">
        <v>477</v>
      </c>
      <c r="J882" s="98" t="s">
        <v>1970</v>
      </c>
      <c r="K882" s="98" t="s">
        <v>1077</v>
      </c>
      <c r="L882" s="105" t="str">
        <f t="shared" si="160"/>
        <v>Ghent</v>
      </c>
      <c r="M882" s="105" t="str">
        <f t="shared" si="161"/>
        <v>Derate</v>
      </c>
      <c r="N882" s="105" t="str">
        <f t="shared" si="162"/>
        <v>Coal</v>
      </c>
      <c r="O882" s="105">
        <f>IFERROR(VLOOKUP(A882,Lookup!$J$5:$P$19,7,FALSE),0)</f>
        <v>3</v>
      </c>
      <c r="P882" s="159">
        <f t="shared" si="163"/>
        <v>2013</v>
      </c>
      <c r="Q882" s="159">
        <f t="shared" si="164"/>
        <v>10</v>
      </c>
      <c r="R882" s="160">
        <f t="shared" si="165"/>
        <v>3.6666666667442769</v>
      </c>
      <c r="S882" s="158">
        <f t="shared" si="166"/>
        <v>0.42307692308587808</v>
      </c>
      <c r="T882" s="161">
        <f t="shared" si="167"/>
        <v>201.80769231196385</v>
      </c>
      <c r="U882" s="158">
        <f t="shared" si="169"/>
        <v>55.03846153846154</v>
      </c>
      <c r="V882" s="160">
        <f t="shared" si="168"/>
        <v>55</v>
      </c>
    </row>
    <row r="883" spans="1:22" x14ac:dyDescent="0.25">
      <c r="A883" s="98" t="s">
        <v>26</v>
      </c>
      <c r="B883" s="98" t="s">
        <v>17</v>
      </c>
      <c r="C883" s="98">
        <v>43</v>
      </c>
      <c r="D883" s="98">
        <v>340</v>
      </c>
      <c r="E883" s="157">
        <v>41566.631944444445</v>
      </c>
      <c r="F883" s="157">
        <v>41566.726388888892</v>
      </c>
      <c r="G883" s="98">
        <v>460</v>
      </c>
      <c r="H883" s="98">
        <v>520</v>
      </c>
      <c r="I883" s="98">
        <v>477</v>
      </c>
      <c r="J883" s="98" t="s">
        <v>1970</v>
      </c>
      <c r="K883" s="98" t="s">
        <v>1078</v>
      </c>
      <c r="L883" s="105" t="str">
        <f t="shared" si="160"/>
        <v>Ghent</v>
      </c>
      <c r="M883" s="105" t="str">
        <f t="shared" si="161"/>
        <v>Derate</v>
      </c>
      <c r="N883" s="105" t="str">
        <f t="shared" si="162"/>
        <v>Coal</v>
      </c>
      <c r="O883" s="105">
        <f>IFERROR(VLOOKUP(A883,Lookup!$J$5:$P$19,7,FALSE),0)</f>
        <v>3</v>
      </c>
      <c r="P883" s="159">
        <f t="shared" si="163"/>
        <v>2013</v>
      </c>
      <c r="Q883" s="159">
        <f t="shared" si="164"/>
        <v>10</v>
      </c>
      <c r="R883" s="160">
        <f t="shared" si="165"/>
        <v>2.2666666667209938</v>
      </c>
      <c r="S883" s="158">
        <f t="shared" si="166"/>
        <v>0.26153846154473004</v>
      </c>
      <c r="T883" s="161">
        <f t="shared" si="167"/>
        <v>124.75384615683623</v>
      </c>
      <c r="U883" s="158">
        <f t="shared" si="169"/>
        <v>55.03846153846154</v>
      </c>
      <c r="V883" s="160">
        <f t="shared" si="168"/>
        <v>55</v>
      </c>
    </row>
    <row r="884" spans="1:22" x14ac:dyDescent="0.25">
      <c r="A884" s="98" t="s">
        <v>26</v>
      </c>
      <c r="B884" s="98" t="s">
        <v>32</v>
      </c>
      <c r="C884" s="98">
        <v>44</v>
      </c>
      <c r="D884" s="98">
        <v>340</v>
      </c>
      <c r="E884" s="157">
        <v>41569.975694444445</v>
      </c>
      <c r="F884" s="157">
        <v>41570.140972222223</v>
      </c>
      <c r="G884" s="98">
        <v>460</v>
      </c>
      <c r="H884" s="98">
        <v>520</v>
      </c>
      <c r="I884" s="98">
        <v>477</v>
      </c>
      <c r="J884" s="98" t="s">
        <v>1970</v>
      </c>
      <c r="K884" s="98" t="s">
        <v>1079</v>
      </c>
      <c r="L884" s="105" t="str">
        <f t="shared" si="160"/>
        <v>Ghent</v>
      </c>
      <c r="M884" s="105" t="str">
        <f t="shared" si="161"/>
        <v>Derate</v>
      </c>
      <c r="N884" s="105" t="str">
        <f t="shared" si="162"/>
        <v>Coal</v>
      </c>
      <c r="O884" s="105">
        <f>IFERROR(VLOOKUP(A884,Lookup!$J$5:$P$19,7,FALSE),0)</f>
        <v>3</v>
      </c>
      <c r="P884" s="159">
        <f t="shared" si="163"/>
        <v>2013</v>
      </c>
      <c r="Q884" s="159">
        <f t="shared" si="164"/>
        <v>10</v>
      </c>
      <c r="R884" s="160">
        <f t="shared" si="165"/>
        <v>3.9666666666744277</v>
      </c>
      <c r="S884" s="158">
        <f t="shared" si="166"/>
        <v>0.45769230769320318</v>
      </c>
      <c r="T884" s="161">
        <f t="shared" si="167"/>
        <v>218.31923076965791</v>
      </c>
      <c r="U884" s="158">
        <f t="shared" si="169"/>
        <v>55.03846153846154</v>
      </c>
      <c r="V884" s="160">
        <f t="shared" si="168"/>
        <v>55</v>
      </c>
    </row>
    <row r="885" spans="1:22" x14ac:dyDescent="0.25">
      <c r="A885" s="98" t="s">
        <v>26</v>
      </c>
      <c r="B885" s="98" t="s">
        <v>32</v>
      </c>
      <c r="C885" s="98">
        <v>45</v>
      </c>
      <c r="D885" s="98">
        <v>344</v>
      </c>
      <c r="E885" s="157">
        <v>41570.916666666664</v>
      </c>
      <c r="F885" s="157">
        <v>41571.033333333333</v>
      </c>
      <c r="G885" s="98">
        <v>460</v>
      </c>
      <c r="H885" s="98">
        <v>520</v>
      </c>
      <c r="I885" s="98">
        <v>477</v>
      </c>
      <c r="J885" s="98" t="s">
        <v>1968</v>
      </c>
      <c r="K885" s="98" t="s">
        <v>1080</v>
      </c>
      <c r="L885" s="105" t="str">
        <f t="shared" si="160"/>
        <v>Ghent</v>
      </c>
      <c r="M885" s="105" t="str">
        <f t="shared" si="161"/>
        <v>Derate</v>
      </c>
      <c r="N885" s="105" t="str">
        <f t="shared" si="162"/>
        <v>Coal</v>
      </c>
      <c r="O885" s="105">
        <f>IFERROR(VLOOKUP(A885,Lookup!$J$5:$P$19,7,FALSE),0)</f>
        <v>3</v>
      </c>
      <c r="P885" s="159">
        <f t="shared" si="163"/>
        <v>2013</v>
      </c>
      <c r="Q885" s="159">
        <f t="shared" si="164"/>
        <v>10</v>
      </c>
      <c r="R885" s="160">
        <f t="shared" si="165"/>
        <v>2.8000000000465661</v>
      </c>
      <c r="S885" s="158">
        <f t="shared" si="166"/>
        <v>0.32307692308229607</v>
      </c>
      <c r="T885" s="161">
        <f t="shared" si="167"/>
        <v>154.10769231025523</v>
      </c>
      <c r="U885" s="158">
        <f t="shared" si="169"/>
        <v>55.03846153846154</v>
      </c>
      <c r="V885" s="160">
        <f t="shared" si="168"/>
        <v>55</v>
      </c>
    </row>
    <row r="886" spans="1:22" x14ac:dyDescent="0.25">
      <c r="A886" s="98" t="s">
        <v>26</v>
      </c>
      <c r="B886" s="98" t="s">
        <v>32</v>
      </c>
      <c r="C886" s="98">
        <v>46</v>
      </c>
      <c r="D886" s="98">
        <v>344</v>
      </c>
      <c r="E886" s="157">
        <v>41571.057638888888</v>
      </c>
      <c r="F886" s="157">
        <v>41571.217361111114</v>
      </c>
      <c r="G886" s="98">
        <v>460</v>
      </c>
      <c r="H886" s="98">
        <v>520</v>
      </c>
      <c r="I886" s="98">
        <v>477</v>
      </c>
      <c r="J886" s="98" t="s">
        <v>1968</v>
      </c>
      <c r="K886" s="98" t="s">
        <v>1081</v>
      </c>
      <c r="L886" s="105" t="str">
        <f t="shared" si="160"/>
        <v>Ghent</v>
      </c>
      <c r="M886" s="105" t="str">
        <f t="shared" si="161"/>
        <v>Derate</v>
      </c>
      <c r="N886" s="105" t="str">
        <f t="shared" si="162"/>
        <v>Coal</v>
      </c>
      <c r="O886" s="105">
        <f>IFERROR(VLOOKUP(A886,Lookup!$J$5:$P$19,7,FALSE),0)</f>
        <v>3</v>
      </c>
      <c r="P886" s="159">
        <f t="shared" si="163"/>
        <v>2013</v>
      </c>
      <c r="Q886" s="159">
        <f t="shared" si="164"/>
        <v>10</v>
      </c>
      <c r="R886" s="160">
        <f t="shared" si="165"/>
        <v>3.8333333334303461</v>
      </c>
      <c r="S886" s="158">
        <f t="shared" si="166"/>
        <v>0.44230769231888611</v>
      </c>
      <c r="T886" s="161">
        <f t="shared" si="167"/>
        <v>210.98076923610867</v>
      </c>
      <c r="U886" s="158">
        <f t="shared" si="169"/>
        <v>55.03846153846154</v>
      </c>
      <c r="V886" s="160">
        <f t="shared" si="168"/>
        <v>55</v>
      </c>
    </row>
    <row r="887" spans="1:22" x14ac:dyDescent="0.25">
      <c r="A887" s="98" t="s">
        <v>26</v>
      </c>
      <c r="B887" s="98" t="s">
        <v>17</v>
      </c>
      <c r="C887" s="98">
        <v>47</v>
      </c>
      <c r="D887" s="98">
        <v>340</v>
      </c>
      <c r="E887" s="157">
        <v>41578.486805555556</v>
      </c>
      <c r="F887" s="157">
        <v>41578.636805555558</v>
      </c>
      <c r="G887" s="98">
        <v>460</v>
      </c>
      <c r="H887" s="98">
        <v>520</v>
      </c>
      <c r="I887" s="98">
        <v>477</v>
      </c>
      <c r="J887" s="98" t="s">
        <v>1970</v>
      </c>
      <c r="K887" s="98" t="s">
        <v>1082</v>
      </c>
      <c r="L887" s="105" t="str">
        <f t="shared" si="160"/>
        <v>Ghent</v>
      </c>
      <c r="M887" s="105" t="str">
        <f t="shared" si="161"/>
        <v>Derate</v>
      </c>
      <c r="N887" s="105" t="str">
        <f t="shared" si="162"/>
        <v>Coal</v>
      </c>
      <c r="O887" s="105">
        <f>IFERROR(VLOOKUP(A887,Lookup!$J$5:$P$19,7,FALSE),0)</f>
        <v>3</v>
      </c>
      <c r="P887" s="159">
        <f t="shared" si="163"/>
        <v>2013</v>
      </c>
      <c r="Q887" s="159">
        <f t="shared" si="164"/>
        <v>10</v>
      </c>
      <c r="R887" s="160">
        <f t="shared" si="165"/>
        <v>3.6000000000349246</v>
      </c>
      <c r="S887" s="158">
        <f t="shared" si="166"/>
        <v>0.41538461538864513</v>
      </c>
      <c r="T887" s="161">
        <f t="shared" si="167"/>
        <v>198.13846154038373</v>
      </c>
      <c r="U887" s="158">
        <f t="shared" si="169"/>
        <v>55.03846153846154</v>
      </c>
      <c r="V887" s="160">
        <f t="shared" si="168"/>
        <v>55</v>
      </c>
    </row>
    <row r="888" spans="1:22" x14ac:dyDescent="0.25">
      <c r="A888" s="98" t="s">
        <v>26</v>
      </c>
      <c r="B888" s="98" t="s">
        <v>17</v>
      </c>
      <c r="C888" s="98">
        <v>48</v>
      </c>
      <c r="D888" s="98">
        <v>1100</v>
      </c>
      <c r="E888" s="157">
        <v>41586.515972222223</v>
      </c>
      <c r="F888" s="157">
        <v>41588.23333333333</v>
      </c>
      <c r="G888" s="98">
        <v>200</v>
      </c>
      <c r="H888" s="98">
        <v>520</v>
      </c>
      <c r="I888" s="98">
        <v>477</v>
      </c>
      <c r="J888" s="98" t="s">
        <v>2038</v>
      </c>
      <c r="K888" s="98" t="s">
        <v>1083</v>
      </c>
      <c r="L888" s="105" t="str">
        <f t="shared" si="160"/>
        <v>Ghent</v>
      </c>
      <c r="M888" s="105" t="str">
        <f t="shared" si="161"/>
        <v>Derate</v>
      </c>
      <c r="N888" s="105" t="str">
        <f t="shared" si="162"/>
        <v>Coal</v>
      </c>
      <c r="O888" s="105">
        <f>IFERROR(VLOOKUP(A888,Lookup!$J$5:$P$19,7,FALSE),0)</f>
        <v>3</v>
      </c>
      <c r="P888" s="159">
        <f t="shared" si="163"/>
        <v>2013</v>
      </c>
      <c r="Q888" s="159">
        <f t="shared" si="164"/>
        <v>11</v>
      </c>
      <c r="R888" s="160">
        <f t="shared" si="165"/>
        <v>41.216666666558012</v>
      </c>
      <c r="S888" s="158">
        <f t="shared" si="166"/>
        <v>25.364102564035701</v>
      </c>
      <c r="T888" s="161">
        <f t="shared" si="167"/>
        <v>12098.67692304503</v>
      </c>
      <c r="U888" s="158">
        <f t="shared" si="169"/>
        <v>293.53846153846155</v>
      </c>
      <c r="V888" s="160">
        <f t="shared" si="168"/>
        <v>294</v>
      </c>
    </row>
    <row r="889" spans="1:22" x14ac:dyDescent="0.25">
      <c r="A889" s="98" t="s">
        <v>26</v>
      </c>
      <c r="B889" s="98" t="s">
        <v>15</v>
      </c>
      <c r="C889" s="98">
        <v>49</v>
      </c>
      <c r="D889" s="98">
        <v>1100</v>
      </c>
      <c r="E889" s="157">
        <v>41588.23333333333</v>
      </c>
      <c r="F889" s="157">
        <v>41588.297222222223</v>
      </c>
      <c r="G889" s="98">
        <v>0</v>
      </c>
      <c r="H889" s="98">
        <v>520</v>
      </c>
      <c r="I889" s="98">
        <v>477</v>
      </c>
      <c r="J889" s="98" t="s">
        <v>2038</v>
      </c>
      <c r="K889" s="98" t="s">
        <v>1084</v>
      </c>
      <c r="L889" s="105" t="str">
        <f t="shared" si="160"/>
        <v>Ghent</v>
      </c>
      <c r="M889" s="105" t="str">
        <f t="shared" si="161"/>
        <v>Outage</v>
      </c>
      <c r="N889" s="105" t="str">
        <f t="shared" si="162"/>
        <v>Coal</v>
      </c>
      <c r="O889" s="105">
        <f>IFERROR(VLOOKUP(A889,Lookup!$J$5:$P$19,7,FALSE),0)</f>
        <v>3</v>
      </c>
      <c r="P889" s="159">
        <f t="shared" si="163"/>
        <v>2013</v>
      </c>
      <c r="Q889" s="159">
        <f t="shared" si="164"/>
        <v>11</v>
      </c>
      <c r="R889" s="160">
        <f t="shared" si="165"/>
        <v>1.5333333334419876</v>
      </c>
      <c r="S889" s="158">
        <f t="shared" si="166"/>
        <v>1.5333333334419876</v>
      </c>
      <c r="T889" s="161">
        <f t="shared" si="167"/>
        <v>731.4000000518281</v>
      </c>
      <c r="U889" s="158">
        <f t="shared" si="169"/>
        <v>477</v>
      </c>
      <c r="V889" s="160">
        <f t="shared" si="168"/>
        <v>477</v>
      </c>
    </row>
    <row r="890" spans="1:22" x14ac:dyDescent="0.25">
      <c r="A890" s="98" t="s">
        <v>26</v>
      </c>
      <c r="B890" s="98" t="s">
        <v>17</v>
      </c>
      <c r="C890" s="98">
        <v>50</v>
      </c>
      <c r="D890" s="98">
        <v>1100</v>
      </c>
      <c r="E890" s="157">
        <v>41588.297222222223</v>
      </c>
      <c r="F890" s="157">
        <v>41589.128472222219</v>
      </c>
      <c r="G890" s="98">
        <v>240</v>
      </c>
      <c r="H890" s="98">
        <v>520</v>
      </c>
      <c r="I890" s="98">
        <v>477</v>
      </c>
      <c r="J890" s="98" t="s">
        <v>2038</v>
      </c>
      <c r="K890" s="98" t="s">
        <v>1085</v>
      </c>
      <c r="L890" s="105" t="str">
        <f t="shared" si="160"/>
        <v>Ghent</v>
      </c>
      <c r="M890" s="105" t="str">
        <f t="shared" si="161"/>
        <v>Derate</v>
      </c>
      <c r="N890" s="105" t="str">
        <f t="shared" si="162"/>
        <v>Coal</v>
      </c>
      <c r="O890" s="105">
        <f>IFERROR(VLOOKUP(A890,Lookup!$J$5:$P$19,7,FALSE),0)</f>
        <v>3</v>
      </c>
      <c r="P890" s="159">
        <f t="shared" si="163"/>
        <v>2013</v>
      </c>
      <c r="Q890" s="159">
        <f t="shared" si="164"/>
        <v>11</v>
      </c>
      <c r="R890" s="160">
        <f t="shared" si="165"/>
        <v>19.949999999895226</v>
      </c>
      <c r="S890" s="158">
        <f t="shared" si="166"/>
        <v>10.742307692251275</v>
      </c>
      <c r="T890" s="161">
        <f t="shared" si="167"/>
        <v>5124.0807692038579</v>
      </c>
      <c r="U890" s="158">
        <f t="shared" si="169"/>
        <v>256.84615384615387</v>
      </c>
      <c r="V890" s="160">
        <f t="shared" si="168"/>
        <v>257</v>
      </c>
    </row>
    <row r="891" spans="1:22" x14ac:dyDescent="0.25">
      <c r="A891" s="98" t="s">
        <v>26</v>
      </c>
      <c r="B891" s="98" t="s">
        <v>15</v>
      </c>
      <c r="C891" s="98">
        <v>51</v>
      </c>
      <c r="D891" s="98">
        <v>1000</v>
      </c>
      <c r="E891" s="157">
        <v>41592.345138888886</v>
      </c>
      <c r="F891" s="157">
        <v>41594.021527777775</v>
      </c>
      <c r="G891" s="98">
        <v>0</v>
      </c>
      <c r="H891" s="98">
        <v>520</v>
      </c>
      <c r="I891" s="98">
        <v>477</v>
      </c>
      <c r="J891" s="98" t="s">
        <v>2002</v>
      </c>
      <c r="K891" s="98" t="s">
        <v>1086</v>
      </c>
      <c r="L891" s="105" t="str">
        <f t="shared" si="160"/>
        <v>Ghent</v>
      </c>
      <c r="M891" s="105" t="str">
        <f t="shared" si="161"/>
        <v>Outage</v>
      </c>
      <c r="N891" s="105" t="str">
        <f t="shared" si="162"/>
        <v>Coal</v>
      </c>
      <c r="O891" s="105">
        <f>IFERROR(VLOOKUP(A891,Lookup!$J$5:$P$19,7,FALSE),0)</f>
        <v>3</v>
      </c>
      <c r="P891" s="159">
        <f t="shared" si="163"/>
        <v>2013</v>
      </c>
      <c r="Q891" s="159">
        <f t="shared" si="164"/>
        <v>11</v>
      </c>
      <c r="R891" s="160">
        <f t="shared" si="165"/>
        <v>40.233333333337214</v>
      </c>
      <c r="S891" s="158">
        <f t="shared" si="166"/>
        <v>40.233333333337214</v>
      </c>
      <c r="T891" s="161">
        <f t="shared" si="167"/>
        <v>19191.300000001851</v>
      </c>
      <c r="U891" s="158">
        <f t="shared" si="169"/>
        <v>477</v>
      </c>
      <c r="V891" s="160">
        <f t="shared" si="168"/>
        <v>477</v>
      </c>
    </row>
    <row r="892" spans="1:22" x14ac:dyDescent="0.25">
      <c r="A892" s="98" t="s">
        <v>26</v>
      </c>
      <c r="B892" s="98" t="s">
        <v>17</v>
      </c>
      <c r="C892" s="98">
        <v>52</v>
      </c>
      <c r="D892" s="98">
        <v>340</v>
      </c>
      <c r="E892" s="157">
        <v>41603.984027777777</v>
      </c>
      <c r="F892" s="157">
        <v>41604.198611111111</v>
      </c>
      <c r="G892" s="98">
        <v>440</v>
      </c>
      <c r="H892" s="98">
        <v>520</v>
      </c>
      <c r="I892" s="98">
        <v>477</v>
      </c>
      <c r="J892" s="98" t="s">
        <v>1970</v>
      </c>
      <c r="K892" s="98" t="s">
        <v>1087</v>
      </c>
      <c r="L892" s="105" t="str">
        <f t="shared" si="160"/>
        <v>Ghent</v>
      </c>
      <c r="M892" s="105" t="str">
        <f t="shared" si="161"/>
        <v>Derate</v>
      </c>
      <c r="N892" s="105" t="str">
        <f t="shared" si="162"/>
        <v>Coal</v>
      </c>
      <c r="O892" s="105">
        <f>IFERROR(VLOOKUP(A892,Lookup!$J$5:$P$19,7,FALSE),0)</f>
        <v>3</v>
      </c>
      <c r="P892" s="159">
        <f t="shared" si="163"/>
        <v>2013</v>
      </c>
      <c r="Q892" s="159">
        <f t="shared" si="164"/>
        <v>11</v>
      </c>
      <c r="R892" s="160">
        <f t="shared" si="165"/>
        <v>5.1500000000232831</v>
      </c>
      <c r="S892" s="158">
        <f t="shared" si="166"/>
        <v>0.79230769231127429</v>
      </c>
      <c r="T892" s="161">
        <f t="shared" si="167"/>
        <v>377.93076923247781</v>
      </c>
      <c r="U892" s="158">
        <f t="shared" si="169"/>
        <v>73.384615384615387</v>
      </c>
      <c r="V892" s="160">
        <f t="shared" si="168"/>
        <v>73</v>
      </c>
    </row>
    <row r="893" spans="1:22" x14ac:dyDescent="0.25">
      <c r="A893" s="98" t="s">
        <v>26</v>
      </c>
      <c r="B893" s="98" t="s">
        <v>17</v>
      </c>
      <c r="C893" s="98">
        <v>53</v>
      </c>
      <c r="D893" s="98">
        <v>1470</v>
      </c>
      <c r="E893" s="157">
        <v>41605.981944444444</v>
      </c>
      <c r="F893" s="157">
        <v>41606.270833333336</v>
      </c>
      <c r="G893" s="98">
        <v>215</v>
      </c>
      <c r="H893" s="98">
        <v>520</v>
      </c>
      <c r="I893" s="98">
        <v>477</v>
      </c>
      <c r="J893" s="98" t="s">
        <v>2005</v>
      </c>
      <c r="K893" s="98" t="s">
        <v>1088</v>
      </c>
      <c r="L893" s="105" t="str">
        <f t="shared" si="160"/>
        <v>Ghent</v>
      </c>
      <c r="M893" s="105" t="str">
        <f t="shared" si="161"/>
        <v>Derate</v>
      </c>
      <c r="N893" s="105" t="str">
        <f t="shared" si="162"/>
        <v>Coal</v>
      </c>
      <c r="O893" s="105">
        <f>IFERROR(VLOOKUP(A893,Lookup!$J$5:$P$19,7,FALSE),0)</f>
        <v>3</v>
      </c>
      <c r="P893" s="159">
        <f t="shared" si="163"/>
        <v>2013</v>
      </c>
      <c r="Q893" s="159">
        <f t="shared" si="164"/>
        <v>11</v>
      </c>
      <c r="R893" s="160">
        <f t="shared" si="165"/>
        <v>6.933333333407063</v>
      </c>
      <c r="S893" s="158">
        <f t="shared" si="166"/>
        <v>4.0666666667099118</v>
      </c>
      <c r="T893" s="161">
        <f t="shared" si="167"/>
        <v>1939.800000020628</v>
      </c>
      <c r="U893" s="158">
        <f t="shared" si="169"/>
        <v>279.77884615384613</v>
      </c>
      <c r="V893" s="160">
        <f t="shared" si="168"/>
        <v>280</v>
      </c>
    </row>
    <row r="894" spans="1:22" x14ac:dyDescent="0.25">
      <c r="A894" s="98" t="s">
        <v>26</v>
      </c>
      <c r="B894" s="98" t="s">
        <v>17</v>
      </c>
      <c r="C894" s="98">
        <v>54</v>
      </c>
      <c r="D894" s="98">
        <v>1470</v>
      </c>
      <c r="E894" s="157">
        <v>41606.931944444441</v>
      </c>
      <c r="F894" s="157">
        <v>41607.109027777777</v>
      </c>
      <c r="G894" s="98">
        <v>215</v>
      </c>
      <c r="H894" s="98">
        <v>520</v>
      </c>
      <c r="I894" s="98">
        <v>477</v>
      </c>
      <c r="J894" s="98" t="s">
        <v>2005</v>
      </c>
      <c r="K894" s="98" t="s">
        <v>1089</v>
      </c>
      <c r="L894" s="105" t="str">
        <f t="shared" si="160"/>
        <v>Ghent</v>
      </c>
      <c r="M894" s="105" t="str">
        <f t="shared" si="161"/>
        <v>Derate</v>
      </c>
      <c r="N894" s="105" t="str">
        <f t="shared" si="162"/>
        <v>Coal</v>
      </c>
      <c r="O894" s="105">
        <f>IFERROR(VLOOKUP(A894,Lookup!$J$5:$P$19,7,FALSE),0)</f>
        <v>3</v>
      </c>
      <c r="P894" s="159">
        <f t="shared" si="163"/>
        <v>2013</v>
      </c>
      <c r="Q894" s="159">
        <f t="shared" si="164"/>
        <v>11</v>
      </c>
      <c r="R894" s="160">
        <f t="shared" si="165"/>
        <v>4.2500000000582077</v>
      </c>
      <c r="S894" s="158">
        <f t="shared" si="166"/>
        <v>2.4927884615726024</v>
      </c>
      <c r="T894" s="161">
        <f t="shared" si="167"/>
        <v>1189.0600961701314</v>
      </c>
      <c r="U894" s="158">
        <f t="shared" si="169"/>
        <v>279.77884615384613</v>
      </c>
      <c r="V894" s="160">
        <f t="shared" si="168"/>
        <v>280</v>
      </c>
    </row>
    <row r="895" spans="1:22" x14ac:dyDescent="0.25">
      <c r="A895" s="98" t="s">
        <v>26</v>
      </c>
      <c r="B895" s="98" t="s">
        <v>32</v>
      </c>
      <c r="C895" s="98">
        <v>55</v>
      </c>
      <c r="D895" s="98">
        <v>250</v>
      </c>
      <c r="E895" s="157">
        <v>41612.416666666664</v>
      </c>
      <c r="F895" s="157">
        <v>41612.592361111114</v>
      </c>
      <c r="G895" s="98">
        <v>460</v>
      </c>
      <c r="H895" s="98">
        <v>520</v>
      </c>
      <c r="I895" s="98">
        <v>477</v>
      </c>
      <c r="J895" s="98" t="s">
        <v>1978</v>
      </c>
      <c r="K895" s="98" t="s">
        <v>1090</v>
      </c>
      <c r="L895" s="105" t="str">
        <f t="shared" si="160"/>
        <v>Ghent</v>
      </c>
      <c r="M895" s="105" t="str">
        <f t="shared" si="161"/>
        <v>Derate</v>
      </c>
      <c r="N895" s="105" t="str">
        <f t="shared" si="162"/>
        <v>Coal</v>
      </c>
      <c r="O895" s="105">
        <f>IFERROR(VLOOKUP(A895,Lookup!$J$5:$P$19,7,FALSE),0)</f>
        <v>3</v>
      </c>
      <c r="P895" s="159">
        <f t="shared" si="163"/>
        <v>2013</v>
      </c>
      <c r="Q895" s="159">
        <f t="shared" si="164"/>
        <v>12</v>
      </c>
      <c r="R895" s="160">
        <f t="shared" si="165"/>
        <v>4.216666666790843</v>
      </c>
      <c r="S895" s="158">
        <f t="shared" si="166"/>
        <v>0.48653846155278957</v>
      </c>
      <c r="T895" s="161">
        <f t="shared" si="167"/>
        <v>232.07884616068063</v>
      </c>
      <c r="U895" s="158">
        <f t="shared" si="169"/>
        <v>55.03846153846154</v>
      </c>
      <c r="V895" s="160">
        <f t="shared" si="168"/>
        <v>55</v>
      </c>
    </row>
    <row r="896" spans="1:22" x14ac:dyDescent="0.25">
      <c r="A896" s="98" t="s">
        <v>26</v>
      </c>
      <c r="B896" s="98" t="s">
        <v>17</v>
      </c>
      <c r="C896" s="98">
        <v>56</v>
      </c>
      <c r="D896" s="98">
        <v>340</v>
      </c>
      <c r="E896" s="157">
        <v>41616.315972222219</v>
      </c>
      <c r="F896" s="157">
        <v>41616.537499999999</v>
      </c>
      <c r="G896" s="98">
        <v>460</v>
      </c>
      <c r="H896" s="98">
        <v>520</v>
      </c>
      <c r="I896" s="98">
        <v>477</v>
      </c>
      <c r="J896" s="98" t="s">
        <v>1970</v>
      </c>
      <c r="K896" s="98" t="s">
        <v>1091</v>
      </c>
      <c r="L896" s="105" t="str">
        <f t="shared" si="160"/>
        <v>Ghent</v>
      </c>
      <c r="M896" s="105" t="str">
        <f t="shared" si="161"/>
        <v>Derate</v>
      </c>
      <c r="N896" s="105" t="str">
        <f t="shared" si="162"/>
        <v>Coal</v>
      </c>
      <c r="O896" s="105">
        <f>IFERROR(VLOOKUP(A896,Lookup!$J$5:$P$19,7,FALSE),0)</f>
        <v>3</v>
      </c>
      <c r="P896" s="159">
        <f t="shared" si="163"/>
        <v>2013</v>
      </c>
      <c r="Q896" s="159">
        <f t="shared" si="164"/>
        <v>12</v>
      </c>
      <c r="R896" s="160">
        <f t="shared" si="165"/>
        <v>5.3166666667093523</v>
      </c>
      <c r="S896" s="158">
        <f t="shared" si="166"/>
        <v>0.61346153846646367</v>
      </c>
      <c r="T896" s="161">
        <f t="shared" si="167"/>
        <v>292.62115384850318</v>
      </c>
      <c r="U896" s="158">
        <f t="shared" si="169"/>
        <v>55.03846153846154</v>
      </c>
      <c r="V896" s="160">
        <f t="shared" si="168"/>
        <v>55</v>
      </c>
    </row>
    <row r="897" spans="1:22" x14ac:dyDescent="0.25">
      <c r="A897" s="98" t="s">
        <v>26</v>
      </c>
      <c r="B897" s="98" t="s">
        <v>17</v>
      </c>
      <c r="C897" s="98">
        <v>57</v>
      </c>
      <c r="D897" s="98">
        <v>30</v>
      </c>
      <c r="E897" s="157">
        <v>41623.244444444441</v>
      </c>
      <c r="F897" s="157">
        <v>41623.5</v>
      </c>
      <c r="G897" s="98">
        <v>400</v>
      </c>
      <c r="H897" s="98">
        <v>520</v>
      </c>
      <c r="I897" s="98">
        <v>477</v>
      </c>
      <c r="J897" s="98" t="s">
        <v>2125</v>
      </c>
      <c r="K897" s="98" t="s">
        <v>1092</v>
      </c>
      <c r="L897" s="105" t="str">
        <f t="shared" si="160"/>
        <v>Ghent</v>
      </c>
      <c r="M897" s="105" t="str">
        <f t="shared" si="161"/>
        <v>Derate</v>
      </c>
      <c r="N897" s="105" t="str">
        <f t="shared" si="162"/>
        <v>Coal</v>
      </c>
      <c r="O897" s="105">
        <f>IFERROR(VLOOKUP(A897,Lookup!$J$5:$P$19,7,FALSE),0)</f>
        <v>3</v>
      </c>
      <c r="P897" s="159">
        <f t="shared" si="163"/>
        <v>2013</v>
      </c>
      <c r="Q897" s="159">
        <f t="shared" si="164"/>
        <v>12</v>
      </c>
      <c r="R897" s="160">
        <f t="shared" si="165"/>
        <v>6.1333333334187046</v>
      </c>
      <c r="S897" s="158">
        <f t="shared" si="166"/>
        <v>1.4153846154043164</v>
      </c>
      <c r="T897" s="161">
        <f t="shared" si="167"/>
        <v>675.13846154785892</v>
      </c>
      <c r="U897" s="158">
        <f t="shared" si="169"/>
        <v>110.07692307692308</v>
      </c>
      <c r="V897" s="160">
        <f t="shared" si="168"/>
        <v>110</v>
      </c>
    </row>
    <row r="898" spans="1:22" x14ac:dyDescent="0.25">
      <c r="A898" s="98" t="s">
        <v>26</v>
      </c>
      <c r="B898" s="98" t="s">
        <v>17</v>
      </c>
      <c r="C898" s="98">
        <v>58</v>
      </c>
      <c r="D898" s="98">
        <v>9650</v>
      </c>
      <c r="E898" s="157">
        <v>41624.772916666669</v>
      </c>
      <c r="F898" s="157">
        <v>41624.932638888888</v>
      </c>
      <c r="G898" s="98">
        <v>400</v>
      </c>
      <c r="H898" s="98">
        <v>520</v>
      </c>
      <c r="I898" s="98">
        <v>477</v>
      </c>
      <c r="J898" s="98" t="s">
        <v>2035</v>
      </c>
      <c r="K898" s="98" t="s">
        <v>1093</v>
      </c>
      <c r="L898" s="105" t="str">
        <f t="shared" si="160"/>
        <v>Ghent</v>
      </c>
      <c r="M898" s="105" t="str">
        <f t="shared" si="161"/>
        <v>Derate</v>
      </c>
      <c r="N898" s="105" t="str">
        <f t="shared" si="162"/>
        <v>Coal</v>
      </c>
      <c r="O898" s="105">
        <f>IFERROR(VLOOKUP(A898,Lookup!$J$5:$P$19,7,FALSE),0)</f>
        <v>3</v>
      </c>
      <c r="P898" s="159">
        <f t="shared" si="163"/>
        <v>2013</v>
      </c>
      <c r="Q898" s="159">
        <f t="shared" si="164"/>
        <v>12</v>
      </c>
      <c r="R898" s="160">
        <f t="shared" si="165"/>
        <v>3.8333333332557231</v>
      </c>
      <c r="S898" s="158">
        <f t="shared" si="166"/>
        <v>0.88461538459747457</v>
      </c>
      <c r="T898" s="161">
        <f t="shared" si="167"/>
        <v>421.9615384529954</v>
      </c>
      <c r="U898" s="158">
        <f t="shared" si="169"/>
        <v>110.07692307692308</v>
      </c>
      <c r="V898" s="160">
        <f t="shared" si="168"/>
        <v>110</v>
      </c>
    </row>
    <row r="899" spans="1:22" x14ac:dyDescent="0.25">
      <c r="A899" s="98" t="s">
        <v>26</v>
      </c>
      <c r="B899" s="98" t="s">
        <v>15</v>
      </c>
      <c r="C899" s="98">
        <v>59</v>
      </c>
      <c r="D899" s="98">
        <v>4430</v>
      </c>
      <c r="E899" s="157">
        <v>41636.886805555558</v>
      </c>
      <c r="F899" s="157">
        <v>41638.336805555555</v>
      </c>
      <c r="G899" s="98">
        <v>0</v>
      </c>
      <c r="H899" s="98">
        <v>520</v>
      </c>
      <c r="I899" s="98">
        <v>477</v>
      </c>
      <c r="J899" s="98" t="s">
        <v>2310</v>
      </c>
      <c r="K899" s="98" t="s">
        <v>1094</v>
      </c>
      <c r="L899" s="105" t="str">
        <f t="shared" si="160"/>
        <v>Ghent</v>
      </c>
      <c r="M899" s="105" t="str">
        <f t="shared" si="161"/>
        <v>Outage</v>
      </c>
      <c r="N899" s="105" t="str">
        <f t="shared" si="162"/>
        <v>Coal</v>
      </c>
      <c r="O899" s="105">
        <f>IFERROR(VLOOKUP(A899,Lookup!$J$5:$P$19,7,FALSE),0)</f>
        <v>3</v>
      </c>
      <c r="P899" s="159">
        <f t="shared" si="163"/>
        <v>2013</v>
      </c>
      <c r="Q899" s="159">
        <f t="shared" si="164"/>
        <v>12</v>
      </c>
      <c r="R899" s="160">
        <f t="shared" si="165"/>
        <v>34.799999999930151</v>
      </c>
      <c r="S899" s="158">
        <f t="shared" si="166"/>
        <v>34.799999999930151</v>
      </c>
      <c r="T899" s="161">
        <f t="shared" si="167"/>
        <v>16599.599999966682</v>
      </c>
      <c r="U899" s="158">
        <f t="shared" si="169"/>
        <v>477</v>
      </c>
      <c r="V899" s="160">
        <f t="shared" si="168"/>
        <v>477</v>
      </c>
    </row>
    <row r="900" spans="1:22" x14ac:dyDescent="0.25">
      <c r="A900" s="98" t="s">
        <v>26</v>
      </c>
      <c r="B900" s="98" t="s">
        <v>17</v>
      </c>
      <c r="C900" s="98">
        <v>1</v>
      </c>
      <c r="D900" s="98">
        <v>9270</v>
      </c>
      <c r="E900" s="157">
        <v>41647.324999999997</v>
      </c>
      <c r="F900" s="157">
        <v>41647.381944444445</v>
      </c>
      <c r="G900" s="98">
        <v>460</v>
      </c>
      <c r="H900" s="98">
        <v>520</v>
      </c>
      <c r="I900" s="98">
        <v>477</v>
      </c>
      <c r="J900" s="98" t="s">
        <v>2006</v>
      </c>
      <c r="K900" s="98" t="s">
        <v>1095</v>
      </c>
      <c r="L900" s="105" t="str">
        <f t="shared" si="160"/>
        <v>Ghent</v>
      </c>
      <c r="M900" s="105" t="str">
        <f t="shared" si="161"/>
        <v>Derate</v>
      </c>
      <c r="N900" s="105" t="str">
        <f t="shared" si="162"/>
        <v>Coal</v>
      </c>
      <c r="O900" s="105">
        <f>IFERROR(VLOOKUP(A900,Lookup!$J$5:$P$19,7,FALSE),0)</f>
        <v>3</v>
      </c>
      <c r="P900" s="159">
        <f t="shared" si="163"/>
        <v>2014</v>
      </c>
      <c r="Q900" s="159">
        <f t="shared" si="164"/>
        <v>1</v>
      </c>
      <c r="R900" s="160">
        <f t="shared" si="165"/>
        <v>1.3666666667559184</v>
      </c>
      <c r="S900" s="158">
        <f t="shared" si="166"/>
        <v>0.15769230770260598</v>
      </c>
      <c r="T900" s="161">
        <f t="shared" si="167"/>
        <v>75.219230774143057</v>
      </c>
      <c r="U900" s="158">
        <f t="shared" si="169"/>
        <v>55.03846153846154</v>
      </c>
      <c r="V900" s="160">
        <f t="shared" si="168"/>
        <v>55</v>
      </c>
    </row>
    <row r="901" spans="1:22" x14ac:dyDescent="0.25">
      <c r="A901" s="98" t="s">
        <v>26</v>
      </c>
      <c r="B901" s="98" t="s">
        <v>32</v>
      </c>
      <c r="C901" s="98">
        <v>2</v>
      </c>
      <c r="D901" s="98">
        <v>344</v>
      </c>
      <c r="E901" s="157">
        <v>41653.984027777777</v>
      </c>
      <c r="F901" s="157">
        <v>41654.104166666664</v>
      </c>
      <c r="G901" s="98">
        <v>460</v>
      </c>
      <c r="H901" s="98">
        <v>520</v>
      </c>
      <c r="I901" s="98">
        <v>477</v>
      </c>
      <c r="J901" s="98" t="s">
        <v>1968</v>
      </c>
      <c r="K901" s="98" t="s">
        <v>1096</v>
      </c>
      <c r="L901" s="105" t="str">
        <f t="shared" si="160"/>
        <v>Ghent</v>
      </c>
      <c r="M901" s="105" t="str">
        <f t="shared" si="161"/>
        <v>Derate</v>
      </c>
      <c r="N901" s="105" t="str">
        <f t="shared" si="162"/>
        <v>Coal</v>
      </c>
      <c r="O901" s="105">
        <f>IFERROR(VLOOKUP(A901,Lookup!$J$5:$P$19,7,FALSE),0)</f>
        <v>3</v>
      </c>
      <c r="P901" s="159">
        <f t="shared" si="163"/>
        <v>2014</v>
      </c>
      <c r="Q901" s="159">
        <f t="shared" si="164"/>
        <v>1</v>
      </c>
      <c r="R901" s="160">
        <f t="shared" si="165"/>
        <v>2.8833333333022892</v>
      </c>
      <c r="S901" s="158">
        <f t="shared" si="166"/>
        <v>0.33269230768872571</v>
      </c>
      <c r="T901" s="161">
        <f t="shared" si="167"/>
        <v>158.69423076752216</v>
      </c>
      <c r="U901" s="158">
        <f t="shared" si="169"/>
        <v>55.03846153846154</v>
      </c>
      <c r="V901" s="160">
        <f t="shared" si="168"/>
        <v>55</v>
      </c>
    </row>
    <row r="902" spans="1:22" x14ac:dyDescent="0.25">
      <c r="A902" s="98" t="s">
        <v>26</v>
      </c>
      <c r="B902" s="98" t="s">
        <v>32</v>
      </c>
      <c r="C902" s="98">
        <v>3</v>
      </c>
      <c r="D902" s="98">
        <v>340</v>
      </c>
      <c r="E902" s="157">
        <v>41655.914583333331</v>
      </c>
      <c r="F902" s="157">
        <v>41656.03402777778</v>
      </c>
      <c r="G902" s="98">
        <v>460</v>
      </c>
      <c r="H902" s="98">
        <v>520</v>
      </c>
      <c r="I902" s="98">
        <v>477</v>
      </c>
      <c r="J902" s="98" t="s">
        <v>1970</v>
      </c>
      <c r="K902" s="98" t="s">
        <v>1097</v>
      </c>
      <c r="L902" s="105" t="str">
        <f t="shared" si="160"/>
        <v>Ghent</v>
      </c>
      <c r="M902" s="105" t="str">
        <f t="shared" si="161"/>
        <v>Derate</v>
      </c>
      <c r="N902" s="105" t="str">
        <f t="shared" si="162"/>
        <v>Coal</v>
      </c>
      <c r="O902" s="105">
        <f>IFERROR(VLOOKUP(A902,Lookup!$J$5:$P$19,7,FALSE),0)</f>
        <v>3</v>
      </c>
      <c r="P902" s="159">
        <f t="shared" si="163"/>
        <v>2014</v>
      </c>
      <c r="Q902" s="159">
        <f t="shared" si="164"/>
        <v>1</v>
      </c>
      <c r="R902" s="160">
        <f t="shared" si="165"/>
        <v>2.8666666667559184</v>
      </c>
      <c r="S902" s="158">
        <f t="shared" si="166"/>
        <v>0.33076923077952902</v>
      </c>
      <c r="T902" s="161">
        <f t="shared" si="167"/>
        <v>157.77692308183535</v>
      </c>
      <c r="U902" s="158">
        <f t="shared" si="169"/>
        <v>55.03846153846154</v>
      </c>
      <c r="V902" s="160">
        <f t="shared" si="168"/>
        <v>55</v>
      </c>
    </row>
    <row r="903" spans="1:22" x14ac:dyDescent="0.25">
      <c r="A903" s="98" t="s">
        <v>26</v>
      </c>
      <c r="B903" s="98" t="s">
        <v>17</v>
      </c>
      <c r="C903" s="98">
        <v>4</v>
      </c>
      <c r="D903" s="98">
        <v>344</v>
      </c>
      <c r="E903" s="157">
        <v>41666.25</v>
      </c>
      <c r="F903" s="157">
        <v>41666.481249999997</v>
      </c>
      <c r="G903" s="98">
        <v>460</v>
      </c>
      <c r="H903" s="98">
        <v>520</v>
      </c>
      <c r="I903" s="98">
        <v>477</v>
      </c>
      <c r="J903" s="98" t="s">
        <v>1968</v>
      </c>
      <c r="K903" s="98" t="s">
        <v>1098</v>
      </c>
      <c r="L903" s="105" t="str">
        <f t="shared" si="160"/>
        <v>Ghent</v>
      </c>
      <c r="M903" s="105" t="str">
        <f t="shared" si="161"/>
        <v>Derate</v>
      </c>
      <c r="N903" s="105" t="str">
        <f t="shared" si="162"/>
        <v>Coal</v>
      </c>
      <c r="O903" s="105">
        <f>IFERROR(VLOOKUP(A903,Lookup!$J$5:$P$19,7,FALSE),0)</f>
        <v>3</v>
      </c>
      <c r="P903" s="159">
        <f t="shared" si="163"/>
        <v>2014</v>
      </c>
      <c r="Q903" s="159">
        <f t="shared" si="164"/>
        <v>1</v>
      </c>
      <c r="R903" s="160">
        <f t="shared" si="165"/>
        <v>5.5499999999301508</v>
      </c>
      <c r="S903" s="158">
        <f t="shared" si="166"/>
        <v>0.64038461537655589</v>
      </c>
      <c r="T903" s="161">
        <f t="shared" si="167"/>
        <v>305.46346153461718</v>
      </c>
      <c r="U903" s="158">
        <f t="shared" si="169"/>
        <v>55.03846153846154</v>
      </c>
      <c r="V903" s="160">
        <f t="shared" si="168"/>
        <v>55</v>
      </c>
    </row>
    <row r="904" spans="1:22" x14ac:dyDescent="0.25">
      <c r="A904" s="98" t="s">
        <v>26</v>
      </c>
      <c r="B904" s="98" t="s">
        <v>17</v>
      </c>
      <c r="C904" s="98">
        <v>5</v>
      </c>
      <c r="D904" s="98">
        <v>250</v>
      </c>
      <c r="E904" s="157">
        <v>41667.892361111109</v>
      </c>
      <c r="F904" s="157">
        <v>41668.170138888891</v>
      </c>
      <c r="G904" s="98">
        <v>460</v>
      </c>
      <c r="H904" s="98">
        <v>520</v>
      </c>
      <c r="I904" s="98">
        <v>477</v>
      </c>
      <c r="J904" s="98" t="s">
        <v>1978</v>
      </c>
      <c r="K904" s="98" t="s">
        <v>1099</v>
      </c>
      <c r="L904" s="105" t="str">
        <f t="shared" si="160"/>
        <v>Ghent</v>
      </c>
      <c r="M904" s="105" t="str">
        <f t="shared" si="161"/>
        <v>Derate</v>
      </c>
      <c r="N904" s="105" t="str">
        <f t="shared" si="162"/>
        <v>Coal</v>
      </c>
      <c r="O904" s="105">
        <f>IFERROR(VLOOKUP(A904,Lookup!$J$5:$P$19,7,FALSE),0)</f>
        <v>3</v>
      </c>
      <c r="P904" s="159">
        <f t="shared" si="163"/>
        <v>2014</v>
      </c>
      <c r="Q904" s="159">
        <f t="shared" si="164"/>
        <v>1</v>
      </c>
      <c r="R904" s="160">
        <f t="shared" si="165"/>
        <v>6.6666666667442769</v>
      </c>
      <c r="S904" s="158">
        <f t="shared" si="166"/>
        <v>0.76923076923972422</v>
      </c>
      <c r="T904" s="161">
        <f t="shared" si="167"/>
        <v>366.92307692734846</v>
      </c>
      <c r="U904" s="158">
        <f t="shared" si="169"/>
        <v>55.03846153846154</v>
      </c>
      <c r="V904" s="160">
        <f t="shared" si="168"/>
        <v>55</v>
      </c>
    </row>
    <row r="905" spans="1:22" x14ac:dyDescent="0.25">
      <c r="A905" s="98" t="s">
        <v>26</v>
      </c>
      <c r="B905" s="98" t="s">
        <v>20</v>
      </c>
      <c r="C905" s="98">
        <v>6</v>
      </c>
      <c r="D905" s="98">
        <v>1060</v>
      </c>
      <c r="E905" s="157">
        <v>41671.62777777778</v>
      </c>
      <c r="F905" s="157">
        <v>41673.060416666667</v>
      </c>
      <c r="G905" s="98">
        <v>0</v>
      </c>
      <c r="H905" s="98">
        <v>520</v>
      </c>
      <c r="I905" s="98">
        <v>477</v>
      </c>
      <c r="J905" s="98" t="s">
        <v>2179</v>
      </c>
      <c r="K905" s="98" t="s">
        <v>1100</v>
      </c>
      <c r="L905" s="105" t="str">
        <f t="shared" si="160"/>
        <v>Ghent</v>
      </c>
      <c r="M905" s="105" t="str">
        <f t="shared" si="161"/>
        <v>Maintenance</v>
      </c>
      <c r="N905" s="105" t="str">
        <f t="shared" si="162"/>
        <v>Coal</v>
      </c>
      <c r="O905" s="105">
        <f>IFERROR(VLOOKUP(A905,Lookup!$J$5:$P$19,7,FALSE),0)</f>
        <v>3</v>
      </c>
      <c r="P905" s="159">
        <f t="shared" si="163"/>
        <v>2014</v>
      </c>
      <c r="Q905" s="159">
        <f t="shared" si="164"/>
        <v>2</v>
      </c>
      <c r="R905" s="160">
        <f t="shared" si="165"/>
        <v>34.383333333302289</v>
      </c>
      <c r="S905" s="158">
        <f t="shared" si="166"/>
        <v>34.383333333302289</v>
      </c>
      <c r="T905" s="161">
        <f t="shared" si="167"/>
        <v>16400.849999985192</v>
      </c>
      <c r="U905" s="158">
        <f t="shared" si="169"/>
        <v>477</v>
      </c>
      <c r="V905" s="160">
        <f t="shared" si="168"/>
        <v>477</v>
      </c>
    </row>
    <row r="906" spans="1:22" x14ac:dyDescent="0.25">
      <c r="A906" s="98" t="s">
        <v>26</v>
      </c>
      <c r="B906" s="98" t="s">
        <v>17</v>
      </c>
      <c r="C906" s="98">
        <v>7</v>
      </c>
      <c r="D906" s="98">
        <v>250</v>
      </c>
      <c r="E906" s="157">
        <v>41677.524305555555</v>
      </c>
      <c r="F906" s="157">
        <v>41677.572916666664</v>
      </c>
      <c r="G906" s="98">
        <v>460</v>
      </c>
      <c r="H906" s="98">
        <v>520</v>
      </c>
      <c r="I906" s="98">
        <v>477</v>
      </c>
      <c r="J906" s="98" t="s">
        <v>1978</v>
      </c>
      <c r="K906" s="98" t="s">
        <v>1101</v>
      </c>
      <c r="L906" s="105" t="str">
        <f t="shared" si="160"/>
        <v>Ghent</v>
      </c>
      <c r="M906" s="105" t="str">
        <f t="shared" si="161"/>
        <v>Derate</v>
      </c>
      <c r="N906" s="105" t="str">
        <f t="shared" si="162"/>
        <v>Coal</v>
      </c>
      <c r="O906" s="105">
        <f>IFERROR(VLOOKUP(A906,Lookup!$J$5:$P$19,7,FALSE),0)</f>
        <v>3</v>
      </c>
      <c r="P906" s="159">
        <f t="shared" si="163"/>
        <v>2014</v>
      </c>
      <c r="Q906" s="159">
        <f t="shared" si="164"/>
        <v>2</v>
      </c>
      <c r="R906" s="160">
        <f t="shared" si="165"/>
        <v>1.1666666666278616</v>
      </c>
      <c r="S906" s="158">
        <f t="shared" si="166"/>
        <v>0.13461538461090711</v>
      </c>
      <c r="T906" s="161">
        <f t="shared" si="167"/>
        <v>64.211538459402689</v>
      </c>
      <c r="U906" s="158">
        <f t="shared" si="169"/>
        <v>55.03846153846154</v>
      </c>
      <c r="V906" s="160">
        <f t="shared" si="168"/>
        <v>55</v>
      </c>
    </row>
    <row r="907" spans="1:22" x14ac:dyDescent="0.25">
      <c r="A907" s="98" t="s">
        <v>26</v>
      </c>
      <c r="B907" s="98" t="s">
        <v>17</v>
      </c>
      <c r="C907" s="98">
        <v>8</v>
      </c>
      <c r="D907" s="98">
        <v>250</v>
      </c>
      <c r="E907" s="157">
        <v>41679.680555555555</v>
      </c>
      <c r="F907" s="157">
        <v>41679.821527777778</v>
      </c>
      <c r="G907" s="98">
        <v>450</v>
      </c>
      <c r="H907" s="98">
        <v>520</v>
      </c>
      <c r="I907" s="98">
        <v>477</v>
      </c>
      <c r="J907" s="98" t="s">
        <v>1978</v>
      </c>
      <c r="K907" s="98" t="s">
        <v>1102</v>
      </c>
      <c r="L907" s="105" t="str">
        <f t="shared" si="160"/>
        <v>Ghent</v>
      </c>
      <c r="M907" s="105" t="str">
        <f t="shared" si="161"/>
        <v>Derate</v>
      </c>
      <c r="N907" s="105" t="str">
        <f t="shared" si="162"/>
        <v>Coal</v>
      </c>
      <c r="O907" s="105">
        <f>IFERROR(VLOOKUP(A907,Lookup!$J$5:$P$19,7,FALSE),0)</f>
        <v>3</v>
      </c>
      <c r="P907" s="159">
        <f t="shared" si="163"/>
        <v>2014</v>
      </c>
      <c r="Q907" s="159">
        <f t="shared" si="164"/>
        <v>2</v>
      </c>
      <c r="R907" s="160">
        <f t="shared" si="165"/>
        <v>3.3833333333604969</v>
      </c>
      <c r="S907" s="158">
        <f t="shared" si="166"/>
        <v>0.45544871795237457</v>
      </c>
      <c r="T907" s="161">
        <f t="shared" si="167"/>
        <v>217.24903846328266</v>
      </c>
      <c r="U907" s="158">
        <f t="shared" si="169"/>
        <v>64.211538461538467</v>
      </c>
      <c r="V907" s="160">
        <f t="shared" si="168"/>
        <v>64</v>
      </c>
    </row>
    <row r="908" spans="1:22" x14ac:dyDescent="0.25">
      <c r="A908" s="98" t="s">
        <v>26</v>
      </c>
      <c r="B908" s="98" t="s">
        <v>32</v>
      </c>
      <c r="C908" s="98">
        <v>9</v>
      </c>
      <c r="D908" s="98">
        <v>250</v>
      </c>
      <c r="E908" s="157">
        <v>41680.375</v>
      </c>
      <c r="F908" s="157">
        <v>41680.647916666669</v>
      </c>
      <c r="G908" s="98">
        <v>450</v>
      </c>
      <c r="H908" s="98">
        <v>520</v>
      </c>
      <c r="I908" s="98">
        <v>477</v>
      </c>
      <c r="J908" s="98" t="s">
        <v>1978</v>
      </c>
      <c r="K908" s="98" t="s">
        <v>1103</v>
      </c>
      <c r="L908" s="105" t="str">
        <f t="shared" si="160"/>
        <v>Ghent</v>
      </c>
      <c r="M908" s="105" t="str">
        <f t="shared" si="161"/>
        <v>Derate</v>
      </c>
      <c r="N908" s="105" t="str">
        <f t="shared" si="162"/>
        <v>Coal</v>
      </c>
      <c r="O908" s="105">
        <f>IFERROR(VLOOKUP(A908,Lookup!$J$5:$P$19,7,FALSE),0)</f>
        <v>3</v>
      </c>
      <c r="P908" s="159">
        <f t="shared" si="163"/>
        <v>2014</v>
      </c>
      <c r="Q908" s="159">
        <f t="shared" si="164"/>
        <v>2</v>
      </c>
      <c r="R908" s="160">
        <f t="shared" si="165"/>
        <v>6.5500000000465661</v>
      </c>
      <c r="S908" s="158">
        <f t="shared" si="166"/>
        <v>0.88173076923703775</v>
      </c>
      <c r="T908" s="161">
        <f t="shared" si="167"/>
        <v>420.58557692606701</v>
      </c>
      <c r="U908" s="158">
        <f t="shared" si="169"/>
        <v>64.211538461538467</v>
      </c>
      <c r="V908" s="160">
        <f t="shared" si="168"/>
        <v>64</v>
      </c>
    </row>
    <row r="909" spans="1:22" x14ac:dyDescent="0.25">
      <c r="A909" s="98" t="s">
        <v>26</v>
      </c>
      <c r="B909" s="98" t="s">
        <v>17</v>
      </c>
      <c r="C909" s="98">
        <v>10</v>
      </c>
      <c r="D909" s="98">
        <v>9650</v>
      </c>
      <c r="E909" s="157">
        <v>41683.307638888888</v>
      </c>
      <c r="F909" s="157">
        <v>41683.380555555559</v>
      </c>
      <c r="G909" s="98">
        <v>490</v>
      </c>
      <c r="H909" s="98">
        <v>520</v>
      </c>
      <c r="I909" s="98">
        <v>477</v>
      </c>
      <c r="J909" s="98" t="s">
        <v>2035</v>
      </c>
      <c r="K909" s="98" t="s">
        <v>1104</v>
      </c>
      <c r="L909" s="105" t="str">
        <f t="shared" si="160"/>
        <v>Ghent</v>
      </c>
      <c r="M909" s="105" t="str">
        <f t="shared" si="161"/>
        <v>Derate</v>
      </c>
      <c r="N909" s="105" t="str">
        <f t="shared" si="162"/>
        <v>Coal</v>
      </c>
      <c r="O909" s="105">
        <f>IFERROR(VLOOKUP(A909,Lookup!$J$5:$P$19,7,FALSE),0)</f>
        <v>3</v>
      </c>
      <c r="P909" s="159">
        <f t="shared" si="163"/>
        <v>2014</v>
      </c>
      <c r="Q909" s="159">
        <f t="shared" si="164"/>
        <v>2</v>
      </c>
      <c r="R909" s="160">
        <f t="shared" si="165"/>
        <v>1.7500000001164153</v>
      </c>
      <c r="S909" s="158">
        <f t="shared" si="166"/>
        <v>0.10096153846825473</v>
      </c>
      <c r="T909" s="161">
        <f t="shared" si="167"/>
        <v>48.158653849357506</v>
      </c>
      <c r="U909" s="158">
        <f t="shared" si="169"/>
        <v>27.51923076923077</v>
      </c>
      <c r="V909" s="160">
        <f t="shared" si="168"/>
        <v>28</v>
      </c>
    </row>
    <row r="910" spans="1:22" x14ac:dyDescent="0.25">
      <c r="A910" s="98" t="s">
        <v>26</v>
      </c>
      <c r="B910" s="98" t="s">
        <v>17</v>
      </c>
      <c r="C910" s="98">
        <v>11</v>
      </c>
      <c r="D910" s="98">
        <v>344</v>
      </c>
      <c r="E910" s="157">
        <v>41691.354166666664</v>
      </c>
      <c r="F910" s="157">
        <v>41691.520833333336</v>
      </c>
      <c r="G910" s="98">
        <v>450</v>
      </c>
      <c r="H910" s="98">
        <v>520</v>
      </c>
      <c r="I910" s="98">
        <v>477</v>
      </c>
      <c r="J910" s="98" t="s">
        <v>1968</v>
      </c>
      <c r="K910" s="98" t="s">
        <v>1105</v>
      </c>
      <c r="L910" s="105" t="str">
        <f t="shared" si="160"/>
        <v>Ghent</v>
      </c>
      <c r="M910" s="105" t="str">
        <f t="shared" si="161"/>
        <v>Derate</v>
      </c>
      <c r="N910" s="105" t="str">
        <f t="shared" si="162"/>
        <v>Coal</v>
      </c>
      <c r="O910" s="105">
        <f>IFERROR(VLOOKUP(A910,Lookup!$J$5:$P$19,7,FALSE),0)</f>
        <v>3</v>
      </c>
      <c r="P910" s="159">
        <f t="shared" si="163"/>
        <v>2014</v>
      </c>
      <c r="Q910" s="159">
        <f t="shared" si="164"/>
        <v>2</v>
      </c>
      <c r="R910" s="160">
        <f t="shared" si="165"/>
        <v>4.0000000001164153</v>
      </c>
      <c r="S910" s="158">
        <f t="shared" si="166"/>
        <v>0.53846153847720979</v>
      </c>
      <c r="T910" s="161">
        <f t="shared" si="167"/>
        <v>256.84615385362906</v>
      </c>
      <c r="U910" s="158">
        <f t="shared" si="169"/>
        <v>64.211538461538467</v>
      </c>
      <c r="V910" s="160">
        <f t="shared" si="168"/>
        <v>64</v>
      </c>
    </row>
    <row r="911" spans="1:22" x14ac:dyDescent="0.25">
      <c r="A911" s="98" t="s">
        <v>26</v>
      </c>
      <c r="B911" s="98" t="s">
        <v>17</v>
      </c>
      <c r="C911" s="98">
        <v>13</v>
      </c>
      <c r="D911" s="98">
        <v>344</v>
      </c>
      <c r="E911" s="157">
        <v>41691.916666666664</v>
      </c>
      <c r="F911" s="157">
        <v>41692.044444444444</v>
      </c>
      <c r="G911" s="98">
        <v>460</v>
      </c>
      <c r="H911" s="98">
        <v>520</v>
      </c>
      <c r="I911" s="98">
        <v>477</v>
      </c>
      <c r="J911" s="98" t="s">
        <v>1968</v>
      </c>
      <c r="K911" s="98" t="s">
        <v>1106</v>
      </c>
      <c r="L911" s="105" t="str">
        <f t="shared" si="160"/>
        <v>Ghent</v>
      </c>
      <c r="M911" s="105" t="str">
        <f t="shared" si="161"/>
        <v>Derate</v>
      </c>
      <c r="N911" s="105" t="str">
        <f t="shared" si="162"/>
        <v>Coal</v>
      </c>
      <c r="O911" s="105">
        <f>IFERROR(VLOOKUP(A911,Lookup!$J$5:$P$19,7,FALSE),0)</f>
        <v>3</v>
      </c>
      <c r="P911" s="159">
        <f t="shared" si="163"/>
        <v>2014</v>
      </c>
      <c r="Q911" s="159">
        <f t="shared" si="164"/>
        <v>2</v>
      </c>
      <c r="R911" s="160">
        <f t="shared" si="165"/>
        <v>3.0666666667093523</v>
      </c>
      <c r="S911" s="158">
        <f t="shared" si="166"/>
        <v>0.35384615385107909</v>
      </c>
      <c r="T911" s="161">
        <f t="shared" si="167"/>
        <v>168.78461538696473</v>
      </c>
      <c r="U911" s="158">
        <f t="shared" si="169"/>
        <v>55.03846153846154</v>
      </c>
      <c r="V911" s="160">
        <f t="shared" si="168"/>
        <v>55</v>
      </c>
    </row>
    <row r="912" spans="1:22" x14ac:dyDescent="0.25">
      <c r="A912" s="98" t="s">
        <v>26</v>
      </c>
      <c r="B912" s="98" t="s">
        <v>20</v>
      </c>
      <c r="C912" s="98">
        <v>12</v>
      </c>
      <c r="D912" s="98">
        <v>1060</v>
      </c>
      <c r="E912" s="157">
        <v>41692.617361111108</v>
      </c>
      <c r="F912" s="157">
        <v>41693.460416666669</v>
      </c>
      <c r="G912" s="98">
        <v>0</v>
      </c>
      <c r="H912" s="98">
        <v>520</v>
      </c>
      <c r="I912" s="98">
        <v>477</v>
      </c>
      <c r="J912" s="98" t="s">
        <v>2179</v>
      </c>
      <c r="K912" s="98" t="s">
        <v>1107</v>
      </c>
      <c r="L912" s="105" t="str">
        <f t="shared" si="160"/>
        <v>Ghent</v>
      </c>
      <c r="M912" s="105" t="str">
        <f t="shared" si="161"/>
        <v>Maintenance</v>
      </c>
      <c r="N912" s="105" t="str">
        <f t="shared" si="162"/>
        <v>Coal</v>
      </c>
      <c r="O912" s="105">
        <f>IFERROR(VLOOKUP(A912,Lookup!$J$5:$P$19,7,FALSE),0)</f>
        <v>3</v>
      </c>
      <c r="P912" s="159">
        <f t="shared" si="163"/>
        <v>2014</v>
      </c>
      <c r="Q912" s="159">
        <f t="shared" si="164"/>
        <v>2</v>
      </c>
      <c r="R912" s="160">
        <f t="shared" si="165"/>
        <v>20.233333333453629</v>
      </c>
      <c r="S912" s="158">
        <f t="shared" si="166"/>
        <v>20.233333333453629</v>
      </c>
      <c r="T912" s="161">
        <f t="shared" si="167"/>
        <v>9651.3000000573811</v>
      </c>
      <c r="U912" s="158">
        <f t="shared" si="169"/>
        <v>477</v>
      </c>
      <c r="V912" s="160">
        <f t="shared" si="168"/>
        <v>477</v>
      </c>
    </row>
    <row r="913" spans="1:22" x14ac:dyDescent="0.25">
      <c r="A913" s="98" t="s">
        <v>26</v>
      </c>
      <c r="B913" s="98" t="s">
        <v>32</v>
      </c>
      <c r="C913" s="98">
        <v>14</v>
      </c>
      <c r="D913" s="98">
        <v>340</v>
      </c>
      <c r="E913" s="157">
        <v>41694.570833333331</v>
      </c>
      <c r="F913" s="157">
        <v>41694.707638888889</v>
      </c>
      <c r="G913" s="98">
        <v>460</v>
      </c>
      <c r="H913" s="98">
        <v>520</v>
      </c>
      <c r="I913" s="98">
        <v>477</v>
      </c>
      <c r="J913" s="98" t="s">
        <v>1970</v>
      </c>
      <c r="K913" s="98" t="s">
        <v>1108</v>
      </c>
      <c r="L913" s="105" t="str">
        <f t="shared" si="160"/>
        <v>Ghent</v>
      </c>
      <c r="M913" s="105" t="str">
        <f t="shared" si="161"/>
        <v>Derate</v>
      </c>
      <c r="N913" s="105" t="str">
        <f t="shared" si="162"/>
        <v>Coal</v>
      </c>
      <c r="O913" s="105">
        <f>IFERROR(VLOOKUP(A913,Lookup!$J$5:$P$19,7,FALSE),0)</f>
        <v>3</v>
      </c>
      <c r="P913" s="159">
        <f t="shared" si="163"/>
        <v>2014</v>
      </c>
      <c r="Q913" s="159">
        <f t="shared" si="164"/>
        <v>2</v>
      </c>
      <c r="R913" s="160">
        <f t="shared" si="165"/>
        <v>3.28333333338378</v>
      </c>
      <c r="S913" s="158">
        <f t="shared" si="166"/>
        <v>0.37884615385197462</v>
      </c>
      <c r="T913" s="161">
        <f t="shared" si="167"/>
        <v>180.70961538739189</v>
      </c>
      <c r="U913" s="158">
        <f t="shared" si="169"/>
        <v>55.03846153846154</v>
      </c>
      <c r="V913" s="160">
        <f t="shared" si="168"/>
        <v>55</v>
      </c>
    </row>
    <row r="914" spans="1:22" x14ac:dyDescent="0.25">
      <c r="A914" s="98" t="s">
        <v>26</v>
      </c>
      <c r="B914" s="98" t="s">
        <v>17</v>
      </c>
      <c r="C914" s="98">
        <v>15</v>
      </c>
      <c r="D914" s="98">
        <v>320</v>
      </c>
      <c r="E914" s="157">
        <v>41695.470138888886</v>
      </c>
      <c r="F914" s="157">
        <v>41695.539583333331</v>
      </c>
      <c r="G914" s="98">
        <v>460</v>
      </c>
      <c r="H914" s="98">
        <v>520</v>
      </c>
      <c r="I914" s="98">
        <v>477</v>
      </c>
      <c r="J914" s="98" t="s">
        <v>1992</v>
      </c>
      <c r="K914" s="98" t="s">
        <v>1109</v>
      </c>
      <c r="L914" s="105" t="str">
        <f t="shared" si="160"/>
        <v>Ghent</v>
      </c>
      <c r="M914" s="105" t="str">
        <f t="shared" si="161"/>
        <v>Derate</v>
      </c>
      <c r="N914" s="105" t="str">
        <f t="shared" si="162"/>
        <v>Coal</v>
      </c>
      <c r="O914" s="105">
        <f>IFERROR(VLOOKUP(A914,Lookup!$J$5:$P$19,7,FALSE),0)</f>
        <v>3</v>
      </c>
      <c r="P914" s="159">
        <f t="shared" si="163"/>
        <v>2014</v>
      </c>
      <c r="Q914" s="159">
        <f t="shared" si="164"/>
        <v>2</v>
      </c>
      <c r="R914" s="160">
        <f t="shared" si="165"/>
        <v>1.6666666666860692</v>
      </c>
      <c r="S914" s="158">
        <f t="shared" si="166"/>
        <v>0.19230769230993106</v>
      </c>
      <c r="T914" s="161">
        <f t="shared" si="167"/>
        <v>91.730769231837115</v>
      </c>
      <c r="U914" s="158">
        <f t="shared" si="169"/>
        <v>55.03846153846154</v>
      </c>
      <c r="V914" s="160">
        <f t="shared" si="168"/>
        <v>55</v>
      </c>
    </row>
    <row r="915" spans="1:22" x14ac:dyDescent="0.25">
      <c r="A915" s="98" t="s">
        <v>26</v>
      </c>
      <c r="B915" s="98" t="s">
        <v>17</v>
      </c>
      <c r="C915" s="98">
        <v>16</v>
      </c>
      <c r="D915" s="98">
        <v>250</v>
      </c>
      <c r="E915" s="157">
        <v>41701.670138888891</v>
      </c>
      <c r="F915" s="157">
        <v>41701.927777777775</v>
      </c>
      <c r="G915" s="98">
        <v>460</v>
      </c>
      <c r="H915" s="98">
        <v>520</v>
      </c>
      <c r="I915" s="98">
        <v>477</v>
      </c>
      <c r="J915" s="98" t="s">
        <v>1978</v>
      </c>
      <c r="K915" s="98" t="s">
        <v>1110</v>
      </c>
      <c r="L915" s="105" t="str">
        <f t="shared" si="160"/>
        <v>Ghent</v>
      </c>
      <c r="M915" s="105" t="str">
        <f t="shared" si="161"/>
        <v>Derate</v>
      </c>
      <c r="N915" s="105" t="str">
        <f t="shared" si="162"/>
        <v>Coal</v>
      </c>
      <c r="O915" s="105">
        <f>IFERROR(VLOOKUP(A915,Lookup!$J$5:$P$19,7,FALSE),0)</f>
        <v>3</v>
      </c>
      <c r="P915" s="159">
        <f t="shared" si="163"/>
        <v>2014</v>
      </c>
      <c r="Q915" s="159">
        <f t="shared" si="164"/>
        <v>3</v>
      </c>
      <c r="R915" s="160">
        <f t="shared" si="165"/>
        <v>6.1833333332324401</v>
      </c>
      <c r="S915" s="158">
        <f t="shared" si="166"/>
        <v>0.7134615384498969</v>
      </c>
      <c r="T915" s="161">
        <f t="shared" si="167"/>
        <v>340.3211538406008</v>
      </c>
      <c r="U915" s="158">
        <f t="shared" si="169"/>
        <v>55.03846153846154</v>
      </c>
      <c r="V915" s="160">
        <f t="shared" si="168"/>
        <v>55</v>
      </c>
    </row>
    <row r="916" spans="1:22" x14ac:dyDescent="0.25">
      <c r="A916" s="98" t="s">
        <v>26</v>
      </c>
      <c r="B916" s="98" t="s">
        <v>15</v>
      </c>
      <c r="C916" s="98">
        <v>17</v>
      </c>
      <c r="D916" s="98">
        <v>1000</v>
      </c>
      <c r="E916" s="157">
        <v>41703.029166666667</v>
      </c>
      <c r="F916" s="157">
        <v>41703.958333333336</v>
      </c>
      <c r="G916" s="98">
        <v>0</v>
      </c>
      <c r="H916" s="98">
        <v>520</v>
      </c>
      <c r="I916" s="98">
        <v>477</v>
      </c>
      <c r="J916" s="98" t="s">
        <v>2002</v>
      </c>
      <c r="K916" s="98" t="s">
        <v>1111</v>
      </c>
      <c r="L916" s="105" t="str">
        <f t="shared" si="160"/>
        <v>Ghent</v>
      </c>
      <c r="M916" s="105" t="str">
        <f t="shared" si="161"/>
        <v>Outage</v>
      </c>
      <c r="N916" s="105" t="str">
        <f t="shared" si="162"/>
        <v>Coal</v>
      </c>
      <c r="O916" s="105">
        <f>IFERROR(VLOOKUP(A916,Lookup!$J$5:$P$19,7,FALSE),0)</f>
        <v>3</v>
      </c>
      <c r="P916" s="159">
        <f t="shared" si="163"/>
        <v>2014</v>
      </c>
      <c r="Q916" s="159">
        <f t="shared" si="164"/>
        <v>3</v>
      </c>
      <c r="R916" s="160">
        <f t="shared" si="165"/>
        <v>22.300000000046566</v>
      </c>
      <c r="S916" s="158">
        <f t="shared" si="166"/>
        <v>22.300000000046566</v>
      </c>
      <c r="T916" s="161">
        <f t="shared" si="167"/>
        <v>10637.100000022212</v>
      </c>
      <c r="U916" s="158">
        <f t="shared" si="169"/>
        <v>477</v>
      </c>
      <c r="V916" s="160">
        <f t="shared" si="168"/>
        <v>477</v>
      </c>
    </row>
    <row r="917" spans="1:22" x14ac:dyDescent="0.25">
      <c r="A917" s="98" t="s">
        <v>26</v>
      </c>
      <c r="B917" s="98" t="s">
        <v>17</v>
      </c>
      <c r="C917" s="98">
        <v>18</v>
      </c>
      <c r="D917" s="98">
        <v>346</v>
      </c>
      <c r="E917" s="157">
        <v>41715.320833333331</v>
      </c>
      <c r="F917" s="157">
        <v>41715.509722222225</v>
      </c>
      <c r="G917" s="98">
        <v>460</v>
      </c>
      <c r="H917" s="98">
        <v>520</v>
      </c>
      <c r="I917" s="98">
        <v>477</v>
      </c>
      <c r="J917" s="98" t="s">
        <v>1986</v>
      </c>
      <c r="K917" s="98" t="s">
        <v>1112</v>
      </c>
      <c r="L917" s="105" t="str">
        <f t="shared" si="160"/>
        <v>Ghent</v>
      </c>
      <c r="M917" s="105" t="str">
        <f t="shared" si="161"/>
        <v>Derate</v>
      </c>
      <c r="N917" s="105" t="str">
        <f t="shared" si="162"/>
        <v>Coal</v>
      </c>
      <c r="O917" s="105">
        <f>IFERROR(VLOOKUP(A917,Lookup!$J$5:$P$19,7,FALSE),0)</f>
        <v>3</v>
      </c>
      <c r="P917" s="159">
        <f t="shared" si="163"/>
        <v>2014</v>
      </c>
      <c r="Q917" s="159">
        <f t="shared" si="164"/>
        <v>3</v>
      </c>
      <c r="R917" s="160">
        <f t="shared" si="165"/>
        <v>4.5333333334419876</v>
      </c>
      <c r="S917" s="158">
        <f t="shared" si="166"/>
        <v>0.52307692308946008</v>
      </c>
      <c r="T917" s="161">
        <f t="shared" si="167"/>
        <v>249.50769231367246</v>
      </c>
      <c r="U917" s="158">
        <f t="shared" si="169"/>
        <v>55.03846153846154</v>
      </c>
      <c r="V917" s="160">
        <f t="shared" si="168"/>
        <v>55</v>
      </c>
    </row>
    <row r="918" spans="1:22" x14ac:dyDescent="0.25">
      <c r="A918" s="98" t="s">
        <v>26</v>
      </c>
      <c r="B918" s="98" t="s">
        <v>38</v>
      </c>
      <c r="C918" s="98">
        <v>19</v>
      </c>
      <c r="D918" s="98">
        <v>1812</v>
      </c>
      <c r="E918" s="157">
        <v>41719.895833333336</v>
      </c>
      <c r="F918" s="157">
        <v>41742.74722222222</v>
      </c>
      <c r="G918" s="98">
        <v>0</v>
      </c>
      <c r="H918" s="98">
        <v>520</v>
      </c>
      <c r="I918" s="98">
        <v>477</v>
      </c>
      <c r="J918" s="98" t="s">
        <v>1994</v>
      </c>
      <c r="K918" s="98" t="s">
        <v>1113</v>
      </c>
      <c r="L918" s="105" t="str">
        <f t="shared" si="160"/>
        <v>Ghent</v>
      </c>
      <c r="M918" s="105" t="str">
        <f t="shared" si="161"/>
        <v>Other</v>
      </c>
      <c r="N918" s="105" t="str">
        <f t="shared" si="162"/>
        <v>Coal</v>
      </c>
      <c r="O918" s="105">
        <f>IFERROR(VLOOKUP(A918,Lookup!$J$5:$P$19,7,FALSE),0)</f>
        <v>3</v>
      </c>
      <c r="P918" s="159">
        <f t="shared" si="163"/>
        <v>2014</v>
      </c>
      <c r="Q918" s="159">
        <f t="shared" si="164"/>
        <v>3</v>
      </c>
      <c r="R918" s="160">
        <f t="shared" si="165"/>
        <v>548.43333333323244</v>
      </c>
      <c r="S918" s="158">
        <f t="shared" si="166"/>
        <v>548.43333333323244</v>
      </c>
      <c r="T918" s="161">
        <f t="shared" si="167"/>
        <v>261602.69999995187</v>
      </c>
      <c r="U918" s="158">
        <f t="shared" si="169"/>
        <v>477</v>
      </c>
      <c r="V918" s="160">
        <f t="shared" si="168"/>
        <v>477</v>
      </c>
    </row>
    <row r="919" spans="1:22" x14ac:dyDescent="0.25">
      <c r="A919" s="98" t="s">
        <v>26</v>
      </c>
      <c r="B919" s="98" t="s">
        <v>17</v>
      </c>
      <c r="C919" s="98">
        <v>20</v>
      </c>
      <c r="D919" s="98">
        <v>1850</v>
      </c>
      <c r="E919" s="157">
        <v>41743.24722222222</v>
      </c>
      <c r="F919" s="157">
        <v>41744.242361111108</v>
      </c>
      <c r="G919" s="98">
        <v>430</v>
      </c>
      <c r="H919" s="98">
        <v>520</v>
      </c>
      <c r="I919" s="98">
        <v>477</v>
      </c>
      <c r="J919" s="98" t="s">
        <v>2263</v>
      </c>
      <c r="K919" s="98" t="s">
        <v>1114</v>
      </c>
      <c r="L919" s="105" t="str">
        <f t="shared" si="160"/>
        <v>Ghent</v>
      </c>
      <c r="M919" s="105" t="str">
        <f t="shared" si="161"/>
        <v>Derate</v>
      </c>
      <c r="N919" s="105" t="str">
        <f t="shared" si="162"/>
        <v>Coal</v>
      </c>
      <c r="O919" s="105">
        <f>IFERROR(VLOOKUP(A919,Lookup!$J$5:$P$19,7,FALSE),0)</f>
        <v>3</v>
      </c>
      <c r="P919" s="159">
        <f t="shared" si="163"/>
        <v>2014</v>
      </c>
      <c r="Q919" s="159">
        <f t="shared" si="164"/>
        <v>4</v>
      </c>
      <c r="R919" s="160">
        <f t="shared" si="165"/>
        <v>23.883333333302289</v>
      </c>
      <c r="S919" s="158">
        <f t="shared" si="166"/>
        <v>4.1336538461484729</v>
      </c>
      <c r="T919" s="161">
        <f t="shared" si="167"/>
        <v>1971.7528846128216</v>
      </c>
      <c r="U919" s="158">
        <f t="shared" si="169"/>
        <v>82.557692307692307</v>
      </c>
      <c r="V919" s="160">
        <f t="shared" si="168"/>
        <v>83</v>
      </c>
    </row>
    <row r="920" spans="1:22" x14ac:dyDescent="0.25">
      <c r="A920" s="98" t="s">
        <v>26</v>
      </c>
      <c r="B920" s="98" t="s">
        <v>17</v>
      </c>
      <c r="C920" s="98">
        <v>21</v>
      </c>
      <c r="D920" s="98">
        <v>1850</v>
      </c>
      <c r="E920" s="157">
        <v>41744.898611111108</v>
      </c>
      <c r="F920" s="157">
        <v>41745.040277777778</v>
      </c>
      <c r="G920" s="98">
        <v>506</v>
      </c>
      <c r="H920" s="98">
        <v>520</v>
      </c>
      <c r="I920" s="98">
        <v>477</v>
      </c>
      <c r="J920" s="98" t="s">
        <v>2263</v>
      </c>
      <c r="K920" s="98" t="s">
        <v>1115</v>
      </c>
      <c r="L920" s="105" t="str">
        <f t="shared" si="160"/>
        <v>Ghent</v>
      </c>
      <c r="M920" s="105" t="str">
        <f t="shared" si="161"/>
        <v>Derate</v>
      </c>
      <c r="N920" s="105" t="str">
        <f t="shared" si="162"/>
        <v>Coal</v>
      </c>
      <c r="O920" s="105">
        <f>IFERROR(VLOOKUP(A920,Lookup!$J$5:$P$19,7,FALSE),0)</f>
        <v>3</v>
      </c>
      <c r="P920" s="159">
        <f t="shared" si="163"/>
        <v>2014</v>
      </c>
      <c r="Q920" s="159">
        <f t="shared" si="164"/>
        <v>4</v>
      </c>
      <c r="R920" s="160">
        <f t="shared" si="165"/>
        <v>3.4000000000814907</v>
      </c>
      <c r="S920" s="158">
        <f t="shared" si="166"/>
        <v>9.1538461540655522E-2</v>
      </c>
      <c r="T920" s="161">
        <f t="shared" si="167"/>
        <v>43.663846154892681</v>
      </c>
      <c r="U920" s="158">
        <f t="shared" si="169"/>
        <v>12.842307692307692</v>
      </c>
      <c r="V920" s="160">
        <f t="shared" si="168"/>
        <v>13</v>
      </c>
    </row>
    <row r="921" spans="1:22" x14ac:dyDescent="0.25">
      <c r="A921" s="98" t="s">
        <v>26</v>
      </c>
      <c r="B921" s="98" t="s">
        <v>32</v>
      </c>
      <c r="C921" s="98">
        <v>22</v>
      </c>
      <c r="D921" s="98">
        <v>250</v>
      </c>
      <c r="E921" s="157">
        <v>41750.132638888892</v>
      </c>
      <c r="F921" s="157">
        <v>41750.17083333333</v>
      </c>
      <c r="G921" s="98">
        <v>480</v>
      </c>
      <c r="H921" s="98">
        <v>520</v>
      </c>
      <c r="I921" s="98">
        <v>477</v>
      </c>
      <c r="J921" s="98" t="s">
        <v>1978</v>
      </c>
      <c r="K921" s="98" t="s">
        <v>1116</v>
      </c>
      <c r="L921" s="105" t="str">
        <f t="shared" si="160"/>
        <v>Ghent</v>
      </c>
      <c r="M921" s="105" t="str">
        <f t="shared" si="161"/>
        <v>Derate</v>
      </c>
      <c r="N921" s="105" t="str">
        <f t="shared" si="162"/>
        <v>Coal</v>
      </c>
      <c r="O921" s="105">
        <f>IFERROR(VLOOKUP(A921,Lookup!$J$5:$P$19,7,FALSE),0)</f>
        <v>3</v>
      </c>
      <c r="P921" s="159">
        <f t="shared" si="163"/>
        <v>2014</v>
      </c>
      <c r="Q921" s="159">
        <f t="shared" si="164"/>
        <v>4</v>
      </c>
      <c r="R921" s="160">
        <f t="shared" si="165"/>
        <v>0.91666666651144624</v>
      </c>
      <c r="S921" s="158">
        <f t="shared" si="166"/>
        <v>7.051282050088048E-2</v>
      </c>
      <c r="T921" s="161">
        <f t="shared" si="167"/>
        <v>33.634615378919989</v>
      </c>
      <c r="U921" s="158">
        <f t="shared" si="169"/>
        <v>36.692307692307693</v>
      </c>
      <c r="V921" s="160">
        <f t="shared" si="168"/>
        <v>37</v>
      </c>
    </row>
    <row r="922" spans="1:22" x14ac:dyDescent="0.25">
      <c r="A922" s="98" t="s">
        <v>26</v>
      </c>
      <c r="B922" s="98" t="s">
        <v>17</v>
      </c>
      <c r="C922" s="98">
        <v>23</v>
      </c>
      <c r="D922" s="98">
        <v>250</v>
      </c>
      <c r="E922" s="157">
        <v>41750.726388888892</v>
      </c>
      <c r="F922" s="157">
        <v>41750.949999999997</v>
      </c>
      <c r="G922" s="98">
        <v>490</v>
      </c>
      <c r="H922" s="98">
        <v>520</v>
      </c>
      <c r="I922" s="98">
        <v>477</v>
      </c>
      <c r="J922" s="98" t="s">
        <v>1978</v>
      </c>
      <c r="K922" s="98" t="s">
        <v>1117</v>
      </c>
      <c r="L922" s="105" t="str">
        <f t="shared" si="160"/>
        <v>Ghent</v>
      </c>
      <c r="M922" s="105" t="str">
        <f t="shared" si="161"/>
        <v>Derate</v>
      </c>
      <c r="N922" s="105" t="str">
        <f t="shared" si="162"/>
        <v>Coal</v>
      </c>
      <c r="O922" s="105">
        <f>IFERROR(VLOOKUP(A922,Lookup!$J$5:$P$19,7,FALSE),0)</f>
        <v>3</v>
      </c>
      <c r="P922" s="159">
        <f t="shared" si="163"/>
        <v>2014</v>
      </c>
      <c r="Q922" s="159">
        <f t="shared" si="164"/>
        <v>4</v>
      </c>
      <c r="R922" s="160">
        <f t="shared" si="165"/>
        <v>5.3666666665230878</v>
      </c>
      <c r="S922" s="158">
        <f t="shared" si="166"/>
        <v>0.3096153846071012</v>
      </c>
      <c r="T922" s="161">
        <f t="shared" si="167"/>
        <v>147.68653845758726</v>
      </c>
      <c r="U922" s="158">
        <f t="shared" si="169"/>
        <v>27.51923076923077</v>
      </c>
      <c r="V922" s="160">
        <f t="shared" si="168"/>
        <v>28</v>
      </c>
    </row>
    <row r="923" spans="1:22" x14ac:dyDescent="0.25">
      <c r="A923" s="98" t="s">
        <v>26</v>
      </c>
      <c r="B923" s="98" t="s">
        <v>32</v>
      </c>
      <c r="C923" s="98">
        <v>24</v>
      </c>
      <c r="D923" s="98">
        <v>8590</v>
      </c>
      <c r="E923" s="157">
        <v>41757.9375</v>
      </c>
      <c r="F923" s="157">
        <v>41758.243750000001</v>
      </c>
      <c r="G923" s="98">
        <v>400</v>
      </c>
      <c r="H923" s="98">
        <v>520</v>
      </c>
      <c r="I923" s="98">
        <v>477</v>
      </c>
      <c r="J923" s="98" t="s">
        <v>2249</v>
      </c>
      <c r="K923" s="98" t="s">
        <v>1118</v>
      </c>
      <c r="L923" s="105" t="str">
        <f t="shared" si="160"/>
        <v>Ghent</v>
      </c>
      <c r="M923" s="105" t="str">
        <f t="shared" si="161"/>
        <v>Derate</v>
      </c>
      <c r="N923" s="105" t="str">
        <f t="shared" si="162"/>
        <v>Coal</v>
      </c>
      <c r="O923" s="105">
        <f>IFERROR(VLOOKUP(A923,Lookup!$J$5:$P$19,7,FALSE),0)</f>
        <v>3</v>
      </c>
      <c r="P923" s="159">
        <f t="shared" si="163"/>
        <v>2014</v>
      </c>
      <c r="Q923" s="159">
        <f t="shared" si="164"/>
        <v>4</v>
      </c>
      <c r="R923" s="160">
        <f t="shared" si="165"/>
        <v>7.3500000000349246</v>
      </c>
      <c r="S923" s="158">
        <f t="shared" si="166"/>
        <v>1.6961538461619057</v>
      </c>
      <c r="T923" s="161">
        <f t="shared" si="167"/>
        <v>809.06538461922901</v>
      </c>
      <c r="U923" s="158">
        <f t="shared" si="169"/>
        <v>110.07692307692308</v>
      </c>
      <c r="V923" s="160">
        <f t="shared" si="168"/>
        <v>110</v>
      </c>
    </row>
    <row r="924" spans="1:22" x14ac:dyDescent="0.25">
      <c r="A924" s="98" t="s">
        <v>26</v>
      </c>
      <c r="B924" s="98" t="s">
        <v>17</v>
      </c>
      <c r="C924" s="98">
        <v>25</v>
      </c>
      <c r="D924" s="98">
        <v>9650</v>
      </c>
      <c r="E924" s="157">
        <v>41765.597222222219</v>
      </c>
      <c r="F924" s="157">
        <v>41765.850694444445</v>
      </c>
      <c r="G924" s="98">
        <v>490</v>
      </c>
      <c r="H924" s="98">
        <v>520</v>
      </c>
      <c r="I924" s="98">
        <v>477</v>
      </c>
      <c r="J924" s="98" t="s">
        <v>2035</v>
      </c>
      <c r="K924" s="98" t="s">
        <v>1119</v>
      </c>
      <c r="L924" s="105" t="str">
        <f t="shared" si="160"/>
        <v>Ghent</v>
      </c>
      <c r="M924" s="105" t="str">
        <f t="shared" si="161"/>
        <v>Derate</v>
      </c>
      <c r="N924" s="105" t="str">
        <f t="shared" si="162"/>
        <v>Coal</v>
      </c>
      <c r="O924" s="105">
        <f>IFERROR(VLOOKUP(A924,Lookup!$J$5:$P$19,7,FALSE),0)</f>
        <v>3</v>
      </c>
      <c r="P924" s="159">
        <f t="shared" si="163"/>
        <v>2014</v>
      </c>
      <c r="Q924" s="159">
        <f t="shared" si="164"/>
        <v>5</v>
      </c>
      <c r="R924" s="160">
        <f t="shared" si="165"/>
        <v>6.0833333334303461</v>
      </c>
      <c r="S924" s="158">
        <f t="shared" si="166"/>
        <v>0.35096153846713535</v>
      </c>
      <c r="T924" s="161">
        <f t="shared" si="167"/>
        <v>167.40865384882355</v>
      </c>
      <c r="U924" s="158">
        <f t="shared" si="169"/>
        <v>27.51923076923077</v>
      </c>
      <c r="V924" s="160">
        <f t="shared" si="168"/>
        <v>28</v>
      </c>
    </row>
    <row r="925" spans="1:22" x14ac:dyDescent="0.25">
      <c r="A925" s="98" t="s">
        <v>26</v>
      </c>
      <c r="B925" s="98" t="s">
        <v>17</v>
      </c>
      <c r="C925" s="98">
        <v>26</v>
      </c>
      <c r="D925" s="98">
        <v>9650</v>
      </c>
      <c r="E925" s="157">
        <v>41766.290277777778</v>
      </c>
      <c r="F925" s="157">
        <v>41766.334027777775</v>
      </c>
      <c r="G925" s="98">
        <v>490</v>
      </c>
      <c r="H925" s="98">
        <v>520</v>
      </c>
      <c r="I925" s="98">
        <v>477</v>
      </c>
      <c r="J925" s="98" t="s">
        <v>2035</v>
      </c>
      <c r="K925" s="98" t="s">
        <v>1120</v>
      </c>
      <c r="L925" s="105" t="str">
        <f t="shared" si="160"/>
        <v>Ghent</v>
      </c>
      <c r="M925" s="105" t="str">
        <f t="shared" si="161"/>
        <v>Derate</v>
      </c>
      <c r="N925" s="105" t="str">
        <f t="shared" si="162"/>
        <v>Coal</v>
      </c>
      <c r="O925" s="105">
        <f>IFERROR(VLOOKUP(A925,Lookup!$J$5:$P$19,7,FALSE),0)</f>
        <v>3</v>
      </c>
      <c r="P925" s="159">
        <f t="shared" si="163"/>
        <v>2014</v>
      </c>
      <c r="Q925" s="159">
        <f t="shared" si="164"/>
        <v>5</v>
      </c>
      <c r="R925" s="160">
        <f t="shared" si="165"/>
        <v>1.0499999999301508</v>
      </c>
      <c r="S925" s="158">
        <f t="shared" si="166"/>
        <v>6.0576923072893314E-2</v>
      </c>
      <c r="T925" s="161">
        <f t="shared" si="167"/>
        <v>28.895192305770109</v>
      </c>
      <c r="U925" s="158">
        <f t="shared" si="169"/>
        <v>27.51923076923077</v>
      </c>
      <c r="V925" s="160">
        <f t="shared" si="168"/>
        <v>28</v>
      </c>
    </row>
    <row r="926" spans="1:22" x14ac:dyDescent="0.25">
      <c r="A926" s="98" t="s">
        <v>26</v>
      </c>
      <c r="B926" s="98" t="s">
        <v>17</v>
      </c>
      <c r="C926" s="98">
        <v>27</v>
      </c>
      <c r="D926" s="98">
        <v>340</v>
      </c>
      <c r="E926" s="157">
        <v>41766.833333333336</v>
      </c>
      <c r="F926" s="157">
        <v>41767.277083333334</v>
      </c>
      <c r="G926" s="98">
        <v>460</v>
      </c>
      <c r="H926" s="98">
        <v>520</v>
      </c>
      <c r="I926" s="98">
        <v>477</v>
      </c>
      <c r="J926" s="98" t="s">
        <v>1970</v>
      </c>
      <c r="K926" s="98" t="s">
        <v>1121</v>
      </c>
      <c r="L926" s="105" t="str">
        <f t="shared" si="160"/>
        <v>Ghent</v>
      </c>
      <c r="M926" s="105" t="str">
        <f t="shared" si="161"/>
        <v>Derate</v>
      </c>
      <c r="N926" s="105" t="str">
        <f t="shared" si="162"/>
        <v>Coal</v>
      </c>
      <c r="O926" s="105">
        <f>IFERROR(VLOOKUP(A926,Lookup!$J$5:$P$19,7,FALSE),0)</f>
        <v>3</v>
      </c>
      <c r="P926" s="159">
        <f t="shared" si="163"/>
        <v>2014</v>
      </c>
      <c r="Q926" s="159">
        <f t="shared" si="164"/>
        <v>5</v>
      </c>
      <c r="R926" s="160">
        <f t="shared" si="165"/>
        <v>10.649999999965075</v>
      </c>
      <c r="S926" s="158">
        <f t="shared" si="166"/>
        <v>1.228846153842124</v>
      </c>
      <c r="T926" s="161">
        <f t="shared" si="167"/>
        <v>586.15961538269312</v>
      </c>
      <c r="U926" s="158">
        <f t="shared" si="169"/>
        <v>55.03846153846154</v>
      </c>
      <c r="V926" s="160">
        <f t="shared" si="168"/>
        <v>55</v>
      </c>
    </row>
    <row r="927" spans="1:22" x14ac:dyDescent="0.25">
      <c r="A927" s="98" t="s">
        <v>26</v>
      </c>
      <c r="B927" s="98" t="s">
        <v>17</v>
      </c>
      <c r="C927" s="98">
        <v>28</v>
      </c>
      <c r="D927" s="98">
        <v>340</v>
      </c>
      <c r="E927" s="157">
        <v>41767.277083333334</v>
      </c>
      <c r="F927" s="157">
        <v>41775.277083333334</v>
      </c>
      <c r="G927" s="98">
        <v>500</v>
      </c>
      <c r="H927" s="98">
        <v>520</v>
      </c>
      <c r="I927" s="98">
        <v>477</v>
      </c>
      <c r="J927" s="98" t="s">
        <v>1970</v>
      </c>
      <c r="K927" s="98" t="s">
        <v>1122</v>
      </c>
      <c r="L927" s="105" t="str">
        <f t="shared" si="160"/>
        <v>Ghent</v>
      </c>
      <c r="M927" s="105" t="str">
        <f t="shared" si="161"/>
        <v>Derate</v>
      </c>
      <c r="N927" s="105" t="str">
        <f t="shared" si="162"/>
        <v>Coal</v>
      </c>
      <c r="O927" s="105">
        <f>IFERROR(VLOOKUP(A927,Lookup!$J$5:$P$19,7,FALSE),0)</f>
        <v>3</v>
      </c>
      <c r="P927" s="159">
        <f t="shared" si="163"/>
        <v>2014</v>
      </c>
      <c r="Q927" s="159">
        <f t="shared" si="164"/>
        <v>5</v>
      </c>
      <c r="R927" s="160">
        <f t="shared" si="165"/>
        <v>192</v>
      </c>
      <c r="S927" s="158">
        <f t="shared" si="166"/>
        <v>7.384615384615385</v>
      </c>
      <c r="T927" s="161">
        <f t="shared" si="167"/>
        <v>3522.4615384615386</v>
      </c>
      <c r="U927" s="158">
        <f t="shared" si="169"/>
        <v>18.346153846153847</v>
      </c>
      <c r="V927" s="160">
        <f t="shared" si="168"/>
        <v>18</v>
      </c>
    </row>
    <row r="928" spans="1:22" x14ac:dyDescent="0.25">
      <c r="A928" s="98" t="s">
        <v>26</v>
      </c>
      <c r="B928" s="98" t="s">
        <v>20</v>
      </c>
      <c r="C928" s="98">
        <v>29</v>
      </c>
      <c r="D928" s="98">
        <v>1000</v>
      </c>
      <c r="E928" s="157">
        <v>41775.960416666669</v>
      </c>
      <c r="F928" s="157">
        <v>41776.917361111111</v>
      </c>
      <c r="G928" s="98">
        <v>0</v>
      </c>
      <c r="H928" s="98">
        <v>520</v>
      </c>
      <c r="I928" s="98">
        <v>477</v>
      </c>
      <c r="J928" s="98" t="s">
        <v>2002</v>
      </c>
      <c r="K928" s="98" t="s">
        <v>1123</v>
      </c>
      <c r="L928" s="105" t="str">
        <f t="shared" si="160"/>
        <v>Ghent</v>
      </c>
      <c r="M928" s="105" t="str">
        <f t="shared" si="161"/>
        <v>Maintenance</v>
      </c>
      <c r="N928" s="105" t="str">
        <f t="shared" si="162"/>
        <v>Coal</v>
      </c>
      <c r="O928" s="105">
        <f>IFERROR(VLOOKUP(A928,Lookup!$J$5:$P$19,7,FALSE),0)</f>
        <v>3</v>
      </c>
      <c r="P928" s="159">
        <f t="shared" si="163"/>
        <v>2014</v>
      </c>
      <c r="Q928" s="159">
        <f t="shared" si="164"/>
        <v>5</v>
      </c>
      <c r="R928" s="160">
        <f t="shared" si="165"/>
        <v>22.96666666661622</v>
      </c>
      <c r="S928" s="158">
        <f t="shared" si="166"/>
        <v>22.96666666661622</v>
      </c>
      <c r="T928" s="161">
        <f t="shared" si="167"/>
        <v>10955.099999975937</v>
      </c>
      <c r="U928" s="158">
        <f t="shared" si="169"/>
        <v>477</v>
      </c>
      <c r="V928" s="160">
        <f t="shared" si="168"/>
        <v>477</v>
      </c>
    </row>
    <row r="929" spans="1:22" x14ac:dyDescent="0.25">
      <c r="A929" s="98" t="s">
        <v>26</v>
      </c>
      <c r="B929" s="98" t="s">
        <v>17</v>
      </c>
      <c r="C929" s="98">
        <v>30</v>
      </c>
      <c r="D929" s="98">
        <v>1850</v>
      </c>
      <c r="E929" s="157">
        <v>41777.482638888891</v>
      </c>
      <c r="F929" s="157">
        <v>41777.51666666667</v>
      </c>
      <c r="G929" s="98">
        <v>475</v>
      </c>
      <c r="H929" s="98">
        <v>520</v>
      </c>
      <c r="I929" s="98">
        <v>477</v>
      </c>
      <c r="J929" s="98" t="s">
        <v>2263</v>
      </c>
      <c r="K929" s="98" t="s">
        <v>1124</v>
      </c>
      <c r="L929" s="105" t="str">
        <f t="shared" si="160"/>
        <v>Ghent</v>
      </c>
      <c r="M929" s="105" t="str">
        <f t="shared" si="161"/>
        <v>Derate</v>
      </c>
      <c r="N929" s="105" t="str">
        <f t="shared" si="162"/>
        <v>Coal</v>
      </c>
      <c r="O929" s="105">
        <f>IFERROR(VLOOKUP(A929,Lookup!$J$5:$P$19,7,FALSE),0)</f>
        <v>3</v>
      </c>
      <c r="P929" s="159">
        <f t="shared" si="163"/>
        <v>2014</v>
      </c>
      <c r="Q929" s="159">
        <f t="shared" si="164"/>
        <v>5</v>
      </c>
      <c r="R929" s="160">
        <f t="shared" si="165"/>
        <v>0.81666666670935228</v>
      </c>
      <c r="S929" s="158">
        <f t="shared" si="166"/>
        <v>7.067307692677087E-2</v>
      </c>
      <c r="T929" s="161">
        <f t="shared" si="167"/>
        <v>33.711057694069702</v>
      </c>
      <c r="U929" s="158">
        <f t="shared" si="169"/>
        <v>41.278846153846153</v>
      </c>
      <c r="V929" s="160">
        <f t="shared" si="168"/>
        <v>41</v>
      </c>
    </row>
    <row r="930" spans="1:22" x14ac:dyDescent="0.25">
      <c r="A930" s="98" t="s">
        <v>26</v>
      </c>
      <c r="B930" s="98" t="s">
        <v>17</v>
      </c>
      <c r="C930" s="98">
        <v>31</v>
      </c>
      <c r="D930" s="98">
        <v>9650</v>
      </c>
      <c r="E930" s="157">
        <v>41811.540972222225</v>
      </c>
      <c r="F930" s="157">
        <v>41811.584722222222</v>
      </c>
      <c r="G930" s="98">
        <v>490</v>
      </c>
      <c r="H930" s="98">
        <v>520</v>
      </c>
      <c r="I930" s="98">
        <v>477</v>
      </c>
      <c r="J930" s="98" t="s">
        <v>2035</v>
      </c>
      <c r="K930" s="98" t="s">
        <v>1125</v>
      </c>
      <c r="L930" s="105" t="str">
        <f t="shared" si="160"/>
        <v>Ghent</v>
      </c>
      <c r="M930" s="105" t="str">
        <f t="shared" si="161"/>
        <v>Derate</v>
      </c>
      <c r="N930" s="105" t="str">
        <f t="shared" si="162"/>
        <v>Coal</v>
      </c>
      <c r="O930" s="105">
        <f>IFERROR(VLOOKUP(A930,Lookup!$J$5:$P$19,7,FALSE),0)</f>
        <v>3</v>
      </c>
      <c r="P930" s="159">
        <f t="shared" si="163"/>
        <v>2014</v>
      </c>
      <c r="Q930" s="159">
        <f t="shared" si="164"/>
        <v>6</v>
      </c>
      <c r="R930" s="160">
        <f t="shared" si="165"/>
        <v>1.0499999999301508</v>
      </c>
      <c r="S930" s="158">
        <f t="shared" si="166"/>
        <v>6.0576923072893314E-2</v>
      </c>
      <c r="T930" s="161">
        <f t="shared" si="167"/>
        <v>28.895192305770109</v>
      </c>
      <c r="U930" s="158">
        <f t="shared" si="169"/>
        <v>27.51923076923077</v>
      </c>
      <c r="V930" s="160">
        <f t="shared" si="168"/>
        <v>28</v>
      </c>
    </row>
    <row r="931" spans="1:22" x14ac:dyDescent="0.25">
      <c r="A931" s="98" t="s">
        <v>26</v>
      </c>
      <c r="B931" s="98" t="s">
        <v>17</v>
      </c>
      <c r="C931" s="98">
        <v>32</v>
      </c>
      <c r="D931" s="98">
        <v>3631</v>
      </c>
      <c r="E931" s="157">
        <v>41831.628472222219</v>
      </c>
      <c r="F931" s="157">
        <v>41831.688194444447</v>
      </c>
      <c r="G931" s="98">
        <v>455</v>
      </c>
      <c r="H931" s="98">
        <v>520</v>
      </c>
      <c r="I931" s="98">
        <v>477</v>
      </c>
      <c r="J931" s="98" t="s">
        <v>2133</v>
      </c>
      <c r="K931" s="98" t="s">
        <v>2311</v>
      </c>
      <c r="L931" s="105" t="str">
        <f t="shared" si="160"/>
        <v>Ghent</v>
      </c>
      <c r="M931" s="105" t="str">
        <f t="shared" si="161"/>
        <v>Derate</v>
      </c>
      <c r="N931" s="105" t="str">
        <f t="shared" si="162"/>
        <v>Coal</v>
      </c>
      <c r="O931" s="105">
        <f>IFERROR(VLOOKUP(A931,Lookup!$J$5:$P$19,7,FALSE),0)</f>
        <v>3</v>
      </c>
      <c r="P931" s="159">
        <f t="shared" si="163"/>
        <v>2014</v>
      </c>
      <c r="Q931" s="159">
        <f t="shared" si="164"/>
        <v>7</v>
      </c>
      <c r="R931" s="160">
        <f t="shared" si="165"/>
        <v>1.4333333334652707</v>
      </c>
      <c r="S931" s="158">
        <f t="shared" si="166"/>
        <v>0.17916666668315884</v>
      </c>
      <c r="T931" s="161">
        <f t="shared" si="167"/>
        <v>85.462500007866765</v>
      </c>
      <c r="U931" s="158">
        <f t="shared" si="169"/>
        <v>59.625</v>
      </c>
      <c r="V931" s="160">
        <f t="shared" si="168"/>
        <v>60</v>
      </c>
    </row>
    <row r="932" spans="1:22" x14ac:dyDescent="0.25">
      <c r="A932" s="98" t="s">
        <v>26</v>
      </c>
      <c r="B932" s="98" t="s">
        <v>17</v>
      </c>
      <c r="C932" s="98">
        <v>33</v>
      </c>
      <c r="D932" s="98">
        <v>250</v>
      </c>
      <c r="E932" s="157">
        <v>41840.578472222223</v>
      </c>
      <c r="F932" s="157">
        <v>41840.597222222219</v>
      </c>
      <c r="G932" s="98">
        <v>500</v>
      </c>
      <c r="H932" s="98">
        <v>520</v>
      </c>
      <c r="I932" s="98">
        <v>477</v>
      </c>
      <c r="J932" s="98" t="s">
        <v>1978</v>
      </c>
      <c r="K932" s="98" t="s">
        <v>2312</v>
      </c>
      <c r="L932" s="105" t="str">
        <f t="shared" si="160"/>
        <v>Ghent</v>
      </c>
      <c r="M932" s="105" t="str">
        <f t="shared" si="161"/>
        <v>Derate</v>
      </c>
      <c r="N932" s="105" t="str">
        <f t="shared" si="162"/>
        <v>Coal</v>
      </c>
      <c r="O932" s="105">
        <f>IFERROR(VLOOKUP(A932,Lookup!$J$5:$P$19,7,FALSE),0)</f>
        <v>3</v>
      </c>
      <c r="P932" s="159">
        <f t="shared" si="163"/>
        <v>2014</v>
      </c>
      <c r="Q932" s="159">
        <f t="shared" si="164"/>
        <v>7</v>
      </c>
      <c r="R932" s="160">
        <f t="shared" si="165"/>
        <v>0.44999999989522621</v>
      </c>
      <c r="S932" s="158">
        <f t="shared" si="166"/>
        <v>1.7307692303662546E-2</v>
      </c>
      <c r="T932" s="161">
        <f t="shared" si="167"/>
        <v>8.2557692288470346</v>
      </c>
      <c r="U932" s="158">
        <f t="shared" si="169"/>
        <v>18.346153846153847</v>
      </c>
      <c r="V932" s="160">
        <f t="shared" si="168"/>
        <v>18</v>
      </c>
    </row>
    <row r="933" spans="1:22" x14ac:dyDescent="0.25">
      <c r="A933" s="98" t="s">
        <v>26</v>
      </c>
      <c r="B933" s="98" t="s">
        <v>17</v>
      </c>
      <c r="C933" s="98">
        <v>34</v>
      </c>
      <c r="D933" s="98">
        <v>250</v>
      </c>
      <c r="E933" s="157">
        <v>41840.625694444447</v>
      </c>
      <c r="F933" s="157">
        <v>41840.676388888889</v>
      </c>
      <c r="G933" s="98">
        <v>500</v>
      </c>
      <c r="H933" s="98">
        <v>520</v>
      </c>
      <c r="I933" s="98">
        <v>477</v>
      </c>
      <c r="J933" s="98" t="s">
        <v>1978</v>
      </c>
      <c r="K933" s="98" t="s">
        <v>2313</v>
      </c>
      <c r="L933" s="105" t="str">
        <f t="shared" si="160"/>
        <v>Ghent</v>
      </c>
      <c r="M933" s="105" t="str">
        <f t="shared" si="161"/>
        <v>Derate</v>
      </c>
      <c r="N933" s="105" t="str">
        <f t="shared" si="162"/>
        <v>Coal</v>
      </c>
      <c r="O933" s="105">
        <f>IFERROR(VLOOKUP(A933,Lookup!$J$5:$P$19,7,FALSE),0)</f>
        <v>3</v>
      </c>
      <c r="P933" s="159">
        <f t="shared" si="163"/>
        <v>2014</v>
      </c>
      <c r="Q933" s="159">
        <f t="shared" si="164"/>
        <v>7</v>
      </c>
      <c r="R933" s="160">
        <f t="shared" si="165"/>
        <v>1.21666666661622</v>
      </c>
      <c r="S933" s="158">
        <f t="shared" si="166"/>
        <v>4.6794871792931542E-2</v>
      </c>
      <c r="T933" s="161">
        <f t="shared" si="167"/>
        <v>22.321153845228345</v>
      </c>
      <c r="U933" s="158">
        <f t="shared" si="169"/>
        <v>18.346153846153847</v>
      </c>
      <c r="V933" s="160">
        <f t="shared" si="168"/>
        <v>18</v>
      </c>
    </row>
    <row r="934" spans="1:22" x14ac:dyDescent="0.25">
      <c r="A934" s="98" t="s">
        <v>26</v>
      </c>
      <c r="B934" s="98" t="s">
        <v>17</v>
      </c>
      <c r="C934" s="98">
        <v>35</v>
      </c>
      <c r="D934" s="98">
        <v>346</v>
      </c>
      <c r="E934" s="157">
        <v>41851.577777777777</v>
      </c>
      <c r="F934" s="157">
        <v>41851.640277777777</v>
      </c>
      <c r="G934" s="98">
        <v>500</v>
      </c>
      <c r="H934" s="98">
        <v>520</v>
      </c>
      <c r="I934" s="98">
        <v>477</v>
      </c>
      <c r="J934" s="98" t="s">
        <v>1986</v>
      </c>
      <c r="K934" s="98" t="s">
        <v>2314</v>
      </c>
      <c r="L934" s="105" t="str">
        <f t="shared" si="160"/>
        <v>Ghent</v>
      </c>
      <c r="M934" s="105" t="str">
        <f t="shared" si="161"/>
        <v>Derate</v>
      </c>
      <c r="N934" s="105" t="str">
        <f t="shared" si="162"/>
        <v>Coal</v>
      </c>
      <c r="O934" s="105">
        <f>IFERROR(VLOOKUP(A934,Lookup!$J$5:$P$19,7,FALSE),0)</f>
        <v>3</v>
      </c>
      <c r="P934" s="159">
        <f t="shared" si="163"/>
        <v>2014</v>
      </c>
      <c r="Q934" s="159">
        <f t="shared" si="164"/>
        <v>7</v>
      </c>
      <c r="R934" s="160">
        <f t="shared" si="165"/>
        <v>1.5</v>
      </c>
      <c r="S934" s="158">
        <f t="shared" si="166"/>
        <v>5.7692307692307696E-2</v>
      </c>
      <c r="T934" s="161">
        <f t="shared" si="167"/>
        <v>27.51923076923077</v>
      </c>
      <c r="U934" s="158">
        <f t="shared" si="169"/>
        <v>18.346153846153847</v>
      </c>
      <c r="V934" s="160">
        <f t="shared" si="168"/>
        <v>18</v>
      </c>
    </row>
    <row r="935" spans="1:22" x14ac:dyDescent="0.25">
      <c r="A935" s="98" t="s">
        <v>26</v>
      </c>
      <c r="B935" s="98" t="s">
        <v>17</v>
      </c>
      <c r="C935" s="98">
        <v>36</v>
      </c>
      <c r="D935" s="98">
        <v>320</v>
      </c>
      <c r="E935" s="157">
        <v>41853.885416666664</v>
      </c>
      <c r="F935" s="157">
        <v>41854.322222222225</v>
      </c>
      <c r="G935" s="98">
        <v>460</v>
      </c>
      <c r="H935" s="98">
        <v>520</v>
      </c>
      <c r="I935" s="98">
        <v>477</v>
      </c>
      <c r="J935" s="98" t="s">
        <v>1992</v>
      </c>
      <c r="K935" s="98" t="s">
        <v>2315</v>
      </c>
      <c r="L935" s="105" t="str">
        <f t="shared" si="160"/>
        <v>Ghent</v>
      </c>
      <c r="M935" s="105" t="str">
        <f t="shared" si="161"/>
        <v>Derate</v>
      </c>
      <c r="N935" s="105" t="str">
        <f t="shared" si="162"/>
        <v>Coal</v>
      </c>
      <c r="O935" s="105">
        <f>IFERROR(VLOOKUP(A935,Lookup!$J$5:$P$19,7,FALSE),0)</f>
        <v>3</v>
      </c>
      <c r="P935" s="159">
        <f t="shared" si="163"/>
        <v>2014</v>
      </c>
      <c r="Q935" s="159">
        <f t="shared" si="164"/>
        <v>8</v>
      </c>
      <c r="R935" s="160">
        <f t="shared" si="165"/>
        <v>10.483333333453629</v>
      </c>
      <c r="S935" s="158">
        <f t="shared" si="166"/>
        <v>1.209615384629265</v>
      </c>
      <c r="T935" s="161">
        <f t="shared" si="167"/>
        <v>576.98653846815944</v>
      </c>
      <c r="U935" s="158">
        <f t="shared" si="169"/>
        <v>55.03846153846154</v>
      </c>
      <c r="V935" s="160">
        <f t="shared" si="168"/>
        <v>55</v>
      </c>
    </row>
    <row r="936" spans="1:22" x14ac:dyDescent="0.25">
      <c r="A936" s="98" t="s">
        <v>26</v>
      </c>
      <c r="B936" s="98" t="s">
        <v>17</v>
      </c>
      <c r="C936" s="98">
        <v>37</v>
      </c>
      <c r="D936" s="98">
        <v>346</v>
      </c>
      <c r="E936" s="157">
        <v>41864.9375</v>
      </c>
      <c r="F936" s="157">
        <v>41865.020833333336</v>
      </c>
      <c r="G936" s="98">
        <v>450</v>
      </c>
      <c r="H936" s="98">
        <v>520</v>
      </c>
      <c r="I936" s="98">
        <v>477</v>
      </c>
      <c r="J936" s="98" t="s">
        <v>1986</v>
      </c>
      <c r="K936" s="98" t="s">
        <v>2316</v>
      </c>
      <c r="L936" s="105" t="str">
        <f t="shared" si="160"/>
        <v>Ghent</v>
      </c>
      <c r="M936" s="105" t="str">
        <f t="shared" si="161"/>
        <v>Derate</v>
      </c>
      <c r="N936" s="105" t="str">
        <f t="shared" si="162"/>
        <v>Coal</v>
      </c>
      <c r="O936" s="105">
        <f>IFERROR(VLOOKUP(A936,Lookup!$J$5:$P$19,7,FALSE),0)</f>
        <v>3</v>
      </c>
      <c r="P936" s="159">
        <f t="shared" si="163"/>
        <v>2014</v>
      </c>
      <c r="Q936" s="159">
        <f t="shared" si="164"/>
        <v>8</v>
      </c>
      <c r="R936" s="160">
        <f t="shared" si="165"/>
        <v>2.0000000000582077</v>
      </c>
      <c r="S936" s="158">
        <f t="shared" si="166"/>
        <v>0.26923076923860489</v>
      </c>
      <c r="T936" s="161">
        <f t="shared" si="167"/>
        <v>128.42307692681453</v>
      </c>
      <c r="U936" s="158">
        <f t="shared" si="169"/>
        <v>64.211538461538467</v>
      </c>
      <c r="V936" s="160">
        <f t="shared" si="168"/>
        <v>64</v>
      </c>
    </row>
    <row r="937" spans="1:22" x14ac:dyDescent="0.25">
      <c r="A937" s="98" t="s">
        <v>26</v>
      </c>
      <c r="B937" s="98" t="s">
        <v>17</v>
      </c>
      <c r="C937" s="98">
        <v>38</v>
      </c>
      <c r="D937" s="98">
        <v>340</v>
      </c>
      <c r="E937" s="157">
        <v>41866.515277777777</v>
      </c>
      <c r="F937" s="157">
        <v>41866.662499999999</v>
      </c>
      <c r="G937" s="98">
        <v>460</v>
      </c>
      <c r="H937" s="98">
        <v>520</v>
      </c>
      <c r="I937" s="98">
        <v>477</v>
      </c>
      <c r="J937" s="98" t="s">
        <v>1970</v>
      </c>
      <c r="K937" s="98" t="s">
        <v>2317</v>
      </c>
      <c r="L937" s="105" t="str">
        <f t="shared" si="160"/>
        <v>Ghent</v>
      </c>
      <c r="M937" s="105" t="str">
        <f t="shared" si="161"/>
        <v>Derate</v>
      </c>
      <c r="N937" s="105" t="str">
        <f t="shared" si="162"/>
        <v>Coal</v>
      </c>
      <c r="O937" s="105">
        <f>IFERROR(VLOOKUP(A937,Lookup!$J$5:$P$19,7,FALSE),0)</f>
        <v>3</v>
      </c>
      <c r="P937" s="159">
        <f t="shared" si="163"/>
        <v>2014</v>
      </c>
      <c r="Q937" s="159">
        <f t="shared" si="164"/>
        <v>8</v>
      </c>
      <c r="R937" s="160">
        <f t="shared" si="165"/>
        <v>3.5333333333255723</v>
      </c>
      <c r="S937" s="158">
        <f t="shared" si="166"/>
        <v>0.40769230769141218</v>
      </c>
      <c r="T937" s="161">
        <f t="shared" si="167"/>
        <v>194.46923076880361</v>
      </c>
      <c r="U937" s="158">
        <f t="shared" si="169"/>
        <v>55.03846153846154</v>
      </c>
      <c r="V937" s="160">
        <f t="shared" si="168"/>
        <v>55</v>
      </c>
    </row>
    <row r="938" spans="1:22" x14ac:dyDescent="0.25">
      <c r="A938" s="98" t="s">
        <v>26</v>
      </c>
      <c r="B938" s="98" t="s">
        <v>32</v>
      </c>
      <c r="C938" s="98">
        <v>39</v>
      </c>
      <c r="D938" s="98">
        <v>344</v>
      </c>
      <c r="E938" s="157">
        <v>41871.916666666664</v>
      </c>
      <c r="F938" s="157">
        <v>41871.980555555558</v>
      </c>
      <c r="G938" s="98">
        <v>500</v>
      </c>
      <c r="H938" s="98">
        <v>520</v>
      </c>
      <c r="I938" s="98">
        <v>477</v>
      </c>
      <c r="J938" s="98" t="s">
        <v>1968</v>
      </c>
      <c r="K938" s="98" t="s">
        <v>2318</v>
      </c>
      <c r="L938" s="105" t="str">
        <f t="shared" si="160"/>
        <v>Ghent</v>
      </c>
      <c r="M938" s="105" t="str">
        <f t="shared" si="161"/>
        <v>Derate</v>
      </c>
      <c r="N938" s="105" t="str">
        <f t="shared" si="162"/>
        <v>Coal</v>
      </c>
      <c r="O938" s="105">
        <f>IFERROR(VLOOKUP(A938,Lookup!$J$5:$P$19,7,FALSE),0)</f>
        <v>3</v>
      </c>
      <c r="P938" s="159">
        <f t="shared" si="163"/>
        <v>2014</v>
      </c>
      <c r="Q938" s="159">
        <f t="shared" si="164"/>
        <v>8</v>
      </c>
      <c r="R938" s="160">
        <f t="shared" si="165"/>
        <v>1.5333333334419876</v>
      </c>
      <c r="S938" s="158">
        <f t="shared" si="166"/>
        <v>5.8974358978537984E-2</v>
      </c>
      <c r="T938" s="161">
        <f t="shared" si="167"/>
        <v>28.130769232762617</v>
      </c>
      <c r="U938" s="158">
        <f t="shared" si="169"/>
        <v>18.346153846153847</v>
      </c>
      <c r="V938" s="160">
        <f t="shared" si="168"/>
        <v>18</v>
      </c>
    </row>
    <row r="939" spans="1:22" x14ac:dyDescent="0.25">
      <c r="A939" s="98" t="s">
        <v>26</v>
      </c>
      <c r="B939" s="98" t="s">
        <v>17</v>
      </c>
      <c r="C939" s="98">
        <v>40</v>
      </c>
      <c r="D939" s="98">
        <v>340</v>
      </c>
      <c r="E939" s="157">
        <v>41874.761111111111</v>
      </c>
      <c r="F939" s="157">
        <v>41874.947916666664</v>
      </c>
      <c r="G939" s="98">
        <v>460</v>
      </c>
      <c r="H939" s="98">
        <v>520</v>
      </c>
      <c r="I939" s="98">
        <v>477</v>
      </c>
      <c r="J939" s="98" t="s">
        <v>1970</v>
      </c>
      <c r="K939" s="98" t="s">
        <v>2319</v>
      </c>
      <c r="L939" s="105" t="str">
        <f t="shared" si="160"/>
        <v>Ghent</v>
      </c>
      <c r="M939" s="105" t="str">
        <f t="shared" si="161"/>
        <v>Derate</v>
      </c>
      <c r="N939" s="105" t="str">
        <f t="shared" si="162"/>
        <v>Coal</v>
      </c>
      <c r="O939" s="105">
        <f>IFERROR(VLOOKUP(A939,Lookup!$J$5:$P$19,7,FALSE),0)</f>
        <v>3</v>
      </c>
      <c r="P939" s="159">
        <f t="shared" si="163"/>
        <v>2014</v>
      </c>
      <c r="Q939" s="159">
        <f t="shared" si="164"/>
        <v>8</v>
      </c>
      <c r="R939" s="160">
        <f t="shared" si="165"/>
        <v>4.4833333332790062</v>
      </c>
      <c r="S939" s="158">
        <f t="shared" si="166"/>
        <v>0.51730769230142382</v>
      </c>
      <c r="T939" s="161">
        <f t="shared" si="167"/>
        <v>246.75576922777915</v>
      </c>
      <c r="U939" s="158">
        <f t="shared" si="169"/>
        <v>55.03846153846154</v>
      </c>
      <c r="V939" s="160">
        <f t="shared" si="168"/>
        <v>55</v>
      </c>
    </row>
    <row r="940" spans="1:22" x14ac:dyDescent="0.25">
      <c r="A940" s="98" t="s">
        <v>26</v>
      </c>
      <c r="B940" s="98" t="s">
        <v>17</v>
      </c>
      <c r="C940" s="98">
        <v>41</v>
      </c>
      <c r="D940" s="98">
        <v>9650</v>
      </c>
      <c r="E940" s="157">
        <v>41875.820833333331</v>
      </c>
      <c r="F940" s="157">
        <v>41875.837500000001</v>
      </c>
      <c r="G940" s="98">
        <v>500</v>
      </c>
      <c r="H940" s="98">
        <v>520</v>
      </c>
      <c r="I940" s="98">
        <v>477</v>
      </c>
      <c r="J940" s="98" t="s">
        <v>2035</v>
      </c>
      <c r="K940" s="98" t="s">
        <v>2320</v>
      </c>
      <c r="L940" s="105" t="str">
        <f t="shared" si="160"/>
        <v>Ghent</v>
      </c>
      <c r="M940" s="105" t="str">
        <f t="shared" si="161"/>
        <v>Derate</v>
      </c>
      <c r="N940" s="105" t="str">
        <f t="shared" si="162"/>
        <v>Coal</v>
      </c>
      <c r="O940" s="105">
        <f>IFERROR(VLOOKUP(A940,Lookup!$J$5:$P$19,7,FALSE),0)</f>
        <v>3</v>
      </c>
      <c r="P940" s="159">
        <f t="shared" si="163"/>
        <v>2014</v>
      </c>
      <c r="Q940" s="159">
        <f t="shared" si="164"/>
        <v>8</v>
      </c>
      <c r="R940" s="160">
        <f t="shared" si="165"/>
        <v>0.40000000008149073</v>
      </c>
      <c r="S940" s="158">
        <f t="shared" si="166"/>
        <v>1.5384615387749644E-2</v>
      </c>
      <c r="T940" s="161">
        <f t="shared" si="167"/>
        <v>7.3384615399565805</v>
      </c>
      <c r="U940" s="158">
        <f t="shared" si="169"/>
        <v>18.346153846153847</v>
      </c>
      <c r="V940" s="160">
        <f t="shared" si="168"/>
        <v>18</v>
      </c>
    </row>
    <row r="941" spans="1:22" x14ac:dyDescent="0.25">
      <c r="A941" s="98" t="s">
        <v>26</v>
      </c>
      <c r="B941" s="98" t="s">
        <v>17</v>
      </c>
      <c r="C941" s="98">
        <v>42</v>
      </c>
      <c r="D941" s="98">
        <v>1480</v>
      </c>
      <c r="E941" s="157">
        <v>41877.436111111114</v>
      </c>
      <c r="F941" s="157">
        <v>41877.5625</v>
      </c>
      <c r="G941" s="98">
        <v>500</v>
      </c>
      <c r="H941" s="98">
        <v>520</v>
      </c>
      <c r="I941" s="98">
        <v>477</v>
      </c>
      <c r="J941" s="98" t="s">
        <v>1972</v>
      </c>
      <c r="K941" s="98" t="s">
        <v>2321</v>
      </c>
      <c r="L941" s="105" t="str">
        <f t="shared" ref="L941:L2151" si="170">IF(OR(A941="BR1",A941="BR2",A941="BR3",A941="BR5",A941="BR6",A941="BR7",A941="BR8",A941="BR9",A941="BR10",A941="BR11"),"Brown",IF(OR(A941="CR4",A941="CR5",A941="CR6",A941="CR11"),"Cane Run",IF(OR(A941="GH1",A941="GH2",A941="GH3",A941="GH4"),"Ghent",IF(OR(A941="GR3",A941="GR4"),"Green River",IF(OR(A941="MC1",A941="MC2",A941="MC3",A941="MC4"),"Mill Creek",IF(OR(A941="TC1",A941="TC2",A941="TC5",A941="TC6",A941="TC7",A941="TC8",A941="TC9",A941="TC10"),"Trimble",IF(A941="TY3","Tyrone",IF(OR(A941="HA1",A941="HA2",A941="HA3"),"Haeflin",IF(OR(A941="PR11",A941="PR12",A941="PR13"),"Paddy's Run","Zorn")))))))))</f>
        <v>Ghent</v>
      </c>
      <c r="M941" s="105" t="str">
        <f t="shared" ref="M941:M2151" si="171">IF(OR(B941="D1",B941="D2",B941="D3",B941="D4",B941="PD"),"Derate",IF(OR(B941="SF",B941="U1",B941="U2",B941="U3"),"Outage",IF(OR(B941="ME",B941="MO"),"Maintenance","Other")))</f>
        <v>Derate</v>
      </c>
      <c r="N941" s="105" t="str">
        <f t="shared" ref="N941:N2151" si="172">IF(OR(A941="BR1",A941="BR2",A941="BR3",A941="CR4",A941="CR5",A941="CR6",A941="GH1",A941="GH2",A941="GH3",A941="GH4",A941="GR3",A941="GR4",A941="MC1",A941="MC2",A941="MC3",A941="MC4",A941="TC1",A941="TC2",A941="TY3"),"Coal","Gas")</f>
        <v>Coal</v>
      </c>
      <c r="O941" s="105">
        <f>IFERROR(VLOOKUP(A941,Lookup!$J$5:$P$19,7,FALSE),0)</f>
        <v>3</v>
      </c>
      <c r="P941" s="159">
        <f t="shared" ref="P941:P2151" si="173">YEAR(E941)</f>
        <v>2014</v>
      </c>
      <c r="Q941" s="159">
        <f t="shared" ref="Q941:Q2151" si="174">MONTH(E941)</f>
        <v>8</v>
      </c>
      <c r="R941" s="160">
        <f t="shared" ref="R941:R2151" si="175">(F941-E941)*24</f>
        <v>3.0333333332673647</v>
      </c>
      <c r="S941" s="158">
        <f t="shared" ref="S941:S2151" si="176">R941*(H941-G941)/H941</f>
        <v>0.11666666666412941</v>
      </c>
      <c r="T941" s="161">
        <f t="shared" ref="T941:T2151" si="177">S941*I941</f>
        <v>55.649999998789724</v>
      </c>
      <c r="U941" s="158">
        <f t="shared" si="169"/>
        <v>18.346153846153847</v>
      </c>
      <c r="V941" s="160">
        <f t="shared" ref="V941:V2151" si="178">ROUND(U941,0)</f>
        <v>18</v>
      </c>
    </row>
    <row r="942" spans="1:22" x14ac:dyDescent="0.25">
      <c r="A942" s="98" t="s">
        <v>26</v>
      </c>
      <c r="B942" s="98" t="s">
        <v>17</v>
      </c>
      <c r="C942" s="98">
        <v>43</v>
      </c>
      <c r="D942" s="98">
        <v>1190</v>
      </c>
      <c r="E942" s="162">
        <v>41877.5625</v>
      </c>
      <c r="F942" s="157">
        <v>41877.875</v>
      </c>
      <c r="G942" s="98">
        <v>450</v>
      </c>
      <c r="H942" s="98">
        <v>520</v>
      </c>
      <c r="I942" s="98">
        <v>477</v>
      </c>
      <c r="J942" s="98" t="s">
        <v>2007</v>
      </c>
      <c r="K942" s="98" t="s">
        <v>2322</v>
      </c>
      <c r="L942" s="105" t="str">
        <f t="shared" si="170"/>
        <v>Ghent</v>
      </c>
      <c r="M942" s="105" t="str">
        <f t="shared" si="171"/>
        <v>Derate</v>
      </c>
      <c r="N942" s="105" t="str">
        <f t="shared" si="172"/>
        <v>Coal</v>
      </c>
      <c r="O942" s="105">
        <f>IFERROR(VLOOKUP(A942,Lookup!$J$5:$P$19,7,FALSE),0)</f>
        <v>3</v>
      </c>
      <c r="P942" s="159">
        <f t="shared" si="173"/>
        <v>2014</v>
      </c>
      <c r="Q942" s="159">
        <f t="shared" si="174"/>
        <v>8</v>
      </c>
      <c r="R942" s="160">
        <f t="shared" si="175"/>
        <v>7.5</v>
      </c>
      <c r="S942" s="158">
        <f t="shared" si="176"/>
        <v>1.0096153846153846</v>
      </c>
      <c r="T942" s="161">
        <f t="shared" si="177"/>
        <v>481.58653846153845</v>
      </c>
      <c r="U942" s="158">
        <f t="shared" ref="U942:U2152" si="179">IF(G942&gt;0,MAX((H942-G942),0)*I942/H942,I942)</f>
        <v>64.211538461538467</v>
      </c>
      <c r="V942" s="160">
        <f t="shared" si="178"/>
        <v>64</v>
      </c>
    </row>
    <row r="943" spans="1:22" x14ac:dyDescent="0.25">
      <c r="A943" s="98" t="s">
        <v>26</v>
      </c>
      <c r="B943" s="98" t="s">
        <v>17</v>
      </c>
      <c r="C943" s="98">
        <v>44</v>
      </c>
      <c r="D943" s="98">
        <v>1190</v>
      </c>
      <c r="E943" s="157">
        <v>41877.875</v>
      </c>
      <c r="F943" s="157">
        <v>41878.0625</v>
      </c>
      <c r="G943" s="98">
        <v>200</v>
      </c>
      <c r="H943" s="98">
        <v>520</v>
      </c>
      <c r="I943" s="98">
        <v>477</v>
      </c>
      <c r="J943" s="98" t="s">
        <v>2007</v>
      </c>
      <c r="K943" s="98" t="s">
        <v>2323</v>
      </c>
      <c r="L943" s="105" t="str">
        <f t="shared" si="170"/>
        <v>Ghent</v>
      </c>
      <c r="M943" s="105" t="str">
        <f t="shared" si="171"/>
        <v>Derate</v>
      </c>
      <c r="N943" s="105" t="str">
        <f t="shared" si="172"/>
        <v>Coal</v>
      </c>
      <c r="O943" s="105">
        <f>IFERROR(VLOOKUP(A943,Lookup!$J$5:$P$19,7,FALSE),0)</f>
        <v>3</v>
      </c>
      <c r="P943" s="159">
        <f t="shared" si="173"/>
        <v>2014</v>
      </c>
      <c r="Q943" s="159">
        <f t="shared" si="174"/>
        <v>8</v>
      </c>
      <c r="R943" s="160">
        <f t="shared" si="175"/>
        <v>4.5</v>
      </c>
      <c r="S943" s="158">
        <f t="shared" si="176"/>
        <v>2.7692307692307692</v>
      </c>
      <c r="T943" s="161">
        <f t="shared" si="177"/>
        <v>1320.9230769230769</v>
      </c>
      <c r="U943" s="158">
        <f t="shared" si="179"/>
        <v>293.53846153846155</v>
      </c>
      <c r="V943" s="160">
        <f t="shared" si="178"/>
        <v>294</v>
      </c>
    </row>
    <row r="944" spans="1:22" x14ac:dyDescent="0.25">
      <c r="A944" s="98" t="s">
        <v>26</v>
      </c>
      <c r="B944" s="98" t="s">
        <v>17</v>
      </c>
      <c r="C944" s="98">
        <v>45</v>
      </c>
      <c r="D944" s="98">
        <v>320</v>
      </c>
      <c r="E944" s="157">
        <v>41883.658333333333</v>
      </c>
      <c r="F944" s="157">
        <v>41883.71875</v>
      </c>
      <c r="G944" s="98">
        <v>460</v>
      </c>
      <c r="H944" s="98">
        <v>520</v>
      </c>
      <c r="I944" s="98">
        <v>477</v>
      </c>
      <c r="J944" s="98" t="s">
        <v>1992</v>
      </c>
      <c r="K944" s="98" t="s">
        <v>2324</v>
      </c>
      <c r="L944" s="105" t="str">
        <f t="shared" si="170"/>
        <v>Ghent</v>
      </c>
      <c r="M944" s="105" t="str">
        <f t="shared" si="171"/>
        <v>Derate</v>
      </c>
      <c r="N944" s="105" t="str">
        <f t="shared" si="172"/>
        <v>Coal</v>
      </c>
      <c r="O944" s="105">
        <f>IFERROR(VLOOKUP(A944,Lookup!$J$5:$P$19,7,FALSE),0)</f>
        <v>3</v>
      </c>
      <c r="P944" s="159">
        <f t="shared" si="173"/>
        <v>2014</v>
      </c>
      <c r="Q944" s="159">
        <f t="shared" si="174"/>
        <v>9</v>
      </c>
      <c r="R944" s="160">
        <f t="shared" si="175"/>
        <v>1.4500000000116415</v>
      </c>
      <c r="S944" s="158">
        <f t="shared" si="176"/>
        <v>0.16730769230903556</v>
      </c>
      <c r="T944" s="161">
        <f t="shared" si="177"/>
        <v>79.805769231409954</v>
      </c>
      <c r="U944" s="158">
        <f t="shared" si="179"/>
        <v>55.03846153846154</v>
      </c>
      <c r="V944" s="160">
        <f t="shared" si="178"/>
        <v>55</v>
      </c>
    </row>
    <row r="945" spans="1:22" x14ac:dyDescent="0.25">
      <c r="A945" s="98" t="s">
        <v>26</v>
      </c>
      <c r="B945" s="98" t="s">
        <v>17</v>
      </c>
      <c r="C945" s="98">
        <v>46</v>
      </c>
      <c r="D945" s="98">
        <v>9650</v>
      </c>
      <c r="E945" s="157">
        <v>41886.71875</v>
      </c>
      <c r="F945" s="157">
        <v>41886.836111111108</v>
      </c>
      <c r="G945" s="98">
        <v>200</v>
      </c>
      <c r="H945" s="98">
        <v>520</v>
      </c>
      <c r="I945" s="98">
        <v>477</v>
      </c>
      <c r="J945" s="98" t="s">
        <v>2035</v>
      </c>
      <c r="K945" s="98" t="s">
        <v>2325</v>
      </c>
      <c r="L945" s="105" t="str">
        <f t="shared" si="170"/>
        <v>Ghent</v>
      </c>
      <c r="M945" s="105" t="str">
        <f t="shared" si="171"/>
        <v>Derate</v>
      </c>
      <c r="N945" s="105" t="str">
        <f t="shared" si="172"/>
        <v>Coal</v>
      </c>
      <c r="O945" s="105">
        <f>IFERROR(VLOOKUP(A945,Lookup!$J$5:$P$19,7,FALSE),0)</f>
        <v>3</v>
      </c>
      <c r="P945" s="159">
        <f t="shared" si="173"/>
        <v>2014</v>
      </c>
      <c r="Q945" s="159">
        <f t="shared" si="174"/>
        <v>9</v>
      </c>
      <c r="R945" s="160">
        <f t="shared" si="175"/>
        <v>2.816666666592937</v>
      </c>
      <c r="S945" s="158">
        <f t="shared" si="176"/>
        <v>1.7333333332879612</v>
      </c>
      <c r="T945" s="161">
        <f t="shared" si="177"/>
        <v>826.7999999783575</v>
      </c>
      <c r="U945" s="158">
        <f t="shared" si="179"/>
        <v>293.53846153846155</v>
      </c>
      <c r="V945" s="160">
        <f t="shared" si="178"/>
        <v>294</v>
      </c>
    </row>
    <row r="946" spans="1:22" x14ac:dyDescent="0.25">
      <c r="A946" s="98" t="s">
        <v>26</v>
      </c>
      <c r="B946" s="98" t="s">
        <v>32</v>
      </c>
      <c r="C946" s="98">
        <v>47</v>
      </c>
      <c r="D946" s="98">
        <v>250</v>
      </c>
      <c r="E946" s="157">
        <v>41894.508333333331</v>
      </c>
      <c r="F946" s="157">
        <v>41894.585416666669</v>
      </c>
      <c r="G946" s="98">
        <v>500</v>
      </c>
      <c r="H946" s="98">
        <v>520</v>
      </c>
      <c r="I946" s="98">
        <v>477</v>
      </c>
      <c r="J946" s="98" t="s">
        <v>1978</v>
      </c>
      <c r="K946" s="98" t="s">
        <v>2326</v>
      </c>
      <c r="L946" s="105" t="str">
        <f t="shared" si="170"/>
        <v>Ghent</v>
      </c>
      <c r="M946" s="105" t="str">
        <f t="shared" si="171"/>
        <v>Derate</v>
      </c>
      <c r="N946" s="105" t="str">
        <f t="shared" si="172"/>
        <v>Coal</v>
      </c>
      <c r="O946" s="105">
        <f>IFERROR(VLOOKUP(A946,Lookup!$J$5:$P$19,7,FALSE),0)</f>
        <v>3</v>
      </c>
      <c r="P946" s="159">
        <f t="shared" si="173"/>
        <v>2014</v>
      </c>
      <c r="Q946" s="159">
        <f t="shared" si="174"/>
        <v>9</v>
      </c>
      <c r="R946" s="160">
        <f t="shared" si="175"/>
        <v>1.8500000000931323</v>
      </c>
      <c r="S946" s="158">
        <f t="shared" si="176"/>
        <v>7.1153846157428161E-2</v>
      </c>
      <c r="T946" s="161">
        <f t="shared" si="177"/>
        <v>33.94038461709323</v>
      </c>
      <c r="U946" s="158">
        <f t="shared" si="179"/>
        <v>18.346153846153847</v>
      </c>
      <c r="V946" s="160">
        <f t="shared" si="178"/>
        <v>18</v>
      </c>
    </row>
    <row r="947" spans="1:22" x14ac:dyDescent="0.25">
      <c r="A947" s="98" t="s">
        <v>26</v>
      </c>
      <c r="B947" s="98" t="s">
        <v>17</v>
      </c>
      <c r="C947" s="98">
        <v>48</v>
      </c>
      <c r="D947" s="98">
        <v>344</v>
      </c>
      <c r="E947" s="157">
        <v>41899.524305555555</v>
      </c>
      <c r="F947" s="157">
        <v>41899.645833333336</v>
      </c>
      <c r="G947" s="98">
        <v>420</v>
      </c>
      <c r="H947" s="98">
        <v>520</v>
      </c>
      <c r="I947" s="98">
        <v>477</v>
      </c>
      <c r="J947" s="98" t="s">
        <v>1968</v>
      </c>
      <c r="K947" s="98" t="s">
        <v>2327</v>
      </c>
      <c r="L947" s="105" t="str">
        <f t="shared" si="170"/>
        <v>Ghent</v>
      </c>
      <c r="M947" s="105" t="str">
        <f t="shared" si="171"/>
        <v>Derate</v>
      </c>
      <c r="N947" s="105" t="str">
        <f t="shared" si="172"/>
        <v>Coal</v>
      </c>
      <c r="O947" s="105">
        <f>IFERROR(VLOOKUP(A947,Lookup!$J$5:$P$19,7,FALSE),0)</f>
        <v>3</v>
      </c>
      <c r="P947" s="159">
        <f t="shared" si="173"/>
        <v>2014</v>
      </c>
      <c r="Q947" s="159">
        <f t="shared" si="174"/>
        <v>9</v>
      </c>
      <c r="R947" s="160">
        <f t="shared" si="175"/>
        <v>2.9166666667442769</v>
      </c>
      <c r="S947" s="158">
        <f t="shared" si="176"/>
        <v>0.56089743591236096</v>
      </c>
      <c r="T947" s="161">
        <f t="shared" si="177"/>
        <v>267.5480769301962</v>
      </c>
      <c r="U947" s="158">
        <f t="shared" si="179"/>
        <v>91.730769230769226</v>
      </c>
      <c r="V947" s="160">
        <f t="shared" si="178"/>
        <v>92</v>
      </c>
    </row>
    <row r="948" spans="1:22" x14ac:dyDescent="0.25">
      <c r="A948" s="98" t="s">
        <v>26</v>
      </c>
      <c r="B948" s="98" t="s">
        <v>17</v>
      </c>
      <c r="C948" s="98">
        <v>49</v>
      </c>
      <c r="D948" s="98">
        <v>9210</v>
      </c>
      <c r="E948" s="157">
        <v>41899.645833333336</v>
      </c>
      <c r="F948" s="157">
        <v>41899.960416666669</v>
      </c>
      <c r="G948" s="98">
        <v>450</v>
      </c>
      <c r="H948" s="98">
        <v>520</v>
      </c>
      <c r="I948" s="98">
        <v>477</v>
      </c>
      <c r="J948" s="98" t="s">
        <v>2305</v>
      </c>
      <c r="K948" s="98" t="s">
        <v>2328</v>
      </c>
      <c r="L948" s="105" t="str">
        <f t="shared" si="170"/>
        <v>Ghent</v>
      </c>
      <c r="M948" s="105" t="str">
        <f t="shared" si="171"/>
        <v>Derate</v>
      </c>
      <c r="N948" s="105" t="str">
        <f t="shared" si="172"/>
        <v>Coal</v>
      </c>
      <c r="O948" s="105">
        <f>IFERROR(VLOOKUP(A948,Lookup!$J$5:$P$19,7,FALSE),0)</f>
        <v>3</v>
      </c>
      <c r="P948" s="159">
        <f t="shared" si="173"/>
        <v>2014</v>
      </c>
      <c r="Q948" s="159">
        <f t="shared" si="174"/>
        <v>9</v>
      </c>
      <c r="R948" s="160">
        <f t="shared" si="175"/>
        <v>7.5499999999883585</v>
      </c>
      <c r="S948" s="158">
        <f t="shared" si="176"/>
        <v>1.0163461538445868</v>
      </c>
      <c r="T948" s="161">
        <f t="shared" si="177"/>
        <v>484.79711538386789</v>
      </c>
      <c r="U948" s="158">
        <f t="shared" si="179"/>
        <v>64.211538461538467</v>
      </c>
      <c r="V948" s="160">
        <f t="shared" si="178"/>
        <v>64</v>
      </c>
    </row>
    <row r="949" spans="1:22" x14ac:dyDescent="0.25">
      <c r="A949" s="98" t="s">
        <v>26</v>
      </c>
      <c r="B949" s="98" t="s">
        <v>17</v>
      </c>
      <c r="C949" s="98">
        <v>50</v>
      </c>
      <c r="D949" s="98">
        <v>250</v>
      </c>
      <c r="E949" s="157">
        <v>41903.810416666667</v>
      </c>
      <c r="F949" s="157">
        <v>41903.861805555556</v>
      </c>
      <c r="G949" s="98">
        <v>480</v>
      </c>
      <c r="H949" s="98">
        <v>520</v>
      </c>
      <c r="I949" s="98">
        <v>477</v>
      </c>
      <c r="J949" s="98" t="s">
        <v>1978</v>
      </c>
      <c r="K949" s="98" t="s">
        <v>2329</v>
      </c>
      <c r="L949" s="105" t="str">
        <f t="shared" si="170"/>
        <v>Ghent</v>
      </c>
      <c r="M949" s="105" t="str">
        <f t="shared" si="171"/>
        <v>Derate</v>
      </c>
      <c r="N949" s="105" t="str">
        <f t="shared" si="172"/>
        <v>Coal</v>
      </c>
      <c r="O949" s="105">
        <f>IFERROR(VLOOKUP(A949,Lookup!$J$5:$P$19,7,FALSE),0)</f>
        <v>3</v>
      </c>
      <c r="P949" s="159">
        <f t="shared" si="173"/>
        <v>2014</v>
      </c>
      <c r="Q949" s="159">
        <f t="shared" si="174"/>
        <v>9</v>
      </c>
      <c r="R949" s="160">
        <f t="shared" si="175"/>
        <v>1.2333333333372138</v>
      </c>
      <c r="S949" s="158">
        <f t="shared" si="176"/>
        <v>9.4871794872093379E-2</v>
      </c>
      <c r="T949" s="161">
        <f t="shared" si="177"/>
        <v>45.25384615398854</v>
      </c>
      <c r="U949" s="158">
        <f t="shared" si="179"/>
        <v>36.692307692307693</v>
      </c>
      <c r="V949" s="160">
        <f t="shared" si="178"/>
        <v>37</v>
      </c>
    </row>
    <row r="950" spans="1:22" x14ac:dyDescent="0.25">
      <c r="A950" s="98" t="s">
        <v>26</v>
      </c>
      <c r="B950" s="98" t="s">
        <v>17</v>
      </c>
      <c r="C950" s="98">
        <v>51</v>
      </c>
      <c r="D950" s="98">
        <v>253</v>
      </c>
      <c r="E950" s="157">
        <v>41912.212500000001</v>
      </c>
      <c r="F950" s="157">
        <v>41912.3125</v>
      </c>
      <c r="G950" s="98">
        <v>460</v>
      </c>
      <c r="H950" s="98">
        <v>520</v>
      </c>
      <c r="I950" s="98">
        <v>477</v>
      </c>
      <c r="J950" s="98" t="s">
        <v>1999</v>
      </c>
      <c r="K950" s="98" t="s">
        <v>2330</v>
      </c>
      <c r="L950" s="105" t="str">
        <f t="shared" si="170"/>
        <v>Ghent</v>
      </c>
      <c r="M950" s="105" t="str">
        <f t="shared" si="171"/>
        <v>Derate</v>
      </c>
      <c r="N950" s="105" t="str">
        <f t="shared" si="172"/>
        <v>Coal</v>
      </c>
      <c r="O950" s="105">
        <f>IFERROR(VLOOKUP(A950,Lookup!$J$5:$P$19,7,FALSE),0)</f>
        <v>3</v>
      </c>
      <c r="P950" s="159">
        <f t="shared" si="173"/>
        <v>2014</v>
      </c>
      <c r="Q950" s="159">
        <f t="shared" si="174"/>
        <v>9</v>
      </c>
      <c r="R950" s="160">
        <f t="shared" si="175"/>
        <v>2.3999999999650754</v>
      </c>
      <c r="S950" s="158">
        <f t="shared" si="176"/>
        <v>0.27692307691904716</v>
      </c>
      <c r="T950" s="161">
        <f t="shared" si="177"/>
        <v>132.0923076903855</v>
      </c>
      <c r="U950" s="158">
        <f t="shared" si="179"/>
        <v>55.03846153846154</v>
      </c>
      <c r="V950" s="160">
        <f t="shared" si="178"/>
        <v>55</v>
      </c>
    </row>
    <row r="951" spans="1:22" x14ac:dyDescent="0.25">
      <c r="A951" s="98" t="s">
        <v>26</v>
      </c>
      <c r="B951" s="98" t="s">
        <v>17</v>
      </c>
      <c r="C951" s="98">
        <v>52</v>
      </c>
      <c r="D951" s="98">
        <v>250</v>
      </c>
      <c r="E951" s="157">
        <v>41916.477777777778</v>
      </c>
      <c r="F951" s="157">
        <v>41916.561111111114</v>
      </c>
      <c r="G951" s="98">
        <v>485</v>
      </c>
      <c r="H951" s="98">
        <v>520</v>
      </c>
      <c r="I951" s="98">
        <v>477</v>
      </c>
      <c r="J951" s="98" t="s">
        <v>1978</v>
      </c>
      <c r="K951" s="98" t="s">
        <v>2331</v>
      </c>
      <c r="L951" s="105" t="str">
        <f t="shared" si="170"/>
        <v>Ghent</v>
      </c>
      <c r="M951" s="105" t="str">
        <f t="shared" si="171"/>
        <v>Derate</v>
      </c>
      <c r="N951" s="105" t="str">
        <f t="shared" si="172"/>
        <v>Coal</v>
      </c>
      <c r="O951" s="105">
        <f>IFERROR(VLOOKUP(A951,Lookup!$J$5:$P$19,7,FALSE),0)</f>
        <v>3</v>
      </c>
      <c r="P951" s="159">
        <f t="shared" si="173"/>
        <v>2014</v>
      </c>
      <c r="Q951" s="159">
        <f t="shared" si="174"/>
        <v>10</v>
      </c>
      <c r="R951" s="160">
        <f t="shared" si="175"/>
        <v>2.0000000000582077</v>
      </c>
      <c r="S951" s="158">
        <f t="shared" si="176"/>
        <v>0.13461538461930245</v>
      </c>
      <c r="T951" s="161">
        <f t="shared" si="177"/>
        <v>64.211538463407265</v>
      </c>
      <c r="U951" s="158">
        <f t="shared" si="179"/>
        <v>32.105769230769234</v>
      </c>
      <c r="V951" s="160">
        <f t="shared" si="178"/>
        <v>32</v>
      </c>
    </row>
    <row r="952" spans="1:22" x14ac:dyDescent="0.25">
      <c r="A952" s="98" t="s">
        <v>26</v>
      </c>
      <c r="B952" s="98" t="s">
        <v>17</v>
      </c>
      <c r="C952" s="98">
        <v>53</v>
      </c>
      <c r="D952" s="98">
        <v>340</v>
      </c>
      <c r="E952" s="157">
        <v>41917.679166666669</v>
      </c>
      <c r="F952" s="157">
        <v>41917.772916666669</v>
      </c>
      <c r="G952" s="98">
        <v>480</v>
      </c>
      <c r="H952" s="98">
        <v>520</v>
      </c>
      <c r="I952" s="98">
        <v>477</v>
      </c>
      <c r="J952" s="98" t="s">
        <v>1970</v>
      </c>
      <c r="K952" s="98" t="s">
        <v>2332</v>
      </c>
      <c r="L952" s="105" t="str">
        <f t="shared" si="170"/>
        <v>Ghent</v>
      </c>
      <c r="M952" s="105" t="str">
        <f t="shared" si="171"/>
        <v>Derate</v>
      </c>
      <c r="N952" s="105" t="str">
        <f t="shared" si="172"/>
        <v>Coal</v>
      </c>
      <c r="O952" s="105">
        <f>IFERROR(VLOOKUP(A952,Lookup!$J$5:$P$19,7,FALSE),0)</f>
        <v>3</v>
      </c>
      <c r="P952" s="159">
        <f t="shared" si="173"/>
        <v>2014</v>
      </c>
      <c r="Q952" s="159">
        <f t="shared" si="174"/>
        <v>10</v>
      </c>
      <c r="R952" s="160">
        <f t="shared" si="175"/>
        <v>2.25</v>
      </c>
      <c r="S952" s="158">
        <f t="shared" si="176"/>
        <v>0.17307692307692307</v>
      </c>
      <c r="T952" s="161">
        <f t="shared" si="177"/>
        <v>82.557692307692307</v>
      </c>
      <c r="U952" s="158">
        <f t="shared" si="179"/>
        <v>36.692307692307693</v>
      </c>
      <c r="V952" s="160">
        <f t="shared" si="178"/>
        <v>37</v>
      </c>
    </row>
    <row r="953" spans="1:22" x14ac:dyDescent="0.25">
      <c r="A953" s="98" t="s">
        <v>26</v>
      </c>
      <c r="B953" s="98" t="s">
        <v>32</v>
      </c>
      <c r="C953" s="98">
        <v>54</v>
      </c>
      <c r="D953" s="98">
        <v>250</v>
      </c>
      <c r="E953" s="157">
        <v>41923.916666666664</v>
      </c>
      <c r="F953" s="157">
        <v>41923.976388888892</v>
      </c>
      <c r="G953" s="98">
        <v>460</v>
      </c>
      <c r="H953" s="98">
        <v>520</v>
      </c>
      <c r="I953" s="98">
        <v>477</v>
      </c>
      <c r="J953" s="98" t="s">
        <v>1978</v>
      </c>
      <c r="K953" s="98" t="s">
        <v>2333</v>
      </c>
      <c r="L953" s="105" t="str">
        <f t="shared" si="170"/>
        <v>Ghent</v>
      </c>
      <c r="M953" s="105" t="str">
        <f t="shared" si="171"/>
        <v>Derate</v>
      </c>
      <c r="N953" s="105" t="str">
        <f t="shared" si="172"/>
        <v>Coal</v>
      </c>
      <c r="O953" s="105">
        <f>IFERROR(VLOOKUP(A953,Lookup!$J$5:$P$19,7,FALSE),0)</f>
        <v>3</v>
      </c>
      <c r="P953" s="159">
        <f t="shared" si="173"/>
        <v>2014</v>
      </c>
      <c r="Q953" s="159">
        <f t="shared" si="174"/>
        <v>10</v>
      </c>
      <c r="R953" s="160">
        <f t="shared" si="175"/>
        <v>1.4333333334652707</v>
      </c>
      <c r="S953" s="158">
        <f t="shared" si="176"/>
        <v>0.16538461539983892</v>
      </c>
      <c r="T953" s="161">
        <f t="shared" si="177"/>
        <v>78.88846154572316</v>
      </c>
      <c r="U953" s="158">
        <f t="shared" si="179"/>
        <v>55.03846153846154</v>
      </c>
      <c r="V953" s="160">
        <f t="shared" si="178"/>
        <v>55</v>
      </c>
    </row>
    <row r="954" spans="1:22" x14ac:dyDescent="0.25">
      <c r="A954" s="98" t="s">
        <v>26</v>
      </c>
      <c r="B954" s="98" t="s">
        <v>32</v>
      </c>
      <c r="C954" s="98">
        <v>55</v>
      </c>
      <c r="D954" s="98">
        <v>344</v>
      </c>
      <c r="E954" s="157">
        <v>41923.976388888892</v>
      </c>
      <c r="F954" s="157">
        <v>41924.059027777781</v>
      </c>
      <c r="G954" s="98">
        <v>460</v>
      </c>
      <c r="H954" s="98">
        <v>520</v>
      </c>
      <c r="I954" s="98">
        <v>477</v>
      </c>
      <c r="J954" s="98" t="s">
        <v>1968</v>
      </c>
      <c r="K954" s="98" t="s">
        <v>2334</v>
      </c>
      <c r="L954" s="105" t="str">
        <f t="shared" si="170"/>
        <v>Ghent</v>
      </c>
      <c r="M954" s="105" t="str">
        <f t="shared" si="171"/>
        <v>Derate</v>
      </c>
      <c r="N954" s="105" t="str">
        <f t="shared" si="172"/>
        <v>Coal</v>
      </c>
      <c r="O954" s="105">
        <f>IFERROR(VLOOKUP(A954,Lookup!$J$5:$P$19,7,FALSE),0)</f>
        <v>3</v>
      </c>
      <c r="P954" s="159">
        <f t="shared" si="173"/>
        <v>2014</v>
      </c>
      <c r="Q954" s="159">
        <f t="shared" si="174"/>
        <v>10</v>
      </c>
      <c r="R954" s="160">
        <f t="shared" si="175"/>
        <v>1.9833333333372138</v>
      </c>
      <c r="S954" s="158">
        <f t="shared" si="176"/>
        <v>0.22884615384660159</v>
      </c>
      <c r="T954" s="161">
        <f t="shared" si="177"/>
        <v>109.15961538482895</v>
      </c>
      <c r="U954" s="158">
        <f t="shared" si="179"/>
        <v>55.03846153846154</v>
      </c>
      <c r="V954" s="160">
        <f t="shared" si="178"/>
        <v>55</v>
      </c>
    </row>
    <row r="955" spans="1:22" x14ac:dyDescent="0.25">
      <c r="A955" s="98" t="s">
        <v>26</v>
      </c>
      <c r="B955" s="98" t="s">
        <v>17</v>
      </c>
      <c r="C955" s="98">
        <v>56</v>
      </c>
      <c r="D955" s="98">
        <v>340</v>
      </c>
      <c r="E955" s="157">
        <v>41926.21875</v>
      </c>
      <c r="F955" s="157">
        <v>41926.257638888892</v>
      </c>
      <c r="G955" s="98">
        <v>450</v>
      </c>
      <c r="H955" s="98">
        <v>520</v>
      </c>
      <c r="I955" s="98">
        <v>477</v>
      </c>
      <c r="J955" s="98" t="s">
        <v>1970</v>
      </c>
      <c r="K955" s="98" t="s">
        <v>2335</v>
      </c>
      <c r="L955" s="105" t="str">
        <f t="shared" si="170"/>
        <v>Ghent</v>
      </c>
      <c r="M955" s="105" t="str">
        <f t="shared" si="171"/>
        <v>Derate</v>
      </c>
      <c r="N955" s="105" t="str">
        <f t="shared" si="172"/>
        <v>Coal</v>
      </c>
      <c r="O955" s="105">
        <f>IFERROR(VLOOKUP(A955,Lookup!$J$5:$P$19,7,FALSE),0)</f>
        <v>3</v>
      </c>
      <c r="P955" s="159">
        <f t="shared" si="173"/>
        <v>2014</v>
      </c>
      <c r="Q955" s="159">
        <f t="shared" si="174"/>
        <v>10</v>
      </c>
      <c r="R955" s="160">
        <f t="shared" si="175"/>
        <v>0.93333333340706304</v>
      </c>
      <c r="S955" s="158">
        <f t="shared" si="176"/>
        <v>0.12564102565095078</v>
      </c>
      <c r="T955" s="161">
        <f t="shared" si="177"/>
        <v>59.930769235503526</v>
      </c>
      <c r="U955" s="158">
        <f t="shared" si="179"/>
        <v>64.211538461538467</v>
      </c>
      <c r="V955" s="160">
        <f t="shared" si="178"/>
        <v>64</v>
      </c>
    </row>
    <row r="956" spans="1:22" x14ac:dyDescent="0.25">
      <c r="A956" s="98" t="s">
        <v>26</v>
      </c>
      <c r="B956" s="98" t="s">
        <v>32</v>
      </c>
      <c r="C956" s="98">
        <v>57</v>
      </c>
      <c r="D956" s="98">
        <v>340</v>
      </c>
      <c r="E956" s="157">
        <v>41926.916666666664</v>
      </c>
      <c r="F956" s="157">
        <v>41926.991666666669</v>
      </c>
      <c r="G956" s="98">
        <v>460</v>
      </c>
      <c r="H956" s="98">
        <v>520</v>
      </c>
      <c r="I956" s="98">
        <v>477</v>
      </c>
      <c r="J956" s="98" t="s">
        <v>1970</v>
      </c>
      <c r="K956" s="98" t="s">
        <v>2336</v>
      </c>
      <c r="L956" s="105" t="str">
        <f t="shared" si="170"/>
        <v>Ghent</v>
      </c>
      <c r="M956" s="105" t="str">
        <f t="shared" si="171"/>
        <v>Derate</v>
      </c>
      <c r="N956" s="105" t="str">
        <f t="shared" si="172"/>
        <v>Coal</v>
      </c>
      <c r="O956" s="105">
        <f>IFERROR(VLOOKUP(A956,Lookup!$J$5:$P$19,7,FALSE),0)</f>
        <v>3</v>
      </c>
      <c r="P956" s="159">
        <f t="shared" si="173"/>
        <v>2014</v>
      </c>
      <c r="Q956" s="159">
        <f t="shared" si="174"/>
        <v>10</v>
      </c>
      <c r="R956" s="160">
        <f t="shared" si="175"/>
        <v>1.8000000001047738</v>
      </c>
      <c r="S956" s="158">
        <f t="shared" si="176"/>
        <v>0.20769230770439698</v>
      </c>
      <c r="T956" s="161">
        <f t="shared" si="177"/>
        <v>99.069230774997365</v>
      </c>
      <c r="U956" s="158">
        <f t="shared" si="179"/>
        <v>55.03846153846154</v>
      </c>
      <c r="V956" s="160">
        <f t="shared" si="178"/>
        <v>55</v>
      </c>
    </row>
    <row r="957" spans="1:22" x14ac:dyDescent="0.25">
      <c r="A957" s="98" t="s">
        <v>26</v>
      </c>
      <c r="B957" s="98" t="s">
        <v>32</v>
      </c>
      <c r="C957" s="98">
        <v>58</v>
      </c>
      <c r="D957" s="98">
        <v>340</v>
      </c>
      <c r="E957" s="157">
        <v>41935.036805555559</v>
      </c>
      <c r="F957" s="157">
        <v>41935.074305555558</v>
      </c>
      <c r="G957" s="98">
        <v>460</v>
      </c>
      <c r="H957" s="98">
        <v>520</v>
      </c>
      <c r="I957" s="98">
        <v>477</v>
      </c>
      <c r="J957" s="98" t="s">
        <v>1970</v>
      </c>
      <c r="K957" s="98" t="s">
        <v>2337</v>
      </c>
      <c r="L957" s="105" t="str">
        <f t="shared" si="170"/>
        <v>Ghent</v>
      </c>
      <c r="M957" s="105" t="str">
        <f t="shared" si="171"/>
        <v>Derate</v>
      </c>
      <c r="N957" s="105" t="str">
        <f t="shared" si="172"/>
        <v>Coal</v>
      </c>
      <c r="O957" s="105">
        <f>IFERROR(VLOOKUP(A957,Lookup!$J$5:$P$19,7,FALSE),0)</f>
        <v>3</v>
      </c>
      <c r="P957" s="159">
        <f t="shared" si="173"/>
        <v>2014</v>
      </c>
      <c r="Q957" s="159">
        <f t="shared" si="174"/>
        <v>10</v>
      </c>
      <c r="R957" s="160">
        <f t="shared" si="175"/>
        <v>0.8999999999650754</v>
      </c>
      <c r="S957" s="158">
        <f t="shared" si="176"/>
        <v>0.10384615384212409</v>
      </c>
      <c r="T957" s="161">
        <f t="shared" si="177"/>
        <v>49.53461538269319</v>
      </c>
      <c r="U957" s="158">
        <f t="shared" si="179"/>
        <v>55.03846153846154</v>
      </c>
      <c r="V957" s="160">
        <f t="shared" si="178"/>
        <v>55</v>
      </c>
    </row>
    <row r="958" spans="1:22" x14ac:dyDescent="0.25">
      <c r="A958" s="98" t="s">
        <v>26</v>
      </c>
      <c r="B958" s="98" t="s">
        <v>17</v>
      </c>
      <c r="C958" s="98">
        <v>59</v>
      </c>
      <c r="D958" s="98">
        <v>9650</v>
      </c>
      <c r="E958" s="157">
        <v>41941.823611111111</v>
      </c>
      <c r="F958" s="157">
        <v>41941.850694444445</v>
      </c>
      <c r="G958" s="98">
        <v>450</v>
      </c>
      <c r="H958" s="98">
        <v>520</v>
      </c>
      <c r="I958" s="98">
        <v>477</v>
      </c>
      <c r="J958" s="98" t="s">
        <v>2035</v>
      </c>
      <c r="K958" s="98" t="s">
        <v>2338</v>
      </c>
      <c r="L958" s="105" t="str">
        <f t="shared" si="170"/>
        <v>Ghent</v>
      </c>
      <c r="M958" s="105" t="str">
        <f t="shared" si="171"/>
        <v>Derate</v>
      </c>
      <c r="N958" s="105" t="str">
        <f t="shared" si="172"/>
        <v>Coal</v>
      </c>
      <c r="O958" s="105">
        <f>IFERROR(VLOOKUP(A958,Lookup!$J$5:$P$19,7,FALSE),0)</f>
        <v>3</v>
      </c>
      <c r="P958" s="159">
        <f t="shared" si="173"/>
        <v>2014</v>
      </c>
      <c r="Q958" s="159">
        <f t="shared" si="174"/>
        <v>10</v>
      </c>
      <c r="R958" s="160">
        <f t="shared" si="175"/>
        <v>0.65000000002328306</v>
      </c>
      <c r="S958" s="158">
        <f t="shared" si="176"/>
        <v>8.7500000003134265E-2</v>
      </c>
      <c r="T958" s="161">
        <f t="shared" si="177"/>
        <v>41.737500001495043</v>
      </c>
      <c r="U958" s="158">
        <f t="shared" si="179"/>
        <v>64.211538461538467</v>
      </c>
      <c r="V958" s="160">
        <f t="shared" si="178"/>
        <v>64</v>
      </c>
    </row>
    <row r="959" spans="1:22" x14ac:dyDescent="0.25">
      <c r="A959" s="98" t="s">
        <v>26</v>
      </c>
      <c r="B959" s="98" t="s">
        <v>17</v>
      </c>
      <c r="C959" s="98">
        <v>60</v>
      </c>
      <c r="D959" s="98">
        <v>1160</v>
      </c>
      <c r="E959" s="157">
        <v>41943.155555555553</v>
      </c>
      <c r="F959" s="157">
        <v>41945.166666666664</v>
      </c>
      <c r="G959" s="98">
        <v>338</v>
      </c>
      <c r="H959" s="98">
        <v>520</v>
      </c>
      <c r="I959" s="98">
        <v>477</v>
      </c>
      <c r="J959" s="98" t="s">
        <v>2273</v>
      </c>
      <c r="K959" s="98" t="s">
        <v>2339</v>
      </c>
      <c r="L959" s="105" t="str">
        <f t="shared" si="170"/>
        <v>Ghent</v>
      </c>
      <c r="M959" s="105" t="str">
        <f t="shared" si="171"/>
        <v>Derate</v>
      </c>
      <c r="N959" s="105" t="str">
        <f t="shared" si="172"/>
        <v>Coal</v>
      </c>
      <c r="O959" s="105">
        <f>IFERROR(VLOOKUP(A959,Lookup!$J$5:$P$19,7,FALSE),0)</f>
        <v>3</v>
      </c>
      <c r="P959" s="159">
        <f t="shared" si="173"/>
        <v>2014</v>
      </c>
      <c r="Q959" s="159">
        <f t="shared" si="174"/>
        <v>10</v>
      </c>
      <c r="R959" s="160">
        <f t="shared" si="175"/>
        <v>48.266666666662786</v>
      </c>
      <c r="S959" s="158">
        <f t="shared" si="176"/>
        <v>16.893333333331974</v>
      </c>
      <c r="T959" s="161">
        <f t="shared" si="177"/>
        <v>8058.1199999993514</v>
      </c>
      <c r="U959" s="158">
        <f t="shared" si="179"/>
        <v>166.95</v>
      </c>
      <c r="V959" s="160">
        <f t="shared" si="178"/>
        <v>167</v>
      </c>
    </row>
    <row r="960" spans="1:22" x14ac:dyDescent="0.25">
      <c r="A960" s="98" t="s">
        <v>26</v>
      </c>
      <c r="B960" s="98" t="s">
        <v>17</v>
      </c>
      <c r="C960" s="98">
        <v>61</v>
      </c>
      <c r="D960" s="98">
        <v>340</v>
      </c>
      <c r="E960" s="157">
        <v>41949.138194444444</v>
      </c>
      <c r="F960" s="157">
        <v>41949.482638888891</v>
      </c>
      <c r="G960" s="98">
        <v>450</v>
      </c>
      <c r="H960" s="98">
        <v>520</v>
      </c>
      <c r="I960" s="98">
        <v>477</v>
      </c>
      <c r="J960" s="98" t="s">
        <v>1970</v>
      </c>
      <c r="K960" s="98" t="s">
        <v>2340</v>
      </c>
      <c r="L960" s="105" t="str">
        <f t="shared" si="170"/>
        <v>Ghent</v>
      </c>
      <c r="M960" s="105" t="str">
        <f t="shared" si="171"/>
        <v>Derate</v>
      </c>
      <c r="N960" s="105" t="str">
        <f t="shared" si="172"/>
        <v>Coal</v>
      </c>
      <c r="O960" s="105">
        <f>IFERROR(VLOOKUP(A960,Lookup!$J$5:$P$19,7,FALSE),0)</f>
        <v>3</v>
      </c>
      <c r="P960" s="159">
        <f t="shared" si="173"/>
        <v>2014</v>
      </c>
      <c r="Q960" s="159">
        <f t="shared" si="174"/>
        <v>11</v>
      </c>
      <c r="R960" s="160">
        <f t="shared" si="175"/>
        <v>8.2666666667209938</v>
      </c>
      <c r="S960" s="158">
        <f t="shared" si="176"/>
        <v>1.1128205128278261</v>
      </c>
      <c r="T960" s="161">
        <f t="shared" si="177"/>
        <v>530.81538461887305</v>
      </c>
      <c r="U960" s="158">
        <f t="shared" si="179"/>
        <v>64.211538461538467</v>
      </c>
      <c r="V960" s="160">
        <f t="shared" si="178"/>
        <v>64</v>
      </c>
    </row>
    <row r="961" spans="1:22" x14ac:dyDescent="0.25">
      <c r="A961" s="98" t="s">
        <v>26</v>
      </c>
      <c r="B961" s="98" t="s">
        <v>17</v>
      </c>
      <c r="C961" s="98">
        <v>62</v>
      </c>
      <c r="D961" s="98">
        <v>344</v>
      </c>
      <c r="E961" s="157">
        <v>41956.958333333336</v>
      </c>
      <c r="F961" s="157">
        <v>41957</v>
      </c>
      <c r="G961" s="98">
        <v>460</v>
      </c>
      <c r="H961" s="98">
        <v>520</v>
      </c>
      <c r="I961" s="98">
        <v>477</v>
      </c>
      <c r="J961" s="98" t="s">
        <v>1968</v>
      </c>
      <c r="K961" s="98" t="s">
        <v>2341</v>
      </c>
      <c r="L961" s="105" t="str">
        <f t="shared" si="170"/>
        <v>Ghent</v>
      </c>
      <c r="M961" s="105" t="str">
        <f t="shared" si="171"/>
        <v>Derate</v>
      </c>
      <c r="N961" s="105" t="str">
        <f t="shared" si="172"/>
        <v>Coal</v>
      </c>
      <c r="O961" s="105">
        <f>IFERROR(VLOOKUP(A961,Lookup!$J$5:$P$19,7,FALSE),0)</f>
        <v>3</v>
      </c>
      <c r="P961" s="159">
        <f t="shared" si="173"/>
        <v>2014</v>
      </c>
      <c r="Q961" s="159">
        <f t="shared" si="174"/>
        <v>11</v>
      </c>
      <c r="R961" s="160">
        <f t="shared" si="175"/>
        <v>0.99999999994179234</v>
      </c>
      <c r="S961" s="158">
        <f t="shared" si="176"/>
        <v>0.11538461537789911</v>
      </c>
      <c r="T961" s="161">
        <f t="shared" si="177"/>
        <v>55.038461535257873</v>
      </c>
      <c r="U961" s="158">
        <f t="shared" si="179"/>
        <v>55.03846153846154</v>
      </c>
      <c r="V961" s="160">
        <f t="shared" si="178"/>
        <v>55</v>
      </c>
    </row>
    <row r="962" spans="1:22" x14ac:dyDescent="0.25">
      <c r="A962" s="98" t="s">
        <v>26</v>
      </c>
      <c r="B962" s="98" t="s">
        <v>32</v>
      </c>
      <c r="C962" s="98">
        <v>63</v>
      </c>
      <c r="D962" s="98">
        <v>1100</v>
      </c>
      <c r="E962" s="157">
        <v>41957</v>
      </c>
      <c r="F962" s="157">
        <v>41957.14166666667</v>
      </c>
      <c r="G962" s="98">
        <v>200</v>
      </c>
      <c r="H962" s="98">
        <v>520</v>
      </c>
      <c r="I962" s="98">
        <v>477</v>
      </c>
      <c r="J962" s="98" t="s">
        <v>2038</v>
      </c>
      <c r="K962" s="98" t="s">
        <v>2342</v>
      </c>
      <c r="L962" s="105" t="str">
        <f t="shared" si="170"/>
        <v>Ghent</v>
      </c>
      <c r="M962" s="105" t="str">
        <f t="shared" si="171"/>
        <v>Derate</v>
      </c>
      <c r="N962" s="105" t="str">
        <f t="shared" si="172"/>
        <v>Coal</v>
      </c>
      <c r="O962" s="105">
        <f>IFERROR(VLOOKUP(A962,Lookup!$J$5:$P$19,7,FALSE),0)</f>
        <v>3</v>
      </c>
      <c r="P962" s="159">
        <f t="shared" si="173"/>
        <v>2014</v>
      </c>
      <c r="Q962" s="159">
        <f t="shared" si="174"/>
        <v>11</v>
      </c>
      <c r="R962" s="160">
        <f t="shared" si="175"/>
        <v>3.4000000000814907</v>
      </c>
      <c r="S962" s="158">
        <f t="shared" si="176"/>
        <v>2.0923076923578403</v>
      </c>
      <c r="T962" s="161">
        <f t="shared" si="177"/>
        <v>998.03076925468986</v>
      </c>
      <c r="U962" s="158">
        <f t="shared" si="179"/>
        <v>293.53846153846155</v>
      </c>
      <c r="V962" s="160">
        <f t="shared" si="178"/>
        <v>294</v>
      </c>
    </row>
    <row r="963" spans="1:22" x14ac:dyDescent="0.25">
      <c r="A963" s="98" t="s">
        <v>26</v>
      </c>
      <c r="B963" s="98" t="s">
        <v>32</v>
      </c>
      <c r="C963" s="98">
        <v>64</v>
      </c>
      <c r="D963" s="98">
        <v>1100</v>
      </c>
      <c r="E963" s="157">
        <v>41958.041666666664</v>
      </c>
      <c r="F963" s="157">
        <v>41958.17083333333</v>
      </c>
      <c r="G963" s="98">
        <v>200</v>
      </c>
      <c r="H963" s="98">
        <v>520</v>
      </c>
      <c r="I963" s="98">
        <v>477</v>
      </c>
      <c r="J963" s="98" t="s">
        <v>2038</v>
      </c>
      <c r="K963" s="98" t="s">
        <v>2343</v>
      </c>
      <c r="L963" s="105" t="str">
        <f t="shared" si="170"/>
        <v>Ghent</v>
      </c>
      <c r="M963" s="105" t="str">
        <f t="shared" si="171"/>
        <v>Derate</v>
      </c>
      <c r="N963" s="105" t="str">
        <f t="shared" si="172"/>
        <v>Coal</v>
      </c>
      <c r="O963" s="105">
        <f>IFERROR(VLOOKUP(A963,Lookup!$J$5:$P$19,7,FALSE),0)</f>
        <v>3</v>
      </c>
      <c r="P963" s="159">
        <f t="shared" si="173"/>
        <v>2014</v>
      </c>
      <c r="Q963" s="159">
        <f t="shared" si="174"/>
        <v>11</v>
      </c>
      <c r="R963" s="160">
        <f t="shared" si="175"/>
        <v>3.0999999999767169</v>
      </c>
      <c r="S963" s="158">
        <f t="shared" si="176"/>
        <v>1.9076923076779797</v>
      </c>
      <c r="T963" s="161">
        <f t="shared" si="177"/>
        <v>909.96923076239636</v>
      </c>
      <c r="U963" s="158">
        <f t="shared" si="179"/>
        <v>293.53846153846155</v>
      </c>
      <c r="V963" s="160">
        <f t="shared" si="178"/>
        <v>294</v>
      </c>
    </row>
    <row r="964" spans="1:22" x14ac:dyDescent="0.25">
      <c r="A964" s="98" t="s">
        <v>26</v>
      </c>
      <c r="B964" s="98" t="s">
        <v>17</v>
      </c>
      <c r="C964" s="98">
        <v>65</v>
      </c>
      <c r="D964" s="98">
        <v>1100</v>
      </c>
      <c r="E964" s="157">
        <v>41958.28125</v>
      </c>
      <c r="F964" s="157">
        <v>41963.267361111109</v>
      </c>
      <c r="G964" s="98">
        <v>317</v>
      </c>
      <c r="H964" s="98">
        <v>520</v>
      </c>
      <c r="I964" s="98">
        <v>477</v>
      </c>
      <c r="J964" s="98" t="s">
        <v>2038</v>
      </c>
      <c r="K964" s="98" t="s">
        <v>2344</v>
      </c>
      <c r="L964" s="105" t="str">
        <f t="shared" si="170"/>
        <v>Ghent</v>
      </c>
      <c r="M964" s="105" t="str">
        <f t="shared" si="171"/>
        <v>Derate</v>
      </c>
      <c r="N964" s="105" t="str">
        <f t="shared" si="172"/>
        <v>Coal</v>
      </c>
      <c r="O964" s="105">
        <f>IFERROR(VLOOKUP(A964,Lookup!$J$5:$P$19,7,FALSE),0)</f>
        <v>3</v>
      </c>
      <c r="P964" s="159">
        <f t="shared" si="173"/>
        <v>2014</v>
      </c>
      <c r="Q964" s="159">
        <f t="shared" si="174"/>
        <v>11</v>
      </c>
      <c r="R964" s="160">
        <f t="shared" si="175"/>
        <v>119.66666666662786</v>
      </c>
      <c r="S964" s="158">
        <f t="shared" si="176"/>
        <v>46.716025641010489</v>
      </c>
      <c r="T964" s="161">
        <f t="shared" si="177"/>
        <v>22283.544230762003</v>
      </c>
      <c r="U964" s="158">
        <f t="shared" si="179"/>
        <v>186.21346153846153</v>
      </c>
      <c r="V964" s="160">
        <f t="shared" si="178"/>
        <v>186</v>
      </c>
    </row>
    <row r="965" spans="1:22" x14ac:dyDescent="0.25">
      <c r="A965" s="98" t="s">
        <v>26</v>
      </c>
      <c r="B965" s="98" t="s">
        <v>17</v>
      </c>
      <c r="C965" s="98">
        <v>66</v>
      </c>
      <c r="D965" s="98">
        <v>300</v>
      </c>
      <c r="E965" s="157">
        <v>41963.267361111109</v>
      </c>
      <c r="F965" s="157">
        <v>41972.770138888889</v>
      </c>
      <c r="G965" s="98">
        <v>460</v>
      </c>
      <c r="H965" s="98">
        <v>520</v>
      </c>
      <c r="I965" s="98">
        <v>477</v>
      </c>
      <c r="J965" s="98" t="s">
        <v>1977</v>
      </c>
      <c r="K965" s="98" t="s">
        <v>2345</v>
      </c>
      <c r="L965" s="105" t="str">
        <f t="shared" si="170"/>
        <v>Ghent</v>
      </c>
      <c r="M965" s="105" t="str">
        <f t="shared" si="171"/>
        <v>Derate</v>
      </c>
      <c r="N965" s="105" t="str">
        <f t="shared" si="172"/>
        <v>Coal</v>
      </c>
      <c r="O965" s="105">
        <f>IFERROR(VLOOKUP(A965,Lookup!$J$5:$P$19,7,FALSE),0)</f>
        <v>3</v>
      </c>
      <c r="P965" s="159">
        <f t="shared" si="173"/>
        <v>2014</v>
      </c>
      <c r="Q965" s="159">
        <f t="shared" si="174"/>
        <v>11</v>
      </c>
      <c r="R965" s="160">
        <f t="shared" si="175"/>
        <v>228.06666666670935</v>
      </c>
      <c r="S965" s="158">
        <f t="shared" si="176"/>
        <v>26.31538461538954</v>
      </c>
      <c r="T965" s="161">
        <f t="shared" si="177"/>
        <v>12552.438461540811</v>
      </c>
      <c r="U965" s="158">
        <f t="shared" si="179"/>
        <v>55.03846153846154</v>
      </c>
      <c r="V965" s="160">
        <f t="shared" si="178"/>
        <v>55</v>
      </c>
    </row>
    <row r="966" spans="1:22" x14ac:dyDescent="0.25">
      <c r="A966" s="98" t="s">
        <v>26</v>
      </c>
      <c r="B966" s="98" t="s">
        <v>17</v>
      </c>
      <c r="C966" s="98">
        <v>67</v>
      </c>
      <c r="D966" s="98">
        <v>1100</v>
      </c>
      <c r="E966" s="157">
        <v>41963.395833333336</v>
      </c>
      <c r="F966" s="162">
        <v>41966.208333333336</v>
      </c>
      <c r="G966" s="98">
        <v>317</v>
      </c>
      <c r="H966" s="98">
        <v>520</v>
      </c>
      <c r="I966" s="98">
        <v>477</v>
      </c>
      <c r="J966" s="98" t="s">
        <v>2038</v>
      </c>
      <c r="K966" s="98" t="s">
        <v>2346</v>
      </c>
      <c r="L966" s="105" t="str">
        <f t="shared" si="170"/>
        <v>Ghent</v>
      </c>
      <c r="M966" s="105" t="str">
        <f t="shared" si="171"/>
        <v>Derate</v>
      </c>
      <c r="N966" s="105" t="str">
        <f t="shared" si="172"/>
        <v>Coal</v>
      </c>
      <c r="O966" s="105">
        <f>IFERROR(VLOOKUP(A966,Lookup!$J$5:$P$19,7,FALSE),0)</f>
        <v>3</v>
      </c>
      <c r="P966" s="159">
        <f t="shared" si="173"/>
        <v>2014</v>
      </c>
      <c r="Q966" s="159">
        <f t="shared" si="174"/>
        <v>11</v>
      </c>
      <c r="R966" s="160">
        <f t="shared" si="175"/>
        <v>67.5</v>
      </c>
      <c r="S966" s="158">
        <f t="shared" si="176"/>
        <v>26.35096153846154</v>
      </c>
      <c r="T966" s="161">
        <f t="shared" si="177"/>
        <v>12569.408653846154</v>
      </c>
      <c r="U966" s="158">
        <f t="shared" si="179"/>
        <v>186.21346153846153</v>
      </c>
      <c r="V966" s="160">
        <f t="shared" si="178"/>
        <v>186</v>
      </c>
    </row>
    <row r="967" spans="1:22" x14ac:dyDescent="0.25">
      <c r="A967" s="98" t="s">
        <v>26</v>
      </c>
      <c r="B967" s="98" t="s">
        <v>17</v>
      </c>
      <c r="C967" s="98">
        <v>68</v>
      </c>
      <c r="D967" s="98">
        <v>250</v>
      </c>
      <c r="E967" s="157">
        <v>41968.034722222219</v>
      </c>
      <c r="F967" s="157">
        <v>41968.090277777781</v>
      </c>
      <c r="G967" s="98">
        <v>100</v>
      </c>
      <c r="H967" s="98">
        <v>520</v>
      </c>
      <c r="I967" s="98">
        <v>477</v>
      </c>
      <c r="J967" s="98" t="s">
        <v>1978</v>
      </c>
      <c r="K967" s="98" t="s">
        <v>2347</v>
      </c>
      <c r="L967" s="105" t="str">
        <f t="shared" si="170"/>
        <v>Ghent</v>
      </c>
      <c r="M967" s="105" t="str">
        <f t="shared" si="171"/>
        <v>Derate</v>
      </c>
      <c r="N967" s="105" t="str">
        <f t="shared" si="172"/>
        <v>Coal</v>
      </c>
      <c r="O967" s="105">
        <f>IFERROR(VLOOKUP(A967,Lookup!$J$5:$P$19,7,FALSE),0)</f>
        <v>3</v>
      </c>
      <c r="P967" s="159">
        <f t="shared" si="173"/>
        <v>2014</v>
      </c>
      <c r="Q967" s="159">
        <f t="shared" si="174"/>
        <v>11</v>
      </c>
      <c r="R967" s="160">
        <f t="shared" si="175"/>
        <v>1.3333333334885538</v>
      </c>
      <c r="S967" s="158">
        <f t="shared" si="176"/>
        <v>1.0769230770484473</v>
      </c>
      <c r="T967" s="161">
        <f t="shared" si="177"/>
        <v>513.69230775210929</v>
      </c>
      <c r="U967" s="158">
        <f t="shared" si="179"/>
        <v>385.26923076923077</v>
      </c>
      <c r="V967" s="160">
        <f t="shared" si="178"/>
        <v>385</v>
      </c>
    </row>
    <row r="968" spans="1:22" x14ac:dyDescent="0.25">
      <c r="A968" s="98" t="s">
        <v>26</v>
      </c>
      <c r="B968" s="98" t="s">
        <v>32</v>
      </c>
      <c r="C968" s="98">
        <v>69</v>
      </c>
      <c r="D968" s="98">
        <v>1100</v>
      </c>
      <c r="E968" s="157">
        <v>41969</v>
      </c>
      <c r="F968" s="157">
        <v>41969.166666666664</v>
      </c>
      <c r="G968" s="98">
        <v>190</v>
      </c>
      <c r="H968" s="98">
        <v>520</v>
      </c>
      <c r="I968" s="98">
        <v>477</v>
      </c>
      <c r="J968" s="98" t="s">
        <v>2038</v>
      </c>
      <c r="K968" s="98" t="s">
        <v>2348</v>
      </c>
      <c r="L968" s="105" t="str">
        <f t="shared" si="170"/>
        <v>Ghent</v>
      </c>
      <c r="M968" s="105" t="str">
        <f t="shared" si="171"/>
        <v>Derate</v>
      </c>
      <c r="N968" s="105" t="str">
        <f t="shared" si="172"/>
        <v>Coal</v>
      </c>
      <c r="O968" s="105">
        <f>IFERROR(VLOOKUP(A968,Lookup!$J$5:$P$19,7,FALSE),0)</f>
        <v>3</v>
      </c>
      <c r="P968" s="159">
        <f t="shared" si="173"/>
        <v>2014</v>
      </c>
      <c r="Q968" s="159">
        <f t="shared" si="174"/>
        <v>11</v>
      </c>
      <c r="R968" s="160">
        <f t="shared" si="175"/>
        <v>3.9999999999417923</v>
      </c>
      <c r="S968" s="158">
        <f t="shared" si="176"/>
        <v>2.538461538424599</v>
      </c>
      <c r="T968" s="161">
        <f t="shared" si="177"/>
        <v>1210.8461538285337</v>
      </c>
      <c r="U968" s="158">
        <f t="shared" si="179"/>
        <v>302.71153846153845</v>
      </c>
      <c r="V968" s="160">
        <f t="shared" si="178"/>
        <v>303</v>
      </c>
    </row>
    <row r="969" spans="1:22" x14ac:dyDescent="0.25">
      <c r="A969" s="98" t="s">
        <v>26</v>
      </c>
      <c r="B969" s="98" t="s">
        <v>17</v>
      </c>
      <c r="C969" s="98">
        <v>70</v>
      </c>
      <c r="D969" s="98">
        <v>1100</v>
      </c>
      <c r="E969" s="157">
        <v>41972.434027777781</v>
      </c>
      <c r="F969" s="157">
        <v>41972.458333333336</v>
      </c>
      <c r="G969" s="98">
        <v>400</v>
      </c>
      <c r="H969" s="98">
        <v>520</v>
      </c>
      <c r="I969" s="98">
        <v>477</v>
      </c>
      <c r="J969" s="98" t="s">
        <v>2038</v>
      </c>
      <c r="K969" s="98" t="s">
        <v>2349</v>
      </c>
      <c r="L969" s="105" t="str">
        <f t="shared" si="170"/>
        <v>Ghent</v>
      </c>
      <c r="M969" s="105" t="str">
        <f t="shared" si="171"/>
        <v>Derate</v>
      </c>
      <c r="N969" s="105" t="str">
        <f t="shared" si="172"/>
        <v>Coal</v>
      </c>
      <c r="O969" s="105">
        <f>IFERROR(VLOOKUP(A969,Lookup!$J$5:$P$19,7,FALSE),0)</f>
        <v>3</v>
      </c>
      <c r="P969" s="159">
        <f t="shared" si="173"/>
        <v>2014</v>
      </c>
      <c r="Q969" s="159">
        <f t="shared" si="174"/>
        <v>11</v>
      </c>
      <c r="R969" s="160">
        <f t="shared" si="175"/>
        <v>0.58333333331393078</v>
      </c>
      <c r="S969" s="158">
        <f t="shared" si="176"/>
        <v>0.13461538461090711</v>
      </c>
      <c r="T969" s="161">
        <f t="shared" si="177"/>
        <v>64.211538459402689</v>
      </c>
      <c r="U969" s="158">
        <f t="shared" si="179"/>
        <v>110.07692307692308</v>
      </c>
      <c r="V969" s="160">
        <f t="shared" si="178"/>
        <v>110</v>
      </c>
    </row>
    <row r="970" spans="1:22" x14ac:dyDescent="0.25">
      <c r="A970" s="98" t="s">
        <v>26</v>
      </c>
      <c r="B970" s="98" t="s">
        <v>17</v>
      </c>
      <c r="C970" s="98">
        <v>71</v>
      </c>
      <c r="D970" s="98">
        <v>340</v>
      </c>
      <c r="E970" s="157">
        <v>41972.486111111109</v>
      </c>
      <c r="F970" s="157">
        <v>41972.73541666667</v>
      </c>
      <c r="G970" s="98">
        <v>350</v>
      </c>
      <c r="H970" s="98">
        <v>520</v>
      </c>
      <c r="I970" s="98">
        <v>477</v>
      </c>
      <c r="J970" s="98" t="s">
        <v>1970</v>
      </c>
      <c r="K970" s="98" t="s">
        <v>2350</v>
      </c>
      <c r="L970" s="105" t="str">
        <f t="shared" si="170"/>
        <v>Ghent</v>
      </c>
      <c r="M970" s="105" t="str">
        <f t="shared" si="171"/>
        <v>Derate</v>
      </c>
      <c r="N970" s="105" t="str">
        <f t="shared" si="172"/>
        <v>Coal</v>
      </c>
      <c r="O970" s="105">
        <f>IFERROR(VLOOKUP(A970,Lookup!$J$5:$P$19,7,FALSE),0)</f>
        <v>3</v>
      </c>
      <c r="P970" s="159">
        <f t="shared" si="173"/>
        <v>2014</v>
      </c>
      <c r="Q970" s="159">
        <f t="shared" si="174"/>
        <v>11</v>
      </c>
      <c r="R970" s="160">
        <f t="shared" si="175"/>
        <v>5.9833333334536292</v>
      </c>
      <c r="S970" s="158">
        <f t="shared" si="176"/>
        <v>1.9560897436290712</v>
      </c>
      <c r="T970" s="161">
        <f t="shared" si="177"/>
        <v>933.05480771106693</v>
      </c>
      <c r="U970" s="158">
        <f t="shared" si="179"/>
        <v>155.94230769230768</v>
      </c>
      <c r="V970" s="160">
        <f t="shared" si="178"/>
        <v>156</v>
      </c>
    </row>
    <row r="971" spans="1:22" x14ac:dyDescent="0.25">
      <c r="A971" s="98" t="s">
        <v>26</v>
      </c>
      <c r="B971" s="98" t="s">
        <v>17</v>
      </c>
      <c r="C971" s="98">
        <v>72</v>
      </c>
      <c r="D971" s="98">
        <v>3631</v>
      </c>
      <c r="E971" s="157">
        <v>41974.552777777775</v>
      </c>
      <c r="F971" s="157">
        <v>41974.611111111109</v>
      </c>
      <c r="G971" s="98">
        <v>477</v>
      </c>
      <c r="H971" s="98">
        <v>520</v>
      </c>
      <c r="I971" s="98">
        <v>477</v>
      </c>
      <c r="J971" s="98" t="s">
        <v>2133</v>
      </c>
      <c r="K971" s="98" t="s">
        <v>2351</v>
      </c>
      <c r="L971" s="105" t="str">
        <f t="shared" si="170"/>
        <v>Ghent</v>
      </c>
      <c r="M971" s="105" t="str">
        <f t="shared" si="171"/>
        <v>Derate</v>
      </c>
      <c r="N971" s="105" t="str">
        <f t="shared" si="172"/>
        <v>Coal</v>
      </c>
      <c r="O971" s="105">
        <f>IFERROR(VLOOKUP(A971,Lookup!$J$5:$P$19,7,FALSE),0)</f>
        <v>3</v>
      </c>
      <c r="P971" s="159">
        <f t="shared" si="173"/>
        <v>2014</v>
      </c>
      <c r="Q971" s="159">
        <f t="shared" si="174"/>
        <v>12</v>
      </c>
      <c r="R971" s="160">
        <f t="shared" si="175"/>
        <v>1.4000000000232831</v>
      </c>
      <c r="S971" s="158">
        <f t="shared" si="176"/>
        <v>0.1157692307711561</v>
      </c>
      <c r="T971" s="161">
        <f t="shared" si="177"/>
        <v>55.22192307784146</v>
      </c>
      <c r="U971" s="158">
        <f t="shared" si="179"/>
        <v>39.444230769230771</v>
      </c>
      <c r="V971" s="160">
        <f t="shared" si="178"/>
        <v>39</v>
      </c>
    </row>
    <row r="972" spans="1:22" x14ac:dyDescent="0.25">
      <c r="A972" s="98" t="s">
        <v>26</v>
      </c>
      <c r="B972" s="98" t="s">
        <v>32</v>
      </c>
      <c r="C972" s="98">
        <v>73</v>
      </c>
      <c r="D972" s="98">
        <v>1100</v>
      </c>
      <c r="E972" s="157">
        <v>41975.958333333336</v>
      </c>
      <c r="F972" s="157">
        <v>41976.166666666664</v>
      </c>
      <c r="G972" s="98">
        <v>190</v>
      </c>
      <c r="H972" s="98">
        <v>520</v>
      </c>
      <c r="I972" s="98">
        <v>477</v>
      </c>
      <c r="J972" s="98" t="s">
        <v>2038</v>
      </c>
      <c r="K972" s="98" t="s">
        <v>2352</v>
      </c>
      <c r="L972" s="105" t="str">
        <f t="shared" si="170"/>
        <v>Ghent</v>
      </c>
      <c r="M972" s="105" t="str">
        <f t="shared" si="171"/>
        <v>Derate</v>
      </c>
      <c r="N972" s="105" t="str">
        <f t="shared" si="172"/>
        <v>Coal</v>
      </c>
      <c r="O972" s="105">
        <f>IFERROR(VLOOKUP(A972,Lookup!$J$5:$P$19,7,FALSE),0)</f>
        <v>3</v>
      </c>
      <c r="P972" s="159">
        <f t="shared" si="173"/>
        <v>2014</v>
      </c>
      <c r="Q972" s="159">
        <f t="shared" si="174"/>
        <v>12</v>
      </c>
      <c r="R972" s="160">
        <f t="shared" si="175"/>
        <v>4.9999999998835847</v>
      </c>
      <c r="S972" s="158">
        <f t="shared" si="176"/>
        <v>3.1730769230030442</v>
      </c>
      <c r="T972" s="161">
        <f t="shared" si="177"/>
        <v>1513.5576922724522</v>
      </c>
      <c r="U972" s="158">
        <f t="shared" si="179"/>
        <v>302.71153846153845</v>
      </c>
      <c r="V972" s="160">
        <f t="shared" si="178"/>
        <v>303</v>
      </c>
    </row>
    <row r="973" spans="1:22" x14ac:dyDescent="0.25">
      <c r="A973" s="98" t="s">
        <v>26</v>
      </c>
      <c r="B973" s="98" t="s">
        <v>17</v>
      </c>
      <c r="C973" s="98">
        <v>74</v>
      </c>
      <c r="D973" s="98">
        <v>250</v>
      </c>
      <c r="E973" s="157">
        <v>41976.432638888888</v>
      </c>
      <c r="F973" s="157">
        <v>41976.473611111112</v>
      </c>
      <c r="G973" s="98">
        <v>480</v>
      </c>
      <c r="H973" s="98">
        <v>520</v>
      </c>
      <c r="I973" s="98">
        <v>477</v>
      </c>
      <c r="J973" s="98" t="s">
        <v>1978</v>
      </c>
      <c r="K973" s="98" t="s">
        <v>2353</v>
      </c>
      <c r="L973" s="105" t="str">
        <f t="shared" si="170"/>
        <v>Ghent</v>
      </c>
      <c r="M973" s="105" t="str">
        <f t="shared" si="171"/>
        <v>Derate</v>
      </c>
      <c r="N973" s="105" t="str">
        <f t="shared" si="172"/>
        <v>Coal</v>
      </c>
      <c r="O973" s="105">
        <f>IFERROR(VLOOKUP(A973,Lookup!$J$5:$P$19,7,FALSE),0)</f>
        <v>3</v>
      </c>
      <c r="P973" s="159">
        <f t="shared" si="173"/>
        <v>2014</v>
      </c>
      <c r="Q973" s="159">
        <f t="shared" si="174"/>
        <v>12</v>
      </c>
      <c r="R973" s="160">
        <f t="shared" si="175"/>
        <v>0.9833333333954215</v>
      </c>
      <c r="S973" s="158">
        <f t="shared" si="176"/>
        <v>7.5641025645801649E-2</v>
      </c>
      <c r="T973" s="161">
        <f t="shared" si="177"/>
        <v>36.080769233047384</v>
      </c>
      <c r="U973" s="158">
        <f t="shared" si="179"/>
        <v>36.692307692307693</v>
      </c>
      <c r="V973" s="160">
        <f t="shared" si="178"/>
        <v>37</v>
      </c>
    </row>
    <row r="974" spans="1:22" x14ac:dyDescent="0.25">
      <c r="A974" s="98" t="s">
        <v>26</v>
      </c>
      <c r="B974" s="98" t="s">
        <v>20</v>
      </c>
      <c r="C974" s="98">
        <v>75</v>
      </c>
      <c r="D974" s="98">
        <v>1000</v>
      </c>
      <c r="E974" s="157">
        <v>41978.978472222225</v>
      </c>
      <c r="F974" s="157">
        <v>41982.334722222222</v>
      </c>
      <c r="G974" s="98">
        <v>0</v>
      </c>
      <c r="H974" s="98">
        <v>520</v>
      </c>
      <c r="I974" s="98">
        <v>477</v>
      </c>
      <c r="J974" s="98" t="s">
        <v>2002</v>
      </c>
      <c r="K974" s="98" t="s">
        <v>2354</v>
      </c>
      <c r="L974" s="105" t="str">
        <f t="shared" si="170"/>
        <v>Ghent</v>
      </c>
      <c r="M974" s="105" t="str">
        <f t="shared" si="171"/>
        <v>Maintenance</v>
      </c>
      <c r="N974" s="105" t="str">
        <f t="shared" si="172"/>
        <v>Coal</v>
      </c>
      <c r="O974" s="105">
        <f>IFERROR(VLOOKUP(A974,Lookup!$J$5:$P$19,7,FALSE),0)</f>
        <v>3</v>
      </c>
      <c r="P974" s="159">
        <f t="shared" si="173"/>
        <v>2014</v>
      </c>
      <c r="Q974" s="159">
        <f t="shared" si="174"/>
        <v>12</v>
      </c>
      <c r="R974" s="160">
        <f t="shared" si="175"/>
        <v>80.549999999930151</v>
      </c>
      <c r="S974" s="158">
        <f t="shared" si="176"/>
        <v>80.549999999930151</v>
      </c>
      <c r="T974" s="161">
        <f t="shared" si="177"/>
        <v>38422.349999966682</v>
      </c>
      <c r="U974" s="158">
        <f t="shared" si="179"/>
        <v>477</v>
      </c>
      <c r="V974" s="160">
        <f t="shared" si="178"/>
        <v>477</v>
      </c>
    </row>
    <row r="975" spans="1:22" x14ac:dyDescent="0.25">
      <c r="A975" s="98" t="s">
        <v>26</v>
      </c>
      <c r="B975" s="98" t="s">
        <v>17</v>
      </c>
      <c r="C975" s="98">
        <v>76</v>
      </c>
      <c r="D975" s="98">
        <v>1850</v>
      </c>
      <c r="E975" s="157">
        <v>41982.847222222219</v>
      </c>
      <c r="F975" s="157">
        <v>41982.990277777775</v>
      </c>
      <c r="G975" s="98">
        <v>390</v>
      </c>
      <c r="H975" s="98">
        <v>520</v>
      </c>
      <c r="I975" s="98">
        <v>477</v>
      </c>
      <c r="J975" s="98" t="s">
        <v>2263</v>
      </c>
      <c r="K975" s="98" t="s">
        <v>2355</v>
      </c>
      <c r="L975" s="105" t="str">
        <f t="shared" si="170"/>
        <v>Ghent</v>
      </c>
      <c r="M975" s="105" t="str">
        <f t="shared" si="171"/>
        <v>Derate</v>
      </c>
      <c r="N975" s="105" t="str">
        <f t="shared" si="172"/>
        <v>Coal</v>
      </c>
      <c r="O975" s="105">
        <f>IFERROR(VLOOKUP(A975,Lookup!$J$5:$P$19,7,FALSE),0)</f>
        <v>3</v>
      </c>
      <c r="P975" s="159">
        <f t="shared" si="173"/>
        <v>2014</v>
      </c>
      <c r="Q975" s="159">
        <f t="shared" si="174"/>
        <v>12</v>
      </c>
      <c r="R975" s="160">
        <f t="shared" si="175"/>
        <v>3.4333333333488554</v>
      </c>
      <c r="S975" s="158">
        <f t="shared" si="176"/>
        <v>0.85833333333721384</v>
      </c>
      <c r="T975" s="161">
        <f t="shared" si="177"/>
        <v>409.425000001851</v>
      </c>
      <c r="U975" s="158">
        <f t="shared" si="179"/>
        <v>119.25</v>
      </c>
      <c r="V975" s="160">
        <f t="shared" si="178"/>
        <v>119</v>
      </c>
    </row>
    <row r="976" spans="1:22" x14ac:dyDescent="0.25">
      <c r="A976" s="98" t="s">
        <v>26</v>
      </c>
      <c r="B976" s="98" t="s">
        <v>15</v>
      </c>
      <c r="C976" s="98">
        <v>77</v>
      </c>
      <c r="D976" s="98">
        <v>1060</v>
      </c>
      <c r="E976" s="157">
        <v>41982.990277777775</v>
      </c>
      <c r="F976" s="157">
        <v>41984.129861111112</v>
      </c>
      <c r="G976" s="98">
        <v>0</v>
      </c>
      <c r="H976" s="98">
        <v>520</v>
      </c>
      <c r="I976" s="98">
        <v>477</v>
      </c>
      <c r="J976" s="98" t="s">
        <v>2179</v>
      </c>
      <c r="K976" s="98" t="s">
        <v>2356</v>
      </c>
      <c r="L976" s="105" t="str">
        <f t="shared" si="170"/>
        <v>Ghent</v>
      </c>
      <c r="M976" s="105" t="str">
        <f t="shared" si="171"/>
        <v>Outage</v>
      </c>
      <c r="N976" s="105" t="str">
        <f t="shared" si="172"/>
        <v>Coal</v>
      </c>
      <c r="O976" s="105">
        <f>IFERROR(VLOOKUP(A976,Lookup!$J$5:$P$19,7,FALSE),0)</f>
        <v>3</v>
      </c>
      <c r="P976" s="159">
        <f t="shared" si="173"/>
        <v>2014</v>
      </c>
      <c r="Q976" s="159">
        <f t="shared" si="174"/>
        <v>12</v>
      </c>
      <c r="R976" s="160">
        <f t="shared" si="175"/>
        <v>27.350000000093132</v>
      </c>
      <c r="S976" s="158">
        <f t="shared" si="176"/>
        <v>27.350000000093132</v>
      </c>
      <c r="T976" s="161">
        <f t="shared" si="177"/>
        <v>13045.950000044424</v>
      </c>
      <c r="U976" s="158">
        <f t="shared" si="179"/>
        <v>477</v>
      </c>
      <c r="V976" s="160">
        <f t="shared" si="178"/>
        <v>477</v>
      </c>
    </row>
    <row r="977" spans="1:22" x14ac:dyDescent="0.25">
      <c r="A977" s="98" t="s">
        <v>26</v>
      </c>
      <c r="B977" s="98" t="s">
        <v>17</v>
      </c>
      <c r="C977" s="98">
        <v>78</v>
      </c>
      <c r="D977" s="98">
        <v>1850</v>
      </c>
      <c r="E977" s="157">
        <v>41984.629861111112</v>
      </c>
      <c r="F977" s="157">
        <v>41985.099305555559</v>
      </c>
      <c r="G977" s="98">
        <v>447</v>
      </c>
      <c r="H977" s="98">
        <v>520</v>
      </c>
      <c r="I977" s="98">
        <v>477</v>
      </c>
      <c r="J977" s="98" t="s">
        <v>2263</v>
      </c>
      <c r="K977" s="98" t="s">
        <v>2357</v>
      </c>
      <c r="L977" s="105" t="str">
        <f t="shared" si="170"/>
        <v>Ghent</v>
      </c>
      <c r="M977" s="105" t="str">
        <f t="shared" si="171"/>
        <v>Derate</v>
      </c>
      <c r="N977" s="105" t="str">
        <f t="shared" si="172"/>
        <v>Coal</v>
      </c>
      <c r="O977" s="105">
        <f>IFERROR(VLOOKUP(A977,Lookup!$J$5:$P$19,7,FALSE),0)</f>
        <v>3</v>
      </c>
      <c r="P977" s="159">
        <f t="shared" si="173"/>
        <v>2014</v>
      </c>
      <c r="Q977" s="159">
        <f t="shared" si="174"/>
        <v>12</v>
      </c>
      <c r="R977" s="160">
        <f t="shared" si="175"/>
        <v>11.266666666720994</v>
      </c>
      <c r="S977" s="158">
        <f t="shared" si="176"/>
        <v>1.5816666666742933</v>
      </c>
      <c r="T977" s="161">
        <f t="shared" si="177"/>
        <v>754.45500000363791</v>
      </c>
      <c r="U977" s="158">
        <f t="shared" si="179"/>
        <v>66.963461538461544</v>
      </c>
      <c r="V977" s="160">
        <f t="shared" si="178"/>
        <v>67</v>
      </c>
    </row>
    <row r="978" spans="1:22" x14ac:dyDescent="0.25">
      <c r="A978" s="98" t="s">
        <v>26</v>
      </c>
      <c r="B978" s="98" t="s">
        <v>17</v>
      </c>
      <c r="C978" s="98">
        <v>1</v>
      </c>
      <c r="D978" s="98">
        <v>340</v>
      </c>
      <c r="E978" s="157">
        <v>42005.99722222222</v>
      </c>
      <c r="F978" s="157">
        <v>42006.184027777781</v>
      </c>
      <c r="G978" s="98">
        <v>440</v>
      </c>
      <c r="H978" s="98">
        <v>520</v>
      </c>
      <c r="I978" s="98">
        <v>477</v>
      </c>
      <c r="J978" s="98" t="s">
        <v>1970</v>
      </c>
      <c r="K978" s="98" t="s">
        <v>2358</v>
      </c>
      <c r="L978" s="105" t="str">
        <f t="shared" si="170"/>
        <v>Ghent</v>
      </c>
      <c r="M978" s="105" t="str">
        <f t="shared" si="171"/>
        <v>Derate</v>
      </c>
      <c r="N978" s="105" t="str">
        <f t="shared" si="172"/>
        <v>Coal</v>
      </c>
      <c r="O978" s="105">
        <f>IFERROR(VLOOKUP(A978,Lookup!$J$5:$P$19,7,FALSE),0)</f>
        <v>3</v>
      </c>
      <c r="P978" s="159">
        <f t="shared" si="173"/>
        <v>2015</v>
      </c>
      <c r="Q978" s="159">
        <f t="shared" si="174"/>
        <v>1</v>
      </c>
      <c r="R978" s="160">
        <f t="shared" si="175"/>
        <v>4.4833333334536292</v>
      </c>
      <c r="S978" s="158">
        <f t="shared" si="176"/>
        <v>0.68974358976209682</v>
      </c>
      <c r="T978" s="161">
        <f t="shared" si="177"/>
        <v>329.00769231652021</v>
      </c>
      <c r="U978" s="158">
        <f t="shared" si="179"/>
        <v>73.384615384615387</v>
      </c>
      <c r="V978" s="160">
        <f t="shared" si="178"/>
        <v>73</v>
      </c>
    </row>
    <row r="979" spans="1:22" x14ac:dyDescent="0.25">
      <c r="A979" s="98" t="s">
        <v>26</v>
      </c>
      <c r="B979" s="98" t="s">
        <v>17</v>
      </c>
      <c r="C979" s="98">
        <v>2</v>
      </c>
      <c r="D979" s="98">
        <v>340</v>
      </c>
      <c r="E979" s="157">
        <v>42006.184027777781</v>
      </c>
      <c r="F979" s="157">
        <v>42006.213194444441</v>
      </c>
      <c r="G979" s="98">
        <v>440</v>
      </c>
      <c r="H979" s="98">
        <v>520</v>
      </c>
      <c r="I979" s="98">
        <v>477</v>
      </c>
      <c r="J979" s="98" t="s">
        <v>1970</v>
      </c>
      <c r="K979" s="98" t="s">
        <v>2359</v>
      </c>
      <c r="L979" s="105" t="str">
        <f t="shared" si="170"/>
        <v>Ghent</v>
      </c>
      <c r="M979" s="105" t="str">
        <f t="shared" si="171"/>
        <v>Derate</v>
      </c>
      <c r="N979" s="105" t="str">
        <f t="shared" si="172"/>
        <v>Coal</v>
      </c>
      <c r="O979" s="105">
        <f>IFERROR(VLOOKUP(A979,Lookup!$J$5:$P$19,7,FALSE),0)</f>
        <v>3</v>
      </c>
      <c r="P979" s="159">
        <f t="shared" si="173"/>
        <v>2015</v>
      </c>
      <c r="Q979" s="159">
        <f t="shared" si="174"/>
        <v>1</v>
      </c>
      <c r="R979" s="160">
        <f t="shared" si="175"/>
        <v>0.69999999983701855</v>
      </c>
      <c r="S979" s="158">
        <f t="shared" si="176"/>
        <v>0.10769230766723362</v>
      </c>
      <c r="T979" s="161">
        <f t="shared" si="177"/>
        <v>51.369230757270437</v>
      </c>
      <c r="U979" s="158">
        <f t="shared" si="179"/>
        <v>73.384615384615387</v>
      </c>
      <c r="V979" s="160">
        <f t="shared" si="178"/>
        <v>73</v>
      </c>
    </row>
    <row r="980" spans="1:22" x14ac:dyDescent="0.25">
      <c r="A980" s="98" t="s">
        <v>26</v>
      </c>
      <c r="B980" s="98" t="s">
        <v>17</v>
      </c>
      <c r="C980" s="98">
        <v>3</v>
      </c>
      <c r="D980" s="98">
        <v>340</v>
      </c>
      <c r="E980" s="157">
        <v>42009.111111111109</v>
      </c>
      <c r="F980" s="157">
        <v>42009.28125</v>
      </c>
      <c r="G980" s="98">
        <v>460</v>
      </c>
      <c r="H980" s="98">
        <v>520</v>
      </c>
      <c r="I980" s="98">
        <v>477</v>
      </c>
      <c r="J980" s="98" t="s">
        <v>1970</v>
      </c>
      <c r="K980" s="98" t="s">
        <v>2360</v>
      </c>
      <c r="L980" s="105" t="str">
        <f t="shared" si="170"/>
        <v>Ghent</v>
      </c>
      <c r="M980" s="105" t="str">
        <f t="shared" si="171"/>
        <v>Derate</v>
      </c>
      <c r="N980" s="105" t="str">
        <f t="shared" si="172"/>
        <v>Coal</v>
      </c>
      <c r="O980" s="105">
        <f>IFERROR(VLOOKUP(A980,Lookup!$J$5:$P$19,7,FALSE),0)</f>
        <v>3</v>
      </c>
      <c r="P980" s="159">
        <f t="shared" si="173"/>
        <v>2015</v>
      </c>
      <c r="Q980" s="159">
        <f t="shared" si="174"/>
        <v>1</v>
      </c>
      <c r="R980" s="160">
        <f t="shared" si="175"/>
        <v>4.0833333333721384</v>
      </c>
      <c r="S980" s="158">
        <f t="shared" si="176"/>
        <v>0.47115384615832367</v>
      </c>
      <c r="T980" s="161">
        <f t="shared" si="177"/>
        <v>224.74038461752039</v>
      </c>
      <c r="U980" s="158">
        <f t="shared" si="179"/>
        <v>55.03846153846154</v>
      </c>
      <c r="V980" s="160">
        <f t="shared" si="178"/>
        <v>55</v>
      </c>
    </row>
    <row r="981" spans="1:22" x14ac:dyDescent="0.25">
      <c r="A981" s="98" t="s">
        <v>26</v>
      </c>
      <c r="B981" s="98" t="s">
        <v>17</v>
      </c>
      <c r="C981" s="98">
        <v>4</v>
      </c>
      <c r="D981" s="98">
        <v>340</v>
      </c>
      <c r="E981" s="157">
        <v>42012.839583333334</v>
      </c>
      <c r="F981" s="157">
        <v>42012.958333333336</v>
      </c>
      <c r="G981" s="98">
        <v>450</v>
      </c>
      <c r="H981" s="98">
        <v>520</v>
      </c>
      <c r="I981" s="98">
        <v>477</v>
      </c>
      <c r="J981" s="98" t="s">
        <v>1970</v>
      </c>
      <c r="K981" s="98" t="s">
        <v>2361</v>
      </c>
      <c r="L981" s="105" t="str">
        <f t="shared" si="170"/>
        <v>Ghent</v>
      </c>
      <c r="M981" s="105" t="str">
        <f t="shared" si="171"/>
        <v>Derate</v>
      </c>
      <c r="N981" s="105" t="str">
        <f t="shared" si="172"/>
        <v>Coal</v>
      </c>
      <c r="O981" s="105">
        <f>IFERROR(VLOOKUP(A981,Lookup!$J$5:$P$19,7,FALSE),0)</f>
        <v>3</v>
      </c>
      <c r="P981" s="159">
        <f t="shared" si="173"/>
        <v>2015</v>
      </c>
      <c r="Q981" s="159">
        <f t="shared" si="174"/>
        <v>1</v>
      </c>
      <c r="R981" s="160">
        <f t="shared" si="175"/>
        <v>2.8500000000349246</v>
      </c>
      <c r="S981" s="158">
        <f t="shared" si="176"/>
        <v>0.38365384615854753</v>
      </c>
      <c r="T981" s="161">
        <f t="shared" si="177"/>
        <v>183.00288461762716</v>
      </c>
      <c r="U981" s="158">
        <f t="shared" si="179"/>
        <v>64.211538461538467</v>
      </c>
      <c r="V981" s="160">
        <f t="shared" si="178"/>
        <v>64</v>
      </c>
    </row>
    <row r="982" spans="1:22" x14ac:dyDescent="0.25">
      <c r="A982" s="98" t="s">
        <v>26</v>
      </c>
      <c r="B982" s="98" t="s">
        <v>47</v>
      </c>
      <c r="C982" s="98">
        <v>5</v>
      </c>
      <c r="D982" s="98">
        <v>9650</v>
      </c>
      <c r="E982" s="157">
        <v>42018.000694444447</v>
      </c>
      <c r="F982" s="157">
        <v>42018.052083333336</v>
      </c>
      <c r="G982" s="98">
        <v>200</v>
      </c>
      <c r="H982" s="98">
        <v>520</v>
      </c>
      <c r="I982" s="98">
        <v>477</v>
      </c>
      <c r="J982" s="98" t="s">
        <v>2035</v>
      </c>
      <c r="K982" s="98" t="s">
        <v>2362</v>
      </c>
      <c r="L982" s="105" t="str">
        <f t="shared" si="170"/>
        <v>Ghent</v>
      </c>
      <c r="M982" s="105" t="str">
        <f t="shared" si="171"/>
        <v>Derate</v>
      </c>
      <c r="N982" s="105" t="str">
        <f t="shared" si="172"/>
        <v>Coal</v>
      </c>
      <c r="O982" s="105">
        <f>IFERROR(VLOOKUP(A982,Lookup!$J$5:$P$19,7,FALSE),0)</f>
        <v>3</v>
      </c>
      <c r="P982" s="159">
        <f t="shared" si="173"/>
        <v>2015</v>
      </c>
      <c r="Q982" s="159">
        <f t="shared" si="174"/>
        <v>1</v>
      </c>
      <c r="R982" s="160">
        <f t="shared" si="175"/>
        <v>1.2333333333372138</v>
      </c>
      <c r="S982" s="158">
        <f t="shared" si="176"/>
        <v>0.75897435897674703</v>
      </c>
      <c r="T982" s="161">
        <f t="shared" si="177"/>
        <v>362.03076923190832</v>
      </c>
      <c r="U982" s="158">
        <f t="shared" si="179"/>
        <v>293.53846153846155</v>
      </c>
      <c r="V982" s="160">
        <f t="shared" si="178"/>
        <v>294</v>
      </c>
    </row>
    <row r="983" spans="1:22" x14ac:dyDescent="0.25">
      <c r="A983" s="98" t="s">
        <v>26</v>
      </c>
      <c r="B983" s="98" t="s">
        <v>17</v>
      </c>
      <c r="C983" s="98">
        <v>6</v>
      </c>
      <c r="D983" s="98">
        <v>340</v>
      </c>
      <c r="E983" s="157">
        <v>42020.003472222219</v>
      </c>
      <c r="F983" s="157">
        <v>42020.177083333336</v>
      </c>
      <c r="G983" s="98">
        <v>460</v>
      </c>
      <c r="H983" s="98">
        <v>520</v>
      </c>
      <c r="I983" s="98">
        <v>477</v>
      </c>
      <c r="J983" s="98" t="s">
        <v>1970</v>
      </c>
      <c r="K983" s="98" t="s">
        <v>2363</v>
      </c>
      <c r="L983" s="105" t="str">
        <f t="shared" si="170"/>
        <v>Ghent</v>
      </c>
      <c r="M983" s="105" t="str">
        <f t="shared" si="171"/>
        <v>Derate</v>
      </c>
      <c r="N983" s="105" t="str">
        <f t="shared" si="172"/>
        <v>Coal</v>
      </c>
      <c r="O983" s="105">
        <f>IFERROR(VLOOKUP(A983,Lookup!$J$5:$P$19,7,FALSE),0)</f>
        <v>3</v>
      </c>
      <c r="P983" s="159">
        <f t="shared" si="173"/>
        <v>2015</v>
      </c>
      <c r="Q983" s="159">
        <f t="shared" si="174"/>
        <v>1</v>
      </c>
      <c r="R983" s="160">
        <f t="shared" si="175"/>
        <v>4.1666666668024845</v>
      </c>
      <c r="S983" s="158">
        <f t="shared" si="176"/>
        <v>0.48076923078490208</v>
      </c>
      <c r="T983" s="161">
        <f t="shared" si="177"/>
        <v>229.32692308439829</v>
      </c>
      <c r="U983" s="158">
        <f t="shared" si="179"/>
        <v>55.03846153846154</v>
      </c>
      <c r="V983" s="160">
        <f t="shared" si="178"/>
        <v>55</v>
      </c>
    </row>
    <row r="984" spans="1:22" x14ac:dyDescent="0.25">
      <c r="A984" s="98" t="s">
        <v>26</v>
      </c>
      <c r="B984" s="98" t="s">
        <v>17</v>
      </c>
      <c r="C984" s="98">
        <v>7</v>
      </c>
      <c r="D984" s="98">
        <v>320</v>
      </c>
      <c r="E984" s="157">
        <v>42020.603472222225</v>
      </c>
      <c r="F984" s="157">
        <v>42020.75</v>
      </c>
      <c r="G984" s="98">
        <v>430</v>
      </c>
      <c r="H984" s="98">
        <v>520</v>
      </c>
      <c r="I984" s="98">
        <v>477</v>
      </c>
      <c r="J984" s="98" t="s">
        <v>1992</v>
      </c>
      <c r="K984" s="98" t="s">
        <v>2364</v>
      </c>
      <c r="L984" s="105" t="str">
        <f t="shared" si="170"/>
        <v>Ghent</v>
      </c>
      <c r="M984" s="105" t="str">
        <f t="shared" si="171"/>
        <v>Derate</v>
      </c>
      <c r="N984" s="105" t="str">
        <f t="shared" si="172"/>
        <v>Coal</v>
      </c>
      <c r="O984" s="105">
        <f>IFERROR(VLOOKUP(A984,Lookup!$J$5:$P$19,7,FALSE),0)</f>
        <v>3</v>
      </c>
      <c r="P984" s="159">
        <f t="shared" si="173"/>
        <v>2015</v>
      </c>
      <c r="Q984" s="159">
        <f t="shared" si="174"/>
        <v>1</v>
      </c>
      <c r="R984" s="160">
        <f t="shared" si="175"/>
        <v>3.5166666666045785</v>
      </c>
      <c r="S984" s="158">
        <f t="shared" si="176"/>
        <v>0.60865384614310014</v>
      </c>
      <c r="T984" s="161">
        <f t="shared" si="177"/>
        <v>290.32788461025876</v>
      </c>
      <c r="U984" s="158">
        <f t="shared" si="179"/>
        <v>82.557692307692307</v>
      </c>
      <c r="V984" s="160">
        <f t="shared" si="178"/>
        <v>83</v>
      </c>
    </row>
    <row r="985" spans="1:22" x14ac:dyDescent="0.25">
      <c r="A985" s="98" t="s">
        <v>26</v>
      </c>
      <c r="B985" s="98" t="s">
        <v>17</v>
      </c>
      <c r="C985" s="98">
        <v>8</v>
      </c>
      <c r="D985" s="98">
        <v>340</v>
      </c>
      <c r="E985" s="157">
        <v>42022.675000000003</v>
      </c>
      <c r="F985" s="157">
        <v>42022.85833333333</v>
      </c>
      <c r="G985" s="98">
        <v>440</v>
      </c>
      <c r="H985" s="98">
        <v>520</v>
      </c>
      <c r="I985" s="98">
        <v>477</v>
      </c>
      <c r="J985" s="98" t="s">
        <v>1970</v>
      </c>
      <c r="K985" s="98" t="s">
        <v>2365</v>
      </c>
      <c r="L985" s="105" t="str">
        <f t="shared" si="170"/>
        <v>Ghent</v>
      </c>
      <c r="M985" s="105" t="str">
        <f t="shared" si="171"/>
        <v>Derate</v>
      </c>
      <c r="N985" s="105" t="str">
        <f t="shared" si="172"/>
        <v>Coal</v>
      </c>
      <c r="O985" s="105">
        <f>IFERROR(VLOOKUP(A985,Lookup!$J$5:$P$19,7,FALSE),0)</f>
        <v>3</v>
      </c>
      <c r="P985" s="159">
        <f t="shared" si="173"/>
        <v>2015</v>
      </c>
      <c r="Q985" s="159">
        <f t="shared" si="174"/>
        <v>1</v>
      </c>
      <c r="R985" s="160">
        <f t="shared" si="175"/>
        <v>4.3999999998486601</v>
      </c>
      <c r="S985" s="158">
        <f t="shared" si="176"/>
        <v>0.67692307689979381</v>
      </c>
      <c r="T985" s="161">
        <f t="shared" si="177"/>
        <v>322.89230768120166</v>
      </c>
      <c r="U985" s="158">
        <f t="shared" si="179"/>
        <v>73.384615384615387</v>
      </c>
      <c r="V985" s="160">
        <f t="shared" si="178"/>
        <v>73</v>
      </c>
    </row>
    <row r="986" spans="1:22" x14ac:dyDescent="0.25">
      <c r="A986" s="98" t="s">
        <v>26</v>
      </c>
      <c r="B986" s="98" t="s">
        <v>17</v>
      </c>
      <c r="C986" s="98">
        <v>9</v>
      </c>
      <c r="D986" s="98">
        <v>250</v>
      </c>
      <c r="E986" s="157">
        <v>42024.5</v>
      </c>
      <c r="F986" s="157">
        <v>42024.535416666666</v>
      </c>
      <c r="G986" s="98">
        <v>365</v>
      </c>
      <c r="H986" s="98">
        <v>520</v>
      </c>
      <c r="I986" s="98">
        <v>477</v>
      </c>
      <c r="J986" s="98" t="s">
        <v>1978</v>
      </c>
      <c r="K986" s="98" t="s">
        <v>2366</v>
      </c>
      <c r="L986" s="105" t="str">
        <f t="shared" si="170"/>
        <v>Ghent</v>
      </c>
      <c r="M986" s="105" t="str">
        <f t="shared" si="171"/>
        <v>Derate</v>
      </c>
      <c r="N986" s="105" t="str">
        <f t="shared" si="172"/>
        <v>Coal</v>
      </c>
      <c r="O986" s="105">
        <f>IFERROR(VLOOKUP(A986,Lookup!$J$5:$P$19,7,FALSE),0)</f>
        <v>3</v>
      </c>
      <c r="P986" s="159">
        <f t="shared" si="173"/>
        <v>2015</v>
      </c>
      <c r="Q986" s="159">
        <f t="shared" si="174"/>
        <v>1</v>
      </c>
      <c r="R986" s="160">
        <f t="shared" si="175"/>
        <v>0.84999999997671694</v>
      </c>
      <c r="S986" s="158">
        <f t="shared" si="176"/>
        <v>0.25336538460844449</v>
      </c>
      <c r="T986" s="161">
        <f t="shared" si="177"/>
        <v>120.85528845822802</v>
      </c>
      <c r="U986" s="158">
        <f t="shared" si="179"/>
        <v>142.18269230769232</v>
      </c>
      <c r="V986" s="160">
        <f t="shared" si="178"/>
        <v>142</v>
      </c>
    </row>
    <row r="987" spans="1:22" x14ac:dyDescent="0.25">
      <c r="A987" s="98" t="s">
        <v>26</v>
      </c>
      <c r="B987" s="98" t="s">
        <v>17</v>
      </c>
      <c r="C987" s="98">
        <v>10</v>
      </c>
      <c r="D987" s="98">
        <v>250</v>
      </c>
      <c r="E987" s="157">
        <v>42026.147222222222</v>
      </c>
      <c r="F987" s="157">
        <v>42026.497916666667</v>
      </c>
      <c r="G987" s="98">
        <v>440</v>
      </c>
      <c r="H987" s="98">
        <v>520</v>
      </c>
      <c r="I987" s="98">
        <v>477</v>
      </c>
      <c r="J987" s="98" t="s">
        <v>1978</v>
      </c>
      <c r="K987" s="98" t="s">
        <v>2367</v>
      </c>
      <c r="L987" s="105" t="str">
        <f t="shared" si="170"/>
        <v>Ghent</v>
      </c>
      <c r="M987" s="105" t="str">
        <f t="shared" si="171"/>
        <v>Derate</v>
      </c>
      <c r="N987" s="105" t="str">
        <f t="shared" si="172"/>
        <v>Coal</v>
      </c>
      <c r="O987" s="105">
        <f>IFERROR(VLOOKUP(A987,Lookup!$J$5:$P$19,7,FALSE),0)</f>
        <v>3</v>
      </c>
      <c r="P987" s="159">
        <f t="shared" si="173"/>
        <v>2015</v>
      </c>
      <c r="Q987" s="159">
        <f t="shared" si="174"/>
        <v>1</v>
      </c>
      <c r="R987" s="160">
        <f t="shared" si="175"/>
        <v>8.4166666666860692</v>
      </c>
      <c r="S987" s="158">
        <f t="shared" si="176"/>
        <v>1.2948717948747799</v>
      </c>
      <c r="T987" s="161">
        <f t="shared" si="177"/>
        <v>617.65384615527</v>
      </c>
      <c r="U987" s="158">
        <f t="shared" si="179"/>
        <v>73.384615384615387</v>
      </c>
      <c r="V987" s="160">
        <f t="shared" si="178"/>
        <v>73</v>
      </c>
    </row>
    <row r="988" spans="1:22" x14ac:dyDescent="0.25">
      <c r="A988" s="98" t="s">
        <v>26</v>
      </c>
      <c r="B988" s="98" t="s">
        <v>32</v>
      </c>
      <c r="C988" s="98">
        <v>11</v>
      </c>
      <c r="D988" s="98">
        <v>340</v>
      </c>
      <c r="E988" s="157">
        <v>42026.916666666664</v>
      </c>
      <c r="F988" s="157">
        <v>42027.12777777778</v>
      </c>
      <c r="G988" s="98">
        <v>440</v>
      </c>
      <c r="H988" s="98">
        <v>520</v>
      </c>
      <c r="I988" s="98">
        <v>477</v>
      </c>
      <c r="J988" s="98" t="s">
        <v>1970</v>
      </c>
      <c r="K988" s="98" t="s">
        <v>2368</v>
      </c>
      <c r="L988" s="105" t="str">
        <f t="shared" si="170"/>
        <v>Ghent</v>
      </c>
      <c r="M988" s="105" t="str">
        <f t="shared" si="171"/>
        <v>Derate</v>
      </c>
      <c r="N988" s="105" t="str">
        <f t="shared" si="172"/>
        <v>Coal</v>
      </c>
      <c r="O988" s="105">
        <f>IFERROR(VLOOKUP(A988,Lookup!$J$5:$P$19,7,FALSE),0)</f>
        <v>3</v>
      </c>
      <c r="P988" s="159">
        <f t="shared" si="173"/>
        <v>2015</v>
      </c>
      <c r="Q988" s="159">
        <f t="shared" si="174"/>
        <v>1</v>
      </c>
      <c r="R988" s="160">
        <f t="shared" si="175"/>
        <v>5.0666666667675599</v>
      </c>
      <c r="S988" s="158">
        <f t="shared" si="176"/>
        <v>0.77948717950270152</v>
      </c>
      <c r="T988" s="161">
        <f t="shared" si="177"/>
        <v>371.8153846227886</v>
      </c>
      <c r="U988" s="158">
        <f t="shared" si="179"/>
        <v>73.384615384615387</v>
      </c>
      <c r="V988" s="160">
        <f t="shared" si="178"/>
        <v>73</v>
      </c>
    </row>
    <row r="989" spans="1:22" x14ac:dyDescent="0.25">
      <c r="A989" s="98" t="s">
        <v>26</v>
      </c>
      <c r="B989" s="98" t="s">
        <v>15</v>
      </c>
      <c r="C989" s="98">
        <v>12</v>
      </c>
      <c r="D989" s="98">
        <v>1040</v>
      </c>
      <c r="E989" s="157">
        <v>42045.394444444442</v>
      </c>
      <c r="F989" s="157">
        <v>42046.421527777777</v>
      </c>
      <c r="G989" s="98">
        <v>0</v>
      </c>
      <c r="H989" s="98">
        <v>520</v>
      </c>
      <c r="I989" s="98">
        <v>477</v>
      </c>
      <c r="J989" s="98" t="s">
        <v>2001</v>
      </c>
      <c r="K989" s="98" t="s">
        <v>2369</v>
      </c>
      <c r="L989" s="105" t="str">
        <f t="shared" si="170"/>
        <v>Ghent</v>
      </c>
      <c r="M989" s="105" t="str">
        <f t="shared" si="171"/>
        <v>Outage</v>
      </c>
      <c r="N989" s="105" t="str">
        <f t="shared" si="172"/>
        <v>Coal</v>
      </c>
      <c r="O989" s="105">
        <f>IFERROR(VLOOKUP(A989,Lookup!$J$5:$P$19,7,FALSE),0)</f>
        <v>3</v>
      </c>
      <c r="P989" s="159">
        <f t="shared" si="173"/>
        <v>2015</v>
      </c>
      <c r="Q989" s="159">
        <f t="shared" si="174"/>
        <v>2</v>
      </c>
      <c r="R989" s="160">
        <f t="shared" si="175"/>
        <v>24.650000000023283</v>
      </c>
      <c r="S989" s="158">
        <f t="shared" si="176"/>
        <v>24.650000000023283</v>
      </c>
      <c r="T989" s="161">
        <f t="shared" si="177"/>
        <v>11758.050000011106</v>
      </c>
      <c r="U989" s="158">
        <f t="shared" si="179"/>
        <v>477</v>
      </c>
      <c r="V989" s="160">
        <f t="shared" si="178"/>
        <v>477</v>
      </c>
    </row>
    <row r="990" spans="1:22" x14ac:dyDescent="0.25">
      <c r="A990" s="98" t="s">
        <v>26</v>
      </c>
      <c r="B990" s="98" t="s">
        <v>17</v>
      </c>
      <c r="C990" s="98">
        <v>13</v>
      </c>
      <c r="D990" s="98">
        <v>1850</v>
      </c>
      <c r="E990" s="157">
        <v>42046.76666666667</v>
      </c>
      <c r="F990" s="157">
        <v>42046.868055555555</v>
      </c>
      <c r="G990" s="98">
        <v>470</v>
      </c>
      <c r="H990" s="98">
        <v>520</v>
      </c>
      <c r="I990" s="98">
        <v>477</v>
      </c>
      <c r="J990" s="98" t="s">
        <v>2263</v>
      </c>
      <c r="K990" s="98" t="s">
        <v>2370</v>
      </c>
      <c r="L990" s="105" t="str">
        <f t="shared" si="170"/>
        <v>Ghent</v>
      </c>
      <c r="M990" s="105" t="str">
        <f t="shared" si="171"/>
        <v>Derate</v>
      </c>
      <c r="N990" s="105" t="str">
        <f t="shared" si="172"/>
        <v>Coal</v>
      </c>
      <c r="O990" s="105">
        <f>IFERROR(VLOOKUP(A990,Lookup!$J$5:$P$19,7,FALSE),0)</f>
        <v>3</v>
      </c>
      <c r="P990" s="159">
        <f t="shared" si="173"/>
        <v>2015</v>
      </c>
      <c r="Q990" s="159">
        <f t="shared" si="174"/>
        <v>2</v>
      </c>
      <c r="R990" s="160">
        <f t="shared" si="175"/>
        <v>2.4333333332324401</v>
      </c>
      <c r="S990" s="158">
        <f t="shared" si="176"/>
        <v>0.23397435896465771</v>
      </c>
      <c r="T990" s="161">
        <f t="shared" si="177"/>
        <v>111.60576922614173</v>
      </c>
      <c r="U990" s="158">
        <f t="shared" si="179"/>
        <v>45.865384615384613</v>
      </c>
      <c r="V990" s="160">
        <f t="shared" si="178"/>
        <v>46</v>
      </c>
    </row>
    <row r="991" spans="1:22" x14ac:dyDescent="0.25">
      <c r="A991" s="98" t="s">
        <v>26</v>
      </c>
      <c r="B991" s="98" t="s">
        <v>38</v>
      </c>
      <c r="C991" s="98">
        <v>14</v>
      </c>
      <c r="D991" s="98">
        <v>4400</v>
      </c>
      <c r="E991" s="157">
        <v>42063.642361111109</v>
      </c>
      <c r="F991" s="157">
        <v>42130.397916666669</v>
      </c>
      <c r="G991" s="98">
        <v>0</v>
      </c>
      <c r="H991" s="98">
        <v>520</v>
      </c>
      <c r="I991" s="98">
        <v>477</v>
      </c>
      <c r="J991" s="98" t="s">
        <v>2079</v>
      </c>
      <c r="K991" s="98" t="s">
        <v>2371</v>
      </c>
      <c r="L991" s="105" t="str">
        <f t="shared" si="170"/>
        <v>Ghent</v>
      </c>
      <c r="M991" s="105" t="str">
        <f t="shared" si="171"/>
        <v>Other</v>
      </c>
      <c r="N991" s="105" t="str">
        <f t="shared" si="172"/>
        <v>Coal</v>
      </c>
      <c r="O991" s="105">
        <f>IFERROR(VLOOKUP(A991,Lookup!$J$5:$P$19,7,FALSE),0)</f>
        <v>3</v>
      </c>
      <c r="P991" s="159">
        <f t="shared" si="173"/>
        <v>2015</v>
      </c>
      <c r="Q991" s="159">
        <f t="shared" si="174"/>
        <v>2</v>
      </c>
      <c r="R991" s="160">
        <f t="shared" si="175"/>
        <v>1602.1333333334187</v>
      </c>
      <c r="S991" s="158">
        <f t="shared" si="176"/>
        <v>1602.1333333334187</v>
      </c>
      <c r="T991" s="161">
        <f t="shared" si="177"/>
        <v>764217.60000004072</v>
      </c>
      <c r="U991" s="158">
        <f t="shared" si="179"/>
        <v>477</v>
      </c>
      <c r="V991" s="160">
        <f t="shared" si="178"/>
        <v>477</v>
      </c>
    </row>
    <row r="992" spans="1:22" x14ac:dyDescent="0.25">
      <c r="A992" s="98" t="s">
        <v>26</v>
      </c>
      <c r="B992" s="98" t="s">
        <v>17</v>
      </c>
      <c r="C992" s="98">
        <v>15</v>
      </c>
      <c r="D992" s="98">
        <v>1850</v>
      </c>
      <c r="E992" s="157">
        <v>42132.397916666669</v>
      </c>
      <c r="F992" s="157">
        <v>42132.770833333336</v>
      </c>
      <c r="G992" s="98">
        <v>490</v>
      </c>
      <c r="H992" s="98">
        <v>520</v>
      </c>
      <c r="I992" s="98">
        <v>477</v>
      </c>
      <c r="J992" s="98" t="s">
        <v>2263</v>
      </c>
      <c r="K992" s="98" t="s">
        <v>2372</v>
      </c>
      <c r="L992" s="105" t="str">
        <f t="shared" si="170"/>
        <v>Ghent</v>
      </c>
      <c r="M992" s="105" t="str">
        <f t="shared" si="171"/>
        <v>Derate</v>
      </c>
      <c r="N992" s="105" t="str">
        <f t="shared" si="172"/>
        <v>Coal</v>
      </c>
      <c r="O992" s="105">
        <f>IFERROR(VLOOKUP(A992,Lookup!$J$5:$P$19,7,FALSE),0)</f>
        <v>3</v>
      </c>
      <c r="P992" s="159">
        <f t="shared" si="173"/>
        <v>2015</v>
      </c>
      <c r="Q992" s="159">
        <f t="shared" si="174"/>
        <v>5</v>
      </c>
      <c r="R992" s="160">
        <f t="shared" si="175"/>
        <v>8.9500000000116415</v>
      </c>
      <c r="S992" s="158">
        <f t="shared" si="176"/>
        <v>0.51634615384682547</v>
      </c>
      <c r="T992" s="161">
        <f t="shared" si="177"/>
        <v>246.29711538493575</v>
      </c>
      <c r="U992" s="158">
        <f t="shared" si="179"/>
        <v>27.51923076923077</v>
      </c>
      <c r="V992" s="160">
        <f t="shared" si="178"/>
        <v>28</v>
      </c>
    </row>
    <row r="993" spans="1:22" x14ac:dyDescent="0.25">
      <c r="A993" s="98" t="s">
        <v>26</v>
      </c>
      <c r="B993" s="98" t="s">
        <v>17</v>
      </c>
      <c r="C993" s="98">
        <v>16</v>
      </c>
      <c r="D993" s="98">
        <v>550</v>
      </c>
      <c r="E993" s="157">
        <v>42132.506249999999</v>
      </c>
      <c r="F993" s="157">
        <v>42132.711805555555</v>
      </c>
      <c r="G993" s="98">
        <v>479</v>
      </c>
      <c r="H993" s="98">
        <v>520</v>
      </c>
      <c r="I993" s="98">
        <v>477</v>
      </c>
      <c r="J993" s="98" t="s">
        <v>2373</v>
      </c>
      <c r="K993" s="98" t="s">
        <v>2374</v>
      </c>
      <c r="L993" s="105" t="str">
        <f t="shared" si="170"/>
        <v>Ghent</v>
      </c>
      <c r="M993" s="105" t="str">
        <f t="shared" si="171"/>
        <v>Derate</v>
      </c>
      <c r="N993" s="105" t="str">
        <f t="shared" si="172"/>
        <v>Coal</v>
      </c>
      <c r="O993" s="105">
        <f>IFERROR(VLOOKUP(A993,Lookup!$J$5:$P$19,7,FALSE),0)</f>
        <v>3</v>
      </c>
      <c r="P993" s="159">
        <f t="shared" si="173"/>
        <v>2015</v>
      </c>
      <c r="Q993" s="159">
        <f t="shared" si="174"/>
        <v>5</v>
      </c>
      <c r="R993" s="160">
        <f t="shared" si="175"/>
        <v>4.9333333333488554</v>
      </c>
      <c r="S993" s="158">
        <f t="shared" si="176"/>
        <v>0.3889743589755828</v>
      </c>
      <c r="T993" s="161">
        <f t="shared" si="177"/>
        <v>185.54076923135298</v>
      </c>
      <c r="U993" s="158">
        <f t="shared" si="179"/>
        <v>37.609615384615381</v>
      </c>
      <c r="V993" s="160">
        <f t="shared" si="178"/>
        <v>38</v>
      </c>
    </row>
    <row r="994" spans="1:22" x14ac:dyDescent="0.25">
      <c r="A994" s="98" t="s">
        <v>26</v>
      </c>
      <c r="B994" s="98" t="s">
        <v>17</v>
      </c>
      <c r="C994" s="98">
        <v>17</v>
      </c>
      <c r="D994" s="98">
        <v>1455</v>
      </c>
      <c r="E994" s="157">
        <v>42139.574305555558</v>
      </c>
      <c r="F994" s="157">
        <v>42139.584722222222</v>
      </c>
      <c r="G994" s="98">
        <v>510</v>
      </c>
      <c r="H994" s="98">
        <v>520</v>
      </c>
      <c r="I994" s="98">
        <v>477</v>
      </c>
      <c r="J994" s="98" t="s">
        <v>1990</v>
      </c>
      <c r="K994" s="98" t="s">
        <v>2375</v>
      </c>
      <c r="L994" s="105" t="str">
        <f t="shared" si="170"/>
        <v>Ghent</v>
      </c>
      <c r="M994" s="105" t="str">
        <f t="shared" si="171"/>
        <v>Derate</v>
      </c>
      <c r="N994" s="105" t="str">
        <f t="shared" si="172"/>
        <v>Coal</v>
      </c>
      <c r="O994" s="105">
        <f>IFERROR(VLOOKUP(A994,Lookup!$J$5:$P$19,7,FALSE),0)</f>
        <v>3</v>
      </c>
      <c r="P994" s="159">
        <f t="shared" si="173"/>
        <v>2015</v>
      </c>
      <c r="Q994" s="159">
        <f t="shared" si="174"/>
        <v>5</v>
      </c>
      <c r="R994" s="160">
        <f t="shared" si="175"/>
        <v>0.24999999994179234</v>
      </c>
      <c r="S994" s="158">
        <f t="shared" si="176"/>
        <v>4.8076923065729299E-3</v>
      </c>
      <c r="T994" s="161">
        <f t="shared" si="177"/>
        <v>2.2932692302352877</v>
      </c>
      <c r="U994" s="158">
        <f t="shared" si="179"/>
        <v>9.1730769230769234</v>
      </c>
      <c r="V994" s="160">
        <f t="shared" si="178"/>
        <v>9</v>
      </c>
    </row>
    <row r="995" spans="1:22" x14ac:dyDescent="0.25">
      <c r="A995" s="98" t="s">
        <v>26</v>
      </c>
      <c r="B995" s="98" t="s">
        <v>15</v>
      </c>
      <c r="C995" s="98">
        <v>18</v>
      </c>
      <c r="D995" s="98">
        <v>4293</v>
      </c>
      <c r="E995" s="157">
        <v>42142.644444444442</v>
      </c>
      <c r="F995" s="157">
        <v>42142.921527777777</v>
      </c>
      <c r="G995" s="98">
        <v>0</v>
      </c>
      <c r="H995" s="98">
        <v>520</v>
      </c>
      <c r="I995" s="98">
        <v>477</v>
      </c>
      <c r="J995" s="98" t="s">
        <v>2011</v>
      </c>
      <c r="K995" s="98" t="s">
        <v>2376</v>
      </c>
      <c r="L995" s="105" t="str">
        <f t="shared" si="170"/>
        <v>Ghent</v>
      </c>
      <c r="M995" s="105" t="str">
        <f t="shared" si="171"/>
        <v>Outage</v>
      </c>
      <c r="N995" s="105" t="str">
        <f t="shared" si="172"/>
        <v>Coal</v>
      </c>
      <c r="O995" s="105">
        <f>IFERROR(VLOOKUP(A995,Lookup!$J$5:$P$19,7,FALSE),0)</f>
        <v>3</v>
      </c>
      <c r="P995" s="159">
        <f t="shared" si="173"/>
        <v>2015</v>
      </c>
      <c r="Q995" s="159">
        <f t="shared" si="174"/>
        <v>5</v>
      </c>
      <c r="R995" s="160">
        <f t="shared" si="175"/>
        <v>6.6500000000232831</v>
      </c>
      <c r="S995" s="158">
        <f t="shared" si="176"/>
        <v>6.6500000000232831</v>
      </c>
      <c r="T995" s="161">
        <f t="shared" si="177"/>
        <v>3172.050000011106</v>
      </c>
      <c r="U995" s="158">
        <f t="shared" si="179"/>
        <v>477</v>
      </c>
      <c r="V995" s="160">
        <f t="shared" si="178"/>
        <v>477</v>
      </c>
    </row>
    <row r="996" spans="1:22" x14ac:dyDescent="0.25">
      <c r="A996" s="98" t="s">
        <v>26</v>
      </c>
      <c r="B996" s="98" t="s">
        <v>17</v>
      </c>
      <c r="C996" s="98">
        <v>19</v>
      </c>
      <c r="D996" s="98">
        <v>1850</v>
      </c>
      <c r="E996" s="157">
        <v>42143.423611111109</v>
      </c>
      <c r="F996" s="157">
        <v>42143.537499999999</v>
      </c>
      <c r="G996" s="98">
        <v>494</v>
      </c>
      <c r="H996" s="98">
        <v>520</v>
      </c>
      <c r="I996" s="98">
        <v>477</v>
      </c>
      <c r="J996" s="98" t="s">
        <v>2263</v>
      </c>
      <c r="K996" s="98" t="s">
        <v>2377</v>
      </c>
      <c r="L996" s="105" t="str">
        <f t="shared" si="170"/>
        <v>Ghent</v>
      </c>
      <c r="M996" s="105" t="str">
        <f t="shared" si="171"/>
        <v>Derate</v>
      </c>
      <c r="N996" s="105" t="str">
        <f t="shared" si="172"/>
        <v>Coal</v>
      </c>
      <c r="O996" s="105">
        <f>IFERROR(VLOOKUP(A996,Lookup!$J$5:$P$19,7,FALSE),0)</f>
        <v>3</v>
      </c>
      <c r="P996" s="159">
        <f t="shared" si="173"/>
        <v>2015</v>
      </c>
      <c r="Q996" s="159">
        <f t="shared" si="174"/>
        <v>5</v>
      </c>
      <c r="R996" s="160">
        <f t="shared" si="175"/>
        <v>2.7333333333372138</v>
      </c>
      <c r="S996" s="158">
        <f t="shared" si="176"/>
        <v>0.1366666666668607</v>
      </c>
      <c r="T996" s="161">
        <f t="shared" si="177"/>
        <v>65.190000000092553</v>
      </c>
      <c r="U996" s="158">
        <f t="shared" si="179"/>
        <v>23.85</v>
      </c>
      <c r="V996" s="160">
        <f t="shared" si="178"/>
        <v>24</v>
      </c>
    </row>
    <row r="997" spans="1:22" x14ac:dyDescent="0.25">
      <c r="A997" s="98" t="s">
        <v>26</v>
      </c>
      <c r="B997" s="98" t="s">
        <v>20</v>
      </c>
      <c r="C997" s="98">
        <v>20</v>
      </c>
      <c r="D997" s="98">
        <v>4262</v>
      </c>
      <c r="E997" s="157">
        <v>42144.81527777778</v>
      </c>
      <c r="F997" s="157">
        <v>42147.1</v>
      </c>
      <c r="G997" s="98">
        <v>0</v>
      </c>
      <c r="H997" s="98">
        <v>520</v>
      </c>
      <c r="I997" s="98">
        <v>477</v>
      </c>
      <c r="J997" s="98" t="s">
        <v>2003</v>
      </c>
      <c r="K997" s="98" t="s">
        <v>2378</v>
      </c>
      <c r="L997" s="105" t="str">
        <f t="shared" si="170"/>
        <v>Ghent</v>
      </c>
      <c r="M997" s="105" t="str">
        <f t="shared" si="171"/>
        <v>Maintenance</v>
      </c>
      <c r="N997" s="105" t="str">
        <f t="shared" si="172"/>
        <v>Coal</v>
      </c>
      <c r="O997" s="105">
        <f>IFERROR(VLOOKUP(A997,Lookup!$J$5:$P$19,7,FALSE),0)</f>
        <v>3</v>
      </c>
      <c r="P997" s="159">
        <f t="shared" si="173"/>
        <v>2015</v>
      </c>
      <c r="Q997" s="159">
        <f t="shared" si="174"/>
        <v>5</v>
      </c>
      <c r="R997" s="160">
        <f t="shared" si="175"/>
        <v>54.833333333255723</v>
      </c>
      <c r="S997" s="158">
        <f t="shared" si="176"/>
        <v>54.833333333255723</v>
      </c>
      <c r="T997" s="161">
        <f t="shared" si="177"/>
        <v>26155.49999996298</v>
      </c>
      <c r="U997" s="158">
        <f t="shared" si="179"/>
        <v>477</v>
      </c>
      <c r="V997" s="160">
        <f t="shared" si="178"/>
        <v>477</v>
      </c>
    </row>
    <row r="998" spans="1:22" x14ac:dyDescent="0.25">
      <c r="A998" s="98" t="s">
        <v>26</v>
      </c>
      <c r="B998" s="98" t="s">
        <v>32</v>
      </c>
      <c r="C998" s="98">
        <v>21</v>
      </c>
      <c r="D998" s="98">
        <v>1480</v>
      </c>
      <c r="E998" s="157">
        <v>42153.959027777775</v>
      </c>
      <c r="F998" s="157">
        <v>42154.072222222225</v>
      </c>
      <c r="G998" s="98">
        <v>450</v>
      </c>
      <c r="H998" s="98">
        <v>520</v>
      </c>
      <c r="I998" s="98">
        <v>477</v>
      </c>
      <c r="J998" s="98" t="s">
        <v>1972</v>
      </c>
      <c r="K998" s="98" t="s">
        <v>2379</v>
      </c>
      <c r="L998" s="105" t="str">
        <f t="shared" si="170"/>
        <v>Ghent</v>
      </c>
      <c r="M998" s="105" t="str">
        <f t="shared" si="171"/>
        <v>Derate</v>
      </c>
      <c r="N998" s="105" t="str">
        <f t="shared" si="172"/>
        <v>Coal</v>
      </c>
      <c r="O998" s="105">
        <f>IFERROR(VLOOKUP(A998,Lookup!$J$5:$P$19,7,FALSE),0)</f>
        <v>3</v>
      </c>
      <c r="P998" s="159">
        <f t="shared" si="173"/>
        <v>2015</v>
      </c>
      <c r="Q998" s="159">
        <f t="shared" si="174"/>
        <v>5</v>
      </c>
      <c r="R998" s="160">
        <f t="shared" si="175"/>
        <v>2.716666666790843</v>
      </c>
      <c r="S998" s="158">
        <f t="shared" si="176"/>
        <v>0.36570512822184426</v>
      </c>
      <c r="T998" s="161">
        <f t="shared" si="177"/>
        <v>174.44134616181972</v>
      </c>
      <c r="U998" s="158">
        <f t="shared" si="179"/>
        <v>64.211538461538467</v>
      </c>
      <c r="V998" s="160">
        <f t="shared" si="178"/>
        <v>64</v>
      </c>
    </row>
    <row r="999" spans="1:22" x14ac:dyDescent="0.25">
      <c r="A999" s="98" t="s">
        <v>26</v>
      </c>
      <c r="B999" s="98" t="s">
        <v>20</v>
      </c>
      <c r="C999" s="98">
        <v>22</v>
      </c>
      <c r="D999" s="98">
        <v>4420</v>
      </c>
      <c r="E999" s="157">
        <v>42161.870833333334</v>
      </c>
      <c r="F999" s="157">
        <v>42162.833333333336</v>
      </c>
      <c r="G999" s="98">
        <v>0</v>
      </c>
      <c r="H999" s="98">
        <v>520</v>
      </c>
      <c r="I999" s="98">
        <v>477</v>
      </c>
      <c r="J999" s="98" t="s">
        <v>2028</v>
      </c>
      <c r="K999" s="98" t="s">
        <v>2380</v>
      </c>
      <c r="L999" s="105" t="str">
        <f t="shared" ref="L999:L1062" si="180">IF(OR(A999="BR1",A999="BR2",A999="BR3",A999="BR5",A999="BR6",A999="BR7",A999="BR8",A999="BR9",A999="BR10",A999="BR11"),"Brown",IF(OR(A999="CR4",A999="CR5",A999="CR6",A999="CR11"),"Cane Run",IF(OR(A999="GH1",A999="GH2",A999="GH3",A999="GH4"),"Ghent",IF(OR(A999="GR3",A999="GR4"),"Green River",IF(OR(A999="MC1",A999="MC2",A999="MC3",A999="MC4"),"Mill Creek",IF(OR(A999="TC1",A999="TC2",A999="TC5",A999="TC6",A999="TC7",A999="TC8",A999="TC9",A999="TC10"),"Trimble",IF(A999="TY3","Tyrone",IF(OR(A999="HA1",A999="HA2",A999="HA3"),"Haeflin",IF(OR(A999="PR11",A999="PR12",A999="PR13"),"Paddy's Run","Zorn")))))))))</f>
        <v>Ghent</v>
      </c>
      <c r="M999" s="105" t="str">
        <f t="shared" ref="M999:M1062" si="181">IF(OR(B999="D1",B999="D2",B999="D3",B999="D4",B999="PD"),"Derate",IF(OR(B999="SF",B999="U1",B999="U2",B999="U3"),"Outage",IF(OR(B999="ME",B999="MO"),"Maintenance","Other")))</f>
        <v>Maintenance</v>
      </c>
      <c r="N999" s="105" t="str">
        <f t="shared" ref="N999:N1062" si="182">IF(OR(A999="BR1",A999="BR2",A999="BR3",A999="CR4",A999="CR5",A999="CR6",A999="GH1",A999="GH2",A999="GH3",A999="GH4",A999="GR3",A999="GR4",A999="MC1",A999="MC2",A999="MC3",A999="MC4",A999="TC1",A999="TC2",A999="TY3"),"Coal","Gas")</f>
        <v>Coal</v>
      </c>
      <c r="O999" s="105">
        <f>IFERROR(VLOOKUP(A999,Lookup!$J$5:$P$19,7,FALSE),0)</f>
        <v>3</v>
      </c>
      <c r="P999" s="159">
        <f t="shared" ref="P999:P1062" si="183">YEAR(E999)</f>
        <v>2015</v>
      </c>
      <c r="Q999" s="159">
        <f t="shared" ref="Q999:Q1062" si="184">MONTH(E999)</f>
        <v>6</v>
      </c>
      <c r="R999" s="160">
        <f t="shared" ref="R999:R1062" si="185">(F999-E999)*24</f>
        <v>23.100000000034925</v>
      </c>
      <c r="S999" s="158">
        <f t="shared" ref="S999:S1062" si="186">R999*(H999-G999)/H999</f>
        <v>23.100000000034925</v>
      </c>
      <c r="T999" s="161">
        <f t="shared" ref="T999:T1062" si="187">S999*I999</f>
        <v>11018.700000016659</v>
      </c>
      <c r="U999" s="158">
        <f t="shared" ref="U999:U1062" si="188">IF(G999&gt;0,MAX((H999-G999),0)*I999/H999,I999)</f>
        <v>477</v>
      </c>
      <c r="V999" s="160">
        <f t="shared" ref="V999:V1062" si="189">ROUND(U999,0)</f>
        <v>477</v>
      </c>
    </row>
    <row r="1000" spans="1:22" x14ac:dyDescent="0.25">
      <c r="A1000" s="98" t="s">
        <v>26</v>
      </c>
      <c r="B1000" s="98" t="s">
        <v>32</v>
      </c>
      <c r="C1000" s="98">
        <v>23</v>
      </c>
      <c r="D1000" s="98">
        <v>8601</v>
      </c>
      <c r="E1000" s="157">
        <v>42164.902777777781</v>
      </c>
      <c r="F1000" s="157">
        <v>42165.072916666664</v>
      </c>
      <c r="G1000" s="98">
        <v>450</v>
      </c>
      <c r="H1000" s="98">
        <v>520</v>
      </c>
      <c r="I1000" s="98">
        <v>477</v>
      </c>
      <c r="J1000" s="98" t="s">
        <v>232</v>
      </c>
      <c r="K1000" s="98" t="s">
        <v>2381</v>
      </c>
      <c r="L1000" s="105" t="str">
        <f t="shared" si="180"/>
        <v>Ghent</v>
      </c>
      <c r="M1000" s="105" t="str">
        <f t="shared" si="181"/>
        <v>Derate</v>
      </c>
      <c r="N1000" s="105" t="str">
        <f t="shared" si="182"/>
        <v>Coal</v>
      </c>
      <c r="O1000" s="105">
        <f>IFERROR(VLOOKUP(A1000,Lookup!$J$5:$P$19,7,FALSE),0)</f>
        <v>3</v>
      </c>
      <c r="P1000" s="159">
        <f t="shared" si="183"/>
        <v>2015</v>
      </c>
      <c r="Q1000" s="159">
        <f t="shared" si="184"/>
        <v>6</v>
      </c>
      <c r="R1000" s="160">
        <f t="shared" si="185"/>
        <v>4.0833333331975155</v>
      </c>
      <c r="S1000" s="158">
        <f t="shared" si="186"/>
        <v>0.54967948716120396</v>
      </c>
      <c r="T1000" s="161">
        <f t="shared" si="187"/>
        <v>262.19711537589427</v>
      </c>
      <c r="U1000" s="158">
        <f t="shared" si="188"/>
        <v>64.211538461538467</v>
      </c>
      <c r="V1000" s="160">
        <f t="shared" si="189"/>
        <v>64</v>
      </c>
    </row>
    <row r="1001" spans="1:22" x14ac:dyDescent="0.25">
      <c r="A1001" s="98" t="s">
        <v>26</v>
      </c>
      <c r="B1001" s="98" t="s">
        <v>32</v>
      </c>
      <c r="C1001" s="98">
        <v>24</v>
      </c>
      <c r="D1001" s="98">
        <v>8601</v>
      </c>
      <c r="E1001" s="157">
        <v>42165.916666666664</v>
      </c>
      <c r="F1001" s="157">
        <v>42166.074999999997</v>
      </c>
      <c r="G1001" s="98">
        <v>375</v>
      </c>
      <c r="H1001" s="98">
        <v>520</v>
      </c>
      <c r="I1001" s="98">
        <v>477</v>
      </c>
      <c r="J1001" s="98" t="s">
        <v>232</v>
      </c>
      <c r="K1001" s="98" t="s">
        <v>2382</v>
      </c>
      <c r="L1001" s="105" t="str">
        <f t="shared" si="180"/>
        <v>Ghent</v>
      </c>
      <c r="M1001" s="105" t="str">
        <f t="shared" si="181"/>
        <v>Derate</v>
      </c>
      <c r="N1001" s="105" t="str">
        <f t="shared" si="182"/>
        <v>Coal</v>
      </c>
      <c r="O1001" s="105">
        <f>IFERROR(VLOOKUP(A1001,Lookup!$J$5:$P$19,7,FALSE),0)</f>
        <v>3</v>
      </c>
      <c r="P1001" s="159">
        <f t="shared" si="183"/>
        <v>2015</v>
      </c>
      <c r="Q1001" s="159">
        <f t="shared" si="184"/>
        <v>6</v>
      </c>
      <c r="R1001" s="160">
        <f t="shared" si="185"/>
        <v>3.7999999999883585</v>
      </c>
      <c r="S1001" s="158">
        <f t="shared" si="186"/>
        <v>1.0596153846121383</v>
      </c>
      <c r="T1001" s="161">
        <f t="shared" si="187"/>
        <v>505.43653845999</v>
      </c>
      <c r="U1001" s="158">
        <f t="shared" si="188"/>
        <v>133.00961538461539</v>
      </c>
      <c r="V1001" s="160">
        <f t="shared" si="189"/>
        <v>133</v>
      </c>
    </row>
    <row r="1002" spans="1:22" x14ac:dyDescent="0.25">
      <c r="A1002" s="98" t="s">
        <v>26</v>
      </c>
      <c r="B1002" s="98" t="s">
        <v>32</v>
      </c>
      <c r="C1002" s="98">
        <v>25</v>
      </c>
      <c r="D1002" s="98">
        <v>1455</v>
      </c>
      <c r="E1002" s="157">
        <v>42172.958333333336</v>
      </c>
      <c r="F1002" s="157">
        <v>42173.125</v>
      </c>
      <c r="G1002" s="98">
        <v>460</v>
      </c>
      <c r="H1002" s="98">
        <v>520</v>
      </c>
      <c r="I1002" s="98">
        <v>477</v>
      </c>
      <c r="J1002" s="98" t="s">
        <v>1990</v>
      </c>
      <c r="K1002" s="98" t="s">
        <v>2383</v>
      </c>
      <c r="L1002" s="105" t="str">
        <f t="shared" si="180"/>
        <v>Ghent</v>
      </c>
      <c r="M1002" s="105" t="str">
        <f t="shared" si="181"/>
        <v>Derate</v>
      </c>
      <c r="N1002" s="105" t="str">
        <f t="shared" si="182"/>
        <v>Coal</v>
      </c>
      <c r="O1002" s="105">
        <f>IFERROR(VLOOKUP(A1002,Lookup!$J$5:$P$19,7,FALSE),0)</f>
        <v>3</v>
      </c>
      <c r="P1002" s="159">
        <f t="shared" si="183"/>
        <v>2015</v>
      </c>
      <c r="Q1002" s="159">
        <f t="shared" si="184"/>
        <v>6</v>
      </c>
      <c r="R1002" s="160">
        <f t="shared" si="185"/>
        <v>3.9999999999417923</v>
      </c>
      <c r="S1002" s="158">
        <f t="shared" si="186"/>
        <v>0.46153846153174527</v>
      </c>
      <c r="T1002" s="161">
        <f t="shared" si="187"/>
        <v>220.15384615064249</v>
      </c>
      <c r="U1002" s="158">
        <f t="shared" si="188"/>
        <v>55.03846153846154</v>
      </c>
      <c r="V1002" s="160">
        <f t="shared" si="189"/>
        <v>55</v>
      </c>
    </row>
    <row r="1003" spans="1:22" x14ac:dyDescent="0.25">
      <c r="A1003" s="98" t="s">
        <v>26</v>
      </c>
      <c r="B1003" s="98" t="s">
        <v>17</v>
      </c>
      <c r="C1003" s="98">
        <v>26</v>
      </c>
      <c r="D1003" s="98">
        <v>250</v>
      </c>
      <c r="E1003" s="157">
        <v>42174.481944444444</v>
      </c>
      <c r="F1003" s="157">
        <v>42174.560416666667</v>
      </c>
      <c r="G1003" s="98">
        <v>480</v>
      </c>
      <c r="H1003" s="98">
        <v>520</v>
      </c>
      <c r="I1003" s="98">
        <v>477</v>
      </c>
      <c r="J1003" s="98" t="s">
        <v>1978</v>
      </c>
      <c r="K1003" s="98" t="s">
        <v>2384</v>
      </c>
      <c r="L1003" s="105" t="str">
        <f t="shared" si="180"/>
        <v>Ghent</v>
      </c>
      <c r="M1003" s="105" t="str">
        <f t="shared" si="181"/>
        <v>Derate</v>
      </c>
      <c r="N1003" s="105" t="str">
        <f t="shared" si="182"/>
        <v>Coal</v>
      </c>
      <c r="O1003" s="105">
        <f>IFERROR(VLOOKUP(A1003,Lookup!$J$5:$P$19,7,FALSE),0)</f>
        <v>3</v>
      </c>
      <c r="P1003" s="159">
        <f t="shared" si="183"/>
        <v>2015</v>
      </c>
      <c r="Q1003" s="159">
        <f t="shared" si="184"/>
        <v>6</v>
      </c>
      <c r="R1003" s="160">
        <f t="shared" si="185"/>
        <v>1.8833333333604969</v>
      </c>
      <c r="S1003" s="158">
        <f t="shared" si="186"/>
        <v>0.14487179487388438</v>
      </c>
      <c r="T1003" s="161">
        <f t="shared" si="187"/>
        <v>69.103846154842856</v>
      </c>
      <c r="U1003" s="158">
        <f t="shared" si="188"/>
        <v>36.692307692307693</v>
      </c>
      <c r="V1003" s="160">
        <f t="shared" si="189"/>
        <v>37</v>
      </c>
    </row>
    <row r="1004" spans="1:22" x14ac:dyDescent="0.25">
      <c r="A1004" s="98" t="s">
        <v>26</v>
      </c>
      <c r="B1004" s="98" t="s">
        <v>17</v>
      </c>
      <c r="C1004" s="98">
        <v>27</v>
      </c>
      <c r="D1004" s="98">
        <v>344</v>
      </c>
      <c r="E1004" s="157">
        <v>42183.275000000001</v>
      </c>
      <c r="F1004" s="157">
        <v>42183.384027777778</v>
      </c>
      <c r="G1004" s="98">
        <v>470</v>
      </c>
      <c r="H1004" s="98">
        <v>520</v>
      </c>
      <c r="I1004" s="98">
        <v>477</v>
      </c>
      <c r="J1004" s="98" t="s">
        <v>1968</v>
      </c>
      <c r="K1004" s="98" t="s">
        <v>3313</v>
      </c>
      <c r="L1004" s="105" t="str">
        <f t="shared" si="180"/>
        <v>Ghent</v>
      </c>
      <c r="M1004" s="105" t="str">
        <f t="shared" si="181"/>
        <v>Derate</v>
      </c>
      <c r="N1004" s="105" t="str">
        <f t="shared" si="182"/>
        <v>Coal</v>
      </c>
      <c r="O1004" s="105">
        <f>IFERROR(VLOOKUP(A1004,Lookup!$J$5:$P$19,7,FALSE),0)</f>
        <v>3</v>
      </c>
      <c r="P1004" s="159">
        <f t="shared" si="183"/>
        <v>2015</v>
      </c>
      <c r="Q1004" s="159">
        <f t="shared" si="184"/>
        <v>6</v>
      </c>
      <c r="R1004" s="160">
        <f t="shared" si="185"/>
        <v>2.6166666666395031</v>
      </c>
      <c r="S1004" s="158">
        <f t="shared" si="186"/>
        <v>0.25160256409995224</v>
      </c>
      <c r="T1004" s="161">
        <f t="shared" si="187"/>
        <v>120.01442307567721</v>
      </c>
      <c r="U1004" s="158">
        <f t="shared" si="188"/>
        <v>45.865384615384613</v>
      </c>
      <c r="V1004" s="160">
        <f t="shared" si="189"/>
        <v>46</v>
      </c>
    </row>
    <row r="1005" spans="1:22" x14ac:dyDescent="0.25">
      <c r="A1005" s="98" t="s">
        <v>26</v>
      </c>
      <c r="B1005" s="98" t="s">
        <v>32</v>
      </c>
      <c r="C1005" s="98">
        <v>28</v>
      </c>
      <c r="D1005" s="98">
        <v>1980</v>
      </c>
      <c r="E1005" s="157">
        <v>42185.958333333336</v>
      </c>
      <c r="F1005" s="157">
        <v>42186.017361111109</v>
      </c>
      <c r="G1005" s="98">
        <v>460</v>
      </c>
      <c r="H1005" s="98">
        <v>520</v>
      </c>
      <c r="I1005" s="98">
        <v>477</v>
      </c>
      <c r="J1005" s="98" t="s">
        <v>2126</v>
      </c>
      <c r="K1005" s="98" t="s">
        <v>3314</v>
      </c>
      <c r="L1005" s="105" t="str">
        <f t="shared" si="180"/>
        <v>Ghent</v>
      </c>
      <c r="M1005" s="105" t="str">
        <f t="shared" si="181"/>
        <v>Derate</v>
      </c>
      <c r="N1005" s="105" t="str">
        <f t="shared" si="182"/>
        <v>Coal</v>
      </c>
      <c r="O1005" s="105">
        <f>IFERROR(VLOOKUP(A1005,Lookup!$J$5:$P$19,7,FALSE),0)</f>
        <v>3</v>
      </c>
      <c r="P1005" s="159">
        <f t="shared" si="183"/>
        <v>2015</v>
      </c>
      <c r="Q1005" s="159">
        <f t="shared" si="184"/>
        <v>6</v>
      </c>
      <c r="R1005" s="160">
        <f t="shared" si="185"/>
        <v>1.4166666665696539</v>
      </c>
      <c r="S1005" s="158">
        <f t="shared" si="186"/>
        <v>0.16346153845034467</v>
      </c>
      <c r="T1005" s="161">
        <f t="shared" si="187"/>
        <v>77.971153840814409</v>
      </c>
      <c r="U1005" s="158">
        <f t="shared" si="188"/>
        <v>55.03846153846154</v>
      </c>
      <c r="V1005" s="160">
        <f t="shared" si="189"/>
        <v>55</v>
      </c>
    </row>
    <row r="1006" spans="1:22" x14ac:dyDescent="0.25">
      <c r="A1006" s="98" t="s">
        <v>26</v>
      </c>
      <c r="B1006" s="98" t="s">
        <v>17</v>
      </c>
      <c r="C1006" s="98">
        <v>29</v>
      </c>
      <c r="D1006" s="98">
        <v>9270</v>
      </c>
      <c r="E1006" s="157">
        <v>42188.508333333331</v>
      </c>
      <c r="F1006" s="157">
        <v>42188.634027777778</v>
      </c>
      <c r="G1006" s="98">
        <v>450</v>
      </c>
      <c r="H1006" s="98">
        <v>520</v>
      </c>
      <c r="I1006" s="98">
        <v>477</v>
      </c>
      <c r="J1006" s="98" t="s">
        <v>2006</v>
      </c>
      <c r="K1006" s="98" t="s">
        <v>3315</v>
      </c>
      <c r="L1006" s="105" t="str">
        <f t="shared" si="180"/>
        <v>Ghent</v>
      </c>
      <c r="M1006" s="105" t="str">
        <f t="shared" si="181"/>
        <v>Derate</v>
      </c>
      <c r="N1006" s="105" t="str">
        <f t="shared" si="182"/>
        <v>Coal</v>
      </c>
      <c r="O1006" s="105">
        <f>IFERROR(VLOOKUP(A1006,Lookup!$J$5:$P$19,7,FALSE),0)</f>
        <v>3</v>
      </c>
      <c r="P1006" s="159">
        <f t="shared" si="183"/>
        <v>2015</v>
      </c>
      <c r="Q1006" s="159">
        <f t="shared" si="184"/>
        <v>7</v>
      </c>
      <c r="R1006" s="160">
        <f t="shared" si="185"/>
        <v>3.0166666667209938</v>
      </c>
      <c r="S1006" s="158">
        <f t="shared" si="186"/>
        <v>0.40608974359705685</v>
      </c>
      <c r="T1006" s="161">
        <f t="shared" si="187"/>
        <v>193.70480769579612</v>
      </c>
      <c r="U1006" s="158">
        <f t="shared" si="188"/>
        <v>64.211538461538467</v>
      </c>
      <c r="V1006" s="160">
        <f t="shared" si="189"/>
        <v>64</v>
      </c>
    </row>
    <row r="1007" spans="1:22" x14ac:dyDescent="0.25">
      <c r="A1007" s="98" t="s">
        <v>26</v>
      </c>
      <c r="B1007" s="98" t="s">
        <v>32</v>
      </c>
      <c r="C1007" s="98">
        <v>30</v>
      </c>
      <c r="D1007" s="98">
        <v>1470</v>
      </c>
      <c r="E1007" s="157">
        <v>42192.95</v>
      </c>
      <c r="F1007" s="157">
        <v>42193.024305555555</v>
      </c>
      <c r="G1007" s="98">
        <v>460</v>
      </c>
      <c r="H1007" s="98">
        <v>520</v>
      </c>
      <c r="I1007" s="98">
        <v>477</v>
      </c>
      <c r="J1007" s="98" t="s">
        <v>2005</v>
      </c>
      <c r="K1007" s="98" t="s">
        <v>3316</v>
      </c>
      <c r="L1007" s="105" t="str">
        <f t="shared" si="180"/>
        <v>Ghent</v>
      </c>
      <c r="M1007" s="105" t="str">
        <f t="shared" si="181"/>
        <v>Derate</v>
      </c>
      <c r="N1007" s="105" t="str">
        <f t="shared" si="182"/>
        <v>Coal</v>
      </c>
      <c r="O1007" s="105">
        <f>IFERROR(VLOOKUP(A1007,Lookup!$J$5:$P$19,7,FALSE),0)</f>
        <v>3</v>
      </c>
      <c r="P1007" s="159">
        <f t="shared" si="183"/>
        <v>2015</v>
      </c>
      <c r="Q1007" s="159">
        <f t="shared" si="184"/>
        <v>7</v>
      </c>
      <c r="R1007" s="160">
        <f t="shared" si="185"/>
        <v>1.78333333338378</v>
      </c>
      <c r="S1007" s="158">
        <f t="shared" si="186"/>
        <v>0.20576923077505155</v>
      </c>
      <c r="T1007" s="161">
        <f t="shared" si="187"/>
        <v>98.151923079699586</v>
      </c>
      <c r="U1007" s="158">
        <f t="shared" si="188"/>
        <v>55.03846153846154</v>
      </c>
      <c r="V1007" s="160">
        <f t="shared" si="189"/>
        <v>55</v>
      </c>
    </row>
    <row r="1008" spans="1:22" x14ac:dyDescent="0.25">
      <c r="A1008" s="98" t="s">
        <v>26</v>
      </c>
      <c r="B1008" s="98" t="s">
        <v>32</v>
      </c>
      <c r="C1008" s="98">
        <v>31</v>
      </c>
      <c r="D1008" s="98">
        <v>339</v>
      </c>
      <c r="E1008" s="157">
        <v>42198.911111111112</v>
      </c>
      <c r="F1008" s="157">
        <v>42199.069444444445</v>
      </c>
      <c r="G1008" s="98">
        <v>440</v>
      </c>
      <c r="H1008" s="98">
        <v>520</v>
      </c>
      <c r="I1008" s="98">
        <v>477</v>
      </c>
      <c r="J1008" s="98" t="s">
        <v>67</v>
      </c>
      <c r="K1008" s="98" t="s">
        <v>3317</v>
      </c>
      <c r="L1008" s="105" t="str">
        <f t="shared" si="180"/>
        <v>Ghent</v>
      </c>
      <c r="M1008" s="105" t="str">
        <f t="shared" si="181"/>
        <v>Derate</v>
      </c>
      <c r="N1008" s="105" t="str">
        <f t="shared" si="182"/>
        <v>Coal</v>
      </c>
      <c r="O1008" s="105">
        <f>IFERROR(VLOOKUP(A1008,Lookup!$J$5:$P$19,7,FALSE),0)</f>
        <v>3</v>
      </c>
      <c r="P1008" s="159">
        <f t="shared" si="183"/>
        <v>2015</v>
      </c>
      <c r="Q1008" s="159">
        <f t="shared" si="184"/>
        <v>7</v>
      </c>
      <c r="R1008" s="160">
        <f t="shared" si="185"/>
        <v>3.7999999999883585</v>
      </c>
      <c r="S1008" s="158">
        <f t="shared" si="186"/>
        <v>0.58461538461359364</v>
      </c>
      <c r="T1008" s="161">
        <f t="shared" si="187"/>
        <v>278.86153846068419</v>
      </c>
      <c r="U1008" s="158">
        <f t="shared" si="188"/>
        <v>73.384615384615387</v>
      </c>
      <c r="V1008" s="160">
        <f t="shared" si="189"/>
        <v>73</v>
      </c>
    </row>
    <row r="1009" spans="1:22" x14ac:dyDescent="0.25">
      <c r="A1009" s="98" t="s">
        <v>26</v>
      </c>
      <c r="B1009" s="98" t="s">
        <v>17</v>
      </c>
      <c r="C1009" s="98">
        <v>32</v>
      </c>
      <c r="D1009" s="98">
        <v>250</v>
      </c>
      <c r="E1009" s="157">
        <v>42199.199305555558</v>
      </c>
      <c r="F1009" s="157">
        <v>42199.231249999997</v>
      </c>
      <c r="G1009" s="98">
        <v>450</v>
      </c>
      <c r="H1009" s="98">
        <v>520</v>
      </c>
      <c r="I1009" s="98">
        <v>477</v>
      </c>
      <c r="J1009" s="98" t="s">
        <v>1978</v>
      </c>
      <c r="K1009" s="98" t="s">
        <v>3318</v>
      </c>
      <c r="L1009" s="105" t="str">
        <f t="shared" si="180"/>
        <v>Ghent</v>
      </c>
      <c r="M1009" s="105" t="str">
        <f t="shared" si="181"/>
        <v>Derate</v>
      </c>
      <c r="N1009" s="105" t="str">
        <f t="shared" si="182"/>
        <v>Coal</v>
      </c>
      <c r="O1009" s="105">
        <f>IFERROR(VLOOKUP(A1009,Lookup!$J$5:$P$19,7,FALSE),0)</f>
        <v>3</v>
      </c>
      <c r="P1009" s="159">
        <f t="shared" si="183"/>
        <v>2015</v>
      </c>
      <c r="Q1009" s="159">
        <f t="shared" si="184"/>
        <v>7</v>
      </c>
      <c r="R1009" s="160">
        <f t="shared" si="185"/>
        <v>0.76666666654637083</v>
      </c>
      <c r="S1009" s="158">
        <f t="shared" si="186"/>
        <v>0.10320512818893454</v>
      </c>
      <c r="T1009" s="161">
        <f t="shared" si="187"/>
        <v>49.228846146121775</v>
      </c>
      <c r="U1009" s="158">
        <f t="shared" si="188"/>
        <v>64.211538461538467</v>
      </c>
      <c r="V1009" s="160">
        <f t="shared" si="189"/>
        <v>64</v>
      </c>
    </row>
    <row r="1010" spans="1:22" x14ac:dyDescent="0.25">
      <c r="A1010" s="98" t="s">
        <v>26</v>
      </c>
      <c r="B1010" s="98" t="s">
        <v>17</v>
      </c>
      <c r="C1010" s="98">
        <v>33</v>
      </c>
      <c r="D1010" s="98">
        <v>320</v>
      </c>
      <c r="E1010" s="157">
        <v>42200.897222222222</v>
      </c>
      <c r="F1010" s="157">
        <v>42201.067361111112</v>
      </c>
      <c r="G1010" s="98">
        <v>440</v>
      </c>
      <c r="H1010" s="98">
        <v>520</v>
      </c>
      <c r="I1010" s="98">
        <v>477</v>
      </c>
      <c r="J1010" s="98" t="s">
        <v>1992</v>
      </c>
      <c r="K1010" s="98" t="s">
        <v>3319</v>
      </c>
      <c r="L1010" s="105" t="str">
        <f t="shared" si="180"/>
        <v>Ghent</v>
      </c>
      <c r="M1010" s="105" t="str">
        <f t="shared" si="181"/>
        <v>Derate</v>
      </c>
      <c r="N1010" s="105" t="str">
        <f t="shared" si="182"/>
        <v>Coal</v>
      </c>
      <c r="O1010" s="105">
        <f>IFERROR(VLOOKUP(A1010,Lookup!$J$5:$P$19,7,FALSE),0)</f>
        <v>3</v>
      </c>
      <c r="P1010" s="159">
        <f t="shared" si="183"/>
        <v>2015</v>
      </c>
      <c r="Q1010" s="159">
        <f t="shared" si="184"/>
        <v>7</v>
      </c>
      <c r="R1010" s="160">
        <f t="shared" si="185"/>
        <v>4.0833333333721384</v>
      </c>
      <c r="S1010" s="158">
        <f t="shared" si="186"/>
        <v>0.6282051282110982</v>
      </c>
      <c r="T1010" s="161">
        <f t="shared" si="187"/>
        <v>299.65384615669382</v>
      </c>
      <c r="U1010" s="158">
        <f t="shared" si="188"/>
        <v>73.384615384615387</v>
      </c>
      <c r="V1010" s="160">
        <f t="shared" si="189"/>
        <v>73</v>
      </c>
    </row>
    <row r="1011" spans="1:22" x14ac:dyDescent="0.25">
      <c r="A1011" s="98" t="s">
        <v>26</v>
      </c>
      <c r="B1011" s="98" t="s">
        <v>17</v>
      </c>
      <c r="C1011" s="98">
        <v>34</v>
      </c>
      <c r="D1011" s="98">
        <v>320</v>
      </c>
      <c r="E1011" s="157">
        <v>42201.083333333336</v>
      </c>
      <c r="F1011" s="157">
        <v>42201.133333333331</v>
      </c>
      <c r="G1011" s="98">
        <v>440</v>
      </c>
      <c r="H1011" s="98">
        <v>520</v>
      </c>
      <c r="I1011" s="98">
        <v>477</v>
      </c>
      <c r="J1011" s="98" t="s">
        <v>1992</v>
      </c>
      <c r="K1011" s="98" t="s">
        <v>3320</v>
      </c>
      <c r="L1011" s="105" t="str">
        <f t="shared" si="180"/>
        <v>Ghent</v>
      </c>
      <c r="M1011" s="105" t="str">
        <f t="shared" si="181"/>
        <v>Derate</v>
      </c>
      <c r="N1011" s="105" t="str">
        <f t="shared" si="182"/>
        <v>Coal</v>
      </c>
      <c r="O1011" s="105">
        <f>IFERROR(VLOOKUP(A1011,Lookup!$J$5:$P$19,7,FALSE),0)</f>
        <v>3</v>
      </c>
      <c r="P1011" s="159">
        <f t="shared" si="183"/>
        <v>2015</v>
      </c>
      <c r="Q1011" s="159">
        <f t="shared" si="184"/>
        <v>7</v>
      </c>
      <c r="R1011" s="160">
        <f t="shared" si="185"/>
        <v>1.1999999998952262</v>
      </c>
      <c r="S1011" s="158">
        <f t="shared" si="186"/>
        <v>0.18461538459926558</v>
      </c>
      <c r="T1011" s="161">
        <f t="shared" si="187"/>
        <v>88.061538453849678</v>
      </c>
      <c r="U1011" s="158">
        <f t="shared" si="188"/>
        <v>73.384615384615387</v>
      </c>
      <c r="V1011" s="160">
        <f t="shared" si="189"/>
        <v>73</v>
      </c>
    </row>
    <row r="1012" spans="1:22" x14ac:dyDescent="0.25">
      <c r="A1012" s="98" t="s">
        <v>26</v>
      </c>
      <c r="B1012" s="98" t="s">
        <v>15</v>
      </c>
      <c r="C1012" s="98">
        <v>35</v>
      </c>
      <c r="D1012" s="98">
        <v>8650</v>
      </c>
      <c r="E1012" s="157">
        <v>42204.396527777775</v>
      </c>
      <c r="F1012" s="157">
        <v>42204.436111111114</v>
      </c>
      <c r="G1012" s="98">
        <v>0</v>
      </c>
      <c r="H1012" s="98">
        <v>520</v>
      </c>
      <c r="I1012" s="98">
        <v>477</v>
      </c>
      <c r="J1012" s="98" t="s">
        <v>2668</v>
      </c>
      <c r="K1012" s="98" t="s">
        <v>3321</v>
      </c>
      <c r="L1012" s="105" t="str">
        <f t="shared" si="180"/>
        <v>Ghent</v>
      </c>
      <c r="M1012" s="105" t="str">
        <f t="shared" si="181"/>
        <v>Outage</v>
      </c>
      <c r="N1012" s="105" t="str">
        <f t="shared" si="182"/>
        <v>Coal</v>
      </c>
      <c r="O1012" s="105">
        <f>IFERROR(VLOOKUP(A1012,Lookup!$J$5:$P$19,7,FALSE),0)</f>
        <v>3</v>
      </c>
      <c r="P1012" s="159">
        <f t="shared" si="183"/>
        <v>2015</v>
      </c>
      <c r="Q1012" s="159">
        <f t="shared" si="184"/>
        <v>7</v>
      </c>
      <c r="R1012" s="160">
        <f t="shared" si="185"/>
        <v>0.95000000012805685</v>
      </c>
      <c r="S1012" s="158">
        <f t="shared" si="186"/>
        <v>0.95000000012805685</v>
      </c>
      <c r="T1012" s="161">
        <f t="shared" si="187"/>
        <v>453.15000006108312</v>
      </c>
      <c r="U1012" s="158">
        <f t="shared" si="188"/>
        <v>477</v>
      </c>
      <c r="V1012" s="160">
        <f t="shared" si="189"/>
        <v>477</v>
      </c>
    </row>
    <row r="1013" spans="1:22" x14ac:dyDescent="0.25">
      <c r="A1013" s="98" t="s">
        <v>26</v>
      </c>
      <c r="B1013" s="98" t="s">
        <v>17</v>
      </c>
      <c r="C1013" s="98">
        <v>36</v>
      </c>
      <c r="D1013" s="98">
        <v>340</v>
      </c>
      <c r="E1013" s="157">
        <v>42204.501388888886</v>
      </c>
      <c r="F1013" s="157">
        <v>42204.938888888886</v>
      </c>
      <c r="G1013" s="98">
        <v>480</v>
      </c>
      <c r="H1013" s="98">
        <v>520</v>
      </c>
      <c r="I1013" s="98">
        <v>477</v>
      </c>
      <c r="J1013" s="98" t="s">
        <v>1970</v>
      </c>
      <c r="K1013" s="98" t="s">
        <v>3322</v>
      </c>
      <c r="L1013" s="105" t="str">
        <f t="shared" si="180"/>
        <v>Ghent</v>
      </c>
      <c r="M1013" s="105" t="str">
        <f t="shared" si="181"/>
        <v>Derate</v>
      </c>
      <c r="N1013" s="105" t="str">
        <f t="shared" si="182"/>
        <v>Coal</v>
      </c>
      <c r="O1013" s="105">
        <f>IFERROR(VLOOKUP(A1013,Lookup!$J$5:$P$19,7,FALSE),0)</f>
        <v>3</v>
      </c>
      <c r="P1013" s="159">
        <f t="shared" si="183"/>
        <v>2015</v>
      </c>
      <c r="Q1013" s="159">
        <f t="shared" si="184"/>
        <v>7</v>
      </c>
      <c r="R1013" s="160">
        <f t="shared" si="185"/>
        <v>10.5</v>
      </c>
      <c r="S1013" s="158">
        <f t="shared" si="186"/>
        <v>0.80769230769230771</v>
      </c>
      <c r="T1013" s="161">
        <f t="shared" si="187"/>
        <v>385.26923076923077</v>
      </c>
      <c r="U1013" s="158">
        <f t="shared" si="188"/>
        <v>36.692307692307693</v>
      </c>
      <c r="V1013" s="160">
        <f t="shared" si="189"/>
        <v>37</v>
      </c>
    </row>
    <row r="1014" spans="1:22" x14ac:dyDescent="0.25">
      <c r="A1014" s="98" t="s">
        <v>26</v>
      </c>
      <c r="B1014" s="98" t="s">
        <v>17</v>
      </c>
      <c r="C1014" s="98">
        <v>37</v>
      </c>
      <c r="D1014" s="98">
        <v>1470</v>
      </c>
      <c r="E1014" s="157">
        <v>42204.938888888886</v>
      </c>
      <c r="F1014" s="157">
        <v>42205.25</v>
      </c>
      <c r="G1014" s="98">
        <v>460</v>
      </c>
      <c r="H1014" s="98">
        <v>520</v>
      </c>
      <c r="I1014" s="98">
        <v>477</v>
      </c>
      <c r="J1014" s="98" t="s">
        <v>2005</v>
      </c>
      <c r="K1014" s="98" t="s">
        <v>3323</v>
      </c>
      <c r="L1014" s="105" t="str">
        <f t="shared" si="180"/>
        <v>Ghent</v>
      </c>
      <c r="M1014" s="105" t="str">
        <f t="shared" si="181"/>
        <v>Derate</v>
      </c>
      <c r="N1014" s="105" t="str">
        <f t="shared" si="182"/>
        <v>Coal</v>
      </c>
      <c r="O1014" s="105">
        <f>IFERROR(VLOOKUP(A1014,Lookup!$J$5:$P$19,7,FALSE),0)</f>
        <v>3</v>
      </c>
      <c r="P1014" s="159">
        <f t="shared" si="183"/>
        <v>2015</v>
      </c>
      <c r="Q1014" s="159">
        <f t="shared" si="184"/>
        <v>7</v>
      </c>
      <c r="R1014" s="160">
        <f t="shared" si="185"/>
        <v>7.4666666667326353</v>
      </c>
      <c r="S1014" s="158">
        <f t="shared" si="186"/>
        <v>0.86153846154607328</v>
      </c>
      <c r="T1014" s="161">
        <f t="shared" si="187"/>
        <v>410.95384615747696</v>
      </c>
      <c r="U1014" s="158">
        <f t="shared" si="188"/>
        <v>55.03846153846154</v>
      </c>
      <c r="V1014" s="160">
        <f t="shared" si="189"/>
        <v>55</v>
      </c>
    </row>
    <row r="1015" spans="1:22" x14ac:dyDescent="0.25">
      <c r="A1015" s="98" t="s">
        <v>26</v>
      </c>
      <c r="B1015" s="98" t="s">
        <v>17</v>
      </c>
      <c r="C1015" s="98">
        <v>38</v>
      </c>
      <c r="D1015" s="98">
        <v>340</v>
      </c>
      <c r="E1015" s="157">
        <v>42205.25</v>
      </c>
      <c r="F1015" s="157">
        <v>42208.86041666667</v>
      </c>
      <c r="G1015" s="98">
        <v>460</v>
      </c>
      <c r="H1015" s="98">
        <v>520</v>
      </c>
      <c r="I1015" s="98">
        <v>477</v>
      </c>
      <c r="J1015" s="98" t="s">
        <v>1970</v>
      </c>
      <c r="K1015" s="98" t="s">
        <v>3324</v>
      </c>
      <c r="L1015" s="105" t="str">
        <f t="shared" si="180"/>
        <v>Ghent</v>
      </c>
      <c r="M1015" s="105" t="str">
        <f t="shared" si="181"/>
        <v>Derate</v>
      </c>
      <c r="N1015" s="105" t="str">
        <f t="shared" si="182"/>
        <v>Coal</v>
      </c>
      <c r="O1015" s="105">
        <f>IFERROR(VLOOKUP(A1015,Lookup!$J$5:$P$19,7,FALSE),0)</f>
        <v>3</v>
      </c>
      <c r="P1015" s="159">
        <f t="shared" si="183"/>
        <v>2015</v>
      </c>
      <c r="Q1015" s="159">
        <f t="shared" si="184"/>
        <v>7</v>
      </c>
      <c r="R1015" s="160">
        <f t="shared" si="185"/>
        <v>86.650000000081491</v>
      </c>
      <c r="S1015" s="158">
        <f t="shared" si="186"/>
        <v>9.9980769230863267</v>
      </c>
      <c r="T1015" s="161">
        <f t="shared" si="187"/>
        <v>4769.0826923121776</v>
      </c>
      <c r="U1015" s="158">
        <f t="shared" si="188"/>
        <v>55.03846153846154</v>
      </c>
      <c r="V1015" s="160">
        <f t="shared" si="189"/>
        <v>55</v>
      </c>
    </row>
    <row r="1016" spans="1:22" x14ac:dyDescent="0.25">
      <c r="A1016" s="98" t="s">
        <v>26</v>
      </c>
      <c r="B1016" s="98" t="s">
        <v>17</v>
      </c>
      <c r="C1016" s="98">
        <v>39</v>
      </c>
      <c r="D1016" s="98">
        <v>350</v>
      </c>
      <c r="E1016" s="157">
        <v>42207.240277777775</v>
      </c>
      <c r="F1016" s="157">
        <v>42207.296527777777</v>
      </c>
      <c r="G1016" s="98">
        <v>350</v>
      </c>
      <c r="H1016" s="98">
        <v>520</v>
      </c>
      <c r="I1016" s="98">
        <v>477</v>
      </c>
      <c r="J1016" s="98" t="s">
        <v>1976</v>
      </c>
      <c r="K1016" s="98" t="s">
        <v>3325</v>
      </c>
      <c r="L1016" s="105" t="str">
        <f t="shared" si="180"/>
        <v>Ghent</v>
      </c>
      <c r="M1016" s="105" t="str">
        <f t="shared" si="181"/>
        <v>Derate</v>
      </c>
      <c r="N1016" s="105" t="str">
        <f t="shared" si="182"/>
        <v>Coal</v>
      </c>
      <c r="O1016" s="105">
        <f>IFERROR(VLOOKUP(A1016,Lookup!$J$5:$P$19,7,FALSE),0)</f>
        <v>3</v>
      </c>
      <c r="P1016" s="159">
        <f t="shared" si="183"/>
        <v>2015</v>
      </c>
      <c r="Q1016" s="159">
        <f t="shared" si="184"/>
        <v>7</v>
      </c>
      <c r="R1016" s="160">
        <f t="shared" si="185"/>
        <v>1.3500000000349246</v>
      </c>
      <c r="S1016" s="158">
        <f t="shared" si="186"/>
        <v>0.44134615385757148</v>
      </c>
      <c r="T1016" s="161">
        <f t="shared" si="187"/>
        <v>210.5221153900616</v>
      </c>
      <c r="U1016" s="158">
        <f t="shared" si="188"/>
        <v>155.94230769230768</v>
      </c>
      <c r="V1016" s="160">
        <f t="shared" si="189"/>
        <v>156</v>
      </c>
    </row>
    <row r="1017" spans="1:22" x14ac:dyDescent="0.25">
      <c r="A1017" s="98" t="s">
        <v>26</v>
      </c>
      <c r="B1017" s="98" t="s">
        <v>17</v>
      </c>
      <c r="C1017" s="98">
        <v>40</v>
      </c>
      <c r="D1017" s="98">
        <v>1040</v>
      </c>
      <c r="E1017" s="157">
        <v>42220.194444444445</v>
      </c>
      <c r="F1017" s="157">
        <v>42220.26666666667</v>
      </c>
      <c r="G1017" s="98">
        <v>300</v>
      </c>
      <c r="H1017" s="98">
        <v>520</v>
      </c>
      <c r="I1017" s="98">
        <v>477</v>
      </c>
      <c r="J1017" s="98" t="s">
        <v>2001</v>
      </c>
      <c r="K1017" s="98" t="s">
        <v>3326</v>
      </c>
      <c r="L1017" s="105" t="str">
        <f t="shared" si="180"/>
        <v>Ghent</v>
      </c>
      <c r="M1017" s="105" t="str">
        <f t="shared" si="181"/>
        <v>Derate</v>
      </c>
      <c r="N1017" s="105" t="str">
        <f t="shared" si="182"/>
        <v>Coal</v>
      </c>
      <c r="O1017" s="105">
        <f>IFERROR(VLOOKUP(A1017,Lookup!$J$5:$P$19,7,FALSE),0)</f>
        <v>3</v>
      </c>
      <c r="P1017" s="159">
        <f t="shared" si="183"/>
        <v>2015</v>
      </c>
      <c r="Q1017" s="159">
        <f t="shared" si="184"/>
        <v>8</v>
      </c>
      <c r="R1017" s="160">
        <f t="shared" si="185"/>
        <v>1.7333333333954215</v>
      </c>
      <c r="S1017" s="158">
        <f t="shared" si="186"/>
        <v>0.73333333335960138</v>
      </c>
      <c r="T1017" s="161">
        <f t="shared" si="187"/>
        <v>349.80000001252984</v>
      </c>
      <c r="U1017" s="158">
        <f t="shared" si="188"/>
        <v>201.80769230769232</v>
      </c>
      <c r="V1017" s="160">
        <f t="shared" si="189"/>
        <v>202</v>
      </c>
    </row>
    <row r="1018" spans="1:22" x14ac:dyDescent="0.25">
      <c r="A1018" s="98" t="s">
        <v>26</v>
      </c>
      <c r="B1018" s="98" t="s">
        <v>33</v>
      </c>
      <c r="C1018" s="98">
        <v>41</v>
      </c>
      <c r="D1018" s="98">
        <v>1040</v>
      </c>
      <c r="E1018" s="157">
        <v>42220.26666666667</v>
      </c>
      <c r="F1018" s="157">
        <v>42221.216666666667</v>
      </c>
      <c r="G1018" s="98">
        <v>0</v>
      </c>
      <c r="H1018" s="98">
        <v>520</v>
      </c>
      <c r="I1018" s="98">
        <v>477</v>
      </c>
      <c r="J1018" s="98" t="s">
        <v>2001</v>
      </c>
      <c r="K1018" s="98" t="s">
        <v>3327</v>
      </c>
      <c r="L1018" s="105" t="str">
        <f t="shared" si="180"/>
        <v>Ghent</v>
      </c>
      <c r="M1018" s="105" t="str">
        <f t="shared" si="181"/>
        <v>Outage</v>
      </c>
      <c r="N1018" s="105" t="str">
        <f t="shared" si="182"/>
        <v>Coal</v>
      </c>
      <c r="O1018" s="105">
        <f>IFERROR(VLOOKUP(A1018,Lookup!$J$5:$P$19,7,FALSE),0)</f>
        <v>3</v>
      </c>
      <c r="P1018" s="159">
        <f t="shared" si="183"/>
        <v>2015</v>
      </c>
      <c r="Q1018" s="159">
        <f t="shared" si="184"/>
        <v>8</v>
      </c>
      <c r="R1018" s="160">
        <f t="shared" si="185"/>
        <v>22.799999999930151</v>
      </c>
      <c r="S1018" s="158">
        <f t="shared" si="186"/>
        <v>22.799999999930151</v>
      </c>
      <c r="T1018" s="161">
        <f t="shared" si="187"/>
        <v>10875.599999966682</v>
      </c>
      <c r="U1018" s="158">
        <f t="shared" si="188"/>
        <v>477</v>
      </c>
      <c r="V1018" s="160">
        <f t="shared" si="189"/>
        <v>477</v>
      </c>
    </row>
    <row r="1019" spans="1:22" x14ac:dyDescent="0.25">
      <c r="A1019" s="98" t="s">
        <v>26</v>
      </c>
      <c r="B1019" s="98" t="s">
        <v>17</v>
      </c>
      <c r="C1019" s="98">
        <v>42</v>
      </c>
      <c r="D1019" s="98">
        <v>339</v>
      </c>
      <c r="E1019" s="157">
        <v>42221.320138888892</v>
      </c>
      <c r="F1019" s="157">
        <v>42221.941666666666</v>
      </c>
      <c r="G1019" s="98">
        <v>460</v>
      </c>
      <c r="H1019" s="98">
        <v>520</v>
      </c>
      <c r="I1019" s="98">
        <v>477</v>
      </c>
      <c r="J1019" s="98" t="s">
        <v>67</v>
      </c>
      <c r="K1019" s="98" t="s">
        <v>3328</v>
      </c>
      <c r="L1019" s="105" t="str">
        <f t="shared" si="180"/>
        <v>Ghent</v>
      </c>
      <c r="M1019" s="105" t="str">
        <f t="shared" si="181"/>
        <v>Derate</v>
      </c>
      <c r="N1019" s="105" t="str">
        <f t="shared" si="182"/>
        <v>Coal</v>
      </c>
      <c r="O1019" s="105">
        <f>IFERROR(VLOOKUP(A1019,Lookup!$J$5:$P$19,7,FALSE),0)</f>
        <v>3</v>
      </c>
      <c r="P1019" s="159">
        <f t="shared" si="183"/>
        <v>2015</v>
      </c>
      <c r="Q1019" s="159">
        <f t="shared" si="184"/>
        <v>8</v>
      </c>
      <c r="R1019" s="160">
        <f t="shared" si="185"/>
        <v>14.916666666569654</v>
      </c>
      <c r="S1019" s="158">
        <f t="shared" si="186"/>
        <v>1.7211538461426523</v>
      </c>
      <c r="T1019" s="161">
        <f t="shared" si="187"/>
        <v>820.99038461004511</v>
      </c>
      <c r="U1019" s="158">
        <f t="shared" si="188"/>
        <v>55.03846153846154</v>
      </c>
      <c r="V1019" s="160">
        <f t="shared" si="189"/>
        <v>55</v>
      </c>
    </row>
    <row r="1020" spans="1:22" x14ac:dyDescent="0.25">
      <c r="A1020" s="98" t="s">
        <v>26</v>
      </c>
      <c r="B1020" s="98" t="s">
        <v>17</v>
      </c>
      <c r="C1020" s="98">
        <v>43</v>
      </c>
      <c r="D1020" s="98">
        <v>340</v>
      </c>
      <c r="E1020" s="157">
        <v>42223.979861111111</v>
      </c>
      <c r="F1020" s="157">
        <v>42224.1</v>
      </c>
      <c r="G1020" s="98">
        <v>480</v>
      </c>
      <c r="H1020" s="98">
        <v>520</v>
      </c>
      <c r="I1020" s="98">
        <v>477</v>
      </c>
      <c r="J1020" s="98" t="s">
        <v>1970</v>
      </c>
      <c r="K1020" s="98" t="s">
        <v>3329</v>
      </c>
      <c r="L1020" s="105" t="str">
        <f t="shared" si="180"/>
        <v>Ghent</v>
      </c>
      <c r="M1020" s="105" t="str">
        <f t="shared" si="181"/>
        <v>Derate</v>
      </c>
      <c r="N1020" s="105" t="str">
        <f t="shared" si="182"/>
        <v>Coal</v>
      </c>
      <c r="O1020" s="105">
        <f>IFERROR(VLOOKUP(A1020,Lookup!$J$5:$P$19,7,FALSE),0)</f>
        <v>3</v>
      </c>
      <c r="P1020" s="159">
        <f t="shared" si="183"/>
        <v>2015</v>
      </c>
      <c r="Q1020" s="159">
        <f t="shared" si="184"/>
        <v>8</v>
      </c>
      <c r="R1020" s="160">
        <f t="shared" si="185"/>
        <v>2.8833333333022892</v>
      </c>
      <c r="S1020" s="158">
        <f t="shared" si="186"/>
        <v>0.22179487179248378</v>
      </c>
      <c r="T1020" s="161">
        <f t="shared" si="187"/>
        <v>105.79615384501476</v>
      </c>
      <c r="U1020" s="158">
        <f t="shared" si="188"/>
        <v>36.692307692307693</v>
      </c>
      <c r="V1020" s="160">
        <f t="shared" si="189"/>
        <v>37</v>
      </c>
    </row>
    <row r="1021" spans="1:22" x14ac:dyDescent="0.25">
      <c r="A1021" s="98" t="s">
        <v>26</v>
      </c>
      <c r="B1021" s="98" t="s">
        <v>33</v>
      </c>
      <c r="C1021" s="98">
        <v>44</v>
      </c>
      <c r="D1021" s="98">
        <v>520</v>
      </c>
      <c r="E1021" s="157">
        <v>42228.90902777778</v>
      </c>
      <c r="F1021" s="157">
        <v>42232.027083333334</v>
      </c>
      <c r="G1021" s="98">
        <v>0</v>
      </c>
      <c r="H1021" s="98">
        <v>520</v>
      </c>
      <c r="I1021" s="98">
        <v>477</v>
      </c>
      <c r="J1021" s="98" t="s">
        <v>3330</v>
      </c>
      <c r="K1021" s="98" t="s">
        <v>3331</v>
      </c>
      <c r="L1021" s="105" t="str">
        <f t="shared" si="180"/>
        <v>Ghent</v>
      </c>
      <c r="M1021" s="105" t="str">
        <f t="shared" si="181"/>
        <v>Outage</v>
      </c>
      <c r="N1021" s="105" t="str">
        <f t="shared" si="182"/>
        <v>Coal</v>
      </c>
      <c r="O1021" s="105">
        <f>IFERROR(VLOOKUP(A1021,Lookup!$J$5:$P$19,7,FALSE),0)</f>
        <v>3</v>
      </c>
      <c r="P1021" s="159">
        <f t="shared" si="183"/>
        <v>2015</v>
      </c>
      <c r="Q1021" s="159">
        <f t="shared" si="184"/>
        <v>8</v>
      </c>
      <c r="R1021" s="160">
        <f t="shared" si="185"/>
        <v>74.833333333313931</v>
      </c>
      <c r="S1021" s="158">
        <f t="shared" si="186"/>
        <v>74.833333333313931</v>
      </c>
      <c r="T1021" s="161">
        <f t="shared" si="187"/>
        <v>35695.499999990745</v>
      </c>
      <c r="U1021" s="158">
        <f t="shared" si="188"/>
        <v>477</v>
      </c>
      <c r="V1021" s="160">
        <f t="shared" si="189"/>
        <v>477</v>
      </c>
    </row>
    <row r="1022" spans="1:22" x14ac:dyDescent="0.25">
      <c r="A1022" s="98" t="s">
        <v>26</v>
      </c>
      <c r="B1022" s="98" t="s">
        <v>17</v>
      </c>
      <c r="C1022" s="98">
        <v>45</v>
      </c>
      <c r="D1022" s="98">
        <v>310</v>
      </c>
      <c r="E1022" s="157">
        <v>42237.429861111108</v>
      </c>
      <c r="F1022" s="157">
        <v>42237.51666666667</v>
      </c>
      <c r="G1022" s="98">
        <v>450</v>
      </c>
      <c r="H1022" s="98">
        <v>520</v>
      </c>
      <c r="I1022" s="98">
        <v>477</v>
      </c>
      <c r="J1022" s="98" t="s">
        <v>1966</v>
      </c>
      <c r="K1022" s="98" t="s">
        <v>3332</v>
      </c>
      <c r="L1022" s="105" t="str">
        <f t="shared" si="180"/>
        <v>Ghent</v>
      </c>
      <c r="M1022" s="105" t="str">
        <f t="shared" si="181"/>
        <v>Derate</v>
      </c>
      <c r="N1022" s="105" t="str">
        <f t="shared" si="182"/>
        <v>Coal</v>
      </c>
      <c r="O1022" s="105">
        <f>IFERROR(VLOOKUP(A1022,Lookup!$J$5:$P$19,7,FALSE),0)</f>
        <v>3</v>
      </c>
      <c r="P1022" s="159">
        <f t="shared" si="183"/>
        <v>2015</v>
      </c>
      <c r="Q1022" s="159">
        <f t="shared" si="184"/>
        <v>8</v>
      </c>
      <c r="R1022" s="160">
        <f t="shared" si="185"/>
        <v>2.0833333334885538</v>
      </c>
      <c r="S1022" s="158">
        <f t="shared" si="186"/>
        <v>0.28044871796961302</v>
      </c>
      <c r="T1022" s="161">
        <f t="shared" si="187"/>
        <v>133.77403847150541</v>
      </c>
      <c r="U1022" s="158">
        <f t="shared" si="188"/>
        <v>64.211538461538467</v>
      </c>
      <c r="V1022" s="160">
        <f t="shared" si="189"/>
        <v>64</v>
      </c>
    </row>
    <row r="1023" spans="1:22" x14ac:dyDescent="0.25">
      <c r="A1023" s="98" t="s">
        <v>26</v>
      </c>
      <c r="B1023" s="98" t="s">
        <v>32</v>
      </c>
      <c r="C1023" s="98">
        <v>46</v>
      </c>
      <c r="D1023" s="98">
        <v>344</v>
      </c>
      <c r="E1023" s="157">
        <v>42239.958333333336</v>
      </c>
      <c r="F1023" s="157">
        <v>42240.059027777781</v>
      </c>
      <c r="G1023" s="98">
        <v>460</v>
      </c>
      <c r="H1023" s="98">
        <v>520</v>
      </c>
      <c r="I1023" s="98">
        <v>477</v>
      </c>
      <c r="J1023" s="98" t="s">
        <v>1968</v>
      </c>
      <c r="K1023" s="98" t="s">
        <v>3333</v>
      </c>
      <c r="L1023" s="105" t="str">
        <f t="shared" si="180"/>
        <v>Ghent</v>
      </c>
      <c r="M1023" s="105" t="str">
        <f t="shared" si="181"/>
        <v>Derate</v>
      </c>
      <c r="N1023" s="105" t="str">
        <f t="shared" si="182"/>
        <v>Coal</v>
      </c>
      <c r="O1023" s="105">
        <f>IFERROR(VLOOKUP(A1023,Lookup!$J$5:$P$19,7,FALSE),0)</f>
        <v>3</v>
      </c>
      <c r="P1023" s="159">
        <f t="shared" si="183"/>
        <v>2015</v>
      </c>
      <c r="Q1023" s="159">
        <f t="shared" si="184"/>
        <v>8</v>
      </c>
      <c r="R1023" s="160">
        <f t="shared" si="185"/>
        <v>2.4166666666860692</v>
      </c>
      <c r="S1023" s="158">
        <f t="shared" si="186"/>
        <v>0.27884615384839262</v>
      </c>
      <c r="T1023" s="161">
        <f t="shared" si="187"/>
        <v>133.00961538568328</v>
      </c>
      <c r="U1023" s="158">
        <f t="shared" si="188"/>
        <v>55.03846153846154</v>
      </c>
      <c r="V1023" s="160">
        <f t="shared" si="189"/>
        <v>55</v>
      </c>
    </row>
    <row r="1024" spans="1:22" x14ac:dyDescent="0.25">
      <c r="A1024" s="98" t="s">
        <v>26</v>
      </c>
      <c r="B1024" s="98" t="s">
        <v>33</v>
      </c>
      <c r="C1024" s="98">
        <v>47</v>
      </c>
      <c r="D1024" s="98">
        <v>1040</v>
      </c>
      <c r="E1024" s="157">
        <v>42242.927083333336</v>
      </c>
      <c r="F1024" s="157">
        <v>42248.906944444447</v>
      </c>
      <c r="G1024" s="98">
        <v>0</v>
      </c>
      <c r="H1024" s="98">
        <v>520</v>
      </c>
      <c r="I1024" s="98">
        <v>477</v>
      </c>
      <c r="J1024" s="98" t="s">
        <v>2001</v>
      </c>
      <c r="K1024" s="98" t="s">
        <v>3334</v>
      </c>
      <c r="L1024" s="105" t="str">
        <f t="shared" si="180"/>
        <v>Ghent</v>
      </c>
      <c r="M1024" s="105" t="str">
        <f t="shared" si="181"/>
        <v>Outage</v>
      </c>
      <c r="N1024" s="105" t="str">
        <f t="shared" si="182"/>
        <v>Coal</v>
      </c>
      <c r="O1024" s="105">
        <f>IFERROR(VLOOKUP(A1024,Lookup!$J$5:$P$19,7,FALSE),0)</f>
        <v>3</v>
      </c>
      <c r="P1024" s="159">
        <f t="shared" si="183"/>
        <v>2015</v>
      </c>
      <c r="Q1024" s="159">
        <f t="shared" si="184"/>
        <v>8</v>
      </c>
      <c r="R1024" s="160">
        <f t="shared" si="185"/>
        <v>143.51666666666279</v>
      </c>
      <c r="S1024" s="158">
        <f t="shared" si="186"/>
        <v>143.51666666666279</v>
      </c>
      <c r="T1024" s="161">
        <f t="shared" si="187"/>
        <v>68457.449999998149</v>
      </c>
      <c r="U1024" s="158">
        <f t="shared" si="188"/>
        <v>477</v>
      </c>
      <c r="V1024" s="160">
        <f t="shared" si="189"/>
        <v>477</v>
      </c>
    </row>
    <row r="1025" spans="1:22" x14ac:dyDescent="0.25">
      <c r="A1025" s="98" t="s">
        <v>26</v>
      </c>
      <c r="B1025" s="98" t="s">
        <v>33</v>
      </c>
      <c r="C1025" s="98">
        <v>48</v>
      </c>
      <c r="D1025" s="98">
        <v>1080</v>
      </c>
      <c r="E1025" s="157">
        <v>42255.413888888892</v>
      </c>
      <c r="F1025" s="157">
        <v>42257.645138888889</v>
      </c>
      <c r="G1025" s="98">
        <v>0</v>
      </c>
      <c r="H1025" s="98">
        <v>520</v>
      </c>
      <c r="I1025" s="98">
        <v>477</v>
      </c>
      <c r="J1025" s="98" t="s">
        <v>1991</v>
      </c>
      <c r="K1025" s="98" t="s">
        <v>3335</v>
      </c>
      <c r="L1025" s="105" t="str">
        <f t="shared" si="180"/>
        <v>Ghent</v>
      </c>
      <c r="M1025" s="105" t="str">
        <f t="shared" si="181"/>
        <v>Outage</v>
      </c>
      <c r="N1025" s="105" t="str">
        <f t="shared" si="182"/>
        <v>Coal</v>
      </c>
      <c r="O1025" s="105">
        <f>IFERROR(VLOOKUP(A1025,Lookup!$J$5:$P$19,7,FALSE),0)</f>
        <v>3</v>
      </c>
      <c r="P1025" s="159">
        <f t="shared" si="183"/>
        <v>2015</v>
      </c>
      <c r="Q1025" s="159">
        <f t="shared" si="184"/>
        <v>9</v>
      </c>
      <c r="R1025" s="160">
        <f t="shared" si="185"/>
        <v>53.549999999930151</v>
      </c>
      <c r="S1025" s="158">
        <f t="shared" si="186"/>
        <v>53.549999999930151</v>
      </c>
      <c r="T1025" s="161">
        <f t="shared" si="187"/>
        <v>25543.349999966682</v>
      </c>
      <c r="U1025" s="158">
        <f t="shared" si="188"/>
        <v>477</v>
      </c>
      <c r="V1025" s="160">
        <f t="shared" si="189"/>
        <v>477</v>
      </c>
    </row>
    <row r="1026" spans="1:22" x14ac:dyDescent="0.25">
      <c r="A1026" s="98" t="s">
        <v>26</v>
      </c>
      <c r="B1026" s="98" t="s">
        <v>17</v>
      </c>
      <c r="C1026" s="98">
        <v>49</v>
      </c>
      <c r="D1026" s="98">
        <v>340</v>
      </c>
      <c r="E1026" s="157">
        <v>42279.14166666667</v>
      </c>
      <c r="F1026" s="157">
        <v>42279.30972222222</v>
      </c>
      <c r="G1026" s="98">
        <v>450</v>
      </c>
      <c r="H1026" s="98">
        <v>520</v>
      </c>
      <c r="I1026" s="98">
        <v>477</v>
      </c>
      <c r="J1026" s="98" t="s">
        <v>1970</v>
      </c>
      <c r="K1026" s="98" t="s">
        <v>3336</v>
      </c>
      <c r="L1026" s="105" t="str">
        <f t="shared" si="180"/>
        <v>Ghent</v>
      </c>
      <c r="M1026" s="105" t="str">
        <f t="shared" si="181"/>
        <v>Derate</v>
      </c>
      <c r="N1026" s="105" t="str">
        <f t="shared" si="182"/>
        <v>Coal</v>
      </c>
      <c r="O1026" s="105">
        <f>IFERROR(VLOOKUP(A1026,Lookup!$J$5:$P$19,7,FALSE),0)</f>
        <v>3</v>
      </c>
      <c r="P1026" s="159">
        <f t="shared" si="183"/>
        <v>2015</v>
      </c>
      <c r="Q1026" s="159">
        <f t="shared" si="184"/>
        <v>10</v>
      </c>
      <c r="R1026" s="160">
        <f t="shared" si="185"/>
        <v>4.033333333209157</v>
      </c>
      <c r="S1026" s="158">
        <f t="shared" si="186"/>
        <v>0.54294871793200195</v>
      </c>
      <c r="T1026" s="161">
        <f t="shared" si="187"/>
        <v>258.98653845356495</v>
      </c>
      <c r="U1026" s="158">
        <f t="shared" si="188"/>
        <v>64.211538461538467</v>
      </c>
      <c r="V1026" s="160">
        <f t="shared" si="189"/>
        <v>64</v>
      </c>
    </row>
    <row r="1027" spans="1:22" x14ac:dyDescent="0.25">
      <c r="A1027" s="98" t="s">
        <v>26</v>
      </c>
      <c r="B1027" s="98" t="s">
        <v>20</v>
      </c>
      <c r="C1027" s="98">
        <v>50</v>
      </c>
      <c r="D1027" s="98">
        <v>1000</v>
      </c>
      <c r="E1027" s="157">
        <v>42304.534722222219</v>
      </c>
      <c r="F1027" s="157">
        <v>42306.969444444447</v>
      </c>
      <c r="G1027" s="98">
        <v>0</v>
      </c>
      <c r="H1027" s="98">
        <v>520</v>
      </c>
      <c r="I1027" s="98">
        <v>477</v>
      </c>
      <c r="J1027" s="98" t="s">
        <v>2002</v>
      </c>
      <c r="K1027" s="98" t="s">
        <v>3337</v>
      </c>
      <c r="L1027" s="105" t="str">
        <f t="shared" si="180"/>
        <v>Ghent</v>
      </c>
      <c r="M1027" s="105" t="str">
        <f t="shared" si="181"/>
        <v>Maintenance</v>
      </c>
      <c r="N1027" s="105" t="str">
        <f t="shared" si="182"/>
        <v>Coal</v>
      </c>
      <c r="O1027" s="105">
        <f>IFERROR(VLOOKUP(A1027,Lookup!$J$5:$P$19,7,FALSE),0)</f>
        <v>3</v>
      </c>
      <c r="P1027" s="159">
        <f t="shared" si="183"/>
        <v>2015</v>
      </c>
      <c r="Q1027" s="159">
        <f t="shared" si="184"/>
        <v>10</v>
      </c>
      <c r="R1027" s="160">
        <f t="shared" si="185"/>
        <v>58.433333333465271</v>
      </c>
      <c r="S1027" s="158">
        <f t="shared" si="186"/>
        <v>58.433333333465271</v>
      </c>
      <c r="T1027" s="161">
        <f t="shared" si="187"/>
        <v>27872.700000062934</v>
      </c>
      <c r="U1027" s="158">
        <f t="shared" si="188"/>
        <v>477</v>
      </c>
      <c r="V1027" s="160">
        <f t="shared" si="189"/>
        <v>477</v>
      </c>
    </row>
    <row r="1028" spans="1:22" x14ac:dyDescent="0.25">
      <c r="A1028" s="98" t="s">
        <v>26</v>
      </c>
      <c r="B1028" s="98" t="s">
        <v>32</v>
      </c>
      <c r="C1028" s="98">
        <v>51</v>
      </c>
      <c r="D1028" s="98">
        <v>8460</v>
      </c>
      <c r="E1028" s="157">
        <v>42312.916666666664</v>
      </c>
      <c r="F1028" s="157">
        <v>42313.081944444442</v>
      </c>
      <c r="G1028" s="98">
        <v>375</v>
      </c>
      <c r="H1028" s="98">
        <v>520</v>
      </c>
      <c r="I1028" s="98">
        <v>477</v>
      </c>
      <c r="J1028" s="98" t="s">
        <v>2651</v>
      </c>
      <c r="K1028" s="98" t="s">
        <v>3338</v>
      </c>
      <c r="L1028" s="105" t="str">
        <f t="shared" si="180"/>
        <v>Ghent</v>
      </c>
      <c r="M1028" s="105" t="str">
        <f t="shared" si="181"/>
        <v>Derate</v>
      </c>
      <c r="N1028" s="105" t="str">
        <f t="shared" si="182"/>
        <v>Coal</v>
      </c>
      <c r="O1028" s="105">
        <f>IFERROR(VLOOKUP(A1028,Lookup!$J$5:$P$19,7,FALSE),0)</f>
        <v>3</v>
      </c>
      <c r="P1028" s="159">
        <f t="shared" si="183"/>
        <v>2015</v>
      </c>
      <c r="Q1028" s="159">
        <f t="shared" si="184"/>
        <v>11</v>
      </c>
      <c r="R1028" s="160">
        <f t="shared" si="185"/>
        <v>3.9666666666744277</v>
      </c>
      <c r="S1028" s="158">
        <f t="shared" si="186"/>
        <v>1.1060897435919077</v>
      </c>
      <c r="T1028" s="161">
        <f t="shared" si="187"/>
        <v>527.60480769333992</v>
      </c>
      <c r="U1028" s="158">
        <f t="shared" si="188"/>
        <v>133.00961538461539</v>
      </c>
      <c r="V1028" s="160">
        <f t="shared" si="189"/>
        <v>133</v>
      </c>
    </row>
    <row r="1029" spans="1:22" x14ac:dyDescent="0.25">
      <c r="A1029" s="98" t="s">
        <v>26</v>
      </c>
      <c r="B1029" s="98" t="s">
        <v>20</v>
      </c>
      <c r="C1029" s="98">
        <v>52</v>
      </c>
      <c r="D1029" s="98">
        <v>1060</v>
      </c>
      <c r="E1029" s="157">
        <v>42318.935416666667</v>
      </c>
      <c r="F1029" s="157">
        <v>42321.690972222219</v>
      </c>
      <c r="G1029" s="98">
        <v>0</v>
      </c>
      <c r="H1029" s="98">
        <v>520</v>
      </c>
      <c r="I1029" s="98">
        <v>477</v>
      </c>
      <c r="J1029" s="98" t="s">
        <v>2179</v>
      </c>
      <c r="K1029" s="98" t="s">
        <v>3339</v>
      </c>
      <c r="L1029" s="105" t="str">
        <f t="shared" si="180"/>
        <v>Ghent</v>
      </c>
      <c r="M1029" s="105" t="str">
        <f t="shared" si="181"/>
        <v>Maintenance</v>
      </c>
      <c r="N1029" s="105" t="str">
        <f t="shared" si="182"/>
        <v>Coal</v>
      </c>
      <c r="O1029" s="105">
        <f>IFERROR(VLOOKUP(A1029,Lookup!$J$5:$P$19,7,FALSE),0)</f>
        <v>3</v>
      </c>
      <c r="P1029" s="159">
        <f t="shared" si="183"/>
        <v>2015</v>
      </c>
      <c r="Q1029" s="159">
        <f t="shared" si="184"/>
        <v>11</v>
      </c>
      <c r="R1029" s="160">
        <f t="shared" si="185"/>
        <v>66.133333333244082</v>
      </c>
      <c r="S1029" s="158">
        <f t="shared" si="186"/>
        <v>66.133333333244082</v>
      </c>
      <c r="T1029" s="161">
        <f t="shared" si="187"/>
        <v>31545.599999957427</v>
      </c>
      <c r="U1029" s="158">
        <f t="shared" si="188"/>
        <v>477</v>
      </c>
      <c r="V1029" s="160">
        <f t="shared" si="189"/>
        <v>477</v>
      </c>
    </row>
    <row r="1030" spans="1:22" x14ac:dyDescent="0.25">
      <c r="A1030" s="98" t="s">
        <v>26</v>
      </c>
      <c r="B1030" s="98" t="s">
        <v>15</v>
      </c>
      <c r="C1030" s="98">
        <v>53</v>
      </c>
      <c r="D1030" s="98">
        <v>4810</v>
      </c>
      <c r="E1030" s="157">
        <v>42321.932638888888</v>
      </c>
      <c r="F1030" s="157">
        <v>42324.352777777778</v>
      </c>
      <c r="G1030" s="98">
        <v>0</v>
      </c>
      <c r="H1030" s="98">
        <v>520</v>
      </c>
      <c r="I1030" s="98">
        <v>477</v>
      </c>
      <c r="J1030" s="98" t="s">
        <v>2139</v>
      </c>
      <c r="K1030" s="98" t="s">
        <v>3340</v>
      </c>
      <c r="L1030" s="105" t="str">
        <f t="shared" si="180"/>
        <v>Ghent</v>
      </c>
      <c r="M1030" s="105" t="str">
        <f t="shared" si="181"/>
        <v>Outage</v>
      </c>
      <c r="N1030" s="105" t="str">
        <f t="shared" si="182"/>
        <v>Coal</v>
      </c>
      <c r="O1030" s="105">
        <f>IFERROR(VLOOKUP(A1030,Lookup!$J$5:$P$19,7,FALSE),0)</f>
        <v>3</v>
      </c>
      <c r="P1030" s="159">
        <f t="shared" si="183"/>
        <v>2015</v>
      </c>
      <c r="Q1030" s="159">
        <f t="shared" si="184"/>
        <v>11</v>
      </c>
      <c r="R1030" s="160">
        <f t="shared" si="185"/>
        <v>58.083333333372138</v>
      </c>
      <c r="S1030" s="158">
        <f t="shared" si="186"/>
        <v>58.083333333372138</v>
      </c>
      <c r="T1030" s="161">
        <f t="shared" si="187"/>
        <v>27705.75000001851</v>
      </c>
      <c r="U1030" s="158">
        <f t="shared" si="188"/>
        <v>477</v>
      </c>
      <c r="V1030" s="160">
        <f t="shared" si="189"/>
        <v>477</v>
      </c>
    </row>
    <row r="1031" spans="1:22" x14ac:dyDescent="0.25">
      <c r="A1031" s="98" t="s">
        <v>26</v>
      </c>
      <c r="B1031" s="98" t="s">
        <v>15</v>
      </c>
      <c r="C1031" s="98">
        <v>54</v>
      </c>
      <c r="D1031" s="98">
        <v>4610</v>
      </c>
      <c r="E1031" s="157">
        <v>42324.390972222223</v>
      </c>
      <c r="F1031" s="157">
        <v>42324.443749999999</v>
      </c>
      <c r="G1031" s="98">
        <v>0</v>
      </c>
      <c r="H1031" s="98">
        <v>520</v>
      </c>
      <c r="I1031" s="98">
        <v>477</v>
      </c>
      <c r="J1031" s="98" t="s">
        <v>2171</v>
      </c>
      <c r="K1031" s="98" t="s">
        <v>3341</v>
      </c>
      <c r="L1031" s="105" t="str">
        <f t="shared" si="180"/>
        <v>Ghent</v>
      </c>
      <c r="M1031" s="105" t="str">
        <f t="shared" si="181"/>
        <v>Outage</v>
      </c>
      <c r="N1031" s="105" t="str">
        <f t="shared" si="182"/>
        <v>Coal</v>
      </c>
      <c r="O1031" s="105">
        <f>IFERROR(VLOOKUP(A1031,Lookup!$J$5:$P$19,7,FALSE),0)</f>
        <v>3</v>
      </c>
      <c r="P1031" s="159">
        <f t="shared" si="183"/>
        <v>2015</v>
      </c>
      <c r="Q1031" s="159">
        <f t="shared" si="184"/>
        <v>11</v>
      </c>
      <c r="R1031" s="160">
        <f t="shared" si="185"/>
        <v>1.2666666666045785</v>
      </c>
      <c r="S1031" s="158">
        <f t="shared" si="186"/>
        <v>1.2666666666045785</v>
      </c>
      <c r="T1031" s="161">
        <f t="shared" si="187"/>
        <v>604.19999997038394</v>
      </c>
      <c r="U1031" s="158">
        <f t="shared" si="188"/>
        <v>477</v>
      </c>
      <c r="V1031" s="160">
        <f t="shared" si="189"/>
        <v>477</v>
      </c>
    </row>
    <row r="1032" spans="1:22" x14ac:dyDescent="0.25">
      <c r="A1032" s="98" t="s">
        <v>26</v>
      </c>
      <c r="B1032" s="98" t="s">
        <v>17</v>
      </c>
      <c r="C1032" s="98">
        <v>55</v>
      </c>
      <c r="D1032" s="98">
        <v>340</v>
      </c>
      <c r="E1032" s="157">
        <v>42325.451388888891</v>
      </c>
      <c r="F1032" s="157">
        <v>42325.521527777775</v>
      </c>
      <c r="G1032" s="98">
        <v>450</v>
      </c>
      <c r="H1032" s="98">
        <v>520</v>
      </c>
      <c r="I1032" s="98">
        <v>477</v>
      </c>
      <c r="J1032" s="98" t="s">
        <v>1970</v>
      </c>
      <c r="K1032" s="98" t="s">
        <v>3342</v>
      </c>
      <c r="L1032" s="105" t="str">
        <f t="shared" si="180"/>
        <v>Ghent</v>
      </c>
      <c r="M1032" s="105" t="str">
        <f t="shared" si="181"/>
        <v>Derate</v>
      </c>
      <c r="N1032" s="105" t="str">
        <f t="shared" si="182"/>
        <v>Coal</v>
      </c>
      <c r="O1032" s="105">
        <f>IFERROR(VLOOKUP(A1032,Lookup!$J$5:$P$19,7,FALSE),0)</f>
        <v>3</v>
      </c>
      <c r="P1032" s="159">
        <f t="shared" si="183"/>
        <v>2015</v>
      </c>
      <c r="Q1032" s="159">
        <f t="shared" si="184"/>
        <v>11</v>
      </c>
      <c r="R1032" s="160">
        <f t="shared" si="185"/>
        <v>1.6833333332324401</v>
      </c>
      <c r="S1032" s="158">
        <f t="shared" si="186"/>
        <v>0.22660256408898233</v>
      </c>
      <c r="T1032" s="161">
        <f t="shared" si="187"/>
        <v>108.08942307044457</v>
      </c>
      <c r="U1032" s="158">
        <f t="shared" si="188"/>
        <v>64.211538461538467</v>
      </c>
      <c r="V1032" s="160">
        <f t="shared" si="189"/>
        <v>64</v>
      </c>
    </row>
    <row r="1033" spans="1:22" x14ac:dyDescent="0.25">
      <c r="A1033" s="98" t="s">
        <v>26</v>
      </c>
      <c r="B1033" s="98" t="s">
        <v>20</v>
      </c>
      <c r="C1033" s="98">
        <v>56</v>
      </c>
      <c r="D1033" s="98">
        <v>3611</v>
      </c>
      <c r="E1033" s="157">
        <v>42326.89166666667</v>
      </c>
      <c r="F1033" s="157">
        <v>42327.130555555559</v>
      </c>
      <c r="G1033" s="98">
        <v>0</v>
      </c>
      <c r="H1033" s="98">
        <v>520</v>
      </c>
      <c r="I1033" s="98">
        <v>477</v>
      </c>
      <c r="J1033" s="98" t="s">
        <v>2091</v>
      </c>
      <c r="K1033" s="98" t="s">
        <v>3343</v>
      </c>
      <c r="L1033" s="105" t="str">
        <f t="shared" si="180"/>
        <v>Ghent</v>
      </c>
      <c r="M1033" s="105" t="str">
        <f t="shared" si="181"/>
        <v>Maintenance</v>
      </c>
      <c r="N1033" s="105" t="str">
        <f t="shared" si="182"/>
        <v>Coal</v>
      </c>
      <c r="O1033" s="105">
        <f>IFERROR(VLOOKUP(A1033,Lookup!$J$5:$P$19,7,FALSE),0)</f>
        <v>3</v>
      </c>
      <c r="P1033" s="159">
        <f t="shared" si="183"/>
        <v>2015</v>
      </c>
      <c r="Q1033" s="159">
        <f t="shared" si="184"/>
        <v>11</v>
      </c>
      <c r="R1033" s="160">
        <f t="shared" si="185"/>
        <v>5.7333333333372138</v>
      </c>
      <c r="S1033" s="158">
        <f t="shared" si="186"/>
        <v>5.7333333333372138</v>
      </c>
      <c r="T1033" s="161">
        <f t="shared" si="187"/>
        <v>2734.800000001851</v>
      </c>
      <c r="U1033" s="158">
        <f t="shared" si="188"/>
        <v>477</v>
      </c>
      <c r="V1033" s="160">
        <f t="shared" si="189"/>
        <v>477</v>
      </c>
    </row>
    <row r="1034" spans="1:22" x14ac:dyDescent="0.25">
      <c r="A1034" s="98" t="s">
        <v>26</v>
      </c>
      <c r="B1034" s="98" t="s">
        <v>17</v>
      </c>
      <c r="C1034" s="98">
        <v>57</v>
      </c>
      <c r="D1034" s="98">
        <v>250</v>
      </c>
      <c r="E1034" s="157">
        <v>42339.529861111114</v>
      </c>
      <c r="F1034" s="157">
        <v>42339.693749999999</v>
      </c>
      <c r="G1034" s="98">
        <v>425</v>
      </c>
      <c r="H1034" s="98">
        <v>520</v>
      </c>
      <c r="I1034" s="98">
        <v>477</v>
      </c>
      <c r="J1034" s="98" t="s">
        <v>1978</v>
      </c>
      <c r="K1034" s="98" t="s">
        <v>3344</v>
      </c>
      <c r="L1034" s="105" t="str">
        <f t="shared" si="180"/>
        <v>Ghent</v>
      </c>
      <c r="M1034" s="105" t="str">
        <f t="shared" si="181"/>
        <v>Derate</v>
      </c>
      <c r="N1034" s="105" t="str">
        <f t="shared" si="182"/>
        <v>Coal</v>
      </c>
      <c r="O1034" s="105">
        <f>IFERROR(VLOOKUP(A1034,Lookup!$J$5:$P$19,7,FALSE),0)</f>
        <v>3</v>
      </c>
      <c r="P1034" s="159">
        <f t="shared" si="183"/>
        <v>2015</v>
      </c>
      <c r="Q1034" s="159">
        <f t="shared" si="184"/>
        <v>12</v>
      </c>
      <c r="R1034" s="160">
        <f t="shared" si="185"/>
        <v>3.9333333332324401</v>
      </c>
      <c r="S1034" s="158">
        <f t="shared" si="186"/>
        <v>0.71858974357131111</v>
      </c>
      <c r="T1034" s="161">
        <f t="shared" si="187"/>
        <v>342.76730768351541</v>
      </c>
      <c r="U1034" s="158">
        <f t="shared" si="188"/>
        <v>87.144230769230774</v>
      </c>
      <c r="V1034" s="160">
        <f t="shared" si="189"/>
        <v>87</v>
      </c>
    </row>
    <row r="1035" spans="1:22" x14ac:dyDescent="0.25">
      <c r="A1035" s="98" t="s">
        <v>26</v>
      </c>
      <c r="B1035" s="98" t="s">
        <v>32</v>
      </c>
      <c r="C1035" s="98">
        <v>58</v>
      </c>
      <c r="D1035" s="98">
        <v>3415</v>
      </c>
      <c r="E1035" s="157">
        <v>42349.55972222222</v>
      </c>
      <c r="F1035" s="157">
        <v>42349.585416666669</v>
      </c>
      <c r="G1035" s="98">
        <v>315</v>
      </c>
      <c r="H1035" s="98">
        <v>520</v>
      </c>
      <c r="I1035" s="98">
        <v>477</v>
      </c>
      <c r="J1035" s="98" t="s">
        <v>2109</v>
      </c>
      <c r="K1035" s="98" t="s">
        <v>3345</v>
      </c>
      <c r="L1035" s="105" t="str">
        <f t="shared" si="180"/>
        <v>Ghent</v>
      </c>
      <c r="M1035" s="105" t="str">
        <f t="shared" si="181"/>
        <v>Derate</v>
      </c>
      <c r="N1035" s="105" t="str">
        <f t="shared" si="182"/>
        <v>Coal</v>
      </c>
      <c r="O1035" s="105">
        <f>IFERROR(VLOOKUP(A1035,Lookup!$J$5:$P$19,7,FALSE),0)</f>
        <v>3</v>
      </c>
      <c r="P1035" s="159">
        <f t="shared" si="183"/>
        <v>2015</v>
      </c>
      <c r="Q1035" s="159">
        <f t="shared" si="184"/>
        <v>12</v>
      </c>
      <c r="R1035" s="160">
        <f t="shared" si="185"/>
        <v>0.61666666675591841</v>
      </c>
      <c r="S1035" s="158">
        <f t="shared" si="186"/>
        <v>0.24310897439416015</v>
      </c>
      <c r="T1035" s="161">
        <f t="shared" si="187"/>
        <v>115.9629807860144</v>
      </c>
      <c r="U1035" s="158">
        <f t="shared" si="188"/>
        <v>188.04807692307693</v>
      </c>
      <c r="V1035" s="160">
        <f t="shared" si="189"/>
        <v>188</v>
      </c>
    </row>
    <row r="1036" spans="1:22" x14ac:dyDescent="0.25">
      <c r="A1036" s="98" t="s">
        <v>26</v>
      </c>
      <c r="B1036" s="98" t="s">
        <v>32</v>
      </c>
      <c r="C1036" s="98">
        <v>59</v>
      </c>
      <c r="D1036" s="98">
        <v>3415</v>
      </c>
      <c r="E1036" s="157">
        <v>42350.347222222219</v>
      </c>
      <c r="F1036" s="157">
        <v>42350.355555555558</v>
      </c>
      <c r="G1036" s="98">
        <v>320</v>
      </c>
      <c r="H1036" s="98">
        <v>520</v>
      </c>
      <c r="I1036" s="98">
        <v>477</v>
      </c>
      <c r="J1036" s="98" t="s">
        <v>2109</v>
      </c>
      <c r="K1036" s="98" t="s">
        <v>3346</v>
      </c>
      <c r="L1036" s="105" t="str">
        <f t="shared" si="180"/>
        <v>Ghent</v>
      </c>
      <c r="M1036" s="105" t="str">
        <f t="shared" si="181"/>
        <v>Derate</v>
      </c>
      <c r="N1036" s="105" t="str">
        <f t="shared" si="182"/>
        <v>Coal</v>
      </c>
      <c r="O1036" s="105">
        <f>IFERROR(VLOOKUP(A1036,Lookup!$J$5:$P$19,7,FALSE),0)</f>
        <v>3</v>
      </c>
      <c r="P1036" s="159">
        <f t="shared" si="183"/>
        <v>2015</v>
      </c>
      <c r="Q1036" s="159">
        <f t="shared" si="184"/>
        <v>12</v>
      </c>
      <c r="R1036" s="160">
        <f t="shared" si="185"/>
        <v>0.20000000012805685</v>
      </c>
      <c r="S1036" s="158">
        <f t="shared" si="186"/>
        <v>7.6923076972329557E-2</v>
      </c>
      <c r="T1036" s="161">
        <f t="shared" si="187"/>
        <v>36.692307715801199</v>
      </c>
      <c r="U1036" s="158">
        <f t="shared" si="188"/>
        <v>183.46153846153845</v>
      </c>
      <c r="V1036" s="160">
        <f t="shared" si="189"/>
        <v>183</v>
      </c>
    </row>
    <row r="1037" spans="1:22" x14ac:dyDescent="0.25">
      <c r="A1037" s="98" t="s">
        <v>26</v>
      </c>
      <c r="B1037" s="98" t="s">
        <v>32</v>
      </c>
      <c r="C1037" s="98">
        <v>60</v>
      </c>
      <c r="D1037" s="98">
        <v>4611</v>
      </c>
      <c r="E1037" s="157">
        <v>42357.041666666664</v>
      </c>
      <c r="F1037" s="157">
        <v>42357.072916666664</v>
      </c>
      <c r="G1037" s="98">
        <v>410</v>
      </c>
      <c r="H1037" s="98">
        <v>520</v>
      </c>
      <c r="I1037" s="98">
        <v>477</v>
      </c>
      <c r="J1037" s="98" t="s">
        <v>2303</v>
      </c>
      <c r="K1037" s="98" t="s">
        <v>3347</v>
      </c>
      <c r="L1037" s="105" t="str">
        <f t="shared" si="180"/>
        <v>Ghent</v>
      </c>
      <c r="M1037" s="105" t="str">
        <f t="shared" si="181"/>
        <v>Derate</v>
      </c>
      <c r="N1037" s="105" t="str">
        <f t="shared" si="182"/>
        <v>Coal</v>
      </c>
      <c r="O1037" s="105">
        <f>IFERROR(VLOOKUP(A1037,Lookup!$J$5:$P$19,7,FALSE),0)</f>
        <v>3</v>
      </c>
      <c r="P1037" s="159">
        <f t="shared" si="183"/>
        <v>2015</v>
      </c>
      <c r="Q1037" s="159">
        <f t="shared" si="184"/>
        <v>12</v>
      </c>
      <c r="R1037" s="160">
        <f t="shared" si="185"/>
        <v>0.75</v>
      </c>
      <c r="S1037" s="158">
        <f t="shared" si="186"/>
        <v>0.15865384615384615</v>
      </c>
      <c r="T1037" s="161">
        <f t="shared" si="187"/>
        <v>75.677884615384613</v>
      </c>
      <c r="U1037" s="158">
        <f t="shared" si="188"/>
        <v>100.90384615384616</v>
      </c>
      <c r="V1037" s="160">
        <f t="shared" si="189"/>
        <v>101</v>
      </c>
    </row>
    <row r="1038" spans="1:22" x14ac:dyDescent="0.25">
      <c r="A1038" s="98" t="s">
        <v>26</v>
      </c>
      <c r="B1038" s="98" t="s">
        <v>32</v>
      </c>
      <c r="C1038" s="98">
        <v>61</v>
      </c>
      <c r="D1038" s="98">
        <v>340</v>
      </c>
      <c r="E1038" s="157">
        <v>42365.254861111112</v>
      </c>
      <c r="F1038" s="157">
        <v>42365.354861111111</v>
      </c>
      <c r="G1038" s="98">
        <v>470</v>
      </c>
      <c r="H1038" s="98">
        <v>520</v>
      </c>
      <c r="I1038" s="98">
        <v>477</v>
      </c>
      <c r="J1038" s="98" t="s">
        <v>1970</v>
      </c>
      <c r="K1038" s="98" t="s">
        <v>3348</v>
      </c>
      <c r="L1038" s="105" t="str">
        <f t="shared" si="180"/>
        <v>Ghent</v>
      </c>
      <c r="M1038" s="105" t="str">
        <f t="shared" si="181"/>
        <v>Derate</v>
      </c>
      <c r="N1038" s="105" t="str">
        <f t="shared" si="182"/>
        <v>Coal</v>
      </c>
      <c r="O1038" s="105">
        <f>IFERROR(VLOOKUP(A1038,Lookup!$J$5:$P$19,7,FALSE),0)</f>
        <v>3</v>
      </c>
      <c r="P1038" s="159">
        <f t="shared" si="183"/>
        <v>2015</v>
      </c>
      <c r="Q1038" s="159">
        <f t="shared" si="184"/>
        <v>12</v>
      </c>
      <c r="R1038" s="160">
        <f t="shared" si="185"/>
        <v>2.3999999999650754</v>
      </c>
      <c r="S1038" s="158">
        <f t="shared" si="186"/>
        <v>0.23076923076587263</v>
      </c>
      <c r="T1038" s="161">
        <f t="shared" si="187"/>
        <v>110.07692307532125</v>
      </c>
      <c r="U1038" s="158">
        <f t="shared" si="188"/>
        <v>45.865384615384613</v>
      </c>
      <c r="V1038" s="160">
        <f t="shared" si="189"/>
        <v>46</v>
      </c>
    </row>
    <row r="1039" spans="1:22" x14ac:dyDescent="0.25">
      <c r="A1039" s="98" t="s">
        <v>26</v>
      </c>
      <c r="B1039" s="98" t="s">
        <v>32</v>
      </c>
      <c r="C1039" s="98">
        <v>1</v>
      </c>
      <c r="D1039" s="98">
        <v>1470</v>
      </c>
      <c r="E1039" s="157">
        <v>42375.402777777781</v>
      </c>
      <c r="F1039" s="157">
        <v>42375.9375</v>
      </c>
      <c r="G1039" s="98">
        <v>430</v>
      </c>
      <c r="H1039" s="98">
        <v>520</v>
      </c>
      <c r="I1039" s="98">
        <v>477</v>
      </c>
      <c r="J1039" s="98" t="s">
        <v>2005</v>
      </c>
      <c r="K1039" s="98" t="s">
        <v>3349</v>
      </c>
      <c r="L1039" s="105" t="str">
        <f t="shared" si="180"/>
        <v>Ghent</v>
      </c>
      <c r="M1039" s="105" t="str">
        <f t="shared" si="181"/>
        <v>Derate</v>
      </c>
      <c r="N1039" s="105" t="str">
        <f t="shared" si="182"/>
        <v>Coal</v>
      </c>
      <c r="O1039" s="105">
        <f>IFERROR(VLOOKUP(A1039,Lookup!$J$5:$P$19,7,FALSE),0)</f>
        <v>3</v>
      </c>
      <c r="P1039" s="159">
        <f t="shared" si="183"/>
        <v>2016</v>
      </c>
      <c r="Q1039" s="159">
        <f t="shared" si="184"/>
        <v>1</v>
      </c>
      <c r="R1039" s="160">
        <f t="shared" si="185"/>
        <v>12.833333333255723</v>
      </c>
      <c r="S1039" s="158">
        <f t="shared" si="186"/>
        <v>2.2211538461404134</v>
      </c>
      <c r="T1039" s="161">
        <f t="shared" si="187"/>
        <v>1059.4903846089771</v>
      </c>
      <c r="U1039" s="158">
        <f t="shared" si="188"/>
        <v>82.557692307692307</v>
      </c>
      <c r="V1039" s="160">
        <f t="shared" si="189"/>
        <v>83</v>
      </c>
    </row>
    <row r="1040" spans="1:22" x14ac:dyDescent="0.25">
      <c r="A1040" s="98" t="s">
        <v>26</v>
      </c>
      <c r="B1040" s="98" t="s">
        <v>32</v>
      </c>
      <c r="C1040" s="98">
        <v>2</v>
      </c>
      <c r="D1040" s="98">
        <v>340</v>
      </c>
      <c r="E1040" s="157">
        <v>42384.602083333331</v>
      </c>
      <c r="F1040" s="157">
        <v>42384.636805555558</v>
      </c>
      <c r="G1040" s="98">
        <v>440</v>
      </c>
      <c r="H1040" s="98">
        <v>520</v>
      </c>
      <c r="I1040" s="98">
        <v>477</v>
      </c>
      <c r="J1040" s="98" t="s">
        <v>1970</v>
      </c>
      <c r="K1040" s="98" t="s">
        <v>3350</v>
      </c>
      <c r="L1040" s="105" t="str">
        <f t="shared" si="180"/>
        <v>Ghent</v>
      </c>
      <c r="M1040" s="105" t="str">
        <f t="shared" si="181"/>
        <v>Derate</v>
      </c>
      <c r="N1040" s="105" t="str">
        <f t="shared" si="182"/>
        <v>Coal</v>
      </c>
      <c r="O1040" s="105">
        <f>IFERROR(VLOOKUP(A1040,Lookup!$J$5:$P$19,7,FALSE),0)</f>
        <v>3</v>
      </c>
      <c r="P1040" s="159">
        <f t="shared" si="183"/>
        <v>2016</v>
      </c>
      <c r="Q1040" s="159">
        <f t="shared" si="184"/>
        <v>1</v>
      </c>
      <c r="R1040" s="160">
        <f t="shared" si="185"/>
        <v>0.8333333334303461</v>
      </c>
      <c r="S1040" s="158">
        <f t="shared" si="186"/>
        <v>0.12820512822005325</v>
      </c>
      <c r="T1040" s="161">
        <f t="shared" si="187"/>
        <v>61.153846160965401</v>
      </c>
      <c r="U1040" s="158">
        <f t="shared" si="188"/>
        <v>73.384615384615387</v>
      </c>
      <c r="V1040" s="160">
        <f t="shared" si="189"/>
        <v>73</v>
      </c>
    </row>
    <row r="1041" spans="1:22" x14ac:dyDescent="0.25">
      <c r="A1041" s="98" t="s">
        <v>26</v>
      </c>
      <c r="B1041" s="98" t="s">
        <v>15</v>
      </c>
      <c r="C1041" s="98">
        <v>3</v>
      </c>
      <c r="D1041" s="98">
        <v>1480</v>
      </c>
      <c r="E1041" s="157">
        <v>42389.386805555558</v>
      </c>
      <c r="F1041" s="157">
        <v>42389.429166666669</v>
      </c>
      <c r="G1041" s="98">
        <v>0</v>
      </c>
      <c r="H1041" s="98">
        <v>520</v>
      </c>
      <c r="I1041" s="98">
        <v>477</v>
      </c>
      <c r="J1041" s="98" t="s">
        <v>1972</v>
      </c>
      <c r="K1041" s="98" t="s">
        <v>3351</v>
      </c>
      <c r="L1041" s="105" t="str">
        <f t="shared" si="180"/>
        <v>Ghent</v>
      </c>
      <c r="M1041" s="105" t="str">
        <f t="shared" si="181"/>
        <v>Outage</v>
      </c>
      <c r="N1041" s="105" t="str">
        <f t="shared" si="182"/>
        <v>Coal</v>
      </c>
      <c r="O1041" s="105">
        <f>IFERROR(VLOOKUP(A1041,Lookup!$J$5:$P$19,7,FALSE),0)</f>
        <v>3</v>
      </c>
      <c r="P1041" s="159">
        <f t="shared" si="183"/>
        <v>2016</v>
      </c>
      <c r="Q1041" s="159">
        <f t="shared" si="184"/>
        <v>1</v>
      </c>
      <c r="R1041" s="160">
        <f t="shared" si="185"/>
        <v>1.0166666666627862</v>
      </c>
      <c r="S1041" s="158">
        <f t="shared" si="186"/>
        <v>1.0166666666627862</v>
      </c>
      <c r="T1041" s="161">
        <f t="shared" si="187"/>
        <v>484.949999998149</v>
      </c>
      <c r="U1041" s="158">
        <f t="shared" si="188"/>
        <v>477</v>
      </c>
      <c r="V1041" s="160">
        <f t="shared" si="189"/>
        <v>477</v>
      </c>
    </row>
    <row r="1042" spans="1:22" x14ac:dyDescent="0.25">
      <c r="A1042" s="98" t="s">
        <v>26</v>
      </c>
      <c r="B1042" s="98" t="s">
        <v>17</v>
      </c>
      <c r="C1042" s="98">
        <v>4</v>
      </c>
      <c r="D1042" s="98">
        <v>350</v>
      </c>
      <c r="E1042" s="157">
        <v>42389.563194444447</v>
      </c>
      <c r="F1042" s="157">
        <v>42389.677083333336</v>
      </c>
      <c r="G1042" s="98">
        <v>460</v>
      </c>
      <c r="H1042" s="98">
        <v>520</v>
      </c>
      <c r="I1042" s="98">
        <v>477</v>
      </c>
      <c r="J1042" s="98" t="s">
        <v>1976</v>
      </c>
      <c r="K1042" s="98" t="s">
        <v>3352</v>
      </c>
      <c r="L1042" s="105" t="str">
        <f t="shared" si="180"/>
        <v>Ghent</v>
      </c>
      <c r="M1042" s="105" t="str">
        <f t="shared" si="181"/>
        <v>Derate</v>
      </c>
      <c r="N1042" s="105" t="str">
        <f t="shared" si="182"/>
        <v>Coal</v>
      </c>
      <c r="O1042" s="105">
        <f>IFERROR(VLOOKUP(A1042,Lookup!$J$5:$P$19,7,FALSE),0)</f>
        <v>3</v>
      </c>
      <c r="P1042" s="159">
        <f t="shared" si="183"/>
        <v>2016</v>
      </c>
      <c r="Q1042" s="159">
        <f t="shared" si="184"/>
        <v>1</v>
      </c>
      <c r="R1042" s="160">
        <f t="shared" si="185"/>
        <v>2.7333333333372138</v>
      </c>
      <c r="S1042" s="158">
        <f t="shared" si="186"/>
        <v>0.31538461538506313</v>
      </c>
      <c r="T1042" s="161">
        <f t="shared" si="187"/>
        <v>150.43846153867511</v>
      </c>
      <c r="U1042" s="158">
        <f t="shared" si="188"/>
        <v>55.03846153846154</v>
      </c>
      <c r="V1042" s="160">
        <f t="shared" si="189"/>
        <v>55</v>
      </c>
    </row>
    <row r="1043" spans="1:22" x14ac:dyDescent="0.25">
      <c r="A1043" s="98" t="s">
        <v>26</v>
      </c>
      <c r="B1043" s="98" t="s">
        <v>17</v>
      </c>
      <c r="C1043" s="98">
        <v>5</v>
      </c>
      <c r="D1043" s="98">
        <v>350</v>
      </c>
      <c r="E1043" s="157">
        <v>42391.285416666666</v>
      </c>
      <c r="F1043" s="157">
        <v>42391.302083333336</v>
      </c>
      <c r="G1043" s="98">
        <v>415</v>
      </c>
      <c r="H1043" s="98">
        <v>520</v>
      </c>
      <c r="I1043" s="98">
        <v>477</v>
      </c>
      <c r="J1043" s="98" t="s">
        <v>1976</v>
      </c>
      <c r="K1043" s="98" t="s">
        <v>3353</v>
      </c>
      <c r="L1043" s="105" t="str">
        <f t="shared" si="180"/>
        <v>Ghent</v>
      </c>
      <c r="M1043" s="105" t="str">
        <f t="shared" si="181"/>
        <v>Derate</v>
      </c>
      <c r="N1043" s="105" t="str">
        <f t="shared" si="182"/>
        <v>Coal</v>
      </c>
      <c r="O1043" s="105">
        <f>IFERROR(VLOOKUP(A1043,Lookup!$J$5:$P$19,7,FALSE),0)</f>
        <v>3</v>
      </c>
      <c r="P1043" s="159">
        <f t="shared" si="183"/>
        <v>2016</v>
      </c>
      <c r="Q1043" s="159">
        <f t="shared" si="184"/>
        <v>1</v>
      </c>
      <c r="R1043" s="160">
        <f t="shared" si="185"/>
        <v>0.40000000008149073</v>
      </c>
      <c r="S1043" s="158">
        <f t="shared" si="186"/>
        <v>8.0769230785685625E-2</v>
      </c>
      <c r="T1043" s="161">
        <f t="shared" si="187"/>
        <v>38.526923084772044</v>
      </c>
      <c r="U1043" s="158">
        <f t="shared" si="188"/>
        <v>96.317307692307693</v>
      </c>
      <c r="V1043" s="160">
        <f t="shared" si="189"/>
        <v>96</v>
      </c>
    </row>
    <row r="1044" spans="1:22" x14ac:dyDescent="0.25">
      <c r="A1044" s="98" t="s">
        <v>26</v>
      </c>
      <c r="B1044" s="98" t="s">
        <v>17</v>
      </c>
      <c r="C1044" s="98">
        <v>6</v>
      </c>
      <c r="D1044" s="98">
        <v>350</v>
      </c>
      <c r="E1044" s="157">
        <v>42391.424305555556</v>
      </c>
      <c r="F1044" s="157">
        <v>42391.488194444442</v>
      </c>
      <c r="G1044" s="98">
        <v>415</v>
      </c>
      <c r="H1044" s="98">
        <v>520</v>
      </c>
      <c r="I1044" s="98">
        <v>477</v>
      </c>
      <c r="J1044" s="98" t="s">
        <v>1976</v>
      </c>
      <c r="K1044" s="98" t="s">
        <v>3354</v>
      </c>
      <c r="L1044" s="105" t="str">
        <f t="shared" si="180"/>
        <v>Ghent</v>
      </c>
      <c r="M1044" s="105" t="str">
        <f t="shared" si="181"/>
        <v>Derate</v>
      </c>
      <c r="N1044" s="105" t="str">
        <f t="shared" si="182"/>
        <v>Coal</v>
      </c>
      <c r="O1044" s="105">
        <f>IFERROR(VLOOKUP(A1044,Lookup!$J$5:$P$19,7,FALSE),0)</f>
        <v>3</v>
      </c>
      <c r="P1044" s="159">
        <f t="shared" si="183"/>
        <v>2016</v>
      </c>
      <c r="Q1044" s="159">
        <f t="shared" si="184"/>
        <v>1</v>
      </c>
      <c r="R1044" s="160">
        <f t="shared" si="185"/>
        <v>1.5333333332673647</v>
      </c>
      <c r="S1044" s="158">
        <f t="shared" si="186"/>
        <v>0.309615384602064</v>
      </c>
      <c r="T1044" s="161">
        <f t="shared" si="187"/>
        <v>147.68653845518452</v>
      </c>
      <c r="U1044" s="158">
        <f t="shared" si="188"/>
        <v>96.317307692307693</v>
      </c>
      <c r="V1044" s="160">
        <f t="shared" si="189"/>
        <v>96</v>
      </c>
    </row>
    <row r="1045" spans="1:22" x14ac:dyDescent="0.25">
      <c r="A1045" s="98" t="s">
        <v>26</v>
      </c>
      <c r="B1045" s="98" t="s">
        <v>15</v>
      </c>
      <c r="C1045" s="98">
        <v>7</v>
      </c>
      <c r="D1045" s="98">
        <v>1060</v>
      </c>
      <c r="E1045" s="157">
        <v>42396.633333333331</v>
      </c>
      <c r="F1045" s="157">
        <v>42397.742361111108</v>
      </c>
      <c r="G1045" s="98">
        <v>0</v>
      </c>
      <c r="H1045" s="98">
        <v>520</v>
      </c>
      <c r="I1045" s="98">
        <v>477</v>
      </c>
      <c r="J1045" s="98" t="s">
        <v>2179</v>
      </c>
      <c r="K1045" s="98" t="s">
        <v>3355</v>
      </c>
      <c r="L1045" s="105" t="str">
        <f t="shared" si="180"/>
        <v>Ghent</v>
      </c>
      <c r="M1045" s="105" t="str">
        <f t="shared" si="181"/>
        <v>Outage</v>
      </c>
      <c r="N1045" s="105" t="str">
        <f t="shared" si="182"/>
        <v>Coal</v>
      </c>
      <c r="O1045" s="105">
        <f>IFERROR(VLOOKUP(A1045,Lookup!$J$5:$P$19,7,FALSE),0)</f>
        <v>3</v>
      </c>
      <c r="P1045" s="159">
        <f t="shared" si="183"/>
        <v>2016</v>
      </c>
      <c r="Q1045" s="159">
        <f t="shared" si="184"/>
        <v>1</v>
      </c>
      <c r="R1045" s="160">
        <f t="shared" si="185"/>
        <v>26.616666666639503</v>
      </c>
      <c r="S1045" s="158">
        <f t="shared" si="186"/>
        <v>26.616666666639503</v>
      </c>
      <c r="T1045" s="161">
        <f t="shared" si="187"/>
        <v>12696.149999987043</v>
      </c>
      <c r="U1045" s="158">
        <f t="shared" si="188"/>
        <v>477</v>
      </c>
      <c r="V1045" s="160">
        <f t="shared" si="189"/>
        <v>477</v>
      </c>
    </row>
    <row r="1046" spans="1:22" x14ac:dyDescent="0.25">
      <c r="A1046" s="98" t="s">
        <v>26</v>
      </c>
      <c r="B1046" s="98" t="s">
        <v>15</v>
      </c>
      <c r="C1046" s="98">
        <v>8</v>
      </c>
      <c r="D1046" s="98">
        <v>1060</v>
      </c>
      <c r="E1046" s="157">
        <v>42404.45</v>
      </c>
      <c r="F1046" s="157">
        <v>42406.826388888891</v>
      </c>
      <c r="G1046" s="98">
        <v>0</v>
      </c>
      <c r="H1046" s="98">
        <v>520</v>
      </c>
      <c r="I1046" s="98">
        <v>477</v>
      </c>
      <c r="J1046" s="98" t="s">
        <v>2179</v>
      </c>
      <c r="K1046" s="98" t="s">
        <v>3356</v>
      </c>
      <c r="L1046" s="105" t="str">
        <f t="shared" si="180"/>
        <v>Ghent</v>
      </c>
      <c r="M1046" s="105" t="str">
        <f t="shared" si="181"/>
        <v>Outage</v>
      </c>
      <c r="N1046" s="105" t="str">
        <f t="shared" si="182"/>
        <v>Coal</v>
      </c>
      <c r="O1046" s="105">
        <f>IFERROR(VLOOKUP(A1046,Lookup!$J$5:$P$19,7,FALSE),0)</f>
        <v>3</v>
      </c>
      <c r="P1046" s="159">
        <f t="shared" si="183"/>
        <v>2016</v>
      </c>
      <c r="Q1046" s="159">
        <f t="shared" si="184"/>
        <v>2</v>
      </c>
      <c r="R1046" s="160">
        <f t="shared" si="185"/>
        <v>57.033333333441988</v>
      </c>
      <c r="S1046" s="158">
        <f t="shared" si="186"/>
        <v>57.033333333441988</v>
      </c>
      <c r="T1046" s="161">
        <f t="shared" si="187"/>
        <v>27204.900000051828</v>
      </c>
      <c r="U1046" s="158">
        <f t="shared" si="188"/>
        <v>477</v>
      </c>
      <c r="V1046" s="160">
        <f t="shared" si="189"/>
        <v>477</v>
      </c>
    </row>
    <row r="1047" spans="1:22" x14ac:dyDescent="0.25">
      <c r="A1047" s="98" t="s">
        <v>26</v>
      </c>
      <c r="B1047" s="98" t="s">
        <v>15</v>
      </c>
      <c r="C1047" s="98">
        <v>9</v>
      </c>
      <c r="D1047" s="98">
        <v>3220</v>
      </c>
      <c r="E1047" s="157">
        <v>42406.826388888891</v>
      </c>
      <c r="F1047" s="157">
        <v>42407.458333333336</v>
      </c>
      <c r="H1047" s="98">
        <v>520</v>
      </c>
      <c r="I1047" s="98">
        <v>477</v>
      </c>
      <c r="J1047" s="98" t="s">
        <v>2301</v>
      </c>
      <c r="K1047" s="98" t="s">
        <v>3357</v>
      </c>
      <c r="L1047" s="105" t="str">
        <f t="shared" si="180"/>
        <v>Ghent</v>
      </c>
      <c r="M1047" s="105" t="str">
        <f t="shared" si="181"/>
        <v>Outage</v>
      </c>
      <c r="N1047" s="105" t="str">
        <f t="shared" si="182"/>
        <v>Coal</v>
      </c>
      <c r="O1047" s="105">
        <f>IFERROR(VLOOKUP(A1047,Lookup!$J$5:$P$19,7,FALSE),0)</f>
        <v>3</v>
      </c>
      <c r="P1047" s="159">
        <f t="shared" si="183"/>
        <v>2016</v>
      </c>
      <c r="Q1047" s="159">
        <f t="shared" si="184"/>
        <v>2</v>
      </c>
      <c r="R1047" s="160">
        <f t="shared" si="185"/>
        <v>15.166666666686069</v>
      </c>
      <c r="S1047" s="158">
        <f t="shared" si="186"/>
        <v>15.166666666686069</v>
      </c>
      <c r="T1047" s="161">
        <f t="shared" si="187"/>
        <v>7234.500000009255</v>
      </c>
      <c r="U1047" s="158">
        <f t="shared" si="188"/>
        <v>477</v>
      </c>
      <c r="V1047" s="160">
        <f t="shared" si="189"/>
        <v>477</v>
      </c>
    </row>
    <row r="1048" spans="1:22" x14ac:dyDescent="0.25">
      <c r="A1048" s="98" t="s">
        <v>26</v>
      </c>
      <c r="B1048" s="98" t="s">
        <v>32</v>
      </c>
      <c r="C1048" s="98">
        <v>10</v>
      </c>
      <c r="D1048" s="98">
        <v>340</v>
      </c>
      <c r="E1048" s="157">
        <v>42417.958333333336</v>
      </c>
      <c r="F1048" s="157">
        <v>42418.083333333336</v>
      </c>
      <c r="G1048" s="98">
        <v>425</v>
      </c>
      <c r="H1048" s="98">
        <v>520</v>
      </c>
      <c r="I1048" s="98">
        <v>477</v>
      </c>
      <c r="J1048" s="98" t="s">
        <v>1970</v>
      </c>
      <c r="K1048" s="98" t="s">
        <v>3358</v>
      </c>
      <c r="L1048" s="105" t="str">
        <f t="shared" si="180"/>
        <v>Ghent</v>
      </c>
      <c r="M1048" s="105" t="str">
        <f t="shared" si="181"/>
        <v>Derate</v>
      </c>
      <c r="N1048" s="105" t="str">
        <f t="shared" si="182"/>
        <v>Coal</v>
      </c>
      <c r="O1048" s="105">
        <f>IFERROR(VLOOKUP(A1048,Lookup!$J$5:$P$19,7,FALSE),0)</f>
        <v>3</v>
      </c>
      <c r="P1048" s="159">
        <f t="shared" si="183"/>
        <v>2016</v>
      </c>
      <c r="Q1048" s="159">
        <f t="shared" si="184"/>
        <v>2</v>
      </c>
      <c r="R1048" s="160">
        <f t="shared" si="185"/>
        <v>3</v>
      </c>
      <c r="S1048" s="158">
        <f t="shared" si="186"/>
        <v>0.54807692307692313</v>
      </c>
      <c r="T1048" s="161">
        <f t="shared" si="187"/>
        <v>261.43269230769232</v>
      </c>
      <c r="U1048" s="158">
        <f t="shared" si="188"/>
        <v>87.144230769230774</v>
      </c>
      <c r="V1048" s="160">
        <f t="shared" si="189"/>
        <v>87</v>
      </c>
    </row>
    <row r="1049" spans="1:22" x14ac:dyDescent="0.25">
      <c r="A1049" s="98" t="s">
        <v>26</v>
      </c>
      <c r="B1049" s="98" t="s">
        <v>15</v>
      </c>
      <c r="C1049" s="98">
        <v>11</v>
      </c>
      <c r="D1049" s="98">
        <v>1040</v>
      </c>
      <c r="E1049" s="157">
        <v>42418.083333333336</v>
      </c>
      <c r="F1049" s="157">
        <v>42418.990972222222</v>
      </c>
      <c r="G1049" s="98">
        <v>0</v>
      </c>
      <c r="H1049" s="98">
        <v>520</v>
      </c>
      <c r="I1049" s="98">
        <v>477</v>
      </c>
      <c r="J1049" s="98" t="s">
        <v>2001</v>
      </c>
      <c r="K1049" s="98" t="s">
        <v>3359</v>
      </c>
      <c r="L1049" s="105" t="str">
        <f t="shared" si="180"/>
        <v>Ghent</v>
      </c>
      <c r="M1049" s="105" t="str">
        <f t="shared" si="181"/>
        <v>Outage</v>
      </c>
      <c r="N1049" s="105" t="str">
        <f t="shared" si="182"/>
        <v>Coal</v>
      </c>
      <c r="O1049" s="105">
        <f>IFERROR(VLOOKUP(A1049,Lookup!$J$5:$P$19,7,FALSE),0)</f>
        <v>3</v>
      </c>
      <c r="P1049" s="159">
        <f t="shared" si="183"/>
        <v>2016</v>
      </c>
      <c r="Q1049" s="159">
        <f t="shared" si="184"/>
        <v>2</v>
      </c>
      <c r="R1049" s="160">
        <f t="shared" si="185"/>
        <v>21.783333333267365</v>
      </c>
      <c r="S1049" s="158">
        <f t="shared" si="186"/>
        <v>21.783333333267365</v>
      </c>
      <c r="T1049" s="161">
        <f t="shared" si="187"/>
        <v>10390.649999968533</v>
      </c>
      <c r="U1049" s="158">
        <f t="shared" si="188"/>
        <v>477</v>
      </c>
      <c r="V1049" s="160">
        <f t="shared" si="189"/>
        <v>477</v>
      </c>
    </row>
    <row r="1050" spans="1:22" x14ac:dyDescent="0.25">
      <c r="A1050" s="98" t="s">
        <v>26</v>
      </c>
      <c r="B1050" s="98" t="s">
        <v>38</v>
      </c>
      <c r="C1050" s="98">
        <v>13</v>
      </c>
      <c r="D1050" s="98">
        <v>1060</v>
      </c>
      <c r="E1050" s="157">
        <v>42424.338194444441</v>
      </c>
      <c r="F1050" s="157">
        <v>42448.969444444447</v>
      </c>
      <c r="G1050" s="98">
        <v>0</v>
      </c>
      <c r="H1050" s="98">
        <v>520</v>
      </c>
      <c r="I1050" s="98">
        <v>477</v>
      </c>
      <c r="J1050" s="98" t="s">
        <v>2179</v>
      </c>
      <c r="K1050" s="98" t="s">
        <v>3360</v>
      </c>
      <c r="L1050" s="105" t="str">
        <f t="shared" si="180"/>
        <v>Ghent</v>
      </c>
      <c r="M1050" s="105" t="str">
        <f t="shared" si="181"/>
        <v>Other</v>
      </c>
      <c r="N1050" s="105" t="str">
        <f t="shared" si="182"/>
        <v>Coal</v>
      </c>
      <c r="O1050" s="105">
        <f>IFERROR(VLOOKUP(A1050,Lookup!$J$5:$P$19,7,FALSE),0)</f>
        <v>3</v>
      </c>
      <c r="P1050" s="159">
        <f t="shared" si="183"/>
        <v>2016</v>
      </c>
      <c r="Q1050" s="159">
        <f t="shared" si="184"/>
        <v>2</v>
      </c>
      <c r="R1050" s="160">
        <f t="shared" si="185"/>
        <v>591.1500000001397</v>
      </c>
      <c r="S1050" s="158">
        <f t="shared" si="186"/>
        <v>591.1500000001397</v>
      </c>
      <c r="T1050" s="161">
        <f t="shared" si="187"/>
        <v>281978.55000006664</v>
      </c>
      <c r="U1050" s="158">
        <f t="shared" si="188"/>
        <v>477</v>
      </c>
      <c r="V1050" s="160">
        <f t="shared" si="189"/>
        <v>477</v>
      </c>
    </row>
    <row r="1051" spans="1:22" x14ac:dyDescent="0.25">
      <c r="A1051" s="98" t="s">
        <v>26</v>
      </c>
      <c r="B1051" s="98" t="s">
        <v>15</v>
      </c>
      <c r="C1051" s="98">
        <v>14</v>
      </c>
      <c r="D1051" s="98">
        <v>1710</v>
      </c>
      <c r="E1051" s="157">
        <v>42449.146527777775</v>
      </c>
      <c r="F1051" s="157">
        <v>42449.204861111109</v>
      </c>
      <c r="G1051" s="98">
        <v>0</v>
      </c>
      <c r="H1051" s="98">
        <v>520</v>
      </c>
      <c r="I1051" s="98">
        <v>477</v>
      </c>
      <c r="J1051" s="98" t="s">
        <v>2020</v>
      </c>
      <c r="K1051" s="98" t="s">
        <v>3361</v>
      </c>
      <c r="L1051" s="105" t="str">
        <f t="shared" si="180"/>
        <v>Ghent</v>
      </c>
      <c r="M1051" s="105" t="str">
        <f t="shared" si="181"/>
        <v>Outage</v>
      </c>
      <c r="N1051" s="105" t="str">
        <f t="shared" si="182"/>
        <v>Coal</v>
      </c>
      <c r="O1051" s="105">
        <f>IFERROR(VLOOKUP(A1051,Lookup!$J$5:$P$19,7,FALSE),0)</f>
        <v>3</v>
      </c>
      <c r="P1051" s="159">
        <f t="shared" si="183"/>
        <v>2016</v>
      </c>
      <c r="Q1051" s="159">
        <f t="shared" si="184"/>
        <v>3</v>
      </c>
      <c r="R1051" s="160">
        <f t="shared" si="185"/>
        <v>1.4000000000232831</v>
      </c>
      <c r="S1051" s="158">
        <f t="shared" si="186"/>
        <v>1.4000000000232831</v>
      </c>
      <c r="T1051" s="161">
        <f t="shared" si="187"/>
        <v>667.80000001110602</v>
      </c>
      <c r="U1051" s="158">
        <f t="shared" si="188"/>
        <v>477</v>
      </c>
      <c r="V1051" s="160">
        <f t="shared" si="189"/>
        <v>477</v>
      </c>
    </row>
    <row r="1052" spans="1:22" x14ac:dyDescent="0.25">
      <c r="A1052" s="98" t="s">
        <v>26</v>
      </c>
      <c r="B1052" s="98" t="s">
        <v>32</v>
      </c>
      <c r="C1052" s="98">
        <v>15</v>
      </c>
      <c r="D1052" s="98">
        <v>250</v>
      </c>
      <c r="E1052" s="157">
        <v>42457.895833333336</v>
      </c>
      <c r="F1052" s="157">
        <v>42458.003472222219</v>
      </c>
      <c r="G1052" s="98">
        <v>435</v>
      </c>
      <c r="H1052" s="98">
        <v>520</v>
      </c>
      <c r="I1052" s="98">
        <v>477</v>
      </c>
      <c r="J1052" s="98" t="s">
        <v>1978</v>
      </c>
      <c r="K1052" s="98" t="s">
        <v>3362</v>
      </c>
      <c r="L1052" s="105" t="str">
        <f t="shared" si="180"/>
        <v>Ghent</v>
      </c>
      <c r="M1052" s="105" t="str">
        <f t="shared" si="181"/>
        <v>Derate</v>
      </c>
      <c r="N1052" s="105" t="str">
        <f t="shared" si="182"/>
        <v>Coal</v>
      </c>
      <c r="O1052" s="105">
        <f>IFERROR(VLOOKUP(A1052,Lookup!$J$5:$P$19,7,FALSE),0)</f>
        <v>3</v>
      </c>
      <c r="P1052" s="159">
        <f t="shared" si="183"/>
        <v>2016</v>
      </c>
      <c r="Q1052" s="159">
        <f t="shared" si="184"/>
        <v>3</v>
      </c>
      <c r="R1052" s="160">
        <f t="shared" si="185"/>
        <v>2.5833333331975155</v>
      </c>
      <c r="S1052" s="158">
        <f t="shared" si="186"/>
        <v>0.42227564100344001</v>
      </c>
      <c r="T1052" s="161">
        <f t="shared" si="187"/>
        <v>201.42548075864087</v>
      </c>
      <c r="U1052" s="158">
        <f t="shared" si="188"/>
        <v>77.97115384615384</v>
      </c>
      <c r="V1052" s="160">
        <f t="shared" si="189"/>
        <v>78</v>
      </c>
    </row>
    <row r="1053" spans="1:22" x14ac:dyDescent="0.25">
      <c r="A1053" s="98" t="s">
        <v>26</v>
      </c>
      <c r="B1053" s="98" t="s">
        <v>32</v>
      </c>
      <c r="C1053" s="98">
        <v>16</v>
      </c>
      <c r="D1053" s="98">
        <v>340</v>
      </c>
      <c r="E1053" s="157">
        <v>42464.964583333334</v>
      </c>
      <c r="F1053" s="157">
        <v>42465.032638888886</v>
      </c>
      <c r="G1053" s="98">
        <v>460</v>
      </c>
      <c r="H1053" s="98">
        <v>520</v>
      </c>
      <c r="I1053" s="98">
        <v>477</v>
      </c>
      <c r="J1053" s="98" t="s">
        <v>1970</v>
      </c>
      <c r="K1053" s="98" t="s">
        <v>3363</v>
      </c>
      <c r="L1053" s="105" t="str">
        <f t="shared" si="180"/>
        <v>Ghent</v>
      </c>
      <c r="M1053" s="105" t="str">
        <f t="shared" si="181"/>
        <v>Derate</v>
      </c>
      <c r="N1053" s="105" t="str">
        <f t="shared" si="182"/>
        <v>Coal</v>
      </c>
      <c r="O1053" s="105">
        <f>IFERROR(VLOOKUP(A1053,Lookup!$J$5:$P$19,7,FALSE),0)</f>
        <v>3</v>
      </c>
      <c r="P1053" s="159">
        <f t="shared" si="183"/>
        <v>2016</v>
      </c>
      <c r="Q1053" s="159">
        <f t="shared" si="184"/>
        <v>4</v>
      </c>
      <c r="R1053" s="160">
        <f t="shared" si="185"/>
        <v>1.6333333332440816</v>
      </c>
      <c r="S1053" s="158">
        <f t="shared" si="186"/>
        <v>0.1884615384512402</v>
      </c>
      <c r="T1053" s="161">
        <f t="shared" si="187"/>
        <v>89.896153841241571</v>
      </c>
      <c r="U1053" s="158">
        <f t="shared" si="188"/>
        <v>55.03846153846154</v>
      </c>
      <c r="V1053" s="160">
        <f t="shared" si="189"/>
        <v>55</v>
      </c>
    </row>
    <row r="1054" spans="1:22" x14ac:dyDescent="0.25">
      <c r="A1054" s="98" t="s">
        <v>26</v>
      </c>
      <c r="B1054" s="98" t="s">
        <v>32</v>
      </c>
      <c r="C1054" s="98">
        <v>17</v>
      </c>
      <c r="D1054" s="98">
        <v>340</v>
      </c>
      <c r="E1054" s="157">
        <v>42465.958333333336</v>
      </c>
      <c r="F1054" s="157">
        <v>42466.031944444447</v>
      </c>
      <c r="G1054" s="98">
        <v>460</v>
      </c>
      <c r="H1054" s="98">
        <v>520</v>
      </c>
      <c r="I1054" s="98">
        <v>477</v>
      </c>
      <c r="J1054" s="98" t="s">
        <v>1970</v>
      </c>
      <c r="K1054" s="98" t="s">
        <v>3364</v>
      </c>
      <c r="L1054" s="105" t="str">
        <f t="shared" si="180"/>
        <v>Ghent</v>
      </c>
      <c r="M1054" s="105" t="str">
        <f t="shared" si="181"/>
        <v>Derate</v>
      </c>
      <c r="N1054" s="105" t="str">
        <f t="shared" si="182"/>
        <v>Coal</v>
      </c>
      <c r="O1054" s="105">
        <f>IFERROR(VLOOKUP(A1054,Lookup!$J$5:$P$19,7,FALSE),0)</f>
        <v>3</v>
      </c>
      <c r="P1054" s="159">
        <f t="shared" si="183"/>
        <v>2016</v>
      </c>
      <c r="Q1054" s="159">
        <f t="shared" si="184"/>
        <v>4</v>
      </c>
      <c r="R1054" s="160">
        <f t="shared" si="185"/>
        <v>1.7666666666627862</v>
      </c>
      <c r="S1054" s="158">
        <f t="shared" si="186"/>
        <v>0.20384615384570609</v>
      </c>
      <c r="T1054" s="161">
        <f t="shared" si="187"/>
        <v>97.234615384401806</v>
      </c>
      <c r="U1054" s="158">
        <f t="shared" si="188"/>
        <v>55.03846153846154</v>
      </c>
      <c r="V1054" s="160">
        <f t="shared" si="189"/>
        <v>55</v>
      </c>
    </row>
    <row r="1055" spans="1:22" x14ac:dyDescent="0.25">
      <c r="A1055" s="98" t="s">
        <v>26</v>
      </c>
      <c r="B1055" s="98" t="s">
        <v>17</v>
      </c>
      <c r="C1055" s="98">
        <v>18</v>
      </c>
      <c r="D1055" s="98">
        <v>340</v>
      </c>
      <c r="E1055" s="157">
        <v>42475.75</v>
      </c>
      <c r="F1055" s="157">
        <v>42476.211111111108</v>
      </c>
      <c r="G1055" s="98">
        <v>470</v>
      </c>
      <c r="H1055" s="98">
        <v>520</v>
      </c>
      <c r="I1055" s="98">
        <v>477</v>
      </c>
      <c r="J1055" s="98" t="s">
        <v>1970</v>
      </c>
      <c r="K1055" s="98" t="s">
        <v>3365</v>
      </c>
      <c r="L1055" s="105" t="str">
        <f t="shared" si="180"/>
        <v>Ghent</v>
      </c>
      <c r="M1055" s="105" t="str">
        <f t="shared" si="181"/>
        <v>Derate</v>
      </c>
      <c r="N1055" s="105" t="str">
        <f t="shared" si="182"/>
        <v>Coal</v>
      </c>
      <c r="O1055" s="105">
        <f>IFERROR(VLOOKUP(A1055,Lookup!$J$5:$P$19,7,FALSE),0)</f>
        <v>3</v>
      </c>
      <c r="P1055" s="159">
        <f t="shared" si="183"/>
        <v>2016</v>
      </c>
      <c r="Q1055" s="159">
        <f t="shared" si="184"/>
        <v>4</v>
      </c>
      <c r="R1055" s="160">
        <f t="shared" si="185"/>
        <v>11.066666666592937</v>
      </c>
      <c r="S1055" s="158">
        <f t="shared" si="186"/>
        <v>1.0641025640954747</v>
      </c>
      <c r="T1055" s="161">
        <f t="shared" si="187"/>
        <v>507.57692307354142</v>
      </c>
      <c r="U1055" s="158">
        <f t="shared" si="188"/>
        <v>45.865384615384613</v>
      </c>
      <c r="V1055" s="160">
        <f t="shared" si="189"/>
        <v>46</v>
      </c>
    </row>
    <row r="1056" spans="1:22" x14ac:dyDescent="0.25">
      <c r="A1056" s="98" t="s">
        <v>26</v>
      </c>
      <c r="B1056" s="98" t="s">
        <v>17</v>
      </c>
      <c r="C1056" s="98">
        <v>19</v>
      </c>
      <c r="D1056" s="98">
        <v>340</v>
      </c>
      <c r="E1056" s="157">
        <v>42476.211111111108</v>
      </c>
      <c r="F1056" s="157">
        <v>42476.600694444445</v>
      </c>
      <c r="G1056" s="98">
        <v>450</v>
      </c>
      <c r="H1056" s="98">
        <v>520</v>
      </c>
      <c r="I1056" s="98">
        <v>477</v>
      </c>
      <c r="J1056" s="98" t="s">
        <v>1970</v>
      </c>
      <c r="K1056" s="98" t="s">
        <v>3366</v>
      </c>
      <c r="L1056" s="105" t="str">
        <f t="shared" si="180"/>
        <v>Ghent</v>
      </c>
      <c r="M1056" s="105" t="str">
        <f t="shared" si="181"/>
        <v>Derate</v>
      </c>
      <c r="N1056" s="105" t="str">
        <f t="shared" si="182"/>
        <v>Coal</v>
      </c>
      <c r="O1056" s="105">
        <f>IFERROR(VLOOKUP(A1056,Lookup!$J$5:$P$19,7,FALSE),0)</f>
        <v>3</v>
      </c>
      <c r="P1056" s="159">
        <f t="shared" si="183"/>
        <v>2016</v>
      </c>
      <c r="Q1056" s="159">
        <f t="shared" si="184"/>
        <v>4</v>
      </c>
      <c r="R1056" s="160">
        <f t="shared" si="185"/>
        <v>9.3500000000931323</v>
      </c>
      <c r="S1056" s="158">
        <f t="shared" si="186"/>
        <v>1.2586538461663832</v>
      </c>
      <c r="T1056" s="161">
        <f t="shared" si="187"/>
        <v>600.37788462136484</v>
      </c>
      <c r="U1056" s="158">
        <f t="shared" si="188"/>
        <v>64.211538461538467</v>
      </c>
      <c r="V1056" s="160">
        <f t="shared" si="189"/>
        <v>64</v>
      </c>
    </row>
    <row r="1057" spans="1:22" x14ac:dyDescent="0.25">
      <c r="A1057" s="98" t="s">
        <v>26</v>
      </c>
      <c r="B1057" s="98" t="s">
        <v>17</v>
      </c>
      <c r="C1057" s="98">
        <v>20</v>
      </c>
      <c r="D1057" s="98">
        <v>250</v>
      </c>
      <c r="E1057" s="157">
        <v>42480.111111111109</v>
      </c>
      <c r="F1057" s="157">
        <v>42480.340277777781</v>
      </c>
      <c r="G1057" s="98">
        <v>450</v>
      </c>
      <c r="H1057" s="98">
        <v>520</v>
      </c>
      <c r="I1057" s="98">
        <v>477</v>
      </c>
      <c r="J1057" s="98" t="s">
        <v>1978</v>
      </c>
      <c r="K1057" s="98" t="s">
        <v>3367</v>
      </c>
      <c r="L1057" s="105" t="str">
        <f t="shared" si="180"/>
        <v>Ghent</v>
      </c>
      <c r="M1057" s="105" t="str">
        <f t="shared" si="181"/>
        <v>Derate</v>
      </c>
      <c r="N1057" s="105" t="str">
        <f t="shared" si="182"/>
        <v>Coal</v>
      </c>
      <c r="O1057" s="105">
        <f>IFERROR(VLOOKUP(A1057,Lookup!$J$5:$P$19,7,FALSE),0)</f>
        <v>3</v>
      </c>
      <c r="P1057" s="159">
        <f t="shared" si="183"/>
        <v>2016</v>
      </c>
      <c r="Q1057" s="159">
        <f t="shared" si="184"/>
        <v>4</v>
      </c>
      <c r="R1057" s="160">
        <f t="shared" si="185"/>
        <v>5.5000000001164153</v>
      </c>
      <c r="S1057" s="158">
        <f t="shared" si="186"/>
        <v>0.74038461540028666</v>
      </c>
      <c r="T1057" s="161">
        <f t="shared" si="187"/>
        <v>353.16346154593674</v>
      </c>
      <c r="U1057" s="158">
        <f t="shared" si="188"/>
        <v>64.211538461538467</v>
      </c>
      <c r="V1057" s="160">
        <f t="shared" si="189"/>
        <v>64</v>
      </c>
    </row>
    <row r="1058" spans="1:22" x14ac:dyDescent="0.25">
      <c r="A1058" s="98" t="s">
        <v>26</v>
      </c>
      <c r="B1058" s="98" t="s">
        <v>32</v>
      </c>
      <c r="C1058" s="98">
        <v>21</v>
      </c>
      <c r="D1058" s="98">
        <v>340</v>
      </c>
      <c r="E1058" s="157">
        <v>42488.958333333336</v>
      </c>
      <c r="F1058" s="157">
        <v>42489.080555555556</v>
      </c>
      <c r="G1058" s="98">
        <v>460</v>
      </c>
      <c r="H1058" s="98">
        <v>520</v>
      </c>
      <c r="I1058" s="98">
        <v>477</v>
      </c>
      <c r="J1058" s="98" t="s">
        <v>1970</v>
      </c>
      <c r="K1058" s="98" t="s">
        <v>3368</v>
      </c>
      <c r="L1058" s="105" t="str">
        <f t="shared" si="180"/>
        <v>Ghent</v>
      </c>
      <c r="M1058" s="105" t="str">
        <f t="shared" si="181"/>
        <v>Derate</v>
      </c>
      <c r="N1058" s="105" t="str">
        <f t="shared" si="182"/>
        <v>Coal</v>
      </c>
      <c r="O1058" s="105">
        <f>IFERROR(VLOOKUP(A1058,Lookup!$J$5:$P$19,7,FALSE),0)</f>
        <v>3</v>
      </c>
      <c r="P1058" s="159">
        <f t="shared" si="183"/>
        <v>2016</v>
      </c>
      <c r="Q1058" s="159">
        <f t="shared" si="184"/>
        <v>4</v>
      </c>
      <c r="R1058" s="160">
        <f t="shared" si="185"/>
        <v>2.9333333332906477</v>
      </c>
      <c r="S1058" s="158">
        <f t="shared" si="186"/>
        <v>0.3384615384566132</v>
      </c>
      <c r="T1058" s="161">
        <f t="shared" si="187"/>
        <v>161.4461538438045</v>
      </c>
      <c r="U1058" s="158">
        <f t="shared" si="188"/>
        <v>55.03846153846154</v>
      </c>
      <c r="V1058" s="160">
        <f t="shared" si="189"/>
        <v>55</v>
      </c>
    </row>
    <row r="1059" spans="1:22" x14ac:dyDescent="0.25">
      <c r="A1059" s="98" t="s">
        <v>26</v>
      </c>
      <c r="B1059" s="98" t="s">
        <v>32</v>
      </c>
      <c r="C1059" s="98">
        <v>22</v>
      </c>
      <c r="D1059" s="98">
        <v>340</v>
      </c>
      <c r="E1059" s="157">
        <v>42501.000694444447</v>
      </c>
      <c r="F1059" s="157">
        <v>42501.038888888892</v>
      </c>
      <c r="G1059" s="98">
        <v>460</v>
      </c>
      <c r="H1059" s="98">
        <v>520</v>
      </c>
      <c r="I1059" s="98">
        <v>477</v>
      </c>
      <c r="J1059" s="98" t="s">
        <v>1970</v>
      </c>
      <c r="K1059" s="98" t="s">
        <v>3369</v>
      </c>
      <c r="L1059" s="105" t="str">
        <f t="shared" si="180"/>
        <v>Ghent</v>
      </c>
      <c r="M1059" s="105" t="str">
        <f t="shared" si="181"/>
        <v>Derate</v>
      </c>
      <c r="N1059" s="105" t="str">
        <f t="shared" si="182"/>
        <v>Coal</v>
      </c>
      <c r="O1059" s="105">
        <f>IFERROR(VLOOKUP(A1059,Lookup!$J$5:$P$19,7,FALSE),0)</f>
        <v>3</v>
      </c>
      <c r="P1059" s="159">
        <f t="shared" si="183"/>
        <v>2016</v>
      </c>
      <c r="Q1059" s="159">
        <f t="shared" si="184"/>
        <v>5</v>
      </c>
      <c r="R1059" s="160">
        <f t="shared" si="185"/>
        <v>0.91666666668606922</v>
      </c>
      <c r="S1059" s="158">
        <f t="shared" si="186"/>
        <v>0.10576923077146952</v>
      </c>
      <c r="T1059" s="161">
        <f t="shared" si="187"/>
        <v>50.451923077990962</v>
      </c>
      <c r="U1059" s="158">
        <f t="shared" si="188"/>
        <v>55.03846153846154</v>
      </c>
      <c r="V1059" s="160">
        <f t="shared" si="189"/>
        <v>55</v>
      </c>
    </row>
    <row r="1060" spans="1:22" x14ac:dyDescent="0.25">
      <c r="A1060" s="98" t="s">
        <v>26</v>
      </c>
      <c r="B1060" s="98" t="s">
        <v>17</v>
      </c>
      <c r="C1060" s="98">
        <v>23</v>
      </c>
      <c r="D1060" s="98">
        <v>250</v>
      </c>
      <c r="E1060" s="157">
        <v>42502.364583333336</v>
      </c>
      <c r="F1060" s="157">
        <v>42502.474999999999</v>
      </c>
      <c r="G1060" s="98">
        <v>480</v>
      </c>
      <c r="H1060" s="98">
        <v>520</v>
      </c>
      <c r="I1060" s="98">
        <v>477</v>
      </c>
      <c r="J1060" s="98" t="s">
        <v>1978</v>
      </c>
      <c r="K1060" s="98" t="s">
        <v>3370</v>
      </c>
      <c r="L1060" s="105" t="str">
        <f t="shared" si="180"/>
        <v>Ghent</v>
      </c>
      <c r="M1060" s="105" t="str">
        <f t="shared" si="181"/>
        <v>Derate</v>
      </c>
      <c r="N1060" s="105" t="str">
        <f t="shared" si="182"/>
        <v>Coal</v>
      </c>
      <c r="O1060" s="105">
        <f>IFERROR(VLOOKUP(A1060,Lookup!$J$5:$P$19,7,FALSE),0)</f>
        <v>3</v>
      </c>
      <c r="P1060" s="159">
        <f t="shared" si="183"/>
        <v>2016</v>
      </c>
      <c r="Q1060" s="159">
        <f t="shared" si="184"/>
        <v>5</v>
      </c>
      <c r="R1060" s="160">
        <f t="shared" si="185"/>
        <v>2.6499999999068677</v>
      </c>
      <c r="S1060" s="158">
        <f t="shared" si="186"/>
        <v>0.20384615383898982</v>
      </c>
      <c r="T1060" s="161">
        <f t="shared" si="187"/>
        <v>97.23461538119814</v>
      </c>
      <c r="U1060" s="158">
        <f t="shared" si="188"/>
        <v>36.692307692307693</v>
      </c>
      <c r="V1060" s="160">
        <f t="shared" si="189"/>
        <v>37</v>
      </c>
    </row>
    <row r="1061" spans="1:22" x14ac:dyDescent="0.25">
      <c r="A1061" s="98" t="s">
        <v>26</v>
      </c>
      <c r="B1061" s="98" t="s">
        <v>20</v>
      </c>
      <c r="C1061" s="98">
        <v>24</v>
      </c>
      <c r="D1061" s="98">
        <v>510</v>
      </c>
      <c r="E1061" s="157">
        <v>42504.681944444441</v>
      </c>
      <c r="F1061" s="157">
        <v>42504.894444444442</v>
      </c>
      <c r="G1061" s="98">
        <v>0</v>
      </c>
      <c r="H1061" s="98">
        <v>520</v>
      </c>
      <c r="I1061" s="98">
        <v>477</v>
      </c>
      <c r="J1061" s="98" t="s">
        <v>3188</v>
      </c>
      <c r="K1061" s="98" t="s">
        <v>3371</v>
      </c>
      <c r="L1061" s="105" t="str">
        <f t="shared" si="180"/>
        <v>Ghent</v>
      </c>
      <c r="M1061" s="105" t="str">
        <f t="shared" si="181"/>
        <v>Maintenance</v>
      </c>
      <c r="N1061" s="105" t="str">
        <f t="shared" si="182"/>
        <v>Coal</v>
      </c>
      <c r="O1061" s="105">
        <f>IFERROR(VLOOKUP(A1061,Lookup!$J$5:$P$19,7,FALSE),0)</f>
        <v>3</v>
      </c>
      <c r="P1061" s="159">
        <f t="shared" si="183"/>
        <v>2016</v>
      </c>
      <c r="Q1061" s="159">
        <f t="shared" si="184"/>
        <v>5</v>
      </c>
      <c r="R1061" s="160">
        <f t="shared" si="185"/>
        <v>5.1000000000349246</v>
      </c>
      <c r="S1061" s="158">
        <f t="shared" si="186"/>
        <v>5.1000000000349246</v>
      </c>
      <c r="T1061" s="161">
        <f t="shared" si="187"/>
        <v>2432.700000016659</v>
      </c>
      <c r="U1061" s="158">
        <f t="shared" si="188"/>
        <v>477</v>
      </c>
      <c r="V1061" s="160">
        <f t="shared" si="189"/>
        <v>477</v>
      </c>
    </row>
    <row r="1062" spans="1:22" x14ac:dyDescent="0.25">
      <c r="A1062" s="98" t="s">
        <v>26</v>
      </c>
      <c r="B1062" s="98" t="s">
        <v>15</v>
      </c>
      <c r="C1062" s="98">
        <v>26</v>
      </c>
      <c r="D1062" s="98">
        <v>3133</v>
      </c>
      <c r="E1062" s="157">
        <v>42505.5625</v>
      </c>
      <c r="F1062" s="157">
        <v>42505.593055555553</v>
      </c>
      <c r="G1062" s="98">
        <v>0</v>
      </c>
      <c r="H1062" s="98">
        <v>520</v>
      </c>
      <c r="I1062" s="98">
        <v>477</v>
      </c>
      <c r="J1062" s="98" t="s">
        <v>2181</v>
      </c>
      <c r="K1062" s="98" t="s">
        <v>3372</v>
      </c>
      <c r="L1062" s="105" t="str">
        <f t="shared" si="180"/>
        <v>Ghent</v>
      </c>
      <c r="M1062" s="105" t="str">
        <f t="shared" si="181"/>
        <v>Outage</v>
      </c>
      <c r="N1062" s="105" t="str">
        <f t="shared" si="182"/>
        <v>Coal</v>
      </c>
      <c r="O1062" s="105">
        <f>IFERROR(VLOOKUP(A1062,Lookup!$J$5:$P$19,7,FALSE),0)</f>
        <v>3</v>
      </c>
      <c r="P1062" s="159">
        <f t="shared" si="183"/>
        <v>2016</v>
      </c>
      <c r="Q1062" s="159">
        <f t="shared" si="184"/>
        <v>5</v>
      </c>
      <c r="R1062" s="160">
        <f t="shared" si="185"/>
        <v>0.73333333327900618</v>
      </c>
      <c r="S1062" s="158">
        <f t="shared" si="186"/>
        <v>0.73333333327900618</v>
      </c>
      <c r="T1062" s="161">
        <f t="shared" si="187"/>
        <v>349.79999997408595</v>
      </c>
      <c r="U1062" s="158">
        <f t="shared" si="188"/>
        <v>477</v>
      </c>
      <c r="V1062" s="160">
        <f t="shared" si="189"/>
        <v>477</v>
      </c>
    </row>
    <row r="1063" spans="1:22" x14ac:dyDescent="0.25">
      <c r="A1063" s="98" t="s">
        <v>26</v>
      </c>
      <c r="B1063" s="98" t="s">
        <v>15</v>
      </c>
      <c r="C1063" s="98">
        <v>27</v>
      </c>
      <c r="D1063" s="98">
        <v>3210</v>
      </c>
      <c r="E1063" s="157">
        <v>42505.61041666667</v>
      </c>
      <c r="F1063" s="157">
        <v>42505.645833333336</v>
      </c>
      <c r="G1063" s="98">
        <v>0</v>
      </c>
      <c r="H1063" s="98">
        <v>520</v>
      </c>
      <c r="I1063" s="98">
        <v>477</v>
      </c>
      <c r="J1063" s="98" t="s">
        <v>2048</v>
      </c>
      <c r="K1063" s="98" t="s">
        <v>3373</v>
      </c>
      <c r="L1063" s="105" t="str">
        <f t="shared" ref="L1063:L1126" si="190">IF(OR(A1063="BR1",A1063="BR2",A1063="BR3",A1063="BR5",A1063="BR6",A1063="BR7",A1063="BR8",A1063="BR9",A1063="BR10",A1063="BR11"),"Brown",IF(OR(A1063="CR4",A1063="CR5",A1063="CR6",A1063="CR11"),"Cane Run",IF(OR(A1063="GH1",A1063="GH2",A1063="GH3",A1063="GH4"),"Ghent",IF(OR(A1063="GR3",A1063="GR4"),"Green River",IF(OR(A1063="MC1",A1063="MC2",A1063="MC3",A1063="MC4"),"Mill Creek",IF(OR(A1063="TC1",A1063="TC2",A1063="TC5",A1063="TC6",A1063="TC7",A1063="TC8",A1063="TC9",A1063="TC10"),"Trimble",IF(A1063="TY3","Tyrone",IF(OR(A1063="HA1",A1063="HA2",A1063="HA3"),"Haeflin",IF(OR(A1063="PR11",A1063="PR12",A1063="PR13"),"Paddy's Run","Zorn")))))))))</f>
        <v>Ghent</v>
      </c>
      <c r="M1063" s="105" t="str">
        <f t="shared" ref="M1063:M1126" si="191">IF(OR(B1063="D1",B1063="D2",B1063="D3",B1063="D4",B1063="PD"),"Derate",IF(OR(B1063="SF",B1063="U1",B1063="U2",B1063="U3"),"Outage",IF(OR(B1063="ME",B1063="MO"),"Maintenance","Other")))</f>
        <v>Outage</v>
      </c>
      <c r="N1063" s="105" t="str">
        <f t="shared" ref="N1063:N1126" si="192">IF(OR(A1063="BR1",A1063="BR2",A1063="BR3",A1063="CR4",A1063="CR5",A1063="CR6",A1063="GH1",A1063="GH2",A1063="GH3",A1063="GH4",A1063="GR3",A1063="GR4",A1063="MC1",A1063="MC2",A1063="MC3",A1063="MC4",A1063="TC1",A1063="TC2",A1063="TY3"),"Coal","Gas")</f>
        <v>Coal</v>
      </c>
      <c r="O1063" s="105">
        <f>IFERROR(VLOOKUP(A1063,Lookup!$J$5:$P$19,7,FALSE),0)</f>
        <v>3</v>
      </c>
      <c r="P1063" s="159">
        <f t="shared" ref="P1063:P1126" si="193">YEAR(E1063)</f>
        <v>2016</v>
      </c>
      <c r="Q1063" s="159">
        <f t="shared" ref="Q1063:Q1126" si="194">MONTH(E1063)</f>
        <v>5</v>
      </c>
      <c r="R1063" s="160">
        <f t="shared" ref="R1063:R1126" si="195">(F1063-E1063)*24</f>
        <v>0.84999999997671694</v>
      </c>
      <c r="S1063" s="158">
        <f t="shared" ref="S1063:S1126" si="196">R1063*(H1063-G1063)/H1063</f>
        <v>0.84999999997671694</v>
      </c>
      <c r="T1063" s="161">
        <f t="shared" ref="T1063:T1126" si="197">S1063*I1063</f>
        <v>405.44999998889398</v>
      </c>
      <c r="U1063" s="158">
        <f t="shared" ref="U1063:U1126" si="198">IF(G1063&gt;0,MAX((H1063-G1063),0)*I1063/H1063,I1063)</f>
        <v>477</v>
      </c>
      <c r="V1063" s="160">
        <f t="shared" ref="V1063:V1126" si="199">ROUND(U1063,0)</f>
        <v>477</v>
      </c>
    </row>
    <row r="1064" spans="1:22" x14ac:dyDescent="0.25">
      <c r="A1064" s="98" t="s">
        <v>26</v>
      </c>
      <c r="B1064" s="98" t="s">
        <v>17</v>
      </c>
      <c r="C1064" s="98">
        <v>28</v>
      </c>
      <c r="D1064" s="98">
        <v>250</v>
      </c>
      <c r="E1064" s="157">
        <v>42527.602083333331</v>
      </c>
      <c r="F1064" s="157">
        <v>42527.650694444441</v>
      </c>
      <c r="G1064" s="98">
        <v>465</v>
      </c>
      <c r="H1064" s="98">
        <v>520</v>
      </c>
      <c r="I1064" s="98">
        <v>477</v>
      </c>
      <c r="J1064" s="98" t="s">
        <v>1978</v>
      </c>
      <c r="K1064" s="98" t="s">
        <v>3374</v>
      </c>
      <c r="L1064" s="105" t="str">
        <f t="shared" si="190"/>
        <v>Ghent</v>
      </c>
      <c r="M1064" s="105" t="str">
        <f t="shared" si="191"/>
        <v>Derate</v>
      </c>
      <c r="N1064" s="105" t="str">
        <f t="shared" si="192"/>
        <v>Coal</v>
      </c>
      <c r="O1064" s="105">
        <f>IFERROR(VLOOKUP(A1064,Lookup!$J$5:$P$19,7,FALSE),0)</f>
        <v>3</v>
      </c>
      <c r="P1064" s="159">
        <f t="shared" si="193"/>
        <v>2016</v>
      </c>
      <c r="Q1064" s="159">
        <f t="shared" si="194"/>
        <v>6</v>
      </c>
      <c r="R1064" s="160">
        <f t="shared" si="195"/>
        <v>1.1666666666278616</v>
      </c>
      <c r="S1064" s="158">
        <f t="shared" si="196"/>
        <v>0.12339743589333151</v>
      </c>
      <c r="T1064" s="161">
        <f t="shared" si="197"/>
        <v>58.860576921119126</v>
      </c>
      <c r="U1064" s="158">
        <f t="shared" si="198"/>
        <v>50.45192307692308</v>
      </c>
      <c r="V1064" s="160">
        <f t="shared" si="199"/>
        <v>50</v>
      </c>
    </row>
    <row r="1065" spans="1:22" x14ac:dyDescent="0.25">
      <c r="A1065" s="98" t="s">
        <v>26</v>
      </c>
      <c r="B1065" s="98" t="s">
        <v>32</v>
      </c>
      <c r="C1065" s="98">
        <v>29</v>
      </c>
      <c r="D1065" s="98">
        <v>4267</v>
      </c>
      <c r="E1065" s="157">
        <v>42529.188888888886</v>
      </c>
      <c r="F1065" s="157">
        <v>42529.196527777778</v>
      </c>
      <c r="G1065" s="98">
        <v>440</v>
      </c>
      <c r="H1065" s="98">
        <v>520</v>
      </c>
      <c r="I1065" s="98">
        <v>477</v>
      </c>
      <c r="J1065" s="98" t="s">
        <v>2025</v>
      </c>
      <c r="K1065" s="98" t="s">
        <v>3375</v>
      </c>
      <c r="L1065" s="105" t="str">
        <f t="shared" si="190"/>
        <v>Ghent</v>
      </c>
      <c r="M1065" s="105" t="str">
        <f t="shared" si="191"/>
        <v>Derate</v>
      </c>
      <c r="N1065" s="105" t="str">
        <f t="shared" si="192"/>
        <v>Coal</v>
      </c>
      <c r="O1065" s="105">
        <f>IFERROR(VLOOKUP(A1065,Lookup!$J$5:$P$19,7,FALSE),0)</f>
        <v>3</v>
      </c>
      <c r="P1065" s="159">
        <f t="shared" si="193"/>
        <v>2016</v>
      </c>
      <c r="Q1065" s="159">
        <f t="shared" si="194"/>
        <v>6</v>
      </c>
      <c r="R1065" s="160">
        <f t="shared" si="195"/>
        <v>0.18333333340706304</v>
      </c>
      <c r="S1065" s="158">
        <f t="shared" si="196"/>
        <v>2.8205128216471236E-2</v>
      </c>
      <c r="T1065" s="161">
        <f t="shared" si="197"/>
        <v>13.453846159256779</v>
      </c>
      <c r="U1065" s="158">
        <f t="shared" si="198"/>
        <v>73.384615384615387</v>
      </c>
      <c r="V1065" s="160">
        <f t="shared" si="199"/>
        <v>73</v>
      </c>
    </row>
    <row r="1066" spans="1:22" x14ac:dyDescent="0.25">
      <c r="A1066" s="98" t="s">
        <v>26</v>
      </c>
      <c r="B1066" s="98" t="s">
        <v>17</v>
      </c>
      <c r="C1066" s="98">
        <v>30</v>
      </c>
      <c r="D1066" s="98">
        <v>8020</v>
      </c>
      <c r="E1066" s="157">
        <v>42532.75</v>
      </c>
      <c r="F1066" s="157">
        <v>42532.755555555559</v>
      </c>
      <c r="G1066" s="98">
        <v>340</v>
      </c>
      <c r="H1066" s="98">
        <v>520</v>
      </c>
      <c r="I1066" s="98">
        <v>477</v>
      </c>
      <c r="J1066" s="98" t="s">
        <v>2653</v>
      </c>
      <c r="K1066" s="98" t="s">
        <v>3376</v>
      </c>
      <c r="L1066" s="105" t="str">
        <f t="shared" si="190"/>
        <v>Ghent</v>
      </c>
      <c r="M1066" s="105" t="str">
        <f t="shared" si="191"/>
        <v>Derate</v>
      </c>
      <c r="N1066" s="105" t="str">
        <f t="shared" si="192"/>
        <v>Coal</v>
      </c>
      <c r="O1066" s="105">
        <f>IFERROR(VLOOKUP(A1066,Lookup!$J$5:$P$19,7,FALSE),0)</f>
        <v>3</v>
      </c>
      <c r="P1066" s="159">
        <f t="shared" si="193"/>
        <v>2016</v>
      </c>
      <c r="Q1066" s="159">
        <f t="shared" si="194"/>
        <v>6</v>
      </c>
      <c r="R1066" s="160">
        <f t="shared" si="195"/>
        <v>0.13333333341870457</v>
      </c>
      <c r="S1066" s="158">
        <f t="shared" si="196"/>
        <v>4.6153846183397733E-2</v>
      </c>
      <c r="T1066" s="161">
        <f t="shared" si="197"/>
        <v>22.015384629480717</v>
      </c>
      <c r="U1066" s="158">
        <f t="shared" si="198"/>
        <v>165.11538461538461</v>
      </c>
      <c r="V1066" s="160">
        <f t="shared" si="199"/>
        <v>165</v>
      </c>
    </row>
    <row r="1067" spans="1:22" x14ac:dyDescent="0.25">
      <c r="A1067" s="98" t="s">
        <v>26</v>
      </c>
      <c r="B1067" s="98" t="s">
        <v>32</v>
      </c>
      <c r="C1067" s="98">
        <v>31</v>
      </c>
      <c r="D1067" s="98">
        <v>9656</v>
      </c>
      <c r="E1067" s="157">
        <v>42535.958333333336</v>
      </c>
      <c r="F1067" s="157">
        <v>42536.122916666667</v>
      </c>
      <c r="G1067" s="98">
        <v>450</v>
      </c>
      <c r="H1067" s="98">
        <v>520</v>
      </c>
      <c r="I1067" s="98">
        <v>477</v>
      </c>
      <c r="J1067" s="98" t="s">
        <v>299</v>
      </c>
      <c r="K1067" s="98" t="s">
        <v>3377</v>
      </c>
      <c r="L1067" s="105" t="str">
        <f t="shared" si="190"/>
        <v>Ghent</v>
      </c>
      <c r="M1067" s="105" t="str">
        <f t="shared" si="191"/>
        <v>Derate</v>
      </c>
      <c r="N1067" s="105" t="str">
        <f t="shared" si="192"/>
        <v>Coal</v>
      </c>
      <c r="O1067" s="105">
        <f>IFERROR(VLOOKUP(A1067,Lookup!$J$5:$P$19,7,FALSE),0)</f>
        <v>3</v>
      </c>
      <c r="P1067" s="159">
        <f t="shared" si="193"/>
        <v>2016</v>
      </c>
      <c r="Q1067" s="159">
        <f t="shared" si="194"/>
        <v>6</v>
      </c>
      <c r="R1067" s="160">
        <f t="shared" si="195"/>
        <v>3.9499999999534339</v>
      </c>
      <c r="S1067" s="158">
        <f t="shared" si="196"/>
        <v>0.53173076922450069</v>
      </c>
      <c r="T1067" s="161">
        <f t="shared" si="197"/>
        <v>253.63557692008683</v>
      </c>
      <c r="U1067" s="158">
        <f t="shared" si="198"/>
        <v>64.211538461538467</v>
      </c>
      <c r="V1067" s="160">
        <f t="shared" si="199"/>
        <v>64</v>
      </c>
    </row>
    <row r="1068" spans="1:22" x14ac:dyDescent="0.25">
      <c r="A1068" s="98" t="s">
        <v>26</v>
      </c>
      <c r="B1068" s="98" t="s">
        <v>32</v>
      </c>
      <c r="C1068" s="98">
        <v>32</v>
      </c>
      <c r="D1068" s="98">
        <v>9656</v>
      </c>
      <c r="E1068" s="157">
        <v>42536.951388888891</v>
      </c>
      <c r="F1068" s="157">
        <v>42537.101388888892</v>
      </c>
      <c r="G1068" s="98">
        <v>375</v>
      </c>
      <c r="H1068" s="98">
        <v>520</v>
      </c>
      <c r="I1068" s="98">
        <v>477</v>
      </c>
      <c r="J1068" s="98" t="s">
        <v>299</v>
      </c>
      <c r="K1068" s="98" t="s">
        <v>3378</v>
      </c>
      <c r="L1068" s="105" t="str">
        <f t="shared" si="190"/>
        <v>Ghent</v>
      </c>
      <c r="M1068" s="105" t="str">
        <f t="shared" si="191"/>
        <v>Derate</v>
      </c>
      <c r="N1068" s="105" t="str">
        <f t="shared" si="192"/>
        <v>Coal</v>
      </c>
      <c r="O1068" s="105">
        <f>IFERROR(VLOOKUP(A1068,Lookup!$J$5:$P$19,7,FALSE),0)</f>
        <v>3</v>
      </c>
      <c r="P1068" s="159">
        <f t="shared" si="193"/>
        <v>2016</v>
      </c>
      <c r="Q1068" s="159">
        <f t="shared" si="194"/>
        <v>6</v>
      </c>
      <c r="R1068" s="160">
        <f t="shared" si="195"/>
        <v>3.6000000000349246</v>
      </c>
      <c r="S1068" s="158">
        <f t="shared" si="196"/>
        <v>1.0038461538558925</v>
      </c>
      <c r="T1068" s="161">
        <f t="shared" si="197"/>
        <v>478.8346153892607</v>
      </c>
      <c r="U1068" s="158">
        <f t="shared" si="198"/>
        <v>133.00961538461539</v>
      </c>
      <c r="V1068" s="160">
        <f t="shared" si="199"/>
        <v>133</v>
      </c>
    </row>
    <row r="1069" spans="1:22" x14ac:dyDescent="0.25">
      <c r="A1069" s="98" t="s">
        <v>26</v>
      </c>
      <c r="B1069" s="98" t="s">
        <v>17</v>
      </c>
      <c r="C1069" s="98">
        <v>33</v>
      </c>
      <c r="D1069" s="98">
        <v>250</v>
      </c>
      <c r="E1069" s="157">
        <v>42542.926388888889</v>
      </c>
      <c r="F1069" s="157">
        <v>42542.965277777781</v>
      </c>
      <c r="G1069" s="98">
        <v>440</v>
      </c>
      <c r="H1069" s="98">
        <v>520</v>
      </c>
      <c r="I1069" s="98">
        <v>477</v>
      </c>
      <c r="J1069" s="98" t="s">
        <v>1978</v>
      </c>
      <c r="K1069" s="98" t="s">
        <v>3379</v>
      </c>
      <c r="L1069" s="105" t="str">
        <f t="shared" si="190"/>
        <v>Ghent</v>
      </c>
      <c r="M1069" s="105" t="str">
        <f t="shared" si="191"/>
        <v>Derate</v>
      </c>
      <c r="N1069" s="105" t="str">
        <f t="shared" si="192"/>
        <v>Coal</v>
      </c>
      <c r="O1069" s="105">
        <f>IFERROR(VLOOKUP(A1069,Lookup!$J$5:$P$19,7,FALSE),0)</f>
        <v>3</v>
      </c>
      <c r="P1069" s="159">
        <f t="shared" si="193"/>
        <v>2016</v>
      </c>
      <c r="Q1069" s="159">
        <f t="shared" si="194"/>
        <v>6</v>
      </c>
      <c r="R1069" s="160">
        <f t="shared" si="195"/>
        <v>0.93333333340706304</v>
      </c>
      <c r="S1069" s="158">
        <f t="shared" si="196"/>
        <v>0.14358974360108662</v>
      </c>
      <c r="T1069" s="161">
        <f t="shared" si="197"/>
        <v>68.492307697718317</v>
      </c>
      <c r="U1069" s="158">
        <f t="shared" si="198"/>
        <v>73.384615384615387</v>
      </c>
      <c r="V1069" s="160">
        <f t="shared" si="199"/>
        <v>73</v>
      </c>
    </row>
    <row r="1070" spans="1:22" x14ac:dyDescent="0.25">
      <c r="A1070" s="98" t="s">
        <v>26</v>
      </c>
      <c r="B1070" s="98" t="s">
        <v>17</v>
      </c>
      <c r="C1070" s="98">
        <v>34</v>
      </c>
      <c r="D1070" s="98">
        <v>250</v>
      </c>
      <c r="E1070" s="157">
        <v>42543.142361111109</v>
      </c>
      <c r="F1070" s="157">
        <v>42543.160416666666</v>
      </c>
      <c r="G1070" s="98">
        <v>340</v>
      </c>
      <c r="H1070" s="98">
        <v>520</v>
      </c>
      <c r="I1070" s="98">
        <v>477</v>
      </c>
      <c r="J1070" s="98" t="s">
        <v>1978</v>
      </c>
      <c r="K1070" s="98" t="s">
        <v>3380</v>
      </c>
      <c r="L1070" s="105" t="str">
        <f t="shared" si="190"/>
        <v>Ghent</v>
      </c>
      <c r="M1070" s="105" t="str">
        <f t="shared" si="191"/>
        <v>Derate</v>
      </c>
      <c r="N1070" s="105" t="str">
        <f t="shared" si="192"/>
        <v>Coal</v>
      </c>
      <c r="O1070" s="105">
        <f>IFERROR(VLOOKUP(A1070,Lookup!$J$5:$P$19,7,FALSE),0)</f>
        <v>3</v>
      </c>
      <c r="P1070" s="159">
        <f t="shared" si="193"/>
        <v>2016</v>
      </c>
      <c r="Q1070" s="159">
        <f t="shared" si="194"/>
        <v>6</v>
      </c>
      <c r="R1070" s="160">
        <f t="shared" si="195"/>
        <v>0.43333333334885538</v>
      </c>
      <c r="S1070" s="158">
        <f t="shared" si="196"/>
        <v>0.150000000005373</v>
      </c>
      <c r="T1070" s="161">
        <f t="shared" si="197"/>
        <v>71.550000002562925</v>
      </c>
      <c r="U1070" s="158">
        <f t="shared" si="198"/>
        <v>165.11538461538461</v>
      </c>
      <c r="V1070" s="160">
        <f t="shared" si="199"/>
        <v>165</v>
      </c>
    </row>
    <row r="1071" spans="1:22" x14ac:dyDescent="0.25">
      <c r="A1071" s="98" t="s">
        <v>26</v>
      </c>
      <c r="B1071" s="98" t="s">
        <v>17</v>
      </c>
      <c r="C1071" s="98">
        <v>35</v>
      </c>
      <c r="D1071" s="98">
        <v>250</v>
      </c>
      <c r="E1071" s="157">
        <v>42543.160416666666</v>
      </c>
      <c r="F1071" s="157">
        <v>42543.229166666664</v>
      </c>
      <c r="G1071" s="98">
        <v>440</v>
      </c>
      <c r="H1071" s="98">
        <v>520</v>
      </c>
      <c r="I1071" s="98">
        <v>477</v>
      </c>
      <c r="J1071" s="98" t="s">
        <v>1978</v>
      </c>
      <c r="K1071" s="98" t="s">
        <v>3381</v>
      </c>
      <c r="L1071" s="105" t="str">
        <f t="shared" si="190"/>
        <v>Ghent</v>
      </c>
      <c r="M1071" s="105" t="str">
        <f t="shared" si="191"/>
        <v>Derate</v>
      </c>
      <c r="N1071" s="105" t="str">
        <f t="shared" si="192"/>
        <v>Coal</v>
      </c>
      <c r="O1071" s="105">
        <f>IFERROR(VLOOKUP(A1071,Lookup!$J$5:$P$19,7,FALSE),0)</f>
        <v>3</v>
      </c>
      <c r="P1071" s="159">
        <f t="shared" si="193"/>
        <v>2016</v>
      </c>
      <c r="Q1071" s="159">
        <f t="shared" si="194"/>
        <v>6</v>
      </c>
      <c r="R1071" s="160">
        <f t="shared" si="195"/>
        <v>1.6499999999650754</v>
      </c>
      <c r="S1071" s="158">
        <f t="shared" si="196"/>
        <v>0.25384615384078085</v>
      </c>
      <c r="T1071" s="161">
        <f t="shared" si="197"/>
        <v>121.08461538205246</v>
      </c>
      <c r="U1071" s="158">
        <f t="shared" si="198"/>
        <v>73.384615384615387</v>
      </c>
      <c r="V1071" s="160">
        <f t="shared" si="199"/>
        <v>73</v>
      </c>
    </row>
    <row r="1072" spans="1:22" x14ac:dyDescent="0.25">
      <c r="A1072" s="98" t="s">
        <v>26</v>
      </c>
      <c r="B1072" s="98" t="s">
        <v>17</v>
      </c>
      <c r="C1072" s="98">
        <v>36</v>
      </c>
      <c r="D1072" s="98">
        <v>250</v>
      </c>
      <c r="E1072" s="157">
        <v>42544.969444444447</v>
      </c>
      <c r="F1072" s="157">
        <v>42544.996527777781</v>
      </c>
      <c r="G1072" s="98">
        <v>440</v>
      </c>
      <c r="H1072" s="98">
        <v>520</v>
      </c>
      <c r="I1072" s="98">
        <v>477</v>
      </c>
      <c r="J1072" s="98" t="s">
        <v>1978</v>
      </c>
      <c r="K1072" s="98" t="s">
        <v>3382</v>
      </c>
      <c r="L1072" s="105" t="str">
        <f t="shared" si="190"/>
        <v>Ghent</v>
      </c>
      <c r="M1072" s="105" t="str">
        <f t="shared" si="191"/>
        <v>Derate</v>
      </c>
      <c r="N1072" s="105" t="str">
        <f t="shared" si="192"/>
        <v>Coal</v>
      </c>
      <c r="O1072" s="105">
        <f>IFERROR(VLOOKUP(A1072,Lookup!$J$5:$P$19,7,FALSE),0)</f>
        <v>3</v>
      </c>
      <c r="P1072" s="159">
        <f t="shared" si="193"/>
        <v>2016</v>
      </c>
      <c r="Q1072" s="159">
        <f t="shared" si="194"/>
        <v>6</v>
      </c>
      <c r="R1072" s="160">
        <f t="shared" si="195"/>
        <v>0.65000000002328306</v>
      </c>
      <c r="S1072" s="158">
        <f t="shared" si="196"/>
        <v>0.10000000000358202</v>
      </c>
      <c r="T1072" s="161">
        <f t="shared" si="197"/>
        <v>47.700000001708624</v>
      </c>
      <c r="U1072" s="158">
        <f t="shared" si="198"/>
        <v>73.384615384615387</v>
      </c>
      <c r="V1072" s="160">
        <f t="shared" si="199"/>
        <v>73</v>
      </c>
    </row>
    <row r="1073" spans="1:22" x14ac:dyDescent="0.25">
      <c r="A1073" s="98" t="s">
        <v>26</v>
      </c>
      <c r="B1073" s="98" t="s">
        <v>32</v>
      </c>
      <c r="C1073" s="98">
        <v>37</v>
      </c>
      <c r="D1073" s="98">
        <v>250</v>
      </c>
      <c r="E1073" s="157">
        <v>42545.958333333336</v>
      </c>
      <c r="F1073" s="157">
        <v>42546.06527777778</v>
      </c>
      <c r="G1073" s="98">
        <v>440</v>
      </c>
      <c r="H1073" s="98">
        <v>520</v>
      </c>
      <c r="I1073" s="98">
        <v>477</v>
      </c>
      <c r="J1073" s="98" t="s">
        <v>1978</v>
      </c>
      <c r="K1073" s="98" t="s">
        <v>3383</v>
      </c>
      <c r="L1073" s="105" t="str">
        <f t="shared" si="190"/>
        <v>Ghent</v>
      </c>
      <c r="M1073" s="105" t="str">
        <f t="shared" si="191"/>
        <v>Derate</v>
      </c>
      <c r="N1073" s="105" t="str">
        <f t="shared" si="192"/>
        <v>Coal</v>
      </c>
      <c r="O1073" s="105">
        <f>IFERROR(VLOOKUP(A1073,Lookup!$J$5:$P$19,7,FALSE),0)</f>
        <v>3</v>
      </c>
      <c r="P1073" s="159">
        <f t="shared" si="193"/>
        <v>2016</v>
      </c>
      <c r="Q1073" s="159">
        <f t="shared" si="194"/>
        <v>6</v>
      </c>
      <c r="R1073" s="160">
        <f t="shared" si="195"/>
        <v>2.5666666666511446</v>
      </c>
      <c r="S1073" s="158">
        <f t="shared" si="196"/>
        <v>0.39487179486940688</v>
      </c>
      <c r="T1073" s="161">
        <f t="shared" si="197"/>
        <v>188.35384615270709</v>
      </c>
      <c r="U1073" s="158">
        <f t="shared" si="198"/>
        <v>73.384615384615387</v>
      </c>
      <c r="V1073" s="160">
        <f t="shared" si="199"/>
        <v>73</v>
      </c>
    </row>
    <row r="1074" spans="1:22" x14ac:dyDescent="0.25">
      <c r="A1074" s="98" t="s">
        <v>26</v>
      </c>
      <c r="B1074" s="98" t="s">
        <v>17</v>
      </c>
      <c r="C1074" s="98">
        <v>38</v>
      </c>
      <c r="D1074" s="98">
        <v>3311</v>
      </c>
      <c r="E1074" s="157">
        <v>42548.675000000003</v>
      </c>
      <c r="F1074" s="157">
        <v>42552.006249999999</v>
      </c>
      <c r="G1074" s="98">
        <v>298</v>
      </c>
      <c r="H1074" s="98">
        <v>520</v>
      </c>
      <c r="I1074" s="98">
        <v>477</v>
      </c>
      <c r="J1074" s="98" t="s">
        <v>2177</v>
      </c>
      <c r="K1074" s="98" t="s">
        <v>4064</v>
      </c>
      <c r="L1074" s="105" t="str">
        <f t="shared" si="190"/>
        <v>Ghent</v>
      </c>
      <c r="M1074" s="105" t="str">
        <f t="shared" si="191"/>
        <v>Derate</v>
      </c>
      <c r="N1074" s="105" t="str">
        <f t="shared" si="192"/>
        <v>Coal</v>
      </c>
      <c r="O1074" s="105">
        <f>IFERROR(VLOOKUP(A1074,Lookup!$J$5:$P$19,7,FALSE),0)</f>
        <v>3</v>
      </c>
      <c r="P1074" s="159">
        <f t="shared" si="193"/>
        <v>2016</v>
      </c>
      <c r="Q1074" s="159">
        <f t="shared" si="194"/>
        <v>6</v>
      </c>
      <c r="R1074" s="160">
        <f t="shared" si="195"/>
        <v>79.949999999895226</v>
      </c>
      <c r="S1074" s="158">
        <f t="shared" si="196"/>
        <v>34.132499999955272</v>
      </c>
      <c r="T1074" s="161">
        <f t="shared" si="197"/>
        <v>16281.202499978664</v>
      </c>
      <c r="U1074" s="158">
        <f t="shared" si="198"/>
        <v>203.6423076923077</v>
      </c>
      <c r="V1074" s="160">
        <f t="shared" si="199"/>
        <v>204</v>
      </c>
    </row>
    <row r="1075" spans="1:22" x14ac:dyDescent="0.25">
      <c r="A1075" s="98" t="s">
        <v>26</v>
      </c>
      <c r="B1075" s="98" t="s">
        <v>20</v>
      </c>
      <c r="C1075" s="98">
        <v>39</v>
      </c>
      <c r="D1075" s="98">
        <v>1480</v>
      </c>
      <c r="E1075" s="157">
        <v>42549.943749999999</v>
      </c>
      <c r="F1075" s="157">
        <v>42550.895138888889</v>
      </c>
      <c r="G1075" s="98">
        <v>0</v>
      </c>
      <c r="H1075" s="98">
        <v>520</v>
      </c>
      <c r="I1075" s="98">
        <v>477</v>
      </c>
      <c r="J1075" s="98" t="s">
        <v>1972</v>
      </c>
      <c r="K1075" s="98" t="s">
        <v>3384</v>
      </c>
      <c r="L1075" s="105" t="str">
        <f t="shared" si="190"/>
        <v>Ghent</v>
      </c>
      <c r="M1075" s="105" t="str">
        <f t="shared" si="191"/>
        <v>Maintenance</v>
      </c>
      <c r="N1075" s="105" t="str">
        <f t="shared" si="192"/>
        <v>Coal</v>
      </c>
      <c r="O1075" s="105">
        <f>IFERROR(VLOOKUP(A1075,Lookup!$J$5:$P$19,7,FALSE),0)</f>
        <v>3</v>
      </c>
      <c r="P1075" s="159">
        <f t="shared" si="193"/>
        <v>2016</v>
      </c>
      <c r="Q1075" s="159">
        <f t="shared" si="194"/>
        <v>6</v>
      </c>
      <c r="R1075" s="160">
        <f t="shared" si="195"/>
        <v>22.833333333372138</v>
      </c>
      <c r="S1075" s="158">
        <f t="shared" si="196"/>
        <v>22.833333333372138</v>
      </c>
      <c r="T1075" s="161">
        <f t="shared" si="197"/>
        <v>10891.50000001851</v>
      </c>
      <c r="U1075" s="158">
        <f t="shared" si="198"/>
        <v>477</v>
      </c>
      <c r="V1075" s="160">
        <f t="shared" si="199"/>
        <v>477</v>
      </c>
    </row>
    <row r="1076" spans="1:22" x14ac:dyDescent="0.25">
      <c r="A1076" s="98" t="s">
        <v>26</v>
      </c>
      <c r="B1076" s="98" t="s">
        <v>32</v>
      </c>
      <c r="C1076" s="98">
        <v>41</v>
      </c>
      <c r="D1076" s="98">
        <v>340</v>
      </c>
      <c r="E1076" s="157">
        <v>42552.993055555555</v>
      </c>
      <c r="F1076" s="157">
        <v>42553.099305555559</v>
      </c>
      <c r="G1076" s="98">
        <v>460</v>
      </c>
      <c r="H1076" s="98">
        <v>520</v>
      </c>
      <c r="I1076" s="98">
        <v>477</v>
      </c>
      <c r="J1076" s="98" t="s">
        <v>1970</v>
      </c>
      <c r="K1076" s="98" t="s">
        <v>4065</v>
      </c>
      <c r="L1076" s="105" t="str">
        <f t="shared" si="190"/>
        <v>Ghent</v>
      </c>
      <c r="M1076" s="105" t="str">
        <f t="shared" si="191"/>
        <v>Derate</v>
      </c>
      <c r="N1076" s="105" t="str">
        <f t="shared" si="192"/>
        <v>Coal</v>
      </c>
      <c r="O1076" s="105">
        <f>IFERROR(VLOOKUP(A1076,Lookup!$J$5:$P$19,7,FALSE),0)</f>
        <v>3</v>
      </c>
      <c r="P1076" s="159">
        <f t="shared" si="193"/>
        <v>2016</v>
      </c>
      <c r="Q1076" s="159">
        <f t="shared" si="194"/>
        <v>7</v>
      </c>
      <c r="R1076" s="160">
        <f t="shared" si="195"/>
        <v>2.5500000001047738</v>
      </c>
      <c r="S1076" s="158">
        <f t="shared" si="196"/>
        <v>0.29423076924285851</v>
      </c>
      <c r="T1076" s="161">
        <f t="shared" si="197"/>
        <v>140.34807692884351</v>
      </c>
      <c r="U1076" s="158">
        <f t="shared" si="198"/>
        <v>55.03846153846154</v>
      </c>
      <c r="V1076" s="160">
        <f t="shared" si="199"/>
        <v>55</v>
      </c>
    </row>
    <row r="1077" spans="1:22" x14ac:dyDescent="0.25">
      <c r="A1077" s="98" t="s">
        <v>26</v>
      </c>
      <c r="B1077" s="98" t="s">
        <v>32</v>
      </c>
      <c r="C1077" s="98">
        <v>42</v>
      </c>
      <c r="D1077" s="98">
        <v>340</v>
      </c>
      <c r="E1077" s="157">
        <v>42559.087500000001</v>
      </c>
      <c r="F1077" s="157">
        <v>42559.134722222225</v>
      </c>
      <c r="G1077" s="98">
        <v>450</v>
      </c>
      <c r="H1077" s="98">
        <v>520</v>
      </c>
      <c r="I1077" s="98">
        <v>477</v>
      </c>
      <c r="J1077" s="98" t="s">
        <v>1970</v>
      </c>
      <c r="K1077" s="98" t="s">
        <v>4066</v>
      </c>
      <c r="L1077" s="105" t="str">
        <f t="shared" si="190"/>
        <v>Ghent</v>
      </c>
      <c r="M1077" s="105" t="str">
        <f t="shared" si="191"/>
        <v>Derate</v>
      </c>
      <c r="N1077" s="105" t="str">
        <f t="shared" si="192"/>
        <v>Coal</v>
      </c>
      <c r="O1077" s="105">
        <f>IFERROR(VLOOKUP(A1077,Lookup!$J$5:$P$19,7,FALSE),0)</f>
        <v>3</v>
      </c>
      <c r="P1077" s="159">
        <f t="shared" si="193"/>
        <v>2016</v>
      </c>
      <c r="Q1077" s="159">
        <f t="shared" si="194"/>
        <v>7</v>
      </c>
      <c r="R1077" s="160">
        <f t="shared" si="195"/>
        <v>1.1333333333604969</v>
      </c>
      <c r="S1077" s="158">
        <f t="shared" si="196"/>
        <v>0.15256410256775921</v>
      </c>
      <c r="T1077" s="161">
        <f t="shared" si="197"/>
        <v>72.77307692482114</v>
      </c>
      <c r="U1077" s="158">
        <f t="shared" si="198"/>
        <v>64.211538461538467</v>
      </c>
      <c r="V1077" s="160">
        <f t="shared" si="199"/>
        <v>64</v>
      </c>
    </row>
    <row r="1078" spans="1:22" x14ac:dyDescent="0.25">
      <c r="A1078" s="98" t="s">
        <v>26</v>
      </c>
      <c r="B1078" s="98" t="s">
        <v>17</v>
      </c>
      <c r="C1078" s="98">
        <v>43</v>
      </c>
      <c r="D1078" s="98">
        <v>250</v>
      </c>
      <c r="E1078" s="157">
        <v>42559.506249999999</v>
      </c>
      <c r="F1078" s="157">
        <v>42559.640972222223</v>
      </c>
      <c r="G1078" s="98">
        <v>440</v>
      </c>
      <c r="H1078" s="98">
        <v>520</v>
      </c>
      <c r="I1078" s="98">
        <v>477</v>
      </c>
      <c r="J1078" s="98" t="s">
        <v>1978</v>
      </c>
      <c r="K1078" s="98" t="s">
        <v>4067</v>
      </c>
      <c r="L1078" s="105" t="str">
        <f t="shared" si="190"/>
        <v>Ghent</v>
      </c>
      <c r="M1078" s="105" t="str">
        <f t="shared" si="191"/>
        <v>Derate</v>
      </c>
      <c r="N1078" s="105" t="str">
        <f t="shared" si="192"/>
        <v>Coal</v>
      </c>
      <c r="O1078" s="105">
        <f>IFERROR(VLOOKUP(A1078,Lookup!$J$5:$P$19,7,FALSE),0)</f>
        <v>3</v>
      </c>
      <c r="P1078" s="159">
        <f t="shared" si="193"/>
        <v>2016</v>
      </c>
      <c r="Q1078" s="159">
        <f t="shared" si="194"/>
        <v>7</v>
      </c>
      <c r="R1078" s="160">
        <f t="shared" si="195"/>
        <v>3.2333333333954215</v>
      </c>
      <c r="S1078" s="158">
        <f t="shared" si="196"/>
        <v>0.49743589744544947</v>
      </c>
      <c r="T1078" s="161">
        <f t="shared" si="197"/>
        <v>237.2769230814794</v>
      </c>
      <c r="U1078" s="158">
        <f t="shared" si="198"/>
        <v>73.384615384615387</v>
      </c>
      <c r="V1078" s="160">
        <f t="shared" si="199"/>
        <v>73</v>
      </c>
    </row>
    <row r="1079" spans="1:22" x14ac:dyDescent="0.25">
      <c r="A1079" s="98" t="s">
        <v>26</v>
      </c>
      <c r="B1079" s="98" t="s">
        <v>32</v>
      </c>
      <c r="C1079" s="98">
        <v>44</v>
      </c>
      <c r="D1079" s="98">
        <v>340</v>
      </c>
      <c r="E1079" s="157">
        <v>42563.974999999999</v>
      </c>
      <c r="F1079" s="157">
        <v>42564.120833333334</v>
      </c>
      <c r="G1079" s="98">
        <v>450</v>
      </c>
      <c r="H1079" s="98">
        <v>520</v>
      </c>
      <c r="I1079" s="98">
        <v>477</v>
      </c>
      <c r="J1079" s="98" t="s">
        <v>1970</v>
      </c>
      <c r="K1079" s="98" t="s">
        <v>4068</v>
      </c>
      <c r="L1079" s="105" t="str">
        <f t="shared" si="190"/>
        <v>Ghent</v>
      </c>
      <c r="M1079" s="105" t="str">
        <f t="shared" si="191"/>
        <v>Derate</v>
      </c>
      <c r="N1079" s="105" t="str">
        <f t="shared" si="192"/>
        <v>Coal</v>
      </c>
      <c r="O1079" s="105">
        <f>IFERROR(VLOOKUP(A1079,Lookup!$J$5:$P$19,7,FALSE),0)</f>
        <v>3</v>
      </c>
      <c r="P1079" s="159">
        <f t="shared" si="193"/>
        <v>2016</v>
      </c>
      <c r="Q1079" s="159">
        <f t="shared" si="194"/>
        <v>7</v>
      </c>
      <c r="R1079" s="160">
        <f t="shared" si="195"/>
        <v>3.5000000000582077</v>
      </c>
      <c r="S1079" s="158">
        <f t="shared" si="196"/>
        <v>0.47115384616168182</v>
      </c>
      <c r="T1079" s="161">
        <f t="shared" si="197"/>
        <v>224.74038461912224</v>
      </c>
      <c r="U1079" s="158">
        <f t="shared" si="198"/>
        <v>64.211538461538467</v>
      </c>
      <c r="V1079" s="160">
        <f t="shared" si="199"/>
        <v>64</v>
      </c>
    </row>
    <row r="1080" spans="1:22" x14ac:dyDescent="0.25">
      <c r="A1080" s="98" t="s">
        <v>26</v>
      </c>
      <c r="B1080" s="98" t="s">
        <v>32</v>
      </c>
      <c r="C1080" s="98">
        <v>45</v>
      </c>
      <c r="D1080" s="98">
        <v>340</v>
      </c>
      <c r="E1080" s="157">
        <v>42564.989583333336</v>
      </c>
      <c r="F1080" s="157">
        <v>42565.122916666667</v>
      </c>
      <c r="G1080" s="98">
        <v>450</v>
      </c>
      <c r="H1080" s="98">
        <v>520</v>
      </c>
      <c r="I1080" s="98">
        <v>477</v>
      </c>
      <c r="J1080" s="98" t="s">
        <v>1970</v>
      </c>
      <c r="K1080" s="98" t="s">
        <v>4069</v>
      </c>
      <c r="L1080" s="105" t="str">
        <f t="shared" si="190"/>
        <v>Ghent</v>
      </c>
      <c r="M1080" s="105" t="str">
        <f t="shared" si="191"/>
        <v>Derate</v>
      </c>
      <c r="N1080" s="105" t="str">
        <f t="shared" si="192"/>
        <v>Coal</v>
      </c>
      <c r="O1080" s="105">
        <f>IFERROR(VLOOKUP(A1080,Lookup!$J$5:$P$19,7,FALSE),0)</f>
        <v>3</v>
      </c>
      <c r="P1080" s="159">
        <f t="shared" si="193"/>
        <v>2016</v>
      </c>
      <c r="Q1080" s="159">
        <f t="shared" si="194"/>
        <v>7</v>
      </c>
      <c r="R1080" s="160">
        <f t="shared" si="195"/>
        <v>3.1999999999534339</v>
      </c>
      <c r="S1080" s="158">
        <f t="shared" si="196"/>
        <v>0.43076923076296225</v>
      </c>
      <c r="T1080" s="161">
        <f t="shared" si="197"/>
        <v>205.47692307393299</v>
      </c>
      <c r="U1080" s="158">
        <f t="shared" si="198"/>
        <v>64.211538461538467</v>
      </c>
      <c r="V1080" s="160">
        <f t="shared" si="199"/>
        <v>64</v>
      </c>
    </row>
    <row r="1081" spans="1:22" x14ac:dyDescent="0.25">
      <c r="A1081" s="98" t="s">
        <v>26</v>
      </c>
      <c r="B1081" s="98" t="s">
        <v>17</v>
      </c>
      <c r="C1081" s="98">
        <v>46</v>
      </c>
      <c r="D1081" s="98">
        <v>3408</v>
      </c>
      <c r="E1081" s="157">
        <v>42568.159722222219</v>
      </c>
      <c r="F1081" s="157">
        <v>42568.4375</v>
      </c>
      <c r="G1081" s="98">
        <v>330</v>
      </c>
      <c r="H1081" s="98">
        <v>520</v>
      </c>
      <c r="I1081" s="98">
        <v>477</v>
      </c>
      <c r="J1081" s="98" t="s">
        <v>2195</v>
      </c>
      <c r="K1081" s="98" t="s">
        <v>4070</v>
      </c>
      <c r="L1081" s="105" t="str">
        <f t="shared" si="190"/>
        <v>Ghent</v>
      </c>
      <c r="M1081" s="105" t="str">
        <f t="shared" si="191"/>
        <v>Derate</v>
      </c>
      <c r="N1081" s="105" t="str">
        <f t="shared" si="192"/>
        <v>Coal</v>
      </c>
      <c r="O1081" s="105">
        <f>IFERROR(VLOOKUP(A1081,Lookup!$J$5:$P$19,7,FALSE),0)</f>
        <v>3</v>
      </c>
      <c r="P1081" s="159">
        <f t="shared" si="193"/>
        <v>2016</v>
      </c>
      <c r="Q1081" s="159">
        <f t="shared" si="194"/>
        <v>7</v>
      </c>
      <c r="R1081" s="160">
        <f t="shared" si="195"/>
        <v>6.6666666667442769</v>
      </c>
      <c r="S1081" s="158">
        <f t="shared" si="196"/>
        <v>2.4358974359257934</v>
      </c>
      <c r="T1081" s="161">
        <f t="shared" si="197"/>
        <v>1161.9230769366034</v>
      </c>
      <c r="U1081" s="158">
        <f t="shared" si="198"/>
        <v>174.28846153846155</v>
      </c>
      <c r="V1081" s="160">
        <f t="shared" si="199"/>
        <v>174</v>
      </c>
    </row>
    <row r="1082" spans="1:22" x14ac:dyDescent="0.25">
      <c r="A1082" s="98" t="s">
        <v>26</v>
      </c>
      <c r="B1082" s="98" t="s">
        <v>17</v>
      </c>
      <c r="C1082" s="98">
        <v>47</v>
      </c>
      <c r="D1082" s="98">
        <v>340</v>
      </c>
      <c r="E1082" s="157">
        <v>42578.80972222222</v>
      </c>
      <c r="F1082" s="157">
        <v>42578.908333333333</v>
      </c>
      <c r="G1082" s="98">
        <v>460</v>
      </c>
      <c r="H1082" s="98">
        <v>520</v>
      </c>
      <c r="I1082" s="98">
        <v>477</v>
      </c>
      <c r="J1082" s="98" t="s">
        <v>1970</v>
      </c>
      <c r="K1082" s="98" t="s">
        <v>4071</v>
      </c>
      <c r="L1082" s="105" t="str">
        <f t="shared" si="190"/>
        <v>Ghent</v>
      </c>
      <c r="M1082" s="105" t="str">
        <f t="shared" si="191"/>
        <v>Derate</v>
      </c>
      <c r="N1082" s="105" t="str">
        <f t="shared" si="192"/>
        <v>Coal</v>
      </c>
      <c r="O1082" s="105">
        <f>IFERROR(VLOOKUP(A1082,Lookup!$J$5:$P$19,7,FALSE),0)</f>
        <v>3</v>
      </c>
      <c r="P1082" s="159">
        <f t="shared" si="193"/>
        <v>2016</v>
      </c>
      <c r="Q1082" s="159">
        <f t="shared" si="194"/>
        <v>7</v>
      </c>
      <c r="R1082" s="160">
        <f t="shared" si="195"/>
        <v>2.3666666666977108</v>
      </c>
      <c r="S1082" s="158">
        <f t="shared" si="196"/>
        <v>0.27307692308050507</v>
      </c>
      <c r="T1082" s="161">
        <f t="shared" si="197"/>
        <v>130.25769230940091</v>
      </c>
      <c r="U1082" s="158">
        <f t="shared" si="198"/>
        <v>55.03846153846154</v>
      </c>
      <c r="V1082" s="160">
        <f t="shared" si="199"/>
        <v>55</v>
      </c>
    </row>
    <row r="1083" spans="1:22" x14ac:dyDescent="0.25">
      <c r="A1083" s="98" t="s">
        <v>26</v>
      </c>
      <c r="B1083" s="98" t="s">
        <v>17</v>
      </c>
      <c r="C1083" s="98">
        <v>48</v>
      </c>
      <c r="D1083" s="98">
        <v>340</v>
      </c>
      <c r="E1083" s="157">
        <v>42580.270833333336</v>
      </c>
      <c r="F1083" s="157">
        <v>42580.381944444445</v>
      </c>
      <c r="G1083" s="98">
        <v>450</v>
      </c>
      <c r="H1083" s="98">
        <v>520</v>
      </c>
      <c r="I1083" s="98">
        <v>477</v>
      </c>
      <c r="J1083" s="98" t="s">
        <v>1970</v>
      </c>
      <c r="K1083" s="98" t="s">
        <v>4072</v>
      </c>
      <c r="L1083" s="105" t="str">
        <f t="shared" si="190"/>
        <v>Ghent</v>
      </c>
      <c r="M1083" s="105" t="str">
        <f t="shared" si="191"/>
        <v>Derate</v>
      </c>
      <c r="N1083" s="105" t="str">
        <f t="shared" si="192"/>
        <v>Coal</v>
      </c>
      <c r="O1083" s="105">
        <f>IFERROR(VLOOKUP(A1083,Lookup!$J$5:$P$19,7,FALSE),0)</f>
        <v>3</v>
      </c>
      <c r="P1083" s="159">
        <f t="shared" si="193"/>
        <v>2016</v>
      </c>
      <c r="Q1083" s="159">
        <f t="shared" si="194"/>
        <v>7</v>
      </c>
      <c r="R1083" s="160">
        <f t="shared" si="195"/>
        <v>2.6666666666278616</v>
      </c>
      <c r="S1083" s="158">
        <f t="shared" si="196"/>
        <v>0.35897435896913521</v>
      </c>
      <c r="T1083" s="161">
        <f t="shared" si="197"/>
        <v>171.2307692282775</v>
      </c>
      <c r="U1083" s="158">
        <f t="shared" si="198"/>
        <v>64.211538461538467</v>
      </c>
      <c r="V1083" s="160">
        <f t="shared" si="199"/>
        <v>64</v>
      </c>
    </row>
    <row r="1084" spans="1:22" x14ac:dyDescent="0.25">
      <c r="A1084" s="98" t="s">
        <v>26</v>
      </c>
      <c r="B1084" s="98" t="s">
        <v>20</v>
      </c>
      <c r="C1084" s="98">
        <v>49</v>
      </c>
      <c r="D1084" s="98">
        <v>740</v>
      </c>
      <c r="E1084" s="157">
        <v>42587.987500000003</v>
      </c>
      <c r="F1084" s="157">
        <v>42588.811111111114</v>
      </c>
      <c r="G1084" s="98">
        <v>0</v>
      </c>
      <c r="H1084" s="98">
        <v>520</v>
      </c>
      <c r="I1084" s="98">
        <v>477</v>
      </c>
      <c r="J1084" s="98" t="s">
        <v>2176</v>
      </c>
      <c r="K1084" s="98" t="s">
        <v>4073</v>
      </c>
      <c r="L1084" s="105" t="str">
        <f t="shared" si="190"/>
        <v>Ghent</v>
      </c>
      <c r="M1084" s="105" t="str">
        <f t="shared" si="191"/>
        <v>Maintenance</v>
      </c>
      <c r="N1084" s="105" t="str">
        <f t="shared" si="192"/>
        <v>Coal</v>
      </c>
      <c r="O1084" s="105">
        <f>IFERROR(VLOOKUP(A1084,Lookup!$J$5:$P$19,7,FALSE),0)</f>
        <v>3</v>
      </c>
      <c r="P1084" s="159">
        <f t="shared" si="193"/>
        <v>2016</v>
      </c>
      <c r="Q1084" s="159">
        <f t="shared" si="194"/>
        <v>8</v>
      </c>
      <c r="R1084" s="160">
        <f t="shared" si="195"/>
        <v>19.766666666662786</v>
      </c>
      <c r="S1084" s="158">
        <f t="shared" si="196"/>
        <v>19.766666666662786</v>
      </c>
      <c r="T1084" s="161">
        <f t="shared" si="197"/>
        <v>9428.699999998149</v>
      </c>
      <c r="U1084" s="158">
        <f t="shared" si="198"/>
        <v>477</v>
      </c>
      <c r="V1084" s="160">
        <f t="shared" si="199"/>
        <v>477</v>
      </c>
    </row>
    <row r="1085" spans="1:22" x14ac:dyDescent="0.25">
      <c r="A1085" s="98" t="s">
        <v>26</v>
      </c>
      <c r="B1085" s="98" t="s">
        <v>17</v>
      </c>
      <c r="C1085" s="98">
        <v>50</v>
      </c>
      <c r="D1085" s="98">
        <v>770</v>
      </c>
      <c r="E1085" s="157">
        <v>42606.959722222222</v>
      </c>
      <c r="F1085" s="157">
        <v>42607.074999999997</v>
      </c>
      <c r="G1085" s="98">
        <v>405</v>
      </c>
      <c r="H1085" s="98">
        <v>520</v>
      </c>
      <c r="I1085" s="98">
        <v>477</v>
      </c>
      <c r="J1085" s="98" t="s">
        <v>2186</v>
      </c>
      <c r="K1085" s="98" t="s">
        <v>4074</v>
      </c>
      <c r="L1085" s="105" t="str">
        <f t="shared" si="190"/>
        <v>Ghent</v>
      </c>
      <c r="M1085" s="105" t="str">
        <f t="shared" si="191"/>
        <v>Derate</v>
      </c>
      <c r="N1085" s="105" t="str">
        <f t="shared" si="192"/>
        <v>Coal</v>
      </c>
      <c r="O1085" s="105">
        <f>IFERROR(VLOOKUP(A1085,Lookup!$J$5:$P$19,7,FALSE),0)</f>
        <v>3</v>
      </c>
      <c r="P1085" s="159">
        <f t="shared" si="193"/>
        <v>2016</v>
      </c>
      <c r="Q1085" s="159">
        <f t="shared" si="194"/>
        <v>8</v>
      </c>
      <c r="R1085" s="160">
        <f t="shared" si="195"/>
        <v>2.7666666666045785</v>
      </c>
      <c r="S1085" s="158">
        <f t="shared" si="196"/>
        <v>0.61185897434524328</v>
      </c>
      <c r="T1085" s="161">
        <f t="shared" si="197"/>
        <v>291.85673076268102</v>
      </c>
      <c r="U1085" s="158">
        <f t="shared" si="198"/>
        <v>105.49038461538461</v>
      </c>
      <c r="V1085" s="160">
        <f t="shared" si="199"/>
        <v>105</v>
      </c>
    </row>
    <row r="1086" spans="1:22" x14ac:dyDescent="0.25">
      <c r="A1086" s="98" t="s">
        <v>26</v>
      </c>
      <c r="B1086" s="98" t="s">
        <v>32</v>
      </c>
      <c r="C1086" s="98">
        <v>51</v>
      </c>
      <c r="D1086" s="98">
        <v>4261</v>
      </c>
      <c r="E1086" s="157">
        <v>42621.958333333336</v>
      </c>
      <c r="F1086" s="157">
        <v>42622.010416666664</v>
      </c>
      <c r="G1086" s="98">
        <v>415</v>
      </c>
      <c r="H1086" s="98">
        <v>520</v>
      </c>
      <c r="I1086" s="98">
        <v>477</v>
      </c>
      <c r="J1086" s="98" t="s">
        <v>1985</v>
      </c>
      <c r="K1086" s="98" t="s">
        <v>4075</v>
      </c>
      <c r="L1086" s="105" t="str">
        <f t="shared" si="190"/>
        <v>Ghent</v>
      </c>
      <c r="M1086" s="105" t="str">
        <f t="shared" si="191"/>
        <v>Derate</v>
      </c>
      <c r="N1086" s="105" t="str">
        <f t="shared" si="192"/>
        <v>Coal</v>
      </c>
      <c r="O1086" s="105">
        <f>IFERROR(VLOOKUP(A1086,Lookup!$J$5:$P$19,7,FALSE),0)</f>
        <v>3</v>
      </c>
      <c r="P1086" s="159">
        <f t="shared" si="193"/>
        <v>2016</v>
      </c>
      <c r="Q1086" s="159">
        <f t="shared" si="194"/>
        <v>9</v>
      </c>
      <c r="R1086" s="160">
        <f t="shared" si="195"/>
        <v>1.2499999998835847</v>
      </c>
      <c r="S1086" s="158">
        <f t="shared" si="196"/>
        <v>0.25240384613033923</v>
      </c>
      <c r="T1086" s="161">
        <f t="shared" si="197"/>
        <v>120.39663460417181</v>
      </c>
      <c r="U1086" s="158">
        <f t="shared" si="198"/>
        <v>96.317307692307693</v>
      </c>
      <c r="V1086" s="160">
        <f t="shared" si="199"/>
        <v>96</v>
      </c>
    </row>
    <row r="1087" spans="1:22" x14ac:dyDescent="0.25">
      <c r="A1087" s="98" t="s">
        <v>26</v>
      </c>
      <c r="B1087" s="98" t="s">
        <v>17</v>
      </c>
      <c r="C1087" s="98">
        <v>52</v>
      </c>
      <c r="D1087" s="98">
        <v>1040</v>
      </c>
      <c r="E1087" s="157">
        <v>42629.686111111114</v>
      </c>
      <c r="F1087" s="157">
        <v>42629.775000000001</v>
      </c>
      <c r="G1087" s="98">
        <v>500</v>
      </c>
      <c r="H1087" s="98">
        <v>520</v>
      </c>
      <c r="I1087" s="98">
        <v>477</v>
      </c>
      <c r="J1087" s="98" t="s">
        <v>2001</v>
      </c>
      <c r="K1087" s="98" t="s">
        <v>4076</v>
      </c>
      <c r="L1087" s="105" t="str">
        <f t="shared" si="190"/>
        <v>Ghent</v>
      </c>
      <c r="M1087" s="105" t="str">
        <f t="shared" si="191"/>
        <v>Derate</v>
      </c>
      <c r="N1087" s="105" t="str">
        <f t="shared" si="192"/>
        <v>Coal</v>
      </c>
      <c r="O1087" s="105">
        <f>IFERROR(VLOOKUP(A1087,Lookup!$J$5:$P$19,7,FALSE),0)</f>
        <v>3</v>
      </c>
      <c r="P1087" s="159">
        <f t="shared" si="193"/>
        <v>2016</v>
      </c>
      <c r="Q1087" s="159">
        <f t="shared" si="194"/>
        <v>9</v>
      </c>
      <c r="R1087" s="160">
        <f t="shared" si="195"/>
        <v>2.1333333333022892</v>
      </c>
      <c r="S1087" s="158">
        <f t="shared" si="196"/>
        <v>8.2051282050088048E-2</v>
      </c>
      <c r="T1087" s="161">
        <f t="shared" si="197"/>
        <v>39.138461537891999</v>
      </c>
      <c r="U1087" s="158">
        <f t="shared" si="198"/>
        <v>18.346153846153847</v>
      </c>
      <c r="V1087" s="160">
        <f t="shared" si="199"/>
        <v>18</v>
      </c>
    </row>
    <row r="1088" spans="1:22" x14ac:dyDescent="0.25">
      <c r="A1088" s="98" t="s">
        <v>26</v>
      </c>
      <c r="B1088" s="98" t="s">
        <v>15</v>
      </c>
      <c r="C1088" s="98">
        <v>53</v>
      </c>
      <c r="D1088" s="98">
        <v>1040</v>
      </c>
      <c r="E1088" s="157">
        <v>42629.775000000001</v>
      </c>
      <c r="F1088" s="157">
        <v>42636.080555555556</v>
      </c>
      <c r="G1088" s="98">
        <v>0</v>
      </c>
      <c r="H1088" s="98">
        <v>520</v>
      </c>
      <c r="I1088" s="98">
        <v>477</v>
      </c>
      <c r="J1088" s="98" t="s">
        <v>2001</v>
      </c>
      <c r="K1088" s="98" t="s">
        <v>4077</v>
      </c>
      <c r="L1088" s="105" t="str">
        <f t="shared" si="190"/>
        <v>Ghent</v>
      </c>
      <c r="M1088" s="105" t="str">
        <f t="shared" si="191"/>
        <v>Outage</v>
      </c>
      <c r="N1088" s="105" t="str">
        <f t="shared" si="192"/>
        <v>Coal</v>
      </c>
      <c r="O1088" s="105">
        <f>IFERROR(VLOOKUP(A1088,Lookup!$J$5:$P$19,7,FALSE),0)</f>
        <v>3</v>
      </c>
      <c r="P1088" s="159">
        <f t="shared" si="193"/>
        <v>2016</v>
      </c>
      <c r="Q1088" s="159">
        <f t="shared" si="194"/>
        <v>9</v>
      </c>
      <c r="R1088" s="160">
        <f t="shared" si="195"/>
        <v>151.33333333331393</v>
      </c>
      <c r="S1088" s="158">
        <f t="shared" si="196"/>
        <v>151.33333333331393</v>
      </c>
      <c r="T1088" s="161">
        <f t="shared" si="197"/>
        <v>72185.999999990745</v>
      </c>
      <c r="U1088" s="158">
        <f t="shared" si="198"/>
        <v>477</v>
      </c>
      <c r="V1088" s="160">
        <f t="shared" si="199"/>
        <v>477</v>
      </c>
    </row>
    <row r="1089" spans="1:22" x14ac:dyDescent="0.25">
      <c r="A1089" s="98" t="s">
        <v>26</v>
      </c>
      <c r="B1089" s="98" t="s">
        <v>32</v>
      </c>
      <c r="C1089" s="98">
        <v>54</v>
      </c>
      <c r="D1089" s="98">
        <v>4261</v>
      </c>
      <c r="E1089" s="157">
        <v>42637.947916666664</v>
      </c>
      <c r="F1089" s="157">
        <v>42637.975694444445</v>
      </c>
      <c r="G1089" s="98">
        <v>450</v>
      </c>
      <c r="H1089" s="98">
        <v>520</v>
      </c>
      <c r="I1089" s="98">
        <v>477</v>
      </c>
      <c r="J1089" s="98" t="s">
        <v>1985</v>
      </c>
      <c r="K1089" s="98" t="s">
        <v>4078</v>
      </c>
      <c r="L1089" s="105" t="str">
        <f t="shared" si="190"/>
        <v>Ghent</v>
      </c>
      <c r="M1089" s="105" t="str">
        <f t="shared" si="191"/>
        <v>Derate</v>
      </c>
      <c r="N1089" s="105" t="str">
        <f t="shared" si="192"/>
        <v>Coal</v>
      </c>
      <c r="O1089" s="105">
        <f>IFERROR(VLOOKUP(A1089,Lookup!$J$5:$P$19,7,FALSE),0)</f>
        <v>3</v>
      </c>
      <c r="P1089" s="159">
        <f t="shared" si="193"/>
        <v>2016</v>
      </c>
      <c r="Q1089" s="159">
        <f t="shared" si="194"/>
        <v>9</v>
      </c>
      <c r="R1089" s="160">
        <f t="shared" si="195"/>
        <v>0.66666666674427688</v>
      </c>
      <c r="S1089" s="158">
        <f t="shared" si="196"/>
        <v>8.9743589754037276E-2</v>
      </c>
      <c r="T1089" s="161">
        <f t="shared" si="197"/>
        <v>42.807692312675783</v>
      </c>
      <c r="U1089" s="158">
        <f t="shared" si="198"/>
        <v>64.211538461538467</v>
      </c>
      <c r="V1089" s="160">
        <f t="shared" si="199"/>
        <v>64</v>
      </c>
    </row>
    <row r="1090" spans="1:22" x14ac:dyDescent="0.25">
      <c r="A1090" s="98" t="s">
        <v>26</v>
      </c>
      <c r="B1090" s="98" t="s">
        <v>32</v>
      </c>
      <c r="C1090" s="98">
        <v>55</v>
      </c>
      <c r="D1090" s="98">
        <v>4261</v>
      </c>
      <c r="E1090" s="157">
        <v>42637.975694444445</v>
      </c>
      <c r="F1090" s="157">
        <v>42638.02847222222</v>
      </c>
      <c r="G1090" s="98">
        <v>200</v>
      </c>
      <c r="H1090" s="98">
        <v>520</v>
      </c>
      <c r="I1090" s="98">
        <v>477</v>
      </c>
      <c r="J1090" s="98" t="s">
        <v>1985</v>
      </c>
      <c r="K1090" s="98" t="s">
        <v>4079</v>
      </c>
      <c r="L1090" s="105" t="str">
        <f t="shared" si="190"/>
        <v>Ghent</v>
      </c>
      <c r="M1090" s="105" t="str">
        <f t="shared" si="191"/>
        <v>Derate</v>
      </c>
      <c r="N1090" s="105" t="str">
        <f t="shared" si="192"/>
        <v>Coal</v>
      </c>
      <c r="O1090" s="105">
        <f>IFERROR(VLOOKUP(A1090,Lookup!$J$5:$P$19,7,FALSE),0)</f>
        <v>3</v>
      </c>
      <c r="P1090" s="159">
        <f t="shared" si="193"/>
        <v>2016</v>
      </c>
      <c r="Q1090" s="159">
        <f t="shared" si="194"/>
        <v>9</v>
      </c>
      <c r="R1090" s="160">
        <f t="shared" si="195"/>
        <v>1.2666666666045785</v>
      </c>
      <c r="S1090" s="158">
        <f t="shared" si="196"/>
        <v>0.77948717944897139</v>
      </c>
      <c r="T1090" s="161">
        <f t="shared" si="197"/>
        <v>371.81538459715938</v>
      </c>
      <c r="U1090" s="158">
        <f t="shared" si="198"/>
        <v>293.53846153846155</v>
      </c>
      <c r="V1090" s="160">
        <f t="shared" si="199"/>
        <v>294</v>
      </c>
    </row>
    <row r="1091" spans="1:22" x14ac:dyDescent="0.25">
      <c r="A1091" s="98" t="s">
        <v>26</v>
      </c>
      <c r="B1091" s="98" t="s">
        <v>15</v>
      </c>
      <c r="C1091" s="98">
        <v>56</v>
      </c>
      <c r="D1091" s="98">
        <v>4261</v>
      </c>
      <c r="E1091" s="157">
        <v>42638.02847222222</v>
      </c>
      <c r="F1091" s="157">
        <v>42638.070138888892</v>
      </c>
      <c r="G1091" s="98">
        <v>0</v>
      </c>
      <c r="H1091" s="98">
        <v>520</v>
      </c>
      <c r="I1091" s="98">
        <v>477</v>
      </c>
      <c r="J1091" s="98" t="s">
        <v>1985</v>
      </c>
      <c r="K1091" s="98" t="s">
        <v>4080</v>
      </c>
      <c r="L1091" s="105" t="str">
        <f t="shared" si="190"/>
        <v>Ghent</v>
      </c>
      <c r="M1091" s="105" t="str">
        <f t="shared" si="191"/>
        <v>Outage</v>
      </c>
      <c r="N1091" s="105" t="str">
        <f t="shared" si="192"/>
        <v>Coal</v>
      </c>
      <c r="O1091" s="105">
        <f>IFERROR(VLOOKUP(A1091,Lookup!$J$5:$P$19,7,FALSE),0)</f>
        <v>3</v>
      </c>
      <c r="P1091" s="159">
        <f t="shared" si="193"/>
        <v>2016</v>
      </c>
      <c r="Q1091" s="159">
        <f t="shared" si="194"/>
        <v>9</v>
      </c>
      <c r="R1091" s="160">
        <f t="shared" si="195"/>
        <v>1.0000000001164153</v>
      </c>
      <c r="S1091" s="158">
        <f t="shared" si="196"/>
        <v>1.0000000001164153</v>
      </c>
      <c r="T1091" s="161">
        <f t="shared" si="197"/>
        <v>477.00000005553011</v>
      </c>
      <c r="U1091" s="158">
        <f t="shared" si="198"/>
        <v>477</v>
      </c>
      <c r="V1091" s="160">
        <f t="shared" si="199"/>
        <v>477</v>
      </c>
    </row>
    <row r="1092" spans="1:22" x14ac:dyDescent="0.25">
      <c r="A1092" s="98" t="s">
        <v>26</v>
      </c>
      <c r="B1092" s="98" t="s">
        <v>20</v>
      </c>
      <c r="C1092" s="98">
        <v>57</v>
      </c>
      <c r="D1092" s="98">
        <v>4261</v>
      </c>
      <c r="E1092" s="157">
        <v>42646.947916666664</v>
      </c>
      <c r="F1092" s="157">
        <v>42647.127083333333</v>
      </c>
      <c r="G1092" s="98">
        <v>0</v>
      </c>
      <c r="H1092" s="98">
        <v>520</v>
      </c>
      <c r="I1092" s="98">
        <v>477</v>
      </c>
      <c r="J1092" s="98" t="s">
        <v>1985</v>
      </c>
      <c r="K1092" s="98" t="s">
        <v>4081</v>
      </c>
      <c r="L1092" s="105" t="str">
        <f t="shared" si="190"/>
        <v>Ghent</v>
      </c>
      <c r="M1092" s="105" t="str">
        <f t="shared" si="191"/>
        <v>Maintenance</v>
      </c>
      <c r="N1092" s="105" t="str">
        <f t="shared" si="192"/>
        <v>Coal</v>
      </c>
      <c r="O1092" s="105">
        <f>IFERROR(VLOOKUP(A1092,Lookup!$J$5:$P$19,7,FALSE),0)</f>
        <v>3</v>
      </c>
      <c r="P1092" s="159">
        <f t="shared" si="193"/>
        <v>2016</v>
      </c>
      <c r="Q1092" s="159">
        <f t="shared" si="194"/>
        <v>10</v>
      </c>
      <c r="R1092" s="160">
        <f t="shared" si="195"/>
        <v>4.3000000000465661</v>
      </c>
      <c r="S1092" s="158">
        <f t="shared" si="196"/>
        <v>4.3000000000465661</v>
      </c>
      <c r="T1092" s="161">
        <f t="shared" si="197"/>
        <v>2051.100000022212</v>
      </c>
      <c r="U1092" s="158">
        <f t="shared" si="198"/>
        <v>477</v>
      </c>
      <c r="V1092" s="160">
        <f t="shared" si="199"/>
        <v>477</v>
      </c>
    </row>
    <row r="1093" spans="1:22" x14ac:dyDescent="0.25">
      <c r="A1093" s="98" t="s">
        <v>26</v>
      </c>
      <c r="B1093" s="98" t="s">
        <v>17</v>
      </c>
      <c r="C1093" s="98">
        <v>58</v>
      </c>
      <c r="D1093" s="98">
        <v>250</v>
      </c>
      <c r="E1093" s="157">
        <v>42666.370138888888</v>
      </c>
      <c r="F1093" s="157">
        <v>42666.583333333336</v>
      </c>
      <c r="G1093" s="98">
        <v>470</v>
      </c>
      <c r="H1093" s="98">
        <v>520</v>
      </c>
      <c r="I1093" s="98">
        <v>477</v>
      </c>
      <c r="J1093" s="98" t="s">
        <v>1978</v>
      </c>
      <c r="K1093" s="98" t="s">
        <v>4082</v>
      </c>
      <c r="L1093" s="105" t="str">
        <f t="shared" si="190"/>
        <v>Ghent</v>
      </c>
      <c r="M1093" s="105" t="str">
        <f t="shared" si="191"/>
        <v>Derate</v>
      </c>
      <c r="N1093" s="105" t="str">
        <f t="shared" si="192"/>
        <v>Coal</v>
      </c>
      <c r="O1093" s="105">
        <f>IFERROR(VLOOKUP(A1093,Lookup!$J$5:$P$19,7,FALSE),0)</f>
        <v>3</v>
      </c>
      <c r="P1093" s="159">
        <f t="shared" si="193"/>
        <v>2016</v>
      </c>
      <c r="Q1093" s="159">
        <f t="shared" si="194"/>
        <v>10</v>
      </c>
      <c r="R1093" s="160">
        <f t="shared" si="195"/>
        <v>5.1166666667559184</v>
      </c>
      <c r="S1093" s="158">
        <f t="shared" si="196"/>
        <v>0.49198717949576137</v>
      </c>
      <c r="T1093" s="161">
        <f t="shared" si="197"/>
        <v>234.67788461947816</v>
      </c>
      <c r="U1093" s="158">
        <f t="shared" si="198"/>
        <v>45.865384615384613</v>
      </c>
      <c r="V1093" s="160">
        <f t="shared" si="199"/>
        <v>46</v>
      </c>
    </row>
    <row r="1094" spans="1:22" x14ac:dyDescent="0.25">
      <c r="A1094" s="98" t="s">
        <v>26</v>
      </c>
      <c r="B1094" s="98" t="s">
        <v>17</v>
      </c>
      <c r="C1094" s="98">
        <v>59</v>
      </c>
      <c r="D1094" s="98">
        <v>250</v>
      </c>
      <c r="E1094" s="157">
        <v>42666.96875</v>
      </c>
      <c r="F1094" s="157">
        <v>42667.168749999997</v>
      </c>
      <c r="G1094" s="98">
        <v>430</v>
      </c>
      <c r="H1094" s="98">
        <v>520</v>
      </c>
      <c r="I1094" s="98">
        <v>477</v>
      </c>
      <c r="J1094" s="98" t="s">
        <v>1978</v>
      </c>
      <c r="K1094" s="98" t="s">
        <v>4083</v>
      </c>
      <c r="L1094" s="105" t="str">
        <f t="shared" si="190"/>
        <v>Ghent</v>
      </c>
      <c r="M1094" s="105" t="str">
        <f t="shared" si="191"/>
        <v>Derate</v>
      </c>
      <c r="N1094" s="105" t="str">
        <f t="shared" si="192"/>
        <v>Coal</v>
      </c>
      <c r="O1094" s="105">
        <f>IFERROR(VLOOKUP(A1094,Lookup!$J$5:$P$19,7,FALSE),0)</f>
        <v>3</v>
      </c>
      <c r="P1094" s="159">
        <f t="shared" si="193"/>
        <v>2016</v>
      </c>
      <c r="Q1094" s="159">
        <f t="shared" si="194"/>
        <v>10</v>
      </c>
      <c r="R1094" s="160">
        <f t="shared" si="195"/>
        <v>4.7999999999301508</v>
      </c>
      <c r="S1094" s="158">
        <f t="shared" si="196"/>
        <v>0.83076923075714149</v>
      </c>
      <c r="T1094" s="161">
        <f t="shared" si="197"/>
        <v>396.27692307115649</v>
      </c>
      <c r="U1094" s="158">
        <f t="shared" si="198"/>
        <v>82.557692307692307</v>
      </c>
      <c r="V1094" s="160">
        <f t="shared" si="199"/>
        <v>83</v>
      </c>
    </row>
    <row r="1095" spans="1:22" x14ac:dyDescent="0.25">
      <c r="A1095" s="98" t="s">
        <v>26</v>
      </c>
      <c r="B1095" s="98" t="s">
        <v>17</v>
      </c>
      <c r="C1095" s="98">
        <v>60</v>
      </c>
      <c r="D1095" s="98">
        <v>250</v>
      </c>
      <c r="E1095" s="157">
        <v>42667.308333333334</v>
      </c>
      <c r="F1095" s="157">
        <v>42667.559027777781</v>
      </c>
      <c r="G1095" s="98">
        <v>430</v>
      </c>
      <c r="H1095" s="98">
        <v>520</v>
      </c>
      <c r="I1095" s="98">
        <v>477</v>
      </c>
      <c r="J1095" s="98" t="s">
        <v>1978</v>
      </c>
      <c r="K1095" s="98" t="s">
        <v>4084</v>
      </c>
      <c r="L1095" s="105" t="str">
        <f t="shared" si="190"/>
        <v>Ghent</v>
      </c>
      <c r="M1095" s="105" t="str">
        <f t="shared" si="191"/>
        <v>Derate</v>
      </c>
      <c r="N1095" s="105" t="str">
        <f t="shared" si="192"/>
        <v>Coal</v>
      </c>
      <c r="O1095" s="105">
        <f>IFERROR(VLOOKUP(A1095,Lookup!$J$5:$P$19,7,FALSE),0)</f>
        <v>3</v>
      </c>
      <c r="P1095" s="159">
        <f t="shared" si="193"/>
        <v>2016</v>
      </c>
      <c r="Q1095" s="159">
        <f t="shared" si="194"/>
        <v>10</v>
      </c>
      <c r="R1095" s="160">
        <f t="shared" si="195"/>
        <v>6.0166666667209938</v>
      </c>
      <c r="S1095" s="158">
        <f t="shared" si="196"/>
        <v>1.0413461538555566</v>
      </c>
      <c r="T1095" s="161">
        <f t="shared" si="197"/>
        <v>496.72211538910051</v>
      </c>
      <c r="U1095" s="158">
        <f t="shared" si="198"/>
        <v>82.557692307692307</v>
      </c>
      <c r="V1095" s="160">
        <f t="shared" si="199"/>
        <v>83</v>
      </c>
    </row>
    <row r="1096" spans="1:22" x14ac:dyDescent="0.25">
      <c r="A1096" s="98" t="s">
        <v>26</v>
      </c>
      <c r="B1096" s="98" t="s">
        <v>17</v>
      </c>
      <c r="C1096" s="98">
        <v>61</v>
      </c>
      <c r="D1096" s="98">
        <v>9270</v>
      </c>
      <c r="E1096" s="157">
        <v>42668.635416666664</v>
      </c>
      <c r="F1096" s="157">
        <v>42668.681944444441</v>
      </c>
      <c r="G1096" s="98">
        <v>430</v>
      </c>
      <c r="H1096" s="98">
        <v>520</v>
      </c>
      <c r="I1096" s="98">
        <v>477</v>
      </c>
      <c r="J1096" s="98" t="s">
        <v>2006</v>
      </c>
      <c r="K1096" s="98" t="s">
        <v>4085</v>
      </c>
      <c r="L1096" s="105" t="str">
        <f t="shared" si="190"/>
        <v>Ghent</v>
      </c>
      <c r="M1096" s="105" t="str">
        <f t="shared" si="191"/>
        <v>Derate</v>
      </c>
      <c r="N1096" s="105" t="str">
        <f t="shared" si="192"/>
        <v>Coal</v>
      </c>
      <c r="O1096" s="105">
        <f>IFERROR(VLOOKUP(A1096,Lookup!$J$5:$P$19,7,FALSE),0)</f>
        <v>3</v>
      </c>
      <c r="P1096" s="159">
        <f t="shared" si="193"/>
        <v>2016</v>
      </c>
      <c r="Q1096" s="159">
        <f t="shared" si="194"/>
        <v>10</v>
      </c>
      <c r="R1096" s="160">
        <f t="shared" si="195"/>
        <v>1.1166666666395031</v>
      </c>
      <c r="S1096" s="158">
        <f t="shared" si="196"/>
        <v>0.19326923076452937</v>
      </c>
      <c r="T1096" s="161">
        <f t="shared" si="197"/>
        <v>92.189423074680505</v>
      </c>
      <c r="U1096" s="158">
        <f t="shared" si="198"/>
        <v>82.557692307692307</v>
      </c>
      <c r="V1096" s="160">
        <f t="shared" si="199"/>
        <v>83</v>
      </c>
    </row>
    <row r="1097" spans="1:22" x14ac:dyDescent="0.25">
      <c r="A1097" s="98" t="s">
        <v>26</v>
      </c>
      <c r="B1097" s="98" t="s">
        <v>17</v>
      </c>
      <c r="C1097" s="98">
        <v>62</v>
      </c>
      <c r="D1097" s="98">
        <v>9270</v>
      </c>
      <c r="E1097" s="157">
        <v>42668.969444444447</v>
      </c>
      <c r="F1097" s="157">
        <v>42669.166666666664</v>
      </c>
      <c r="G1097" s="98">
        <v>460</v>
      </c>
      <c r="H1097" s="98">
        <v>520</v>
      </c>
      <c r="I1097" s="98">
        <v>477</v>
      </c>
      <c r="J1097" s="98" t="s">
        <v>2006</v>
      </c>
      <c r="K1097" s="98" t="s">
        <v>4086</v>
      </c>
      <c r="L1097" s="105" t="str">
        <f t="shared" si="190"/>
        <v>Ghent</v>
      </c>
      <c r="M1097" s="105" t="str">
        <f t="shared" si="191"/>
        <v>Derate</v>
      </c>
      <c r="N1097" s="105" t="str">
        <f t="shared" si="192"/>
        <v>Coal</v>
      </c>
      <c r="O1097" s="105">
        <f>IFERROR(VLOOKUP(A1097,Lookup!$J$5:$P$19,7,FALSE),0)</f>
        <v>3</v>
      </c>
      <c r="P1097" s="159">
        <f t="shared" si="193"/>
        <v>2016</v>
      </c>
      <c r="Q1097" s="159">
        <f t="shared" si="194"/>
        <v>10</v>
      </c>
      <c r="R1097" s="160">
        <f t="shared" si="195"/>
        <v>4.7333333332207985</v>
      </c>
      <c r="S1097" s="158">
        <f t="shared" si="196"/>
        <v>0.54615384614086138</v>
      </c>
      <c r="T1097" s="161">
        <f t="shared" si="197"/>
        <v>260.5153846091909</v>
      </c>
      <c r="U1097" s="158">
        <f t="shared" si="198"/>
        <v>55.03846153846154</v>
      </c>
      <c r="V1097" s="160">
        <f t="shared" si="199"/>
        <v>55</v>
      </c>
    </row>
    <row r="1098" spans="1:22" x14ac:dyDescent="0.25">
      <c r="A1098" s="98" t="s">
        <v>26</v>
      </c>
      <c r="B1098" s="98" t="s">
        <v>17</v>
      </c>
      <c r="C1098" s="98">
        <v>63</v>
      </c>
      <c r="D1098" s="98">
        <v>9270</v>
      </c>
      <c r="E1098" s="157">
        <v>42669.168749999997</v>
      </c>
      <c r="F1098" s="157">
        <v>42669.211805555555</v>
      </c>
      <c r="G1098" s="98">
        <v>460</v>
      </c>
      <c r="H1098" s="98">
        <v>520</v>
      </c>
      <c r="I1098" s="98">
        <v>477</v>
      </c>
      <c r="J1098" s="98" t="s">
        <v>2006</v>
      </c>
      <c r="K1098" s="98" t="s">
        <v>4087</v>
      </c>
      <c r="L1098" s="105" t="str">
        <f t="shared" si="190"/>
        <v>Ghent</v>
      </c>
      <c r="M1098" s="105" t="str">
        <f t="shared" si="191"/>
        <v>Derate</v>
      </c>
      <c r="N1098" s="105" t="str">
        <f t="shared" si="192"/>
        <v>Coal</v>
      </c>
      <c r="O1098" s="105">
        <f>IFERROR(VLOOKUP(A1098,Lookup!$J$5:$P$19,7,FALSE),0)</f>
        <v>3</v>
      </c>
      <c r="P1098" s="159">
        <f t="shared" si="193"/>
        <v>2016</v>
      </c>
      <c r="Q1098" s="159">
        <f t="shared" si="194"/>
        <v>10</v>
      </c>
      <c r="R1098" s="160">
        <f t="shared" si="195"/>
        <v>1.03333333338378</v>
      </c>
      <c r="S1098" s="158">
        <f t="shared" si="196"/>
        <v>0.11923076923659</v>
      </c>
      <c r="T1098" s="161">
        <f t="shared" si="197"/>
        <v>56.873076925853432</v>
      </c>
      <c r="U1098" s="158">
        <f t="shared" si="198"/>
        <v>55.03846153846154</v>
      </c>
      <c r="V1098" s="160">
        <f t="shared" si="199"/>
        <v>55</v>
      </c>
    </row>
    <row r="1099" spans="1:22" x14ac:dyDescent="0.25">
      <c r="A1099" s="98" t="s">
        <v>26</v>
      </c>
      <c r="B1099" s="98" t="s">
        <v>17</v>
      </c>
      <c r="C1099" s="98">
        <v>64</v>
      </c>
      <c r="D1099" s="98">
        <v>9270</v>
      </c>
      <c r="E1099" s="157">
        <v>42669.211805555555</v>
      </c>
      <c r="F1099" s="157">
        <v>42669.234027777777</v>
      </c>
      <c r="G1099" s="98">
        <v>370</v>
      </c>
      <c r="H1099" s="98">
        <v>520</v>
      </c>
      <c r="I1099" s="98">
        <v>477</v>
      </c>
      <c r="J1099" s="98" t="s">
        <v>2006</v>
      </c>
      <c r="K1099" s="98" t="s">
        <v>4088</v>
      </c>
      <c r="L1099" s="105" t="str">
        <f t="shared" si="190"/>
        <v>Ghent</v>
      </c>
      <c r="M1099" s="105" t="str">
        <f t="shared" si="191"/>
        <v>Derate</v>
      </c>
      <c r="N1099" s="105" t="str">
        <f t="shared" si="192"/>
        <v>Coal</v>
      </c>
      <c r="O1099" s="105">
        <f>IFERROR(VLOOKUP(A1099,Lookup!$J$5:$P$19,7,FALSE),0)</f>
        <v>3</v>
      </c>
      <c r="P1099" s="159">
        <f t="shared" si="193"/>
        <v>2016</v>
      </c>
      <c r="Q1099" s="159">
        <f t="shared" si="194"/>
        <v>10</v>
      </c>
      <c r="R1099" s="160">
        <f t="shared" si="195"/>
        <v>0.53333333332557231</v>
      </c>
      <c r="S1099" s="158">
        <f t="shared" si="196"/>
        <v>0.15384615384391509</v>
      </c>
      <c r="T1099" s="161">
        <f t="shared" si="197"/>
        <v>73.384615383547498</v>
      </c>
      <c r="U1099" s="158">
        <f t="shared" si="198"/>
        <v>137.59615384615384</v>
      </c>
      <c r="V1099" s="160">
        <f t="shared" si="199"/>
        <v>138</v>
      </c>
    </row>
    <row r="1100" spans="1:22" x14ac:dyDescent="0.25">
      <c r="A1100" s="98" t="s">
        <v>26</v>
      </c>
      <c r="B1100" s="98" t="s">
        <v>17</v>
      </c>
      <c r="C1100" s="98">
        <v>65</v>
      </c>
      <c r="D1100" s="98">
        <v>340</v>
      </c>
      <c r="E1100" s="157">
        <v>42669.477777777778</v>
      </c>
      <c r="F1100" s="157">
        <v>42669.803472222222</v>
      </c>
      <c r="G1100" s="98">
        <v>450</v>
      </c>
      <c r="H1100" s="98">
        <v>520</v>
      </c>
      <c r="I1100" s="98">
        <v>477</v>
      </c>
      <c r="J1100" s="98" t="s">
        <v>1970</v>
      </c>
      <c r="K1100" s="98" t="s">
        <v>4089</v>
      </c>
      <c r="L1100" s="105" t="str">
        <f t="shared" si="190"/>
        <v>Ghent</v>
      </c>
      <c r="M1100" s="105" t="str">
        <f t="shared" si="191"/>
        <v>Derate</v>
      </c>
      <c r="N1100" s="105" t="str">
        <f t="shared" si="192"/>
        <v>Coal</v>
      </c>
      <c r="O1100" s="105">
        <f>IFERROR(VLOOKUP(A1100,Lookup!$J$5:$P$19,7,FALSE),0)</f>
        <v>3</v>
      </c>
      <c r="P1100" s="159">
        <f t="shared" si="193"/>
        <v>2016</v>
      </c>
      <c r="Q1100" s="159">
        <f t="shared" si="194"/>
        <v>10</v>
      </c>
      <c r="R1100" s="160">
        <f t="shared" si="195"/>
        <v>7.8166666666511446</v>
      </c>
      <c r="S1100" s="158">
        <f t="shared" si="196"/>
        <v>1.0522435897415003</v>
      </c>
      <c r="T1100" s="161">
        <f t="shared" si="197"/>
        <v>501.92019230669564</v>
      </c>
      <c r="U1100" s="158">
        <f t="shared" si="198"/>
        <v>64.211538461538467</v>
      </c>
      <c r="V1100" s="160">
        <f t="shared" si="199"/>
        <v>64</v>
      </c>
    </row>
    <row r="1101" spans="1:22" x14ac:dyDescent="0.25">
      <c r="A1101" s="98" t="s">
        <v>26</v>
      </c>
      <c r="B1101" s="98" t="s">
        <v>17</v>
      </c>
      <c r="C1101" s="98">
        <v>66</v>
      </c>
      <c r="D1101" s="98">
        <v>250</v>
      </c>
      <c r="E1101" s="157">
        <v>42683.685416666667</v>
      </c>
      <c r="F1101" s="157">
        <v>42683.925694444442</v>
      </c>
      <c r="G1101" s="98">
        <v>450</v>
      </c>
      <c r="H1101" s="98">
        <v>520</v>
      </c>
      <c r="I1101" s="98">
        <v>477</v>
      </c>
      <c r="J1101" s="98" t="s">
        <v>1978</v>
      </c>
      <c r="K1101" s="98" t="s">
        <v>4090</v>
      </c>
      <c r="L1101" s="105" t="str">
        <f t="shared" si="190"/>
        <v>Ghent</v>
      </c>
      <c r="M1101" s="105" t="str">
        <f t="shared" si="191"/>
        <v>Derate</v>
      </c>
      <c r="N1101" s="105" t="str">
        <f t="shared" si="192"/>
        <v>Coal</v>
      </c>
      <c r="O1101" s="105">
        <f>IFERROR(VLOOKUP(A1101,Lookup!$J$5:$P$19,7,FALSE),0)</f>
        <v>3</v>
      </c>
      <c r="P1101" s="159">
        <f t="shared" si="193"/>
        <v>2016</v>
      </c>
      <c r="Q1101" s="159">
        <f t="shared" si="194"/>
        <v>11</v>
      </c>
      <c r="R1101" s="160">
        <f t="shared" si="195"/>
        <v>5.7666666666045785</v>
      </c>
      <c r="S1101" s="158">
        <f t="shared" si="196"/>
        <v>0.77628205127369321</v>
      </c>
      <c r="T1101" s="161">
        <f t="shared" si="197"/>
        <v>370.28653845755167</v>
      </c>
      <c r="U1101" s="158">
        <f t="shared" si="198"/>
        <v>64.211538461538467</v>
      </c>
      <c r="V1101" s="160">
        <f t="shared" si="199"/>
        <v>64</v>
      </c>
    </row>
    <row r="1102" spans="1:22" x14ac:dyDescent="0.25">
      <c r="A1102" s="98" t="s">
        <v>26</v>
      </c>
      <c r="B1102" s="98" t="s">
        <v>32</v>
      </c>
      <c r="C1102" s="98">
        <v>67</v>
      </c>
      <c r="D1102" s="98">
        <v>4610</v>
      </c>
      <c r="E1102" s="157">
        <v>42689.990972222222</v>
      </c>
      <c r="F1102" s="157">
        <v>42690.163888888892</v>
      </c>
      <c r="G1102" s="98">
        <v>400</v>
      </c>
      <c r="H1102" s="98">
        <v>520</v>
      </c>
      <c r="I1102" s="98">
        <v>477</v>
      </c>
      <c r="J1102" s="98" t="s">
        <v>2171</v>
      </c>
      <c r="K1102" s="98" t="s">
        <v>4091</v>
      </c>
      <c r="L1102" s="105" t="str">
        <f t="shared" si="190"/>
        <v>Ghent</v>
      </c>
      <c r="M1102" s="105" t="str">
        <f t="shared" si="191"/>
        <v>Derate</v>
      </c>
      <c r="N1102" s="105" t="str">
        <f t="shared" si="192"/>
        <v>Coal</v>
      </c>
      <c r="O1102" s="105">
        <f>IFERROR(VLOOKUP(A1102,Lookup!$J$5:$P$19,7,FALSE),0)</f>
        <v>3</v>
      </c>
      <c r="P1102" s="159">
        <f t="shared" si="193"/>
        <v>2016</v>
      </c>
      <c r="Q1102" s="159">
        <f t="shared" si="194"/>
        <v>11</v>
      </c>
      <c r="R1102" s="160">
        <f t="shared" si="195"/>
        <v>4.1500000000814907</v>
      </c>
      <c r="S1102" s="158">
        <f t="shared" si="196"/>
        <v>0.95769230771111324</v>
      </c>
      <c r="T1102" s="161">
        <f t="shared" si="197"/>
        <v>456.81923077820102</v>
      </c>
      <c r="U1102" s="158">
        <f t="shared" si="198"/>
        <v>110.07692307692308</v>
      </c>
      <c r="V1102" s="160">
        <f t="shared" si="199"/>
        <v>110</v>
      </c>
    </row>
    <row r="1103" spans="1:22" x14ac:dyDescent="0.25">
      <c r="A1103" s="98" t="s">
        <v>26</v>
      </c>
      <c r="B1103" s="98" t="s">
        <v>32</v>
      </c>
      <c r="C1103" s="98">
        <v>68</v>
      </c>
      <c r="D1103" s="98">
        <v>250</v>
      </c>
      <c r="E1103" s="157">
        <v>42700.918055555558</v>
      </c>
      <c r="F1103" s="157">
        <v>42701</v>
      </c>
      <c r="G1103" s="98">
        <v>450</v>
      </c>
      <c r="H1103" s="98">
        <v>520</v>
      </c>
      <c r="I1103" s="98">
        <v>477</v>
      </c>
      <c r="J1103" s="98" t="s">
        <v>1978</v>
      </c>
      <c r="K1103" s="98" t="s">
        <v>4092</v>
      </c>
      <c r="L1103" s="105" t="str">
        <f t="shared" si="190"/>
        <v>Ghent</v>
      </c>
      <c r="M1103" s="105" t="str">
        <f t="shared" si="191"/>
        <v>Derate</v>
      </c>
      <c r="N1103" s="105" t="str">
        <f t="shared" si="192"/>
        <v>Coal</v>
      </c>
      <c r="O1103" s="105">
        <f>IFERROR(VLOOKUP(A1103,Lookup!$J$5:$P$19,7,FALSE),0)</f>
        <v>3</v>
      </c>
      <c r="P1103" s="159">
        <f t="shared" si="193"/>
        <v>2016</v>
      </c>
      <c r="Q1103" s="159">
        <f t="shared" si="194"/>
        <v>11</v>
      </c>
      <c r="R1103" s="160">
        <f t="shared" si="195"/>
        <v>1.96666666661622</v>
      </c>
      <c r="S1103" s="158">
        <f t="shared" si="196"/>
        <v>0.26474358973679885</v>
      </c>
      <c r="T1103" s="161">
        <f t="shared" si="197"/>
        <v>126.28269230445305</v>
      </c>
      <c r="U1103" s="158">
        <f t="shared" si="198"/>
        <v>64.211538461538467</v>
      </c>
      <c r="V1103" s="160">
        <f t="shared" si="199"/>
        <v>64</v>
      </c>
    </row>
    <row r="1104" spans="1:22" x14ac:dyDescent="0.25">
      <c r="A1104" s="98" t="s">
        <v>26</v>
      </c>
      <c r="B1104" s="98" t="s">
        <v>17</v>
      </c>
      <c r="C1104" s="98">
        <v>69</v>
      </c>
      <c r="D1104" s="98">
        <v>250</v>
      </c>
      <c r="E1104" s="157">
        <v>42717.32708333333</v>
      </c>
      <c r="F1104" s="157">
        <v>42717.344444444447</v>
      </c>
      <c r="G1104" s="98">
        <v>475</v>
      </c>
      <c r="H1104" s="98">
        <v>520</v>
      </c>
      <c r="I1104" s="98">
        <v>477</v>
      </c>
      <c r="J1104" s="98" t="s">
        <v>1978</v>
      </c>
      <c r="K1104" s="98" t="s">
        <v>4093</v>
      </c>
      <c r="L1104" s="105" t="str">
        <f t="shared" si="190"/>
        <v>Ghent</v>
      </c>
      <c r="M1104" s="105" t="str">
        <f t="shared" si="191"/>
        <v>Derate</v>
      </c>
      <c r="N1104" s="105" t="str">
        <f t="shared" si="192"/>
        <v>Coal</v>
      </c>
      <c r="O1104" s="105">
        <f>IFERROR(VLOOKUP(A1104,Lookup!$J$5:$P$19,7,FALSE),0)</f>
        <v>3</v>
      </c>
      <c r="P1104" s="159">
        <f t="shared" si="193"/>
        <v>2016</v>
      </c>
      <c r="Q1104" s="159">
        <f t="shared" si="194"/>
        <v>12</v>
      </c>
      <c r="R1104" s="160">
        <f t="shared" si="195"/>
        <v>0.41666666680248454</v>
      </c>
      <c r="S1104" s="158">
        <f t="shared" si="196"/>
        <v>3.6057692319445778E-2</v>
      </c>
      <c r="T1104" s="161">
        <f t="shared" si="197"/>
        <v>17.199519236375636</v>
      </c>
      <c r="U1104" s="158">
        <f t="shared" si="198"/>
        <v>41.278846153846153</v>
      </c>
      <c r="V1104" s="160">
        <f t="shared" si="199"/>
        <v>41</v>
      </c>
    </row>
    <row r="1105" spans="1:22" x14ac:dyDescent="0.25">
      <c r="A1105" s="98" t="s">
        <v>26</v>
      </c>
      <c r="B1105" s="98" t="s">
        <v>17</v>
      </c>
      <c r="C1105" s="98">
        <v>70</v>
      </c>
      <c r="D1105" s="98">
        <v>4610</v>
      </c>
      <c r="E1105" s="157">
        <v>42720.877083333333</v>
      </c>
      <c r="F1105" s="157">
        <v>42721.009722222225</v>
      </c>
      <c r="G1105" s="98">
        <v>411</v>
      </c>
      <c r="H1105" s="98">
        <v>520</v>
      </c>
      <c r="I1105" s="98">
        <v>477</v>
      </c>
      <c r="J1105" s="98" t="s">
        <v>2171</v>
      </c>
      <c r="K1105" s="98" t="s">
        <v>4094</v>
      </c>
      <c r="L1105" s="105" t="str">
        <f t="shared" si="190"/>
        <v>Ghent</v>
      </c>
      <c r="M1105" s="105" t="str">
        <f t="shared" si="191"/>
        <v>Derate</v>
      </c>
      <c r="N1105" s="105" t="str">
        <f t="shared" si="192"/>
        <v>Coal</v>
      </c>
      <c r="O1105" s="105">
        <f>IFERROR(VLOOKUP(A1105,Lookup!$J$5:$P$19,7,FALSE),0)</f>
        <v>3</v>
      </c>
      <c r="P1105" s="159">
        <f t="shared" si="193"/>
        <v>2016</v>
      </c>
      <c r="Q1105" s="159">
        <f t="shared" si="194"/>
        <v>12</v>
      </c>
      <c r="R1105" s="160">
        <f t="shared" si="195"/>
        <v>3.183333333407063</v>
      </c>
      <c r="S1105" s="158">
        <f t="shared" si="196"/>
        <v>0.66727564104109593</v>
      </c>
      <c r="T1105" s="161">
        <f t="shared" si="197"/>
        <v>318.29048077660275</v>
      </c>
      <c r="U1105" s="158">
        <f t="shared" si="198"/>
        <v>99.986538461538458</v>
      </c>
      <c r="V1105" s="160">
        <f t="shared" si="199"/>
        <v>100</v>
      </c>
    </row>
    <row r="1106" spans="1:22" x14ac:dyDescent="0.25">
      <c r="A1106" s="98" t="s">
        <v>26</v>
      </c>
      <c r="B1106" s="98" t="s">
        <v>17</v>
      </c>
      <c r="C1106" s="98">
        <v>71</v>
      </c>
      <c r="D1106" s="98">
        <v>250</v>
      </c>
      <c r="E1106" s="157">
        <v>42731.772916666669</v>
      </c>
      <c r="F1106" s="157">
        <v>42731.789583333331</v>
      </c>
      <c r="G1106" s="98">
        <v>450</v>
      </c>
      <c r="H1106" s="98">
        <v>520</v>
      </c>
      <c r="I1106" s="98">
        <v>477</v>
      </c>
      <c r="J1106" s="98" t="s">
        <v>1978</v>
      </c>
      <c r="K1106" s="98" t="s">
        <v>4095</v>
      </c>
      <c r="L1106" s="105" t="str">
        <f t="shared" si="190"/>
        <v>Ghent</v>
      </c>
      <c r="M1106" s="105" t="str">
        <f t="shared" si="191"/>
        <v>Derate</v>
      </c>
      <c r="N1106" s="105" t="str">
        <f t="shared" si="192"/>
        <v>Coal</v>
      </c>
      <c r="O1106" s="105">
        <f>IFERROR(VLOOKUP(A1106,Lookup!$J$5:$P$19,7,FALSE),0)</f>
        <v>3</v>
      </c>
      <c r="P1106" s="159">
        <f t="shared" si="193"/>
        <v>2016</v>
      </c>
      <c r="Q1106" s="159">
        <f t="shared" si="194"/>
        <v>12</v>
      </c>
      <c r="R1106" s="160">
        <f t="shared" si="195"/>
        <v>0.39999999990686774</v>
      </c>
      <c r="S1106" s="158">
        <f t="shared" si="196"/>
        <v>5.3846153833616808E-2</v>
      </c>
      <c r="T1106" s="161">
        <f t="shared" si="197"/>
        <v>25.684615378635218</v>
      </c>
      <c r="U1106" s="158">
        <f t="shared" si="198"/>
        <v>64.211538461538467</v>
      </c>
      <c r="V1106" s="160">
        <f t="shared" si="199"/>
        <v>64</v>
      </c>
    </row>
    <row r="1107" spans="1:22" x14ac:dyDescent="0.25">
      <c r="A1107" s="98" t="s">
        <v>26</v>
      </c>
      <c r="B1107" s="98" t="s">
        <v>32</v>
      </c>
      <c r="C1107" s="98">
        <v>1</v>
      </c>
      <c r="D1107" s="98">
        <v>250</v>
      </c>
      <c r="E1107" s="157">
        <v>42744.988888888889</v>
      </c>
      <c r="F1107" s="157">
        <v>42745.195138888892</v>
      </c>
      <c r="G1107" s="98">
        <v>460</v>
      </c>
      <c r="H1107" s="98">
        <v>520</v>
      </c>
      <c r="I1107" s="98">
        <v>477</v>
      </c>
      <c r="J1107" s="98" t="s">
        <v>1978</v>
      </c>
      <c r="K1107" s="98" t="s">
        <v>4096</v>
      </c>
      <c r="L1107" s="105" t="str">
        <f t="shared" si="190"/>
        <v>Ghent</v>
      </c>
      <c r="M1107" s="105" t="str">
        <f t="shared" si="191"/>
        <v>Derate</v>
      </c>
      <c r="N1107" s="105" t="str">
        <f t="shared" si="192"/>
        <v>Coal</v>
      </c>
      <c r="O1107" s="105">
        <f>IFERROR(VLOOKUP(A1107,Lookup!$J$5:$P$19,7,FALSE),0)</f>
        <v>3</v>
      </c>
      <c r="P1107" s="159">
        <f t="shared" si="193"/>
        <v>2017</v>
      </c>
      <c r="Q1107" s="159">
        <f t="shared" si="194"/>
        <v>1</v>
      </c>
      <c r="R1107" s="160">
        <f t="shared" si="195"/>
        <v>4.9500000000698492</v>
      </c>
      <c r="S1107" s="158">
        <f t="shared" si="196"/>
        <v>0.57115384616190568</v>
      </c>
      <c r="T1107" s="161">
        <f t="shared" si="197"/>
        <v>272.44038461922901</v>
      </c>
      <c r="U1107" s="158">
        <f t="shared" si="198"/>
        <v>55.03846153846154</v>
      </c>
      <c r="V1107" s="160">
        <f t="shared" si="199"/>
        <v>55</v>
      </c>
    </row>
    <row r="1108" spans="1:22" x14ac:dyDescent="0.25">
      <c r="A1108" s="98" t="s">
        <v>26</v>
      </c>
      <c r="B1108" s="98" t="s">
        <v>20</v>
      </c>
      <c r="C1108" s="98">
        <v>2</v>
      </c>
      <c r="D1108" s="98">
        <v>1000</v>
      </c>
      <c r="E1108" s="157">
        <v>42745.533333333333</v>
      </c>
      <c r="F1108" s="157">
        <v>42746.068055555559</v>
      </c>
      <c r="G1108" s="98">
        <v>0</v>
      </c>
      <c r="H1108" s="98">
        <v>520</v>
      </c>
      <c r="I1108" s="98">
        <v>477</v>
      </c>
      <c r="J1108" s="98" t="s">
        <v>2002</v>
      </c>
      <c r="K1108" s="98" t="s">
        <v>4097</v>
      </c>
      <c r="L1108" s="105" t="str">
        <f t="shared" si="190"/>
        <v>Ghent</v>
      </c>
      <c r="M1108" s="105" t="str">
        <f t="shared" si="191"/>
        <v>Maintenance</v>
      </c>
      <c r="N1108" s="105" t="str">
        <f t="shared" si="192"/>
        <v>Coal</v>
      </c>
      <c r="O1108" s="105">
        <f>IFERROR(VLOOKUP(A1108,Lookup!$J$5:$P$19,7,FALSE),0)</f>
        <v>3</v>
      </c>
      <c r="P1108" s="159">
        <f t="shared" si="193"/>
        <v>2017</v>
      </c>
      <c r="Q1108" s="159">
        <f t="shared" si="194"/>
        <v>1</v>
      </c>
      <c r="R1108" s="160">
        <f t="shared" si="195"/>
        <v>12.833333333430346</v>
      </c>
      <c r="S1108" s="158">
        <f t="shared" si="196"/>
        <v>12.833333333430346</v>
      </c>
      <c r="T1108" s="161">
        <f t="shared" si="197"/>
        <v>6121.5000000462751</v>
      </c>
      <c r="U1108" s="158">
        <f t="shared" si="198"/>
        <v>477</v>
      </c>
      <c r="V1108" s="160">
        <f t="shared" si="199"/>
        <v>477</v>
      </c>
    </row>
    <row r="1109" spans="1:22" x14ac:dyDescent="0.25">
      <c r="A1109" s="98" t="s">
        <v>26</v>
      </c>
      <c r="B1109" s="98" t="s">
        <v>17</v>
      </c>
      <c r="C1109" s="98">
        <v>3</v>
      </c>
      <c r="D1109" s="98">
        <v>3408</v>
      </c>
      <c r="E1109" s="157">
        <v>42746.243055555555</v>
      </c>
      <c r="F1109" s="157">
        <v>42746.706250000003</v>
      </c>
      <c r="G1109" s="98">
        <v>330</v>
      </c>
      <c r="H1109" s="98">
        <v>520</v>
      </c>
      <c r="I1109" s="98">
        <v>477</v>
      </c>
      <c r="J1109" s="98" t="s">
        <v>2195</v>
      </c>
      <c r="K1109" s="98" t="s">
        <v>4098</v>
      </c>
      <c r="L1109" s="105" t="str">
        <f t="shared" si="190"/>
        <v>Ghent</v>
      </c>
      <c r="M1109" s="105" t="str">
        <f t="shared" si="191"/>
        <v>Derate</v>
      </c>
      <c r="N1109" s="105" t="str">
        <f t="shared" si="192"/>
        <v>Coal</v>
      </c>
      <c r="O1109" s="105">
        <f>IFERROR(VLOOKUP(A1109,Lookup!$J$5:$P$19,7,FALSE),0)</f>
        <v>3</v>
      </c>
      <c r="P1109" s="159">
        <f t="shared" si="193"/>
        <v>2017</v>
      </c>
      <c r="Q1109" s="159">
        <f t="shared" si="194"/>
        <v>1</v>
      </c>
      <c r="R1109" s="160">
        <f t="shared" si="195"/>
        <v>11.116666666755918</v>
      </c>
      <c r="S1109" s="158">
        <f t="shared" si="196"/>
        <v>4.0618589743915852</v>
      </c>
      <c r="T1109" s="161">
        <f t="shared" si="197"/>
        <v>1937.5067307847862</v>
      </c>
      <c r="U1109" s="158">
        <f t="shared" si="198"/>
        <v>174.28846153846155</v>
      </c>
      <c r="V1109" s="160">
        <f t="shared" si="199"/>
        <v>174</v>
      </c>
    </row>
    <row r="1110" spans="1:22" x14ac:dyDescent="0.25">
      <c r="A1110" s="98" t="s">
        <v>26</v>
      </c>
      <c r="B1110" s="98" t="s">
        <v>20</v>
      </c>
      <c r="C1110" s="98">
        <v>4</v>
      </c>
      <c r="D1110" s="98">
        <v>1000</v>
      </c>
      <c r="E1110" s="157">
        <v>42750.929861111108</v>
      </c>
      <c r="F1110" s="157">
        <v>42752.997916666667</v>
      </c>
      <c r="G1110" s="98">
        <v>0</v>
      </c>
      <c r="H1110" s="98">
        <v>520</v>
      </c>
      <c r="I1110" s="98">
        <v>477</v>
      </c>
      <c r="J1110" s="98" t="s">
        <v>2002</v>
      </c>
      <c r="K1110" s="98" t="s">
        <v>4099</v>
      </c>
      <c r="L1110" s="105" t="str">
        <f t="shared" si="190"/>
        <v>Ghent</v>
      </c>
      <c r="M1110" s="105" t="str">
        <f t="shared" si="191"/>
        <v>Maintenance</v>
      </c>
      <c r="N1110" s="105" t="str">
        <f t="shared" si="192"/>
        <v>Coal</v>
      </c>
      <c r="O1110" s="105">
        <f>IFERROR(VLOOKUP(A1110,Lookup!$J$5:$P$19,7,FALSE),0)</f>
        <v>3</v>
      </c>
      <c r="P1110" s="159">
        <f t="shared" si="193"/>
        <v>2017</v>
      </c>
      <c r="Q1110" s="159">
        <f t="shared" si="194"/>
        <v>1</v>
      </c>
      <c r="R1110" s="160">
        <f t="shared" si="195"/>
        <v>49.633333333418705</v>
      </c>
      <c r="S1110" s="158">
        <f t="shared" si="196"/>
        <v>49.633333333418705</v>
      </c>
      <c r="T1110" s="161">
        <f t="shared" si="197"/>
        <v>23675.100000040722</v>
      </c>
      <c r="U1110" s="158">
        <f t="shared" si="198"/>
        <v>477</v>
      </c>
      <c r="V1110" s="160">
        <f t="shared" si="199"/>
        <v>477</v>
      </c>
    </row>
    <row r="1111" spans="1:22" x14ac:dyDescent="0.25">
      <c r="A1111" s="98" t="s">
        <v>26</v>
      </c>
      <c r="B1111" s="98" t="s">
        <v>15</v>
      </c>
      <c r="C1111" s="98">
        <v>5</v>
      </c>
      <c r="D1111" s="98">
        <v>1040</v>
      </c>
      <c r="E1111" s="157">
        <v>42753.70208333333</v>
      </c>
      <c r="F1111" s="157">
        <v>42757.00277777778</v>
      </c>
      <c r="G1111" s="98">
        <v>0</v>
      </c>
      <c r="H1111" s="98">
        <v>520</v>
      </c>
      <c r="I1111" s="98">
        <v>477</v>
      </c>
      <c r="J1111" s="98" t="s">
        <v>2001</v>
      </c>
      <c r="K1111" s="98" t="s">
        <v>4100</v>
      </c>
      <c r="L1111" s="105" t="str">
        <f t="shared" si="190"/>
        <v>Ghent</v>
      </c>
      <c r="M1111" s="105" t="str">
        <f t="shared" si="191"/>
        <v>Outage</v>
      </c>
      <c r="N1111" s="105" t="str">
        <f t="shared" si="192"/>
        <v>Coal</v>
      </c>
      <c r="O1111" s="105">
        <f>IFERROR(VLOOKUP(A1111,Lookup!$J$5:$P$19,7,FALSE),0)</f>
        <v>3</v>
      </c>
      <c r="P1111" s="159">
        <f t="shared" si="193"/>
        <v>2017</v>
      </c>
      <c r="Q1111" s="159">
        <f t="shared" si="194"/>
        <v>1</v>
      </c>
      <c r="R1111" s="160">
        <f t="shared" si="195"/>
        <v>79.216666666790843</v>
      </c>
      <c r="S1111" s="158">
        <f t="shared" si="196"/>
        <v>79.216666666790843</v>
      </c>
      <c r="T1111" s="161">
        <f t="shared" si="197"/>
        <v>37786.350000059232</v>
      </c>
      <c r="U1111" s="158">
        <f t="shared" si="198"/>
        <v>477</v>
      </c>
      <c r="V1111" s="160">
        <f t="shared" si="199"/>
        <v>477</v>
      </c>
    </row>
    <row r="1112" spans="1:22" x14ac:dyDescent="0.25">
      <c r="A1112" s="98" t="s">
        <v>26</v>
      </c>
      <c r="B1112" s="98" t="s">
        <v>20</v>
      </c>
      <c r="C1112" s="98">
        <v>6</v>
      </c>
      <c r="D1112" s="98">
        <v>1060</v>
      </c>
      <c r="E1112" s="157">
        <v>42762.550694444442</v>
      </c>
      <c r="F1112" s="157">
        <v>42764.47152777778</v>
      </c>
      <c r="G1112" s="98">
        <v>0</v>
      </c>
      <c r="H1112" s="98">
        <v>520</v>
      </c>
      <c r="I1112" s="98">
        <v>477</v>
      </c>
      <c r="J1112" s="98" t="s">
        <v>2179</v>
      </c>
      <c r="K1112" s="98" t="s">
        <v>4101</v>
      </c>
      <c r="L1112" s="105" t="str">
        <f t="shared" si="190"/>
        <v>Ghent</v>
      </c>
      <c r="M1112" s="105" t="str">
        <f t="shared" si="191"/>
        <v>Maintenance</v>
      </c>
      <c r="N1112" s="105" t="str">
        <f t="shared" si="192"/>
        <v>Coal</v>
      </c>
      <c r="O1112" s="105">
        <f>IFERROR(VLOOKUP(A1112,Lookup!$J$5:$P$19,7,FALSE),0)</f>
        <v>3</v>
      </c>
      <c r="P1112" s="159">
        <f t="shared" si="193"/>
        <v>2017</v>
      </c>
      <c r="Q1112" s="159">
        <f t="shared" si="194"/>
        <v>1</v>
      </c>
      <c r="R1112" s="160">
        <f t="shared" si="195"/>
        <v>46.100000000093132</v>
      </c>
      <c r="S1112" s="158">
        <f t="shared" si="196"/>
        <v>46.100000000093132</v>
      </c>
      <c r="T1112" s="161">
        <f t="shared" si="197"/>
        <v>21989.700000044424</v>
      </c>
      <c r="U1112" s="158">
        <f t="shared" si="198"/>
        <v>477</v>
      </c>
      <c r="V1112" s="160">
        <f t="shared" si="199"/>
        <v>477</v>
      </c>
    </row>
    <row r="1113" spans="1:22" x14ac:dyDescent="0.25">
      <c r="A1113" s="98" t="s">
        <v>26</v>
      </c>
      <c r="B1113" s="98" t="s">
        <v>17</v>
      </c>
      <c r="C1113" s="98">
        <v>7</v>
      </c>
      <c r="D1113" s="98">
        <v>250</v>
      </c>
      <c r="E1113" s="157">
        <v>42766.138194444444</v>
      </c>
      <c r="F1113" s="157">
        <v>42766.224999999999</v>
      </c>
      <c r="G1113" s="98">
        <v>460</v>
      </c>
      <c r="H1113" s="98">
        <v>520</v>
      </c>
      <c r="I1113" s="98">
        <v>477</v>
      </c>
      <c r="J1113" s="98" t="s">
        <v>1978</v>
      </c>
      <c r="K1113" s="98" t="s">
        <v>4102</v>
      </c>
      <c r="L1113" s="105" t="str">
        <f t="shared" si="190"/>
        <v>Ghent</v>
      </c>
      <c r="M1113" s="105" t="str">
        <f t="shared" si="191"/>
        <v>Derate</v>
      </c>
      <c r="N1113" s="105" t="str">
        <f t="shared" si="192"/>
        <v>Coal</v>
      </c>
      <c r="O1113" s="105">
        <f>IFERROR(VLOOKUP(A1113,Lookup!$J$5:$P$19,7,FALSE),0)</f>
        <v>3</v>
      </c>
      <c r="P1113" s="159">
        <f t="shared" si="193"/>
        <v>2017</v>
      </c>
      <c r="Q1113" s="159">
        <f t="shared" si="194"/>
        <v>1</v>
      </c>
      <c r="R1113" s="160">
        <f t="shared" si="195"/>
        <v>2.0833333333139308</v>
      </c>
      <c r="S1113" s="158">
        <f t="shared" si="196"/>
        <v>0.24038461538237663</v>
      </c>
      <c r="T1113" s="161">
        <f t="shared" si="197"/>
        <v>114.66346153739364</v>
      </c>
      <c r="U1113" s="158">
        <f t="shared" si="198"/>
        <v>55.03846153846154</v>
      </c>
      <c r="V1113" s="160">
        <f t="shared" si="199"/>
        <v>55</v>
      </c>
    </row>
    <row r="1114" spans="1:22" x14ac:dyDescent="0.25">
      <c r="A1114" s="98" t="s">
        <v>26</v>
      </c>
      <c r="B1114" s="98" t="s">
        <v>20</v>
      </c>
      <c r="C1114" s="98">
        <v>8</v>
      </c>
      <c r="D1114" s="98">
        <v>1000</v>
      </c>
      <c r="E1114" s="157">
        <v>42767.948611111111</v>
      </c>
      <c r="F1114" s="157">
        <v>42768.439583333333</v>
      </c>
      <c r="G1114" s="98">
        <v>0</v>
      </c>
      <c r="H1114" s="98">
        <v>520</v>
      </c>
      <c r="I1114" s="98">
        <v>477</v>
      </c>
      <c r="J1114" s="98" t="s">
        <v>2002</v>
      </c>
      <c r="K1114" s="98" t="s">
        <v>4103</v>
      </c>
      <c r="L1114" s="105" t="str">
        <f t="shared" si="190"/>
        <v>Ghent</v>
      </c>
      <c r="M1114" s="105" t="str">
        <f t="shared" si="191"/>
        <v>Maintenance</v>
      </c>
      <c r="N1114" s="105" t="str">
        <f t="shared" si="192"/>
        <v>Coal</v>
      </c>
      <c r="O1114" s="105">
        <f>IFERROR(VLOOKUP(A1114,Lookup!$J$5:$P$19,7,FALSE),0)</f>
        <v>3</v>
      </c>
      <c r="P1114" s="159">
        <f t="shared" si="193"/>
        <v>2017</v>
      </c>
      <c r="Q1114" s="159">
        <f t="shared" si="194"/>
        <v>2</v>
      </c>
      <c r="R1114" s="160">
        <f t="shared" si="195"/>
        <v>11.783333333325572</v>
      </c>
      <c r="S1114" s="158">
        <f t="shared" si="196"/>
        <v>11.783333333325572</v>
      </c>
      <c r="T1114" s="161">
        <f t="shared" si="197"/>
        <v>5620.649999996298</v>
      </c>
      <c r="U1114" s="158">
        <f t="shared" si="198"/>
        <v>477</v>
      </c>
      <c r="V1114" s="160">
        <f t="shared" si="199"/>
        <v>477</v>
      </c>
    </row>
    <row r="1115" spans="1:22" x14ac:dyDescent="0.25">
      <c r="A1115" s="98" t="s">
        <v>26</v>
      </c>
      <c r="B1115" s="98" t="s">
        <v>17</v>
      </c>
      <c r="C1115" s="98">
        <v>9</v>
      </c>
      <c r="D1115" s="98">
        <v>891</v>
      </c>
      <c r="E1115" s="157">
        <v>42773.625</v>
      </c>
      <c r="F1115" s="157">
        <v>42773.950694444444</v>
      </c>
      <c r="G1115" s="98">
        <v>240</v>
      </c>
      <c r="H1115" s="98">
        <v>520</v>
      </c>
      <c r="I1115" s="98">
        <v>477</v>
      </c>
      <c r="J1115" s="98" t="s">
        <v>2122</v>
      </c>
      <c r="K1115" s="98" t="s">
        <v>4104</v>
      </c>
      <c r="L1115" s="105" t="str">
        <f t="shared" si="190"/>
        <v>Ghent</v>
      </c>
      <c r="M1115" s="105" t="str">
        <f t="shared" si="191"/>
        <v>Derate</v>
      </c>
      <c r="N1115" s="105" t="str">
        <f t="shared" si="192"/>
        <v>Coal</v>
      </c>
      <c r="O1115" s="105">
        <f>IFERROR(VLOOKUP(A1115,Lookup!$J$5:$P$19,7,FALSE),0)</f>
        <v>3</v>
      </c>
      <c r="P1115" s="159">
        <f t="shared" si="193"/>
        <v>2017</v>
      </c>
      <c r="Q1115" s="159">
        <f t="shared" si="194"/>
        <v>2</v>
      </c>
      <c r="R1115" s="160">
        <f t="shared" si="195"/>
        <v>7.8166666666511446</v>
      </c>
      <c r="S1115" s="158">
        <f t="shared" si="196"/>
        <v>4.2089743589660014</v>
      </c>
      <c r="T1115" s="161">
        <f t="shared" si="197"/>
        <v>2007.6807692267826</v>
      </c>
      <c r="U1115" s="158">
        <f t="shared" si="198"/>
        <v>256.84615384615387</v>
      </c>
      <c r="V1115" s="160">
        <f t="shared" si="199"/>
        <v>257</v>
      </c>
    </row>
    <row r="1116" spans="1:22" x14ac:dyDescent="0.25">
      <c r="A1116" s="98" t="s">
        <v>26</v>
      </c>
      <c r="B1116" s="98" t="s">
        <v>15</v>
      </c>
      <c r="C1116" s="98">
        <v>10</v>
      </c>
      <c r="D1116" s="98">
        <v>891</v>
      </c>
      <c r="E1116" s="157">
        <v>42773.950694444444</v>
      </c>
      <c r="F1116" s="157">
        <v>42774.657638888886</v>
      </c>
      <c r="G1116" s="98">
        <v>0</v>
      </c>
      <c r="H1116" s="98">
        <v>520</v>
      </c>
      <c r="I1116" s="98">
        <v>477</v>
      </c>
      <c r="J1116" s="98" t="s">
        <v>2122</v>
      </c>
      <c r="K1116" s="98" t="s">
        <v>4105</v>
      </c>
      <c r="L1116" s="105" t="str">
        <f t="shared" si="190"/>
        <v>Ghent</v>
      </c>
      <c r="M1116" s="105" t="str">
        <f t="shared" si="191"/>
        <v>Outage</v>
      </c>
      <c r="N1116" s="105" t="str">
        <f t="shared" si="192"/>
        <v>Coal</v>
      </c>
      <c r="O1116" s="105">
        <f>IFERROR(VLOOKUP(A1116,Lookup!$J$5:$P$19,7,FALSE),0)</f>
        <v>3</v>
      </c>
      <c r="P1116" s="159">
        <f t="shared" si="193"/>
        <v>2017</v>
      </c>
      <c r="Q1116" s="159">
        <f t="shared" si="194"/>
        <v>2</v>
      </c>
      <c r="R1116" s="160">
        <f t="shared" si="195"/>
        <v>16.96666666661622</v>
      </c>
      <c r="S1116" s="158">
        <f t="shared" si="196"/>
        <v>16.96666666661622</v>
      </c>
      <c r="T1116" s="161">
        <f t="shared" si="197"/>
        <v>8093.099999975937</v>
      </c>
      <c r="U1116" s="158">
        <f t="shared" si="198"/>
        <v>477</v>
      </c>
      <c r="V1116" s="160">
        <f t="shared" si="199"/>
        <v>477</v>
      </c>
    </row>
    <row r="1117" spans="1:22" x14ac:dyDescent="0.25">
      <c r="A1117" s="98" t="s">
        <v>26</v>
      </c>
      <c r="B1117" s="98" t="s">
        <v>32</v>
      </c>
      <c r="C1117" s="98">
        <v>11</v>
      </c>
      <c r="D1117" s="98">
        <v>855</v>
      </c>
      <c r="E1117" s="157">
        <v>42783.958333333336</v>
      </c>
      <c r="F1117" s="157">
        <v>42784.106249999997</v>
      </c>
      <c r="G1117" s="98">
        <v>475</v>
      </c>
      <c r="H1117" s="98">
        <v>520</v>
      </c>
      <c r="I1117" s="98">
        <v>477</v>
      </c>
      <c r="J1117" s="98" t="s">
        <v>2130</v>
      </c>
      <c r="K1117" s="98" t="s">
        <v>4106</v>
      </c>
      <c r="L1117" s="105" t="str">
        <f t="shared" si="190"/>
        <v>Ghent</v>
      </c>
      <c r="M1117" s="105" t="str">
        <f t="shared" si="191"/>
        <v>Derate</v>
      </c>
      <c r="N1117" s="105" t="str">
        <f t="shared" si="192"/>
        <v>Coal</v>
      </c>
      <c r="O1117" s="105">
        <f>IFERROR(VLOOKUP(A1117,Lookup!$J$5:$P$19,7,FALSE),0)</f>
        <v>3</v>
      </c>
      <c r="P1117" s="159">
        <f t="shared" si="193"/>
        <v>2017</v>
      </c>
      <c r="Q1117" s="159">
        <f t="shared" si="194"/>
        <v>2</v>
      </c>
      <c r="R1117" s="160">
        <f t="shared" si="195"/>
        <v>3.5499999998719431</v>
      </c>
      <c r="S1117" s="158">
        <f t="shared" si="196"/>
        <v>0.30721153845045662</v>
      </c>
      <c r="T1117" s="161">
        <f t="shared" si="197"/>
        <v>146.53990384086782</v>
      </c>
      <c r="U1117" s="158">
        <f t="shared" si="198"/>
        <v>41.278846153846153</v>
      </c>
      <c r="V1117" s="160">
        <f t="shared" si="199"/>
        <v>41</v>
      </c>
    </row>
    <row r="1118" spans="1:22" x14ac:dyDescent="0.25">
      <c r="A1118" s="98" t="s">
        <v>26</v>
      </c>
      <c r="B1118" s="98" t="s">
        <v>38</v>
      </c>
      <c r="C1118" s="98">
        <v>12</v>
      </c>
      <c r="D1118" s="98">
        <v>1801</v>
      </c>
      <c r="E1118" s="157">
        <v>42805.02847222222</v>
      </c>
      <c r="F1118" s="157">
        <v>42828.018750000003</v>
      </c>
      <c r="G1118" s="98">
        <v>0</v>
      </c>
      <c r="H1118" s="98">
        <v>520</v>
      </c>
      <c r="I1118" s="98">
        <v>477</v>
      </c>
      <c r="J1118" s="98" t="s">
        <v>2021</v>
      </c>
      <c r="K1118" s="98" t="s">
        <v>4107</v>
      </c>
      <c r="L1118" s="105" t="str">
        <f t="shared" si="190"/>
        <v>Ghent</v>
      </c>
      <c r="M1118" s="105" t="str">
        <f t="shared" si="191"/>
        <v>Other</v>
      </c>
      <c r="N1118" s="105" t="str">
        <f t="shared" si="192"/>
        <v>Coal</v>
      </c>
      <c r="O1118" s="105">
        <f>IFERROR(VLOOKUP(A1118,Lookup!$J$5:$P$19,7,FALSE),0)</f>
        <v>3</v>
      </c>
      <c r="P1118" s="159">
        <f t="shared" si="193"/>
        <v>2017</v>
      </c>
      <c r="Q1118" s="159">
        <f t="shared" si="194"/>
        <v>3</v>
      </c>
      <c r="R1118" s="160">
        <f t="shared" si="195"/>
        <v>551.7666666667792</v>
      </c>
      <c r="S1118" s="158">
        <f t="shared" si="196"/>
        <v>551.7666666667792</v>
      </c>
      <c r="T1118" s="161">
        <f t="shared" si="197"/>
        <v>263192.70000005368</v>
      </c>
      <c r="U1118" s="158">
        <f t="shared" si="198"/>
        <v>477</v>
      </c>
      <c r="V1118" s="160">
        <f t="shared" si="199"/>
        <v>477</v>
      </c>
    </row>
    <row r="1119" spans="1:22" x14ac:dyDescent="0.25">
      <c r="A1119" s="98" t="s">
        <v>26</v>
      </c>
      <c r="B1119" s="98" t="s">
        <v>32</v>
      </c>
      <c r="C1119" s="98">
        <v>13</v>
      </c>
      <c r="D1119" s="98">
        <v>344</v>
      </c>
      <c r="E1119" s="157">
        <v>42835.958333333336</v>
      </c>
      <c r="F1119" s="157">
        <v>42836.100694444445</v>
      </c>
      <c r="G1119" s="98">
        <v>470</v>
      </c>
      <c r="H1119" s="98">
        <v>520</v>
      </c>
      <c r="I1119" s="98">
        <v>477</v>
      </c>
      <c r="J1119" s="98" t="s">
        <v>1968</v>
      </c>
      <c r="K1119" s="98" t="s">
        <v>4108</v>
      </c>
      <c r="L1119" s="105" t="str">
        <f t="shared" si="190"/>
        <v>Ghent</v>
      </c>
      <c r="M1119" s="105" t="str">
        <f t="shared" si="191"/>
        <v>Derate</v>
      </c>
      <c r="N1119" s="105" t="str">
        <f t="shared" si="192"/>
        <v>Coal</v>
      </c>
      <c r="O1119" s="105">
        <f>IFERROR(VLOOKUP(A1119,Lookup!$J$5:$P$19,7,FALSE),0)</f>
        <v>3</v>
      </c>
      <c r="P1119" s="159">
        <f t="shared" si="193"/>
        <v>2017</v>
      </c>
      <c r="Q1119" s="159">
        <f t="shared" si="194"/>
        <v>4</v>
      </c>
      <c r="R1119" s="160">
        <f t="shared" si="195"/>
        <v>3.4166666666278616</v>
      </c>
      <c r="S1119" s="158">
        <f t="shared" si="196"/>
        <v>0.32852564102190979</v>
      </c>
      <c r="T1119" s="161">
        <f t="shared" si="197"/>
        <v>156.70673076745098</v>
      </c>
      <c r="U1119" s="158">
        <f t="shared" si="198"/>
        <v>45.865384615384613</v>
      </c>
      <c r="V1119" s="160">
        <f t="shared" si="199"/>
        <v>46</v>
      </c>
    </row>
    <row r="1120" spans="1:22" x14ac:dyDescent="0.25">
      <c r="A1120" s="98" t="s">
        <v>26</v>
      </c>
      <c r="B1120" s="98" t="s">
        <v>32</v>
      </c>
      <c r="C1120" s="98">
        <v>14</v>
      </c>
      <c r="D1120" s="98">
        <v>3410</v>
      </c>
      <c r="E1120" s="157">
        <v>42837.041666666664</v>
      </c>
      <c r="F1120" s="157">
        <v>42837.077777777777</v>
      </c>
      <c r="G1120" s="98">
        <v>325</v>
      </c>
      <c r="H1120" s="98">
        <v>520</v>
      </c>
      <c r="I1120" s="98">
        <v>477</v>
      </c>
      <c r="J1120" s="98" t="s">
        <v>1983</v>
      </c>
      <c r="K1120" s="98" t="s">
        <v>4109</v>
      </c>
      <c r="L1120" s="105" t="str">
        <f t="shared" si="190"/>
        <v>Ghent</v>
      </c>
      <c r="M1120" s="105" t="str">
        <f t="shared" si="191"/>
        <v>Derate</v>
      </c>
      <c r="N1120" s="105" t="str">
        <f t="shared" si="192"/>
        <v>Coal</v>
      </c>
      <c r="O1120" s="105">
        <f>IFERROR(VLOOKUP(A1120,Lookup!$J$5:$P$19,7,FALSE),0)</f>
        <v>3</v>
      </c>
      <c r="P1120" s="159">
        <f t="shared" si="193"/>
        <v>2017</v>
      </c>
      <c r="Q1120" s="159">
        <f t="shared" si="194"/>
        <v>4</v>
      </c>
      <c r="R1120" s="160">
        <f t="shared" si="195"/>
        <v>0.86666666669771075</v>
      </c>
      <c r="S1120" s="158">
        <f t="shared" si="196"/>
        <v>0.32500000001164153</v>
      </c>
      <c r="T1120" s="161">
        <f t="shared" si="197"/>
        <v>155.02500000555301</v>
      </c>
      <c r="U1120" s="158">
        <f t="shared" si="198"/>
        <v>178.875</v>
      </c>
      <c r="V1120" s="160">
        <f t="shared" si="199"/>
        <v>179</v>
      </c>
    </row>
    <row r="1121" spans="1:22" x14ac:dyDescent="0.25">
      <c r="A1121" s="98" t="s">
        <v>26</v>
      </c>
      <c r="B1121" s="98" t="s">
        <v>32</v>
      </c>
      <c r="C1121" s="98">
        <v>15</v>
      </c>
      <c r="D1121" s="98">
        <v>250</v>
      </c>
      <c r="E1121" s="157">
        <v>42853.958333333336</v>
      </c>
      <c r="F1121" s="157">
        <v>42854.051388888889</v>
      </c>
      <c r="G1121" s="98">
        <v>480</v>
      </c>
      <c r="H1121" s="98">
        <v>520</v>
      </c>
      <c r="I1121" s="98">
        <v>477</v>
      </c>
      <c r="J1121" s="98" t="s">
        <v>1978</v>
      </c>
      <c r="K1121" s="98" t="s">
        <v>4110</v>
      </c>
      <c r="L1121" s="105" t="str">
        <f t="shared" si="190"/>
        <v>Ghent</v>
      </c>
      <c r="M1121" s="105" t="str">
        <f t="shared" si="191"/>
        <v>Derate</v>
      </c>
      <c r="N1121" s="105" t="str">
        <f t="shared" si="192"/>
        <v>Coal</v>
      </c>
      <c r="O1121" s="105">
        <f>IFERROR(VLOOKUP(A1121,Lookup!$J$5:$P$19,7,FALSE),0)</f>
        <v>3</v>
      </c>
      <c r="P1121" s="159">
        <f t="shared" si="193"/>
        <v>2017</v>
      </c>
      <c r="Q1121" s="159">
        <f t="shared" si="194"/>
        <v>4</v>
      </c>
      <c r="R1121" s="160">
        <f t="shared" si="195"/>
        <v>2.2333333332790062</v>
      </c>
      <c r="S1121" s="158">
        <f t="shared" si="196"/>
        <v>0.17179487179069278</v>
      </c>
      <c r="T1121" s="161">
        <f t="shared" si="197"/>
        <v>81.946153844160449</v>
      </c>
      <c r="U1121" s="158">
        <f t="shared" si="198"/>
        <v>36.692307692307693</v>
      </c>
      <c r="V1121" s="160">
        <f t="shared" si="199"/>
        <v>37</v>
      </c>
    </row>
    <row r="1122" spans="1:22" x14ac:dyDescent="0.25">
      <c r="A1122" s="98" t="s">
        <v>26</v>
      </c>
      <c r="B1122" s="98" t="s">
        <v>32</v>
      </c>
      <c r="C1122" s="98">
        <v>16</v>
      </c>
      <c r="D1122" s="98">
        <v>4261</v>
      </c>
      <c r="E1122" s="157">
        <v>42854.09097222222</v>
      </c>
      <c r="F1122" s="157">
        <v>42854.109722222223</v>
      </c>
      <c r="G1122" s="98">
        <v>300</v>
      </c>
      <c r="H1122" s="98">
        <v>520</v>
      </c>
      <c r="I1122" s="98">
        <v>477</v>
      </c>
      <c r="J1122" s="98" t="s">
        <v>1985</v>
      </c>
      <c r="K1122" s="98" t="s">
        <v>4111</v>
      </c>
      <c r="L1122" s="105" t="str">
        <f t="shared" si="190"/>
        <v>Ghent</v>
      </c>
      <c r="M1122" s="105" t="str">
        <f t="shared" si="191"/>
        <v>Derate</v>
      </c>
      <c r="N1122" s="105" t="str">
        <f t="shared" si="192"/>
        <v>Coal</v>
      </c>
      <c r="O1122" s="105">
        <f>IFERROR(VLOOKUP(A1122,Lookup!$J$5:$P$19,7,FALSE),0)</f>
        <v>3</v>
      </c>
      <c r="P1122" s="159">
        <f t="shared" si="193"/>
        <v>2017</v>
      </c>
      <c r="Q1122" s="159">
        <f t="shared" si="194"/>
        <v>4</v>
      </c>
      <c r="R1122" s="160">
        <f t="shared" si="195"/>
        <v>0.45000000006984919</v>
      </c>
      <c r="S1122" s="158">
        <f t="shared" si="196"/>
        <v>0.19038461541416696</v>
      </c>
      <c r="T1122" s="161">
        <f t="shared" si="197"/>
        <v>90.813461552557641</v>
      </c>
      <c r="U1122" s="158">
        <f t="shared" si="198"/>
        <v>201.80769230769232</v>
      </c>
      <c r="V1122" s="160">
        <f t="shared" si="199"/>
        <v>202</v>
      </c>
    </row>
    <row r="1123" spans="1:22" x14ac:dyDescent="0.25">
      <c r="A1123" s="98" t="s">
        <v>26</v>
      </c>
      <c r="B1123" s="98" t="s">
        <v>17</v>
      </c>
      <c r="C1123" s="98">
        <v>17</v>
      </c>
      <c r="D1123" s="98">
        <v>9270</v>
      </c>
      <c r="E1123" s="157">
        <v>42854.719444444447</v>
      </c>
      <c r="F1123" s="157">
        <v>42854.893055555556</v>
      </c>
      <c r="G1123" s="98">
        <v>470</v>
      </c>
      <c r="H1123" s="98">
        <v>520</v>
      </c>
      <c r="I1123" s="98">
        <v>477</v>
      </c>
      <c r="J1123" s="98" t="s">
        <v>2006</v>
      </c>
      <c r="K1123" s="98" t="s">
        <v>4112</v>
      </c>
      <c r="L1123" s="105" t="str">
        <f t="shared" si="190"/>
        <v>Ghent</v>
      </c>
      <c r="M1123" s="105" t="str">
        <f t="shared" si="191"/>
        <v>Derate</v>
      </c>
      <c r="N1123" s="105" t="str">
        <f t="shared" si="192"/>
        <v>Coal</v>
      </c>
      <c r="O1123" s="105">
        <f>IFERROR(VLOOKUP(A1123,Lookup!$J$5:$P$19,7,FALSE),0)</f>
        <v>3</v>
      </c>
      <c r="P1123" s="159">
        <f t="shared" si="193"/>
        <v>2017</v>
      </c>
      <c r="Q1123" s="159">
        <f t="shared" si="194"/>
        <v>4</v>
      </c>
      <c r="R1123" s="160">
        <f t="shared" si="195"/>
        <v>4.1666666666278616</v>
      </c>
      <c r="S1123" s="158">
        <f t="shared" si="196"/>
        <v>0.40064102563729437</v>
      </c>
      <c r="T1123" s="161">
        <f t="shared" si="197"/>
        <v>191.1057692289894</v>
      </c>
      <c r="U1123" s="158">
        <f t="shared" si="198"/>
        <v>45.865384615384613</v>
      </c>
      <c r="V1123" s="160">
        <f t="shared" si="199"/>
        <v>46</v>
      </c>
    </row>
    <row r="1124" spans="1:22" x14ac:dyDescent="0.25">
      <c r="A1124" s="98" t="s">
        <v>26</v>
      </c>
      <c r="B1124" s="98" t="s">
        <v>17</v>
      </c>
      <c r="C1124" s="98">
        <v>18</v>
      </c>
      <c r="D1124" s="98">
        <v>250</v>
      </c>
      <c r="E1124" s="157">
        <v>42855.315972222219</v>
      </c>
      <c r="F1124" s="157">
        <v>42855.422222222223</v>
      </c>
      <c r="G1124" s="98">
        <v>450</v>
      </c>
      <c r="H1124" s="98">
        <v>520</v>
      </c>
      <c r="I1124" s="98">
        <v>477</v>
      </c>
      <c r="J1124" s="98" t="s">
        <v>1978</v>
      </c>
      <c r="K1124" s="98" t="s">
        <v>4113</v>
      </c>
      <c r="L1124" s="105" t="str">
        <f t="shared" si="190"/>
        <v>Ghent</v>
      </c>
      <c r="M1124" s="105" t="str">
        <f t="shared" si="191"/>
        <v>Derate</v>
      </c>
      <c r="N1124" s="105" t="str">
        <f t="shared" si="192"/>
        <v>Coal</v>
      </c>
      <c r="O1124" s="105">
        <f>IFERROR(VLOOKUP(A1124,Lookup!$J$5:$P$19,7,FALSE),0)</f>
        <v>3</v>
      </c>
      <c r="P1124" s="159">
        <f t="shared" si="193"/>
        <v>2017</v>
      </c>
      <c r="Q1124" s="159">
        <f t="shared" si="194"/>
        <v>4</v>
      </c>
      <c r="R1124" s="160">
        <f t="shared" si="195"/>
        <v>2.5500000001047738</v>
      </c>
      <c r="S1124" s="158">
        <f t="shared" si="196"/>
        <v>0.34326923078333493</v>
      </c>
      <c r="T1124" s="161">
        <f t="shared" si="197"/>
        <v>163.73942308365076</v>
      </c>
      <c r="U1124" s="158">
        <f t="shared" si="198"/>
        <v>64.211538461538467</v>
      </c>
      <c r="V1124" s="160">
        <f t="shared" si="199"/>
        <v>64</v>
      </c>
    </row>
    <row r="1125" spans="1:22" x14ac:dyDescent="0.25">
      <c r="A1125" s="98" t="s">
        <v>26</v>
      </c>
      <c r="B1125" s="98" t="s">
        <v>20</v>
      </c>
      <c r="C1125" s="98">
        <v>19</v>
      </c>
      <c r="D1125" s="98">
        <v>3246</v>
      </c>
      <c r="E1125" s="157">
        <v>42875.927083333336</v>
      </c>
      <c r="F1125" s="157">
        <v>42876.724999999999</v>
      </c>
      <c r="G1125" s="98">
        <v>0</v>
      </c>
      <c r="H1125" s="98">
        <v>520</v>
      </c>
      <c r="I1125" s="98">
        <v>477</v>
      </c>
      <c r="J1125" s="98" t="s">
        <v>4114</v>
      </c>
      <c r="K1125" s="98" t="s">
        <v>4115</v>
      </c>
      <c r="L1125" s="105" t="str">
        <f t="shared" si="190"/>
        <v>Ghent</v>
      </c>
      <c r="M1125" s="105" t="str">
        <f t="shared" si="191"/>
        <v>Maintenance</v>
      </c>
      <c r="N1125" s="105" t="str">
        <f t="shared" si="192"/>
        <v>Coal</v>
      </c>
      <c r="O1125" s="105">
        <f>IFERROR(VLOOKUP(A1125,Lookup!$J$5:$P$19,7,FALSE),0)</f>
        <v>3</v>
      </c>
      <c r="P1125" s="159">
        <f t="shared" si="193"/>
        <v>2017</v>
      </c>
      <c r="Q1125" s="159">
        <f t="shared" si="194"/>
        <v>5</v>
      </c>
      <c r="R1125" s="160">
        <f t="shared" si="195"/>
        <v>19.149999999906868</v>
      </c>
      <c r="S1125" s="158">
        <f t="shared" si="196"/>
        <v>19.149999999906868</v>
      </c>
      <c r="T1125" s="161">
        <f t="shared" si="197"/>
        <v>9134.5499999555759</v>
      </c>
      <c r="U1125" s="158">
        <f t="shared" si="198"/>
        <v>477</v>
      </c>
      <c r="V1125" s="160">
        <f t="shared" si="199"/>
        <v>477</v>
      </c>
    </row>
    <row r="1126" spans="1:22" x14ac:dyDescent="0.25">
      <c r="A1126" s="98" t="s">
        <v>26</v>
      </c>
      <c r="B1126" s="98" t="s">
        <v>32</v>
      </c>
      <c r="C1126" s="98">
        <v>21</v>
      </c>
      <c r="D1126" s="98">
        <v>250</v>
      </c>
      <c r="E1126" s="157">
        <v>42893.14166666667</v>
      </c>
      <c r="F1126" s="157">
        <v>42893.199305555558</v>
      </c>
      <c r="G1126" s="98">
        <v>460</v>
      </c>
      <c r="H1126" s="98">
        <v>520</v>
      </c>
      <c r="I1126" s="98">
        <v>477</v>
      </c>
      <c r="J1126" s="98" t="s">
        <v>1978</v>
      </c>
      <c r="K1126" s="98" t="s">
        <v>4116</v>
      </c>
      <c r="L1126" s="105" t="str">
        <f t="shared" si="190"/>
        <v>Ghent</v>
      </c>
      <c r="M1126" s="105" t="str">
        <f t="shared" si="191"/>
        <v>Derate</v>
      </c>
      <c r="N1126" s="105" t="str">
        <f t="shared" si="192"/>
        <v>Coal</v>
      </c>
      <c r="O1126" s="105">
        <f>IFERROR(VLOOKUP(A1126,Lookup!$J$5:$P$19,7,FALSE),0)</f>
        <v>3</v>
      </c>
      <c r="P1126" s="159">
        <f t="shared" si="193"/>
        <v>2017</v>
      </c>
      <c r="Q1126" s="159">
        <f t="shared" si="194"/>
        <v>6</v>
      </c>
      <c r="R1126" s="160">
        <f t="shared" si="195"/>
        <v>1.3833333333022892</v>
      </c>
      <c r="S1126" s="158">
        <f t="shared" si="196"/>
        <v>0.15961538461180261</v>
      </c>
      <c r="T1126" s="161">
        <f t="shared" si="197"/>
        <v>76.13653845982985</v>
      </c>
      <c r="U1126" s="158">
        <f t="shared" si="198"/>
        <v>55.03846153846154</v>
      </c>
      <c r="V1126" s="160">
        <f t="shared" si="199"/>
        <v>55</v>
      </c>
    </row>
    <row r="1127" spans="1:22" x14ac:dyDescent="0.25">
      <c r="A1127" s="98" t="s">
        <v>26</v>
      </c>
      <c r="B1127" s="98" t="s">
        <v>20</v>
      </c>
      <c r="C1127" s="98">
        <v>20</v>
      </c>
      <c r="D1127" s="98">
        <v>3110</v>
      </c>
      <c r="E1127" s="157">
        <v>42896.386111111111</v>
      </c>
      <c r="F1127" s="157">
        <v>42897.261111111111</v>
      </c>
      <c r="G1127" s="98">
        <v>0</v>
      </c>
      <c r="H1127" s="98">
        <v>520</v>
      </c>
      <c r="I1127" s="98">
        <v>477</v>
      </c>
      <c r="J1127" s="98" t="s">
        <v>2119</v>
      </c>
      <c r="K1127" s="98" t="s">
        <v>4117</v>
      </c>
      <c r="L1127" s="105" t="str">
        <f t="shared" ref="L1127:L1190" si="200">IF(OR(A1127="BR1",A1127="BR2",A1127="BR3",A1127="BR5",A1127="BR6",A1127="BR7",A1127="BR8",A1127="BR9",A1127="BR10",A1127="BR11"),"Brown",IF(OR(A1127="CR4",A1127="CR5",A1127="CR6",A1127="CR11"),"Cane Run",IF(OR(A1127="GH1",A1127="GH2",A1127="GH3",A1127="GH4"),"Ghent",IF(OR(A1127="GR3",A1127="GR4"),"Green River",IF(OR(A1127="MC1",A1127="MC2",A1127="MC3",A1127="MC4"),"Mill Creek",IF(OR(A1127="TC1",A1127="TC2",A1127="TC5",A1127="TC6",A1127="TC7",A1127="TC8",A1127="TC9",A1127="TC10"),"Trimble",IF(A1127="TY3","Tyrone",IF(OR(A1127="HA1",A1127="HA2",A1127="HA3"),"Haeflin",IF(OR(A1127="PR11",A1127="PR12",A1127="PR13"),"Paddy's Run","Zorn")))))))))</f>
        <v>Ghent</v>
      </c>
      <c r="M1127" s="105" t="str">
        <f t="shared" ref="M1127:M1190" si="201">IF(OR(B1127="D1",B1127="D2",B1127="D3",B1127="D4",B1127="PD"),"Derate",IF(OR(B1127="SF",B1127="U1",B1127="U2",B1127="U3"),"Outage",IF(OR(B1127="ME",B1127="MO"),"Maintenance","Other")))</f>
        <v>Maintenance</v>
      </c>
      <c r="N1127" s="105" t="str">
        <f t="shared" ref="N1127:N1190" si="202">IF(OR(A1127="BR1",A1127="BR2",A1127="BR3",A1127="CR4",A1127="CR5",A1127="CR6",A1127="GH1",A1127="GH2",A1127="GH3",A1127="GH4",A1127="GR3",A1127="GR4",A1127="MC1",A1127="MC2",A1127="MC3",A1127="MC4",A1127="TC1",A1127="TC2",A1127="TY3"),"Coal","Gas")</f>
        <v>Coal</v>
      </c>
      <c r="O1127" s="105">
        <f>IFERROR(VLOOKUP(A1127,Lookup!$J$5:$P$19,7,FALSE),0)</f>
        <v>3</v>
      </c>
      <c r="P1127" s="159">
        <f t="shared" ref="P1127:P1190" si="203">YEAR(E1127)</f>
        <v>2017</v>
      </c>
      <c r="Q1127" s="159">
        <f t="shared" ref="Q1127:Q1190" si="204">MONTH(E1127)</f>
        <v>6</v>
      </c>
      <c r="R1127" s="160">
        <f t="shared" ref="R1127:R1190" si="205">(F1127-E1127)*24</f>
        <v>21</v>
      </c>
      <c r="S1127" s="158">
        <f t="shared" ref="S1127:S1190" si="206">R1127*(H1127-G1127)/H1127</f>
        <v>21</v>
      </c>
      <c r="T1127" s="161">
        <f t="shared" ref="T1127:T1190" si="207">S1127*I1127</f>
        <v>10017</v>
      </c>
      <c r="U1127" s="158">
        <f t="shared" ref="U1127:U1190" si="208">IF(G1127&gt;0,MAX((H1127-G1127),0)*I1127/H1127,I1127)</f>
        <v>477</v>
      </c>
      <c r="V1127" s="160">
        <f t="shared" ref="V1127:V1190" si="209">ROUND(U1127,0)</f>
        <v>477</v>
      </c>
    </row>
    <row r="1128" spans="1:22" x14ac:dyDescent="0.25">
      <c r="A1128" s="98" t="s">
        <v>26</v>
      </c>
      <c r="B1128" s="98" t="s">
        <v>15</v>
      </c>
      <c r="C1128" s="98">
        <v>22</v>
      </c>
      <c r="D1128" s="98">
        <v>1080</v>
      </c>
      <c r="E1128" s="157">
        <v>42900.92083333333</v>
      </c>
      <c r="F1128" s="157">
        <v>42904.186805555553</v>
      </c>
      <c r="G1128" s="98">
        <v>0</v>
      </c>
      <c r="H1128" s="98">
        <v>520</v>
      </c>
      <c r="I1128" s="98">
        <v>477</v>
      </c>
      <c r="J1128" s="98" t="s">
        <v>1991</v>
      </c>
      <c r="K1128" s="98" t="s">
        <v>4118</v>
      </c>
      <c r="L1128" s="105" t="str">
        <f t="shared" si="200"/>
        <v>Ghent</v>
      </c>
      <c r="M1128" s="105" t="str">
        <f t="shared" si="201"/>
        <v>Outage</v>
      </c>
      <c r="N1128" s="105" t="str">
        <f t="shared" si="202"/>
        <v>Coal</v>
      </c>
      <c r="O1128" s="105">
        <f>IFERROR(VLOOKUP(A1128,Lookup!$J$5:$P$19,7,FALSE),0)</f>
        <v>3</v>
      </c>
      <c r="P1128" s="159">
        <f t="shared" si="203"/>
        <v>2017</v>
      </c>
      <c r="Q1128" s="159">
        <f t="shared" si="204"/>
        <v>6</v>
      </c>
      <c r="R1128" s="160">
        <f t="shared" si="205"/>
        <v>78.383333333360497</v>
      </c>
      <c r="S1128" s="158">
        <f t="shared" si="206"/>
        <v>78.383333333360497</v>
      </c>
      <c r="T1128" s="161">
        <f t="shared" si="207"/>
        <v>37388.850000012957</v>
      </c>
      <c r="U1128" s="158">
        <f t="shared" si="208"/>
        <v>477</v>
      </c>
      <c r="V1128" s="160">
        <f t="shared" si="209"/>
        <v>477</v>
      </c>
    </row>
    <row r="1129" spans="1:22" x14ac:dyDescent="0.25">
      <c r="A1129" s="98" t="s">
        <v>26</v>
      </c>
      <c r="B1129" s="98" t="s">
        <v>20</v>
      </c>
      <c r="C1129" s="98">
        <v>23</v>
      </c>
      <c r="D1129" s="98">
        <v>1060</v>
      </c>
      <c r="E1129" s="157">
        <v>42923.938194444447</v>
      </c>
      <c r="F1129" s="157">
        <v>42926</v>
      </c>
      <c r="G1129" s="98">
        <v>0</v>
      </c>
      <c r="H1129" s="98">
        <v>520</v>
      </c>
      <c r="I1129" s="98">
        <v>477</v>
      </c>
      <c r="J1129" s="98" t="s">
        <v>2179</v>
      </c>
      <c r="K1129" s="98" t="s">
        <v>4625</v>
      </c>
      <c r="L1129" s="105" t="str">
        <f t="shared" si="200"/>
        <v>Ghent</v>
      </c>
      <c r="M1129" s="105" t="str">
        <f t="shared" si="201"/>
        <v>Maintenance</v>
      </c>
      <c r="N1129" s="105" t="str">
        <f t="shared" si="202"/>
        <v>Coal</v>
      </c>
      <c r="O1129" s="105">
        <f>IFERROR(VLOOKUP(A1129,Lookup!$J$5:$P$19,7,FALSE),0)</f>
        <v>3</v>
      </c>
      <c r="P1129" s="159">
        <f t="shared" si="203"/>
        <v>2017</v>
      </c>
      <c r="Q1129" s="159">
        <f t="shared" si="204"/>
        <v>7</v>
      </c>
      <c r="R1129" s="160">
        <f t="shared" si="205"/>
        <v>49.483333333279006</v>
      </c>
      <c r="S1129" s="158">
        <f t="shared" si="206"/>
        <v>49.483333333279006</v>
      </c>
      <c r="T1129" s="161">
        <f t="shared" si="207"/>
        <v>23603.549999974086</v>
      </c>
      <c r="U1129" s="158">
        <f t="shared" si="208"/>
        <v>477</v>
      </c>
      <c r="V1129" s="160">
        <f t="shared" si="209"/>
        <v>477</v>
      </c>
    </row>
    <row r="1130" spans="1:22" x14ac:dyDescent="0.25">
      <c r="A1130" s="98" t="s">
        <v>26</v>
      </c>
      <c r="B1130" s="98" t="s">
        <v>83</v>
      </c>
      <c r="C1130" s="98">
        <v>25</v>
      </c>
      <c r="D1130" s="98">
        <v>1060</v>
      </c>
      <c r="E1130" s="157">
        <v>42926</v>
      </c>
      <c r="F1130" s="157">
        <v>42926.361111111109</v>
      </c>
      <c r="G1130" s="98">
        <v>0</v>
      </c>
      <c r="H1130" s="98">
        <v>520</v>
      </c>
      <c r="I1130" s="98">
        <v>477</v>
      </c>
      <c r="J1130" s="98" t="s">
        <v>2179</v>
      </c>
      <c r="K1130" s="98" t="s">
        <v>4626</v>
      </c>
      <c r="L1130" s="105" t="str">
        <f t="shared" si="200"/>
        <v>Ghent</v>
      </c>
      <c r="M1130" s="105" t="str">
        <f t="shared" si="201"/>
        <v>Maintenance</v>
      </c>
      <c r="N1130" s="105" t="str">
        <f t="shared" si="202"/>
        <v>Coal</v>
      </c>
      <c r="O1130" s="105">
        <f>IFERROR(VLOOKUP(A1130,Lookup!$J$5:$P$19,7,FALSE),0)</f>
        <v>3</v>
      </c>
      <c r="P1130" s="159">
        <f t="shared" si="203"/>
        <v>2017</v>
      </c>
      <c r="Q1130" s="159">
        <f t="shared" si="204"/>
        <v>7</v>
      </c>
      <c r="R1130" s="160">
        <f t="shared" si="205"/>
        <v>8.6666666666278616</v>
      </c>
      <c r="S1130" s="158">
        <f t="shared" si="206"/>
        <v>8.6666666666278616</v>
      </c>
      <c r="T1130" s="161">
        <f t="shared" si="207"/>
        <v>4133.99999998149</v>
      </c>
      <c r="U1130" s="158">
        <f t="shared" si="208"/>
        <v>477</v>
      </c>
      <c r="V1130" s="160">
        <f t="shared" si="209"/>
        <v>477</v>
      </c>
    </row>
    <row r="1131" spans="1:22" x14ac:dyDescent="0.25">
      <c r="A1131" s="98" t="s">
        <v>26</v>
      </c>
      <c r="B1131" s="98" t="s">
        <v>17</v>
      </c>
      <c r="C1131" s="98">
        <v>24</v>
      </c>
      <c r="D1131" s="98">
        <v>3341</v>
      </c>
      <c r="E1131" s="157">
        <v>42926.660416666666</v>
      </c>
      <c r="F1131" s="157">
        <v>42929.324999999997</v>
      </c>
      <c r="G1131" s="98">
        <v>460</v>
      </c>
      <c r="H1131" s="98">
        <v>520</v>
      </c>
      <c r="I1131" s="98">
        <v>477</v>
      </c>
      <c r="J1131" s="98" t="s">
        <v>2104</v>
      </c>
      <c r="K1131" s="98" t="s">
        <v>4627</v>
      </c>
      <c r="L1131" s="105" t="str">
        <f t="shared" si="200"/>
        <v>Ghent</v>
      </c>
      <c r="M1131" s="105" t="str">
        <f t="shared" si="201"/>
        <v>Derate</v>
      </c>
      <c r="N1131" s="105" t="str">
        <f t="shared" si="202"/>
        <v>Coal</v>
      </c>
      <c r="O1131" s="105">
        <f>IFERROR(VLOOKUP(A1131,Lookup!$J$5:$P$19,7,FALSE),0)</f>
        <v>3</v>
      </c>
      <c r="P1131" s="159">
        <f t="shared" si="203"/>
        <v>2017</v>
      </c>
      <c r="Q1131" s="159">
        <f t="shared" si="204"/>
        <v>7</v>
      </c>
      <c r="R1131" s="160">
        <f t="shared" si="205"/>
        <v>63.949999999953434</v>
      </c>
      <c r="S1131" s="158">
        <f t="shared" si="206"/>
        <v>7.3788461538407812</v>
      </c>
      <c r="T1131" s="161">
        <f t="shared" si="207"/>
        <v>3519.7096153820526</v>
      </c>
      <c r="U1131" s="158">
        <f t="shared" si="208"/>
        <v>55.03846153846154</v>
      </c>
      <c r="V1131" s="160">
        <f t="shared" si="209"/>
        <v>55</v>
      </c>
    </row>
    <row r="1132" spans="1:22" x14ac:dyDescent="0.25">
      <c r="A1132" s="98" t="s">
        <v>26</v>
      </c>
      <c r="B1132" s="98" t="s">
        <v>32</v>
      </c>
      <c r="C1132" s="98">
        <v>26</v>
      </c>
      <c r="D1132" s="98">
        <v>340</v>
      </c>
      <c r="E1132" s="157">
        <v>42951.208333333336</v>
      </c>
      <c r="F1132" s="157">
        <v>42951.375</v>
      </c>
      <c r="G1132" s="98">
        <v>450</v>
      </c>
      <c r="H1132" s="98">
        <v>520</v>
      </c>
      <c r="I1132" s="98">
        <v>477</v>
      </c>
      <c r="J1132" s="98" t="s">
        <v>1970</v>
      </c>
      <c r="K1132" s="98" t="s">
        <v>4628</v>
      </c>
      <c r="L1132" s="105" t="str">
        <f t="shared" si="200"/>
        <v>Ghent</v>
      </c>
      <c r="M1132" s="105" t="str">
        <f t="shared" si="201"/>
        <v>Derate</v>
      </c>
      <c r="N1132" s="105" t="str">
        <f t="shared" si="202"/>
        <v>Coal</v>
      </c>
      <c r="O1132" s="105">
        <f>IFERROR(VLOOKUP(A1132,Lookup!$J$5:$P$19,7,FALSE),0)</f>
        <v>3</v>
      </c>
      <c r="P1132" s="159">
        <f t="shared" si="203"/>
        <v>2017</v>
      </c>
      <c r="Q1132" s="159">
        <f t="shared" si="204"/>
        <v>8</v>
      </c>
      <c r="R1132" s="160">
        <f t="shared" si="205"/>
        <v>3.9999999999417923</v>
      </c>
      <c r="S1132" s="158">
        <f t="shared" si="206"/>
        <v>0.53846153845370281</v>
      </c>
      <c r="T1132" s="161">
        <f t="shared" si="207"/>
        <v>256.84615384241624</v>
      </c>
      <c r="U1132" s="158">
        <f t="shared" si="208"/>
        <v>64.211538461538467</v>
      </c>
      <c r="V1132" s="160">
        <f t="shared" si="209"/>
        <v>64</v>
      </c>
    </row>
    <row r="1133" spans="1:22" x14ac:dyDescent="0.25">
      <c r="A1133" s="98" t="s">
        <v>26</v>
      </c>
      <c r="B1133" s="98" t="s">
        <v>32</v>
      </c>
      <c r="C1133" s="98">
        <v>27</v>
      </c>
      <c r="D1133" s="98">
        <v>250</v>
      </c>
      <c r="E1133" s="157">
        <v>42954.907638888886</v>
      </c>
      <c r="F1133" s="157">
        <v>42955.143055555556</v>
      </c>
      <c r="G1133" s="98">
        <v>460</v>
      </c>
      <c r="H1133" s="98">
        <v>520</v>
      </c>
      <c r="I1133" s="98">
        <v>477</v>
      </c>
      <c r="J1133" s="98" t="s">
        <v>1978</v>
      </c>
      <c r="K1133" s="98" t="s">
        <v>4629</v>
      </c>
      <c r="L1133" s="105" t="str">
        <f t="shared" si="200"/>
        <v>Ghent</v>
      </c>
      <c r="M1133" s="105" t="str">
        <f t="shared" si="201"/>
        <v>Derate</v>
      </c>
      <c r="N1133" s="105" t="str">
        <f t="shared" si="202"/>
        <v>Coal</v>
      </c>
      <c r="O1133" s="105">
        <f>IFERROR(VLOOKUP(A1133,Lookup!$J$5:$P$19,7,FALSE),0)</f>
        <v>3</v>
      </c>
      <c r="P1133" s="159">
        <f t="shared" si="203"/>
        <v>2017</v>
      </c>
      <c r="Q1133" s="159">
        <f t="shared" si="204"/>
        <v>8</v>
      </c>
      <c r="R1133" s="160">
        <f t="shared" si="205"/>
        <v>5.6500000000814907</v>
      </c>
      <c r="S1133" s="158">
        <f t="shared" si="206"/>
        <v>0.65192307693247975</v>
      </c>
      <c r="T1133" s="161">
        <f t="shared" si="207"/>
        <v>310.96730769679283</v>
      </c>
      <c r="U1133" s="158">
        <f t="shared" si="208"/>
        <v>55.03846153846154</v>
      </c>
      <c r="V1133" s="160">
        <f t="shared" si="209"/>
        <v>55</v>
      </c>
    </row>
    <row r="1134" spans="1:22" x14ac:dyDescent="0.25">
      <c r="A1134" s="98" t="s">
        <v>26</v>
      </c>
      <c r="B1134" s="98" t="s">
        <v>32</v>
      </c>
      <c r="C1134" s="98">
        <v>28</v>
      </c>
      <c r="D1134" s="98">
        <v>340</v>
      </c>
      <c r="E1134" s="157">
        <v>42957.929166666669</v>
      </c>
      <c r="F1134" s="157">
        <v>42957.997916666667</v>
      </c>
      <c r="G1134" s="98">
        <v>450</v>
      </c>
      <c r="H1134" s="98">
        <v>520</v>
      </c>
      <c r="I1134" s="98">
        <v>477</v>
      </c>
      <c r="J1134" s="98" t="s">
        <v>1970</v>
      </c>
      <c r="K1134" s="98" t="s">
        <v>4630</v>
      </c>
      <c r="L1134" s="105" t="str">
        <f t="shared" si="200"/>
        <v>Ghent</v>
      </c>
      <c r="M1134" s="105" t="str">
        <f t="shared" si="201"/>
        <v>Derate</v>
      </c>
      <c r="N1134" s="105" t="str">
        <f t="shared" si="202"/>
        <v>Coal</v>
      </c>
      <c r="O1134" s="105">
        <f>IFERROR(VLOOKUP(A1134,Lookup!$J$5:$P$19,7,FALSE),0)</f>
        <v>3</v>
      </c>
      <c r="P1134" s="159">
        <f t="shared" si="203"/>
        <v>2017</v>
      </c>
      <c r="Q1134" s="159">
        <f t="shared" si="204"/>
        <v>8</v>
      </c>
      <c r="R1134" s="160">
        <f t="shared" si="205"/>
        <v>1.6499999999650754</v>
      </c>
      <c r="S1134" s="158">
        <f t="shared" si="206"/>
        <v>0.22211538461068323</v>
      </c>
      <c r="T1134" s="161">
        <f t="shared" si="207"/>
        <v>105.94903845929589</v>
      </c>
      <c r="U1134" s="158">
        <f t="shared" si="208"/>
        <v>64.211538461538467</v>
      </c>
      <c r="V1134" s="160">
        <f t="shared" si="209"/>
        <v>64</v>
      </c>
    </row>
    <row r="1135" spans="1:22" x14ac:dyDescent="0.25">
      <c r="A1135" s="98" t="s">
        <v>26</v>
      </c>
      <c r="B1135" s="98" t="s">
        <v>32</v>
      </c>
      <c r="C1135" s="98">
        <v>29</v>
      </c>
      <c r="D1135" s="98">
        <v>344</v>
      </c>
      <c r="E1135" s="157">
        <v>42961.916666666664</v>
      </c>
      <c r="F1135" s="157">
        <v>42962.167361111111</v>
      </c>
      <c r="G1135" s="98">
        <v>460</v>
      </c>
      <c r="H1135" s="98">
        <v>520</v>
      </c>
      <c r="I1135" s="98">
        <v>477</v>
      </c>
      <c r="J1135" s="98" t="s">
        <v>1968</v>
      </c>
      <c r="K1135" s="98" t="s">
        <v>4631</v>
      </c>
      <c r="L1135" s="105" t="str">
        <f t="shared" si="200"/>
        <v>Ghent</v>
      </c>
      <c r="M1135" s="105" t="str">
        <f t="shared" si="201"/>
        <v>Derate</v>
      </c>
      <c r="N1135" s="105" t="str">
        <f t="shared" si="202"/>
        <v>Coal</v>
      </c>
      <c r="O1135" s="105">
        <f>IFERROR(VLOOKUP(A1135,Lookup!$J$5:$P$19,7,FALSE),0)</f>
        <v>3</v>
      </c>
      <c r="P1135" s="159">
        <f t="shared" si="203"/>
        <v>2017</v>
      </c>
      <c r="Q1135" s="159">
        <f t="shared" si="204"/>
        <v>8</v>
      </c>
      <c r="R1135" s="160">
        <f t="shared" si="205"/>
        <v>6.0166666667209938</v>
      </c>
      <c r="S1135" s="158">
        <f t="shared" si="206"/>
        <v>0.69423076923703775</v>
      </c>
      <c r="T1135" s="161">
        <f t="shared" si="207"/>
        <v>331.14807692606701</v>
      </c>
      <c r="U1135" s="158">
        <f t="shared" si="208"/>
        <v>55.03846153846154</v>
      </c>
      <c r="V1135" s="160">
        <f t="shared" si="209"/>
        <v>55</v>
      </c>
    </row>
    <row r="1136" spans="1:22" x14ac:dyDescent="0.25">
      <c r="A1136" s="98" t="s">
        <v>26</v>
      </c>
      <c r="B1136" s="98" t="s">
        <v>17</v>
      </c>
      <c r="C1136" s="98">
        <v>31</v>
      </c>
      <c r="D1136" s="98">
        <v>250</v>
      </c>
      <c r="E1136" s="157">
        <v>42962.5</v>
      </c>
      <c r="F1136" s="157">
        <v>42962.69027777778</v>
      </c>
      <c r="G1136" s="98">
        <v>410</v>
      </c>
      <c r="H1136" s="98">
        <v>520</v>
      </c>
      <c r="I1136" s="98">
        <v>477</v>
      </c>
      <c r="J1136" s="98" t="s">
        <v>1978</v>
      </c>
      <c r="K1136" s="98" t="s">
        <v>4632</v>
      </c>
      <c r="L1136" s="105" t="str">
        <f t="shared" si="200"/>
        <v>Ghent</v>
      </c>
      <c r="M1136" s="105" t="str">
        <f t="shared" si="201"/>
        <v>Derate</v>
      </c>
      <c r="N1136" s="105" t="str">
        <f t="shared" si="202"/>
        <v>Coal</v>
      </c>
      <c r="O1136" s="105">
        <f>IFERROR(VLOOKUP(A1136,Lookup!$J$5:$P$19,7,FALSE),0)</f>
        <v>3</v>
      </c>
      <c r="P1136" s="159">
        <f t="shared" si="203"/>
        <v>2017</v>
      </c>
      <c r="Q1136" s="159">
        <f t="shared" si="204"/>
        <v>8</v>
      </c>
      <c r="R1136" s="160">
        <f t="shared" si="205"/>
        <v>4.5666666667093523</v>
      </c>
      <c r="S1136" s="158">
        <f t="shared" si="206"/>
        <v>0.9660256410346707</v>
      </c>
      <c r="T1136" s="161">
        <f t="shared" si="207"/>
        <v>460.79423077353795</v>
      </c>
      <c r="U1136" s="158">
        <f t="shared" si="208"/>
        <v>100.90384615384616</v>
      </c>
      <c r="V1136" s="160">
        <f t="shared" si="209"/>
        <v>101</v>
      </c>
    </row>
    <row r="1137" spans="1:22" x14ac:dyDescent="0.25">
      <c r="A1137" s="98" t="s">
        <v>26</v>
      </c>
      <c r="B1137" s="98" t="s">
        <v>17</v>
      </c>
      <c r="C1137" s="98">
        <v>32</v>
      </c>
      <c r="D1137" s="98">
        <v>340</v>
      </c>
      <c r="E1137" s="157">
        <v>42963.593055555553</v>
      </c>
      <c r="F1137" s="157">
        <v>42963.613194444442</v>
      </c>
      <c r="G1137" s="98">
        <v>480</v>
      </c>
      <c r="H1137" s="98">
        <v>520</v>
      </c>
      <c r="I1137" s="98">
        <v>477</v>
      </c>
      <c r="J1137" s="98" t="s">
        <v>1970</v>
      </c>
      <c r="K1137" s="98" t="s">
        <v>4633</v>
      </c>
      <c r="L1137" s="105" t="str">
        <f t="shared" si="200"/>
        <v>Ghent</v>
      </c>
      <c r="M1137" s="105" t="str">
        <f t="shared" si="201"/>
        <v>Derate</v>
      </c>
      <c r="N1137" s="105" t="str">
        <f t="shared" si="202"/>
        <v>Coal</v>
      </c>
      <c r="O1137" s="105">
        <f>IFERROR(VLOOKUP(A1137,Lookup!$J$5:$P$19,7,FALSE),0)</f>
        <v>3</v>
      </c>
      <c r="P1137" s="159">
        <f t="shared" si="203"/>
        <v>2017</v>
      </c>
      <c r="Q1137" s="159">
        <f t="shared" si="204"/>
        <v>8</v>
      </c>
      <c r="R1137" s="160">
        <f t="shared" si="205"/>
        <v>0.48333333333721384</v>
      </c>
      <c r="S1137" s="158">
        <f t="shared" si="206"/>
        <v>3.7179487179785684E-2</v>
      </c>
      <c r="T1137" s="161">
        <f t="shared" si="207"/>
        <v>17.73461538475777</v>
      </c>
      <c r="U1137" s="158">
        <f t="shared" si="208"/>
        <v>36.692307692307693</v>
      </c>
      <c r="V1137" s="160">
        <f t="shared" si="209"/>
        <v>37</v>
      </c>
    </row>
    <row r="1138" spans="1:22" x14ac:dyDescent="0.25">
      <c r="A1138" s="98" t="s">
        <v>26</v>
      </c>
      <c r="B1138" s="98" t="s">
        <v>17</v>
      </c>
      <c r="C1138" s="98">
        <v>33</v>
      </c>
      <c r="D1138" s="98">
        <v>340</v>
      </c>
      <c r="E1138" s="157">
        <v>42963.613194444442</v>
      </c>
      <c r="F1138" s="157">
        <v>42968.406944444447</v>
      </c>
      <c r="G1138" s="98">
        <v>500</v>
      </c>
      <c r="H1138" s="98">
        <v>520</v>
      </c>
      <c r="I1138" s="98">
        <v>477</v>
      </c>
      <c r="J1138" s="98" t="s">
        <v>1970</v>
      </c>
      <c r="K1138" s="98" t="s">
        <v>4634</v>
      </c>
      <c r="L1138" s="105" t="str">
        <f t="shared" si="200"/>
        <v>Ghent</v>
      </c>
      <c r="M1138" s="105" t="str">
        <f t="shared" si="201"/>
        <v>Derate</v>
      </c>
      <c r="N1138" s="105" t="str">
        <f t="shared" si="202"/>
        <v>Coal</v>
      </c>
      <c r="O1138" s="105">
        <f>IFERROR(VLOOKUP(A1138,Lookup!$J$5:$P$19,7,FALSE),0)</f>
        <v>3</v>
      </c>
      <c r="P1138" s="159">
        <f t="shared" si="203"/>
        <v>2017</v>
      </c>
      <c r="Q1138" s="159">
        <f t="shared" si="204"/>
        <v>8</v>
      </c>
      <c r="R1138" s="160">
        <f t="shared" si="205"/>
        <v>115.05000000010477</v>
      </c>
      <c r="S1138" s="158">
        <f t="shared" si="206"/>
        <v>4.4250000000040295</v>
      </c>
      <c r="T1138" s="161">
        <f t="shared" si="207"/>
        <v>2110.7250000019221</v>
      </c>
      <c r="U1138" s="158">
        <f t="shared" si="208"/>
        <v>18.346153846153847</v>
      </c>
      <c r="V1138" s="160">
        <f t="shared" si="209"/>
        <v>18</v>
      </c>
    </row>
    <row r="1139" spans="1:22" x14ac:dyDescent="0.25">
      <c r="A1139" s="98" t="s">
        <v>26</v>
      </c>
      <c r="B1139" s="98" t="s">
        <v>20</v>
      </c>
      <c r="C1139" s="98">
        <v>35</v>
      </c>
      <c r="D1139" s="98">
        <v>3110</v>
      </c>
      <c r="E1139" s="157">
        <v>42987.267361111109</v>
      </c>
      <c r="F1139" s="157">
        <v>42987.617361111108</v>
      </c>
      <c r="G1139" s="98">
        <v>0</v>
      </c>
      <c r="H1139" s="98">
        <v>520</v>
      </c>
      <c r="I1139" s="98">
        <v>477</v>
      </c>
      <c r="J1139" s="98" t="s">
        <v>2119</v>
      </c>
      <c r="K1139" s="98" t="s">
        <v>4635</v>
      </c>
      <c r="L1139" s="105" t="str">
        <f t="shared" si="200"/>
        <v>Ghent</v>
      </c>
      <c r="M1139" s="105" t="str">
        <f t="shared" si="201"/>
        <v>Maintenance</v>
      </c>
      <c r="N1139" s="105" t="str">
        <f t="shared" si="202"/>
        <v>Coal</v>
      </c>
      <c r="O1139" s="105">
        <f>IFERROR(VLOOKUP(A1139,Lookup!$J$5:$P$19,7,FALSE),0)</f>
        <v>3</v>
      </c>
      <c r="P1139" s="159">
        <f t="shared" si="203"/>
        <v>2017</v>
      </c>
      <c r="Q1139" s="159">
        <f t="shared" si="204"/>
        <v>9</v>
      </c>
      <c r="R1139" s="160">
        <f t="shared" si="205"/>
        <v>8.3999999999650754</v>
      </c>
      <c r="S1139" s="158">
        <f t="shared" si="206"/>
        <v>8.3999999999650754</v>
      </c>
      <c r="T1139" s="161">
        <f t="shared" si="207"/>
        <v>4006.799999983341</v>
      </c>
      <c r="U1139" s="158">
        <f t="shared" si="208"/>
        <v>477</v>
      </c>
      <c r="V1139" s="160">
        <f t="shared" si="209"/>
        <v>477</v>
      </c>
    </row>
    <row r="1140" spans="1:22" x14ac:dyDescent="0.25">
      <c r="A1140" s="98" t="s">
        <v>26</v>
      </c>
      <c r="B1140" s="98" t="s">
        <v>105</v>
      </c>
      <c r="C1140" s="98">
        <v>37</v>
      </c>
      <c r="D1140" s="98">
        <v>3412</v>
      </c>
      <c r="E1140" s="157">
        <v>42990.5</v>
      </c>
      <c r="F1140" s="157">
        <v>42991.5</v>
      </c>
      <c r="G1140" s="98">
        <v>350</v>
      </c>
      <c r="H1140" s="98">
        <v>520</v>
      </c>
      <c r="I1140" s="98">
        <v>477</v>
      </c>
      <c r="J1140" s="98" t="s">
        <v>2162</v>
      </c>
      <c r="K1140" s="98" t="s">
        <v>4636</v>
      </c>
      <c r="L1140" s="105" t="str">
        <f t="shared" si="200"/>
        <v>Ghent</v>
      </c>
      <c r="M1140" s="105" t="str">
        <f t="shared" si="201"/>
        <v>Derate</v>
      </c>
      <c r="N1140" s="105" t="str">
        <f t="shared" si="202"/>
        <v>Coal</v>
      </c>
      <c r="O1140" s="105">
        <f>IFERROR(VLOOKUP(A1140,Lookup!$J$5:$P$19,7,FALSE),0)</f>
        <v>3</v>
      </c>
      <c r="P1140" s="159">
        <f t="shared" si="203"/>
        <v>2017</v>
      </c>
      <c r="Q1140" s="159">
        <f t="shared" si="204"/>
        <v>9</v>
      </c>
      <c r="R1140" s="160">
        <f t="shared" si="205"/>
        <v>24</v>
      </c>
      <c r="S1140" s="158">
        <f t="shared" si="206"/>
        <v>7.8461538461538458</v>
      </c>
      <c r="T1140" s="161">
        <f t="shared" si="207"/>
        <v>3742.6153846153843</v>
      </c>
      <c r="U1140" s="158">
        <f t="shared" si="208"/>
        <v>155.94230769230768</v>
      </c>
      <c r="V1140" s="160">
        <f t="shared" si="209"/>
        <v>156</v>
      </c>
    </row>
    <row r="1141" spans="1:22" x14ac:dyDescent="0.25">
      <c r="A1141" s="98" t="s">
        <v>26</v>
      </c>
      <c r="B1141" s="98" t="s">
        <v>17</v>
      </c>
      <c r="C1141" s="98">
        <v>38</v>
      </c>
      <c r="D1141" s="98">
        <v>250</v>
      </c>
      <c r="E1141" s="157">
        <v>42993.75</v>
      </c>
      <c r="F1141" s="157">
        <v>42993.854861111111</v>
      </c>
      <c r="G1141" s="98">
        <v>465</v>
      </c>
      <c r="H1141" s="98">
        <v>520</v>
      </c>
      <c r="I1141" s="98">
        <v>477</v>
      </c>
      <c r="J1141" s="98" t="s">
        <v>1978</v>
      </c>
      <c r="K1141" s="98" t="s">
        <v>4637</v>
      </c>
      <c r="L1141" s="105" t="str">
        <f t="shared" si="200"/>
        <v>Ghent</v>
      </c>
      <c r="M1141" s="105" t="str">
        <f t="shared" si="201"/>
        <v>Derate</v>
      </c>
      <c r="N1141" s="105" t="str">
        <f t="shared" si="202"/>
        <v>Coal</v>
      </c>
      <c r="O1141" s="105">
        <f>IFERROR(VLOOKUP(A1141,Lookup!$J$5:$P$19,7,FALSE),0)</f>
        <v>3</v>
      </c>
      <c r="P1141" s="159">
        <f t="shared" si="203"/>
        <v>2017</v>
      </c>
      <c r="Q1141" s="159">
        <f t="shared" si="204"/>
        <v>9</v>
      </c>
      <c r="R1141" s="160">
        <f t="shared" si="205"/>
        <v>2.5166666666627862</v>
      </c>
      <c r="S1141" s="158">
        <f t="shared" si="206"/>
        <v>0.26618589743548698</v>
      </c>
      <c r="T1141" s="161">
        <f t="shared" si="207"/>
        <v>126.97067307672729</v>
      </c>
      <c r="U1141" s="158">
        <f t="shared" si="208"/>
        <v>50.45192307692308</v>
      </c>
      <c r="V1141" s="160">
        <f t="shared" si="209"/>
        <v>50</v>
      </c>
    </row>
    <row r="1142" spans="1:22" x14ac:dyDescent="0.25">
      <c r="A1142" s="98" t="s">
        <v>26</v>
      </c>
      <c r="B1142" s="98" t="s">
        <v>32</v>
      </c>
      <c r="C1142" s="98">
        <v>39</v>
      </c>
      <c r="D1142" s="98">
        <v>344</v>
      </c>
      <c r="E1142" s="157">
        <v>43004.980555555558</v>
      </c>
      <c r="F1142" s="157">
        <v>43005.015972222223</v>
      </c>
      <c r="G1142" s="98">
        <v>480</v>
      </c>
      <c r="H1142" s="98">
        <v>520</v>
      </c>
      <c r="I1142" s="98">
        <v>477</v>
      </c>
      <c r="J1142" s="98" t="s">
        <v>1968</v>
      </c>
      <c r="K1142" s="98" t="s">
        <v>4638</v>
      </c>
      <c r="L1142" s="105" t="str">
        <f t="shared" si="200"/>
        <v>Ghent</v>
      </c>
      <c r="M1142" s="105" t="str">
        <f t="shared" si="201"/>
        <v>Derate</v>
      </c>
      <c r="N1142" s="105" t="str">
        <f t="shared" si="202"/>
        <v>Coal</v>
      </c>
      <c r="O1142" s="105">
        <f>IFERROR(VLOOKUP(A1142,Lookup!$J$5:$P$19,7,FALSE),0)</f>
        <v>3</v>
      </c>
      <c r="P1142" s="159">
        <f t="shared" si="203"/>
        <v>2017</v>
      </c>
      <c r="Q1142" s="159">
        <f t="shared" si="204"/>
        <v>9</v>
      </c>
      <c r="R1142" s="160">
        <f t="shared" si="205"/>
        <v>0.84999999997671694</v>
      </c>
      <c r="S1142" s="158">
        <f t="shared" si="206"/>
        <v>6.5384615382824376E-2</v>
      </c>
      <c r="T1142" s="161">
        <f t="shared" si="207"/>
        <v>31.188461537607228</v>
      </c>
      <c r="U1142" s="158">
        <f t="shared" si="208"/>
        <v>36.692307692307693</v>
      </c>
      <c r="V1142" s="160">
        <f t="shared" si="209"/>
        <v>37</v>
      </c>
    </row>
    <row r="1143" spans="1:22" x14ac:dyDescent="0.25">
      <c r="A1143" s="98" t="s">
        <v>26</v>
      </c>
      <c r="B1143" s="98" t="s">
        <v>32</v>
      </c>
      <c r="C1143" s="98">
        <v>40</v>
      </c>
      <c r="D1143" s="98">
        <v>250</v>
      </c>
      <c r="E1143" s="157">
        <v>43019.958333333336</v>
      </c>
      <c r="F1143" s="157">
        <v>43020.166666666664</v>
      </c>
      <c r="G1143" s="98">
        <v>480</v>
      </c>
      <c r="H1143" s="98">
        <v>520</v>
      </c>
      <c r="I1143" s="98">
        <v>477</v>
      </c>
      <c r="J1143" s="98" t="s">
        <v>1978</v>
      </c>
      <c r="K1143" s="98" t="s">
        <v>4639</v>
      </c>
      <c r="L1143" s="105" t="str">
        <f t="shared" si="200"/>
        <v>Ghent</v>
      </c>
      <c r="M1143" s="105" t="str">
        <f t="shared" si="201"/>
        <v>Derate</v>
      </c>
      <c r="N1143" s="105" t="str">
        <f t="shared" si="202"/>
        <v>Coal</v>
      </c>
      <c r="O1143" s="105">
        <f>IFERROR(VLOOKUP(A1143,Lookup!$J$5:$P$19,7,FALSE),0)</f>
        <v>3</v>
      </c>
      <c r="P1143" s="159">
        <f t="shared" si="203"/>
        <v>2017</v>
      </c>
      <c r="Q1143" s="159">
        <f t="shared" si="204"/>
        <v>10</v>
      </c>
      <c r="R1143" s="160">
        <f t="shared" si="205"/>
        <v>4.9999999998835847</v>
      </c>
      <c r="S1143" s="158">
        <f t="shared" si="206"/>
        <v>0.38461538460642958</v>
      </c>
      <c r="T1143" s="161">
        <f t="shared" si="207"/>
        <v>183.4615384572669</v>
      </c>
      <c r="U1143" s="158">
        <f t="shared" si="208"/>
        <v>36.692307692307693</v>
      </c>
      <c r="V1143" s="160">
        <f t="shared" si="209"/>
        <v>37</v>
      </c>
    </row>
    <row r="1144" spans="1:22" x14ac:dyDescent="0.25">
      <c r="A1144" s="98" t="s">
        <v>26</v>
      </c>
      <c r="B1144" s="98" t="s">
        <v>17</v>
      </c>
      <c r="C1144" s="98">
        <v>42</v>
      </c>
      <c r="D1144" s="98">
        <v>250</v>
      </c>
      <c r="E1144" s="157">
        <v>43020.223611111112</v>
      </c>
      <c r="F1144" s="157">
        <v>43020.277777777781</v>
      </c>
      <c r="G1144" s="98">
        <v>480</v>
      </c>
      <c r="H1144" s="98">
        <v>520</v>
      </c>
      <c r="I1144" s="98">
        <v>477</v>
      </c>
      <c r="J1144" s="98" t="s">
        <v>1978</v>
      </c>
      <c r="K1144" s="98" t="s">
        <v>4640</v>
      </c>
      <c r="L1144" s="105" t="str">
        <f t="shared" si="200"/>
        <v>Ghent</v>
      </c>
      <c r="M1144" s="105" t="str">
        <f t="shared" si="201"/>
        <v>Derate</v>
      </c>
      <c r="N1144" s="105" t="str">
        <f t="shared" si="202"/>
        <v>Coal</v>
      </c>
      <c r="O1144" s="105">
        <f>IFERROR(VLOOKUP(A1144,Lookup!$J$5:$P$19,7,FALSE),0)</f>
        <v>3</v>
      </c>
      <c r="P1144" s="159">
        <f t="shared" si="203"/>
        <v>2017</v>
      </c>
      <c r="Q1144" s="159">
        <f t="shared" si="204"/>
        <v>10</v>
      </c>
      <c r="R1144" s="160">
        <f t="shared" si="205"/>
        <v>1.3000000000465661</v>
      </c>
      <c r="S1144" s="158">
        <f t="shared" si="206"/>
        <v>0.10000000000358202</v>
      </c>
      <c r="T1144" s="161">
        <f t="shared" si="207"/>
        <v>47.700000001708624</v>
      </c>
      <c r="U1144" s="158">
        <f t="shared" si="208"/>
        <v>36.692307692307693</v>
      </c>
      <c r="V1144" s="160">
        <f t="shared" si="209"/>
        <v>37</v>
      </c>
    </row>
    <row r="1145" spans="1:22" x14ac:dyDescent="0.25">
      <c r="A1145" s="98" t="s">
        <v>26</v>
      </c>
      <c r="B1145" s="98" t="s">
        <v>17</v>
      </c>
      <c r="C1145" s="98">
        <v>43</v>
      </c>
      <c r="D1145" s="98">
        <v>1401</v>
      </c>
      <c r="E1145" s="157">
        <v>43022.45</v>
      </c>
      <c r="F1145" s="157">
        <v>43022.525000000001</v>
      </c>
      <c r="G1145" s="98">
        <v>400</v>
      </c>
      <c r="H1145" s="98">
        <v>520</v>
      </c>
      <c r="I1145" s="98">
        <v>477</v>
      </c>
      <c r="J1145" s="98" t="s">
        <v>4641</v>
      </c>
      <c r="K1145" s="98" t="s">
        <v>4642</v>
      </c>
      <c r="L1145" s="105" t="str">
        <f t="shared" si="200"/>
        <v>Ghent</v>
      </c>
      <c r="M1145" s="105" t="str">
        <f t="shared" si="201"/>
        <v>Derate</v>
      </c>
      <c r="N1145" s="105" t="str">
        <f t="shared" si="202"/>
        <v>Coal</v>
      </c>
      <c r="O1145" s="105">
        <f>IFERROR(VLOOKUP(A1145,Lookup!$J$5:$P$19,7,FALSE),0)</f>
        <v>3</v>
      </c>
      <c r="P1145" s="159">
        <f t="shared" si="203"/>
        <v>2017</v>
      </c>
      <c r="Q1145" s="159">
        <f t="shared" si="204"/>
        <v>10</v>
      </c>
      <c r="R1145" s="160">
        <f t="shared" si="205"/>
        <v>1.8000000001047738</v>
      </c>
      <c r="S1145" s="158">
        <f t="shared" si="206"/>
        <v>0.41538461540879396</v>
      </c>
      <c r="T1145" s="161">
        <f t="shared" si="207"/>
        <v>198.13846154999473</v>
      </c>
      <c r="U1145" s="158">
        <f t="shared" si="208"/>
        <v>110.07692307692308</v>
      </c>
      <c r="V1145" s="160">
        <f t="shared" si="209"/>
        <v>110</v>
      </c>
    </row>
    <row r="1146" spans="1:22" x14ac:dyDescent="0.25">
      <c r="A1146" s="98" t="s">
        <v>26</v>
      </c>
      <c r="B1146" s="98" t="s">
        <v>15</v>
      </c>
      <c r="C1146" s="98">
        <v>44</v>
      </c>
      <c r="D1146" s="98">
        <v>1100</v>
      </c>
      <c r="E1146" s="157">
        <v>43026.95416666667</v>
      </c>
      <c r="F1146" s="157">
        <v>43027.912499999999</v>
      </c>
      <c r="G1146" s="98">
        <v>0</v>
      </c>
      <c r="H1146" s="98">
        <v>520</v>
      </c>
      <c r="I1146" s="98">
        <v>477</v>
      </c>
      <c r="J1146" s="98" t="s">
        <v>2038</v>
      </c>
      <c r="K1146" s="98" t="s">
        <v>4643</v>
      </c>
      <c r="L1146" s="105" t="str">
        <f t="shared" si="200"/>
        <v>Ghent</v>
      </c>
      <c r="M1146" s="105" t="str">
        <f t="shared" si="201"/>
        <v>Outage</v>
      </c>
      <c r="N1146" s="105" t="str">
        <f t="shared" si="202"/>
        <v>Coal</v>
      </c>
      <c r="O1146" s="105">
        <f>IFERROR(VLOOKUP(A1146,Lookup!$J$5:$P$19,7,FALSE),0)</f>
        <v>3</v>
      </c>
      <c r="P1146" s="159">
        <f t="shared" si="203"/>
        <v>2017</v>
      </c>
      <c r="Q1146" s="159">
        <f t="shared" si="204"/>
        <v>10</v>
      </c>
      <c r="R1146" s="160">
        <f t="shared" si="205"/>
        <v>22.999999999883585</v>
      </c>
      <c r="S1146" s="158">
        <f t="shared" si="206"/>
        <v>22.999999999883585</v>
      </c>
      <c r="T1146" s="161">
        <f t="shared" si="207"/>
        <v>10970.99999994447</v>
      </c>
      <c r="U1146" s="158">
        <f t="shared" si="208"/>
        <v>477</v>
      </c>
      <c r="V1146" s="160">
        <f t="shared" si="209"/>
        <v>477</v>
      </c>
    </row>
    <row r="1147" spans="1:22" x14ac:dyDescent="0.25">
      <c r="A1147" s="98" t="s">
        <v>26</v>
      </c>
      <c r="B1147" s="98" t="s">
        <v>17</v>
      </c>
      <c r="C1147" s="98">
        <v>45</v>
      </c>
      <c r="D1147" s="98">
        <v>920</v>
      </c>
      <c r="E1147" s="157">
        <v>43037.920138888891</v>
      </c>
      <c r="F1147" s="157">
        <v>43038.095833333333</v>
      </c>
      <c r="G1147" s="98">
        <v>240</v>
      </c>
      <c r="H1147" s="98">
        <v>520</v>
      </c>
      <c r="I1147" s="98">
        <v>477</v>
      </c>
      <c r="J1147" s="98" t="s">
        <v>1974</v>
      </c>
      <c r="K1147" s="98" t="s">
        <v>4644</v>
      </c>
      <c r="L1147" s="105" t="str">
        <f t="shared" si="200"/>
        <v>Ghent</v>
      </c>
      <c r="M1147" s="105" t="str">
        <f t="shared" si="201"/>
        <v>Derate</v>
      </c>
      <c r="N1147" s="105" t="str">
        <f t="shared" si="202"/>
        <v>Coal</v>
      </c>
      <c r="O1147" s="105">
        <f>IFERROR(VLOOKUP(A1147,Lookup!$J$5:$P$19,7,FALSE),0)</f>
        <v>3</v>
      </c>
      <c r="P1147" s="159">
        <f t="shared" si="203"/>
        <v>2017</v>
      </c>
      <c r="Q1147" s="159">
        <f t="shared" si="204"/>
        <v>10</v>
      </c>
      <c r="R1147" s="160">
        <f t="shared" si="205"/>
        <v>4.21666666661622</v>
      </c>
      <c r="S1147" s="158">
        <f t="shared" si="206"/>
        <v>2.2705128204856568</v>
      </c>
      <c r="T1147" s="161">
        <f t="shared" si="207"/>
        <v>1083.0346153716582</v>
      </c>
      <c r="U1147" s="158">
        <f t="shared" si="208"/>
        <v>256.84615384615387</v>
      </c>
      <c r="V1147" s="160">
        <f t="shared" si="209"/>
        <v>257</v>
      </c>
    </row>
    <row r="1148" spans="1:22" x14ac:dyDescent="0.25">
      <c r="A1148" s="98" t="s">
        <v>26</v>
      </c>
      <c r="B1148" s="98" t="s">
        <v>17</v>
      </c>
      <c r="C1148" s="98">
        <v>46</v>
      </c>
      <c r="D1148" s="98">
        <v>920</v>
      </c>
      <c r="E1148" s="157">
        <v>43053.947916666664</v>
      </c>
      <c r="F1148" s="157">
        <v>43054.724999999999</v>
      </c>
      <c r="G1148" s="98">
        <v>200</v>
      </c>
      <c r="H1148" s="98">
        <v>520</v>
      </c>
      <c r="I1148" s="98">
        <v>477</v>
      </c>
      <c r="J1148" s="98" t="s">
        <v>1974</v>
      </c>
      <c r="K1148" s="98" t="s">
        <v>4645</v>
      </c>
      <c r="L1148" s="105" t="str">
        <f t="shared" si="200"/>
        <v>Ghent</v>
      </c>
      <c r="M1148" s="105" t="str">
        <f t="shared" si="201"/>
        <v>Derate</v>
      </c>
      <c r="N1148" s="105" t="str">
        <f t="shared" si="202"/>
        <v>Coal</v>
      </c>
      <c r="O1148" s="105">
        <f>IFERROR(VLOOKUP(A1148,Lookup!$J$5:$P$19,7,FALSE),0)</f>
        <v>3</v>
      </c>
      <c r="P1148" s="159">
        <f t="shared" si="203"/>
        <v>2017</v>
      </c>
      <c r="Q1148" s="159">
        <f t="shared" si="204"/>
        <v>11</v>
      </c>
      <c r="R1148" s="160">
        <f t="shared" si="205"/>
        <v>18.650000000023283</v>
      </c>
      <c r="S1148" s="158">
        <f t="shared" si="206"/>
        <v>11.476923076937405</v>
      </c>
      <c r="T1148" s="161">
        <f t="shared" si="207"/>
        <v>5474.4923076991427</v>
      </c>
      <c r="U1148" s="158">
        <f t="shared" si="208"/>
        <v>293.53846153846155</v>
      </c>
      <c r="V1148" s="160">
        <f t="shared" si="209"/>
        <v>294</v>
      </c>
    </row>
    <row r="1149" spans="1:22" x14ac:dyDescent="0.25">
      <c r="A1149" s="98" t="s">
        <v>26</v>
      </c>
      <c r="B1149" s="98" t="s">
        <v>17</v>
      </c>
      <c r="C1149" s="98">
        <v>47</v>
      </c>
      <c r="D1149" s="98">
        <v>3410</v>
      </c>
      <c r="E1149" s="157">
        <v>43054.804861111108</v>
      </c>
      <c r="F1149" s="157">
        <v>43054.811805555553</v>
      </c>
      <c r="G1149" s="98">
        <v>350</v>
      </c>
      <c r="H1149" s="98">
        <v>520</v>
      </c>
      <c r="I1149" s="98">
        <v>477</v>
      </c>
      <c r="J1149" s="98" t="s">
        <v>1983</v>
      </c>
      <c r="K1149" s="98" t="s">
        <v>4646</v>
      </c>
      <c r="L1149" s="105" t="str">
        <f t="shared" si="200"/>
        <v>Ghent</v>
      </c>
      <c r="M1149" s="105" t="str">
        <f t="shared" si="201"/>
        <v>Derate</v>
      </c>
      <c r="N1149" s="105" t="str">
        <f t="shared" si="202"/>
        <v>Coal</v>
      </c>
      <c r="O1149" s="105">
        <f>IFERROR(VLOOKUP(A1149,Lookup!$J$5:$P$19,7,FALSE),0)</f>
        <v>3</v>
      </c>
      <c r="P1149" s="159">
        <f t="shared" si="203"/>
        <v>2017</v>
      </c>
      <c r="Q1149" s="159">
        <f t="shared" si="204"/>
        <v>11</v>
      </c>
      <c r="R1149" s="160">
        <f t="shared" si="205"/>
        <v>0.16666666668606922</v>
      </c>
      <c r="S1149" s="158">
        <f t="shared" si="206"/>
        <v>5.4487179493522629E-2</v>
      </c>
      <c r="T1149" s="161">
        <f t="shared" si="207"/>
        <v>25.990384618410292</v>
      </c>
      <c r="U1149" s="158">
        <f t="shared" si="208"/>
        <v>155.94230769230768</v>
      </c>
      <c r="V1149" s="160">
        <f t="shared" si="209"/>
        <v>156</v>
      </c>
    </row>
    <row r="1150" spans="1:22" x14ac:dyDescent="0.25">
      <c r="A1150" s="98" t="s">
        <v>26</v>
      </c>
      <c r="B1150" s="98" t="s">
        <v>17</v>
      </c>
      <c r="C1150" s="98">
        <v>48</v>
      </c>
      <c r="D1150" s="98">
        <v>250</v>
      </c>
      <c r="E1150" s="157">
        <v>43059.137499999997</v>
      </c>
      <c r="F1150" s="157">
        <v>43059.307638888888</v>
      </c>
      <c r="G1150" s="98">
        <v>460</v>
      </c>
      <c r="H1150" s="98">
        <v>520</v>
      </c>
      <c r="I1150" s="98">
        <v>477</v>
      </c>
      <c r="J1150" s="98" t="s">
        <v>1978</v>
      </c>
      <c r="K1150" s="98" t="s">
        <v>4647</v>
      </c>
      <c r="L1150" s="105" t="str">
        <f t="shared" si="200"/>
        <v>Ghent</v>
      </c>
      <c r="M1150" s="105" t="str">
        <f t="shared" si="201"/>
        <v>Derate</v>
      </c>
      <c r="N1150" s="105" t="str">
        <f t="shared" si="202"/>
        <v>Coal</v>
      </c>
      <c r="O1150" s="105">
        <f>IFERROR(VLOOKUP(A1150,Lookup!$J$5:$P$19,7,FALSE),0)</f>
        <v>3</v>
      </c>
      <c r="P1150" s="159">
        <f t="shared" si="203"/>
        <v>2017</v>
      </c>
      <c r="Q1150" s="159">
        <f t="shared" si="204"/>
        <v>11</v>
      </c>
      <c r="R1150" s="160">
        <f t="shared" si="205"/>
        <v>4.0833333333721384</v>
      </c>
      <c r="S1150" s="158">
        <f t="shared" si="206"/>
        <v>0.47115384615832367</v>
      </c>
      <c r="T1150" s="161">
        <f t="shared" si="207"/>
        <v>224.74038461752039</v>
      </c>
      <c r="U1150" s="158">
        <f t="shared" si="208"/>
        <v>55.03846153846154</v>
      </c>
      <c r="V1150" s="160">
        <f t="shared" si="209"/>
        <v>55</v>
      </c>
    </row>
    <row r="1151" spans="1:22" x14ac:dyDescent="0.25">
      <c r="A1151" s="98" t="s">
        <v>26</v>
      </c>
      <c r="B1151" s="98" t="s">
        <v>17</v>
      </c>
      <c r="C1151" s="98">
        <v>52</v>
      </c>
      <c r="D1151" s="98">
        <v>250</v>
      </c>
      <c r="E1151" s="157">
        <v>43059.879166666666</v>
      </c>
      <c r="F1151" s="157">
        <v>43059.961111111108</v>
      </c>
      <c r="G1151" s="98">
        <v>460</v>
      </c>
      <c r="H1151" s="98">
        <v>520</v>
      </c>
      <c r="I1151" s="98">
        <v>477</v>
      </c>
      <c r="J1151" s="98" t="s">
        <v>1978</v>
      </c>
      <c r="K1151" s="98" t="s">
        <v>4648</v>
      </c>
      <c r="L1151" s="105" t="str">
        <f t="shared" si="200"/>
        <v>Ghent</v>
      </c>
      <c r="M1151" s="105" t="str">
        <f t="shared" si="201"/>
        <v>Derate</v>
      </c>
      <c r="N1151" s="105" t="str">
        <f t="shared" si="202"/>
        <v>Coal</v>
      </c>
      <c r="O1151" s="105">
        <f>IFERROR(VLOOKUP(A1151,Lookup!$J$5:$P$19,7,FALSE),0)</f>
        <v>3</v>
      </c>
      <c r="P1151" s="159">
        <f t="shared" si="203"/>
        <v>2017</v>
      </c>
      <c r="Q1151" s="159">
        <f t="shared" si="204"/>
        <v>11</v>
      </c>
      <c r="R1151" s="160">
        <f t="shared" si="205"/>
        <v>1.96666666661622</v>
      </c>
      <c r="S1151" s="158">
        <f t="shared" si="206"/>
        <v>0.22692307691725616</v>
      </c>
      <c r="T1151" s="161">
        <f t="shared" si="207"/>
        <v>108.24230768953119</v>
      </c>
      <c r="U1151" s="158">
        <f t="shared" si="208"/>
        <v>55.03846153846154</v>
      </c>
      <c r="V1151" s="160">
        <f t="shared" si="209"/>
        <v>55</v>
      </c>
    </row>
    <row r="1152" spans="1:22" x14ac:dyDescent="0.25">
      <c r="A1152" s="98" t="s">
        <v>26</v>
      </c>
      <c r="B1152" s="98" t="s">
        <v>17</v>
      </c>
      <c r="C1152" s="98">
        <v>49</v>
      </c>
      <c r="D1152" s="98">
        <v>920</v>
      </c>
      <c r="E1152" s="157">
        <v>43061.333333333336</v>
      </c>
      <c r="F1152" s="157">
        <v>43061.453472222223</v>
      </c>
      <c r="G1152" s="98">
        <v>180</v>
      </c>
      <c r="H1152" s="98">
        <v>520</v>
      </c>
      <c r="I1152" s="98">
        <v>477</v>
      </c>
      <c r="J1152" s="98" t="s">
        <v>1974</v>
      </c>
      <c r="K1152" s="98" t="s">
        <v>4649</v>
      </c>
      <c r="L1152" s="105" t="str">
        <f t="shared" si="200"/>
        <v>Ghent</v>
      </c>
      <c r="M1152" s="105" t="str">
        <f t="shared" si="201"/>
        <v>Derate</v>
      </c>
      <c r="N1152" s="105" t="str">
        <f t="shared" si="202"/>
        <v>Coal</v>
      </c>
      <c r="O1152" s="105">
        <f>IFERROR(VLOOKUP(A1152,Lookup!$J$5:$P$19,7,FALSE),0)</f>
        <v>3</v>
      </c>
      <c r="P1152" s="159">
        <f t="shared" si="203"/>
        <v>2017</v>
      </c>
      <c r="Q1152" s="159">
        <f t="shared" si="204"/>
        <v>11</v>
      </c>
      <c r="R1152" s="160">
        <f t="shared" si="205"/>
        <v>2.8833333333022892</v>
      </c>
      <c r="S1152" s="158">
        <f t="shared" si="206"/>
        <v>1.8852564102361122</v>
      </c>
      <c r="T1152" s="161">
        <f t="shared" si="207"/>
        <v>899.26730768262553</v>
      </c>
      <c r="U1152" s="158">
        <f t="shared" si="208"/>
        <v>311.88461538461536</v>
      </c>
      <c r="V1152" s="160">
        <f t="shared" si="209"/>
        <v>312</v>
      </c>
    </row>
    <row r="1153" spans="1:22" x14ac:dyDescent="0.25">
      <c r="A1153" s="98" t="s">
        <v>26</v>
      </c>
      <c r="B1153" s="98" t="s">
        <v>17</v>
      </c>
      <c r="C1153" s="98">
        <v>50</v>
      </c>
      <c r="D1153" s="98">
        <v>250</v>
      </c>
      <c r="E1153" s="157">
        <v>43061.48541666667</v>
      </c>
      <c r="F1153" s="157">
        <v>43061.542361111111</v>
      </c>
      <c r="G1153" s="98">
        <v>425</v>
      </c>
      <c r="H1153" s="98">
        <v>520</v>
      </c>
      <c r="I1153" s="98">
        <v>477</v>
      </c>
      <c r="J1153" s="98" t="s">
        <v>1978</v>
      </c>
      <c r="K1153" s="98" t="s">
        <v>4650</v>
      </c>
      <c r="L1153" s="105" t="str">
        <f t="shared" si="200"/>
        <v>Ghent</v>
      </c>
      <c r="M1153" s="105" t="str">
        <f t="shared" si="201"/>
        <v>Derate</v>
      </c>
      <c r="N1153" s="105" t="str">
        <f t="shared" si="202"/>
        <v>Coal</v>
      </c>
      <c r="O1153" s="105">
        <f>IFERROR(VLOOKUP(A1153,Lookup!$J$5:$P$19,7,FALSE),0)</f>
        <v>3</v>
      </c>
      <c r="P1153" s="159">
        <f t="shared" si="203"/>
        <v>2017</v>
      </c>
      <c r="Q1153" s="159">
        <f t="shared" si="204"/>
        <v>11</v>
      </c>
      <c r="R1153" s="160">
        <f t="shared" si="205"/>
        <v>1.3666666665812954</v>
      </c>
      <c r="S1153" s="158">
        <f t="shared" si="206"/>
        <v>0.24967948716389052</v>
      </c>
      <c r="T1153" s="161">
        <f t="shared" si="207"/>
        <v>119.09711537717578</v>
      </c>
      <c r="U1153" s="158">
        <f t="shared" si="208"/>
        <v>87.144230769230774</v>
      </c>
      <c r="V1153" s="160">
        <f t="shared" si="209"/>
        <v>87</v>
      </c>
    </row>
    <row r="1154" spans="1:22" x14ac:dyDescent="0.25">
      <c r="A1154" s="98" t="s">
        <v>26</v>
      </c>
      <c r="B1154" s="98" t="s">
        <v>17</v>
      </c>
      <c r="C1154" s="98">
        <v>51</v>
      </c>
      <c r="D1154" s="98">
        <v>320</v>
      </c>
      <c r="E1154" s="157">
        <v>43065.45208333333</v>
      </c>
      <c r="F1154" s="157">
        <v>43065.568749999999</v>
      </c>
      <c r="G1154" s="98">
        <v>460</v>
      </c>
      <c r="H1154" s="98">
        <v>520</v>
      </c>
      <c r="I1154" s="98">
        <v>477</v>
      </c>
      <c r="J1154" s="98" t="s">
        <v>1992</v>
      </c>
      <c r="K1154" s="98" t="s">
        <v>4651</v>
      </c>
      <c r="L1154" s="105" t="str">
        <f t="shared" si="200"/>
        <v>Ghent</v>
      </c>
      <c r="M1154" s="105" t="str">
        <f t="shared" si="201"/>
        <v>Derate</v>
      </c>
      <c r="N1154" s="105" t="str">
        <f t="shared" si="202"/>
        <v>Coal</v>
      </c>
      <c r="O1154" s="105">
        <f>IFERROR(VLOOKUP(A1154,Lookup!$J$5:$P$19,7,FALSE),0)</f>
        <v>3</v>
      </c>
      <c r="P1154" s="159">
        <f t="shared" si="203"/>
        <v>2017</v>
      </c>
      <c r="Q1154" s="159">
        <f t="shared" si="204"/>
        <v>11</v>
      </c>
      <c r="R1154" s="160">
        <f t="shared" si="205"/>
        <v>2.8000000000465661</v>
      </c>
      <c r="S1154" s="158">
        <f t="shared" si="206"/>
        <v>0.32307692308229607</v>
      </c>
      <c r="T1154" s="161">
        <f t="shared" si="207"/>
        <v>154.10769231025523</v>
      </c>
      <c r="U1154" s="158">
        <f t="shared" si="208"/>
        <v>55.03846153846154</v>
      </c>
      <c r="V1154" s="160">
        <f t="shared" si="209"/>
        <v>55</v>
      </c>
    </row>
    <row r="1155" spans="1:22" x14ac:dyDescent="0.25">
      <c r="A1155" s="98" t="s">
        <v>26</v>
      </c>
      <c r="B1155" s="98" t="s">
        <v>17</v>
      </c>
      <c r="C1155" s="98">
        <v>53</v>
      </c>
      <c r="D1155" s="98">
        <v>250</v>
      </c>
      <c r="E1155" s="157">
        <v>43074.3125</v>
      </c>
      <c r="F1155" s="157">
        <v>43074.585416666669</v>
      </c>
      <c r="G1155" s="98">
        <v>460</v>
      </c>
      <c r="H1155" s="98">
        <v>520</v>
      </c>
      <c r="I1155" s="98">
        <v>477</v>
      </c>
      <c r="J1155" s="98" t="s">
        <v>1978</v>
      </c>
      <c r="K1155" s="98" t="s">
        <v>4652</v>
      </c>
      <c r="L1155" s="105" t="str">
        <f t="shared" si="200"/>
        <v>Ghent</v>
      </c>
      <c r="M1155" s="105" t="str">
        <f t="shared" si="201"/>
        <v>Derate</v>
      </c>
      <c r="N1155" s="105" t="str">
        <f t="shared" si="202"/>
        <v>Coal</v>
      </c>
      <c r="O1155" s="105">
        <f>IFERROR(VLOOKUP(A1155,Lookup!$J$5:$P$19,7,FALSE),0)</f>
        <v>3</v>
      </c>
      <c r="P1155" s="159">
        <f t="shared" si="203"/>
        <v>2017</v>
      </c>
      <c r="Q1155" s="159">
        <f t="shared" si="204"/>
        <v>12</v>
      </c>
      <c r="R1155" s="160">
        <f t="shared" si="205"/>
        <v>6.5500000000465661</v>
      </c>
      <c r="S1155" s="158">
        <f t="shared" si="206"/>
        <v>0.75576923077460378</v>
      </c>
      <c r="T1155" s="161">
        <f t="shared" si="207"/>
        <v>360.50192307948601</v>
      </c>
      <c r="U1155" s="158">
        <f t="shared" si="208"/>
        <v>55.03846153846154</v>
      </c>
      <c r="V1155" s="160">
        <f t="shared" si="209"/>
        <v>55</v>
      </c>
    </row>
    <row r="1156" spans="1:22" x14ac:dyDescent="0.25">
      <c r="A1156" s="98" t="s">
        <v>26</v>
      </c>
      <c r="B1156" s="98" t="s">
        <v>32</v>
      </c>
      <c r="C1156" s="98">
        <v>1</v>
      </c>
      <c r="D1156" s="98">
        <v>920</v>
      </c>
      <c r="E1156" s="157">
        <v>43105.001388888886</v>
      </c>
      <c r="F1156" s="157">
        <v>43105.166666666664</v>
      </c>
      <c r="G1156" s="98">
        <v>200</v>
      </c>
      <c r="H1156" s="98">
        <v>520</v>
      </c>
      <c r="I1156" s="98">
        <v>477</v>
      </c>
      <c r="J1156" s="98" t="s">
        <v>1974</v>
      </c>
      <c r="K1156" s="98" t="s">
        <v>4653</v>
      </c>
      <c r="L1156" s="105" t="str">
        <f t="shared" si="200"/>
        <v>Ghent</v>
      </c>
      <c r="M1156" s="105" t="str">
        <f t="shared" si="201"/>
        <v>Derate</v>
      </c>
      <c r="N1156" s="105" t="str">
        <f t="shared" si="202"/>
        <v>Coal</v>
      </c>
      <c r="O1156" s="105">
        <f>IFERROR(VLOOKUP(A1156,Lookup!$J$5:$P$19,7,FALSE),0)</f>
        <v>3</v>
      </c>
      <c r="P1156" s="159">
        <f t="shared" si="203"/>
        <v>2018</v>
      </c>
      <c r="Q1156" s="159">
        <f t="shared" si="204"/>
        <v>1</v>
      </c>
      <c r="R1156" s="160">
        <f t="shared" si="205"/>
        <v>3.9666666666744277</v>
      </c>
      <c r="S1156" s="158">
        <f t="shared" si="206"/>
        <v>2.441025641030417</v>
      </c>
      <c r="T1156" s="161">
        <f t="shared" si="207"/>
        <v>1164.3692307715089</v>
      </c>
      <c r="U1156" s="158">
        <f t="shared" si="208"/>
        <v>293.53846153846155</v>
      </c>
      <c r="V1156" s="160">
        <f t="shared" si="209"/>
        <v>294</v>
      </c>
    </row>
    <row r="1157" spans="1:22" x14ac:dyDescent="0.25">
      <c r="A1157" s="98" t="s">
        <v>26</v>
      </c>
      <c r="B1157" s="98" t="s">
        <v>32</v>
      </c>
      <c r="C1157" s="98">
        <v>2</v>
      </c>
      <c r="D1157" s="98">
        <v>920</v>
      </c>
      <c r="E1157" s="157">
        <v>43107.84097222222</v>
      </c>
      <c r="F1157" s="157">
        <v>43108.027777777781</v>
      </c>
      <c r="G1157" s="98">
        <v>240</v>
      </c>
      <c r="H1157" s="98">
        <v>520</v>
      </c>
      <c r="I1157" s="98">
        <v>477</v>
      </c>
      <c r="J1157" s="98" t="s">
        <v>1974</v>
      </c>
      <c r="K1157" s="98" t="s">
        <v>4654</v>
      </c>
      <c r="L1157" s="105" t="str">
        <f t="shared" si="200"/>
        <v>Ghent</v>
      </c>
      <c r="M1157" s="105" t="str">
        <f t="shared" si="201"/>
        <v>Derate</v>
      </c>
      <c r="N1157" s="105" t="str">
        <f t="shared" si="202"/>
        <v>Coal</v>
      </c>
      <c r="O1157" s="105">
        <f>IFERROR(VLOOKUP(A1157,Lookup!$J$5:$P$19,7,FALSE),0)</f>
        <v>3</v>
      </c>
      <c r="P1157" s="159">
        <f t="shared" si="203"/>
        <v>2018</v>
      </c>
      <c r="Q1157" s="159">
        <f t="shared" si="204"/>
        <v>1</v>
      </c>
      <c r="R1157" s="160">
        <f t="shared" si="205"/>
        <v>4.4833333334536292</v>
      </c>
      <c r="S1157" s="158">
        <f t="shared" si="206"/>
        <v>2.4141025641673388</v>
      </c>
      <c r="T1157" s="161">
        <f t="shared" si="207"/>
        <v>1151.5269231078207</v>
      </c>
      <c r="U1157" s="158">
        <f t="shared" si="208"/>
        <v>256.84615384615387</v>
      </c>
      <c r="V1157" s="160">
        <f t="shared" si="209"/>
        <v>257</v>
      </c>
    </row>
    <row r="1158" spans="1:22" x14ac:dyDescent="0.25">
      <c r="A1158" s="98" t="s">
        <v>26</v>
      </c>
      <c r="B1158" s="98" t="s">
        <v>32</v>
      </c>
      <c r="C1158" s="98">
        <v>3</v>
      </c>
      <c r="D1158" s="98">
        <v>340</v>
      </c>
      <c r="E1158" s="157">
        <v>43111.291666666664</v>
      </c>
      <c r="F1158" s="157">
        <v>43111.597222222219</v>
      </c>
      <c r="G1158" s="98">
        <v>460</v>
      </c>
      <c r="H1158" s="98">
        <v>520</v>
      </c>
      <c r="I1158" s="98">
        <v>477</v>
      </c>
      <c r="J1158" s="98" t="s">
        <v>1970</v>
      </c>
      <c r="K1158" s="98" t="s">
        <v>4655</v>
      </c>
      <c r="L1158" s="105" t="str">
        <f t="shared" si="200"/>
        <v>Ghent</v>
      </c>
      <c r="M1158" s="105" t="str">
        <f t="shared" si="201"/>
        <v>Derate</v>
      </c>
      <c r="N1158" s="105" t="str">
        <f t="shared" si="202"/>
        <v>Coal</v>
      </c>
      <c r="O1158" s="105">
        <f>IFERROR(VLOOKUP(A1158,Lookup!$J$5:$P$19,7,FALSE),0)</f>
        <v>3</v>
      </c>
      <c r="P1158" s="159">
        <f t="shared" si="203"/>
        <v>2018</v>
      </c>
      <c r="Q1158" s="159">
        <f t="shared" si="204"/>
        <v>1</v>
      </c>
      <c r="R1158" s="160">
        <f t="shared" si="205"/>
        <v>7.3333333333139308</v>
      </c>
      <c r="S1158" s="158">
        <f t="shared" si="206"/>
        <v>0.84615384615160738</v>
      </c>
      <c r="T1158" s="161">
        <f t="shared" si="207"/>
        <v>403.61538461431672</v>
      </c>
      <c r="U1158" s="158">
        <f t="shared" si="208"/>
        <v>55.03846153846154</v>
      </c>
      <c r="V1158" s="160">
        <f t="shared" si="209"/>
        <v>55</v>
      </c>
    </row>
    <row r="1159" spans="1:22" x14ac:dyDescent="0.25">
      <c r="A1159" s="98" t="s">
        <v>26</v>
      </c>
      <c r="B1159" s="98" t="s">
        <v>17</v>
      </c>
      <c r="C1159" s="98">
        <v>4</v>
      </c>
      <c r="D1159" s="98">
        <v>920</v>
      </c>
      <c r="E1159" s="157">
        <v>43118.76666666667</v>
      </c>
      <c r="F1159" s="157">
        <v>43120.011805555558</v>
      </c>
      <c r="G1159" s="98">
        <v>200</v>
      </c>
      <c r="H1159" s="98">
        <v>520</v>
      </c>
      <c r="I1159" s="98">
        <v>477</v>
      </c>
      <c r="J1159" s="98" t="s">
        <v>1974</v>
      </c>
      <c r="K1159" s="98" t="s">
        <v>4656</v>
      </c>
      <c r="L1159" s="105" t="str">
        <f t="shared" si="200"/>
        <v>Ghent</v>
      </c>
      <c r="M1159" s="105" t="str">
        <f t="shared" si="201"/>
        <v>Derate</v>
      </c>
      <c r="N1159" s="105" t="str">
        <f t="shared" si="202"/>
        <v>Coal</v>
      </c>
      <c r="O1159" s="105">
        <f>IFERROR(VLOOKUP(A1159,Lookup!$J$5:$P$19,7,FALSE),0)</f>
        <v>3</v>
      </c>
      <c r="P1159" s="159">
        <f t="shared" si="203"/>
        <v>2018</v>
      </c>
      <c r="Q1159" s="159">
        <f t="shared" si="204"/>
        <v>1</v>
      </c>
      <c r="R1159" s="160">
        <f t="shared" si="205"/>
        <v>29.883333333302289</v>
      </c>
      <c r="S1159" s="158">
        <f t="shared" si="206"/>
        <v>18.389743589724485</v>
      </c>
      <c r="T1159" s="161">
        <f t="shared" si="207"/>
        <v>8771.9076922985787</v>
      </c>
      <c r="U1159" s="158">
        <f t="shared" si="208"/>
        <v>293.53846153846155</v>
      </c>
      <c r="V1159" s="160">
        <f t="shared" si="209"/>
        <v>294</v>
      </c>
    </row>
    <row r="1160" spans="1:22" x14ac:dyDescent="0.25">
      <c r="A1160" s="98" t="s">
        <v>26</v>
      </c>
      <c r="B1160" s="98" t="s">
        <v>32</v>
      </c>
      <c r="C1160" s="98">
        <v>5</v>
      </c>
      <c r="D1160" s="98">
        <v>344</v>
      </c>
      <c r="E1160" s="157">
        <v>43122.916666666664</v>
      </c>
      <c r="F1160" s="157">
        <v>43123.15902777778</v>
      </c>
      <c r="G1160" s="98">
        <v>460</v>
      </c>
      <c r="H1160" s="98">
        <v>520</v>
      </c>
      <c r="I1160" s="98">
        <v>477</v>
      </c>
      <c r="J1160" s="98" t="s">
        <v>1968</v>
      </c>
      <c r="K1160" s="98" t="s">
        <v>4657</v>
      </c>
      <c r="L1160" s="105" t="str">
        <f t="shared" si="200"/>
        <v>Ghent</v>
      </c>
      <c r="M1160" s="105" t="str">
        <f t="shared" si="201"/>
        <v>Derate</v>
      </c>
      <c r="N1160" s="105" t="str">
        <f t="shared" si="202"/>
        <v>Coal</v>
      </c>
      <c r="O1160" s="105">
        <f>IFERROR(VLOOKUP(A1160,Lookup!$J$5:$P$19,7,FALSE),0)</f>
        <v>3</v>
      </c>
      <c r="P1160" s="159">
        <f t="shared" si="203"/>
        <v>2018</v>
      </c>
      <c r="Q1160" s="159">
        <f t="shared" si="204"/>
        <v>1</v>
      </c>
      <c r="R1160" s="160">
        <f t="shared" si="205"/>
        <v>5.8166666667675599</v>
      </c>
      <c r="S1160" s="158">
        <f t="shared" si="206"/>
        <v>0.67115384616548768</v>
      </c>
      <c r="T1160" s="161">
        <f t="shared" si="207"/>
        <v>320.1403846209376</v>
      </c>
      <c r="U1160" s="158">
        <f t="shared" si="208"/>
        <v>55.03846153846154</v>
      </c>
      <c r="V1160" s="160">
        <f t="shared" si="209"/>
        <v>55</v>
      </c>
    </row>
    <row r="1161" spans="1:22" x14ac:dyDescent="0.25">
      <c r="A1161" s="98" t="s">
        <v>26</v>
      </c>
      <c r="B1161" s="98" t="s">
        <v>32</v>
      </c>
      <c r="C1161" s="98">
        <v>6</v>
      </c>
      <c r="D1161" s="98">
        <v>344</v>
      </c>
      <c r="E1161" s="157">
        <v>43123.916666666664</v>
      </c>
      <c r="F1161" s="157">
        <v>43124.188888888886</v>
      </c>
      <c r="G1161" s="98">
        <v>460</v>
      </c>
      <c r="H1161" s="98">
        <v>520</v>
      </c>
      <c r="I1161" s="98">
        <v>477</v>
      </c>
      <c r="J1161" s="98" t="s">
        <v>1968</v>
      </c>
      <c r="K1161" s="98" t="s">
        <v>4658</v>
      </c>
      <c r="L1161" s="105" t="str">
        <f t="shared" si="200"/>
        <v>Ghent</v>
      </c>
      <c r="M1161" s="105" t="str">
        <f t="shared" si="201"/>
        <v>Derate</v>
      </c>
      <c r="N1161" s="105" t="str">
        <f t="shared" si="202"/>
        <v>Coal</v>
      </c>
      <c r="O1161" s="105">
        <f>IFERROR(VLOOKUP(A1161,Lookup!$J$5:$P$19,7,FALSE),0)</f>
        <v>3</v>
      </c>
      <c r="P1161" s="159">
        <f t="shared" si="203"/>
        <v>2018</v>
      </c>
      <c r="Q1161" s="159">
        <f t="shared" si="204"/>
        <v>1</v>
      </c>
      <c r="R1161" s="160">
        <f t="shared" si="205"/>
        <v>6.5333333333255723</v>
      </c>
      <c r="S1161" s="158">
        <f t="shared" si="206"/>
        <v>0.75384615384525833</v>
      </c>
      <c r="T1161" s="161">
        <f t="shared" si="207"/>
        <v>359.58461538418823</v>
      </c>
      <c r="U1161" s="158">
        <f t="shared" si="208"/>
        <v>55.03846153846154</v>
      </c>
      <c r="V1161" s="160">
        <f t="shared" si="209"/>
        <v>55</v>
      </c>
    </row>
    <row r="1162" spans="1:22" x14ac:dyDescent="0.25">
      <c r="A1162" s="98" t="s">
        <v>26</v>
      </c>
      <c r="B1162" s="98" t="s">
        <v>32</v>
      </c>
      <c r="C1162" s="98">
        <v>7</v>
      </c>
      <c r="D1162" s="98">
        <v>344</v>
      </c>
      <c r="E1162" s="157">
        <v>43124.916666666664</v>
      </c>
      <c r="F1162" s="157">
        <v>43125.160416666666</v>
      </c>
      <c r="G1162" s="98">
        <v>460</v>
      </c>
      <c r="H1162" s="98">
        <v>520</v>
      </c>
      <c r="I1162" s="98">
        <v>477</v>
      </c>
      <c r="J1162" s="98" t="s">
        <v>1968</v>
      </c>
      <c r="K1162" s="98" t="s">
        <v>4659</v>
      </c>
      <c r="L1162" s="105" t="str">
        <f t="shared" si="200"/>
        <v>Ghent</v>
      </c>
      <c r="M1162" s="105" t="str">
        <f t="shared" si="201"/>
        <v>Derate</v>
      </c>
      <c r="N1162" s="105" t="str">
        <f t="shared" si="202"/>
        <v>Coal</v>
      </c>
      <c r="O1162" s="105">
        <f>IFERROR(VLOOKUP(A1162,Lookup!$J$5:$P$19,7,FALSE),0)</f>
        <v>3</v>
      </c>
      <c r="P1162" s="159">
        <f t="shared" si="203"/>
        <v>2018</v>
      </c>
      <c r="Q1162" s="159">
        <f t="shared" si="204"/>
        <v>1</v>
      </c>
      <c r="R1162" s="160">
        <f t="shared" si="205"/>
        <v>5.8500000000349246</v>
      </c>
      <c r="S1162" s="158">
        <f t="shared" si="206"/>
        <v>0.67500000000402971</v>
      </c>
      <c r="T1162" s="161">
        <f t="shared" si="207"/>
        <v>321.97500000192218</v>
      </c>
      <c r="U1162" s="158">
        <f t="shared" si="208"/>
        <v>55.03846153846154</v>
      </c>
      <c r="V1162" s="160">
        <f t="shared" si="209"/>
        <v>55</v>
      </c>
    </row>
    <row r="1163" spans="1:22" x14ac:dyDescent="0.25">
      <c r="A1163" s="98" t="s">
        <v>26</v>
      </c>
      <c r="B1163" s="98" t="s">
        <v>32</v>
      </c>
      <c r="C1163" s="98">
        <v>8</v>
      </c>
      <c r="D1163" s="98">
        <v>310</v>
      </c>
      <c r="E1163" s="157">
        <v>43125.916666666664</v>
      </c>
      <c r="F1163" s="157">
        <v>43126.07708333333</v>
      </c>
      <c r="G1163" s="98">
        <v>460</v>
      </c>
      <c r="H1163" s="98">
        <v>520</v>
      </c>
      <c r="I1163" s="98">
        <v>477</v>
      </c>
      <c r="J1163" s="98" t="s">
        <v>1966</v>
      </c>
      <c r="K1163" s="98" t="s">
        <v>4660</v>
      </c>
      <c r="L1163" s="105" t="str">
        <f t="shared" si="200"/>
        <v>Ghent</v>
      </c>
      <c r="M1163" s="105" t="str">
        <f t="shared" si="201"/>
        <v>Derate</v>
      </c>
      <c r="N1163" s="105" t="str">
        <f t="shared" si="202"/>
        <v>Coal</v>
      </c>
      <c r="O1163" s="105">
        <f>IFERROR(VLOOKUP(A1163,Lookup!$J$5:$P$19,7,FALSE),0)</f>
        <v>3</v>
      </c>
      <c r="P1163" s="159">
        <f t="shared" si="203"/>
        <v>2018</v>
      </c>
      <c r="Q1163" s="159">
        <f t="shared" si="204"/>
        <v>1</v>
      </c>
      <c r="R1163" s="160">
        <f t="shared" si="205"/>
        <v>3.8499999999767169</v>
      </c>
      <c r="S1163" s="158">
        <f t="shared" si="206"/>
        <v>0.44423076922808274</v>
      </c>
      <c r="T1163" s="161">
        <f t="shared" si="207"/>
        <v>211.89807692179548</v>
      </c>
      <c r="U1163" s="158">
        <f t="shared" si="208"/>
        <v>55.03846153846154</v>
      </c>
      <c r="V1163" s="160">
        <f t="shared" si="209"/>
        <v>55</v>
      </c>
    </row>
    <row r="1164" spans="1:22" x14ac:dyDescent="0.25">
      <c r="A1164" s="98" t="s">
        <v>26</v>
      </c>
      <c r="B1164" s="98" t="s">
        <v>17</v>
      </c>
      <c r="C1164" s="98">
        <v>9</v>
      </c>
      <c r="D1164" s="98">
        <v>320</v>
      </c>
      <c r="E1164" s="157">
        <v>43130.686805555553</v>
      </c>
      <c r="F1164" s="157">
        <v>43130.836111111108</v>
      </c>
      <c r="G1164" s="98">
        <v>460</v>
      </c>
      <c r="H1164" s="98">
        <v>520</v>
      </c>
      <c r="I1164" s="98">
        <v>477</v>
      </c>
      <c r="J1164" s="98" t="s">
        <v>1992</v>
      </c>
      <c r="K1164" s="98" t="s">
        <v>4661</v>
      </c>
      <c r="L1164" s="105" t="str">
        <f t="shared" si="200"/>
        <v>Ghent</v>
      </c>
      <c r="M1164" s="105" t="str">
        <f t="shared" si="201"/>
        <v>Derate</v>
      </c>
      <c r="N1164" s="105" t="str">
        <f t="shared" si="202"/>
        <v>Coal</v>
      </c>
      <c r="O1164" s="105">
        <f>IFERROR(VLOOKUP(A1164,Lookup!$J$5:$P$19,7,FALSE),0)</f>
        <v>3</v>
      </c>
      <c r="P1164" s="159">
        <f t="shared" si="203"/>
        <v>2018</v>
      </c>
      <c r="Q1164" s="159">
        <f t="shared" si="204"/>
        <v>1</v>
      </c>
      <c r="R1164" s="160">
        <f t="shared" si="205"/>
        <v>3.5833333333139308</v>
      </c>
      <c r="S1164" s="158">
        <f t="shared" si="206"/>
        <v>0.41346153845929973</v>
      </c>
      <c r="T1164" s="161">
        <f t="shared" si="207"/>
        <v>197.22115384508598</v>
      </c>
      <c r="U1164" s="158">
        <f t="shared" si="208"/>
        <v>55.03846153846154</v>
      </c>
      <c r="V1164" s="160">
        <f t="shared" si="209"/>
        <v>55</v>
      </c>
    </row>
    <row r="1165" spans="1:22" x14ac:dyDescent="0.25">
      <c r="A1165" s="98" t="s">
        <v>26</v>
      </c>
      <c r="B1165" s="98" t="s">
        <v>17</v>
      </c>
      <c r="C1165" s="98">
        <v>10</v>
      </c>
      <c r="D1165" s="98">
        <v>1480</v>
      </c>
      <c r="E1165" s="157">
        <v>43138.75</v>
      </c>
      <c r="F1165" s="157">
        <v>43138.771527777775</v>
      </c>
      <c r="G1165" s="98">
        <v>36</v>
      </c>
      <c r="H1165" s="98">
        <v>520</v>
      </c>
      <c r="I1165" s="98">
        <v>477</v>
      </c>
      <c r="J1165" s="98" t="s">
        <v>1972</v>
      </c>
      <c r="K1165" s="98" t="s">
        <v>4662</v>
      </c>
      <c r="L1165" s="105" t="str">
        <f t="shared" si="200"/>
        <v>Ghent</v>
      </c>
      <c r="M1165" s="105" t="str">
        <f t="shared" si="201"/>
        <v>Derate</v>
      </c>
      <c r="N1165" s="105" t="str">
        <f t="shared" si="202"/>
        <v>Coal</v>
      </c>
      <c r="O1165" s="105">
        <f>IFERROR(VLOOKUP(A1165,Lookup!$J$5:$P$19,7,FALSE),0)</f>
        <v>3</v>
      </c>
      <c r="P1165" s="159">
        <f t="shared" si="203"/>
        <v>2018</v>
      </c>
      <c r="Q1165" s="159">
        <f t="shared" si="204"/>
        <v>2</v>
      </c>
      <c r="R1165" s="160">
        <f t="shared" si="205"/>
        <v>0.5166666666045785</v>
      </c>
      <c r="S1165" s="158">
        <f t="shared" si="206"/>
        <v>0.48089743583964611</v>
      </c>
      <c r="T1165" s="161">
        <f t="shared" si="207"/>
        <v>229.3880768955112</v>
      </c>
      <c r="U1165" s="158">
        <f t="shared" si="208"/>
        <v>443.97692307692307</v>
      </c>
      <c r="V1165" s="160">
        <f t="shared" si="209"/>
        <v>444</v>
      </c>
    </row>
    <row r="1166" spans="1:22" x14ac:dyDescent="0.25">
      <c r="A1166" s="98" t="s">
        <v>26</v>
      </c>
      <c r="B1166" s="98" t="s">
        <v>15</v>
      </c>
      <c r="C1166" s="98">
        <v>11</v>
      </c>
      <c r="D1166" s="98">
        <v>1450</v>
      </c>
      <c r="E1166" s="157">
        <v>43138.771527777775</v>
      </c>
      <c r="F1166" s="157">
        <v>43138.88958333333</v>
      </c>
      <c r="G1166" s="98">
        <v>0</v>
      </c>
      <c r="H1166" s="98">
        <v>520</v>
      </c>
      <c r="I1166" s="98">
        <v>477</v>
      </c>
      <c r="J1166" s="98" t="s">
        <v>2296</v>
      </c>
      <c r="K1166" s="98" t="s">
        <v>4663</v>
      </c>
      <c r="L1166" s="105" t="str">
        <f t="shared" si="200"/>
        <v>Ghent</v>
      </c>
      <c r="M1166" s="105" t="str">
        <f t="shared" si="201"/>
        <v>Outage</v>
      </c>
      <c r="N1166" s="105" t="str">
        <f t="shared" si="202"/>
        <v>Coal</v>
      </c>
      <c r="O1166" s="105">
        <f>IFERROR(VLOOKUP(A1166,Lookup!$J$5:$P$19,7,FALSE),0)</f>
        <v>3</v>
      </c>
      <c r="P1166" s="159">
        <f t="shared" si="203"/>
        <v>2018</v>
      </c>
      <c r="Q1166" s="159">
        <f t="shared" si="204"/>
        <v>2</v>
      </c>
      <c r="R1166" s="160">
        <f t="shared" si="205"/>
        <v>2.8333333333139308</v>
      </c>
      <c r="S1166" s="158">
        <f t="shared" si="206"/>
        <v>2.8333333333139308</v>
      </c>
      <c r="T1166" s="161">
        <f t="shared" si="207"/>
        <v>1351.499999990745</v>
      </c>
      <c r="U1166" s="158">
        <f t="shared" si="208"/>
        <v>477</v>
      </c>
      <c r="V1166" s="160">
        <f t="shared" si="209"/>
        <v>477</v>
      </c>
    </row>
    <row r="1167" spans="1:22" x14ac:dyDescent="0.25">
      <c r="A1167" s="98" t="s">
        <v>26</v>
      </c>
      <c r="B1167" s="98" t="s">
        <v>17</v>
      </c>
      <c r="C1167" s="98">
        <v>12</v>
      </c>
      <c r="D1167" s="98">
        <v>1470</v>
      </c>
      <c r="E1167" s="157">
        <v>43152.431250000001</v>
      </c>
      <c r="F1167" s="157">
        <v>43152.495833333334</v>
      </c>
      <c r="G1167" s="98">
        <v>200</v>
      </c>
      <c r="H1167" s="98">
        <v>520</v>
      </c>
      <c r="I1167" s="98">
        <v>477</v>
      </c>
      <c r="J1167" s="98" t="s">
        <v>2005</v>
      </c>
      <c r="K1167" s="98" t="s">
        <v>4664</v>
      </c>
      <c r="L1167" s="105" t="str">
        <f t="shared" si="200"/>
        <v>Ghent</v>
      </c>
      <c r="M1167" s="105" t="str">
        <f t="shared" si="201"/>
        <v>Derate</v>
      </c>
      <c r="N1167" s="105" t="str">
        <f t="shared" si="202"/>
        <v>Coal</v>
      </c>
      <c r="O1167" s="105">
        <f>IFERROR(VLOOKUP(A1167,Lookup!$J$5:$P$19,7,FALSE),0)</f>
        <v>3</v>
      </c>
      <c r="P1167" s="159">
        <f t="shared" si="203"/>
        <v>2018</v>
      </c>
      <c r="Q1167" s="159">
        <f t="shared" si="204"/>
        <v>2</v>
      </c>
      <c r="R1167" s="160">
        <f t="shared" si="205"/>
        <v>1.5499999999883585</v>
      </c>
      <c r="S1167" s="158">
        <f t="shared" si="206"/>
        <v>0.95384615383898985</v>
      </c>
      <c r="T1167" s="161">
        <f t="shared" si="207"/>
        <v>454.98461538119818</v>
      </c>
      <c r="U1167" s="158">
        <f t="shared" si="208"/>
        <v>293.53846153846155</v>
      </c>
      <c r="V1167" s="160">
        <f t="shared" si="209"/>
        <v>294</v>
      </c>
    </row>
    <row r="1168" spans="1:22" x14ac:dyDescent="0.25">
      <c r="A1168" s="98" t="s">
        <v>26</v>
      </c>
      <c r="B1168" s="98" t="s">
        <v>17</v>
      </c>
      <c r="C1168" s="98">
        <v>13</v>
      </c>
      <c r="D1168" s="98">
        <v>1471</v>
      </c>
      <c r="E1168" s="157">
        <v>43152.495833333334</v>
      </c>
      <c r="F1168" s="157">
        <v>43153.499305555553</v>
      </c>
      <c r="G1168" s="98">
        <v>450</v>
      </c>
      <c r="H1168" s="98">
        <v>520</v>
      </c>
      <c r="I1168" s="98">
        <v>477</v>
      </c>
      <c r="J1168" s="98" t="s">
        <v>2279</v>
      </c>
      <c r="K1168" s="98" t="s">
        <v>4665</v>
      </c>
      <c r="L1168" s="105" t="str">
        <f t="shared" si="200"/>
        <v>Ghent</v>
      </c>
      <c r="M1168" s="105" t="str">
        <f t="shared" si="201"/>
        <v>Derate</v>
      </c>
      <c r="N1168" s="105" t="str">
        <f t="shared" si="202"/>
        <v>Coal</v>
      </c>
      <c r="O1168" s="105">
        <f>IFERROR(VLOOKUP(A1168,Lookup!$J$5:$P$19,7,FALSE),0)</f>
        <v>3</v>
      </c>
      <c r="P1168" s="159">
        <f t="shared" si="203"/>
        <v>2018</v>
      </c>
      <c r="Q1168" s="159">
        <f t="shared" si="204"/>
        <v>2</v>
      </c>
      <c r="R1168" s="160">
        <f t="shared" si="205"/>
        <v>24.083333333255723</v>
      </c>
      <c r="S1168" s="158">
        <f t="shared" si="206"/>
        <v>3.2419871794767321</v>
      </c>
      <c r="T1168" s="161">
        <f t="shared" si="207"/>
        <v>1546.4278846104012</v>
      </c>
      <c r="U1168" s="158">
        <f t="shared" si="208"/>
        <v>64.211538461538467</v>
      </c>
      <c r="V1168" s="160">
        <f t="shared" si="209"/>
        <v>64</v>
      </c>
    </row>
    <row r="1169" spans="1:22" x14ac:dyDescent="0.25">
      <c r="A1169" s="98" t="s">
        <v>26</v>
      </c>
      <c r="B1169" s="98" t="s">
        <v>15</v>
      </c>
      <c r="C1169" s="98">
        <v>14</v>
      </c>
      <c r="D1169" s="98">
        <v>1000</v>
      </c>
      <c r="E1169" s="157">
        <v>43155.708333333336</v>
      </c>
      <c r="F1169" s="157">
        <v>43158.154861111114</v>
      </c>
      <c r="G1169" s="98">
        <v>0</v>
      </c>
      <c r="H1169" s="98">
        <v>520</v>
      </c>
      <c r="I1169" s="98">
        <v>477</v>
      </c>
      <c r="J1169" s="98" t="s">
        <v>2002</v>
      </c>
      <c r="K1169" s="98" t="s">
        <v>4666</v>
      </c>
      <c r="L1169" s="105" t="str">
        <f t="shared" si="200"/>
        <v>Ghent</v>
      </c>
      <c r="M1169" s="105" t="str">
        <f t="shared" si="201"/>
        <v>Outage</v>
      </c>
      <c r="N1169" s="105" t="str">
        <f t="shared" si="202"/>
        <v>Coal</v>
      </c>
      <c r="O1169" s="105">
        <f>IFERROR(VLOOKUP(A1169,Lookup!$J$5:$P$19,7,FALSE),0)</f>
        <v>3</v>
      </c>
      <c r="P1169" s="159">
        <f t="shared" si="203"/>
        <v>2018</v>
      </c>
      <c r="Q1169" s="159">
        <f t="shared" si="204"/>
        <v>2</v>
      </c>
      <c r="R1169" s="160">
        <f t="shared" si="205"/>
        <v>58.716666666674428</v>
      </c>
      <c r="S1169" s="158">
        <f t="shared" si="206"/>
        <v>58.716666666674428</v>
      </c>
      <c r="T1169" s="161">
        <f t="shared" si="207"/>
        <v>28007.850000003702</v>
      </c>
      <c r="U1169" s="158">
        <f t="shared" si="208"/>
        <v>477</v>
      </c>
      <c r="V1169" s="160">
        <f t="shared" si="209"/>
        <v>477</v>
      </c>
    </row>
    <row r="1170" spans="1:22" x14ac:dyDescent="0.25">
      <c r="A1170" s="98" t="s">
        <v>26</v>
      </c>
      <c r="B1170" s="98" t="s">
        <v>15</v>
      </c>
      <c r="C1170" s="98">
        <v>16</v>
      </c>
      <c r="D1170" s="98">
        <v>3520</v>
      </c>
      <c r="E1170" s="157">
        <v>43159.65625</v>
      </c>
      <c r="F1170" s="157">
        <v>43159.739583333336</v>
      </c>
      <c r="G1170" s="98">
        <v>0</v>
      </c>
      <c r="H1170" s="98">
        <v>520</v>
      </c>
      <c r="I1170" s="98">
        <v>477</v>
      </c>
      <c r="J1170" s="98" t="s">
        <v>4667</v>
      </c>
      <c r="K1170" s="98" t="s">
        <v>4668</v>
      </c>
      <c r="L1170" s="105" t="str">
        <f t="shared" si="200"/>
        <v>Ghent</v>
      </c>
      <c r="M1170" s="105" t="str">
        <f t="shared" si="201"/>
        <v>Outage</v>
      </c>
      <c r="N1170" s="105" t="str">
        <f t="shared" si="202"/>
        <v>Coal</v>
      </c>
      <c r="O1170" s="105">
        <f>IFERROR(VLOOKUP(A1170,Lookup!$J$5:$P$19,7,FALSE),0)</f>
        <v>3</v>
      </c>
      <c r="P1170" s="159">
        <f t="shared" si="203"/>
        <v>2018</v>
      </c>
      <c r="Q1170" s="159">
        <f t="shared" si="204"/>
        <v>2</v>
      </c>
      <c r="R1170" s="160">
        <f t="shared" si="205"/>
        <v>2.0000000000582077</v>
      </c>
      <c r="S1170" s="158">
        <f t="shared" si="206"/>
        <v>2.0000000000582077</v>
      </c>
      <c r="T1170" s="161">
        <f t="shared" si="207"/>
        <v>954.00000002776505</v>
      </c>
      <c r="U1170" s="158">
        <f t="shared" si="208"/>
        <v>477</v>
      </c>
      <c r="V1170" s="160">
        <f t="shared" si="209"/>
        <v>477</v>
      </c>
    </row>
    <row r="1171" spans="1:22" x14ac:dyDescent="0.25">
      <c r="A1171" s="98" t="s">
        <v>26</v>
      </c>
      <c r="B1171" s="98" t="s">
        <v>38</v>
      </c>
      <c r="C1171" s="98">
        <v>18</v>
      </c>
      <c r="D1171" s="98">
        <v>1801</v>
      </c>
      <c r="E1171" s="157">
        <v>43161.25</v>
      </c>
      <c r="F1171" s="157">
        <v>43192</v>
      </c>
      <c r="G1171" s="98">
        <v>0</v>
      </c>
      <c r="H1171" s="98">
        <v>520</v>
      </c>
      <c r="I1171" s="98">
        <v>477</v>
      </c>
      <c r="J1171" s="98" t="s">
        <v>2021</v>
      </c>
      <c r="K1171" s="98" t="s">
        <v>4669</v>
      </c>
      <c r="L1171" s="105" t="str">
        <f t="shared" si="200"/>
        <v>Ghent</v>
      </c>
      <c r="M1171" s="105" t="str">
        <f t="shared" si="201"/>
        <v>Other</v>
      </c>
      <c r="N1171" s="105" t="str">
        <f t="shared" si="202"/>
        <v>Coal</v>
      </c>
      <c r="O1171" s="105">
        <f>IFERROR(VLOOKUP(A1171,Lookup!$J$5:$P$19,7,FALSE),0)</f>
        <v>3</v>
      </c>
      <c r="P1171" s="159">
        <f t="shared" si="203"/>
        <v>2018</v>
      </c>
      <c r="Q1171" s="159">
        <f t="shared" si="204"/>
        <v>3</v>
      </c>
      <c r="R1171" s="160">
        <f t="shared" si="205"/>
        <v>738</v>
      </c>
      <c r="S1171" s="158">
        <f t="shared" si="206"/>
        <v>738</v>
      </c>
      <c r="T1171" s="161">
        <f t="shared" si="207"/>
        <v>352026</v>
      </c>
      <c r="U1171" s="158">
        <f t="shared" si="208"/>
        <v>477</v>
      </c>
      <c r="V1171" s="160">
        <f t="shared" si="209"/>
        <v>477</v>
      </c>
    </row>
    <row r="1172" spans="1:22" x14ac:dyDescent="0.25">
      <c r="A1172" s="98" t="s">
        <v>26</v>
      </c>
      <c r="B1172" s="98" t="s">
        <v>121</v>
      </c>
      <c r="C1172" s="98">
        <v>19</v>
      </c>
      <c r="D1172" s="98">
        <v>1801</v>
      </c>
      <c r="E1172" s="157">
        <v>43192</v>
      </c>
      <c r="F1172" s="157">
        <v>43193.788194444445</v>
      </c>
      <c r="G1172" s="98">
        <v>0</v>
      </c>
      <c r="H1172" s="98">
        <v>520</v>
      </c>
      <c r="I1172" s="98">
        <v>477</v>
      </c>
      <c r="J1172" s="98" t="s">
        <v>2021</v>
      </c>
      <c r="K1172" s="98" t="s">
        <v>4670</v>
      </c>
      <c r="L1172" s="105" t="str">
        <f t="shared" si="200"/>
        <v>Ghent</v>
      </c>
      <c r="M1172" s="105" t="str">
        <f t="shared" si="201"/>
        <v>Other</v>
      </c>
      <c r="N1172" s="105" t="str">
        <f t="shared" si="202"/>
        <v>Coal</v>
      </c>
      <c r="O1172" s="105">
        <f>IFERROR(VLOOKUP(A1172,Lookup!$J$5:$P$19,7,FALSE),0)</f>
        <v>3</v>
      </c>
      <c r="P1172" s="159">
        <f t="shared" si="203"/>
        <v>2018</v>
      </c>
      <c r="Q1172" s="159">
        <f t="shared" si="204"/>
        <v>4</v>
      </c>
      <c r="R1172" s="160">
        <f t="shared" si="205"/>
        <v>42.916666666686069</v>
      </c>
      <c r="S1172" s="158">
        <f t="shared" si="206"/>
        <v>42.916666666686069</v>
      </c>
      <c r="T1172" s="161">
        <f t="shared" si="207"/>
        <v>20471.250000009255</v>
      </c>
      <c r="U1172" s="158">
        <f t="shared" si="208"/>
        <v>477</v>
      </c>
      <c r="V1172" s="160">
        <f t="shared" si="209"/>
        <v>477</v>
      </c>
    </row>
    <row r="1173" spans="1:22" x14ac:dyDescent="0.25">
      <c r="A1173" s="98" t="s">
        <v>26</v>
      </c>
      <c r="B1173" s="98" t="s">
        <v>17</v>
      </c>
      <c r="C1173" s="98">
        <v>20</v>
      </c>
      <c r="D1173" s="98">
        <v>1432</v>
      </c>
      <c r="E1173" s="157">
        <v>43195.930555555555</v>
      </c>
      <c r="F1173" s="157">
        <v>43195.970138888886</v>
      </c>
      <c r="G1173" s="98">
        <v>300</v>
      </c>
      <c r="H1173" s="98">
        <v>520</v>
      </c>
      <c r="I1173" s="98">
        <v>477</v>
      </c>
      <c r="J1173" s="98" t="s">
        <v>4671</v>
      </c>
      <c r="K1173" s="98" t="s">
        <v>4672</v>
      </c>
      <c r="L1173" s="105" t="str">
        <f t="shared" si="200"/>
        <v>Ghent</v>
      </c>
      <c r="M1173" s="105" t="str">
        <f t="shared" si="201"/>
        <v>Derate</v>
      </c>
      <c r="N1173" s="105" t="str">
        <f t="shared" si="202"/>
        <v>Coal</v>
      </c>
      <c r="O1173" s="105">
        <f>IFERROR(VLOOKUP(A1173,Lookup!$J$5:$P$19,7,FALSE),0)</f>
        <v>3</v>
      </c>
      <c r="P1173" s="159">
        <f t="shared" si="203"/>
        <v>2018</v>
      </c>
      <c r="Q1173" s="159">
        <f t="shared" si="204"/>
        <v>4</v>
      </c>
      <c r="R1173" s="160">
        <f t="shared" si="205"/>
        <v>0.94999999995343387</v>
      </c>
      <c r="S1173" s="158">
        <f t="shared" si="206"/>
        <v>0.40192307690337586</v>
      </c>
      <c r="T1173" s="161">
        <f t="shared" si="207"/>
        <v>191.71730768291027</v>
      </c>
      <c r="U1173" s="158">
        <f t="shared" si="208"/>
        <v>201.80769230769232</v>
      </c>
      <c r="V1173" s="160">
        <f t="shared" si="209"/>
        <v>202</v>
      </c>
    </row>
    <row r="1174" spans="1:22" x14ac:dyDescent="0.25">
      <c r="A1174" s="98" t="s">
        <v>26</v>
      </c>
      <c r="B1174" s="98" t="s">
        <v>32</v>
      </c>
      <c r="C1174" s="98">
        <v>21</v>
      </c>
      <c r="D1174" s="98">
        <v>344</v>
      </c>
      <c r="E1174" s="157">
        <v>43209.958333333336</v>
      </c>
      <c r="F1174" s="157">
        <v>43210.051388888889</v>
      </c>
      <c r="G1174" s="98">
        <v>460</v>
      </c>
      <c r="H1174" s="98">
        <v>520</v>
      </c>
      <c r="I1174" s="98">
        <v>477</v>
      </c>
      <c r="J1174" s="98" t="s">
        <v>1968</v>
      </c>
      <c r="K1174" s="98" t="s">
        <v>4673</v>
      </c>
      <c r="L1174" s="105" t="str">
        <f t="shared" si="200"/>
        <v>Ghent</v>
      </c>
      <c r="M1174" s="105" t="str">
        <f t="shared" si="201"/>
        <v>Derate</v>
      </c>
      <c r="N1174" s="105" t="str">
        <f t="shared" si="202"/>
        <v>Coal</v>
      </c>
      <c r="O1174" s="105">
        <f>IFERROR(VLOOKUP(A1174,Lookup!$J$5:$P$19,7,FALSE),0)</f>
        <v>3</v>
      </c>
      <c r="P1174" s="159">
        <f t="shared" si="203"/>
        <v>2018</v>
      </c>
      <c r="Q1174" s="159">
        <f t="shared" si="204"/>
        <v>4</v>
      </c>
      <c r="R1174" s="160">
        <f t="shared" si="205"/>
        <v>2.2333333332790062</v>
      </c>
      <c r="S1174" s="158">
        <f t="shared" si="206"/>
        <v>0.25769230768603918</v>
      </c>
      <c r="T1174" s="161">
        <f t="shared" si="207"/>
        <v>122.91923076624069</v>
      </c>
      <c r="U1174" s="158">
        <f t="shared" si="208"/>
        <v>55.03846153846154</v>
      </c>
      <c r="V1174" s="160">
        <f t="shared" si="209"/>
        <v>55</v>
      </c>
    </row>
    <row r="1175" spans="1:22" x14ac:dyDescent="0.25">
      <c r="A1175" s="98" t="s">
        <v>26</v>
      </c>
      <c r="B1175" s="98" t="s">
        <v>32</v>
      </c>
      <c r="C1175" s="98">
        <v>22</v>
      </c>
      <c r="D1175" s="98">
        <v>3415</v>
      </c>
      <c r="E1175" s="157">
        <v>43216.98541666667</v>
      </c>
      <c r="F1175" s="157">
        <v>43217.073611111111</v>
      </c>
      <c r="G1175" s="98">
        <v>320</v>
      </c>
      <c r="H1175" s="98">
        <v>520</v>
      </c>
      <c r="I1175" s="98">
        <v>477</v>
      </c>
      <c r="J1175" s="98" t="s">
        <v>2109</v>
      </c>
      <c r="K1175" s="98" t="s">
        <v>4674</v>
      </c>
      <c r="L1175" s="105" t="str">
        <f t="shared" si="200"/>
        <v>Ghent</v>
      </c>
      <c r="M1175" s="105" t="str">
        <f t="shared" si="201"/>
        <v>Derate</v>
      </c>
      <c r="N1175" s="105" t="str">
        <f t="shared" si="202"/>
        <v>Coal</v>
      </c>
      <c r="O1175" s="105">
        <f>IFERROR(VLOOKUP(A1175,Lookup!$J$5:$P$19,7,FALSE),0)</f>
        <v>3</v>
      </c>
      <c r="P1175" s="159">
        <f t="shared" si="203"/>
        <v>2018</v>
      </c>
      <c r="Q1175" s="159">
        <f t="shared" si="204"/>
        <v>4</v>
      </c>
      <c r="R1175" s="160">
        <f t="shared" si="205"/>
        <v>2.1166666665812954</v>
      </c>
      <c r="S1175" s="158">
        <f t="shared" si="206"/>
        <v>0.81410256406972903</v>
      </c>
      <c r="T1175" s="161">
        <f t="shared" si="207"/>
        <v>388.32692306126074</v>
      </c>
      <c r="U1175" s="158">
        <f t="shared" si="208"/>
        <v>183.46153846153845</v>
      </c>
      <c r="V1175" s="160">
        <f t="shared" si="209"/>
        <v>183</v>
      </c>
    </row>
    <row r="1176" spans="1:22" x14ac:dyDescent="0.25">
      <c r="A1176" s="98" t="s">
        <v>27</v>
      </c>
      <c r="B1176" s="98" t="s">
        <v>32</v>
      </c>
      <c r="C1176" s="98">
        <v>1</v>
      </c>
      <c r="D1176" s="98">
        <v>310</v>
      </c>
      <c r="E1176" s="157">
        <v>41277.9375</v>
      </c>
      <c r="F1176" s="157">
        <v>41278.083333333336</v>
      </c>
      <c r="G1176" s="98">
        <v>475</v>
      </c>
      <c r="H1176" s="98">
        <v>520</v>
      </c>
      <c r="I1176" s="98">
        <v>486</v>
      </c>
      <c r="J1176" s="98" t="s">
        <v>1966</v>
      </c>
      <c r="K1176" s="98" t="s">
        <v>451</v>
      </c>
      <c r="L1176" s="105" t="str">
        <f t="shared" si="200"/>
        <v>Ghent</v>
      </c>
      <c r="M1176" s="105" t="str">
        <f t="shared" si="201"/>
        <v>Derate</v>
      </c>
      <c r="N1176" s="105" t="str">
        <f t="shared" si="202"/>
        <v>Coal</v>
      </c>
      <c r="O1176" s="105">
        <f>IFERROR(VLOOKUP(A1176,Lookup!$J$5:$P$19,7,FALSE),0)</f>
        <v>3</v>
      </c>
      <c r="P1176" s="159">
        <f t="shared" si="203"/>
        <v>2013</v>
      </c>
      <c r="Q1176" s="159">
        <f t="shared" si="204"/>
        <v>1</v>
      </c>
      <c r="R1176" s="160">
        <f t="shared" si="205"/>
        <v>3.5000000000582077</v>
      </c>
      <c r="S1176" s="158">
        <f t="shared" si="206"/>
        <v>0.30288461538965261</v>
      </c>
      <c r="T1176" s="161">
        <f t="shared" si="207"/>
        <v>147.20192307937117</v>
      </c>
      <c r="U1176" s="158">
        <f t="shared" si="208"/>
        <v>42.057692307692307</v>
      </c>
      <c r="V1176" s="160">
        <f t="shared" si="209"/>
        <v>42</v>
      </c>
    </row>
    <row r="1177" spans="1:22" x14ac:dyDescent="0.25">
      <c r="A1177" s="98" t="s">
        <v>27</v>
      </c>
      <c r="B1177" s="98" t="s">
        <v>17</v>
      </c>
      <c r="C1177" s="98">
        <v>3</v>
      </c>
      <c r="D1177" s="98">
        <v>340</v>
      </c>
      <c r="E1177" s="157">
        <v>41283.281944444447</v>
      </c>
      <c r="F1177" s="157">
        <v>41283.292361111111</v>
      </c>
      <c r="G1177" s="98">
        <v>475</v>
      </c>
      <c r="H1177" s="98">
        <v>520</v>
      </c>
      <c r="I1177" s="98">
        <v>486</v>
      </c>
      <c r="J1177" s="98" t="s">
        <v>1970</v>
      </c>
      <c r="K1177" s="98" t="s">
        <v>452</v>
      </c>
      <c r="L1177" s="105" t="str">
        <f t="shared" si="200"/>
        <v>Ghent</v>
      </c>
      <c r="M1177" s="105" t="str">
        <f t="shared" si="201"/>
        <v>Derate</v>
      </c>
      <c r="N1177" s="105" t="str">
        <f t="shared" si="202"/>
        <v>Coal</v>
      </c>
      <c r="O1177" s="105">
        <f>IFERROR(VLOOKUP(A1177,Lookup!$J$5:$P$19,7,FALSE),0)</f>
        <v>3</v>
      </c>
      <c r="P1177" s="159">
        <f t="shared" si="203"/>
        <v>2013</v>
      </c>
      <c r="Q1177" s="159">
        <f t="shared" si="204"/>
        <v>1</v>
      </c>
      <c r="R1177" s="160">
        <f t="shared" si="205"/>
        <v>0.24999999994179234</v>
      </c>
      <c r="S1177" s="158">
        <f t="shared" si="206"/>
        <v>2.1634615379578184E-2</v>
      </c>
      <c r="T1177" s="161">
        <f t="shared" si="207"/>
        <v>10.514423074474998</v>
      </c>
      <c r="U1177" s="158">
        <f t="shared" si="208"/>
        <v>42.057692307692307</v>
      </c>
      <c r="V1177" s="160">
        <f t="shared" si="209"/>
        <v>42</v>
      </c>
    </row>
    <row r="1178" spans="1:22" x14ac:dyDescent="0.25">
      <c r="A1178" s="98" t="s">
        <v>27</v>
      </c>
      <c r="B1178" s="98" t="s">
        <v>17</v>
      </c>
      <c r="C1178" s="98">
        <v>4</v>
      </c>
      <c r="D1178" s="98">
        <v>3415</v>
      </c>
      <c r="E1178" s="157">
        <v>41302.307638888888</v>
      </c>
      <c r="F1178" s="157">
        <v>41302.338888888888</v>
      </c>
      <c r="G1178" s="98">
        <v>330</v>
      </c>
      <c r="H1178" s="98">
        <v>520</v>
      </c>
      <c r="I1178" s="98">
        <v>486</v>
      </c>
      <c r="J1178" s="98" t="s">
        <v>2109</v>
      </c>
      <c r="K1178" s="98" t="s">
        <v>453</v>
      </c>
      <c r="L1178" s="105" t="str">
        <f t="shared" si="200"/>
        <v>Ghent</v>
      </c>
      <c r="M1178" s="105" t="str">
        <f t="shared" si="201"/>
        <v>Derate</v>
      </c>
      <c r="N1178" s="105" t="str">
        <f t="shared" si="202"/>
        <v>Coal</v>
      </c>
      <c r="O1178" s="105">
        <f>IFERROR(VLOOKUP(A1178,Lookup!$J$5:$P$19,7,FALSE),0)</f>
        <v>3</v>
      </c>
      <c r="P1178" s="159">
        <f t="shared" si="203"/>
        <v>2013</v>
      </c>
      <c r="Q1178" s="159">
        <f t="shared" si="204"/>
        <v>1</v>
      </c>
      <c r="R1178" s="160">
        <f t="shared" si="205"/>
        <v>0.75</v>
      </c>
      <c r="S1178" s="158">
        <f t="shared" si="206"/>
        <v>0.27403846153846156</v>
      </c>
      <c r="T1178" s="161">
        <f t="shared" si="207"/>
        <v>133.18269230769232</v>
      </c>
      <c r="U1178" s="158">
        <f t="shared" si="208"/>
        <v>177.57692307692307</v>
      </c>
      <c r="V1178" s="160">
        <f t="shared" si="209"/>
        <v>178</v>
      </c>
    </row>
    <row r="1179" spans="1:22" x14ac:dyDescent="0.25">
      <c r="A1179" s="98" t="s">
        <v>27</v>
      </c>
      <c r="B1179" s="98" t="s">
        <v>17</v>
      </c>
      <c r="C1179" s="98">
        <v>5</v>
      </c>
      <c r="D1179" s="98">
        <v>9280</v>
      </c>
      <c r="E1179" s="157">
        <v>41308.9375</v>
      </c>
      <c r="F1179" s="157">
        <v>41308.977083333331</v>
      </c>
      <c r="G1179" s="98">
        <v>470</v>
      </c>
      <c r="H1179" s="98">
        <v>520</v>
      </c>
      <c r="I1179" s="98">
        <v>486</v>
      </c>
      <c r="J1179" s="98" t="s">
        <v>2390</v>
      </c>
      <c r="K1179" s="98" t="s">
        <v>454</v>
      </c>
      <c r="L1179" s="105" t="str">
        <f t="shared" si="200"/>
        <v>Ghent</v>
      </c>
      <c r="M1179" s="105" t="str">
        <f t="shared" si="201"/>
        <v>Derate</v>
      </c>
      <c r="N1179" s="105" t="str">
        <f t="shared" si="202"/>
        <v>Coal</v>
      </c>
      <c r="O1179" s="105">
        <f>IFERROR(VLOOKUP(A1179,Lookup!$J$5:$P$19,7,FALSE),0)</f>
        <v>3</v>
      </c>
      <c r="P1179" s="159">
        <f t="shared" si="203"/>
        <v>2013</v>
      </c>
      <c r="Q1179" s="159">
        <f t="shared" si="204"/>
        <v>2</v>
      </c>
      <c r="R1179" s="160">
        <f t="shared" si="205"/>
        <v>0.94999999995343387</v>
      </c>
      <c r="S1179" s="158">
        <f t="shared" si="206"/>
        <v>9.1346153841676339E-2</v>
      </c>
      <c r="T1179" s="161">
        <f t="shared" si="207"/>
        <v>44.394230767054701</v>
      </c>
      <c r="U1179" s="158">
        <f t="shared" si="208"/>
        <v>46.730769230769234</v>
      </c>
      <c r="V1179" s="160">
        <f t="shared" si="209"/>
        <v>47</v>
      </c>
    </row>
    <row r="1180" spans="1:22" x14ac:dyDescent="0.25">
      <c r="A1180" s="98" t="s">
        <v>27</v>
      </c>
      <c r="B1180" s="98" t="s">
        <v>37</v>
      </c>
      <c r="C1180" s="98">
        <v>6</v>
      </c>
      <c r="D1180" s="98">
        <v>4611</v>
      </c>
      <c r="E1180" s="157">
        <v>41309.464583333334</v>
      </c>
      <c r="F1180" s="157">
        <v>41310.31527777778</v>
      </c>
      <c r="G1180" s="98">
        <v>0</v>
      </c>
      <c r="H1180" s="98">
        <v>520</v>
      </c>
      <c r="I1180" s="98">
        <v>486</v>
      </c>
      <c r="J1180" s="98" t="s">
        <v>2303</v>
      </c>
      <c r="K1180" s="98" t="s">
        <v>455</v>
      </c>
      <c r="L1180" s="105" t="str">
        <f t="shared" si="200"/>
        <v>Ghent</v>
      </c>
      <c r="M1180" s="105" t="str">
        <f t="shared" si="201"/>
        <v>Outage</v>
      </c>
      <c r="N1180" s="105" t="str">
        <f t="shared" si="202"/>
        <v>Coal</v>
      </c>
      <c r="O1180" s="105">
        <f>IFERROR(VLOOKUP(A1180,Lookup!$J$5:$P$19,7,FALSE),0)</f>
        <v>3</v>
      </c>
      <c r="P1180" s="159">
        <f t="shared" si="203"/>
        <v>2013</v>
      </c>
      <c r="Q1180" s="159">
        <f t="shared" si="204"/>
        <v>2</v>
      </c>
      <c r="R1180" s="160">
        <f t="shared" si="205"/>
        <v>20.416666666686069</v>
      </c>
      <c r="S1180" s="158">
        <f t="shared" si="206"/>
        <v>20.416666666686069</v>
      </c>
      <c r="T1180" s="161">
        <f t="shared" si="207"/>
        <v>9922.5000000094296</v>
      </c>
      <c r="U1180" s="158">
        <f t="shared" si="208"/>
        <v>486</v>
      </c>
      <c r="V1180" s="160">
        <f t="shared" si="209"/>
        <v>486</v>
      </c>
    </row>
    <row r="1181" spans="1:22" x14ac:dyDescent="0.25">
      <c r="A1181" s="98" t="s">
        <v>27</v>
      </c>
      <c r="B1181" s="98" t="s">
        <v>17</v>
      </c>
      <c r="C1181" s="98">
        <v>7</v>
      </c>
      <c r="D1181" s="98">
        <v>1850</v>
      </c>
      <c r="E1181" s="157">
        <v>41310.645833333336</v>
      </c>
      <c r="F1181" s="157">
        <v>41310.768750000003</v>
      </c>
      <c r="G1181" s="98">
        <v>440</v>
      </c>
      <c r="H1181" s="98">
        <v>520</v>
      </c>
      <c r="I1181" s="98">
        <v>486</v>
      </c>
      <c r="J1181" s="98" t="s">
        <v>2263</v>
      </c>
      <c r="K1181" s="98" t="s">
        <v>456</v>
      </c>
      <c r="L1181" s="105" t="str">
        <f t="shared" si="200"/>
        <v>Ghent</v>
      </c>
      <c r="M1181" s="105" t="str">
        <f t="shared" si="201"/>
        <v>Derate</v>
      </c>
      <c r="N1181" s="105" t="str">
        <f t="shared" si="202"/>
        <v>Coal</v>
      </c>
      <c r="O1181" s="105">
        <f>IFERROR(VLOOKUP(A1181,Lookup!$J$5:$P$19,7,FALSE),0)</f>
        <v>3</v>
      </c>
      <c r="P1181" s="159">
        <f t="shared" si="203"/>
        <v>2013</v>
      </c>
      <c r="Q1181" s="159">
        <f t="shared" si="204"/>
        <v>2</v>
      </c>
      <c r="R1181" s="160">
        <f t="shared" si="205"/>
        <v>2.9500000000116415</v>
      </c>
      <c r="S1181" s="158">
        <f t="shared" si="206"/>
        <v>0.45384615384794486</v>
      </c>
      <c r="T1181" s="161">
        <f t="shared" si="207"/>
        <v>220.5692307701012</v>
      </c>
      <c r="U1181" s="158">
        <f t="shared" si="208"/>
        <v>74.769230769230774</v>
      </c>
      <c r="V1181" s="160">
        <f t="shared" si="209"/>
        <v>75</v>
      </c>
    </row>
    <row r="1182" spans="1:22" x14ac:dyDescent="0.25">
      <c r="A1182" s="98" t="s">
        <v>27</v>
      </c>
      <c r="B1182" s="98" t="s">
        <v>17</v>
      </c>
      <c r="C1182" s="98">
        <v>8</v>
      </c>
      <c r="D1182" s="98">
        <v>1850</v>
      </c>
      <c r="E1182" s="157">
        <v>41310.768750000003</v>
      </c>
      <c r="F1182" s="157">
        <v>41310.799305555556</v>
      </c>
      <c r="G1182" s="98">
        <v>480</v>
      </c>
      <c r="H1182" s="98">
        <v>520</v>
      </c>
      <c r="I1182" s="98">
        <v>486</v>
      </c>
      <c r="J1182" s="98" t="s">
        <v>2263</v>
      </c>
      <c r="K1182" s="98" t="s">
        <v>457</v>
      </c>
      <c r="L1182" s="105" t="str">
        <f t="shared" si="200"/>
        <v>Ghent</v>
      </c>
      <c r="M1182" s="105" t="str">
        <f t="shared" si="201"/>
        <v>Derate</v>
      </c>
      <c r="N1182" s="105" t="str">
        <f t="shared" si="202"/>
        <v>Coal</v>
      </c>
      <c r="O1182" s="105">
        <f>IFERROR(VLOOKUP(A1182,Lookup!$J$5:$P$19,7,FALSE),0)</f>
        <v>3</v>
      </c>
      <c r="P1182" s="159">
        <f t="shared" si="203"/>
        <v>2013</v>
      </c>
      <c r="Q1182" s="159">
        <f t="shared" si="204"/>
        <v>2</v>
      </c>
      <c r="R1182" s="160">
        <f t="shared" si="205"/>
        <v>0.73333333327900618</v>
      </c>
      <c r="S1182" s="158">
        <f t="shared" si="206"/>
        <v>5.64102564060774E-2</v>
      </c>
      <c r="T1182" s="161">
        <f t="shared" si="207"/>
        <v>27.415384613353616</v>
      </c>
      <c r="U1182" s="158">
        <f t="shared" si="208"/>
        <v>37.384615384615387</v>
      </c>
      <c r="V1182" s="160">
        <f t="shared" si="209"/>
        <v>37</v>
      </c>
    </row>
    <row r="1183" spans="1:22" x14ac:dyDescent="0.25">
      <c r="A1183" s="98" t="s">
        <v>27</v>
      </c>
      <c r="B1183" s="98" t="s">
        <v>17</v>
      </c>
      <c r="C1183" s="98">
        <v>9</v>
      </c>
      <c r="D1183" s="98">
        <v>3441</v>
      </c>
      <c r="E1183" s="157">
        <v>41310.799305555556</v>
      </c>
      <c r="F1183" s="157">
        <v>41310.856944444444</v>
      </c>
      <c r="G1183" s="98">
        <v>480</v>
      </c>
      <c r="H1183" s="98">
        <v>520</v>
      </c>
      <c r="I1183" s="98">
        <v>486</v>
      </c>
      <c r="J1183" s="98" t="s">
        <v>2282</v>
      </c>
      <c r="K1183" s="98" t="s">
        <v>458</v>
      </c>
      <c r="L1183" s="105" t="str">
        <f t="shared" si="200"/>
        <v>Ghent</v>
      </c>
      <c r="M1183" s="105" t="str">
        <f t="shared" si="201"/>
        <v>Derate</v>
      </c>
      <c r="N1183" s="105" t="str">
        <f t="shared" si="202"/>
        <v>Coal</v>
      </c>
      <c r="O1183" s="105">
        <f>IFERROR(VLOOKUP(A1183,Lookup!$J$5:$P$19,7,FALSE),0)</f>
        <v>3</v>
      </c>
      <c r="P1183" s="159">
        <f t="shared" si="203"/>
        <v>2013</v>
      </c>
      <c r="Q1183" s="159">
        <f t="shared" si="204"/>
        <v>2</v>
      </c>
      <c r="R1183" s="160">
        <f t="shared" si="205"/>
        <v>1.3833333333022892</v>
      </c>
      <c r="S1183" s="158">
        <f t="shared" si="206"/>
        <v>0.1064102564078684</v>
      </c>
      <c r="T1183" s="161">
        <f t="shared" si="207"/>
        <v>51.715384614224043</v>
      </c>
      <c r="U1183" s="158">
        <f t="shared" si="208"/>
        <v>37.384615384615387</v>
      </c>
      <c r="V1183" s="160">
        <f t="shared" si="209"/>
        <v>37</v>
      </c>
    </row>
    <row r="1184" spans="1:22" x14ac:dyDescent="0.25">
      <c r="A1184" s="98" t="s">
        <v>27</v>
      </c>
      <c r="B1184" s="98" t="s">
        <v>17</v>
      </c>
      <c r="C1184" s="98">
        <v>10</v>
      </c>
      <c r="D1184" s="98">
        <v>3531</v>
      </c>
      <c r="E1184" s="157">
        <v>41310.856944444444</v>
      </c>
      <c r="F1184" s="157">
        <v>41310.933333333334</v>
      </c>
      <c r="G1184" s="98">
        <v>408</v>
      </c>
      <c r="H1184" s="98">
        <v>520</v>
      </c>
      <c r="I1184" s="98">
        <v>486</v>
      </c>
      <c r="J1184" s="98" t="s">
        <v>2298</v>
      </c>
      <c r="K1184" s="98" t="s">
        <v>459</v>
      </c>
      <c r="L1184" s="105" t="str">
        <f t="shared" si="200"/>
        <v>Ghent</v>
      </c>
      <c r="M1184" s="105" t="str">
        <f t="shared" si="201"/>
        <v>Derate</v>
      </c>
      <c r="N1184" s="105" t="str">
        <f t="shared" si="202"/>
        <v>Coal</v>
      </c>
      <c r="O1184" s="105">
        <f>IFERROR(VLOOKUP(A1184,Lookup!$J$5:$P$19,7,FALSE),0)</f>
        <v>3</v>
      </c>
      <c r="P1184" s="159">
        <f t="shared" si="203"/>
        <v>2013</v>
      </c>
      <c r="Q1184" s="159">
        <f t="shared" si="204"/>
        <v>2</v>
      </c>
      <c r="R1184" s="160">
        <f t="shared" si="205"/>
        <v>1.8333333333721384</v>
      </c>
      <c r="S1184" s="158">
        <f t="shared" si="206"/>
        <v>0.39487179488015289</v>
      </c>
      <c r="T1184" s="161">
        <f t="shared" si="207"/>
        <v>191.90769231175432</v>
      </c>
      <c r="U1184" s="158">
        <f t="shared" si="208"/>
        <v>104.67692307692307</v>
      </c>
      <c r="V1184" s="160">
        <f t="shared" si="209"/>
        <v>105</v>
      </c>
    </row>
    <row r="1185" spans="1:22" x14ac:dyDescent="0.25">
      <c r="A1185" s="98" t="s">
        <v>27</v>
      </c>
      <c r="B1185" s="98" t="s">
        <v>17</v>
      </c>
      <c r="C1185" s="98">
        <v>11</v>
      </c>
      <c r="D1185" s="98">
        <v>3441</v>
      </c>
      <c r="E1185" s="157">
        <v>41310.933333333334</v>
      </c>
      <c r="F1185" s="157">
        <v>41311.385416666664</v>
      </c>
      <c r="G1185" s="98">
        <v>480</v>
      </c>
      <c r="H1185" s="98">
        <v>520</v>
      </c>
      <c r="I1185" s="98">
        <v>486</v>
      </c>
      <c r="J1185" s="98" t="s">
        <v>2282</v>
      </c>
      <c r="K1185" s="98" t="s">
        <v>460</v>
      </c>
      <c r="L1185" s="105" t="str">
        <f t="shared" si="200"/>
        <v>Ghent</v>
      </c>
      <c r="M1185" s="105" t="str">
        <f t="shared" si="201"/>
        <v>Derate</v>
      </c>
      <c r="N1185" s="105" t="str">
        <f t="shared" si="202"/>
        <v>Coal</v>
      </c>
      <c r="O1185" s="105">
        <f>IFERROR(VLOOKUP(A1185,Lookup!$J$5:$P$19,7,FALSE),0)</f>
        <v>3</v>
      </c>
      <c r="P1185" s="159">
        <f t="shared" si="203"/>
        <v>2013</v>
      </c>
      <c r="Q1185" s="159">
        <f t="shared" si="204"/>
        <v>2</v>
      </c>
      <c r="R1185" s="160">
        <f t="shared" si="205"/>
        <v>10.849999999918509</v>
      </c>
      <c r="S1185" s="158">
        <f t="shared" si="206"/>
        <v>0.83461538460911611</v>
      </c>
      <c r="T1185" s="161">
        <f t="shared" si="207"/>
        <v>405.62307692003043</v>
      </c>
      <c r="U1185" s="158">
        <f t="shared" si="208"/>
        <v>37.384615384615387</v>
      </c>
      <c r="V1185" s="160">
        <f t="shared" si="209"/>
        <v>37</v>
      </c>
    </row>
    <row r="1186" spans="1:22" x14ac:dyDescent="0.25">
      <c r="A1186" s="98" t="s">
        <v>27</v>
      </c>
      <c r="B1186" s="98" t="s">
        <v>15</v>
      </c>
      <c r="C1186" s="98">
        <v>12</v>
      </c>
      <c r="D1186" s="98">
        <v>1000</v>
      </c>
      <c r="E1186" s="157">
        <v>41315.673611111109</v>
      </c>
      <c r="F1186" s="157">
        <v>41317.181944444441</v>
      </c>
      <c r="G1186" s="98">
        <v>0</v>
      </c>
      <c r="H1186" s="98">
        <v>520</v>
      </c>
      <c r="I1186" s="98">
        <v>486</v>
      </c>
      <c r="J1186" s="98" t="s">
        <v>2002</v>
      </c>
      <c r="K1186" s="98" t="s">
        <v>461</v>
      </c>
      <c r="L1186" s="105" t="str">
        <f t="shared" si="200"/>
        <v>Ghent</v>
      </c>
      <c r="M1186" s="105" t="str">
        <f t="shared" si="201"/>
        <v>Outage</v>
      </c>
      <c r="N1186" s="105" t="str">
        <f t="shared" si="202"/>
        <v>Coal</v>
      </c>
      <c r="O1186" s="105">
        <f>IFERROR(VLOOKUP(A1186,Lookup!$J$5:$P$19,7,FALSE),0)</f>
        <v>3</v>
      </c>
      <c r="P1186" s="159">
        <f t="shared" si="203"/>
        <v>2013</v>
      </c>
      <c r="Q1186" s="159">
        <f t="shared" si="204"/>
        <v>2</v>
      </c>
      <c r="R1186" s="160">
        <f t="shared" si="205"/>
        <v>36.199999999953434</v>
      </c>
      <c r="S1186" s="158">
        <f t="shared" si="206"/>
        <v>36.199999999953434</v>
      </c>
      <c r="T1186" s="161">
        <f t="shared" si="207"/>
        <v>17593.199999977369</v>
      </c>
      <c r="U1186" s="158">
        <f t="shared" si="208"/>
        <v>486</v>
      </c>
      <c r="V1186" s="160">
        <f t="shared" si="209"/>
        <v>486</v>
      </c>
    </row>
    <row r="1187" spans="1:22" x14ac:dyDescent="0.25">
      <c r="A1187" s="98" t="s">
        <v>27</v>
      </c>
      <c r="B1187" s="98" t="s">
        <v>17</v>
      </c>
      <c r="C1187" s="98">
        <v>13</v>
      </c>
      <c r="D1187" s="98">
        <v>760</v>
      </c>
      <c r="E1187" s="157">
        <v>41320.809027777781</v>
      </c>
      <c r="F1187" s="157">
        <v>41320.826388888891</v>
      </c>
      <c r="G1187" s="98">
        <v>480</v>
      </c>
      <c r="H1187" s="98">
        <v>520</v>
      </c>
      <c r="I1187" s="98">
        <v>486</v>
      </c>
      <c r="J1187" s="98" t="s">
        <v>2391</v>
      </c>
      <c r="K1187" s="98" t="s">
        <v>462</v>
      </c>
      <c r="L1187" s="105" t="str">
        <f t="shared" si="200"/>
        <v>Ghent</v>
      </c>
      <c r="M1187" s="105" t="str">
        <f t="shared" si="201"/>
        <v>Derate</v>
      </c>
      <c r="N1187" s="105" t="str">
        <f t="shared" si="202"/>
        <v>Coal</v>
      </c>
      <c r="O1187" s="105">
        <f>IFERROR(VLOOKUP(A1187,Lookup!$J$5:$P$19,7,FALSE),0)</f>
        <v>3</v>
      </c>
      <c r="P1187" s="159">
        <f t="shared" si="203"/>
        <v>2013</v>
      </c>
      <c r="Q1187" s="159">
        <f t="shared" si="204"/>
        <v>2</v>
      </c>
      <c r="R1187" s="160">
        <f t="shared" si="205"/>
        <v>0.41666666662786156</v>
      </c>
      <c r="S1187" s="158">
        <f t="shared" si="206"/>
        <v>3.205128204829704E-2</v>
      </c>
      <c r="T1187" s="161">
        <f t="shared" si="207"/>
        <v>15.576923075472362</v>
      </c>
      <c r="U1187" s="158">
        <f t="shared" si="208"/>
        <v>37.384615384615387</v>
      </c>
      <c r="V1187" s="160">
        <f t="shared" si="209"/>
        <v>37</v>
      </c>
    </row>
    <row r="1188" spans="1:22" x14ac:dyDescent="0.25">
      <c r="A1188" s="98" t="s">
        <v>27</v>
      </c>
      <c r="B1188" s="98" t="s">
        <v>17</v>
      </c>
      <c r="C1188" s="98">
        <v>14</v>
      </c>
      <c r="D1188" s="98">
        <v>760</v>
      </c>
      <c r="E1188" s="157">
        <v>41320.826388888891</v>
      </c>
      <c r="F1188" s="157">
        <v>41320.885416666664</v>
      </c>
      <c r="G1188" s="98">
        <v>400</v>
      </c>
      <c r="H1188" s="98">
        <v>520</v>
      </c>
      <c r="I1188" s="98">
        <v>486</v>
      </c>
      <c r="J1188" s="98" t="s">
        <v>2391</v>
      </c>
      <c r="K1188" s="98" t="s">
        <v>463</v>
      </c>
      <c r="L1188" s="105" t="str">
        <f t="shared" si="200"/>
        <v>Ghent</v>
      </c>
      <c r="M1188" s="105" t="str">
        <f t="shared" si="201"/>
        <v>Derate</v>
      </c>
      <c r="N1188" s="105" t="str">
        <f t="shared" si="202"/>
        <v>Coal</v>
      </c>
      <c r="O1188" s="105">
        <f>IFERROR(VLOOKUP(A1188,Lookup!$J$5:$P$19,7,FALSE),0)</f>
        <v>3</v>
      </c>
      <c r="P1188" s="159">
        <f t="shared" si="203"/>
        <v>2013</v>
      </c>
      <c r="Q1188" s="159">
        <f t="shared" si="204"/>
        <v>2</v>
      </c>
      <c r="R1188" s="160">
        <f t="shared" si="205"/>
        <v>1.4166666665696539</v>
      </c>
      <c r="S1188" s="158">
        <f t="shared" si="206"/>
        <v>0.32692307690068934</v>
      </c>
      <c r="T1188" s="161">
        <f t="shared" si="207"/>
        <v>158.88461537373502</v>
      </c>
      <c r="U1188" s="158">
        <f t="shared" si="208"/>
        <v>112.15384615384616</v>
      </c>
      <c r="V1188" s="160">
        <f t="shared" si="209"/>
        <v>112</v>
      </c>
    </row>
    <row r="1189" spans="1:22" x14ac:dyDescent="0.25">
      <c r="A1189" s="98" t="s">
        <v>27</v>
      </c>
      <c r="B1189" s="98" t="s">
        <v>17</v>
      </c>
      <c r="C1189" s="98">
        <v>15</v>
      </c>
      <c r="D1189" s="98">
        <v>3415</v>
      </c>
      <c r="E1189" s="157">
        <v>41322.288194444445</v>
      </c>
      <c r="F1189" s="157">
        <v>41322.340277777781</v>
      </c>
      <c r="G1189" s="98">
        <v>320</v>
      </c>
      <c r="H1189" s="98">
        <v>520</v>
      </c>
      <c r="I1189" s="98">
        <v>486</v>
      </c>
      <c r="J1189" s="98" t="s">
        <v>2109</v>
      </c>
      <c r="K1189" s="98" t="s">
        <v>464</v>
      </c>
      <c r="L1189" s="105" t="str">
        <f t="shared" si="200"/>
        <v>Ghent</v>
      </c>
      <c r="M1189" s="105" t="str">
        <f t="shared" si="201"/>
        <v>Derate</v>
      </c>
      <c r="N1189" s="105" t="str">
        <f t="shared" si="202"/>
        <v>Coal</v>
      </c>
      <c r="O1189" s="105">
        <f>IFERROR(VLOOKUP(A1189,Lookup!$J$5:$P$19,7,FALSE),0)</f>
        <v>3</v>
      </c>
      <c r="P1189" s="159">
        <f t="shared" si="203"/>
        <v>2013</v>
      </c>
      <c r="Q1189" s="159">
        <f t="shared" si="204"/>
        <v>2</v>
      </c>
      <c r="R1189" s="160">
        <f t="shared" si="205"/>
        <v>1.2500000000582077</v>
      </c>
      <c r="S1189" s="158">
        <f t="shared" si="206"/>
        <v>0.48076923079161832</v>
      </c>
      <c r="T1189" s="161">
        <f t="shared" si="207"/>
        <v>233.6538461647265</v>
      </c>
      <c r="U1189" s="158">
        <f t="shared" si="208"/>
        <v>186.92307692307693</v>
      </c>
      <c r="V1189" s="160">
        <f t="shared" si="209"/>
        <v>187</v>
      </c>
    </row>
    <row r="1190" spans="1:22" x14ac:dyDescent="0.25">
      <c r="A1190" s="98" t="s">
        <v>27</v>
      </c>
      <c r="B1190" s="98" t="s">
        <v>17</v>
      </c>
      <c r="C1190" s="98">
        <v>16</v>
      </c>
      <c r="D1190" s="98">
        <v>3415</v>
      </c>
      <c r="E1190" s="157">
        <v>41324.288888888892</v>
      </c>
      <c r="F1190" s="157">
        <v>41324.327777777777</v>
      </c>
      <c r="G1190" s="98">
        <v>320</v>
      </c>
      <c r="H1190" s="98">
        <v>520</v>
      </c>
      <c r="I1190" s="98">
        <v>486</v>
      </c>
      <c r="J1190" s="98" t="s">
        <v>2109</v>
      </c>
      <c r="K1190" s="98" t="s">
        <v>465</v>
      </c>
      <c r="L1190" s="105" t="str">
        <f t="shared" si="200"/>
        <v>Ghent</v>
      </c>
      <c r="M1190" s="105" t="str">
        <f t="shared" si="201"/>
        <v>Derate</v>
      </c>
      <c r="N1190" s="105" t="str">
        <f t="shared" si="202"/>
        <v>Coal</v>
      </c>
      <c r="O1190" s="105">
        <f>IFERROR(VLOOKUP(A1190,Lookup!$J$5:$P$19,7,FALSE),0)</f>
        <v>3</v>
      </c>
      <c r="P1190" s="159">
        <f t="shared" si="203"/>
        <v>2013</v>
      </c>
      <c r="Q1190" s="159">
        <f t="shared" si="204"/>
        <v>2</v>
      </c>
      <c r="R1190" s="160">
        <f t="shared" si="205"/>
        <v>0.93333333323244005</v>
      </c>
      <c r="S1190" s="158">
        <f t="shared" si="206"/>
        <v>0.35897435893555385</v>
      </c>
      <c r="T1190" s="161">
        <f t="shared" si="207"/>
        <v>174.46153844267917</v>
      </c>
      <c r="U1190" s="158">
        <f t="shared" si="208"/>
        <v>186.92307692307693</v>
      </c>
      <c r="V1190" s="160">
        <f t="shared" si="209"/>
        <v>187</v>
      </c>
    </row>
    <row r="1191" spans="1:22" x14ac:dyDescent="0.25">
      <c r="A1191" s="98" t="s">
        <v>27</v>
      </c>
      <c r="B1191" s="98" t="s">
        <v>17</v>
      </c>
      <c r="C1191" s="98">
        <v>17</v>
      </c>
      <c r="D1191" s="98">
        <v>346</v>
      </c>
      <c r="E1191" s="157">
        <v>41338.548611111109</v>
      </c>
      <c r="F1191" s="157">
        <v>41338.67083333333</v>
      </c>
      <c r="G1191" s="98">
        <v>475</v>
      </c>
      <c r="H1191" s="98">
        <v>520</v>
      </c>
      <c r="I1191" s="98">
        <v>486</v>
      </c>
      <c r="J1191" s="98" t="s">
        <v>1986</v>
      </c>
      <c r="K1191" s="98" t="s">
        <v>466</v>
      </c>
      <c r="L1191" s="105" t="str">
        <f t="shared" ref="L1191:L1254" si="210">IF(OR(A1191="BR1",A1191="BR2",A1191="BR3",A1191="BR5",A1191="BR6",A1191="BR7",A1191="BR8",A1191="BR9",A1191="BR10",A1191="BR11"),"Brown",IF(OR(A1191="CR4",A1191="CR5",A1191="CR6",A1191="CR11"),"Cane Run",IF(OR(A1191="GH1",A1191="GH2",A1191="GH3",A1191="GH4"),"Ghent",IF(OR(A1191="GR3",A1191="GR4"),"Green River",IF(OR(A1191="MC1",A1191="MC2",A1191="MC3",A1191="MC4"),"Mill Creek",IF(OR(A1191="TC1",A1191="TC2",A1191="TC5",A1191="TC6",A1191="TC7",A1191="TC8",A1191="TC9",A1191="TC10"),"Trimble",IF(A1191="TY3","Tyrone",IF(OR(A1191="HA1",A1191="HA2",A1191="HA3"),"Haeflin",IF(OR(A1191="PR11",A1191="PR12",A1191="PR13"),"Paddy's Run","Zorn")))))))))</f>
        <v>Ghent</v>
      </c>
      <c r="M1191" s="105" t="str">
        <f t="shared" ref="M1191:M1254" si="211">IF(OR(B1191="D1",B1191="D2",B1191="D3",B1191="D4",B1191="PD"),"Derate",IF(OR(B1191="SF",B1191="U1",B1191="U2",B1191="U3"),"Outage",IF(OR(B1191="ME",B1191="MO"),"Maintenance","Other")))</f>
        <v>Derate</v>
      </c>
      <c r="N1191" s="105" t="str">
        <f t="shared" ref="N1191:N1254" si="212">IF(OR(A1191="BR1",A1191="BR2",A1191="BR3",A1191="CR4",A1191="CR5",A1191="CR6",A1191="GH1",A1191="GH2",A1191="GH3",A1191="GH4",A1191="GR3",A1191="GR4",A1191="MC1",A1191="MC2",A1191="MC3",A1191="MC4",A1191="TC1",A1191="TC2",A1191="TY3"),"Coal","Gas")</f>
        <v>Coal</v>
      </c>
      <c r="O1191" s="105">
        <f>IFERROR(VLOOKUP(A1191,Lookup!$J$5:$P$19,7,FALSE),0)</f>
        <v>3</v>
      </c>
      <c r="P1191" s="159">
        <f t="shared" ref="P1191:P1254" si="213">YEAR(E1191)</f>
        <v>2013</v>
      </c>
      <c r="Q1191" s="159">
        <f t="shared" ref="Q1191:Q1254" si="214">MONTH(E1191)</f>
        <v>3</v>
      </c>
      <c r="R1191" s="160">
        <f t="shared" ref="R1191:R1254" si="215">(F1191-E1191)*24</f>
        <v>2.9333333332906477</v>
      </c>
      <c r="S1191" s="158">
        <f t="shared" ref="S1191:S1254" si="216">R1191*(H1191-G1191)/H1191</f>
        <v>0.2538461538424599</v>
      </c>
      <c r="T1191" s="161">
        <f t="shared" ref="T1191:T1254" si="217">S1191*I1191</f>
        <v>123.36923076743551</v>
      </c>
      <c r="U1191" s="158">
        <f t="shared" ref="U1191:U1254" si="218">IF(G1191&gt;0,MAX((H1191-G1191),0)*I1191/H1191,I1191)</f>
        <v>42.057692307692307</v>
      </c>
      <c r="V1191" s="160">
        <f t="shared" ref="V1191:V1254" si="219">ROUND(U1191,0)</f>
        <v>42</v>
      </c>
    </row>
    <row r="1192" spans="1:22" x14ac:dyDescent="0.25">
      <c r="A1192" s="98" t="s">
        <v>27</v>
      </c>
      <c r="B1192" s="98" t="s">
        <v>17</v>
      </c>
      <c r="C1192" s="98">
        <v>18</v>
      </c>
      <c r="D1192" s="98">
        <v>1475</v>
      </c>
      <c r="E1192" s="157">
        <v>41339.474999999999</v>
      </c>
      <c r="F1192" s="157">
        <v>41339.570833333331</v>
      </c>
      <c r="G1192" s="98">
        <v>200</v>
      </c>
      <c r="H1192" s="98">
        <v>520</v>
      </c>
      <c r="I1192" s="98">
        <v>486</v>
      </c>
      <c r="J1192" s="98" t="s">
        <v>1989</v>
      </c>
      <c r="K1192" s="98" t="s">
        <v>467</v>
      </c>
      <c r="L1192" s="105" t="str">
        <f t="shared" si="210"/>
        <v>Ghent</v>
      </c>
      <c r="M1192" s="105" t="str">
        <f t="shared" si="211"/>
        <v>Derate</v>
      </c>
      <c r="N1192" s="105" t="str">
        <f t="shared" si="212"/>
        <v>Coal</v>
      </c>
      <c r="O1192" s="105">
        <f>IFERROR(VLOOKUP(A1192,Lookup!$J$5:$P$19,7,FALSE),0)</f>
        <v>3</v>
      </c>
      <c r="P1192" s="159">
        <f t="shared" si="213"/>
        <v>2013</v>
      </c>
      <c r="Q1192" s="159">
        <f t="shared" si="214"/>
        <v>3</v>
      </c>
      <c r="R1192" s="160">
        <f t="shared" si="215"/>
        <v>2.2999999999883585</v>
      </c>
      <c r="S1192" s="158">
        <f t="shared" si="216"/>
        <v>1.4153846153774514</v>
      </c>
      <c r="T1192" s="161">
        <f t="shared" si="217"/>
        <v>687.87692307344139</v>
      </c>
      <c r="U1192" s="158">
        <f t="shared" si="218"/>
        <v>299.07692307692309</v>
      </c>
      <c r="V1192" s="160">
        <f t="shared" si="219"/>
        <v>299</v>
      </c>
    </row>
    <row r="1193" spans="1:22" x14ac:dyDescent="0.25">
      <c r="A1193" s="98" t="s">
        <v>27</v>
      </c>
      <c r="B1193" s="98" t="s">
        <v>20</v>
      </c>
      <c r="C1193" s="98">
        <v>19</v>
      </c>
      <c r="D1193" s="98">
        <v>1000</v>
      </c>
      <c r="E1193" s="157">
        <v>41348.542361111111</v>
      </c>
      <c r="F1193" s="157">
        <v>41350.479861111111</v>
      </c>
      <c r="G1193" s="98">
        <v>0</v>
      </c>
      <c r="H1193" s="98">
        <v>520</v>
      </c>
      <c r="I1193" s="98">
        <v>486</v>
      </c>
      <c r="J1193" s="98" t="s">
        <v>2002</v>
      </c>
      <c r="K1193" s="98" t="s">
        <v>468</v>
      </c>
      <c r="L1193" s="105" t="str">
        <f t="shared" si="210"/>
        <v>Ghent</v>
      </c>
      <c r="M1193" s="105" t="str">
        <f t="shared" si="211"/>
        <v>Maintenance</v>
      </c>
      <c r="N1193" s="105" t="str">
        <f t="shared" si="212"/>
        <v>Coal</v>
      </c>
      <c r="O1193" s="105">
        <f>IFERROR(VLOOKUP(A1193,Lookup!$J$5:$P$19,7,FALSE),0)</f>
        <v>3</v>
      </c>
      <c r="P1193" s="159">
        <f t="shared" si="213"/>
        <v>2013</v>
      </c>
      <c r="Q1193" s="159">
        <f t="shared" si="214"/>
        <v>3</v>
      </c>
      <c r="R1193" s="160">
        <f t="shared" si="215"/>
        <v>46.5</v>
      </c>
      <c r="S1193" s="158">
        <f t="shared" si="216"/>
        <v>46.5</v>
      </c>
      <c r="T1193" s="161">
        <f t="shared" si="217"/>
        <v>22599</v>
      </c>
      <c r="U1193" s="158">
        <f t="shared" si="218"/>
        <v>486</v>
      </c>
      <c r="V1193" s="160">
        <f t="shared" si="219"/>
        <v>486</v>
      </c>
    </row>
    <row r="1194" spans="1:22" x14ac:dyDescent="0.25">
      <c r="A1194" s="98" t="s">
        <v>27</v>
      </c>
      <c r="B1194" s="98" t="s">
        <v>17</v>
      </c>
      <c r="C1194" s="98">
        <v>20</v>
      </c>
      <c r="D1194" s="98">
        <v>3440</v>
      </c>
      <c r="E1194" s="157">
        <v>41354.968055555553</v>
      </c>
      <c r="F1194" s="157">
        <v>41355.078472222223</v>
      </c>
      <c r="G1194" s="98">
        <v>465</v>
      </c>
      <c r="H1194" s="98">
        <v>520</v>
      </c>
      <c r="I1194" s="98">
        <v>486</v>
      </c>
      <c r="J1194" s="98" t="s">
        <v>2100</v>
      </c>
      <c r="K1194" s="98" t="s">
        <v>469</v>
      </c>
      <c r="L1194" s="105" t="str">
        <f t="shared" si="210"/>
        <v>Ghent</v>
      </c>
      <c r="M1194" s="105" t="str">
        <f t="shared" si="211"/>
        <v>Derate</v>
      </c>
      <c r="N1194" s="105" t="str">
        <f t="shared" si="212"/>
        <v>Coal</v>
      </c>
      <c r="O1194" s="105">
        <f>IFERROR(VLOOKUP(A1194,Lookup!$J$5:$P$19,7,FALSE),0)</f>
        <v>3</v>
      </c>
      <c r="P1194" s="159">
        <f t="shared" si="213"/>
        <v>2013</v>
      </c>
      <c r="Q1194" s="159">
        <f t="shared" si="214"/>
        <v>3</v>
      </c>
      <c r="R1194" s="160">
        <f t="shared" si="215"/>
        <v>2.6500000000814907</v>
      </c>
      <c r="S1194" s="158">
        <f t="shared" si="216"/>
        <v>0.28028846154708076</v>
      </c>
      <c r="T1194" s="161">
        <f t="shared" si="217"/>
        <v>136.22019231188125</v>
      </c>
      <c r="U1194" s="158">
        <f t="shared" si="218"/>
        <v>51.403846153846153</v>
      </c>
      <c r="V1194" s="160">
        <f t="shared" si="219"/>
        <v>51</v>
      </c>
    </row>
    <row r="1195" spans="1:22" x14ac:dyDescent="0.25">
      <c r="A1195" s="98" t="s">
        <v>27</v>
      </c>
      <c r="B1195" s="98" t="s">
        <v>17</v>
      </c>
      <c r="C1195" s="98">
        <v>21</v>
      </c>
      <c r="D1195" s="98">
        <v>346</v>
      </c>
      <c r="E1195" s="157">
        <v>41355.59375</v>
      </c>
      <c r="F1195" s="157">
        <v>41355.769444444442</v>
      </c>
      <c r="G1195" s="98">
        <v>460</v>
      </c>
      <c r="H1195" s="98">
        <v>520</v>
      </c>
      <c r="I1195" s="98">
        <v>486</v>
      </c>
      <c r="J1195" s="98" t="s">
        <v>1986</v>
      </c>
      <c r="K1195" s="98" t="s">
        <v>470</v>
      </c>
      <c r="L1195" s="105" t="str">
        <f t="shared" si="210"/>
        <v>Ghent</v>
      </c>
      <c r="M1195" s="105" t="str">
        <f t="shared" si="211"/>
        <v>Derate</v>
      </c>
      <c r="N1195" s="105" t="str">
        <f t="shared" si="212"/>
        <v>Coal</v>
      </c>
      <c r="O1195" s="105">
        <f>IFERROR(VLOOKUP(A1195,Lookup!$J$5:$P$19,7,FALSE),0)</f>
        <v>3</v>
      </c>
      <c r="P1195" s="159">
        <f t="shared" si="213"/>
        <v>2013</v>
      </c>
      <c r="Q1195" s="159">
        <f t="shared" si="214"/>
        <v>3</v>
      </c>
      <c r="R1195" s="160">
        <f t="shared" si="215"/>
        <v>4.21666666661622</v>
      </c>
      <c r="S1195" s="158">
        <f t="shared" si="216"/>
        <v>0.4865384615326408</v>
      </c>
      <c r="T1195" s="161">
        <f t="shared" si="217"/>
        <v>236.45769230486343</v>
      </c>
      <c r="U1195" s="158">
        <f t="shared" si="218"/>
        <v>56.07692307692308</v>
      </c>
      <c r="V1195" s="160">
        <f t="shared" si="219"/>
        <v>56</v>
      </c>
    </row>
    <row r="1196" spans="1:22" x14ac:dyDescent="0.25">
      <c r="A1196" s="98" t="s">
        <v>27</v>
      </c>
      <c r="B1196" s="98" t="s">
        <v>17</v>
      </c>
      <c r="C1196" s="98">
        <v>22</v>
      </c>
      <c r="D1196" s="98">
        <v>346</v>
      </c>
      <c r="E1196" s="157">
        <v>41358.881944444445</v>
      </c>
      <c r="F1196" s="157">
        <v>41359.708333333336</v>
      </c>
      <c r="G1196" s="98">
        <v>490</v>
      </c>
      <c r="H1196" s="98">
        <v>520</v>
      </c>
      <c r="I1196" s="98">
        <v>486</v>
      </c>
      <c r="J1196" s="98" t="s">
        <v>1986</v>
      </c>
      <c r="K1196" s="98" t="s">
        <v>471</v>
      </c>
      <c r="L1196" s="105" t="str">
        <f t="shared" si="210"/>
        <v>Ghent</v>
      </c>
      <c r="M1196" s="105" t="str">
        <f t="shared" si="211"/>
        <v>Derate</v>
      </c>
      <c r="N1196" s="105" t="str">
        <f t="shared" si="212"/>
        <v>Coal</v>
      </c>
      <c r="O1196" s="105">
        <f>IFERROR(VLOOKUP(A1196,Lookup!$J$5:$P$19,7,FALSE),0)</f>
        <v>3</v>
      </c>
      <c r="P1196" s="159">
        <f t="shared" si="213"/>
        <v>2013</v>
      </c>
      <c r="Q1196" s="159">
        <f t="shared" si="214"/>
        <v>3</v>
      </c>
      <c r="R1196" s="160">
        <f t="shared" si="215"/>
        <v>19.833333333372138</v>
      </c>
      <c r="S1196" s="158">
        <f t="shared" si="216"/>
        <v>1.144230769233008</v>
      </c>
      <c r="T1196" s="161">
        <f t="shared" si="217"/>
        <v>556.09615384724191</v>
      </c>
      <c r="U1196" s="158">
        <f t="shared" si="218"/>
        <v>28.03846153846154</v>
      </c>
      <c r="V1196" s="160">
        <f t="shared" si="219"/>
        <v>28</v>
      </c>
    </row>
    <row r="1197" spans="1:22" x14ac:dyDescent="0.25">
      <c r="A1197" s="98" t="s">
        <v>27</v>
      </c>
      <c r="B1197" s="98" t="s">
        <v>17</v>
      </c>
      <c r="C1197" s="98">
        <v>23</v>
      </c>
      <c r="D1197" s="98">
        <v>3661</v>
      </c>
      <c r="E1197" s="157">
        <v>41359.820138888892</v>
      </c>
      <c r="F1197" s="157">
        <v>41359.999305555553</v>
      </c>
      <c r="G1197" s="98">
        <v>490</v>
      </c>
      <c r="H1197" s="98">
        <v>520</v>
      </c>
      <c r="I1197" s="98">
        <v>486</v>
      </c>
      <c r="J1197" s="98" t="s">
        <v>2170</v>
      </c>
      <c r="K1197" s="98" t="s">
        <v>472</v>
      </c>
      <c r="L1197" s="105" t="str">
        <f t="shared" si="210"/>
        <v>Ghent</v>
      </c>
      <c r="M1197" s="105" t="str">
        <f t="shared" si="211"/>
        <v>Derate</v>
      </c>
      <c r="N1197" s="105" t="str">
        <f t="shared" si="212"/>
        <v>Coal</v>
      </c>
      <c r="O1197" s="105">
        <f>IFERROR(VLOOKUP(A1197,Lookup!$J$5:$P$19,7,FALSE),0)</f>
        <v>3</v>
      </c>
      <c r="P1197" s="159">
        <f t="shared" si="213"/>
        <v>2013</v>
      </c>
      <c r="Q1197" s="159">
        <f t="shared" si="214"/>
        <v>3</v>
      </c>
      <c r="R1197" s="160">
        <f t="shared" si="215"/>
        <v>4.2999999998719431</v>
      </c>
      <c r="S1197" s="158">
        <f t="shared" si="216"/>
        <v>0.24807692306953519</v>
      </c>
      <c r="T1197" s="161">
        <f t="shared" si="217"/>
        <v>120.5653846117941</v>
      </c>
      <c r="U1197" s="158">
        <f t="shared" si="218"/>
        <v>28.03846153846154</v>
      </c>
      <c r="V1197" s="160">
        <f t="shared" si="219"/>
        <v>28</v>
      </c>
    </row>
    <row r="1198" spans="1:22" x14ac:dyDescent="0.25">
      <c r="A1198" s="98" t="s">
        <v>27</v>
      </c>
      <c r="B1198" s="98" t="s">
        <v>17</v>
      </c>
      <c r="C1198" s="98">
        <v>24</v>
      </c>
      <c r="D1198" s="98">
        <v>344</v>
      </c>
      <c r="E1198" s="157">
        <v>41360.570833333331</v>
      </c>
      <c r="F1198" s="157">
        <v>41360.681944444441</v>
      </c>
      <c r="G1198" s="98">
        <v>480</v>
      </c>
      <c r="H1198" s="98">
        <v>520</v>
      </c>
      <c r="I1198" s="98">
        <v>486</v>
      </c>
      <c r="J1198" s="98" t="s">
        <v>1968</v>
      </c>
      <c r="K1198" s="98" t="s">
        <v>473</v>
      </c>
      <c r="L1198" s="105" t="str">
        <f t="shared" si="210"/>
        <v>Ghent</v>
      </c>
      <c r="M1198" s="105" t="str">
        <f t="shared" si="211"/>
        <v>Derate</v>
      </c>
      <c r="N1198" s="105" t="str">
        <f t="shared" si="212"/>
        <v>Coal</v>
      </c>
      <c r="O1198" s="105">
        <f>IFERROR(VLOOKUP(A1198,Lookup!$J$5:$P$19,7,FALSE),0)</f>
        <v>3</v>
      </c>
      <c r="P1198" s="159">
        <f t="shared" si="213"/>
        <v>2013</v>
      </c>
      <c r="Q1198" s="159">
        <f t="shared" si="214"/>
        <v>3</v>
      </c>
      <c r="R1198" s="160">
        <f t="shared" si="215"/>
        <v>2.6666666666278616</v>
      </c>
      <c r="S1198" s="158">
        <f t="shared" si="216"/>
        <v>0.20512820512522012</v>
      </c>
      <c r="T1198" s="161">
        <f t="shared" si="217"/>
        <v>99.692307690856978</v>
      </c>
      <c r="U1198" s="158">
        <f t="shared" si="218"/>
        <v>37.384615384615387</v>
      </c>
      <c r="V1198" s="160">
        <f t="shared" si="219"/>
        <v>37</v>
      </c>
    </row>
    <row r="1199" spans="1:22" x14ac:dyDescent="0.25">
      <c r="A1199" s="98" t="s">
        <v>27</v>
      </c>
      <c r="B1199" s="98" t="s">
        <v>17</v>
      </c>
      <c r="C1199" s="98">
        <v>25</v>
      </c>
      <c r="D1199" s="98">
        <v>346</v>
      </c>
      <c r="E1199" s="157">
        <v>41364.878472222219</v>
      </c>
      <c r="F1199" s="157">
        <v>41365.555555555555</v>
      </c>
      <c r="G1199" s="98">
        <v>485</v>
      </c>
      <c r="H1199" s="98">
        <v>520</v>
      </c>
      <c r="I1199" s="98">
        <v>486</v>
      </c>
      <c r="J1199" s="98" t="s">
        <v>1986</v>
      </c>
      <c r="K1199" s="98" t="s">
        <v>474</v>
      </c>
      <c r="L1199" s="105" t="str">
        <f t="shared" si="210"/>
        <v>Ghent</v>
      </c>
      <c r="M1199" s="105" t="str">
        <f t="shared" si="211"/>
        <v>Derate</v>
      </c>
      <c r="N1199" s="105" t="str">
        <f t="shared" si="212"/>
        <v>Coal</v>
      </c>
      <c r="O1199" s="105">
        <f>IFERROR(VLOOKUP(A1199,Lookup!$J$5:$P$19,7,FALSE),0)</f>
        <v>3</v>
      </c>
      <c r="P1199" s="159">
        <f t="shared" si="213"/>
        <v>2013</v>
      </c>
      <c r="Q1199" s="159">
        <f t="shared" si="214"/>
        <v>3</v>
      </c>
      <c r="R1199" s="160">
        <f t="shared" si="215"/>
        <v>16.250000000058208</v>
      </c>
      <c r="S1199" s="158">
        <f t="shared" si="216"/>
        <v>1.0937500000039178</v>
      </c>
      <c r="T1199" s="161">
        <f t="shared" si="217"/>
        <v>531.56250000190403</v>
      </c>
      <c r="U1199" s="158">
        <f t="shared" si="218"/>
        <v>32.71153846153846</v>
      </c>
      <c r="V1199" s="160">
        <f t="shared" si="219"/>
        <v>33</v>
      </c>
    </row>
    <row r="1200" spans="1:22" x14ac:dyDescent="0.25">
      <c r="A1200" s="98" t="s">
        <v>27</v>
      </c>
      <c r="B1200" s="98" t="s">
        <v>17</v>
      </c>
      <c r="C1200" s="98">
        <v>26</v>
      </c>
      <c r="D1200" s="98">
        <v>253</v>
      </c>
      <c r="E1200" s="157">
        <v>41383.790972222225</v>
      </c>
      <c r="F1200" s="157">
        <v>41384.039583333331</v>
      </c>
      <c r="G1200" s="98">
        <v>470</v>
      </c>
      <c r="H1200" s="98">
        <v>520</v>
      </c>
      <c r="I1200" s="98">
        <v>486</v>
      </c>
      <c r="J1200" s="98" t="s">
        <v>1999</v>
      </c>
      <c r="K1200" s="98" t="s">
        <v>475</v>
      </c>
      <c r="L1200" s="105" t="str">
        <f t="shared" si="210"/>
        <v>Ghent</v>
      </c>
      <c r="M1200" s="105" t="str">
        <f t="shared" si="211"/>
        <v>Derate</v>
      </c>
      <c r="N1200" s="105" t="str">
        <f t="shared" si="212"/>
        <v>Coal</v>
      </c>
      <c r="O1200" s="105">
        <f>IFERROR(VLOOKUP(A1200,Lookup!$J$5:$P$19,7,FALSE),0)</f>
        <v>3</v>
      </c>
      <c r="P1200" s="159">
        <f t="shared" si="213"/>
        <v>2013</v>
      </c>
      <c r="Q1200" s="159">
        <f t="shared" si="214"/>
        <v>4</v>
      </c>
      <c r="R1200" s="160">
        <f t="shared" si="215"/>
        <v>5.9666666665580124</v>
      </c>
      <c r="S1200" s="158">
        <f t="shared" si="216"/>
        <v>0.57371794870750115</v>
      </c>
      <c r="T1200" s="161">
        <f t="shared" si="217"/>
        <v>278.82692307184556</v>
      </c>
      <c r="U1200" s="158">
        <f t="shared" si="218"/>
        <v>46.730769230769234</v>
      </c>
      <c r="V1200" s="160">
        <f t="shared" si="219"/>
        <v>47</v>
      </c>
    </row>
    <row r="1201" spans="1:22" x14ac:dyDescent="0.25">
      <c r="A1201" s="98" t="s">
        <v>27</v>
      </c>
      <c r="B1201" s="98" t="s">
        <v>17</v>
      </c>
      <c r="C1201" s="98">
        <v>27</v>
      </c>
      <c r="D1201" s="98">
        <v>340</v>
      </c>
      <c r="E1201" s="157">
        <v>41385.430555555555</v>
      </c>
      <c r="F1201" s="157">
        <v>41385.593055555553</v>
      </c>
      <c r="G1201" s="98">
        <v>470</v>
      </c>
      <c r="H1201" s="98">
        <v>520</v>
      </c>
      <c r="I1201" s="98">
        <v>486</v>
      </c>
      <c r="J1201" s="98" t="s">
        <v>1970</v>
      </c>
      <c r="K1201" s="98" t="s">
        <v>476</v>
      </c>
      <c r="L1201" s="105" t="str">
        <f t="shared" si="210"/>
        <v>Ghent</v>
      </c>
      <c r="M1201" s="105" t="str">
        <f t="shared" si="211"/>
        <v>Derate</v>
      </c>
      <c r="N1201" s="105" t="str">
        <f t="shared" si="212"/>
        <v>Coal</v>
      </c>
      <c r="O1201" s="105">
        <f>IFERROR(VLOOKUP(A1201,Lookup!$J$5:$P$19,7,FALSE),0)</f>
        <v>3</v>
      </c>
      <c r="P1201" s="159">
        <f t="shared" si="213"/>
        <v>2013</v>
      </c>
      <c r="Q1201" s="159">
        <f t="shared" si="214"/>
        <v>4</v>
      </c>
      <c r="R1201" s="160">
        <f t="shared" si="215"/>
        <v>3.8999999999650754</v>
      </c>
      <c r="S1201" s="158">
        <f t="shared" si="216"/>
        <v>0.37499999999664185</v>
      </c>
      <c r="T1201" s="161">
        <f t="shared" si="217"/>
        <v>182.24999999836794</v>
      </c>
      <c r="U1201" s="158">
        <f t="shared" si="218"/>
        <v>46.730769230769234</v>
      </c>
      <c r="V1201" s="160">
        <f t="shared" si="219"/>
        <v>47</v>
      </c>
    </row>
    <row r="1202" spans="1:22" x14ac:dyDescent="0.25">
      <c r="A1202" s="98" t="s">
        <v>27</v>
      </c>
      <c r="B1202" s="98" t="s">
        <v>17</v>
      </c>
      <c r="C1202" s="98">
        <v>28</v>
      </c>
      <c r="D1202" s="98">
        <v>340</v>
      </c>
      <c r="E1202" s="157">
        <v>41389.549305555556</v>
      </c>
      <c r="F1202" s="157">
        <v>41389.857638888891</v>
      </c>
      <c r="G1202" s="98">
        <v>440</v>
      </c>
      <c r="H1202" s="98">
        <v>520</v>
      </c>
      <c r="I1202" s="98">
        <v>486</v>
      </c>
      <c r="J1202" s="98" t="s">
        <v>1970</v>
      </c>
      <c r="K1202" s="98" t="s">
        <v>477</v>
      </c>
      <c r="L1202" s="105" t="str">
        <f t="shared" si="210"/>
        <v>Ghent</v>
      </c>
      <c r="M1202" s="105" t="str">
        <f t="shared" si="211"/>
        <v>Derate</v>
      </c>
      <c r="N1202" s="105" t="str">
        <f t="shared" si="212"/>
        <v>Coal</v>
      </c>
      <c r="O1202" s="105">
        <f>IFERROR(VLOOKUP(A1202,Lookup!$J$5:$P$19,7,FALSE),0)</f>
        <v>3</v>
      </c>
      <c r="P1202" s="159">
        <f t="shared" si="213"/>
        <v>2013</v>
      </c>
      <c r="Q1202" s="159">
        <f t="shared" si="214"/>
        <v>4</v>
      </c>
      <c r="R1202" s="160">
        <f t="shared" si="215"/>
        <v>7.4000000000232831</v>
      </c>
      <c r="S1202" s="158">
        <f t="shared" si="216"/>
        <v>1.1384615384651204</v>
      </c>
      <c r="T1202" s="161">
        <f t="shared" si="217"/>
        <v>553.29230769404853</v>
      </c>
      <c r="U1202" s="158">
        <f t="shared" si="218"/>
        <v>74.769230769230774</v>
      </c>
      <c r="V1202" s="160">
        <f t="shared" si="219"/>
        <v>75</v>
      </c>
    </row>
    <row r="1203" spans="1:22" x14ac:dyDescent="0.25">
      <c r="A1203" s="98" t="s">
        <v>27</v>
      </c>
      <c r="B1203" s="98" t="s">
        <v>38</v>
      </c>
      <c r="C1203" s="98">
        <v>29</v>
      </c>
      <c r="D1203" s="98">
        <v>1812</v>
      </c>
      <c r="E1203" s="157">
        <v>41390.9375</v>
      </c>
      <c r="F1203" s="157">
        <v>41395.209027777775</v>
      </c>
      <c r="G1203" s="98">
        <v>0</v>
      </c>
      <c r="H1203" s="98">
        <v>520</v>
      </c>
      <c r="I1203" s="98">
        <v>486</v>
      </c>
      <c r="J1203" s="98" t="s">
        <v>1994</v>
      </c>
      <c r="K1203" s="98" t="s">
        <v>478</v>
      </c>
      <c r="L1203" s="105" t="str">
        <f t="shared" si="210"/>
        <v>Ghent</v>
      </c>
      <c r="M1203" s="105" t="str">
        <f t="shared" si="211"/>
        <v>Other</v>
      </c>
      <c r="N1203" s="105" t="str">
        <f t="shared" si="212"/>
        <v>Coal</v>
      </c>
      <c r="O1203" s="105">
        <f>IFERROR(VLOOKUP(A1203,Lookup!$J$5:$P$19,7,FALSE),0)</f>
        <v>3</v>
      </c>
      <c r="P1203" s="159">
        <f t="shared" si="213"/>
        <v>2013</v>
      </c>
      <c r="Q1203" s="159">
        <f t="shared" si="214"/>
        <v>4</v>
      </c>
      <c r="R1203" s="160">
        <f t="shared" si="215"/>
        <v>102.51666666660458</v>
      </c>
      <c r="S1203" s="158">
        <f t="shared" si="216"/>
        <v>102.51666666660458</v>
      </c>
      <c r="T1203" s="161">
        <f t="shared" si="217"/>
        <v>49823.099999969825</v>
      </c>
      <c r="U1203" s="158">
        <f t="shared" si="218"/>
        <v>486</v>
      </c>
      <c r="V1203" s="160">
        <f t="shared" si="219"/>
        <v>486</v>
      </c>
    </row>
    <row r="1204" spans="1:22" x14ac:dyDescent="0.25">
      <c r="A1204" s="98" t="s">
        <v>27</v>
      </c>
      <c r="B1204" s="98" t="s">
        <v>17</v>
      </c>
      <c r="C1204" s="98">
        <v>30</v>
      </c>
      <c r="D1204" s="98">
        <v>1850</v>
      </c>
      <c r="E1204" s="157">
        <v>41395.583333333336</v>
      </c>
      <c r="F1204" s="157">
        <v>41395.666666666664</v>
      </c>
      <c r="G1204" s="98">
        <v>456</v>
      </c>
      <c r="H1204" s="98">
        <v>520</v>
      </c>
      <c r="I1204" s="98">
        <v>486</v>
      </c>
      <c r="J1204" s="98" t="s">
        <v>2263</v>
      </c>
      <c r="K1204" s="98" t="s">
        <v>479</v>
      </c>
      <c r="L1204" s="105" t="str">
        <f t="shared" si="210"/>
        <v>Ghent</v>
      </c>
      <c r="M1204" s="105" t="str">
        <f t="shared" si="211"/>
        <v>Derate</v>
      </c>
      <c r="N1204" s="105" t="str">
        <f t="shared" si="212"/>
        <v>Coal</v>
      </c>
      <c r="O1204" s="105">
        <f>IFERROR(VLOOKUP(A1204,Lookup!$J$5:$P$19,7,FALSE),0)</f>
        <v>3</v>
      </c>
      <c r="P1204" s="159">
        <f t="shared" si="213"/>
        <v>2013</v>
      </c>
      <c r="Q1204" s="159">
        <f t="shared" si="214"/>
        <v>5</v>
      </c>
      <c r="R1204" s="160">
        <f t="shared" si="215"/>
        <v>1.9999999998835847</v>
      </c>
      <c r="S1204" s="158">
        <f t="shared" si="216"/>
        <v>0.2461538461395181</v>
      </c>
      <c r="T1204" s="161">
        <f t="shared" si="217"/>
        <v>119.6307692238058</v>
      </c>
      <c r="U1204" s="158">
        <f t="shared" si="218"/>
        <v>59.815384615384616</v>
      </c>
      <c r="V1204" s="160">
        <f t="shared" si="219"/>
        <v>60</v>
      </c>
    </row>
    <row r="1205" spans="1:22" x14ac:dyDescent="0.25">
      <c r="A1205" s="98" t="s">
        <v>27</v>
      </c>
      <c r="B1205" s="98" t="s">
        <v>32</v>
      </c>
      <c r="C1205" s="98">
        <v>31</v>
      </c>
      <c r="D1205" s="98">
        <v>340</v>
      </c>
      <c r="E1205" s="157">
        <v>41395.666666666664</v>
      </c>
      <c r="F1205" s="157">
        <v>41395.694444444445</v>
      </c>
      <c r="G1205" s="98">
        <v>480</v>
      </c>
      <c r="H1205" s="98">
        <v>520</v>
      </c>
      <c r="I1205" s="98">
        <v>486</v>
      </c>
      <c r="J1205" s="98" t="s">
        <v>1970</v>
      </c>
      <c r="K1205" s="98" t="s">
        <v>480</v>
      </c>
      <c r="L1205" s="105" t="str">
        <f t="shared" si="210"/>
        <v>Ghent</v>
      </c>
      <c r="M1205" s="105" t="str">
        <f t="shared" si="211"/>
        <v>Derate</v>
      </c>
      <c r="N1205" s="105" t="str">
        <f t="shared" si="212"/>
        <v>Coal</v>
      </c>
      <c r="O1205" s="105">
        <f>IFERROR(VLOOKUP(A1205,Lookup!$J$5:$P$19,7,FALSE),0)</f>
        <v>3</v>
      </c>
      <c r="P1205" s="159">
        <f t="shared" si="213"/>
        <v>2013</v>
      </c>
      <c r="Q1205" s="159">
        <f t="shared" si="214"/>
        <v>5</v>
      </c>
      <c r="R1205" s="160">
        <f t="shared" si="215"/>
        <v>0.66666666674427688</v>
      </c>
      <c r="S1205" s="158">
        <f t="shared" si="216"/>
        <v>5.1282051288021296E-2</v>
      </c>
      <c r="T1205" s="161">
        <f t="shared" si="217"/>
        <v>24.92307692597835</v>
      </c>
      <c r="U1205" s="158">
        <f t="shared" si="218"/>
        <v>37.384615384615387</v>
      </c>
      <c r="V1205" s="160">
        <f t="shared" si="219"/>
        <v>37</v>
      </c>
    </row>
    <row r="1206" spans="1:22" x14ac:dyDescent="0.25">
      <c r="A1206" s="98" t="s">
        <v>27</v>
      </c>
      <c r="B1206" s="98" t="s">
        <v>32</v>
      </c>
      <c r="C1206" s="98">
        <v>32</v>
      </c>
      <c r="D1206" s="98">
        <v>340</v>
      </c>
      <c r="E1206" s="157">
        <v>41395.694444444445</v>
      </c>
      <c r="F1206" s="157">
        <v>41398.943055555559</v>
      </c>
      <c r="G1206" s="98">
        <v>510</v>
      </c>
      <c r="H1206" s="98">
        <v>520</v>
      </c>
      <c r="I1206" s="98">
        <v>486</v>
      </c>
      <c r="J1206" s="98" t="s">
        <v>1970</v>
      </c>
      <c r="K1206" s="98" t="s">
        <v>481</v>
      </c>
      <c r="L1206" s="105" t="str">
        <f t="shared" si="210"/>
        <v>Ghent</v>
      </c>
      <c r="M1206" s="105" t="str">
        <f t="shared" si="211"/>
        <v>Derate</v>
      </c>
      <c r="N1206" s="105" t="str">
        <f t="shared" si="212"/>
        <v>Coal</v>
      </c>
      <c r="O1206" s="105">
        <f>IFERROR(VLOOKUP(A1206,Lookup!$J$5:$P$19,7,FALSE),0)</f>
        <v>3</v>
      </c>
      <c r="P1206" s="159">
        <f t="shared" si="213"/>
        <v>2013</v>
      </c>
      <c r="Q1206" s="159">
        <f t="shared" si="214"/>
        <v>5</v>
      </c>
      <c r="R1206" s="160">
        <f t="shared" si="215"/>
        <v>77.966666666732635</v>
      </c>
      <c r="S1206" s="158">
        <f t="shared" si="216"/>
        <v>1.4993589743602429</v>
      </c>
      <c r="T1206" s="161">
        <f t="shared" si="217"/>
        <v>728.68846153907805</v>
      </c>
      <c r="U1206" s="158">
        <f t="shared" si="218"/>
        <v>9.3461538461538467</v>
      </c>
      <c r="V1206" s="160">
        <f t="shared" si="219"/>
        <v>9</v>
      </c>
    </row>
    <row r="1207" spans="1:22" x14ac:dyDescent="0.25">
      <c r="A1207" s="98" t="s">
        <v>27</v>
      </c>
      <c r="B1207" s="98" t="s">
        <v>20</v>
      </c>
      <c r="C1207" s="98">
        <v>33</v>
      </c>
      <c r="D1207" s="98">
        <v>4302</v>
      </c>
      <c r="E1207" s="157">
        <v>41398.943055555559</v>
      </c>
      <c r="F1207" s="157">
        <v>41398.963194444441</v>
      </c>
      <c r="G1207" s="98">
        <v>0</v>
      </c>
      <c r="H1207" s="98">
        <v>520</v>
      </c>
      <c r="I1207" s="98">
        <v>486</v>
      </c>
      <c r="J1207" s="98" t="s">
        <v>2024</v>
      </c>
      <c r="K1207" s="98" t="s">
        <v>482</v>
      </c>
      <c r="L1207" s="105" t="str">
        <f t="shared" si="210"/>
        <v>Ghent</v>
      </c>
      <c r="M1207" s="105" t="str">
        <f t="shared" si="211"/>
        <v>Maintenance</v>
      </c>
      <c r="N1207" s="105" t="str">
        <f t="shared" si="212"/>
        <v>Coal</v>
      </c>
      <c r="O1207" s="105">
        <f>IFERROR(VLOOKUP(A1207,Lookup!$J$5:$P$19,7,FALSE),0)</f>
        <v>3</v>
      </c>
      <c r="P1207" s="159">
        <f t="shared" si="213"/>
        <v>2013</v>
      </c>
      <c r="Q1207" s="159">
        <f t="shared" si="214"/>
        <v>5</v>
      </c>
      <c r="R1207" s="160">
        <f t="shared" si="215"/>
        <v>0.48333333316259086</v>
      </c>
      <c r="S1207" s="158">
        <f t="shared" si="216"/>
        <v>0.48333333316259086</v>
      </c>
      <c r="T1207" s="161">
        <f t="shared" si="217"/>
        <v>234.89999991701916</v>
      </c>
      <c r="U1207" s="158">
        <f t="shared" si="218"/>
        <v>486</v>
      </c>
      <c r="V1207" s="160">
        <f t="shared" si="219"/>
        <v>486</v>
      </c>
    </row>
    <row r="1208" spans="1:22" x14ac:dyDescent="0.25">
      <c r="A1208" s="98" t="s">
        <v>27</v>
      </c>
      <c r="B1208" s="98" t="s">
        <v>17</v>
      </c>
      <c r="C1208" s="98">
        <v>34</v>
      </c>
      <c r="D1208" s="98">
        <v>340</v>
      </c>
      <c r="E1208" s="157">
        <v>41398.963194444441</v>
      </c>
      <c r="F1208" s="157">
        <v>41399.015972222223</v>
      </c>
      <c r="G1208" s="98">
        <v>507</v>
      </c>
      <c r="H1208" s="98">
        <v>520</v>
      </c>
      <c r="I1208" s="98">
        <v>486</v>
      </c>
      <c r="J1208" s="98" t="s">
        <v>1970</v>
      </c>
      <c r="K1208" s="98" t="s">
        <v>483</v>
      </c>
      <c r="L1208" s="105" t="str">
        <f t="shared" si="210"/>
        <v>Ghent</v>
      </c>
      <c r="M1208" s="105" t="str">
        <f t="shared" si="211"/>
        <v>Derate</v>
      </c>
      <c r="N1208" s="105" t="str">
        <f t="shared" si="212"/>
        <v>Coal</v>
      </c>
      <c r="O1208" s="105">
        <f>IFERROR(VLOOKUP(A1208,Lookup!$J$5:$P$19,7,FALSE),0)</f>
        <v>3</v>
      </c>
      <c r="P1208" s="159">
        <f t="shared" si="213"/>
        <v>2013</v>
      </c>
      <c r="Q1208" s="159">
        <f t="shared" si="214"/>
        <v>5</v>
      </c>
      <c r="R1208" s="160">
        <f t="shared" si="215"/>
        <v>1.2666666667792015</v>
      </c>
      <c r="S1208" s="158">
        <f t="shared" si="216"/>
        <v>3.1666666669480037E-2</v>
      </c>
      <c r="T1208" s="161">
        <f t="shared" si="217"/>
        <v>15.390000001367298</v>
      </c>
      <c r="U1208" s="158">
        <f t="shared" si="218"/>
        <v>12.15</v>
      </c>
      <c r="V1208" s="160">
        <f t="shared" si="219"/>
        <v>12</v>
      </c>
    </row>
    <row r="1209" spans="1:22" x14ac:dyDescent="0.25">
      <c r="A1209" s="98" t="s">
        <v>27</v>
      </c>
      <c r="B1209" s="98" t="s">
        <v>17</v>
      </c>
      <c r="C1209" s="98">
        <v>35</v>
      </c>
      <c r="D1209" s="98">
        <v>340</v>
      </c>
      <c r="E1209" s="157">
        <v>41407.229166666664</v>
      </c>
      <c r="F1209" s="157">
        <v>41407.3125</v>
      </c>
      <c r="G1209" s="98">
        <v>495</v>
      </c>
      <c r="H1209" s="98">
        <v>520</v>
      </c>
      <c r="I1209" s="98">
        <v>486</v>
      </c>
      <c r="J1209" s="98" t="s">
        <v>1970</v>
      </c>
      <c r="K1209" s="98" t="s">
        <v>484</v>
      </c>
      <c r="L1209" s="105" t="str">
        <f t="shared" si="210"/>
        <v>Ghent</v>
      </c>
      <c r="M1209" s="105" t="str">
        <f t="shared" si="211"/>
        <v>Derate</v>
      </c>
      <c r="N1209" s="105" t="str">
        <f t="shared" si="212"/>
        <v>Coal</v>
      </c>
      <c r="O1209" s="105">
        <f>IFERROR(VLOOKUP(A1209,Lookup!$J$5:$P$19,7,FALSE),0)</f>
        <v>3</v>
      </c>
      <c r="P1209" s="159">
        <f t="shared" si="213"/>
        <v>2013</v>
      </c>
      <c r="Q1209" s="159">
        <f t="shared" si="214"/>
        <v>5</v>
      </c>
      <c r="R1209" s="160">
        <f t="shared" si="215"/>
        <v>2.0000000000582077</v>
      </c>
      <c r="S1209" s="158">
        <f t="shared" si="216"/>
        <v>9.6153846156644601E-2</v>
      </c>
      <c r="T1209" s="161">
        <f t="shared" si="217"/>
        <v>46.730769232129276</v>
      </c>
      <c r="U1209" s="158">
        <f t="shared" si="218"/>
        <v>23.365384615384617</v>
      </c>
      <c r="V1209" s="160">
        <f t="shared" si="219"/>
        <v>23</v>
      </c>
    </row>
    <row r="1210" spans="1:22" x14ac:dyDescent="0.25">
      <c r="A1210" s="98" t="s">
        <v>27</v>
      </c>
      <c r="B1210" s="98" t="s">
        <v>17</v>
      </c>
      <c r="C1210" s="98">
        <v>36</v>
      </c>
      <c r="D1210" s="98">
        <v>340</v>
      </c>
      <c r="E1210" s="157">
        <v>41408.114583333336</v>
      </c>
      <c r="F1210" s="157">
        <v>41408.21875</v>
      </c>
      <c r="G1210" s="98">
        <v>495</v>
      </c>
      <c r="H1210" s="98">
        <v>520</v>
      </c>
      <c r="I1210" s="98">
        <v>486</v>
      </c>
      <c r="J1210" s="98" t="s">
        <v>1970</v>
      </c>
      <c r="K1210" s="98" t="s">
        <v>485</v>
      </c>
      <c r="L1210" s="105" t="str">
        <f t="shared" si="210"/>
        <v>Ghent</v>
      </c>
      <c r="M1210" s="105" t="str">
        <f t="shared" si="211"/>
        <v>Derate</v>
      </c>
      <c r="N1210" s="105" t="str">
        <f t="shared" si="212"/>
        <v>Coal</v>
      </c>
      <c r="O1210" s="105">
        <f>IFERROR(VLOOKUP(A1210,Lookup!$J$5:$P$19,7,FALSE),0)</f>
        <v>3</v>
      </c>
      <c r="P1210" s="159">
        <f t="shared" si="213"/>
        <v>2013</v>
      </c>
      <c r="Q1210" s="159">
        <f t="shared" si="214"/>
        <v>5</v>
      </c>
      <c r="R1210" s="160">
        <f t="shared" si="215"/>
        <v>2.4999999999417923</v>
      </c>
      <c r="S1210" s="158">
        <f t="shared" si="216"/>
        <v>0.12019230768950925</v>
      </c>
      <c r="T1210" s="161">
        <f t="shared" si="217"/>
        <v>58.413461537101497</v>
      </c>
      <c r="U1210" s="158">
        <f t="shared" si="218"/>
        <v>23.365384615384617</v>
      </c>
      <c r="V1210" s="160">
        <f t="shared" si="219"/>
        <v>23</v>
      </c>
    </row>
    <row r="1211" spans="1:22" x14ac:dyDescent="0.25">
      <c r="A1211" s="98" t="s">
        <v>27</v>
      </c>
      <c r="B1211" s="98" t="s">
        <v>17</v>
      </c>
      <c r="C1211" s="98">
        <v>37</v>
      </c>
      <c r="D1211" s="98">
        <v>8601</v>
      </c>
      <c r="E1211" s="157">
        <v>41422.842361111114</v>
      </c>
      <c r="F1211" s="157">
        <v>41422.912499999999</v>
      </c>
      <c r="G1211" s="98">
        <v>375</v>
      </c>
      <c r="H1211" s="98">
        <v>520</v>
      </c>
      <c r="I1211" s="98">
        <v>486</v>
      </c>
      <c r="J1211" s="98" t="s">
        <v>232</v>
      </c>
      <c r="K1211" s="98" t="s">
        <v>486</v>
      </c>
      <c r="L1211" s="105" t="str">
        <f t="shared" si="210"/>
        <v>Ghent</v>
      </c>
      <c r="M1211" s="105" t="str">
        <f t="shared" si="211"/>
        <v>Derate</v>
      </c>
      <c r="N1211" s="105" t="str">
        <f t="shared" si="212"/>
        <v>Coal</v>
      </c>
      <c r="O1211" s="105">
        <f>IFERROR(VLOOKUP(A1211,Lookup!$J$5:$P$19,7,FALSE),0)</f>
        <v>3</v>
      </c>
      <c r="P1211" s="159">
        <f t="shared" si="213"/>
        <v>2013</v>
      </c>
      <c r="Q1211" s="159">
        <f t="shared" si="214"/>
        <v>5</v>
      </c>
      <c r="R1211" s="160">
        <f t="shared" si="215"/>
        <v>1.6833333332324401</v>
      </c>
      <c r="S1211" s="158">
        <f t="shared" si="216"/>
        <v>0.46939102561289192</v>
      </c>
      <c r="T1211" s="161">
        <f t="shared" si="217"/>
        <v>228.12403844786547</v>
      </c>
      <c r="U1211" s="158">
        <f t="shared" si="218"/>
        <v>135.51923076923077</v>
      </c>
      <c r="V1211" s="160">
        <f t="shared" si="219"/>
        <v>136</v>
      </c>
    </row>
    <row r="1212" spans="1:22" x14ac:dyDescent="0.25">
      <c r="A1212" s="98" t="s">
        <v>27</v>
      </c>
      <c r="B1212" s="98" t="s">
        <v>17</v>
      </c>
      <c r="C1212" s="98">
        <v>38</v>
      </c>
      <c r="D1212" s="98">
        <v>340</v>
      </c>
      <c r="E1212" s="157">
        <v>41431.826388888891</v>
      </c>
      <c r="F1212" s="157">
        <v>41432.551388888889</v>
      </c>
      <c r="G1212" s="98">
        <v>460</v>
      </c>
      <c r="H1212" s="98">
        <v>520</v>
      </c>
      <c r="I1212" s="98">
        <v>486</v>
      </c>
      <c r="J1212" s="98" t="s">
        <v>1970</v>
      </c>
      <c r="K1212" s="98" t="s">
        <v>487</v>
      </c>
      <c r="L1212" s="105" t="str">
        <f t="shared" si="210"/>
        <v>Ghent</v>
      </c>
      <c r="M1212" s="105" t="str">
        <f t="shared" si="211"/>
        <v>Derate</v>
      </c>
      <c r="N1212" s="105" t="str">
        <f t="shared" si="212"/>
        <v>Coal</v>
      </c>
      <c r="O1212" s="105">
        <f>IFERROR(VLOOKUP(A1212,Lookup!$J$5:$P$19,7,FALSE),0)</f>
        <v>3</v>
      </c>
      <c r="P1212" s="159">
        <f t="shared" si="213"/>
        <v>2013</v>
      </c>
      <c r="Q1212" s="159">
        <f t="shared" si="214"/>
        <v>6</v>
      </c>
      <c r="R1212" s="160">
        <f t="shared" si="215"/>
        <v>17.399999999965075</v>
      </c>
      <c r="S1212" s="158">
        <f t="shared" si="216"/>
        <v>2.007692307688278</v>
      </c>
      <c r="T1212" s="161">
        <f t="shared" si="217"/>
        <v>975.73846153650311</v>
      </c>
      <c r="U1212" s="158">
        <f t="shared" si="218"/>
        <v>56.07692307692308</v>
      </c>
      <c r="V1212" s="160">
        <f t="shared" si="219"/>
        <v>56</v>
      </c>
    </row>
    <row r="1213" spans="1:22" x14ac:dyDescent="0.25">
      <c r="A1213" s="98" t="s">
        <v>27</v>
      </c>
      <c r="B1213" s="98" t="s">
        <v>17</v>
      </c>
      <c r="C1213" s="98">
        <v>39</v>
      </c>
      <c r="D1213" s="98">
        <v>1455</v>
      </c>
      <c r="E1213" s="157">
        <v>41438.75</v>
      </c>
      <c r="F1213" s="157">
        <v>41438.840277777781</v>
      </c>
      <c r="G1213" s="98">
        <v>190</v>
      </c>
      <c r="H1213" s="98">
        <v>520</v>
      </c>
      <c r="I1213" s="98">
        <v>486</v>
      </c>
      <c r="J1213" s="98" t="s">
        <v>1990</v>
      </c>
      <c r="K1213" s="98" t="s">
        <v>488</v>
      </c>
      <c r="L1213" s="105" t="str">
        <f t="shared" si="210"/>
        <v>Ghent</v>
      </c>
      <c r="M1213" s="105" t="str">
        <f t="shared" si="211"/>
        <v>Derate</v>
      </c>
      <c r="N1213" s="105" t="str">
        <f t="shared" si="212"/>
        <v>Coal</v>
      </c>
      <c r="O1213" s="105">
        <f>IFERROR(VLOOKUP(A1213,Lookup!$J$5:$P$19,7,FALSE),0)</f>
        <v>3</v>
      </c>
      <c r="P1213" s="159">
        <f t="shared" si="213"/>
        <v>2013</v>
      </c>
      <c r="Q1213" s="159">
        <f t="shared" si="214"/>
        <v>6</v>
      </c>
      <c r="R1213" s="160">
        <f t="shared" si="215"/>
        <v>2.1666666667442769</v>
      </c>
      <c r="S1213" s="158">
        <f t="shared" si="216"/>
        <v>1.3750000000492526</v>
      </c>
      <c r="T1213" s="161">
        <f t="shared" si="217"/>
        <v>668.25000002393676</v>
      </c>
      <c r="U1213" s="158">
        <f t="shared" si="218"/>
        <v>308.42307692307691</v>
      </c>
      <c r="V1213" s="160">
        <f t="shared" si="219"/>
        <v>308</v>
      </c>
    </row>
    <row r="1214" spans="1:22" x14ac:dyDescent="0.25">
      <c r="A1214" s="98" t="s">
        <v>27</v>
      </c>
      <c r="B1214" s="98" t="s">
        <v>32</v>
      </c>
      <c r="C1214" s="98">
        <v>40</v>
      </c>
      <c r="D1214" s="98">
        <v>340</v>
      </c>
      <c r="E1214" s="157">
        <v>41438.958333333336</v>
      </c>
      <c r="F1214" s="157">
        <v>41439.133333333331</v>
      </c>
      <c r="G1214" s="98">
        <v>68</v>
      </c>
      <c r="H1214" s="98">
        <v>520</v>
      </c>
      <c r="I1214" s="98">
        <v>486</v>
      </c>
      <c r="J1214" s="98" t="s">
        <v>1970</v>
      </c>
      <c r="K1214" s="98" t="s">
        <v>489</v>
      </c>
      <c r="L1214" s="105" t="str">
        <f t="shared" si="210"/>
        <v>Ghent</v>
      </c>
      <c r="M1214" s="105" t="str">
        <f t="shared" si="211"/>
        <v>Derate</v>
      </c>
      <c r="N1214" s="105" t="str">
        <f t="shared" si="212"/>
        <v>Coal</v>
      </c>
      <c r="O1214" s="105">
        <f>IFERROR(VLOOKUP(A1214,Lookup!$J$5:$P$19,7,FALSE),0)</f>
        <v>3</v>
      </c>
      <c r="P1214" s="159">
        <f t="shared" si="213"/>
        <v>2013</v>
      </c>
      <c r="Q1214" s="159">
        <f t="shared" si="214"/>
        <v>6</v>
      </c>
      <c r="R1214" s="160">
        <f t="shared" si="215"/>
        <v>4.1999999998952262</v>
      </c>
      <c r="S1214" s="158">
        <f t="shared" si="216"/>
        <v>3.6507692306781583</v>
      </c>
      <c r="T1214" s="161">
        <f t="shared" si="217"/>
        <v>1774.2738461095848</v>
      </c>
      <c r="U1214" s="158">
        <f t="shared" si="218"/>
        <v>422.44615384615383</v>
      </c>
      <c r="V1214" s="160">
        <f t="shared" si="219"/>
        <v>422</v>
      </c>
    </row>
    <row r="1215" spans="1:22" x14ac:dyDescent="0.25">
      <c r="A1215" s="98" t="s">
        <v>27</v>
      </c>
      <c r="B1215" s="98" t="s">
        <v>17</v>
      </c>
      <c r="C1215" s="98">
        <v>41</v>
      </c>
      <c r="D1215" s="98">
        <v>1470</v>
      </c>
      <c r="E1215" s="157">
        <v>41442.131944444445</v>
      </c>
      <c r="F1215" s="157">
        <v>41442.35833333333</v>
      </c>
      <c r="G1215" s="98">
        <v>250</v>
      </c>
      <c r="H1215" s="98">
        <v>520</v>
      </c>
      <c r="I1215" s="98">
        <v>486</v>
      </c>
      <c r="J1215" s="98" t="s">
        <v>2005</v>
      </c>
      <c r="K1215" s="98" t="s">
        <v>490</v>
      </c>
      <c r="L1215" s="105" t="str">
        <f t="shared" si="210"/>
        <v>Ghent</v>
      </c>
      <c r="M1215" s="105" t="str">
        <f t="shared" si="211"/>
        <v>Derate</v>
      </c>
      <c r="N1215" s="105" t="str">
        <f t="shared" si="212"/>
        <v>Coal</v>
      </c>
      <c r="O1215" s="105">
        <f>IFERROR(VLOOKUP(A1215,Lookup!$J$5:$P$19,7,FALSE),0)</f>
        <v>3</v>
      </c>
      <c r="P1215" s="159">
        <f t="shared" si="213"/>
        <v>2013</v>
      </c>
      <c r="Q1215" s="159">
        <f t="shared" si="214"/>
        <v>6</v>
      </c>
      <c r="R1215" s="160">
        <f t="shared" si="215"/>
        <v>5.4333333332324401</v>
      </c>
      <c r="S1215" s="158">
        <f t="shared" si="216"/>
        <v>2.8211538461014594</v>
      </c>
      <c r="T1215" s="161">
        <f t="shared" si="217"/>
        <v>1371.0807692053093</v>
      </c>
      <c r="U1215" s="158">
        <f t="shared" si="218"/>
        <v>252.34615384615384</v>
      </c>
      <c r="V1215" s="160">
        <f t="shared" si="219"/>
        <v>252</v>
      </c>
    </row>
    <row r="1216" spans="1:22" x14ac:dyDescent="0.25">
      <c r="A1216" s="98" t="s">
        <v>27</v>
      </c>
      <c r="B1216" s="98" t="s">
        <v>17</v>
      </c>
      <c r="C1216" s="98">
        <v>42</v>
      </c>
      <c r="D1216" s="98">
        <v>1455</v>
      </c>
      <c r="E1216" s="157">
        <v>41445.170138888891</v>
      </c>
      <c r="F1216" s="157">
        <v>41445.426388888889</v>
      </c>
      <c r="G1216" s="98">
        <v>200</v>
      </c>
      <c r="H1216" s="98">
        <v>520</v>
      </c>
      <c r="I1216" s="98">
        <v>486</v>
      </c>
      <c r="J1216" s="98" t="s">
        <v>1990</v>
      </c>
      <c r="K1216" s="98" t="s">
        <v>491</v>
      </c>
      <c r="L1216" s="105" t="str">
        <f t="shared" si="210"/>
        <v>Ghent</v>
      </c>
      <c r="M1216" s="105" t="str">
        <f t="shared" si="211"/>
        <v>Derate</v>
      </c>
      <c r="N1216" s="105" t="str">
        <f t="shared" si="212"/>
        <v>Coal</v>
      </c>
      <c r="O1216" s="105">
        <f>IFERROR(VLOOKUP(A1216,Lookup!$J$5:$P$19,7,FALSE),0)</f>
        <v>3</v>
      </c>
      <c r="P1216" s="159">
        <f t="shared" si="213"/>
        <v>2013</v>
      </c>
      <c r="Q1216" s="159">
        <f t="shared" si="214"/>
        <v>6</v>
      </c>
      <c r="R1216" s="160">
        <f t="shared" si="215"/>
        <v>6.1499999999650754</v>
      </c>
      <c r="S1216" s="158">
        <f t="shared" si="216"/>
        <v>3.7846153845938924</v>
      </c>
      <c r="T1216" s="161">
        <f t="shared" si="217"/>
        <v>1839.3230769126317</v>
      </c>
      <c r="U1216" s="158">
        <f t="shared" si="218"/>
        <v>299.07692307692309</v>
      </c>
      <c r="V1216" s="160">
        <f t="shared" si="219"/>
        <v>299</v>
      </c>
    </row>
    <row r="1217" spans="1:22" x14ac:dyDescent="0.25">
      <c r="A1217" s="98" t="s">
        <v>27</v>
      </c>
      <c r="B1217" s="98" t="s">
        <v>17</v>
      </c>
      <c r="C1217" s="98">
        <v>43</v>
      </c>
      <c r="D1217" s="98">
        <v>360</v>
      </c>
      <c r="E1217" s="157">
        <v>41463.4375</v>
      </c>
      <c r="F1217" s="157">
        <v>41463.552083333336</v>
      </c>
      <c r="G1217" s="98">
        <v>450</v>
      </c>
      <c r="H1217" s="98">
        <v>520</v>
      </c>
      <c r="I1217" s="98">
        <v>486</v>
      </c>
      <c r="J1217" s="98" t="s">
        <v>229</v>
      </c>
      <c r="K1217" s="98" t="s">
        <v>492</v>
      </c>
      <c r="L1217" s="105" t="str">
        <f t="shared" si="210"/>
        <v>Ghent</v>
      </c>
      <c r="M1217" s="105" t="str">
        <f t="shared" si="211"/>
        <v>Derate</v>
      </c>
      <c r="N1217" s="105" t="str">
        <f t="shared" si="212"/>
        <v>Coal</v>
      </c>
      <c r="O1217" s="105">
        <f>IFERROR(VLOOKUP(A1217,Lookup!$J$5:$P$19,7,FALSE),0)</f>
        <v>3</v>
      </c>
      <c r="P1217" s="159">
        <f t="shared" si="213"/>
        <v>2013</v>
      </c>
      <c r="Q1217" s="159">
        <f t="shared" si="214"/>
        <v>7</v>
      </c>
      <c r="R1217" s="160">
        <f t="shared" si="215"/>
        <v>2.7500000000582077</v>
      </c>
      <c r="S1217" s="158">
        <f t="shared" si="216"/>
        <v>0.37019230770014333</v>
      </c>
      <c r="T1217" s="161">
        <f t="shared" si="217"/>
        <v>179.91346154226966</v>
      </c>
      <c r="U1217" s="158">
        <f t="shared" si="218"/>
        <v>65.42307692307692</v>
      </c>
      <c r="V1217" s="160">
        <f t="shared" si="219"/>
        <v>65</v>
      </c>
    </row>
    <row r="1218" spans="1:22" x14ac:dyDescent="0.25">
      <c r="A1218" s="98" t="s">
        <v>27</v>
      </c>
      <c r="B1218" s="98" t="s">
        <v>17</v>
      </c>
      <c r="C1218" s="98">
        <v>44</v>
      </c>
      <c r="D1218" s="98">
        <v>1050</v>
      </c>
      <c r="E1218" s="157">
        <v>41464.635416666664</v>
      </c>
      <c r="F1218" s="157">
        <v>41465.956250000003</v>
      </c>
      <c r="G1218" s="98">
        <v>438</v>
      </c>
      <c r="H1218" s="98">
        <v>520</v>
      </c>
      <c r="I1218" s="98">
        <v>486</v>
      </c>
      <c r="J1218" s="98" t="s">
        <v>2112</v>
      </c>
      <c r="K1218" s="98" t="s">
        <v>1126</v>
      </c>
      <c r="L1218" s="105" t="str">
        <f t="shared" si="210"/>
        <v>Ghent</v>
      </c>
      <c r="M1218" s="105" t="str">
        <f t="shared" si="211"/>
        <v>Derate</v>
      </c>
      <c r="N1218" s="105" t="str">
        <f t="shared" si="212"/>
        <v>Coal</v>
      </c>
      <c r="O1218" s="105">
        <f>IFERROR(VLOOKUP(A1218,Lookup!$J$5:$P$19,7,FALSE),0)</f>
        <v>3</v>
      </c>
      <c r="P1218" s="159">
        <f t="shared" si="213"/>
        <v>2013</v>
      </c>
      <c r="Q1218" s="159">
        <f t="shared" si="214"/>
        <v>7</v>
      </c>
      <c r="R1218" s="160">
        <f t="shared" si="215"/>
        <v>31.700000000128057</v>
      </c>
      <c r="S1218" s="158">
        <f t="shared" si="216"/>
        <v>4.9988461538663476</v>
      </c>
      <c r="T1218" s="161">
        <f t="shared" si="217"/>
        <v>2429.4392307790449</v>
      </c>
      <c r="U1218" s="158">
        <f t="shared" si="218"/>
        <v>76.638461538461542</v>
      </c>
      <c r="V1218" s="160">
        <f t="shared" si="219"/>
        <v>77</v>
      </c>
    </row>
    <row r="1219" spans="1:22" x14ac:dyDescent="0.25">
      <c r="A1219" s="98" t="s">
        <v>27</v>
      </c>
      <c r="B1219" s="98" t="s">
        <v>20</v>
      </c>
      <c r="C1219" s="98">
        <v>45</v>
      </c>
      <c r="D1219" s="98">
        <v>1050</v>
      </c>
      <c r="E1219" s="157">
        <v>41465.956250000003</v>
      </c>
      <c r="F1219" s="157">
        <v>41469.4375</v>
      </c>
      <c r="G1219" s="98">
        <v>0</v>
      </c>
      <c r="H1219" s="98">
        <v>520</v>
      </c>
      <c r="I1219" s="98">
        <v>486</v>
      </c>
      <c r="J1219" s="98" t="s">
        <v>2112</v>
      </c>
      <c r="K1219" s="98" t="s">
        <v>1127</v>
      </c>
      <c r="L1219" s="105" t="str">
        <f t="shared" si="210"/>
        <v>Ghent</v>
      </c>
      <c r="M1219" s="105" t="str">
        <f t="shared" si="211"/>
        <v>Maintenance</v>
      </c>
      <c r="N1219" s="105" t="str">
        <f t="shared" si="212"/>
        <v>Coal</v>
      </c>
      <c r="O1219" s="105">
        <f>IFERROR(VLOOKUP(A1219,Lookup!$J$5:$P$19,7,FALSE),0)</f>
        <v>3</v>
      </c>
      <c r="P1219" s="159">
        <f t="shared" si="213"/>
        <v>2013</v>
      </c>
      <c r="Q1219" s="159">
        <f t="shared" si="214"/>
        <v>7</v>
      </c>
      <c r="R1219" s="160">
        <f t="shared" si="215"/>
        <v>83.549999999930151</v>
      </c>
      <c r="S1219" s="158">
        <f t="shared" si="216"/>
        <v>83.549999999930151</v>
      </c>
      <c r="T1219" s="161">
        <f t="shared" si="217"/>
        <v>40605.299999966053</v>
      </c>
      <c r="U1219" s="158">
        <f t="shared" si="218"/>
        <v>486</v>
      </c>
      <c r="V1219" s="160">
        <f t="shared" si="219"/>
        <v>486</v>
      </c>
    </row>
    <row r="1220" spans="1:22" x14ac:dyDescent="0.25">
      <c r="A1220" s="98" t="s">
        <v>27</v>
      </c>
      <c r="B1220" s="98" t="s">
        <v>17</v>
      </c>
      <c r="C1220" s="98">
        <v>46</v>
      </c>
      <c r="D1220" s="98">
        <v>1850</v>
      </c>
      <c r="E1220" s="157">
        <v>41469.381944444445</v>
      </c>
      <c r="F1220" s="157">
        <v>41469.4375</v>
      </c>
      <c r="G1220" s="98">
        <v>480</v>
      </c>
      <c r="H1220" s="98">
        <v>520</v>
      </c>
      <c r="I1220" s="98">
        <v>486</v>
      </c>
      <c r="J1220" s="98" t="s">
        <v>2263</v>
      </c>
      <c r="K1220" s="98" t="s">
        <v>1128</v>
      </c>
      <c r="L1220" s="105" t="str">
        <f t="shared" si="210"/>
        <v>Ghent</v>
      </c>
      <c r="M1220" s="105" t="str">
        <f t="shared" si="211"/>
        <v>Derate</v>
      </c>
      <c r="N1220" s="105" t="str">
        <f t="shared" si="212"/>
        <v>Coal</v>
      </c>
      <c r="O1220" s="105">
        <f>IFERROR(VLOOKUP(A1220,Lookup!$J$5:$P$19,7,FALSE),0)</f>
        <v>3</v>
      </c>
      <c r="P1220" s="159">
        <f t="shared" si="213"/>
        <v>2013</v>
      </c>
      <c r="Q1220" s="159">
        <f t="shared" si="214"/>
        <v>7</v>
      </c>
      <c r="R1220" s="160">
        <f t="shared" si="215"/>
        <v>1.3333333333139308</v>
      </c>
      <c r="S1220" s="158">
        <f t="shared" si="216"/>
        <v>0.10256410256261006</v>
      </c>
      <c r="T1220" s="161">
        <f t="shared" si="217"/>
        <v>49.846153845428489</v>
      </c>
      <c r="U1220" s="158">
        <f t="shared" si="218"/>
        <v>37.384615384615387</v>
      </c>
      <c r="V1220" s="160">
        <f t="shared" si="219"/>
        <v>37</v>
      </c>
    </row>
    <row r="1221" spans="1:22" x14ac:dyDescent="0.25">
      <c r="A1221" s="98" t="s">
        <v>27</v>
      </c>
      <c r="B1221" s="98" t="s">
        <v>17</v>
      </c>
      <c r="C1221" s="98">
        <v>48</v>
      </c>
      <c r="D1221" s="98">
        <v>360</v>
      </c>
      <c r="E1221" s="157">
        <v>41477.326388888891</v>
      </c>
      <c r="F1221" s="157">
        <v>41477.538194444445</v>
      </c>
      <c r="G1221" s="98">
        <v>450</v>
      </c>
      <c r="H1221" s="98">
        <v>520</v>
      </c>
      <c r="I1221" s="98">
        <v>486</v>
      </c>
      <c r="J1221" s="98" t="s">
        <v>229</v>
      </c>
      <c r="K1221" s="98" t="s">
        <v>1129</v>
      </c>
      <c r="L1221" s="105" t="str">
        <f t="shared" si="210"/>
        <v>Ghent</v>
      </c>
      <c r="M1221" s="105" t="str">
        <f t="shared" si="211"/>
        <v>Derate</v>
      </c>
      <c r="N1221" s="105" t="str">
        <f t="shared" si="212"/>
        <v>Coal</v>
      </c>
      <c r="O1221" s="105">
        <f>IFERROR(VLOOKUP(A1221,Lookup!$J$5:$P$19,7,FALSE),0)</f>
        <v>3</v>
      </c>
      <c r="P1221" s="159">
        <f t="shared" si="213"/>
        <v>2013</v>
      </c>
      <c r="Q1221" s="159">
        <f t="shared" si="214"/>
        <v>7</v>
      </c>
      <c r="R1221" s="160">
        <f t="shared" si="215"/>
        <v>5.0833333333139308</v>
      </c>
      <c r="S1221" s="158">
        <f t="shared" si="216"/>
        <v>0.6842948717922599</v>
      </c>
      <c r="T1221" s="161">
        <f t="shared" si="217"/>
        <v>332.56730769103831</v>
      </c>
      <c r="U1221" s="158">
        <f t="shared" si="218"/>
        <v>65.42307692307692</v>
      </c>
      <c r="V1221" s="160">
        <f t="shared" si="219"/>
        <v>65</v>
      </c>
    </row>
    <row r="1222" spans="1:22" x14ac:dyDescent="0.25">
      <c r="A1222" s="98" t="s">
        <v>27</v>
      </c>
      <c r="B1222" s="98" t="s">
        <v>32</v>
      </c>
      <c r="C1222" s="98">
        <v>49</v>
      </c>
      <c r="D1222" s="98">
        <v>340</v>
      </c>
      <c r="E1222" s="157">
        <v>41487.936805555553</v>
      </c>
      <c r="F1222" s="157">
        <v>41488.222222222219</v>
      </c>
      <c r="G1222" s="98">
        <v>480</v>
      </c>
      <c r="H1222" s="98">
        <v>520</v>
      </c>
      <c r="I1222" s="98">
        <v>486</v>
      </c>
      <c r="J1222" s="98" t="s">
        <v>1970</v>
      </c>
      <c r="K1222" s="98" t="s">
        <v>1130</v>
      </c>
      <c r="L1222" s="105" t="str">
        <f t="shared" si="210"/>
        <v>Ghent</v>
      </c>
      <c r="M1222" s="105" t="str">
        <f t="shared" si="211"/>
        <v>Derate</v>
      </c>
      <c r="N1222" s="105" t="str">
        <f t="shared" si="212"/>
        <v>Coal</v>
      </c>
      <c r="O1222" s="105">
        <f>IFERROR(VLOOKUP(A1222,Lookup!$J$5:$P$19,7,FALSE),0)</f>
        <v>3</v>
      </c>
      <c r="P1222" s="159">
        <f t="shared" si="213"/>
        <v>2013</v>
      </c>
      <c r="Q1222" s="159">
        <f t="shared" si="214"/>
        <v>8</v>
      </c>
      <c r="R1222" s="160">
        <f t="shared" si="215"/>
        <v>6.8499999999767169</v>
      </c>
      <c r="S1222" s="158">
        <f t="shared" si="216"/>
        <v>0.52692307692128593</v>
      </c>
      <c r="T1222" s="161">
        <f t="shared" si="217"/>
        <v>256.08461538374496</v>
      </c>
      <c r="U1222" s="158">
        <f t="shared" si="218"/>
        <v>37.384615384615387</v>
      </c>
      <c r="V1222" s="160">
        <f t="shared" si="219"/>
        <v>37</v>
      </c>
    </row>
    <row r="1223" spans="1:22" x14ac:dyDescent="0.25">
      <c r="A1223" s="98" t="s">
        <v>27</v>
      </c>
      <c r="B1223" s="98" t="s">
        <v>17</v>
      </c>
      <c r="C1223" s="98">
        <v>50</v>
      </c>
      <c r="D1223" s="98">
        <v>344</v>
      </c>
      <c r="E1223" s="157">
        <v>41494.041666666664</v>
      </c>
      <c r="F1223" s="157">
        <v>41494.138888888891</v>
      </c>
      <c r="G1223" s="98">
        <v>480</v>
      </c>
      <c r="H1223" s="98">
        <v>520</v>
      </c>
      <c r="I1223" s="98">
        <v>486</v>
      </c>
      <c r="J1223" s="98" t="s">
        <v>1968</v>
      </c>
      <c r="K1223" s="98" t="s">
        <v>1131</v>
      </c>
      <c r="L1223" s="105" t="str">
        <f t="shared" si="210"/>
        <v>Ghent</v>
      </c>
      <c r="M1223" s="105" t="str">
        <f t="shared" si="211"/>
        <v>Derate</v>
      </c>
      <c r="N1223" s="105" t="str">
        <f t="shared" si="212"/>
        <v>Coal</v>
      </c>
      <c r="O1223" s="105">
        <f>IFERROR(VLOOKUP(A1223,Lookup!$J$5:$P$19,7,FALSE),0)</f>
        <v>3</v>
      </c>
      <c r="P1223" s="159">
        <f t="shared" si="213"/>
        <v>2013</v>
      </c>
      <c r="Q1223" s="159">
        <f t="shared" si="214"/>
        <v>8</v>
      </c>
      <c r="R1223" s="160">
        <f t="shared" si="215"/>
        <v>2.3333333334303461</v>
      </c>
      <c r="S1223" s="158">
        <f t="shared" si="216"/>
        <v>0.17948717949464202</v>
      </c>
      <c r="T1223" s="161">
        <f t="shared" si="217"/>
        <v>87.230769234396021</v>
      </c>
      <c r="U1223" s="158">
        <f t="shared" si="218"/>
        <v>37.384615384615387</v>
      </c>
      <c r="V1223" s="160">
        <f t="shared" si="219"/>
        <v>37</v>
      </c>
    </row>
    <row r="1224" spans="1:22" x14ac:dyDescent="0.25">
      <c r="A1224" s="98" t="s">
        <v>27</v>
      </c>
      <c r="B1224" s="98" t="s">
        <v>32</v>
      </c>
      <c r="C1224" s="98">
        <v>51</v>
      </c>
      <c r="D1224" s="98">
        <v>3410</v>
      </c>
      <c r="E1224" s="157">
        <v>41499.875</v>
      </c>
      <c r="F1224" s="157">
        <v>41500.154166666667</v>
      </c>
      <c r="G1224" s="98">
        <v>320</v>
      </c>
      <c r="H1224" s="98">
        <v>520</v>
      </c>
      <c r="I1224" s="98">
        <v>486</v>
      </c>
      <c r="J1224" s="98" t="s">
        <v>1983</v>
      </c>
      <c r="K1224" s="98" t="s">
        <v>1132</v>
      </c>
      <c r="L1224" s="105" t="str">
        <f t="shared" si="210"/>
        <v>Ghent</v>
      </c>
      <c r="M1224" s="105" t="str">
        <f t="shared" si="211"/>
        <v>Derate</v>
      </c>
      <c r="N1224" s="105" t="str">
        <f t="shared" si="212"/>
        <v>Coal</v>
      </c>
      <c r="O1224" s="105">
        <f>IFERROR(VLOOKUP(A1224,Lookup!$J$5:$P$19,7,FALSE),0)</f>
        <v>3</v>
      </c>
      <c r="P1224" s="159">
        <f t="shared" si="213"/>
        <v>2013</v>
      </c>
      <c r="Q1224" s="159">
        <f t="shared" si="214"/>
        <v>8</v>
      </c>
      <c r="R1224" s="160">
        <f t="shared" si="215"/>
        <v>6.7000000000116415</v>
      </c>
      <c r="S1224" s="158">
        <f t="shared" si="216"/>
        <v>2.5769230769275544</v>
      </c>
      <c r="T1224" s="161">
        <f t="shared" si="217"/>
        <v>1252.3846153867914</v>
      </c>
      <c r="U1224" s="158">
        <f t="shared" si="218"/>
        <v>186.92307692307693</v>
      </c>
      <c r="V1224" s="160">
        <f t="shared" si="219"/>
        <v>187</v>
      </c>
    </row>
    <row r="1225" spans="1:22" x14ac:dyDescent="0.25">
      <c r="A1225" s="98" t="s">
        <v>27</v>
      </c>
      <c r="B1225" s="98" t="s">
        <v>17</v>
      </c>
      <c r="C1225" s="98">
        <v>52</v>
      </c>
      <c r="D1225" s="98">
        <v>1000</v>
      </c>
      <c r="E1225" s="157">
        <v>41512.663194444445</v>
      </c>
      <c r="F1225" s="157">
        <v>41512.936111111114</v>
      </c>
      <c r="G1225" s="98">
        <v>440</v>
      </c>
      <c r="H1225" s="98">
        <v>520</v>
      </c>
      <c r="I1225" s="98">
        <v>486</v>
      </c>
      <c r="J1225" s="98" t="s">
        <v>2002</v>
      </c>
      <c r="K1225" s="98" t="s">
        <v>1133</v>
      </c>
      <c r="L1225" s="105" t="str">
        <f t="shared" si="210"/>
        <v>Ghent</v>
      </c>
      <c r="M1225" s="105" t="str">
        <f t="shared" si="211"/>
        <v>Derate</v>
      </c>
      <c r="N1225" s="105" t="str">
        <f t="shared" si="212"/>
        <v>Coal</v>
      </c>
      <c r="O1225" s="105">
        <f>IFERROR(VLOOKUP(A1225,Lookup!$J$5:$P$19,7,FALSE),0)</f>
        <v>3</v>
      </c>
      <c r="P1225" s="159">
        <f t="shared" si="213"/>
        <v>2013</v>
      </c>
      <c r="Q1225" s="159">
        <f t="shared" si="214"/>
        <v>8</v>
      </c>
      <c r="R1225" s="160">
        <f t="shared" si="215"/>
        <v>6.5500000000465661</v>
      </c>
      <c r="S1225" s="158">
        <f t="shared" si="216"/>
        <v>1.0076923076994717</v>
      </c>
      <c r="T1225" s="161">
        <f t="shared" si="217"/>
        <v>489.73846154194325</v>
      </c>
      <c r="U1225" s="158">
        <f t="shared" si="218"/>
        <v>74.769230769230774</v>
      </c>
      <c r="V1225" s="160">
        <f t="shared" si="219"/>
        <v>75</v>
      </c>
    </row>
    <row r="1226" spans="1:22" x14ac:dyDescent="0.25">
      <c r="A1226" s="98" t="s">
        <v>27</v>
      </c>
      <c r="B1226" s="98" t="s">
        <v>20</v>
      </c>
      <c r="C1226" s="98">
        <v>53</v>
      </c>
      <c r="D1226" s="98">
        <v>1000</v>
      </c>
      <c r="E1226" s="157">
        <v>41512.936111111114</v>
      </c>
      <c r="F1226" s="157">
        <v>41513.972222222219</v>
      </c>
      <c r="G1226" s="98">
        <v>0</v>
      </c>
      <c r="H1226" s="98">
        <v>520</v>
      </c>
      <c r="I1226" s="98">
        <v>486</v>
      </c>
      <c r="J1226" s="98" t="s">
        <v>2002</v>
      </c>
      <c r="K1226" s="98" t="s">
        <v>1134</v>
      </c>
      <c r="L1226" s="105" t="str">
        <f t="shared" si="210"/>
        <v>Ghent</v>
      </c>
      <c r="M1226" s="105" t="str">
        <f t="shared" si="211"/>
        <v>Maintenance</v>
      </c>
      <c r="N1226" s="105" t="str">
        <f t="shared" si="212"/>
        <v>Coal</v>
      </c>
      <c r="O1226" s="105">
        <f>IFERROR(VLOOKUP(A1226,Lookup!$J$5:$P$19,7,FALSE),0)</f>
        <v>3</v>
      </c>
      <c r="P1226" s="159">
        <f t="shared" si="213"/>
        <v>2013</v>
      </c>
      <c r="Q1226" s="159">
        <f t="shared" si="214"/>
        <v>8</v>
      </c>
      <c r="R1226" s="160">
        <f t="shared" si="215"/>
        <v>24.866666666523088</v>
      </c>
      <c r="S1226" s="158">
        <f t="shared" si="216"/>
        <v>24.866666666523088</v>
      </c>
      <c r="T1226" s="161">
        <f t="shared" si="217"/>
        <v>12085.199999930221</v>
      </c>
      <c r="U1226" s="158">
        <f t="shared" si="218"/>
        <v>486</v>
      </c>
      <c r="V1226" s="160">
        <f t="shared" si="219"/>
        <v>486</v>
      </c>
    </row>
    <row r="1227" spans="1:22" x14ac:dyDescent="0.25">
      <c r="A1227" s="98" t="s">
        <v>27</v>
      </c>
      <c r="B1227" s="98" t="s">
        <v>18</v>
      </c>
      <c r="C1227" s="98">
        <v>54</v>
      </c>
      <c r="D1227" s="98">
        <v>380</v>
      </c>
      <c r="E1227" s="157">
        <v>41513.972222222219</v>
      </c>
      <c r="F1227" s="157">
        <v>41514.115277777775</v>
      </c>
      <c r="G1227" s="98">
        <v>0</v>
      </c>
      <c r="H1227" s="98">
        <v>520</v>
      </c>
      <c r="I1227" s="98">
        <v>486</v>
      </c>
      <c r="J1227" s="98" t="s">
        <v>2017</v>
      </c>
      <c r="K1227" s="98" t="s">
        <v>1135</v>
      </c>
      <c r="L1227" s="105" t="str">
        <f t="shared" si="210"/>
        <v>Ghent</v>
      </c>
      <c r="M1227" s="105" t="str">
        <f t="shared" si="211"/>
        <v>Outage</v>
      </c>
      <c r="N1227" s="105" t="str">
        <f t="shared" si="212"/>
        <v>Coal</v>
      </c>
      <c r="O1227" s="105">
        <f>IFERROR(VLOOKUP(A1227,Lookup!$J$5:$P$19,7,FALSE),0)</f>
        <v>3</v>
      </c>
      <c r="P1227" s="159">
        <f t="shared" si="213"/>
        <v>2013</v>
      </c>
      <c r="Q1227" s="159">
        <f t="shared" si="214"/>
        <v>8</v>
      </c>
      <c r="R1227" s="160">
        <f t="shared" si="215"/>
        <v>3.4333333333488554</v>
      </c>
      <c r="S1227" s="158">
        <f t="shared" si="216"/>
        <v>3.4333333333488554</v>
      </c>
      <c r="T1227" s="161">
        <f t="shared" si="217"/>
        <v>1668.6000000075437</v>
      </c>
      <c r="U1227" s="158">
        <f t="shared" si="218"/>
        <v>486</v>
      </c>
      <c r="V1227" s="160">
        <f t="shared" si="219"/>
        <v>486</v>
      </c>
    </row>
    <row r="1228" spans="1:22" x14ac:dyDescent="0.25">
      <c r="A1228" s="98" t="s">
        <v>27</v>
      </c>
      <c r="B1228" s="98" t="s">
        <v>17</v>
      </c>
      <c r="C1228" s="98">
        <v>55</v>
      </c>
      <c r="D1228" s="98">
        <v>3410</v>
      </c>
      <c r="E1228" s="157">
        <v>41523.447916666664</v>
      </c>
      <c r="F1228" s="157">
        <v>41523.546527777777</v>
      </c>
      <c r="G1228" s="98">
        <v>320</v>
      </c>
      <c r="H1228" s="98">
        <v>520</v>
      </c>
      <c r="I1228" s="98">
        <v>486</v>
      </c>
      <c r="J1228" s="98" t="s">
        <v>1983</v>
      </c>
      <c r="K1228" s="98" t="s">
        <v>1136</v>
      </c>
      <c r="L1228" s="105" t="str">
        <f t="shared" si="210"/>
        <v>Ghent</v>
      </c>
      <c r="M1228" s="105" t="str">
        <f t="shared" si="211"/>
        <v>Derate</v>
      </c>
      <c r="N1228" s="105" t="str">
        <f t="shared" si="212"/>
        <v>Coal</v>
      </c>
      <c r="O1228" s="105">
        <f>IFERROR(VLOOKUP(A1228,Lookup!$J$5:$P$19,7,FALSE),0)</f>
        <v>3</v>
      </c>
      <c r="P1228" s="159">
        <f t="shared" si="213"/>
        <v>2013</v>
      </c>
      <c r="Q1228" s="159">
        <f t="shared" si="214"/>
        <v>9</v>
      </c>
      <c r="R1228" s="160">
        <f t="shared" si="215"/>
        <v>2.3666666666977108</v>
      </c>
      <c r="S1228" s="158">
        <f t="shared" si="216"/>
        <v>0.91025641026835025</v>
      </c>
      <c r="T1228" s="161">
        <f t="shared" si="217"/>
        <v>442.38461539041822</v>
      </c>
      <c r="U1228" s="158">
        <f t="shared" si="218"/>
        <v>186.92307692307693</v>
      </c>
      <c r="V1228" s="160">
        <f t="shared" si="219"/>
        <v>187</v>
      </c>
    </row>
    <row r="1229" spans="1:22" x14ac:dyDescent="0.25">
      <c r="A1229" s="98" t="s">
        <v>27</v>
      </c>
      <c r="B1229" s="98" t="s">
        <v>17</v>
      </c>
      <c r="C1229" s="98">
        <v>56</v>
      </c>
      <c r="D1229" s="98">
        <v>344</v>
      </c>
      <c r="E1229" s="157">
        <v>41526.65</v>
      </c>
      <c r="F1229" s="157">
        <v>41526.896527777775</v>
      </c>
      <c r="G1229" s="98">
        <v>465</v>
      </c>
      <c r="H1229" s="98">
        <v>520</v>
      </c>
      <c r="I1229" s="98">
        <v>486</v>
      </c>
      <c r="J1229" s="98" t="s">
        <v>1968</v>
      </c>
      <c r="K1229" s="98" t="s">
        <v>1137</v>
      </c>
      <c r="L1229" s="105" t="str">
        <f t="shared" si="210"/>
        <v>Ghent</v>
      </c>
      <c r="M1229" s="105" t="str">
        <f t="shared" si="211"/>
        <v>Derate</v>
      </c>
      <c r="N1229" s="105" t="str">
        <f t="shared" si="212"/>
        <v>Coal</v>
      </c>
      <c r="O1229" s="105">
        <f>IFERROR(VLOOKUP(A1229,Lookup!$J$5:$P$19,7,FALSE),0)</f>
        <v>3</v>
      </c>
      <c r="P1229" s="159">
        <f t="shared" si="213"/>
        <v>2013</v>
      </c>
      <c r="Q1229" s="159">
        <f t="shared" si="214"/>
        <v>9</v>
      </c>
      <c r="R1229" s="160">
        <f t="shared" si="215"/>
        <v>5.9166666665696539</v>
      </c>
      <c r="S1229" s="158">
        <f t="shared" si="216"/>
        <v>0.62580128204102103</v>
      </c>
      <c r="T1229" s="161">
        <f t="shared" si="217"/>
        <v>304.13942307193622</v>
      </c>
      <c r="U1229" s="158">
        <f t="shared" si="218"/>
        <v>51.403846153846153</v>
      </c>
      <c r="V1229" s="160">
        <f t="shared" si="219"/>
        <v>51</v>
      </c>
    </row>
    <row r="1230" spans="1:22" x14ac:dyDescent="0.25">
      <c r="A1230" s="98" t="s">
        <v>27</v>
      </c>
      <c r="B1230" s="98" t="s">
        <v>32</v>
      </c>
      <c r="C1230" s="98">
        <v>57</v>
      </c>
      <c r="D1230" s="98">
        <v>345</v>
      </c>
      <c r="E1230" s="157">
        <v>41531.125</v>
      </c>
      <c r="F1230" s="157">
        <v>41539.64166666667</v>
      </c>
      <c r="G1230" s="98">
        <v>460</v>
      </c>
      <c r="H1230" s="98">
        <v>520</v>
      </c>
      <c r="I1230" s="98">
        <v>486</v>
      </c>
      <c r="J1230" s="98" t="s">
        <v>2387</v>
      </c>
      <c r="K1230" s="98" t="s">
        <v>1138</v>
      </c>
      <c r="L1230" s="105" t="str">
        <f t="shared" si="210"/>
        <v>Ghent</v>
      </c>
      <c r="M1230" s="105" t="str">
        <f t="shared" si="211"/>
        <v>Derate</v>
      </c>
      <c r="N1230" s="105" t="str">
        <f t="shared" si="212"/>
        <v>Coal</v>
      </c>
      <c r="O1230" s="105">
        <f>IFERROR(VLOOKUP(A1230,Lookup!$J$5:$P$19,7,FALSE),0)</f>
        <v>3</v>
      </c>
      <c r="P1230" s="159">
        <f t="shared" si="213"/>
        <v>2013</v>
      </c>
      <c r="Q1230" s="159">
        <f t="shared" si="214"/>
        <v>9</v>
      </c>
      <c r="R1230" s="160">
        <f t="shared" si="215"/>
        <v>204.40000000008149</v>
      </c>
      <c r="S1230" s="158">
        <f t="shared" si="216"/>
        <v>23.584615384624787</v>
      </c>
      <c r="T1230" s="161">
        <f t="shared" si="217"/>
        <v>11462.123076927646</v>
      </c>
      <c r="U1230" s="158">
        <f t="shared" si="218"/>
        <v>56.07692307692308</v>
      </c>
      <c r="V1230" s="160">
        <f t="shared" si="219"/>
        <v>56</v>
      </c>
    </row>
    <row r="1231" spans="1:22" x14ac:dyDescent="0.25">
      <c r="A1231" s="98" t="s">
        <v>27</v>
      </c>
      <c r="B1231" s="98" t="s">
        <v>17</v>
      </c>
      <c r="C1231" s="98">
        <v>58</v>
      </c>
      <c r="D1231" s="98">
        <v>340</v>
      </c>
      <c r="E1231" s="157">
        <v>41536.958333333336</v>
      </c>
      <c r="F1231" s="157">
        <v>41536.997916666667</v>
      </c>
      <c r="G1231" s="98">
        <v>350</v>
      </c>
      <c r="H1231" s="98">
        <v>520</v>
      </c>
      <c r="I1231" s="98">
        <v>486</v>
      </c>
      <c r="J1231" s="98" t="s">
        <v>1970</v>
      </c>
      <c r="K1231" s="98" t="s">
        <v>1139</v>
      </c>
      <c r="L1231" s="105" t="str">
        <f t="shared" si="210"/>
        <v>Ghent</v>
      </c>
      <c r="M1231" s="105" t="str">
        <f t="shared" si="211"/>
        <v>Derate</v>
      </c>
      <c r="N1231" s="105" t="str">
        <f t="shared" si="212"/>
        <v>Coal</v>
      </c>
      <c r="O1231" s="105">
        <f>IFERROR(VLOOKUP(A1231,Lookup!$J$5:$P$19,7,FALSE),0)</f>
        <v>3</v>
      </c>
      <c r="P1231" s="159">
        <f t="shared" si="213"/>
        <v>2013</v>
      </c>
      <c r="Q1231" s="159">
        <f t="shared" si="214"/>
        <v>9</v>
      </c>
      <c r="R1231" s="160">
        <f t="shared" si="215"/>
        <v>0.94999999995343387</v>
      </c>
      <c r="S1231" s="158">
        <f t="shared" si="216"/>
        <v>0.31057692306169954</v>
      </c>
      <c r="T1231" s="161">
        <f t="shared" si="217"/>
        <v>150.94038460798598</v>
      </c>
      <c r="U1231" s="158">
        <f t="shared" si="218"/>
        <v>158.88461538461539</v>
      </c>
      <c r="V1231" s="160">
        <f t="shared" si="219"/>
        <v>159</v>
      </c>
    </row>
    <row r="1232" spans="1:22" x14ac:dyDescent="0.25">
      <c r="A1232" s="98" t="s">
        <v>27</v>
      </c>
      <c r="B1232" s="98" t="s">
        <v>17</v>
      </c>
      <c r="C1232" s="98">
        <v>59</v>
      </c>
      <c r="D1232" s="98">
        <v>3620</v>
      </c>
      <c r="E1232" s="157">
        <v>41538.690972222219</v>
      </c>
      <c r="F1232" s="157">
        <v>41538.702777777777</v>
      </c>
      <c r="G1232" s="98">
        <v>400</v>
      </c>
      <c r="H1232" s="98">
        <v>520</v>
      </c>
      <c r="I1232" s="98">
        <v>486</v>
      </c>
      <c r="J1232" s="98" t="s">
        <v>2092</v>
      </c>
      <c r="K1232" s="98" t="s">
        <v>1140</v>
      </c>
      <c r="L1232" s="105" t="str">
        <f t="shared" si="210"/>
        <v>Ghent</v>
      </c>
      <c r="M1232" s="105" t="str">
        <f t="shared" si="211"/>
        <v>Derate</v>
      </c>
      <c r="N1232" s="105" t="str">
        <f t="shared" si="212"/>
        <v>Coal</v>
      </c>
      <c r="O1232" s="105">
        <f>IFERROR(VLOOKUP(A1232,Lookup!$J$5:$P$19,7,FALSE),0)</f>
        <v>3</v>
      </c>
      <c r="P1232" s="159">
        <f t="shared" si="213"/>
        <v>2013</v>
      </c>
      <c r="Q1232" s="159">
        <f t="shared" si="214"/>
        <v>9</v>
      </c>
      <c r="R1232" s="160">
        <f t="shared" si="215"/>
        <v>0.28333333338377997</v>
      </c>
      <c r="S1232" s="158">
        <f t="shared" si="216"/>
        <v>6.5384615396256923E-2</v>
      </c>
      <c r="T1232" s="161">
        <f t="shared" si="217"/>
        <v>31.776923082580865</v>
      </c>
      <c r="U1232" s="158">
        <f t="shared" si="218"/>
        <v>112.15384615384616</v>
      </c>
      <c r="V1232" s="160">
        <f t="shared" si="219"/>
        <v>112</v>
      </c>
    </row>
    <row r="1233" spans="1:22" x14ac:dyDescent="0.25">
      <c r="A1233" s="98" t="s">
        <v>27</v>
      </c>
      <c r="B1233" s="98" t="s">
        <v>17</v>
      </c>
      <c r="C1233" s="98">
        <v>60</v>
      </c>
      <c r="D1233" s="98">
        <v>340</v>
      </c>
      <c r="E1233" s="157">
        <v>41539.489583333336</v>
      </c>
      <c r="F1233" s="157">
        <v>41539.574305555558</v>
      </c>
      <c r="G1233" s="98">
        <v>350</v>
      </c>
      <c r="H1233" s="98">
        <v>520</v>
      </c>
      <c r="I1233" s="98">
        <v>486</v>
      </c>
      <c r="J1233" s="98" t="s">
        <v>1970</v>
      </c>
      <c r="K1233" s="98" t="s">
        <v>1141</v>
      </c>
      <c r="L1233" s="105" t="str">
        <f t="shared" si="210"/>
        <v>Ghent</v>
      </c>
      <c r="M1233" s="105" t="str">
        <f t="shared" si="211"/>
        <v>Derate</v>
      </c>
      <c r="N1233" s="105" t="str">
        <f t="shared" si="212"/>
        <v>Coal</v>
      </c>
      <c r="O1233" s="105">
        <f>IFERROR(VLOOKUP(A1233,Lookup!$J$5:$P$19,7,FALSE),0)</f>
        <v>3</v>
      </c>
      <c r="P1233" s="159">
        <f t="shared" si="213"/>
        <v>2013</v>
      </c>
      <c r="Q1233" s="159">
        <f t="shared" si="214"/>
        <v>9</v>
      </c>
      <c r="R1233" s="160">
        <f t="shared" si="215"/>
        <v>2.0333333333255723</v>
      </c>
      <c r="S1233" s="158">
        <f t="shared" si="216"/>
        <v>0.66474358974105252</v>
      </c>
      <c r="T1233" s="161">
        <f t="shared" si="217"/>
        <v>323.06538461415153</v>
      </c>
      <c r="U1233" s="158">
        <f t="shared" si="218"/>
        <v>158.88461538461539</v>
      </c>
      <c r="V1233" s="160">
        <f t="shared" si="219"/>
        <v>159</v>
      </c>
    </row>
    <row r="1234" spans="1:22" x14ac:dyDescent="0.25">
      <c r="A1234" s="98" t="s">
        <v>27</v>
      </c>
      <c r="B1234" s="98" t="s">
        <v>33</v>
      </c>
      <c r="C1234" s="98">
        <v>61</v>
      </c>
      <c r="D1234" s="98">
        <v>799</v>
      </c>
      <c r="E1234" s="157">
        <v>41539.64166666667</v>
      </c>
      <c r="F1234" s="157">
        <v>41541.344444444447</v>
      </c>
      <c r="G1234" s="98">
        <v>0</v>
      </c>
      <c r="H1234" s="98">
        <v>520</v>
      </c>
      <c r="I1234" s="98">
        <v>486</v>
      </c>
      <c r="J1234" s="98" t="s">
        <v>2299</v>
      </c>
      <c r="K1234" s="98" t="s">
        <v>1142</v>
      </c>
      <c r="L1234" s="105" t="str">
        <f t="shared" si="210"/>
        <v>Ghent</v>
      </c>
      <c r="M1234" s="105" t="str">
        <f t="shared" si="211"/>
        <v>Outage</v>
      </c>
      <c r="N1234" s="105" t="str">
        <f t="shared" si="212"/>
        <v>Coal</v>
      </c>
      <c r="O1234" s="105">
        <f>IFERROR(VLOOKUP(A1234,Lookup!$J$5:$P$19,7,FALSE),0)</f>
        <v>3</v>
      </c>
      <c r="P1234" s="159">
        <f t="shared" si="213"/>
        <v>2013</v>
      </c>
      <c r="Q1234" s="159">
        <f t="shared" si="214"/>
        <v>9</v>
      </c>
      <c r="R1234" s="160">
        <f t="shared" si="215"/>
        <v>40.866666666639503</v>
      </c>
      <c r="S1234" s="158">
        <f t="shared" si="216"/>
        <v>40.866666666639503</v>
      </c>
      <c r="T1234" s="161">
        <f t="shared" si="217"/>
        <v>19861.199999986799</v>
      </c>
      <c r="U1234" s="158">
        <f t="shared" si="218"/>
        <v>486</v>
      </c>
      <c r="V1234" s="160">
        <f t="shared" si="219"/>
        <v>486</v>
      </c>
    </row>
    <row r="1235" spans="1:22" x14ac:dyDescent="0.25">
      <c r="A1235" s="98" t="s">
        <v>27</v>
      </c>
      <c r="B1235" s="98" t="s">
        <v>32</v>
      </c>
      <c r="C1235" s="98">
        <v>63</v>
      </c>
      <c r="D1235" s="98">
        <v>345</v>
      </c>
      <c r="E1235" s="157">
        <v>41541.344444444447</v>
      </c>
      <c r="F1235" s="157">
        <v>41557.397222222222</v>
      </c>
      <c r="G1235" s="98">
        <v>460</v>
      </c>
      <c r="H1235" s="98">
        <v>520</v>
      </c>
      <c r="I1235" s="98">
        <v>486</v>
      </c>
      <c r="J1235" s="98" t="s">
        <v>2387</v>
      </c>
      <c r="K1235" s="98" t="s">
        <v>1143</v>
      </c>
      <c r="L1235" s="105" t="str">
        <f t="shared" si="210"/>
        <v>Ghent</v>
      </c>
      <c r="M1235" s="105" t="str">
        <f t="shared" si="211"/>
        <v>Derate</v>
      </c>
      <c r="N1235" s="105" t="str">
        <f t="shared" si="212"/>
        <v>Coal</v>
      </c>
      <c r="O1235" s="105">
        <f>IFERROR(VLOOKUP(A1235,Lookup!$J$5:$P$19,7,FALSE),0)</f>
        <v>3</v>
      </c>
      <c r="P1235" s="159">
        <f t="shared" si="213"/>
        <v>2013</v>
      </c>
      <c r="Q1235" s="159">
        <f t="shared" si="214"/>
        <v>9</v>
      </c>
      <c r="R1235" s="160">
        <f t="shared" si="215"/>
        <v>385.26666666660458</v>
      </c>
      <c r="S1235" s="158">
        <f t="shared" si="216"/>
        <v>44.453846153838988</v>
      </c>
      <c r="T1235" s="161">
        <f t="shared" si="217"/>
        <v>21604.569230765748</v>
      </c>
      <c r="U1235" s="158">
        <f t="shared" si="218"/>
        <v>56.07692307692308</v>
      </c>
      <c r="V1235" s="160">
        <f t="shared" si="219"/>
        <v>56</v>
      </c>
    </row>
    <row r="1236" spans="1:22" x14ac:dyDescent="0.25">
      <c r="A1236" s="98" t="s">
        <v>27</v>
      </c>
      <c r="B1236" s="98" t="s">
        <v>17</v>
      </c>
      <c r="C1236" s="98">
        <v>64</v>
      </c>
      <c r="D1236" s="98">
        <v>280</v>
      </c>
      <c r="E1236" s="157">
        <v>41553.854861111111</v>
      </c>
      <c r="F1236" s="157">
        <v>41554.123611111114</v>
      </c>
      <c r="G1236" s="98">
        <v>360</v>
      </c>
      <c r="H1236" s="98">
        <v>520</v>
      </c>
      <c r="I1236" s="98">
        <v>486</v>
      </c>
      <c r="J1236" s="98" t="s">
        <v>1988</v>
      </c>
      <c r="K1236" s="98" t="s">
        <v>1144</v>
      </c>
      <c r="L1236" s="105" t="str">
        <f t="shared" si="210"/>
        <v>Ghent</v>
      </c>
      <c r="M1236" s="105" t="str">
        <f t="shared" si="211"/>
        <v>Derate</v>
      </c>
      <c r="N1236" s="105" t="str">
        <f t="shared" si="212"/>
        <v>Coal</v>
      </c>
      <c r="O1236" s="105">
        <f>IFERROR(VLOOKUP(A1236,Lookup!$J$5:$P$19,7,FALSE),0)</f>
        <v>3</v>
      </c>
      <c r="P1236" s="159">
        <f t="shared" si="213"/>
        <v>2013</v>
      </c>
      <c r="Q1236" s="159">
        <f t="shared" si="214"/>
        <v>10</v>
      </c>
      <c r="R1236" s="160">
        <f t="shared" si="215"/>
        <v>6.4500000000698492</v>
      </c>
      <c r="S1236" s="158">
        <f t="shared" si="216"/>
        <v>1.9846153846368766</v>
      </c>
      <c r="T1236" s="161">
        <f t="shared" si="217"/>
        <v>964.52307693352202</v>
      </c>
      <c r="U1236" s="158">
        <f t="shared" si="218"/>
        <v>149.53846153846155</v>
      </c>
      <c r="V1236" s="160">
        <f t="shared" si="219"/>
        <v>150</v>
      </c>
    </row>
    <row r="1237" spans="1:22" x14ac:dyDescent="0.25">
      <c r="A1237" s="98" t="s">
        <v>27</v>
      </c>
      <c r="B1237" s="98" t="s">
        <v>32</v>
      </c>
      <c r="C1237" s="98">
        <v>65</v>
      </c>
      <c r="D1237" s="98">
        <v>340</v>
      </c>
      <c r="E1237" s="157">
        <v>41568.916666666664</v>
      </c>
      <c r="F1237" s="157">
        <v>41569.636805555558</v>
      </c>
      <c r="G1237" s="98">
        <v>460</v>
      </c>
      <c r="H1237" s="98">
        <v>520</v>
      </c>
      <c r="I1237" s="98">
        <v>486</v>
      </c>
      <c r="J1237" s="98" t="s">
        <v>1970</v>
      </c>
      <c r="K1237" s="98" t="s">
        <v>1145</v>
      </c>
      <c r="L1237" s="105" t="str">
        <f t="shared" si="210"/>
        <v>Ghent</v>
      </c>
      <c r="M1237" s="105" t="str">
        <f t="shared" si="211"/>
        <v>Derate</v>
      </c>
      <c r="N1237" s="105" t="str">
        <f t="shared" si="212"/>
        <v>Coal</v>
      </c>
      <c r="O1237" s="105">
        <f>IFERROR(VLOOKUP(A1237,Lookup!$J$5:$P$19,7,FALSE),0)</f>
        <v>3</v>
      </c>
      <c r="P1237" s="159">
        <f t="shared" si="213"/>
        <v>2013</v>
      </c>
      <c r="Q1237" s="159">
        <f t="shared" si="214"/>
        <v>10</v>
      </c>
      <c r="R1237" s="160">
        <f t="shared" si="215"/>
        <v>17.283333333441988</v>
      </c>
      <c r="S1237" s="158">
        <f t="shared" si="216"/>
        <v>1.9942307692433063</v>
      </c>
      <c r="T1237" s="161">
        <f t="shared" si="217"/>
        <v>969.19615385224688</v>
      </c>
      <c r="U1237" s="158">
        <f t="shared" si="218"/>
        <v>56.07692307692308</v>
      </c>
      <c r="V1237" s="160">
        <f t="shared" si="219"/>
        <v>56</v>
      </c>
    </row>
    <row r="1238" spans="1:22" x14ac:dyDescent="0.25">
      <c r="A1238" s="98" t="s">
        <v>27</v>
      </c>
      <c r="B1238" s="98" t="s">
        <v>17</v>
      </c>
      <c r="C1238" s="98">
        <v>66</v>
      </c>
      <c r="D1238" s="98">
        <v>340</v>
      </c>
      <c r="E1238" s="157">
        <v>41569.328472222223</v>
      </c>
      <c r="F1238" s="157">
        <v>41569.586805555555</v>
      </c>
      <c r="G1238" s="98">
        <v>360</v>
      </c>
      <c r="H1238" s="98">
        <v>520</v>
      </c>
      <c r="I1238" s="98">
        <v>486</v>
      </c>
      <c r="J1238" s="98" t="s">
        <v>1970</v>
      </c>
      <c r="K1238" s="98" t="s">
        <v>1146</v>
      </c>
      <c r="L1238" s="105" t="str">
        <f t="shared" si="210"/>
        <v>Ghent</v>
      </c>
      <c r="M1238" s="105" t="str">
        <f t="shared" si="211"/>
        <v>Derate</v>
      </c>
      <c r="N1238" s="105" t="str">
        <f t="shared" si="212"/>
        <v>Coal</v>
      </c>
      <c r="O1238" s="105">
        <f>IFERROR(VLOOKUP(A1238,Lookup!$J$5:$P$19,7,FALSE),0)</f>
        <v>3</v>
      </c>
      <c r="P1238" s="159">
        <f t="shared" si="213"/>
        <v>2013</v>
      </c>
      <c r="Q1238" s="159">
        <f t="shared" si="214"/>
        <v>10</v>
      </c>
      <c r="R1238" s="160">
        <f t="shared" si="215"/>
        <v>6.1999999999534339</v>
      </c>
      <c r="S1238" s="158">
        <f t="shared" si="216"/>
        <v>1.9076923076779797</v>
      </c>
      <c r="T1238" s="161">
        <f t="shared" si="217"/>
        <v>927.13846153149814</v>
      </c>
      <c r="U1238" s="158">
        <f t="shared" si="218"/>
        <v>149.53846153846155</v>
      </c>
      <c r="V1238" s="160">
        <f t="shared" si="219"/>
        <v>150</v>
      </c>
    </row>
    <row r="1239" spans="1:22" x14ac:dyDescent="0.25">
      <c r="A1239" s="98" t="s">
        <v>27</v>
      </c>
      <c r="B1239" s="98" t="s">
        <v>32</v>
      </c>
      <c r="C1239" s="98">
        <v>67</v>
      </c>
      <c r="D1239" s="98">
        <v>344</v>
      </c>
      <c r="E1239" s="157">
        <v>41569.916666666664</v>
      </c>
      <c r="F1239" s="157">
        <v>41570.037499999999</v>
      </c>
      <c r="G1239" s="98">
        <v>460</v>
      </c>
      <c r="H1239" s="98">
        <v>520</v>
      </c>
      <c r="I1239" s="98">
        <v>486</v>
      </c>
      <c r="J1239" s="98" t="s">
        <v>1968</v>
      </c>
      <c r="K1239" s="98" t="s">
        <v>1147</v>
      </c>
      <c r="L1239" s="105" t="str">
        <f t="shared" si="210"/>
        <v>Ghent</v>
      </c>
      <c r="M1239" s="105" t="str">
        <f t="shared" si="211"/>
        <v>Derate</v>
      </c>
      <c r="N1239" s="105" t="str">
        <f t="shared" si="212"/>
        <v>Coal</v>
      </c>
      <c r="O1239" s="105">
        <f>IFERROR(VLOOKUP(A1239,Lookup!$J$5:$P$19,7,FALSE),0)</f>
        <v>3</v>
      </c>
      <c r="P1239" s="159">
        <f t="shared" si="213"/>
        <v>2013</v>
      </c>
      <c r="Q1239" s="159">
        <f t="shared" si="214"/>
        <v>10</v>
      </c>
      <c r="R1239" s="160">
        <f t="shared" si="215"/>
        <v>2.9000000000232831</v>
      </c>
      <c r="S1239" s="158">
        <f t="shared" si="216"/>
        <v>0.33461538461807111</v>
      </c>
      <c r="T1239" s="161">
        <f t="shared" si="217"/>
        <v>162.62307692438256</v>
      </c>
      <c r="U1239" s="158">
        <f t="shared" si="218"/>
        <v>56.07692307692308</v>
      </c>
      <c r="V1239" s="160">
        <f t="shared" si="219"/>
        <v>56</v>
      </c>
    </row>
    <row r="1240" spans="1:22" x14ac:dyDescent="0.25">
      <c r="A1240" s="98" t="s">
        <v>27</v>
      </c>
      <c r="B1240" s="98" t="s">
        <v>17</v>
      </c>
      <c r="C1240" s="98">
        <v>68</v>
      </c>
      <c r="D1240" s="98">
        <v>350</v>
      </c>
      <c r="E1240" s="157">
        <v>41570.06527777778</v>
      </c>
      <c r="F1240" s="157">
        <v>41570.224999999999</v>
      </c>
      <c r="G1240" s="98">
        <v>460</v>
      </c>
      <c r="H1240" s="98">
        <v>520</v>
      </c>
      <c r="I1240" s="98">
        <v>486</v>
      </c>
      <c r="J1240" s="98" t="s">
        <v>1976</v>
      </c>
      <c r="K1240" s="98" t="s">
        <v>1148</v>
      </c>
      <c r="L1240" s="105" t="str">
        <f t="shared" si="210"/>
        <v>Ghent</v>
      </c>
      <c r="M1240" s="105" t="str">
        <f t="shared" si="211"/>
        <v>Derate</v>
      </c>
      <c r="N1240" s="105" t="str">
        <f t="shared" si="212"/>
        <v>Coal</v>
      </c>
      <c r="O1240" s="105">
        <f>IFERROR(VLOOKUP(A1240,Lookup!$J$5:$P$19,7,FALSE),0)</f>
        <v>3</v>
      </c>
      <c r="P1240" s="159">
        <f t="shared" si="213"/>
        <v>2013</v>
      </c>
      <c r="Q1240" s="159">
        <f t="shared" si="214"/>
        <v>10</v>
      </c>
      <c r="R1240" s="160">
        <f t="shared" si="215"/>
        <v>3.8333333332557231</v>
      </c>
      <c r="S1240" s="158">
        <f t="shared" si="216"/>
        <v>0.44230769229873729</v>
      </c>
      <c r="T1240" s="161">
        <f t="shared" si="217"/>
        <v>214.96153845718632</v>
      </c>
      <c r="U1240" s="158">
        <f t="shared" si="218"/>
        <v>56.07692307692308</v>
      </c>
      <c r="V1240" s="160">
        <f t="shared" si="219"/>
        <v>56</v>
      </c>
    </row>
    <row r="1241" spans="1:22" x14ac:dyDescent="0.25">
      <c r="A1241" s="98" t="s">
        <v>27</v>
      </c>
      <c r="B1241" s="98" t="s">
        <v>32</v>
      </c>
      <c r="C1241" s="98">
        <v>69</v>
      </c>
      <c r="D1241" s="98">
        <v>340</v>
      </c>
      <c r="E1241" s="157">
        <v>41571.916666666664</v>
      </c>
      <c r="F1241" s="157">
        <v>41572.236111111109</v>
      </c>
      <c r="G1241" s="98">
        <v>460</v>
      </c>
      <c r="H1241" s="98">
        <v>520</v>
      </c>
      <c r="I1241" s="98">
        <v>486</v>
      </c>
      <c r="J1241" s="98" t="s">
        <v>1970</v>
      </c>
      <c r="K1241" s="98" t="s">
        <v>1149</v>
      </c>
      <c r="L1241" s="105" t="str">
        <f t="shared" si="210"/>
        <v>Ghent</v>
      </c>
      <c r="M1241" s="105" t="str">
        <f t="shared" si="211"/>
        <v>Derate</v>
      </c>
      <c r="N1241" s="105" t="str">
        <f t="shared" si="212"/>
        <v>Coal</v>
      </c>
      <c r="O1241" s="105">
        <f>IFERROR(VLOOKUP(A1241,Lookup!$J$5:$P$19,7,FALSE),0)</f>
        <v>3</v>
      </c>
      <c r="P1241" s="159">
        <f t="shared" si="213"/>
        <v>2013</v>
      </c>
      <c r="Q1241" s="159">
        <f t="shared" si="214"/>
        <v>10</v>
      </c>
      <c r="R1241" s="160">
        <f t="shared" si="215"/>
        <v>7.6666666666860692</v>
      </c>
      <c r="S1241" s="158">
        <f t="shared" si="216"/>
        <v>0.88461538461762335</v>
      </c>
      <c r="T1241" s="161">
        <f t="shared" si="217"/>
        <v>429.92307692416495</v>
      </c>
      <c r="U1241" s="158">
        <f t="shared" si="218"/>
        <v>56.07692307692308</v>
      </c>
      <c r="V1241" s="160">
        <f t="shared" si="219"/>
        <v>56</v>
      </c>
    </row>
    <row r="1242" spans="1:22" x14ac:dyDescent="0.25">
      <c r="A1242" s="98" t="s">
        <v>27</v>
      </c>
      <c r="B1242" s="98" t="s">
        <v>17</v>
      </c>
      <c r="C1242" s="98">
        <v>70</v>
      </c>
      <c r="D1242" s="98">
        <v>920</v>
      </c>
      <c r="E1242" s="157">
        <v>41583.96875</v>
      </c>
      <c r="F1242" s="157">
        <v>41584.166666666664</v>
      </c>
      <c r="G1242" s="98">
        <v>200</v>
      </c>
      <c r="H1242" s="98">
        <v>520</v>
      </c>
      <c r="I1242" s="98">
        <v>486</v>
      </c>
      <c r="J1242" s="98" t="s">
        <v>1974</v>
      </c>
      <c r="K1242" s="98" t="s">
        <v>1150</v>
      </c>
      <c r="L1242" s="105" t="str">
        <f t="shared" si="210"/>
        <v>Ghent</v>
      </c>
      <c r="M1242" s="105" t="str">
        <f t="shared" si="211"/>
        <v>Derate</v>
      </c>
      <c r="N1242" s="105" t="str">
        <f t="shared" si="212"/>
        <v>Coal</v>
      </c>
      <c r="O1242" s="105">
        <f>IFERROR(VLOOKUP(A1242,Lookup!$J$5:$P$19,7,FALSE),0)</f>
        <v>3</v>
      </c>
      <c r="P1242" s="159">
        <f t="shared" si="213"/>
        <v>2013</v>
      </c>
      <c r="Q1242" s="159">
        <f t="shared" si="214"/>
        <v>11</v>
      </c>
      <c r="R1242" s="160">
        <f t="shared" si="215"/>
        <v>4.7499999999417923</v>
      </c>
      <c r="S1242" s="158">
        <f t="shared" si="216"/>
        <v>2.9230769230411031</v>
      </c>
      <c r="T1242" s="161">
        <f t="shared" si="217"/>
        <v>1420.6153845979761</v>
      </c>
      <c r="U1242" s="158">
        <f t="shared" si="218"/>
        <v>299.07692307692309</v>
      </c>
      <c r="V1242" s="160">
        <f t="shared" si="219"/>
        <v>299</v>
      </c>
    </row>
    <row r="1243" spans="1:22" x14ac:dyDescent="0.25">
      <c r="A1243" s="98" t="s">
        <v>27</v>
      </c>
      <c r="B1243" s="98" t="s">
        <v>32</v>
      </c>
      <c r="C1243" s="98">
        <v>71</v>
      </c>
      <c r="D1243" s="98">
        <v>3642</v>
      </c>
      <c r="E1243" s="157">
        <v>41587.375</v>
      </c>
      <c r="F1243" s="157">
        <v>41587.767361111109</v>
      </c>
      <c r="G1243" s="98">
        <v>420</v>
      </c>
      <c r="H1243" s="98">
        <v>520</v>
      </c>
      <c r="I1243" s="98">
        <v>486</v>
      </c>
      <c r="J1243" s="98" t="s">
        <v>2113</v>
      </c>
      <c r="K1243" s="98" t="s">
        <v>1151</v>
      </c>
      <c r="L1243" s="105" t="str">
        <f t="shared" si="210"/>
        <v>Ghent</v>
      </c>
      <c r="M1243" s="105" t="str">
        <f t="shared" si="211"/>
        <v>Derate</v>
      </c>
      <c r="N1243" s="105" t="str">
        <f t="shared" si="212"/>
        <v>Coal</v>
      </c>
      <c r="O1243" s="105">
        <f>IFERROR(VLOOKUP(A1243,Lookup!$J$5:$P$19,7,FALSE),0)</f>
        <v>3</v>
      </c>
      <c r="P1243" s="159">
        <f t="shared" si="213"/>
        <v>2013</v>
      </c>
      <c r="Q1243" s="159">
        <f t="shared" si="214"/>
        <v>11</v>
      </c>
      <c r="R1243" s="160">
        <f t="shared" si="215"/>
        <v>9.4166666666278616</v>
      </c>
      <c r="S1243" s="158">
        <f t="shared" si="216"/>
        <v>1.8108974358899734</v>
      </c>
      <c r="T1243" s="161">
        <f t="shared" si="217"/>
        <v>880.09615384252709</v>
      </c>
      <c r="U1243" s="158">
        <f t="shared" si="218"/>
        <v>93.461538461538467</v>
      </c>
      <c r="V1243" s="160">
        <f t="shared" si="219"/>
        <v>93</v>
      </c>
    </row>
    <row r="1244" spans="1:22" x14ac:dyDescent="0.25">
      <c r="A1244" s="98" t="s">
        <v>27</v>
      </c>
      <c r="B1244" s="98" t="s">
        <v>32</v>
      </c>
      <c r="C1244" s="98">
        <v>72</v>
      </c>
      <c r="D1244" s="98">
        <v>3642</v>
      </c>
      <c r="E1244" s="157">
        <v>41588.316666666666</v>
      </c>
      <c r="F1244" s="157">
        <v>41588.629861111112</v>
      </c>
      <c r="G1244" s="98">
        <v>420</v>
      </c>
      <c r="H1244" s="98">
        <v>520</v>
      </c>
      <c r="I1244" s="98">
        <v>486</v>
      </c>
      <c r="J1244" s="98" t="s">
        <v>2113</v>
      </c>
      <c r="K1244" s="98" t="s">
        <v>1152</v>
      </c>
      <c r="L1244" s="105" t="str">
        <f t="shared" si="210"/>
        <v>Ghent</v>
      </c>
      <c r="M1244" s="105" t="str">
        <f t="shared" si="211"/>
        <v>Derate</v>
      </c>
      <c r="N1244" s="105" t="str">
        <f t="shared" si="212"/>
        <v>Coal</v>
      </c>
      <c r="O1244" s="105">
        <f>IFERROR(VLOOKUP(A1244,Lookup!$J$5:$P$19,7,FALSE),0)</f>
        <v>3</v>
      </c>
      <c r="P1244" s="159">
        <f t="shared" si="213"/>
        <v>2013</v>
      </c>
      <c r="Q1244" s="159">
        <f t="shared" si="214"/>
        <v>11</v>
      </c>
      <c r="R1244" s="160">
        <f t="shared" si="215"/>
        <v>7.5166666667209938</v>
      </c>
      <c r="S1244" s="158">
        <f t="shared" si="216"/>
        <v>1.4455128205232681</v>
      </c>
      <c r="T1244" s="161">
        <f t="shared" si="217"/>
        <v>702.51923077430831</v>
      </c>
      <c r="U1244" s="158">
        <f t="shared" si="218"/>
        <v>93.461538461538467</v>
      </c>
      <c r="V1244" s="160">
        <f t="shared" si="219"/>
        <v>93</v>
      </c>
    </row>
    <row r="1245" spans="1:22" x14ac:dyDescent="0.25">
      <c r="A1245" s="98" t="s">
        <v>27</v>
      </c>
      <c r="B1245" s="98" t="s">
        <v>17</v>
      </c>
      <c r="C1245" s="98">
        <v>73</v>
      </c>
      <c r="D1245" s="98">
        <v>340</v>
      </c>
      <c r="E1245" s="157">
        <v>41589.131944444445</v>
      </c>
      <c r="F1245" s="157">
        <v>41589.546527777777</v>
      </c>
      <c r="G1245" s="98">
        <v>460</v>
      </c>
      <c r="H1245" s="98">
        <v>520</v>
      </c>
      <c r="I1245" s="98">
        <v>486</v>
      </c>
      <c r="J1245" s="98" t="s">
        <v>1970</v>
      </c>
      <c r="K1245" s="98" t="s">
        <v>1153</v>
      </c>
      <c r="L1245" s="105" t="str">
        <f t="shared" si="210"/>
        <v>Ghent</v>
      </c>
      <c r="M1245" s="105" t="str">
        <f t="shared" si="211"/>
        <v>Derate</v>
      </c>
      <c r="N1245" s="105" t="str">
        <f t="shared" si="212"/>
        <v>Coal</v>
      </c>
      <c r="O1245" s="105">
        <f>IFERROR(VLOOKUP(A1245,Lookup!$J$5:$P$19,7,FALSE),0)</f>
        <v>3</v>
      </c>
      <c r="P1245" s="159">
        <f t="shared" si="213"/>
        <v>2013</v>
      </c>
      <c r="Q1245" s="159">
        <f t="shared" si="214"/>
        <v>11</v>
      </c>
      <c r="R1245" s="160">
        <f t="shared" si="215"/>
        <v>9.9499999999534339</v>
      </c>
      <c r="S1245" s="158">
        <f t="shared" si="216"/>
        <v>1.14807692307155</v>
      </c>
      <c r="T1245" s="161">
        <f t="shared" si="217"/>
        <v>557.96538461277328</v>
      </c>
      <c r="U1245" s="158">
        <f t="shared" si="218"/>
        <v>56.07692307692308</v>
      </c>
      <c r="V1245" s="160">
        <f t="shared" si="219"/>
        <v>56</v>
      </c>
    </row>
    <row r="1246" spans="1:22" x14ac:dyDescent="0.25">
      <c r="A1246" s="98" t="s">
        <v>27</v>
      </c>
      <c r="B1246" s="98" t="s">
        <v>17</v>
      </c>
      <c r="C1246" s="98">
        <v>74</v>
      </c>
      <c r="D1246" s="98">
        <v>30</v>
      </c>
      <c r="E1246" s="157">
        <v>41623.244444444441</v>
      </c>
      <c r="F1246" s="157">
        <v>41623.5</v>
      </c>
      <c r="G1246" s="98">
        <v>400</v>
      </c>
      <c r="H1246" s="98">
        <v>520</v>
      </c>
      <c r="I1246" s="98">
        <v>486</v>
      </c>
      <c r="J1246" s="98" t="s">
        <v>2125</v>
      </c>
      <c r="K1246" s="98" t="s">
        <v>1154</v>
      </c>
      <c r="L1246" s="105" t="str">
        <f t="shared" si="210"/>
        <v>Ghent</v>
      </c>
      <c r="M1246" s="105" t="str">
        <f t="shared" si="211"/>
        <v>Derate</v>
      </c>
      <c r="N1246" s="105" t="str">
        <f t="shared" si="212"/>
        <v>Coal</v>
      </c>
      <c r="O1246" s="105">
        <f>IFERROR(VLOOKUP(A1246,Lookup!$J$5:$P$19,7,FALSE),0)</f>
        <v>3</v>
      </c>
      <c r="P1246" s="159">
        <f t="shared" si="213"/>
        <v>2013</v>
      </c>
      <c r="Q1246" s="159">
        <f t="shared" si="214"/>
        <v>12</v>
      </c>
      <c r="R1246" s="160">
        <f t="shared" si="215"/>
        <v>6.1333333334187046</v>
      </c>
      <c r="S1246" s="158">
        <f t="shared" si="216"/>
        <v>1.4153846154043164</v>
      </c>
      <c r="T1246" s="161">
        <f t="shared" si="217"/>
        <v>687.87692308649775</v>
      </c>
      <c r="U1246" s="158">
        <f t="shared" si="218"/>
        <v>112.15384615384616</v>
      </c>
      <c r="V1246" s="160">
        <f t="shared" si="219"/>
        <v>112</v>
      </c>
    </row>
    <row r="1247" spans="1:22" x14ac:dyDescent="0.25">
      <c r="A1247" s="98" t="s">
        <v>27</v>
      </c>
      <c r="B1247" s="98" t="s">
        <v>15</v>
      </c>
      <c r="C1247" s="98">
        <v>75</v>
      </c>
      <c r="D1247" s="98">
        <v>9020</v>
      </c>
      <c r="E1247" s="157">
        <v>41629.926388888889</v>
      </c>
      <c r="F1247" s="157">
        <v>41630.07916666667</v>
      </c>
      <c r="G1247" s="98">
        <v>0</v>
      </c>
      <c r="H1247" s="98">
        <v>520</v>
      </c>
      <c r="I1247" s="98">
        <v>486</v>
      </c>
      <c r="J1247" s="98" t="s">
        <v>230</v>
      </c>
      <c r="K1247" s="98" t="s">
        <v>1155</v>
      </c>
      <c r="L1247" s="105" t="str">
        <f t="shared" si="210"/>
        <v>Ghent</v>
      </c>
      <c r="M1247" s="105" t="str">
        <f t="shared" si="211"/>
        <v>Outage</v>
      </c>
      <c r="N1247" s="105" t="str">
        <f t="shared" si="212"/>
        <v>Coal</v>
      </c>
      <c r="O1247" s="105">
        <f>IFERROR(VLOOKUP(A1247,Lookup!$J$5:$P$19,7,FALSE),0)</f>
        <v>3</v>
      </c>
      <c r="P1247" s="159">
        <f t="shared" si="213"/>
        <v>2013</v>
      </c>
      <c r="Q1247" s="159">
        <f t="shared" si="214"/>
        <v>12</v>
      </c>
      <c r="R1247" s="160">
        <f t="shared" si="215"/>
        <v>3.6666666667442769</v>
      </c>
      <c r="S1247" s="158">
        <f t="shared" si="216"/>
        <v>3.6666666667442769</v>
      </c>
      <c r="T1247" s="161">
        <f t="shared" si="217"/>
        <v>1782.0000000377186</v>
      </c>
      <c r="U1247" s="158">
        <f t="shared" si="218"/>
        <v>486</v>
      </c>
      <c r="V1247" s="160">
        <f t="shared" si="219"/>
        <v>486</v>
      </c>
    </row>
    <row r="1248" spans="1:22" x14ac:dyDescent="0.25">
      <c r="A1248" s="98" t="s">
        <v>27</v>
      </c>
      <c r="B1248" s="98" t="s">
        <v>17</v>
      </c>
      <c r="C1248" s="98">
        <v>76</v>
      </c>
      <c r="D1248" s="98">
        <v>250</v>
      </c>
      <c r="E1248" s="157">
        <v>41637.087500000001</v>
      </c>
      <c r="F1248" s="157">
        <v>41637.284722222219</v>
      </c>
      <c r="G1248" s="98">
        <v>460</v>
      </c>
      <c r="H1248" s="98">
        <v>520</v>
      </c>
      <c r="I1248" s="98">
        <v>486</v>
      </c>
      <c r="J1248" s="98" t="s">
        <v>1978</v>
      </c>
      <c r="K1248" s="98" t="s">
        <v>1156</v>
      </c>
      <c r="L1248" s="105" t="str">
        <f t="shared" si="210"/>
        <v>Ghent</v>
      </c>
      <c r="M1248" s="105" t="str">
        <f t="shared" si="211"/>
        <v>Derate</v>
      </c>
      <c r="N1248" s="105" t="str">
        <f t="shared" si="212"/>
        <v>Coal</v>
      </c>
      <c r="O1248" s="105">
        <f>IFERROR(VLOOKUP(A1248,Lookup!$J$5:$P$19,7,FALSE),0)</f>
        <v>3</v>
      </c>
      <c r="P1248" s="159">
        <f t="shared" si="213"/>
        <v>2013</v>
      </c>
      <c r="Q1248" s="159">
        <f t="shared" si="214"/>
        <v>12</v>
      </c>
      <c r="R1248" s="160">
        <f t="shared" si="215"/>
        <v>4.7333333332207985</v>
      </c>
      <c r="S1248" s="158">
        <f t="shared" si="216"/>
        <v>0.54615384614086138</v>
      </c>
      <c r="T1248" s="161">
        <f t="shared" si="217"/>
        <v>265.43076922445863</v>
      </c>
      <c r="U1248" s="158">
        <f t="shared" si="218"/>
        <v>56.07692307692308</v>
      </c>
      <c r="V1248" s="160">
        <f t="shared" si="219"/>
        <v>56</v>
      </c>
    </row>
    <row r="1249" spans="1:22" x14ac:dyDescent="0.25">
      <c r="A1249" s="98" t="s">
        <v>27</v>
      </c>
      <c r="B1249" s="98" t="s">
        <v>17</v>
      </c>
      <c r="C1249" s="98">
        <v>1</v>
      </c>
      <c r="D1249" s="98">
        <v>9650</v>
      </c>
      <c r="E1249" s="157">
        <v>41645.472222222219</v>
      </c>
      <c r="F1249" s="157">
        <v>41645.5</v>
      </c>
      <c r="G1249" s="98">
        <v>347</v>
      </c>
      <c r="H1249" s="98">
        <v>520</v>
      </c>
      <c r="I1249" s="98">
        <v>486</v>
      </c>
      <c r="J1249" s="98" t="s">
        <v>2035</v>
      </c>
      <c r="K1249" s="98" t="s">
        <v>1157</v>
      </c>
      <c r="L1249" s="105" t="str">
        <f t="shared" si="210"/>
        <v>Ghent</v>
      </c>
      <c r="M1249" s="105" t="str">
        <f t="shared" si="211"/>
        <v>Derate</v>
      </c>
      <c r="N1249" s="105" t="str">
        <f t="shared" si="212"/>
        <v>Coal</v>
      </c>
      <c r="O1249" s="105">
        <f>IFERROR(VLOOKUP(A1249,Lookup!$J$5:$P$19,7,FALSE),0)</f>
        <v>3</v>
      </c>
      <c r="P1249" s="159">
        <f t="shared" si="213"/>
        <v>2014</v>
      </c>
      <c r="Q1249" s="159">
        <f t="shared" si="214"/>
        <v>1</v>
      </c>
      <c r="R1249" s="160">
        <f t="shared" si="215"/>
        <v>0.66666666674427688</v>
      </c>
      <c r="S1249" s="158">
        <f t="shared" si="216"/>
        <v>0.22179487182069213</v>
      </c>
      <c r="T1249" s="161">
        <f t="shared" si="217"/>
        <v>107.79230770485637</v>
      </c>
      <c r="U1249" s="158">
        <f t="shared" si="218"/>
        <v>161.68846153846152</v>
      </c>
      <c r="V1249" s="160">
        <f t="shared" si="219"/>
        <v>162</v>
      </c>
    </row>
    <row r="1250" spans="1:22" x14ac:dyDescent="0.25">
      <c r="A1250" s="98" t="s">
        <v>27</v>
      </c>
      <c r="B1250" s="98" t="s">
        <v>32</v>
      </c>
      <c r="C1250" s="98">
        <v>2</v>
      </c>
      <c r="D1250" s="98">
        <v>344</v>
      </c>
      <c r="E1250" s="157">
        <v>41653.988194444442</v>
      </c>
      <c r="F1250" s="157">
        <v>41654.174305555556</v>
      </c>
      <c r="G1250" s="98">
        <v>450</v>
      </c>
      <c r="H1250" s="98">
        <v>520</v>
      </c>
      <c r="I1250" s="98">
        <v>486</v>
      </c>
      <c r="J1250" s="98" t="s">
        <v>1968</v>
      </c>
      <c r="K1250" s="98" t="s">
        <v>1158</v>
      </c>
      <c r="L1250" s="105" t="str">
        <f t="shared" si="210"/>
        <v>Ghent</v>
      </c>
      <c r="M1250" s="105" t="str">
        <f t="shared" si="211"/>
        <v>Derate</v>
      </c>
      <c r="N1250" s="105" t="str">
        <f t="shared" si="212"/>
        <v>Coal</v>
      </c>
      <c r="O1250" s="105">
        <f>IFERROR(VLOOKUP(A1250,Lookup!$J$5:$P$19,7,FALSE),0)</f>
        <v>3</v>
      </c>
      <c r="P1250" s="159">
        <f t="shared" si="213"/>
        <v>2014</v>
      </c>
      <c r="Q1250" s="159">
        <f t="shared" si="214"/>
        <v>1</v>
      </c>
      <c r="R1250" s="160">
        <f t="shared" si="215"/>
        <v>4.4666666667326353</v>
      </c>
      <c r="S1250" s="158">
        <f t="shared" si="216"/>
        <v>0.60128205129093171</v>
      </c>
      <c r="T1250" s="161">
        <f t="shared" si="217"/>
        <v>292.22307692739281</v>
      </c>
      <c r="U1250" s="158">
        <f t="shared" si="218"/>
        <v>65.42307692307692</v>
      </c>
      <c r="V1250" s="160">
        <f t="shared" si="219"/>
        <v>65</v>
      </c>
    </row>
    <row r="1251" spans="1:22" x14ac:dyDescent="0.25">
      <c r="A1251" s="98" t="s">
        <v>27</v>
      </c>
      <c r="B1251" s="98" t="s">
        <v>17</v>
      </c>
      <c r="C1251" s="98">
        <v>3</v>
      </c>
      <c r="D1251" s="98">
        <v>9650</v>
      </c>
      <c r="E1251" s="157">
        <v>41654.805555555555</v>
      </c>
      <c r="F1251" s="157">
        <v>41654.877083333333</v>
      </c>
      <c r="G1251" s="98">
        <v>420</v>
      </c>
      <c r="H1251" s="98">
        <v>520</v>
      </c>
      <c r="I1251" s="98">
        <v>486</v>
      </c>
      <c r="J1251" s="98" t="s">
        <v>2035</v>
      </c>
      <c r="K1251" s="98" t="s">
        <v>1159</v>
      </c>
      <c r="L1251" s="105" t="str">
        <f t="shared" si="210"/>
        <v>Ghent</v>
      </c>
      <c r="M1251" s="105" t="str">
        <f t="shared" si="211"/>
        <v>Derate</v>
      </c>
      <c r="N1251" s="105" t="str">
        <f t="shared" si="212"/>
        <v>Coal</v>
      </c>
      <c r="O1251" s="105">
        <f>IFERROR(VLOOKUP(A1251,Lookup!$J$5:$P$19,7,FALSE),0)</f>
        <v>3</v>
      </c>
      <c r="P1251" s="159">
        <f t="shared" si="213"/>
        <v>2014</v>
      </c>
      <c r="Q1251" s="159">
        <f t="shared" si="214"/>
        <v>1</v>
      </c>
      <c r="R1251" s="160">
        <f t="shared" si="215"/>
        <v>1.7166666666744277</v>
      </c>
      <c r="S1251" s="158">
        <f t="shared" si="216"/>
        <v>0.33012820512969765</v>
      </c>
      <c r="T1251" s="161">
        <f t="shared" si="217"/>
        <v>160.44230769303306</v>
      </c>
      <c r="U1251" s="158">
        <f t="shared" si="218"/>
        <v>93.461538461538467</v>
      </c>
      <c r="V1251" s="160">
        <f t="shared" si="219"/>
        <v>93</v>
      </c>
    </row>
    <row r="1252" spans="1:22" x14ac:dyDescent="0.25">
      <c r="A1252" s="98" t="s">
        <v>27</v>
      </c>
      <c r="B1252" s="98" t="s">
        <v>32</v>
      </c>
      <c r="C1252" s="98">
        <v>4</v>
      </c>
      <c r="D1252" s="98">
        <v>344</v>
      </c>
      <c r="E1252" s="157">
        <v>41656.979166666664</v>
      </c>
      <c r="F1252" s="157">
        <v>41657.488888888889</v>
      </c>
      <c r="G1252" s="98">
        <v>460</v>
      </c>
      <c r="H1252" s="98">
        <v>520</v>
      </c>
      <c r="I1252" s="98">
        <v>486</v>
      </c>
      <c r="J1252" s="98" t="s">
        <v>1968</v>
      </c>
      <c r="K1252" s="98" t="s">
        <v>1160</v>
      </c>
      <c r="L1252" s="105" t="str">
        <f t="shared" si="210"/>
        <v>Ghent</v>
      </c>
      <c r="M1252" s="105" t="str">
        <f t="shared" si="211"/>
        <v>Derate</v>
      </c>
      <c r="N1252" s="105" t="str">
        <f t="shared" si="212"/>
        <v>Coal</v>
      </c>
      <c r="O1252" s="105">
        <f>IFERROR(VLOOKUP(A1252,Lookup!$J$5:$P$19,7,FALSE),0)</f>
        <v>3</v>
      </c>
      <c r="P1252" s="159">
        <f t="shared" si="213"/>
        <v>2014</v>
      </c>
      <c r="Q1252" s="159">
        <f t="shared" si="214"/>
        <v>1</v>
      </c>
      <c r="R1252" s="160">
        <f t="shared" si="215"/>
        <v>12.233333333395422</v>
      </c>
      <c r="S1252" s="158">
        <f t="shared" si="216"/>
        <v>1.4115384615456255</v>
      </c>
      <c r="T1252" s="161">
        <f t="shared" si="217"/>
        <v>686.00769231117397</v>
      </c>
      <c r="U1252" s="158">
        <f t="shared" si="218"/>
        <v>56.07692307692308</v>
      </c>
      <c r="V1252" s="160">
        <f t="shared" si="219"/>
        <v>56</v>
      </c>
    </row>
    <row r="1253" spans="1:22" x14ac:dyDescent="0.25">
      <c r="A1253" s="98" t="s">
        <v>27</v>
      </c>
      <c r="B1253" s="98" t="s">
        <v>17</v>
      </c>
      <c r="C1253" s="98">
        <v>5</v>
      </c>
      <c r="D1253" s="98">
        <v>280</v>
      </c>
      <c r="E1253" s="157">
        <v>41657.567361111112</v>
      </c>
      <c r="F1253" s="157">
        <v>41657.593055555553</v>
      </c>
      <c r="G1253" s="98">
        <v>460</v>
      </c>
      <c r="H1253" s="98">
        <v>520</v>
      </c>
      <c r="I1253" s="98">
        <v>486</v>
      </c>
      <c r="J1253" s="98" t="s">
        <v>1988</v>
      </c>
      <c r="K1253" s="98" t="s">
        <v>1161</v>
      </c>
      <c r="L1253" s="105" t="str">
        <f t="shared" si="210"/>
        <v>Ghent</v>
      </c>
      <c r="M1253" s="105" t="str">
        <f t="shared" si="211"/>
        <v>Derate</v>
      </c>
      <c r="N1253" s="105" t="str">
        <f t="shared" si="212"/>
        <v>Coal</v>
      </c>
      <c r="O1253" s="105">
        <f>IFERROR(VLOOKUP(A1253,Lookup!$J$5:$P$19,7,FALSE),0)</f>
        <v>3</v>
      </c>
      <c r="P1253" s="159">
        <f t="shared" si="213"/>
        <v>2014</v>
      </c>
      <c r="Q1253" s="159">
        <f t="shared" si="214"/>
        <v>1</v>
      </c>
      <c r="R1253" s="160">
        <f t="shared" si="215"/>
        <v>0.61666666658129543</v>
      </c>
      <c r="S1253" s="158">
        <f t="shared" si="216"/>
        <v>7.1153846143995628E-2</v>
      </c>
      <c r="T1253" s="161">
        <f t="shared" si="217"/>
        <v>34.580769225981875</v>
      </c>
      <c r="U1253" s="158">
        <f t="shared" si="218"/>
        <v>56.07692307692308</v>
      </c>
      <c r="V1253" s="160">
        <f t="shared" si="219"/>
        <v>56</v>
      </c>
    </row>
    <row r="1254" spans="1:22" x14ac:dyDescent="0.25">
      <c r="A1254" s="98" t="s">
        <v>27</v>
      </c>
      <c r="B1254" s="98" t="s">
        <v>17</v>
      </c>
      <c r="C1254" s="98">
        <v>6</v>
      </c>
      <c r="D1254" s="98">
        <v>312</v>
      </c>
      <c r="E1254" s="157">
        <v>41671.611111111109</v>
      </c>
      <c r="F1254" s="157">
        <v>41671.75</v>
      </c>
      <c r="G1254" s="98">
        <v>480</v>
      </c>
      <c r="H1254" s="98">
        <v>520</v>
      </c>
      <c r="I1254" s="98">
        <v>486</v>
      </c>
      <c r="J1254" s="98" t="s">
        <v>2169</v>
      </c>
      <c r="K1254" s="98" t="s">
        <v>1162</v>
      </c>
      <c r="L1254" s="105" t="str">
        <f t="shared" si="210"/>
        <v>Ghent</v>
      </c>
      <c r="M1254" s="105" t="str">
        <f t="shared" si="211"/>
        <v>Derate</v>
      </c>
      <c r="N1254" s="105" t="str">
        <f t="shared" si="212"/>
        <v>Coal</v>
      </c>
      <c r="O1254" s="105">
        <f>IFERROR(VLOOKUP(A1254,Lookup!$J$5:$P$19,7,FALSE),0)</f>
        <v>3</v>
      </c>
      <c r="P1254" s="159">
        <f t="shared" si="213"/>
        <v>2014</v>
      </c>
      <c r="Q1254" s="159">
        <f t="shared" si="214"/>
        <v>2</v>
      </c>
      <c r="R1254" s="160">
        <f t="shared" si="215"/>
        <v>3.3333333333721384</v>
      </c>
      <c r="S1254" s="158">
        <f t="shared" si="216"/>
        <v>0.25641025641324144</v>
      </c>
      <c r="T1254" s="161">
        <f t="shared" si="217"/>
        <v>124.61538461683534</v>
      </c>
      <c r="U1254" s="158">
        <f t="shared" si="218"/>
        <v>37.384615384615387</v>
      </c>
      <c r="V1254" s="160">
        <f t="shared" si="219"/>
        <v>37</v>
      </c>
    </row>
    <row r="1255" spans="1:22" x14ac:dyDescent="0.25">
      <c r="A1255" s="98" t="s">
        <v>27</v>
      </c>
      <c r="B1255" s="98" t="s">
        <v>32</v>
      </c>
      <c r="C1255" s="98">
        <v>7</v>
      </c>
      <c r="D1255" s="98">
        <v>344</v>
      </c>
      <c r="E1255" s="157">
        <v>41676.958333333336</v>
      </c>
      <c r="F1255" s="157">
        <v>41677.058333333334</v>
      </c>
      <c r="G1255" s="98">
        <v>460</v>
      </c>
      <c r="H1255" s="98">
        <v>520</v>
      </c>
      <c r="I1255" s="98">
        <v>486</v>
      </c>
      <c r="J1255" s="98" t="s">
        <v>1968</v>
      </c>
      <c r="K1255" s="98" t="s">
        <v>1163</v>
      </c>
      <c r="L1255" s="105" t="str">
        <f t="shared" ref="L1255:L1318" si="220">IF(OR(A1255="BR1",A1255="BR2",A1255="BR3",A1255="BR5",A1255="BR6",A1255="BR7",A1255="BR8",A1255="BR9",A1255="BR10",A1255="BR11"),"Brown",IF(OR(A1255="CR4",A1255="CR5",A1255="CR6",A1255="CR11"),"Cane Run",IF(OR(A1255="GH1",A1255="GH2",A1255="GH3",A1255="GH4"),"Ghent",IF(OR(A1255="GR3",A1255="GR4"),"Green River",IF(OR(A1255="MC1",A1255="MC2",A1255="MC3",A1255="MC4"),"Mill Creek",IF(OR(A1255="TC1",A1255="TC2",A1255="TC5",A1255="TC6",A1255="TC7",A1255="TC8",A1255="TC9",A1255="TC10"),"Trimble",IF(A1255="TY3","Tyrone",IF(OR(A1255="HA1",A1255="HA2",A1255="HA3"),"Haeflin",IF(OR(A1255="PR11",A1255="PR12",A1255="PR13"),"Paddy's Run","Zorn")))))))))</f>
        <v>Ghent</v>
      </c>
      <c r="M1255" s="105" t="str">
        <f t="shared" ref="M1255:M1318" si="221">IF(OR(B1255="D1",B1255="D2",B1255="D3",B1255="D4",B1255="PD"),"Derate",IF(OR(B1255="SF",B1255="U1",B1255="U2",B1255="U3"),"Outage",IF(OR(B1255="ME",B1255="MO"),"Maintenance","Other")))</f>
        <v>Derate</v>
      </c>
      <c r="N1255" s="105" t="str">
        <f t="shared" ref="N1255:N1318" si="222">IF(OR(A1255="BR1",A1255="BR2",A1255="BR3",A1255="CR4",A1255="CR5",A1255="CR6",A1255="GH1",A1255="GH2",A1255="GH3",A1255="GH4",A1255="GR3",A1255="GR4",A1255="MC1",A1255="MC2",A1255="MC3",A1255="MC4",A1255="TC1",A1255="TC2",A1255="TY3"),"Coal","Gas")</f>
        <v>Coal</v>
      </c>
      <c r="O1255" s="105">
        <f>IFERROR(VLOOKUP(A1255,Lookup!$J$5:$P$19,7,FALSE),0)</f>
        <v>3</v>
      </c>
      <c r="P1255" s="159">
        <f t="shared" ref="P1255:P1318" si="223">YEAR(E1255)</f>
        <v>2014</v>
      </c>
      <c r="Q1255" s="159">
        <f t="shared" ref="Q1255:Q1318" si="224">MONTH(E1255)</f>
        <v>2</v>
      </c>
      <c r="R1255" s="160">
        <f t="shared" ref="R1255:R1318" si="225">(F1255-E1255)*24</f>
        <v>2.3999999999650754</v>
      </c>
      <c r="S1255" s="158">
        <f t="shared" ref="S1255:S1318" si="226">R1255*(H1255-G1255)/H1255</f>
        <v>0.27692307691904716</v>
      </c>
      <c r="T1255" s="161">
        <f t="shared" ref="T1255:T1318" si="227">S1255*I1255</f>
        <v>134.58461538265692</v>
      </c>
      <c r="U1255" s="158">
        <f t="shared" ref="U1255:U1318" si="228">IF(G1255&gt;0,MAX((H1255-G1255),0)*I1255/H1255,I1255)</f>
        <v>56.07692307692308</v>
      </c>
      <c r="V1255" s="160">
        <f t="shared" ref="V1255:V1318" si="229">ROUND(U1255,0)</f>
        <v>56</v>
      </c>
    </row>
    <row r="1256" spans="1:22" x14ac:dyDescent="0.25">
      <c r="A1256" s="98" t="s">
        <v>27</v>
      </c>
      <c r="B1256" s="98" t="s">
        <v>32</v>
      </c>
      <c r="C1256" s="98">
        <v>8</v>
      </c>
      <c r="D1256" s="98">
        <v>340</v>
      </c>
      <c r="E1256" s="157">
        <v>41683.958333333336</v>
      </c>
      <c r="F1256" s="157">
        <v>41684.09097222222</v>
      </c>
      <c r="G1256" s="98">
        <v>460</v>
      </c>
      <c r="H1256" s="98">
        <v>520</v>
      </c>
      <c r="I1256" s="98">
        <v>486</v>
      </c>
      <c r="J1256" s="98" t="s">
        <v>1970</v>
      </c>
      <c r="K1256" s="98" t="s">
        <v>1164</v>
      </c>
      <c r="L1256" s="105" t="str">
        <f t="shared" si="220"/>
        <v>Ghent</v>
      </c>
      <c r="M1256" s="105" t="str">
        <f t="shared" si="221"/>
        <v>Derate</v>
      </c>
      <c r="N1256" s="105" t="str">
        <f t="shared" si="222"/>
        <v>Coal</v>
      </c>
      <c r="O1256" s="105">
        <f>IFERROR(VLOOKUP(A1256,Lookup!$J$5:$P$19,7,FALSE),0)</f>
        <v>3</v>
      </c>
      <c r="P1256" s="159">
        <f t="shared" si="223"/>
        <v>2014</v>
      </c>
      <c r="Q1256" s="159">
        <f t="shared" si="224"/>
        <v>2</v>
      </c>
      <c r="R1256" s="160">
        <f t="shared" si="225"/>
        <v>3.1833333332324401</v>
      </c>
      <c r="S1256" s="158">
        <f t="shared" si="226"/>
        <v>0.36730769229605076</v>
      </c>
      <c r="T1256" s="161">
        <f t="shared" si="227"/>
        <v>178.51153845588067</v>
      </c>
      <c r="U1256" s="158">
        <f t="shared" si="228"/>
        <v>56.07692307692308</v>
      </c>
      <c r="V1256" s="160">
        <f t="shared" si="229"/>
        <v>56</v>
      </c>
    </row>
    <row r="1257" spans="1:22" x14ac:dyDescent="0.25">
      <c r="A1257" s="98" t="s">
        <v>27</v>
      </c>
      <c r="B1257" s="98" t="s">
        <v>32</v>
      </c>
      <c r="C1257" s="98">
        <v>9</v>
      </c>
      <c r="D1257" s="98">
        <v>340</v>
      </c>
      <c r="E1257" s="157">
        <v>41684.09097222222</v>
      </c>
      <c r="F1257" s="157">
        <v>41684.152083333334</v>
      </c>
      <c r="G1257" s="98">
        <v>460</v>
      </c>
      <c r="H1257" s="98">
        <v>520</v>
      </c>
      <c r="I1257" s="98">
        <v>486</v>
      </c>
      <c r="J1257" s="98" t="s">
        <v>1970</v>
      </c>
      <c r="K1257" s="98" t="s">
        <v>1165</v>
      </c>
      <c r="L1257" s="105" t="str">
        <f t="shared" si="220"/>
        <v>Ghent</v>
      </c>
      <c r="M1257" s="105" t="str">
        <f t="shared" si="221"/>
        <v>Derate</v>
      </c>
      <c r="N1257" s="105" t="str">
        <f t="shared" si="222"/>
        <v>Coal</v>
      </c>
      <c r="O1257" s="105">
        <f>IFERROR(VLOOKUP(A1257,Lookup!$J$5:$P$19,7,FALSE),0)</f>
        <v>3</v>
      </c>
      <c r="P1257" s="159">
        <f t="shared" si="223"/>
        <v>2014</v>
      </c>
      <c r="Q1257" s="159">
        <f t="shared" si="224"/>
        <v>2</v>
      </c>
      <c r="R1257" s="160">
        <f t="shared" si="225"/>
        <v>1.4666666667326353</v>
      </c>
      <c r="S1257" s="158">
        <f t="shared" si="226"/>
        <v>0.16923076923838101</v>
      </c>
      <c r="T1257" s="161">
        <f t="shared" si="227"/>
        <v>82.246153849853172</v>
      </c>
      <c r="U1257" s="158">
        <f t="shared" si="228"/>
        <v>56.07692307692308</v>
      </c>
      <c r="V1257" s="160">
        <f t="shared" si="229"/>
        <v>56</v>
      </c>
    </row>
    <row r="1258" spans="1:22" x14ac:dyDescent="0.25">
      <c r="A1258" s="98" t="s">
        <v>27</v>
      </c>
      <c r="B1258" s="98" t="s">
        <v>17</v>
      </c>
      <c r="C1258" s="98">
        <v>10</v>
      </c>
      <c r="D1258" s="98">
        <v>250</v>
      </c>
      <c r="E1258" s="157">
        <v>41685.138888888891</v>
      </c>
      <c r="F1258" s="157">
        <v>41685.416666666664</v>
      </c>
      <c r="G1258" s="98">
        <v>460</v>
      </c>
      <c r="H1258" s="98">
        <v>520</v>
      </c>
      <c r="I1258" s="98">
        <v>486</v>
      </c>
      <c r="J1258" s="98" t="s">
        <v>1978</v>
      </c>
      <c r="K1258" s="98" t="s">
        <v>1166</v>
      </c>
      <c r="L1258" s="105" t="str">
        <f t="shared" si="220"/>
        <v>Ghent</v>
      </c>
      <c r="M1258" s="105" t="str">
        <f t="shared" si="221"/>
        <v>Derate</v>
      </c>
      <c r="N1258" s="105" t="str">
        <f t="shared" si="222"/>
        <v>Coal</v>
      </c>
      <c r="O1258" s="105">
        <f>IFERROR(VLOOKUP(A1258,Lookup!$J$5:$P$19,7,FALSE),0)</f>
        <v>3</v>
      </c>
      <c r="P1258" s="159">
        <f t="shared" si="223"/>
        <v>2014</v>
      </c>
      <c r="Q1258" s="159">
        <f t="shared" si="224"/>
        <v>2</v>
      </c>
      <c r="R1258" s="160">
        <f t="shared" si="225"/>
        <v>6.6666666665696539</v>
      </c>
      <c r="S1258" s="158">
        <f t="shared" si="226"/>
        <v>0.76923076921957545</v>
      </c>
      <c r="T1258" s="161">
        <f t="shared" si="227"/>
        <v>373.84615384071367</v>
      </c>
      <c r="U1258" s="158">
        <f t="shared" si="228"/>
        <v>56.07692307692308</v>
      </c>
      <c r="V1258" s="160">
        <f t="shared" si="229"/>
        <v>56</v>
      </c>
    </row>
    <row r="1259" spans="1:22" x14ac:dyDescent="0.25">
      <c r="A1259" s="98" t="s">
        <v>27</v>
      </c>
      <c r="B1259" s="98" t="s">
        <v>17</v>
      </c>
      <c r="C1259" s="98">
        <v>11</v>
      </c>
      <c r="D1259" s="98">
        <v>340</v>
      </c>
      <c r="E1259" s="157">
        <v>41687.26666666667</v>
      </c>
      <c r="F1259" s="157">
        <v>41687.583333333336</v>
      </c>
      <c r="G1259" s="98">
        <v>455</v>
      </c>
      <c r="H1259" s="98">
        <v>520</v>
      </c>
      <c r="I1259" s="98">
        <v>486</v>
      </c>
      <c r="J1259" s="98" t="s">
        <v>1970</v>
      </c>
      <c r="K1259" s="98" t="s">
        <v>1167</v>
      </c>
      <c r="L1259" s="105" t="str">
        <f t="shared" si="220"/>
        <v>Ghent</v>
      </c>
      <c r="M1259" s="105" t="str">
        <f t="shared" si="221"/>
        <v>Derate</v>
      </c>
      <c r="N1259" s="105" t="str">
        <f t="shared" si="222"/>
        <v>Coal</v>
      </c>
      <c r="O1259" s="105">
        <f>IFERROR(VLOOKUP(A1259,Lookup!$J$5:$P$19,7,FALSE),0)</f>
        <v>3</v>
      </c>
      <c r="P1259" s="159">
        <f t="shared" si="223"/>
        <v>2014</v>
      </c>
      <c r="Q1259" s="159">
        <f t="shared" si="224"/>
        <v>2</v>
      </c>
      <c r="R1259" s="160">
        <f t="shared" si="225"/>
        <v>7.5999999999767169</v>
      </c>
      <c r="S1259" s="158">
        <f t="shared" si="226"/>
        <v>0.94999999999708962</v>
      </c>
      <c r="T1259" s="161">
        <f t="shared" si="227"/>
        <v>461.69999999858555</v>
      </c>
      <c r="U1259" s="158">
        <f t="shared" si="228"/>
        <v>60.75</v>
      </c>
      <c r="V1259" s="160">
        <f t="shared" si="229"/>
        <v>61</v>
      </c>
    </row>
    <row r="1260" spans="1:22" x14ac:dyDescent="0.25">
      <c r="A1260" s="98" t="s">
        <v>27</v>
      </c>
      <c r="B1260" s="98" t="s">
        <v>17</v>
      </c>
      <c r="C1260" s="98">
        <v>12</v>
      </c>
      <c r="D1260" s="98">
        <v>250</v>
      </c>
      <c r="E1260" s="157">
        <v>41689.222222222219</v>
      </c>
      <c r="F1260" s="157">
        <v>41689.479166666664</v>
      </c>
      <c r="G1260" s="98">
        <v>450</v>
      </c>
      <c r="H1260" s="98">
        <v>520</v>
      </c>
      <c r="I1260" s="98">
        <v>486</v>
      </c>
      <c r="J1260" s="98" t="s">
        <v>1978</v>
      </c>
      <c r="K1260" s="98" t="s">
        <v>1168</v>
      </c>
      <c r="L1260" s="105" t="str">
        <f t="shared" si="220"/>
        <v>Ghent</v>
      </c>
      <c r="M1260" s="105" t="str">
        <f t="shared" si="221"/>
        <v>Derate</v>
      </c>
      <c r="N1260" s="105" t="str">
        <f t="shared" si="222"/>
        <v>Coal</v>
      </c>
      <c r="O1260" s="105">
        <f>IFERROR(VLOOKUP(A1260,Lookup!$J$5:$P$19,7,FALSE),0)</f>
        <v>3</v>
      </c>
      <c r="P1260" s="159">
        <f t="shared" si="223"/>
        <v>2014</v>
      </c>
      <c r="Q1260" s="159">
        <f t="shared" si="224"/>
        <v>2</v>
      </c>
      <c r="R1260" s="160">
        <f t="shared" si="225"/>
        <v>6.1666666666860692</v>
      </c>
      <c r="S1260" s="158">
        <f t="shared" si="226"/>
        <v>0.83012820513081698</v>
      </c>
      <c r="T1260" s="161">
        <f t="shared" si="227"/>
        <v>403.44230769357705</v>
      </c>
      <c r="U1260" s="158">
        <f t="shared" si="228"/>
        <v>65.42307692307692</v>
      </c>
      <c r="V1260" s="160">
        <f t="shared" si="229"/>
        <v>65</v>
      </c>
    </row>
    <row r="1261" spans="1:22" x14ac:dyDescent="0.25">
      <c r="A1261" s="98" t="s">
        <v>27</v>
      </c>
      <c r="B1261" s="98" t="s">
        <v>17</v>
      </c>
      <c r="C1261" s="98">
        <v>13</v>
      </c>
      <c r="D1261" s="98">
        <v>344</v>
      </c>
      <c r="E1261" s="157">
        <v>41694.996527777781</v>
      </c>
      <c r="F1261" s="157">
        <v>41695.270833333336</v>
      </c>
      <c r="G1261" s="98">
        <v>460</v>
      </c>
      <c r="H1261" s="98">
        <v>520</v>
      </c>
      <c r="I1261" s="98">
        <v>486</v>
      </c>
      <c r="J1261" s="98" t="s">
        <v>1968</v>
      </c>
      <c r="K1261" s="98" t="s">
        <v>1169</v>
      </c>
      <c r="L1261" s="105" t="str">
        <f t="shared" si="220"/>
        <v>Ghent</v>
      </c>
      <c r="M1261" s="105" t="str">
        <f t="shared" si="221"/>
        <v>Derate</v>
      </c>
      <c r="N1261" s="105" t="str">
        <f t="shared" si="222"/>
        <v>Coal</v>
      </c>
      <c r="O1261" s="105">
        <f>IFERROR(VLOOKUP(A1261,Lookup!$J$5:$P$19,7,FALSE),0)</f>
        <v>3</v>
      </c>
      <c r="P1261" s="159">
        <f t="shared" si="223"/>
        <v>2014</v>
      </c>
      <c r="Q1261" s="159">
        <f t="shared" si="224"/>
        <v>2</v>
      </c>
      <c r="R1261" s="160">
        <f t="shared" si="225"/>
        <v>6.5833333333139308</v>
      </c>
      <c r="S1261" s="158">
        <f t="shared" si="226"/>
        <v>0.75961538461314582</v>
      </c>
      <c r="T1261" s="161">
        <f t="shared" si="227"/>
        <v>369.17307692198887</v>
      </c>
      <c r="U1261" s="158">
        <f t="shared" si="228"/>
        <v>56.07692307692308</v>
      </c>
      <c r="V1261" s="160">
        <f t="shared" si="229"/>
        <v>56</v>
      </c>
    </row>
    <row r="1262" spans="1:22" x14ac:dyDescent="0.25">
      <c r="A1262" s="98" t="s">
        <v>27</v>
      </c>
      <c r="B1262" s="98" t="s">
        <v>17</v>
      </c>
      <c r="C1262" s="98">
        <v>14</v>
      </c>
      <c r="D1262" s="98">
        <v>280</v>
      </c>
      <c r="E1262" s="157">
        <v>41697.31527777778</v>
      </c>
      <c r="F1262" s="157">
        <v>41697.507638888892</v>
      </c>
      <c r="G1262" s="98">
        <v>460</v>
      </c>
      <c r="H1262" s="98">
        <v>520</v>
      </c>
      <c r="I1262" s="98">
        <v>486</v>
      </c>
      <c r="J1262" s="98" t="s">
        <v>1988</v>
      </c>
      <c r="K1262" s="98" t="s">
        <v>1170</v>
      </c>
      <c r="L1262" s="105" t="str">
        <f t="shared" si="220"/>
        <v>Ghent</v>
      </c>
      <c r="M1262" s="105" t="str">
        <f t="shared" si="221"/>
        <v>Derate</v>
      </c>
      <c r="N1262" s="105" t="str">
        <f t="shared" si="222"/>
        <v>Coal</v>
      </c>
      <c r="O1262" s="105">
        <f>IFERROR(VLOOKUP(A1262,Lookup!$J$5:$P$19,7,FALSE),0)</f>
        <v>3</v>
      </c>
      <c r="P1262" s="159">
        <f t="shared" si="223"/>
        <v>2014</v>
      </c>
      <c r="Q1262" s="159">
        <f t="shared" si="224"/>
        <v>2</v>
      </c>
      <c r="R1262" s="160">
        <f t="shared" si="225"/>
        <v>4.6166666666977108</v>
      </c>
      <c r="S1262" s="158">
        <f t="shared" si="226"/>
        <v>0.53269230769588971</v>
      </c>
      <c r="T1262" s="161">
        <f t="shared" si="227"/>
        <v>258.8884615402024</v>
      </c>
      <c r="U1262" s="158">
        <f t="shared" si="228"/>
        <v>56.07692307692308</v>
      </c>
      <c r="V1262" s="160">
        <f t="shared" si="229"/>
        <v>56</v>
      </c>
    </row>
    <row r="1263" spans="1:22" x14ac:dyDescent="0.25">
      <c r="A1263" s="98" t="s">
        <v>27</v>
      </c>
      <c r="B1263" s="98" t="s">
        <v>32</v>
      </c>
      <c r="C1263" s="98">
        <v>15</v>
      </c>
      <c r="D1263" s="98">
        <v>345</v>
      </c>
      <c r="E1263" s="157">
        <v>41704.5</v>
      </c>
      <c r="F1263" s="157">
        <v>41705.921527777777</v>
      </c>
      <c r="G1263" s="98">
        <v>460</v>
      </c>
      <c r="H1263" s="98">
        <v>520</v>
      </c>
      <c r="I1263" s="98">
        <v>486</v>
      </c>
      <c r="J1263" s="98" t="s">
        <v>2387</v>
      </c>
      <c r="K1263" s="98" t="s">
        <v>1171</v>
      </c>
      <c r="L1263" s="105" t="str">
        <f t="shared" si="220"/>
        <v>Ghent</v>
      </c>
      <c r="M1263" s="105" t="str">
        <f t="shared" si="221"/>
        <v>Derate</v>
      </c>
      <c r="N1263" s="105" t="str">
        <f t="shared" si="222"/>
        <v>Coal</v>
      </c>
      <c r="O1263" s="105">
        <f>IFERROR(VLOOKUP(A1263,Lookup!$J$5:$P$19,7,FALSE),0)</f>
        <v>3</v>
      </c>
      <c r="P1263" s="159">
        <f t="shared" si="223"/>
        <v>2014</v>
      </c>
      <c r="Q1263" s="159">
        <f t="shared" si="224"/>
        <v>3</v>
      </c>
      <c r="R1263" s="160">
        <f t="shared" si="225"/>
        <v>34.116666666639503</v>
      </c>
      <c r="S1263" s="158">
        <f t="shared" si="226"/>
        <v>3.9365384615353274</v>
      </c>
      <c r="T1263" s="161">
        <f t="shared" si="227"/>
        <v>1913.1576923061691</v>
      </c>
      <c r="U1263" s="158">
        <f t="shared" si="228"/>
        <v>56.07692307692308</v>
      </c>
      <c r="V1263" s="160">
        <f t="shared" si="229"/>
        <v>56</v>
      </c>
    </row>
    <row r="1264" spans="1:22" x14ac:dyDescent="0.25">
      <c r="A1264" s="98" t="s">
        <v>27</v>
      </c>
      <c r="B1264" s="98" t="s">
        <v>38</v>
      </c>
      <c r="C1264" s="98">
        <v>16</v>
      </c>
      <c r="D1264" s="98">
        <v>1812</v>
      </c>
      <c r="E1264" s="157">
        <v>41705.921527777777</v>
      </c>
      <c r="F1264" s="157">
        <v>41719.461111111108</v>
      </c>
      <c r="G1264" s="98">
        <v>0</v>
      </c>
      <c r="H1264" s="98">
        <v>520</v>
      </c>
      <c r="I1264" s="98">
        <v>486</v>
      </c>
      <c r="J1264" s="98" t="s">
        <v>1994</v>
      </c>
      <c r="K1264" s="98" t="s">
        <v>1172</v>
      </c>
      <c r="L1264" s="105" t="str">
        <f t="shared" si="220"/>
        <v>Ghent</v>
      </c>
      <c r="M1264" s="105" t="str">
        <f t="shared" si="221"/>
        <v>Other</v>
      </c>
      <c r="N1264" s="105" t="str">
        <f t="shared" si="222"/>
        <v>Coal</v>
      </c>
      <c r="O1264" s="105">
        <f>IFERROR(VLOOKUP(A1264,Lookup!$J$5:$P$19,7,FALSE),0)</f>
        <v>3</v>
      </c>
      <c r="P1264" s="159">
        <f t="shared" si="223"/>
        <v>2014</v>
      </c>
      <c r="Q1264" s="159">
        <f t="shared" si="224"/>
        <v>3</v>
      </c>
      <c r="R1264" s="160">
        <f t="shared" si="225"/>
        <v>324.94999999995343</v>
      </c>
      <c r="S1264" s="158">
        <f t="shared" si="226"/>
        <v>324.94999999995343</v>
      </c>
      <c r="T1264" s="161">
        <f t="shared" si="227"/>
        <v>157925.69999997737</v>
      </c>
      <c r="U1264" s="158">
        <f t="shared" si="228"/>
        <v>486</v>
      </c>
      <c r="V1264" s="160">
        <f t="shared" si="229"/>
        <v>486</v>
      </c>
    </row>
    <row r="1265" spans="1:22" x14ac:dyDescent="0.25">
      <c r="A1265" s="98" t="s">
        <v>27</v>
      </c>
      <c r="B1265" s="98" t="s">
        <v>32</v>
      </c>
      <c r="C1265" s="98">
        <v>17</v>
      </c>
      <c r="D1265" s="98">
        <v>345</v>
      </c>
      <c r="E1265" s="157">
        <v>41719.461805555555</v>
      </c>
      <c r="F1265" s="157">
        <v>41725.501388888886</v>
      </c>
      <c r="G1265" s="98">
        <v>460</v>
      </c>
      <c r="H1265" s="98">
        <v>520</v>
      </c>
      <c r="I1265" s="98">
        <v>486</v>
      </c>
      <c r="J1265" s="98" t="s">
        <v>2387</v>
      </c>
      <c r="K1265" s="98" t="s">
        <v>1173</v>
      </c>
      <c r="L1265" s="105" t="str">
        <f t="shared" si="220"/>
        <v>Ghent</v>
      </c>
      <c r="M1265" s="105" t="str">
        <f t="shared" si="221"/>
        <v>Derate</v>
      </c>
      <c r="N1265" s="105" t="str">
        <f t="shared" si="222"/>
        <v>Coal</v>
      </c>
      <c r="O1265" s="105">
        <f>IFERROR(VLOOKUP(A1265,Lookup!$J$5:$P$19,7,FALSE),0)</f>
        <v>3</v>
      </c>
      <c r="P1265" s="159">
        <f t="shared" si="223"/>
        <v>2014</v>
      </c>
      <c r="Q1265" s="159">
        <f t="shared" si="224"/>
        <v>3</v>
      </c>
      <c r="R1265" s="160">
        <f t="shared" si="225"/>
        <v>144.94999999995343</v>
      </c>
      <c r="S1265" s="158">
        <f t="shared" si="226"/>
        <v>16.724999999994626</v>
      </c>
      <c r="T1265" s="161">
        <f t="shared" si="227"/>
        <v>8128.3499999973883</v>
      </c>
      <c r="U1265" s="158">
        <f t="shared" si="228"/>
        <v>56.07692307692308</v>
      </c>
      <c r="V1265" s="160">
        <f t="shared" si="229"/>
        <v>56</v>
      </c>
    </row>
    <row r="1266" spans="1:22" x14ac:dyDescent="0.25">
      <c r="A1266" s="98" t="s">
        <v>27</v>
      </c>
      <c r="B1266" s="98" t="s">
        <v>17</v>
      </c>
      <c r="C1266" s="98">
        <v>18</v>
      </c>
      <c r="D1266" s="98">
        <v>1850</v>
      </c>
      <c r="E1266" s="157">
        <v>41719.81527777778</v>
      </c>
      <c r="F1266" s="157">
        <v>41720.256944444445</v>
      </c>
      <c r="G1266" s="98">
        <v>350</v>
      </c>
      <c r="H1266" s="98">
        <v>520</v>
      </c>
      <c r="I1266" s="98">
        <v>486</v>
      </c>
      <c r="J1266" s="98" t="s">
        <v>2263</v>
      </c>
      <c r="K1266" s="98" t="s">
        <v>1174</v>
      </c>
      <c r="L1266" s="105" t="str">
        <f t="shared" si="220"/>
        <v>Ghent</v>
      </c>
      <c r="M1266" s="105" t="str">
        <f t="shared" si="221"/>
        <v>Derate</v>
      </c>
      <c r="N1266" s="105" t="str">
        <f t="shared" si="222"/>
        <v>Coal</v>
      </c>
      <c r="O1266" s="105">
        <f>IFERROR(VLOOKUP(A1266,Lookup!$J$5:$P$19,7,FALSE),0)</f>
        <v>3</v>
      </c>
      <c r="P1266" s="159">
        <f t="shared" si="223"/>
        <v>2014</v>
      </c>
      <c r="Q1266" s="159">
        <f t="shared" si="224"/>
        <v>3</v>
      </c>
      <c r="R1266" s="160">
        <f t="shared" si="225"/>
        <v>10.599999999976717</v>
      </c>
      <c r="S1266" s="158">
        <f t="shared" si="226"/>
        <v>3.4653846153770038</v>
      </c>
      <c r="T1266" s="161">
        <f t="shared" si="227"/>
        <v>1684.1769230732239</v>
      </c>
      <c r="U1266" s="158">
        <f t="shared" si="228"/>
        <v>158.88461538461539</v>
      </c>
      <c r="V1266" s="160">
        <f t="shared" si="229"/>
        <v>159</v>
      </c>
    </row>
    <row r="1267" spans="1:22" x14ac:dyDescent="0.25">
      <c r="A1267" s="98" t="s">
        <v>27</v>
      </c>
      <c r="B1267" s="98" t="s">
        <v>17</v>
      </c>
      <c r="C1267" s="98">
        <v>19</v>
      </c>
      <c r="D1267" s="98">
        <v>890</v>
      </c>
      <c r="E1267" s="157">
        <v>41727.469444444447</v>
      </c>
      <c r="F1267" s="157">
        <v>41727.652777777781</v>
      </c>
      <c r="G1267" s="98">
        <v>420</v>
      </c>
      <c r="H1267" s="98">
        <v>520</v>
      </c>
      <c r="I1267" s="98">
        <v>486</v>
      </c>
      <c r="J1267" s="98" t="s">
        <v>2306</v>
      </c>
      <c r="K1267" s="98" t="s">
        <v>1175</v>
      </c>
      <c r="L1267" s="105" t="str">
        <f t="shared" si="220"/>
        <v>Ghent</v>
      </c>
      <c r="M1267" s="105" t="str">
        <f t="shared" si="221"/>
        <v>Derate</v>
      </c>
      <c r="N1267" s="105" t="str">
        <f t="shared" si="222"/>
        <v>Coal</v>
      </c>
      <c r="O1267" s="105">
        <f>IFERROR(VLOOKUP(A1267,Lookup!$J$5:$P$19,7,FALSE),0)</f>
        <v>3</v>
      </c>
      <c r="P1267" s="159">
        <f t="shared" si="223"/>
        <v>2014</v>
      </c>
      <c r="Q1267" s="159">
        <f t="shared" si="224"/>
        <v>3</v>
      </c>
      <c r="R1267" s="160">
        <f t="shared" si="225"/>
        <v>4.4000000000232831</v>
      </c>
      <c r="S1267" s="158">
        <f t="shared" si="226"/>
        <v>0.84615384615832367</v>
      </c>
      <c r="T1267" s="161">
        <f t="shared" si="227"/>
        <v>411.23076923294531</v>
      </c>
      <c r="U1267" s="158">
        <f t="shared" si="228"/>
        <v>93.461538461538467</v>
      </c>
      <c r="V1267" s="160">
        <f t="shared" si="229"/>
        <v>93</v>
      </c>
    </row>
    <row r="1268" spans="1:22" x14ac:dyDescent="0.25">
      <c r="A1268" s="98" t="s">
        <v>27</v>
      </c>
      <c r="B1268" s="98" t="s">
        <v>17</v>
      </c>
      <c r="C1268" s="98">
        <v>20</v>
      </c>
      <c r="D1268" s="98">
        <v>890</v>
      </c>
      <c r="E1268" s="157">
        <v>41730.730555555558</v>
      </c>
      <c r="F1268" s="157">
        <v>41730.981249999997</v>
      </c>
      <c r="G1268" s="98">
        <v>300</v>
      </c>
      <c r="H1268" s="98">
        <v>520</v>
      </c>
      <c r="I1268" s="98">
        <v>486</v>
      </c>
      <c r="J1268" s="98" t="s">
        <v>2306</v>
      </c>
      <c r="K1268" s="98" t="s">
        <v>1176</v>
      </c>
      <c r="L1268" s="105" t="str">
        <f t="shared" si="220"/>
        <v>Ghent</v>
      </c>
      <c r="M1268" s="105" t="str">
        <f t="shared" si="221"/>
        <v>Derate</v>
      </c>
      <c r="N1268" s="105" t="str">
        <f t="shared" si="222"/>
        <v>Coal</v>
      </c>
      <c r="O1268" s="105">
        <f>IFERROR(VLOOKUP(A1268,Lookup!$J$5:$P$19,7,FALSE),0)</f>
        <v>3</v>
      </c>
      <c r="P1268" s="159">
        <f t="shared" si="223"/>
        <v>2014</v>
      </c>
      <c r="Q1268" s="159">
        <f t="shared" si="224"/>
        <v>4</v>
      </c>
      <c r="R1268" s="160">
        <f t="shared" si="225"/>
        <v>6.0166666665463708</v>
      </c>
      <c r="S1268" s="158">
        <f t="shared" si="226"/>
        <v>2.545512820461926</v>
      </c>
      <c r="T1268" s="161">
        <f t="shared" si="227"/>
        <v>1237.119230744496</v>
      </c>
      <c r="U1268" s="158">
        <f t="shared" si="228"/>
        <v>205.61538461538461</v>
      </c>
      <c r="V1268" s="160">
        <f t="shared" si="229"/>
        <v>206</v>
      </c>
    </row>
    <row r="1269" spans="1:22" x14ac:dyDescent="0.25">
      <c r="A1269" s="98" t="s">
        <v>27</v>
      </c>
      <c r="B1269" s="98" t="s">
        <v>17</v>
      </c>
      <c r="C1269" s="98">
        <v>21</v>
      </c>
      <c r="D1269" s="98">
        <v>890</v>
      </c>
      <c r="E1269" s="157">
        <v>41730.981249999997</v>
      </c>
      <c r="F1269" s="157">
        <v>41731.043749999997</v>
      </c>
      <c r="G1269" s="98">
        <v>200</v>
      </c>
      <c r="H1269" s="98">
        <v>520</v>
      </c>
      <c r="I1269" s="98">
        <v>486</v>
      </c>
      <c r="J1269" s="98" t="s">
        <v>2306</v>
      </c>
      <c r="K1269" s="98" t="s">
        <v>1177</v>
      </c>
      <c r="L1269" s="105" t="str">
        <f t="shared" si="220"/>
        <v>Ghent</v>
      </c>
      <c r="M1269" s="105" t="str">
        <f t="shared" si="221"/>
        <v>Derate</v>
      </c>
      <c r="N1269" s="105" t="str">
        <f t="shared" si="222"/>
        <v>Coal</v>
      </c>
      <c r="O1269" s="105">
        <f>IFERROR(VLOOKUP(A1269,Lookup!$J$5:$P$19,7,FALSE),0)</f>
        <v>3</v>
      </c>
      <c r="P1269" s="159">
        <f t="shared" si="223"/>
        <v>2014</v>
      </c>
      <c r="Q1269" s="159">
        <f t="shared" si="224"/>
        <v>4</v>
      </c>
      <c r="R1269" s="160">
        <f t="shared" si="225"/>
        <v>1.5</v>
      </c>
      <c r="S1269" s="158">
        <f t="shared" si="226"/>
        <v>0.92307692307692313</v>
      </c>
      <c r="T1269" s="161">
        <f t="shared" si="227"/>
        <v>448.61538461538464</v>
      </c>
      <c r="U1269" s="158">
        <f t="shared" si="228"/>
        <v>299.07692307692309</v>
      </c>
      <c r="V1269" s="160">
        <f t="shared" si="229"/>
        <v>299</v>
      </c>
    </row>
    <row r="1270" spans="1:22" x14ac:dyDescent="0.25">
      <c r="A1270" s="98" t="s">
        <v>27</v>
      </c>
      <c r="B1270" s="98" t="s">
        <v>17</v>
      </c>
      <c r="C1270" s="98">
        <v>22</v>
      </c>
      <c r="D1270" s="98">
        <v>3820</v>
      </c>
      <c r="E1270" s="157">
        <v>41732.718055555553</v>
      </c>
      <c r="F1270" s="157">
        <v>41732.921527777777</v>
      </c>
      <c r="G1270" s="98">
        <v>320</v>
      </c>
      <c r="H1270" s="98">
        <v>520</v>
      </c>
      <c r="I1270" s="98">
        <v>486</v>
      </c>
      <c r="J1270" s="98" t="s">
        <v>2392</v>
      </c>
      <c r="K1270" s="98" t="s">
        <v>1178</v>
      </c>
      <c r="L1270" s="105" t="str">
        <f t="shared" si="220"/>
        <v>Ghent</v>
      </c>
      <c r="M1270" s="105" t="str">
        <f t="shared" si="221"/>
        <v>Derate</v>
      </c>
      <c r="N1270" s="105" t="str">
        <f t="shared" si="222"/>
        <v>Coal</v>
      </c>
      <c r="O1270" s="105">
        <f>IFERROR(VLOOKUP(A1270,Lookup!$J$5:$P$19,7,FALSE),0)</f>
        <v>3</v>
      </c>
      <c r="P1270" s="159">
        <f t="shared" si="223"/>
        <v>2014</v>
      </c>
      <c r="Q1270" s="159">
        <f t="shared" si="224"/>
        <v>4</v>
      </c>
      <c r="R1270" s="160">
        <f t="shared" si="225"/>
        <v>4.8833333333604969</v>
      </c>
      <c r="S1270" s="158">
        <f t="shared" si="226"/>
        <v>1.8782051282155758</v>
      </c>
      <c r="T1270" s="161">
        <f t="shared" si="227"/>
        <v>912.80769231276986</v>
      </c>
      <c r="U1270" s="158">
        <f t="shared" si="228"/>
        <v>186.92307692307693</v>
      </c>
      <c r="V1270" s="160">
        <f t="shared" si="229"/>
        <v>187</v>
      </c>
    </row>
    <row r="1271" spans="1:22" x14ac:dyDescent="0.25">
      <c r="A1271" s="98" t="s">
        <v>27</v>
      </c>
      <c r="B1271" s="98" t="s">
        <v>17</v>
      </c>
      <c r="C1271" s="98">
        <v>23</v>
      </c>
      <c r="D1271" s="98">
        <v>280</v>
      </c>
      <c r="E1271" s="157">
        <v>41737.811805555553</v>
      </c>
      <c r="F1271" s="157">
        <v>41737.919444444444</v>
      </c>
      <c r="G1271" s="98">
        <v>500</v>
      </c>
      <c r="H1271" s="98">
        <v>520</v>
      </c>
      <c r="I1271" s="98">
        <v>486</v>
      </c>
      <c r="J1271" s="98" t="s">
        <v>1988</v>
      </c>
      <c r="K1271" s="98" t="s">
        <v>1179</v>
      </c>
      <c r="L1271" s="105" t="str">
        <f t="shared" si="220"/>
        <v>Ghent</v>
      </c>
      <c r="M1271" s="105" t="str">
        <f t="shared" si="221"/>
        <v>Derate</v>
      </c>
      <c r="N1271" s="105" t="str">
        <f t="shared" si="222"/>
        <v>Coal</v>
      </c>
      <c r="O1271" s="105">
        <f>IFERROR(VLOOKUP(A1271,Lookup!$J$5:$P$19,7,FALSE),0)</f>
        <v>3</v>
      </c>
      <c r="P1271" s="159">
        <f t="shared" si="223"/>
        <v>2014</v>
      </c>
      <c r="Q1271" s="159">
        <f t="shared" si="224"/>
        <v>4</v>
      </c>
      <c r="R1271" s="160">
        <f t="shared" si="225"/>
        <v>2.5833333333721384</v>
      </c>
      <c r="S1271" s="158">
        <f t="shared" si="226"/>
        <v>9.9358974360466867E-2</v>
      </c>
      <c r="T1271" s="161">
        <f t="shared" si="227"/>
        <v>48.288461539186898</v>
      </c>
      <c r="U1271" s="158">
        <f t="shared" si="228"/>
        <v>18.692307692307693</v>
      </c>
      <c r="V1271" s="160">
        <f t="shared" si="229"/>
        <v>19</v>
      </c>
    </row>
    <row r="1272" spans="1:22" x14ac:dyDescent="0.25">
      <c r="A1272" s="98" t="s">
        <v>27</v>
      </c>
      <c r="B1272" s="98" t="s">
        <v>17</v>
      </c>
      <c r="C1272" s="98">
        <v>24</v>
      </c>
      <c r="D1272" s="98">
        <v>9270</v>
      </c>
      <c r="E1272" s="157">
        <v>41738.706250000003</v>
      </c>
      <c r="F1272" s="157">
        <v>41738.770138888889</v>
      </c>
      <c r="G1272" s="98">
        <v>480</v>
      </c>
      <c r="H1272" s="98">
        <v>520</v>
      </c>
      <c r="I1272" s="98">
        <v>486</v>
      </c>
      <c r="J1272" s="98" t="s">
        <v>2006</v>
      </c>
      <c r="K1272" s="98" t="s">
        <v>1180</v>
      </c>
      <c r="L1272" s="105" t="str">
        <f t="shared" si="220"/>
        <v>Ghent</v>
      </c>
      <c r="M1272" s="105" t="str">
        <f t="shared" si="221"/>
        <v>Derate</v>
      </c>
      <c r="N1272" s="105" t="str">
        <f t="shared" si="222"/>
        <v>Coal</v>
      </c>
      <c r="O1272" s="105">
        <f>IFERROR(VLOOKUP(A1272,Lookup!$J$5:$P$19,7,FALSE),0)</f>
        <v>3</v>
      </c>
      <c r="P1272" s="159">
        <f t="shared" si="223"/>
        <v>2014</v>
      </c>
      <c r="Q1272" s="159">
        <f t="shared" si="224"/>
        <v>4</v>
      </c>
      <c r="R1272" s="160">
        <f t="shared" si="225"/>
        <v>1.5333333332673647</v>
      </c>
      <c r="S1272" s="158">
        <f t="shared" si="226"/>
        <v>0.11794871794364344</v>
      </c>
      <c r="T1272" s="161">
        <f t="shared" si="227"/>
        <v>57.32307692061071</v>
      </c>
      <c r="U1272" s="158">
        <f t="shared" si="228"/>
        <v>37.384615384615387</v>
      </c>
      <c r="V1272" s="160">
        <f t="shared" si="229"/>
        <v>37</v>
      </c>
    </row>
    <row r="1273" spans="1:22" x14ac:dyDescent="0.25">
      <c r="A1273" s="98" t="s">
        <v>27</v>
      </c>
      <c r="B1273" s="98" t="s">
        <v>17</v>
      </c>
      <c r="C1273" s="98">
        <v>25</v>
      </c>
      <c r="D1273" s="98">
        <v>346</v>
      </c>
      <c r="E1273" s="157">
        <v>41739.490972222222</v>
      </c>
      <c r="F1273" s="157">
        <v>41739.5625</v>
      </c>
      <c r="G1273" s="98">
        <v>490</v>
      </c>
      <c r="H1273" s="98">
        <v>520</v>
      </c>
      <c r="I1273" s="98">
        <v>486</v>
      </c>
      <c r="J1273" s="98" t="s">
        <v>1986</v>
      </c>
      <c r="K1273" s="98" t="s">
        <v>1181</v>
      </c>
      <c r="L1273" s="105" t="str">
        <f t="shared" si="220"/>
        <v>Ghent</v>
      </c>
      <c r="M1273" s="105" t="str">
        <f t="shared" si="221"/>
        <v>Derate</v>
      </c>
      <c r="N1273" s="105" t="str">
        <f t="shared" si="222"/>
        <v>Coal</v>
      </c>
      <c r="O1273" s="105">
        <f>IFERROR(VLOOKUP(A1273,Lookup!$J$5:$P$19,7,FALSE),0)</f>
        <v>3</v>
      </c>
      <c r="P1273" s="159">
        <f t="shared" si="223"/>
        <v>2014</v>
      </c>
      <c r="Q1273" s="159">
        <f t="shared" si="224"/>
        <v>4</v>
      </c>
      <c r="R1273" s="160">
        <f t="shared" si="225"/>
        <v>1.7166666666744277</v>
      </c>
      <c r="S1273" s="158">
        <f t="shared" si="226"/>
        <v>9.9038461538909286E-2</v>
      </c>
      <c r="T1273" s="161">
        <f t="shared" si="227"/>
        <v>48.132692307909913</v>
      </c>
      <c r="U1273" s="158">
        <f t="shared" si="228"/>
        <v>28.03846153846154</v>
      </c>
      <c r="V1273" s="160">
        <f t="shared" si="229"/>
        <v>28</v>
      </c>
    </row>
    <row r="1274" spans="1:22" x14ac:dyDescent="0.25">
      <c r="A1274" s="98" t="s">
        <v>27</v>
      </c>
      <c r="B1274" s="98" t="s">
        <v>32</v>
      </c>
      <c r="C1274" s="98">
        <v>26</v>
      </c>
      <c r="D1274" s="98">
        <v>1100</v>
      </c>
      <c r="E1274" s="157">
        <v>41740.958333333336</v>
      </c>
      <c r="F1274" s="157">
        <v>41741.166666666664</v>
      </c>
      <c r="G1274" s="98">
        <v>210</v>
      </c>
      <c r="H1274" s="98">
        <v>520</v>
      </c>
      <c r="I1274" s="98">
        <v>486</v>
      </c>
      <c r="J1274" s="98" t="s">
        <v>2038</v>
      </c>
      <c r="K1274" s="98" t="s">
        <v>1182</v>
      </c>
      <c r="L1274" s="105" t="str">
        <f t="shared" si="220"/>
        <v>Ghent</v>
      </c>
      <c r="M1274" s="105" t="str">
        <f t="shared" si="221"/>
        <v>Derate</v>
      </c>
      <c r="N1274" s="105" t="str">
        <f t="shared" si="222"/>
        <v>Coal</v>
      </c>
      <c r="O1274" s="105">
        <f>IFERROR(VLOOKUP(A1274,Lookup!$J$5:$P$19,7,FALSE),0)</f>
        <v>3</v>
      </c>
      <c r="P1274" s="159">
        <f t="shared" si="223"/>
        <v>2014</v>
      </c>
      <c r="Q1274" s="159">
        <f t="shared" si="224"/>
        <v>4</v>
      </c>
      <c r="R1274" s="160">
        <f t="shared" si="225"/>
        <v>4.9999999998835847</v>
      </c>
      <c r="S1274" s="158">
        <f t="shared" si="226"/>
        <v>2.9807692306998295</v>
      </c>
      <c r="T1274" s="161">
        <f t="shared" si="227"/>
        <v>1448.6538461201171</v>
      </c>
      <c r="U1274" s="158">
        <f t="shared" si="228"/>
        <v>289.73076923076923</v>
      </c>
      <c r="V1274" s="160">
        <f t="shared" si="229"/>
        <v>290</v>
      </c>
    </row>
    <row r="1275" spans="1:22" x14ac:dyDescent="0.25">
      <c r="A1275" s="98" t="s">
        <v>27</v>
      </c>
      <c r="B1275" s="98" t="s">
        <v>17</v>
      </c>
      <c r="C1275" s="98">
        <v>27</v>
      </c>
      <c r="D1275" s="98">
        <v>330</v>
      </c>
      <c r="E1275" s="157">
        <v>41745.988194444442</v>
      </c>
      <c r="F1275" s="157">
        <v>41746.012499999997</v>
      </c>
      <c r="G1275" s="98">
        <v>450</v>
      </c>
      <c r="H1275" s="98">
        <v>520</v>
      </c>
      <c r="I1275" s="98">
        <v>486</v>
      </c>
      <c r="J1275" s="98" t="s">
        <v>2291</v>
      </c>
      <c r="K1275" s="98" t="s">
        <v>1183</v>
      </c>
      <c r="L1275" s="105" t="str">
        <f t="shared" si="220"/>
        <v>Ghent</v>
      </c>
      <c r="M1275" s="105" t="str">
        <f t="shared" si="221"/>
        <v>Derate</v>
      </c>
      <c r="N1275" s="105" t="str">
        <f t="shared" si="222"/>
        <v>Coal</v>
      </c>
      <c r="O1275" s="105">
        <f>IFERROR(VLOOKUP(A1275,Lookup!$J$5:$P$19,7,FALSE),0)</f>
        <v>3</v>
      </c>
      <c r="P1275" s="159">
        <f t="shared" si="223"/>
        <v>2014</v>
      </c>
      <c r="Q1275" s="159">
        <f t="shared" si="224"/>
        <v>4</v>
      </c>
      <c r="R1275" s="160">
        <f t="shared" si="225"/>
        <v>0.58333333331393078</v>
      </c>
      <c r="S1275" s="158">
        <f t="shared" si="226"/>
        <v>7.8525641023029141E-2</v>
      </c>
      <c r="T1275" s="161">
        <f t="shared" si="227"/>
        <v>38.163461537192163</v>
      </c>
      <c r="U1275" s="158">
        <f t="shared" si="228"/>
        <v>65.42307692307692</v>
      </c>
      <c r="V1275" s="160">
        <f t="shared" si="229"/>
        <v>65</v>
      </c>
    </row>
    <row r="1276" spans="1:22" x14ac:dyDescent="0.25">
      <c r="A1276" s="98" t="s">
        <v>27</v>
      </c>
      <c r="B1276" s="98" t="s">
        <v>20</v>
      </c>
      <c r="C1276" s="98">
        <v>28</v>
      </c>
      <c r="D1276" s="98">
        <v>1520</v>
      </c>
      <c r="E1276" s="157">
        <v>41747.98541666667</v>
      </c>
      <c r="F1276" s="157">
        <v>41749.119444444441</v>
      </c>
      <c r="G1276" s="98">
        <v>0</v>
      </c>
      <c r="H1276" s="98">
        <v>520</v>
      </c>
      <c r="I1276" s="98">
        <v>486</v>
      </c>
      <c r="J1276" s="98" t="s">
        <v>2393</v>
      </c>
      <c r="K1276" s="98" t="s">
        <v>1184</v>
      </c>
      <c r="L1276" s="105" t="str">
        <f t="shared" si="220"/>
        <v>Ghent</v>
      </c>
      <c r="M1276" s="105" t="str">
        <f t="shared" si="221"/>
        <v>Maintenance</v>
      </c>
      <c r="N1276" s="105" t="str">
        <f t="shared" si="222"/>
        <v>Coal</v>
      </c>
      <c r="O1276" s="105">
        <f>IFERROR(VLOOKUP(A1276,Lookup!$J$5:$P$19,7,FALSE),0)</f>
        <v>3</v>
      </c>
      <c r="P1276" s="159">
        <f t="shared" si="223"/>
        <v>2014</v>
      </c>
      <c r="Q1276" s="159">
        <f t="shared" si="224"/>
        <v>4</v>
      </c>
      <c r="R1276" s="160">
        <f t="shared" si="225"/>
        <v>27.216666666499805</v>
      </c>
      <c r="S1276" s="158">
        <f t="shared" si="226"/>
        <v>27.216666666499805</v>
      </c>
      <c r="T1276" s="161">
        <f t="shared" si="227"/>
        <v>13227.299999918905</v>
      </c>
      <c r="U1276" s="158">
        <f t="shared" si="228"/>
        <v>486</v>
      </c>
      <c r="V1276" s="160">
        <f t="shared" si="229"/>
        <v>486</v>
      </c>
    </row>
    <row r="1277" spans="1:22" x14ac:dyDescent="0.25">
      <c r="A1277" s="98" t="s">
        <v>27</v>
      </c>
      <c r="B1277" s="98" t="s">
        <v>17</v>
      </c>
      <c r="C1277" s="98">
        <v>29</v>
      </c>
      <c r="D1277" s="98">
        <v>320</v>
      </c>
      <c r="E1277" s="157">
        <v>41754.777777777781</v>
      </c>
      <c r="F1277" s="157">
        <v>41754.868055555555</v>
      </c>
      <c r="G1277" s="98">
        <v>460</v>
      </c>
      <c r="H1277" s="98">
        <v>520</v>
      </c>
      <c r="I1277" s="98">
        <v>486</v>
      </c>
      <c r="J1277" s="98" t="s">
        <v>1992</v>
      </c>
      <c r="K1277" s="98" t="s">
        <v>1185</v>
      </c>
      <c r="L1277" s="105" t="str">
        <f t="shared" si="220"/>
        <v>Ghent</v>
      </c>
      <c r="M1277" s="105" t="str">
        <f t="shared" si="221"/>
        <v>Derate</v>
      </c>
      <c r="N1277" s="105" t="str">
        <f t="shared" si="222"/>
        <v>Coal</v>
      </c>
      <c r="O1277" s="105">
        <f>IFERROR(VLOOKUP(A1277,Lookup!$J$5:$P$19,7,FALSE),0)</f>
        <v>3</v>
      </c>
      <c r="P1277" s="159">
        <f t="shared" si="223"/>
        <v>2014</v>
      </c>
      <c r="Q1277" s="159">
        <f t="shared" si="224"/>
        <v>4</v>
      </c>
      <c r="R1277" s="160">
        <f t="shared" si="225"/>
        <v>2.1666666665696539</v>
      </c>
      <c r="S1277" s="158">
        <f t="shared" si="226"/>
        <v>0.24999999998880623</v>
      </c>
      <c r="T1277" s="161">
        <f t="shared" si="227"/>
        <v>121.49999999455983</v>
      </c>
      <c r="U1277" s="158">
        <f t="shared" si="228"/>
        <v>56.07692307692308</v>
      </c>
      <c r="V1277" s="160">
        <f t="shared" si="229"/>
        <v>56</v>
      </c>
    </row>
    <row r="1278" spans="1:22" x14ac:dyDescent="0.25">
      <c r="A1278" s="98" t="s">
        <v>27</v>
      </c>
      <c r="B1278" s="98" t="s">
        <v>15</v>
      </c>
      <c r="C1278" s="98">
        <v>30</v>
      </c>
      <c r="D1278" s="98">
        <v>9020</v>
      </c>
      <c r="E1278" s="157">
        <v>41757.274305555555</v>
      </c>
      <c r="F1278" s="157">
        <v>41757.388194444444</v>
      </c>
      <c r="G1278" s="98">
        <v>0</v>
      </c>
      <c r="H1278" s="98">
        <v>520</v>
      </c>
      <c r="I1278" s="98">
        <v>486</v>
      </c>
      <c r="J1278" s="98" t="s">
        <v>230</v>
      </c>
      <c r="K1278" s="98" t="s">
        <v>1186</v>
      </c>
      <c r="L1278" s="105" t="str">
        <f t="shared" si="220"/>
        <v>Ghent</v>
      </c>
      <c r="M1278" s="105" t="str">
        <f t="shared" si="221"/>
        <v>Outage</v>
      </c>
      <c r="N1278" s="105" t="str">
        <f t="shared" si="222"/>
        <v>Coal</v>
      </c>
      <c r="O1278" s="105">
        <f>IFERROR(VLOOKUP(A1278,Lookup!$J$5:$P$19,7,FALSE),0)</f>
        <v>3</v>
      </c>
      <c r="P1278" s="159">
        <f t="shared" si="223"/>
        <v>2014</v>
      </c>
      <c r="Q1278" s="159">
        <f t="shared" si="224"/>
        <v>4</v>
      </c>
      <c r="R1278" s="160">
        <f t="shared" si="225"/>
        <v>2.7333333333372138</v>
      </c>
      <c r="S1278" s="158">
        <f t="shared" si="226"/>
        <v>2.7333333333372138</v>
      </c>
      <c r="T1278" s="161">
        <f t="shared" si="227"/>
        <v>1328.4000000018859</v>
      </c>
      <c r="U1278" s="158">
        <f t="shared" si="228"/>
        <v>486</v>
      </c>
      <c r="V1278" s="160">
        <f t="shared" si="229"/>
        <v>486</v>
      </c>
    </row>
    <row r="1279" spans="1:22" x14ac:dyDescent="0.25">
      <c r="A1279" s="98" t="s">
        <v>27</v>
      </c>
      <c r="B1279" s="98" t="s">
        <v>17</v>
      </c>
      <c r="C1279" s="98">
        <v>31</v>
      </c>
      <c r="D1279" s="98">
        <v>3410</v>
      </c>
      <c r="E1279" s="157">
        <v>41759.336805555555</v>
      </c>
      <c r="F1279" s="157">
        <v>41759.368055555555</v>
      </c>
      <c r="G1279" s="98">
        <v>460</v>
      </c>
      <c r="H1279" s="98">
        <v>520</v>
      </c>
      <c r="I1279" s="98">
        <v>486</v>
      </c>
      <c r="J1279" s="98" t="s">
        <v>1983</v>
      </c>
      <c r="K1279" s="98" t="s">
        <v>1187</v>
      </c>
      <c r="L1279" s="105" t="str">
        <f t="shared" si="220"/>
        <v>Ghent</v>
      </c>
      <c r="M1279" s="105" t="str">
        <f t="shared" si="221"/>
        <v>Derate</v>
      </c>
      <c r="N1279" s="105" t="str">
        <f t="shared" si="222"/>
        <v>Coal</v>
      </c>
      <c r="O1279" s="105">
        <f>IFERROR(VLOOKUP(A1279,Lookup!$J$5:$P$19,7,FALSE),0)</f>
        <v>3</v>
      </c>
      <c r="P1279" s="159">
        <f t="shared" si="223"/>
        <v>2014</v>
      </c>
      <c r="Q1279" s="159">
        <f t="shared" si="224"/>
        <v>4</v>
      </c>
      <c r="R1279" s="160">
        <f t="shared" si="225"/>
        <v>0.75</v>
      </c>
      <c r="S1279" s="158">
        <f t="shared" si="226"/>
        <v>8.6538461538461536E-2</v>
      </c>
      <c r="T1279" s="161">
        <f t="shared" si="227"/>
        <v>42.057692307692307</v>
      </c>
      <c r="U1279" s="158">
        <f t="shared" si="228"/>
        <v>56.07692307692308</v>
      </c>
      <c r="V1279" s="160">
        <f t="shared" si="229"/>
        <v>56</v>
      </c>
    </row>
    <row r="1280" spans="1:22" x14ac:dyDescent="0.25">
      <c r="A1280" s="98" t="s">
        <v>27</v>
      </c>
      <c r="B1280" s="98" t="s">
        <v>17</v>
      </c>
      <c r="C1280" s="98">
        <v>32</v>
      </c>
      <c r="D1280" s="98">
        <v>3410</v>
      </c>
      <c r="E1280" s="157">
        <v>41759.368055555555</v>
      </c>
      <c r="F1280" s="157">
        <v>41772.256944444445</v>
      </c>
      <c r="G1280" s="98">
        <v>505</v>
      </c>
      <c r="H1280" s="98">
        <v>520</v>
      </c>
      <c r="I1280" s="98">
        <v>486</v>
      </c>
      <c r="J1280" s="98" t="s">
        <v>1983</v>
      </c>
      <c r="K1280" s="98" t="s">
        <v>1188</v>
      </c>
      <c r="L1280" s="105" t="str">
        <f t="shared" si="220"/>
        <v>Ghent</v>
      </c>
      <c r="M1280" s="105" t="str">
        <f t="shared" si="221"/>
        <v>Derate</v>
      </c>
      <c r="N1280" s="105" t="str">
        <f t="shared" si="222"/>
        <v>Coal</v>
      </c>
      <c r="O1280" s="105">
        <f>IFERROR(VLOOKUP(A1280,Lookup!$J$5:$P$19,7,FALSE),0)</f>
        <v>3</v>
      </c>
      <c r="P1280" s="159">
        <f t="shared" si="223"/>
        <v>2014</v>
      </c>
      <c r="Q1280" s="159">
        <f t="shared" si="224"/>
        <v>4</v>
      </c>
      <c r="R1280" s="160">
        <f t="shared" si="225"/>
        <v>309.33333333337214</v>
      </c>
      <c r="S1280" s="158">
        <f t="shared" si="226"/>
        <v>8.9230769230780425</v>
      </c>
      <c r="T1280" s="161">
        <f t="shared" si="227"/>
        <v>4336.6153846159286</v>
      </c>
      <c r="U1280" s="158">
        <f t="shared" si="228"/>
        <v>14.01923076923077</v>
      </c>
      <c r="V1280" s="160">
        <f t="shared" si="229"/>
        <v>14</v>
      </c>
    </row>
    <row r="1281" spans="1:22" x14ac:dyDescent="0.25">
      <c r="A1281" s="98" t="s">
        <v>27</v>
      </c>
      <c r="B1281" s="98" t="s">
        <v>17</v>
      </c>
      <c r="C1281" s="98">
        <v>33</v>
      </c>
      <c r="D1281" s="98">
        <v>1455</v>
      </c>
      <c r="E1281" s="157">
        <v>41774.506944444445</v>
      </c>
      <c r="F1281" s="157">
        <v>41774.548611111109</v>
      </c>
      <c r="G1281" s="98">
        <v>250</v>
      </c>
      <c r="H1281" s="98">
        <v>520</v>
      </c>
      <c r="I1281" s="98">
        <v>486</v>
      </c>
      <c r="J1281" s="98" t="s">
        <v>1990</v>
      </c>
      <c r="K1281" s="98" t="s">
        <v>1189</v>
      </c>
      <c r="L1281" s="105" t="str">
        <f t="shared" si="220"/>
        <v>Ghent</v>
      </c>
      <c r="M1281" s="105" t="str">
        <f t="shared" si="221"/>
        <v>Derate</v>
      </c>
      <c r="N1281" s="105" t="str">
        <f t="shared" si="222"/>
        <v>Coal</v>
      </c>
      <c r="O1281" s="105">
        <f>IFERROR(VLOOKUP(A1281,Lookup!$J$5:$P$19,7,FALSE),0)</f>
        <v>3</v>
      </c>
      <c r="P1281" s="159">
        <f t="shared" si="223"/>
        <v>2014</v>
      </c>
      <c r="Q1281" s="159">
        <f t="shared" si="224"/>
        <v>5</v>
      </c>
      <c r="R1281" s="160">
        <f t="shared" si="225"/>
        <v>0.99999999994179234</v>
      </c>
      <c r="S1281" s="158">
        <f t="shared" si="226"/>
        <v>0.51923076920054601</v>
      </c>
      <c r="T1281" s="161">
        <f t="shared" si="227"/>
        <v>252.34615383146536</v>
      </c>
      <c r="U1281" s="158">
        <f t="shared" si="228"/>
        <v>252.34615384615384</v>
      </c>
      <c r="V1281" s="160">
        <f t="shared" si="229"/>
        <v>252</v>
      </c>
    </row>
    <row r="1282" spans="1:22" x14ac:dyDescent="0.25">
      <c r="A1282" s="98" t="s">
        <v>27</v>
      </c>
      <c r="B1282" s="98" t="s">
        <v>32</v>
      </c>
      <c r="C1282" s="98">
        <v>34</v>
      </c>
      <c r="D1282" s="98">
        <v>3812</v>
      </c>
      <c r="E1282" s="157">
        <v>41776.209027777775</v>
      </c>
      <c r="F1282" s="157">
        <v>41776.339583333334</v>
      </c>
      <c r="G1282" s="98">
        <v>200</v>
      </c>
      <c r="H1282" s="98">
        <v>520</v>
      </c>
      <c r="I1282" s="98">
        <v>486</v>
      </c>
      <c r="J1282" s="98" t="s">
        <v>2173</v>
      </c>
      <c r="K1282" s="98" t="s">
        <v>1190</v>
      </c>
      <c r="L1282" s="105" t="str">
        <f t="shared" si="220"/>
        <v>Ghent</v>
      </c>
      <c r="M1282" s="105" t="str">
        <f t="shared" si="221"/>
        <v>Derate</v>
      </c>
      <c r="N1282" s="105" t="str">
        <f t="shared" si="222"/>
        <v>Coal</v>
      </c>
      <c r="O1282" s="105">
        <f>IFERROR(VLOOKUP(A1282,Lookup!$J$5:$P$19,7,FALSE),0)</f>
        <v>3</v>
      </c>
      <c r="P1282" s="159">
        <f t="shared" si="223"/>
        <v>2014</v>
      </c>
      <c r="Q1282" s="159">
        <f t="shared" si="224"/>
        <v>5</v>
      </c>
      <c r="R1282" s="160">
        <f t="shared" si="225"/>
        <v>3.1333333334187046</v>
      </c>
      <c r="S1282" s="158">
        <f t="shared" si="226"/>
        <v>1.9282051282576644</v>
      </c>
      <c r="T1282" s="161">
        <f t="shared" si="227"/>
        <v>937.10769233322492</v>
      </c>
      <c r="U1282" s="158">
        <f t="shared" si="228"/>
        <v>299.07692307692309</v>
      </c>
      <c r="V1282" s="160">
        <f t="shared" si="229"/>
        <v>299</v>
      </c>
    </row>
    <row r="1283" spans="1:22" x14ac:dyDescent="0.25">
      <c r="A1283" s="98" t="s">
        <v>27</v>
      </c>
      <c r="B1283" s="98" t="s">
        <v>17</v>
      </c>
      <c r="C1283" s="98">
        <v>35</v>
      </c>
      <c r="D1283" s="98">
        <v>344</v>
      </c>
      <c r="E1283" s="157">
        <v>41790.581250000003</v>
      </c>
      <c r="F1283" s="157">
        <v>41790.640277777777</v>
      </c>
      <c r="G1283" s="98">
        <v>460</v>
      </c>
      <c r="H1283" s="98">
        <v>520</v>
      </c>
      <c r="I1283" s="98">
        <v>486</v>
      </c>
      <c r="J1283" s="98" t="s">
        <v>1968</v>
      </c>
      <c r="K1283" s="98" t="s">
        <v>1191</v>
      </c>
      <c r="L1283" s="105" t="str">
        <f t="shared" si="220"/>
        <v>Ghent</v>
      </c>
      <c r="M1283" s="105" t="str">
        <f t="shared" si="221"/>
        <v>Derate</v>
      </c>
      <c r="N1283" s="105" t="str">
        <f t="shared" si="222"/>
        <v>Coal</v>
      </c>
      <c r="O1283" s="105">
        <f>IFERROR(VLOOKUP(A1283,Lookup!$J$5:$P$19,7,FALSE),0)</f>
        <v>3</v>
      </c>
      <c r="P1283" s="159">
        <f t="shared" si="223"/>
        <v>2014</v>
      </c>
      <c r="Q1283" s="159">
        <f t="shared" si="224"/>
        <v>5</v>
      </c>
      <c r="R1283" s="160">
        <f t="shared" si="225"/>
        <v>1.4166666665696539</v>
      </c>
      <c r="S1283" s="158">
        <f t="shared" si="226"/>
        <v>0.16346153845034467</v>
      </c>
      <c r="T1283" s="161">
        <f t="shared" si="227"/>
        <v>79.442307686867508</v>
      </c>
      <c r="U1283" s="158">
        <f t="shared" si="228"/>
        <v>56.07692307692308</v>
      </c>
      <c r="V1283" s="160">
        <f t="shared" si="229"/>
        <v>56</v>
      </c>
    </row>
    <row r="1284" spans="1:22" x14ac:dyDescent="0.25">
      <c r="A1284" s="98" t="s">
        <v>27</v>
      </c>
      <c r="B1284" s="98" t="s">
        <v>32</v>
      </c>
      <c r="C1284" s="98">
        <v>36</v>
      </c>
      <c r="D1284" s="98">
        <v>1471</v>
      </c>
      <c r="E1284" s="157">
        <v>41792.958333333336</v>
      </c>
      <c r="F1284" s="157">
        <v>41793.198611111111</v>
      </c>
      <c r="G1284" s="98">
        <v>200</v>
      </c>
      <c r="H1284" s="98">
        <v>520</v>
      </c>
      <c r="I1284" s="98">
        <v>486</v>
      </c>
      <c r="J1284" s="98" t="s">
        <v>2279</v>
      </c>
      <c r="K1284" s="98" t="s">
        <v>1192</v>
      </c>
      <c r="L1284" s="105" t="str">
        <f t="shared" si="220"/>
        <v>Ghent</v>
      </c>
      <c r="M1284" s="105" t="str">
        <f t="shared" si="221"/>
        <v>Derate</v>
      </c>
      <c r="N1284" s="105" t="str">
        <f t="shared" si="222"/>
        <v>Coal</v>
      </c>
      <c r="O1284" s="105">
        <f>IFERROR(VLOOKUP(A1284,Lookup!$J$5:$P$19,7,FALSE),0)</f>
        <v>3</v>
      </c>
      <c r="P1284" s="159">
        <f t="shared" si="223"/>
        <v>2014</v>
      </c>
      <c r="Q1284" s="159">
        <f t="shared" si="224"/>
        <v>6</v>
      </c>
      <c r="R1284" s="160">
        <f t="shared" si="225"/>
        <v>5.7666666666045785</v>
      </c>
      <c r="S1284" s="158">
        <f t="shared" si="226"/>
        <v>3.5487179486797404</v>
      </c>
      <c r="T1284" s="161">
        <f t="shared" si="227"/>
        <v>1724.6769230583539</v>
      </c>
      <c r="U1284" s="158">
        <f t="shared" si="228"/>
        <v>299.07692307692309</v>
      </c>
      <c r="V1284" s="160">
        <f t="shared" si="229"/>
        <v>299</v>
      </c>
    </row>
    <row r="1285" spans="1:22" x14ac:dyDescent="0.25">
      <c r="A1285" s="98" t="s">
        <v>27</v>
      </c>
      <c r="B1285" s="98" t="s">
        <v>17</v>
      </c>
      <c r="C1285" s="98">
        <v>37</v>
      </c>
      <c r="D1285" s="98">
        <v>280</v>
      </c>
      <c r="E1285" s="157">
        <v>41795.621527777781</v>
      </c>
      <c r="F1285" s="157">
        <v>41795.740277777775</v>
      </c>
      <c r="G1285" s="98">
        <v>490</v>
      </c>
      <c r="H1285" s="98">
        <v>520</v>
      </c>
      <c r="I1285" s="98">
        <v>486</v>
      </c>
      <c r="J1285" s="98" t="s">
        <v>1988</v>
      </c>
      <c r="K1285" s="98" t="s">
        <v>1193</v>
      </c>
      <c r="L1285" s="105" t="str">
        <f t="shared" si="220"/>
        <v>Ghent</v>
      </c>
      <c r="M1285" s="105" t="str">
        <f t="shared" si="221"/>
        <v>Derate</v>
      </c>
      <c r="N1285" s="105" t="str">
        <f t="shared" si="222"/>
        <v>Coal</v>
      </c>
      <c r="O1285" s="105">
        <f>IFERROR(VLOOKUP(A1285,Lookup!$J$5:$P$19,7,FALSE),0)</f>
        <v>3</v>
      </c>
      <c r="P1285" s="159">
        <f t="shared" si="223"/>
        <v>2014</v>
      </c>
      <c r="Q1285" s="159">
        <f t="shared" si="224"/>
        <v>6</v>
      </c>
      <c r="R1285" s="160">
        <f t="shared" si="225"/>
        <v>2.8499999998603016</v>
      </c>
      <c r="S1285" s="158">
        <f t="shared" si="226"/>
        <v>0.1644230769150174</v>
      </c>
      <c r="T1285" s="161">
        <f t="shared" si="227"/>
        <v>79.909615380698455</v>
      </c>
      <c r="U1285" s="158">
        <f t="shared" si="228"/>
        <v>28.03846153846154</v>
      </c>
      <c r="V1285" s="160">
        <f t="shared" si="229"/>
        <v>28</v>
      </c>
    </row>
    <row r="1286" spans="1:22" x14ac:dyDescent="0.25">
      <c r="A1286" s="98" t="s">
        <v>27</v>
      </c>
      <c r="B1286" s="98" t="s">
        <v>17</v>
      </c>
      <c r="C1286" s="98">
        <v>38</v>
      </c>
      <c r="D1286" s="98">
        <v>360</v>
      </c>
      <c r="E1286" s="157">
        <v>41804.538194444445</v>
      </c>
      <c r="F1286" s="157">
        <v>41804.628472222219</v>
      </c>
      <c r="G1286" s="98">
        <v>440</v>
      </c>
      <c r="H1286" s="98">
        <v>520</v>
      </c>
      <c r="I1286" s="98">
        <v>486</v>
      </c>
      <c r="J1286" s="98" t="s">
        <v>229</v>
      </c>
      <c r="K1286" s="98" t="s">
        <v>1194</v>
      </c>
      <c r="L1286" s="105" t="str">
        <f t="shared" si="220"/>
        <v>Ghent</v>
      </c>
      <c r="M1286" s="105" t="str">
        <f t="shared" si="221"/>
        <v>Derate</v>
      </c>
      <c r="N1286" s="105" t="str">
        <f t="shared" si="222"/>
        <v>Coal</v>
      </c>
      <c r="O1286" s="105">
        <f>IFERROR(VLOOKUP(A1286,Lookup!$J$5:$P$19,7,FALSE),0)</f>
        <v>3</v>
      </c>
      <c r="P1286" s="159">
        <f t="shared" si="223"/>
        <v>2014</v>
      </c>
      <c r="Q1286" s="159">
        <f t="shared" si="224"/>
        <v>6</v>
      </c>
      <c r="R1286" s="160">
        <f t="shared" si="225"/>
        <v>2.1666666665696539</v>
      </c>
      <c r="S1286" s="158">
        <f t="shared" si="226"/>
        <v>0.33333333331840831</v>
      </c>
      <c r="T1286" s="161">
        <f t="shared" si="227"/>
        <v>161.99999999274644</v>
      </c>
      <c r="U1286" s="158">
        <f t="shared" si="228"/>
        <v>74.769230769230774</v>
      </c>
      <c r="V1286" s="160">
        <f t="shared" si="229"/>
        <v>75</v>
      </c>
    </row>
    <row r="1287" spans="1:22" x14ac:dyDescent="0.25">
      <c r="A1287" s="98" t="s">
        <v>27</v>
      </c>
      <c r="B1287" s="98" t="s">
        <v>32</v>
      </c>
      <c r="C1287" s="98">
        <v>39</v>
      </c>
      <c r="D1287" s="98">
        <v>1470</v>
      </c>
      <c r="E1287" s="157">
        <v>41810.895833333336</v>
      </c>
      <c r="F1287" s="157">
        <v>41811.143750000003</v>
      </c>
      <c r="G1287" s="98">
        <v>240</v>
      </c>
      <c r="H1287" s="98">
        <v>520</v>
      </c>
      <c r="I1287" s="98">
        <v>486</v>
      </c>
      <c r="J1287" s="98" t="s">
        <v>2005</v>
      </c>
      <c r="K1287" s="98" t="s">
        <v>1195</v>
      </c>
      <c r="L1287" s="105" t="str">
        <f t="shared" si="220"/>
        <v>Ghent</v>
      </c>
      <c r="M1287" s="105" t="str">
        <f t="shared" si="221"/>
        <v>Derate</v>
      </c>
      <c r="N1287" s="105" t="str">
        <f t="shared" si="222"/>
        <v>Coal</v>
      </c>
      <c r="O1287" s="105">
        <f>IFERROR(VLOOKUP(A1287,Lookup!$J$5:$P$19,7,FALSE),0)</f>
        <v>3</v>
      </c>
      <c r="P1287" s="159">
        <f t="shared" si="223"/>
        <v>2014</v>
      </c>
      <c r="Q1287" s="159">
        <f t="shared" si="224"/>
        <v>6</v>
      </c>
      <c r="R1287" s="160">
        <f t="shared" si="225"/>
        <v>5.9500000000116415</v>
      </c>
      <c r="S1287" s="158">
        <f t="shared" si="226"/>
        <v>3.2038461538524223</v>
      </c>
      <c r="T1287" s="161">
        <f t="shared" si="227"/>
        <v>1557.0692307722773</v>
      </c>
      <c r="U1287" s="158">
        <f t="shared" si="228"/>
        <v>261.69230769230768</v>
      </c>
      <c r="V1287" s="160">
        <f t="shared" si="229"/>
        <v>262</v>
      </c>
    </row>
    <row r="1288" spans="1:22" x14ac:dyDescent="0.25">
      <c r="A1288" s="98" t="s">
        <v>27</v>
      </c>
      <c r="B1288" s="98" t="s">
        <v>17</v>
      </c>
      <c r="C1288" s="98">
        <v>40</v>
      </c>
      <c r="D1288" s="98">
        <v>3414</v>
      </c>
      <c r="E1288" s="157">
        <v>41813.850694444445</v>
      </c>
      <c r="F1288" s="157">
        <v>41813.898611111108</v>
      </c>
      <c r="G1288" s="98">
        <v>340</v>
      </c>
      <c r="H1288" s="98">
        <v>520</v>
      </c>
      <c r="I1288" s="98">
        <v>486</v>
      </c>
      <c r="J1288" s="98" t="s">
        <v>1984</v>
      </c>
      <c r="K1288" s="98" t="s">
        <v>1196</v>
      </c>
      <c r="L1288" s="105" t="str">
        <f t="shared" si="220"/>
        <v>Ghent</v>
      </c>
      <c r="M1288" s="105" t="str">
        <f t="shared" si="221"/>
        <v>Derate</v>
      </c>
      <c r="N1288" s="105" t="str">
        <f t="shared" si="222"/>
        <v>Coal</v>
      </c>
      <c r="O1288" s="105">
        <f>IFERROR(VLOOKUP(A1288,Lookup!$J$5:$P$19,7,FALSE),0)</f>
        <v>3</v>
      </c>
      <c r="P1288" s="159">
        <f t="shared" si="223"/>
        <v>2014</v>
      </c>
      <c r="Q1288" s="159">
        <f t="shared" si="224"/>
        <v>6</v>
      </c>
      <c r="R1288" s="160">
        <f t="shared" si="225"/>
        <v>1.1499999999068677</v>
      </c>
      <c r="S1288" s="158">
        <f t="shared" si="226"/>
        <v>0.398076923044685</v>
      </c>
      <c r="T1288" s="161">
        <f t="shared" si="227"/>
        <v>193.46538459971691</v>
      </c>
      <c r="U1288" s="158">
        <f t="shared" si="228"/>
        <v>168.23076923076923</v>
      </c>
      <c r="V1288" s="160">
        <f t="shared" si="229"/>
        <v>168</v>
      </c>
    </row>
    <row r="1289" spans="1:22" x14ac:dyDescent="0.25">
      <c r="A1289" s="98" t="s">
        <v>27</v>
      </c>
      <c r="B1289" s="98" t="s">
        <v>32</v>
      </c>
      <c r="C1289" s="98">
        <v>41</v>
      </c>
      <c r="D1289" s="98">
        <v>344</v>
      </c>
      <c r="E1289" s="157">
        <v>41820.958333333336</v>
      </c>
      <c r="F1289" s="157">
        <v>41821.132638888892</v>
      </c>
      <c r="G1289" s="98">
        <v>460</v>
      </c>
      <c r="H1289" s="98">
        <v>520</v>
      </c>
      <c r="I1289" s="98">
        <v>486</v>
      </c>
      <c r="J1289" s="98" t="s">
        <v>1968</v>
      </c>
      <c r="K1289" s="98" t="s">
        <v>1197</v>
      </c>
      <c r="L1289" s="105" t="str">
        <f t="shared" si="220"/>
        <v>Ghent</v>
      </c>
      <c r="M1289" s="105" t="str">
        <f t="shared" si="221"/>
        <v>Derate</v>
      </c>
      <c r="N1289" s="105" t="str">
        <f t="shared" si="222"/>
        <v>Coal</v>
      </c>
      <c r="O1289" s="105">
        <f>IFERROR(VLOOKUP(A1289,Lookup!$J$5:$P$19,7,FALSE),0)</f>
        <v>3</v>
      </c>
      <c r="P1289" s="159">
        <f t="shared" si="223"/>
        <v>2014</v>
      </c>
      <c r="Q1289" s="159">
        <f t="shared" si="224"/>
        <v>6</v>
      </c>
      <c r="R1289" s="160">
        <f t="shared" si="225"/>
        <v>4.1833333333488554</v>
      </c>
      <c r="S1289" s="158">
        <f t="shared" si="226"/>
        <v>0.48269230769409871</v>
      </c>
      <c r="T1289" s="161">
        <f t="shared" si="227"/>
        <v>234.58846153933197</v>
      </c>
      <c r="U1289" s="158">
        <f t="shared" si="228"/>
        <v>56.07692307692308</v>
      </c>
      <c r="V1289" s="160">
        <f t="shared" si="229"/>
        <v>56</v>
      </c>
    </row>
    <row r="1290" spans="1:22" x14ac:dyDescent="0.25">
      <c r="A1290" s="98" t="s">
        <v>27</v>
      </c>
      <c r="B1290" s="98" t="s">
        <v>32</v>
      </c>
      <c r="C1290" s="98">
        <v>42</v>
      </c>
      <c r="D1290" s="98">
        <v>344</v>
      </c>
      <c r="E1290" s="157">
        <v>41822.958333333336</v>
      </c>
      <c r="F1290" s="157">
        <v>41823.066666666666</v>
      </c>
      <c r="G1290" s="98">
        <v>460</v>
      </c>
      <c r="H1290" s="98">
        <v>520</v>
      </c>
      <c r="I1290" s="98">
        <v>486</v>
      </c>
      <c r="J1290" s="98" t="s">
        <v>1968</v>
      </c>
      <c r="K1290" s="98" t="s">
        <v>2394</v>
      </c>
      <c r="L1290" s="105" t="str">
        <f t="shared" si="220"/>
        <v>Ghent</v>
      </c>
      <c r="M1290" s="105" t="str">
        <f t="shared" si="221"/>
        <v>Derate</v>
      </c>
      <c r="N1290" s="105" t="str">
        <f t="shared" si="222"/>
        <v>Coal</v>
      </c>
      <c r="O1290" s="105">
        <f>IFERROR(VLOOKUP(A1290,Lookup!$J$5:$P$19,7,FALSE),0)</f>
        <v>3</v>
      </c>
      <c r="P1290" s="159">
        <f t="shared" si="223"/>
        <v>2014</v>
      </c>
      <c r="Q1290" s="159">
        <f t="shared" si="224"/>
        <v>7</v>
      </c>
      <c r="R1290" s="160">
        <f t="shared" si="225"/>
        <v>2.5999999999185093</v>
      </c>
      <c r="S1290" s="158">
        <f t="shared" si="226"/>
        <v>0.29999999999059723</v>
      </c>
      <c r="T1290" s="161">
        <f t="shared" si="227"/>
        <v>145.79999999543026</v>
      </c>
      <c r="U1290" s="158">
        <f t="shared" si="228"/>
        <v>56.07692307692308</v>
      </c>
      <c r="V1290" s="160">
        <f t="shared" si="229"/>
        <v>56</v>
      </c>
    </row>
    <row r="1291" spans="1:22" x14ac:dyDescent="0.25">
      <c r="A1291" s="98" t="s">
        <v>27</v>
      </c>
      <c r="B1291" s="98" t="s">
        <v>17</v>
      </c>
      <c r="C1291" s="98">
        <v>43</v>
      </c>
      <c r="D1291" s="98">
        <v>346</v>
      </c>
      <c r="E1291" s="157">
        <v>41838.006944444445</v>
      </c>
      <c r="F1291" s="157">
        <v>41838.090277777781</v>
      </c>
      <c r="G1291" s="98">
        <v>470</v>
      </c>
      <c r="H1291" s="98">
        <v>520</v>
      </c>
      <c r="I1291" s="98">
        <v>486</v>
      </c>
      <c r="J1291" s="98" t="s">
        <v>1986</v>
      </c>
      <c r="K1291" s="98" t="s">
        <v>2395</v>
      </c>
      <c r="L1291" s="105" t="str">
        <f t="shared" si="220"/>
        <v>Ghent</v>
      </c>
      <c r="M1291" s="105" t="str">
        <f t="shared" si="221"/>
        <v>Derate</v>
      </c>
      <c r="N1291" s="105" t="str">
        <f t="shared" si="222"/>
        <v>Coal</v>
      </c>
      <c r="O1291" s="105">
        <f>IFERROR(VLOOKUP(A1291,Lookup!$J$5:$P$19,7,FALSE),0)</f>
        <v>3</v>
      </c>
      <c r="P1291" s="159">
        <f t="shared" si="223"/>
        <v>2014</v>
      </c>
      <c r="Q1291" s="159">
        <f t="shared" si="224"/>
        <v>7</v>
      </c>
      <c r="R1291" s="160">
        <f t="shared" si="225"/>
        <v>2.0000000000582077</v>
      </c>
      <c r="S1291" s="158">
        <f t="shared" si="226"/>
        <v>0.1923076923132892</v>
      </c>
      <c r="T1291" s="161">
        <f t="shared" si="227"/>
        <v>93.461538464258552</v>
      </c>
      <c r="U1291" s="158">
        <f t="shared" si="228"/>
        <v>46.730769230769234</v>
      </c>
      <c r="V1291" s="160">
        <f t="shared" si="229"/>
        <v>47</v>
      </c>
    </row>
    <row r="1292" spans="1:22" x14ac:dyDescent="0.25">
      <c r="A1292" s="98" t="s">
        <v>27</v>
      </c>
      <c r="B1292" s="98" t="s">
        <v>17</v>
      </c>
      <c r="C1292" s="98">
        <v>44</v>
      </c>
      <c r="D1292" s="98">
        <v>346</v>
      </c>
      <c r="E1292" s="157">
        <v>41842.12777777778</v>
      </c>
      <c r="F1292" s="157">
        <v>41842.21597222222</v>
      </c>
      <c r="G1292" s="98">
        <v>460</v>
      </c>
      <c r="H1292" s="98">
        <v>520</v>
      </c>
      <c r="I1292" s="98">
        <v>486</v>
      </c>
      <c r="J1292" s="98" t="s">
        <v>1986</v>
      </c>
      <c r="K1292" s="98" t="s">
        <v>2396</v>
      </c>
      <c r="L1292" s="105" t="str">
        <f t="shared" si="220"/>
        <v>Ghent</v>
      </c>
      <c r="M1292" s="105" t="str">
        <f t="shared" si="221"/>
        <v>Derate</v>
      </c>
      <c r="N1292" s="105" t="str">
        <f t="shared" si="222"/>
        <v>Coal</v>
      </c>
      <c r="O1292" s="105">
        <f>IFERROR(VLOOKUP(A1292,Lookup!$J$5:$P$19,7,FALSE),0)</f>
        <v>3</v>
      </c>
      <c r="P1292" s="159">
        <f t="shared" si="223"/>
        <v>2014</v>
      </c>
      <c r="Q1292" s="159">
        <f t="shared" si="224"/>
        <v>7</v>
      </c>
      <c r="R1292" s="160">
        <f t="shared" si="225"/>
        <v>2.1166666665812954</v>
      </c>
      <c r="S1292" s="158">
        <f t="shared" si="226"/>
        <v>0.24423076922091871</v>
      </c>
      <c r="T1292" s="161">
        <f t="shared" si="227"/>
        <v>118.6961538413665</v>
      </c>
      <c r="U1292" s="158">
        <f t="shared" si="228"/>
        <v>56.07692307692308</v>
      </c>
      <c r="V1292" s="160">
        <f t="shared" si="229"/>
        <v>56</v>
      </c>
    </row>
    <row r="1293" spans="1:22" x14ac:dyDescent="0.25">
      <c r="A1293" s="98" t="s">
        <v>27</v>
      </c>
      <c r="B1293" s="98" t="s">
        <v>15</v>
      </c>
      <c r="C1293" s="98">
        <v>45</v>
      </c>
      <c r="D1293" s="98">
        <v>3416</v>
      </c>
      <c r="E1293" s="157">
        <v>41843.375</v>
      </c>
      <c r="F1293" s="157">
        <v>41843.606249999997</v>
      </c>
      <c r="G1293" s="98">
        <v>0</v>
      </c>
      <c r="H1293" s="98">
        <v>520</v>
      </c>
      <c r="I1293" s="98">
        <v>486</v>
      </c>
      <c r="J1293" s="98" t="s">
        <v>2164</v>
      </c>
      <c r="K1293" s="98" t="s">
        <v>2397</v>
      </c>
      <c r="L1293" s="105" t="str">
        <f t="shared" si="220"/>
        <v>Ghent</v>
      </c>
      <c r="M1293" s="105" t="str">
        <f t="shared" si="221"/>
        <v>Outage</v>
      </c>
      <c r="N1293" s="105" t="str">
        <f t="shared" si="222"/>
        <v>Coal</v>
      </c>
      <c r="O1293" s="105">
        <f>IFERROR(VLOOKUP(A1293,Lookup!$J$5:$P$19,7,FALSE),0)</f>
        <v>3</v>
      </c>
      <c r="P1293" s="159">
        <f t="shared" si="223"/>
        <v>2014</v>
      </c>
      <c r="Q1293" s="159">
        <f t="shared" si="224"/>
        <v>7</v>
      </c>
      <c r="R1293" s="160">
        <f t="shared" si="225"/>
        <v>5.5499999999301508</v>
      </c>
      <c r="S1293" s="158">
        <f t="shared" si="226"/>
        <v>5.5499999999301508</v>
      </c>
      <c r="T1293" s="161">
        <f t="shared" si="227"/>
        <v>2697.2999999660533</v>
      </c>
      <c r="U1293" s="158">
        <f t="shared" si="228"/>
        <v>486</v>
      </c>
      <c r="V1293" s="160">
        <f t="shared" si="229"/>
        <v>486</v>
      </c>
    </row>
    <row r="1294" spans="1:22" x14ac:dyDescent="0.25">
      <c r="A1294" s="98" t="s">
        <v>27</v>
      </c>
      <c r="B1294" s="98" t="s">
        <v>17</v>
      </c>
      <c r="C1294" s="98">
        <v>46</v>
      </c>
      <c r="D1294" s="98">
        <v>1850</v>
      </c>
      <c r="E1294" s="157">
        <v>41843.857638888891</v>
      </c>
      <c r="F1294" s="157">
        <v>41843.930555555555</v>
      </c>
      <c r="G1294" s="98">
        <v>450</v>
      </c>
      <c r="H1294" s="98">
        <v>520</v>
      </c>
      <c r="I1294" s="98">
        <v>486</v>
      </c>
      <c r="J1294" s="98" t="s">
        <v>2263</v>
      </c>
      <c r="K1294" s="98" t="s">
        <v>2398</v>
      </c>
      <c r="L1294" s="105" t="str">
        <f t="shared" si="220"/>
        <v>Ghent</v>
      </c>
      <c r="M1294" s="105" t="str">
        <f t="shared" si="221"/>
        <v>Derate</v>
      </c>
      <c r="N1294" s="105" t="str">
        <f t="shared" si="222"/>
        <v>Coal</v>
      </c>
      <c r="O1294" s="105">
        <f>IFERROR(VLOOKUP(A1294,Lookup!$J$5:$P$19,7,FALSE),0)</f>
        <v>3</v>
      </c>
      <c r="P1294" s="159">
        <f t="shared" si="223"/>
        <v>2014</v>
      </c>
      <c r="Q1294" s="159">
        <f t="shared" si="224"/>
        <v>7</v>
      </c>
      <c r="R1294" s="160">
        <f t="shared" si="225"/>
        <v>1.7499999999417923</v>
      </c>
      <c r="S1294" s="158">
        <f t="shared" si="226"/>
        <v>0.23557692306908742</v>
      </c>
      <c r="T1294" s="161">
        <f t="shared" si="227"/>
        <v>114.49038461157649</v>
      </c>
      <c r="U1294" s="158">
        <f t="shared" si="228"/>
        <v>65.42307692307692</v>
      </c>
      <c r="V1294" s="160">
        <f t="shared" si="229"/>
        <v>65</v>
      </c>
    </row>
    <row r="1295" spans="1:22" x14ac:dyDescent="0.25">
      <c r="A1295" s="98" t="s">
        <v>27</v>
      </c>
      <c r="B1295" s="98" t="s">
        <v>17</v>
      </c>
      <c r="C1295" s="98">
        <v>47</v>
      </c>
      <c r="D1295" s="98">
        <v>320</v>
      </c>
      <c r="E1295" s="157">
        <v>41847.348611111112</v>
      </c>
      <c r="F1295" s="157">
        <v>41847.388888888891</v>
      </c>
      <c r="G1295" s="98">
        <v>460</v>
      </c>
      <c r="H1295" s="98">
        <v>520</v>
      </c>
      <c r="I1295" s="98">
        <v>486</v>
      </c>
      <c r="J1295" s="98" t="s">
        <v>1992</v>
      </c>
      <c r="K1295" s="98" t="s">
        <v>2399</v>
      </c>
      <c r="L1295" s="105" t="str">
        <f t="shared" si="220"/>
        <v>Ghent</v>
      </c>
      <c r="M1295" s="105" t="str">
        <f t="shared" si="221"/>
        <v>Derate</v>
      </c>
      <c r="N1295" s="105" t="str">
        <f t="shared" si="222"/>
        <v>Coal</v>
      </c>
      <c r="O1295" s="105">
        <f>IFERROR(VLOOKUP(A1295,Lookup!$J$5:$P$19,7,FALSE),0)</f>
        <v>3</v>
      </c>
      <c r="P1295" s="159">
        <f t="shared" si="223"/>
        <v>2014</v>
      </c>
      <c r="Q1295" s="159">
        <f t="shared" si="224"/>
        <v>7</v>
      </c>
      <c r="R1295" s="160">
        <f t="shared" si="225"/>
        <v>0.96666666667442769</v>
      </c>
      <c r="S1295" s="158">
        <f t="shared" si="226"/>
        <v>0.11153846153935704</v>
      </c>
      <c r="T1295" s="161">
        <f t="shared" si="227"/>
        <v>54.20769230812752</v>
      </c>
      <c r="U1295" s="158">
        <f t="shared" si="228"/>
        <v>56.07692307692308</v>
      </c>
      <c r="V1295" s="160">
        <f t="shared" si="229"/>
        <v>56</v>
      </c>
    </row>
    <row r="1296" spans="1:22" x14ac:dyDescent="0.25">
      <c r="A1296" s="98" t="s">
        <v>27</v>
      </c>
      <c r="B1296" s="98" t="s">
        <v>17</v>
      </c>
      <c r="C1296" s="98">
        <v>48</v>
      </c>
      <c r="D1296" s="98">
        <v>250</v>
      </c>
      <c r="E1296" s="157">
        <v>41847.420138888891</v>
      </c>
      <c r="F1296" s="157">
        <v>41847.534722222219</v>
      </c>
      <c r="G1296" s="98">
        <v>460</v>
      </c>
      <c r="H1296" s="98">
        <v>520</v>
      </c>
      <c r="I1296" s="98">
        <v>486</v>
      </c>
      <c r="J1296" s="98" t="s">
        <v>1978</v>
      </c>
      <c r="K1296" s="98" t="s">
        <v>2400</v>
      </c>
      <c r="L1296" s="105" t="str">
        <f t="shared" si="220"/>
        <v>Ghent</v>
      </c>
      <c r="M1296" s="105" t="str">
        <f t="shared" si="221"/>
        <v>Derate</v>
      </c>
      <c r="N1296" s="105" t="str">
        <f t="shared" si="222"/>
        <v>Coal</v>
      </c>
      <c r="O1296" s="105">
        <f>IFERROR(VLOOKUP(A1296,Lookup!$J$5:$P$19,7,FALSE),0)</f>
        <v>3</v>
      </c>
      <c r="P1296" s="159">
        <f t="shared" si="223"/>
        <v>2014</v>
      </c>
      <c r="Q1296" s="159">
        <f t="shared" si="224"/>
        <v>7</v>
      </c>
      <c r="R1296" s="160">
        <f t="shared" si="225"/>
        <v>2.7499999998835847</v>
      </c>
      <c r="S1296" s="158">
        <f t="shared" si="226"/>
        <v>0.31730769229425976</v>
      </c>
      <c r="T1296" s="161">
        <f t="shared" si="227"/>
        <v>154.21153845501024</v>
      </c>
      <c r="U1296" s="158">
        <f t="shared" si="228"/>
        <v>56.07692307692308</v>
      </c>
      <c r="V1296" s="160">
        <f t="shared" si="229"/>
        <v>56</v>
      </c>
    </row>
    <row r="1297" spans="1:22" x14ac:dyDescent="0.25">
      <c r="A1297" s="98" t="s">
        <v>27</v>
      </c>
      <c r="B1297" s="98" t="s">
        <v>32</v>
      </c>
      <c r="C1297" s="98">
        <v>49</v>
      </c>
      <c r="D1297" s="98">
        <v>3682</v>
      </c>
      <c r="E1297" s="157">
        <v>41849.208333333336</v>
      </c>
      <c r="F1297" s="157">
        <v>41849.697222222225</v>
      </c>
      <c r="G1297" s="98">
        <v>250</v>
      </c>
      <c r="H1297" s="98">
        <v>520</v>
      </c>
      <c r="I1297" s="98">
        <v>486</v>
      </c>
      <c r="J1297" s="98" t="s">
        <v>2401</v>
      </c>
      <c r="K1297" s="98" t="s">
        <v>2402</v>
      </c>
      <c r="L1297" s="105" t="str">
        <f t="shared" si="220"/>
        <v>Ghent</v>
      </c>
      <c r="M1297" s="105" t="str">
        <f t="shared" si="221"/>
        <v>Derate</v>
      </c>
      <c r="N1297" s="105" t="str">
        <f t="shared" si="222"/>
        <v>Coal</v>
      </c>
      <c r="O1297" s="105">
        <f>IFERROR(VLOOKUP(A1297,Lookup!$J$5:$P$19,7,FALSE),0)</f>
        <v>3</v>
      </c>
      <c r="P1297" s="159">
        <f t="shared" si="223"/>
        <v>2014</v>
      </c>
      <c r="Q1297" s="159">
        <f t="shared" si="224"/>
        <v>7</v>
      </c>
      <c r="R1297" s="160">
        <f t="shared" si="225"/>
        <v>11.733333333337214</v>
      </c>
      <c r="S1297" s="158">
        <f t="shared" si="226"/>
        <v>6.0923076923097073</v>
      </c>
      <c r="T1297" s="161">
        <f t="shared" si="227"/>
        <v>2960.8615384625177</v>
      </c>
      <c r="U1297" s="158">
        <f t="shared" si="228"/>
        <v>252.34615384615384</v>
      </c>
      <c r="V1297" s="160">
        <f t="shared" si="229"/>
        <v>252</v>
      </c>
    </row>
    <row r="1298" spans="1:22" x14ac:dyDescent="0.25">
      <c r="A1298" s="98" t="s">
        <v>27</v>
      </c>
      <c r="B1298" s="98" t="s">
        <v>17</v>
      </c>
      <c r="C1298" s="98">
        <v>50</v>
      </c>
      <c r="D1298" s="98">
        <v>344</v>
      </c>
      <c r="E1298" s="157">
        <v>41851.590277777781</v>
      </c>
      <c r="F1298" s="157">
        <v>41851.658333333333</v>
      </c>
      <c r="G1298" s="98">
        <v>480</v>
      </c>
      <c r="H1298" s="98">
        <v>520</v>
      </c>
      <c r="I1298" s="98">
        <v>486</v>
      </c>
      <c r="J1298" s="98" t="s">
        <v>1968</v>
      </c>
      <c r="K1298" s="98" t="s">
        <v>2403</v>
      </c>
      <c r="L1298" s="105" t="str">
        <f t="shared" si="220"/>
        <v>Ghent</v>
      </c>
      <c r="M1298" s="105" t="str">
        <f t="shared" si="221"/>
        <v>Derate</v>
      </c>
      <c r="N1298" s="105" t="str">
        <f t="shared" si="222"/>
        <v>Coal</v>
      </c>
      <c r="O1298" s="105">
        <f>IFERROR(VLOOKUP(A1298,Lookup!$J$5:$P$19,7,FALSE),0)</f>
        <v>3</v>
      </c>
      <c r="P1298" s="159">
        <f t="shared" si="223"/>
        <v>2014</v>
      </c>
      <c r="Q1298" s="159">
        <f t="shared" si="224"/>
        <v>7</v>
      </c>
      <c r="R1298" s="160">
        <f t="shared" si="225"/>
        <v>1.6333333332440816</v>
      </c>
      <c r="S1298" s="158">
        <f t="shared" si="226"/>
        <v>0.12564102563416013</v>
      </c>
      <c r="T1298" s="161">
        <f t="shared" si="227"/>
        <v>61.061538458201824</v>
      </c>
      <c r="U1298" s="158">
        <f t="shared" si="228"/>
        <v>37.384615384615387</v>
      </c>
      <c r="V1298" s="160">
        <f t="shared" si="229"/>
        <v>37</v>
      </c>
    </row>
    <row r="1299" spans="1:22" x14ac:dyDescent="0.25">
      <c r="A1299" s="98" t="s">
        <v>27</v>
      </c>
      <c r="B1299" s="98" t="s">
        <v>17</v>
      </c>
      <c r="C1299" s="98">
        <v>51</v>
      </c>
      <c r="D1299" s="98">
        <v>340</v>
      </c>
      <c r="E1299" s="157">
        <v>41853.818055555559</v>
      </c>
      <c r="F1299" s="157">
        <v>41854.274305555555</v>
      </c>
      <c r="G1299" s="98">
        <v>460</v>
      </c>
      <c r="H1299" s="98">
        <v>520</v>
      </c>
      <c r="I1299" s="98">
        <v>486</v>
      </c>
      <c r="J1299" s="98" t="s">
        <v>1970</v>
      </c>
      <c r="K1299" s="98" t="s">
        <v>2404</v>
      </c>
      <c r="L1299" s="105" t="str">
        <f t="shared" si="220"/>
        <v>Ghent</v>
      </c>
      <c r="M1299" s="105" t="str">
        <f t="shared" si="221"/>
        <v>Derate</v>
      </c>
      <c r="N1299" s="105" t="str">
        <f t="shared" si="222"/>
        <v>Coal</v>
      </c>
      <c r="O1299" s="105">
        <f>IFERROR(VLOOKUP(A1299,Lookup!$J$5:$P$19,7,FALSE),0)</f>
        <v>3</v>
      </c>
      <c r="P1299" s="159">
        <f t="shared" si="223"/>
        <v>2014</v>
      </c>
      <c r="Q1299" s="159">
        <f t="shared" si="224"/>
        <v>8</v>
      </c>
      <c r="R1299" s="160">
        <f t="shared" si="225"/>
        <v>10.949999999895226</v>
      </c>
      <c r="S1299" s="158">
        <f t="shared" si="226"/>
        <v>1.2634615384494492</v>
      </c>
      <c r="T1299" s="161">
        <f t="shared" si="227"/>
        <v>614.04230768643231</v>
      </c>
      <c r="U1299" s="158">
        <f t="shared" si="228"/>
        <v>56.07692307692308</v>
      </c>
      <c r="V1299" s="160">
        <f t="shared" si="229"/>
        <v>56</v>
      </c>
    </row>
    <row r="1300" spans="1:22" x14ac:dyDescent="0.25">
      <c r="A1300" s="98" t="s">
        <v>27</v>
      </c>
      <c r="B1300" s="98" t="s">
        <v>17</v>
      </c>
      <c r="C1300" s="98">
        <v>52</v>
      </c>
      <c r="D1300" s="98">
        <v>340</v>
      </c>
      <c r="E1300" s="157">
        <v>41860.977777777778</v>
      </c>
      <c r="F1300" s="157">
        <v>41861.072222222225</v>
      </c>
      <c r="G1300" s="98">
        <v>480</v>
      </c>
      <c r="H1300" s="98">
        <v>520</v>
      </c>
      <c r="I1300" s="98">
        <v>486</v>
      </c>
      <c r="J1300" s="98" t="s">
        <v>1970</v>
      </c>
      <c r="K1300" s="98" t="s">
        <v>2405</v>
      </c>
      <c r="L1300" s="105" t="str">
        <f t="shared" si="220"/>
        <v>Ghent</v>
      </c>
      <c r="M1300" s="105" t="str">
        <f t="shared" si="221"/>
        <v>Derate</v>
      </c>
      <c r="N1300" s="105" t="str">
        <f t="shared" si="222"/>
        <v>Coal</v>
      </c>
      <c r="O1300" s="105">
        <f>IFERROR(VLOOKUP(A1300,Lookup!$J$5:$P$19,7,FALSE),0)</f>
        <v>3</v>
      </c>
      <c r="P1300" s="159">
        <f t="shared" si="223"/>
        <v>2014</v>
      </c>
      <c r="Q1300" s="159">
        <f t="shared" si="224"/>
        <v>8</v>
      </c>
      <c r="R1300" s="160">
        <f t="shared" si="225"/>
        <v>2.2666666667209938</v>
      </c>
      <c r="S1300" s="158">
        <f t="shared" si="226"/>
        <v>0.17435897436315337</v>
      </c>
      <c r="T1300" s="161">
        <f t="shared" si="227"/>
        <v>84.738461540492537</v>
      </c>
      <c r="U1300" s="158">
        <f t="shared" si="228"/>
        <v>37.384615384615387</v>
      </c>
      <c r="V1300" s="160">
        <f t="shared" si="229"/>
        <v>37</v>
      </c>
    </row>
    <row r="1301" spans="1:22" x14ac:dyDescent="0.25">
      <c r="A1301" s="98" t="s">
        <v>27</v>
      </c>
      <c r="B1301" s="98" t="s">
        <v>17</v>
      </c>
      <c r="C1301" s="98">
        <v>53</v>
      </c>
      <c r="D1301" s="98">
        <v>340</v>
      </c>
      <c r="E1301" s="157">
        <v>41861.875</v>
      </c>
      <c r="F1301" s="157">
        <v>41862.080555555556</v>
      </c>
      <c r="G1301" s="98">
        <v>480</v>
      </c>
      <c r="H1301" s="98">
        <v>520</v>
      </c>
      <c r="I1301" s="98">
        <v>486</v>
      </c>
      <c r="J1301" s="98" t="s">
        <v>1970</v>
      </c>
      <c r="K1301" s="98" t="s">
        <v>2406</v>
      </c>
      <c r="L1301" s="105" t="str">
        <f t="shared" si="220"/>
        <v>Ghent</v>
      </c>
      <c r="M1301" s="105" t="str">
        <f t="shared" si="221"/>
        <v>Derate</v>
      </c>
      <c r="N1301" s="105" t="str">
        <f t="shared" si="222"/>
        <v>Coal</v>
      </c>
      <c r="O1301" s="105">
        <f>IFERROR(VLOOKUP(A1301,Lookup!$J$5:$P$19,7,FALSE),0)</f>
        <v>3</v>
      </c>
      <c r="P1301" s="159">
        <f t="shared" si="223"/>
        <v>2014</v>
      </c>
      <c r="Q1301" s="159">
        <f t="shared" si="224"/>
        <v>8</v>
      </c>
      <c r="R1301" s="160">
        <f t="shared" si="225"/>
        <v>4.9333333333488554</v>
      </c>
      <c r="S1301" s="158">
        <f t="shared" si="226"/>
        <v>0.37948717948837352</v>
      </c>
      <c r="T1301" s="161">
        <f t="shared" si="227"/>
        <v>184.43076923134953</v>
      </c>
      <c r="U1301" s="158">
        <f t="shared" si="228"/>
        <v>37.384615384615387</v>
      </c>
      <c r="V1301" s="160">
        <f t="shared" si="229"/>
        <v>37</v>
      </c>
    </row>
    <row r="1302" spans="1:22" x14ac:dyDescent="0.25">
      <c r="A1302" s="98" t="s">
        <v>27</v>
      </c>
      <c r="B1302" s="98" t="s">
        <v>17</v>
      </c>
      <c r="C1302" s="98">
        <v>54</v>
      </c>
      <c r="D1302" s="98">
        <v>344</v>
      </c>
      <c r="E1302" s="157">
        <v>41864.458333333336</v>
      </c>
      <c r="F1302" s="157">
        <v>41864.554166666669</v>
      </c>
      <c r="G1302" s="98">
        <v>460</v>
      </c>
      <c r="H1302" s="98">
        <v>520</v>
      </c>
      <c r="I1302" s="98">
        <v>486</v>
      </c>
      <c r="J1302" s="98" t="s">
        <v>1968</v>
      </c>
      <c r="K1302" s="98" t="s">
        <v>2407</v>
      </c>
      <c r="L1302" s="105" t="str">
        <f t="shared" si="220"/>
        <v>Ghent</v>
      </c>
      <c r="M1302" s="105" t="str">
        <f t="shared" si="221"/>
        <v>Derate</v>
      </c>
      <c r="N1302" s="105" t="str">
        <f t="shared" si="222"/>
        <v>Coal</v>
      </c>
      <c r="O1302" s="105">
        <f>IFERROR(VLOOKUP(A1302,Lookup!$J$5:$P$19,7,FALSE),0)</f>
        <v>3</v>
      </c>
      <c r="P1302" s="159">
        <f t="shared" si="223"/>
        <v>2014</v>
      </c>
      <c r="Q1302" s="159">
        <f t="shared" si="224"/>
        <v>8</v>
      </c>
      <c r="R1302" s="160">
        <f t="shared" si="225"/>
        <v>2.2999999999883585</v>
      </c>
      <c r="S1302" s="158">
        <f t="shared" si="226"/>
        <v>0.26538461538327213</v>
      </c>
      <c r="T1302" s="161">
        <f t="shared" si="227"/>
        <v>128.97692307627025</v>
      </c>
      <c r="U1302" s="158">
        <f t="shared" si="228"/>
        <v>56.07692307692308</v>
      </c>
      <c r="V1302" s="160">
        <f t="shared" si="229"/>
        <v>56</v>
      </c>
    </row>
    <row r="1303" spans="1:22" x14ac:dyDescent="0.25">
      <c r="A1303" s="98" t="s">
        <v>27</v>
      </c>
      <c r="B1303" s="98" t="s">
        <v>32</v>
      </c>
      <c r="C1303" s="98">
        <v>55</v>
      </c>
      <c r="D1303" s="98">
        <v>250</v>
      </c>
      <c r="E1303" s="157">
        <v>41865.916666666664</v>
      </c>
      <c r="F1303" s="157">
        <v>41865.989583333336</v>
      </c>
      <c r="G1303" s="98">
        <v>460</v>
      </c>
      <c r="H1303" s="98">
        <v>520</v>
      </c>
      <c r="I1303" s="98">
        <v>486</v>
      </c>
      <c r="J1303" s="98" t="s">
        <v>1978</v>
      </c>
      <c r="K1303" s="98" t="s">
        <v>2408</v>
      </c>
      <c r="L1303" s="105" t="str">
        <f t="shared" si="220"/>
        <v>Ghent</v>
      </c>
      <c r="M1303" s="105" t="str">
        <f t="shared" si="221"/>
        <v>Derate</v>
      </c>
      <c r="N1303" s="105" t="str">
        <f t="shared" si="222"/>
        <v>Coal</v>
      </c>
      <c r="O1303" s="105">
        <f>IFERROR(VLOOKUP(A1303,Lookup!$J$5:$P$19,7,FALSE),0)</f>
        <v>3</v>
      </c>
      <c r="P1303" s="159">
        <f t="shared" si="223"/>
        <v>2014</v>
      </c>
      <c r="Q1303" s="159">
        <f t="shared" si="224"/>
        <v>8</v>
      </c>
      <c r="R1303" s="160">
        <f t="shared" si="225"/>
        <v>1.7500000001164153</v>
      </c>
      <c r="S1303" s="158">
        <f t="shared" si="226"/>
        <v>0.20192307693650946</v>
      </c>
      <c r="T1303" s="161">
        <f t="shared" si="227"/>
        <v>98.134615391143598</v>
      </c>
      <c r="U1303" s="158">
        <f t="shared" si="228"/>
        <v>56.07692307692308</v>
      </c>
      <c r="V1303" s="160">
        <f t="shared" si="229"/>
        <v>56</v>
      </c>
    </row>
    <row r="1304" spans="1:22" x14ac:dyDescent="0.25">
      <c r="A1304" s="98" t="s">
        <v>27</v>
      </c>
      <c r="B1304" s="98" t="s">
        <v>32</v>
      </c>
      <c r="C1304" s="98">
        <v>56</v>
      </c>
      <c r="D1304" s="98">
        <v>340</v>
      </c>
      <c r="E1304" s="157">
        <v>41874.916666666664</v>
      </c>
      <c r="F1304" s="157">
        <v>41875.041666666664</v>
      </c>
      <c r="G1304" s="98">
        <v>460</v>
      </c>
      <c r="H1304" s="98">
        <v>520</v>
      </c>
      <c r="I1304" s="98">
        <v>486</v>
      </c>
      <c r="J1304" s="98" t="s">
        <v>1970</v>
      </c>
      <c r="K1304" s="98" t="s">
        <v>2409</v>
      </c>
      <c r="L1304" s="105" t="str">
        <f t="shared" si="220"/>
        <v>Ghent</v>
      </c>
      <c r="M1304" s="105" t="str">
        <f t="shared" si="221"/>
        <v>Derate</v>
      </c>
      <c r="N1304" s="105" t="str">
        <f t="shared" si="222"/>
        <v>Coal</v>
      </c>
      <c r="O1304" s="105">
        <f>IFERROR(VLOOKUP(A1304,Lookup!$J$5:$P$19,7,FALSE),0)</f>
        <v>3</v>
      </c>
      <c r="P1304" s="159">
        <f t="shared" si="223"/>
        <v>2014</v>
      </c>
      <c r="Q1304" s="159">
        <f t="shared" si="224"/>
        <v>8</v>
      </c>
      <c r="R1304" s="160">
        <f t="shared" si="225"/>
        <v>3</v>
      </c>
      <c r="S1304" s="158">
        <f t="shared" si="226"/>
        <v>0.34615384615384615</v>
      </c>
      <c r="T1304" s="161">
        <f t="shared" si="227"/>
        <v>168.23076923076923</v>
      </c>
      <c r="U1304" s="158">
        <f t="shared" si="228"/>
        <v>56.07692307692308</v>
      </c>
      <c r="V1304" s="160">
        <f t="shared" si="229"/>
        <v>56</v>
      </c>
    </row>
    <row r="1305" spans="1:22" x14ac:dyDescent="0.25">
      <c r="A1305" s="98" t="s">
        <v>27</v>
      </c>
      <c r="B1305" s="98" t="s">
        <v>17</v>
      </c>
      <c r="C1305" s="98">
        <v>57</v>
      </c>
      <c r="D1305" s="98">
        <v>320</v>
      </c>
      <c r="E1305" s="157">
        <v>41879.643750000003</v>
      </c>
      <c r="F1305" s="157">
        <v>41879.818055555559</v>
      </c>
      <c r="G1305" s="98">
        <v>460</v>
      </c>
      <c r="H1305" s="98">
        <v>520</v>
      </c>
      <c r="I1305" s="98">
        <v>486</v>
      </c>
      <c r="J1305" s="98" t="s">
        <v>1992</v>
      </c>
      <c r="K1305" s="98" t="s">
        <v>2410</v>
      </c>
      <c r="L1305" s="105" t="str">
        <f t="shared" si="220"/>
        <v>Ghent</v>
      </c>
      <c r="M1305" s="105" t="str">
        <f t="shared" si="221"/>
        <v>Derate</v>
      </c>
      <c r="N1305" s="105" t="str">
        <f t="shared" si="222"/>
        <v>Coal</v>
      </c>
      <c r="O1305" s="105">
        <f>IFERROR(VLOOKUP(A1305,Lookup!$J$5:$P$19,7,FALSE),0)</f>
        <v>3</v>
      </c>
      <c r="P1305" s="159">
        <f t="shared" si="223"/>
        <v>2014</v>
      </c>
      <c r="Q1305" s="159">
        <f t="shared" si="224"/>
        <v>8</v>
      </c>
      <c r="R1305" s="160">
        <f t="shared" si="225"/>
        <v>4.1833333333488554</v>
      </c>
      <c r="S1305" s="158">
        <f t="shared" si="226"/>
        <v>0.48269230769409871</v>
      </c>
      <c r="T1305" s="161">
        <f t="shared" si="227"/>
        <v>234.58846153933197</v>
      </c>
      <c r="U1305" s="158">
        <f t="shared" si="228"/>
        <v>56.07692307692308</v>
      </c>
      <c r="V1305" s="160">
        <f t="shared" si="229"/>
        <v>56</v>
      </c>
    </row>
    <row r="1306" spans="1:22" x14ac:dyDescent="0.25">
      <c r="A1306" s="98" t="s">
        <v>27</v>
      </c>
      <c r="B1306" s="98" t="s">
        <v>17</v>
      </c>
      <c r="C1306" s="98">
        <v>58</v>
      </c>
      <c r="D1306" s="98">
        <v>350</v>
      </c>
      <c r="E1306" s="157">
        <v>41884.751388888886</v>
      </c>
      <c r="F1306" s="157">
        <v>41884.821527777778</v>
      </c>
      <c r="G1306" s="98">
        <v>460</v>
      </c>
      <c r="H1306" s="98">
        <v>520</v>
      </c>
      <c r="I1306" s="98">
        <v>486</v>
      </c>
      <c r="J1306" s="98" t="s">
        <v>1976</v>
      </c>
      <c r="K1306" s="98" t="s">
        <v>2411</v>
      </c>
      <c r="L1306" s="105" t="str">
        <f t="shared" si="220"/>
        <v>Ghent</v>
      </c>
      <c r="M1306" s="105" t="str">
        <f t="shared" si="221"/>
        <v>Derate</v>
      </c>
      <c r="N1306" s="105" t="str">
        <f t="shared" si="222"/>
        <v>Coal</v>
      </c>
      <c r="O1306" s="105">
        <f>IFERROR(VLOOKUP(A1306,Lookup!$J$5:$P$19,7,FALSE),0)</f>
        <v>3</v>
      </c>
      <c r="P1306" s="159">
        <f t="shared" si="223"/>
        <v>2014</v>
      </c>
      <c r="Q1306" s="159">
        <f t="shared" si="224"/>
        <v>9</v>
      </c>
      <c r="R1306" s="160">
        <f t="shared" si="225"/>
        <v>1.683333333407063</v>
      </c>
      <c r="S1306" s="158">
        <f t="shared" si="226"/>
        <v>0.19423076923927651</v>
      </c>
      <c r="T1306" s="161">
        <f t="shared" si="227"/>
        <v>94.396153850288385</v>
      </c>
      <c r="U1306" s="158">
        <f t="shared" si="228"/>
        <v>56.07692307692308</v>
      </c>
      <c r="V1306" s="160">
        <f t="shared" si="229"/>
        <v>56</v>
      </c>
    </row>
    <row r="1307" spans="1:22" x14ac:dyDescent="0.25">
      <c r="A1307" s="98" t="s">
        <v>27</v>
      </c>
      <c r="B1307" s="98" t="s">
        <v>17</v>
      </c>
      <c r="C1307" s="98">
        <v>60</v>
      </c>
      <c r="D1307" s="98">
        <v>350</v>
      </c>
      <c r="E1307" s="157">
        <v>41884.821527777778</v>
      </c>
      <c r="F1307" s="157">
        <v>41885.448611111111</v>
      </c>
      <c r="G1307" s="98">
        <v>460</v>
      </c>
      <c r="H1307" s="98">
        <v>520</v>
      </c>
      <c r="I1307" s="98">
        <v>486</v>
      </c>
      <c r="J1307" s="98" t="s">
        <v>1976</v>
      </c>
      <c r="K1307" s="98" t="s">
        <v>2412</v>
      </c>
      <c r="L1307" s="105" t="str">
        <f t="shared" si="220"/>
        <v>Ghent</v>
      </c>
      <c r="M1307" s="105" t="str">
        <f t="shared" si="221"/>
        <v>Derate</v>
      </c>
      <c r="N1307" s="105" t="str">
        <f t="shared" si="222"/>
        <v>Coal</v>
      </c>
      <c r="O1307" s="105">
        <f>IFERROR(VLOOKUP(A1307,Lookup!$J$5:$P$19,7,FALSE),0)</f>
        <v>3</v>
      </c>
      <c r="P1307" s="159">
        <f t="shared" si="223"/>
        <v>2014</v>
      </c>
      <c r="Q1307" s="159">
        <f t="shared" si="224"/>
        <v>9</v>
      </c>
      <c r="R1307" s="160">
        <f t="shared" si="225"/>
        <v>15.049999999988358</v>
      </c>
      <c r="S1307" s="158">
        <f t="shared" si="226"/>
        <v>1.7365384615371182</v>
      </c>
      <c r="T1307" s="161">
        <f t="shared" si="227"/>
        <v>843.95769230703945</v>
      </c>
      <c r="U1307" s="158">
        <f t="shared" si="228"/>
        <v>56.07692307692308</v>
      </c>
      <c r="V1307" s="160">
        <f t="shared" si="229"/>
        <v>56</v>
      </c>
    </row>
    <row r="1308" spans="1:22" x14ac:dyDescent="0.25">
      <c r="A1308" s="98" t="s">
        <v>27</v>
      </c>
      <c r="B1308" s="98" t="s">
        <v>17</v>
      </c>
      <c r="C1308" s="98">
        <v>61</v>
      </c>
      <c r="D1308" s="98">
        <v>9650</v>
      </c>
      <c r="E1308" s="157">
        <v>41885.866666666669</v>
      </c>
      <c r="F1308" s="157">
        <v>41885.919444444444</v>
      </c>
      <c r="G1308" s="98">
        <v>450</v>
      </c>
      <c r="H1308" s="98">
        <v>520</v>
      </c>
      <c r="I1308" s="98">
        <v>486</v>
      </c>
      <c r="J1308" s="98" t="s">
        <v>2035</v>
      </c>
      <c r="K1308" s="98" t="s">
        <v>2413</v>
      </c>
      <c r="L1308" s="105" t="str">
        <f t="shared" si="220"/>
        <v>Ghent</v>
      </c>
      <c r="M1308" s="105" t="str">
        <f t="shared" si="221"/>
        <v>Derate</v>
      </c>
      <c r="N1308" s="105" t="str">
        <f t="shared" si="222"/>
        <v>Coal</v>
      </c>
      <c r="O1308" s="105">
        <f>IFERROR(VLOOKUP(A1308,Lookup!$J$5:$P$19,7,FALSE),0)</f>
        <v>3</v>
      </c>
      <c r="P1308" s="159">
        <f t="shared" si="223"/>
        <v>2014</v>
      </c>
      <c r="Q1308" s="159">
        <f t="shared" si="224"/>
        <v>9</v>
      </c>
      <c r="R1308" s="160">
        <f t="shared" si="225"/>
        <v>1.2666666666045785</v>
      </c>
      <c r="S1308" s="158">
        <f t="shared" si="226"/>
        <v>0.17051282050446248</v>
      </c>
      <c r="T1308" s="161">
        <f t="shared" si="227"/>
        <v>82.869230765168766</v>
      </c>
      <c r="U1308" s="158">
        <f t="shared" si="228"/>
        <v>65.42307692307692</v>
      </c>
      <c r="V1308" s="160">
        <f t="shared" si="229"/>
        <v>65</v>
      </c>
    </row>
    <row r="1309" spans="1:22" x14ac:dyDescent="0.25">
      <c r="A1309" s="98" t="s">
        <v>27</v>
      </c>
      <c r="B1309" s="98" t="s">
        <v>17</v>
      </c>
      <c r="C1309" s="98">
        <v>62</v>
      </c>
      <c r="D1309" s="98">
        <v>9650</v>
      </c>
      <c r="E1309" s="157">
        <v>41886.72152777778</v>
      </c>
      <c r="F1309" s="157">
        <v>41886.793055555558</v>
      </c>
      <c r="G1309" s="98">
        <v>460</v>
      </c>
      <c r="H1309" s="98">
        <v>520</v>
      </c>
      <c r="I1309" s="98">
        <v>486</v>
      </c>
      <c r="J1309" s="98" t="s">
        <v>2035</v>
      </c>
      <c r="K1309" s="98" t="s">
        <v>2414</v>
      </c>
      <c r="L1309" s="105" t="str">
        <f t="shared" si="220"/>
        <v>Ghent</v>
      </c>
      <c r="M1309" s="105" t="str">
        <f t="shared" si="221"/>
        <v>Derate</v>
      </c>
      <c r="N1309" s="105" t="str">
        <f t="shared" si="222"/>
        <v>Coal</v>
      </c>
      <c r="O1309" s="105">
        <f>IFERROR(VLOOKUP(A1309,Lookup!$J$5:$P$19,7,FALSE),0)</f>
        <v>3</v>
      </c>
      <c r="P1309" s="159">
        <f t="shared" si="223"/>
        <v>2014</v>
      </c>
      <c r="Q1309" s="159">
        <f t="shared" si="224"/>
        <v>9</v>
      </c>
      <c r="R1309" s="160">
        <f t="shared" si="225"/>
        <v>1.7166666666744277</v>
      </c>
      <c r="S1309" s="158">
        <f t="shared" si="226"/>
        <v>0.19807692307781857</v>
      </c>
      <c r="T1309" s="161">
        <f t="shared" si="227"/>
        <v>96.265384615819826</v>
      </c>
      <c r="U1309" s="158">
        <f t="shared" si="228"/>
        <v>56.07692307692308</v>
      </c>
      <c r="V1309" s="160">
        <f t="shared" si="229"/>
        <v>56</v>
      </c>
    </row>
    <row r="1310" spans="1:22" x14ac:dyDescent="0.25">
      <c r="A1310" s="98" t="s">
        <v>27</v>
      </c>
      <c r="B1310" s="98" t="s">
        <v>17</v>
      </c>
      <c r="C1310" s="98">
        <v>63</v>
      </c>
      <c r="D1310" s="98">
        <v>9650</v>
      </c>
      <c r="E1310" s="157">
        <v>41887.806944444441</v>
      </c>
      <c r="F1310" s="157">
        <v>41888.003472222219</v>
      </c>
      <c r="G1310" s="98">
        <v>417</v>
      </c>
      <c r="H1310" s="98">
        <v>520</v>
      </c>
      <c r="I1310" s="98">
        <v>486</v>
      </c>
      <c r="J1310" s="98" t="s">
        <v>2035</v>
      </c>
      <c r="K1310" s="98" t="s">
        <v>2415</v>
      </c>
      <c r="L1310" s="105" t="str">
        <f t="shared" si="220"/>
        <v>Ghent</v>
      </c>
      <c r="M1310" s="105" t="str">
        <f t="shared" si="221"/>
        <v>Derate</v>
      </c>
      <c r="N1310" s="105" t="str">
        <f t="shared" si="222"/>
        <v>Coal</v>
      </c>
      <c r="O1310" s="105">
        <f>IFERROR(VLOOKUP(A1310,Lookup!$J$5:$P$19,7,FALSE),0)</f>
        <v>3</v>
      </c>
      <c r="P1310" s="159">
        <f t="shared" si="223"/>
        <v>2014</v>
      </c>
      <c r="Q1310" s="159">
        <f t="shared" si="224"/>
        <v>9</v>
      </c>
      <c r="R1310" s="160">
        <f t="shared" si="225"/>
        <v>4.7166666666744277</v>
      </c>
      <c r="S1310" s="158">
        <f t="shared" si="226"/>
        <v>0.93426282051435783</v>
      </c>
      <c r="T1310" s="161">
        <f t="shared" si="227"/>
        <v>454.05173076997789</v>
      </c>
      <c r="U1310" s="158">
        <f t="shared" si="228"/>
        <v>96.265384615384619</v>
      </c>
      <c r="V1310" s="160">
        <f t="shared" si="229"/>
        <v>96</v>
      </c>
    </row>
    <row r="1311" spans="1:22" x14ac:dyDescent="0.25">
      <c r="A1311" s="98" t="s">
        <v>27</v>
      </c>
      <c r="B1311" s="98" t="s">
        <v>17</v>
      </c>
      <c r="C1311" s="98">
        <v>64</v>
      </c>
      <c r="D1311" s="98">
        <v>320</v>
      </c>
      <c r="E1311" s="157">
        <v>41891.899305555555</v>
      </c>
      <c r="F1311" s="157">
        <v>41891.958333333336</v>
      </c>
      <c r="G1311" s="98">
        <v>460</v>
      </c>
      <c r="H1311" s="98">
        <v>520</v>
      </c>
      <c r="I1311" s="98">
        <v>486</v>
      </c>
      <c r="J1311" s="98" t="s">
        <v>1992</v>
      </c>
      <c r="K1311" s="98" t="s">
        <v>2416</v>
      </c>
      <c r="L1311" s="105" t="str">
        <f t="shared" si="220"/>
        <v>Ghent</v>
      </c>
      <c r="M1311" s="105" t="str">
        <f t="shared" si="221"/>
        <v>Derate</v>
      </c>
      <c r="N1311" s="105" t="str">
        <f t="shared" si="222"/>
        <v>Coal</v>
      </c>
      <c r="O1311" s="105">
        <f>IFERROR(VLOOKUP(A1311,Lookup!$J$5:$P$19,7,FALSE),0)</f>
        <v>3</v>
      </c>
      <c r="P1311" s="159">
        <f t="shared" si="223"/>
        <v>2014</v>
      </c>
      <c r="Q1311" s="159">
        <f t="shared" si="224"/>
        <v>9</v>
      </c>
      <c r="R1311" s="160">
        <f t="shared" si="225"/>
        <v>1.4166666667442769</v>
      </c>
      <c r="S1311" s="158">
        <f t="shared" si="226"/>
        <v>0.16346153847049349</v>
      </c>
      <c r="T1311" s="161">
        <f t="shared" si="227"/>
        <v>79.442307696659839</v>
      </c>
      <c r="U1311" s="158">
        <f t="shared" si="228"/>
        <v>56.07692307692308</v>
      </c>
      <c r="V1311" s="160">
        <f t="shared" si="229"/>
        <v>56</v>
      </c>
    </row>
    <row r="1312" spans="1:22" x14ac:dyDescent="0.25">
      <c r="A1312" s="98" t="s">
        <v>27</v>
      </c>
      <c r="B1312" s="98" t="s">
        <v>17</v>
      </c>
      <c r="C1312" s="98">
        <v>65</v>
      </c>
      <c r="D1312" s="98">
        <v>340</v>
      </c>
      <c r="E1312" s="157">
        <v>41892.406944444447</v>
      </c>
      <c r="F1312" s="157">
        <v>41892.604861111111</v>
      </c>
      <c r="G1312" s="98">
        <v>460</v>
      </c>
      <c r="H1312" s="98">
        <v>520</v>
      </c>
      <c r="I1312" s="98">
        <v>486</v>
      </c>
      <c r="J1312" s="98" t="s">
        <v>1970</v>
      </c>
      <c r="K1312" s="98" t="s">
        <v>2417</v>
      </c>
      <c r="L1312" s="105" t="str">
        <f t="shared" si="220"/>
        <v>Ghent</v>
      </c>
      <c r="M1312" s="105" t="str">
        <f t="shared" si="221"/>
        <v>Derate</v>
      </c>
      <c r="N1312" s="105" t="str">
        <f t="shared" si="222"/>
        <v>Coal</v>
      </c>
      <c r="O1312" s="105">
        <f>IFERROR(VLOOKUP(A1312,Lookup!$J$5:$P$19,7,FALSE),0)</f>
        <v>3</v>
      </c>
      <c r="P1312" s="159">
        <f t="shared" si="223"/>
        <v>2014</v>
      </c>
      <c r="Q1312" s="159">
        <f t="shared" si="224"/>
        <v>9</v>
      </c>
      <c r="R1312" s="160">
        <f t="shared" si="225"/>
        <v>4.7499999999417923</v>
      </c>
      <c r="S1312" s="158">
        <f t="shared" si="226"/>
        <v>0.54807692307020683</v>
      </c>
      <c r="T1312" s="161">
        <f t="shared" si="227"/>
        <v>266.36538461212052</v>
      </c>
      <c r="U1312" s="158">
        <f t="shared" si="228"/>
        <v>56.07692307692308</v>
      </c>
      <c r="V1312" s="160">
        <f t="shared" si="229"/>
        <v>56</v>
      </c>
    </row>
    <row r="1313" spans="1:22" x14ac:dyDescent="0.25">
      <c r="A1313" s="98" t="s">
        <v>27</v>
      </c>
      <c r="B1313" s="98" t="s">
        <v>17</v>
      </c>
      <c r="C1313" s="98">
        <v>66</v>
      </c>
      <c r="D1313" s="98">
        <v>267</v>
      </c>
      <c r="E1313" s="157">
        <v>41900.956944444442</v>
      </c>
      <c r="F1313" s="157">
        <v>41900.990277777775</v>
      </c>
      <c r="G1313" s="98">
        <v>427</v>
      </c>
      <c r="H1313" s="98">
        <v>520</v>
      </c>
      <c r="I1313" s="98">
        <v>486</v>
      </c>
      <c r="J1313" s="98" t="s">
        <v>1969</v>
      </c>
      <c r="K1313" s="98" t="s">
        <v>2418</v>
      </c>
      <c r="L1313" s="105" t="str">
        <f t="shared" si="220"/>
        <v>Ghent</v>
      </c>
      <c r="M1313" s="105" t="str">
        <f t="shared" si="221"/>
        <v>Derate</v>
      </c>
      <c r="N1313" s="105" t="str">
        <f t="shared" si="222"/>
        <v>Coal</v>
      </c>
      <c r="O1313" s="105">
        <f>IFERROR(VLOOKUP(A1313,Lookup!$J$5:$P$19,7,FALSE),0)</f>
        <v>3</v>
      </c>
      <c r="P1313" s="159">
        <f t="shared" si="223"/>
        <v>2014</v>
      </c>
      <c r="Q1313" s="159">
        <f t="shared" si="224"/>
        <v>9</v>
      </c>
      <c r="R1313" s="160">
        <f t="shared" si="225"/>
        <v>0.79999999998835847</v>
      </c>
      <c r="S1313" s="158">
        <f t="shared" si="226"/>
        <v>0.14307692307484104</v>
      </c>
      <c r="T1313" s="161">
        <f t="shared" si="227"/>
        <v>69.535384614372745</v>
      </c>
      <c r="U1313" s="158">
        <f t="shared" si="228"/>
        <v>86.919230769230765</v>
      </c>
      <c r="V1313" s="160">
        <f t="shared" si="229"/>
        <v>87</v>
      </c>
    </row>
    <row r="1314" spans="1:22" x14ac:dyDescent="0.25">
      <c r="A1314" s="98" t="s">
        <v>27</v>
      </c>
      <c r="B1314" s="98" t="s">
        <v>17</v>
      </c>
      <c r="C1314" s="98">
        <v>67</v>
      </c>
      <c r="D1314" s="98">
        <v>9650</v>
      </c>
      <c r="E1314" s="157">
        <v>41904.222222222219</v>
      </c>
      <c r="F1314" s="157">
        <v>41904.415277777778</v>
      </c>
      <c r="G1314" s="98">
        <v>200</v>
      </c>
      <c r="H1314" s="98">
        <v>520</v>
      </c>
      <c r="I1314" s="98">
        <v>486</v>
      </c>
      <c r="J1314" s="98" t="s">
        <v>2035</v>
      </c>
      <c r="K1314" s="98" t="s">
        <v>2419</v>
      </c>
      <c r="L1314" s="105" t="str">
        <f t="shared" si="220"/>
        <v>Ghent</v>
      </c>
      <c r="M1314" s="105" t="str">
        <f t="shared" si="221"/>
        <v>Derate</v>
      </c>
      <c r="N1314" s="105" t="str">
        <f t="shared" si="222"/>
        <v>Coal</v>
      </c>
      <c r="O1314" s="105">
        <f>IFERROR(VLOOKUP(A1314,Lookup!$J$5:$P$19,7,FALSE),0)</f>
        <v>3</v>
      </c>
      <c r="P1314" s="159">
        <f t="shared" si="223"/>
        <v>2014</v>
      </c>
      <c r="Q1314" s="159">
        <f t="shared" si="224"/>
        <v>9</v>
      </c>
      <c r="R1314" s="160">
        <f t="shared" si="225"/>
        <v>4.6333333334187046</v>
      </c>
      <c r="S1314" s="158">
        <f t="shared" si="226"/>
        <v>2.8512820513345876</v>
      </c>
      <c r="T1314" s="161">
        <f t="shared" si="227"/>
        <v>1385.7230769486096</v>
      </c>
      <c r="U1314" s="158">
        <f t="shared" si="228"/>
        <v>299.07692307692309</v>
      </c>
      <c r="V1314" s="160">
        <f t="shared" si="229"/>
        <v>299</v>
      </c>
    </row>
    <row r="1315" spans="1:22" x14ac:dyDescent="0.25">
      <c r="A1315" s="98" t="s">
        <v>27</v>
      </c>
      <c r="B1315" s="98" t="s">
        <v>32</v>
      </c>
      <c r="C1315" s="98">
        <v>68</v>
      </c>
      <c r="D1315" s="98">
        <v>345</v>
      </c>
      <c r="E1315" s="157">
        <v>41906.230555555558</v>
      </c>
      <c r="F1315" s="157">
        <v>41912.999305555553</v>
      </c>
      <c r="G1315" s="98">
        <v>460</v>
      </c>
      <c r="H1315" s="98">
        <v>520</v>
      </c>
      <c r="I1315" s="98">
        <v>486</v>
      </c>
      <c r="J1315" s="98" t="s">
        <v>2387</v>
      </c>
      <c r="K1315" s="98" t="s">
        <v>2420</v>
      </c>
      <c r="L1315" s="105" t="str">
        <f t="shared" si="220"/>
        <v>Ghent</v>
      </c>
      <c r="M1315" s="105" t="str">
        <f t="shared" si="221"/>
        <v>Derate</v>
      </c>
      <c r="N1315" s="105" t="str">
        <f t="shared" si="222"/>
        <v>Coal</v>
      </c>
      <c r="O1315" s="105">
        <f>IFERROR(VLOOKUP(A1315,Lookup!$J$5:$P$19,7,FALSE),0)</f>
        <v>3</v>
      </c>
      <c r="P1315" s="159">
        <f t="shared" si="223"/>
        <v>2014</v>
      </c>
      <c r="Q1315" s="159">
        <f t="shared" si="224"/>
        <v>9</v>
      </c>
      <c r="R1315" s="160">
        <f t="shared" si="225"/>
        <v>162.44999999989523</v>
      </c>
      <c r="S1315" s="158">
        <f t="shared" si="226"/>
        <v>18.744230769218682</v>
      </c>
      <c r="T1315" s="161">
        <f t="shared" si="227"/>
        <v>9109.6961538402793</v>
      </c>
      <c r="U1315" s="158">
        <f t="shared" si="228"/>
        <v>56.07692307692308</v>
      </c>
      <c r="V1315" s="160">
        <f t="shared" si="229"/>
        <v>56</v>
      </c>
    </row>
    <row r="1316" spans="1:22" x14ac:dyDescent="0.25">
      <c r="A1316" s="98" t="s">
        <v>27</v>
      </c>
      <c r="B1316" s="98" t="s">
        <v>20</v>
      </c>
      <c r="C1316" s="98">
        <v>69</v>
      </c>
      <c r="D1316" s="98">
        <v>1999</v>
      </c>
      <c r="E1316" s="157">
        <v>41906.460416666669</v>
      </c>
      <c r="F1316" s="157">
        <v>41910.120138888888</v>
      </c>
      <c r="G1316" s="98">
        <v>0</v>
      </c>
      <c r="H1316" s="98">
        <v>520</v>
      </c>
      <c r="I1316" s="98">
        <v>486</v>
      </c>
      <c r="J1316" s="98" t="s">
        <v>2108</v>
      </c>
      <c r="K1316" s="98" t="s">
        <v>2421</v>
      </c>
      <c r="L1316" s="105" t="str">
        <f t="shared" si="220"/>
        <v>Ghent</v>
      </c>
      <c r="M1316" s="105" t="str">
        <f t="shared" si="221"/>
        <v>Maintenance</v>
      </c>
      <c r="N1316" s="105" t="str">
        <f t="shared" si="222"/>
        <v>Coal</v>
      </c>
      <c r="O1316" s="105">
        <f>IFERROR(VLOOKUP(A1316,Lookup!$J$5:$P$19,7,FALSE),0)</f>
        <v>3</v>
      </c>
      <c r="P1316" s="159">
        <f t="shared" si="223"/>
        <v>2014</v>
      </c>
      <c r="Q1316" s="159">
        <f t="shared" si="224"/>
        <v>9</v>
      </c>
      <c r="R1316" s="160">
        <f t="shared" si="225"/>
        <v>87.833333333255723</v>
      </c>
      <c r="S1316" s="158">
        <f t="shared" si="226"/>
        <v>87.833333333255723</v>
      </c>
      <c r="T1316" s="161">
        <f t="shared" si="227"/>
        <v>42686.999999962281</v>
      </c>
      <c r="U1316" s="158">
        <f t="shared" si="228"/>
        <v>486</v>
      </c>
      <c r="V1316" s="160">
        <f t="shared" si="229"/>
        <v>486</v>
      </c>
    </row>
    <row r="1317" spans="1:22" x14ac:dyDescent="0.25">
      <c r="A1317" s="98" t="s">
        <v>27</v>
      </c>
      <c r="B1317" s="98" t="s">
        <v>17</v>
      </c>
      <c r="C1317" s="98">
        <v>70</v>
      </c>
      <c r="D1317" s="98">
        <v>1850</v>
      </c>
      <c r="E1317" s="157">
        <v>41910.453472222223</v>
      </c>
      <c r="F1317" s="157">
        <v>41910.472916666666</v>
      </c>
      <c r="G1317" s="98">
        <v>400</v>
      </c>
      <c r="H1317" s="98">
        <v>520</v>
      </c>
      <c r="I1317" s="98">
        <v>486</v>
      </c>
      <c r="J1317" s="98" t="s">
        <v>2263</v>
      </c>
      <c r="K1317" s="98" t="s">
        <v>2422</v>
      </c>
      <c r="L1317" s="105" t="str">
        <f t="shared" si="220"/>
        <v>Ghent</v>
      </c>
      <c r="M1317" s="105" t="str">
        <f t="shared" si="221"/>
        <v>Derate</v>
      </c>
      <c r="N1317" s="105" t="str">
        <f t="shared" si="222"/>
        <v>Coal</v>
      </c>
      <c r="O1317" s="105">
        <f>IFERROR(VLOOKUP(A1317,Lookup!$J$5:$P$19,7,FALSE),0)</f>
        <v>3</v>
      </c>
      <c r="P1317" s="159">
        <f t="shared" si="223"/>
        <v>2014</v>
      </c>
      <c r="Q1317" s="159">
        <f t="shared" si="224"/>
        <v>9</v>
      </c>
      <c r="R1317" s="160">
        <f t="shared" si="225"/>
        <v>0.46666666661622003</v>
      </c>
      <c r="S1317" s="158">
        <f t="shared" si="226"/>
        <v>0.10769230768066616</v>
      </c>
      <c r="T1317" s="161">
        <f t="shared" si="227"/>
        <v>52.338461532803755</v>
      </c>
      <c r="U1317" s="158">
        <f t="shared" si="228"/>
        <v>112.15384615384616</v>
      </c>
      <c r="V1317" s="160">
        <f t="shared" si="229"/>
        <v>112</v>
      </c>
    </row>
    <row r="1318" spans="1:22" x14ac:dyDescent="0.25">
      <c r="A1318" s="98" t="s">
        <v>27</v>
      </c>
      <c r="B1318" s="98" t="s">
        <v>17</v>
      </c>
      <c r="C1318" s="98">
        <v>71</v>
      </c>
      <c r="D1318" s="98">
        <v>346</v>
      </c>
      <c r="E1318" s="157">
        <v>41910.787499999999</v>
      </c>
      <c r="F1318" s="157">
        <v>41910.866666666669</v>
      </c>
      <c r="G1318" s="98">
        <v>370</v>
      </c>
      <c r="H1318" s="98">
        <v>520</v>
      </c>
      <c r="I1318" s="98">
        <v>486</v>
      </c>
      <c r="J1318" s="98" t="s">
        <v>1986</v>
      </c>
      <c r="K1318" s="98" t="s">
        <v>2423</v>
      </c>
      <c r="L1318" s="105" t="str">
        <f t="shared" si="220"/>
        <v>Ghent</v>
      </c>
      <c r="M1318" s="105" t="str">
        <f t="shared" si="221"/>
        <v>Derate</v>
      </c>
      <c r="N1318" s="105" t="str">
        <f t="shared" si="222"/>
        <v>Coal</v>
      </c>
      <c r="O1318" s="105">
        <f>IFERROR(VLOOKUP(A1318,Lookup!$J$5:$P$19,7,FALSE),0)</f>
        <v>3</v>
      </c>
      <c r="P1318" s="159">
        <f t="shared" si="223"/>
        <v>2014</v>
      </c>
      <c r="Q1318" s="159">
        <f t="shared" si="224"/>
        <v>9</v>
      </c>
      <c r="R1318" s="160">
        <f t="shared" si="225"/>
        <v>1.9000000000814907</v>
      </c>
      <c r="S1318" s="158">
        <f t="shared" si="226"/>
        <v>0.54807692310042999</v>
      </c>
      <c r="T1318" s="161">
        <f t="shared" si="227"/>
        <v>266.36538462680898</v>
      </c>
      <c r="U1318" s="158">
        <f t="shared" si="228"/>
        <v>140.19230769230768</v>
      </c>
      <c r="V1318" s="160">
        <f t="shared" si="229"/>
        <v>140</v>
      </c>
    </row>
    <row r="1319" spans="1:22" x14ac:dyDescent="0.25">
      <c r="A1319" s="98" t="s">
        <v>27</v>
      </c>
      <c r="B1319" s="98" t="s">
        <v>32</v>
      </c>
      <c r="C1319" s="98">
        <v>72</v>
      </c>
      <c r="D1319" s="98">
        <v>345</v>
      </c>
      <c r="E1319" s="157">
        <v>41913.000694444447</v>
      </c>
      <c r="F1319" s="157">
        <v>41925.357638888891</v>
      </c>
      <c r="G1319" s="98">
        <v>460</v>
      </c>
      <c r="H1319" s="98">
        <v>520</v>
      </c>
      <c r="I1319" s="98">
        <v>486</v>
      </c>
      <c r="J1319" s="98" t="s">
        <v>2387</v>
      </c>
      <c r="K1319" s="98" t="s">
        <v>2424</v>
      </c>
      <c r="L1319" s="105" t="str">
        <f t="shared" ref="L1319:L1382" si="230">IF(OR(A1319="BR1",A1319="BR2",A1319="BR3",A1319="BR5",A1319="BR6",A1319="BR7",A1319="BR8",A1319="BR9",A1319="BR10",A1319="BR11"),"Brown",IF(OR(A1319="CR4",A1319="CR5",A1319="CR6",A1319="CR11"),"Cane Run",IF(OR(A1319="GH1",A1319="GH2",A1319="GH3",A1319="GH4"),"Ghent",IF(OR(A1319="GR3",A1319="GR4"),"Green River",IF(OR(A1319="MC1",A1319="MC2",A1319="MC3",A1319="MC4"),"Mill Creek",IF(OR(A1319="TC1",A1319="TC2",A1319="TC5",A1319="TC6",A1319="TC7",A1319="TC8",A1319="TC9",A1319="TC10"),"Trimble",IF(A1319="TY3","Tyrone",IF(OR(A1319="HA1",A1319="HA2",A1319="HA3"),"Haeflin",IF(OR(A1319="PR11",A1319="PR12",A1319="PR13"),"Paddy's Run","Zorn")))))))))</f>
        <v>Ghent</v>
      </c>
      <c r="M1319" s="105" t="str">
        <f t="shared" ref="M1319:M1382" si="231">IF(OR(B1319="D1",B1319="D2",B1319="D3",B1319="D4",B1319="PD"),"Derate",IF(OR(B1319="SF",B1319="U1",B1319="U2",B1319="U3"),"Outage",IF(OR(B1319="ME",B1319="MO"),"Maintenance","Other")))</f>
        <v>Derate</v>
      </c>
      <c r="N1319" s="105" t="str">
        <f t="shared" ref="N1319:N1382" si="232">IF(OR(A1319="BR1",A1319="BR2",A1319="BR3",A1319="CR4",A1319="CR5",A1319="CR6",A1319="GH1",A1319="GH2",A1319="GH3",A1319="GH4",A1319="GR3",A1319="GR4",A1319="MC1",A1319="MC2",A1319="MC3",A1319="MC4",A1319="TC1",A1319="TC2",A1319="TY3"),"Coal","Gas")</f>
        <v>Coal</v>
      </c>
      <c r="O1319" s="105">
        <f>IFERROR(VLOOKUP(A1319,Lookup!$J$5:$P$19,7,FALSE),0)</f>
        <v>3</v>
      </c>
      <c r="P1319" s="159">
        <f t="shared" ref="P1319:P1382" si="233">YEAR(E1319)</f>
        <v>2014</v>
      </c>
      <c r="Q1319" s="159">
        <f t="shared" ref="Q1319:Q1382" si="234">MONTH(E1319)</f>
        <v>10</v>
      </c>
      <c r="R1319" s="160">
        <f t="shared" ref="R1319:R1382" si="235">(F1319-E1319)*24</f>
        <v>296.56666666665114</v>
      </c>
      <c r="S1319" s="158">
        <f t="shared" ref="S1319:S1382" si="236">R1319*(H1319-G1319)/H1319</f>
        <v>34.219230769228979</v>
      </c>
      <c r="T1319" s="161">
        <f t="shared" ref="T1319:T1382" si="237">S1319*I1319</f>
        <v>16630.546153845284</v>
      </c>
      <c r="U1319" s="158">
        <f t="shared" ref="U1319:U1382" si="238">IF(G1319&gt;0,MAX((H1319-G1319),0)*I1319/H1319,I1319)</f>
        <v>56.07692307692308</v>
      </c>
      <c r="V1319" s="160">
        <f t="shared" ref="V1319:V1382" si="239">ROUND(U1319,0)</f>
        <v>56</v>
      </c>
    </row>
    <row r="1320" spans="1:22" x14ac:dyDescent="0.25">
      <c r="A1320" s="98" t="s">
        <v>27</v>
      </c>
      <c r="B1320" s="98" t="s">
        <v>17</v>
      </c>
      <c r="C1320" s="98">
        <v>73</v>
      </c>
      <c r="D1320" s="98">
        <v>344</v>
      </c>
      <c r="E1320" s="157">
        <v>41918.762499999997</v>
      </c>
      <c r="F1320" s="157">
        <v>41918.96597222222</v>
      </c>
      <c r="G1320" s="98">
        <v>370</v>
      </c>
      <c r="H1320" s="98">
        <v>520</v>
      </c>
      <c r="I1320" s="98">
        <v>486</v>
      </c>
      <c r="J1320" s="98" t="s">
        <v>1968</v>
      </c>
      <c r="K1320" s="98" t="s">
        <v>2425</v>
      </c>
      <c r="L1320" s="105" t="str">
        <f t="shared" si="230"/>
        <v>Ghent</v>
      </c>
      <c r="M1320" s="105" t="str">
        <f t="shared" si="231"/>
        <v>Derate</v>
      </c>
      <c r="N1320" s="105" t="str">
        <f t="shared" si="232"/>
        <v>Coal</v>
      </c>
      <c r="O1320" s="105">
        <f>IFERROR(VLOOKUP(A1320,Lookup!$J$5:$P$19,7,FALSE),0)</f>
        <v>3</v>
      </c>
      <c r="P1320" s="159">
        <f t="shared" si="233"/>
        <v>2014</v>
      </c>
      <c r="Q1320" s="159">
        <f t="shared" si="234"/>
        <v>10</v>
      </c>
      <c r="R1320" s="160">
        <f t="shared" si="235"/>
        <v>4.8833333333604969</v>
      </c>
      <c r="S1320" s="158">
        <f t="shared" si="236"/>
        <v>1.4086538461616818</v>
      </c>
      <c r="T1320" s="161">
        <f t="shared" si="237"/>
        <v>684.60576923457734</v>
      </c>
      <c r="U1320" s="158">
        <f t="shared" si="238"/>
        <v>140.19230769230768</v>
      </c>
      <c r="V1320" s="160">
        <f t="shared" si="239"/>
        <v>140</v>
      </c>
    </row>
    <row r="1321" spans="1:22" x14ac:dyDescent="0.25">
      <c r="A1321" s="98" t="s">
        <v>27</v>
      </c>
      <c r="B1321" s="98" t="s">
        <v>17</v>
      </c>
      <c r="C1321" s="98">
        <v>74</v>
      </c>
      <c r="D1321" s="98">
        <v>350</v>
      </c>
      <c r="E1321" s="157">
        <v>41925.680555555555</v>
      </c>
      <c r="F1321" s="157">
        <v>41925.763888888891</v>
      </c>
      <c r="G1321" s="98">
        <v>460</v>
      </c>
      <c r="H1321" s="98">
        <v>520</v>
      </c>
      <c r="I1321" s="98">
        <v>486</v>
      </c>
      <c r="J1321" s="98" t="s">
        <v>1976</v>
      </c>
      <c r="K1321" s="98" t="s">
        <v>2426</v>
      </c>
      <c r="L1321" s="105" t="str">
        <f t="shared" si="230"/>
        <v>Ghent</v>
      </c>
      <c r="M1321" s="105" t="str">
        <f t="shared" si="231"/>
        <v>Derate</v>
      </c>
      <c r="N1321" s="105" t="str">
        <f t="shared" si="232"/>
        <v>Coal</v>
      </c>
      <c r="O1321" s="105">
        <f>IFERROR(VLOOKUP(A1321,Lookup!$J$5:$P$19,7,FALSE),0)</f>
        <v>3</v>
      </c>
      <c r="P1321" s="159">
        <f t="shared" si="233"/>
        <v>2014</v>
      </c>
      <c r="Q1321" s="159">
        <f t="shared" si="234"/>
        <v>10</v>
      </c>
      <c r="R1321" s="160">
        <f t="shared" si="235"/>
        <v>2.0000000000582077</v>
      </c>
      <c r="S1321" s="158">
        <f t="shared" si="236"/>
        <v>0.23076923077594705</v>
      </c>
      <c r="T1321" s="161">
        <f t="shared" si="237"/>
        <v>112.15384615711027</v>
      </c>
      <c r="U1321" s="158">
        <f t="shared" si="238"/>
        <v>56.07692307692308</v>
      </c>
      <c r="V1321" s="160">
        <f t="shared" si="239"/>
        <v>56</v>
      </c>
    </row>
    <row r="1322" spans="1:22" x14ac:dyDescent="0.25">
      <c r="A1322" s="98" t="s">
        <v>27</v>
      </c>
      <c r="B1322" s="98" t="s">
        <v>15</v>
      </c>
      <c r="C1322" s="98">
        <v>75</v>
      </c>
      <c r="D1322" s="98">
        <v>4619</v>
      </c>
      <c r="E1322" s="157">
        <v>41928.329861111109</v>
      </c>
      <c r="F1322" s="157">
        <v>41928.374305555553</v>
      </c>
      <c r="G1322" s="98">
        <v>0</v>
      </c>
      <c r="H1322" s="98">
        <v>520</v>
      </c>
      <c r="I1322" s="98">
        <v>486</v>
      </c>
      <c r="J1322" s="98" t="s">
        <v>2086</v>
      </c>
      <c r="K1322" s="98" t="s">
        <v>2427</v>
      </c>
      <c r="L1322" s="105" t="str">
        <f t="shared" si="230"/>
        <v>Ghent</v>
      </c>
      <c r="M1322" s="105" t="str">
        <f t="shared" si="231"/>
        <v>Outage</v>
      </c>
      <c r="N1322" s="105" t="str">
        <f t="shared" si="232"/>
        <v>Coal</v>
      </c>
      <c r="O1322" s="105">
        <f>IFERROR(VLOOKUP(A1322,Lookup!$J$5:$P$19,7,FALSE),0)</f>
        <v>3</v>
      </c>
      <c r="P1322" s="159">
        <f t="shared" si="233"/>
        <v>2014</v>
      </c>
      <c r="Q1322" s="159">
        <f t="shared" si="234"/>
        <v>10</v>
      </c>
      <c r="R1322" s="160">
        <f t="shared" si="235"/>
        <v>1.0666666666511446</v>
      </c>
      <c r="S1322" s="158">
        <f t="shared" si="236"/>
        <v>1.0666666666511446</v>
      </c>
      <c r="T1322" s="161">
        <f t="shared" si="237"/>
        <v>518.39999999245629</v>
      </c>
      <c r="U1322" s="158">
        <f t="shared" si="238"/>
        <v>486</v>
      </c>
      <c r="V1322" s="160">
        <f t="shared" si="239"/>
        <v>486</v>
      </c>
    </row>
    <row r="1323" spans="1:22" x14ac:dyDescent="0.25">
      <c r="A1323" s="98" t="s">
        <v>27</v>
      </c>
      <c r="B1323" s="98" t="s">
        <v>17</v>
      </c>
      <c r="C1323" s="98">
        <v>76</v>
      </c>
      <c r="D1323" s="98">
        <v>350</v>
      </c>
      <c r="E1323" s="157">
        <v>41930.939583333333</v>
      </c>
      <c r="F1323" s="157">
        <v>41931.959722222222</v>
      </c>
      <c r="G1323" s="98">
        <v>460</v>
      </c>
      <c r="H1323" s="98">
        <v>520</v>
      </c>
      <c r="I1323" s="98">
        <v>486</v>
      </c>
      <c r="J1323" s="98" t="s">
        <v>1976</v>
      </c>
      <c r="K1323" s="98" t="s">
        <v>2428</v>
      </c>
      <c r="L1323" s="105" t="str">
        <f t="shared" si="230"/>
        <v>Ghent</v>
      </c>
      <c r="M1323" s="105" t="str">
        <f t="shared" si="231"/>
        <v>Derate</v>
      </c>
      <c r="N1323" s="105" t="str">
        <f t="shared" si="232"/>
        <v>Coal</v>
      </c>
      <c r="O1323" s="105">
        <f>IFERROR(VLOOKUP(A1323,Lookup!$J$5:$P$19,7,FALSE),0)</f>
        <v>3</v>
      </c>
      <c r="P1323" s="159">
        <f t="shared" si="233"/>
        <v>2014</v>
      </c>
      <c r="Q1323" s="159">
        <f t="shared" si="234"/>
        <v>10</v>
      </c>
      <c r="R1323" s="160">
        <f t="shared" si="235"/>
        <v>24.483333333337214</v>
      </c>
      <c r="S1323" s="158">
        <f t="shared" si="236"/>
        <v>2.8250000000004478</v>
      </c>
      <c r="T1323" s="161">
        <f t="shared" si="237"/>
        <v>1372.9500000002176</v>
      </c>
      <c r="U1323" s="158">
        <f t="shared" si="238"/>
        <v>56.07692307692308</v>
      </c>
      <c r="V1323" s="160">
        <f t="shared" si="239"/>
        <v>56</v>
      </c>
    </row>
    <row r="1324" spans="1:22" x14ac:dyDescent="0.25">
      <c r="A1324" s="98" t="s">
        <v>27</v>
      </c>
      <c r="B1324" s="98" t="s">
        <v>17</v>
      </c>
      <c r="C1324" s="98">
        <v>77</v>
      </c>
      <c r="D1324" s="98">
        <v>350</v>
      </c>
      <c r="E1324" s="157">
        <v>41931.381944444445</v>
      </c>
      <c r="F1324" s="157">
        <v>41931.503472222219</v>
      </c>
      <c r="G1324" s="98">
        <v>460</v>
      </c>
      <c r="H1324" s="98">
        <v>520</v>
      </c>
      <c r="I1324" s="98">
        <v>486</v>
      </c>
      <c r="J1324" s="98" t="s">
        <v>1976</v>
      </c>
      <c r="K1324" s="98" t="s">
        <v>2429</v>
      </c>
      <c r="L1324" s="105" t="str">
        <f t="shared" si="230"/>
        <v>Ghent</v>
      </c>
      <c r="M1324" s="105" t="str">
        <f t="shared" si="231"/>
        <v>Derate</v>
      </c>
      <c r="N1324" s="105" t="str">
        <f t="shared" si="232"/>
        <v>Coal</v>
      </c>
      <c r="O1324" s="105">
        <f>IFERROR(VLOOKUP(A1324,Lookup!$J$5:$P$19,7,FALSE),0)</f>
        <v>3</v>
      </c>
      <c r="P1324" s="159">
        <f t="shared" si="233"/>
        <v>2014</v>
      </c>
      <c r="Q1324" s="159">
        <f t="shared" si="234"/>
        <v>10</v>
      </c>
      <c r="R1324" s="160">
        <f t="shared" si="235"/>
        <v>2.9166666665696539</v>
      </c>
      <c r="S1324" s="158">
        <f t="shared" si="236"/>
        <v>0.33653846152726774</v>
      </c>
      <c r="T1324" s="161">
        <f t="shared" si="237"/>
        <v>163.55769230225212</v>
      </c>
      <c r="U1324" s="158">
        <f t="shared" si="238"/>
        <v>56.07692307692308</v>
      </c>
      <c r="V1324" s="160">
        <f t="shared" si="239"/>
        <v>56</v>
      </c>
    </row>
    <row r="1325" spans="1:22" x14ac:dyDescent="0.25">
      <c r="A1325" s="98" t="s">
        <v>27</v>
      </c>
      <c r="B1325" s="98" t="s">
        <v>17</v>
      </c>
      <c r="C1325" s="98">
        <v>78</v>
      </c>
      <c r="D1325" s="98">
        <v>350</v>
      </c>
      <c r="E1325" s="157">
        <v>41931.763888888891</v>
      </c>
      <c r="F1325" s="157">
        <v>41931.794444444444</v>
      </c>
      <c r="G1325" s="98">
        <v>460</v>
      </c>
      <c r="H1325" s="98">
        <v>520</v>
      </c>
      <c r="I1325" s="98">
        <v>486</v>
      </c>
      <c r="J1325" s="98" t="s">
        <v>1976</v>
      </c>
      <c r="K1325" s="98" t="s">
        <v>2430</v>
      </c>
      <c r="L1325" s="105" t="str">
        <f t="shared" si="230"/>
        <v>Ghent</v>
      </c>
      <c r="M1325" s="105" t="str">
        <f t="shared" si="231"/>
        <v>Derate</v>
      </c>
      <c r="N1325" s="105" t="str">
        <f t="shared" si="232"/>
        <v>Coal</v>
      </c>
      <c r="O1325" s="105">
        <f>IFERROR(VLOOKUP(A1325,Lookup!$J$5:$P$19,7,FALSE),0)</f>
        <v>3</v>
      </c>
      <c r="P1325" s="159">
        <f t="shared" si="233"/>
        <v>2014</v>
      </c>
      <c r="Q1325" s="159">
        <f t="shared" si="234"/>
        <v>10</v>
      </c>
      <c r="R1325" s="160">
        <f t="shared" si="235"/>
        <v>0.73333333327900618</v>
      </c>
      <c r="S1325" s="158">
        <f t="shared" si="236"/>
        <v>8.4615384609116093E-2</v>
      </c>
      <c r="T1325" s="161">
        <f t="shared" si="237"/>
        <v>41.123076920030421</v>
      </c>
      <c r="U1325" s="158">
        <f t="shared" si="238"/>
        <v>56.07692307692308</v>
      </c>
      <c r="V1325" s="160">
        <f t="shared" si="239"/>
        <v>56</v>
      </c>
    </row>
    <row r="1326" spans="1:22" x14ac:dyDescent="0.25">
      <c r="A1326" s="98" t="s">
        <v>27</v>
      </c>
      <c r="B1326" s="98" t="s">
        <v>32</v>
      </c>
      <c r="C1326" s="98">
        <v>79</v>
      </c>
      <c r="D1326" s="98">
        <v>250</v>
      </c>
      <c r="E1326" s="157">
        <v>41932.947916666664</v>
      </c>
      <c r="F1326" s="157">
        <v>41933.128472222219</v>
      </c>
      <c r="G1326" s="98">
        <v>460</v>
      </c>
      <c r="H1326" s="98">
        <v>520</v>
      </c>
      <c r="I1326" s="98">
        <v>486</v>
      </c>
      <c r="J1326" s="98" t="s">
        <v>1978</v>
      </c>
      <c r="K1326" s="98" t="s">
        <v>2431</v>
      </c>
      <c r="L1326" s="105" t="str">
        <f t="shared" si="230"/>
        <v>Ghent</v>
      </c>
      <c r="M1326" s="105" t="str">
        <f t="shared" si="231"/>
        <v>Derate</v>
      </c>
      <c r="N1326" s="105" t="str">
        <f t="shared" si="232"/>
        <v>Coal</v>
      </c>
      <c r="O1326" s="105">
        <f>IFERROR(VLOOKUP(A1326,Lookup!$J$5:$P$19,7,FALSE),0)</f>
        <v>3</v>
      </c>
      <c r="P1326" s="159">
        <f t="shared" si="233"/>
        <v>2014</v>
      </c>
      <c r="Q1326" s="159">
        <f t="shared" si="234"/>
        <v>10</v>
      </c>
      <c r="R1326" s="160">
        <f t="shared" si="235"/>
        <v>4.3333333333139308</v>
      </c>
      <c r="S1326" s="158">
        <f t="shared" si="236"/>
        <v>0.49999999999776124</v>
      </c>
      <c r="T1326" s="161">
        <f t="shared" si="237"/>
        <v>242.99999999891196</v>
      </c>
      <c r="U1326" s="158">
        <f t="shared" si="238"/>
        <v>56.07692307692308</v>
      </c>
      <c r="V1326" s="160">
        <f t="shared" si="239"/>
        <v>56</v>
      </c>
    </row>
    <row r="1327" spans="1:22" x14ac:dyDescent="0.25">
      <c r="A1327" s="98" t="s">
        <v>27</v>
      </c>
      <c r="B1327" s="98" t="s">
        <v>17</v>
      </c>
      <c r="C1327" s="98">
        <v>80</v>
      </c>
      <c r="D1327" s="98">
        <v>340</v>
      </c>
      <c r="E1327" s="157">
        <v>41933.672222222223</v>
      </c>
      <c r="F1327" s="157">
        <v>41933.795138888891</v>
      </c>
      <c r="G1327" s="98">
        <v>480</v>
      </c>
      <c r="H1327" s="98">
        <v>520</v>
      </c>
      <c r="I1327" s="98">
        <v>486</v>
      </c>
      <c r="J1327" s="98" t="s">
        <v>1970</v>
      </c>
      <c r="K1327" s="98" t="s">
        <v>2432</v>
      </c>
      <c r="L1327" s="105" t="str">
        <f t="shared" si="230"/>
        <v>Ghent</v>
      </c>
      <c r="M1327" s="105" t="str">
        <f t="shared" si="231"/>
        <v>Derate</v>
      </c>
      <c r="N1327" s="105" t="str">
        <f t="shared" si="232"/>
        <v>Coal</v>
      </c>
      <c r="O1327" s="105">
        <f>IFERROR(VLOOKUP(A1327,Lookup!$J$5:$P$19,7,FALSE),0)</f>
        <v>3</v>
      </c>
      <c r="P1327" s="159">
        <f t="shared" si="233"/>
        <v>2014</v>
      </c>
      <c r="Q1327" s="159">
        <f t="shared" si="234"/>
        <v>10</v>
      </c>
      <c r="R1327" s="160">
        <f t="shared" si="235"/>
        <v>2.9500000000116415</v>
      </c>
      <c r="S1327" s="158">
        <f t="shared" si="236"/>
        <v>0.22692307692397243</v>
      </c>
      <c r="T1327" s="161">
        <f t="shared" si="237"/>
        <v>110.2846153850506</v>
      </c>
      <c r="U1327" s="158">
        <f t="shared" si="238"/>
        <v>37.384615384615387</v>
      </c>
      <c r="V1327" s="160">
        <f t="shared" si="239"/>
        <v>37</v>
      </c>
    </row>
    <row r="1328" spans="1:22" x14ac:dyDescent="0.25">
      <c r="A1328" s="98" t="s">
        <v>27</v>
      </c>
      <c r="B1328" s="98" t="s">
        <v>32</v>
      </c>
      <c r="C1328" s="98">
        <v>81</v>
      </c>
      <c r="D1328" s="98">
        <v>340</v>
      </c>
      <c r="E1328" s="157">
        <v>41934.916666666664</v>
      </c>
      <c r="F1328" s="157">
        <v>41934.968055555553</v>
      </c>
      <c r="G1328" s="98">
        <v>475</v>
      </c>
      <c r="H1328" s="98">
        <v>520</v>
      </c>
      <c r="I1328" s="98">
        <v>486</v>
      </c>
      <c r="J1328" s="98" t="s">
        <v>1970</v>
      </c>
      <c r="K1328" s="98" t="s">
        <v>2433</v>
      </c>
      <c r="L1328" s="105" t="str">
        <f t="shared" si="230"/>
        <v>Ghent</v>
      </c>
      <c r="M1328" s="105" t="str">
        <f t="shared" si="231"/>
        <v>Derate</v>
      </c>
      <c r="N1328" s="105" t="str">
        <f t="shared" si="232"/>
        <v>Coal</v>
      </c>
      <c r="O1328" s="105">
        <f>IFERROR(VLOOKUP(A1328,Lookup!$J$5:$P$19,7,FALSE),0)</f>
        <v>3</v>
      </c>
      <c r="P1328" s="159">
        <f t="shared" si="233"/>
        <v>2014</v>
      </c>
      <c r="Q1328" s="159">
        <f t="shared" si="234"/>
        <v>10</v>
      </c>
      <c r="R1328" s="160">
        <f t="shared" si="235"/>
        <v>1.2333333333372138</v>
      </c>
      <c r="S1328" s="158">
        <f t="shared" si="236"/>
        <v>0.10673076923110504</v>
      </c>
      <c r="T1328" s="161">
        <f t="shared" si="237"/>
        <v>51.87115384631705</v>
      </c>
      <c r="U1328" s="158">
        <f t="shared" si="238"/>
        <v>42.057692307692307</v>
      </c>
      <c r="V1328" s="160">
        <f t="shared" si="239"/>
        <v>42</v>
      </c>
    </row>
    <row r="1329" spans="1:22" x14ac:dyDescent="0.25">
      <c r="A1329" s="98" t="s">
        <v>27</v>
      </c>
      <c r="B1329" s="98" t="s">
        <v>32</v>
      </c>
      <c r="C1329" s="98">
        <v>82</v>
      </c>
      <c r="D1329" s="98">
        <v>340</v>
      </c>
      <c r="E1329" s="157">
        <v>41934.982638888891</v>
      </c>
      <c r="F1329" s="157">
        <v>41935.036805555559</v>
      </c>
      <c r="G1329" s="98">
        <v>475</v>
      </c>
      <c r="H1329" s="98">
        <v>520</v>
      </c>
      <c r="I1329" s="98">
        <v>486</v>
      </c>
      <c r="J1329" s="98" t="s">
        <v>1970</v>
      </c>
      <c r="K1329" s="98" t="s">
        <v>2434</v>
      </c>
      <c r="L1329" s="105" t="str">
        <f t="shared" si="230"/>
        <v>Ghent</v>
      </c>
      <c r="M1329" s="105" t="str">
        <f t="shared" si="231"/>
        <v>Derate</v>
      </c>
      <c r="N1329" s="105" t="str">
        <f t="shared" si="232"/>
        <v>Coal</v>
      </c>
      <c r="O1329" s="105">
        <f>IFERROR(VLOOKUP(A1329,Lookup!$J$5:$P$19,7,FALSE),0)</f>
        <v>3</v>
      </c>
      <c r="P1329" s="159">
        <f t="shared" si="233"/>
        <v>2014</v>
      </c>
      <c r="Q1329" s="159">
        <f t="shared" si="234"/>
        <v>10</v>
      </c>
      <c r="R1329" s="160">
        <f t="shared" si="235"/>
        <v>1.3000000000465661</v>
      </c>
      <c r="S1329" s="158">
        <f t="shared" si="236"/>
        <v>0.11250000000402977</v>
      </c>
      <c r="T1329" s="161">
        <f t="shared" si="237"/>
        <v>54.675000001958466</v>
      </c>
      <c r="U1329" s="158">
        <f t="shared" si="238"/>
        <v>42.057692307692307</v>
      </c>
      <c r="V1329" s="160">
        <f t="shared" si="239"/>
        <v>42</v>
      </c>
    </row>
    <row r="1330" spans="1:22" x14ac:dyDescent="0.25">
      <c r="A1330" s="98" t="s">
        <v>27</v>
      </c>
      <c r="B1330" s="98" t="s">
        <v>17</v>
      </c>
      <c r="C1330" s="98">
        <v>83</v>
      </c>
      <c r="D1330" s="98">
        <v>340</v>
      </c>
      <c r="E1330" s="157">
        <v>41935.340277777781</v>
      </c>
      <c r="F1330" s="157">
        <v>41935.416666666664</v>
      </c>
      <c r="G1330" s="98">
        <v>480</v>
      </c>
      <c r="H1330" s="98">
        <v>520</v>
      </c>
      <c r="I1330" s="98">
        <v>486</v>
      </c>
      <c r="J1330" s="98" t="s">
        <v>1970</v>
      </c>
      <c r="K1330" s="98" t="s">
        <v>2435</v>
      </c>
      <c r="L1330" s="105" t="str">
        <f t="shared" si="230"/>
        <v>Ghent</v>
      </c>
      <c r="M1330" s="105" t="str">
        <f t="shared" si="231"/>
        <v>Derate</v>
      </c>
      <c r="N1330" s="105" t="str">
        <f t="shared" si="232"/>
        <v>Coal</v>
      </c>
      <c r="O1330" s="105">
        <f>IFERROR(VLOOKUP(A1330,Lookup!$J$5:$P$19,7,FALSE),0)</f>
        <v>3</v>
      </c>
      <c r="P1330" s="159">
        <f t="shared" si="233"/>
        <v>2014</v>
      </c>
      <c r="Q1330" s="159">
        <f t="shared" si="234"/>
        <v>10</v>
      </c>
      <c r="R1330" s="160">
        <f t="shared" si="235"/>
        <v>1.8333333331975155</v>
      </c>
      <c r="S1330" s="158">
        <f t="shared" si="236"/>
        <v>0.14102564101519349</v>
      </c>
      <c r="T1330" s="161">
        <f t="shared" si="237"/>
        <v>68.538461533384037</v>
      </c>
      <c r="U1330" s="158">
        <f t="shared" si="238"/>
        <v>37.384615384615387</v>
      </c>
      <c r="V1330" s="160">
        <f t="shared" si="239"/>
        <v>37</v>
      </c>
    </row>
    <row r="1331" spans="1:22" x14ac:dyDescent="0.25">
      <c r="A1331" s="98" t="s">
        <v>27</v>
      </c>
      <c r="B1331" s="98" t="s">
        <v>17</v>
      </c>
      <c r="C1331" s="98">
        <v>84</v>
      </c>
      <c r="D1331" s="98">
        <v>340</v>
      </c>
      <c r="E1331" s="157">
        <v>41935.958333333336</v>
      </c>
      <c r="F1331" s="157">
        <v>41936.056944444441</v>
      </c>
      <c r="G1331" s="98">
        <v>480</v>
      </c>
      <c r="H1331" s="98">
        <v>520</v>
      </c>
      <c r="I1331" s="98">
        <v>486</v>
      </c>
      <c r="J1331" s="98" t="s">
        <v>1970</v>
      </c>
      <c r="K1331" s="98" t="s">
        <v>2436</v>
      </c>
      <c r="L1331" s="105" t="str">
        <f t="shared" si="230"/>
        <v>Ghent</v>
      </c>
      <c r="M1331" s="105" t="str">
        <f t="shared" si="231"/>
        <v>Derate</v>
      </c>
      <c r="N1331" s="105" t="str">
        <f t="shared" si="232"/>
        <v>Coal</v>
      </c>
      <c r="O1331" s="105">
        <f>IFERROR(VLOOKUP(A1331,Lookup!$J$5:$P$19,7,FALSE),0)</f>
        <v>3</v>
      </c>
      <c r="P1331" s="159">
        <f t="shared" si="233"/>
        <v>2014</v>
      </c>
      <c r="Q1331" s="159">
        <f t="shared" si="234"/>
        <v>10</v>
      </c>
      <c r="R1331" s="160">
        <f t="shared" si="235"/>
        <v>2.3666666665230878</v>
      </c>
      <c r="S1331" s="158">
        <f t="shared" si="236"/>
        <v>0.18205128204023752</v>
      </c>
      <c r="T1331" s="161">
        <f t="shared" si="237"/>
        <v>88.476923071555433</v>
      </c>
      <c r="U1331" s="158">
        <f t="shared" si="238"/>
        <v>37.384615384615387</v>
      </c>
      <c r="V1331" s="160">
        <f t="shared" si="239"/>
        <v>37</v>
      </c>
    </row>
    <row r="1332" spans="1:22" x14ac:dyDescent="0.25">
      <c r="A1332" s="98" t="s">
        <v>27</v>
      </c>
      <c r="B1332" s="98" t="s">
        <v>17</v>
      </c>
      <c r="C1332" s="98">
        <v>85</v>
      </c>
      <c r="D1332" s="98">
        <v>340</v>
      </c>
      <c r="E1332" s="157">
        <v>41936.918055555558</v>
      </c>
      <c r="F1332" s="157">
        <v>41937.128472222219</v>
      </c>
      <c r="G1332" s="98">
        <v>460</v>
      </c>
      <c r="H1332" s="98">
        <v>520</v>
      </c>
      <c r="I1332" s="98">
        <v>486</v>
      </c>
      <c r="J1332" s="98" t="s">
        <v>1970</v>
      </c>
      <c r="K1332" s="98" t="s">
        <v>2437</v>
      </c>
      <c r="L1332" s="105" t="str">
        <f t="shared" si="230"/>
        <v>Ghent</v>
      </c>
      <c r="M1332" s="105" t="str">
        <f t="shared" si="231"/>
        <v>Derate</v>
      </c>
      <c r="N1332" s="105" t="str">
        <f t="shared" si="232"/>
        <v>Coal</v>
      </c>
      <c r="O1332" s="105">
        <f>IFERROR(VLOOKUP(A1332,Lookup!$J$5:$P$19,7,FALSE),0)</f>
        <v>3</v>
      </c>
      <c r="P1332" s="159">
        <f t="shared" si="233"/>
        <v>2014</v>
      </c>
      <c r="Q1332" s="159">
        <f t="shared" si="234"/>
        <v>10</v>
      </c>
      <c r="R1332" s="160">
        <f t="shared" si="235"/>
        <v>5.0499999998719431</v>
      </c>
      <c r="S1332" s="158">
        <f t="shared" si="236"/>
        <v>0.58269230767753188</v>
      </c>
      <c r="T1332" s="161">
        <f t="shared" si="237"/>
        <v>283.1884615312805</v>
      </c>
      <c r="U1332" s="158">
        <f t="shared" si="238"/>
        <v>56.07692307692308</v>
      </c>
      <c r="V1332" s="160">
        <f t="shared" si="239"/>
        <v>56</v>
      </c>
    </row>
    <row r="1333" spans="1:22" x14ac:dyDescent="0.25">
      <c r="A1333" s="98" t="s">
        <v>27</v>
      </c>
      <c r="B1333" s="98" t="s">
        <v>32</v>
      </c>
      <c r="C1333" s="98">
        <v>86</v>
      </c>
      <c r="D1333" s="98">
        <v>9300</v>
      </c>
      <c r="E1333" s="157">
        <v>41941.25</v>
      </c>
      <c r="F1333" s="157">
        <v>41941.84375</v>
      </c>
      <c r="G1333" s="98">
        <v>375</v>
      </c>
      <c r="H1333" s="98">
        <v>520</v>
      </c>
      <c r="I1333" s="98">
        <v>486</v>
      </c>
      <c r="J1333" s="98" t="s">
        <v>2290</v>
      </c>
      <c r="K1333" s="98" t="s">
        <v>2438</v>
      </c>
      <c r="L1333" s="105" t="str">
        <f t="shared" si="230"/>
        <v>Ghent</v>
      </c>
      <c r="M1333" s="105" t="str">
        <f t="shared" si="231"/>
        <v>Derate</v>
      </c>
      <c r="N1333" s="105" t="str">
        <f t="shared" si="232"/>
        <v>Coal</v>
      </c>
      <c r="O1333" s="105">
        <f>IFERROR(VLOOKUP(A1333,Lookup!$J$5:$P$19,7,FALSE),0)</f>
        <v>3</v>
      </c>
      <c r="P1333" s="159">
        <f t="shared" si="233"/>
        <v>2014</v>
      </c>
      <c r="Q1333" s="159">
        <f t="shared" si="234"/>
        <v>10</v>
      </c>
      <c r="R1333" s="160">
        <f t="shared" si="235"/>
        <v>14.25</v>
      </c>
      <c r="S1333" s="158">
        <f t="shared" si="236"/>
        <v>3.9735576923076925</v>
      </c>
      <c r="T1333" s="161">
        <f t="shared" si="237"/>
        <v>1931.1490384615386</v>
      </c>
      <c r="U1333" s="158">
        <f t="shared" si="238"/>
        <v>135.51923076923077</v>
      </c>
      <c r="V1333" s="160">
        <f t="shared" si="239"/>
        <v>136</v>
      </c>
    </row>
    <row r="1334" spans="1:22" x14ac:dyDescent="0.25">
      <c r="A1334" s="98" t="s">
        <v>27</v>
      </c>
      <c r="B1334" s="98" t="s">
        <v>32</v>
      </c>
      <c r="C1334" s="98">
        <v>87</v>
      </c>
      <c r="D1334" s="98">
        <v>340</v>
      </c>
      <c r="E1334" s="157">
        <v>41944.964583333334</v>
      </c>
      <c r="F1334" s="157">
        <v>41945.067361111112</v>
      </c>
      <c r="G1334" s="98">
        <v>460</v>
      </c>
      <c r="H1334" s="98">
        <v>520</v>
      </c>
      <c r="I1334" s="98">
        <v>486</v>
      </c>
      <c r="J1334" s="98" t="s">
        <v>1970</v>
      </c>
      <c r="K1334" s="98" t="s">
        <v>2439</v>
      </c>
      <c r="L1334" s="105" t="str">
        <f t="shared" si="230"/>
        <v>Ghent</v>
      </c>
      <c r="M1334" s="105" t="str">
        <f t="shared" si="231"/>
        <v>Derate</v>
      </c>
      <c r="N1334" s="105" t="str">
        <f t="shared" si="232"/>
        <v>Coal</v>
      </c>
      <c r="O1334" s="105">
        <f>IFERROR(VLOOKUP(A1334,Lookup!$J$5:$P$19,7,FALSE),0)</f>
        <v>3</v>
      </c>
      <c r="P1334" s="159">
        <f t="shared" si="233"/>
        <v>2014</v>
      </c>
      <c r="Q1334" s="159">
        <f t="shared" si="234"/>
        <v>11</v>
      </c>
      <c r="R1334" s="160">
        <f t="shared" si="235"/>
        <v>2.4666666666744277</v>
      </c>
      <c r="S1334" s="158">
        <f t="shared" si="236"/>
        <v>0.28461538461628011</v>
      </c>
      <c r="T1334" s="161">
        <f t="shared" si="237"/>
        <v>138.32307692351213</v>
      </c>
      <c r="U1334" s="158">
        <f t="shared" si="238"/>
        <v>56.07692307692308</v>
      </c>
      <c r="V1334" s="160">
        <f t="shared" si="239"/>
        <v>56</v>
      </c>
    </row>
    <row r="1335" spans="1:22" x14ac:dyDescent="0.25">
      <c r="A1335" s="98" t="s">
        <v>27</v>
      </c>
      <c r="B1335" s="98" t="s">
        <v>17</v>
      </c>
      <c r="C1335" s="98">
        <v>88</v>
      </c>
      <c r="D1335" s="98">
        <v>350</v>
      </c>
      <c r="E1335" s="157">
        <v>41945.079861111109</v>
      </c>
      <c r="F1335" s="157">
        <v>41945.107638888891</v>
      </c>
      <c r="G1335" s="98">
        <v>460</v>
      </c>
      <c r="H1335" s="98">
        <v>520</v>
      </c>
      <c r="I1335" s="98">
        <v>486</v>
      </c>
      <c r="J1335" s="98" t="s">
        <v>1976</v>
      </c>
      <c r="K1335" s="98" t="s">
        <v>2440</v>
      </c>
      <c r="L1335" s="105" t="str">
        <f t="shared" si="230"/>
        <v>Ghent</v>
      </c>
      <c r="M1335" s="105" t="str">
        <f t="shared" si="231"/>
        <v>Derate</v>
      </c>
      <c r="N1335" s="105" t="str">
        <f t="shared" si="232"/>
        <v>Coal</v>
      </c>
      <c r="O1335" s="105">
        <f>IFERROR(VLOOKUP(A1335,Lookup!$J$5:$P$19,7,FALSE),0)</f>
        <v>3</v>
      </c>
      <c r="P1335" s="159">
        <f t="shared" si="233"/>
        <v>2014</v>
      </c>
      <c r="Q1335" s="159">
        <f t="shared" si="234"/>
        <v>11</v>
      </c>
      <c r="R1335" s="160">
        <f t="shared" si="235"/>
        <v>0.66666666674427688</v>
      </c>
      <c r="S1335" s="158">
        <f t="shared" si="236"/>
        <v>7.6923076932031945E-2</v>
      </c>
      <c r="T1335" s="161">
        <f t="shared" si="237"/>
        <v>37.384615388967525</v>
      </c>
      <c r="U1335" s="158">
        <f t="shared" si="238"/>
        <v>56.07692307692308</v>
      </c>
      <c r="V1335" s="160">
        <f t="shared" si="239"/>
        <v>56</v>
      </c>
    </row>
    <row r="1336" spans="1:22" x14ac:dyDescent="0.25">
      <c r="A1336" s="98" t="s">
        <v>27</v>
      </c>
      <c r="B1336" s="98" t="s">
        <v>17</v>
      </c>
      <c r="C1336" s="98">
        <v>89</v>
      </c>
      <c r="D1336" s="98">
        <v>340</v>
      </c>
      <c r="E1336" s="157">
        <v>41949.244444444441</v>
      </c>
      <c r="F1336" s="157">
        <v>41949.359722222223</v>
      </c>
      <c r="G1336" s="98">
        <v>450</v>
      </c>
      <c r="H1336" s="98">
        <v>520</v>
      </c>
      <c r="I1336" s="98">
        <v>486</v>
      </c>
      <c r="J1336" s="98" t="s">
        <v>1970</v>
      </c>
      <c r="K1336" s="98" t="s">
        <v>2441</v>
      </c>
      <c r="L1336" s="105" t="str">
        <f t="shared" si="230"/>
        <v>Ghent</v>
      </c>
      <c r="M1336" s="105" t="str">
        <f t="shared" si="231"/>
        <v>Derate</v>
      </c>
      <c r="N1336" s="105" t="str">
        <f t="shared" si="232"/>
        <v>Coal</v>
      </c>
      <c r="O1336" s="105">
        <f>IFERROR(VLOOKUP(A1336,Lookup!$J$5:$P$19,7,FALSE),0)</f>
        <v>3</v>
      </c>
      <c r="P1336" s="159">
        <f t="shared" si="233"/>
        <v>2014</v>
      </c>
      <c r="Q1336" s="159">
        <f t="shared" si="234"/>
        <v>11</v>
      </c>
      <c r="R1336" s="160">
        <f t="shared" si="235"/>
        <v>2.7666666667792015</v>
      </c>
      <c r="S1336" s="158">
        <f t="shared" si="236"/>
        <v>0.37243589745104633</v>
      </c>
      <c r="T1336" s="161">
        <f t="shared" si="237"/>
        <v>181.00384616120851</v>
      </c>
      <c r="U1336" s="158">
        <f t="shared" si="238"/>
        <v>65.42307692307692</v>
      </c>
      <c r="V1336" s="160">
        <f t="shared" si="239"/>
        <v>65</v>
      </c>
    </row>
    <row r="1337" spans="1:22" x14ac:dyDescent="0.25">
      <c r="A1337" s="98" t="s">
        <v>27</v>
      </c>
      <c r="B1337" s="98" t="s">
        <v>20</v>
      </c>
      <c r="C1337" s="98">
        <v>90</v>
      </c>
      <c r="D1337" s="98">
        <v>1040</v>
      </c>
      <c r="E1337" s="157">
        <v>41950.997916666667</v>
      </c>
      <c r="F1337" s="157">
        <v>41952.397222222222</v>
      </c>
      <c r="G1337" s="98">
        <v>0</v>
      </c>
      <c r="H1337" s="98">
        <v>520</v>
      </c>
      <c r="I1337" s="98">
        <v>486</v>
      </c>
      <c r="J1337" s="98" t="s">
        <v>2001</v>
      </c>
      <c r="K1337" s="98" t="s">
        <v>2442</v>
      </c>
      <c r="L1337" s="105" t="str">
        <f t="shared" si="230"/>
        <v>Ghent</v>
      </c>
      <c r="M1337" s="105" t="str">
        <f t="shared" si="231"/>
        <v>Maintenance</v>
      </c>
      <c r="N1337" s="105" t="str">
        <f t="shared" si="232"/>
        <v>Coal</v>
      </c>
      <c r="O1337" s="105">
        <f>IFERROR(VLOOKUP(A1337,Lookup!$J$5:$P$19,7,FALSE),0)</f>
        <v>3</v>
      </c>
      <c r="P1337" s="159">
        <f t="shared" si="233"/>
        <v>2014</v>
      </c>
      <c r="Q1337" s="159">
        <f t="shared" si="234"/>
        <v>11</v>
      </c>
      <c r="R1337" s="160">
        <f t="shared" si="235"/>
        <v>33.583333333313931</v>
      </c>
      <c r="S1337" s="158">
        <f t="shared" si="236"/>
        <v>33.583333333313931</v>
      </c>
      <c r="T1337" s="161">
        <f t="shared" si="237"/>
        <v>16321.49999999057</v>
      </c>
      <c r="U1337" s="158">
        <f t="shared" si="238"/>
        <v>486</v>
      </c>
      <c r="V1337" s="160">
        <f t="shared" si="239"/>
        <v>486</v>
      </c>
    </row>
    <row r="1338" spans="1:22" x14ac:dyDescent="0.25">
      <c r="A1338" s="98" t="s">
        <v>27</v>
      </c>
      <c r="B1338" s="98" t="s">
        <v>32</v>
      </c>
      <c r="C1338" s="98">
        <v>91</v>
      </c>
      <c r="D1338" s="98">
        <v>340</v>
      </c>
      <c r="E1338" s="157">
        <v>41953.958333333336</v>
      </c>
      <c r="F1338" s="157">
        <v>41954.268750000003</v>
      </c>
      <c r="G1338" s="98">
        <v>460</v>
      </c>
      <c r="H1338" s="98">
        <v>520</v>
      </c>
      <c r="I1338" s="98">
        <v>486</v>
      </c>
      <c r="J1338" s="98" t="s">
        <v>1970</v>
      </c>
      <c r="K1338" s="98" t="s">
        <v>2443</v>
      </c>
      <c r="L1338" s="105" t="str">
        <f t="shared" si="230"/>
        <v>Ghent</v>
      </c>
      <c r="M1338" s="105" t="str">
        <f t="shared" si="231"/>
        <v>Derate</v>
      </c>
      <c r="N1338" s="105" t="str">
        <f t="shared" si="232"/>
        <v>Coal</v>
      </c>
      <c r="O1338" s="105">
        <f>IFERROR(VLOOKUP(A1338,Lookup!$J$5:$P$19,7,FALSE),0)</f>
        <v>3</v>
      </c>
      <c r="P1338" s="159">
        <f t="shared" si="233"/>
        <v>2014</v>
      </c>
      <c r="Q1338" s="159">
        <f t="shared" si="234"/>
        <v>11</v>
      </c>
      <c r="R1338" s="160">
        <f t="shared" si="235"/>
        <v>7.4500000000116415</v>
      </c>
      <c r="S1338" s="158">
        <f t="shared" si="236"/>
        <v>0.85961538461672782</v>
      </c>
      <c r="T1338" s="161">
        <f t="shared" si="237"/>
        <v>417.77307692372972</v>
      </c>
      <c r="U1338" s="158">
        <f t="shared" si="238"/>
        <v>56.07692307692308</v>
      </c>
      <c r="V1338" s="160">
        <f t="shared" si="239"/>
        <v>56</v>
      </c>
    </row>
    <row r="1339" spans="1:22" x14ac:dyDescent="0.25">
      <c r="A1339" s="98" t="s">
        <v>27</v>
      </c>
      <c r="B1339" s="98" t="s">
        <v>32</v>
      </c>
      <c r="C1339" s="98">
        <v>92</v>
      </c>
      <c r="D1339" s="98">
        <v>344</v>
      </c>
      <c r="E1339" s="157">
        <v>41954.958333333336</v>
      </c>
      <c r="F1339" s="157">
        <v>41955.118055555555</v>
      </c>
      <c r="G1339" s="98">
        <v>460</v>
      </c>
      <c r="H1339" s="98">
        <v>520</v>
      </c>
      <c r="I1339" s="98">
        <v>486</v>
      </c>
      <c r="J1339" s="98" t="s">
        <v>1968</v>
      </c>
      <c r="K1339" s="98" t="s">
        <v>2444</v>
      </c>
      <c r="L1339" s="105" t="str">
        <f t="shared" si="230"/>
        <v>Ghent</v>
      </c>
      <c r="M1339" s="105" t="str">
        <f t="shared" si="231"/>
        <v>Derate</v>
      </c>
      <c r="N1339" s="105" t="str">
        <f t="shared" si="232"/>
        <v>Coal</v>
      </c>
      <c r="O1339" s="105">
        <f>IFERROR(VLOOKUP(A1339,Lookup!$J$5:$P$19,7,FALSE),0)</f>
        <v>3</v>
      </c>
      <c r="P1339" s="159">
        <f t="shared" si="233"/>
        <v>2014</v>
      </c>
      <c r="Q1339" s="159">
        <f t="shared" si="234"/>
        <v>11</v>
      </c>
      <c r="R1339" s="160">
        <f t="shared" si="235"/>
        <v>3.8333333332557231</v>
      </c>
      <c r="S1339" s="158">
        <f t="shared" si="236"/>
        <v>0.44230769229873729</v>
      </c>
      <c r="T1339" s="161">
        <f t="shared" si="237"/>
        <v>214.96153845718632</v>
      </c>
      <c r="U1339" s="158">
        <f t="shared" si="238"/>
        <v>56.07692307692308</v>
      </c>
      <c r="V1339" s="160">
        <f t="shared" si="239"/>
        <v>56</v>
      </c>
    </row>
    <row r="1340" spans="1:22" x14ac:dyDescent="0.25">
      <c r="A1340" s="98" t="s">
        <v>27</v>
      </c>
      <c r="B1340" s="98" t="s">
        <v>17</v>
      </c>
      <c r="C1340" s="98">
        <v>93</v>
      </c>
      <c r="D1340" s="98">
        <v>344</v>
      </c>
      <c r="E1340" s="157">
        <v>41955.118055555555</v>
      </c>
      <c r="F1340" s="157">
        <v>41955.186805555553</v>
      </c>
      <c r="G1340" s="98">
        <v>460</v>
      </c>
      <c r="H1340" s="98">
        <v>520</v>
      </c>
      <c r="I1340" s="98">
        <v>486</v>
      </c>
      <c r="J1340" s="98" t="s">
        <v>1968</v>
      </c>
      <c r="K1340" s="98" t="s">
        <v>2445</v>
      </c>
      <c r="L1340" s="105" t="str">
        <f t="shared" si="230"/>
        <v>Ghent</v>
      </c>
      <c r="M1340" s="105" t="str">
        <f t="shared" si="231"/>
        <v>Derate</v>
      </c>
      <c r="N1340" s="105" t="str">
        <f t="shared" si="232"/>
        <v>Coal</v>
      </c>
      <c r="O1340" s="105">
        <f>IFERROR(VLOOKUP(A1340,Lookup!$J$5:$P$19,7,FALSE),0)</f>
        <v>3</v>
      </c>
      <c r="P1340" s="159">
        <f t="shared" si="233"/>
        <v>2014</v>
      </c>
      <c r="Q1340" s="159">
        <f t="shared" si="234"/>
        <v>11</v>
      </c>
      <c r="R1340" s="160">
        <f t="shared" si="235"/>
        <v>1.6499999999650754</v>
      </c>
      <c r="S1340" s="158">
        <f t="shared" si="236"/>
        <v>0.19038461538058563</v>
      </c>
      <c r="T1340" s="161">
        <f t="shared" si="237"/>
        <v>92.526923074964614</v>
      </c>
      <c r="U1340" s="158">
        <f t="shared" si="238"/>
        <v>56.07692307692308</v>
      </c>
      <c r="V1340" s="160">
        <f t="shared" si="239"/>
        <v>56</v>
      </c>
    </row>
    <row r="1341" spans="1:22" x14ac:dyDescent="0.25">
      <c r="A1341" s="98" t="s">
        <v>27</v>
      </c>
      <c r="B1341" s="98" t="s">
        <v>17</v>
      </c>
      <c r="C1341" s="98">
        <v>94</v>
      </c>
      <c r="D1341" s="98">
        <v>340</v>
      </c>
      <c r="E1341" s="157">
        <v>41955.472222222219</v>
      </c>
      <c r="F1341" s="157">
        <v>41955.673611111109</v>
      </c>
      <c r="G1341" s="98">
        <v>460</v>
      </c>
      <c r="H1341" s="98">
        <v>520</v>
      </c>
      <c r="I1341" s="98">
        <v>486</v>
      </c>
      <c r="J1341" s="98" t="s">
        <v>1970</v>
      </c>
      <c r="K1341" s="98" t="s">
        <v>2446</v>
      </c>
      <c r="L1341" s="105" t="str">
        <f t="shared" si="230"/>
        <v>Ghent</v>
      </c>
      <c r="M1341" s="105" t="str">
        <f t="shared" si="231"/>
        <v>Derate</v>
      </c>
      <c r="N1341" s="105" t="str">
        <f t="shared" si="232"/>
        <v>Coal</v>
      </c>
      <c r="O1341" s="105">
        <f>IFERROR(VLOOKUP(A1341,Lookup!$J$5:$P$19,7,FALSE),0)</f>
        <v>3</v>
      </c>
      <c r="P1341" s="159">
        <f t="shared" si="233"/>
        <v>2014</v>
      </c>
      <c r="Q1341" s="159">
        <f t="shared" si="234"/>
        <v>11</v>
      </c>
      <c r="R1341" s="160">
        <f t="shared" si="235"/>
        <v>4.8333333333721384</v>
      </c>
      <c r="S1341" s="158">
        <f t="shared" si="236"/>
        <v>0.55769230769678524</v>
      </c>
      <c r="T1341" s="161">
        <f t="shared" si="237"/>
        <v>271.03846154063763</v>
      </c>
      <c r="U1341" s="158">
        <f t="shared" si="238"/>
        <v>56.07692307692308</v>
      </c>
      <c r="V1341" s="160">
        <f t="shared" si="239"/>
        <v>56</v>
      </c>
    </row>
    <row r="1342" spans="1:22" x14ac:dyDescent="0.25">
      <c r="A1342" s="98" t="s">
        <v>27</v>
      </c>
      <c r="B1342" s="98" t="s">
        <v>17</v>
      </c>
      <c r="C1342" s="98">
        <v>95</v>
      </c>
      <c r="D1342" s="98">
        <v>344</v>
      </c>
      <c r="E1342" s="157">
        <v>41962.958333333336</v>
      </c>
      <c r="F1342" s="157">
        <v>41963.076388888891</v>
      </c>
      <c r="G1342" s="98">
        <v>460</v>
      </c>
      <c r="H1342" s="98">
        <v>520</v>
      </c>
      <c r="I1342" s="98">
        <v>486</v>
      </c>
      <c r="J1342" s="98" t="s">
        <v>1968</v>
      </c>
      <c r="K1342" s="98" t="s">
        <v>2447</v>
      </c>
      <c r="L1342" s="105" t="str">
        <f t="shared" si="230"/>
        <v>Ghent</v>
      </c>
      <c r="M1342" s="105" t="str">
        <f t="shared" si="231"/>
        <v>Derate</v>
      </c>
      <c r="N1342" s="105" t="str">
        <f t="shared" si="232"/>
        <v>Coal</v>
      </c>
      <c r="O1342" s="105">
        <f>IFERROR(VLOOKUP(A1342,Lookup!$J$5:$P$19,7,FALSE),0)</f>
        <v>3</v>
      </c>
      <c r="P1342" s="159">
        <f t="shared" si="233"/>
        <v>2014</v>
      </c>
      <c r="Q1342" s="159">
        <f t="shared" si="234"/>
        <v>11</v>
      </c>
      <c r="R1342" s="160">
        <f t="shared" si="235"/>
        <v>2.8333333333139308</v>
      </c>
      <c r="S1342" s="158">
        <f t="shared" si="236"/>
        <v>0.32692307692083816</v>
      </c>
      <c r="T1342" s="161">
        <f t="shared" si="237"/>
        <v>158.88461538352735</v>
      </c>
      <c r="U1342" s="158">
        <f t="shared" si="238"/>
        <v>56.07692307692308</v>
      </c>
      <c r="V1342" s="160">
        <f t="shared" si="239"/>
        <v>56</v>
      </c>
    </row>
    <row r="1343" spans="1:22" x14ac:dyDescent="0.25">
      <c r="A1343" s="98" t="s">
        <v>27</v>
      </c>
      <c r="B1343" s="98" t="s">
        <v>32</v>
      </c>
      <c r="C1343" s="98">
        <v>96</v>
      </c>
      <c r="D1343" s="98">
        <v>350</v>
      </c>
      <c r="E1343" s="157">
        <v>41965.26666666667</v>
      </c>
      <c r="F1343" s="157">
        <v>41965.37777777778</v>
      </c>
      <c r="G1343" s="98">
        <v>460</v>
      </c>
      <c r="H1343" s="98">
        <v>520</v>
      </c>
      <c r="I1343" s="98">
        <v>486</v>
      </c>
      <c r="J1343" s="98" t="s">
        <v>1976</v>
      </c>
      <c r="K1343" s="98" t="s">
        <v>2448</v>
      </c>
      <c r="L1343" s="105" t="str">
        <f t="shared" si="230"/>
        <v>Ghent</v>
      </c>
      <c r="M1343" s="105" t="str">
        <f t="shared" si="231"/>
        <v>Derate</v>
      </c>
      <c r="N1343" s="105" t="str">
        <f t="shared" si="232"/>
        <v>Coal</v>
      </c>
      <c r="O1343" s="105">
        <f>IFERROR(VLOOKUP(A1343,Lookup!$J$5:$P$19,7,FALSE),0)</f>
        <v>3</v>
      </c>
      <c r="P1343" s="159">
        <f t="shared" si="233"/>
        <v>2014</v>
      </c>
      <c r="Q1343" s="159">
        <f t="shared" si="234"/>
        <v>11</v>
      </c>
      <c r="R1343" s="160">
        <f t="shared" si="235"/>
        <v>2.6666666666278616</v>
      </c>
      <c r="S1343" s="158">
        <f t="shared" si="236"/>
        <v>0.30769230768783018</v>
      </c>
      <c r="T1343" s="161">
        <f t="shared" si="237"/>
        <v>149.53846153628547</v>
      </c>
      <c r="U1343" s="158">
        <f t="shared" si="238"/>
        <v>56.07692307692308</v>
      </c>
      <c r="V1343" s="160">
        <f t="shared" si="239"/>
        <v>56</v>
      </c>
    </row>
    <row r="1344" spans="1:22" x14ac:dyDescent="0.25">
      <c r="A1344" s="98" t="s">
        <v>27</v>
      </c>
      <c r="B1344" s="98" t="s">
        <v>17</v>
      </c>
      <c r="C1344" s="98">
        <v>97</v>
      </c>
      <c r="D1344" s="98">
        <v>1470</v>
      </c>
      <c r="E1344" s="157">
        <v>41968.034722222219</v>
      </c>
      <c r="F1344" s="157">
        <v>41968.195833333331</v>
      </c>
      <c r="G1344" s="98">
        <v>200</v>
      </c>
      <c r="H1344" s="98">
        <v>520</v>
      </c>
      <c r="I1344" s="98">
        <v>486</v>
      </c>
      <c r="J1344" s="98" t="s">
        <v>2005</v>
      </c>
      <c r="K1344" s="98" t="s">
        <v>2449</v>
      </c>
      <c r="L1344" s="105" t="str">
        <f t="shared" si="230"/>
        <v>Ghent</v>
      </c>
      <c r="M1344" s="105" t="str">
        <f t="shared" si="231"/>
        <v>Derate</v>
      </c>
      <c r="N1344" s="105" t="str">
        <f t="shared" si="232"/>
        <v>Coal</v>
      </c>
      <c r="O1344" s="105">
        <f>IFERROR(VLOOKUP(A1344,Lookup!$J$5:$P$19,7,FALSE),0)</f>
        <v>3</v>
      </c>
      <c r="P1344" s="159">
        <f t="shared" si="233"/>
        <v>2014</v>
      </c>
      <c r="Q1344" s="159">
        <f t="shared" si="234"/>
        <v>11</v>
      </c>
      <c r="R1344" s="160">
        <f t="shared" si="235"/>
        <v>3.8666666666977108</v>
      </c>
      <c r="S1344" s="158">
        <f t="shared" si="236"/>
        <v>2.3794871795062837</v>
      </c>
      <c r="T1344" s="161">
        <f t="shared" si="237"/>
        <v>1156.4307692400539</v>
      </c>
      <c r="U1344" s="158">
        <f t="shared" si="238"/>
        <v>299.07692307692309</v>
      </c>
      <c r="V1344" s="160">
        <f t="shared" si="239"/>
        <v>299</v>
      </c>
    </row>
    <row r="1345" spans="1:22" x14ac:dyDescent="0.25">
      <c r="A1345" s="98" t="s">
        <v>27</v>
      </c>
      <c r="B1345" s="98" t="s">
        <v>17</v>
      </c>
      <c r="C1345" s="98">
        <v>98</v>
      </c>
      <c r="D1345" s="98">
        <v>340</v>
      </c>
      <c r="E1345" s="157">
        <v>41968.785416666666</v>
      </c>
      <c r="F1345" s="157">
        <v>41968.898611111108</v>
      </c>
      <c r="G1345" s="98">
        <v>460</v>
      </c>
      <c r="H1345" s="98">
        <v>520</v>
      </c>
      <c r="I1345" s="98">
        <v>486</v>
      </c>
      <c r="J1345" s="98" t="s">
        <v>1970</v>
      </c>
      <c r="K1345" s="98" t="s">
        <v>2450</v>
      </c>
      <c r="L1345" s="105" t="str">
        <f t="shared" si="230"/>
        <v>Ghent</v>
      </c>
      <c r="M1345" s="105" t="str">
        <f t="shared" si="231"/>
        <v>Derate</v>
      </c>
      <c r="N1345" s="105" t="str">
        <f t="shared" si="232"/>
        <v>Coal</v>
      </c>
      <c r="O1345" s="105">
        <f>IFERROR(VLOOKUP(A1345,Lookup!$J$5:$P$19,7,FALSE),0)</f>
        <v>3</v>
      </c>
      <c r="P1345" s="159">
        <f t="shared" si="233"/>
        <v>2014</v>
      </c>
      <c r="Q1345" s="159">
        <f t="shared" si="234"/>
        <v>11</v>
      </c>
      <c r="R1345" s="160">
        <f t="shared" si="235"/>
        <v>2.71666666661622</v>
      </c>
      <c r="S1345" s="158">
        <f t="shared" si="236"/>
        <v>0.31346153845571767</v>
      </c>
      <c r="T1345" s="161">
        <f t="shared" si="237"/>
        <v>152.34230768947879</v>
      </c>
      <c r="U1345" s="158">
        <f t="shared" si="238"/>
        <v>56.07692307692308</v>
      </c>
      <c r="V1345" s="160">
        <f t="shared" si="239"/>
        <v>56</v>
      </c>
    </row>
    <row r="1346" spans="1:22" x14ac:dyDescent="0.25">
      <c r="A1346" s="98" t="s">
        <v>27</v>
      </c>
      <c r="B1346" s="98" t="s">
        <v>17</v>
      </c>
      <c r="C1346" s="98">
        <v>99</v>
      </c>
      <c r="D1346" s="98">
        <v>350</v>
      </c>
      <c r="E1346" s="157">
        <v>41973.35833333333</v>
      </c>
      <c r="F1346" s="157">
        <v>41973.46875</v>
      </c>
      <c r="G1346" s="98">
        <v>450</v>
      </c>
      <c r="H1346" s="98">
        <v>520</v>
      </c>
      <c r="I1346" s="98">
        <v>486</v>
      </c>
      <c r="J1346" s="98" t="s">
        <v>1976</v>
      </c>
      <c r="K1346" s="98" t="s">
        <v>2451</v>
      </c>
      <c r="L1346" s="105" t="str">
        <f t="shared" si="230"/>
        <v>Ghent</v>
      </c>
      <c r="M1346" s="105" t="str">
        <f t="shared" si="231"/>
        <v>Derate</v>
      </c>
      <c r="N1346" s="105" t="str">
        <f t="shared" si="232"/>
        <v>Coal</v>
      </c>
      <c r="O1346" s="105">
        <f>IFERROR(VLOOKUP(A1346,Lookup!$J$5:$P$19,7,FALSE),0)</f>
        <v>3</v>
      </c>
      <c r="P1346" s="159">
        <f t="shared" si="233"/>
        <v>2014</v>
      </c>
      <c r="Q1346" s="159">
        <f t="shared" si="234"/>
        <v>11</v>
      </c>
      <c r="R1346" s="160">
        <f t="shared" si="235"/>
        <v>2.6500000000814907</v>
      </c>
      <c r="S1346" s="158">
        <f t="shared" si="236"/>
        <v>0.35673076924173913</v>
      </c>
      <c r="T1346" s="161">
        <f t="shared" si="237"/>
        <v>173.37115385148522</v>
      </c>
      <c r="U1346" s="158">
        <f t="shared" si="238"/>
        <v>65.42307692307692</v>
      </c>
      <c r="V1346" s="160">
        <f t="shared" si="239"/>
        <v>65</v>
      </c>
    </row>
    <row r="1347" spans="1:22" x14ac:dyDescent="0.25">
      <c r="A1347" s="98" t="s">
        <v>27</v>
      </c>
      <c r="B1347" s="98" t="s">
        <v>32</v>
      </c>
      <c r="C1347" s="98">
        <v>100</v>
      </c>
      <c r="D1347" s="98">
        <v>1100</v>
      </c>
      <c r="E1347" s="157">
        <v>41976.958333333336</v>
      </c>
      <c r="F1347" s="157">
        <v>41977.166666666664</v>
      </c>
      <c r="G1347" s="98">
        <v>200</v>
      </c>
      <c r="H1347" s="98">
        <v>520</v>
      </c>
      <c r="I1347" s="98">
        <v>486</v>
      </c>
      <c r="J1347" s="98" t="s">
        <v>2038</v>
      </c>
      <c r="K1347" s="98" t="s">
        <v>2452</v>
      </c>
      <c r="L1347" s="105" t="str">
        <f t="shared" si="230"/>
        <v>Ghent</v>
      </c>
      <c r="M1347" s="105" t="str">
        <f t="shared" si="231"/>
        <v>Derate</v>
      </c>
      <c r="N1347" s="105" t="str">
        <f t="shared" si="232"/>
        <v>Coal</v>
      </c>
      <c r="O1347" s="105">
        <f>IFERROR(VLOOKUP(A1347,Lookup!$J$5:$P$19,7,FALSE),0)</f>
        <v>3</v>
      </c>
      <c r="P1347" s="159">
        <f t="shared" si="233"/>
        <v>2014</v>
      </c>
      <c r="Q1347" s="159">
        <f t="shared" si="234"/>
        <v>12</v>
      </c>
      <c r="R1347" s="160">
        <f t="shared" si="235"/>
        <v>4.9999999998835847</v>
      </c>
      <c r="S1347" s="158">
        <f t="shared" si="236"/>
        <v>3.0769230768514366</v>
      </c>
      <c r="T1347" s="161">
        <f t="shared" si="237"/>
        <v>1495.3846153497982</v>
      </c>
      <c r="U1347" s="158">
        <f t="shared" si="238"/>
        <v>299.07692307692309</v>
      </c>
      <c r="V1347" s="160">
        <f t="shared" si="239"/>
        <v>299</v>
      </c>
    </row>
    <row r="1348" spans="1:22" x14ac:dyDescent="0.25">
      <c r="A1348" s="98" t="s">
        <v>27</v>
      </c>
      <c r="B1348" s="98" t="s">
        <v>17</v>
      </c>
      <c r="C1348" s="98">
        <v>101</v>
      </c>
      <c r="D1348" s="98">
        <v>340</v>
      </c>
      <c r="E1348" s="157">
        <v>41985.069444444445</v>
      </c>
      <c r="F1348" s="157">
        <v>41985.138888888891</v>
      </c>
      <c r="G1348" s="98">
        <v>440</v>
      </c>
      <c r="H1348" s="98">
        <v>520</v>
      </c>
      <c r="I1348" s="98">
        <v>486</v>
      </c>
      <c r="J1348" s="98" t="s">
        <v>1970</v>
      </c>
      <c r="K1348" s="98" t="s">
        <v>2453</v>
      </c>
      <c r="L1348" s="105" t="str">
        <f t="shared" si="230"/>
        <v>Ghent</v>
      </c>
      <c r="M1348" s="105" t="str">
        <f t="shared" si="231"/>
        <v>Derate</v>
      </c>
      <c r="N1348" s="105" t="str">
        <f t="shared" si="232"/>
        <v>Coal</v>
      </c>
      <c r="O1348" s="105">
        <f>IFERROR(VLOOKUP(A1348,Lookup!$J$5:$P$19,7,FALSE),0)</f>
        <v>3</v>
      </c>
      <c r="P1348" s="159">
        <f t="shared" si="233"/>
        <v>2014</v>
      </c>
      <c r="Q1348" s="159">
        <f t="shared" si="234"/>
        <v>12</v>
      </c>
      <c r="R1348" s="160">
        <f t="shared" si="235"/>
        <v>1.6666666666860692</v>
      </c>
      <c r="S1348" s="158">
        <f t="shared" si="236"/>
        <v>0.25641025641324144</v>
      </c>
      <c r="T1348" s="161">
        <f t="shared" si="237"/>
        <v>124.61538461683534</v>
      </c>
      <c r="U1348" s="158">
        <f t="shared" si="238"/>
        <v>74.769230769230774</v>
      </c>
      <c r="V1348" s="160">
        <f t="shared" si="239"/>
        <v>75</v>
      </c>
    </row>
    <row r="1349" spans="1:22" x14ac:dyDescent="0.25">
      <c r="A1349" s="98" t="s">
        <v>27</v>
      </c>
      <c r="B1349" s="98" t="s">
        <v>17</v>
      </c>
      <c r="C1349" s="98">
        <v>102</v>
      </c>
      <c r="D1349" s="98">
        <v>340</v>
      </c>
      <c r="E1349" s="157">
        <v>41985.458333333336</v>
      </c>
      <c r="F1349" s="157">
        <v>41985.5625</v>
      </c>
      <c r="G1349" s="98">
        <v>440</v>
      </c>
      <c r="H1349" s="98">
        <v>520</v>
      </c>
      <c r="I1349" s="98">
        <v>486</v>
      </c>
      <c r="J1349" s="98" t="s">
        <v>1970</v>
      </c>
      <c r="K1349" s="98" t="s">
        <v>2454</v>
      </c>
      <c r="L1349" s="105" t="str">
        <f t="shared" si="230"/>
        <v>Ghent</v>
      </c>
      <c r="M1349" s="105" t="str">
        <f t="shared" si="231"/>
        <v>Derate</v>
      </c>
      <c r="N1349" s="105" t="str">
        <f t="shared" si="232"/>
        <v>Coal</v>
      </c>
      <c r="O1349" s="105">
        <f>IFERROR(VLOOKUP(A1349,Lookup!$J$5:$P$19,7,FALSE),0)</f>
        <v>3</v>
      </c>
      <c r="P1349" s="159">
        <f t="shared" si="233"/>
        <v>2014</v>
      </c>
      <c r="Q1349" s="159">
        <f t="shared" si="234"/>
        <v>12</v>
      </c>
      <c r="R1349" s="160">
        <f t="shared" si="235"/>
        <v>2.4999999999417923</v>
      </c>
      <c r="S1349" s="158">
        <f t="shared" si="236"/>
        <v>0.38461538460642958</v>
      </c>
      <c r="T1349" s="161">
        <f t="shared" si="237"/>
        <v>186.92307691872477</v>
      </c>
      <c r="U1349" s="158">
        <f t="shared" si="238"/>
        <v>74.769230769230774</v>
      </c>
      <c r="V1349" s="160">
        <f t="shared" si="239"/>
        <v>75</v>
      </c>
    </row>
    <row r="1350" spans="1:22" x14ac:dyDescent="0.25">
      <c r="A1350" s="98" t="s">
        <v>27</v>
      </c>
      <c r="B1350" s="98" t="s">
        <v>17</v>
      </c>
      <c r="C1350" s="98">
        <v>103</v>
      </c>
      <c r="D1350" s="98">
        <v>320</v>
      </c>
      <c r="E1350" s="157">
        <v>41999.036111111112</v>
      </c>
      <c r="F1350" s="157">
        <v>41999.080555555556</v>
      </c>
      <c r="G1350" s="98">
        <v>430</v>
      </c>
      <c r="H1350" s="98">
        <v>520</v>
      </c>
      <c r="I1350" s="98">
        <v>486</v>
      </c>
      <c r="J1350" s="98" t="s">
        <v>1992</v>
      </c>
      <c r="K1350" s="98" t="s">
        <v>2455</v>
      </c>
      <c r="L1350" s="105" t="str">
        <f t="shared" si="230"/>
        <v>Ghent</v>
      </c>
      <c r="M1350" s="105" t="str">
        <f t="shared" si="231"/>
        <v>Derate</v>
      </c>
      <c r="N1350" s="105" t="str">
        <f t="shared" si="232"/>
        <v>Coal</v>
      </c>
      <c r="O1350" s="105">
        <f>IFERROR(VLOOKUP(A1350,Lookup!$J$5:$P$19,7,FALSE),0)</f>
        <v>3</v>
      </c>
      <c r="P1350" s="159">
        <f t="shared" si="233"/>
        <v>2014</v>
      </c>
      <c r="Q1350" s="159">
        <f t="shared" si="234"/>
        <v>12</v>
      </c>
      <c r="R1350" s="160">
        <f t="shared" si="235"/>
        <v>1.0666666666511446</v>
      </c>
      <c r="S1350" s="158">
        <f t="shared" si="236"/>
        <v>0.18461538461269811</v>
      </c>
      <c r="T1350" s="161">
        <f t="shared" si="237"/>
        <v>89.72307692177128</v>
      </c>
      <c r="U1350" s="158">
        <f t="shared" si="238"/>
        <v>84.115384615384613</v>
      </c>
      <c r="V1350" s="160">
        <f t="shared" si="239"/>
        <v>84</v>
      </c>
    </row>
    <row r="1351" spans="1:22" x14ac:dyDescent="0.25">
      <c r="A1351" s="98" t="s">
        <v>27</v>
      </c>
      <c r="B1351" s="98" t="s">
        <v>17</v>
      </c>
      <c r="C1351" s="98">
        <v>104</v>
      </c>
      <c r="D1351" s="98">
        <v>346</v>
      </c>
      <c r="E1351" s="157">
        <v>41999.5625</v>
      </c>
      <c r="F1351" s="157">
        <v>41999.631249999999</v>
      </c>
      <c r="G1351" s="98">
        <v>460</v>
      </c>
      <c r="H1351" s="98">
        <v>520</v>
      </c>
      <c r="I1351" s="98">
        <v>486</v>
      </c>
      <c r="J1351" s="98" t="s">
        <v>1986</v>
      </c>
      <c r="K1351" s="98" t="s">
        <v>2456</v>
      </c>
      <c r="L1351" s="105" t="str">
        <f t="shared" si="230"/>
        <v>Ghent</v>
      </c>
      <c r="M1351" s="105" t="str">
        <f t="shared" si="231"/>
        <v>Derate</v>
      </c>
      <c r="N1351" s="105" t="str">
        <f t="shared" si="232"/>
        <v>Coal</v>
      </c>
      <c r="O1351" s="105">
        <f>IFERROR(VLOOKUP(A1351,Lookup!$J$5:$P$19,7,FALSE),0)</f>
        <v>3</v>
      </c>
      <c r="P1351" s="159">
        <f t="shared" si="233"/>
        <v>2014</v>
      </c>
      <c r="Q1351" s="159">
        <f t="shared" si="234"/>
        <v>12</v>
      </c>
      <c r="R1351" s="160">
        <f t="shared" si="235"/>
        <v>1.6499999999650754</v>
      </c>
      <c r="S1351" s="158">
        <f t="shared" si="236"/>
        <v>0.19038461538058563</v>
      </c>
      <c r="T1351" s="161">
        <f t="shared" si="237"/>
        <v>92.526923074964614</v>
      </c>
      <c r="U1351" s="158">
        <f t="shared" si="238"/>
        <v>56.07692307692308</v>
      </c>
      <c r="V1351" s="160">
        <f t="shared" si="239"/>
        <v>56</v>
      </c>
    </row>
    <row r="1352" spans="1:22" x14ac:dyDescent="0.25">
      <c r="A1352" s="98" t="s">
        <v>27</v>
      </c>
      <c r="B1352" s="98" t="s">
        <v>17</v>
      </c>
      <c r="C1352" s="98">
        <v>1</v>
      </c>
      <c r="D1352" s="98">
        <v>340</v>
      </c>
      <c r="E1352" s="157">
        <v>42012.55</v>
      </c>
      <c r="F1352" s="157">
        <v>42012.732638888891</v>
      </c>
      <c r="G1352" s="98">
        <v>440</v>
      </c>
      <c r="H1352" s="98">
        <v>520</v>
      </c>
      <c r="I1352" s="98">
        <v>486</v>
      </c>
      <c r="J1352" s="98" t="s">
        <v>1970</v>
      </c>
      <c r="K1352" s="98" t="s">
        <v>2457</v>
      </c>
      <c r="L1352" s="105" t="str">
        <f t="shared" si="230"/>
        <v>Ghent</v>
      </c>
      <c r="M1352" s="105" t="str">
        <f t="shared" si="231"/>
        <v>Derate</v>
      </c>
      <c r="N1352" s="105" t="str">
        <f t="shared" si="232"/>
        <v>Coal</v>
      </c>
      <c r="O1352" s="105">
        <f>IFERROR(VLOOKUP(A1352,Lookup!$J$5:$P$19,7,FALSE),0)</f>
        <v>3</v>
      </c>
      <c r="P1352" s="159">
        <f t="shared" si="233"/>
        <v>2015</v>
      </c>
      <c r="Q1352" s="159">
        <f t="shared" si="234"/>
        <v>1</v>
      </c>
      <c r="R1352" s="160">
        <f t="shared" si="235"/>
        <v>4.3833333333022892</v>
      </c>
      <c r="S1352" s="158">
        <f t="shared" si="236"/>
        <v>0.67435897435419834</v>
      </c>
      <c r="T1352" s="161">
        <f t="shared" si="237"/>
        <v>327.73846153614039</v>
      </c>
      <c r="U1352" s="158">
        <f t="shared" si="238"/>
        <v>74.769230769230774</v>
      </c>
      <c r="V1352" s="160">
        <f t="shared" si="239"/>
        <v>75</v>
      </c>
    </row>
    <row r="1353" spans="1:22" x14ac:dyDescent="0.25">
      <c r="A1353" s="98" t="s">
        <v>27</v>
      </c>
      <c r="B1353" s="98" t="s">
        <v>17</v>
      </c>
      <c r="C1353" s="98">
        <v>2</v>
      </c>
      <c r="D1353" s="98">
        <v>340</v>
      </c>
      <c r="E1353" s="157">
        <v>42012.732638888891</v>
      </c>
      <c r="F1353" s="157">
        <v>42012.843055555553</v>
      </c>
      <c r="G1353" s="98">
        <v>440</v>
      </c>
      <c r="H1353" s="98">
        <v>520</v>
      </c>
      <c r="I1353" s="98">
        <v>486</v>
      </c>
      <c r="J1353" s="98" t="s">
        <v>1970</v>
      </c>
      <c r="K1353" s="98" t="s">
        <v>2458</v>
      </c>
      <c r="L1353" s="105" t="str">
        <f t="shared" si="230"/>
        <v>Ghent</v>
      </c>
      <c r="M1353" s="105" t="str">
        <f t="shared" si="231"/>
        <v>Derate</v>
      </c>
      <c r="N1353" s="105" t="str">
        <f t="shared" si="232"/>
        <v>Coal</v>
      </c>
      <c r="O1353" s="105">
        <f>IFERROR(VLOOKUP(A1353,Lookup!$J$5:$P$19,7,FALSE),0)</f>
        <v>3</v>
      </c>
      <c r="P1353" s="159">
        <f t="shared" si="233"/>
        <v>2015</v>
      </c>
      <c r="Q1353" s="159">
        <f t="shared" si="234"/>
        <v>1</v>
      </c>
      <c r="R1353" s="160">
        <f t="shared" si="235"/>
        <v>2.6499999999068677</v>
      </c>
      <c r="S1353" s="158">
        <f t="shared" si="236"/>
        <v>0.40769230767797965</v>
      </c>
      <c r="T1353" s="161">
        <f t="shared" si="237"/>
        <v>198.13846153149811</v>
      </c>
      <c r="U1353" s="158">
        <f t="shared" si="238"/>
        <v>74.769230769230774</v>
      </c>
      <c r="V1353" s="160">
        <f t="shared" si="239"/>
        <v>75</v>
      </c>
    </row>
    <row r="1354" spans="1:22" x14ac:dyDescent="0.25">
      <c r="A1354" s="98" t="s">
        <v>27</v>
      </c>
      <c r="B1354" s="98" t="s">
        <v>17</v>
      </c>
      <c r="C1354" s="98">
        <v>3</v>
      </c>
      <c r="D1354" s="98">
        <v>280</v>
      </c>
      <c r="E1354" s="157">
        <v>42013.161805555559</v>
      </c>
      <c r="F1354" s="157">
        <v>42013.440972222219</v>
      </c>
      <c r="G1354" s="98">
        <v>440</v>
      </c>
      <c r="H1354" s="98">
        <v>520</v>
      </c>
      <c r="I1354" s="98">
        <v>486</v>
      </c>
      <c r="J1354" s="98" t="s">
        <v>1988</v>
      </c>
      <c r="K1354" s="98" t="s">
        <v>2459</v>
      </c>
      <c r="L1354" s="105" t="str">
        <f t="shared" si="230"/>
        <v>Ghent</v>
      </c>
      <c r="M1354" s="105" t="str">
        <f t="shared" si="231"/>
        <v>Derate</v>
      </c>
      <c r="N1354" s="105" t="str">
        <f t="shared" si="232"/>
        <v>Coal</v>
      </c>
      <c r="O1354" s="105">
        <f>IFERROR(VLOOKUP(A1354,Lookup!$J$5:$P$19,7,FALSE),0)</f>
        <v>3</v>
      </c>
      <c r="P1354" s="159">
        <f t="shared" si="233"/>
        <v>2015</v>
      </c>
      <c r="Q1354" s="159">
        <f t="shared" si="234"/>
        <v>1</v>
      </c>
      <c r="R1354" s="160">
        <f t="shared" si="235"/>
        <v>6.6999999998370185</v>
      </c>
      <c r="S1354" s="158">
        <f t="shared" si="236"/>
        <v>1.0307692307441567</v>
      </c>
      <c r="T1354" s="161">
        <f t="shared" si="237"/>
        <v>500.95384614166016</v>
      </c>
      <c r="U1354" s="158">
        <f t="shared" si="238"/>
        <v>74.769230769230774</v>
      </c>
      <c r="V1354" s="160">
        <f t="shared" si="239"/>
        <v>75</v>
      </c>
    </row>
    <row r="1355" spans="1:22" x14ac:dyDescent="0.25">
      <c r="A1355" s="98" t="s">
        <v>27</v>
      </c>
      <c r="B1355" s="98" t="s">
        <v>17</v>
      </c>
      <c r="C1355" s="98">
        <v>4</v>
      </c>
      <c r="D1355" s="98">
        <v>340</v>
      </c>
      <c r="E1355" s="157">
        <v>42020.581944444442</v>
      </c>
      <c r="F1355" s="157">
        <v>42020.75</v>
      </c>
      <c r="G1355" s="98">
        <v>430</v>
      </c>
      <c r="H1355" s="98">
        <v>520</v>
      </c>
      <c r="I1355" s="98">
        <v>486</v>
      </c>
      <c r="J1355" s="98" t="s">
        <v>1970</v>
      </c>
      <c r="K1355" s="98" t="s">
        <v>2460</v>
      </c>
      <c r="L1355" s="105" t="str">
        <f t="shared" si="230"/>
        <v>Ghent</v>
      </c>
      <c r="M1355" s="105" t="str">
        <f t="shared" si="231"/>
        <v>Derate</v>
      </c>
      <c r="N1355" s="105" t="str">
        <f t="shared" si="232"/>
        <v>Coal</v>
      </c>
      <c r="O1355" s="105">
        <f>IFERROR(VLOOKUP(A1355,Lookup!$J$5:$P$19,7,FALSE),0)</f>
        <v>3</v>
      </c>
      <c r="P1355" s="159">
        <f t="shared" si="233"/>
        <v>2015</v>
      </c>
      <c r="Q1355" s="159">
        <f t="shared" si="234"/>
        <v>1</v>
      </c>
      <c r="R1355" s="160">
        <f t="shared" si="235"/>
        <v>4.03333333338378</v>
      </c>
      <c r="S1355" s="158">
        <f t="shared" si="236"/>
        <v>0.69807692308565428</v>
      </c>
      <c r="T1355" s="161">
        <f t="shared" si="237"/>
        <v>339.26538461962798</v>
      </c>
      <c r="U1355" s="158">
        <f t="shared" si="238"/>
        <v>84.115384615384613</v>
      </c>
      <c r="V1355" s="160">
        <f t="shared" si="239"/>
        <v>84</v>
      </c>
    </row>
    <row r="1356" spans="1:22" x14ac:dyDescent="0.25">
      <c r="A1356" s="98" t="s">
        <v>27</v>
      </c>
      <c r="B1356" s="98" t="s">
        <v>15</v>
      </c>
      <c r="C1356" s="98">
        <v>5</v>
      </c>
      <c r="D1356" s="98">
        <v>3621</v>
      </c>
      <c r="E1356" s="157">
        <v>42029.625</v>
      </c>
      <c r="F1356" s="157">
        <v>42029.859722222223</v>
      </c>
      <c r="G1356" s="98">
        <v>0</v>
      </c>
      <c r="H1356" s="98">
        <v>520</v>
      </c>
      <c r="I1356" s="98">
        <v>486</v>
      </c>
      <c r="J1356" s="98" t="s">
        <v>1993</v>
      </c>
      <c r="K1356" s="98" t="s">
        <v>2461</v>
      </c>
      <c r="L1356" s="105" t="str">
        <f t="shared" si="230"/>
        <v>Ghent</v>
      </c>
      <c r="M1356" s="105" t="str">
        <f t="shared" si="231"/>
        <v>Outage</v>
      </c>
      <c r="N1356" s="105" t="str">
        <f t="shared" si="232"/>
        <v>Coal</v>
      </c>
      <c r="O1356" s="105">
        <f>IFERROR(VLOOKUP(A1356,Lookup!$J$5:$P$19,7,FALSE),0)</f>
        <v>3</v>
      </c>
      <c r="P1356" s="159">
        <f t="shared" si="233"/>
        <v>2015</v>
      </c>
      <c r="Q1356" s="159">
        <f t="shared" si="234"/>
        <v>1</v>
      </c>
      <c r="R1356" s="160">
        <f t="shared" si="235"/>
        <v>5.6333333333604969</v>
      </c>
      <c r="S1356" s="158">
        <f t="shared" si="236"/>
        <v>5.6333333333604969</v>
      </c>
      <c r="T1356" s="161">
        <f t="shared" si="237"/>
        <v>2737.8000000132015</v>
      </c>
      <c r="U1356" s="158">
        <f t="shared" si="238"/>
        <v>486</v>
      </c>
      <c r="V1356" s="160">
        <f t="shared" si="239"/>
        <v>486</v>
      </c>
    </row>
    <row r="1357" spans="1:22" x14ac:dyDescent="0.25">
      <c r="A1357" s="98" t="s">
        <v>27</v>
      </c>
      <c r="B1357" s="98" t="s">
        <v>18</v>
      </c>
      <c r="C1357" s="98">
        <v>6</v>
      </c>
      <c r="D1357" s="98">
        <v>4309</v>
      </c>
      <c r="E1357" s="157">
        <v>42029.859722222223</v>
      </c>
      <c r="F1357" s="157">
        <v>42030.827777777777</v>
      </c>
      <c r="G1357" s="98">
        <v>0</v>
      </c>
      <c r="H1357" s="98">
        <v>520</v>
      </c>
      <c r="I1357" s="98">
        <v>486</v>
      </c>
      <c r="J1357" s="98" t="s">
        <v>2266</v>
      </c>
      <c r="K1357" s="98" t="s">
        <v>2462</v>
      </c>
      <c r="L1357" s="105" t="str">
        <f t="shared" si="230"/>
        <v>Ghent</v>
      </c>
      <c r="M1357" s="105" t="str">
        <f t="shared" si="231"/>
        <v>Outage</v>
      </c>
      <c r="N1357" s="105" t="str">
        <f t="shared" si="232"/>
        <v>Coal</v>
      </c>
      <c r="O1357" s="105">
        <f>IFERROR(VLOOKUP(A1357,Lookup!$J$5:$P$19,7,FALSE),0)</f>
        <v>3</v>
      </c>
      <c r="P1357" s="159">
        <f t="shared" si="233"/>
        <v>2015</v>
      </c>
      <c r="Q1357" s="159">
        <f t="shared" si="234"/>
        <v>1</v>
      </c>
      <c r="R1357" s="160">
        <f t="shared" si="235"/>
        <v>23.233333333279006</v>
      </c>
      <c r="S1357" s="158">
        <f t="shared" si="236"/>
        <v>23.233333333279006</v>
      </c>
      <c r="T1357" s="161">
        <f t="shared" si="237"/>
        <v>11291.399999973597</v>
      </c>
      <c r="U1357" s="158">
        <f t="shared" si="238"/>
        <v>486</v>
      </c>
      <c r="V1357" s="160">
        <f t="shared" si="239"/>
        <v>486</v>
      </c>
    </row>
    <row r="1358" spans="1:22" x14ac:dyDescent="0.25">
      <c r="A1358" s="98" t="s">
        <v>27</v>
      </c>
      <c r="B1358" s="98" t="s">
        <v>17</v>
      </c>
      <c r="C1358" s="98">
        <v>7</v>
      </c>
      <c r="D1358" s="98">
        <v>344</v>
      </c>
      <c r="E1358" s="157">
        <v>42033.597222222219</v>
      </c>
      <c r="F1358" s="157">
        <v>42033.68472222222</v>
      </c>
      <c r="G1358" s="98">
        <v>460</v>
      </c>
      <c r="H1358" s="98">
        <v>520</v>
      </c>
      <c r="I1358" s="98">
        <v>486</v>
      </c>
      <c r="J1358" s="98" t="s">
        <v>1968</v>
      </c>
      <c r="K1358" s="98" t="s">
        <v>2463</v>
      </c>
      <c r="L1358" s="105" t="str">
        <f t="shared" si="230"/>
        <v>Ghent</v>
      </c>
      <c r="M1358" s="105" t="str">
        <f t="shared" si="231"/>
        <v>Derate</v>
      </c>
      <c r="N1358" s="105" t="str">
        <f t="shared" si="232"/>
        <v>Coal</v>
      </c>
      <c r="O1358" s="105">
        <f>IFERROR(VLOOKUP(A1358,Lookup!$J$5:$P$19,7,FALSE),0)</f>
        <v>3</v>
      </c>
      <c r="P1358" s="159">
        <f t="shared" si="233"/>
        <v>2015</v>
      </c>
      <c r="Q1358" s="159">
        <f t="shared" si="234"/>
        <v>1</v>
      </c>
      <c r="R1358" s="160">
        <f t="shared" si="235"/>
        <v>2.1000000000349246</v>
      </c>
      <c r="S1358" s="158">
        <f t="shared" si="236"/>
        <v>0.24230769231172206</v>
      </c>
      <c r="T1358" s="161">
        <f t="shared" si="237"/>
        <v>117.76153846349692</v>
      </c>
      <c r="U1358" s="158">
        <f t="shared" si="238"/>
        <v>56.07692307692308</v>
      </c>
      <c r="V1358" s="160">
        <f t="shared" si="239"/>
        <v>56</v>
      </c>
    </row>
    <row r="1359" spans="1:22" x14ac:dyDescent="0.25">
      <c r="A1359" s="98" t="s">
        <v>27</v>
      </c>
      <c r="B1359" s="98" t="s">
        <v>17</v>
      </c>
      <c r="C1359" s="98">
        <v>8</v>
      </c>
      <c r="D1359" s="98">
        <v>344</v>
      </c>
      <c r="E1359" s="157">
        <v>42033.768055555556</v>
      </c>
      <c r="F1359" s="157">
        <v>42033.854166666664</v>
      </c>
      <c r="G1359" s="98">
        <v>460</v>
      </c>
      <c r="H1359" s="98">
        <v>520</v>
      </c>
      <c r="I1359" s="98">
        <v>486</v>
      </c>
      <c r="J1359" s="98" t="s">
        <v>1968</v>
      </c>
      <c r="K1359" s="98" t="s">
        <v>2464</v>
      </c>
      <c r="L1359" s="105" t="str">
        <f t="shared" si="230"/>
        <v>Ghent</v>
      </c>
      <c r="M1359" s="105" t="str">
        <f t="shared" si="231"/>
        <v>Derate</v>
      </c>
      <c r="N1359" s="105" t="str">
        <f t="shared" si="232"/>
        <v>Coal</v>
      </c>
      <c r="O1359" s="105">
        <f>IFERROR(VLOOKUP(A1359,Lookup!$J$5:$P$19,7,FALSE),0)</f>
        <v>3</v>
      </c>
      <c r="P1359" s="159">
        <f t="shared" si="233"/>
        <v>2015</v>
      </c>
      <c r="Q1359" s="159">
        <f t="shared" si="234"/>
        <v>1</v>
      </c>
      <c r="R1359" s="160">
        <f t="shared" si="235"/>
        <v>2.066666666592937</v>
      </c>
      <c r="S1359" s="158">
        <f t="shared" si="236"/>
        <v>0.2384615384530312</v>
      </c>
      <c r="T1359" s="161">
        <f t="shared" si="237"/>
        <v>115.89230768817316</v>
      </c>
      <c r="U1359" s="158">
        <f t="shared" si="238"/>
        <v>56.07692307692308</v>
      </c>
      <c r="V1359" s="160">
        <f t="shared" si="239"/>
        <v>56</v>
      </c>
    </row>
    <row r="1360" spans="1:22" x14ac:dyDescent="0.25">
      <c r="A1360" s="98" t="s">
        <v>27</v>
      </c>
      <c r="B1360" s="98" t="s">
        <v>17</v>
      </c>
      <c r="C1360" s="98">
        <v>9</v>
      </c>
      <c r="D1360" s="98">
        <v>344</v>
      </c>
      <c r="E1360" s="157">
        <v>42041.07916666667</v>
      </c>
      <c r="F1360" s="157">
        <v>42041.291666666664</v>
      </c>
      <c r="G1360" s="98">
        <v>480</v>
      </c>
      <c r="H1360" s="98">
        <v>520</v>
      </c>
      <c r="I1360" s="98">
        <v>486</v>
      </c>
      <c r="J1360" s="98" t="s">
        <v>1968</v>
      </c>
      <c r="K1360" s="98" t="s">
        <v>2465</v>
      </c>
      <c r="L1360" s="105" t="str">
        <f t="shared" si="230"/>
        <v>Ghent</v>
      </c>
      <c r="M1360" s="105" t="str">
        <f t="shared" si="231"/>
        <v>Derate</v>
      </c>
      <c r="N1360" s="105" t="str">
        <f t="shared" si="232"/>
        <v>Coal</v>
      </c>
      <c r="O1360" s="105">
        <f>IFERROR(VLOOKUP(A1360,Lookup!$J$5:$P$19,7,FALSE),0)</f>
        <v>3</v>
      </c>
      <c r="P1360" s="159">
        <f t="shared" si="233"/>
        <v>2015</v>
      </c>
      <c r="Q1360" s="159">
        <f t="shared" si="234"/>
        <v>2</v>
      </c>
      <c r="R1360" s="160">
        <f t="shared" si="235"/>
        <v>5.0999999998603016</v>
      </c>
      <c r="S1360" s="158">
        <f t="shared" si="236"/>
        <v>0.39230769229694629</v>
      </c>
      <c r="T1360" s="161">
        <f t="shared" si="237"/>
        <v>190.6615384563159</v>
      </c>
      <c r="U1360" s="158">
        <f t="shared" si="238"/>
        <v>37.384615384615387</v>
      </c>
      <c r="V1360" s="160">
        <f t="shared" si="239"/>
        <v>37</v>
      </c>
    </row>
    <row r="1361" spans="1:22" x14ac:dyDescent="0.25">
      <c r="A1361" s="98" t="s">
        <v>27</v>
      </c>
      <c r="B1361" s="98" t="s">
        <v>17</v>
      </c>
      <c r="C1361" s="98">
        <v>10</v>
      </c>
      <c r="D1361" s="98">
        <v>350</v>
      </c>
      <c r="E1361" s="157">
        <v>42041.307638888888</v>
      </c>
      <c r="F1361" s="157">
        <v>42041.442361111112</v>
      </c>
      <c r="G1361" s="98">
        <v>460</v>
      </c>
      <c r="H1361" s="98">
        <v>520</v>
      </c>
      <c r="I1361" s="98">
        <v>486</v>
      </c>
      <c r="J1361" s="98" t="s">
        <v>1976</v>
      </c>
      <c r="K1361" s="98" t="s">
        <v>2466</v>
      </c>
      <c r="L1361" s="105" t="str">
        <f t="shared" si="230"/>
        <v>Ghent</v>
      </c>
      <c r="M1361" s="105" t="str">
        <f t="shared" si="231"/>
        <v>Derate</v>
      </c>
      <c r="N1361" s="105" t="str">
        <f t="shared" si="232"/>
        <v>Coal</v>
      </c>
      <c r="O1361" s="105">
        <f>IFERROR(VLOOKUP(A1361,Lookup!$J$5:$P$19,7,FALSE),0)</f>
        <v>3</v>
      </c>
      <c r="P1361" s="159">
        <f t="shared" si="233"/>
        <v>2015</v>
      </c>
      <c r="Q1361" s="159">
        <f t="shared" si="234"/>
        <v>2</v>
      </c>
      <c r="R1361" s="160">
        <f t="shared" si="235"/>
        <v>3.2333333333954215</v>
      </c>
      <c r="S1361" s="158">
        <f t="shared" si="236"/>
        <v>0.37307692308408708</v>
      </c>
      <c r="T1361" s="161">
        <f t="shared" si="237"/>
        <v>181.31538461886632</v>
      </c>
      <c r="U1361" s="158">
        <f t="shared" si="238"/>
        <v>56.07692307692308</v>
      </c>
      <c r="V1361" s="160">
        <f t="shared" si="239"/>
        <v>56</v>
      </c>
    </row>
    <row r="1362" spans="1:22" x14ac:dyDescent="0.25">
      <c r="A1362" s="98" t="s">
        <v>27</v>
      </c>
      <c r="B1362" s="98" t="s">
        <v>17</v>
      </c>
      <c r="C1362" s="98">
        <v>11</v>
      </c>
      <c r="D1362" s="98">
        <v>3621</v>
      </c>
      <c r="E1362" s="157">
        <v>42045.373611111114</v>
      </c>
      <c r="F1362" s="157">
        <v>42045.487500000003</v>
      </c>
      <c r="G1362" s="98">
        <v>390</v>
      </c>
      <c r="H1362" s="98">
        <v>520</v>
      </c>
      <c r="I1362" s="98">
        <v>486</v>
      </c>
      <c r="J1362" s="98" t="s">
        <v>1993</v>
      </c>
      <c r="K1362" s="98" t="s">
        <v>2467</v>
      </c>
      <c r="L1362" s="105" t="str">
        <f t="shared" si="230"/>
        <v>Ghent</v>
      </c>
      <c r="M1362" s="105" t="str">
        <f t="shared" si="231"/>
        <v>Derate</v>
      </c>
      <c r="N1362" s="105" t="str">
        <f t="shared" si="232"/>
        <v>Coal</v>
      </c>
      <c r="O1362" s="105">
        <f>IFERROR(VLOOKUP(A1362,Lookup!$J$5:$P$19,7,FALSE),0)</f>
        <v>3</v>
      </c>
      <c r="P1362" s="159">
        <f t="shared" si="233"/>
        <v>2015</v>
      </c>
      <c r="Q1362" s="159">
        <f t="shared" si="234"/>
        <v>2</v>
      </c>
      <c r="R1362" s="160">
        <f t="shared" si="235"/>
        <v>2.7333333333372138</v>
      </c>
      <c r="S1362" s="158">
        <f t="shared" si="236"/>
        <v>0.68333333333430346</v>
      </c>
      <c r="T1362" s="161">
        <f t="shared" si="237"/>
        <v>332.10000000047148</v>
      </c>
      <c r="U1362" s="158">
        <f t="shared" si="238"/>
        <v>121.5</v>
      </c>
      <c r="V1362" s="160">
        <f t="shared" si="239"/>
        <v>122</v>
      </c>
    </row>
    <row r="1363" spans="1:22" x14ac:dyDescent="0.25">
      <c r="A1363" s="98" t="s">
        <v>27</v>
      </c>
      <c r="B1363" s="98" t="s">
        <v>20</v>
      </c>
      <c r="C1363" s="98">
        <v>12</v>
      </c>
      <c r="D1363" s="98">
        <v>3621</v>
      </c>
      <c r="E1363" s="157">
        <v>42045.915277777778</v>
      </c>
      <c r="F1363" s="157">
        <v>42046.061805555553</v>
      </c>
      <c r="G1363" s="98">
        <v>0</v>
      </c>
      <c r="H1363" s="98">
        <v>520</v>
      </c>
      <c r="I1363" s="98">
        <v>486</v>
      </c>
      <c r="J1363" s="98" t="s">
        <v>1993</v>
      </c>
      <c r="K1363" s="98" t="s">
        <v>2468</v>
      </c>
      <c r="L1363" s="105" t="str">
        <f t="shared" si="230"/>
        <v>Ghent</v>
      </c>
      <c r="M1363" s="105" t="str">
        <f t="shared" si="231"/>
        <v>Maintenance</v>
      </c>
      <c r="N1363" s="105" t="str">
        <f t="shared" si="232"/>
        <v>Coal</v>
      </c>
      <c r="O1363" s="105">
        <f>IFERROR(VLOOKUP(A1363,Lookup!$J$5:$P$19,7,FALSE),0)</f>
        <v>3</v>
      </c>
      <c r="P1363" s="159">
        <f t="shared" si="233"/>
        <v>2015</v>
      </c>
      <c r="Q1363" s="159">
        <f t="shared" si="234"/>
        <v>2</v>
      </c>
      <c r="R1363" s="160">
        <f t="shared" si="235"/>
        <v>3.5166666666045785</v>
      </c>
      <c r="S1363" s="158">
        <f t="shared" si="236"/>
        <v>3.5166666666045785</v>
      </c>
      <c r="T1363" s="161">
        <f t="shared" si="237"/>
        <v>1709.0999999698251</v>
      </c>
      <c r="U1363" s="158">
        <f t="shared" si="238"/>
        <v>486</v>
      </c>
      <c r="V1363" s="160">
        <f t="shared" si="239"/>
        <v>486</v>
      </c>
    </row>
    <row r="1364" spans="1:22" x14ac:dyDescent="0.25">
      <c r="A1364" s="98" t="s">
        <v>27</v>
      </c>
      <c r="B1364" s="98" t="s">
        <v>15</v>
      </c>
      <c r="C1364" s="98">
        <v>13</v>
      </c>
      <c r="D1364" s="98">
        <v>690</v>
      </c>
      <c r="E1364" s="157">
        <v>42046.087500000001</v>
      </c>
      <c r="F1364" s="157">
        <v>42046.128472222219</v>
      </c>
      <c r="G1364" s="98">
        <v>0</v>
      </c>
      <c r="H1364" s="98">
        <v>520</v>
      </c>
      <c r="I1364" s="98">
        <v>486</v>
      </c>
      <c r="J1364" s="98" t="s">
        <v>2182</v>
      </c>
      <c r="K1364" s="98" t="s">
        <v>2469</v>
      </c>
      <c r="L1364" s="105" t="str">
        <f t="shared" si="230"/>
        <v>Ghent</v>
      </c>
      <c r="M1364" s="105" t="str">
        <f t="shared" si="231"/>
        <v>Outage</v>
      </c>
      <c r="N1364" s="105" t="str">
        <f t="shared" si="232"/>
        <v>Coal</v>
      </c>
      <c r="O1364" s="105">
        <f>IFERROR(VLOOKUP(A1364,Lookup!$J$5:$P$19,7,FALSE),0)</f>
        <v>3</v>
      </c>
      <c r="P1364" s="159">
        <f t="shared" si="233"/>
        <v>2015</v>
      </c>
      <c r="Q1364" s="159">
        <f t="shared" si="234"/>
        <v>2</v>
      </c>
      <c r="R1364" s="160">
        <f t="shared" si="235"/>
        <v>0.98333333322079852</v>
      </c>
      <c r="S1364" s="158">
        <f t="shared" si="236"/>
        <v>0.98333333322079852</v>
      </c>
      <c r="T1364" s="161">
        <f t="shared" si="237"/>
        <v>477.89999994530808</v>
      </c>
      <c r="U1364" s="158">
        <f t="shared" si="238"/>
        <v>486</v>
      </c>
      <c r="V1364" s="160">
        <f t="shared" si="239"/>
        <v>486</v>
      </c>
    </row>
    <row r="1365" spans="1:22" x14ac:dyDescent="0.25">
      <c r="A1365" s="98" t="s">
        <v>27</v>
      </c>
      <c r="B1365" s="98" t="s">
        <v>17</v>
      </c>
      <c r="C1365" s="98">
        <v>14</v>
      </c>
      <c r="D1365" s="98">
        <v>340</v>
      </c>
      <c r="E1365" s="157">
        <v>42052.90902777778</v>
      </c>
      <c r="F1365" s="157">
        <v>42052.933333333334</v>
      </c>
      <c r="G1365" s="98">
        <v>440</v>
      </c>
      <c r="H1365" s="98">
        <v>520</v>
      </c>
      <c r="I1365" s="98">
        <v>486</v>
      </c>
      <c r="J1365" s="98" t="s">
        <v>1970</v>
      </c>
      <c r="K1365" s="98" t="s">
        <v>2470</v>
      </c>
      <c r="L1365" s="105" t="str">
        <f t="shared" si="230"/>
        <v>Ghent</v>
      </c>
      <c r="M1365" s="105" t="str">
        <f t="shared" si="231"/>
        <v>Derate</v>
      </c>
      <c r="N1365" s="105" t="str">
        <f t="shared" si="232"/>
        <v>Coal</v>
      </c>
      <c r="O1365" s="105">
        <f>IFERROR(VLOOKUP(A1365,Lookup!$J$5:$P$19,7,FALSE),0)</f>
        <v>3</v>
      </c>
      <c r="P1365" s="159">
        <f t="shared" si="233"/>
        <v>2015</v>
      </c>
      <c r="Q1365" s="159">
        <f t="shared" si="234"/>
        <v>2</v>
      </c>
      <c r="R1365" s="160">
        <f t="shared" si="235"/>
        <v>0.58333333331393078</v>
      </c>
      <c r="S1365" s="158">
        <f t="shared" si="236"/>
        <v>8.9743589740604729E-2</v>
      </c>
      <c r="T1365" s="161">
        <f t="shared" si="237"/>
        <v>43.615384613933898</v>
      </c>
      <c r="U1365" s="158">
        <f t="shared" si="238"/>
        <v>74.769230769230774</v>
      </c>
      <c r="V1365" s="160">
        <f t="shared" si="239"/>
        <v>75</v>
      </c>
    </row>
    <row r="1366" spans="1:22" x14ac:dyDescent="0.25">
      <c r="A1366" s="98" t="s">
        <v>27</v>
      </c>
      <c r="B1366" s="98" t="s">
        <v>17</v>
      </c>
      <c r="C1366" s="98">
        <v>15</v>
      </c>
      <c r="D1366" s="98">
        <v>3410</v>
      </c>
      <c r="E1366" s="157">
        <v>42053.40625</v>
      </c>
      <c r="F1366" s="157">
        <v>42053.419444444444</v>
      </c>
      <c r="G1366" s="98">
        <v>300</v>
      </c>
      <c r="H1366" s="98">
        <v>520</v>
      </c>
      <c r="I1366" s="98">
        <v>486</v>
      </c>
      <c r="J1366" s="98" t="s">
        <v>1983</v>
      </c>
      <c r="K1366" s="98" t="s">
        <v>2471</v>
      </c>
      <c r="L1366" s="105" t="str">
        <f t="shared" si="230"/>
        <v>Ghent</v>
      </c>
      <c r="M1366" s="105" t="str">
        <f t="shared" si="231"/>
        <v>Derate</v>
      </c>
      <c r="N1366" s="105" t="str">
        <f t="shared" si="232"/>
        <v>Coal</v>
      </c>
      <c r="O1366" s="105">
        <f>IFERROR(VLOOKUP(A1366,Lookup!$J$5:$P$19,7,FALSE),0)</f>
        <v>3</v>
      </c>
      <c r="P1366" s="159">
        <f t="shared" si="233"/>
        <v>2015</v>
      </c>
      <c r="Q1366" s="159">
        <f t="shared" si="234"/>
        <v>2</v>
      </c>
      <c r="R1366" s="160">
        <f t="shared" si="235"/>
        <v>0.31666666665114462</v>
      </c>
      <c r="S1366" s="158">
        <f t="shared" si="236"/>
        <v>0.13397435896779195</v>
      </c>
      <c r="T1366" s="161">
        <f t="shared" si="237"/>
        <v>65.111538458346885</v>
      </c>
      <c r="U1366" s="158">
        <f t="shared" si="238"/>
        <v>205.61538461538461</v>
      </c>
      <c r="V1366" s="160">
        <f t="shared" si="239"/>
        <v>206</v>
      </c>
    </row>
    <row r="1367" spans="1:22" x14ac:dyDescent="0.25">
      <c r="A1367" s="98" t="s">
        <v>27</v>
      </c>
      <c r="B1367" s="98" t="s">
        <v>17</v>
      </c>
      <c r="C1367" s="98">
        <v>16</v>
      </c>
      <c r="D1367" s="98">
        <v>3410</v>
      </c>
      <c r="E1367" s="157">
        <v>42058.25</v>
      </c>
      <c r="F1367" s="157">
        <v>42058.284722222219</v>
      </c>
      <c r="G1367" s="98">
        <v>300</v>
      </c>
      <c r="H1367" s="98">
        <v>520</v>
      </c>
      <c r="I1367" s="98">
        <v>486</v>
      </c>
      <c r="J1367" s="98" t="s">
        <v>1983</v>
      </c>
      <c r="K1367" s="98" t="s">
        <v>2472</v>
      </c>
      <c r="L1367" s="105" t="str">
        <f t="shared" si="230"/>
        <v>Ghent</v>
      </c>
      <c r="M1367" s="105" t="str">
        <f t="shared" si="231"/>
        <v>Derate</v>
      </c>
      <c r="N1367" s="105" t="str">
        <f t="shared" si="232"/>
        <v>Coal</v>
      </c>
      <c r="O1367" s="105">
        <f>IFERROR(VLOOKUP(A1367,Lookup!$J$5:$P$19,7,FALSE),0)</f>
        <v>3</v>
      </c>
      <c r="P1367" s="159">
        <f t="shared" si="233"/>
        <v>2015</v>
      </c>
      <c r="Q1367" s="159">
        <f t="shared" si="234"/>
        <v>2</v>
      </c>
      <c r="R1367" s="160">
        <f t="shared" si="235"/>
        <v>0.83333333325572312</v>
      </c>
      <c r="S1367" s="158">
        <f t="shared" si="236"/>
        <v>0.35256410253126746</v>
      </c>
      <c r="T1367" s="161">
        <f t="shared" si="237"/>
        <v>171.34615383019599</v>
      </c>
      <c r="U1367" s="158">
        <f t="shared" si="238"/>
        <v>205.61538461538461</v>
      </c>
      <c r="V1367" s="160">
        <f t="shared" si="239"/>
        <v>206</v>
      </c>
    </row>
    <row r="1368" spans="1:22" x14ac:dyDescent="0.25">
      <c r="A1368" s="98" t="s">
        <v>27</v>
      </c>
      <c r="B1368" s="98" t="s">
        <v>17</v>
      </c>
      <c r="C1368" s="98">
        <v>17</v>
      </c>
      <c r="D1368" s="98">
        <v>350</v>
      </c>
      <c r="E1368" s="157">
        <v>42063.65902777778</v>
      </c>
      <c r="F1368" s="157">
        <v>42063.772222222222</v>
      </c>
      <c r="G1368" s="98">
        <v>390</v>
      </c>
      <c r="H1368" s="98">
        <v>520</v>
      </c>
      <c r="I1368" s="98">
        <v>486</v>
      </c>
      <c r="J1368" s="98" t="s">
        <v>1976</v>
      </c>
      <c r="K1368" s="98" t="s">
        <v>2473</v>
      </c>
      <c r="L1368" s="105" t="str">
        <f t="shared" si="230"/>
        <v>Ghent</v>
      </c>
      <c r="M1368" s="105" t="str">
        <f t="shared" si="231"/>
        <v>Derate</v>
      </c>
      <c r="N1368" s="105" t="str">
        <f t="shared" si="232"/>
        <v>Coal</v>
      </c>
      <c r="O1368" s="105">
        <f>IFERROR(VLOOKUP(A1368,Lookup!$J$5:$P$19,7,FALSE),0)</f>
        <v>3</v>
      </c>
      <c r="P1368" s="159">
        <f t="shared" si="233"/>
        <v>2015</v>
      </c>
      <c r="Q1368" s="159">
        <f t="shared" si="234"/>
        <v>2</v>
      </c>
      <c r="R1368" s="160">
        <f t="shared" si="235"/>
        <v>2.71666666661622</v>
      </c>
      <c r="S1368" s="158">
        <f t="shared" si="236"/>
        <v>0.67916666665405501</v>
      </c>
      <c r="T1368" s="161">
        <f t="shared" si="237"/>
        <v>330.07499999387073</v>
      </c>
      <c r="U1368" s="158">
        <f t="shared" si="238"/>
        <v>121.5</v>
      </c>
      <c r="V1368" s="160">
        <f t="shared" si="239"/>
        <v>122</v>
      </c>
    </row>
    <row r="1369" spans="1:22" x14ac:dyDescent="0.25">
      <c r="A1369" s="98" t="s">
        <v>27</v>
      </c>
      <c r="B1369" s="98" t="s">
        <v>17</v>
      </c>
      <c r="C1369" s="98">
        <v>18</v>
      </c>
      <c r="D1369" s="98">
        <v>320</v>
      </c>
      <c r="E1369" s="157">
        <v>42070.3125</v>
      </c>
      <c r="F1369" s="157">
        <v>42070.375</v>
      </c>
      <c r="G1369" s="98">
        <v>440</v>
      </c>
      <c r="H1369" s="98">
        <v>520</v>
      </c>
      <c r="I1369" s="98">
        <v>486</v>
      </c>
      <c r="J1369" s="98" t="s">
        <v>1992</v>
      </c>
      <c r="K1369" s="98" t="s">
        <v>2474</v>
      </c>
      <c r="L1369" s="105" t="str">
        <f t="shared" si="230"/>
        <v>Ghent</v>
      </c>
      <c r="M1369" s="105" t="str">
        <f t="shared" si="231"/>
        <v>Derate</v>
      </c>
      <c r="N1369" s="105" t="str">
        <f t="shared" si="232"/>
        <v>Coal</v>
      </c>
      <c r="O1369" s="105">
        <f>IFERROR(VLOOKUP(A1369,Lookup!$J$5:$P$19,7,FALSE),0)</f>
        <v>3</v>
      </c>
      <c r="P1369" s="159">
        <f t="shared" si="233"/>
        <v>2015</v>
      </c>
      <c r="Q1369" s="159">
        <f t="shared" si="234"/>
        <v>3</v>
      </c>
      <c r="R1369" s="160">
        <f t="shared" si="235"/>
        <v>1.5</v>
      </c>
      <c r="S1369" s="158">
        <f t="shared" si="236"/>
        <v>0.23076923076923078</v>
      </c>
      <c r="T1369" s="161">
        <f t="shared" si="237"/>
        <v>112.15384615384616</v>
      </c>
      <c r="U1369" s="158">
        <f t="shared" si="238"/>
        <v>74.769230769230774</v>
      </c>
      <c r="V1369" s="160">
        <f t="shared" si="239"/>
        <v>75</v>
      </c>
    </row>
    <row r="1370" spans="1:22" x14ac:dyDescent="0.25">
      <c r="A1370" s="98" t="s">
        <v>27</v>
      </c>
      <c r="B1370" s="98" t="s">
        <v>17</v>
      </c>
      <c r="C1370" s="98">
        <v>19</v>
      </c>
      <c r="D1370" s="98">
        <v>340</v>
      </c>
      <c r="E1370" s="157">
        <v>42071.194444444445</v>
      </c>
      <c r="F1370" s="157">
        <v>42071.461805555555</v>
      </c>
      <c r="G1370" s="98">
        <v>440</v>
      </c>
      <c r="H1370" s="98">
        <v>520</v>
      </c>
      <c r="I1370" s="98">
        <v>486</v>
      </c>
      <c r="J1370" s="98" t="s">
        <v>1970</v>
      </c>
      <c r="K1370" s="98" t="s">
        <v>2475</v>
      </c>
      <c r="L1370" s="105" t="str">
        <f t="shared" si="230"/>
        <v>Ghent</v>
      </c>
      <c r="M1370" s="105" t="str">
        <f t="shared" si="231"/>
        <v>Derate</v>
      </c>
      <c r="N1370" s="105" t="str">
        <f t="shared" si="232"/>
        <v>Coal</v>
      </c>
      <c r="O1370" s="105">
        <f>IFERROR(VLOOKUP(A1370,Lookup!$J$5:$P$19,7,FALSE),0)</f>
        <v>3</v>
      </c>
      <c r="P1370" s="159">
        <f t="shared" si="233"/>
        <v>2015</v>
      </c>
      <c r="Q1370" s="159">
        <f t="shared" si="234"/>
        <v>3</v>
      </c>
      <c r="R1370" s="160">
        <f t="shared" si="235"/>
        <v>6.4166666666278616</v>
      </c>
      <c r="S1370" s="158">
        <f t="shared" si="236"/>
        <v>0.98717948717351711</v>
      </c>
      <c r="T1370" s="161">
        <f t="shared" si="237"/>
        <v>479.76923076632931</v>
      </c>
      <c r="U1370" s="158">
        <f t="shared" si="238"/>
        <v>74.769230769230774</v>
      </c>
      <c r="V1370" s="160">
        <f t="shared" si="239"/>
        <v>75</v>
      </c>
    </row>
    <row r="1371" spans="1:22" x14ac:dyDescent="0.25">
      <c r="A1371" s="98" t="s">
        <v>27</v>
      </c>
      <c r="B1371" s="98" t="s">
        <v>17</v>
      </c>
      <c r="C1371" s="98">
        <v>20</v>
      </c>
      <c r="D1371" s="98">
        <v>344</v>
      </c>
      <c r="E1371" s="157">
        <v>42072.174305555556</v>
      </c>
      <c r="F1371" s="157">
        <v>42072.314583333333</v>
      </c>
      <c r="G1371" s="98">
        <v>430</v>
      </c>
      <c r="H1371" s="98">
        <v>520</v>
      </c>
      <c r="I1371" s="98">
        <v>486</v>
      </c>
      <c r="J1371" s="98" t="s">
        <v>1968</v>
      </c>
      <c r="K1371" s="98" t="s">
        <v>2476</v>
      </c>
      <c r="L1371" s="105" t="str">
        <f t="shared" si="230"/>
        <v>Ghent</v>
      </c>
      <c r="M1371" s="105" t="str">
        <f t="shared" si="231"/>
        <v>Derate</v>
      </c>
      <c r="N1371" s="105" t="str">
        <f t="shared" si="232"/>
        <v>Coal</v>
      </c>
      <c r="O1371" s="105">
        <f>IFERROR(VLOOKUP(A1371,Lookup!$J$5:$P$19,7,FALSE),0)</f>
        <v>3</v>
      </c>
      <c r="P1371" s="159">
        <f t="shared" si="233"/>
        <v>2015</v>
      </c>
      <c r="Q1371" s="159">
        <f t="shared" si="234"/>
        <v>3</v>
      </c>
      <c r="R1371" s="160">
        <f t="shared" si="235"/>
        <v>3.3666666666395031</v>
      </c>
      <c r="S1371" s="158">
        <f t="shared" si="236"/>
        <v>0.58269230768760627</v>
      </c>
      <c r="T1371" s="161">
        <f t="shared" si="237"/>
        <v>283.18846153617665</v>
      </c>
      <c r="U1371" s="158">
        <f t="shared" si="238"/>
        <v>84.115384615384613</v>
      </c>
      <c r="V1371" s="160">
        <f t="shared" si="239"/>
        <v>84</v>
      </c>
    </row>
    <row r="1372" spans="1:22" x14ac:dyDescent="0.25">
      <c r="A1372" s="98" t="s">
        <v>27</v>
      </c>
      <c r="B1372" s="98" t="s">
        <v>17</v>
      </c>
      <c r="C1372" s="98">
        <v>21</v>
      </c>
      <c r="D1372" s="98">
        <v>250</v>
      </c>
      <c r="E1372" s="157">
        <v>42072.368055555555</v>
      </c>
      <c r="F1372" s="157">
        <v>42072.390277777777</v>
      </c>
      <c r="G1372" s="98">
        <v>430</v>
      </c>
      <c r="H1372" s="98">
        <v>520</v>
      </c>
      <c r="I1372" s="98">
        <v>486</v>
      </c>
      <c r="J1372" s="98" t="s">
        <v>1978</v>
      </c>
      <c r="K1372" s="98" t="s">
        <v>2477</v>
      </c>
      <c r="L1372" s="105" t="str">
        <f t="shared" si="230"/>
        <v>Ghent</v>
      </c>
      <c r="M1372" s="105" t="str">
        <f t="shared" si="231"/>
        <v>Derate</v>
      </c>
      <c r="N1372" s="105" t="str">
        <f t="shared" si="232"/>
        <v>Coal</v>
      </c>
      <c r="O1372" s="105">
        <f>IFERROR(VLOOKUP(A1372,Lookup!$J$5:$P$19,7,FALSE),0)</f>
        <v>3</v>
      </c>
      <c r="P1372" s="159">
        <f t="shared" si="233"/>
        <v>2015</v>
      </c>
      <c r="Q1372" s="159">
        <f t="shared" si="234"/>
        <v>3</v>
      </c>
      <c r="R1372" s="160">
        <f t="shared" si="235"/>
        <v>0.53333333332557231</v>
      </c>
      <c r="S1372" s="158">
        <f t="shared" si="236"/>
        <v>9.2307692306349054E-2</v>
      </c>
      <c r="T1372" s="161">
        <f t="shared" si="237"/>
        <v>44.86153846088564</v>
      </c>
      <c r="U1372" s="158">
        <f t="shared" si="238"/>
        <v>84.115384615384613</v>
      </c>
      <c r="V1372" s="160">
        <f t="shared" si="239"/>
        <v>84</v>
      </c>
    </row>
    <row r="1373" spans="1:22" x14ac:dyDescent="0.25">
      <c r="A1373" s="98" t="s">
        <v>27</v>
      </c>
      <c r="B1373" s="98" t="s">
        <v>38</v>
      </c>
      <c r="C1373" s="98">
        <v>22</v>
      </c>
      <c r="D1373" s="98">
        <v>4402</v>
      </c>
      <c r="E1373" s="157">
        <v>42076.999305555553</v>
      </c>
      <c r="F1373" s="157">
        <v>42085.458333333336</v>
      </c>
      <c r="G1373" s="98">
        <v>0</v>
      </c>
      <c r="H1373" s="98">
        <v>520</v>
      </c>
      <c r="I1373" s="98">
        <v>486</v>
      </c>
      <c r="J1373" s="98" t="s">
        <v>2146</v>
      </c>
      <c r="K1373" s="98" t="s">
        <v>2478</v>
      </c>
      <c r="L1373" s="105" t="str">
        <f t="shared" si="230"/>
        <v>Ghent</v>
      </c>
      <c r="M1373" s="105" t="str">
        <f t="shared" si="231"/>
        <v>Other</v>
      </c>
      <c r="N1373" s="105" t="str">
        <f t="shared" si="232"/>
        <v>Coal</v>
      </c>
      <c r="O1373" s="105">
        <f>IFERROR(VLOOKUP(A1373,Lookup!$J$5:$P$19,7,FALSE),0)</f>
        <v>3</v>
      </c>
      <c r="P1373" s="159">
        <f t="shared" si="233"/>
        <v>2015</v>
      </c>
      <c r="Q1373" s="159">
        <f t="shared" si="234"/>
        <v>3</v>
      </c>
      <c r="R1373" s="160">
        <f t="shared" si="235"/>
        <v>203.0166666667792</v>
      </c>
      <c r="S1373" s="158">
        <f t="shared" si="236"/>
        <v>203.0166666667792</v>
      </c>
      <c r="T1373" s="161">
        <f t="shared" si="237"/>
        <v>98666.100000054692</v>
      </c>
      <c r="U1373" s="158">
        <f t="shared" si="238"/>
        <v>486</v>
      </c>
      <c r="V1373" s="160">
        <f t="shared" si="239"/>
        <v>486</v>
      </c>
    </row>
    <row r="1374" spans="1:22" x14ac:dyDescent="0.25">
      <c r="A1374" s="98" t="s">
        <v>27</v>
      </c>
      <c r="B1374" s="98" t="s">
        <v>17</v>
      </c>
      <c r="C1374" s="98">
        <v>23</v>
      </c>
      <c r="D1374" s="98">
        <v>1850</v>
      </c>
      <c r="E1374" s="157">
        <v>42085.791666666664</v>
      </c>
      <c r="F1374" s="157">
        <v>42086.263888888891</v>
      </c>
      <c r="G1374" s="98">
        <v>406</v>
      </c>
      <c r="H1374" s="98">
        <v>520</v>
      </c>
      <c r="I1374" s="98">
        <v>486</v>
      </c>
      <c r="J1374" s="98" t="s">
        <v>2263</v>
      </c>
      <c r="K1374" s="98" t="s">
        <v>2479</v>
      </c>
      <c r="L1374" s="105" t="str">
        <f t="shared" si="230"/>
        <v>Ghent</v>
      </c>
      <c r="M1374" s="105" t="str">
        <f t="shared" si="231"/>
        <v>Derate</v>
      </c>
      <c r="N1374" s="105" t="str">
        <f t="shared" si="232"/>
        <v>Coal</v>
      </c>
      <c r="O1374" s="105">
        <f>IFERROR(VLOOKUP(A1374,Lookup!$J$5:$P$19,7,FALSE),0)</f>
        <v>3</v>
      </c>
      <c r="P1374" s="159">
        <f t="shared" si="233"/>
        <v>2015</v>
      </c>
      <c r="Q1374" s="159">
        <f t="shared" si="234"/>
        <v>3</v>
      </c>
      <c r="R1374" s="160">
        <f t="shared" si="235"/>
        <v>11.333333333430346</v>
      </c>
      <c r="S1374" s="158">
        <f t="shared" si="236"/>
        <v>2.484615384636653</v>
      </c>
      <c r="T1374" s="161">
        <f t="shared" si="237"/>
        <v>1207.5230769334134</v>
      </c>
      <c r="U1374" s="158">
        <f t="shared" si="238"/>
        <v>106.54615384615384</v>
      </c>
      <c r="V1374" s="160">
        <f t="shared" si="239"/>
        <v>107</v>
      </c>
    </row>
    <row r="1375" spans="1:22" x14ac:dyDescent="0.25">
      <c r="A1375" s="98" t="s">
        <v>27</v>
      </c>
      <c r="B1375" s="98" t="s">
        <v>17</v>
      </c>
      <c r="C1375" s="98">
        <v>24</v>
      </c>
      <c r="D1375" s="98">
        <v>3410</v>
      </c>
      <c r="E1375" s="157">
        <v>42089.303472222222</v>
      </c>
      <c r="F1375" s="157">
        <v>42089.342361111114</v>
      </c>
      <c r="G1375" s="98">
        <v>350</v>
      </c>
      <c r="H1375" s="98">
        <v>520</v>
      </c>
      <c r="I1375" s="98">
        <v>486</v>
      </c>
      <c r="J1375" s="98" t="s">
        <v>1983</v>
      </c>
      <c r="K1375" s="98" t="s">
        <v>2480</v>
      </c>
      <c r="L1375" s="105" t="str">
        <f t="shared" si="230"/>
        <v>Ghent</v>
      </c>
      <c r="M1375" s="105" t="str">
        <f t="shared" si="231"/>
        <v>Derate</v>
      </c>
      <c r="N1375" s="105" t="str">
        <f t="shared" si="232"/>
        <v>Coal</v>
      </c>
      <c r="O1375" s="105">
        <f>IFERROR(VLOOKUP(A1375,Lookup!$J$5:$P$19,7,FALSE),0)</f>
        <v>3</v>
      </c>
      <c r="P1375" s="159">
        <f t="shared" si="233"/>
        <v>2015</v>
      </c>
      <c r="Q1375" s="159">
        <f t="shared" si="234"/>
        <v>3</v>
      </c>
      <c r="R1375" s="160">
        <f t="shared" si="235"/>
        <v>0.93333333340706304</v>
      </c>
      <c r="S1375" s="158">
        <f t="shared" si="236"/>
        <v>0.3051282051523091</v>
      </c>
      <c r="T1375" s="161">
        <f t="shared" si="237"/>
        <v>148.29230770402222</v>
      </c>
      <c r="U1375" s="158">
        <f t="shared" si="238"/>
        <v>158.88461538461539</v>
      </c>
      <c r="V1375" s="160">
        <f t="shared" si="239"/>
        <v>159</v>
      </c>
    </row>
    <row r="1376" spans="1:22" x14ac:dyDescent="0.25">
      <c r="A1376" s="98" t="s">
        <v>27</v>
      </c>
      <c r="B1376" s="98" t="s">
        <v>17</v>
      </c>
      <c r="C1376" s="98">
        <v>25</v>
      </c>
      <c r="D1376" s="98">
        <v>320</v>
      </c>
      <c r="E1376" s="157">
        <v>42105.305555555555</v>
      </c>
      <c r="F1376" s="157">
        <v>42105.416666666664</v>
      </c>
      <c r="G1376" s="98">
        <v>430</v>
      </c>
      <c r="H1376" s="98">
        <v>520</v>
      </c>
      <c r="I1376" s="98">
        <v>486</v>
      </c>
      <c r="J1376" s="98" t="s">
        <v>1992</v>
      </c>
      <c r="K1376" s="98" t="s">
        <v>2481</v>
      </c>
      <c r="L1376" s="105" t="str">
        <f t="shared" si="230"/>
        <v>Ghent</v>
      </c>
      <c r="M1376" s="105" t="str">
        <f t="shared" si="231"/>
        <v>Derate</v>
      </c>
      <c r="N1376" s="105" t="str">
        <f t="shared" si="232"/>
        <v>Coal</v>
      </c>
      <c r="O1376" s="105">
        <f>IFERROR(VLOOKUP(A1376,Lookup!$J$5:$P$19,7,FALSE),0)</f>
        <v>3</v>
      </c>
      <c r="P1376" s="159">
        <f t="shared" si="233"/>
        <v>2015</v>
      </c>
      <c r="Q1376" s="159">
        <f t="shared" si="234"/>
        <v>4</v>
      </c>
      <c r="R1376" s="160">
        <f t="shared" si="235"/>
        <v>2.6666666666278616</v>
      </c>
      <c r="S1376" s="158">
        <f t="shared" si="236"/>
        <v>0.46153846153174527</v>
      </c>
      <c r="T1376" s="161">
        <f t="shared" si="237"/>
        <v>224.3076923044282</v>
      </c>
      <c r="U1376" s="158">
        <f t="shared" si="238"/>
        <v>84.115384615384613</v>
      </c>
      <c r="V1376" s="160">
        <f t="shared" si="239"/>
        <v>84</v>
      </c>
    </row>
    <row r="1377" spans="1:22" x14ac:dyDescent="0.25">
      <c r="A1377" s="98" t="s">
        <v>27</v>
      </c>
      <c r="B1377" s="98" t="s">
        <v>17</v>
      </c>
      <c r="C1377" s="98">
        <v>26</v>
      </c>
      <c r="D1377" s="98">
        <v>340</v>
      </c>
      <c r="E1377" s="157">
        <v>42107.238888888889</v>
      </c>
      <c r="F1377" s="157">
        <v>42107.363194444442</v>
      </c>
      <c r="G1377" s="98">
        <v>460</v>
      </c>
      <c r="H1377" s="98">
        <v>520</v>
      </c>
      <c r="I1377" s="98">
        <v>486</v>
      </c>
      <c r="J1377" s="98" t="s">
        <v>1970</v>
      </c>
      <c r="K1377" s="98" t="s">
        <v>2482</v>
      </c>
      <c r="L1377" s="105" t="str">
        <f t="shared" si="230"/>
        <v>Ghent</v>
      </c>
      <c r="M1377" s="105" t="str">
        <f t="shared" si="231"/>
        <v>Derate</v>
      </c>
      <c r="N1377" s="105" t="str">
        <f t="shared" si="232"/>
        <v>Coal</v>
      </c>
      <c r="O1377" s="105">
        <f>IFERROR(VLOOKUP(A1377,Lookup!$J$5:$P$19,7,FALSE),0)</f>
        <v>3</v>
      </c>
      <c r="P1377" s="159">
        <f t="shared" si="233"/>
        <v>2015</v>
      </c>
      <c r="Q1377" s="159">
        <f t="shared" si="234"/>
        <v>4</v>
      </c>
      <c r="R1377" s="160">
        <f t="shared" si="235"/>
        <v>2.9833333332790062</v>
      </c>
      <c r="S1377" s="158">
        <f t="shared" si="236"/>
        <v>0.34423076922450069</v>
      </c>
      <c r="T1377" s="161">
        <f t="shared" si="237"/>
        <v>167.29615384310733</v>
      </c>
      <c r="U1377" s="158">
        <f t="shared" si="238"/>
        <v>56.07692307692308</v>
      </c>
      <c r="V1377" s="160">
        <f t="shared" si="239"/>
        <v>56</v>
      </c>
    </row>
    <row r="1378" spans="1:22" x14ac:dyDescent="0.25">
      <c r="A1378" s="98" t="s">
        <v>27</v>
      </c>
      <c r="B1378" s="98" t="s">
        <v>17</v>
      </c>
      <c r="C1378" s="98">
        <v>27</v>
      </c>
      <c r="D1378" s="98">
        <v>3662</v>
      </c>
      <c r="E1378" s="157">
        <v>42107.759722222225</v>
      </c>
      <c r="F1378" s="157">
        <v>42108.017361111109</v>
      </c>
      <c r="G1378" s="98">
        <v>117</v>
      </c>
      <c r="H1378" s="98">
        <v>520</v>
      </c>
      <c r="I1378" s="98">
        <v>486</v>
      </c>
      <c r="J1378" s="98" t="s">
        <v>2166</v>
      </c>
      <c r="K1378" s="98" t="s">
        <v>2483</v>
      </c>
      <c r="L1378" s="105" t="str">
        <f t="shared" si="230"/>
        <v>Ghent</v>
      </c>
      <c r="M1378" s="105" t="str">
        <f t="shared" si="231"/>
        <v>Derate</v>
      </c>
      <c r="N1378" s="105" t="str">
        <f t="shared" si="232"/>
        <v>Coal</v>
      </c>
      <c r="O1378" s="105">
        <f>IFERROR(VLOOKUP(A1378,Lookup!$J$5:$P$19,7,FALSE),0)</f>
        <v>3</v>
      </c>
      <c r="P1378" s="159">
        <f t="shared" si="233"/>
        <v>2015</v>
      </c>
      <c r="Q1378" s="159">
        <f t="shared" si="234"/>
        <v>4</v>
      </c>
      <c r="R1378" s="160">
        <f t="shared" si="235"/>
        <v>6.1833333332324401</v>
      </c>
      <c r="S1378" s="158">
        <f t="shared" si="236"/>
        <v>4.7920833332551407</v>
      </c>
      <c r="T1378" s="161">
        <f t="shared" si="237"/>
        <v>2328.9524999619985</v>
      </c>
      <c r="U1378" s="158">
        <f t="shared" si="238"/>
        <v>376.65</v>
      </c>
      <c r="V1378" s="160">
        <f t="shared" si="239"/>
        <v>377</v>
      </c>
    </row>
    <row r="1379" spans="1:22" x14ac:dyDescent="0.25">
      <c r="A1379" s="98" t="s">
        <v>27</v>
      </c>
      <c r="B1379" s="98" t="s">
        <v>17</v>
      </c>
      <c r="C1379" s="98">
        <v>28</v>
      </c>
      <c r="D1379" s="98">
        <v>345</v>
      </c>
      <c r="E1379" s="157">
        <v>42113.794444444444</v>
      </c>
      <c r="F1379" s="157">
        <v>42126.529861111114</v>
      </c>
      <c r="G1379" s="98">
        <v>483</v>
      </c>
      <c r="H1379" s="98">
        <v>520</v>
      </c>
      <c r="I1379" s="98">
        <v>486</v>
      </c>
      <c r="J1379" s="98" t="s">
        <v>2387</v>
      </c>
      <c r="K1379" s="98" t="s">
        <v>2484</v>
      </c>
      <c r="L1379" s="105" t="str">
        <f t="shared" si="230"/>
        <v>Ghent</v>
      </c>
      <c r="M1379" s="105" t="str">
        <f t="shared" si="231"/>
        <v>Derate</v>
      </c>
      <c r="N1379" s="105" t="str">
        <f t="shared" si="232"/>
        <v>Coal</v>
      </c>
      <c r="O1379" s="105">
        <f>IFERROR(VLOOKUP(A1379,Lookup!$J$5:$P$19,7,FALSE),0)</f>
        <v>3</v>
      </c>
      <c r="P1379" s="159">
        <f t="shared" si="233"/>
        <v>2015</v>
      </c>
      <c r="Q1379" s="159">
        <f t="shared" si="234"/>
        <v>4</v>
      </c>
      <c r="R1379" s="160">
        <f t="shared" si="235"/>
        <v>305.65000000008149</v>
      </c>
      <c r="S1379" s="158">
        <f t="shared" si="236"/>
        <v>21.748173076928875</v>
      </c>
      <c r="T1379" s="161">
        <f t="shared" si="237"/>
        <v>10569.612115387434</v>
      </c>
      <c r="U1379" s="158">
        <f t="shared" si="238"/>
        <v>34.580769230769228</v>
      </c>
      <c r="V1379" s="160">
        <f t="shared" si="239"/>
        <v>35</v>
      </c>
    </row>
    <row r="1380" spans="1:22" x14ac:dyDescent="0.25">
      <c r="A1380" s="98" t="s">
        <v>27</v>
      </c>
      <c r="B1380" s="98" t="s">
        <v>17</v>
      </c>
      <c r="C1380" s="98">
        <v>29</v>
      </c>
      <c r="D1380" s="98">
        <v>340</v>
      </c>
      <c r="E1380" s="157">
        <v>42126.570138888892</v>
      </c>
      <c r="F1380" s="157">
        <v>42126.625</v>
      </c>
      <c r="G1380" s="98">
        <v>485</v>
      </c>
      <c r="H1380" s="98">
        <v>520</v>
      </c>
      <c r="I1380" s="98">
        <v>486</v>
      </c>
      <c r="J1380" s="98" t="s">
        <v>1970</v>
      </c>
      <c r="K1380" s="98" t="s">
        <v>2485</v>
      </c>
      <c r="L1380" s="105" t="str">
        <f t="shared" si="230"/>
        <v>Ghent</v>
      </c>
      <c r="M1380" s="105" t="str">
        <f t="shared" si="231"/>
        <v>Derate</v>
      </c>
      <c r="N1380" s="105" t="str">
        <f t="shared" si="232"/>
        <v>Coal</v>
      </c>
      <c r="O1380" s="105">
        <f>IFERROR(VLOOKUP(A1380,Lookup!$J$5:$P$19,7,FALSE),0)</f>
        <v>3</v>
      </c>
      <c r="P1380" s="159">
        <f t="shared" si="233"/>
        <v>2015</v>
      </c>
      <c r="Q1380" s="159">
        <f t="shared" si="234"/>
        <v>5</v>
      </c>
      <c r="R1380" s="160">
        <f t="shared" si="235"/>
        <v>1.316666666592937</v>
      </c>
      <c r="S1380" s="158">
        <f t="shared" si="236"/>
        <v>8.862179486683229E-2</v>
      </c>
      <c r="T1380" s="161">
        <f t="shared" si="237"/>
        <v>43.070192305280493</v>
      </c>
      <c r="U1380" s="158">
        <f t="shared" si="238"/>
        <v>32.71153846153846</v>
      </c>
      <c r="V1380" s="160">
        <f t="shared" si="239"/>
        <v>33</v>
      </c>
    </row>
    <row r="1381" spans="1:22" x14ac:dyDescent="0.25">
      <c r="A1381" s="98" t="s">
        <v>27</v>
      </c>
      <c r="B1381" s="98" t="s">
        <v>17</v>
      </c>
      <c r="C1381" s="98">
        <v>30</v>
      </c>
      <c r="D1381" s="98">
        <v>3416</v>
      </c>
      <c r="E1381" s="157">
        <v>42127.065972222219</v>
      </c>
      <c r="F1381" s="157">
        <v>42127.144444444442</v>
      </c>
      <c r="G1381" s="98">
        <v>350</v>
      </c>
      <c r="H1381" s="98">
        <v>520</v>
      </c>
      <c r="I1381" s="98">
        <v>486</v>
      </c>
      <c r="J1381" s="98" t="s">
        <v>2164</v>
      </c>
      <c r="K1381" s="98" t="s">
        <v>2486</v>
      </c>
      <c r="L1381" s="105" t="str">
        <f t="shared" si="230"/>
        <v>Ghent</v>
      </c>
      <c r="M1381" s="105" t="str">
        <f t="shared" si="231"/>
        <v>Derate</v>
      </c>
      <c r="N1381" s="105" t="str">
        <f t="shared" si="232"/>
        <v>Coal</v>
      </c>
      <c r="O1381" s="105">
        <f>IFERROR(VLOOKUP(A1381,Lookup!$J$5:$P$19,7,FALSE),0)</f>
        <v>3</v>
      </c>
      <c r="P1381" s="159">
        <f t="shared" si="233"/>
        <v>2015</v>
      </c>
      <c r="Q1381" s="159">
        <f t="shared" si="234"/>
        <v>5</v>
      </c>
      <c r="R1381" s="160">
        <f t="shared" si="235"/>
        <v>1.8833333333604969</v>
      </c>
      <c r="S1381" s="158">
        <f t="shared" si="236"/>
        <v>0.61570512821400858</v>
      </c>
      <c r="T1381" s="161">
        <f t="shared" si="237"/>
        <v>299.23269231200817</v>
      </c>
      <c r="U1381" s="158">
        <f t="shared" si="238"/>
        <v>158.88461538461539</v>
      </c>
      <c r="V1381" s="160">
        <f t="shared" si="239"/>
        <v>159</v>
      </c>
    </row>
    <row r="1382" spans="1:22" x14ac:dyDescent="0.25">
      <c r="A1382" s="98" t="s">
        <v>27</v>
      </c>
      <c r="B1382" s="98" t="s">
        <v>32</v>
      </c>
      <c r="C1382" s="98">
        <v>31</v>
      </c>
      <c r="D1382" s="98">
        <v>3662</v>
      </c>
      <c r="E1382" s="157">
        <v>42128.9375</v>
      </c>
      <c r="F1382" s="157">
        <v>42128.970138888886</v>
      </c>
      <c r="G1382" s="98">
        <v>300</v>
      </c>
      <c r="H1382" s="98">
        <v>520</v>
      </c>
      <c r="I1382" s="98">
        <v>486</v>
      </c>
      <c r="J1382" s="98" t="s">
        <v>2166</v>
      </c>
      <c r="K1382" s="98" t="s">
        <v>2487</v>
      </c>
      <c r="L1382" s="105" t="str">
        <f t="shared" si="230"/>
        <v>Ghent</v>
      </c>
      <c r="M1382" s="105" t="str">
        <f t="shared" si="231"/>
        <v>Derate</v>
      </c>
      <c r="N1382" s="105" t="str">
        <f t="shared" si="232"/>
        <v>Coal</v>
      </c>
      <c r="O1382" s="105">
        <f>IFERROR(VLOOKUP(A1382,Lookup!$J$5:$P$19,7,FALSE),0)</f>
        <v>3</v>
      </c>
      <c r="P1382" s="159">
        <f t="shared" si="233"/>
        <v>2015</v>
      </c>
      <c r="Q1382" s="159">
        <f t="shared" si="234"/>
        <v>5</v>
      </c>
      <c r="R1382" s="160">
        <f t="shared" si="235"/>
        <v>0.78333333326736465</v>
      </c>
      <c r="S1382" s="158">
        <f t="shared" si="236"/>
        <v>0.33141025638234656</v>
      </c>
      <c r="T1382" s="161">
        <f t="shared" si="237"/>
        <v>161.06538460182043</v>
      </c>
      <c r="U1382" s="158">
        <f t="shared" si="238"/>
        <v>205.61538461538461</v>
      </c>
      <c r="V1382" s="160">
        <f t="shared" si="239"/>
        <v>206</v>
      </c>
    </row>
    <row r="1383" spans="1:22" x14ac:dyDescent="0.25">
      <c r="A1383" s="98" t="s">
        <v>27</v>
      </c>
      <c r="B1383" s="98" t="s">
        <v>17</v>
      </c>
      <c r="C1383" s="98">
        <v>32</v>
      </c>
      <c r="D1383" s="98">
        <v>340</v>
      </c>
      <c r="E1383" s="157">
        <v>42131.791666666664</v>
      </c>
      <c r="F1383" s="157">
        <v>42131.844444444447</v>
      </c>
      <c r="G1383" s="98">
        <v>460</v>
      </c>
      <c r="H1383" s="98">
        <v>520</v>
      </c>
      <c r="I1383" s="98">
        <v>486</v>
      </c>
      <c r="J1383" s="98" t="s">
        <v>1970</v>
      </c>
      <c r="K1383" s="98" t="s">
        <v>2488</v>
      </c>
      <c r="L1383" s="105" t="str">
        <f t="shared" ref="L1383:L1446" si="240">IF(OR(A1383="BR1",A1383="BR2",A1383="BR3",A1383="BR5",A1383="BR6",A1383="BR7",A1383="BR8",A1383="BR9",A1383="BR10",A1383="BR11"),"Brown",IF(OR(A1383="CR4",A1383="CR5",A1383="CR6",A1383="CR11"),"Cane Run",IF(OR(A1383="GH1",A1383="GH2",A1383="GH3",A1383="GH4"),"Ghent",IF(OR(A1383="GR3",A1383="GR4"),"Green River",IF(OR(A1383="MC1",A1383="MC2",A1383="MC3",A1383="MC4"),"Mill Creek",IF(OR(A1383="TC1",A1383="TC2",A1383="TC5",A1383="TC6",A1383="TC7",A1383="TC8",A1383="TC9",A1383="TC10"),"Trimble",IF(A1383="TY3","Tyrone",IF(OR(A1383="HA1",A1383="HA2",A1383="HA3"),"Haeflin",IF(OR(A1383="PR11",A1383="PR12",A1383="PR13"),"Paddy's Run","Zorn")))))))))</f>
        <v>Ghent</v>
      </c>
      <c r="M1383" s="105" t="str">
        <f t="shared" ref="M1383:M1446" si="241">IF(OR(B1383="D1",B1383="D2",B1383="D3",B1383="D4",B1383="PD"),"Derate",IF(OR(B1383="SF",B1383="U1",B1383="U2",B1383="U3"),"Outage",IF(OR(B1383="ME",B1383="MO"),"Maintenance","Other")))</f>
        <v>Derate</v>
      </c>
      <c r="N1383" s="105" t="str">
        <f t="shared" ref="N1383:N1446" si="242">IF(OR(A1383="BR1",A1383="BR2",A1383="BR3",A1383="CR4",A1383="CR5",A1383="CR6",A1383="GH1",A1383="GH2",A1383="GH3",A1383="GH4",A1383="GR3",A1383="GR4",A1383="MC1",A1383="MC2",A1383="MC3",A1383="MC4",A1383="TC1",A1383="TC2",A1383="TY3"),"Coal","Gas")</f>
        <v>Coal</v>
      </c>
      <c r="O1383" s="105">
        <f>IFERROR(VLOOKUP(A1383,Lookup!$J$5:$P$19,7,FALSE),0)</f>
        <v>3</v>
      </c>
      <c r="P1383" s="159">
        <f t="shared" ref="P1383:P1446" si="243">YEAR(E1383)</f>
        <v>2015</v>
      </c>
      <c r="Q1383" s="159">
        <f t="shared" ref="Q1383:Q1446" si="244">MONTH(E1383)</f>
        <v>5</v>
      </c>
      <c r="R1383" s="160">
        <f t="shared" ref="R1383:R1446" si="245">(F1383-E1383)*24</f>
        <v>1.2666666667792015</v>
      </c>
      <c r="S1383" s="158">
        <f t="shared" ref="S1383:S1446" si="246">R1383*(H1383-G1383)/H1383</f>
        <v>0.14615384616683094</v>
      </c>
      <c r="T1383" s="161">
        <f t="shared" ref="T1383:T1446" si="247">S1383*I1383</f>
        <v>71.030769237079838</v>
      </c>
      <c r="U1383" s="158">
        <f t="shared" ref="U1383:U1446" si="248">IF(G1383&gt;0,MAX((H1383-G1383),0)*I1383/H1383,I1383)</f>
        <v>56.07692307692308</v>
      </c>
      <c r="V1383" s="160">
        <f t="shared" ref="V1383:V1446" si="249">ROUND(U1383,0)</f>
        <v>56</v>
      </c>
    </row>
    <row r="1384" spans="1:22" x14ac:dyDescent="0.25">
      <c r="A1384" s="98" t="s">
        <v>27</v>
      </c>
      <c r="B1384" s="98" t="s">
        <v>17</v>
      </c>
      <c r="C1384" s="98">
        <v>33</v>
      </c>
      <c r="D1384" s="98">
        <v>350</v>
      </c>
      <c r="E1384" s="157">
        <v>42143.32916666667</v>
      </c>
      <c r="F1384" s="157">
        <v>42143.420138888891</v>
      </c>
      <c r="G1384" s="98">
        <v>460</v>
      </c>
      <c r="H1384" s="98">
        <v>520</v>
      </c>
      <c r="I1384" s="98">
        <v>486</v>
      </c>
      <c r="J1384" s="98" t="s">
        <v>1976</v>
      </c>
      <c r="K1384" s="98" t="s">
        <v>2489</v>
      </c>
      <c r="L1384" s="105" t="str">
        <f t="shared" si="240"/>
        <v>Ghent</v>
      </c>
      <c r="M1384" s="105" t="str">
        <f t="shared" si="241"/>
        <v>Derate</v>
      </c>
      <c r="N1384" s="105" t="str">
        <f t="shared" si="242"/>
        <v>Coal</v>
      </c>
      <c r="O1384" s="105">
        <f>IFERROR(VLOOKUP(A1384,Lookup!$J$5:$P$19,7,FALSE),0)</f>
        <v>3</v>
      </c>
      <c r="P1384" s="159">
        <f t="shared" si="243"/>
        <v>2015</v>
      </c>
      <c r="Q1384" s="159">
        <f t="shared" si="244"/>
        <v>5</v>
      </c>
      <c r="R1384" s="160">
        <f t="shared" si="245"/>
        <v>2.1833333332906477</v>
      </c>
      <c r="S1384" s="158">
        <f t="shared" si="246"/>
        <v>0.25192307691815163</v>
      </c>
      <c r="T1384" s="161">
        <f t="shared" si="247"/>
        <v>122.43461538222169</v>
      </c>
      <c r="U1384" s="158">
        <f t="shared" si="248"/>
        <v>56.07692307692308</v>
      </c>
      <c r="V1384" s="160">
        <f t="shared" si="249"/>
        <v>56</v>
      </c>
    </row>
    <row r="1385" spans="1:22" x14ac:dyDescent="0.25">
      <c r="A1385" s="98" t="s">
        <v>27</v>
      </c>
      <c r="B1385" s="98" t="s">
        <v>17</v>
      </c>
      <c r="C1385" s="98">
        <v>34</v>
      </c>
      <c r="D1385" s="98">
        <v>350</v>
      </c>
      <c r="E1385" s="157">
        <v>42145.458333333336</v>
      </c>
      <c r="F1385" s="157">
        <v>42145.708333333336</v>
      </c>
      <c r="G1385" s="98">
        <v>460</v>
      </c>
      <c r="H1385" s="98">
        <v>520</v>
      </c>
      <c r="I1385" s="98">
        <v>486</v>
      </c>
      <c r="J1385" s="98" t="s">
        <v>1976</v>
      </c>
      <c r="K1385" s="98" t="s">
        <v>2490</v>
      </c>
      <c r="L1385" s="105" t="str">
        <f t="shared" si="240"/>
        <v>Ghent</v>
      </c>
      <c r="M1385" s="105" t="str">
        <f t="shared" si="241"/>
        <v>Derate</v>
      </c>
      <c r="N1385" s="105" t="str">
        <f t="shared" si="242"/>
        <v>Coal</v>
      </c>
      <c r="O1385" s="105">
        <f>IFERROR(VLOOKUP(A1385,Lookup!$J$5:$P$19,7,FALSE),0)</f>
        <v>3</v>
      </c>
      <c r="P1385" s="159">
        <f t="shared" si="243"/>
        <v>2015</v>
      </c>
      <c r="Q1385" s="159">
        <f t="shared" si="244"/>
        <v>5</v>
      </c>
      <c r="R1385" s="160">
        <f t="shared" si="245"/>
        <v>6</v>
      </c>
      <c r="S1385" s="158">
        <f t="shared" si="246"/>
        <v>0.69230769230769229</v>
      </c>
      <c r="T1385" s="161">
        <f t="shared" si="247"/>
        <v>336.46153846153845</v>
      </c>
      <c r="U1385" s="158">
        <f t="shared" si="248"/>
        <v>56.07692307692308</v>
      </c>
      <c r="V1385" s="160">
        <f t="shared" si="249"/>
        <v>56</v>
      </c>
    </row>
    <row r="1386" spans="1:22" x14ac:dyDescent="0.25">
      <c r="A1386" s="98" t="s">
        <v>27</v>
      </c>
      <c r="B1386" s="98" t="s">
        <v>20</v>
      </c>
      <c r="C1386" s="98">
        <v>35</v>
      </c>
      <c r="D1386" s="98">
        <v>740</v>
      </c>
      <c r="E1386" s="157">
        <v>42154.868055555555</v>
      </c>
      <c r="F1386" s="157">
        <v>42155.4</v>
      </c>
      <c r="G1386" s="98">
        <v>0</v>
      </c>
      <c r="H1386" s="98">
        <v>520</v>
      </c>
      <c r="I1386" s="98">
        <v>486</v>
      </c>
      <c r="J1386" s="98" t="s">
        <v>2176</v>
      </c>
      <c r="K1386" s="98" t="s">
        <v>2491</v>
      </c>
      <c r="L1386" s="105" t="str">
        <f t="shared" si="240"/>
        <v>Ghent</v>
      </c>
      <c r="M1386" s="105" t="str">
        <f t="shared" si="241"/>
        <v>Maintenance</v>
      </c>
      <c r="N1386" s="105" t="str">
        <f t="shared" si="242"/>
        <v>Coal</v>
      </c>
      <c r="O1386" s="105">
        <f>IFERROR(VLOOKUP(A1386,Lookup!$J$5:$P$19,7,FALSE),0)</f>
        <v>3</v>
      </c>
      <c r="P1386" s="159">
        <f t="shared" si="243"/>
        <v>2015</v>
      </c>
      <c r="Q1386" s="159">
        <f t="shared" si="244"/>
        <v>5</v>
      </c>
      <c r="R1386" s="160">
        <f t="shared" si="245"/>
        <v>12.766666666720994</v>
      </c>
      <c r="S1386" s="158">
        <f t="shared" si="246"/>
        <v>12.766666666720994</v>
      </c>
      <c r="T1386" s="161">
        <f t="shared" si="247"/>
        <v>6204.600000026403</v>
      </c>
      <c r="U1386" s="158">
        <f t="shared" si="248"/>
        <v>486</v>
      </c>
      <c r="V1386" s="160">
        <f t="shared" si="249"/>
        <v>486</v>
      </c>
    </row>
    <row r="1387" spans="1:22" x14ac:dyDescent="0.25">
      <c r="A1387" s="98" t="s">
        <v>27</v>
      </c>
      <c r="B1387" s="98" t="s">
        <v>32</v>
      </c>
      <c r="C1387" s="98">
        <v>37</v>
      </c>
      <c r="D1387" s="98">
        <v>312</v>
      </c>
      <c r="E1387" s="157">
        <v>42166.958333333336</v>
      </c>
      <c r="F1387" s="157">
        <v>42167.07916666667</v>
      </c>
      <c r="G1387" s="98">
        <v>460</v>
      </c>
      <c r="H1387" s="98">
        <v>520</v>
      </c>
      <c r="I1387" s="98">
        <v>486</v>
      </c>
      <c r="J1387" s="98" t="s">
        <v>2169</v>
      </c>
      <c r="K1387" s="98" t="s">
        <v>2492</v>
      </c>
      <c r="L1387" s="105" t="str">
        <f t="shared" si="240"/>
        <v>Ghent</v>
      </c>
      <c r="M1387" s="105" t="str">
        <f t="shared" si="241"/>
        <v>Derate</v>
      </c>
      <c r="N1387" s="105" t="str">
        <f t="shared" si="242"/>
        <v>Coal</v>
      </c>
      <c r="O1387" s="105">
        <f>IFERROR(VLOOKUP(A1387,Lookup!$J$5:$P$19,7,FALSE),0)</f>
        <v>3</v>
      </c>
      <c r="P1387" s="159">
        <f t="shared" si="243"/>
        <v>2015</v>
      </c>
      <c r="Q1387" s="159">
        <f t="shared" si="244"/>
        <v>6</v>
      </c>
      <c r="R1387" s="160">
        <f t="shared" si="245"/>
        <v>2.9000000000232831</v>
      </c>
      <c r="S1387" s="158">
        <f t="shared" si="246"/>
        <v>0.33461538461807111</v>
      </c>
      <c r="T1387" s="161">
        <f t="shared" si="247"/>
        <v>162.62307692438256</v>
      </c>
      <c r="U1387" s="158">
        <f t="shared" si="248"/>
        <v>56.07692307692308</v>
      </c>
      <c r="V1387" s="160">
        <f t="shared" si="249"/>
        <v>56</v>
      </c>
    </row>
    <row r="1388" spans="1:22" x14ac:dyDescent="0.25">
      <c r="A1388" s="98" t="s">
        <v>27</v>
      </c>
      <c r="B1388" s="98" t="s">
        <v>17</v>
      </c>
      <c r="C1388" s="98">
        <v>38</v>
      </c>
      <c r="D1388" s="98">
        <v>350</v>
      </c>
      <c r="E1388" s="157">
        <v>42168.663194444445</v>
      </c>
      <c r="F1388" s="157">
        <v>42168.680555555555</v>
      </c>
      <c r="G1388" s="98">
        <v>450</v>
      </c>
      <c r="H1388" s="98">
        <v>520</v>
      </c>
      <c r="I1388" s="98">
        <v>486</v>
      </c>
      <c r="J1388" s="98" t="s">
        <v>1976</v>
      </c>
      <c r="K1388" s="98" t="s">
        <v>2493</v>
      </c>
      <c r="L1388" s="105" t="str">
        <f t="shared" si="240"/>
        <v>Ghent</v>
      </c>
      <c r="M1388" s="105" t="str">
        <f t="shared" si="241"/>
        <v>Derate</v>
      </c>
      <c r="N1388" s="105" t="str">
        <f t="shared" si="242"/>
        <v>Coal</v>
      </c>
      <c r="O1388" s="105">
        <f>IFERROR(VLOOKUP(A1388,Lookup!$J$5:$P$19,7,FALSE),0)</f>
        <v>3</v>
      </c>
      <c r="P1388" s="159">
        <f t="shared" si="243"/>
        <v>2015</v>
      </c>
      <c r="Q1388" s="159">
        <f t="shared" si="244"/>
        <v>6</v>
      </c>
      <c r="R1388" s="160">
        <f t="shared" si="245"/>
        <v>0.41666666662786156</v>
      </c>
      <c r="S1388" s="158">
        <f t="shared" si="246"/>
        <v>5.6089743584519826E-2</v>
      </c>
      <c r="T1388" s="161">
        <f t="shared" si="247"/>
        <v>27.259615382076635</v>
      </c>
      <c r="U1388" s="158">
        <f t="shared" si="248"/>
        <v>65.42307692307692</v>
      </c>
      <c r="V1388" s="160">
        <f t="shared" si="249"/>
        <v>65</v>
      </c>
    </row>
    <row r="1389" spans="1:22" x14ac:dyDescent="0.25">
      <c r="A1389" s="98" t="s">
        <v>27</v>
      </c>
      <c r="B1389" s="98" t="s">
        <v>32</v>
      </c>
      <c r="C1389" s="98">
        <v>39</v>
      </c>
      <c r="D1389" s="98">
        <v>344</v>
      </c>
      <c r="E1389" s="157">
        <v>42198.93472222222</v>
      </c>
      <c r="F1389" s="157">
        <v>42199.053472222222</v>
      </c>
      <c r="G1389" s="98">
        <v>440</v>
      </c>
      <c r="H1389" s="98">
        <v>520</v>
      </c>
      <c r="I1389" s="98">
        <v>486</v>
      </c>
      <c r="J1389" s="98" t="s">
        <v>1968</v>
      </c>
      <c r="K1389" s="98" t="s">
        <v>3385</v>
      </c>
      <c r="L1389" s="105" t="str">
        <f t="shared" si="240"/>
        <v>Ghent</v>
      </c>
      <c r="M1389" s="105" t="str">
        <f t="shared" si="241"/>
        <v>Derate</v>
      </c>
      <c r="N1389" s="105" t="str">
        <f t="shared" si="242"/>
        <v>Coal</v>
      </c>
      <c r="O1389" s="105">
        <f>IFERROR(VLOOKUP(A1389,Lookup!$J$5:$P$19,7,FALSE),0)</f>
        <v>3</v>
      </c>
      <c r="P1389" s="159">
        <f t="shared" si="243"/>
        <v>2015</v>
      </c>
      <c r="Q1389" s="159">
        <f t="shared" si="244"/>
        <v>7</v>
      </c>
      <c r="R1389" s="160">
        <f t="shared" si="245"/>
        <v>2.8500000000349246</v>
      </c>
      <c r="S1389" s="158">
        <f t="shared" si="246"/>
        <v>0.43846153846691149</v>
      </c>
      <c r="T1389" s="161">
        <f t="shared" si="247"/>
        <v>213.09230769491899</v>
      </c>
      <c r="U1389" s="158">
        <f t="shared" si="248"/>
        <v>74.769230769230774</v>
      </c>
      <c r="V1389" s="160">
        <f t="shared" si="249"/>
        <v>75</v>
      </c>
    </row>
    <row r="1390" spans="1:22" x14ac:dyDescent="0.25">
      <c r="A1390" s="98" t="s">
        <v>27</v>
      </c>
      <c r="B1390" s="98" t="s">
        <v>17</v>
      </c>
      <c r="C1390" s="98">
        <v>40</v>
      </c>
      <c r="D1390" s="98">
        <v>250</v>
      </c>
      <c r="E1390" s="157">
        <v>42199.199305555558</v>
      </c>
      <c r="F1390" s="157">
        <v>42199.497916666667</v>
      </c>
      <c r="G1390" s="98">
        <v>450</v>
      </c>
      <c r="H1390" s="98">
        <v>520</v>
      </c>
      <c r="I1390" s="98">
        <v>486</v>
      </c>
      <c r="J1390" s="98" t="s">
        <v>1978</v>
      </c>
      <c r="K1390" s="98" t="s">
        <v>3386</v>
      </c>
      <c r="L1390" s="105" t="str">
        <f t="shared" si="240"/>
        <v>Ghent</v>
      </c>
      <c r="M1390" s="105" t="str">
        <f t="shared" si="241"/>
        <v>Derate</v>
      </c>
      <c r="N1390" s="105" t="str">
        <f t="shared" si="242"/>
        <v>Coal</v>
      </c>
      <c r="O1390" s="105">
        <f>IFERROR(VLOOKUP(A1390,Lookup!$J$5:$P$19,7,FALSE),0)</f>
        <v>3</v>
      </c>
      <c r="P1390" s="159">
        <f t="shared" si="243"/>
        <v>2015</v>
      </c>
      <c r="Q1390" s="159">
        <f t="shared" si="244"/>
        <v>7</v>
      </c>
      <c r="R1390" s="160">
        <f t="shared" si="245"/>
        <v>7.1666666666278616</v>
      </c>
      <c r="S1390" s="158">
        <f t="shared" si="246"/>
        <v>0.96474358973836594</v>
      </c>
      <c r="T1390" s="161">
        <f t="shared" si="247"/>
        <v>468.86538461284584</v>
      </c>
      <c r="U1390" s="158">
        <f t="shared" si="248"/>
        <v>65.42307692307692</v>
      </c>
      <c r="V1390" s="160">
        <f t="shared" si="249"/>
        <v>65</v>
      </c>
    </row>
    <row r="1391" spans="1:22" x14ac:dyDescent="0.25">
      <c r="A1391" s="98" t="s">
        <v>27</v>
      </c>
      <c r="B1391" s="98" t="s">
        <v>17</v>
      </c>
      <c r="C1391" s="98">
        <v>41</v>
      </c>
      <c r="D1391" s="98">
        <v>320</v>
      </c>
      <c r="E1391" s="157">
        <v>42201</v>
      </c>
      <c r="F1391" s="157">
        <v>42201.018750000003</v>
      </c>
      <c r="G1391" s="98">
        <v>460</v>
      </c>
      <c r="H1391" s="98">
        <v>520</v>
      </c>
      <c r="I1391" s="98">
        <v>486</v>
      </c>
      <c r="J1391" s="98" t="s">
        <v>1992</v>
      </c>
      <c r="K1391" s="98" t="s">
        <v>3387</v>
      </c>
      <c r="L1391" s="105" t="str">
        <f t="shared" si="240"/>
        <v>Ghent</v>
      </c>
      <c r="M1391" s="105" t="str">
        <f t="shared" si="241"/>
        <v>Derate</v>
      </c>
      <c r="N1391" s="105" t="str">
        <f t="shared" si="242"/>
        <v>Coal</v>
      </c>
      <c r="O1391" s="105">
        <f>IFERROR(VLOOKUP(A1391,Lookup!$J$5:$P$19,7,FALSE),0)</f>
        <v>3</v>
      </c>
      <c r="P1391" s="159">
        <f t="shared" si="243"/>
        <v>2015</v>
      </c>
      <c r="Q1391" s="159">
        <f t="shared" si="244"/>
        <v>7</v>
      </c>
      <c r="R1391" s="160">
        <f t="shared" si="245"/>
        <v>0.45000000006984919</v>
      </c>
      <c r="S1391" s="158">
        <f t="shared" si="246"/>
        <v>5.1923076931136444E-2</v>
      </c>
      <c r="T1391" s="161">
        <f t="shared" si="247"/>
        <v>25.234615388532312</v>
      </c>
      <c r="U1391" s="158">
        <f t="shared" si="248"/>
        <v>56.07692307692308</v>
      </c>
      <c r="V1391" s="160">
        <f t="shared" si="249"/>
        <v>56</v>
      </c>
    </row>
    <row r="1392" spans="1:22" x14ac:dyDescent="0.25">
      <c r="A1392" s="98" t="s">
        <v>27</v>
      </c>
      <c r="B1392" s="98" t="s">
        <v>17</v>
      </c>
      <c r="C1392" s="98">
        <v>42</v>
      </c>
      <c r="D1392" s="98">
        <v>350</v>
      </c>
      <c r="E1392" s="157">
        <v>42206.256944444445</v>
      </c>
      <c r="F1392" s="157">
        <v>42206.339583333334</v>
      </c>
      <c r="G1392" s="98">
        <v>450</v>
      </c>
      <c r="H1392" s="98">
        <v>520</v>
      </c>
      <c r="I1392" s="98">
        <v>486</v>
      </c>
      <c r="J1392" s="98" t="s">
        <v>1976</v>
      </c>
      <c r="K1392" s="98" t="s">
        <v>3388</v>
      </c>
      <c r="L1392" s="105" t="str">
        <f t="shared" si="240"/>
        <v>Ghent</v>
      </c>
      <c r="M1392" s="105" t="str">
        <f t="shared" si="241"/>
        <v>Derate</v>
      </c>
      <c r="N1392" s="105" t="str">
        <f t="shared" si="242"/>
        <v>Coal</v>
      </c>
      <c r="O1392" s="105">
        <f>IFERROR(VLOOKUP(A1392,Lookup!$J$5:$P$19,7,FALSE),0)</f>
        <v>3</v>
      </c>
      <c r="P1392" s="159">
        <f t="shared" si="243"/>
        <v>2015</v>
      </c>
      <c r="Q1392" s="159">
        <f t="shared" si="244"/>
        <v>7</v>
      </c>
      <c r="R1392" s="160">
        <f t="shared" si="245"/>
        <v>1.9833333333372138</v>
      </c>
      <c r="S1392" s="158">
        <f t="shared" si="246"/>
        <v>0.26698717948770184</v>
      </c>
      <c r="T1392" s="161">
        <f t="shared" si="247"/>
        <v>129.75576923102309</v>
      </c>
      <c r="U1392" s="158">
        <f t="shared" si="248"/>
        <v>65.42307692307692</v>
      </c>
      <c r="V1392" s="160">
        <f t="shared" si="249"/>
        <v>65</v>
      </c>
    </row>
    <row r="1393" spans="1:22" x14ac:dyDescent="0.25">
      <c r="A1393" s="98" t="s">
        <v>27</v>
      </c>
      <c r="B1393" s="98" t="s">
        <v>17</v>
      </c>
      <c r="C1393" s="98">
        <v>43</v>
      </c>
      <c r="D1393" s="98">
        <v>350</v>
      </c>
      <c r="E1393" s="157">
        <v>42209.635416666664</v>
      </c>
      <c r="F1393" s="157">
        <v>42210.161805555559</v>
      </c>
      <c r="G1393" s="98">
        <v>440</v>
      </c>
      <c r="H1393" s="98">
        <v>520</v>
      </c>
      <c r="I1393" s="98">
        <v>486</v>
      </c>
      <c r="J1393" s="98" t="s">
        <v>1976</v>
      </c>
      <c r="K1393" s="98" t="s">
        <v>3389</v>
      </c>
      <c r="L1393" s="105" t="str">
        <f t="shared" si="240"/>
        <v>Ghent</v>
      </c>
      <c r="M1393" s="105" t="str">
        <f t="shared" si="241"/>
        <v>Derate</v>
      </c>
      <c r="N1393" s="105" t="str">
        <f t="shared" si="242"/>
        <v>Coal</v>
      </c>
      <c r="O1393" s="105">
        <f>IFERROR(VLOOKUP(A1393,Lookup!$J$5:$P$19,7,FALSE),0)</f>
        <v>3</v>
      </c>
      <c r="P1393" s="159">
        <f t="shared" si="243"/>
        <v>2015</v>
      </c>
      <c r="Q1393" s="159">
        <f t="shared" si="244"/>
        <v>7</v>
      </c>
      <c r="R1393" s="160">
        <f t="shared" si="245"/>
        <v>12.633333333476912</v>
      </c>
      <c r="S1393" s="158">
        <f t="shared" si="246"/>
        <v>1.9435897436118326</v>
      </c>
      <c r="T1393" s="161">
        <f t="shared" si="247"/>
        <v>944.58461539535062</v>
      </c>
      <c r="U1393" s="158">
        <f t="shared" si="248"/>
        <v>74.769230769230774</v>
      </c>
      <c r="V1393" s="160">
        <f t="shared" si="249"/>
        <v>75</v>
      </c>
    </row>
    <row r="1394" spans="1:22" x14ac:dyDescent="0.25">
      <c r="A1394" s="98" t="s">
        <v>27</v>
      </c>
      <c r="B1394" s="98" t="s">
        <v>17</v>
      </c>
      <c r="C1394" s="98">
        <v>44</v>
      </c>
      <c r="D1394" s="98">
        <v>350</v>
      </c>
      <c r="E1394" s="157">
        <v>42210.354166666664</v>
      </c>
      <c r="F1394" s="157">
        <v>42210.446527777778</v>
      </c>
      <c r="G1394" s="98">
        <v>410</v>
      </c>
      <c r="H1394" s="98">
        <v>520</v>
      </c>
      <c r="I1394" s="98">
        <v>486</v>
      </c>
      <c r="J1394" s="98" t="s">
        <v>1976</v>
      </c>
      <c r="K1394" s="98" t="s">
        <v>3390</v>
      </c>
      <c r="L1394" s="105" t="str">
        <f t="shared" si="240"/>
        <v>Ghent</v>
      </c>
      <c r="M1394" s="105" t="str">
        <f t="shared" si="241"/>
        <v>Derate</v>
      </c>
      <c r="N1394" s="105" t="str">
        <f t="shared" si="242"/>
        <v>Coal</v>
      </c>
      <c r="O1394" s="105">
        <f>IFERROR(VLOOKUP(A1394,Lookup!$J$5:$P$19,7,FALSE),0)</f>
        <v>3</v>
      </c>
      <c r="P1394" s="159">
        <f t="shared" si="243"/>
        <v>2015</v>
      </c>
      <c r="Q1394" s="159">
        <f t="shared" si="244"/>
        <v>7</v>
      </c>
      <c r="R1394" s="160">
        <f t="shared" si="245"/>
        <v>2.2166666667326353</v>
      </c>
      <c r="S1394" s="158">
        <f t="shared" si="246"/>
        <v>0.4689102564242113</v>
      </c>
      <c r="T1394" s="161">
        <f t="shared" si="247"/>
        <v>227.89038462216669</v>
      </c>
      <c r="U1394" s="158">
        <f t="shared" si="248"/>
        <v>102.80769230769231</v>
      </c>
      <c r="V1394" s="160">
        <f t="shared" si="249"/>
        <v>103</v>
      </c>
    </row>
    <row r="1395" spans="1:22" x14ac:dyDescent="0.25">
      <c r="A1395" s="98" t="s">
        <v>27</v>
      </c>
      <c r="B1395" s="98" t="s">
        <v>32</v>
      </c>
      <c r="C1395" s="98">
        <v>45</v>
      </c>
      <c r="D1395" s="98">
        <v>350</v>
      </c>
      <c r="E1395" s="157">
        <v>42214.916666666664</v>
      </c>
      <c r="F1395" s="157">
        <v>42214.959722222222</v>
      </c>
      <c r="G1395" s="98">
        <v>460</v>
      </c>
      <c r="H1395" s="98">
        <v>520</v>
      </c>
      <c r="I1395" s="98">
        <v>486</v>
      </c>
      <c r="J1395" s="98" t="s">
        <v>1976</v>
      </c>
      <c r="K1395" s="98" t="s">
        <v>3391</v>
      </c>
      <c r="L1395" s="105" t="str">
        <f t="shared" si="240"/>
        <v>Ghent</v>
      </c>
      <c r="M1395" s="105" t="str">
        <f t="shared" si="241"/>
        <v>Derate</v>
      </c>
      <c r="N1395" s="105" t="str">
        <f t="shared" si="242"/>
        <v>Coal</v>
      </c>
      <c r="O1395" s="105">
        <f>IFERROR(VLOOKUP(A1395,Lookup!$J$5:$P$19,7,FALSE),0)</f>
        <v>3</v>
      </c>
      <c r="P1395" s="159">
        <f t="shared" si="243"/>
        <v>2015</v>
      </c>
      <c r="Q1395" s="159">
        <f t="shared" si="244"/>
        <v>7</v>
      </c>
      <c r="R1395" s="160">
        <f t="shared" si="245"/>
        <v>1.03333333338378</v>
      </c>
      <c r="S1395" s="158">
        <f t="shared" si="246"/>
        <v>0.11923076923659</v>
      </c>
      <c r="T1395" s="161">
        <f t="shared" si="247"/>
        <v>57.946153848982739</v>
      </c>
      <c r="U1395" s="158">
        <f t="shared" si="248"/>
        <v>56.07692307692308</v>
      </c>
      <c r="V1395" s="160">
        <f t="shared" si="249"/>
        <v>56</v>
      </c>
    </row>
    <row r="1396" spans="1:22" x14ac:dyDescent="0.25">
      <c r="A1396" s="98" t="s">
        <v>27</v>
      </c>
      <c r="B1396" s="98" t="s">
        <v>32</v>
      </c>
      <c r="C1396" s="98">
        <v>46</v>
      </c>
      <c r="D1396" s="98">
        <v>250</v>
      </c>
      <c r="E1396" s="157">
        <v>42214.959722222222</v>
      </c>
      <c r="F1396" s="157">
        <v>42215.114583333336</v>
      </c>
      <c r="G1396" s="98">
        <v>460</v>
      </c>
      <c r="H1396" s="98">
        <v>520</v>
      </c>
      <c r="I1396" s="98">
        <v>486</v>
      </c>
      <c r="J1396" s="98" t="s">
        <v>1978</v>
      </c>
      <c r="K1396" s="98" t="s">
        <v>3392</v>
      </c>
      <c r="L1396" s="105" t="str">
        <f t="shared" si="240"/>
        <v>Ghent</v>
      </c>
      <c r="M1396" s="105" t="str">
        <f t="shared" si="241"/>
        <v>Derate</v>
      </c>
      <c r="N1396" s="105" t="str">
        <f t="shared" si="242"/>
        <v>Coal</v>
      </c>
      <c r="O1396" s="105">
        <f>IFERROR(VLOOKUP(A1396,Lookup!$J$5:$P$19,7,FALSE),0)</f>
        <v>3</v>
      </c>
      <c r="P1396" s="159">
        <f t="shared" si="243"/>
        <v>2015</v>
      </c>
      <c r="Q1396" s="159">
        <f t="shared" si="244"/>
        <v>7</v>
      </c>
      <c r="R1396" s="160">
        <f t="shared" si="245"/>
        <v>3.7166666667326353</v>
      </c>
      <c r="S1396" s="158">
        <f t="shared" si="246"/>
        <v>0.42884615385376562</v>
      </c>
      <c r="T1396" s="161">
        <f t="shared" si="247"/>
        <v>208.41923077293009</v>
      </c>
      <c r="U1396" s="158">
        <f t="shared" si="248"/>
        <v>56.07692307692308</v>
      </c>
      <c r="V1396" s="160">
        <f t="shared" si="249"/>
        <v>56</v>
      </c>
    </row>
    <row r="1397" spans="1:22" x14ac:dyDescent="0.25">
      <c r="A1397" s="98" t="s">
        <v>27</v>
      </c>
      <c r="B1397" s="98" t="s">
        <v>17</v>
      </c>
      <c r="C1397" s="98">
        <v>47</v>
      </c>
      <c r="D1397" s="98">
        <v>340</v>
      </c>
      <c r="E1397" s="157">
        <v>42218.786805555559</v>
      </c>
      <c r="F1397" s="157">
        <v>42218.87777777778</v>
      </c>
      <c r="G1397" s="98">
        <v>450</v>
      </c>
      <c r="H1397" s="98">
        <v>520</v>
      </c>
      <c r="I1397" s="98">
        <v>486</v>
      </c>
      <c r="J1397" s="98" t="s">
        <v>1970</v>
      </c>
      <c r="K1397" s="98" t="s">
        <v>3393</v>
      </c>
      <c r="L1397" s="105" t="str">
        <f t="shared" si="240"/>
        <v>Ghent</v>
      </c>
      <c r="M1397" s="105" t="str">
        <f t="shared" si="241"/>
        <v>Derate</v>
      </c>
      <c r="N1397" s="105" t="str">
        <f t="shared" si="242"/>
        <v>Coal</v>
      </c>
      <c r="O1397" s="105">
        <f>IFERROR(VLOOKUP(A1397,Lookup!$J$5:$P$19,7,FALSE),0)</f>
        <v>3</v>
      </c>
      <c r="P1397" s="159">
        <f t="shared" si="243"/>
        <v>2015</v>
      </c>
      <c r="Q1397" s="159">
        <f t="shared" si="244"/>
        <v>8</v>
      </c>
      <c r="R1397" s="160">
        <f t="shared" si="245"/>
        <v>2.1833333332906477</v>
      </c>
      <c r="S1397" s="158">
        <f t="shared" si="246"/>
        <v>0.29391025640451029</v>
      </c>
      <c r="T1397" s="161">
        <f t="shared" si="247"/>
        <v>142.840384612592</v>
      </c>
      <c r="U1397" s="158">
        <f t="shared" si="248"/>
        <v>65.42307692307692</v>
      </c>
      <c r="V1397" s="160">
        <f t="shared" si="249"/>
        <v>65</v>
      </c>
    </row>
    <row r="1398" spans="1:22" x14ac:dyDescent="0.25">
      <c r="A1398" s="98" t="s">
        <v>27</v>
      </c>
      <c r="B1398" s="98" t="s">
        <v>17</v>
      </c>
      <c r="C1398" s="98">
        <v>48</v>
      </c>
      <c r="D1398" s="98">
        <v>3410</v>
      </c>
      <c r="E1398" s="157">
        <v>42219.460416666669</v>
      </c>
      <c r="F1398" s="157">
        <v>42219.489583333336</v>
      </c>
      <c r="G1398" s="98">
        <v>386</v>
      </c>
      <c r="H1398" s="98">
        <v>520</v>
      </c>
      <c r="I1398" s="98">
        <v>486</v>
      </c>
      <c r="J1398" s="98" t="s">
        <v>1983</v>
      </c>
      <c r="K1398" s="98" t="s">
        <v>3394</v>
      </c>
      <c r="L1398" s="105" t="str">
        <f t="shared" si="240"/>
        <v>Ghent</v>
      </c>
      <c r="M1398" s="105" t="str">
        <f t="shared" si="241"/>
        <v>Derate</v>
      </c>
      <c r="N1398" s="105" t="str">
        <f t="shared" si="242"/>
        <v>Coal</v>
      </c>
      <c r="O1398" s="105">
        <f>IFERROR(VLOOKUP(A1398,Lookup!$J$5:$P$19,7,FALSE),0)</f>
        <v>3</v>
      </c>
      <c r="P1398" s="159">
        <f t="shared" si="243"/>
        <v>2015</v>
      </c>
      <c r="Q1398" s="159">
        <f t="shared" si="244"/>
        <v>8</v>
      </c>
      <c r="R1398" s="160">
        <f t="shared" si="245"/>
        <v>0.70000000001164153</v>
      </c>
      <c r="S1398" s="158">
        <f t="shared" si="246"/>
        <v>0.18038461538761533</v>
      </c>
      <c r="T1398" s="161">
        <f t="shared" si="247"/>
        <v>87.666923078381046</v>
      </c>
      <c r="U1398" s="158">
        <f t="shared" si="248"/>
        <v>125.23846153846154</v>
      </c>
      <c r="V1398" s="160">
        <f t="shared" si="249"/>
        <v>125</v>
      </c>
    </row>
    <row r="1399" spans="1:22" x14ac:dyDescent="0.25">
      <c r="A1399" s="98" t="s">
        <v>27</v>
      </c>
      <c r="B1399" s="98" t="s">
        <v>17</v>
      </c>
      <c r="C1399" s="98">
        <v>49</v>
      </c>
      <c r="D1399" s="98">
        <v>3631</v>
      </c>
      <c r="E1399" s="157">
        <v>42224.675000000003</v>
      </c>
      <c r="F1399" s="157">
        <v>42224.729166666664</v>
      </c>
      <c r="G1399" s="98">
        <v>228</v>
      </c>
      <c r="H1399" s="98">
        <v>520</v>
      </c>
      <c r="I1399" s="98">
        <v>486</v>
      </c>
      <c r="J1399" s="98" t="s">
        <v>2133</v>
      </c>
      <c r="K1399" s="98" t="s">
        <v>3395</v>
      </c>
      <c r="L1399" s="105" t="str">
        <f t="shared" si="240"/>
        <v>Ghent</v>
      </c>
      <c r="M1399" s="105" t="str">
        <f t="shared" si="241"/>
        <v>Derate</v>
      </c>
      <c r="N1399" s="105" t="str">
        <f t="shared" si="242"/>
        <v>Coal</v>
      </c>
      <c r="O1399" s="105">
        <f>IFERROR(VLOOKUP(A1399,Lookup!$J$5:$P$19,7,FALSE),0)</f>
        <v>3</v>
      </c>
      <c r="P1399" s="159">
        <f t="shared" si="243"/>
        <v>2015</v>
      </c>
      <c r="Q1399" s="159">
        <f t="shared" si="244"/>
        <v>8</v>
      </c>
      <c r="R1399" s="160">
        <f t="shared" si="245"/>
        <v>1.2999999998719431</v>
      </c>
      <c r="S1399" s="158">
        <f t="shared" si="246"/>
        <v>0.72999999992809117</v>
      </c>
      <c r="T1399" s="161">
        <f t="shared" si="247"/>
        <v>354.7799999650523</v>
      </c>
      <c r="U1399" s="158">
        <f t="shared" si="248"/>
        <v>272.90769230769229</v>
      </c>
      <c r="V1399" s="160">
        <f t="shared" si="249"/>
        <v>273</v>
      </c>
    </row>
    <row r="1400" spans="1:22" x14ac:dyDescent="0.25">
      <c r="A1400" s="98" t="s">
        <v>27</v>
      </c>
      <c r="B1400" s="98" t="s">
        <v>17</v>
      </c>
      <c r="C1400" s="98">
        <v>50</v>
      </c>
      <c r="D1400" s="98">
        <v>3632</v>
      </c>
      <c r="E1400" s="157">
        <v>42227.149305555555</v>
      </c>
      <c r="F1400" s="157">
        <v>42227.240277777775</v>
      </c>
      <c r="G1400" s="98">
        <v>280</v>
      </c>
      <c r="H1400" s="98">
        <v>520</v>
      </c>
      <c r="I1400" s="98">
        <v>486</v>
      </c>
      <c r="J1400" s="98" t="s">
        <v>2308</v>
      </c>
      <c r="K1400" s="98" t="s">
        <v>3396</v>
      </c>
      <c r="L1400" s="105" t="str">
        <f t="shared" si="240"/>
        <v>Ghent</v>
      </c>
      <c r="M1400" s="105" t="str">
        <f t="shared" si="241"/>
        <v>Derate</v>
      </c>
      <c r="N1400" s="105" t="str">
        <f t="shared" si="242"/>
        <v>Coal</v>
      </c>
      <c r="O1400" s="105">
        <f>IFERROR(VLOOKUP(A1400,Lookup!$J$5:$P$19,7,FALSE),0)</f>
        <v>3</v>
      </c>
      <c r="P1400" s="159">
        <f t="shared" si="243"/>
        <v>2015</v>
      </c>
      <c r="Q1400" s="159">
        <f t="shared" si="244"/>
        <v>8</v>
      </c>
      <c r="R1400" s="160">
        <f t="shared" si="245"/>
        <v>2.1833333332906477</v>
      </c>
      <c r="S1400" s="158">
        <f t="shared" si="246"/>
        <v>1.0076923076726065</v>
      </c>
      <c r="T1400" s="161">
        <f t="shared" si="247"/>
        <v>489.73846152888677</v>
      </c>
      <c r="U1400" s="158">
        <f t="shared" si="248"/>
        <v>224.30769230769232</v>
      </c>
      <c r="V1400" s="160">
        <f t="shared" si="249"/>
        <v>224</v>
      </c>
    </row>
    <row r="1401" spans="1:22" x14ac:dyDescent="0.25">
      <c r="A1401" s="98" t="s">
        <v>27</v>
      </c>
      <c r="B1401" s="98" t="s">
        <v>17</v>
      </c>
      <c r="C1401" s="98">
        <v>51</v>
      </c>
      <c r="D1401" s="98">
        <v>340</v>
      </c>
      <c r="E1401" s="157">
        <v>42232.642361111109</v>
      </c>
      <c r="F1401" s="157">
        <v>42232.731944444444</v>
      </c>
      <c r="G1401" s="98">
        <v>460</v>
      </c>
      <c r="H1401" s="98">
        <v>520</v>
      </c>
      <c r="I1401" s="98">
        <v>486</v>
      </c>
      <c r="J1401" s="98" t="s">
        <v>1970</v>
      </c>
      <c r="K1401" s="98" t="s">
        <v>3397</v>
      </c>
      <c r="L1401" s="105" t="str">
        <f t="shared" si="240"/>
        <v>Ghent</v>
      </c>
      <c r="M1401" s="105" t="str">
        <f t="shared" si="241"/>
        <v>Derate</v>
      </c>
      <c r="N1401" s="105" t="str">
        <f t="shared" si="242"/>
        <v>Coal</v>
      </c>
      <c r="O1401" s="105">
        <f>IFERROR(VLOOKUP(A1401,Lookup!$J$5:$P$19,7,FALSE),0)</f>
        <v>3</v>
      </c>
      <c r="P1401" s="159">
        <f t="shared" si="243"/>
        <v>2015</v>
      </c>
      <c r="Q1401" s="159">
        <f t="shared" si="244"/>
        <v>8</v>
      </c>
      <c r="R1401" s="160">
        <f t="shared" si="245"/>
        <v>2.1500000000232831</v>
      </c>
      <c r="S1401" s="158">
        <f t="shared" si="246"/>
        <v>0.24807692307960957</v>
      </c>
      <c r="T1401" s="161">
        <f t="shared" si="247"/>
        <v>120.56538461669025</v>
      </c>
      <c r="U1401" s="158">
        <f t="shared" si="248"/>
        <v>56.07692307692308</v>
      </c>
      <c r="V1401" s="160">
        <f t="shared" si="249"/>
        <v>56</v>
      </c>
    </row>
    <row r="1402" spans="1:22" x14ac:dyDescent="0.25">
      <c r="A1402" s="98" t="s">
        <v>27</v>
      </c>
      <c r="B1402" s="98" t="s">
        <v>32</v>
      </c>
      <c r="C1402" s="98">
        <v>52</v>
      </c>
      <c r="D1402" s="98">
        <v>320</v>
      </c>
      <c r="E1402" s="157">
        <v>42239.34652777778</v>
      </c>
      <c r="F1402" s="157">
        <v>42239.429861111108</v>
      </c>
      <c r="G1402" s="98">
        <v>420</v>
      </c>
      <c r="H1402" s="98">
        <v>520</v>
      </c>
      <c r="I1402" s="98">
        <v>486</v>
      </c>
      <c r="J1402" s="98" t="s">
        <v>1992</v>
      </c>
      <c r="K1402" s="98" t="s">
        <v>3398</v>
      </c>
      <c r="L1402" s="105" t="str">
        <f t="shared" si="240"/>
        <v>Ghent</v>
      </c>
      <c r="M1402" s="105" t="str">
        <f t="shared" si="241"/>
        <v>Derate</v>
      </c>
      <c r="N1402" s="105" t="str">
        <f t="shared" si="242"/>
        <v>Coal</v>
      </c>
      <c r="O1402" s="105">
        <f>IFERROR(VLOOKUP(A1402,Lookup!$J$5:$P$19,7,FALSE),0)</f>
        <v>3</v>
      </c>
      <c r="P1402" s="159">
        <f t="shared" si="243"/>
        <v>2015</v>
      </c>
      <c r="Q1402" s="159">
        <f t="shared" si="244"/>
        <v>8</v>
      </c>
      <c r="R1402" s="160">
        <f t="shared" si="245"/>
        <v>1.9999999998835847</v>
      </c>
      <c r="S1402" s="158">
        <f t="shared" si="246"/>
        <v>0.38461538459299704</v>
      </c>
      <c r="T1402" s="161">
        <f t="shared" si="247"/>
        <v>186.92307691219656</v>
      </c>
      <c r="U1402" s="158">
        <f t="shared" si="248"/>
        <v>93.461538461538467</v>
      </c>
      <c r="V1402" s="160">
        <f t="shared" si="249"/>
        <v>93</v>
      </c>
    </row>
    <row r="1403" spans="1:22" x14ac:dyDescent="0.25">
      <c r="A1403" s="98" t="s">
        <v>27</v>
      </c>
      <c r="B1403" s="98" t="s">
        <v>33</v>
      </c>
      <c r="C1403" s="98">
        <v>53</v>
      </c>
      <c r="D1403" s="98">
        <v>1000</v>
      </c>
      <c r="E1403" s="157">
        <v>42239.835416666669</v>
      </c>
      <c r="F1403" s="157">
        <v>42240.834722222222</v>
      </c>
      <c r="G1403" s="98">
        <v>0</v>
      </c>
      <c r="H1403" s="98">
        <v>520</v>
      </c>
      <c r="I1403" s="98">
        <v>486</v>
      </c>
      <c r="J1403" s="98" t="s">
        <v>2002</v>
      </c>
      <c r="K1403" s="98" t="s">
        <v>3399</v>
      </c>
      <c r="L1403" s="105" t="str">
        <f t="shared" si="240"/>
        <v>Ghent</v>
      </c>
      <c r="M1403" s="105" t="str">
        <f t="shared" si="241"/>
        <v>Outage</v>
      </c>
      <c r="N1403" s="105" t="str">
        <f t="shared" si="242"/>
        <v>Coal</v>
      </c>
      <c r="O1403" s="105">
        <f>IFERROR(VLOOKUP(A1403,Lookup!$J$5:$P$19,7,FALSE),0)</f>
        <v>3</v>
      </c>
      <c r="P1403" s="159">
        <f t="shared" si="243"/>
        <v>2015</v>
      </c>
      <c r="Q1403" s="159">
        <f t="shared" si="244"/>
        <v>8</v>
      </c>
      <c r="R1403" s="160">
        <f t="shared" si="245"/>
        <v>23.983333333279006</v>
      </c>
      <c r="S1403" s="158">
        <f t="shared" si="246"/>
        <v>23.983333333279006</v>
      </c>
      <c r="T1403" s="161">
        <f t="shared" si="247"/>
        <v>11655.899999973597</v>
      </c>
      <c r="U1403" s="158">
        <f t="shared" si="248"/>
        <v>486</v>
      </c>
      <c r="V1403" s="160">
        <f t="shared" si="249"/>
        <v>486</v>
      </c>
    </row>
    <row r="1404" spans="1:22" x14ac:dyDescent="0.25">
      <c r="A1404" s="98" t="s">
        <v>27</v>
      </c>
      <c r="B1404" s="98" t="s">
        <v>32</v>
      </c>
      <c r="C1404" s="98">
        <v>54</v>
      </c>
      <c r="D1404" s="98">
        <v>340</v>
      </c>
      <c r="E1404" s="157">
        <v>42247.923611111109</v>
      </c>
      <c r="F1404" s="157">
        <v>42248.173611111109</v>
      </c>
      <c r="G1404" s="98">
        <v>480</v>
      </c>
      <c r="H1404" s="98">
        <v>520</v>
      </c>
      <c r="I1404" s="98">
        <v>486</v>
      </c>
      <c r="J1404" s="98" t="s">
        <v>1970</v>
      </c>
      <c r="K1404" s="98" t="s">
        <v>3400</v>
      </c>
      <c r="L1404" s="105" t="str">
        <f t="shared" si="240"/>
        <v>Ghent</v>
      </c>
      <c r="M1404" s="105" t="str">
        <f t="shared" si="241"/>
        <v>Derate</v>
      </c>
      <c r="N1404" s="105" t="str">
        <f t="shared" si="242"/>
        <v>Coal</v>
      </c>
      <c r="O1404" s="105">
        <f>IFERROR(VLOOKUP(A1404,Lookup!$J$5:$P$19,7,FALSE),0)</f>
        <v>3</v>
      </c>
      <c r="P1404" s="159">
        <f t="shared" si="243"/>
        <v>2015</v>
      </c>
      <c r="Q1404" s="159">
        <f t="shared" si="244"/>
        <v>8</v>
      </c>
      <c r="R1404" s="160">
        <f t="shared" si="245"/>
        <v>6</v>
      </c>
      <c r="S1404" s="158">
        <f t="shared" si="246"/>
        <v>0.46153846153846156</v>
      </c>
      <c r="T1404" s="161">
        <f t="shared" si="247"/>
        <v>224.30769230769232</v>
      </c>
      <c r="U1404" s="158">
        <f t="shared" si="248"/>
        <v>37.384615384615387</v>
      </c>
      <c r="V1404" s="160">
        <f t="shared" si="249"/>
        <v>37</v>
      </c>
    </row>
    <row r="1405" spans="1:22" x14ac:dyDescent="0.25">
      <c r="A1405" s="98" t="s">
        <v>27</v>
      </c>
      <c r="B1405" s="98" t="s">
        <v>17</v>
      </c>
      <c r="C1405" s="98">
        <v>55</v>
      </c>
      <c r="D1405" s="98">
        <v>340</v>
      </c>
      <c r="E1405" s="157">
        <v>42261.260416666664</v>
      </c>
      <c r="F1405" s="157">
        <v>42263.300694444442</v>
      </c>
      <c r="G1405" s="98">
        <v>450</v>
      </c>
      <c r="H1405" s="98">
        <v>520</v>
      </c>
      <c r="I1405" s="98">
        <v>486</v>
      </c>
      <c r="J1405" s="98" t="s">
        <v>1970</v>
      </c>
      <c r="K1405" s="98" t="s">
        <v>3401</v>
      </c>
      <c r="L1405" s="105" t="str">
        <f t="shared" si="240"/>
        <v>Ghent</v>
      </c>
      <c r="M1405" s="105" t="str">
        <f t="shared" si="241"/>
        <v>Derate</v>
      </c>
      <c r="N1405" s="105" t="str">
        <f t="shared" si="242"/>
        <v>Coal</v>
      </c>
      <c r="O1405" s="105">
        <f>IFERROR(VLOOKUP(A1405,Lookup!$J$5:$P$19,7,FALSE),0)</f>
        <v>3</v>
      </c>
      <c r="P1405" s="159">
        <f t="shared" si="243"/>
        <v>2015</v>
      </c>
      <c r="Q1405" s="159">
        <f t="shared" si="244"/>
        <v>9</v>
      </c>
      <c r="R1405" s="160">
        <f t="shared" si="245"/>
        <v>48.966666666674428</v>
      </c>
      <c r="S1405" s="158">
        <f t="shared" si="246"/>
        <v>6.5916666666677113</v>
      </c>
      <c r="T1405" s="161">
        <f t="shared" si="247"/>
        <v>3203.5500000005077</v>
      </c>
      <c r="U1405" s="158">
        <f t="shared" si="248"/>
        <v>65.42307692307692</v>
      </c>
      <c r="V1405" s="160">
        <f t="shared" si="249"/>
        <v>65</v>
      </c>
    </row>
    <row r="1406" spans="1:22" x14ac:dyDescent="0.25">
      <c r="A1406" s="98" t="s">
        <v>27</v>
      </c>
      <c r="B1406" s="98" t="s">
        <v>32</v>
      </c>
      <c r="C1406" s="98">
        <v>56</v>
      </c>
      <c r="D1406" s="98">
        <v>346</v>
      </c>
      <c r="E1406" s="157">
        <v>42261.916666666664</v>
      </c>
      <c r="F1406" s="157">
        <v>42262.038888888892</v>
      </c>
      <c r="G1406" s="98">
        <v>350</v>
      </c>
      <c r="H1406" s="98">
        <v>520</v>
      </c>
      <c r="I1406" s="98">
        <v>486</v>
      </c>
      <c r="J1406" s="98" t="s">
        <v>1986</v>
      </c>
      <c r="K1406" s="98" t="s">
        <v>3402</v>
      </c>
      <c r="L1406" s="105" t="str">
        <f t="shared" si="240"/>
        <v>Ghent</v>
      </c>
      <c r="M1406" s="105" t="str">
        <f t="shared" si="241"/>
        <v>Derate</v>
      </c>
      <c r="N1406" s="105" t="str">
        <f t="shared" si="242"/>
        <v>Coal</v>
      </c>
      <c r="O1406" s="105">
        <f>IFERROR(VLOOKUP(A1406,Lookup!$J$5:$P$19,7,FALSE),0)</f>
        <v>3</v>
      </c>
      <c r="P1406" s="159">
        <f t="shared" si="243"/>
        <v>2015</v>
      </c>
      <c r="Q1406" s="159">
        <f t="shared" si="244"/>
        <v>9</v>
      </c>
      <c r="R1406" s="160">
        <f t="shared" si="245"/>
        <v>2.9333333334652707</v>
      </c>
      <c r="S1406" s="158">
        <f t="shared" si="246"/>
        <v>0.95897435901749239</v>
      </c>
      <c r="T1406" s="161">
        <f t="shared" si="247"/>
        <v>466.06153848250131</v>
      </c>
      <c r="U1406" s="158">
        <f t="shared" si="248"/>
        <v>158.88461538461539</v>
      </c>
      <c r="V1406" s="160">
        <f t="shared" si="249"/>
        <v>159</v>
      </c>
    </row>
    <row r="1407" spans="1:22" x14ac:dyDescent="0.25">
      <c r="A1407" s="98" t="s">
        <v>27</v>
      </c>
      <c r="B1407" s="98" t="s">
        <v>17</v>
      </c>
      <c r="C1407" s="98">
        <v>57</v>
      </c>
      <c r="D1407" s="98">
        <v>340</v>
      </c>
      <c r="E1407" s="157">
        <v>42262.541666666664</v>
      </c>
      <c r="F1407" s="157">
        <v>42262.720833333333</v>
      </c>
      <c r="G1407" s="98">
        <v>299</v>
      </c>
      <c r="H1407" s="98">
        <v>520</v>
      </c>
      <c r="I1407" s="98">
        <v>486</v>
      </c>
      <c r="J1407" s="98" t="s">
        <v>1970</v>
      </c>
      <c r="K1407" s="98" t="s">
        <v>3403</v>
      </c>
      <c r="L1407" s="105" t="str">
        <f t="shared" si="240"/>
        <v>Ghent</v>
      </c>
      <c r="M1407" s="105" t="str">
        <f t="shared" si="241"/>
        <v>Derate</v>
      </c>
      <c r="N1407" s="105" t="str">
        <f t="shared" si="242"/>
        <v>Coal</v>
      </c>
      <c r="O1407" s="105">
        <f>IFERROR(VLOOKUP(A1407,Lookup!$J$5:$P$19,7,FALSE),0)</f>
        <v>3</v>
      </c>
      <c r="P1407" s="159">
        <f t="shared" si="243"/>
        <v>2015</v>
      </c>
      <c r="Q1407" s="159">
        <f t="shared" si="244"/>
        <v>9</v>
      </c>
      <c r="R1407" s="160">
        <f t="shared" si="245"/>
        <v>4.3000000000465661</v>
      </c>
      <c r="S1407" s="158">
        <f t="shared" si="246"/>
        <v>1.8275000000197905</v>
      </c>
      <c r="T1407" s="161">
        <f t="shared" si="247"/>
        <v>888.16500000961821</v>
      </c>
      <c r="U1407" s="158">
        <f t="shared" si="248"/>
        <v>206.55</v>
      </c>
      <c r="V1407" s="160">
        <f t="shared" si="249"/>
        <v>207</v>
      </c>
    </row>
    <row r="1408" spans="1:22" x14ac:dyDescent="0.25">
      <c r="A1408" s="98" t="s">
        <v>27</v>
      </c>
      <c r="B1408" s="98" t="s">
        <v>17</v>
      </c>
      <c r="C1408" s="98">
        <v>58</v>
      </c>
      <c r="D1408" s="98">
        <v>340</v>
      </c>
      <c r="E1408" s="157">
        <v>42262.720833333333</v>
      </c>
      <c r="F1408" s="157">
        <v>42262.744444444441</v>
      </c>
      <c r="G1408" s="98">
        <v>320</v>
      </c>
      <c r="H1408" s="98">
        <v>520</v>
      </c>
      <c r="I1408" s="98">
        <v>486</v>
      </c>
      <c r="J1408" s="98" t="s">
        <v>1970</v>
      </c>
      <c r="K1408" s="98" t="s">
        <v>3404</v>
      </c>
      <c r="L1408" s="105" t="str">
        <f t="shared" si="240"/>
        <v>Ghent</v>
      </c>
      <c r="M1408" s="105" t="str">
        <f t="shared" si="241"/>
        <v>Derate</v>
      </c>
      <c r="N1408" s="105" t="str">
        <f t="shared" si="242"/>
        <v>Coal</v>
      </c>
      <c r="O1408" s="105">
        <f>IFERROR(VLOOKUP(A1408,Lookup!$J$5:$P$19,7,FALSE),0)</f>
        <v>3</v>
      </c>
      <c r="P1408" s="159">
        <f t="shared" si="243"/>
        <v>2015</v>
      </c>
      <c r="Q1408" s="159">
        <f t="shared" si="244"/>
        <v>9</v>
      </c>
      <c r="R1408" s="160">
        <f t="shared" si="245"/>
        <v>0.56666666659293696</v>
      </c>
      <c r="S1408" s="158">
        <f t="shared" si="246"/>
        <v>0.21794871792036036</v>
      </c>
      <c r="T1408" s="161">
        <f t="shared" si="247"/>
        <v>105.92307690929513</v>
      </c>
      <c r="U1408" s="158">
        <f t="shared" si="248"/>
        <v>186.92307692307693</v>
      </c>
      <c r="V1408" s="160">
        <f t="shared" si="249"/>
        <v>187</v>
      </c>
    </row>
    <row r="1409" spans="1:22" x14ac:dyDescent="0.25">
      <c r="A1409" s="98" t="s">
        <v>27</v>
      </c>
      <c r="B1409" s="98" t="s">
        <v>33</v>
      </c>
      <c r="C1409" s="98">
        <v>59</v>
      </c>
      <c r="D1409" s="98">
        <v>1000</v>
      </c>
      <c r="E1409" s="157">
        <v>42263.300694444442</v>
      </c>
      <c r="F1409" s="157">
        <v>42264.314583333333</v>
      </c>
      <c r="G1409" s="98">
        <v>0</v>
      </c>
      <c r="H1409" s="98">
        <v>520</v>
      </c>
      <c r="I1409" s="98">
        <v>486</v>
      </c>
      <c r="J1409" s="98" t="s">
        <v>2002</v>
      </c>
      <c r="K1409" s="98" t="s">
        <v>3405</v>
      </c>
      <c r="L1409" s="105" t="str">
        <f t="shared" si="240"/>
        <v>Ghent</v>
      </c>
      <c r="M1409" s="105" t="str">
        <f t="shared" si="241"/>
        <v>Outage</v>
      </c>
      <c r="N1409" s="105" t="str">
        <f t="shared" si="242"/>
        <v>Coal</v>
      </c>
      <c r="O1409" s="105">
        <f>IFERROR(VLOOKUP(A1409,Lookup!$J$5:$P$19,7,FALSE),0)</f>
        <v>3</v>
      </c>
      <c r="P1409" s="159">
        <f t="shared" si="243"/>
        <v>2015</v>
      </c>
      <c r="Q1409" s="159">
        <f t="shared" si="244"/>
        <v>9</v>
      </c>
      <c r="R1409" s="160">
        <f t="shared" si="245"/>
        <v>24.333333333372138</v>
      </c>
      <c r="S1409" s="158">
        <f t="shared" si="246"/>
        <v>24.333333333372138</v>
      </c>
      <c r="T1409" s="161">
        <f t="shared" si="247"/>
        <v>11826.000000018859</v>
      </c>
      <c r="U1409" s="158">
        <f t="shared" si="248"/>
        <v>486</v>
      </c>
      <c r="V1409" s="160">
        <f t="shared" si="249"/>
        <v>486</v>
      </c>
    </row>
    <row r="1410" spans="1:22" x14ac:dyDescent="0.25">
      <c r="A1410" s="98" t="s">
        <v>27</v>
      </c>
      <c r="B1410" s="98" t="s">
        <v>17</v>
      </c>
      <c r="C1410" s="98">
        <v>60</v>
      </c>
      <c r="D1410" s="98">
        <v>340</v>
      </c>
      <c r="E1410" s="157">
        <v>42264.314583333333</v>
      </c>
      <c r="F1410" s="157">
        <v>42272.409722222219</v>
      </c>
      <c r="G1410" s="98">
        <v>450</v>
      </c>
      <c r="H1410" s="98">
        <v>520</v>
      </c>
      <c r="I1410" s="98">
        <v>486</v>
      </c>
      <c r="J1410" s="98" t="s">
        <v>1970</v>
      </c>
      <c r="K1410" s="98" t="s">
        <v>3406</v>
      </c>
      <c r="L1410" s="105" t="str">
        <f t="shared" si="240"/>
        <v>Ghent</v>
      </c>
      <c r="M1410" s="105" t="str">
        <f t="shared" si="241"/>
        <v>Derate</v>
      </c>
      <c r="N1410" s="105" t="str">
        <f t="shared" si="242"/>
        <v>Coal</v>
      </c>
      <c r="O1410" s="105">
        <f>IFERROR(VLOOKUP(A1410,Lookup!$J$5:$P$19,7,FALSE),0)</f>
        <v>3</v>
      </c>
      <c r="P1410" s="159">
        <f t="shared" si="243"/>
        <v>2015</v>
      </c>
      <c r="Q1410" s="159">
        <f t="shared" si="244"/>
        <v>9</v>
      </c>
      <c r="R1410" s="160">
        <f t="shared" si="245"/>
        <v>194.28333333326736</v>
      </c>
      <c r="S1410" s="158">
        <f t="shared" si="246"/>
        <v>26.15352564101676</v>
      </c>
      <c r="T1410" s="161">
        <f t="shared" si="247"/>
        <v>12710.613461534145</v>
      </c>
      <c r="U1410" s="158">
        <f t="shared" si="248"/>
        <v>65.42307692307692</v>
      </c>
      <c r="V1410" s="160">
        <f t="shared" si="249"/>
        <v>65</v>
      </c>
    </row>
    <row r="1411" spans="1:22" x14ac:dyDescent="0.25">
      <c r="A1411" s="98" t="s">
        <v>27</v>
      </c>
      <c r="B1411" s="98" t="s">
        <v>38</v>
      </c>
      <c r="C1411" s="98">
        <v>61</v>
      </c>
      <c r="D1411" s="98">
        <v>8650</v>
      </c>
      <c r="E1411" s="157">
        <v>42272.409722222219</v>
      </c>
      <c r="F1411" s="157">
        <v>42335.027083333334</v>
      </c>
      <c r="G1411" s="98">
        <v>0</v>
      </c>
      <c r="H1411" s="98">
        <v>520</v>
      </c>
      <c r="I1411" s="98">
        <v>486</v>
      </c>
      <c r="J1411" s="98" t="s">
        <v>2668</v>
      </c>
      <c r="K1411" s="98" t="s">
        <v>3407</v>
      </c>
      <c r="L1411" s="105" t="str">
        <f t="shared" si="240"/>
        <v>Ghent</v>
      </c>
      <c r="M1411" s="105" t="str">
        <f t="shared" si="241"/>
        <v>Other</v>
      </c>
      <c r="N1411" s="105" t="str">
        <f t="shared" si="242"/>
        <v>Coal</v>
      </c>
      <c r="O1411" s="105">
        <f>IFERROR(VLOOKUP(A1411,Lookup!$J$5:$P$19,7,FALSE),0)</f>
        <v>3</v>
      </c>
      <c r="P1411" s="159">
        <f t="shared" si="243"/>
        <v>2015</v>
      </c>
      <c r="Q1411" s="159">
        <f t="shared" si="244"/>
        <v>9</v>
      </c>
      <c r="R1411" s="160">
        <f t="shared" si="245"/>
        <v>1502.8166666667676</v>
      </c>
      <c r="S1411" s="158">
        <f t="shared" si="246"/>
        <v>1502.8166666667676</v>
      </c>
      <c r="T1411" s="161">
        <f t="shared" si="247"/>
        <v>730368.90000004903</v>
      </c>
      <c r="U1411" s="158">
        <f t="shared" si="248"/>
        <v>486</v>
      </c>
      <c r="V1411" s="160">
        <f t="shared" si="249"/>
        <v>486</v>
      </c>
    </row>
    <row r="1412" spans="1:22" x14ac:dyDescent="0.25">
      <c r="A1412" s="98" t="s">
        <v>27</v>
      </c>
      <c r="B1412" s="98" t="s">
        <v>17</v>
      </c>
      <c r="C1412" s="98">
        <v>62</v>
      </c>
      <c r="D1412" s="98">
        <v>340</v>
      </c>
      <c r="E1412" s="157">
        <v>42336.931944444441</v>
      </c>
      <c r="F1412" s="157">
        <v>42337.050694444442</v>
      </c>
      <c r="G1412" s="98">
        <v>460</v>
      </c>
      <c r="H1412" s="98">
        <v>520</v>
      </c>
      <c r="I1412" s="98">
        <v>486</v>
      </c>
      <c r="J1412" s="98" t="s">
        <v>1970</v>
      </c>
      <c r="K1412" s="98" t="s">
        <v>3408</v>
      </c>
      <c r="L1412" s="105" t="str">
        <f t="shared" si="240"/>
        <v>Ghent</v>
      </c>
      <c r="M1412" s="105" t="str">
        <f t="shared" si="241"/>
        <v>Derate</v>
      </c>
      <c r="N1412" s="105" t="str">
        <f t="shared" si="242"/>
        <v>Coal</v>
      </c>
      <c r="O1412" s="105">
        <f>IFERROR(VLOOKUP(A1412,Lookup!$J$5:$P$19,7,FALSE),0)</f>
        <v>3</v>
      </c>
      <c r="P1412" s="159">
        <f t="shared" si="243"/>
        <v>2015</v>
      </c>
      <c r="Q1412" s="159">
        <f t="shared" si="244"/>
        <v>11</v>
      </c>
      <c r="R1412" s="160">
        <f t="shared" si="245"/>
        <v>2.8500000000349246</v>
      </c>
      <c r="S1412" s="158">
        <f t="shared" si="246"/>
        <v>0.32884615385018362</v>
      </c>
      <c r="T1412" s="161">
        <f t="shared" si="247"/>
        <v>159.81923077118924</v>
      </c>
      <c r="U1412" s="158">
        <f t="shared" si="248"/>
        <v>56.07692307692308</v>
      </c>
      <c r="V1412" s="160">
        <f t="shared" si="249"/>
        <v>56</v>
      </c>
    </row>
    <row r="1413" spans="1:22" x14ac:dyDescent="0.25">
      <c r="A1413" s="98" t="s">
        <v>27</v>
      </c>
      <c r="B1413" s="98" t="s">
        <v>17</v>
      </c>
      <c r="C1413" s="98">
        <v>63</v>
      </c>
      <c r="D1413" s="98">
        <v>3661</v>
      </c>
      <c r="E1413" s="157">
        <v>42338.977083333331</v>
      </c>
      <c r="F1413" s="157">
        <v>42339.093055555553</v>
      </c>
      <c r="G1413" s="98">
        <v>300</v>
      </c>
      <c r="H1413" s="98">
        <v>520</v>
      </c>
      <c r="I1413" s="98">
        <v>486</v>
      </c>
      <c r="J1413" s="98" t="s">
        <v>2170</v>
      </c>
      <c r="K1413" s="98" t="s">
        <v>3409</v>
      </c>
      <c r="L1413" s="105" t="str">
        <f t="shared" si="240"/>
        <v>Ghent</v>
      </c>
      <c r="M1413" s="105" t="str">
        <f t="shared" si="241"/>
        <v>Derate</v>
      </c>
      <c r="N1413" s="105" t="str">
        <f t="shared" si="242"/>
        <v>Coal</v>
      </c>
      <c r="O1413" s="105">
        <f>IFERROR(VLOOKUP(A1413,Lookup!$J$5:$P$19,7,FALSE),0)</f>
        <v>3</v>
      </c>
      <c r="P1413" s="159">
        <f t="shared" si="243"/>
        <v>2015</v>
      </c>
      <c r="Q1413" s="159">
        <f t="shared" si="244"/>
        <v>11</v>
      </c>
      <c r="R1413" s="160">
        <f t="shared" si="245"/>
        <v>2.7833333333255723</v>
      </c>
      <c r="S1413" s="158">
        <f t="shared" si="246"/>
        <v>1.177564102560819</v>
      </c>
      <c r="T1413" s="161">
        <f t="shared" si="247"/>
        <v>572.29615384455803</v>
      </c>
      <c r="U1413" s="158">
        <f t="shared" si="248"/>
        <v>205.61538461538461</v>
      </c>
      <c r="V1413" s="160">
        <f t="shared" si="249"/>
        <v>206</v>
      </c>
    </row>
    <row r="1414" spans="1:22" x14ac:dyDescent="0.25">
      <c r="A1414" s="98" t="s">
        <v>27</v>
      </c>
      <c r="B1414" s="98" t="s">
        <v>32</v>
      </c>
      <c r="C1414" s="98">
        <v>64</v>
      </c>
      <c r="D1414" s="98">
        <v>3407</v>
      </c>
      <c r="E1414" s="157">
        <v>42341.984722222223</v>
      </c>
      <c r="F1414" s="157">
        <v>42342.128472222219</v>
      </c>
      <c r="G1414" s="98">
        <v>320</v>
      </c>
      <c r="H1414" s="98">
        <v>520</v>
      </c>
      <c r="I1414" s="98">
        <v>486</v>
      </c>
      <c r="J1414" s="98" t="s">
        <v>2174</v>
      </c>
      <c r="K1414" s="98" t="s">
        <v>3410</v>
      </c>
      <c r="L1414" s="105" t="str">
        <f t="shared" si="240"/>
        <v>Ghent</v>
      </c>
      <c r="M1414" s="105" t="str">
        <f t="shared" si="241"/>
        <v>Derate</v>
      </c>
      <c r="N1414" s="105" t="str">
        <f t="shared" si="242"/>
        <v>Coal</v>
      </c>
      <c r="O1414" s="105">
        <f>IFERROR(VLOOKUP(A1414,Lookup!$J$5:$P$19,7,FALSE),0)</f>
        <v>3</v>
      </c>
      <c r="P1414" s="159">
        <f t="shared" si="243"/>
        <v>2015</v>
      </c>
      <c r="Q1414" s="159">
        <f t="shared" si="244"/>
        <v>12</v>
      </c>
      <c r="R1414" s="160">
        <f t="shared" si="245"/>
        <v>3.4499999998952262</v>
      </c>
      <c r="S1414" s="158">
        <f t="shared" si="246"/>
        <v>1.3269230768827793</v>
      </c>
      <c r="T1414" s="161">
        <f t="shared" si="247"/>
        <v>644.88461536503075</v>
      </c>
      <c r="U1414" s="158">
        <f t="shared" si="248"/>
        <v>186.92307692307693</v>
      </c>
      <c r="V1414" s="160">
        <f t="shared" si="249"/>
        <v>187</v>
      </c>
    </row>
    <row r="1415" spans="1:22" x14ac:dyDescent="0.25">
      <c r="A1415" s="98" t="s">
        <v>27</v>
      </c>
      <c r="B1415" s="98" t="s">
        <v>17</v>
      </c>
      <c r="C1415" s="98">
        <v>65</v>
      </c>
      <c r="D1415" s="98">
        <v>340</v>
      </c>
      <c r="E1415" s="157">
        <v>42356.104166666664</v>
      </c>
      <c r="F1415" s="157">
        <v>42356.111805555556</v>
      </c>
      <c r="G1415" s="98">
        <v>440</v>
      </c>
      <c r="H1415" s="98">
        <v>520</v>
      </c>
      <c r="I1415" s="98">
        <v>486</v>
      </c>
      <c r="J1415" s="98" t="s">
        <v>1970</v>
      </c>
      <c r="K1415" s="98" t="s">
        <v>3411</v>
      </c>
      <c r="L1415" s="105" t="str">
        <f t="shared" si="240"/>
        <v>Ghent</v>
      </c>
      <c r="M1415" s="105" t="str">
        <f t="shared" si="241"/>
        <v>Derate</v>
      </c>
      <c r="N1415" s="105" t="str">
        <f t="shared" si="242"/>
        <v>Coal</v>
      </c>
      <c r="O1415" s="105">
        <f>IFERROR(VLOOKUP(A1415,Lookup!$J$5:$P$19,7,FALSE),0)</f>
        <v>3</v>
      </c>
      <c r="P1415" s="159">
        <f t="shared" si="243"/>
        <v>2015</v>
      </c>
      <c r="Q1415" s="159">
        <f t="shared" si="244"/>
        <v>12</v>
      </c>
      <c r="R1415" s="160">
        <f t="shared" si="245"/>
        <v>0.18333333340706304</v>
      </c>
      <c r="S1415" s="158">
        <f t="shared" si="246"/>
        <v>2.8205128216471236E-2</v>
      </c>
      <c r="T1415" s="161">
        <f t="shared" si="247"/>
        <v>13.707692313205021</v>
      </c>
      <c r="U1415" s="158">
        <f t="shared" si="248"/>
        <v>74.769230769230774</v>
      </c>
      <c r="V1415" s="160">
        <f t="shared" si="249"/>
        <v>75</v>
      </c>
    </row>
    <row r="1416" spans="1:22" x14ac:dyDescent="0.25">
      <c r="A1416" s="98" t="s">
        <v>27</v>
      </c>
      <c r="B1416" s="98" t="s">
        <v>17</v>
      </c>
      <c r="C1416" s="98">
        <v>1</v>
      </c>
      <c r="D1416" s="98">
        <v>320</v>
      </c>
      <c r="E1416" s="157">
        <v>42371.375</v>
      </c>
      <c r="F1416" s="157">
        <v>42371.427083333336</v>
      </c>
      <c r="G1416" s="98">
        <v>460</v>
      </c>
      <c r="H1416" s="98">
        <v>520</v>
      </c>
      <c r="I1416" s="98">
        <v>486</v>
      </c>
      <c r="J1416" s="98" t="s">
        <v>1992</v>
      </c>
      <c r="K1416" s="98" t="s">
        <v>3412</v>
      </c>
      <c r="L1416" s="105" t="str">
        <f t="shared" si="240"/>
        <v>Ghent</v>
      </c>
      <c r="M1416" s="105" t="str">
        <f t="shared" si="241"/>
        <v>Derate</v>
      </c>
      <c r="N1416" s="105" t="str">
        <f t="shared" si="242"/>
        <v>Coal</v>
      </c>
      <c r="O1416" s="105">
        <f>IFERROR(VLOOKUP(A1416,Lookup!$J$5:$P$19,7,FALSE),0)</f>
        <v>3</v>
      </c>
      <c r="P1416" s="159">
        <f t="shared" si="243"/>
        <v>2016</v>
      </c>
      <c r="Q1416" s="159">
        <f t="shared" si="244"/>
        <v>1</v>
      </c>
      <c r="R1416" s="160">
        <f t="shared" si="245"/>
        <v>1.2500000000582077</v>
      </c>
      <c r="S1416" s="158">
        <f t="shared" si="246"/>
        <v>0.14423076923748551</v>
      </c>
      <c r="T1416" s="161">
        <f t="shared" si="247"/>
        <v>70.096153849417959</v>
      </c>
      <c r="U1416" s="158">
        <f t="shared" si="248"/>
        <v>56.07692307692308</v>
      </c>
      <c r="V1416" s="160">
        <f t="shared" si="249"/>
        <v>56</v>
      </c>
    </row>
    <row r="1417" spans="1:22" x14ac:dyDescent="0.25">
      <c r="A1417" s="98" t="s">
        <v>27</v>
      </c>
      <c r="B1417" s="98" t="s">
        <v>17</v>
      </c>
      <c r="C1417" s="98">
        <v>2</v>
      </c>
      <c r="D1417" s="98">
        <v>350</v>
      </c>
      <c r="E1417" s="157">
        <v>42381.970833333333</v>
      </c>
      <c r="F1417" s="157">
        <v>42382.09375</v>
      </c>
      <c r="G1417" s="98">
        <v>460</v>
      </c>
      <c r="H1417" s="98">
        <v>520</v>
      </c>
      <c r="I1417" s="98">
        <v>486</v>
      </c>
      <c r="J1417" s="98" t="s">
        <v>1976</v>
      </c>
      <c r="K1417" s="98" t="s">
        <v>3413</v>
      </c>
      <c r="L1417" s="105" t="str">
        <f t="shared" si="240"/>
        <v>Ghent</v>
      </c>
      <c r="M1417" s="105" t="str">
        <f t="shared" si="241"/>
        <v>Derate</v>
      </c>
      <c r="N1417" s="105" t="str">
        <f t="shared" si="242"/>
        <v>Coal</v>
      </c>
      <c r="O1417" s="105">
        <f>IFERROR(VLOOKUP(A1417,Lookup!$J$5:$P$19,7,FALSE),0)</f>
        <v>3</v>
      </c>
      <c r="P1417" s="159">
        <f t="shared" si="243"/>
        <v>2016</v>
      </c>
      <c r="Q1417" s="159">
        <f t="shared" si="244"/>
        <v>1</v>
      </c>
      <c r="R1417" s="160">
        <f t="shared" si="245"/>
        <v>2.9500000000116415</v>
      </c>
      <c r="S1417" s="158">
        <f t="shared" si="246"/>
        <v>0.34038461538595866</v>
      </c>
      <c r="T1417" s="161">
        <f t="shared" si="247"/>
        <v>165.42692307757591</v>
      </c>
      <c r="U1417" s="158">
        <f t="shared" si="248"/>
        <v>56.07692307692308</v>
      </c>
      <c r="V1417" s="160">
        <f t="shared" si="249"/>
        <v>56</v>
      </c>
    </row>
    <row r="1418" spans="1:22" x14ac:dyDescent="0.25">
      <c r="A1418" s="98" t="s">
        <v>27</v>
      </c>
      <c r="B1418" s="98" t="s">
        <v>15</v>
      </c>
      <c r="C1418" s="98">
        <v>3</v>
      </c>
      <c r="D1418" s="98">
        <v>260</v>
      </c>
      <c r="E1418" s="157">
        <v>42382.386805555558</v>
      </c>
      <c r="F1418" s="157">
        <v>42382.613194444442</v>
      </c>
      <c r="G1418" s="98">
        <v>0</v>
      </c>
      <c r="H1418" s="98">
        <v>520</v>
      </c>
      <c r="I1418" s="98">
        <v>486</v>
      </c>
      <c r="J1418" s="98" t="s">
        <v>1973</v>
      </c>
      <c r="K1418" s="98" t="s">
        <v>3414</v>
      </c>
      <c r="L1418" s="105" t="str">
        <f t="shared" si="240"/>
        <v>Ghent</v>
      </c>
      <c r="M1418" s="105" t="str">
        <f t="shared" si="241"/>
        <v>Outage</v>
      </c>
      <c r="N1418" s="105" t="str">
        <f t="shared" si="242"/>
        <v>Coal</v>
      </c>
      <c r="O1418" s="105">
        <f>IFERROR(VLOOKUP(A1418,Lookup!$J$5:$P$19,7,FALSE),0)</f>
        <v>3</v>
      </c>
      <c r="P1418" s="159">
        <f t="shared" si="243"/>
        <v>2016</v>
      </c>
      <c r="Q1418" s="159">
        <f t="shared" si="244"/>
        <v>1</v>
      </c>
      <c r="R1418" s="160">
        <f t="shared" si="245"/>
        <v>5.4333333332324401</v>
      </c>
      <c r="S1418" s="158">
        <f t="shared" si="246"/>
        <v>5.4333333332324401</v>
      </c>
      <c r="T1418" s="161">
        <f t="shared" si="247"/>
        <v>2640.5999999509659</v>
      </c>
      <c r="U1418" s="158">
        <f t="shared" si="248"/>
        <v>486</v>
      </c>
      <c r="V1418" s="160">
        <f t="shared" si="249"/>
        <v>486</v>
      </c>
    </row>
    <row r="1419" spans="1:22" x14ac:dyDescent="0.25">
      <c r="A1419" s="98" t="s">
        <v>27</v>
      </c>
      <c r="B1419" s="98" t="s">
        <v>17</v>
      </c>
      <c r="C1419" s="98">
        <v>4</v>
      </c>
      <c r="D1419" s="98">
        <v>320</v>
      </c>
      <c r="E1419" s="157">
        <v>42388.598611111112</v>
      </c>
      <c r="F1419" s="157">
        <v>42388.647916666669</v>
      </c>
      <c r="G1419" s="98">
        <v>460</v>
      </c>
      <c r="H1419" s="98">
        <v>520</v>
      </c>
      <c r="I1419" s="98">
        <v>486</v>
      </c>
      <c r="J1419" s="98" t="s">
        <v>1992</v>
      </c>
      <c r="K1419" s="98" t="s">
        <v>3415</v>
      </c>
      <c r="L1419" s="105" t="str">
        <f t="shared" si="240"/>
        <v>Ghent</v>
      </c>
      <c r="M1419" s="105" t="str">
        <f t="shared" si="241"/>
        <v>Derate</v>
      </c>
      <c r="N1419" s="105" t="str">
        <f t="shared" si="242"/>
        <v>Coal</v>
      </c>
      <c r="O1419" s="105">
        <f>IFERROR(VLOOKUP(A1419,Lookup!$J$5:$P$19,7,FALSE),0)</f>
        <v>3</v>
      </c>
      <c r="P1419" s="159">
        <f t="shared" si="243"/>
        <v>2016</v>
      </c>
      <c r="Q1419" s="159">
        <f t="shared" si="244"/>
        <v>1</v>
      </c>
      <c r="R1419" s="160">
        <f t="shared" si="245"/>
        <v>1.1833333333488554</v>
      </c>
      <c r="S1419" s="158">
        <f t="shared" si="246"/>
        <v>0.13653846154025254</v>
      </c>
      <c r="T1419" s="161">
        <f t="shared" si="247"/>
        <v>66.357692308562733</v>
      </c>
      <c r="U1419" s="158">
        <f t="shared" si="248"/>
        <v>56.07692307692308</v>
      </c>
      <c r="V1419" s="160">
        <f t="shared" si="249"/>
        <v>56</v>
      </c>
    </row>
    <row r="1420" spans="1:22" x14ac:dyDescent="0.25">
      <c r="A1420" s="98" t="s">
        <v>27</v>
      </c>
      <c r="B1420" s="98" t="s">
        <v>17</v>
      </c>
      <c r="C1420" s="98">
        <v>5</v>
      </c>
      <c r="D1420" s="98">
        <v>340</v>
      </c>
      <c r="E1420" s="157">
        <v>42390.561805555553</v>
      </c>
      <c r="F1420" s="157">
        <v>42390.588888888888</v>
      </c>
      <c r="G1420" s="98">
        <v>460</v>
      </c>
      <c r="H1420" s="98">
        <v>520</v>
      </c>
      <c r="I1420" s="98">
        <v>486</v>
      </c>
      <c r="J1420" s="98" t="s">
        <v>1970</v>
      </c>
      <c r="K1420" s="98" t="s">
        <v>3416</v>
      </c>
      <c r="L1420" s="105" t="str">
        <f t="shared" si="240"/>
        <v>Ghent</v>
      </c>
      <c r="M1420" s="105" t="str">
        <f t="shared" si="241"/>
        <v>Derate</v>
      </c>
      <c r="N1420" s="105" t="str">
        <f t="shared" si="242"/>
        <v>Coal</v>
      </c>
      <c r="O1420" s="105">
        <f>IFERROR(VLOOKUP(A1420,Lookup!$J$5:$P$19,7,FALSE),0)</f>
        <v>3</v>
      </c>
      <c r="P1420" s="159">
        <f t="shared" si="243"/>
        <v>2016</v>
      </c>
      <c r="Q1420" s="159">
        <f t="shared" si="244"/>
        <v>1</v>
      </c>
      <c r="R1420" s="160">
        <f t="shared" si="245"/>
        <v>0.65000000002328306</v>
      </c>
      <c r="S1420" s="158">
        <f t="shared" si="246"/>
        <v>7.5000000002686501E-2</v>
      </c>
      <c r="T1420" s="161">
        <f t="shared" si="247"/>
        <v>36.450000001305639</v>
      </c>
      <c r="U1420" s="158">
        <f t="shared" si="248"/>
        <v>56.07692307692308</v>
      </c>
      <c r="V1420" s="160">
        <f t="shared" si="249"/>
        <v>56</v>
      </c>
    </row>
    <row r="1421" spans="1:22" x14ac:dyDescent="0.25">
      <c r="A1421" s="98" t="s">
        <v>27</v>
      </c>
      <c r="B1421" s="98" t="s">
        <v>17</v>
      </c>
      <c r="C1421" s="98">
        <v>6</v>
      </c>
      <c r="D1421" s="98">
        <v>360</v>
      </c>
      <c r="E1421" s="157">
        <v>42404.259722222225</v>
      </c>
      <c r="F1421" s="157">
        <v>42404.276388888888</v>
      </c>
      <c r="G1421" s="98">
        <v>425</v>
      </c>
      <c r="H1421" s="98">
        <v>520</v>
      </c>
      <c r="I1421" s="98">
        <v>486</v>
      </c>
      <c r="J1421" s="98" t="s">
        <v>229</v>
      </c>
      <c r="K1421" s="98" t="s">
        <v>3417</v>
      </c>
      <c r="L1421" s="105" t="str">
        <f t="shared" si="240"/>
        <v>Ghent</v>
      </c>
      <c r="M1421" s="105" t="str">
        <f t="shared" si="241"/>
        <v>Derate</v>
      </c>
      <c r="N1421" s="105" t="str">
        <f t="shared" si="242"/>
        <v>Coal</v>
      </c>
      <c r="O1421" s="105">
        <f>IFERROR(VLOOKUP(A1421,Lookup!$J$5:$P$19,7,FALSE),0)</f>
        <v>3</v>
      </c>
      <c r="P1421" s="159">
        <f t="shared" si="243"/>
        <v>2016</v>
      </c>
      <c r="Q1421" s="159">
        <f t="shared" si="244"/>
        <v>2</v>
      </c>
      <c r="R1421" s="160">
        <f t="shared" si="245"/>
        <v>0.39999999990686774</v>
      </c>
      <c r="S1421" s="158">
        <f t="shared" si="246"/>
        <v>7.3076923059908525E-2</v>
      </c>
      <c r="T1421" s="161">
        <f t="shared" si="247"/>
        <v>35.515384607115543</v>
      </c>
      <c r="U1421" s="158">
        <f t="shared" si="248"/>
        <v>88.788461538461533</v>
      </c>
      <c r="V1421" s="160">
        <f t="shared" si="249"/>
        <v>89</v>
      </c>
    </row>
    <row r="1422" spans="1:22" x14ac:dyDescent="0.25">
      <c r="A1422" s="98" t="s">
        <v>27</v>
      </c>
      <c r="B1422" s="98" t="s">
        <v>17</v>
      </c>
      <c r="C1422" s="98">
        <v>7</v>
      </c>
      <c r="D1422" s="98">
        <v>1470</v>
      </c>
      <c r="E1422" s="157">
        <v>42420.220833333333</v>
      </c>
      <c r="F1422" s="157">
        <v>42420.368055555555</v>
      </c>
      <c r="G1422" s="98">
        <v>255</v>
      </c>
      <c r="H1422" s="98">
        <v>520</v>
      </c>
      <c r="I1422" s="98">
        <v>486</v>
      </c>
      <c r="J1422" s="98" t="s">
        <v>2005</v>
      </c>
      <c r="K1422" s="98" t="s">
        <v>3418</v>
      </c>
      <c r="L1422" s="105" t="str">
        <f t="shared" si="240"/>
        <v>Ghent</v>
      </c>
      <c r="M1422" s="105" t="str">
        <f t="shared" si="241"/>
        <v>Derate</v>
      </c>
      <c r="N1422" s="105" t="str">
        <f t="shared" si="242"/>
        <v>Coal</v>
      </c>
      <c r="O1422" s="105">
        <f>IFERROR(VLOOKUP(A1422,Lookup!$J$5:$P$19,7,FALSE),0)</f>
        <v>3</v>
      </c>
      <c r="P1422" s="159">
        <f t="shared" si="243"/>
        <v>2016</v>
      </c>
      <c r="Q1422" s="159">
        <f t="shared" si="244"/>
        <v>2</v>
      </c>
      <c r="R1422" s="160">
        <f t="shared" si="245"/>
        <v>3.5333333333255723</v>
      </c>
      <c r="S1422" s="158">
        <f t="shared" si="246"/>
        <v>1.8006410256370704</v>
      </c>
      <c r="T1422" s="161">
        <f t="shared" si="247"/>
        <v>875.11153845961621</v>
      </c>
      <c r="U1422" s="158">
        <f t="shared" si="248"/>
        <v>247.67307692307693</v>
      </c>
      <c r="V1422" s="160">
        <f t="shared" si="249"/>
        <v>248</v>
      </c>
    </row>
    <row r="1423" spans="1:22" x14ac:dyDescent="0.25">
      <c r="A1423" s="98" t="s">
        <v>27</v>
      </c>
      <c r="B1423" s="98" t="s">
        <v>17</v>
      </c>
      <c r="C1423" s="98">
        <v>8</v>
      </c>
      <c r="D1423" s="98">
        <v>1475</v>
      </c>
      <c r="E1423" s="157">
        <v>42420.368055555555</v>
      </c>
      <c r="F1423" s="157">
        <v>42420.381944444445</v>
      </c>
      <c r="G1423" s="98">
        <v>180</v>
      </c>
      <c r="H1423" s="98">
        <v>520</v>
      </c>
      <c r="I1423" s="98">
        <v>486</v>
      </c>
      <c r="J1423" s="98" t="s">
        <v>1989</v>
      </c>
      <c r="K1423" s="98" t="s">
        <v>3419</v>
      </c>
      <c r="L1423" s="105" t="str">
        <f t="shared" si="240"/>
        <v>Ghent</v>
      </c>
      <c r="M1423" s="105" t="str">
        <f t="shared" si="241"/>
        <v>Derate</v>
      </c>
      <c r="N1423" s="105" t="str">
        <f t="shared" si="242"/>
        <v>Coal</v>
      </c>
      <c r="O1423" s="105">
        <f>IFERROR(VLOOKUP(A1423,Lookup!$J$5:$P$19,7,FALSE),0)</f>
        <v>3</v>
      </c>
      <c r="P1423" s="159">
        <f t="shared" si="243"/>
        <v>2016</v>
      </c>
      <c r="Q1423" s="159">
        <f t="shared" si="244"/>
        <v>2</v>
      </c>
      <c r="R1423" s="160">
        <f t="shared" si="245"/>
        <v>0.33333333337213844</v>
      </c>
      <c r="S1423" s="158">
        <f t="shared" si="246"/>
        <v>0.21794871797409052</v>
      </c>
      <c r="T1423" s="161">
        <f t="shared" si="247"/>
        <v>105.92307693540799</v>
      </c>
      <c r="U1423" s="158">
        <f t="shared" si="248"/>
        <v>317.76923076923077</v>
      </c>
      <c r="V1423" s="160">
        <f t="shared" si="249"/>
        <v>318</v>
      </c>
    </row>
    <row r="1424" spans="1:22" x14ac:dyDescent="0.25">
      <c r="A1424" s="98" t="s">
        <v>27</v>
      </c>
      <c r="B1424" s="98" t="s">
        <v>32</v>
      </c>
      <c r="C1424" s="98">
        <v>9</v>
      </c>
      <c r="D1424" s="98">
        <v>340</v>
      </c>
      <c r="E1424" s="157">
        <v>42425.958333333336</v>
      </c>
      <c r="F1424" s="157">
        <v>42426.383333333331</v>
      </c>
      <c r="G1424" s="98">
        <v>420</v>
      </c>
      <c r="H1424" s="98">
        <v>520</v>
      </c>
      <c r="I1424" s="98">
        <v>486</v>
      </c>
      <c r="J1424" s="98" t="s">
        <v>1970</v>
      </c>
      <c r="K1424" s="98" t="s">
        <v>3420</v>
      </c>
      <c r="L1424" s="105" t="str">
        <f t="shared" si="240"/>
        <v>Ghent</v>
      </c>
      <c r="M1424" s="105" t="str">
        <f t="shared" si="241"/>
        <v>Derate</v>
      </c>
      <c r="N1424" s="105" t="str">
        <f t="shared" si="242"/>
        <v>Coal</v>
      </c>
      <c r="O1424" s="105">
        <f>IFERROR(VLOOKUP(A1424,Lookup!$J$5:$P$19,7,FALSE),0)</f>
        <v>3</v>
      </c>
      <c r="P1424" s="159">
        <f t="shared" si="243"/>
        <v>2016</v>
      </c>
      <c r="Q1424" s="159">
        <f t="shared" si="244"/>
        <v>2</v>
      </c>
      <c r="R1424" s="160">
        <f t="shared" si="245"/>
        <v>10.199999999895226</v>
      </c>
      <c r="S1424" s="158">
        <f t="shared" si="246"/>
        <v>1.9615384615183127</v>
      </c>
      <c r="T1424" s="161">
        <f t="shared" si="247"/>
        <v>953.30769229789996</v>
      </c>
      <c r="U1424" s="158">
        <f t="shared" si="248"/>
        <v>93.461538461538467</v>
      </c>
      <c r="V1424" s="160">
        <f t="shared" si="249"/>
        <v>93</v>
      </c>
    </row>
    <row r="1425" spans="1:22" x14ac:dyDescent="0.25">
      <c r="A1425" s="98" t="s">
        <v>27</v>
      </c>
      <c r="B1425" s="98" t="s">
        <v>32</v>
      </c>
      <c r="C1425" s="98">
        <v>10</v>
      </c>
      <c r="D1425" s="98">
        <v>1470</v>
      </c>
      <c r="E1425" s="157">
        <v>42428.524305555555</v>
      </c>
      <c r="F1425" s="157">
        <v>42428.63958333333</v>
      </c>
      <c r="G1425" s="98">
        <v>200</v>
      </c>
      <c r="H1425" s="98">
        <v>520</v>
      </c>
      <c r="I1425" s="98">
        <v>486</v>
      </c>
      <c r="J1425" s="98" t="s">
        <v>2005</v>
      </c>
      <c r="K1425" s="98" t="s">
        <v>3421</v>
      </c>
      <c r="L1425" s="105" t="str">
        <f t="shared" si="240"/>
        <v>Ghent</v>
      </c>
      <c r="M1425" s="105" t="str">
        <f t="shared" si="241"/>
        <v>Derate</v>
      </c>
      <c r="N1425" s="105" t="str">
        <f t="shared" si="242"/>
        <v>Coal</v>
      </c>
      <c r="O1425" s="105">
        <f>IFERROR(VLOOKUP(A1425,Lookup!$J$5:$P$19,7,FALSE),0)</f>
        <v>3</v>
      </c>
      <c r="P1425" s="159">
        <f t="shared" si="243"/>
        <v>2016</v>
      </c>
      <c r="Q1425" s="159">
        <f t="shared" si="244"/>
        <v>2</v>
      </c>
      <c r="R1425" s="160">
        <f t="shared" si="245"/>
        <v>2.7666666666045785</v>
      </c>
      <c r="S1425" s="158">
        <f t="shared" si="246"/>
        <v>1.7025641025258944</v>
      </c>
      <c r="T1425" s="161">
        <f t="shared" si="247"/>
        <v>827.44615382758468</v>
      </c>
      <c r="U1425" s="158">
        <f t="shared" si="248"/>
        <v>299.07692307692309</v>
      </c>
      <c r="V1425" s="160">
        <f t="shared" si="249"/>
        <v>299</v>
      </c>
    </row>
    <row r="1426" spans="1:22" x14ac:dyDescent="0.25">
      <c r="A1426" s="98" t="s">
        <v>27</v>
      </c>
      <c r="B1426" s="98" t="s">
        <v>17</v>
      </c>
      <c r="C1426" s="98">
        <v>11</v>
      </c>
      <c r="D1426" s="98">
        <v>350</v>
      </c>
      <c r="E1426" s="157">
        <v>42435.759027777778</v>
      </c>
      <c r="F1426" s="157">
        <v>42435.875694444447</v>
      </c>
      <c r="G1426" s="98">
        <v>400</v>
      </c>
      <c r="H1426" s="98">
        <v>520</v>
      </c>
      <c r="I1426" s="98">
        <v>486</v>
      </c>
      <c r="J1426" s="98" t="s">
        <v>1976</v>
      </c>
      <c r="K1426" s="98" t="s">
        <v>3422</v>
      </c>
      <c r="L1426" s="105" t="str">
        <f t="shared" si="240"/>
        <v>Ghent</v>
      </c>
      <c r="M1426" s="105" t="str">
        <f t="shared" si="241"/>
        <v>Derate</v>
      </c>
      <c r="N1426" s="105" t="str">
        <f t="shared" si="242"/>
        <v>Coal</v>
      </c>
      <c r="O1426" s="105">
        <f>IFERROR(VLOOKUP(A1426,Lookup!$J$5:$P$19,7,FALSE),0)</f>
        <v>3</v>
      </c>
      <c r="P1426" s="159">
        <f t="shared" si="243"/>
        <v>2016</v>
      </c>
      <c r="Q1426" s="159">
        <f t="shared" si="244"/>
        <v>3</v>
      </c>
      <c r="R1426" s="160">
        <f t="shared" si="245"/>
        <v>2.8000000000465661</v>
      </c>
      <c r="S1426" s="158">
        <f t="shared" si="246"/>
        <v>0.64615384616459215</v>
      </c>
      <c r="T1426" s="161">
        <f t="shared" si="247"/>
        <v>314.03076923599178</v>
      </c>
      <c r="U1426" s="158">
        <f t="shared" si="248"/>
        <v>112.15384615384616</v>
      </c>
      <c r="V1426" s="160">
        <f t="shared" si="249"/>
        <v>112</v>
      </c>
    </row>
    <row r="1427" spans="1:22" x14ac:dyDescent="0.25">
      <c r="A1427" s="98" t="s">
        <v>27</v>
      </c>
      <c r="B1427" s="98" t="s">
        <v>17</v>
      </c>
      <c r="C1427" s="98">
        <v>12</v>
      </c>
      <c r="D1427" s="98">
        <v>350</v>
      </c>
      <c r="E1427" s="157">
        <v>42436.256249999999</v>
      </c>
      <c r="F1427" s="157">
        <v>42436.288194444445</v>
      </c>
      <c r="G1427" s="98">
        <v>480</v>
      </c>
      <c r="H1427" s="98">
        <v>520</v>
      </c>
      <c r="I1427" s="98">
        <v>486</v>
      </c>
      <c r="J1427" s="98" t="s">
        <v>1976</v>
      </c>
      <c r="K1427" s="98" t="s">
        <v>3423</v>
      </c>
      <c r="L1427" s="105" t="str">
        <f t="shared" si="240"/>
        <v>Ghent</v>
      </c>
      <c r="M1427" s="105" t="str">
        <f t="shared" si="241"/>
        <v>Derate</v>
      </c>
      <c r="N1427" s="105" t="str">
        <f t="shared" si="242"/>
        <v>Coal</v>
      </c>
      <c r="O1427" s="105">
        <f>IFERROR(VLOOKUP(A1427,Lookup!$J$5:$P$19,7,FALSE),0)</f>
        <v>3</v>
      </c>
      <c r="P1427" s="159">
        <f t="shared" si="243"/>
        <v>2016</v>
      </c>
      <c r="Q1427" s="159">
        <f t="shared" si="244"/>
        <v>3</v>
      </c>
      <c r="R1427" s="160">
        <f t="shared" si="245"/>
        <v>0.76666666672099382</v>
      </c>
      <c r="S1427" s="158">
        <f t="shared" si="246"/>
        <v>5.8974358978537984E-2</v>
      </c>
      <c r="T1427" s="161">
        <f t="shared" si="247"/>
        <v>28.66153846356946</v>
      </c>
      <c r="U1427" s="158">
        <f t="shared" si="248"/>
        <v>37.384615384615387</v>
      </c>
      <c r="V1427" s="160">
        <f t="shared" si="249"/>
        <v>37</v>
      </c>
    </row>
    <row r="1428" spans="1:22" x14ac:dyDescent="0.25">
      <c r="A1428" s="98" t="s">
        <v>27</v>
      </c>
      <c r="B1428" s="98" t="s">
        <v>17</v>
      </c>
      <c r="C1428" s="98">
        <v>13</v>
      </c>
      <c r="D1428" s="98">
        <v>320</v>
      </c>
      <c r="E1428" s="157">
        <v>42451.208333333336</v>
      </c>
      <c r="F1428" s="157">
        <v>42451.251388888886</v>
      </c>
      <c r="G1428" s="98">
        <v>440</v>
      </c>
      <c r="H1428" s="98">
        <v>520</v>
      </c>
      <c r="I1428" s="98">
        <v>486</v>
      </c>
      <c r="J1428" s="98" t="s">
        <v>1992</v>
      </c>
      <c r="K1428" s="98" t="s">
        <v>3424</v>
      </c>
      <c r="L1428" s="105" t="str">
        <f t="shared" si="240"/>
        <v>Ghent</v>
      </c>
      <c r="M1428" s="105" t="str">
        <f t="shared" si="241"/>
        <v>Derate</v>
      </c>
      <c r="N1428" s="105" t="str">
        <f t="shared" si="242"/>
        <v>Coal</v>
      </c>
      <c r="O1428" s="105">
        <f>IFERROR(VLOOKUP(A1428,Lookup!$J$5:$P$19,7,FALSE),0)</f>
        <v>3</v>
      </c>
      <c r="P1428" s="159">
        <f t="shared" si="243"/>
        <v>2016</v>
      </c>
      <c r="Q1428" s="159">
        <f t="shared" si="244"/>
        <v>3</v>
      </c>
      <c r="R1428" s="160">
        <f t="shared" si="245"/>
        <v>1.033333333209157</v>
      </c>
      <c r="S1428" s="158">
        <f t="shared" si="246"/>
        <v>0.15897435895525491</v>
      </c>
      <c r="T1428" s="161">
        <f t="shared" si="247"/>
        <v>77.261538452253887</v>
      </c>
      <c r="U1428" s="158">
        <f t="shared" si="248"/>
        <v>74.769230769230774</v>
      </c>
      <c r="V1428" s="160">
        <f t="shared" si="249"/>
        <v>75</v>
      </c>
    </row>
    <row r="1429" spans="1:22" x14ac:dyDescent="0.25">
      <c r="A1429" s="98" t="s">
        <v>27</v>
      </c>
      <c r="B1429" s="98" t="s">
        <v>17</v>
      </c>
      <c r="C1429" s="98">
        <v>14</v>
      </c>
      <c r="D1429" s="98">
        <v>320</v>
      </c>
      <c r="E1429" s="157">
        <v>42451.255555555559</v>
      </c>
      <c r="F1429" s="157">
        <v>42451.453472222223</v>
      </c>
      <c r="G1429" s="98">
        <v>440</v>
      </c>
      <c r="H1429" s="98">
        <v>520</v>
      </c>
      <c r="I1429" s="98">
        <v>486</v>
      </c>
      <c r="J1429" s="98" t="s">
        <v>1992</v>
      </c>
      <c r="K1429" s="98" t="s">
        <v>3425</v>
      </c>
      <c r="L1429" s="105" t="str">
        <f t="shared" si="240"/>
        <v>Ghent</v>
      </c>
      <c r="M1429" s="105" t="str">
        <f t="shared" si="241"/>
        <v>Derate</v>
      </c>
      <c r="N1429" s="105" t="str">
        <f t="shared" si="242"/>
        <v>Coal</v>
      </c>
      <c r="O1429" s="105">
        <f>IFERROR(VLOOKUP(A1429,Lookup!$J$5:$P$19,7,FALSE),0)</f>
        <v>3</v>
      </c>
      <c r="P1429" s="159">
        <f t="shared" si="243"/>
        <v>2016</v>
      </c>
      <c r="Q1429" s="159">
        <f t="shared" si="244"/>
        <v>3</v>
      </c>
      <c r="R1429" s="160">
        <f t="shared" si="245"/>
        <v>4.7499999999417923</v>
      </c>
      <c r="S1429" s="158">
        <f t="shared" si="246"/>
        <v>0.73076923076027578</v>
      </c>
      <c r="T1429" s="161">
        <f t="shared" si="247"/>
        <v>355.15384614949403</v>
      </c>
      <c r="U1429" s="158">
        <f t="shared" si="248"/>
        <v>74.769230769230774</v>
      </c>
      <c r="V1429" s="160">
        <f t="shared" si="249"/>
        <v>75</v>
      </c>
    </row>
    <row r="1430" spans="1:22" x14ac:dyDescent="0.25">
      <c r="A1430" s="98" t="s">
        <v>27</v>
      </c>
      <c r="B1430" s="98" t="s">
        <v>32</v>
      </c>
      <c r="C1430" s="98">
        <v>15</v>
      </c>
      <c r="D1430" s="98">
        <v>260</v>
      </c>
      <c r="E1430" s="157">
        <v>42458.916666666664</v>
      </c>
      <c r="F1430" s="157">
        <v>42459.098611111112</v>
      </c>
      <c r="G1430" s="98">
        <v>25</v>
      </c>
      <c r="H1430" s="98">
        <v>520</v>
      </c>
      <c r="I1430" s="98">
        <v>486</v>
      </c>
      <c r="J1430" s="98" t="s">
        <v>1973</v>
      </c>
      <c r="K1430" s="98" t="s">
        <v>3426</v>
      </c>
      <c r="L1430" s="105" t="str">
        <f t="shared" si="240"/>
        <v>Ghent</v>
      </c>
      <c r="M1430" s="105" t="str">
        <f t="shared" si="241"/>
        <v>Derate</v>
      </c>
      <c r="N1430" s="105" t="str">
        <f t="shared" si="242"/>
        <v>Coal</v>
      </c>
      <c r="O1430" s="105">
        <f>IFERROR(VLOOKUP(A1430,Lookup!$J$5:$P$19,7,FALSE),0)</f>
        <v>3</v>
      </c>
      <c r="P1430" s="159">
        <f t="shared" si="243"/>
        <v>2016</v>
      </c>
      <c r="Q1430" s="159">
        <f t="shared" si="244"/>
        <v>3</v>
      </c>
      <c r="R1430" s="160">
        <f t="shared" si="245"/>
        <v>4.3666666667559184</v>
      </c>
      <c r="S1430" s="158">
        <f t="shared" si="246"/>
        <v>4.1567307693157298</v>
      </c>
      <c r="T1430" s="161">
        <f t="shared" si="247"/>
        <v>2020.1711538874447</v>
      </c>
      <c r="U1430" s="158">
        <f t="shared" si="248"/>
        <v>462.63461538461536</v>
      </c>
      <c r="V1430" s="160">
        <f t="shared" si="249"/>
        <v>463</v>
      </c>
    </row>
    <row r="1431" spans="1:22" x14ac:dyDescent="0.25">
      <c r="A1431" s="98" t="s">
        <v>27</v>
      </c>
      <c r="B1431" s="98" t="s">
        <v>32</v>
      </c>
      <c r="C1431" s="98">
        <v>16</v>
      </c>
      <c r="D1431" s="98">
        <v>250</v>
      </c>
      <c r="E1431" s="157">
        <v>42470.490277777775</v>
      </c>
      <c r="F1431" s="157">
        <v>42470.611805555556</v>
      </c>
      <c r="G1431" s="98">
        <v>79</v>
      </c>
      <c r="H1431" s="98">
        <v>520</v>
      </c>
      <c r="I1431" s="98">
        <v>486</v>
      </c>
      <c r="J1431" s="98" t="s">
        <v>1978</v>
      </c>
      <c r="K1431" s="98" t="s">
        <v>3427</v>
      </c>
      <c r="L1431" s="105" t="str">
        <f t="shared" si="240"/>
        <v>Ghent</v>
      </c>
      <c r="M1431" s="105" t="str">
        <f t="shared" si="241"/>
        <v>Derate</v>
      </c>
      <c r="N1431" s="105" t="str">
        <f t="shared" si="242"/>
        <v>Coal</v>
      </c>
      <c r="O1431" s="105">
        <f>IFERROR(VLOOKUP(A1431,Lookup!$J$5:$P$19,7,FALSE),0)</f>
        <v>3</v>
      </c>
      <c r="P1431" s="159">
        <f t="shared" si="243"/>
        <v>2016</v>
      </c>
      <c r="Q1431" s="159">
        <f t="shared" si="244"/>
        <v>4</v>
      </c>
      <c r="R1431" s="160">
        <f t="shared" si="245"/>
        <v>2.9166666667442769</v>
      </c>
      <c r="S1431" s="158">
        <f t="shared" si="246"/>
        <v>2.4735576923735119</v>
      </c>
      <c r="T1431" s="161">
        <f t="shared" si="247"/>
        <v>1202.1490384935269</v>
      </c>
      <c r="U1431" s="158">
        <f t="shared" si="248"/>
        <v>412.1653846153846</v>
      </c>
      <c r="V1431" s="160">
        <f t="shared" si="249"/>
        <v>412</v>
      </c>
    </row>
    <row r="1432" spans="1:22" x14ac:dyDescent="0.25">
      <c r="A1432" s="98" t="s">
        <v>27</v>
      </c>
      <c r="B1432" s="98" t="s">
        <v>17</v>
      </c>
      <c r="C1432" s="98">
        <v>17</v>
      </c>
      <c r="D1432" s="98">
        <v>1850</v>
      </c>
      <c r="E1432" s="157">
        <v>42483.35</v>
      </c>
      <c r="F1432" s="157">
        <v>42483.847222222219</v>
      </c>
      <c r="G1432" s="98">
        <v>360</v>
      </c>
      <c r="H1432" s="98">
        <v>520</v>
      </c>
      <c r="I1432" s="98">
        <v>486</v>
      </c>
      <c r="J1432" s="98" t="s">
        <v>2263</v>
      </c>
      <c r="K1432" s="98" t="s">
        <v>3428</v>
      </c>
      <c r="L1432" s="105" t="str">
        <f t="shared" si="240"/>
        <v>Ghent</v>
      </c>
      <c r="M1432" s="105" t="str">
        <f t="shared" si="241"/>
        <v>Derate</v>
      </c>
      <c r="N1432" s="105" t="str">
        <f t="shared" si="242"/>
        <v>Coal</v>
      </c>
      <c r="O1432" s="105">
        <f>IFERROR(VLOOKUP(A1432,Lookup!$J$5:$P$19,7,FALSE),0)</f>
        <v>3</v>
      </c>
      <c r="P1432" s="159">
        <f t="shared" si="243"/>
        <v>2016</v>
      </c>
      <c r="Q1432" s="159">
        <f t="shared" si="244"/>
        <v>4</v>
      </c>
      <c r="R1432" s="160">
        <f t="shared" si="245"/>
        <v>11.933333333290648</v>
      </c>
      <c r="S1432" s="158">
        <f t="shared" si="246"/>
        <v>3.6717948717817377</v>
      </c>
      <c r="T1432" s="161">
        <f t="shared" si="247"/>
        <v>1784.4923076859245</v>
      </c>
      <c r="U1432" s="158">
        <f t="shared" si="248"/>
        <v>149.53846153846155</v>
      </c>
      <c r="V1432" s="160">
        <f t="shared" si="249"/>
        <v>150</v>
      </c>
    </row>
    <row r="1433" spans="1:22" x14ac:dyDescent="0.25">
      <c r="A1433" s="98" t="s">
        <v>27</v>
      </c>
      <c r="B1433" s="98" t="s">
        <v>32</v>
      </c>
      <c r="C1433" s="98">
        <v>18</v>
      </c>
      <c r="D1433" s="98">
        <v>340</v>
      </c>
      <c r="E1433" s="157">
        <v>42487.916666666664</v>
      </c>
      <c r="F1433" s="157">
        <v>42488.010416666664</v>
      </c>
      <c r="G1433" s="98">
        <v>420</v>
      </c>
      <c r="H1433" s="98">
        <v>520</v>
      </c>
      <c r="I1433" s="98">
        <v>486</v>
      </c>
      <c r="J1433" s="98" t="s">
        <v>1970</v>
      </c>
      <c r="K1433" s="98" t="s">
        <v>3429</v>
      </c>
      <c r="L1433" s="105" t="str">
        <f t="shared" si="240"/>
        <v>Ghent</v>
      </c>
      <c r="M1433" s="105" t="str">
        <f t="shared" si="241"/>
        <v>Derate</v>
      </c>
      <c r="N1433" s="105" t="str">
        <f t="shared" si="242"/>
        <v>Coal</v>
      </c>
      <c r="O1433" s="105">
        <f>IFERROR(VLOOKUP(A1433,Lookup!$J$5:$P$19,7,FALSE),0)</f>
        <v>3</v>
      </c>
      <c r="P1433" s="159">
        <f t="shared" si="243"/>
        <v>2016</v>
      </c>
      <c r="Q1433" s="159">
        <f t="shared" si="244"/>
        <v>4</v>
      </c>
      <c r="R1433" s="160">
        <f t="shared" si="245"/>
        <v>2.25</v>
      </c>
      <c r="S1433" s="158">
        <f t="shared" si="246"/>
        <v>0.43269230769230771</v>
      </c>
      <c r="T1433" s="161">
        <f t="shared" si="247"/>
        <v>210.28846153846155</v>
      </c>
      <c r="U1433" s="158">
        <f t="shared" si="248"/>
        <v>93.461538461538467</v>
      </c>
      <c r="V1433" s="160">
        <f t="shared" si="249"/>
        <v>93</v>
      </c>
    </row>
    <row r="1434" spans="1:22" x14ac:dyDescent="0.25">
      <c r="A1434" s="98" t="s">
        <v>27</v>
      </c>
      <c r="B1434" s="98" t="s">
        <v>20</v>
      </c>
      <c r="C1434" s="98">
        <v>19</v>
      </c>
      <c r="D1434" s="98">
        <v>3110</v>
      </c>
      <c r="E1434" s="157">
        <v>42492.927083333336</v>
      </c>
      <c r="F1434" s="157">
        <v>42494.855555555558</v>
      </c>
      <c r="G1434" s="98">
        <v>0</v>
      </c>
      <c r="H1434" s="98">
        <v>520</v>
      </c>
      <c r="I1434" s="98">
        <v>486</v>
      </c>
      <c r="J1434" s="98" t="s">
        <v>2119</v>
      </c>
      <c r="K1434" s="98" t="s">
        <v>3430</v>
      </c>
      <c r="L1434" s="105" t="str">
        <f t="shared" si="240"/>
        <v>Ghent</v>
      </c>
      <c r="M1434" s="105" t="str">
        <f t="shared" si="241"/>
        <v>Maintenance</v>
      </c>
      <c r="N1434" s="105" t="str">
        <f t="shared" si="242"/>
        <v>Coal</v>
      </c>
      <c r="O1434" s="105">
        <f>IFERROR(VLOOKUP(A1434,Lookup!$J$5:$P$19,7,FALSE),0)</f>
        <v>3</v>
      </c>
      <c r="P1434" s="159">
        <f t="shared" si="243"/>
        <v>2016</v>
      </c>
      <c r="Q1434" s="159">
        <f t="shared" si="244"/>
        <v>5</v>
      </c>
      <c r="R1434" s="160">
        <f t="shared" si="245"/>
        <v>46.283333333325572</v>
      </c>
      <c r="S1434" s="158">
        <f t="shared" si="246"/>
        <v>46.283333333325572</v>
      </c>
      <c r="T1434" s="161">
        <f t="shared" si="247"/>
        <v>22493.699999996228</v>
      </c>
      <c r="U1434" s="158">
        <f t="shared" si="248"/>
        <v>486</v>
      </c>
      <c r="V1434" s="160">
        <f t="shared" si="249"/>
        <v>486</v>
      </c>
    </row>
    <row r="1435" spans="1:22" x14ac:dyDescent="0.25">
      <c r="A1435" s="98" t="s">
        <v>27</v>
      </c>
      <c r="B1435" s="98" t="s">
        <v>32</v>
      </c>
      <c r="C1435" s="98">
        <v>20</v>
      </c>
      <c r="D1435" s="98">
        <v>3410</v>
      </c>
      <c r="E1435" s="157">
        <v>42528.834722222222</v>
      </c>
      <c r="F1435" s="157">
        <v>42529.351388888892</v>
      </c>
      <c r="G1435" s="98">
        <v>345</v>
      </c>
      <c r="H1435" s="98">
        <v>520</v>
      </c>
      <c r="I1435" s="98">
        <v>486</v>
      </c>
      <c r="J1435" s="98" t="s">
        <v>1983</v>
      </c>
      <c r="K1435" s="98" t="s">
        <v>3431</v>
      </c>
      <c r="L1435" s="105" t="str">
        <f t="shared" si="240"/>
        <v>Ghent</v>
      </c>
      <c r="M1435" s="105" t="str">
        <f t="shared" si="241"/>
        <v>Derate</v>
      </c>
      <c r="N1435" s="105" t="str">
        <f t="shared" si="242"/>
        <v>Coal</v>
      </c>
      <c r="O1435" s="105">
        <f>IFERROR(VLOOKUP(A1435,Lookup!$J$5:$P$19,7,FALSE),0)</f>
        <v>3</v>
      </c>
      <c r="P1435" s="159">
        <f t="shared" si="243"/>
        <v>2016</v>
      </c>
      <c r="Q1435" s="159">
        <f t="shared" si="244"/>
        <v>6</v>
      </c>
      <c r="R1435" s="160">
        <f t="shared" si="245"/>
        <v>12.400000000081491</v>
      </c>
      <c r="S1435" s="158">
        <f t="shared" si="246"/>
        <v>4.1730769231043476</v>
      </c>
      <c r="T1435" s="161">
        <f t="shared" si="247"/>
        <v>2028.1153846287129</v>
      </c>
      <c r="U1435" s="158">
        <f t="shared" si="248"/>
        <v>163.55769230769232</v>
      </c>
      <c r="V1435" s="160">
        <f t="shared" si="249"/>
        <v>164</v>
      </c>
    </row>
    <row r="1436" spans="1:22" x14ac:dyDescent="0.25">
      <c r="A1436" s="98" t="s">
        <v>27</v>
      </c>
      <c r="B1436" s="98" t="s">
        <v>17</v>
      </c>
      <c r="C1436" s="98">
        <v>21</v>
      </c>
      <c r="D1436" s="98">
        <v>1400</v>
      </c>
      <c r="E1436" s="157">
        <v>42537.535416666666</v>
      </c>
      <c r="F1436" s="157">
        <v>42537.856249999997</v>
      </c>
      <c r="G1436" s="98">
        <v>514</v>
      </c>
      <c r="H1436" s="98">
        <v>520</v>
      </c>
      <c r="I1436" s="98">
        <v>486</v>
      </c>
      <c r="J1436" s="98" t="s">
        <v>2043</v>
      </c>
      <c r="K1436" s="98" t="s">
        <v>3432</v>
      </c>
      <c r="L1436" s="105" t="str">
        <f t="shared" si="240"/>
        <v>Ghent</v>
      </c>
      <c r="M1436" s="105" t="str">
        <f t="shared" si="241"/>
        <v>Derate</v>
      </c>
      <c r="N1436" s="105" t="str">
        <f t="shared" si="242"/>
        <v>Coal</v>
      </c>
      <c r="O1436" s="105">
        <f>IFERROR(VLOOKUP(A1436,Lookup!$J$5:$P$19,7,FALSE),0)</f>
        <v>3</v>
      </c>
      <c r="P1436" s="159">
        <f t="shared" si="243"/>
        <v>2016</v>
      </c>
      <c r="Q1436" s="159">
        <f t="shared" si="244"/>
        <v>6</v>
      </c>
      <c r="R1436" s="160">
        <f t="shared" si="245"/>
        <v>7.6999999999534339</v>
      </c>
      <c r="S1436" s="158">
        <f t="shared" si="246"/>
        <v>8.8846153845616546E-2</v>
      </c>
      <c r="T1436" s="161">
        <f t="shared" si="247"/>
        <v>43.179230768969639</v>
      </c>
      <c r="U1436" s="158">
        <f t="shared" si="248"/>
        <v>5.6076923076923073</v>
      </c>
      <c r="V1436" s="160">
        <f t="shared" si="249"/>
        <v>6</v>
      </c>
    </row>
    <row r="1437" spans="1:22" x14ac:dyDescent="0.25">
      <c r="A1437" s="98" t="s">
        <v>27</v>
      </c>
      <c r="B1437" s="98" t="s">
        <v>17</v>
      </c>
      <c r="C1437" s="98">
        <v>22</v>
      </c>
      <c r="D1437" s="98">
        <v>1400</v>
      </c>
      <c r="E1437" s="157">
        <v>42537.856249999997</v>
      </c>
      <c r="F1437" s="157">
        <v>42538.472222222219</v>
      </c>
      <c r="G1437" s="98">
        <v>522</v>
      </c>
      <c r="H1437" s="98">
        <v>520</v>
      </c>
      <c r="I1437" s="98">
        <v>486</v>
      </c>
      <c r="J1437" s="98" t="s">
        <v>2043</v>
      </c>
      <c r="K1437" s="98" t="s">
        <v>3433</v>
      </c>
      <c r="L1437" s="105" t="str">
        <f t="shared" si="240"/>
        <v>Ghent</v>
      </c>
      <c r="M1437" s="105" t="str">
        <f t="shared" si="241"/>
        <v>Derate</v>
      </c>
      <c r="N1437" s="105" t="str">
        <f t="shared" si="242"/>
        <v>Coal</v>
      </c>
      <c r="O1437" s="105">
        <f>IFERROR(VLOOKUP(A1437,Lookup!$J$5:$P$19,7,FALSE),0)</f>
        <v>3</v>
      </c>
      <c r="P1437" s="159">
        <f t="shared" si="243"/>
        <v>2016</v>
      </c>
      <c r="Q1437" s="159">
        <f t="shared" si="244"/>
        <v>6</v>
      </c>
      <c r="R1437" s="160">
        <f t="shared" si="245"/>
        <v>14.783333333325572</v>
      </c>
      <c r="S1437" s="158">
        <f t="shared" si="246"/>
        <v>-5.6858974358944506E-2</v>
      </c>
      <c r="T1437" s="161">
        <f t="shared" si="247"/>
        <v>-27.63346153844703</v>
      </c>
      <c r="U1437" s="158">
        <f t="shared" si="248"/>
        <v>0</v>
      </c>
      <c r="V1437" s="160">
        <f t="shared" si="249"/>
        <v>0</v>
      </c>
    </row>
    <row r="1438" spans="1:22" x14ac:dyDescent="0.25">
      <c r="A1438" s="98" t="s">
        <v>27</v>
      </c>
      <c r="B1438" s="98" t="s">
        <v>17</v>
      </c>
      <c r="C1438" s="98">
        <v>23</v>
      </c>
      <c r="D1438" s="98">
        <v>4499</v>
      </c>
      <c r="E1438" s="157">
        <v>42538.472222222219</v>
      </c>
      <c r="F1438" s="157">
        <v>42559.602083333331</v>
      </c>
      <c r="G1438" s="98">
        <v>523</v>
      </c>
      <c r="H1438" s="98">
        <v>520</v>
      </c>
      <c r="I1438" s="98">
        <v>486</v>
      </c>
      <c r="J1438" s="98" t="s">
        <v>2082</v>
      </c>
      <c r="K1438" s="98" t="s">
        <v>4119</v>
      </c>
      <c r="L1438" s="105" t="str">
        <f t="shared" si="240"/>
        <v>Ghent</v>
      </c>
      <c r="M1438" s="105" t="str">
        <f t="shared" si="241"/>
        <v>Derate</v>
      </c>
      <c r="N1438" s="105" t="str">
        <f t="shared" si="242"/>
        <v>Coal</v>
      </c>
      <c r="O1438" s="105">
        <f>IFERROR(VLOOKUP(A1438,Lookup!$J$5:$P$19,7,FALSE),0)</f>
        <v>3</v>
      </c>
      <c r="P1438" s="159">
        <f t="shared" si="243"/>
        <v>2016</v>
      </c>
      <c r="Q1438" s="159">
        <f t="shared" si="244"/>
        <v>6</v>
      </c>
      <c r="R1438" s="160">
        <f t="shared" si="245"/>
        <v>507.11666666669771</v>
      </c>
      <c r="S1438" s="158">
        <f t="shared" si="246"/>
        <v>-2.925673076923256</v>
      </c>
      <c r="T1438" s="161">
        <f t="shared" si="247"/>
        <v>-1421.8771153847024</v>
      </c>
      <c r="U1438" s="158">
        <f t="shared" si="248"/>
        <v>0</v>
      </c>
      <c r="V1438" s="160">
        <f t="shared" si="249"/>
        <v>0</v>
      </c>
    </row>
    <row r="1439" spans="1:22" x14ac:dyDescent="0.25">
      <c r="A1439" s="98" t="s">
        <v>27</v>
      </c>
      <c r="B1439" s="98" t="s">
        <v>17</v>
      </c>
      <c r="C1439" s="98">
        <v>24</v>
      </c>
      <c r="D1439" s="98">
        <v>340</v>
      </c>
      <c r="E1439" s="157">
        <v>42541.22152777778</v>
      </c>
      <c r="F1439" s="157">
        <v>42541.347916666666</v>
      </c>
      <c r="G1439" s="98">
        <v>440</v>
      </c>
      <c r="H1439" s="98">
        <v>520</v>
      </c>
      <c r="I1439" s="98">
        <v>486</v>
      </c>
      <c r="J1439" s="98" t="s">
        <v>1970</v>
      </c>
      <c r="K1439" s="98" t="s">
        <v>3434</v>
      </c>
      <c r="L1439" s="105" t="str">
        <f t="shared" si="240"/>
        <v>Ghent</v>
      </c>
      <c r="M1439" s="105" t="str">
        <f t="shared" si="241"/>
        <v>Derate</v>
      </c>
      <c r="N1439" s="105" t="str">
        <f t="shared" si="242"/>
        <v>Coal</v>
      </c>
      <c r="O1439" s="105">
        <f>IFERROR(VLOOKUP(A1439,Lookup!$J$5:$P$19,7,FALSE),0)</f>
        <v>3</v>
      </c>
      <c r="P1439" s="159">
        <f t="shared" si="243"/>
        <v>2016</v>
      </c>
      <c r="Q1439" s="159">
        <f t="shared" si="244"/>
        <v>6</v>
      </c>
      <c r="R1439" s="160">
        <f t="shared" si="245"/>
        <v>3.0333333332673647</v>
      </c>
      <c r="S1439" s="158">
        <f t="shared" si="246"/>
        <v>0.46666666665651763</v>
      </c>
      <c r="T1439" s="161">
        <f t="shared" si="247"/>
        <v>226.79999999506757</v>
      </c>
      <c r="U1439" s="158">
        <f t="shared" si="248"/>
        <v>74.769230769230774</v>
      </c>
      <c r="V1439" s="160">
        <f t="shared" si="249"/>
        <v>75</v>
      </c>
    </row>
    <row r="1440" spans="1:22" x14ac:dyDescent="0.25">
      <c r="A1440" s="98" t="s">
        <v>27</v>
      </c>
      <c r="B1440" s="98" t="s">
        <v>17</v>
      </c>
      <c r="C1440" s="98">
        <v>25</v>
      </c>
      <c r="D1440" s="98">
        <v>1420</v>
      </c>
      <c r="E1440" s="157">
        <v>42546.458333333336</v>
      </c>
      <c r="F1440" s="157">
        <v>42546.487500000003</v>
      </c>
      <c r="G1440" s="98">
        <v>511</v>
      </c>
      <c r="H1440" s="98">
        <v>520</v>
      </c>
      <c r="I1440" s="98">
        <v>486</v>
      </c>
      <c r="J1440" s="98" t="s">
        <v>2800</v>
      </c>
      <c r="K1440" s="98" t="s">
        <v>3435</v>
      </c>
      <c r="L1440" s="105" t="str">
        <f t="shared" si="240"/>
        <v>Ghent</v>
      </c>
      <c r="M1440" s="105" t="str">
        <f t="shared" si="241"/>
        <v>Derate</v>
      </c>
      <c r="N1440" s="105" t="str">
        <f t="shared" si="242"/>
        <v>Coal</v>
      </c>
      <c r="O1440" s="105">
        <f>IFERROR(VLOOKUP(A1440,Lookup!$J$5:$P$19,7,FALSE),0)</f>
        <v>3</v>
      </c>
      <c r="P1440" s="159">
        <f t="shared" si="243"/>
        <v>2016</v>
      </c>
      <c r="Q1440" s="159">
        <f t="shared" si="244"/>
        <v>6</v>
      </c>
      <c r="R1440" s="160">
        <f t="shared" si="245"/>
        <v>0.70000000001164153</v>
      </c>
      <c r="S1440" s="158">
        <f t="shared" si="246"/>
        <v>1.2115384615586103E-2</v>
      </c>
      <c r="T1440" s="161">
        <f t="shared" si="247"/>
        <v>5.8880769231748458</v>
      </c>
      <c r="U1440" s="158">
        <f t="shared" si="248"/>
        <v>8.411538461538461</v>
      </c>
      <c r="V1440" s="160">
        <f t="shared" si="249"/>
        <v>8</v>
      </c>
    </row>
    <row r="1441" spans="1:22" x14ac:dyDescent="0.25">
      <c r="A1441" s="98" t="s">
        <v>27</v>
      </c>
      <c r="B1441" s="98" t="s">
        <v>32</v>
      </c>
      <c r="C1441" s="98">
        <v>26</v>
      </c>
      <c r="D1441" s="98">
        <v>3416</v>
      </c>
      <c r="E1441" s="157">
        <v>42546.958333333336</v>
      </c>
      <c r="F1441" s="157">
        <v>42546.982638888891</v>
      </c>
      <c r="G1441" s="98">
        <v>330</v>
      </c>
      <c r="H1441" s="98">
        <v>520</v>
      </c>
      <c r="I1441" s="98">
        <v>486</v>
      </c>
      <c r="J1441" s="98" t="s">
        <v>2164</v>
      </c>
      <c r="K1441" s="98" t="s">
        <v>3436</v>
      </c>
      <c r="L1441" s="105" t="str">
        <f t="shared" si="240"/>
        <v>Ghent</v>
      </c>
      <c r="M1441" s="105" t="str">
        <f t="shared" si="241"/>
        <v>Derate</v>
      </c>
      <c r="N1441" s="105" t="str">
        <f t="shared" si="242"/>
        <v>Coal</v>
      </c>
      <c r="O1441" s="105">
        <f>IFERROR(VLOOKUP(A1441,Lookup!$J$5:$P$19,7,FALSE),0)</f>
        <v>3</v>
      </c>
      <c r="P1441" s="159">
        <f t="shared" si="243"/>
        <v>2016</v>
      </c>
      <c r="Q1441" s="159">
        <f t="shared" si="244"/>
        <v>6</v>
      </c>
      <c r="R1441" s="160">
        <f t="shared" si="245"/>
        <v>0.58333333331393078</v>
      </c>
      <c r="S1441" s="158">
        <f t="shared" si="246"/>
        <v>0.21314102563393625</v>
      </c>
      <c r="T1441" s="161">
        <f t="shared" si="247"/>
        <v>103.58653845809302</v>
      </c>
      <c r="U1441" s="158">
        <f t="shared" si="248"/>
        <v>177.57692307692307</v>
      </c>
      <c r="V1441" s="160">
        <f t="shared" si="249"/>
        <v>178</v>
      </c>
    </row>
    <row r="1442" spans="1:22" x14ac:dyDescent="0.25">
      <c r="A1442" s="98" t="s">
        <v>27</v>
      </c>
      <c r="B1442" s="98" t="s">
        <v>32</v>
      </c>
      <c r="C1442" s="98">
        <v>27</v>
      </c>
      <c r="D1442" s="98">
        <v>3416</v>
      </c>
      <c r="E1442" s="157">
        <v>42546.982638888891</v>
      </c>
      <c r="F1442" s="157">
        <v>42547.068749999999</v>
      </c>
      <c r="G1442" s="98">
        <v>300</v>
      </c>
      <c r="H1442" s="98">
        <v>520</v>
      </c>
      <c r="I1442" s="98">
        <v>486</v>
      </c>
      <c r="J1442" s="98" t="s">
        <v>2164</v>
      </c>
      <c r="K1442" s="98" t="s">
        <v>3437</v>
      </c>
      <c r="L1442" s="105" t="str">
        <f t="shared" si="240"/>
        <v>Ghent</v>
      </c>
      <c r="M1442" s="105" t="str">
        <f t="shared" si="241"/>
        <v>Derate</v>
      </c>
      <c r="N1442" s="105" t="str">
        <f t="shared" si="242"/>
        <v>Coal</v>
      </c>
      <c r="O1442" s="105">
        <f>IFERROR(VLOOKUP(A1442,Lookup!$J$5:$P$19,7,FALSE),0)</f>
        <v>3</v>
      </c>
      <c r="P1442" s="159">
        <f t="shared" si="243"/>
        <v>2016</v>
      </c>
      <c r="Q1442" s="159">
        <f t="shared" si="244"/>
        <v>6</v>
      </c>
      <c r="R1442" s="160">
        <f t="shared" si="245"/>
        <v>2.066666666592937</v>
      </c>
      <c r="S1442" s="158">
        <f t="shared" si="246"/>
        <v>0.87435897432778098</v>
      </c>
      <c r="T1442" s="161">
        <f t="shared" si="247"/>
        <v>424.93846152330156</v>
      </c>
      <c r="U1442" s="158">
        <f t="shared" si="248"/>
        <v>205.61538461538461</v>
      </c>
      <c r="V1442" s="160">
        <f t="shared" si="249"/>
        <v>206</v>
      </c>
    </row>
    <row r="1443" spans="1:22" x14ac:dyDescent="0.25">
      <c r="A1443" s="98" t="s">
        <v>27</v>
      </c>
      <c r="B1443" s="98" t="s">
        <v>17</v>
      </c>
      <c r="C1443" s="98">
        <v>28</v>
      </c>
      <c r="D1443" s="98">
        <v>346</v>
      </c>
      <c r="E1443" s="157">
        <v>42558.293055555558</v>
      </c>
      <c r="F1443" s="157">
        <v>42558.300694444442</v>
      </c>
      <c r="G1443" s="98">
        <v>460</v>
      </c>
      <c r="H1443" s="98">
        <v>520</v>
      </c>
      <c r="I1443" s="98">
        <v>486</v>
      </c>
      <c r="J1443" s="98" t="s">
        <v>1986</v>
      </c>
      <c r="K1443" s="98" t="s">
        <v>4120</v>
      </c>
      <c r="L1443" s="105" t="str">
        <f t="shared" si="240"/>
        <v>Ghent</v>
      </c>
      <c r="M1443" s="105" t="str">
        <f t="shared" si="241"/>
        <v>Derate</v>
      </c>
      <c r="N1443" s="105" t="str">
        <f t="shared" si="242"/>
        <v>Coal</v>
      </c>
      <c r="O1443" s="105">
        <f>IFERROR(VLOOKUP(A1443,Lookup!$J$5:$P$19,7,FALSE),0)</f>
        <v>3</v>
      </c>
      <c r="P1443" s="159">
        <f t="shared" si="243"/>
        <v>2016</v>
      </c>
      <c r="Q1443" s="159">
        <f t="shared" si="244"/>
        <v>7</v>
      </c>
      <c r="R1443" s="160">
        <f t="shared" si="245"/>
        <v>0.18333333323244005</v>
      </c>
      <c r="S1443" s="158">
        <f t="shared" si="246"/>
        <v>2.115384614220462E-2</v>
      </c>
      <c r="T1443" s="161">
        <f t="shared" si="247"/>
        <v>10.280769225111445</v>
      </c>
      <c r="U1443" s="158">
        <f t="shared" si="248"/>
        <v>56.07692307692308</v>
      </c>
      <c r="V1443" s="160">
        <f t="shared" si="249"/>
        <v>56</v>
      </c>
    </row>
    <row r="1444" spans="1:22" x14ac:dyDescent="0.25">
      <c r="A1444" s="98" t="s">
        <v>27</v>
      </c>
      <c r="B1444" s="98" t="s">
        <v>17</v>
      </c>
      <c r="C1444" s="98">
        <v>29</v>
      </c>
      <c r="D1444" s="98">
        <v>3121</v>
      </c>
      <c r="E1444" s="157">
        <v>42559.518750000003</v>
      </c>
      <c r="F1444" s="157">
        <v>42559.602083333331</v>
      </c>
      <c r="G1444" s="98">
        <v>325</v>
      </c>
      <c r="H1444" s="98">
        <v>520</v>
      </c>
      <c r="I1444" s="98">
        <v>486</v>
      </c>
      <c r="J1444" s="98" t="s">
        <v>4121</v>
      </c>
      <c r="K1444" s="98" t="s">
        <v>4122</v>
      </c>
      <c r="L1444" s="105" t="str">
        <f t="shared" si="240"/>
        <v>Ghent</v>
      </c>
      <c r="M1444" s="105" t="str">
        <f t="shared" si="241"/>
        <v>Derate</v>
      </c>
      <c r="N1444" s="105" t="str">
        <f t="shared" si="242"/>
        <v>Coal</v>
      </c>
      <c r="O1444" s="105">
        <f>IFERROR(VLOOKUP(A1444,Lookup!$J$5:$P$19,7,FALSE),0)</f>
        <v>3</v>
      </c>
      <c r="P1444" s="159">
        <f t="shared" si="243"/>
        <v>2016</v>
      </c>
      <c r="Q1444" s="159">
        <f t="shared" si="244"/>
        <v>7</v>
      </c>
      <c r="R1444" s="160">
        <f t="shared" si="245"/>
        <v>1.9999999998835847</v>
      </c>
      <c r="S1444" s="158">
        <f t="shared" si="246"/>
        <v>0.74999999995634425</v>
      </c>
      <c r="T1444" s="161">
        <f t="shared" si="247"/>
        <v>364.49999997878331</v>
      </c>
      <c r="U1444" s="158">
        <f t="shared" si="248"/>
        <v>182.25</v>
      </c>
      <c r="V1444" s="160">
        <f t="shared" si="249"/>
        <v>182</v>
      </c>
    </row>
    <row r="1445" spans="1:22" x14ac:dyDescent="0.25">
      <c r="A1445" s="98" t="s">
        <v>27</v>
      </c>
      <c r="B1445" s="98" t="s">
        <v>15</v>
      </c>
      <c r="C1445" s="98">
        <v>30</v>
      </c>
      <c r="D1445" s="98">
        <v>3121</v>
      </c>
      <c r="E1445" s="157">
        <v>42559.602083333331</v>
      </c>
      <c r="F1445" s="157">
        <v>42561.475694444445</v>
      </c>
      <c r="G1445" s="98">
        <v>0</v>
      </c>
      <c r="H1445" s="98">
        <v>520</v>
      </c>
      <c r="I1445" s="98">
        <v>486</v>
      </c>
      <c r="J1445" s="98" t="s">
        <v>4121</v>
      </c>
      <c r="K1445" s="98" t="s">
        <v>4123</v>
      </c>
      <c r="L1445" s="105" t="str">
        <f t="shared" si="240"/>
        <v>Ghent</v>
      </c>
      <c r="M1445" s="105" t="str">
        <f t="shared" si="241"/>
        <v>Outage</v>
      </c>
      <c r="N1445" s="105" t="str">
        <f t="shared" si="242"/>
        <v>Coal</v>
      </c>
      <c r="O1445" s="105">
        <f>IFERROR(VLOOKUP(A1445,Lookup!$J$5:$P$19,7,FALSE),0)</f>
        <v>3</v>
      </c>
      <c r="P1445" s="159">
        <f t="shared" si="243"/>
        <v>2016</v>
      </c>
      <c r="Q1445" s="159">
        <f t="shared" si="244"/>
        <v>7</v>
      </c>
      <c r="R1445" s="160">
        <f t="shared" si="245"/>
        <v>44.966666666732635</v>
      </c>
      <c r="S1445" s="158">
        <f t="shared" si="246"/>
        <v>44.966666666732635</v>
      </c>
      <c r="T1445" s="161">
        <f t="shared" si="247"/>
        <v>21853.800000032061</v>
      </c>
      <c r="U1445" s="158">
        <f t="shared" si="248"/>
        <v>486</v>
      </c>
      <c r="V1445" s="160">
        <f t="shared" si="249"/>
        <v>486</v>
      </c>
    </row>
    <row r="1446" spans="1:22" x14ac:dyDescent="0.25">
      <c r="A1446" s="98" t="s">
        <v>27</v>
      </c>
      <c r="B1446" s="98" t="s">
        <v>17</v>
      </c>
      <c r="C1446" s="98">
        <v>31</v>
      </c>
      <c r="D1446" s="98">
        <v>3669</v>
      </c>
      <c r="E1446" s="157">
        <v>42576.506944444445</v>
      </c>
      <c r="F1446" s="157">
        <v>42576.546527777777</v>
      </c>
      <c r="G1446" s="98">
        <v>260</v>
      </c>
      <c r="H1446" s="98">
        <v>520</v>
      </c>
      <c r="I1446" s="98">
        <v>486</v>
      </c>
      <c r="J1446" s="98" t="s">
        <v>2271</v>
      </c>
      <c r="K1446" s="98" t="s">
        <v>4124</v>
      </c>
      <c r="L1446" s="105" t="str">
        <f t="shared" si="240"/>
        <v>Ghent</v>
      </c>
      <c r="M1446" s="105" t="str">
        <f t="shared" si="241"/>
        <v>Derate</v>
      </c>
      <c r="N1446" s="105" t="str">
        <f t="shared" si="242"/>
        <v>Coal</v>
      </c>
      <c r="O1446" s="105">
        <f>IFERROR(VLOOKUP(A1446,Lookup!$J$5:$P$19,7,FALSE),0)</f>
        <v>3</v>
      </c>
      <c r="P1446" s="159">
        <f t="shared" si="243"/>
        <v>2016</v>
      </c>
      <c r="Q1446" s="159">
        <f t="shared" si="244"/>
        <v>7</v>
      </c>
      <c r="R1446" s="160">
        <f t="shared" si="245"/>
        <v>0.94999999995343387</v>
      </c>
      <c r="S1446" s="158">
        <f t="shared" si="246"/>
        <v>0.47499999997671694</v>
      </c>
      <c r="T1446" s="161">
        <f t="shared" si="247"/>
        <v>230.84999998868443</v>
      </c>
      <c r="U1446" s="158">
        <f t="shared" si="248"/>
        <v>243</v>
      </c>
      <c r="V1446" s="160">
        <f t="shared" si="249"/>
        <v>243</v>
      </c>
    </row>
    <row r="1447" spans="1:22" x14ac:dyDescent="0.25">
      <c r="A1447" s="98" t="s">
        <v>27</v>
      </c>
      <c r="B1447" s="98" t="s">
        <v>17</v>
      </c>
      <c r="C1447" s="98">
        <v>32</v>
      </c>
      <c r="D1447" s="98">
        <v>1470</v>
      </c>
      <c r="E1447" s="157">
        <v>42579.454861111109</v>
      </c>
      <c r="F1447" s="157">
        <v>42579.484722222223</v>
      </c>
      <c r="G1447" s="98">
        <v>285</v>
      </c>
      <c r="H1447" s="98">
        <v>520</v>
      </c>
      <c r="I1447" s="98">
        <v>486</v>
      </c>
      <c r="J1447" s="98" t="s">
        <v>2005</v>
      </c>
      <c r="K1447" s="98" t="s">
        <v>4125</v>
      </c>
      <c r="L1447" s="105" t="str">
        <f t="shared" ref="L1447:L1510" si="250">IF(OR(A1447="BR1",A1447="BR2",A1447="BR3",A1447="BR5",A1447="BR6",A1447="BR7",A1447="BR8",A1447="BR9",A1447="BR10",A1447="BR11"),"Brown",IF(OR(A1447="CR4",A1447="CR5",A1447="CR6",A1447="CR11"),"Cane Run",IF(OR(A1447="GH1",A1447="GH2",A1447="GH3",A1447="GH4"),"Ghent",IF(OR(A1447="GR3",A1447="GR4"),"Green River",IF(OR(A1447="MC1",A1447="MC2",A1447="MC3",A1447="MC4"),"Mill Creek",IF(OR(A1447="TC1",A1447="TC2",A1447="TC5",A1447="TC6",A1447="TC7",A1447="TC8",A1447="TC9",A1447="TC10"),"Trimble",IF(A1447="TY3","Tyrone",IF(OR(A1447="HA1",A1447="HA2",A1447="HA3"),"Haeflin",IF(OR(A1447="PR11",A1447="PR12",A1447="PR13"),"Paddy's Run","Zorn")))))))))</f>
        <v>Ghent</v>
      </c>
      <c r="M1447" s="105" t="str">
        <f t="shared" ref="M1447:M1510" si="251">IF(OR(B1447="D1",B1447="D2",B1447="D3",B1447="D4",B1447="PD"),"Derate",IF(OR(B1447="SF",B1447="U1",B1447="U2",B1447="U3"),"Outage",IF(OR(B1447="ME",B1447="MO"),"Maintenance","Other")))</f>
        <v>Derate</v>
      </c>
      <c r="N1447" s="105" t="str">
        <f t="shared" ref="N1447:N1510" si="252">IF(OR(A1447="BR1",A1447="BR2",A1447="BR3",A1447="CR4",A1447="CR5",A1447="CR6",A1447="GH1",A1447="GH2",A1447="GH3",A1447="GH4",A1447="GR3",A1447="GR4",A1447="MC1",A1447="MC2",A1447="MC3",A1447="MC4",A1447="TC1",A1447="TC2",A1447="TY3"),"Coal","Gas")</f>
        <v>Coal</v>
      </c>
      <c r="O1447" s="105">
        <f>IFERROR(VLOOKUP(A1447,Lookup!$J$5:$P$19,7,FALSE),0)</f>
        <v>3</v>
      </c>
      <c r="P1447" s="159">
        <f t="shared" ref="P1447:P1510" si="253">YEAR(E1447)</f>
        <v>2016</v>
      </c>
      <c r="Q1447" s="159">
        <f t="shared" ref="Q1447:Q1510" si="254">MONTH(E1447)</f>
        <v>7</v>
      </c>
      <c r="R1447" s="160">
        <f t="shared" ref="R1447:R1510" si="255">(F1447-E1447)*24</f>
        <v>0.71666666673263535</v>
      </c>
      <c r="S1447" s="158">
        <f t="shared" ref="S1447:S1510" si="256">R1447*(H1447-G1447)/H1447</f>
        <v>0.32387820515801791</v>
      </c>
      <c r="T1447" s="161">
        <f t="shared" ref="T1447:T1510" si="257">S1447*I1447</f>
        <v>157.4048077067967</v>
      </c>
      <c r="U1447" s="158">
        <f t="shared" ref="U1447:U1510" si="258">IF(G1447&gt;0,MAX((H1447-G1447),0)*I1447/H1447,I1447)</f>
        <v>219.63461538461539</v>
      </c>
      <c r="V1447" s="160">
        <f t="shared" ref="V1447:V1510" si="259">ROUND(U1447,0)</f>
        <v>220</v>
      </c>
    </row>
    <row r="1448" spans="1:22" x14ac:dyDescent="0.25">
      <c r="A1448" s="98" t="s">
        <v>27</v>
      </c>
      <c r="B1448" s="98" t="s">
        <v>32</v>
      </c>
      <c r="C1448" s="98">
        <v>33</v>
      </c>
      <c r="D1448" s="98">
        <v>4261</v>
      </c>
      <c r="E1448" s="157">
        <v>42585.008333333331</v>
      </c>
      <c r="F1448" s="157">
        <v>42585.023611111108</v>
      </c>
      <c r="G1448" s="98">
        <v>340</v>
      </c>
      <c r="H1448" s="98">
        <v>520</v>
      </c>
      <c r="I1448" s="98">
        <v>486</v>
      </c>
      <c r="J1448" s="98" t="s">
        <v>1985</v>
      </c>
      <c r="K1448" s="98" t="s">
        <v>4126</v>
      </c>
      <c r="L1448" s="105" t="str">
        <f t="shared" si="250"/>
        <v>Ghent</v>
      </c>
      <c r="M1448" s="105" t="str">
        <f t="shared" si="251"/>
        <v>Derate</v>
      </c>
      <c r="N1448" s="105" t="str">
        <f t="shared" si="252"/>
        <v>Coal</v>
      </c>
      <c r="O1448" s="105">
        <f>IFERROR(VLOOKUP(A1448,Lookup!$J$5:$P$19,7,FALSE),0)</f>
        <v>3</v>
      </c>
      <c r="P1448" s="159">
        <f t="shared" si="253"/>
        <v>2016</v>
      </c>
      <c r="Q1448" s="159">
        <f t="shared" si="254"/>
        <v>8</v>
      </c>
      <c r="R1448" s="160">
        <f t="shared" si="255"/>
        <v>0.36666666663950309</v>
      </c>
      <c r="S1448" s="158">
        <f t="shared" si="256"/>
        <v>0.12692307691367416</v>
      </c>
      <c r="T1448" s="161">
        <f t="shared" si="257"/>
        <v>61.684615380045642</v>
      </c>
      <c r="U1448" s="158">
        <f t="shared" si="258"/>
        <v>168.23076923076923</v>
      </c>
      <c r="V1448" s="160">
        <f t="shared" si="259"/>
        <v>168</v>
      </c>
    </row>
    <row r="1449" spans="1:22" x14ac:dyDescent="0.25">
      <c r="A1449" s="98" t="s">
        <v>27</v>
      </c>
      <c r="B1449" s="98" t="s">
        <v>17</v>
      </c>
      <c r="C1449" s="98">
        <v>34</v>
      </c>
      <c r="D1449" s="98">
        <v>340</v>
      </c>
      <c r="E1449" s="157">
        <v>42594.431944444441</v>
      </c>
      <c r="F1449" s="157">
        <v>42594.75</v>
      </c>
      <c r="G1449" s="98">
        <v>460</v>
      </c>
      <c r="H1449" s="98">
        <v>520</v>
      </c>
      <c r="I1449" s="98">
        <v>486</v>
      </c>
      <c r="J1449" s="98" t="s">
        <v>1970</v>
      </c>
      <c r="K1449" s="98" t="s">
        <v>4127</v>
      </c>
      <c r="L1449" s="105" t="str">
        <f t="shared" si="250"/>
        <v>Ghent</v>
      </c>
      <c r="M1449" s="105" t="str">
        <f t="shared" si="251"/>
        <v>Derate</v>
      </c>
      <c r="N1449" s="105" t="str">
        <f t="shared" si="252"/>
        <v>Coal</v>
      </c>
      <c r="O1449" s="105">
        <f>IFERROR(VLOOKUP(A1449,Lookup!$J$5:$P$19,7,FALSE),0)</f>
        <v>3</v>
      </c>
      <c r="P1449" s="159">
        <f t="shared" si="253"/>
        <v>2016</v>
      </c>
      <c r="Q1449" s="159">
        <f t="shared" si="254"/>
        <v>8</v>
      </c>
      <c r="R1449" s="160">
        <f t="shared" si="255"/>
        <v>7.6333333334187046</v>
      </c>
      <c r="S1449" s="158">
        <f t="shared" si="256"/>
        <v>0.88076923077908131</v>
      </c>
      <c r="T1449" s="161">
        <f t="shared" si="257"/>
        <v>428.05384615863352</v>
      </c>
      <c r="U1449" s="158">
        <f t="shared" si="258"/>
        <v>56.07692307692308</v>
      </c>
      <c r="V1449" s="160">
        <f t="shared" si="259"/>
        <v>56</v>
      </c>
    </row>
    <row r="1450" spans="1:22" x14ac:dyDescent="0.25">
      <c r="A1450" s="98" t="s">
        <v>27</v>
      </c>
      <c r="B1450" s="98" t="s">
        <v>17</v>
      </c>
      <c r="C1450" s="98">
        <v>35</v>
      </c>
      <c r="D1450" s="98">
        <v>1480</v>
      </c>
      <c r="E1450" s="157">
        <v>42615.893055555556</v>
      </c>
      <c r="F1450" s="157">
        <v>42616.225694444445</v>
      </c>
      <c r="G1450" s="98">
        <v>219</v>
      </c>
      <c r="H1450" s="98">
        <v>520</v>
      </c>
      <c r="I1450" s="98">
        <v>486</v>
      </c>
      <c r="J1450" s="98" t="s">
        <v>1972</v>
      </c>
      <c r="K1450" s="98" t="s">
        <v>4128</v>
      </c>
      <c r="L1450" s="105" t="str">
        <f t="shared" si="250"/>
        <v>Ghent</v>
      </c>
      <c r="M1450" s="105" t="str">
        <f t="shared" si="251"/>
        <v>Derate</v>
      </c>
      <c r="N1450" s="105" t="str">
        <f t="shared" si="252"/>
        <v>Coal</v>
      </c>
      <c r="O1450" s="105">
        <f>IFERROR(VLOOKUP(A1450,Lookup!$J$5:$P$19,7,FALSE),0)</f>
        <v>3</v>
      </c>
      <c r="P1450" s="159">
        <f t="shared" si="253"/>
        <v>2016</v>
      </c>
      <c r="Q1450" s="159">
        <f t="shared" si="254"/>
        <v>9</v>
      </c>
      <c r="R1450" s="160">
        <f t="shared" si="255"/>
        <v>7.9833333333372138</v>
      </c>
      <c r="S1450" s="158">
        <f t="shared" si="256"/>
        <v>4.6211217948740408</v>
      </c>
      <c r="T1450" s="161">
        <f t="shared" si="257"/>
        <v>2245.8651923087837</v>
      </c>
      <c r="U1450" s="158">
        <f t="shared" si="258"/>
        <v>281.31923076923078</v>
      </c>
      <c r="V1450" s="160">
        <f t="shared" si="259"/>
        <v>281</v>
      </c>
    </row>
    <row r="1451" spans="1:22" x14ac:dyDescent="0.25">
      <c r="A1451" s="98" t="s">
        <v>27</v>
      </c>
      <c r="B1451" s="98" t="s">
        <v>17</v>
      </c>
      <c r="C1451" s="98">
        <v>36</v>
      </c>
      <c r="D1451" s="98">
        <v>1480</v>
      </c>
      <c r="E1451" s="157">
        <v>42616.564583333333</v>
      </c>
      <c r="F1451" s="157">
        <v>42616.837500000001</v>
      </c>
      <c r="G1451" s="98">
        <v>250</v>
      </c>
      <c r="H1451" s="98">
        <v>520</v>
      </c>
      <c r="I1451" s="98">
        <v>486</v>
      </c>
      <c r="J1451" s="98" t="s">
        <v>1972</v>
      </c>
      <c r="K1451" s="98" t="s">
        <v>4129</v>
      </c>
      <c r="L1451" s="105" t="str">
        <f t="shared" si="250"/>
        <v>Ghent</v>
      </c>
      <c r="M1451" s="105" t="str">
        <f t="shared" si="251"/>
        <v>Derate</v>
      </c>
      <c r="N1451" s="105" t="str">
        <f t="shared" si="252"/>
        <v>Coal</v>
      </c>
      <c r="O1451" s="105">
        <f>IFERROR(VLOOKUP(A1451,Lookup!$J$5:$P$19,7,FALSE),0)</f>
        <v>3</v>
      </c>
      <c r="P1451" s="159">
        <f t="shared" si="253"/>
        <v>2016</v>
      </c>
      <c r="Q1451" s="159">
        <f t="shared" si="254"/>
        <v>9</v>
      </c>
      <c r="R1451" s="160">
        <f t="shared" si="255"/>
        <v>6.5500000000465661</v>
      </c>
      <c r="S1451" s="158">
        <f t="shared" si="256"/>
        <v>3.400961538485717</v>
      </c>
      <c r="T1451" s="161">
        <f t="shared" si="257"/>
        <v>1652.8673077040585</v>
      </c>
      <c r="U1451" s="158">
        <f t="shared" si="258"/>
        <v>252.34615384615384</v>
      </c>
      <c r="V1451" s="160">
        <f t="shared" si="259"/>
        <v>252</v>
      </c>
    </row>
    <row r="1452" spans="1:22" x14ac:dyDescent="0.25">
      <c r="A1452" s="98" t="s">
        <v>27</v>
      </c>
      <c r="B1452" s="98" t="s">
        <v>17</v>
      </c>
      <c r="C1452" s="98">
        <v>37</v>
      </c>
      <c r="D1452" s="98">
        <v>340</v>
      </c>
      <c r="E1452" s="157">
        <v>42619.376388888886</v>
      </c>
      <c r="F1452" s="157">
        <v>42619.395833333336</v>
      </c>
      <c r="G1452" s="98">
        <v>460</v>
      </c>
      <c r="H1452" s="98">
        <v>520</v>
      </c>
      <c r="I1452" s="98">
        <v>486</v>
      </c>
      <c r="J1452" s="98" t="s">
        <v>1970</v>
      </c>
      <c r="K1452" s="98" t="s">
        <v>4130</v>
      </c>
      <c r="L1452" s="105" t="str">
        <f t="shared" si="250"/>
        <v>Ghent</v>
      </c>
      <c r="M1452" s="105" t="str">
        <f t="shared" si="251"/>
        <v>Derate</v>
      </c>
      <c r="N1452" s="105" t="str">
        <f t="shared" si="252"/>
        <v>Coal</v>
      </c>
      <c r="O1452" s="105">
        <f>IFERROR(VLOOKUP(A1452,Lookup!$J$5:$P$19,7,FALSE),0)</f>
        <v>3</v>
      </c>
      <c r="P1452" s="159">
        <f t="shared" si="253"/>
        <v>2016</v>
      </c>
      <c r="Q1452" s="159">
        <f t="shared" si="254"/>
        <v>9</v>
      </c>
      <c r="R1452" s="160">
        <f t="shared" si="255"/>
        <v>0.46666666679084301</v>
      </c>
      <c r="S1452" s="158">
        <f t="shared" si="256"/>
        <v>5.3846153860481888E-2</v>
      </c>
      <c r="T1452" s="161">
        <f t="shared" si="257"/>
        <v>26.169230776194198</v>
      </c>
      <c r="U1452" s="158">
        <f t="shared" si="258"/>
        <v>56.07692307692308</v>
      </c>
      <c r="V1452" s="160">
        <f t="shared" si="259"/>
        <v>56</v>
      </c>
    </row>
    <row r="1453" spans="1:22" x14ac:dyDescent="0.25">
      <c r="A1453" s="98" t="s">
        <v>27</v>
      </c>
      <c r="B1453" s="98" t="s">
        <v>32</v>
      </c>
      <c r="C1453" s="98">
        <v>38</v>
      </c>
      <c r="D1453" s="98">
        <v>390</v>
      </c>
      <c r="E1453" s="157">
        <v>42619.931250000001</v>
      </c>
      <c r="F1453" s="157">
        <v>42620.282638888886</v>
      </c>
      <c r="G1453" s="98">
        <v>460</v>
      </c>
      <c r="H1453" s="98">
        <v>520</v>
      </c>
      <c r="I1453" s="98">
        <v>486</v>
      </c>
      <c r="J1453" s="98" t="s">
        <v>2388</v>
      </c>
      <c r="K1453" s="98" t="s">
        <v>4131</v>
      </c>
      <c r="L1453" s="105" t="str">
        <f t="shared" si="250"/>
        <v>Ghent</v>
      </c>
      <c r="M1453" s="105" t="str">
        <f t="shared" si="251"/>
        <v>Derate</v>
      </c>
      <c r="N1453" s="105" t="str">
        <f t="shared" si="252"/>
        <v>Coal</v>
      </c>
      <c r="O1453" s="105">
        <f>IFERROR(VLOOKUP(A1453,Lookup!$J$5:$P$19,7,FALSE),0)</f>
        <v>3</v>
      </c>
      <c r="P1453" s="159">
        <f t="shared" si="253"/>
        <v>2016</v>
      </c>
      <c r="Q1453" s="159">
        <f t="shared" si="254"/>
        <v>9</v>
      </c>
      <c r="R1453" s="160">
        <f t="shared" si="255"/>
        <v>8.4333333332324401</v>
      </c>
      <c r="S1453" s="158">
        <f t="shared" si="256"/>
        <v>0.9730769230652816</v>
      </c>
      <c r="T1453" s="161">
        <f t="shared" si="257"/>
        <v>472.91538460972686</v>
      </c>
      <c r="U1453" s="158">
        <f t="shared" si="258"/>
        <v>56.07692307692308</v>
      </c>
      <c r="V1453" s="160">
        <f t="shared" si="259"/>
        <v>56</v>
      </c>
    </row>
    <row r="1454" spans="1:22" x14ac:dyDescent="0.25">
      <c r="A1454" s="98" t="s">
        <v>27</v>
      </c>
      <c r="B1454" s="98" t="s">
        <v>32</v>
      </c>
      <c r="C1454" s="98">
        <v>39</v>
      </c>
      <c r="D1454" s="98">
        <v>1470</v>
      </c>
      <c r="E1454" s="157">
        <v>42622.958333333336</v>
      </c>
      <c r="F1454" s="157">
        <v>42623.121527777781</v>
      </c>
      <c r="G1454" s="98">
        <v>200</v>
      </c>
      <c r="H1454" s="98">
        <v>520</v>
      </c>
      <c r="I1454" s="98">
        <v>486</v>
      </c>
      <c r="J1454" s="98" t="s">
        <v>2005</v>
      </c>
      <c r="K1454" s="98" t="s">
        <v>4132</v>
      </c>
      <c r="L1454" s="105" t="str">
        <f t="shared" si="250"/>
        <v>Ghent</v>
      </c>
      <c r="M1454" s="105" t="str">
        <f t="shared" si="251"/>
        <v>Derate</v>
      </c>
      <c r="N1454" s="105" t="str">
        <f t="shared" si="252"/>
        <v>Coal</v>
      </c>
      <c r="O1454" s="105">
        <f>IFERROR(VLOOKUP(A1454,Lookup!$J$5:$P$19,7,FALSE),0)</f>
        <v>3</v>
      </c>
      <c r="P1454" s="159">
        <f t="shared" si="253"/>
        <v>2016</v>
      </c>
      <c r="Q1454" s="159">
        <f t="shared" si="254"/>
        <v>9</v>
      </c>
      <c r="R1454" s="160">
        <f t="shared" si="255"/>
        <v>3.9166666666860692</v>
      </c>
      <c r="S1454" s="158">
        <f t="shared" si="256"/>
        <v>2.4102564102683504</v>
      </c>
      <c r="T1454" s="161">
        <f t="shared" si="257"/>
        <v>1171.3846153904183</v>
      </c>
      <c r="U1454" s="158">
        <f t="shared" si="258"/>
        <v>299.07692307692309</v>
      </c>
      <c r="V1454" s="160">
        <f t="shared" si="259"/>
        <v>299</v>
      </c>
    </row>
    <row r="1455" spans="1:22" x14ac:dyDescent="0.25">
      <c r="A1455" s="98" t="s">
        <v>27</v>
      </c>
      <c r="B1455" s="98" t="s">
        <v>17</v>
      </c>
      <c r="C1455" s="98">
        <v>40</v>
      </c>
      <c r="D1455" s="98">
        <v>320</v>
      </c>
      <c r="E1455" s="157">
        <v>42626.62222222222</v>
      </c>
      <c r="F1455" s="157">
        <v>42626.722916666666</v>
      </c>
      <c r="G1455" s="98">
        <v>450</v>
      </c>
      <c r="H1455" s="98">
        <v>520</v>
      </c>
      <c r="I1455" s="98">
        <v>486</v>
      </c>
      <c r="J1455" s="98" t="s">
        <v>1992</v>
      </c>
      <c r="K1455" s="98" t="s">
        <v>4133</v>
      </c>
      <c r="L1455" s="105" t="str">
        <f t="shared" si="250"/>
        <v>Ghent</v>
      </c>
      <c r="M1455" s="105" t="str">
        <f t="shared" si="251"/>
        <v>Derate</v>
      </c>
      <c r="N1455" s="105" t="str">
        <f t="shared" si="252"/>
        <v>Coal</v>
      </c>
      <c r="O1455" s="105">
        <f>IFERROR(VLOOKUP(A1455,Lookup!$J$5:$P$19,7,FALSE),0)</f>
        <v>3</v>
      </c>
      <c r="P1455" s="159">
        <f t="shared" si="253"/>
        <v>2016</v>
      </c>
      <c r="Q1455" s="159">
        <f t="shared" si="254"/>
        <v>9</v>
      </c>
      <c r="R1455" s="160">
        <f t="shared" si="255"/>
        <v>2.4166666666860692</v>
      </c>
      <c r="S1455" s="158">
        <f t="shared" si="256"/>
        <v>0.32532051282312469</v>
      </c>
      <c r="T1455" s="161">
        <f t="shared" si="257"/>
        <v>158.1057692320386</v>
      </c>
      <c r="U1455" s="158">
        <f t="shared" si="258"/>
        <v>65.42307692307692</v>
      </c>
      <c r="V1455" s="160">
        <f t="shared" si="259"/>
        <v>65</v>
      </c>
    </row>
    <row r="1456" spans="1:22" x14ac:dyDescent="0.25">
      <c r="A1456" s="98" t="s">
        <v>27</v>
      </c>
      <c r="B1456" s="98" t="s">
        <v>38</v>
      </c>
      <c r="C1456" s="98">
        <v>42</v>
      </c>
      <c r="D1456" s="98">
        <v>1801</v>
      </c>
      <c r="E1456" s="157">
        <v>42641.216666666667</v>
      </c>
      <c r="F1456" s="157">
        <v>42666.712500000001</v>
      </c>
      <c r="G1456" s="98">
        <v>0</v>
      </c>
      <c r="H1456" s="98">
        <v>520</v>
      </c>
      <c r="I1456" s="98">
        <v>486</v>
      </c>
      <c r="J1456" s="98" t="s">
        <v>2021</v>
      </c>
      <c r="K1456" s="98" t="s">
        <v>4134</v>
      </c>
      <c r="L1456" s="105" t="str">
        <f t="shared" si="250"/>
        <v>Ghent</v>
      </c>
      <c r="M1456" s="105" t="str">
        <f t="shared" si="251"/>
        <v>Other</v>
      </c>
      <c r="N1456" s="105" t="str">
        <f t="shared" si="252"/>
        <v>Coal</v>
      </c>
      <c r="O1456" s="105">
        <f>IFERROR(VLOOKUP(A1456,Lookup!$J$5:$P$19,7,FALSE),0)</f>
        <v>3</v>
      </c>
      <c r="P1456" s="159">
        <f t="shared" si="253"/>
        <v>2016</v>
      </c>
      <c r="Q1456" s="159">
        <f t="shared" si="254"/>
        <v>9</v>
      </c>
      <c r="R1456" s="160">
        <f t="shared" si="255"/>
        <v>611.90000000002328</v>
      </c>
      <c r="S1456" s="158">
        <f t="shared" si="256"/>
        <v>611.90000000002328</v>
      </c>
      <c r="T1456" s="161">
        <f t="shared" si="257"/>
        <v>297383.40000001132</v>
      </c>
      <c r="U1456" s="158">
        <f t="shared" si="258"/>
        <v>486</v>
      </c>
      <c r="V1456" s="160">
        <f t="shared" si="259"/>
        <v>486</v>
      </c>
    </row>
    <row r="1457" spans="1:22" x14ac:dyDescent="0.25">
      <c r="A1457" s="98" t="s">
        <v>27</v>
      </c>
      <c r="B1457" s="98" t="s">
        <v>15</v>
      </c>
      <c r="C1457" s="98">
        <v>43</v>
      </c>
      <c r="D1457" s="98">
        <v>9930</v>
      </c>
      <c r="E1457" s="157">
        <v>42667.352083333331</v>
      </c>
      <c r="F1457" s="157">
        <v>42667.828472222223</v>
      </c>
      <c r="G1457" s="98">
        <v>0</v>
      </c>
      <c r="H1457" s="98">
        <v>520</v>
      </c>
      <c r="I1457" s="98">
        <v>486</v>
      </c>
      <c r="J1457" s="98" t="s">
        <v>2639</v>
      </c>
      <c r="K1457" s="98" t="s">
        <v>4135</v>
      </c>
      <c r="L1457" s="105" t="str">
        <f t="shared" si="250"/>
        <v>Ghent</v>
      </c>
      <c r="M1457" s="105" t="str">
        <f t="shared" si="251"/>
        <v>Outage</v>
      </c>
      <c r="N1457" s="105" t="str">
        <f t="shared" si="252"/>
        <v>Coal</v>
      </c>
      <c r="O1457" s="105">
        <f>IFERROR(VLOOKUP(A1457,Lookup!$J$5:$P$19,7,FALSE),0)</f>
        <v>3</v>
      </c>
      <c r="P1457" s="159">
        <f t="shared" si="253"/>
        <v>2016</v>
      </c>
      <c r="Q1457" s="159">
        <f t="shared" si="254"/>
        <v>10</v>
      </c>
      <c r="R1457" s="160">
        <f t="shared" si="255"/>
        <v>11.433333333407063</v>
      </c>
      <c r="S1457" s="158">
        <f t="shared" si="256"/>
        <v>11.433333333407063</v>
      </c>
      <c r="T1457" s="161">
        <f t="shared" si="257"/>
        <v>5556.6000000358326</v>
      </c>
      <c r="U1457" s="158">
        <f t="shared" si="258"/>
        <v>486</v>
      </c>
      <c r="V1457" s="160">
        <f t="shared" si="259"/>
        <v>486</v>
      </c>
    </row>
    <row r="1458" spans="1:22" x14ac:dyDescent="0.25">
      <c r="A1458" s="98" t="s">
        <v>27</v>
      </c>
      <c r="B1458" s="98" t="s">
        <v>20</v>
      </c>
      <c r="C1458" s="98">
        <v>44</v>
      </c>
      <c r="D1458" s="98">
        <v>1488</v>
      </c>
      <c r="E1458" s="157">
        <v>42669.96597222222</v>
      </c>
      <c r="F1458" s="157">
        <v>42672.092361111114</v>
      </c>
      <c r="G1458" s="98">
        <v>0</v>
      </c>
      <c r="H1458" s="98">
        <v>520</v>
      </c>
      <c r="I1458" s="98">
        <v>486</v>
      </c>
      <c r="J1458" s="98" t="s">
        <v>2284</v>
      </c>
      <c r="K1458" s="98" t="s">
        <v>4136</v>
      </c>
      <c r="L1458" s="105" t="str">
        <f t="shared" si="250"/>
        <v>Ghent</v>
      </c>
      <c r="M1458" s="105" t="str">
        <f t="shared" si="251"/>
        <v>Maintenance</v>
      </c>
      <c r="N1458" s="105" t="str">
        <f t="shared" si="252"/>
        <v>Coal</v>
      </c>
      <c r="O1458" s="105">
        <f>IFERROR(VLOOKUP(A1458,Lookup!$J$5:$P$19,7,FALSE),0)</f>
        <v>3</v>
      </c>
      <c r="P1458" s="159">
        <f t="shared" si="253"/>
        <v>2016</v>
      </c>
      <c r="Q1458" s="159">
        <f t="shared" si="254"/>
        <v>10</v>
      </c>
      <c r="R1458" s="160">
        <f t="shared" si="255"/>
        <v>51.033333333441988</v>
      </c>
      <c r="S1458" s="158">
        <f t="shared" si="256"/>
        <v>51.033333333441988</v>
      </c>
      <c r="T1458" s="161">
        <f t="shared" si="257"/>
        <v>24802.200000052806</v>
      </c>
      <c r="U1458" s="158">
        <f t="shared" si="258"/>
        <v>486</v>
      </c>
      <c r="V1458" s="160">
        <f t="shared" si="259"/>
        <v>486</v>
      </c>
    </row>
    <row r="1459" spans="1:22" x14ac:dyDescent="0.25">
      <c r="A1459" s="98" t="s">
        <v>27</v>
      </c>
      <c r="B1459" s="98" t="s">
        <v>17</v>
      </c>
      <c r="C1459" s="98">
        <v>45</v>
      </c>
      <c r="D1459" s="98">
        <v>340</v>
      </c>
      <c r="E1459" s="157">
        <v>42691.06527777778</v>
      </c>
      <c r="F1459" s="157">
        <v>42691.22152777778</v>
      </c>
      <c r="G1459" s="98">
        <v>450</v>
      </c>
      <c r="H1459" s="98">
        <v>520</v>
      </c>
      <c r="I1459" s="98">
        <v>486</v>
      </c>
      <c r="J1459" s="98" t="s">
        <v>1970</v>
      </c>
      <c r="K1459" s="98" t="s">
        <v>4137</v>
      </c>
      <c r="L1459" s="105" t="str">
        <f t="shared" si="250"/>
        <v>Ghent</v>
      </c>
      <c r="M1459" s="105" t="str">
        <f t="shared" si="251"/>
        <v>Derate</v>
      </c>
      <c r="N1459" s="105" t="str">
        <f t="shared" si="252"/>
        <v>Coal</v>
      </c>
      <c r="O1459" s="105">
        <f>IFERROR(VLOOKUP(A1459,Lookup!$J$5:$P$19,7,FALSE),0)</f>
        <v>3</v>
      </c>
      <c r="P1459" s="159">
        <f t="shared" si="253"/>
        <v>2016</v>
      </c>
      <c r="Q1459" s="159">
        <f t="shared" si="254"/>
        <v>11</v>
      </c>
      <c r="R1459" s="160">
        <f t="shared" si="255"/>
        <v>3.75</v>
      </c>
      <c r="S1459" s="158">
        <f t="shared" si="256"/>
        <v>0.50480769230769229</v>
      </c>
      <c r="T1459" s="161">
        <f t="shared" si="257"/>
        <v>245.33653846153845</v>
      </c>
      <c r="U1459" s="158">
        <f t="shared" si="258"/>
        <v>65.42307692307692</v>
      </c>
      <c r="V1459" s="160">
        <f t="shared" si="259"/>
        <v>65</v>
      </c>
    </row>
    <row r="1460" spans="1:22" x14ac:dyDescent="0.25">
      <c r="A1460" s="98" t="s">
        <v>27</v>
      </c>
      <c r="B1460" s="98" t="s">
        <v>17</v>
      </c>
      <c r="C1460" s="98">
        <v>46</v>
      </c>
      <c r="D1460" s="98">
        <v>340</v>
      </c>
      <c r="E1460" s="157">
        <v>42707.950694444444</v>
      </c>
      <c r="F1460" s="157">
        <v>42708.150694444441</v>
      </c>
      <c r="G1460" s="98">
        <v>460</v>
      </c>
      <c r="H1460" s="98">
        <v>520</v>
      </c>
      <c r="I1460" s="98">
        <v>486</v>
      </c>
      <c r="J1460" s="98" t="s">
        <v>1970</v>
      </c>
      <c r="K1460" s="98" t="s">
        <v>4138</v>
      </c>
      <c r="L1460" s="105" t="str">
        <f t="shared" si="250"/>
        <v>Ghent</v>
      </c>
      <c r="M1460" s="105" t="str">
        <f t="shared" si="251"/>
        <v>Derate</v>
      </c>
      <c r="N1460" s="105" t="str">
        <f t="shared" si="252"/>
        <v>Coal</v>
      </c>
      <c r="O1460" s="105">
        <f>IFERROR(VLOOKUP(A1460,Lookup!$J$5:$P$19,7,FALSE),0)</f>
        <v>3</v>
      </c>
      <c r="P1460" s="159">
        <f t="shared" si="253"/>
        <v>2016</v>
      </c>
      <c r="Q1460" s="159">
        <f t="shared" si="254"/>
        <v>12</v>
      </c>
      <c r="R1460" s="160">
        <f t="shared" si="255"/>
        <v>4.7999999999301508</v>
      </c>
      <c r="S1460" s="158">
        <f t="shared" si="256"/>
        <v>0.55384615383809432</v>
      </c>
      <c r="T1460" s="161">
        <f t="shared" si="257"/>
        <v>269.16923076531384</v>
      </c>
      <c r="U1460" s="158">
        <f t="shared" si="258"/>
        <v>56.07692307692308</v>
      </c>
      <c r="V1460" s="160">
        <f t="shared" si="259"/>
        <v>56</v>
      </c>
    </row>
    <row r="1461" spans="1:22" x14ac:dyDescent="0.25">
      <c r="A1461" s="98" t="s">
        <v>27</v>
      </c>
      <c r="B1461" s="98" t="s">
        <v>17</v>
      </c>
      <c r="C1461" s="98">
        <v>47</v>
      </c>
      <c r="D1461" s="98">
        <v>340</v>
      </c>
      <c r="E1461" s="157">
        <v>42718.179861111108</v>
      </c>
      <c r="F1461" s="157">
        <v>42718.376388888886</v>
      </c>
      <c r="G1461" s="98">
        <v>460</v>
      </c>
      <c r="H1461" s="98">
        <v>520</v>
      </c>
      <c r="I1461" s="98">
        <v>486</v>
      </c>
      <c r="J1461" s="98" t="s">
        <v>1970</v>
      </c>
      <c r="K1461" s="98" t="s">
        <v>4139</v>
      </c>
      <c r="L1461" s="105" t="str">
        <f t="shared" si="250"/>
        <v>Ghent</v>
      </c>
      <c r="M1461" s="105" t="str">
        <f t="shared" si="251"/>
        <v>Derate</v>
      </c>
      <c r="N1461" s="105" t="str">
        <f t="shared" si="252"/>
        <v>Coal</v>
      </c>
      <c r="O1461" s="105">
        <f>IFERROR(VLOOKUP(A1461,Lookup!$J$5:$P$19,7,FALSE),0)</f>
        <v>3</v>
      </c>
      <c r="P1461" s="159">
        <f t="shared" si="253"/>
        <v>2016</v>
      </c>
      <c r="Q1461" s="159">
        <f t="shared" si="254"/>
        <v>12</v>
      </c>
      <c r="R1461" s="160">
        <f t="shared" si="255"/>
        <v>4.7166666666744277</v>
      </c>
      <c r="S1461" s="158">
        <f t="shared" si="256"/>
        <v>0.54423076923166469</v>
      </c>
      <c r="T1461" s="161">
        <f t="shared" si="257"/>
        <v>264.49615384658904</v>
      </c>
      <c r="U1461" s="158">
        <f t="shared" si="258"/>
        <v>56.07692307692308</v>
      </c>
      <c r="V1461" s="160">
        <f t="shared" si="259"/>
        <v>56</v>
      </c>
    </row>
    <row r="1462" spans="1:22" x14ac:dyDescent="0.25">
      <c r="A1462" s="98" t="s">
        <v>27</v>
      </c>
      <c r="B1462" s="98" t="s">
        <v>20</v>
      </c>
      <c r="C1462" s="98">
        <v>1</v>
      </c>
      <c r="D1462" s="98">
        <v>3110</v>
      </c>
      <c r="E1462" s="157">
        <v>42760.411805555559</v>
      </c>
      <c r="F1462" s="157">
        <v>42761.270138888889</v>
      </c>
      <c r="G1462" s="98">
        <v>0</v>
      </c>
      <c r="H1462" s="98">
        <v>520</v>
      </c>
      <c r="I1462" s="98">
        <v>486</v>
      </c>
      <c r="J1462" s="98" t="s">
        <v>2119</v>
      </c>
      <c r="K1462" s="98" t="s">
        <v>4140</v>
      </c>
      <c r="L1462" s="105" t="str">
        <f t="shared" si="250"/>
        <v>Ghent</v>
      </c>
      <c r="M1462" s="105" t="str">
        <f t="shared" si="251"/>
        <v>Maintenance</v>
      </c>
      <c r="N1462" s="105" t="str">
        <f t="shared" si="252"/>
        <v>Coal</v>
      </c>
      <c r="O1462" s="105">
        <f>IFERROR(VLOOKUP(A1462,Lookup!$J$5:$P$19,7,FALSE),0)</f>
        <v>3</v>
      </c>
      <c r="P1462" s="159">
        <f t="shared" si="253"/>
        <v>2017</v>
      </c>
      <c r="Q1462" s="159">
        <f t="shared" si="254"/>
        <v>1</v>
      </c>
      <c r="R1462" s="160">
        <f t="shared" si="255"/>
        <v>20.599999999918509</v>
      </c>
      <c r="S1462" s="158">
        <f t="shared" si="256"/>
        <v>20.599999999918509</v>
      </c>
      <c r="T1462" s="161">
        <f t="shared" si="257"/>
        <v>10011.599999960396</v>
      </c>
      <c r="U1462" s="158">
        <f t="shared" si="258"/>
        <v>486</v>
      </c>
      <c r="V1462" s="160">
        <f t="shared" si="259"/>
        <v>486</v>
      </c>
    </row>
    <row r="1463" spans="1:22" x14ac:dyDescent="0.25">
      <c r="A1463" s="98" t="s">
        <v>27</v>
      </c>
      <c r="B1463" s="98" t="s">
        <v>17</v>
      </c>
      <c r="C1463" s="98">
        <v>2</v>
      </c>
      <c r="D1463" s="98">
        <v>1850</v>
      </c>
      <c r="E1463" s="157">
        <v>42761.603472222225</v>
      </c>
      <c r="F1463" s="157">
        <v>42761.791666666664</v>
      </c>
      <c r="G1463" s="98">
        <v>455</v>
      </c>
      <c r="H1463" s="98">
        <v>520</v>
      </c>
      <c r="I1463" s="98">
        <v>486</v>
      </c>
      <c r="J1463" s="98" t="s">
        <v>2263</v>
      </c>
      <c r="K1463" s="98" t="s">
        <v>4141</v>
      </c>
      <c r="L1463" s="105" t="str">
        <f t="shared" si="250"/>
        <v>Ghent</v>
      </c>
      <c r="M1463" s="105" t="str">
        <f t="shared" si="251"/>
        <v>Derate</v>
      </c>
      <c r="N1463" s="105" t="str">
        <f t="shared" si="252"/>
        <v>Coal</v>
      </c>
      <c r="O1463" s="105">
        <f>IFERROR(VLOOKUP(A1463,Lookup!$J$5:$P$19,7,FALSE),0)</f>
        <v>3</v>
      </c>
      <c r="P1463" s="159">
        <f t="shared" si="253"/>
        <v>2017</v>
      </c>
      <c r="Q1463" s="159">
        <f t="shared" si="254"/>
        <v>1</v>
      </c>
      <c r="R1463" s="160">
        <f t="shared" si="255"/>
        <v>4.5166666665463708</v>
      </c>
      <c r="S1463" s="158">
        <f t="shared" si="256"/>
        <v>0.56458333331829635</v>
      </c>
      <c r="T1463" s="161">
        <f t="shared" si="257"/>
        <v>274.38749999269203</v>
      </c>
      <c r="U1463" s="158">
        <f t="shared" si="258"/>
        <v>60.75</v>
      </c>
      <c r="V1463" s="160">
        <f t="shared" si="259"/>
        <v>61</v>
      </c>
    </row>
    <row r="1464" spans="1:22" x14ac:dyDescent="0.25">
      <c r="A1464" s="98" t="s">
        <v>27</v>
      </c>
      <c r="B1464" s="98" t="s">
        <v>17</v>
      </c>
      <c r="C1464" s="98">
        <v>3</v>
      </c>
      <c r="D1464" s="98">
        <v>340</v>
      </c>
      <c r="E1464" s="157">
        <v>42765.238888888889</v>
      </c>
      <c r="F1464" s="157">
        <v>42765.260416666664</v>
      </c>
      <c r="G1464" s="98">
        <v>470</v>
      </c>
      <c r="H1464" s="98">
        <v>520</v>
      </c>
      <c r="I1464" s="98">
        <v>486</v>
      </c>
      <c r="J1464" s="98" t="s">
        <v>1970</v>
      </c>
      <c r="K1464" s="98" t="s">
        <v>4142</v>
      </c>
      <c r="L1464" s="105" t="str">
        <f t="shared" si="250"/>
        <v>Ghent</v>
      </c>
      <c r="M1464" s="105" t="str">
        <f t="shared" si="251"/>
        <v>Derate</v>
      </c>
      <c r="N1464" s="105" t="str">
        <f t="shared" si="252"/>
        <v>Coal</v>
      </c>
      <c r="O1464" s="105">
        <f>IFERROR(VLOOKUP(A1464,Lookup!$J$5:$P$19,7,FALSE),0)</f>
        <v>3</v>
      </c>
      <c r="P1464" s="159">
        <f t="shared" si="253"/>
        <v>2017</v>
      </c>
      <c r="Q1464" s="159">
        <f t="shared" si="254"/>
        <v>1</v>
      </c>
      <c r="R1464" s="160">
        <f t="shared" si="255"/>
        <v>0.5166666666045785</v>
      </c>
      <c r="S1464" s="158">
        <f t="shared" si="256"/>
        <v>4.967948717351716E-2</v>
      </c>
      <c r="T1464" s="161">
        <f t="shared" si="257"/>
        <v>24.14423076632934</v>
      </c>
      <c r="U1464" s="158">
        <f t="shared" si="258"/>
        <v>46.730769230769234</v>
      </c>
      <c r="V1464" s="160">
        <f t="shared" si="259"/>
        <v>47</v>
      </c>
    </row>
    <row r="1465" spans="1:22" x14ac:dyDescent="0.25">
      <c r="A1465" s="98" t="s">
        <v>27</v>
      </c>
      <c r="B1465" s="98" t="s">
        <v>17</v>
      </c>
      <c r="C1465" s="98">
        <v>4</v>
      </c>
      <c r="D1465" s="98">
        <v>3410</v>
      </c>
      <c r="E1465" s="157">
        <v>42767.279166666667</v>
      </c>
      <c r="F1465" s="157">
        <v>42767.289583333331</v>
      </c>
      <c r="G1465" s="98">
        <v>350</v>
      </c>
      <c r="H1465" s="98">
        <v>520</v>
      </c>
      <c r="I1465" s="98">
        <v>486</v>
      </c>
      <c r="J1465" s="98" t="s">
        <v>1983</v>
      </c>
      <c r="K1465" s="98" t="s">
        <v>4143</v>
      </c>
      <c r="L1465" s="105" t="str">
        <f t="shared" si="250"/>
        <v>Ghent</v>
      </c>
      <c r="M1465" s="105" t="str">
        <f t="shared" si="251"/>
        <v>Derate</v>
      </c>
      <c r="N1465" s="105" t="str">
        <f t="shared" si="252"/>
        <v>Coal</v>
      </c>
      <c r="O1465" s="105">
        <f>IFERROR(VLOOKUP(A1465,Lookup!$J$5:$P$19,7,FALSE),0)</f>
        <v>3</v>
      </c>
      <c r="P1465" s="159">
        <f t="shared" si="253"/>
        <v>2017</v>
      </c>
      <c r="Q1465" s="159">
        <f t="shared" si="254"/>
        <v>2</v>
      </c>
      <c r="R1465" s="160">
        <f t="shared" si="255"/>
        <v>0.24999999994179234</v>
      </c>
      <c r="S1465" s="158">
        <f t="shared" si="256"/>
        <v>8.1730769211739801E-2</v>
      </c>
      <c r="T1465" s="161">
        <f t="shared" si="257"/>
        <v>39.721153836905543</v>
      </c>
      <c r="U1465" s="158">
        <f t="shared" si="258"/>
        <v>158.88461538461539</v>
      </c>
      <c r="V1465" s="160">
        <f t="shared" si="259"/>
        <v>159</v>
      </c>
    </row>
    <row r="1466" spans="1:22" x14ac:dyDescent="0.25">
      <c r="A1466" s="98" t="s">
        <v>27</v>
      </c>
      <c r="B1466" s="98" t="s">
        <v>20</v>
      </c>
      <c r="C1466" s="98">
        <v>5</v>
      </c>
      <c r="D1466" s="98">
        <v>3210</v>
      </c>
      <c r="E1466" s="157">
        <v>42784.478472222225</v>
      </c>
      <c r="F1466" s="157">
        <v>42785.180555555555</v>
      </c>
      <c r="G1466" s="98">
        <v>0</v>
      </c>
      <c r="H1466" s="98">
        <v>520</v>
      </c>
      <c r="I1466" s="98">
        <v>486</v>
      </c>
      <c r="J1466" s="98" t="s">
        <v>2048</v>
      </c>
      <c r="K1466" s="98" t="s">
        <v>4144</v>
      </c>
      <c r="L1466" s="105" t="str">
        <f t="shared" si="250"/>
        <v>Ghent</v>
      </c>
      <c r="M1466" s="105" t="str">
        <f t="shared" si="251"/>
        <v>Maintenance</v>
      </c>
      <c r="N1466" s="105" t="str">
        <f t="shared" si="252"/>
        <v>Coal</v>
      </c>
      <c r="O1466" s="105">
        <f>IFERROR(VLOOKUP(A1466,Lookup!$J$5:$P$19,7,FALSE),0)</f>
        <v>3</v>
      </c>
      <c r="P1466" s="159">
        <f t="shared" si="253"/>
        <v>2017</v>
      </c>
      <c r="Q1466" s="159">
        <f t="shared" si="254"/>
        <v>2</v>
      </c>
      <c r="R1466" s="160">
        <f t="shared" si="255"/>
        <v>16.849999999918509</v>
      </c>
      <c r="S1466" s="158">
        <f t="shared" si="256"/>
        <v>16.849999999918509</v>
      </c>
      <c r="T1466" s="161">
        <f t="shared" si="257"/>
        <v>8189.0999999603955</v>
      </c>
      <c r="U1466" s="158">
        <f t="shared" si="258"/>
        <v>486</v>
      </c>
      <c r="V1466" s="160">
        <f t="shared" si="259"/>
        <v>486</v>
      </c>
    </row>
    <row r="1467" spans="1:22" x14ac:dyDescent="0.25">
      <c r="A1467" s="98" t="s">
        <v>27</v>
      </c>
      <c r="B1467" s="98" t="s">
        <v>17</v>
      </c>
      <c r="C1467" s="98">
        <v>6</v>
      </c>
      <c r="D1467" s="98">
        <v>1850</v>
      </c>
      <c r="E1467" s="157">
        <v>42785.666666666664</v>
      </c>
      <c r="F1467" s="157">
        <v>42785.79583333333</v>
      </c>
      <c r="G1467" s="98">
        <v>477</v>
      </c>
      <c r="H1467" s="98">
        <v>520</v>
      </c>
      <c r="I1467" s="98">
        <v>486</v>
      </c>
      <c r="J1467" s="98" t="s">
        <v>2263</v>
      </c>
      <c r="K1467" s="98" t="s">
        <v>4145</v>
      </c>
      <c r="L1467" s="105" t="str">
        <f t="shared" si="250"/>
        <v>Ghent</v>
      </c>
      <c r="M1467" s="105" t="str">
        <f t="shared" si="251"/>
        <v>Derate</v>
      </c>
      <c r="N1467" s="105" t="str">
        <f t="shared" si="252"/>
        <v>Coal</v>
      </c>
      <c r="O1467" s="105">
        <f>IFERROR(VLOOKUP(A1467,Lookup!$J$5:$P$19,7,FALSE),0)</f>
        <v>3</v>
      </c>
      <c r="P1467" s="159">
        <f t="shared" si="253"/>
        <v>2017</v>
      </c>
      <c r="Q1467" s="159">
        <f t="shared" si="254"/>
        <v>2</v>
      </c>
      <c r="R1467" s="160">
        <f t="shared" si="255"/>
        <v>3.0999999999767169</v>
      </c>
      <c r="S1467" s="158">
        <f t="shared" si="256"/>
        <v>0.25634615384422854</v>
      </c>
      <c r="T1467" s="161">
        <f t="shared" si="257"/>
        <v>124.58423076829507</v>
      </c>
      <c r="U1467" s="158">
        <f t="shared" si="258"/>
        <v>40.188461538461539</v>
      </c>
      <c r="V1467" s="160">
        <f t="shared" si="259"/>
        <v>40</v>
      </c>
    </row>
    <row r="1468" spans="1:22" x14ac:dyDescent="0.25">
      <c r="A1468" s="98" t="s">
        <v>27</v>
      </c>
      <c r="B1468" s="98" t="s">
        <v>20</v>
      </c>
      <c r="C1468" s="98">
        <v>7</v>
      </c>
      <c r="D1468" s="98">
        <v>3110</v>
      </c>
      <c r="E1468" s="157">
        <v>42798.45416666667</v>
      </c>
      <c r="F1468" s="157">
        <v>42799.441666666666</v>
      </c>
      <c r="G1468" s="98">
        <v>0</v>
      </c>
      <c r="H1468" s="98">
        <v>520</v>
      </c>
      <c r="I1468" s="98">
        <v>486</v>
      </c>
      <c r="J1468" s="98" t="s">
        <v>2119</v>
      </c>
      <c r="K1468" s="98" t="s">
        <v>4146</v>
      </c>
      <c r="L1468" s="105" t="str">
        <f t="shared" si="250"/>
        <v>Ghent</v>
      </c>
      <c r="M1468" s="105" t="str">
        <f t="shared" si="251"/>
        <v>Maintenance</v>
      </c>
      <c r="N1468" s="105" t="str">
        <f t="shared" si="252"/>
        <v>Coal</v>
      </c>
      <c r="O1468" s="105">
        <f>IFERROR(VLOOKUP(A1468,Lookup!$J$5:$P$19,7,FALSE),0)</f>
        <v>3</v>
      </c>
      <c r="P1468" s="159">
        <f t="shared" si="253"/>
        <v>2017</v>
      </c>
      <c r="Q1468" s="159">
        <f t="shared" si="254"/>
        <v>3</v>
      </c>
      <c r="R1468" s="160">
        <f t="shared" si="255"/>
        <v>23.699999999895226</v>
      </c>
      <c r="S1468" s="158">
        <f t="shared" si="256"/>
        <v>23.699999999895226</v>
      </c>
      <c r="T1468" s="161">
        <f t="shared" si="257"/>
        <v>11518.19999994908</v>
      </c>
      <c r="U1468" s="158">
        <f t="shared" si="258"/>
        <v>486</v>
      </c>
      <c r="V1468" s="160">
        <f t="shared" si="259"/>
        <v>486</v>
      </c>
    </row>
    <row r="1469" spans="1:22" x14ac:dyDescent="0.25">
      <c r="A1469" s="98" t="s">
        <v>27</v>
      </c>
      <c r="B1469" s="98" t="s">
        <v>32</v>
      </c>
      <c r="C1469" s="98">
        <v>8</v>
      </c>
      <c r="D1469" s="98">
        <v>344</v>
      </c>
      <c r="E1469" s="157">
        <v>42803.918055555558</v>
      </c>
      <c r="F1469" s="157">
        <v>42803.994444444441</v>
      </c>
      <c r="G1469" s="98">
        <v>450</v>
      </c>
      <c r="H1469" s="98">
        <v>520</v>
      </c>
      <c r="I1469" s="98">
        <v>486</v>
      </c>
      <c r="J1469" s="98" t="s">
        <v>1968</v>
      </c>
      <c r="K1469" s="98" t="s">
        <v>4147</v>
      </c>
      <c r="L1469" s="105" t="str">
        <f t="shared" si="250"/>
        <v>Ghent</v>
      </c>
      <c r="M1469" s="105" t="str">
        <f t="shared" si="251"/>
        <v>Derate</v>
      </c>
      <c r="N1469" s="105" t="str">
        <f t="shared" si="252"/>
        <v>Coal</v>
      </c>
      <c r="O1469" s="105">
        <f>IFERROR(VLOOKUP(A1469,Lookup!$J$5:$P$19,7,FALSE),0)</f>
        <v>3</v>
      </c>
      <c r="P1469" s="159">
        <f t="shared" si="253"/>
        <v>2017</v>
      </c>
      <c r="Q1469" s="159">
        <f t="shared" si="254"/>
        <v>3</v>
      </c>
      <c r="R1469" s="160">
        <f t="shared" si="255"/>
        <v>1.8333333331975155</v>
      </c>
      <c r="S1469" s="158">
        <f t="shared" si="256"/>
        <v>0.24679487177658863</v>
      </c>
      <c r="T1469" s="161">
        <f t="shared" si="257"/>
        <v>119.94230768342207</v>
      </c>
      <c r="U1469" s="158">
        <f t="shared" si="258"/>
        <v>65.42307692307692</v>
      </c>
      <c r="V1469" s="160">
        <f t="shared" si="259"/>
        <v>65</v>
      </c>
    </row>
    <row r="1470" spans="1:22" x14ac:dyDescent="0.25">
      <c r="A1470" s="98" t="s">
        <v>27</v>
      </c>
      <c r="B1470" s="98" t="s">
        <v>17</v>
      </c>
      <c r="C1470" s="98">
        <v>9</v>
      </c>
      <c r="D1470" s="98">
        <v>344</v>
      </c>
      <c r="E1470" s="157">
        <v>42805.071527777778</v>
      </c>
      <c r="F1470" s="157">
        <v>42805.356944444444</v>
      </c>
      <c r="G1470" s="98">
        <v>450</v>
      </c>
      <c r="H1470" s="98">
        <v>520</v>
      </c>
      <c r="I1470" s="98">
        <v>486</v>
      </c>
      <c r="J1470" s="98" t="s">
        <v>1968</v>
      </c>
      <c r="K1470" s="98" t="s">
        <v>4148</v>
      </c>
      <c r="L1470" s="105" t="str">
        <f t="shared" si="250"/>
        <v>Ghent</v>
      </c>
      <c r="M1470" s="105" t="str">
        <f t="shared" si="251"/>
        <v>Derate</v>
      </c>
      <c r="N1470" s="105" t="str">
        <f t="shared" si="252"/>
        <v>Coal</v>
      </c>
      <c r="O1470" s="105">
        <f>IFERROR(VLOOKUP(A1470,Lookup!$J$5:$P$19,7,FALSE),0)</f>
        <v>3</v>
      </c>
      <c r="P1470" s="159">
        <f t="shared" si="253"/>
        <v>2017</v>
      </c>
      <c r="Q1470" s="159">
        <f t="shared" si="254"/>
        <v>3</v>
      </c>
      <c r="R1470" s="160">
        <f t="shared" si="255"/>
        <v>6.8499999999767169</v>
      </c>
      <c r="S1470" s="158">
        <f t="shared" si="256"/>
        <v>0.9221153846122504</v>
      </c>
      <c r="T1470" s="161">
        <f t="shared" si="257"/>
        <v>448.1480769215537</v>
      </c>
      <c r="U1470" s="158">
        <f t="shared" si="258"/>
        <v>65.42307692307692</v>
      </c>
      <c r="V1470" s="160">
        <f t="shared" si="259"/>
        <v>65</v>
      </c>
    </row>
    <row r="1471" spans="1:22" x14ac:dyDescent="0.25">
      <c r="A1471" s="98" t="s">
        <v>27</v>
      </c>
      <c r="B1471" s="98" t="s">
        <v>17</v>
      </c>
      <c r="C1471" s="98">
        <v>10</v>
      </c>
      <c r="D1471" s="98">
        <v>340</v>
      </c>
      <c r="E1471" s="157">
        <v>42825.319444444445</v>
      </c>
      <c r="F1471" s="157">
        <v>42825.468055555553</v>
      </c>
      <c r="G1471" s="98">
        <v>470</v>
      </c>
      <c r="H1471" s="98">
        <v>520</v>
      </c>
      <c r="I1471" s="98">
        <v>486</v>
      </c>
      <c r="J1471" s="98" t="s">
        <v>1970</v>
      </c>
      <c r="K1471" s="98" t="s">
        <v>4149</v>
      </c>
      <c r="L1471" s="105" t="str">
        <f t="shared" si="250"/>
        <v>Ghent</v>
      </c>
      <c r="M1471" s="105" t="str">
        <f t="shared" si="251"/>
        <v>Derate</v>
      </c>
      <c r="N1471" s="105" t="str">
        <f t="shared" si="252"/>
        <v>Coal</v>
      </c>
      <c r="O1471" s="105">
        <f>IFERROR(VLOOKUP(A1471,Lookup!$J$5:$P$19,7,FALSE),0)</f>
        <v>3</v>
      </c>
      <c r="P1471" s="159">
        <f t="shared" si="253"/>
        <v>2017</v>
      </c>
      <c r="Q1471" s="159">
        <f t="shared" si="254"/>
        <v>3</v>
      </c>
      <c r="R1471" s="160">
        <f t="shared" si="255"/>
        <v>3.566666666592937</v>
      </c>
      <c r="S1471" s="158">
        <f t="shared" si="256"/>
        <v>0.34294871794162857</v>
      </c>
      <c r="T1471" s="161">
        <f t="shared" si="257"/>
        <v>166.67307691963148</v>
      </c>
      <c r="U1471" s="158">
        <f t="shared" si="258"/>
        <v>46.730769230769234</v>
      </c>
      <c r="V1471" s="160">
        <f t="shared" si="259"/>
        <v>47</v>
      </c>
    </row>
    <row r="1472" spans="1:22" x14ac:dyDescent="0.25">
      <c r="A1472" s="98" t="s">
        <v>27</v>
      </c>
      <c r="B1472" s="98" t="s">
        <v>20</v>
      </c>
      <c r="C1472" s="98">
        <v>11</v>
      </c>
      <c r="D1472" s="98">
        <v>3110</v>
      </c>
      <c r="E1472" s="157">
        <v>42828.955555555556</v>
      </c>
      <c r="F1472" s="157">
        <v>42829.968055555553</v>
      </c>
      <c r="G1472" s="98">
        <v>0</v>
      </c>
      <c r="H1472" s="98">
        <v>520</v>
      </c>
      <c r="I1472" s="98">
        <v>486</v>
      </c>
      <c r="J1472" s="98" t="s">
        <v>2119</v>
      </c>
      <c r="K1472" s="98" t="s">
        <v>4150</v>
      </c>
      <c r="L1472" s="105" t="str">
        <f t="shared" si="250"/>
        <v>Ghent</v>
      </c>
      <c r="M1472" s="105" t="str">
        <f t="shared" si="251"/>
        <v>Maintenance</v>
      </c>
      <c r="N1472" s="105" t="str">
        <f t="shared" si="252"/>
        <v>Coal</v>
      </c>
      <c r="O1472" s="105">
        <f>IFERROR(VLOOKUP(A1472,Lookup!$J$5:$P$19,7,FALSE),0)</f>
        <v>3</v>
      </c>
      <c r="P1472" s="159">
        <f t="shared" si="253"/>
        <v>2017</v>
      </c>
      <c r="Q1472" s="159">
        <f t="shared" si="254"/>
        <v>4</v>
      </c>
      <c r="R1472" s="160">
        <f t="shared" si="255"/>
        <v>24.299999999930151</v>
      </c>
      <c r="S1472" s="158">
        <f t="shared" si="256"/>
        <v>24.299999999930151</v>
      </c>
      <c r="T1472" s="161">
        <f t="shared" si="257"/>
        <v>11809.799999966053</v>
      </c>
      <c r="U1472" s="158">
        <f t="shared" si="258"/>
        <v>486</v>
      </c>
      <c r="V1472" s="160">
        <f t="shared" si="259"/>
        <v>486</v>
      </c>
    </row>
    <row r="1473" spans="1:22" x14ac:dyDescent="0.25">
      <c r="A1473" s="98" t="s">
        <v>27</v>
      </c>
      <c r="B1473" s="98" t="s">
        <v>15</v>
      </c>
      <c r="C1473" s="98">
        <v>12</v>
      </c>
      <c r="D1473" s="98">
        <v>1000</v>
      </c>
      <c r="E1473" s="157">
        <v>42838.427083333336</v>
      </c>
      <c r="F1473" s="157">
        <v>42839.109027777777</v>
      </c>
      <c r="G1473" s="98">
        <v>0</v>
      </c>
      <c r="H1473" s="98">
        <v>520</v>
      </c>
      <c r="I1473" s="98">
        <v>486</v>
      </c>
      <c r="J1473" s="98" t="s">
        <v>2002</v>
      </c>
      <c r="K1473" s="98" t="s">
        <v>4151</v>
      </c>
      <c r="L1473" s="105" t="str">
        <f t="shared" si="250"/>
        <v>Ghent</v>
      </c>
      <c r="M1473" s="105" t="str">
        <f t="shared" si="251"/>
        <v>Outage</v>
      </c>
      <c r="N1473" s="105" t="str">
        <f t="shared" si="252"/>
        <v>Coal</v>
      </c>
      <c r="O1473" s="105">
        <f>IFERROR(VLOOKUP(A1473,Lookup!$J$5:$P$19,7,FALSE),0)</f>
        <v>3</v>
      </c>
      <c r="P1473" s="159">
        <f t="shared" si="253"/>
        <v>2017</v>
      </c>
      <c r="Q1473" s="159">
        <f t="shared" si="254"/>
        <v>4</v>
      </c>
      <c r="R1473" s="160">
        <f t="shared" si="255"/>
        <v>16.366666666581295</v>
      </c>
      <c r="S1473" s="158">
        <f t="shared" si="256"/>
        <v>16.366666666581295</v>
      </c>
      <c r="T1473" s="161">
        <f t="shared" si="257"/>
        <v>7954.1999999585096</v>
      </c>
      <c r="U1473" s="158">
        <f t="shared" si="258"/>
        <v>486</v>
      </c>
      <c r="V1473" s="160">
        <f t="shared" si="259"/>
        <v>486</v>
      </c>
    </row>
    <row r="1474" spans="1:22" x14ac:dyDescent="0.25">
      <c r="A1474" s="98" t="s">
        <v>27</v>
      </c>
      <c r="B1474" s="98" t="s">
        <v>20</v>
      </c>
      <c r="C1474" s="98">
        <v>13</v>
      </c>
      <c r="D1474" s="98">
        <v>3110</v>
      </c>
      <c r="E1474" s="157">
        <v>42860.901388888888</v>
      </c>
      <c r="F1474" s="157">
        <v>42861.611111111109</v>
      </c>
      <c r="G1474" s="98">
        <v>0</v>
      </c>
      <c r="H1474" s="98">
        <v>520</v>
      </c>
      <c r="I1474" s="98">
        <v>486</v>
      </c>
      <c r="J1474" s="98" t="s">
        <v>2119</v>
      </c>
      <c r="K1474" s="98" t="s">
        <v>4152</v>
      </c>
      <c r="L1474" s="105" t="str">
        <f t="shared" si="250"/>
        <v>Ghent</v>
      </c>
      <c r="M1474" s="105" t="str">
        <f t="shared" si="251"/>
        <v>Maintenance</v>
      </c>
      <c r="N1474" s="105" t="str">
        <f t="shared" si="252"/>
        <v>Coal</v>
      </c>
      <c r="O1474" s="105">
        <f>IFERROR(VLOOKUP(A1474,Lookup!$J$5:$P$19,7,FALSE),0)</f>
        <v>3</v>
      </c>
      <c r="P1474" s="159">
        <f t="shared" si="253"/>
        <v>2017</v>
      </c>
      <c r="Q1474" s="159">
        <f t="shared" si="254"/>
        <v>5</v>
      </c>
      <c r="R1474" s="160">
        <f t="shared" si="255"/>
        <v>17.033333333325572</v>
      </c>
      <c r="S1474" s="158">
        <f t="shared" si="256"/>
        <v>17.033333333325572</v>
      </c>
      <c r="T1474" s="161">
        <f t="shared" si="257"/>
        <v>8278.1999999962281</v>
      </c>
      <c r="U1474" s="158">
        <f t="shared" si="258"/>
        <v>486</v>
      </c>
      <c r="V1474" s="160">
        <f t="shared" si="259"/>
        <v>486</v>
      </c>
    </row>
    <row r="1475" spans="1:22" x14ac:dyDescent="0.25">
      <c r="A1475" s="98" t="s">
        <v>27</v>
      </c>
      <c r="B1475" s="98" t="s">
        <v>17</v>
      </c>
      <c r="C1475" s="98">
        <v>15</v>
      </c>
      <c r="D1475" s="98">
        <v>1850</v>
      </c>
      <c r="E1475" s="157">
        <v>42864.706944444442</v>
      </c>
      <c r="F1475" s="157">
        <v>42864.78402777778</v>
      </c>
      <c r="G1475" s="98">
        <v>462</v>
      </c>
      <c r="H1475" s="98">
        <v>520</v>
      </c>
      <c r="I1475" s="98">
        <v>486</v>
      </c>
      <c r="J1475" s="98" t="s">
        <v>2263</v>
      </c>
      <c r="K1475" s="98" t="s">
        <v>4153</v>
      </c>
      <c r="L1475" s="105" t="str">
        <f t="shared" si="250"/>
        <v>Ghent</v>
      </c>
      <c r="M1475" s="105" t="str">
        <f t="shared" si="251"/>
        <v>Derate</v>
      </c>
      <c r="N1475" s="105" t="str">
        <f t="shared" si="252"/>
        <v>Coal</v>
      </c>
      <c r="O1475" s="105">
        <f>IFERROR(VLOOKUP(A1475,Lookup!$J$5:$P$19,7,FALSE),0)</f>
        <v>3</v>
      </c>
      <c r="P1475" s="159">
        <f t="shared" si="253"/>
        <v>2017</v>
      </c>
      <c r="Q1475" s="159">
        <f t="shared" si="254"/>
        <v>5</v>
      </c>
      <c r="R1475" s="160">
        <f t="shared" si="255"/>
        <v>1.8500000000931323</v>
      </c>
      <c r="S1475" s="158">
        <f t="shared" si="256"/>
        <v>0.20634615385654168</v>
      </c>
      <c r="T1475" s="161">
        <f t="shared" si="257"/>
        <v>100.28423077427925</v>
      </c>
      <c r="U1475" s="158">
        <f t="shared" si="258"/>
        <v>54.207692307692305</v>
      </c>
      <c r="V1475" s="160">
        <f t="shared" si="259"/>
        <v>54</v>
      </c>
    </row>
    <row r="1476" spans="1:22" x14ac:dyDescent="0.25">
      <c r="A1476" s="98" t="s">
        <v>27</v>
      </c>
      <c r="B1476" s="98" t="s">
        <v>32</v>
      </c>
      <c r="C1476" s="98">
        <v>16</v>
      </c>
      <c r="D1476" s="98">
        <v>340</v>
      </c>
      <c r="E1476" s="157">
        <v>42867.166666666664</v>
      </c>
      <c r="F1476" s="157">
        <v>42867.214583333334</v>
      </c>
      <c r="G1476" s="98">
        <v>465</v>
      </c>
      <c r="H1476" s="98">
        <v>520</v>
      </c>
      <c r="I1476" s="98">
        <v>486</v>
      </c>
      <c r="J1476" s="98" t="s">
        <v>1970</v>
      </c>
      <c r="K1476" s="98" t="s">
        <v>4154</v>
      </c>
      <c r="L1476" s="105" t="str">
        <f t="shared" si="250"/>
        <v>Ghent</v>
      </c>
      <c r="M1476" s="105" t="str">
        <f t="shared" si="251"/>
        <v>Derate</v>
      </c>
      <c r="N1476" s="105" t="str">
        <f t="shared" si="252"/>
        <v>Coal</v>
      </c>
      <c r="O1476" s="105">
        <f>IFERROR(VLOOKUP(A1476,Lookup!$J$5:$P$19,7,FALSE),0)</f>
        <v>3</v>
      </c>
      <c r="P1476" s="159">
        <f t="shared" si="253"/>
        <v>2017</v>
      </c>
      <c r="Q1476" s="159">
        <f t="shared" si="254"/>
        <v>5</v>
      </c>
      <c r="R1476" s="160">
        <f t="shared" si="255"/>
        <v>1.1500000000814907</v>
      </c>
      <c r="S1476" s="158">
        <f t="shared" si="256"/>
        <v>0.1216346153932346</v>
      </c>
      <c r="T1476" s="161">
        <f t="shared" si="257"/>
        <v>59.114423081112015</v>
      </c>
      <c r="U1476" s="158">
        <f t="shared" si="258"/>
        <v>51.403846153846153</v>
      </c>
      <c r="V1476" s="160">
        <f t="shared" si="259"/>
        <v>51</v>
      </c>
    </row>
    <row r="1477" spans="1:22" x14ac:dyDescent="0.25">
      <c r="A1477" s="98" t="s">
        <v>27</v>
      </c>
      <c r="B1477" s="98" t="s">
        <v>32</v>
      </c>
      <c r="C1477" s="98">
        <v>17</v>
      </c>
      <c r="D1477" s="98">
        <v>3408</v>
      </c>
      <c r="E1477" s="157">
        <v>42886.942361111112</v>
      </c>
      <c r="F1477" s="157">
        <v>42887.048611111109</v>
      </c>
      <c r="G1477" s="98">
        <v>330</v>
      </c>
      <c r="H1477" s="98">
        <v>520</v>
      </c>
      <c r="I1477" s="98">
        <v>486</v>
      </c>
      <c r="J1477" s="98" t="s">
        <v>2195</v>
      </c>
      <c r="K1477" s="98" t="s">
        <v>4155</v>
      </c>
      <c r="L1477" s="105" t="str">
        <f t="shared" si="250"/>
        <v>Ghent</v>
      </c>
      <c r="M1477" s="105" t="str">
        <f t="shared" si="251"/>
        <v>Derate</v>
      </c>
      <c r="N1477" s="105" t="str">
        <f t="shared" si="252"/>
        <v>Coal</v>
      </c>
      <c r="O1477" s="105">
        <f>IFERROR(VLOOKUP(A1477,Lookup!$J$5:$P$19,7,FALSE),0)</f>
        <v>3</v>
      </c>
      <c r="P1477" s="159">
        <f t="shared" si="253"/>
        <v>2017</v>
      </c>
      <c r="Q1477" s="159">
        <f t="shared" si="254"/>
        <v>5</v>
      </c>
      <c r="R1477" s="160">
        <f t="shared" si="255"/>
        <v>2.5499999999301508</v>
      </c>
      <c r="S1477" s="158">
        <f t="shared" si="256"/>
        <v>0.93173076920524744</v>
      </c>
      <c r="T1477" s="161">
        <f t="shared" si="257"/>
        <v>452.82115383375026</v>
      </c>
      <c r="U1477" s="158">
        <f t="shared" si="258"/>
        <v>177.57692307692307</v>
      </c>
      <c r="V1477" s="160">
        <f t="shared" si="259"/>
        <v>178</v>
      </c>
    </row>
    <row r="1478" spans="1:22" x14ac:dyDescent="0.25">
      <c r="A1478" s="98" t="s">
        <v>27</v>
      </c>
      <c r="B1478" s="98" t="s">
        <v>32</v>
      </c>
      <c r="C1478" s="98">
        <v>18</v>
      </c>
      <c r="D1478" s="98">
        <v>340</v>
      </c>
      <c r="E1478" s="157">
        <v>42890.958333333336</v>
      </c>
      <c r="F1478" s="157">
        <v>42891.116666666669</v>
      </c>
      <c r="G1478" s="98">
        <v>448</v>
      </c>
      <c r="H1478" s="98">
        <v>520</v>
      </c>
      <c r="I1478" s="98">
        <v>486</v>
      </c>
      <c r="J1478" s="98" t="s">
        <v>1970</v>
      </c>
      <c r="K1478" s="98" t="s">
        <v>4156</v>
      </c>
      <c r="L1478" s="105" t="str">
        <f t="shared" si="250"/>
        <v>Ghent</v>
      </c>
      <c r="M1478" s="105" t="str">
        <f t="shared" si="251"/>
        <v>Derate</v>
      </c>
      <c r="N1478" s="105" t="str">
        <f t="shared" si="252"/>
        <v>Coal</v>
      </c>
      <c r="O1478" s="105">
        <f>IFERROR(VLOOKUP(A1478,Lookup!$J$5:$P$19,7,FALSE),0)</f>
        <v>3</v>
      </c>
      <c r="P1478" s="159">
        <f t="shared" si="253"/>
        <v>2017</v>
      </c>
      <c r="Q1478" s="159">
        <f t="shared" si="254"/>
        <v>6</v>
      </c>
      <c r="R1478" s="160">
        <f t="shared" si="255"/>
        <v>3.7999999999883585</v>
      </c>
      <c r="S1478" s="158">
        <f t="shared" si="256"/>
        <v>0.52615384615223426</v>
      </c>
      <c r="T1478" s="161">
        <f t="shared" si="257"/>
        <v>255.71076922998586</v>
      </c>
      <c r="U1478" s="158">
        <f t="shared" si="258"/>
        <v>67.292307692307688</v>
      </c>
      <c r="V1478" s="160">
        <f t="shared" si="259"/>
        <v>67</v>
      </c>
    </row>
    <row r="1479" spans="1:22" x14ac:dyDescent="0.25">
      <c r="A1479" s="98" t="s">
        <v>27</v>
      </c>
      <c r="B1479" s="98" t="s">
        <v>17</v>
      </c>
      <c r="C1479" s="98">
        <v>19</v>
      </c>
      <c r="D1479" s="98">
        <v>350</v>
      </c>
      <c r="E1479" s="157">
        <v>42921.601388888892</v>
      </c>
      <c r="F1479" s="157">
        <v>42921.65347222222</v>
      </c>
      <c r="G1479" s="98">
        <v>460</v>
      </c>
      <c r="H1479" s="98">
        <v>520</v>
      </c>
      <c r="I1479" s="98">
        <v>486</v>
      </c>
      <c r="J1479" s="98" t="s">
        <v>1976</v>
      </c>
      <c r="K1479" s="98" t="s">
        <v>4675</v>
      </c>
      <c r="L1479" s="105" t="str">
        <f t="shared" si="250"/>
        <v>Ghent</v>
      </c>
      <c r="M1479" s="105" t="str">
        <f t="shared" si="251"/>
        <v>Derate</v>
      </c>
      <c r="N1479" s="105" t="str">
        <f t="shared" si="252"/>
        <v>Coal</v>
      </c>
      <c r="O1479" s="105">
        <f>IFERROR(VLOOKUP(A1479,Lookup!$J$5:$P$19,7,FALSE),0)</f>
        <v>3</v>
      </c>
      <c r="P1479" s="159">
        <f t="shared" si="253"/>
        <v>2017</v>
      </c>
      <c r="Q1479" s="159">
        <f t="shared" si="254"/>
        <v>7</v>
      </c>
      <c r="R1479" s="160">
        <f t="shared" si="255"/>
        <v>1.2499999998835847</v>
      </c>
      <c r="S1479" s="158">
        <f t="shared" si="256"/>
        <v>0.14423076921733669</v>
      </c>
      <c r="T1479" s="161">
        <f t="shared" si="257"/>
        <v>70.096153839625629</v>
      </c>
      <c r="U1479" s="158">
        <f t="shared" si="258"/>
        <v>56.07692307692308</v>
      </c>
      <c r="V1479" s="160">
        <f t="shared" si="259"/>
        <v>56</v>
      </c>
    </row>
    <row r="1480" spans="1:22" x14ac:dyDescent="0.25">
      <c r="A1480" s="98" t="s">
        <v>27</v>
      </c>
      <c r="B1480" s="98" t="s">
        <v>17</v>
      </c>
      <c r="C1480" s="98">
        <v>20</v>
      </c>
      <c r="D1480" s="98">
        <v>9020</v>
      </c>
      <c r="E1480" s="157">
        <v>42923.775694444441</v>
      </c>
      <c r="F1480" s="157">
        <v>42923.820833333331</v>
      </c>
      <c r="G1480" s="98">
        <v>240</v>
      </c>
      <c r="H1480" s="98">
        <v>520</v>
      </c>
      <c r="I1480" s="98">
        <v>486</v>
      </c>
      <c r="J1480" s="98" t="s">
        <v>230</v>
      </c>
      <c r="K1480" s="98" t="s">
        <v>4676</v>
      </c>
      <c r="L1480" s="105" t="str">
        <f t="shared" si="250"/>
        <v>Ghent</v>
      </c>
      <c r="M1480" s="105" t="str">
        <f t="shared" si="251"/>
        <v>Derate</v>
      </c>
      <c r="N1480" s="105" t="str">
        <f t="shared" si="252"/>
        <v>Coal</v>
      </c>
      <c r="O1480" s="105">
        <f>IFERROR(VLOOKUP(A1480,Lookup!$J$5:$P$19,7,FALSE),0)</f>
        <v>3</v>
      </c>
      <c r="P1480" s="159">
        <f t="shared" si="253"/>
        <v>2017</v>
      </c>
      <c r="Q1480" s="159">
        <f t="shared" si="254"/>
        <v>7</v>
      </c>
      <c r="R1480" s="160">
        <f t="shared" si="255"/>
        <v>1.0833333333721384</v>
      </c>
      <c r="S1480" s="158">
        <f t="shared" si="256"/>
        <v>0.58333333335422843</v>
      </c>
      <c r="T1480" s="161">
        <f t="shared" si="257"/>
        <v>283.50000001015502</v>
      </c>
      <c r="U1480" s="158">
        <f t="shared" si="258"/>
        <v>261.69230769230768</v>
      </c>
      <c r="V1480" s="160">
        <f t="shared" si="259"/>
        <v>262</v>
      </c>
    </row>
    <row r="1481" spans="1:22" x14ac:dyDescent="0.25">
      <c r="A1481" s="98" t="s">
        <v>27</v>
      </c>
      <c r="B1481" s="98" t="s">
        <v>17</v>
      </c>
      <c r="C1481" s="98">
        <v>21</v>
      </c>
      <c r="D1481" s="98">
        <v>3408</v>
      </c>
      <c r="E1481" s="157">
        <v>42940.203472222223</v>
      </c>
      <c r="F1481" s="157">
        <v>42940.394444444442</v>
      </c>
      <c r="G1481" s="98">
        <v>350</v>
      </c>
      <c r="H1481" s="98">
        <v>520</v>
      </c>
      <c r="I1481" s="98">
        <v>486</v>
      </c>
      <c r="J1481" s="98" t="s">
        <v>2195</v>
      </c>
      <c r="K1481" s="98" t="s">
        <v>4677</v>
      </c>
      <c r="L1481" s="105" t="str">
        <f t="shared" si="250"/>
        <v>Ghent</v>
      </c>
      <c r="M1481" s="105" t="str">
        <f t="shared" si="251"/>
        <v>Derate</v>
      </c>
      <c r="N1481" s="105" t="str">
        <f t="shared" si="252"/>
        <v>Coal</v>
      </c>
      <c r="O1481" s="105">
        <f>IFERROR(VLOOKUP(A1481,Lookup!$J$5:$P$19,7,FALSE),0)</f>
        <v>3</v>
      </c>
      <c r="P1481" s="159">
        <f t="shared" si="253"/>
        <v>2017</v>
      </c>
      <c r="Q1481" s="159">
        <f t="shared" si="254"/>
        <v>7</v>
      </c>
      <c r="R1481" s="160">
        <f t="shared" si="255"/>
        <v>4.5833333332557231</v>
      </c>
      <c r="S1481" s="158">
        <f t="shared" si="256"/>
        <v>1.4983974358720633</v>
      </c>
      <c r="T1481" s="161">
        <f t="shared" si="257"/>
        <v>728.22115383382277</v>
      </c>
      <c r="U1481" s="158">
        <f t="shared" si="258"/>
        <v>158.88461538461539</v>
      </c>
      <c r="V1481" s="160">
        <f t="shared" si="259"/>
        <v>159</v>
      </c>
    </row>
    <row r="1482" spans="1:22" x14ac:dyDescent="0.25">
      <c r="A1482" s="98" t="s">
        <v>27</v>
      </c>
      <c r="B1482" s="98" t="s">
        <v>17</v>
      </c>
      <c r="C1482" s="98">
        <v>22</v>
      </c>
      <c r="D1482" s="98">
        <v>250</v>
      </c>
      <c r="E1482" s="157">
        <v>42940.84375</v>
      </c>
      <c r="F1482" s="157">
        <v>42940.886111111111</v>
      </c>
      <c r="G1482" s="98">
        <v>460</v>
      </c>
      <c r="H1482" s="98">
        <v>520</v>
      </c>
      <c r="I1482" s="98">
        <v>486</v>
      </c>
      <c r="J1482" s="98" t="s">
        <v>1978</v>
      </c>
      <c r="K1482" s="98" t="s">
        <v>4678</v>
      </c>
      <c r="L1482" s="105" t="str">
        <f t="shared" si="250"/>
        <v>Ghent</v>
      </c>
      <c r="M1482" s="105" t="str">
        <f t="shared" si="251"/>
        <v>Derate</v>
      </c>
      <c r="N1482" s="105" t="str">
        <f t="shared" si="252"/>
        <v>Coal</v>
      </c>
      <c r="O1482" s="105">
        <f>IFERROR(VLOOKUP(A1482,Lookup!$J$5:$P$19,7,FALSE),0)</f>
        <v>3</v>
      </c>
      <c r="P1482" s="159">
        <f t="shared" si="253"/>
        <v>2017</v>
      </c>
      <c r="Q1482" s="159">
        <f t="shared" si="254"/>
        <v>7</v>
      </c>
      <c r="R1482" s="160">
        <f t="shared" si="255"/>
        <v>1.0166666666627862</v>
      </c>
      <c r="S1482" s="158">
        <f t="shared" si="256"/>
        <v>0.11730769230724455</v>
      </c>
      <c r="T1482" s="161">
        <f t="shared" si="257"/>
        <v>57.011538461320853</v>
      </c>
      <c r="U1482" s="158">
        <f t="shared" si="258"/>
        <v>56.07692307692308</v>
      </c>
      <c r="V1482" s="160">
        <f t="shared" si="259"/>
        <v>56</v>
      </c>
    </row>
    <row r="1483" spans="1:22" x14ac:dyDescent="0.25">
      <c r="A1483" s="98" t="s">
        <v>27</v>
      </c>
      <c r="B1483" s="98" t="s">
        <v>32</v>
      </c>
      <c r="C1483" s="98">
        <v>23</v>
      </c>
      <c r="D1483" s="98">
        <v>344</v>
      </c>
      <c r="E1483" s="157">
        <v>42940.958333333336</v>
      </c>
      <c r="F1483" s="157">
        <v>42941.080555555556</v>
      </c>
      <c r="G1483" s="98">
        <v>460</v>
      </c>
      <c r="H1483" s="98">
        <v>520</v>
      </c>
      <c r="I1483" s="98">
        <v>486</v>
      </c>
      <c r="J1483" s="98" t="s">
        <v>1968</v>
      </c>
      <c r="K1483" s="98" t="s">
        <v>4679</v>
      </c>
      <c r="L1483" s="105" t="str">
        <f t="shared" si="250"/>
        <v>Ghent</v>
      </c>
      <c r="M1483" s="105" t="str">
        <f t="shared" si="251"/>
        <v>Derate</v>
      </c>
      <c r="N1483" s="105" t="str">
        <f t="shared" si="252"/>
        <v>Coal</v>
      </c>
      <c r="O1483" s="105">
        <f>IFERROR(VLOOKUP(A1483,Lookup!$J$5:$P$19,7,FALSE),0)</f>
        <v>3</v>
      </c>
      <c r="P1483" s="159">
        <f t="shared" si="253"/>
        <v>2017</v>
      </c>
      <c r="Q1483" s="159">
        <f t="shared" si="254"/>
        <v>7</v>
      </c>
      <c r="R1483" s="160">
        <f t="shared" si="255"/>
        <v>2.9333333332906477</v>
      </c>
      <c r="S1483" s="158">
        <f t="shared" si="256"/>
        <v>0.3384615384566132</v>
      </c>
      <c r="T1483" s="161">
        <f t="shared" si="257"/>
        <v>164.49230768991401</v>
      </c>
      <c r="U1483" s="158">
        <f t="shared" si="258"/>
        <v>56.07692307692308</v>
      </c>
      <c r="V1483" s="160">
        <f t="shared" si="259"/>
        <v>56</v>
      </c>
    </row>
    <row r="1484" spans="1:22" x14ac:dyDescent="0.25">
      <c r="A1484" s="98" t="s">
        <v>27</v>
      </c>
      <c r="B1484" s="98" t="s">
        <v>32</v>
      </c>
      <c r="C1484" s="98">
        <v>24</v>
      </c>
      <c r="D1484" s="98">
        <v>250</v>
      </c>
      <c r="E1484" s="157">
        <v>42941.958333333336</v>
      </c>
      <c r="F1484" s="157">
        <v>42942.093055555553</v>
      </c>
      <c r="G1484" s="98">
        <v>440</v>
      </c>
      <c r="H1484" s="98">
        <v>520</v>
      </c>
      <c r="I1484" s="98">
        <v>486</v>
      </c>
      <c r="J1484" s="98" t="s">
        <v>1978</v>
      </c>
      <c r="K1484" s="98" t="s">
        <v>4680</v>
      </c>
      <c r="L1484" s="105" t="str">
        <f t="shared" si="250"/>
        <v>Ghent</v>
      </c>
      <c r="M1484" s="105" t="str">
        <f t="shared" si="251"/>
        <v>Derate</v>
      </c>
      <c r="N1484" s="105" t="str">
        <f t="shared" si="252"/>
        <v>Coal</v>
      </c>
      <c r="O1484" s="105">
        <f>IFERROR(VLOOKUP(A1484,Lookup!$J$5:$P$19,7,FALSE),0)</f>
        <v>3</v>
      </c>
      <c r="P1484" s="159">
        <f t="shared" si="253"/>
        <v>2017</v>
      </c>
      <c r="Q1484" s="159">
        <f t="shared" si="254"/>
        <v>7</v>
      </c>
      <c r="R1484" s="160">
        <f t="shared" si="255"/>
        <v>3.2333333332207985</v>
      </c>
      <c r="S1484" s="158">
        <f t="shared" si="256"/>
        <v>0.49743589741858441</v>
      </c>
      <c r="T1484" s="161">
        <f t="shared" si="257"/>
        <v>241.75384614543202</v>
      </c>
      <c r="U1484" s="158">
        <f t="shared" si="258"/>
        <v>74.769230769230774</v>
      </c>
      <c r="V1484" s="160">
        <f t="shared" si="259"/>
        <v>75</v>
      </c>
    </row>
    <row r="1485" spans="1:22" x14ac:dyDescent="0.25">
      <c r="A1485" s="98" t="s">
        <v>27</v>
      </c>
      <c r="B1485" s="98" t="s">
        <v>32</v>
      </c>
      <c r="C1485" s="98">
        <v>25</v>
      </c>
      <c r="D1485" s="98">
        <v>250</v>
      </c>
      <c r="E1485" s="157">
        <v>42951.895833333336</v>
      </c>
      <c r="F1485" s="157">
        <v>42952.011111111111</v>
      </c>
      <c r="G1485" s="98">
        <v>460</v>
      </c>
      <c r="H1485" s="98">
        <v>520</v>
      </c>
      <c r="I1485" s="98">
        <v>486</v>
      </c>
      <c r="J1485" s="98" t="s">
        <v>1978</v>
      </c>
      <c r="K1485" s="98" t="s">
        <v>4681</v>
      </c>
      <c r="L1485" s="105" t="str">
        <f t="shared" si="250"/>
        <v>Ghent</v>
      </c>
      <c r="M1485" s="105" t="str">
        <f t="shared" si="251"/>
        <v>Derate</v>
      </c>
      <c r="N1485" s="105" t="str">
        <f t="shared" si="252"/>
        <v>Coal</v>
      </c>
      <c r="O1485" s="105">
        <f>IFERROR(VLOOKUP(A1485,Lookup!$J$5:$P$19,7,FALSE),0)</f>
        <v>3</v>
      </c>
      <c r="P1485" s="159">
        <f t="shared" si="253"/>
        <v>2017</v>
      </c>
      <c r="Q1485" s="159">
        <f t="shared" si="254"/>
        <v>8</v>
      </c>
      <c r="R1485" s="160">
        <f t="shared" si="255"/>
        <v>2.7666666666045785</v>
      </c>
      <c r="S1485" s="158">
        <f t="shared" si="256"/>
        <v>0.31923076922360522</v>
      </c>
      <c r="T1485" s="161">
        <f t="shared" si="257"/>
        <v>155.14615384267213</v>
      </c>
      <c r="U1485" s="158">
        <f t="shared" si="258"/>
        <v>56.07692307692308</v>
      </c>
      <c r="V1485" s="160">
        <f t="shared" si="259"/>
        <v>56</v>
      </c>
    </row>
    <row r="1486" spans="1:22" x14ac:dyDescent="0.25">
      <c r="A1486" s="98" t="s">
        <v>27</v>
      </c>
      <c r="B1486" s="98" t="s">
        <v>17</v>
      </c>
      <c r="C1486" s="98">
        <v>26</v>
      </c>
      <c r="D1486" s="98">
        <v>320</v>
      </c>
      <c r="E1486" s="157">
        <v>42957.511111111111</v>
      </c>
      <c r="F1486" s="157">
        <v>42957.574999999997</v>
      </c>
      <c r="G1486" s="98">
        <v>460</v>
      </c>
      <c r="H1486" s="98">
        <v>520</v>
      </c>
      <c r="I1486" s="98">
        <v>486</v>
      </c>
      <c r="J1486" s="98" t="s">
        <v>1992</v>
      </c>
      <c r="K1486" s="98" t="s">
        <v>4682</v>
      </c>
      <c r="L1486" s="105" t="str">
        <f t="shared" si="250"/>
        <v>Ghent</v>
      </c>
      <c r="M1486" s="105" t="str">
        <f t="shared" si="251"/>
        <v>Derate</v>
      </c>
      <c r="N1486" s="105" t="str">
        <f t="shared" si="252"/>
        <v>Coal</v>
      </c>
      <c r="O1486" s="105">
        <f>IFERROR(VLOOKUP(A1486,Lookup!$J$5:$P$19,7,FALSE),0)</f>
        <v>3</v>
      </c>
      <c r="P1486" s="159">
        <f t="shared" si="253"/>
        <v>2017</v>
      </c>
      <c r="Q1486" s="159">
        <f t="shared" si="254"/>
        <v>8</v>
      </c>
      <c r="R1486" s="160">
        <f t="shared" si="255"/>
        <v>1.5333333332673647</v>
      </c>
      <c r="S1486" s="158">
        <f t="shared" si="256"/>
        <v>0.17692307691546516</v>
      </c>
      <c r="T1486" s="161">
        <f t="shared" si="257"/>
        <v>85.984615380916068</v>
      </c>
      <c r="U1486" s="158">
        <f t="shared" si="258"/>
        <v>56.07692307692308</v>
      </c>
      <c r="V1486" s="160">
        <f t="shared" si="259"/>
        <v>56</v>
      </c>
    </row>
    <row r="1487" spans="1:22" x14ac:dyDescent="0.25">
      <c r="A1487" s="98" t="s">
        <v>27</v>
      </c>
      <c r="B1487" s="98" t="s">
        <v>20</v>
      </c>
      <c r="C1487" s="98">
        <v>28</v>
      </c>
      <c r="D1487" s="98">
        <v>3110</v>
      </c>
      <c r="E1487" s="157">
        <v>42973.25</v>
      </c>
      <c r="F1487" s="157">
        <v>42973.613194444442</v>
      </c>
      <c r="G1487" s="98">
        <v>0</v>
      </c>
      <c r="H1487" s="98">
        <v>520</v>
      </c>
      <c r="I1487" s="98">
        <v>486</v>
      </c>
      <c r="J1487" s="98" t="s">
        <v>2119</v>
      </c>
      <c r="K1487" s="98" t="s">
        <v>4683</v>
      </c>
      <c r="L1487" s="105" t="str">
        <f t="shared" si="250"/>
        <v>Ghent</v>
      </c>
      <c r="M1487" s="105" t="str">
        <f t="shared" si="251"/>
        <v>Maintenance</v>
      </c>
      <c r="N1487" s="105" t="str">
        <f t="shared" si="252"/>
        <v>Coal</v>
      </c>
      <c r="O1487" s="105">
        <f>IFERROR(VLOOKUP(A1487,Lookup!$J$5:$P$19,7,FALSE),0)</f>
        <v>3</v>
      </c>
      <c r="P1487" s="159">
        <f t="shared" si="253"/>
        <v>2017</v>
      </c>
      <c r="Q1487" s="159">
        <f t="shared" si="254"/>
        <v>8</v>
      </c>
      <c r="R1487" s="160">
        <f t="shared" si="255"/>
        <v>8.71666666661622</v>
      </c>
      <c r="S1487" s="158">
        <f t="shared" si="256"/>
        <v>8.71666666661622</v>
      </c>
      <c r="T1487" s="161">
        <f t="shared" si="257"/>
        <v>4236.2999999754829</v>
      </c>
      <c r="U1487" s="158">
        <f t="shared" si="258"/>
        <v>486</v>
      </c>
      <c r="V1487" s="160">
        <f t="shared" si="259"/>
        <v>486</v>
      </c>
    </row>
    <row r="1488" spans="1:22" x14ac:dyDescent="0.25">
      <c r="A1488" s="98" t="s">
        <v>27</v>
      </c>
      <c r="B1488" s="98" t="s">
        <v>17</v>
      </c>
      <c r="C1488" s="98">
        <v>30</v>
      </c>
      <c r="D1488" s="98">
        <v>340</v>
      </c>
      <c r="E1488" s="157">
        <v>42985.779166666667</v>
      </c>
      <c r="F1488" s="157">
        <v>42985.866666666669</v>
      </c>
      <c r="G1488" s="98">
        <v>440</v>
      </c>
      <c r="H1488" s="98">
        <v>520</v>
      </c>
      <c r="I1488" s="98">
        <v>486</v>
      </c>
      <c r="J1488" s="98" t="s">
        <v>1970</v>
      </c>
      <c r="K1488" s="98" t="s">
        <v>4684</v>
      </c>
      <c r="L1488" s="105" t="str">
        <f t="shared" si="250"/>
        <v>Ghent</v>
      </c>
      <c r="M1488" s="105" t="str">
        <f t="shared" si="251"/>
        <v>Derate</v>
      </c>
      <c r="N1488" s="105" t="str">
        <f t="shared" si="252"/>
        <v>Coal</v>
      </c>
      <c r="O1488" s="105">
        <f>IFERROR(VLOOKUP(A1488,Lookup!$J$5:$P$19,7,FALSE),0)</f>
        <v>3</v>
      </c>
      <c r="P1488" s="159">
        <f t="shared" si="253"/>
        <v>2017</v>
      </c>
      <c r="Q1488" s="159">
        <f t="shared" si="254"/>
        <v>9</v>
      </c>
      <c r="R1488" s="160">
        <f t="shared" si="255"/>
        <v>2.1000000000349246</v>
      </c>
      <c r="S1488" s="158">
        <f t="shared" si="256"/>
        <v>0.32307692308229607</v>
      </c>
      <c r="T1488" s="161">
        <f t="shared" si="257"/>
        <v>157.01538461799589</v>
      </c>
      <c r="U1488" s="158">
        <f t="shared" si="258"/>
        <v>74.769230769230774</v>
      </c>
      <c r="V1488" s="160">
        <f t="shared" si="259"/>
        <v>75</v>
      </c>
    </row>
    <row r="1489" spans="1:22" x14ac:dyDescent="0.25">
      <c r="A1489" s="98" t="s">
        <v>27</v>
      </c>
      <c r="B1489" s="98" t="s">
        <v>17</v>
      </c>
      <c r="C1489" s="98">
        <v>31</v>
      </c>
      <c r="D1489" s="98">
        <v>9920</v>
      </c>
      <c r="E1489" s="157">
        <v>42992.305555555555</v>
      </c>
      <c r="F1489" s="157">
        <v>42992.4</v>
      </c>
      <c r="G1489" s="98">
        <v>325</v>
      </c>
      <c r="H1489" s="98">
        <v>520</v>
      </c>
      <c r="I1489" s="98">
        <v>486</v>
      </c>
      <c r="J1489" s="98" t="s">
        <v>2095</v>
      </c>
      <c r="K1489" s="98" t="s">
        <v>4685</v>
      </c>
      <c r="L1489" s="105" t="str">
        <f t="shared" si="250"/>
        <v>Ghent</v>
      </c>
      <c r="M1489" s="105" t="str">
        <f t="shared" si="251"/>
        <v>Derate</v>
      </c>
      <c r="N1489" s="105" t="str">
        <f t="shared" si="252"/>
        <v>Coal</v>
      </c>
      <c r="O1489" s="105">
        <f>IFERROR(VLOOKUP(A1489,Lookup!$J$5:$P$19,7,FALSE),0)</f>
        <v>3</v>
      </c>
      <c r="P1489" s="159">
        <f t="shared" si="253"/>
        <v>2017</v>
      </c>
      <c r="Q1489" s="159">
        <f t="shared" si="254"/>
        <v>9</v>
      </c>
      <c r="R1489" s="160">
        <f t="shared" si="255"/>
        <v>2.2666666667209938</v>
      </c>
      <c r="S1489" s="158">
        <f t="shared" si="256"/>
        <v>0.85000000002037268</v>
      </c>
      <c r="T1489" s="161">
        <f t="shared" si="257"/>
        <v>413.10000000990112</v>
      </c>
      <c r="U1489" s="158">
        <f t="shared" si="258"/>
        <v>182.25</v>
      </c>
      <c r="V1489" s="160">
        <f t="shared" si="259"/>
        <v>182</v>
      </c>
    </row>
    <row r="1490" spans="1:22" x14ac:dyDescent="0.25">
      <c r="A1490" s="98" t="s">
        <v>27</v>
      </c>
      <c r="B1490" s="98" t="s">
        <v>17</v>
      </c>
      <c r="C1490" s="98">
        <v>32</v>
      </c>
      <c r="D1490" s="98">
        <v>1000</v>
      </c>
      <c r="E1490" s="157">
        <v>43005.463194444441</v>
      </c>
      <c r="F1490" s="157">
        <v>43005.510416666664</v>
      </c>
      <c r="G1490" s="98">
        <v>225</v>
      </c>
      <c r="H1490" s="98">
        <v>520</v>
      </c>
      <c r="I1490" s="98">
        <v>486</v>
      </c>
      <c r="J1490" s="98" t="s">
        <v>2002</v>
      </c>
      <c r="K1490" s="98" t="s">
        <v>4686</v>
      </c>
      <c r="L1490" s="105" t="str">
        <f t="shared" si="250"/>
        <v>Ghent</v>
      </c>
      <c r="M1490" s="105" t="str">
        <f t="shared" si="251"/>
        <v>Derate</v>
      </c>
      <c r="N1490" s="105" t="str">
        <f t="shared" si="252"/>
        <v>Coal</v>
      </c>
      <c r="O1490" s="105">
        <f>IFERROR(VLOOKUP(A1490,Lookup!$J$5:$P$19,7,FALSE),0)</f>
        <v>3</v>
      </c>
      <c r="P1490" s="159">
        <f t="shared" si="253"/>
        <v>2017</v>
      </c>
      <c r="Q1490" s="159">
        <f t="shared" si="254"/>
        <v>9</v>
      </c>
      <c r="R1490" s="160">
        <f t="shared" si="255"/>
        <v>1.1333333333604969</v>
      </c>
      <c r="S1490" s="158">
        <f t="shared" si="256"/>
        <v>0.642948717964128</v>
      </c>
      <c r="T1490" s="161">
        <f t="shared" si="257"/>
        <v>312.47307693056621</v>
      </c>
      <c r="U1490" s="158">
        <f t="shared" si="258"/>
        <v>275.71153846153845</v>
      </c>
      <c r="V1490" s="160">
        <f t="shared" si="259"/>
        <v>276</v>
      </c>
    </row>
    <row r="1491" spans="1:22" x14ac:dyDescent="0.25">
      <c r="A1491" s="98" t="s">
        <v>27</v>
      </c>
      <c r="B1491" s="98" t="s">
        <v>15</v>
      </c>
      <c r="C1491" s="98">
        <v>33</v>
      </c>
      <c r="D1491" s="98">
        <v>1000</v>
      </c>
      <c r="E1491" s="157">
        <v>43005.510416666664</v>
      </c>
      <c r="F1491" s="157">
        <v>43007.056250000001</v>
      </c>
      <c r="G1491" s="98">
        <v>0</v>
      </c>
      <c r="H1491" s="98">
        <v>520</v>
      </c>
      <c r="I1491" s="98">
        <v>486</v>
      </c>
      <c r="J1491" s="98" t="s">
        <v>2002</v>
      </c>
      <c r="K1491" s="98" t="s">
        <v>4687</v>
      </c>
      <c r="L1491" s="105" t="str">
        <f t="shared" si="250"/>
        <v>Ghent</v>
      </c>
      <c r="M1491" s="105" t="str">
        <f t="shared" si="251"/>
        <v>Outage</v>
      </c>
      <c r="N1491" s="105" t="str">
        <f t="shared" si="252"/>
        <v>Coal</v>
      </c>
      <c r="O1491" s="105">
        <f>IFERROR(VLOOKUP(A1491,Lookup!$J$5:$P$19,7,FALSE),0)</f>
        <v>3</v>
      </c>
      <c r="P1491" s="159">
        <f t="shared" si="253"/>
        <v>2017</v>
      </c>
      <c r="Q1491" s="159">
        <f t="shared" si="254"/>
        <v>9</v>
      </c>
      <c r="R1491" s="160">
        <f t="shared" si="255"/>
        <v>37.100000000093132</v>
      </c>
      <c r="S1491" s="158">
        <f t="shared" si="256"/>
        <v>37.100000000093132</v>
      </c>
      <c r="T1491" s="161">
        <f t="shared" si="257"/>
        <v>18030.600000045262</v>
      </c>
      <c r="U1491" s="158">
        <f t="shared" si="258"/>
        <v>486</v>
      </c>
      <c r="V1491" s="160">
        <f t="shared" si="259"/>
        <v>486</v>
      </c>
    </row>
    <row r="1492" spans="1:22" x14ac:dyDescent="0.25">
      <c r="A1492" s="98" t="s">
        <v>27</v>
      </c>
      <c r="B1492" s="98" t="s">
        <v>17</v>
      </c>
      <c r="C1492" s="98">
        <v>34</v>
      </c>
      <c r="D1492" s="98">
        <v>1471</v>
      </c>
      <c r="E1492" s="157">
        <v>43011.621527777781</v>
      </c>
      <c r="F1492" s="157">
        <v>43011.680555555555</v>
      </c>
      <c r="G1492" s="98">
        <v>200</v>
      </c>
      <c r="H1492" s="98">
        <v>520</v>
      </c>
      <c r="I1492" s="98">
        <v>486</v>
      </c>
      <c r="J1492" s="98" t="s">
        <v>2279</v>
      </c>
      <c r="K1492" s="98" t="s">
        <v>4688</v>
      </c>
      <c r="L1492" s="105" t="str">
        <f t="shared" si="250"/>
        <v>Ghent</v>
      </c>
      <c r="M1492" s="105" t="str">
        <f t="shared" si="251"/>
        <v>Derate</v>
      </c>
      <c r="N1492" s="105" t="str">
        <f t="shared" si="252"/>
        <v>Coal</v>
      </c>
      <c r="O1492" s="105">
        <f>IFERROR(VLOOKUP(A1492,Lookup!$J$5:$P$19,7,FALSE),0)</f>
        <v>3</v>
      </c>
      <c r="P1492" s="159">
        <f t="shared" si="253"/>
        <v>2017</v>
      </c>
      <c r="Q1492" s="159">
        <f t="shared" si="254"/>
        <v>10</v>
      </c>
      <c r="R1492" s="160">
        <f t="shared" si="255"/>
        <v>1.4166666665696539</v>
      </c>
      <c r="S1492" s="158">
        <f t="shared" si="256"/>
        <v>0.87179487173517167</v>
      </c>
      <c r="T1492" s="161">
        <f t="shared" si="257"/>
        <v>423.69230766329343</v>
      </c>
      <c r="U1492" s="158">
        <f t="shared" si="258"/>
        <v>299.07692307692309</v>
      </c>
      <c r="V1492" s="160">
        <f t="shared" si="259"/>
        <v>299</v>
      </c>
    </row>
    <row r="1493" spans="1:22" x14ac:dyDescent="0.25">
      <c r="A1493" s="98" t="s">
        <v>27</v>
      </c>
      <c r="B1493" s="98" t="s">
        <v>17</v>
      </c>
      <c r="C1493" s="98">
        <v>35</v>
      </c>
      <c r="D1493" s="98">
        <v>1471</v>
      </c>
      <c r="E1493" s="157">
        <v>43011.680555555555</v>
      </c>
      <c r="F1493" s="157">
        <v>43011.71875</v>
      </c>
      <c r="G1493" s="98">
        <v>240</v>
      </c>
      <c r="H1493" s="98">
        <v>520</v>
      </c>
      <c r="I1493" s="98">
        <v>486</v>
      </c>
      <c r="J1493" s="98" t="s">
        <v>2279</v>
      </c>
      <c r="K1493" s="98" t="s">
        <v>4689</v>
      </c>
      <c r="L1493" s="105" t="str">
        <f t="shared" si="250"/>
        <v>Ghent</v>
      </c>
      <c r="M1493" s="105" t="str">
        <f t="shared" si="251"/>
        <v>Derate</v>
      </c>
      <c r="N1493" s="105" t="str">
        <f t="shared" si="252"/>
        <v>Coal</v>
      </c>
      <c r="O1493" s="105">
        <f>IFERROR(VLOOKUP(A1493,Lookup!$J$5:$P$19,7,FALSE),0)</f>
        <v>3</v>
      </c>
      <c r="P1493" s="159">
        <f t="shared" si="253"/>
        <v>2017</v>
      </c>
      <c r="Q1493" s="159">
        <f t="shared" si="254"/>
        <v>10</v>
      </c>
      <c r="R1493" s="160">
        <f t="shared" si="255"/>
        <v>0.91666666668606922</v>
      </c>
      <c r="S1493" s="158">
        <f t="shared" si="256"/>
        <v>0.49358974360019114</v>
      </c>
      <c r="T1493" s="161">
        <f t="shared" si="257"/>
        <v>239.8846153896929</v>
      </c>
      <c r="U1493" s="158">
        <f t="shared" si="258"/>
        <v>261.69230769230768</v>
      </c>
      <c r="V1493" s="160">
        <f t="shared" si="259"/>
        <v>262</v>
      </c>
    </row>
    <row r="1494" spans="1:22" x14ac:dyDescent="0.25">
      <c r="A1494" s="98" t="s">
        <v>27</v>
      </c>
      <c r="B1494" s="98" t="s">
        <v>17</v>
      </c>
      <c r="C1494" s="98">
        <v>36</v>
      </c>
      <c r="D1494" s="98">
        <v>340</v>
      </c>
      <c r="E1494" s="157">
        <v>43018.85</v>
      </c>
      <c r="F1494" s="157">
        <v>43018.911111111112</v>
      </c>
      <c r="G1494" s="98">
        <v>440</v>
      </c>
      <c r="H1494" s="98">
        <v>520</v>
      </c>
      <c r="I1494" s="98">
        <v>486</v>
      </c>
      <c r="J1494" s="98" t="s">
        <v>1970</v>
      </c>
      <c r="K1494" s="98" t="s">
        <v>4690</v>
      </c>
      <c r="L1494" s="105" t="str">
        <f t="shared" si="250"/>
        <v>Ghent</v>
      </c>
      <c r="M1494" s="105" t="str">
        <f t="shared" si="251"/>
        <v>Derate</v>
      </c>
      <c r="N1494" s="105" t="str">
        <f t="shared" si="252"/>
        <v>Coal</v>
      </c>
      <c r="O1494" s="105">
        <f>IFERROR(VLOOKUP(A1494,Lookup!$J$5:$P$19,7,FALSE),0)</f>
        <v>3</v>
      </c>
      <c r="P1494" s="159">
        <f t="shared" si="253"/>
        <v>2017</v>
      </c>
      <c r="Q1494" s="159">
        <f t="shared" si="254"/>
        <v>10</v>
      </c>
      <c r="R1494" s="160">
        <f t="shared" si="255"/>
        <v>1.4666666667326353</v>
      </c>
      <c r="S1494" s="158">
        <f t="shared" si="256"/>
        <v>0.22564102565117466</v>
      </c>
      <c r="T1494" s="161">
        <f t="shared" si="257"/>
        <v>109.66153846647089</v>
      </c>
      <c r="U1494" s="158">
        <f t="shared" si="258"/>
        <v>74.769230769230774</v>
      </c>
      <c r="V1494" s="160">
        <f t="shared" si="259"/>
        <v>75</v>
      </c>
    </row>
    <row r="1495" spans="1:22" x14ac:dyDescent="0.25">
      <c r="A1495" s="98" t="s">
        <v>27</v>
      </c>
      <c r="B1495" s="98" t="s">
        <v>17</v>
      </c>
      <c r="C1495" s="98">
        <v>37</v>
      </c>
      <c r="D1495" s="98">
        <v>340</v>
      </c>
      <c r="E1495" s="157">
        <v>43018.911111111112</v>
      </c>
      <c r="F1495" s="157">
        <v>43019.087500000001</v>
      </c>
      <c r="G1495" s="98">
        <v>450</v>
      </c>
      <c r="H1495" s="98">
        <v>520</v>
      </c>
      <c r="I1495" s="98">
        <v>486</v>
      </c>
      <c r="J1495" s="98" t="s">
        <v>1970</v>
      </c>
      <c r="K1495" s="98" t="s">
        <v>4691</v>
      </c>
      <c r="L1495" s="105" t="str">
        <f t="shared" si="250"/>
        <v>Ghent</v>
      </c>
      <c r="M1495" s="105" t="str">
        <f t="shared" si="251"/>
        <v>Derate</v>
      </c>
      <c r="N1495" s="105" t="str">
        <f t="shared" si="252"/>
        <v>Coal</v>
      </c>
      <c r="O1495" s="105">
        <f>IFERROR(VLOOKUP(A1495,Lookup!$J$5:$P$19,7,FALSE),0)</f>
        <v>3</v>
      </c>
      <c r="P1495" s="159">
        <f t="shared" si="253"/>
        <v>2017</v>
      </c>
      <c r="Q1495" s="159">
        <f t="shared" si="254"/>
        <v>10</v>
      </c>
      <c r="R1495" s="160">
        <f t="shared" si="255"/>
        <v>4.2333333333372138</v>
      </c>
      <c r="S1495" s="158">
        <f t="shared" si="256"/>
        <v>0.56987179487231721</v>
      </c>
      <c r="T1495" s="161">
        <f t="shared" si="257"/>
        <v>276.95769230794616</v>
      </c>
      <c r="U1495" s="158">
        <f t="shared" si="258"/>
        <v>65.42307692307692</v>
      </c>
      <c r="V1495" s="160">
        <f t="shared" si="259"/>
        <v>65</v>
      </c>
    </row>
    <row r="1496" spans="1:22" x14ac:dyDescent="0.25">
      <c r="A1496" s="98" t="s">
        <v>27</v>
      </c>
      <c r="B1496" s="98" t="s">
        <v>17</v>
      </c>
      <c r="C1496" s="98">
        <v>38</v>
      </c>
      <c r="D1496" s="98">
        <v>250</v>
      </c>
      <c r="E1496" s="157">
        <v>43022.67291666667</v>
      </c>
      <c r="F1496" s="157">
        <v>43022.800694444442</v>
      </c>
      <c r="G1496" s="98">
        <v>460</v>
      </c>
      <c r="H1496" s="98">
        <v>520</v>
      </c>
      <c r="I1496" s="98">
        <v>486</v>
      </c>
      <c r="J1496" s="98" t="s">
        <v>1978</v>
      </c>
      <c r="K1496" s="98" t="s">
        <v>4692</v>
      </c>
      <c r="L1496" s="105" t="str">
        <f t="shared" si="250"/>
        <v>Ghent</v>
      </c>
      <c r="M1496" s="105" t="str">
        <f t="shared" si="251"/>
        <v>Derate</v>
      </c>
      <c r="N1496" s="105" t="str">
        <f t="shared" si="252"/>
        <v>Coal</v>
      </c>
      <c r="O1496" s="105">
        <f>IFERROR(VLOOKUP(A1496,Lookup!$J$5:$P$19,7,FALSE),0)</f>
        <v>3</v>
      </c>
      <c r="P1496" s="159">
        <f t="shared" si="253"/>
        <v>2017</v>
      </c>
      <c r="Q1496" s="159">
        <f t="shared" si="254"/>
        <v>10</v>
      </c>
      <c r="R1496" s="160">
        <f t="shared" si="255"/>
        <v>3.0666666665347293</v>
      </c>
      <c r="S1496" s="158">
        <f t="shared" si="256"/>
        <v>0.35384615383093032</v>
      </c>
      <c r="T1496" s="161">
        <f t="shared" si="257"/>
        <v>171.96923076183214</v>
      </c>
      <c r="U1496" s="158">
        <f t="shared" si="258"/>
        <v>56.07692307692308</v>
      </c>
      <c r="V1496" s="160">
        <f t="shared" si="259"/>
        <v>56</v>
      </c>
    </row>
    <row r="1497" spans="1:22" x14ac:dyDescent="0.25">
      <c r="A1497" s="98" t="s">
        <v>27</v>
      </c>
      <c r="B1497" s="98" t="s">
        <v>38</v>
      </c>
      <c r="C1497" s="98">
        <v>39</v>
      </c>
      <c r="D1497" s="98">
        <v>1801</v>
      </c>
      <c r="E1497" s="157">
        <v>43028.940972222219</v>
      </c>
      <c r="F1497" s="157">
        <v>43050.696527777778</v>
      </c>
      <c r="G1497" s="98">
        <v>0</v>
      </c>
      <c r="H1497" s="98">
        <v>520</v>
      </c>
      <c r="I1497" s="98">
        <v>486</v>
      </c>
      <c r="J1497" s="98" t="s">
        <v>2021</v>
      </c>
      <c r="K1497" s="98" t="s">
        <v>4693</v>
      </c>
      <c r="L1497" s="105" t="str">
        <f t="shared" si="250"/>
        <v>Ghent</v>
      </c>
      <c r="M1497" s="105" t="str">
        <f t="shared" si="251"/>
        <v>Other</v>
      </c>
      <c r="N1497" s="105" t="str">
        <f t="shared" si="252"/>
        <v>Coal</v>
      </c>
      <c r="O1497" s="105">
        <f>IFERROR(VLOOKUP(A1497,Lookup!$J$5:$P$19,7,FALSE),0)</f>
        <v>3</v>
      </c>
      <c r="P1497" s="159">
        <f t="shared" si="253"/>
        <v>2017</v>
      </c>
      <c r="Q1497" s="159">
        <f t="shared" si="254"/>
        <v>10</v>
      </c>
      <c r="R1497" s="160">
        <f t="shared" si="255"/>
        <v>522.1333333334187</v>
      </c>
      <c r="S1497" s="158">
        <f t="shared" si="256"/>
        <v>522.1333333334187</v>
      </c>
      <c r="T1497" s="161">
        <f t="shared" si="257"/>
        <v>253756.80000004149</v>
      </c>
      <c r="U1497" s="158">
        <f t="shared" si="258"/>
        <v>486</v>
      </c>
      <c r="V1497" s="160">
        <f t="shared" si="259"/>
        <v>486</v>
      </c>
    </row>
    <row r="1498" spans="1:22" x14ac:dyDescent="0.25">
      <c r="A1498" s="98" t="s">
        <v>27</v>
      </c>
      <c r="B1498" s="98" t="s">
        <v>15</v>
      </c>
      <c r="C1498" s="98">
        <v>40</v>
      </c>
      <c r="D1498" s="98">
        <v>3441</v>
      </c>
      <c r="E1498" s="157">
        <v>43050.871527777781</v>
      </c>
      <c r="F1498" s="157">
        <v>43051.397916666669</v>
      </c>
      <c r="G1498" s="98">
        <v>0</v>
      </c>
      <c r="H1498" s="98">
        <v>520</v>
      </c>
      <c r="I1498" s="98">
        <v>486</v>
      </c>
      <c r="J1498" s="98" t="s">
        <v>2282</v>
      </c>
      <c r="K1498" s="98" t="s">
        <v>4694</v>
      </c>
      <c r="L1498" s="105" t="str">
        <f t="shared" si="250"/>
        <v>Ghent</v>
      </c>
      <c r="M1498" s="105" t="str">
        <f t="shared" si="251"/>
        <v>Outage</v>
      </c>
      <c r="N1498" s="105" t="str">
        <f t="shared" si="252"/>
        <v>Coal</v>
      </c>
      <c r="O1498" s="105">
        <f>IFERROR(VLOOKUP(A1498,Lookup!$J$5:$P$19,7,FALSE),0)</f>
        <v>3</v>
      </c>
      <c r="P1498" s="159">
        <f t="shared" si="253"/>
        <v>2017</v>
      </c>
      <c r="Q1498" s="159">
        <f t="shared" si="254"/>
        <v>11</v>
      </c>
      <c r="R1498" s="160">
        <f t="shared" si="255"/>
        <v>12.633333333302289</v>
      </c>
      <c r="S1498" s="158">
        <f t="shared" si="256"/>
        <v>12.633333333302289</v>
      </c>
      <c r="T1498" s="161">
        <f t="shared" si="257"/>
        <v>6139.7999999849126</v>
      </c>
      <c r="U1498" s="158">
        <f t="shared" si="258"/>
        <v>486</v>
      </c>
      <c r="V1498" s="160">
        <f t="shared" si="259"/>
        <v>486</v>
      </c>
    </row>
    <row r="1499" spans="1:22" x14ac:dyDescent="0.25">
      <c r="A1499" s="98" t="s">
        <v>27</v>
      </c>
      <c r="B1499" s="98" t="s">
        <v>17</v>
      </c>
      <c r="C1499" s="98">
        <v>41</v>
      </c>
      <c r="D1499" s="98">
        <v>253</v>
      </c>
      <c r="E1499" s="157">
        <v>43052.193055555559</v>
      </c>
      <c r="F1499" s="157">
        <v>43052.243750000001</v>
      </c>
      <c r="G1499" s="98">
        <v>460</v>
      </c>
      <c r="H1499" s="98">
        <v>520</v>
      </c>
      <c r="I1499" s="98">
        <v>486</v>
      </c>
      <c r="J1499" s="98" t="s">
        <v>1999</v>
      </c>
      <c r="K1499" s="98" t="s">
        <v>4695</v>
      </c>
      <c r="L1499" s="105" t="str">
        <f t="shared" si="250"/>
        <v>Ghent</v>
      </c>
      <c r="M1499" s="105" t="str">
        <f t="shared" si="251"/>
        <v>Derate</v>
      </c>
      <c r="N1499" s="105" t="str">
        <f t="shared" si="252"/>
        <v>Coal</v>
      </c>
      <c r="O1499" s="105">
        <f>IFERROR(VLOOKUP(A1499,Lookup!$J$5:$P$19,7,FALSE),0)</f>
        <v>3</v>
      </c>
      <c r="P1499" s="159">
        <f t="shared" si="253"/>
        <v>2017</v>
      </c>
      <c r="Q1499" s="159">
        <f t="shared" si="254"/>
        <v>11</v>
      </c>
      <c r="R1499" s="160">
        <f t="shared" si="255"/>
        <v>1.21666666661622</v>
      </c>
      <c r="S1499" s="158">
        <f t="shared" si="256"/>
        <v>0.14038461537879462</v>
      </c>
      <c r="T1499" s="161">
        <f t="shared" si="257"/>
        <v>68.226923074094188</v>
      </c>
      <c r="U1499" s="158">
        <f t="shared" si="258"/>
        <v>56.07692307692308</v>
      </c>
      <c r="V1499" s="160">
        <f t="shared" si="259"/>
        <v>56</v>
      </c>
    </row>
    <row r="1500" spans="1:22" x14ac:dyDescent="0.25">
      <c r="A1500" s="98" t="s">
        <v>27</v>
      </c>
      <c r="B1500" s="98" t="s">
        <v>17</v>
      </c>
      <c r="C1500" s="98">
        <v>42</v>
      </c>
      <c r="D1500" s="98">
        <v>320</v>
      </c>
      <c r="E1500" s="157">
        <v>43065.444444444445</v>
      </c>
      <c r="F1500" s="157">
        <v>43065.510416666664</v>
      </c>
      <c r="G1500" s="98">
        <v>460</v>
      </c>
      <c r="H1500" s="98">
        <v>520</v>
      </c>
      <c r="I1500" s="98">
        <v>486</v>
      </c>
      <c r="J1500" s="98" t="s">
        <v>1992</v>
      </c>
      <c r="K1500" s="98" t="s">
        <v>4696</v>
      </c>
      <c r="L1500" s="105" t="str">
        <f t="shared" si="250"/>
        <v>Ghent</v>
      </c>
      <c r="M1500" s="105" t="str">
        <f t="shared" si="251"/>
        <v>Derate</v>
      </c>
      <c r="N1500" s="105" t="str">
        <f t="shared" si="252"/>
        <v>Coal</v>
      </c>
      <c r="O1500" s="105">
        <f>IFERROR(VLOOKUP(A1500,Lookup!$J$5:$P$19,7,FALSE),0)</f>
        <v>3</v>
      </c>
      <c r="P1500" s="159">
        <f t="shared" si="253"/>
        <v>2017</v>
      </c>
      <c r="Q1500" s="159">
        <f t="shared" si="254"/>
        <v>11</v>
      </c>
      <c r="R1500" s="160">
        <f t="shared" si="255"/>
        <v>1.5833333332557231</v>
      </c>
      <c r="S1500" s="158">
        <f t="shared" si="256"/>
        <v>0.18269230768335268</v>
      </c>
      <c r="T1500" s="161">
        <f t="shared" si="257"/>
        <v>88.788461534109402</v>
      </c>
      <c r="U1500" s="158">
        <f t="shared" si="258"/>
        <v>56.07692307692308</v>
      </c>
      <c r="V1500" s="160">
        <f t="shared" si="259"/>
        <v>56</v>
      </c>
    </row>
    <row r="1501" spans="1:22" x14ac:dyDescent="0.25">
      <c r="A1501" s="98" t="s">
        <v>27</v>
      </c>
      <c r="B1501" s="98" t="s">
        <v>17</v>
      </c>
      <c r="C1501" s="98">
        <v>43</v>
      </c>
      <c r="D1501" s="98">
        <v>350</v>
      </c>
      <c r="E1501" s="157">
        <v>43070.384027777778</v>
      </c>
      <c r="F1501" s="157">
        <v>43070.450694444444</v>
      </c>
      <c r="G1501" s="98">
        <v>460</v>
      </c>
      <c r="H1501" s="98">
        <v>520</v>
      </c>
      <c r="I1501" s="98">
        <v>486</v>
      </c>
      <c r="J1501" s="98" t="s">
        <v>1976</v>
      </c>
      <c r="K1501" s="98" t="s">
        <v>4697</v>
      </c>
      <c r="L1501" s="105" t="str">
        <f t="shared" si="250"/>
        <v>Ghent</v>
      </c>
      <c r="M1501" s="105" t="str">
        <f t="shared" si="251"/>
        <v>Derate</v>
      </c>
      <c r="N1501" s="105" t="str">
        <f t="shared" si="252"/>
        <v>Coal</v>
      </c>
      <c r="O1501" s="105">
        <f>IFERROR(VLOOKUP(A1501,Lookup!$J$5:$P$19,7,FALSE),0)</f>
        <v>3</v>
      </c>
      <c r="P1501" s="159">
        <f t="shared" si="253"/>
        <v>2017</v>
      </c>
      <c r="Q1501" s="159">
        <f t="shared" si="254"/>
        <v>12</v>
      </c>
      <c r="R1501" s="160">
        <f t="shared" si="255"/>
        <v>1.5999999999767169</v>
      </c>
      <c r="S1501" s="158">
        <f t="shared" si="256"/>
        <v>0.18461538461269811</v>
      </c>
      <c r="T1501" s="161">
        <f t="shared" si="257"/>
        <v>89.72307692177128</v>
      </c>
      <c r="U1501" s="158">
        <f t="shared" si="258"/>
        <v>56.07692307692308</v>
      </c>
      <c r="V1501" s="160">
        <f t="shared" si="259"/>
        <v>56</v>
      </c>
    </row>
    <row r="1502" spans="1:22" x14ac:dyDescent="0.25">
      <c r="A1502" s="98" t="s">
        <v>27</v>
      </c>
      <c r="B1502" s="98" t="s">
        <v>17</v>
      </c>
      <c r="C1502" s="98">
        <v>44</v>
      </c>
      <c r="D1502" s="98">
        <v>346</v>
      </c>
      <c r="E1502" s="157">
        <v>43075.027777777781</v>
      </c>
      <c r="F1502" s="157">
        <v>43075.152083333334</v>
      </c>
      <c r="G1502" s="98">
        <v>460</v>
      </c>
      <c r="H1502" s="98">
        <v>520</v>
      </c>
      <c r="I1502" s="98">
        <v>486</v>
      </c>
      <c r="J1502" s="98" t="s">
        <v>1986</v>
      </c>
      <c r="K1502" s="98" t="s">
        <v>4698</v>
      </c>
      <c r="L1502" s="105" t="str">
        <f t="shared" si="250"/>
        <v>Ghent</v>
      </c>
      <c r="M1502" s="105" t="str">
        <f t="shared" si="251"/>
        <v>Derate</v>
      </c>
      <c r="N1502" s="105" t="str">
        <f t="shared" si="252"/>
        <v>Coal</v>
      </c>
      <c r="O1502" s="105">
        <f>IFERROR(VLOOKUP(A1502,Lookup!$J$5:$P$19,7,FALSE),0)</f>
        <v>3</v>
      </c>
      <c r="P1502" s="159">
        <f t="shared" si="253"/>
        <v>2017</v>
      </c>
      <c r="Q1502" s="159">
        <f t="shared" si="254"/>
        <v>12</v>
      </c>
      <c r="R1502" s="160">
        <f t="shared" si="255"/>
        <v>2.9833333332790062</v>
      </c>
      <c r="S1502" s="158">
        <f t="shared" si="256"/>
        <v>0.34423076922450069</v>
      </c>
      <c r="T1502" s="161">
        <f t="shared" si="257"/>
        <v>167.29615384310733</v>
      </c>
      <c r="U1502" s="158">
        <f t="shared" si="258"/>
        <v>56.07692307692308</v>
      </c>
      <c r="V1502" s="160">
        <f t="shared" si="259"/>
        <v>56</v>
      </c>
    </row>
    <row r="1503" spans="1:22" x14ac:dyDescent="0.25">
      <c r="A1503" s="98" t="s">
        <v>27</v>
      </c>
      <c r="B1503" s="98" t="s">
        <v>17</v>
      </c>
      <c r="C1503" s="98">
        <v>45</v>
      </c>
      <c r="D1503" s="98">
        <v>340</v>
      </c>
      <c r="E1503" s="157">
        <v>43090.536111111112</v>
      </c>
      <c r="F1503" s="157">
        <v>43090.646527777775</v>
      </c>
      <c r="G1503" s="98">
        <v>460</v>
      </c>
      <c r="H1503" s="98">
        <v>520</v>
      </c>
      <c r="I1503" s="98">
        <v>486</v>
      </c>
      <c r="J1503" s="98" t="s">
        <v>1970</v>
      </c>
      <c r="K1503" s="98" t="s">
        <v>4699</v>
      </c>
      <c r="L1503" s="105" t="str">
        <f t="shared" si="250"/>
        <v>Ghent</v>
      </c>
      <c r="M1503" s="105" t="str">
        <f t="shared" si="251"/>
        <v>Derate</v>
      </c>
      <c r="N1503" s="105" t="str">
        <f t="shared" si="252"/>
        <v>Coal</v>
      </c>
      <c r="O1503" s="105">
        <f>IFERROR(VLOOKUP(A1503,Lookup!$J$5:$P$19,7,FALSE),0)</f>
        <v>3</v>
      </c>
      <c r="P1503" s="159">
        <f t="shared" si="253"/>
        <v>2017</v>
      </c>
      <c r="Q1503" s="159">
        <f t="shared" si="254"/>
        <v>12</v>
      </c>
      <c r="R1503" s="160">
        <f t="shared" si="255"/>
        <v>2.6499999999068677</v>
      </c>
      <c r="S1503" s="158">
        <f t="shared" si="256"/>
        <v>0.30576923075848472</v>
      </c>
      <c r="T1503" s="161">
        <f t="shared" si="257"/>
        <v>148.60384614862357</v>
      </c>
      <c r="U1503" s="158">
        <f t="shared" si="258"/>
        <v>56.07692307692308</v>
      </c>
      <c r="V1503" s="160">
        <f t="shared" si="259"/>
        <v>56</v>
      </c>
    </row>
    <row r="1504" spans="1:22" x14ac:dyDescent="0.25">
      <c r="A1504" s="98" t="s">
        <v>27</v>
      </c>
      <c r="B1504" s="98" t="s">
        <v>17</v>
      </c>
      <c r="C1504" s="98">
        <v>46</v>
      </c>
      <c r="D1504" s="98">
        <v>340</v>
      </c>
      <c r="E1504" s="157">
        <v>43099.752083333333</v>
      </c>
      <c r="F1504" s="157">
        <v>43099.788194444445</v>
      </c>
      <c r="G1504" s="98">
        <v>460</v>
      </c>
      <c r="H1504" s="98">
        <v>520</v>
      </c>
      <c r="I1504" s="98">
        <v>486</v>
      </c>
      <c r="J1504" s="98" t="s">
        <v>1970</v>
      </c>
      <c r="K1504" s="98" t="s">
        <v>4700</v>
      </c>
      <c r="L1504" s="105" t="str">
        <f t="shared" si="250"/>
        <v>Ghent</v>
      </c>
      <c r="M1504" s="105" t="str">
        <f t="shared" si="251"/>
        <v>Derate</v>
      </c>
      <c r="N1504" s="105" t="str">
        <f t="shared" si="252"/>
        <v>Coal</v>
      </c>
      <c r="O1504" s="105">
        <f>IFERROR(VLOOKUP(A1504,Lookup!$J$5:$P$19,7,FALSE),0)</f>
        <v>3</v>
      </c>
      <c r="P1504" s="159">
        <f t="shared" si="253"/>
        <v>2017</v>
      </c>
      <c r="Q1504" s="159">
        <f t="shared" si="254"/>
        <v>12</v>
      </c>
      <c r="R1504" s="160">
        <f t="shared" si="255"/>
        <v>0.86666666669771075</v>
      </c>
      <c r="S1504" s="158">
        <f t="shared" si="256"/>
        <v>0.10000000000358202</v>
      </c>
      <c r="T1504" s="161">
        <f t="shared" si="257"/>
        <v>48.60000000174086</v>
      </c>
      <c r="U1504" s="158">
        <f t="shared" si="258"/>
        <v>56.07692307692308</v>
      </c>
      <c r="V1504" s="160">
        <f t="shared" si="259"/>
        <v>56</v>
      </c>
    </row>
    <row r="1505" spans="1:22" x14ac:dyDescent="0.25">
      <c r="A1505" s="98" t="s">
        <v>27</v>
      </c>
      <c r="B1505" s="98" t="s">
        <v>17</v>
      </c>
      <c r="C1505" s="98">
        <v>1</v>
      </c>
      <c r="D1505" s="98">
        <v>340</v>
      </c>
      <c r="E1505" s="157">
        <v>43102.538888888892</v>
      </c>
      <c r="F1505" s="157">
        <v>43102.5625</v>
      </c>
      <c r="G1505" s="98">
        <v>460</v>
      </c>
      <c r="H1505" s="98">
        <v>520</v>
      </c>
      <c r="I1505" s="98">
        <v>486</v>
      </c>
      <c r="J1505" s="98" t="s">
        <v>1970</v>
      </c>
      <c r="K1505" s="98" t="s">
        <v>4701</v>
      </c>
      <c r="L1505" s="105" t="str">
        <f t="shared" si="250"/>
        <v>Ghent</v>
      </c>
      <c r="M1505" s="105" t="str">
        <f t="shared" si="251"/>
        <v>Derate</v>
      </c>
      <c r="N1505" s="105" t="str">
        <f t="shared" si="252"/>
        <v>Coal</v>
      </c>
      <c r="O1505" s="105">
        <f>IFERROR(VLOOKUP(A1505,Lookup!$J$5:$P$19,7,FALSE),0)</f>
        <v>3</v>
      </c>
      <c r="P1505" s="159">
        <f t="shared" si="253"/>
        <v>2018</v>
      </c>
      <c r="Q1505" s="159">
        <f t="shared" si="254"/>
        <v>1</v>
      </c>
      <c r="R1505" s="160">
        <f t="shared" si="255"/>
        <v>0.56666666659293696</v>
      </c>
      <c r="S1505" s="158">
        <f t="shared" si="256"/>
        <v>6.538461537610811E-2</v>
      </c>
      <c r="T1505" s="161">
        <f t="shared" si="257"/>
        <v>31.776923072788541</v>
      </c>
      <c r="U1505" s="158">
        <f t="shared" si="258"/>
        <v>56.07692307692308</v>
      </c>
      <c r="V1505" s="160">
        <f t="shared" si="259"/>
        <v>56</v>
      </c>
    </row>
    <row r="1506" spans="1:22" x14ac:dyDescent="0.25">
      <c r="A1506" s="98" t="s">
        <v>27</v>
      </c>
      <c r="B1506" s="98" t="s">
        <v>17</v>
      </c>
      <c r="C1506" s="98">
        <v>2</v>
      </c>
      <c r="D1506" s="98">
        <v>1470</v>
      </c>
      <c r="E1506" s="157">
        <v>43116.253472222219</v>
      </c>
      <c r="F1506" s="157">
        <v>43116.290277777778</v>
      </c>
      <c r="G1506" s="98">
        <v>220</v>
      </c>
      <c r="H1506" s="98">
        <v>520</v>
      </c>
      <c r="I1506" s="98">
        <v>486</v>
      </c>
      <c r="J1506" s="98" t="s">
        <v>2005</v>
      </c>
      <c r="K1506" s="98" t="s">
        <v>4702</v>
      </c>
      <c r="L1506" s="105" t="str">
        <f t="shared" si="250"/>
        <v>Ghent</v>
      </c>
      <c r="M1506" s="105" t="str">
        <f t="shared" si="251"/>
        <v>Derate</v>
      </c>
      <c r="N1506" s="105" t="str">
        <f t="shared" si="252"/>
        <v>Coal</v>
      </c>
      <c r="O1506" s="105">
        <f>IFERROR(VLOOKUP(A1506,Lookup!$J$5:$P$19,7,FALSE),0)</f>
        <v>3</v>
      </c>
      <c r="P1506" s="159">
        <f t="shared" si="253"/>
        <v>2018</v>
      </c>
      <c r="Q1506" s="159">
        <f t="shared" si="254"/>
        <v>1</v>
      </c>
      <c r="R1506" s="160">
        <f t="shared" si="255"/>
        <v>0.88333333341870457</v>
      </c>
      <c r="S1506" s="158">
        <f t="shared" si="256"/>
        <v>0.50961538466463729</v>
      </c>
      <c r="T1506" s="161">
        <f t="shared" si="257"/>
        <v>247.67307694701373</v>
      </c>
      <c r="U1506" s="158">
        <f t="shared" si="258"/>
        <v>280.38461538461536</v>
      </c>
      <c r="V1506" s="160">
        <f t="shared" si="259"/>
        <v>280</v>
      </c>
    </row>
    <row r="1507" spans="1:22" x14ac:dyDescent="0.25">
      <c r="A1507" s="98" t="s">
        <v>27</v>
      </c>
      <c r="B1507" s="98" t="s">
        <v>17</v>
      </c>
      <c r="C1507" s="98">
        <v>3</v>
      </c>
      <c r="D1507" s="98">
        <v>3408</v>
      </c>
      <c r="E1507" s="157">
        <v>43122.144444444442</v>
      </c>
      <c r="F1507" s="157">
        <v>43122.193749999999</v>
      </c>
      <c r="G1507" s="98">
        <v>340</v>
      </c>
      <c r="H1507" s="98">
        <v>520</v>
      </c>
      <c r="I1507" s="98">
        <v>486</v>
      </c>
      <c r="J1507" s="98" t="s">
        <v>2195</v>
      </c>
      <c r="K1507" s="98" t="s">
        <v>4703</v>
      </c>
      <c r="L1507" s="105" t="str">
        <f t="shared" si="250"/>
        <v>Ghent</v>
      </c>
      <c r="M1507" s="105" t="str">
        <f t="shared" si="251"/>
        <v>Derate</v>
      </c>
      <c r="N1507" s="105" t="str">
        <f t="shared" si="252"/>
        <v>Coal</v>
      </c>
      <c r="O1507" s="105">
        <f>IFERROR(VLOOKUP(A1507,Lookup!$J$5:$P$19,7,FALSE),0)</f>
        <v>3</v>
      </c>
      <c r="P1507" s="159">
        <f t="shared" si="253"/>
        <v>2018</v>
      </c>
      <c r="Q1507" s="159">
        <f t="shared" si="254"/>
        <v>1</v>
      </c>
      <c r="R1507" s="160">
        <f t="shared" si="255"/>
        <v>1.1833333333488554</v>
      </c>
      <c r="S1507" s="158">
        <f t="shared" si="256"/>
        <v>0.40961538462075764</v>
      </c>
      <c r="T1507" s="161">
        <f t="shared" si="257"/>
        <v>199.07307692568821</v>
      </c>
      <c r="U1507" s="158">
        <f t="shared" si="258"/>
        <v>168.23076923076923</v>
      </c>
      <c r="V1507" s="160">
        <f t="shared" si="259"/>
        <v>168</v>
      </c>
    </row>
    <row r="1508" spans="1:22" x14ac:dyDescent="0.25">
      <c r="A1508" s="98" t="s">
        <v>27</v>
      </c>
      <c r="B1508" s="98" t="s">
        <v>17</v>
      </c>
      <c r="C1508" s="98">
        <v>4</v>
      </c>
      <c r="D1508" s="98">
        <v>346</v>
      </c>
      <c r="E1508" s="157">
        <v>43123.333333333336</v>
      </c>
      <c r="F1508" s="157">
        <v>43123.397222222222</v>
      </c>
      <c r="G1508" s="98">
        <v>450</v>
      </c>
      <c r="H1508" s="98">
        <v>520</v>
      </c>
      <c r="I1508" s="98">
        <v>486</v>
      </c>
      <c r="J1508" s="98" t="s">
        <v>1986</v>
      </c>
      <c r="K1508" s="98" t="s">
        <v>4704</v>
      </c>
      <c r="L1508" s="105" t="str">
        <f t="shared" si="250"/>
        <v>Ghent</v>
      </c>
      <c r="M1508" s="105" t="str">
        <f t="shared" si="251"/>
        <v>Derate</v>
      </c>
      <c r="N1508" s="105" t="str">
        <f t="shared" si="252"/>
        <v>Coal</v>
      </c>
      <c r="O1508" s="105">
        <f>IFERROR(VLOOKUP(A1508,Lookup!$J$5:$P$19,7,FALSE),0)</f>
        <v>3</v>
      </c>
      <c r="P1508" s="159">
        <f t="shared" si="253"/>
        <v>2018</v>
      </c>
      <c r="Q1508" s="159">
        <f t="shared" si="254"/>
        <v>1</v>
      </c>
      <c r="R1508" s="160">
        <f t="shared" si="255"/>
        <v>1.5333333332673647</v>
      </c>
      <c r="S1508" s="158">
        <f t="shared" si="256"/>
        <v>0.206410256401376</v>
      </c>
      <c r="T1508" s="161">
        <f t="shared" si="257"/>
        <v>100.31538461106874</v>
      </c>
      <c r="U1508" s="158">
        <f t="shared" si="258"/>
        <v>65.42307692307692</v>
      </c>
      <c r="V1508" s="160">
        <f t="shared" si="259"/>
        <v>65</v>
      </c>
    </row>
    <row r="1509" spans="1:22" x14ac:dyDescent="0.25">
      <c r="A1509" s="98" t="s">
        <v>27</v>
      </c>
      <c r="B1509" s="98" t="s">
        <v>32</v>
      </c>
      <c r="C1509" s="98">
        <v>5</v>
      </c>
      <c r="D1509" s="98">
        <v>253</v>
      </c>
      <c r="E1509" s="157">
        <v>43126</v>
      </c>
      <c r="F1509" s="157">
        <v>43126.056944444441</v>
      </c>
      <c r="G1509" s="98">
        <v>460</v>
      </c>
      <c r="H1509" s="98">
        <v>520</v>
      </c>
      <c r="I1509" s="98">
        <v>486</v>
      </c>
      <c r="J1509" s="98" t="s">
        <v>1999</v>
      </c>
      <c r="K1509" s="98" t="s">
        <v>4705</v>
      </c>
      <c r="L1509" s="105" t="str">
        <f t="shared" si="250"/>
        <v>Ghent</v>
      </c>
      <c r="M1509" s="105" t="str">
        <f t="shared" si="251"/>
        <v>Derate</v>
      </c>
      <c r="N1509" s="105" t="str">
        <f t="shared" si="252"/>
        <v>Coal</v>
      </c>
      <c r="O1509" s="105">
        <f>IFERROR(VLOOKUP(A1509,Lookup!$J$5:$P$19,7,FALSE),0)</f>
        <v>3</v>
      </c>
      <c r="P1509" s="159">
        <f t="shared" si="253"/>
        <v>2018</v>
      </c>
      <c r="Q1509" s="159">
        <f t="shared" si="254"/>
        <v>1</v>
      </c>
      <c r="R1509" s="160">
        <f t="shared" si="255"/>
        <v>1.3666666665812954</v>
      </c>
      <c r="S1509" s="158">
        <f t="shared" si="256"/>
        <v>0.15769230768245718</v>
      </c>
      <c r="T1509" s="161">
        <f t="shared" si="257"/>
        <v>76.638461533674189</v>
      </c>
      <c r="U1509" s="158">
        <f t="shared" si="258"/>
        <v>56.07692307692308</v>
      </c>
      <c r="V1509" s="160">
        <f t="shared" si="259"/>
        <v>56</v>
      </c>
    </row>
    <row r="1510" spans="1:22" x14ac:dyDescent="0.25">
      <c r="A1510" s="98" t="s">
        <v>27</v>
      </c>
      <c r="B1510" s="98" t="s">
        <v>32</v>
      </c>
      <c r="C1510" s="98">
        <v>6</v>
      </c>
      <c r="D1510" s="98">
        <v>255</v>
      </c>
      <c r="E1510" s="157">
        <v>43129.919444444444</v>
      </c>
      <c r="F1510" s="157">
        <v>43130.163888888892</v>
      </c>
      <c r="G1510" s="98">
        <v>460</v>
      </c>
      <c r="H1510" s="98">
        <v>520</v>
      </c>
      <c r="I1510" s="98">
        <v>486</v>
      </c>
      <c r="J1510" s="98" t="s">
        <v>2124</v>
      </c>
      <c r="K1510" s="98" t="s">
        <v>4706</v>
      </c>
      <c r="L1510" s="105" t="str">
        <f t="shared" si="250"/>
        <v>Ghent</v>
      </c>
      <c r="M1510" s="105" t="str">
        <f t="shared" si="251"/>
        <v>Derate</v>
      </c>
      <c r="N1510" s="105" t="str">
        <f t="shared" si="252"/>
        <v>Coal</v>
      </c>
      <c r="O1510" s="105">
        <f>IFERROR(VLOOKUP(A1510,Lookup!$J$5:$P$19,7,FALSE),0)</f>
        <v>3</v>
      </c>
      <c r="P1510" s="159">
        <f t="shared" si="253"/>
        <v>2018</v>
      </c>
      <c r="Q1510" s="159">
        <f t="shared" si="254"/>
        <v>1</v>
      </c>
      <c r="R1510" s="160">
        <f t="shared" si="255"/>
        <v>5.8666666667559184</v>
      </c>
      <c r="S1510" s="158">
        <f t="shared" si="256"/>
        <v>0.67692307693337517</v>
      </c>
      <c r="T1510" s="161">
        <f t="shared" si="257"/>
        <v>328.98461538962033</v>
      </c>
      <c r="U1510" s="158">
        <f t="shared" si="258"/>
        <v>56.07692307692308</v>
      </c>
      <c r="V1510" s="160">
        <f t="shared" si="259"/>
        <v>56</v>
      </c>
    </row>
    <row r="1511" spans="1:22" x14ac:dyDescent="0.25">
      <c r="A1511" s="98" t="s">
        <v>27</v>
      </c>
      <c r="B1511" s="98" t="s">
        <v>32</v>
      </c>
      <c r="C1511" s="98">
        <v>7</v>
      </c>
      <c r="D1511" s="98">
        <v>250</v>
      </c>
      <c r="E1511" s="157">
        <v>43130.916666666664</v>
      </c>
      <c r="F1511" s="157">
        <v>43131.122916666667</v>
      </c>
      <c r="G1511" s="98">
        <v>460</v>
      </c>
      <c r="H1511" s="98">
        <v>520</v>
      </c>
      <c r="I1511" s="98">
        <v>486</v>
      </c>
      <c r="J1511" s="98" t="s">
        <v>1978</v>
      </c>
      <c r="K1511" s="98" t="s">
        <v>4707</v>
      </c>
      <c r="L1511" s="105" t="str">
        <f t="shared" ref="L1511:L1574" si="260">IF(OR(A1511="BR1",A1511="BR2",A1511="BR3",A1511="BR5",A1511="BR6",A1511="BR7",A1511="BR8",A1511="BR9",A1511="BR10",A1511="BR11"),"Brown",IF(OR(A1511="CR4",A1511="CR5",A1511="CR6",A1511="CR11"),"Cane Run",IF(OR(A1511="GH1",A1511="GH2",A1511="GH3",A1511="GH4"),"Ghent",IF(OR(A1511="GR3",A1511="GR4"),"Green River",IF(OR(A1511="MC1",A1511="MC2",A1511="MC3",A1511="MC4"),"Mill Creek",IF(OR(A1511="TC1",A1511="TC2",A1511="TC5",A1511="TC6",A1511="TC7",A1511="TC8",A1511="TC9",A1511="TC10"),"Trimble",IF(A1511="TY3","Tyrone",IF(OR(A1511="HA1",A1511="HA2",A1511="HA3"),"Haeflin",IF(OR(A1511="PR11",A1511="PR12",A1511="PR13"),"Paddy's Run","Zorn")))))))))</f>
        <v>Ghent</v>
      </c>
      <c r="M1511" s="105" t="str">
        <f t="shared" ref="M1511:M1574" si="261">IF(OR(B1511="D1",B1511="D2",B1511="D3",B1511="D4",B1511="PD"),"Derate",IF(OR(B1511="SF",B1511="U1",B1511="U2",B1511="U3"),"Outage",IF(OR(B1511="ME",B1511="MO"),"Maintenance","Other")))</f>
        <v>Derate</v>
      </c>
      <c r="N1511" s="105" t="str">
        <f t="shared" ref="N1511:N1574" si="262">IF(OR(A1511="BR1",A1511="BR2",A1511="BR3",A1511="CR4",A1511="CR5",A1511="CR6",A1511="GH1",A1511="GH2",A1511="GH3",A1511="GH4",A1511="GR3",A1511="GR4",A1511="MC1",A1511="MC2",A1511="MC3",A1511="MC4",A1511="TC1",A1511="TC2",A1511="TY3"),"Coal","Gas")</f>
        <v>Coal</v>
      </c>
      <c r="O1511" s="105">
        <f>IFERROR(VLOOKUP(A1511,Lookup!$J$5:$P$19,7,FALSE),0)</f>
        <v>3</v>
      </c>
      <c r="P1511" s="159">
        <f t="shared" ref="P1511:P1574" si="263">YEAR(E1511)</f>
        <v>2018</v>
      </c>
      <c r="Q1511" s="159">
        <f t="shared" ref="Q1511:Q1574" si="264">MONTH(E1511)</f>
        <v>1</v>
      </c>
      <c r="R1511" s="160">
        <f t="shared" ref="R1511:R1574" si="265">(F1511-E1511)*24</f>
        <v>4.9500000000698492</v>
      </c>
      <c r="S1511" s="158">
        <f t="shared" ref="S1511:S1574" si="266">R1511*(H1511-G1511)/H1511</f>
        <v>0.57115384616190568</v>
      </c>
      <c r="T1511" s="161">
        <f t="shared" ref="T1511:T1574" si="267">S1511*I1511</f>
        <v>277.58076923468616</v>
      </c>
      <c r="U1511" s="158">
        <f t="shared" ref="U1511:U1574" si="268">IF(G1511&gt;0,MAX((H1511-G1511),0)*I1511/H1511,I1511)</f>
        <v>56.07692307692308</v>
      </c>
      <c r="V1511" s="160">
        <f t="shared" ref="V1511:V1574" si="269">ROUND(U1511,0)</f>
        <v>56</v>
      </c>
    </row>
    <row r="1512" spans="1:22" x14ac:dyDescent="0.25">
      <c r="A1512" s="98" t="s">
        <v>27</v>
      </c>
      <c r="B1512" s="98" t="s">
        <v>32</v>
      </c>
      <c r="C1512" s="98">
        <v>8</v>
      </c>
      <c r="D1512" s="98">
        <v>3690</v>
      </c>
      <c r="E1512" s="157">
        <v>43147.001388888886</v>
      </c>
      <c r="F1512" s="157">
        <v>43147.118055555555</v>
      </c>
      <c r="G1512" s="98">
        <v>300</v>
      </c>
      <c r="H1512" s="98">
        <v>520</v>
      </c>
      <c r="I1512" s="98">
        <v>486</v>
      </c>
      <c r="J1512" s="98" t="s">
        <v>450</v>
      </c>
      <c r="K1512" s="98" t="s">
        <v>4708</v>
      </c>
      <c r="L1512" s="105" t="str">
        <f t="shared" si="260"/>
        <v>Ghent</v>
      </c>
      <c r="M1512" s="105" t="str">
        <f t="shared" si="261"/>
        <v>Derate</v>
      </c>
      <c r="N1512" s="105" t="str">
        <f t="shared" si="262"/>
        <v>Coal</v>
      </c>
      <c r="O1512" s="105">
        <f>IFERROR(VLOOKUP(A1512,Lookup!$J$5:$P$19,7,FALSE),0)</f>
        <v>3</v>
      </c>
      <c r="P1512" s="159">
        <f t="shared" si="263"/>
        <v>2018</v>
      </c>
      <c r="Q1512" s="159">
        <f t="shared" si="264"/>
        <v>2</v>
      </c>
      <c r="R1512" s="160">
        <f t="shared" si="265"/>
        <v>2.8000000000465661</v>
      </c>
      <c r="S1512" s="158">
        <f t="shared" si="266"/>
        <v>1.1846153846350858</v>
      </c>
      <c r="T1512" s="161">
        <f t="shared" si="267"/>
        <v>575.72307693265168</v>
      </c>
      <c r="U1512" s="158">
        <f t="shared" si="268"/>
        <v>205.61538461538461</v>
      </c>
      <c r="V1512" s="160">
        <f t="shared" si="269"/>
        <v>206</v>
      </c>
    </row>
    <row r="1513" spans="1:22" x14ac:dyDescent="0.25">
      <c r="A1513" s="98" t="s">
        <v>27</v>
      </c>
      <c r="B1513" s="98" t="s">
        <v>17</v>
      </c>
      <c r="C1513" s="98">
        <v>9</v>
      </c>
      <c r="D1513" s="98">
        <v>344</v>
      </c>
      <c r="E1513" s="157">
        <v>43149.163194444445</v>
      </c>
      <c r="F1513" s="157">
        <v>43149.261805555558</v>
      </c>
      <c r="G1513" s="98">
        <v>460</v>
      </c>
      <c r="H1513" s="98">
        <v>520</v>
      </c>
      <c r="I1513" s="98">
        <v>486</v>
      </c>
      <c r="J1513" s="98" t="s">
        <v>1968</v>
      </c>
      <c r="K1513" s="98" t="s">
        <v>4709</v>
      </c>
      <c r="L1513" s="105" t="str">
        <f t="shared" si="260"/>
        <v>Ghent</v>
      </c>
      <c r="M1513" s="105" t="str">
        <f t="shared" si="261"/>
        <v>Derate</v>
      </c>
      <c r="N1513" s="105" t="str">
        <f t="shared" si="262"/>
        <v>Coal</v>
      </c>
      <c r="O1513" s="105">
        <f>IFERROR(VLOOKUP(A1513,Lookup!$J$5:$P$19,7,FALSE),0)</f>
        <v>3</v>
      </c>
      <c r="P1513" s="159">
        <f t="shared" si="263"/>
        <v>2018</v>
      </c>
      <c r="Q1513" s="159">
        <f t="shared" si="264"/>
        <v>2</v>
      </c>
      <c r="R1513" s="160">
        <f t="shared" si="265"/>
        <v>2.3666666666977108</v>
      </c>
      <c r="S1513" s="158">
        <f t="shared" si="266"/>
        <v>0.27307692308050507</v>
      </c>
      <c r="T1513" s="161">
        <f t="shared" si="267"/>
        <v>132.71538461712547</v>
      </c>
      <c r="U1513" s="158">
        <f t="shared" si="268"/>
        <v>56.07692307692308</v>
      </c>
      <c r="V1513" s="160">
        <f t="shared" si="269"/>
        <v>56</v>
      </c>
    </row>
    <row r="1514" spans="1:22" x14ac:dyDescent="0.25">
      <c r="A1514" s="98" t="s">
        <v>27</v>
      </c>
      <c r="B1514" s="98" t="s">
        <v>17</v>
      </c>
      <c r="C1514" s="98">
        <v>10</v>
      </c>
      <c r="D1514" s="98">
        <v>320</v>
      </c>
      <c r="E1514" s="157">
        <v>43149.586111111108</v>
      </c>
      <c r="F1514" s="157">
        <v>43149.62777777778</v>
      </c>
      <c r="G1514" s="98">
        <v>460</v>
      </c>
      <c r="H1514" s="98">
        <v>520</v>
      </c>
      <c r="I1514" s="98">
        <v>486</v>
      </c>
      <c r="J1514" s="98" t="s">
        <v>1992</v>
      </c>
      <c r="K1514" s="98" t="s">
        <v>4710</v>
      </c>
      <c r="L1514" s="105" t="str">
        <f t="shared" si="260"/>
        <v>Ghent</v>
      </c>
      <c r="M1514" s="105" t="str">
        <f t="shared" si="261"/>
        <v>Derate</v>
      </c>
      <c r="N1514" s="105" t="str">
        <f t="shared" si="262"/>
        <v>Coal</v>
      </c>
      <c r="O1514" s="105">
        <f>IFERROR(VLOOKUP(A1514,Lookup!$J$5:$P$19,7,FALSE),0)</f>
        <v>3</v>
      </c>
      <c r="P1514" s="159">
        <f t="shared" si="263"/>
        <v>2018</v>
      </c>
      <c r="Q1514" s="159">
        <f t="shared" si="264"/>
        <v>2</v>
      </c>
      <c r="R1514" s="160">
        <f t="shared" si="265"/>
        <v>1.0000000001164153</v>
      </c>
      <c r="S1514" s="158">
        <f t="shared" si="266"/>
        <v>0.11538461539804792</v>
      </c>
      <c r="T1514" s="161">
        <f t="shared" si="267"/>
        <v>56.076923083451291</v>
      </c>
      <c r="U1514" s="158">
        <f t="shared" si="268"/>
        <v>56.07692307692308</v>
      </c>
      <c r="V1514" s="160">
        <f t="shared" si="269"/>
        <v>56</v>
      </c>
    </row>
    <row r="1515" spans="1:22" x14ac:dyDescent="0.25">
      <c r="A1515" s="98" t="s">
        <v>27</v>
      </c>
      <c r="B1515" s="98" t="s">
        <v>20</v>
      </c>
      <c r="C1515" s="98">
        <v>11</v>
      </c>
      <c r="D1515" s="98">
        <v>4302</v>
      </c>
      <c r="E1515" s="157">
        <v>43150.465277777781</v>
      </c>
      <c r="F1515" s="157">
        <v>43151.124305555553</v>
      </c>
      <c r="G1515" s="98">
        <v>0</v>
      </c>
      <c r="H1515" s="98">
        <v>520</v>
      </c>
      <c r="I1515" s="98">
        <v>486</v>
      </c>
      <c r="J1515" s="98" t="s">
        <v>2024</v>
      </c>
      <c r="K1515" s="98" t="s">
        <v>4711</v>
      </c>
      <c r="L1515" s="105" t="str">
        <f t="shared" si="260"/>
        <v>Ghent</v>
      </c>
      <c r="M1515" s="105" t="str">
        <f t="shared" si="261"/>
        <v>Maintenance</v>
      </c>
      <c r="N1515" s="105" t="str">
        <f t="shared" si="262"/>
        <v>Coal</v>
      </c>
      <c r="O1515" s="105">
        <f>IFERROR(VLOOKUP(A1515,Lookup!$J$5:$P$19,7,FALSE),0)</f>
        <v>3</v>
      </c>
      <c r="P1515" s="159">
        <f t="shared" si="263"/>
        <v>2018</v>
      </c>
      <c r="Q1515" s="159">
        <f t="shared" si="264"/>
        <v>2</v>
      </c>
      <c r="R1515" s="160">
        <f t="shared" si="265"/>
        <v>15.816666666534729</v>
      </c>
      <c r="S1515" s="158">
        <f t="shared" si="266"/>
        <v>15.816666666534729</v>
      </c>
      <c r="T1515" s="161">
        <f t="shared" si="267"/>
        <v>7686.8999999358784</v>
      </c>
      <c r="U1515" s="158">
        <f t="shared" si="268"/>
        <v>486</v>
      </c>
      <c r="V1515" s="160">
        <f t="shared" si="269"/>
        <v>486</v>
      </c>
    </row>
    <row r="1516" spans="1:22" x14ac:dyDescent="0.25">
      <c r="A1516" s="98" t="s">
        <v>27</v>
      </c>
      <c r="B1516" s="98" t="s">
        <v>17</v>
      </c>
      <c r="C1516" s="98">
        <v>12</v>
      </c>
      <c r="D1516" s="98">
        <v>344</v>
      </c>
      <c r="E1516" s="157">
        <v>43156.7</v>
      </c>
      <c r="F1516" s="157">
        <v>43156.857638888891</v>
      </c>
      <c r="G1516" s="98">
        <v>460</v>
      </c>
      <c r="H1516" s="98">
        <v>520</v>
      </c>
      <c r="I1516" s="98">
        <v>486</v>
      </c>
      <c r="J1516" s="98" t="s">
        <v>1968</v>
      </c>
      <c r="K1516" s="98" t="s">
        <v>4712</v>
      </c>
      <c r="L1516" s="105" t="str">
        <f t="shared" si="260"/>
        <v>Ghent</v>
      </c>
      <c r="M1516" s="105" t="str">
        <f t="shared" si="261"/>
        <v>Derate</v>
      </c>
      <c r="N1516" s="105" t="str">
        <f t="shared" si="262"/>
        <v>Coal</v>
      </c>
      <c r="O1516" s="105">
        <f>IFERROR(VLOOKUP(A1516,Lookup!$J$5:$P$19,7,FALSE),0)</f>
        <v>3</v>
      </c>
      <c r="P1516" s="159">
        <f t="shared" si="263"/>
        <v>2018</v>
      </c>
      <c r="Q1516" s="159">
        <f t="shared" si="264"/>
        <v>2</v>
      </c>
      <c r="R1516" s="160">
        <f t="shared" si="265"/>
        <v>3.7833333334419876</v>
      </c>
      <c r="S1516" s="158">
        <f t="shared" si="266"/>
        <v>0.43653846155099857</v>
      </c>
      <c r="T1516" s="161">
        <f t="shared" si="267"/>
        <v>212.1576923137853</v>
      </c>
      <c r="U1516" s="158">
        <f t="shared" si="268"/>
        <v>56.07692307692308</v>
      </c>
      <c r="V1516" s="160">
        <f t="shared" si="269"/>
        <v>56</v>
      </c>
    </row>
    <row r="1517" spans="1:22" x14ac:dyDescent="0.25">
      <c r="A1517" s="98" t="s">
        <v>27</v>
      </c>
      <c r="B1517" s="98" t="s">
        <v>17</v>
      </c>
      <c r="C1517" s="98">
        <v>13</v>
      </c>
      <c r="D1517" s="98">
        <v>344</v>
      </c>
      <c r="E1517" s="157">
        <v>43156.942361111112</v>
      </c>
      <c r="F1517" s="157">
        <v>43156.994444444441</v>
      </c>
      <c r="G1517" s="98">
        <v>460</v>
      </c>
      <c r="H1517" s="98">
        <v>520</v>
      </c>
      <c r="I1517" s="98">
        <v>486</v>
      </c>
      <c r="J1517" s="98" t="s">
        <v>1968</v>
      </c>
      <c r="K1517" s="98" t="s">
        <v>4713</v>
      </c>
      <c r="L1517" s="105" t="str">
        <f t="shared" si="260"/>
        <v>Ghent</v>
      </c>
      <c r="M1517" s="105" t="str">
        <f t="shared" si="261"/>
        <v>Derate</v>
      </c>
      <c r="N1517" s="105" t="str">
        <f t="shared" si="262"/>
        <v>Coal</v>
      </c>
      <c r="O1517" s="105">
        <f>IFERROR(VLOOKUP(A1517,Lookup!$J$5:$P$19,7,FALSE),0)</f>
        <v>3</v>
      </c>
      <c r="P1517" s="159">
        <f t="shared" si="263"/>
        <v>2018</v>
      </c>
      <c r="Q1517" s="159">
        <f t="shared" si="264"/>
        <v>2</v>
      </c>
      <c r="R1517" s="160">
        <f t="shared" si="265"/>
        <v>1.2499999998835847</v>
      </c>
      <c r="S1517" s="158">
        <f t="shared" si="266"/>
        <v>0.14423076921733669</v>
      </c>
      <c r="T1517" s="161">
        <f t="shared" si="267"/>
        <v>70.096153839625629</v>
      </c>
      <c r="U1517" s="158">
        <f t="shared" si="268"/>
        <v>56.07692307692308</v>
      </c>
      <c r="V1517" s="160">
        <f t="shared" si="269"/>
        <v>56</v>
      </c>
    </row>
    <row r="1518" spans="1:22" x14ac:dyDescent="0.25">
      <c r="A1518" s="98" t="s">
        <v>27</v>
      </c>
      <c r="B1518" s="98" t="s">
        <v>17</v>
      </c>
      <c r="C1518" s="98">
        <v>14</v>
      </c>
      <c r="D1518" s="98">
        <v>310</v>
      </c>
      <c r="E1518" s="157">
        <v>43156.994444444441</v>
      </c>
      <c r="F1518" s="157">
        <v>43157.150694444441</v>
      </c>
      <c r="G1518" s="98">
        <v>440</v>
      </c>
      <c r="H1518" s="98">
        <v>520</v>
      </c>
      <c r="I1518" s="98">
        <v>486</v>
      </c>
      <c r="J1518" s="98" t="s">
        <v>1966</v>
      </c>
      <c r="K1518" s="98" t="s">
        <v>4714</v>
      </c>
      <c r="L1518" s="105" t="str">
        <f t="shared" si="260"/>
        <v>Ghent</v>
      </c>
      <c r="M1518" s="105" t="str">
        <f t="shared" si="261"/>
        <v>Derate</v>
      </c>
      <c r="N1518" s="105" t="str">
        <f t="shared" si="262"/>
        <v>Coal</v>
      </c>
      <c r="O1518" s="105">
        <f>IFERROR(VLOOKUP(A1518,Lookup!$J$5:$P$19,7,FALSE),0)</f>
        <v>3</v>
      </c>
      <c r="P1518" s="159">
        <f t="shared" si="263"/>
        <v>2018</v>
      </c>
      <c r="Q1518" s="159">
        <f t="shared" si="264"/>
        <v>2</v>
      </c>
      <c r="R1518" s="160">
        <f t="shared" si="265"/>
        <v>3.75</v>
      </c>
      <c r="S1518" s="158">
        <f t="shared" si="266"/>
        <v>0.57692307692307687</v>
      </c>
      <c r="T1518" s="161">
        <f t="shared" si="267"/>
        <v>280.38461538461536</v>
      </c>
      <c r="U1518" s="158">
        <f t="shared" si="268"/>
        <v>74.769230769230774</v>
      </c>
      <c r="V1518" s="160">
        <f t="shared" si="269"/>
        <v>75</v>
      </c>
    </row>
    <row r="1519" spans="1:22" x14ac:dyDescent="0.25">
      <c r="A1519" s="98" t="s">
        <v>27</v>
      </c>
      <c r="B1519" s="98" t="s">
        <v>17</v>
      </c>
      <c r="C1519" s="98">
        <v>15</v>
      </c>
      <c r="D1519" s="98">
        <v>344</v>
      </c>
      <c r="E1519" s="157">
        <v>43157.150694444441</v>
      </c>
      <c r="F1519" s="157">
        <v>43157.256944444445</v>
      </c>
      <c r="G1519" s="98">
        <v>460</v>
      </c>
      <c r="H1519" s="98">
        <v>520</v>
      </c>
      <c r="I1519" s="98">
        <v>486</v>
      </c>
      <c r="J1519" s="98" t="s">
        <v>1968</v>
      </c>
      <c r="K1519" s="98" t="s">
        <v>4715</v>
      </c>
      <c r="L1519" s="105" t="str">
        <f t="shared" si="260"/>
        <v>Ghent</v>
      </c>
      <c r="M1519" s="105" t="str">
        <f t="shared" si="261"/>
        <v>Derate</v>
      </c>
      <c r="N1519" s="105" t="str">
        <f t="shared" si="262"/>
        <v>Coal</v>
      </c>
      <c r="O1519" s="105">
        <f>IFERROR(VLOOKUP(A1519,Lookup!$J$5:$P$19,7,FALSE),0)</f>
        <v>3</v>
      </c>
      <c r="P1519" s="159">
        <f t="shared" si="263"/>
        <v>2018</v>
      </c>
      <c r="Q1519" s="159">
        <f t="shared" si="264"/>
        <v>2</v>
      </c>
      <c r="R1519" s="160">
        <f t="shared" si="265"/>
        <v>2.5500000001047738</v>
      </c>
      <c r="S1519" s="158">
        <f t="shared" si="266"/>
        <v>0.29423076924285851</v>
      </c>
      <c r="T1519" s="161">
        <f t="shared" si="267"/>
        <v>142.99615385202924</v>
      </c>
      <c r="U1519" s="158">
        <f t="shared" si="268"/>
        <v>56.07692307692308</v>
      </c>
      <c r="V1519" s="160">
        <f t="shared" si="269"/>
        <v>56</v>
      </c>
    </row>
    <row r="1520" spans="1:22" x14ac:dyDescent="0.25">
      <c r="A1520" s="98" t="s">
        <v>27</v>
      </c>
      <c r="B1520" s="98" t="s">
        <v>17</v>
      </c>
      <c r="C1520" s="98">
        <v>16</v>
      </c>
      <c r="D1520" s="98">
        <v>9270</v>
      </c>
      <c r="E1520" s="157">
        <v>43157.256944444445</v>
      </c>
      <c r="F1520" s="157">
        <v>43158.431944444441</v>
      </c>
      <c r="G1520" s="98">
        <v>424</v>
      </c>
      <c r="H1520" s="98">
        <v>520</v>
      </c>
      <c r="I1520" s="98">
        <v>486</v>
      </c>
      <c r="J1520" s="98" t="s">
        <v>2006</v>
      </c>
      <c r="K1520" s="98" t="s">
        <v>4716</v>
      </c>
      <c r="L1520" s="105" t="str">
        <f t="shared" si="260"/>
        <v>Ghent</v>
      </c>
      <c r="M1520" s="105" t="str">
        <f t="shared" si="261"/>
        <v>Derate</v>
      </c>
      <c r="N1520" s="105" t="str">
        <f t="shared" si="262"/>
        <v>Coal</v>
      </c>
      <c r="O1520" s="105">
        <f>IFERROR(VLOOKUP(A1520,Lookup!$J$5:$P$19,7,FALSE),0)</f>
        <v>3</v>
      </c>
      <c r="P1520" s="159">
        <f t="shared" si="263"/>
        <v>2018</v>
      </c>
      <c r="Q1520" s="159">
        <f t="shared" si="264"/>
        <v>2</v>
      </c>
      <c r="R1520" s="160">
        <f t="shared" si="265"/>
        <v>28.199999999895226</v>
      </c>
      <c r="S1520" s="158">
        <f t="shared" si="266"/>
        <v>5.2061538461345034</v>
      </c>
      <c r="T1520" s="161">
        <f t="shared" si="267"/>
        <v>2530.1907692213686</v>
      </c>
      <c r="U1520" s="158">
        <f t="shared" si="268"/>
        <v>89.723076923076917</v>
      </c>
      <c r="V1520" s="160">
        <f t="shared" si="269"/>
        <v>90</v>
      </c>
    </row>
    <row r="1521" spans="1:22" x14ac:dyDescent="0.25">
      <c r="A1521" s="98" t="s">
        <v>27</v>
      </c>
      <c r="B1521" s="98" t="s">
        <v>20</v>
      </c>
      <c r="C1521" s="98">
        <v>17</v>
      </c>
      <c r="D1521" s="98">
        <v>270</v>
      </c>
      <c r="E1521" s="157">
        <v>43158.431944444441</v>
      </c>
      <c r="F1521" s="157">
        <v>43158.927777777775</v>
      </c>
      <c r="G1521" s="98">
        <v>0</v>
      </c>
      <c r="H1521" s="98">
        <v>520</v>
      </c>
      <c r="I1521" s="98">
        <v>486</v>
      </c>
      <c r="J1521" s="98" t="s">
        <v>2031</v>
      </c>
      <c r="K1521" s="98" t="s">
        <v>4717</v>
      </c>
      <c r="L1521" s="105" t="str">
        <f t="shared" si="260"/>
        <v>Ghent</v>
      </c>
      <c r="M1521" s="105" t="str">
        <f t="shared" si="261"/>
        <v>Maintenance</v>
      </c>
      <c r="N1521" s="105" t="str">
        <f t="shared" si="262"/>
        <v>Coal</v>
      </c>
      <c r="O1521" s="105">
        <f>IFERROR(VLOOKUP(A1521,Lookup!$J$5:$P$19,7,FALSE),0)</f>
        <v>3</v>
      </c>
      <c r="P1521" s="159">
        <f t="shared" si="263"/>
        <v>2018</v>
      </c>
      <c r="Q1521" s="159">
        <f t="shared" si="264"/>
        <v>2</v>
      </c>
      <c r="R1521" s="160">
        <f t="shared" si="265"/>
        <v>11.900000000023283</v>
      </c>
      <c r="S1521" s="158">
        <f t="shared" si="266"/>
        <v>11.900000000023283</v>
      </c>
      <c r="T1521" s="161">
        <f t="shared" si="267"/>
        <v>5783.4000000113156</v>
      </c>
      <c r="U1521" s="158">
        <f t="shared" si="268"/>
        <v>486</v>
      </c>
      <c r="V1521" s="160">
        <f t="shared" si="269"/>
        <v>486</v>
      </c>
    </row>
    <row r="1522" spans="1:22" x14ac:dyDescent="0.25">
      <c r="A1522" s="98" t="s">
        <v>27</v>
      </c>
      <c r="B1522" s="98" t="s">
        <v>17</v>
      </c>
      <c r="C1522" s="98">
        <v>18</v>
      </c>
      <c r="D1522" s="98">
        <v>270</v>
      </c>
      <c r="E1522" s="157">
        <v>43158.928472222222</v>
      </c>
      <c r="F1522" s="157">
        <v>43160.447916666664</v>
      </c>
      <c r="G1522" s="98">
        <v>392</v>
      </c>
      <c r="H1522" s="98">
        <v>520</v>
      </c>
      <c r="I1522" s="98">
        <v>486</v>
      </c>
      <c r="J1522" s="98" t="s">
        <v>2031</v>
      </c>
      <c r="K1522" s="98" t="s">
        <v>4718</v>
      </c>
      <c r="L1522" s="105" t="str">
        <f t="shared" si="260"/>
        <v>Ghent</v>
      </c>
      <c r="M1522" s="105" t="str">
        <f t="shared" si="261"/>
        <v>Derate</v>
      </c>
      <c r="N1522" s="105" t="str">
        <f t="shared" si="262"/>
        <v>Coal</v>
      </c>
      <c r="O1522" s="105">
        <f>IFERROR(VLOOKUP(A1522,Lookup!$J$5:$P$19,7,FALSE),0)</f>
        <v>3</v>
      </c>
      <c r="P1522" s="159">
        <f t="shared" si="263"/>
        <v>2018</v>
      </c>
      <c r="Q1522" s="159">
        <f t="shared" si="264"/>
        <v>2</v>
      </c>
      <c r="R1522" s="160">
        <f t="shared" si="265"/>
        <v>36.46666666661622</v>
      </c>
      <c r="S1522" s="158">
        <f t="shared" si="266"/>
        <v>8.9764102563978394</v>
      </c>
      <c r="T1522" s="161">
        <f t="shared" si="267"/>
        <v>4362.5353846093503</v>
      </c>
      <c r="U1522" s="158">
        <f t="shared" si="268"/>
        <v>119.63076923076923</v>
      </c>
      <c r="V1522" s="160">
        <f t="shared" si="269"/>
        <v>120</v>
      </c>
    </row>
    <row r="1523" spans="1:22" x14ac:dyDescent="0.25">
      <c r="A1523" s="98" t="s">
        <v>27</v>
      </c>
      <c r="B1523" s="98" t="s">
        <v>17</v>
      </c>
      <c r="C1523" s="98">
        <v>19</v>
      </c>
      <c r="D1523" s="98">
        <v>310</v>
      </c>
      <c r="E1523" s="157">
        <v>43160.459722222222</v>
      </c>
      <c r="F1523" s="157">
        <v>43160.834027777775</v>
      </c>
      <c r="G1523" s="98">
        <v>450</v>
      </c>
      <c r="H1523" s="98">
        <v>520</v>
      </c>
      <c r="I1523" s="98">
        <v>486</v>
      </c>
      <c r="J1523" s="98" t="s">
        <v>1966</v>
      </c>
      <c r="K1523" s="98" t="s">
        <v>4719</v>
      </c>
      <c r="L1523" s="105" t="str">
        <f t="shared" si="260"/>
        <v>Ghent</v>
      </c>
      <c r="M1523" s="105" t="str">
        <f t="shared" si="261"/>
        <v>Derate</v>
      </c>
      <c r="N1523" s="105" t="str">
        <f t="shared" si="262"/>
        <v>Coal</v>
      </c>
      <c r="O1523" s="105">
        <f>IFERROR(VLOOKUP(A1523,Lookup!$J$5:$P$19,7,FALSE),0)</f>
        <v>3</v>
      </c>
      <c r="P1523" s="159">
        <f t="shared" si="263"/>
        <v>2018</v>
      </c>
      <c r="Q1523" s="159">
        <f t="shared" si="264"/>
        <v>3</v>
      </c>
      <c r="R1523" s="160">
        <f t="shared" si="265"/>
        <v>8.9833333332790062</v>
      </c>
      <c r="S1523" s="158">
        <f t="shared" si="266"/>
        <v>1.2092948717875585</v>
      </c>
      <c r="T1523" s="161">
        <f t="shared" si="267"/>
        <v>587.71730768875341</v>
      </c>
      <c r="U1523" s="158">
        <f t="shared" si="268"/>
        <v>65.42307692307692</v>
      </c>
      <c r="V1523" s="160">
        <f t="shared" si="269"/>
        <v>65</v>
      </c>
    </row>
    <row r="1524" spans="1:22" x14ac:dyDescent="0.25">
      <c r="A1524" s="98" t="s">
        <v>27</v>
      </c>
      <c r="B1524" s="98" t="s">
        <v>17</v>
      </c>
      <c r="C1524" s="98">
        <v>20</v>
      </c>
      <c r="D1524" s="98">
        <v>310</v>
      </c>
      <c r="E1524" s="157">
        <v>43160.848611111112</v>
      </c>
      <c r="F1524" s="157">
        <v>43162.543055555558</v>
      </c>
      <c r="G1524" s="98">
        <v>374</v>
      </c>
      <c r="H1524" s="98">
        <v>520</v>
      </c>
      <c r="I1524" s="98">
        <v>486</v>
      </c>
      <c r="J1524" s="98" t="s">
        <v>1966</v>
      </c>
      <c r="K1524" s="98" t="s">
        <v>4720</v>
      </c>
      <c r="L1524" s="105" t="str">
        <f t="shared" si="260"/>
        <v>Ghent</v>
      </c>
      <c r="M1524" s="105" t="str">
        <f t="shared" si="261"/>
        <v>Derate</v>
      </c>
      <c r="N1524" s="105" t="str">
        <f t="shared" si="262"/>
        <v>Coal</v>
      </c>
      <c r="O1524" s="105">
        <f>IFERROR(VLOOKUP(A1524,Lookup!$J$5:$P$19,7,FALSE),0)</f>
        <v>3</v>
      </c>
      <c r="P1524" s="159">
        <f t="shared" si="263"/>
        <v>2018</v>
      </c>
      <c r="Q1524" s="159">
        <f t="shared" si="264"/>
        <v>3</v>
      </c>
      <c r="R1524" s="160">
        <f t="shared" si="265"/>
        <v>40.666666666686069</v>
      </c>
      <c r="S1524" s="158">
        <f t="shared" si="266"/>
        <v>11.417948717954166</v>
      </c>
      <c r="T1524" s="161">
        <f t="shared" si="267"/>
        <v>5549.1230769257245</v>
      </c>
      <c r="U1524" s="158">
        <f t="shared" si="268"/>
        <v>136.45384615384614</v>
      </c>
      <c r="V1524" s="160">
        <f t="shared" si="269"/>
        <v>136</v>
      </c>
    </row>
    <row r="1525" spans="1:22" x14ac:dyDescent="0.25">
      <c r="A1525" s="98" t="s">
        <v>27</v>
      </c>
      <c r="B1525" s="98" t="s">
        <v>17</v>
      </c>
      <c r="C1525" s="98">
        <v>21</v>
      </c>
      <c r="D1525" s="98">
        <v>331</v>
      </c>
      <c r="E1525" s="157">
        <v>43178.359722222223</v>
      </c>
      <c r="F1525" s="157">
        <v>43178.432638888888</v>
      </c>
      <c r="G1525" s="98">
        <v>460</v>
      </c>
      <c r="H1525" s="98">
        <v>520</v>
      </c>
      <c r="I1525" s="98">
        <v>486</v>
      </c>
      <c r="J1525" s="98" t="s">
        <v>2101</v>
      </c>
      <c r="K1525" s="98" t="s">
        <v>4721</v>
      </c>
      <c r="L1525" s="105" t="str">
        <f t="shared" si="260"/>
        <v>Ghent</v>
      </c>
      <c r="M1525" s="105" t="str">
        <f t="shared" si="261"/>
        <v>Derate</v>
      </c>
      <c r="N1525" s="105" t="str">
        <f t="shared" si="262"/>
        <v>Coal</v>
      </c>
      <c r="O1525" s="105">
        <f>IFERROR(VLOOKUP(A1525,Lookup!$J$5:$P$19,7,FALSE),0)</f>
        <v>3</v>
      </c>
      <c r="P1525" s="159">
        <f t="shared" si="263"/>
        <v>2018</v>
      </c>
      <c r="Q1525" s="159">
        <f t="shared" si="264"/>
        <v>3</v>
      </c>
      <c r="R1525" s="160">
        <f t="shared" si="265"/>
        <v>1.7499999999417923</v>
      </c>
      <c r="S1525" s="158">
        <f t="shared" si="266"/>
        <v>0.20192307691636066</v>
      </c>
      <c r="T1525" s="161">
        <f t="shared" si="267"/>
        <v>98.134615381351281</v>
      </c>
      <c r="U1525" s="158">
        <f t="shared" si="268"/>
        <v>56.07692307692308</v>
      </c>
      <c r="V1525" s="160">
        <f t="shared" si="269"/>
        <v>56</v>
      </c>
    </row>
    <row r="1526" spans="1:22" x14ac:dyDescent="0.25">
      <c r="A1526" s="98" t="s">
        <v>27</v>
      </c>
      <c r="B1526" s="98" t="s">
        <v>17</v>
      </c>
      <c r="C1526" s="98">
        <v>22</v>
      </c>
      <c r="D1526" s="98">
        <v>320</v>
      </c>
      <c r="E1526" s="157">
        <v>43189.503472222219</v>
      </c>
      <c r="F1526" s="157">
        <v>43189.520833333336</v>
      </c>
      <c r="G1526" s="98">
        <v>460</v>
      </c>
      <c r="H1526" s="98">
        <v>520</v>
      </c>
      <c r="I1526" s="98">
        <v>486</v>
      </c>
      <c r="J1526" s="98" t="s">
        <v>1992</v>
      </c>
      <c r="K1526" s="98" t="s">
        <v>4722</v>
      </c>
      <c r="L1526" s="105" t="str">
        <f t="shared" si="260"/>
        <v>Ghent</v>
      </c>
      <c r="M1526" s="105" t="str">
        <f t="shared" si="261"/>
        <v>Derate</v>
      </c>
      <c r="N1526" s="105" t="str">
        <f t="shared" si="262"/>
        <v>Coal</v>
      </c>
      <c r="O1526" s="105">
        <f>IFERROR(VLOOKUP(A1526,Lookup!$J$5:$P$19,7,FALSE),0)</f>
        <v>3</v>
      </c>
      <c r="P1526" s="159">
        <f t="shared" si="263"/>
        <v>2018</v>
      </c>
      <c r="Q1526" s="159">
        <f t="shared" si="264"/>
        <v>3</v>
      </c>
      <c r="R1526" s="160">
        <f t="shared" si="265"/>
        <v>0.41666666680248454</v>
      </c>
      <c r="S1526" s="158">
        <f t="shared" si="266"/>
        <v>4.807692309259437E-2</v>
      </c>
      <c r="T1526" s="161">
        <f t="shared" si="267"/>
        <v>23.365384623000864</v>
      </c>
      <c r="U1526" s="158">
        <f t="shared" si="268"/>
        <v>56.07692307692308</v>
      </c>
      <c r="V1526" s="160">
        <f t="shared" si="269"/>
        <v>56</v>
      </c>
    </row>
    <row r="1527" spans="1:22" x14ac:dyDescent="0.25">
      <c r="A1527" s="98" t="s">
        <v>27</v>
      </c>
      <c r="B1527" s="98" t="s">
        <v>17</v>
      </c>
      <c r="C1527" s="98">
        <v>23</v>
      </c>
      <c r="D1527" s="98">
        <v>1470</v>
      </c>
      <c r="E1527" s="157">
        <v>43195.591666666667</v>
      </c>
      <c r="F1527" s="157">
        <v>43195.828472222223</v>
      </c>
      <c r="G1527" s="98">
        <v>376</v>
      </c>
      <c r="H1527" s="98">
        <v>520</v>
      </c>
      <c r="I1527" s="98">
        <v>486</v>
      </c>
      <c r="J1527" s="98" t="s">
        <v>2005</v>
      </c>
      <c r="K1527" s="98" t="s">
        <v>4723</v>
      </c>
      <c r="L1527" s="105" t="str">
        <f t="shared" si="260"/>
        <v>Ghent</v>
      </c>
      <c r="M1527" s="105" t="str">
        <f t="shared" si="261"/>
        <v>Derate</v>
      </c>
      <c r="N1527" s="105" t="str">
        <f t="shared" si="262"/>
        <v>Coal</v>
      </c>
      <c r="O1527" s="105">
        <f>IFERROR(VLOOKUP(A1527,Lookup!$J$5:$P$19,7,FALSE),0)</f>
        <v>3</v>
      </c>
      <c r="P1527" s="159">
        <f t="shared" si="263"/>
        <v>2018</v>
      </c>
      <c r="Q1527" s="159">
        <f t="shared" si="264"/>
        <v>4</v>
      </c>
      <c r="R1527" s="160">
        <f t="shared" si="265"/>
        <v>5.6833333333488554</v>
      </c>
      <c r="S1527" s="158">
        <f t="shared" si="266"/>
        <v>1.5738461538504522</v>
      </c>
      <c r="T1527" s="161">
        <f t="shared" si="267"/>
        <v>764.88923077131983</v>
      </c>
      <c r="U1527" s="158">
        <f t="shared" si="268"/>
        <v>134.58461538461538</v>
      </c>
      <c r="V1527" s="160">
        <f t="shared" si="269"/>
        <v>135</v>
      </c>
    </row>
    <row r="1528" spans="1:22" x14ac:dyDescent="0.25">
      <c r="A1528" s="98" t="s">
        <v>27</v>
      </c>
      <c r="B1528" s="98" t="s">
        <v>17</v>
      </c>
      <c r="C1528" s="98">
        <v>24</v>
      </c>
      <c r="D1528" s="98">
        <v>253</v>
      </c>
      <c r="E1528" s="157">
        <v>43209.841666666667</v>
      </c>
      <c r="F1528" s="157">
        <v>43210.081250000003</v>
      </c>
      <c r="G1528" s="98">
        <v>460</v>
      </c>
      <c r="H1528" s="98">
        <v>520</v>
      </c>
      <c r="I1528" s="98">
        <v>486</v>
      </c>
      <c r="J1528" s="98" t="s">
        <v>1999</v>
      </c>
      <c r="K1528" s="98" t="s">
        <v>4724</v>
      </c>
      <c r="L1528" s="105" t="str">
        <f t="shared" si="260"/>
        <v>Ghent</v>
      </c>
      <c r="M1528" s="105" t="str">
        <f t="shared" si="261"/>
        <v>Derate</v>
      </c>
      <c r="N1528" s="105" t="str">
        <f t="shared" si="262"/>
        <v>Coal</v>
      </c>
      <c r="O1528" s="105">
        <f>IFERROR(VLOOKUP(A1528,Lookup!$J$5:$P$19,7,FALSE),0)</f>
        <v>3</v>
      </c>
      <c r="P1528" s="159">
        <f t="shared" si="263"/>
        <v>2018</v>
      </c>
      <c r="Q1528" s="159">
        <f t="shared" si="264"/>
        <v>4</v>
      </c>
      <c r="R1528" s="160">
        <f t="shared" si="265"/>
        <v>5.7500000000582077</v>
      </c>
      <c r="S1528" s="158">
        <f t="shared" si="266"/>
        <v>0.66346153846825473</v>
      </c>
      <c r="T1528" s="161">
        <f t="shared" si="267"/>
        <v>322.4423076955718</v>
      </c>
      <c r="U1528" s="158">
        <f t="shared" si="268"/>
        <v>56.07692307692308</v>
      </c>
      <c r="V1528" s="160">
        <f t="shared" si="269"/>
        <v>56</v>
      </c>
    </row>
    <row r="1529" spans="1:22" x14ac:dyDescent="0.25">
      <c r="A1529" s="98" t="s">
        <v>27</v>
      </c>
      <c r="B1529" s="98" t="s">
        <v>17</v>
      </c>
      <c r="C1529" s="98">
        <v>25</v>
      </c>
      <c r="D1529" s="98">
        <v>346</v>
      </c>
      <c r="E1529" s="157">
        <v>43212.083333333336</v>
      </c>
      <c r="F1529" s="157">
        <v>43212.327777777777</v>
      </c>
      <c r="G1529" s="98">
        <v>460</v>
      </c>
      <c r="H1529" s="98">
        <v>520</v>
      </c>
      <c r="I1529" s="98">
        <v>486</v>
      </c>
      <c r="J1529" s="98" t="s">
        <v>1986</v>
      </c>
      <c r="K1529" s="98" t="s">
        <v>4725</v>
      </c>
      <c r="L1529" s="105" t="str">
        <f t="shared" si="260"/>
        <v>Ghent</v>
      </c>
      <c r="M1529" s="105" t="str">
        <f t="shared" si="261"/>
        <v>Derate</v>
      </c>
      <c r="N1529" s="105" t="str">
        <f t="shared" si="262"/>
        <v>Coal</v>
      </c>
      <c r="O1529" s="105">
        <f>IFERROR(VLOOKUP(A1529,Lookup!$J$5:$P$19,7,FALSE),0)</f>
        <v>3</v>
      </c>
      <c r="P1529" s="159">
        <f t="shared" si="263"/>
        <v>2018</v>
      </c>
      <c r="Q1529" s="159">
        <f t="shared" si="264"/>
        <v>4</v>
      </c>
      <c r="R1529" s="160">
        <f t="shared" si="265"/>
        <v>5.8666666665812954</v>
      </c>
      <c r="S1529" s="158">
        <f t="shared" si="266"/>
        <v>0.6769230769132264</v>
      </c>
      <c r="T1529" s="161">
        <f t="shared" si="267"/>
        <v>328.98461537982803</v>
      </c>
      <c r="U1529" s="158">
        <f t="shared" si="268"/>
        <v>56.07692307692308</v>
      </c>
      <c r="V1529" s="160">
        <f t="shared" si="269"/>
        <v>56</v>
      </c>
    </row>
    <row r="1530" spans="1:22" x14ac:dyDescent="0.25">
      <c r="A1530" s="98" t="s">
        <v>27</v>
      </c>
      <c r="B1530" s="98" t="s">
        <v>17</v>
      </c>
      <c r="C1530" s="98">
        <v>26</v>
      </c>
      <c r="D1530" s="98">
        <v>346</v>
      </c>
      <c r="E1530" s="157">
        <v>43219.033333333333</v>
      </c>
      <c r="F1530" s="157">
        <v>43219.365277777775</v>
      </c>
      <c r="G1530" s="98">
        <v>465</v>
      </c>
      <c r="H1530" s="98">
        <v>520</v>
      </c>
      <c r="I1530" s="98">
        <v>486</v>
      </c>
      <c r="J1530" s="98" t="s">
        <v>1986</v>
      </c>
      <c r="K1530" s="98" t="s">
        <v>4726</v>
      </c>
      <c r="L1530" s="105" t="str">
        <f t="shared" si="260"/>
        <v>Ghent</v>
      </c>
      <c r="M1530" s="105" t="str">
        <f t="shared" si="261"/>
        <v>Derate</v>
      </c>
      <c r="N1530" s="105" t="str">
        <f t="shared" si="262"/>
        <v>Coal</v>
      </c>
      <c r="O1530" s="105">
        <f>IFERROR(VLOOKUP(A1530,Lookup!$J$5:$P$19,7,FALSE),0)</f>
        <v>3</v>
      </c>
      <c r="P1530" s="159">
        <f t="shared" si="263"/>
        <v>2018</v>
      </c>
      <c r="Q1530" s="159">
        <f t="shared" si="264"/>
        <v>4</v>
      </c>
      <c r="R1530" s="160">
        <f t="shared" si="265"/>
        <v>7.96666666661622</v>
      </c>
      <c r="S1530" s="158">
        <f t="shared" si="266"/>
        <v>0.8426282051228694</v>
      </c>
      <c r="T1530" s="161">
        <f t="shared" si="267"/>
        <v>409.51730768971453</v>
      </c>
      <c r="U1530" s="158">
        <f t="shared" si="268"/>
        <v>51.403846153846153</v>
      </c>
      <c r="V1530" s="160">
        <f t="shared" si="269"/>
        <v>51</v>
      </c>
    </row>
    <row r="1531" spans="1:22" x14ac:dyDescent="0.25">
      <c r="A1531" s="98" t="s">
        <v>30</v>
      </c>
      <c r="B1531" s="98" t="s">
        <v>20</v>
      </c>
      <c r="C1531" s="98">
        <v>1</v>
      </c>
      <c r="D1531" s="98">
        <v>1455</v>
      </c>
      <c r="E1531" s="157">
        <v>41302.468055555553</v>
      </c>
      <c r="F1531" s="157">
        <v>41305.362500000003</v>
      </c>
      <c r="G1531" s="98">
        <v>0</v>
      </c>
      <c r="H1531" s="98">
        <v>528</v>
      </c>
      <c r="I1531" s="98">
        <v>479</v>
      </c>
      <c r="J1531" s="98" t="s">
        <v>1990</v>
      </c>
      <c r="K1531" s="98" t="s">
        <v>493</v>
      </c>
      <c r="L1531" s="105" t="str">
        <f t="shared" si="260"/>
        <v>Ghent</v>
      </c>
      <c r="M1531" s="105" t="str">
        <f t="shared" si="261"/>
        <v>Maintenance</v>
      </c>
      <c r="N1531" s="105" t="str">
        <f t="shared" si="262"/>
        <v>Coal</v>
      </c>
      <c r="O1531" s="105">
        <f>IFERROR(VLOOKUP(A1531,Lookup!$J$5:$P$19,7,FALSE),0)</f>
        <v>3</v>
      </c>
      <c r="P1531" s="159">
        <f t="shared" si="263"/>
        <v>2013</v>
      </c>
      <c r="Q1531" s="159">
        <f t="shared" si="264"/>
        <v>1</v>
      </c>
      <c r="R1531" s="160">
        <f t="shared" si="265"/>
        <v>69.466666666790843</v>
      </c>
      <c r="S1531" s="158">
        <f t="shared" si="266"/>
        <v>69.466666666790843</v>
      </c>
      <c r="T1531" s="161">
        <f t="shared" si="267"/>
        <v>33274.533333392814</v>
      </c>
      <c r="U1531" s="158">
        <f t="shared" si="268"/>
        <v>479</v>
      </c>
      <c r="V1531" s="160">
        <f t="shared" si="269"/>
        <v>479</v>
      </c>
    </row>
    <row r="1532" spans="1:22" x14ac:dyDescent="0.25">
      <c r="A1532" s="98" t="s">
        <v>30</v>
      </c>
      <c r="B1532" s="98" t="s">
        <v>17</v>
      </c>
      <c r="C1532" s="98">
        <v>2</v>
      </c>
      <c r="D1532" s="98">
        <v>1455</v>
      </c>
      <c r="E1532" s="157">
        <v>41306.436111111114</v>
      </c>
      <c r="F1532" s="157">
        <v>41306.481249999997</v>
      </c>
      <c r="G1532" s="98">
        <v>400</v>
      </c>
      <c r="H1532" s="98">
        <v>528</v>
      </c>
      <c r="I1532" s="98">
        <v>479</v>
      </c>
      <c r="J1532" s="98" t="s">
        <v>1990</v>
      </c>
      <c r="K1532" s="98" t="s">
        <v>494</v>
      </c>
      <c r="L1532" s="105" t="str">
        <f t="shared" si="260"/>
        <v>Ghent</v>
      </c>
      <c r="M1532" s="105" t="str">
        <f t="shared" si="261"/>
        <v>Derate</v>
      </c>
      <c r="N1532" s="105" t="str">
        <f t="shared" si="262"/>
        <v>Coal</v>
      </c>
      <c r="O1532" s="105">
        <f>IFERROR(VLOOKUP(A1532,Lookup!$J$5:$P$19,7,FALSE),0)</f>
        <v>3</v>
      </c>
      <c r="P1532" s="159">
        <f t="shared" si="263"/>
        <v>2013</v>
      </c>
      <c r="Q1532" s="159">
        <f t="shared" si="264"/>
        <v>2</v>
      </c>
      <c r="R1532" s="160">
        <f t="shared" si="265"/>
        <v>1.0833333331975155</v>
      </c>
      <c r="S1532" s="158">
        <f t="shared" si="266"/>
        <v>0.2626262625933371</v>
      </c>
      <c r="T1532" s="161">
        <f t="shared" si="267"/>
        <v>125.79797978220847</v>
      </c>
      <c r="U1532" s="158">
        <f t="shared" si="268"/>
        <v>116.12121212121212</v>
      </c>
      <c r="V1532" s="160">
        <f t="shared" si="269"/>
        <v>116</v>
      </c>
    </row>
    <row r="1533" spans="1:22" x14ac:dyDescent="0.25">
      <c r="A1533" s="98" t="s">
        <v>30</v>
      </c>
      <c r="B1533" s="98" t="s">
        <v>17</v>
      </c>
      <c r="C1533" s="98">
        <v>3</v>
      </c>
      <c r="D1533" s="98">
        <v>1455</v>
      </c>
      <c r="E1533" s="157">
        <v>41357.802083333336</v>
      </c>
      <c r="F1533" s="157">
        <v>41359.802083333336</v>
      </c>
      <c r="G1533" s="98">
        <v>515</v>
      </c>
      <c r="H1533" s="98">
        <v>528</v>
      </c>
      <c r="I1533" s="98">
        <v>479</v>
      </c>
      <c r="J1533" s="98" t="s">
        <v>1990</v>
      </c>
      <c r="K1533" s="98" t="s">
        <v>495</v>
      </c>
      <c r="L1533" s="105" t="str">
        <f t="shared" si="260"/>
        <v>Ghent</v>
      </c>
      <c r="M1533" s="105" t="str">
        <f t="shared" si="261"/>
        <v>Derate</v>
      </c>
      <c r="N1533" s="105" t="str">
        <f t="shared" si="262"/>
        <v>Coal</v>
      </c>
      <c r="O1533" s="105">
        <f>IFERROR(VLOOKUP(A1533,Lookup!$J$5:$P$19,7,FALSE),0)</f>
        <v>3</v>
      </c>
      <c r="P1533" s="159">
        <f t="shared" si="263"/>
        <v>2013</v>
      </c>
      <c r="Q1533" s="159">
        <f t="shared" si="264"/>
        <v>3</v>
      </c>
      <c r="R1533" s="160">
        <f t="shared" si="265"/>
        <v>48</v>
      </c>
      <c r="S1533" s="158">
        <f t="shared" si="266"/>
        <v>1.1818181818181819</v>
      </c>
      <c r="T1533" s="161">
        <f t="shared" si="267"/>
        <v>566.09090909090912</v>
      </c>
      <c r="U1533" s="158">
        <f t="shared" si="268"/>
        <v>11.793560606060606</v>
      </c>
      <c r="V1533" s="160">
        <f t="shared" si="269"/>
        <v>12</v>
      </c>
    </row>
    <row r="1534" spans="1:22" x14ac:dyDescent="0.25">
      <c r="A1534" s="98" t="s">
        <v>30</v>
      </c>
      <c r="B1534" s="98" t="s">
        <v>17</v>
      </c>
      <c r="C1534" s="98">
        <v>4</v>
      </c>
      <c r="D1534" s="98">
        <v>1493</v>
      </c>
      <c r="E1534" s="157">
        <v>41360.23333333333</v>
      </c>
      <c r="F1534" s="157">
        <v>41368.589583333334</v>
      </c>
      <c r="G1534" s="98">
        <v>515</v>
      </c>
      <c r="H1534" s="98">
        <v>528</v>
      </c>
      <c r="I1534" s="98">
        <v>479</v>
      </c>
      <c r="J1534" s="98" t="s">
        <v>2185</v>
      </c>
      <c r="K1534" s="98" t="s">
        <v>496</v>
      </c>
      <c r="L1534" s="105" t="str">
        <f t="shared" si="260"/>
        <v>Ghent</v>
      </c>
      <c r="M1534" s="105" t="str">
        <f t="shared" si="261"/>
        <v>Derate</v>
      </c>
      <c r="N1534" s="105" t="str">
        <f t="shared" si="262"/>
        <v>Coal</v>
      </c>
      <c r="O1534" s="105">
        <f>IFERROR(VLOOKUP(A1534,Lookup!$J$5:$P$19,7,FALSE),0)</f>
        <v>3</v>
      </c>
      <c r="P1534" s="159">
        <f t="shared" si="263"/>
        <v>2013</v>
      </c>
      <c r="Q1534" s="159">
        <f t="shared" si="264"/>
        <v>3</v>
      </c>
      <c r="R1534" s="160">
        <f t="shared" si="265"/>
        <v>200.55000000010477</v>
      </c>
      <c r="S1534" s="158">
        <f t="shared" si="266"/>
        <v>4.9377840909116708</v>
      </c>
      <c r="T1534" s="161">
        <f t="shared" si="267"/>
        <v>2365.1985795466903</v>
      </c>
      <c r="U1534" s="158">
        <f t="shared" si="268"/>
        <v>11.793560606060606</v>
      </c>
      <c r="V1534" s="160">
        <f t="shared" si="269"/>
        <v>12</v>
      </c>
    </row>
    <row r="1535" spans="1:22" x14ac:dyDescent="0.25">
      <c r="A1535" s="98" t="s">
        <v>30</v>
      </c>
      <c r="B1535" s="98" t="s">
        <v>20</v>
      </c>
      <c r="C1535" s="98">
        <v>5</v>
      </c>
      <c r="D1535" s="98">
        <v>1493</v>
      </c>
      <c r="E1535" s="157">
        <v>41368.589583333334</v>
      </c>
      <c r="F1535" s="157">
        <v>41371.831250000003</v>
      </c>
      <c r="G1535" s="98">
        <v>0</v>
      </c>
      <c r="H1535" s="98">
        <v>528</v>
      </c>
      <c r="I1535" s="98">
        <v>479</v>
      </c>
      <c r="J1535" s="98" t="s">
        <v>2185</v>
      </c>
      <c r="K1535" s="98" t="s">
        <v>497</v>
      </c>
      <c r="L1535" s="105" t="str">
        <f t="shared" si="260"/>
        <v>Ghent</v>
      </c>
      <c r="M1535" s="105" t="str">
        <f t="shared" si="261"/>
        <v>Maintenance</v>
      </c>
      <c r="N1535" s="105" t="str">
        <f t="shared" si="262"/>
        <v>Coal</v>
      </c>
      <c r="O1535" s="105">
        <f>IFERROR(VLOOKUP(A1535,Lookup!$J$5:$P$19,7,FALSE),0)</f>
        <v>3</v>
      </c>
      <c r="P1535" s="159">
        <f t="shared" si="263"/>
        <v>2013</v>
      </c>
      <c r="Q1535" s="159">
        <f t="shared" si="264"/>
        <v>4</v>
      </c>
      <c r="R1535" s="160">
        <f t="shared" si="265"/>
        <v>77.800000000046566</v>
      </c>
      <c r="S1535" s="158">
        <f t="shared" si="266"/>
        <v>77.800000000046566</v>
      </c>
      <c r="T1535" s="161">
        <f t="shared" si="267"/>
        <v>37266.200000022305</v>
      </c>
      <c r="U1535" s="158">
        <f t="shared" si="268"/>
        <v>479</v>
      </c>
      <c r="V1535" s="160">
        <f t="shared" si="269"/>
        <v>479</v>
      </c>
    </row>
    <row r="1536" spans="1:22" x14ac:dyDescent="0.25">
      <c r="A1536" s="98" t="s">
        <v>30</v>
      </c>
      <c r="B1536" s="98" t="s">
        <v>17</v>
      </c>
      <c r="C1536" s="98">
        <v>7</v>
      </c>
      <c r="D1536" s="98">
        <v>1455</v>
      </c>
      <c r="E1536" s="157">
        <v>41372.527083333334</v>
      </c>
      <c r="F1536" s="157">
        <v>41372.534722222219</v>
      </c>
      <c r="G1536" s="98">
        <v>530</v>
      </c>
      <c r="H1536" s="98">
        <v>528</v>
      </c>
      <c r="I1536" s="98">
        <v>479</v>
      </c>
      <c r="J1536" s="98" t="s">
        <v>1990</v>
      </c>
      <c r="K1536" s="98" t="s">
        <v>498</v>
      </c>
      <c r="L1536" s="105" t="str">
        <f t="shared" si="260"/>
        <v>Ghent</v>
      </c>
      <c r="M1536" s="105" t="str">
        <f t="shared" si="261"/>
        <v>Derate</v>
      </c>
      <c r="N1536" s="105" t="str">
        <f t="shared" si="262"/>
        <v>Coal</v>
      </c>
      <c r="O1536" s="105">
        <f>IFERROR(VLOOKUP(A1536,Lookup!$J$5:$P$19,7,FALSE),0)</f>
        <v>3</v>
      </c>
      <c r="P1536" s="159">
        <f t="shared" si="263"/>
        <v>2013</v>
      </c>
      <c r="Q1536" s="159">
        <f t="shared" si="264"/>
        <v>4</v>
      </c>
      <c r="R1536" s="160">
        <f t="shared" si="265"/>
        <v>0.18333333323244005</v>
      </c>
      <c r="S1536" s="158">
        <f t="shared" si="266"/>
        <v>-6.9444444406227296E-4</v>
      </c>
      <c r="T1536" s="161">
        <f t="shared" si="267"/>
        <v>-0.33263888870582875</v>
      </c>
      <c r="U1536" s="158">
        <f t="shared" si="268"/>
        <v>0</v>
      </c>
      <c r="V1536" s="160">
        <f t="shared" si="269"/>
        <v>0</v>
      </c>
    </row>
    <row r="1537" spans="1:22" x14ac:dyDescent="0.25">
      <c r="A1537" s="98" t="s">
        <v>30</v>
      </c>
      <c r="B1537" s="98" t="s">
        <v>20</v>
      </c>
      <c r="C1537" s="98">
        <v>8</v>
      </c>
      <c r="D1537" s="98">
        <v>1535</v>
      </c>
      <c r="E1537" s="157">
        <v>41376.99722222222</v>
      </c>
      <c r="F1537" s="157">
        <v>41378.280555555553</v>
      </c>
      <c r="G1537" s="98">
        <v>0</v>
      </c>
      <c r="H1537" s="98">
        <v>528</v>
      </c>
      <c r="I1537" s="98">
        <v>479</v>
      </c>
      <c r="J1537" s="98" t="s">
        <v>2247</v>
      </c>
      <c r="K1537" s="98" t="s">
        <v>499</v>
      </c>
      <c r="L1537" s="105" t="str">
        <f t="shared" si="260"/>
        <v>Ghent</v>
      </c>
      <c r="M1537" s="105" t="str">
        <f t="shared" si="261"/>
        <v>Maintenance</v>
      </c>
      <c r="N1537" s="105" t="str">
        <f t="shared" si="262"/>
        <v>Coal</v>
      </c>
      <c r="O1537" s="105">
        <f>IFERROR(VLOOKUP(A1537,Lookup!$J$5:$P$19,7,FALSE),0)</f>
        <v>3</v>
      </c>
      <c r="P1537" s="159">
        <f t="shared" si="263"/>
        <v>2013</v>
      </c>
      <c r="Q1537" s="159">
        <f t="shared" si="264"/>
        <v>4</v>
      </c>
      <c r="R1537" s="160">
        <f t="shared" si="265"/>
        <v>30.799999999988358</v>
      </c>
      <c r="S1537" s="158">
        <f t="shared" si="266"/>
        <v>30.799999999988358</v>
      </c>
      <c r="T1537" s="161">
        <f t="shared" si="267"/>
        <v>14753.199999994424</v>
      </c>
      <c r="U1537" s="158">
        <f t="shared" si="268"/>
        <v>479</v>
      </c>
      <c r="V1537" s="160">
        <f t="shared" si="269"/>
        <v>479</v>
      </c>
    </row>
    <row r="1538" spans="1:22" x14ac:dyDescent="0.25">
      <c r="A1538" s="98" t="s">
        <v>30</v>
      </c>
      <c r="B1538" s="98" t="s">
        <v>17</v>
      </c>
      <c r="C1538" s="98">
        <v>9</v>
      </c>
      <c r="D1538" s="98">
        <v>340</v>
      </c>
      <c r="E1538" s="157">
        <v>41381.94027777778</v>
      </c>
      <c r="F1538" s="157">
        <v>41381.956250000003</v>
      </c>
      <c r="G1538" s="98">
        <v>450</v>
      </c>
      <c r="H1538" s="98">
        <v>528</v>
      </c>
      <c r="I1538" s="98">
        <v>479</v>
      </c>
      <c r="J1538" s="98" t="s">
        <v>1970</v>
      </c>
      <c r="K1538" s="98" t="s">
        <v>500</v>
      </c>
      <c r="L1538" s="105" t="str">
        <f t="shared" si="260"/>
        <v>Ghent</v>
      </c>
      <c r="M1538" s="105" t="str">
        <f t="shared" si="261"/>
        <v>Derate</v>
      </c>
      <c r="N1538" s="105" t="str">
        <f t="shared" si="262"/>
        <v>Coal</v>
      </c>
      <c r="O1538" s="105">
        <f>IFERROR(VLOOKUP(A1538,Lookup!$J$5:$P$19,7,FALSE),0)</f>
        <v>3</v>
      </c>
      <c r="P1538" s="159">
        <f t="shared" si="263"/>
        <v>2013</v>
      </c>
      <c r="Q1538" s="159">
        <f t="shared" si="264"/>
        <v>4</v>
      </c>
      <c r="R1538" s="160">
        <f t="shared" si="265"/>
        <v>0.38333333336049691</v>
      </c>
      <c r="S1538" s="158">
        <f t="shared" si="266"/>
        <v>5.662878788280068E-2</v>
      </c>
      <c r="T1538" s="161">
        <f t="shared" si="267"/>
        <v>27.125189395861526</v>
      </c>
      <c r="U1538" s="158">
        <f t="shared" si="268"/>
        <v>70.76136363636364</v>
      </c>
      <c r="V1538" s="160">
        <f t="shared" si="269"/>
        <v>71</v>
      </c>
    </row>
    <row r="1539" spans="1:22" x14ac:dyDescent="0.25">
      <c r="A1539" s="98" t="s">
        <v>30</v>
      </c>
      <c r="B1539" s="98" t="s">
        <v>17</v>
      </c>
      <c r="C1539" s="98">
        <v>10</v>
      </c>
      <c r="D1539" s="98">
        <v>1493</v>
      </c>
      <c r="E1539" s="157">
        <v>41396.280555555553</v>
      </c>
      <c r="F1539" s="157">
        <v>41397.318055555559</v>
      </c>
      <c r="G1539" s="98">
        <v>514</v>
      </c>
      <c r="H1539" s="98">
        <v>528</v>
      </c>
      <c r="I1539" s="98">
        <v>479</v>
      </c>
      <c r="J1539" s="98" t="s">
        <v>2185</v>
      </c>
      <c r="K1539" s="98" t="s">
        <v>501</v>
      </c>
      <c r="L1539" s="105" t="str">
        <f t="shared" si="260"/>
        <v>Ghent</v>
      </c>
      <c r="M1539" s="105" t="str">
        <f t="shared" si="261"/>
        <v>Derate</v>
      </c>
      <c r="N1539" s="105" t="str">
        <f t="shared" si="262"/>
        <v>Coal</v>
      </c>
      <c r="O1539" s="105">
        <f>IFERROR(VLOOKUP(A1539,Lookup!$J$5:$P$19,7,FALSE),0)</f>
        <v>3</v>
      </c>
      <c r="P1539" s="159">
        <f t="shared" si="263"/>
        <v>2013</v>
      </c>
      <c r="Q1539" s="159">
        <f t="shared" si="264"/>
        <v>5</v>
      </c>
      <c r="R1539" s="160">
        <f t="shared" si="265"/>
        <v>24.900000000139698</v>
      </c>
      <c r="S1539" s="158">
        <f t="shared" si="266"/>
        <v>0.66022727273097681</v>
      </c>
      <c r="T1539" s="161">
        <f t="shared" si="267"/>
        <v>316.24886363813789</v>
      </c>
      <c r="U1539" s="158">
        <f t="shared" si="268"/>
        <v>12.700757575757576</v>
      </c>
      <c r="V1539" s="160">
        <f t="shared" si="269"/>
        <v>13</v>
      </c>
    </row>
    <row r="1540" spans="1:22" x14ac:dyDescent="0.25">
      <c r="A1540" s="98" t="s">
        <v>30</v>
      </c>
      <c r="B1540" s="98" t="s">
        <v>17</v>
      </c>
      <c r="C1540" s="98">
        <v>11</v>
      </c>
      <c r="D1540" s="98">
        <v>1493</v>
      </c>
      <c r="E1540" s="157">
        <v>41397.318055555559</v>
      </c>
      <c r="F1540" s="157">
        <v>41397.438888888886</v>
      </c>
      <c r="G1540" s="98">
        <v>520</v>
      </c>
      <c r="H1540" s="98">
        <v>528</v>
      </c>
      <c r="I1540" s="98">
        <v>479</v>
      </c>
      <c r="J1540" s="98" t="s">
        <v>2185</v>
      </c>
      <c r="K1540" s="98" t="s">
        <v>502</v>
      </c>
      <c r="L1540" s="105" t="str">
        <f t="shared" si="260"/>
        <v>Ghent</v>
      </c>
      <c r="M1540" s="105" t="str">
        <f t="shared" si="261"/>
        <v>Derate</v>
      </c>
      <c r="N1540" s="105" t="str">
        <f t="shared" si="262"/>
        <v>Coal</v>
      </c>
      <c r="O1540" s="105">
        <f>IFERROR(VLOOKUP(A1540,Lookup!$J$5:$P$19,7,FALSE),0)</f>
        <v>3</v>
      </c>
      <c r="P1540" s="159">
        <f t="shared" si="263"/>
        <v>2013</v>
      </c>
      <c r="Q1540" s="159">
        <f t="shared" si="264"/>
        <v>5</v>
      </c>
      <c r="R1540" s="160">
        <f t="shared" si="265"/>
        <v>2.8999999998486601</v>
      </c>
      <c r="S1540" s="158">
        <f t="shared" si="266"/>
        <v>4.3939393937100911E-2</v>
      </c>
      <c r="T1540" s="161">
        <f t="shared" si="267"/>
        <v>21.046969695871336</v>
      </c>
      <c r="U1540" s="158">
        <f t="shared" si="268"/>
        <v>7.2575757575757578</v>
      </c>
      <c r="V1540" s="160">
        <f t="shared" si="269"/>
        <v>7</v>
      </c>
    </row>
    <row r="1541" spans="1:22" x14ac:dyDescent="0.25">
      <c r="A1541" s="98" t="s">
        <v>30</v>
      </c>
      <c r="B1541" s="98" t="s">
        <v>17</v>
      </c>
      <c r="C1541" s="98">
        <v>12</v>
      </c>
      <c r="D1541" s="98">
        <v>1493</v>
      </c>
      <c r="E1541" s="157">
        <v>41397.438888888886</v>
      </c>
      <c r="F1541" s="157">
        <v>41399.474305555559</v>
      </c>
      <c r="G1541" s="98">
        <v>514</v>
      </c>
      <c r="H1541" s="98">
        <v>528</v>
      </c>
      <c r="I1541" s="98">
        <v>479</v>
      </c>
      <c r="J1541" s="98" t="s">
        <v>2185</v>
      </c>
      <c r="K1541" s="98" t="s">
        <v>503</v>
      </c>
      <c r="L1541" s="105" t="str">
        <f t="shared" si="260"/>
        <v>Ghent</v>
      </c>
      <c r="M1541" s="105" t="str">
        <f t="shared" si="261"/>
        <v>Derate</v>
      </c>
      <c r="N1541" s="105" t="str">
        <f t="shared" si="262"/>
        <v>Coal</v>
      </c>
      <c r="O1541" s="105">
        <f>IFERROR(VLOOKUP(A1541,Lookup!$J$5:$P$19,7,FALSE),0)</f>
        <v>3</v>
      </c>
      <c r="P1541" s="159">
        <f t="shared" si="263"/>
        <v>2013</v>
      </c>
      <c r="Q1541" s="159">
        <f t="shared" si="264"/>
        <v>5</v>
      </c>
      <c r="R1541" s="160">
        <f t="shared" si="265"/>
        <v>48.85000000015134</v>
      </c>
      <c r="S1541" s="158">
        <f t="shared" si="266"/>
        <v>1.2952651515191642</v>
      </c>
      <c r="T1541" s="161">
        <f t="shared" si="267"/>
        <v>620.43200757767966</v>
      </c>
      <c r="U1541" s="158">
        <f t="shared" si="268"/>
        <v>12.700757575757576</v>
      </c>
      <c r="V1541" s="160">
        <f t="shared" si="269"/>
        <v>13</v>
      </c>
    </row>
    <row r="1542" spans="1:22" x14ac:dyDescent="0.25">
      <c r="A1542" s="98" t="s">
        <v>30</v>
      </c>
      <c r="B1542" s="98" t="s">
        <v>17</v>
      </c>
      <c r="C1542" s="98">
        <v>13</v>
      </c>
      <c r="D1542" s="98">
        <v>1493</v>
      </c>
      <c r="E1542" s="157">
        <v>41399.474305555559</v>
      </c>
      <c r="F1542" s="157">
        <v>41399.822916666664</v>
      </c>
      <c r="G1542" s="98">
        <v>514</v>
      </c>
      <c r="H1542" s="98">
        <v>528</v>
      </c>
      <c r="I1542" s="98">
        <v>479</v>
      </c>
      <c r="J1542" s="98" t="s">
        <v>2185</v>
      </c>
      <c r="K1542" s="98" t="s">
        <v>504</v>
      </c>
      <c r="L1542" s="105" t="str">
        <f t="shared" si="260"/>
        <v>Ghent</v>
      </c>
      <c r="M1542" s="105" t="str">
        <f t="shared" si="261"/>
        <v>Derate</v>
      </c>
      <c r="N1542" s="105" t="str">
        <f t="shared" si="262"/>
        <v>Coal</v>
      </c>
      <c r="O1542" s="105">
        <f>IFERROR(VLOOKUP(A1542,Lookup!$J$5:$P$19,7,FALSE),0)</f>
        <v>3</v>
      </c>
      <c r="P1542" s="159">
        <f t="shared" si="263"/>
        <v>2013</v>
      </c>
      <c r="Q1542" s="159">
        <f t="shared" si="264"/>
        <v>5</v>
      </c>
      <c r="R1542" s="160">
        <f t="shared" si="265"/>
        <v>8.3666666665230878</v>
      </c>
      <c r="S1542" s="158">
        <f t="shared" si="266"/>
        <v>0.22184343433962733</v>
      </c>
      <c r="T1542" s="161">
        <f t="shared" si="267"/>
        <v>106.26300504868149</v>
      </c>
      <c r="U1542" s="158">
        <f t="shared" si="268"/>
        <v>12.700757575757576</v>
      </c>
      <c r="V1542" s="160">
        <f t="shared" si="269"/>
        <v>13</v>
      </c>
    </row>
    <row r="1543" spans="1:22" x14ac:dyDescent="0.25">
      <c r="A1543" s="98" t="s">
        <v>30</v>
      </c>
      <c r="B1543" s="98" t="s">
        <v>17</v>
      </c>
      <c r="C1543" s="98">
        <v>14</v>
      </c>
      <c r="D1543" s="98">
        <v>1493</v>
      </c>
      <c r="E1543" s="157">
        <v>41399.822916666664</v>
      </c>
      <c r="F1543" s="157">
        <v>41399.845833333333</v>
      </c>
      <c r="G1543" s="98">
        <v>522</v>
      </c>
      <c r="H1543" s="98">
        <v>528</v>
      </c>
      <c r="I1543" s="98">
        <v>479</v>
      </c>
      <c r="J1543" s="98" t="s">
        <v>2185</v>
      </c>
      <c r="K1543" s="98" t="s">
        <v>505</v>
      </c>
      <c r="L1543" s="105" t="str">
        <f t="shared" si="260"/>
        <v>Ghent</v>
      </c>
      <c r="M1543" s="105" t="str">
        <f t="shared" si="261"/>
        <v>Derate</v>
      </c>
      <c r="N1543" s="105" t="str">
        <f t="shared" si="262"/>
        <v>Coal</v>
      </c>
      <c r="O1543" s="105">
        <f>IFERROR(VLOOKUP(A1543,Lookup!$J$5:$P$19,7,FALSE),0)</f>
        <v>3</v>
      </c>
      <c r="P1543" s="159">
        <f t="shared" si="263"/>
        <v>2013</v>
      </c>
      <c r="Q1543" s="159">
        <f t="shared" si="264"/>
        <v>5</v>
      </c>
      <c r="R1543" s="160">
        <f t="shared" si="265"/>
        <v>0.55000000004656613</v>
      </c>
      <c r="S1543" s="158">
        <f t="shared" si="266"/>
        <v>6.2500000005291604E-3</v>
      </c>
      <c r="T1543" s="161">
        <f t="shared" si="267"/>
        <v>2.9937500002534678</v>
      </c>
      <c r="U1543" s="158">
        <f t="shared" si="268"/>
        <v>5.4431818181818183</v>
      </c>
      <c r="V1543" s="160">
        <f t="shared" si="269"/>
        <v>5</v>
      </c>
    </row>
    <row r="1544" spans="1:22" x14ac:dyDescent="0.25">
      <c r="A1544" s="98" t="s">
        <v>30</v>
      </c>
      <c r="B1544" s="98" t="s">
        <v>17</v>
      </c>
      <c r="C1544" s="98">
        <v>15</v>
      </c>
      <c r="D1544" s="98">
        <v>1493</v>
      </c>
      <c r="E1544" s="157">
        <v>41399.845833333333</v>
      </c>
      <c r="F1544" s="157">
        <v>41401.460416666669</v>
      </c>
      <c r="G1544" s="98">
        <v>518</v>
      </c>
      <c r="H1544" s="98">
        <v>528</v>
      </c>
      <c r="I1544" s="98">
        <v>479</v>
      </c>
      <c r="J1544" s="98" t="s">
        <v>2185</v>
      </c>
      <c r="K1544" s="98" t="s">
        <v>506</v>
      </c>
      <c r="L1544" s="105" t="str">
        <f t="shared" si="260"/>
        <v>Ghent</v>
      </c>
      <c r="M1544" s="105" t="str">
        <f t="shared" si="261"/>
        <v>Derate</v>
      </c>
      <c r="N1544" s="105" t="str">
        <f t="shared" si="262"/>
        <v>Coal</v>
      </c>
      <c r="O1544" s="105">
        <f>IFERROR(VLOOKUP(A1544,Lookup!$J$5:$P$19,7,FALSE),0)</f>
        <v>3</v>
      </c>
      <c r="P1544" s="159">
        <f t="shared" si="263"/>
        <v>2013</v>
      </c>
      <c r="Q1544" s="159">
        <f t="shared" si="264"/>
        <v>5</v>
      </c>
      <c r="R1544" s="160">
        <f t="shared" si="265"/>
        <v>38.750000000058208</v>
      </c>
      <c r="S1544" s="158">
        <f t="shared" si="266"/>
        <v>0.73390151515261759</v>
      </c>
      <c r="T1544" s="161">
        <f t="shared" si="267"/>
        <v>351.53882575810383</v>
      </c>
      <c r="U1544" s="158">
        <f t="shared" si="268"/>
        <v>9.0719696969696972</v>
      </c>
      <c r="V1544" s="160">
        <f t="shared" si="269"/>
        <v>9</v>
      </c>
    </row>
    <row r="1545" spans="1:22" x14ac:dyDescent="0.25">
      <c r="A1545" s="98" t="s">
        <v>30</v>
      </c>
      <c r="B1545" s="98" t="s">
        <v>17</v>
      </c>
      <c r="C1545" s="98">
        <v>16</v>
      </c>
      <c r="D1545" s="98">
        <v>1493</v>
      </c>
      <c r="E1545" s="157">
        <v>41401.460416666669</v>
      </c>
      <c r="F1545" s="157">
        <v>41404.475694444445</v>
      </c>
      <c r="G1545" s="98">
        <v>508</v>
      </c>
      <c r="H1545" s="98">
        <v>528</v>
      </c>
      <c r="I1545" s="98">
        <v>479</v>
      </c>
      <c r="J1545" s="98" t="s">
        <v>2185</v>
      </c>
      <c r="K1545" s="98" t="s">
        <v>507</v>
      </c>
      <c r="L1545" s="105" t="str">
        <f t="shared" si="260"/>
        <v>Ghent</v>
      </c>
      <c r="M1545" s="105" t="str">
        <f t="shared" si="261"/>
        <v>Derate</v>
      </c>
      <c r="N1545" s="105" t="str">
        <f t="shared" si="262"/>
        <v>Coal</v>
      </c>
      <c r="O1545" s="105">
        <f>IFERROR(VLOOKUP(A1545,Lookup!$J$5:$P$19,7,FALSE),0)</f>
        <v>3</v>
      </c>
      <c r="P1545" s="159">
        <f t="shared" si="263"/>
        <v>2013</v>
      </c>
      <c r="Q1545" s="159">
        <f t="shared" si="264"/>
        <v>5</v>
      </c>
      <c r="R1545" s="160">
        <f t="shared" si="265"/>
        <v>72.366666666639503</v>
      </c>
      <c r="S1545" s="158">
        <f t="shared" si="266"/>
        <v>2.7411616161605874</v>
      </c>
      <c r="T1545" s="161">
        <f t="shared" si="267"/>
        <v>1313.0164141409214</v>
      </c>
      <c r="U1545" s="158">
        <f t="shared" si="268"/>
        <v>18.143939393939394</v>
      </c>
      <c r="V1545" s="160">
        <f t="shared" si="269"/>
        <v>18</v>
      </c>
    </row>
    <row r="1546" spans="1:22" x14ac:dyDescent="0.25">
      <c r="A1546" s="98" t="s">
        <v>30</v>
      </c>
      <c r="B1546" s="98" t="s">
        <v>17</v>
      </c>
      <c r="C1546" s="98">
        <v>17</v>
      </c>
      <c r="D1546" s="98">
        <v>1493</v>
      </c>
      <c r="E1546" s="157">
        <v>41404.475694444445</v>
      </c>
      <c r="F1546" s="157">
        <v>41404.8125</v>
      </c>
      <c r="G1546" s="98">
        <v>500</v>
      </c>
      <c r="H1546" s="98">
        <v>528</v>
      </c>
      <c r="I1546" s="98">
        <v>479</v>
      </c>
      <c r="J1546" s="98" t="s">
        <v>2185</v>
      </c>
      <c r="K1546" s="98" t="s">
        <v>508</v>
      </c>
      <c r="L1546" s="105" t="str">
        <f t="shared" si="260"/>
        <v>Ghent</v>
      </c>
      <c r="M1546" s="105" t="str">
        <f t="shared" si="261"/>
        <v>Derate</v>
      </c>
      <c r="N1546" s="105" t="str">
        <f t="shared" si="262"/>
        <v>Coal</v>
      </c>
      <c r="O1546" s="105">
        <f>IFERROR(VLOOKUP(A1546,Lookup!$J$5:$P$19,7,FALSE),0)</f>
        <v>3</v>
      </c>
      <c r="P1546" s="159">
        <f t="shared" si="263"/>
        <v>2013</v>
      </c>
      <c r="Q1546" s="159">
        <f t="shared" si="264"/>
        <v>5</v>
      </c>
      <c r="R1546" s="160">
        <f t="shared" si="265"/>
        <v>8.0833333333139308</v>
      </c>
      <c r="S1546" s="158">
        <f t="shared" si="266"/>
        <v>0.42866161616058723</v>
      </c>
      <c r="T1546" s="161">
        <f t="shared" si="267"/>
        <v>205.32891414092128</v>
      </c>
      <c r="U1546" s="158">
        <f t="shared" si="268"/>
        <v>25.401515151515152</v>
      </c>
      <c r="V1546" s="160">
        <f t="shared" si="269"/>
        <v>25</v>
      </c>
    </row>
    <row r="1547" spans="1:22" x14ac:dyDescent="0.25">
      <c r="A1547" s="98" t="s">
        <v>30</v>
      </c>
      <c r="B1547" s="98" t="s">
        <v>17</v>
      </c>
      <c r="C1547" s="98">
        <v>18</v>
      </c>
      <c r="D1547" s="98">
        <v>1493</v>
      </c>
      <c r="E1547" s="157">
        <v>41404.8125</v>
      </c>
      <c r="F1547" s="157">
        <v>41404.854166666664</v>
      </c>
      <c r="G1547" s="98">
        <v>510</v>
      </c>
      <c r="H1547" s="98">
        <v>528</v>
      </c>
      <c r="I1547" s="98">
        <v>479</v>
      </c>
      <c r="J1547" s="98" t="s">
        <v>2185</v>
      </c>
      <c r="K1547" s="98" t="s">
        <v>509</v>
      </c>
      <c r="L1547" s="105" t="str">
        <f t="shared" si="260"/>
        <v>Ghent</v>
      </c>
      <c r="M1547" s="105" t="str">
        <f t="shared" si="261"/>
        <v>Derate</v>
      </c>
      <c r="N1547" s="105" t="str">
        <f t="shared" si="262"/>
        <v>Coal</v>
      </c>
      <c r="O1547" s="105">
        <f>IFERROR(VLOOKUP(A1547,Lookup!$J$5:$P$19,7,FALSE),0)</f>
        <v>3</v>
      </c>
      <c r="P1547" s="159">
        <f t="shared" si="263"/>
        <v>2013</v>
      </c>
      <c r="Q1547" s="159">
        <f t="shared" si="264"/>
        <v>5</v>
      </c>
      <c r="R1547" s="160">
        <f t="shared" si="265"/>
        <v>0.99999999994179234</v>
      </c>
      <c r="S1547" s="158">
        <f t="shared" si="266"/>
        <v>3.4090909088924738E-2</v>
      </c>
      <c r="T1547" s="161">
        <f t="shared" si="267"/>
        <v>16.32954545359495</v>
      </c>
      <c r="U1547" s="158">
        <f t="shared" si="268"/>
        <v>16.329545454545453</v>
      </c>
      <c r="V1547" s="160">
        <f t="shared" si="269"/>
        <v>16</v>
      </c>
    </row>
    <row r="1548" spans="1:22" x14ac:dyDescent="0.25">
      <c r="A1548" s="98" t="s">
        <v>30</v>
      </c>
      <c r="B1548" s="98" t="s">
        <v>17</v>
      </c>
      <c r="C1548" s="98">
        <v>20</v>
      </c>
      <c r="D1548" s="98">
        <v>1493</v>
      </c>
      <c r="E1548" s="157">
        <v>41404.8125</v>
      </c>
      <c r="F1548" s="157">
        <v>41404.854166666664</v>
      </c>
      <c r="G1548" s="98">
        <v>510</v>
      </c>
      <c r="H1548" s="98">
        <v>528</v>
      </c>
      <c r="I1548" s="98">
        <v>479</v>
      </c>
      <c r="J1548" s="98" t="s">
        <v>2185</v>
      </c>
      <c r="K1548" s="98" t="s">
        <v>510</v>
      </c>
      <c r="L1548" s="105" t="str">
        <f t="shared" si="260"/>
        <v>Ghent</v>
      </c>
      <c r="M1548" s="105" t="str">
        <f t="shared" si="261"/>
        <v>Derate</v>
      </c>
      <c r="N1548" s="105" t="str">
        <f t="shared" si="262"/>
        <v>Coal</v>
      </c>
      <c r="O1548" s="105">
        <f>IFERROR(VLOOKUP(A1548,Lookup!$J$5:$P$19,7,FALSE),0)</f>
        <v>3</v>
      </c>
      <c r="P1548" s="159">
        <f t="shared" si="263"/>
        <v>2013</v>
      </c>
      <c r="Q1548" s="159">
        <f t="shared" si="264"/>
        <v>5</v>
      </c>
      <c r="R1548" s="160">
        <f t="shared" si="265"/>
        <v>0.99999999994179234</v>
      </c>
      <c r="S1548" s="158">
        <f t="shared" si="266"/>
        <v>3.4090909088924738E-2</v>
      </c>
      <c r="T1548" s="161">
        <f t="shared" si="267"/>
        <v>16.32954545359495</v>
      </c>
      <c r="U1548" s="158">
        <f t="shared" si="268"/>
        <v>16.329545454545453</v>
      </c>
      <c r="V1548" s="160">
        <f t="shared" si="269"/>
        <v>16</v>
      </c>
    </row>
    <row r="1549" spans="1:22" x14ac:dyDescent="0.25">
      <c r="A1549" s="98" t="s">
        <v>30</v>
      </c>
      <c r="B1549" s="98" t="s">
        <v>17</v>
      </c>
      <c r="C1549" s="98">
        <v>21</v>
      </c>
      <c r="D1549" s="98">
        <v>1493</v>
      </c>
      <c r="E1549" s="157">
        <v>41404.854166666664</v>
      </c>
      <c r="F1549" s="157">
        <v>41410.261805555558</v>
      </c>
      <c r="G1549" s="98">
        <v>505</v>
      </c>
      <c r="H1549" s="98">
        <v>528</v>
      </c>
      <c r="I1549" s="98">
        <v>479</v>
      </c>
      <c r="J1549" s="98" t="s">
        <v>2185</v>
      </c>
      <c r="K1549" s="98" t="s">
        <v>511</v>
      </c>
      <c r="L1549" s="105" t="str">
        <f t="shared" si="260"/>
        <v>Ghent</v>
      </c>
      <c r="M1549" s="105" t="str">
        <f t="shared" si="261"/>
        <v>Derate</v>
      </c>
      <c r="N1549" s="105" t="str">
        <f t="shared" si="262"/>
        <v>Coal</v>
      </c>
      <c r="O1549" s="105">
        <f>IFERROR(VLOOKUP(A1549,Lookup!$J$5:$P$19,7,FALSE),0)</f>
        <v>3</v>
      </c>
      <c r="P1549" s="159">
        <f t="shared" si="263"/>
        <v>2013</v>
      </c>
      <c r="Q1549" s="159">
        <f t="shared" si="264"/>
        <v>5</v>
      </c>
      <c r="R1549" s="160">
        <f t="shared" si="265"/>
        <v>129.78333333344199</v>
      </c>
      <c r="S1549" s="158">
        <f t="shared" si="266"/>
        <v>5.6534406565703899</v>
      </c>
      <c r="T1549" s="161">
        <f t="shared" si="267"/>
        <v>2707.9980744972167</v>
      </c>
      <c r="U1549" s="158">
        <f t="shared" si="268"/>
        <v>20.865530303030305</v>
      </c>
      <c r="V1549" s="160">
        <f t="shared" si="269"/>
        <v>21</v>
      </c>
    </row>
    <row r="1550" spans="1:22" x14ac:dyDescent="0.25">
      <c r="A1550" s="98" t="s">
        <v>30</v>
      </c>
      <c r="B1550" s="98" t="s">
        <v>17</v>
      </c>
      <c r="C1550" s="98">
        <v>22</v>
      </c>
      <c r="D1550" s="98">
        <v>1493</v>
      </c>
      <c r="E1550" s="157">
        <v>41410.261805555558</v>
      </c>
      <c r="F1550" s="157">
        <v>41410.670138888891</v>
      </c>
      <c r="G1550" s="98">
        <v>505</v>
      </c>
      <c r="H1550" s="98">
        <v>528</v>
      </c>
      <c r="I1550" s="98">
        <v>479</v>
      </c>
      <c r="J1550" s="98" t="s">
        <v>2185</v>
      </c>
      <c r="K1550" s="98" t="s">
        <v>512</v>
      </c>
      <c r="L1550" s="105" t="str">
        <f t="shared" si="260"/>
        <v>Ghent</v>
      </c>
      <c r="M1550" s="105" t="str">
        <f t="shared" si="261"/>
        <v>Derate</v>
      </c>
      <c r="N1550" s="105" t="str">
        <f t="shared" si="262"/>
        <v>Coal</v>
      </c>
      <c r="O1550" s="105">
        <f>IFERROR(VLOOKUP(A1550,Lookup!$J$5:$P$19,7,FALSE),0)</f>
        <v>3</v>
      </c>
      <c r="P1550" s="159">
        <f t="shared" si="263"/>
        <v>2013</v>
      </c>
      <c r="Q1550" s="159">
        <f t="shared" si="264"/>
        <v>5</v>
      </c>
      <c r="R1550" s="160">
        <f t="shared" si="265"/>
        <v>9.7999999999883585</v>
      </c>
      <c r="S1550" s="158">
        <f t="shared" si="266"/>
        <v>0.42689393939343229</v>
      </c>
      <c r="T1550" s="161">
        <f t="shared" si="267"/>
        <v>204.48219696945407</v>
      </c>
      <c r="U1550" s="158">
        <f t="shared" si="268"/>
        <v>20.865530303030305</v>
      </c>
      <c r="V1550" s="160">
        <f t="shared" si="269"/>
        <v>21</v>
      </c>
    </row>
    <row r="1551" spans="1:22" x14ac:dyDescent="0.25">
      <c r="A1551" s="98" t="s">
        <v>30</v>
      </c>
      <c r="B1551" s="98" t="s">
        <v>17</v>
      </c>
      <c r="C1551" s="98">
        <v>23</v>
      </c>
      <c r="D1551" s="98">
        <v>1493</v>
      </c>
      <c r="E1551" s="157">
        <v>41410.670138888891</v>
      </c>
      <c r="F1551" s="157">
        <v>41413.871527777781</v>
      </c>
      <c r="G1551" s="98">
        <v>505</v>
      </c>
      <c r="H1551" s="98">
        <v>528</v>
      </c>
      <c r="I1551" s="98">
        <v>479</v>
      </c>
      <c r="J1551" s="98" t="s">
        <v>2185</v>
      </c>
      <c r="K1551" s="98" t="s">
        <v>513</v>
      </c>
      <c r="L1551" s="105" t="str">
        <f t="shared" si="260"/>
        <v>Ghent</v>
      </c>
      <c r="M1551" s="105" t="str">
        <f t="shared" si="261"/>
        <v>Derate</v>
      </c>
      <c r="N1551" s="105" t="str">
        <f t="shared" si="262"/>
        <v>Coal</v>
      </c>
      <c r="O1551" s="105">
        <f>IFERROR(VLOOKUP(A1551,Lookup!$J$5:$P$19,7,FALSE),0)</f>
        <v>3</v>
      </c>
      <c r="P1551" s="159">
        <f t="shared" si="263"/>
        <v>2013</v>
      </c>
      <c r="Q1551" s="159">
        <f t="shared" si="264"/>
        <v>5</v>
      </c>
      <c r="R1551" s="160">
        <f t="shared" si="265"/>
        <v>76.833333333372138</v>
      </c>
      <c r="S1551" s="158">
        <f t="shared" si="266"/>
        <v>3.3469065656582559</v>
      </c>
      <c r="T1551" s="161">
        <f t="shared" si="267"/>
        <v>1603.1682449503046</v>
      </c>
      <c r="U1551" s="158">
        <f t="shared" si="268"/>
        <v>20.865530303030305</v>
      </c>
      <c r="V1551" s="160">
        <f t="shared" si="269"/>
        <v>21</v>
      </c>
    </row>
    <row r="1552" spans="1:22" x14ac:dyDescent="0.25">
      <c r="A1552" s="98" t="s">
        <v>30</v>
      </c>
      <c r="B1552" s="98" t="s">
        <v>17</v>
      </c>
      <c r="C1552" s="98">
        <v>24</v>
      </c>
      <c r="D1552" s="98">
        <v>1493</v>
      </c>
      <c r="E1552" s="157">
        <v>41413.871527777781</v>
      </c>
      <c r="F1552" s="157">
        <v>41417.993055555555</v>
      </c>
      <c r="G1552" s="98">
        <v>490</v>
      </c>
      <c r="H1552" s="98">
        <v>528</v>
      </c>
      <c r="I1552" s="98">
        <v>479</v>
      </c>
      <c r="J1552" s="98" t="s">
        <v>2185</v>
      </c>
      <c r="K1552" s="98" t="s">
        <v>514</v>
      </c>
      <c r="L1552" s="105" t="str">
        <f t="shared" si="260"/>
        <v>Ghent</v>
      </c>
      <c r="M1552" s="105" t="str">
        <f t="shared" si="261"/>
        <v>Derate</v>
      </c>
      <c r="N1552" s="105" t="str">
        <f t="shared" si="262"/>
        <v>Coal</v>
      </c>
      <c r="O1552" s="105">
        <f>IFERROR(VLOOKUP(A1552,Lookup!$J$5:$P$19,7,FALSE),0)</f>
        <v>3</v>
      </c>
      <c r="P1552" s="159">
        <f t="shared" si="263"/>
        <v>2013</v>
      </c>
      <c r="Q1552" s="159">
        <f t="shared" si="264"/>
        <v>5</v>
      </c>
      <c r="R1552" s="160">
        <f t="shared" si="265"/>
        <v>98.916666666569654</v>
      </c>
      <c r="S1552" s="158">
        <f t="shared" si="266"/>
        <v>7.1190025252455431</v>
      </c>
      <c r="T1552" s="161">
        <f t="shared" si="267"/>
        <v>3410.0022095926151</v>
      </c>
      <c r="U1552" s="158">
        <f t="shared" si="268"/>
        <v>34.473484848484851</v>
      </c>
      <c r="V1552" s="160">
        <f t="shared" si="269"/>
        <v>34</v>
      </c>
    </row>
    <row r="1553" spans="1:22" x14ac:dyDescent="0.25">
      <c r="A1553" s="98" t="s">
        <v>30</v>
      </c>
      <c r="B1553" s="98" t="s">
        <v>20</v>
      </c>
      <c r="C1553" s="98">
        <v>25</v>
      </c>
      <c r="D1553" s="98">
        <v>1493</v>
      </c>
      <c r="E1553" s="157">
        <v>41417.993055555555</v>
      </c>
      <c r="F1553" s="157">
        <v>41421.378472222219</v>
      </c>
      <c r="G1553" s="98">
        <v>0</v>
      </c>
      <c r="H1553" s="98">
        <v>528</v>
      </c>
      <c r="I1553" s="98">
        <v>479</v>
      </c>
      <c r="J1553" s="98" t="s">
        <v>2185</v>
      </c>
      <c r="K1553" s="98" t="s">
        <v>515</v>
      </c>
      <c r="L1553" s="105" t="str">
        <f t="shared" si="260"/>
        <v>Ghent</v>
      </c>
      <c r="M1553" s="105" t="str">
        <f t="shared" si="261"/>
        <v>Maintenance</v>
      </c>
      <c r="N1553" s="105" t="str">
        <f t="shared" si="262"/>
        <v>Coal</v>
      </c>
      <c r="O1553" s="105">
        <f>IFERROR(VLOOKUP(A1553,Lookup!$J$5:$P$19,7,FALSE),0)</f>
        <v>3</v>
      </c>
      <c r="P1553" s="159">
        <f t="shared" si="263"/>
        <v>2013</v>
      </c>
      <c r="Q1553" s="159">
        <f t="shared" si="264"/>
        <v>5</v>
      </c>
      <c r="R1553" s="160">
        <f t="shared" si="265"/>
        <v>81.249999999941792</v>
      </c>
      <c r="S1553" s="158">
        <f t="shared" si="266"/>
        <v>81.249999999941792</v>
      </c>
      <c r="T1553" s="161">
        <f t="shared" si="267"/>
        <v>38918.749999972119</v>
      </c>
      <c r="U1553" s="158">
        <f t="shared" si="268"/>
        <v>479</v>
      </c>
      <c r="V1553" s="160">
        <f t="shared" si="269"/>
        <v>479</v>
      </c>
    </row>
    <row r="1554" spans="1:22" x14ac:dyDescent="0.25">
      <c r="A1554" s="98" t="s">
        <v>30</v>
      </c>
      <c r="B1554" s="98" t="s">
        <v>20</v>
      </c>
      <c r="C1554" s="98">
        <v>26</v>
      </c>
      <c r="D1554" s="98">
        <v>1500</v>
      </c>
      <c r="E1554" s="157">
        <v>41425.940972222219</v>
      </c>
      <c r="F1554" s="157">
        <v>41427.790972222225</v>
      </c>
      <c r="G1554" s="98">
        <v>0</v>
      </c>
      <c r="H1554" s="98">
        <v>528</v>
      </c>
      <c r="I1554" s="98">
        <v>479</v>
      </c>
      <c r="J1554" s="98" t="s">
        <v>2190</v>
      </c>
      <c r="K1554" s="98" t="s">
        <v>516</v>
      </c>
      <c r="L1554" s="105" t="str">
        <f t="shared" si="260"/>
        <v>Ghent</v>
      </c>
      <c r="M1554" s="105" t="str">
        <f t="shared" si="261"/>
        <v>Maintenance</v>
      </c>
      <c r="N1554" s="105" t="str">
        <f t="shared" si="262"/>
        <v>Coal</v>
      </c>
      <c r="O1554" s="105">
        <f>IFERROR(VLOOKUP(A1554,Lookup!$J$5:$P$19,7,FALSE),0)</f>
        <v>3</v>
      </c>
      <c r="P1554" s="159">
        <f t="shared" si="263"/>
        <v>2013</v>
      </c>
      <c r="Q1554" s="159">
        <f t="shared" si="264"/>
        <v>5</v>
      </c>
      <c r="R1554" s="160">
        <f t="shared" si="265"/>
        <v>44.400000000139698</v>
      </c>
      <c r="S1554" s="158">
        <f t="shared" si="266"/>
        <v>44.400000000139698</v>
      </c>
      <c r="T1554" s="161">
        <f t="shared" si="267"/>
        <v>21267.600000066916</v>
      </c>
      <c r="U1554" s="158">
        <f t="shared" si="268"/>
        <v>479</v>
      </c>
      <c r="V1554" s="160">
        <f t="shared" si="269"/>
        <v>479</v>
      </c>
    </row>
    <row r="1555" spans="1:22" x14ac:dyDescent="0.25">
      <c r="A1555" s="98" t="s">
        <v>30</v>
      </c>
      <c r="B1555" s="98" t="s">
        <v>17</v>
      </c>
      <c r="C1555" s="98">
        <v>27</v>
      </c>
      <c r="D1555" s="98">
        <v>4499</v>
      </c>
      <c r="E1555" s="157">
        <v>41431.386805555558</v>
      </c>
      <c r="F1555" s="157">
        <v>41438.479166666664</v>
      </c>
      <c r="G1555" s="98">
        <v>528</v>
      </c>
      <c r="H1555" s="98">
        <v>528</v>
      </c>
      <c r="I1555" s="98">
        <v>479</v>
      </c>
      <c r="J1555" s="98" t="s">
        <v>2082</v>
      </c>
      <c r="K1555" s="98" t="s">
        <v>517</v>
      </c>
      <c r="L1555" s="105" t="str">
        <f t="shared" si="260"/>
        <v>Ghent</v>
      </c>
      <c r="M1555" s="105" t="str">
        <f t="shared" si="261"/>
        <v>Derate</v>
      </c>
      <c r="N1555" s="105" t="str">
        <f t="shared" si="262"/>
        <v>Coal</v>
      </c>
      <c r="O1555" s="105">
        <f>IFERROR(VLOOKUP(A1555,Lookup!$J$5:$P$19,7,FALSE),0)</f>
        <v>3</v>
      </c>
      <c r="P1555" s="159">
        <f t="shared" si="263"/>
        <v>2013</v>
      </c>
      <c r="Q1555" s="159">
        <f t="shared" si="264"/>
        <v>6</v>
      </c>
      <c r="R1555" s="160">
        <f t="shared" si="265"/>
        <v>170.21666666655801</v>
      </c>
      <c r="S1555" s="158">
        <f t="shared" si="266"/>
        <v>0</v>
      </c>
      <c r="T1555" s="161">
        <f t="shared" si="267"/>
        <v>0</v>
      </c>
      <c r="U1555" s="158">
        <f t="shared" si="268"/>
        <v>0</v>
      </c>
      <c r="V1555" s="160">
        <f t="shared" si="269"/>
        <v>0</v>
      </c>
    </row>
    <row r="1556" spans="1:22" x14ac:dyDescent="0.25">
      <c r="A1556" s="98" t="s">
        <v>30</v>
      </c>
      <c r="B1556" s="98" t="s">
        <v>17</v>
      </c>
      <c r="C1556" s="98">
        <v>28</v>
      </c>
      <c r="D1556" s="98">
        <v>4499</v>
      </c>
      <c r="E1556" s="157">
        <v>41438.479166666664</v>
      </c>
      <c r="F1556" s="157">
        <v>41442.756944444445</v>
      </c>
      <c r="G1556" s="98">
        <v>520</v>
      </c>
      <c r="H1556" s="98">
        <v>528</v>
      </c>
      <c r="I1556" s="98">
        <v>479</v>
      </c>
      <c r="J1556" s="98" t="s">
        <v>2082</v>
      </c>
      <c r="K1556" s="98" t="s">
        <v>518</v>
      </c>
      <c r="L1556" s="105" t="str">
        <f t="shared" si="260"/>
        <v>Ghent</v>
      </c>
      <c r="M1556" s="105" t="str">
        <f t="shared" si="261"/>
        <v>Derate</v>
      </c>
      <c r="N1556" s="105" t="str">
        <f t="shared" si="262"/>
        <v>Coal</v>
      </c>
      <c r="O1556" s="105">
        <f>IFERROR(VLOOKUP(A1556,Lookup!$J$5:$P$19,7,FALSE),0)</f>
        <v>3</v>
      </c>
      <c r="P1556" s="159">
        <f t="shared" si="263"/>
        <v>2013</v>
      </c>
      <c r="Q1556" s="159">
        <f t="shared" si="264"/>
        <v>6</v>
      </c>
      <c r="R1556" s="160">
        <f t="shared" si="265"/>
        <v>102.66666666674428</v>
      </c>
      <c r="S1556" s="158">
        <f t="shared" si="266"/>
        <v>1.5555555555567315</v>
      </c>
      <c r="T1556" s="161">
        <f t="shared" si="267"/>
        <v>745.1111111116744</v>
      </c>
      <c r="U1556" s="158">
        <f t="shared" si="268"/>
        <v>7.2575757575757578</v>
      </c>
      <c r="V1556" s="160">
        <f t="shared" si="269"/>
        <v>7</v>
      </c>
    </row>
    <row r="1557" spans="1:22" x14ac:dyDescent="0.25">
      <c r="A1557" s="98" t="s">
        <v>30</v>
      </c>
      <c r="B1557" s="98" t="s">
        <v>17</v>
      </c>
      <c r="C1557" s="98">
        <v>29</v>
      </c>
      <c r="D1557" s="98">
        <v>1455</v>
      </c>
      <c r="E1557" s="157">
        <v>41442.756944444445</v>
      </c>
      <c r="F1557" s="157">
        <v>41442.788194444445</v>
      </c>
      <c r="G1557" s="98">
        <v>510</v>
      </c>
      <c r="H1557" s="98">
        <v>528</v>
      </c>
      <c r="I1557" s="98">
        <v>479</v>
      </c>
      <c r="J1557" s="98" t="s">
        <v>1990</v>
      </c>
      <c r="K1557" s="98" t="s">
        <v>519</v>
      </c>
      <c r="L1557" s="105" t="str">
        <f t="shared" si="260"/>
        <v>Ghent</v>
      </c>
      <c r="M1557" s="105" t="str">
        <f t="shared" si="261"/>
        <v>Derate</v>
      </c>
      <c r="N1557" s="105" t="str">
        <f t="shared" si="262"/>
        <v>Coal</v>
      </c>
      <c r="O1557" s="105">
        <f>IFERROR(VLOOKUP(A1557,Lookup!$J$5:$P$19,7,FALSE),0)</f>
        <v>3</v>
      </c>
      <c r="P1557" s="159">
        <f t="shared" si="263"/>
        <v>2013</v>
      </c>
      <c r="Q1557" s="159">
        <f t="shared" si="264"/>
        <v>6</v>
      </c>
      <c r="R1557" s="160">
        <f t="shared" si="265"/>
        <v>0.75</v>
      </c>
      <c r="S1557" s="158">
        <f t="shared" si="266"/>
        <v>2.556818181818182E-2</v>
      </c>
      <c r="T1557" s="161">
        <f t="shared" si="267"/>
        <v>12.247159090909092</v>
      </c>
      <c r="U1557" s="158">
        <f t="shared" si="268"/>
        <v>16.329545454545453</v>
      </c>
      <c r="V1557" s="160">
        <f t="shared" si="269"/>
        <v>16</v>
      </c>
    </row>
    <row r="1558" spans="1:22" x14ac:dyDescent="0.25">
      <c r="A1558" s="98" t="s">
        <v>30</v>
      </c>
      <c r="B1558" s="98" t="s">
        <v>17</v>
      </c>
      <c r="C1558" s="98">
        <v>30</v>
      </c>
      <c r="D1558" s="98">
        <v>4499</v>
      </c>
      <c r="E1558" s="157">
        <v>41442.788194444445</v>
      </c>
      <c r="F1558" s="157">
        <v>41454.584722222222</v>
      </c>
      <c r="G1558" s="98">
        <v>520</v>
      </c>
      <c r="H1558" s="98">
        <v>528</v>
      </c>
      <c r="I1558" s="98">
        <v>479</v>
      </c>
      <c r="J1558" s="98" t="s">
        <v>2082</v>
      </c>
      <c r="K1558" s="98" t="s">
        <v>520</v>
      </c>
      <c r="L1558" s="105" t="str">
        <f t="shared" si="260"/>
        <v>Ghent</v>
      </c>
      <c r="M1558" s="105" t="str">
        <f t="shared" si="261"/>
        <v>Derate</v>
      </c>
      <c r="N1558" s="105" t="str">
        <f t="shared" si="262"/>
        <v>Coal</v>
      </c>
      <c r="O1558" s="105">
        <f>IFERROR(VLOOKUP(A1558,Lookup!$J$5:$P$19,7,FALSE),0)</f>
        <v>3</v>
      </c>
      <c r="P1558" s="159">
        <f t="shared" si="263"/>
        <v>2013</v>
      </c>
      <c r="Q1558" s="159">
        <f t="shared" si="264"/>
        <v>6</v>
      </c>
      <c r="R1558" s="160">
        <f t="shared" si="265"/>
        <v>283.1166666666395</v>
      </c>
      <c r="S1558" s="158">
        <f t="shared" si="266"/>
        <v>4.2896464646460535</v>
      </c>
      <c r="T1558" s="161">
        <f t="shared" si="267"/>
        <v>2054.7406565654596</v>
      </c>
      <c r="U1558" s="158">
        <f t="shared" si="268"/>
        <v>7.2575757575757578</v>
      </c>
      <c r="V1558" s="160">
        <f t="shared" si="269"/>
        <v>7</v>
      </c>
    </row>
    <row r="1559" spans="1:22" x14ac:dyDescent="0.25">
      <c r="A1559" s="98" t="s">
        <v>30</v>
      </c>
      <c r="B1559" s="98" t="s">
        <v>17</v>
      </c>
      <c r="C1559" s="98">
        <v>31</v>
      </c>
      <c r="D1559" s="98">
        <v>4499</v>
      </c>
      <c r="E1559" s="157">
        <v>41454.584722222222</v>
      </c>
      <c r="F1559" s="157">
        <v>41456.614583333336</v>
      </c>
      <c r="G1559" s="98">
        <v>510</v>
      </c>
      <c r="H1559" s="98">
        <v>528</v>
      </c>
      <c r="I1559" s="98">
        <v>479</v>
      </c>
      <c r="J1559" s="98" t="s">
        <v>2082</v>
      </c>
      <c r="K1559" s="98" t="s">
        <v>521</v>
      </c>
      <c r="L1559" s="105" t="str">
        <f t="shared" si="260"/>
        <v>Ghent</v>
      </c>
      <c r="M1559" s="105" t="str">
        <f t="shared" si="261"/>
        <v>Derate</v>
      </c>
      <c r="N1559" s="105" t="str">
        <f t="shared" si="262"/>
        <v>Coal</v>
      </c>
      <c r="O1559" s="105">
        <f>IFERROR(VLOOKUP(A1559,Lookup!$J$5:$P$19,7,FALSE),0)</f>
        <v>3</v>
      </c>
      <c r="P1559" s="159">
        <f t="shared" si="263"/>
        <v>2013</v>
      </c>
      <c r="Q1559" s="159">
        <f t="shared" si="264"/>
        <v>6</v>
      </c>
      <c r="R1559" s="160">
        <f t="shared" si="265"/>
        <v>48.716666666732635</v>
      </c>
      <c r="S1559" s="158">
        <f t="shared" si="266"/>
        <v>1.6607954545477035</v>
      </c>
      <c r="T1559" s="161">
        <f t="shared" si="267"/>
        <v>795.52102272834998</v>
      </c>
      <c r="U1559" s="158">
        <f t="shared" si="268"/>
        <v>16.329545454545453</v>
      </c>
      <c r="V1559" s="160">
        <f t="shared" si="269"/>
        <v>16</v>
      </c>
    </row>
    <row r="1560" spans="1:22" x14ac:dyDescent="0.25">
      <c r="A1560" s="98" t="s">
        <v>30</v>
      </c>
      <c r="B1560" s="98" t="s">
        <v>17</v>
      </c>
      <c r="C1560" s="98">
        <v>32</v>
      </c>
      <c r="D1560" s="98">
        <v>4499</v>
      </c>
      <c r="E1560" s="157">
        <v>41456.614583333336</v>
      </c>
      <c r="F1560" s="157">
        <v>41459.739583333336</v>
      </c>
      <c r="G1560" s="98">
        <v>520</v>
      </c>
      <c r="H1560" s="98">
        <v>528</v>
      </c>
      <c r="I1560" s="98">
        <v>479</v>
      </c>
      <c r="J1560" s="98" t="s">
        <v>2082</v>
      </c>
      <c r="K1560" s="98" t="s">
        <v>522</v>
      </c>
      <c r="L1560" s="105" t="str">
        <f t="shared" si="260"/>
        <v>Ghent</v>
      </c>
      <c r="M1560" s="105" t="str">
        <f t="shared" si="261"/>
        <v>Derate</v>
      </c>
      <c r="N1560" s="105" t="str">
        <f t="shared" si="262"/>
        <v>Coal</v>
      </c>
      <c r="O1560" s="105">
        <f>IFERROR(VLOOKUP(A1560,Lookup!$J$5:$P$19,7,FALSE),0)</f>
        <v>3</v>
      </c>
      <c r="P1560" s="159">
        <f t="shared" si="263"/>
        <v>2013</v>
      </c>
      <c r="Q1560" s="159">
        <f t="shared" si="264"/>
        <v>7</v>
      </c>
      <c r="R1560" s="160">
        <f t="shared" si="265"/>
        <v>75</v>
      </c>
      <c r="S1560" s="158">
        <f t="shared" si="266"/>
        <v>1.1363636363636365</v>
      </c>
      <c r="T1560" s="161">
        <f t="shared" si="267"/>
        <v>544.31818181818187</v>
      </c>
      <c r="U1560" s="158">
        <f t="shared" si="268"/>
        <v>7.2575757575757578</v>
      </c>
      <c r="V1560" s="160">
        <f t="shared" si="269"/>
        <v>7</v>
      </c>
    </row>
    <row r="1561" spans="1:22" x14ac:dyDescent="0.25">
      <c r="A1561" s="98" t="s">
        <v>30</v>
      </c>
      <c r="B1561" s="98" t="s">
        <v>17</v>
      </c>
      <c r="C1561" s="98">
        <v>33</v>
      </c>
      <c r="D1561" s="98">
        <v>260</v>
      </c>
      <c r="E1561" s="157">
        <v>41459.739583333336</v>
      </c>
      <c r="F1561" s="157">
        <v>41459.763888888891</v>
      </c>
      <c r="G1561" s="98">
        <v>410</v>
      </c>
      <c r="H1561" s="98">
        <v>528</v>
      </c>
      <c r="I1561" s="98">
        <v>479</v>
      </c>
      <c r="J1561" s="98" t="s">
        <v>1973</v>
      </c>
      <c r="K1561" s="98" t="s">
        <v>523</v>
      </c>
      <c r="L1561" s="105" t="str">
        <f t="shared" si="260"/>
        <v>Ghent</v>
      </c>
      <c r="M1561" s="105" t="str">
        <f t="shared" si="261"/>
        <v>Derate</v>
      </c>
      <c r="N1561" s="105" t="str">
        <f t="shared" si="262"/>
        <v>Coal</v>
      </c>
      <c r="O1561" s="105">
        <f>IFERROR(VLOOKUP(A1561,Lookup!$J$5:$P$19,7,FALSE),0)</f>
        <v>3</v>
      </c>
      <c r="P1561" s="159">
        <f t="shared" si="263"/>
        <v>2013</v>
      </c>
      <c r="Q1561" s="159">
        <f t="shared" si="264"/>
        <v>7</v>
      </c>
      <c r="R1561" s="160">
        <f t="shared" si="265"/>
        <v>0.58333333331393078</v>
      </c>
      <c r="S1561" s="158">
        <f t="shared" si="266"/>
        <v>0.13036616161182543</v>
      </c>
      <c r="T1561" s="161">
        <f t="shared" si="267"/>
        <v>62.445391412064382</v>
      </c>
      <c r="U1561" s="158">
        <f t="shared" si="268"/>
        <v>107.04924242424242</v>
      </c>
      <c r="V1561" s="160">
        <f t="shared" si="269"/>
        <v>107</v>
      </c>
    </row>
    <row r="1562" spans="1:22" x14ac:dyDescent="0.25">
      <c r="A1562" s="98" t="s">
        <v>30</v>
      </c>
      <c r="B1562" s="98" t="s">
        <v>17</v>
      </c>
      <c r="C1562" s="98">
        <v>34</v>
      </c>
      <c r="D1562" s="98">
        <v>4499</v>
      </c>
      <c r="E1562" s="157">
        <v>41459.763888888891</v>
      </c>
      <c r="F1562" s="157">
        <v>41460.643750000003</v>
      </c>
      <c r="G1562" s="98">
        <v>520</v>
      </c>
      <c r="H1562" s="98">
        <v>528</v>
      </c>
      <c r="I1562" s="98">
        <v>479</v>
      </c>
      <c r="J1562" s="98" t="s">
        <v>2082</v>
      </c>
      <c r="K1562" s="98" t="s">
        <v>524</v>
      </c>
      <c r="L1562" s="105" t="str">
        <f t="shared" si="260"/>
        <v>Ghent</v>
      </c>
      <c r="M1562" s="105" t="str">
        <f t="shared" si="261"/>
        <v>Derate</v>
      </c>
      <c r="N1562" s="105" t="str">
        <f t="shared" si="262"/>
        <v>Coal</v>
      </c>
      <c r="O1562" s="105">
        <f>IFERROR(VLOOKUP(A1562,Lookup!$J$5:$P$19,7,FALSE),0)</f>
        <v>3</v>
      </c>
      <c r="P1562" s="159">
        <f t="shared" si="263"/>
        <v>2013</v>
      </c>
      <c r="Q1562" s="159">
        <f t="shared" si="264"/>
        <v>7</v>
      </c>
      <c r="R1562" s="160">
        <f t="shared" si="265"/>
        <v>21.116666666697711</v>
      </c>
      <c r="S1562" s="158">
        <f t="shared" si="266"/>
        <v>0.31994949494996533</v>
      </c>
      <c r="T1562" s="161">
        <f t="shared" si="267"/>
        <v>153.25580808103339</v>
      </c>
      <c r="U1562" s="158">
        <f t="shared" si="268"/>
        <v>7.2575757575757578</v>
      </c>
      <c r="V1562" s="160">
        <f t="shared" si="269"/>
        <v>7</v>
      </c>
    </row>
    <row r="1563" spans="1:22" x14ac:dyDescent="0.25">
      <c r="A1563" s="98" t="s">
        <v>30</v>
      </c>
      <c r="B1563" s="98" t="s">
        <v>17</v>
      </c>
      <c r="C1563" s="98">
        <v>35</v>
      </c>
      <c r="D1563" s="98">
        <v>4499</v>
      </c>
      <c r="E1563" s="157">
        <v>41460.643750000003</v>
      </c>
      <c r="F1563" s="157">
        <v>41481.451388888891</v>
      </c>
      <c r="G1563" s="98">
        <v>515</v>
      </c>
      <c r="H1563" s="98">
        <v>528</v>
      </c>
      <c r="I1563" s="98">
        <v>479</v>
      </c>
      <c r="J1563" s="98" t="s">
        <v>2082</v>
      </c>
      <c r="K1563" s="98" t="s">
        <v>1198</v>
      </c>
      <c r="L1563" s="105" t="str">
        <f t="shared" si="260"/>
        <v>Ghent</v>
      </c>
      <c r="M1563" s="105" t="str">
        <f t="shared" si="261"/>
        <v>Derate</v>
      </c>
      <c r="N1563" s="105" t="str">
        <f t="shared" si="262"/>
        <v>Coal</v>
      </c>
      <c r="O1563" s="105">
        <f>IFERROR(VLOOKUP(A1563,Lookup!$J$5:$P$19,7,FALSE),0)</f>
        <v>3</v>
      </c>
      <c r="P1563" s="159">
        <f t="shared" si="263"/>
        <v>2013</v>
      </c>
      <c r="Q1563" s="159">
        <f t="shared" si="264"/>
        <v>7</v>
      </c>
      <c r="R1563" s="160">
        <f t="shared" si="265"/>
        <v>499.38333333330229</v>
      </c>
      <c r="S1563" s="158">
        <f t="shared" si="266"/>
        <v>12.295422979797216</v>
      </c>
      <c r="T1563" s="161">
        <f t="shared" si="267"/>
        <v>5889.5076073228665</v>
      </c>
      <c r="U1563" s="158">
        <f t="shared" si="268"/>
        <v>11.793560606060606</v>
      </c>
      <c r="V1563" s="160">
        <f t="shared" si="269"/>
        <v>12</v>
      </c>
    </row>
    <row r="1564" spans="1:22" x14ac:dyDescent="0.25">
      <c r="A1564" s="98" t="s">
        <v>30</v>
      </c>
      <c r="B1564" s="98" t="s">
        <v>17</v>
      </c>
      <c r="C1564" s="98">
        <v>36</v>
      </c>
      <c r="D1564" s="98">
        <v>250</v>
      </c>
      <c r="E1564" s="157">
        <v>41470.556250000001</v>
      </c>
      <c r="F1564" s="157">
        <v>41470.574999999997</v>
      </c>
      <c r="G1564" s="98">
        <v>415</v>
      </c>
      <c r="H1564" s="98">
        <v>528</v>
      </c>
      <c r="I1564" s="98">
        <v>479</v>
      </c>
      <c r="J1564" s="98" t="s">
        <v>1978</v>
      </c>
      <c r="K1564" s="98" t="s">
        <v>1199</v>
      </c>
      <c r="L1564" s="105" t="str">
        <f t="shared" si="260"/>
        <v>Ghent</v>
      </c>
      <c r="M1564" s="105" t="str">
        <f t="shared" si="261"/>
        <v>Derate</v>
      </c>
      <c r="N1564" s="105" t="str">
        <f t="shared" si="262"/>
        <v>Coal</v>
      </c>
      <c r="O1564" s="105">
        <f>IFERROR(VLOOKUP(A1564,Lookup!$J$5:$P$19,7,FALSE),0)</f>
        <v>3</v>
      </c>
      <c r="P1564" s="159">
        <f t="shared" si="263"/>
        <v>2013</v>
      </c>
      <c r="Q1564" s="159">
        <f t="shared" si="264"/>
        <v>7</v>
      </c>
      <c r="R1564" s="160">
        <f t="shared" si="265"/>
        <v>0.44999999989522621</v>
      </c>
      <c r="S1564" s="158">
        <f t="shared" si="266"/>
        <v>9.6306818159395E-2</v>
      </c>
      <c r="T1564" s="161">
        <f t="shared" si="267"/>
        <v>46.130965898350205</v>
      </c>
      <c r="U1564" s="158">
        <f t="shared" si="268"/>
        <v>102.51325757575758</v>
      </c>
      <c r="V1564" s="160">
        <f t="shared" si="269"/>
        <v>103</v>
      </c>
    </row>
    <row r="1565" spans="1:22" x14ac:dyDescent="0.25">
      <c r="A1565" s="98" t="s">
        <v>30</v>
      </c>
      <c r="B1565" s="98" t="s">
        <v>17</v>
      </c>
      <c r="C1565" s="98">
        <v>37</v>
      </c>
      <c r="D1565" s="98">
        <v>4499</v>
      </c>
      <c r="E1565" s="157">
        <v>41481.451388888891</v>
      </c>
      <c r="F1565" s="157">
        <v>41524.291666666664</v>
      </c>
      <c r="G1565" s="98">
        <v>520</v>
      </c>
      <c r="H1565" s="98">
        <v>528</v>
      </c>
      <c r="I1565" s="98">
        <v>479</v>
      </c>
      <c r="J1565" s="98" t="s">
        <v>2082</v>
      </c>
      <c r="K1565" s="98" t="s">
        <v>1200</v>
      </c>
      <c r="L1565" s="105" t="str">
        <f t="shared" si="260"/>
        <v>Ghent</v>
      </c>
      <c r="M1565" s="105" t="str">
        <f t="shared" si="261"/>
        <v>Derate</v>
      </c>
      <c r="N1565" s="105" t="str">
        <f t="shared" si="262"/>
        <v>Coal</v>
      </c>
      <c r="O1565" s="105">
        <f>IFERROR(VLOOKUP(A1565,Lookup!$J$5:$P$19,7,FALSE),0)</f>
        <v>3</v>
      </c>
      <c r="P1565" s="159">
        <f t="shared" si="263"/>
        <v>2013</v>
      </c>
      <c r="Q1565" s="159">
        <f t="shared" si="264"/>
        <v>7</v>
      </c>
      <c r="R1565" s="160">
        <f t="shared" si="265"/>
        <v>1028.1666666665697</v>
      </c>
      <c r="S1565" s="158">
        <f t="shared" si="266"/>
        <v>15.578282828281358</v>
      </c>
      <c r="T1565" s="161">
        <f t="shared" si="267"/>
        <v>7461.9974747467704</v>
      </c>
      <c r="U1565" s="158">
        <f t="shared" si="268"/>
        <v>7.2575757575757578</v>
      </c>
      <c r="V1565" s="160">
        <f t="shared" si="269"/>
        <v>7</v>
      </c>
    </row>
    <row r="1566" spans="1:22" x14ac:dyDescent="0.25">
      <c r="A1566" s="98" t="s">
        <v>30</v>
      </c>
      <c r="B1566" s="98" t="s">
        <v>32</v>
      </c>
      <c r="C1566" s="98">
        <v>38</v>
      </c>
      <c r="D1566" s="98">
        <v>3440</v>
      </c>
      <c r="E1566" s="157">
        <v>41485.924305555556</v>
      </c>
      <c r="F1566" s="157">
        <v>41487.958333333336</v>
      </c>
      <c r="G1566" s="98">
        <v>511</v>
      </c>
      <c r="H1566" s="98">
        <v>528</v>
      </c>
      <c r="I1566" s="98">
        <v>479</v>
      </c>
      <c r="J1566" s="98" t="s">
        <v>2100</v>
      </c>
      <c r="K1566" s="98" t="s">
        <v>1201</v>
      </c>
      <c r="L1566" s="105" t="str">
        <f t="shared" si="260"/>
        <v>Ghent</v>
      </c>
      <c r="M1566" s="105" t="str">
        <f t="shared" si="261"/>
        <v>Derate</v>
      </c>
      <c r="N1566" s="105" t="str">
        <f t="shared" si="262"/>
        <v>Coal</v>
      </c>
      <c r="O1566" s="105">
        <f>IFERROR(VLOOKUP(A1566,Lookup!$J$5:$P$19,7,FALSE),0)</f>
        <v>3</v>
      </c>
      <c r="P1566" s="159">
        <f t="shared" si="263"/>
        <v>2013</v>
      </c>
      <c r="Q1566" s="159">
        <f t="shared" si="264"/>
        <v>7</v>
      </c>
      <c r="R1566" s="160">
        <f t="shared" si="265"/>
        <v>48.816666666709352</v>
      </c>
      <c r="S1566" s="158">
        <f t="shared" si="266"/>
        <v>1.5717487373751118</v>
      </c>
      <c r="T1566" s="161">
        <f t="shared" si="267"/>
        <v>752.86764520267855</v>
      </c>
      <c r="U1566" s="158">
        <f t="shared" si="268"/>
        <v>15.422348484848484</v>
      </c>
      <c r="V1566" s="160">
        <f t="shared" si="269"/>
        <v>15</v>
      </c>
    </row>
    <row r="1567" spans="1:22" x14ac:dyDescent="0.25">
      <c r="A1567" s="98" t="s">
        <v>30</v>
      </c>
      <c r="B1567" s="98" t="s">
        <v>17</v>
      </c>
      <c r="C1567" s="98">
        <v>39</v>
      </c>
      <c r="D1567" s="98">
        <v>4499</v>
      </c>
      <c r="E1567" s="157">
        <v>41494.574999999997</v>
      </c>
      <c r="F1567" s="157">
        <v>41514.631944444445</v>
      </c>
      <c r="G1567" s="98">
        <v>515</v>
      </c>
      <c r="H1567" s="98">
        <v>528</v>
      </c>
      <c r="I1567" s="98">
        <v>479</v>
      </c>
      <c r="J1567" s="98" t="s">
        <v>2082</v>
      </c>
      <c r="K1567" s="98" t="s">
        <v>1202</v>
      </c>
      <c r="L1567" s="105" t="str">
        <f t="shared" si="260"/>
        <v>Ghent</v>
      </c>
      <c r="M1567" s="105" t="str">
        <f t="shared" si="261"/>
        <v>Derate</v>
      </c>
      <c r="N1567" s="105" t="str">
        <f t="shared" si="262"/>
        <v>Coal</v>
      </c>
      <c r="O1567" s="105">
        <f>IFERROR(VLOOKUP(A1567,Lookup!$J$5:$P$19,7,FALSE),0)</f>
        <v>3</v>
      </c>
      <c r="P1567" s="159">
        <f t="shared" si="263"/>
        <v>2013</v>
      </c>
      <c r="Q1567" s="159">
        <f t="shared" si="264"/>
        <v>8</v>
      </c>
      <c r="R1567" s="160">
        <f t="shared" si="265"/>
        <v>481.36666666675592</v>
      </c>
      <c r="S1567" s="158">
        <f t="shared" si="266"/>
        <v>11.851830808083006</v>
      </c>
      <c r="T1567" s="161">
        <f t="shared" si="267"/>
        <v>5677.0269570717601</v>
      </c>
      <c r="U1567" s="158">
        <f t="shared" si="268"/>
        <v>11.793560606060606</v>
      </c>
      <c r="V1567" s="160">
        <f t="shared" si="269"/>
        <v>12</v>
      </c>
    </row>
    <row r="1568" spans="1:22" x14ac:dyDescent="0.25">
      <c r="A1568" s="98" t="s">
        <v>30</v>
      </c>
      <c r="B1568" s="98" t="s">
        <v>17</v>
      </c>
      <c r="C1568" s="98">
        <v>40</v>
      </c>
      <c r="D1568" s="98">
        <v>1455</v>
      </c>
      <c r="E1568" s="157">
        <v>41514.631944444445</v>
      </c>
      <c r="F1568" s="157">
        <v>41515.413194444445</v>
      </c>
      <c r="G1568" s="98">
        <v>10</v>
      </c>
      <c r="H1568" s="98">
        <v>528</v>
      </c>
      <c r="I1568" s="98">
        <v>479</v>
      </c>
      <c r="J1568" s="98" t="s">
        <v>1990</v>
      </c>
      <c r="K1568" s="98" t="s">
        <v>1203</v>
      </c>
      <c r="L1568" s="105" t="str">
        <f t="shared" si="260"/>
        <v>Ghent</v>
      </c>
      <c r="M1568" s="105" t="str">
        <f t="shared" si="261"/>
        <v>Derate</v>
      </c>
      <c r="N1568" s="105" t="str">
        <f t="shared" si="262"/>
        <v>Coal</v>
      </c>
      <c r="O1568" s="105">
        <f>IFERROR(VLOOKUP(A1568,Lookup!$J$5:$P$19,7,FALSE),0)</f>
        <v>3</v>
      </c>
      <c r="P1568" s="159">
        <f t="shared" si="263"/>
        <v>2013</v>
      </c>
      <c r="Q1568" s="159">
        <f t="shared" si="264"/>
        <v>8</v>
      </c>
      <c r="R1568" s="160">
        <f t="shared" si="265"/>
        <v>18.75</v>
      </c>
      <c r="S1568" s="158">
        <f t="shared" si="266"/>
        <v>18.394886363636363</v>
      </c>
      <c r="T1568" s="161">
        <f t="shared" si="267"/>
        <v>8811.150568181818</v>
      </c>
      <c r="U1568" s="158">
        <f t="shared" si="268"/>
        <v>469.92803030303031</v>
      </c>
      <c r="V1568" s="160">
        <f t="shared" si="269"/>
        <v>470</v>
      </c>
    </row>
    <row r="1569" spans="1:22" x14ac:dyDescent="0.25">
      <c r="A1569" s="98" t="s">
        <v>30</v>
      </c>
      <c r="B1569" s="98" t="s">
        <v>17</v>
      </c>
      <c r="C1569" s="98">
        <v>41</v>
      </c>
      <c r="D1569" s="98">
        <v>1455</v>
      </c>
      <c r="E1569" s="157">
        <v>41517.5</v>
      </c>
      <c r="F1569" s="157">
        <v>41520.291666666664</v>
      </c>
      <c r="G1569" s="98">
        <v>510</v>
      </c>
      <c r="H1569" s="98">
        <v>528</v>
      </c>
      <c r="I1569" s="98">
        <v>479</v>
      </c>
      <c r="J1569" s="98" t="s">
        <v>1990</v>
      </c>
      <c r="K1569" s="98" t="s">
        <v>1204</v>
      </c>
      <c r="L1569" s="105" t="str">
        <f t="shared" si="260"/>
        <v>Ghent</v>
      </c>
      <c r="M1569" s="105" t="str">
        <f t="shared" si="261"/>
        <v>Derate</v>
      </c>
      <c r="N1569" s="105" t="str">
        <f t="shared" si="262"/>
        <v>Coal</v>
      </c>
      <c r="O1569" s="105">
        <f>IFERROR(VLOOKUP(A1569,Lookup!$J$5:$P$19,7,FALSE),0)</f>
        <v>3</v>
      </c>
      <c r="P1569" s="159">
        <f t="shared" si="263"/>
        <v>2013</v>
      </c>
      <c r="Q1569" s="159">
        <f t="shared" si="264"/>
        <v>8</v>
      </c>
      <c r="R1569" s="160">
        <f t="shared" si="265"/>
        <v>66.999999999941792</v>
      </c>
      <c r="S1569" s="158">
        <f t="shared" si="266"/>
        <v>2.2840909090889245</v>
      </c>
      <c r="T1569" s="161">
        <f t="shared" si="267"/>
        <v>1094.0795454535948</v>
      </c>
      <c r="U1569" s="158">
        <f t="shared" si="268"/>
        <v>16.329545454545453</v>
      </c>
      <c r="V1569" s="160">
        <f t="shared" si="269"/>
        <v>16</v>
      </c>
    </row>
    <row r="1570" spans="1:22" x14ac:dyDescent="0.25">
      <c r="A1570" s="98" t="s">
        <v>30</v>
      </c>
      <c r="B1570" s="98" t="s">
        <v>17</v>
      </c>
      <c r="C1570" s="98">
        <v>42</v>
      </c>
      <c r="D1570" s="98">
        <v>4499</v>
      </c>
      <c r="E1570" s="157">
        <v>41524.291666666664</v>
      </c>
      <c r="F1570" s="157">
        <v>41532.333333333336</v>
      </c>
      <c r="G1570" s="98">
        <v>520</v>
      </c>
      <c r="H1570" s="98">
        <v>528</v>
      </c>
      <c r="I1570" s="98">
        <v>479</v>
      </c>
      <c r="J1570" s="98" t="s">
        <v>2082</v>
      </c>
      <c r="K1570" s="98" t="s">
        <v>1205</v>
      </c>
      <c r="L1570" s="105" t="str">
        <f t="shared" si="260"/>
        <v>Ghent</v>
      </c>
      <c r="M1570" s="105" t="str">
        <f t="shared" si="261"/>
        <v>Derate</v>
      </c>
      <c r="N1570" s="105" t="str">
        <f t="shared" si="262"/>
        <v>Coal</v>
      </c>
      <c r="O1570" s="105">
        <f>IFERROR(VLOOKUP(A1570,Lookup!$J$5:$P$19,7,FALSE),0)</f>
        <v>3</v>
      </c>
      <c r="P1570" s="159">
        <f t="shared" si="263"/>
        <v>2013</v>
      </c>
      <c r="Q1570" s="159">
        <f t="shared" si="264"/>
        <v>9</v>
      </c>
      <c r="R1570" s="160">
        <f t="shared" si="265"/>
        <v>193.00000000011642</v>
      </c>
      <c r="S1570" s="158">
        <f t="shared" si="266"/>
        <v>2.9242424242441882</v>
      </c>
      <c r="T1570" s="161">
        <f t="shared" si="267"/>
        <v>1400.7121212129662</v>
      </c>
      <c r="U1570" s="158">
        <f t="shared" si="268"/>
        <v>7.2575757575757578</v>
      </c>
      <c r="V1570" s="160">
        <f t="shared" si="269"/>
        <v>7</v>
      </c>
    </row>
    <row r="1571" spans="1:22" x14ac:dyDescent="0.25">
      <c r="A1571" s="98" t="s">
        <v>30</v>
      </c>
      <c r="B1571" s="98" t="s">
        <v>17</v>
      </c>
      <c r="C1571" s="98">
        <v>43</v>
      </c>
      <c r="D1571" s="98">
        <v>4499</v>
      </c>
      <c r="E1571" s="157">
        <v>41532.333333333336</v>
      </c>
      <c r="F1571" s="157">
        <v>41537.505555555559</v>
      </c>
      <c r="G1571" s="98">
        <v>520</v>
      </c>
      <c r="H1571" s="98">
        <v>528</v>
      </c>
      <c r="I1571" s="98">
        <v>479</v>
      </c>
      <c r="J1571" s="98" t="s">
        <v>2082</v>
      </c>
      <c r="K1571" s="98" t="s">
        <v>1206</v>
      </c>
      <c r="L1571" s="105" t="str">
        <f t="shared" si="260"/>
        <v>Ghent</v>
      </c>
      <c r="M1571" s="105" t="str">
        <f t="shared" si="261"/>
        <v>Derate</v>
      </c>
      <c r="N1571" s="105" t="str">
        <f t="shared" si="262"/>
        <v>Coal</v>
      </c>
      <c r="O1571" s="105">
        <f>IFERROR(VLOOKUP(A1571,Lookup!$J$5:$P$19,7,FALSE),0)</f>
        <v>3</v>
      </c>
      <c r="P1571" s="159">
        <f t="shared" si="263"/>
        <v>2013</v>
      </c>
      <c r="Q1571" s="159">
        <f t="shared" si="264"/>
        <v>9</v>
      </c>
      <c r="R1571" s="160">
        <f t="shared" si="265"/>
        <v>124.1333333333605</v>
      </c>
      <c r="S1571" s="158">
        <f t="shared" si="266"/>
        <v>1.8808080808084924</v>
      </c>
      <c r="T1571" s="161">
        <f t="shared" si="267"/>
        <v>900.90707070726785</v>
      </c>
      <c r="U1571" s="158">
        <f t="shared" si="268"/>
        <v>7.2575757575757578</v>
      </c>
      <c r="V1571" s="160">
        <f t="shared" si="269"/>
        <v>7</v>
      </c>
    </row>
    <row r="1572" spans="1:22" x14ac:dyDescent="0.25">
      <c r="A1572" s="98" t="s">
        <v>30</v>
      </c>
      <c r="B1572" s="98" t="s">
        <v>17</v>
      </c>
      <c r="C1572" s="98">
        <v>44</v>
      </c>
      <c r="D1572" s="98">
        <v>4499</v>
      </c>
      <c r="E1572" s="157">
        <v>41537.505555555559</v>
      </c>
      <c r="F1572" s="157">
        <v>41546.756944444445</v>
      </c>
      <c r="G1572" s="98">
        <v>515</v>
      </c>
      <c r="H1572" s="98">
        <v>528</v>
      </c>
      <c r="I1572" s="98">
        <v>479</v>
      </c>
      <c r="J1572" s="98" t="s">
        <v>2082</v>
      </c>
      <c r="K1572" s="98" t="s">
        <v>1207</v>
      </c>
      <c r="L1572" s="105" t="str">
        <f t="shared" si="260"/>
        <v>Ghent</v>
      </c>
      <c r="M1572" s="105" t="str">
        <f t="shared" si="261"/>
        <v>Derate</v>
      </c>
      <c r="N1572" s="105" t="str">
        <f t="shared" si="262"/>
        <v>Coal</v>
      </c>
      <c r="O1572" s="105">
        <f>IFERROR(VLOOKUP(A1572,Lookup!$J$5:$P$19,7,FALSE),0)</f>
        <v>3</v>
      </c>
      <c r="P1572" s="159">
        <f t="shared" si="263"/>
        <v>2013</v>
      </c>
      <c r="Q1572" s="159">
        <f t="shared" si="264"/>
        <v>9</v>
      </c>
      <c r="R1572" s="160">
        <f t="shared" si="265"/>
        <v>222.03333333326736</v>
      </c>
      <c r="S1572" s="158">
        <f t="shared" si="266"/>
        <v>5.4667297979781742</v>
      </c>
      <c r="T1572" s="161">
        <f t="shared" si="267"/>
        <v>2618.5635732315454</v>
      </c>
      <c r="U1572" s="158">
        <f t="shared" si="268"/>
        <v>11.793560606060606</v>
      </c>
      <c r="V1572" s="160">
        <f t="shared" si="269"/>
        <v>12</v>
      </c>
    </row>
    <row r="1573" spans="1:22" x14ac:dyDescent="0.25">
      <c r="A1573" s="98" t="s">
        <v>30</v>
      </c>
      <c r="B1573" s="98" t="s">
        <v>17</v>
      </c>
      <c r="C1573" s="98">
        <v>45</v>
      </c>
      <c r="D1573" s="98">
        <v>3210</v>
      </c>
      <c r="E1573" s="157">
        <v>41543.106944444444</v>
      </c>
      <c r="F1573" s="157">
        <v>41543.173611111109</v>
      </c>
      <c r="G1573" s="98">
        <v>460</v>
      </c>
      <c r="H1573" s="98">
        <v>528</v>
      </c>
      <c r="I1573" s="98">
        <v>479</v>
      </c>
      <c r="J1573" s="98" t="s">
        <v>2048</v>
      </c>
      <c r="K1573" s="98" t="s">
        <v>1208</v>
      </c>
      <c r="L1573" s="105" t="str">
        <f t="shared" si="260"/>
        <v>Ghent</v>
      </c>
      <c r="M1573" s="105" t="str">
        <f t="shared" si="261"/>
        <v>Derate</v>
      </c>
      <c r="N1573" s="105" t="str">
        <f t="shared" si="262"/>
        <v>Coal</v>
      </c>
      <c r="O1573" s="105">
        <f>IFERROR(VLOOKUP(A1573,Lookup!$J$5:$P$19,7,FALSE),0)</f>
        <v>3</v>
      </c>
      <c r="P1573" s="159">
        <f t="shared" si="263"/>
        <v>2013</v>
      </c>
      <c r="Q1573" s="159">
        <f t="shared" si="264"/>
        <v>9</v>
      </c>
      <c r="R1573" s="160">
        <f t="shared" si="265"/>
        <v>1.5999999999767169</v>
      </c>
      <c r="S1573" s="158">
        <f t="shared" si="266"/>
        <v>0.20606060605760748</v>
      </c>
      <c r="T1573" s="161">
        <f t="shared" si="267"/>
        <v>98.703030301593984</v>
      </c>
      <c r="U1573" s="158">
        <f t="shared" si="268"/>
        <v>61.689393939393938</v>
      </c>
      <c r="V1573" s="160">
        <f t="shared" si="269"/>
        <v>62</v>
      </c>
    </row>
    <row r="1574" spans="1:22" x14ac:dyDescent="0.25">
      <c r="A1574" s="98" t="s">
        <v>30</v>
      </c>
      <c r="B1574" s="98" t="s">
        <v>15</v>
      </c>
      <c r="C1574" s="98">
        <v>46</v>
      </c>
      <c r="D1574" s="98">
        <v>4311</v>
      </c>
      <c r="E1574" s="157">
        <v>41546.756944444445</v>
      </c>
      <c r="F1574" s="157">
        <v>41546.904166666667</v>
      </c>
      <c r="G1574" s="98">
        <v>0</v>
      </c>
      <c r="H1574" s="98">
        <v>528</v>
      </c>
      <c r="I1574" s="98">
        <v>479</v>
      </c>
      <c r="J1574" s="98" t="s">
        <v>2244</v>
      </c>
      <c r="K1574" s="98" t="s">
        <v>1209</v>
      </c>
      <c r="L1574" s="105" t="str">
        <f t="shared" si="260"/>
        <v>Ghent</v>
      </c>
      <c r="M1574" s="105" t="str">
        <f t="shared" si="261"/>
        <v>Outage</v>
      </c>
      <c r="N1574" s="105" t="str">
        <f t="shared" si="262"/>
        <v>Coal</v>
      </c>
      <c r="O1574" s="105">
        <f>IFERROR(VLOOKUP(A1574,Lookup!$J$5:$P$19,7,FALSE),0)</f>
        <v>3</v>
      </c>
      <c r="P1574" s="159">
        <f t="shared" si="263"/>
        <v>2013</v>
      </c>
      <c r="Q1574" s="159">
        <f t="shared" si="264"/>
        <v>9</v>
      </c>
      <c r="R1574" s="160">
        <f t="shared" si="265"/>
        <v>3.5333333333255723</v>
      </c>
      <c r="S1574" s="158">
        <f t="shared" si="266"/>
        <v>3.5333333333255723</v>
      </c>
      <c r="T1574" s="161">
        <f t="shared" si="267"/>
        <v>1692.4666666629491</v>
      </c>
      <c r="U1574" s="158">
        <f t="shared" si="268"/>
        <v>479</v>
      </c>
      <c r="V1574" s="160">
        <f t="shared" si="269"/>
        <v>479</v>
      </c>
    </row>
    <row r="1575" spans="1:22" x14ac:dyDescent="0.25">
      <c r="A1575" s="98" t="s">
        <v>30</v>
      </c>
      <c r="B1575" s="98" t="s">
        <v>17</v>
      </c>
      <c r="C1575" s="98">
        <v>47</v>
      </c>
      <c r="D1575" s="98">
        <v>4499</v>
      </c>
      <c r="E1575" s="157">
        <v>41547.020833333336</v>
      </c>
      <c r="F1575" s="157">
        <v>41557.961805555555</v>
      </c>
      <c r="G1575" s="98">
        <v>515</v>
      </c>
      <c r="H1575" s="98">
        <v>528</v>
      </c>
      <c r="I1575" s="98">
        <v>479</v>
      </c>
      <c r="J1575" s="98" t="s">
        <v>2082</v>
      </c>
      <c r="K1575" s="98" t="s">
        <v>1210</v>
      </c>
      <c r="L1575" s="105" t="str">
        <f t="shared" ref="L1575:L1638" si="270">IF(OR(A1575="BR1",A1575="BR2",A1575="BR3",A1575="BR5",A1575="BR6",A1575="BR7",A1575="BR8",A1575="BR9",A1575="BR10",A1575="BR11"),"Brown",IF(OR(A1575="CR4",A1575="CR5",A1575="CR6",A1575="CR11"),"Cane Run",IF(OR(A1575="GH1",A1575="GH2",A1575="GH3",A1575="GH4"),"Ghent",IF(OR(A1575="GR3",A1575="GR4"),"Green River",IF(OR(A1575="MC1",A1575="MC2",A1575="MC3",A1575="MC4"),"Mill Creek",IF(OR(A1575="TC1",A1575="TC2",A1575="TC5",A1575="TC6",A1575="TC7",A1575="TC8",A1575="TC9",A1575="TC10"),"Trimble",IF(A1575="TY3","Tyrone",IF(OR(A1575="HA1",A1575="HA2",A1575="HA3"),"Haeflin",IF(OR(A1575="PR11",A1575="PR12",A1575="PR13"),"Paddy's Run","Zorn")))))))))</f>
        <v>Ghent</v>
      </c>
      <c r="M1575" s="105" t="str">
        <f t="shared" ref="M1575:M1638" si="271">IF(OR(B1575="D1",B1575="D2",B1575="D3",B1575="D4",B1575="PD"),"Derate",IF(OR(B1575="SF",B1575="U1",B1575="U2",B1575="U3"),"Outage",IF(OR(B1575="ME",B1575="MO"),"Maintenance","Other")))</f>
        <v>Derate</v>
      </c>
      <c r="N1575" s="105" t="str">
        <f t="shared" ref="N1575:N1638" si="272">IF(OR(A1575="BR1",A1575="BR2",A1575="BR3",A1575="CR4",A1575="CR5",A1575="CR6",A1575="GH1",A1575="GH2",A1575="GH3",A1575="GH4",A1575="GR3",A1575="GR4",A1575="MC1",A1575="MC2",A1575="MC3",A1575="MC4",A1575="TC1",A1575="TC2",A1575="TY3"),"Coal","Gas")</f>
        <v>Coal</v>
      </c>
      <c r="O1575" s="105">
        <f>IFERROR(VLOOKUP(A1575,Lookup!$J$5:$P$19,7,FALSE),0)</f>
        <v>3</v>
      </c>
      <c r="P1575" s="159">
        <f t="shared" ref="P1575:P1638" si="273">YEAR(E1575)</f>
        <v>2013</v>
      </c>
      <c r="Q1575" s="159">
        <f t="shared" ref="Q1575:Q1638" si="274">MONTH(E1575)</f>
        <v>9</v>
      </c>
      <c r="R1575" s="160">
        <f t="shared" ref="R1575:R1638" si="275">(F1575-E1575)*24</f>
        <v>262.58333333325572</v>
      </c>
      <c r="S1575" s="158">
        <f t="shared" ref="S1575:S1638" si="276">R1575*(H1575-G1575)/H1575</f>
        <v>6.4651199494930385</v>
      </c>
      <c r="T1575" s="161">
        <f t="shared" ref="T1575:T1638" si="277">S1575*I1575</f>
        <v>3096.7924558071654</v>
      </c>
      <c r="U1575" s="158">
        <f t="shared" ref="U1575:U1638" si="278">IF(G1575&gt;0,MAX((H1575-G1575),0)*I1575/H1575,I1575)</f>
        <v>11.793560606060606</v>
      </c>
      <c r="V1575" s="160">
        <f t="shared" ref="V1575:V1638" si="279">ROUND(U1575,0)</f>
        <v>12</v>
      </c>
    </row>
    <row r="1576" spans="1:22" x14ac:dyDescent="0.25">
      <c r="A1576" s="98" t="s">
        <v>30</v>
      </c>
      <c r="B1576" s="98" t="s">
        <v>17</v>
      </c>
      <c r="C1576" s="98">
        <v>48</v>
      </c>
      <c r="D1576" s="98">
        <v>9650</v>
      </c>
      <c r="E1576" s="157">
        <v>41553.315972222219</v>
      </c>
      <c r="F1576" s="157">
        <v>41553.354166666664</v>
      </c>
      <c r="G1576" s="98">
        <v>398</v>
      </c>
      <c r="H1576" s="98">
        <v>528</v>
      </c>
      <c r="I1576" s="98">
        <v>479</v>
      </c>
      <c r="J1576" s="98" t="s">
        <v>2035</v>
      </c>
      <c r="K1576" s="98" t="s">
        <v>1211</v>
      </c>
      <c r="L1576" s="105" t="str">
        <f t="shared" si="270"/>
        <v>Ghent</v>
      </c>
      <c r="M1576" s="105" t="str">
        <f t="shared" si="271"/>
        <v>Derate</v>
      </c>
      <c r="N1576" s="105" t="str">
        <f t="shared" si="272"/>
        <v>Coal</v>
      </c>
      <c r="O1576" s="105">
        <f>IFERROR(VLOOKUP(A1576,Lookup!$J$5:$P$19,7,FALSE),0)</f>
        <v>3</v>
      </c>
      <c r="P1576" s="159">
        <f t="shared" si="273"/>
        <v>2013</v>
      </c>
      <c r="Q1576" s="159">
        <f t="shared" si="274"/>
        <v>10</v>
      </c>
      <c r="R1576" s="160">
        <f t="shared" si="275"/>
        <v>0.91666666668606922</v>
      </c>
      <c r="S1576" s="158">
        <f t="shared" si="276"/>
        <v>0.2256944444492216</v>
      </c>
      <c r="T1576" s="161">
        <f t="shared" si="277"/>
        <v>108.10763889117715</v>
      </c>
      <c r="U1576" s="158">
        <f t="shared" si="278"/>
        <v>117.93560606060606</v>
      </c>
      <c r="V1576" s="160">
        <f t="shared" si="279"/>
        <v>118</v>
      </c>
    </row>
    <row r="1577" spans="1:22" x14ac:dyDescent="0.25">
      <c r="A1577" s="98" t="s">
        <v>30</v>
      </c>
      <c r="B1577" s="98" t="s">
        <v>17</v>
      </c>
      <c r="C1577" s="98">
        <v>49</v>
      </c>
      <c r="D1577" s="98">
        <v>9650</v>
      </c>
      <c r="E1577" s="157">
        <v>41553.354166666664</v>
      </c>
      <c r="F1577" s="157">
        <v>41553.375</v>
      </c>
      <c r="G1577" s="98">
        <v>375</v>
      </c>
      <c r="H1577" s="98">
        <v>528</v>
      </c>
      <c r="I1577" s="98">
        <v>479</v>
      </c>
      <c r="J1577" s="98" t="s">
        <v>2035</v>
      </c>
      <c r="K1577" s="98" t="s">
        <v>1212</v>
      </c>
      <c r="L1577" s="105" t="str">
        <f t="shared" si="270"/>
        <v>Ghent</v>
      </c>
      <c r="M1577" s="105" t="str">
        <f t="shared" si="271"/>
        <v>Derate</v>
      </c>
      <c r="N1577" s="105" t="str">
        <f t="shared" si="272"/>
        <v>Coal</v>
      </c>
      <c r="O1577" s="105">
        <f>IFERROR(VLOOKUP(A1577,Lookup!$J$5:$P$19,7,FALSE),0)</f>
        <v>3</v>
      </c>
      <c r="P1577" s="159">
        <f t="shared" si="273"/>
        <v>2013</v>
      </c>
      <c r="Q1577" s="159">
        <f t="shared" si="274"/>
        <v>10</v>
      </c>
      <c r="R1577" s="160">
        <f t="shared" si="275"/>
        <v>0.50000000005820766</v>
      </c>
      <c r="S1577" s="158">
        <f t="shared" si="276"/>
        <v>0.14488636365323063</v>
      </c>
      <c r="T1577" s="161">
        <f t="shared" si="277"/>
        <v>69.40056818989747</v>
      </c>
      <c r="U1577" s="158">
        <f t="shared" si="278"/>
        <v>138.80113636363637</v>
      </c>
      <c r="V1577" s="160">
        <f t="shared" si="279"/>
        <v>139</v>
      </c>
    </row>
    <row r="1578" spans="1:22" x14ac:dyDescent="0.25">
      <c r="A1578" s="98" t="s">
        <v>30</v>
      </c>
      <c r="B1578" s="98" t="s">
        <v>17</v>
      </c>
      <c r="C1578" s="98">
        <v>50</v>
      </c>
      <c r="D1578" s="98">
        <v>9650</v>
      </c>
      <c r="E1578" s="157">
        <v>41553.638888888891</v>
      </c>
      <c r="F1578" s="157">
        <v>41553.715277777781</v>
      </c>
      <c r="G1578" s="98">
        <v>375</v>
      </c>
      <c r="H1578" s="98">
        <v>528</v>
      </c>
      <c r="I1578" s="98">
        <v>479</v>
      </c>
      <c r="J1578" s="98" t="s">
        <v>2035</v>
      </c>
      <c r="K1578" s="98" t="s">
        <v>1213</v>
      </c>
      <c r="L1578" s="105" t="str">
        <f t="shared" si="270"/>
        <v>Ghent</v>
      </c>
      <c r="M1578" s="105" t="str">
        <f t="shared" si="271"/>
        <v>Derate</v>
      </c>
      <c r="N1578" s="105" t="str">
        <f t="shared" si="272"/>
        <v>Coal</v>
      </c>
      <c r="O1578" s="105">
        <f>IFERROR(VLOOKUP(A1578,Lookup!$J$5:$P$19,7,FALSE),0)</f>
        <v>3</v>
      </c>
      <c r="P1578" s="159">
        <f t="shared" si="273"/>
        <v>2013</v>
      </c>
      <c r="Q1578" s="159">
        <f t="shared" si="274"/>
        <v>10</v>
      </c>
      <c r="R1578" s="160">
        <f t="shared" si="275"/>
        <v>1.8333333333721384</v>
      </c>
      <c r="S1578" s="158">
        <f t="shared" si="276"/>
        <v>0.53125000001124467</v>
      </c>
      <c r="T1578" s="161">
        <f t="shared" si="277"/>
        <v>254.4687500053862</v>
      </c>
      <c r="U1578" s="158">
        <f t="shared" si="278"/>
        <v>138.80113636363637</v>
      </c>
      <c r="V1578" s="160">
        <f t="shared" si="279"/>
        <v>139</v>
      </c>
    </row>
    <row r="1579" spans="1:22" x14ac:dyDescent="0.25">
      <c r="A1579" s="98" t="s">
        <v>30</v>
      </c>
      <c r="B1579" s="98" t="s">
        <v>17</v>
      </c>
      <c r="C1579" s="98">
        <v>51</v>
      </c>
      <c r="D1579" s="98">
        <v>1455</v>
      </c>
      <c r="E1579" s="157">
        <v>41555.055555555555</v>
      </c>
      <c r="F1579" s="157">
        <v>41557.961805555555</v>
      </c>
      <c r="G1579" s="98">
        <v>189</v>
      </c>
      <c r="H1579" s="98">
        <v>528</v>
      </c>
      <c r="I1579" s="98">
        <v>479</v>
      </c>
      <c r="J1579" s="98" t="s">
        <v>1990</v>
      </c>
      <c r="K1579" s="98" t="s">
        <v>1214</v>
      </c>
      <c r="L1579" s="105" t="str">
        <f t="shared" si="270"/>
        <v>Ghent</v>
      </c>
      <c r="M1579" s="105" t="str">
        <f t="shared" si="271"/>
        <v>Derate</v>
      </c>
      <c r="N1579" s="105" t="str">
        <f t="shared" si="272"/>
        <v>Coal</v>
      </c>
      <c r="O1579" s="105">
        <f>IFERROR(VLOOKUP(A1579,Lookup!$J$5:$P$19,7,FALSE),0)</f>
        <v>3</v>
      </c>
      <c r="P1579" s="159">
        <f t="shared" si="273"/>
        <v>2013</v>
      </c>
      <c r="Q1579" s="159">
        <f t="shared" si="274"/>
        <v>10</v>
      </c>
      <c r="R1579" s="160">
        <f t="shared" si="275"/>
        <v>69.75</v>
      </c>
      <c r="S1579" s="158">
        <f t="shared" si="276"/>
        <v>44.782670454545453</v>
      </c>
      <c r="T1579" s="161">
        <f t="shared" si="277"/>
        <v>21450.899147727272</v>
      </c>
      <c r="U1579" s="158">
        <f t="shared" si="278"/>
        <v>307.53977272727275</v>
      </c>
      <c r="V1579" s="160">
        <f t="shared" si="279"/>
        <v>308</v>
      </c>
    </row>
    <row r="1580" spans="1:22" x14ac:dyDescent="0.25">
      <c r="A1580" s="98" t="s">
        <v>30</v>
      </c>
      <c r="B1580" s="98" t="s">
        <v>20</v>
      </c>
      <c r="C1580" s="98">
        <v>52</v>
      </c>
      <c r="D1580" s="98">
        <v>1455</v>
      </c>
      <c r="E1580" s="157">
        <v>41557.961805555555</v>
      </c>
      <c r="F1580" s="157">
        <v>41559.784722222219</v>
      </c>
      <c r="G1580" s="98">
        <v>0</v>
      </c>
      <c r="H1580" s="98">
        <v>528</v>
      </c>
      <c r="I1580" s="98">
        <v>479</v>
      </c>
      <c r="J1580" s="98" t="s">
        <v>1990</v>
      </c>
      <c r="K1580" s="98" t="s">
        <v>1215</v>
      </c>
      <c r="L1580" s="105" t="str">
        <f t="shared" si="270"/>
        <v>Ghent</v>
      </c>
      <c r="M1580" s="105" t="str">
        <f t="shared" si="271"/>
        <v>Maintenance</v>
      </c>
      <c r="N1580" s="105" t="str">
        <f t="shared" si="272"/>
        <v>Coal</v>
      </c>
      <c r="O1580" s="105">
        <f>IFERROR(VLOOKUP(A1580,Lookup!$J$5:$P$19,7,FALSE),0)</f>
        <v>3</v>
      </c>
      <c r="P1580" s="159">
        <f t="shared" si="273"/>
        <v>2013</v>
      </c>
      <c r="Q1580" s="159">
        <f t="shared" si="274"/>
        <v>10</v>
      </c>
      <c r="R1580" s="160">
        <f t="shared" si="275"/>
        <v>43.749999999941792</v>
      </c>
      <c r="S1580" s="158">
        <f t="shared" si="276"/>
        <v>43.749999999941792</v>
      </c>
      <c r="T1580" s="161">
        <f t="shared" si="277"/>
        <v>20956.249999972119</v>
      </c>
      <c r="U1580" s="158">
        <f t="shared" si="278"/>
        <v>479</v>
      </c>
      <c r="V1580" s="160">
        <f t="shared" si="279"/>
        <v>479</v>
      </c>
    </row>
    <row r="1581" spans="1:22" x14ac:dyDescent="0.25">
      <c r="A1581" s="98" t="s">
        <v>30</v>
      </c>
      <c r="B1581" s="98" t="s">
        <v>18</v>
      </c>
      <c r="C1581" s="98">
        <v>53</v>
      </c>
      <c r="D1581" s="98">
        <v>4311</v>
      </c>
      <c r="E1581" s="157">
        <v>41559.784722222219</v>
      </c>
      <c r="F1581" s="157">
        <v>41559.949305555558</v>
      </c>
      <c r="G1581" s="98">
        <v>0</v>
      </c>
      <c r="H1581" s="98">
        <v>528</v>
      </c>
      <c r="I1581" s="98">
        <v>479</v>
      </c>
      <c r="J1581" s="98" t="s">
        <v>2244</v>
      </c>
      <c r="K1581" s="98" t="s">
        <v>1216</v>
      </c>
      <c r="L1581" s="105" t="str">
        <f t="shared" si="270"/>
        <v>Ghent</v>
      </c>
      <c r="M1581" s="105" t="str">
        <f t="shared" si="271"/>
        <v>Outage</v>
      </c>
      <c r="N1581" s="105" t="str">
        <f t="shared" si="272"/>
        <v>Coal</v>
      </c>
      <c r="O1581" s="105">
        <f>IFERROR(VLOOKUP(A1581,Lookup!$J$5:$P$19,7,FALSE),0)</f>
        <v>3</v>
      </c>
      <c r="P1581" s="159">
        <f t="shared" si="273"/>
        <v>2013</v>
      </c>
      <c r="Q1581" s="159">
        <f t="shared" si="274"/>
        <v>10</v>
      </c>
      <c r="R1581" s="160">
        <f t="shared" si="275"/>
        <v>3.9500000001280569</v>
      </c>
      <c r="S1581" s="158">
        <f t="shared" si="276"/>
        <v>3.9500000001280569</v>
      </c>
      <c r="T1581" s="161">
        <f t="shared" si="277"/>
        <v>1892.0500000613392</v>
      </c>
      <c r="U1581" s="158">
        <f t="shared" si="278"/>
        <v>479</v>
      </c>
      <c r="V1581" s="160">
        <f t="shared" si="279"/>
        <v>479</v>
      </c>
    </row>
    <row r="1582" spans="1:22" x14ac:dyDescent="0.25">
      <c r="A1582" s="98" t="s">
        <v>30</v>
      </c>
      <c r="B1582" s="98" t="s">
        <v>17</v>
      </c>
      <c r="C1582" s="98">
        <v>54</v>
      </c>
      <c r="D1582" s="98">
        <v>4499</v>
      </c>
      <c r="E1582" s="157">
        <v>41560.289583333331</v>
      </c>
      <c r="F1582" s="157">
        <v>41572.863194444442</v>
      </c>
      <c r="G1582" s="98">
        <v>515</v>
      </c>
      <c r="H1582" s="98">
        <v>528</v>
      </c>
      <c r="I1582" s="98">
        <v>479</v>
      </c>
      <c r="J1582" s="98" t="s">
        <v>2082</v>
      </c>
      <c r="K1582" s="98" t="s">
        <v>1217</v>
      </c>
      <c r="L1582" s="105" t="str">
        <f t="shared" si="270"/>
        <v>Ghent</v>
      </c>
      <c r="M1582" s="105" t="str">
        <f t="shared" si="271"/>
        <v>Derate</v>
      </c>
      <c r="N1582" s="105" t="str">
        <f t="shared" si="272"/>
        <v>Coal</v>
      </c>
      <c r="O1582" s="105">
        <f>IFERROR(VLOOKUP(A1582,Lookup!$J$5:$P$19,7,FALSE),0)</f>
        <v>3</v>
      </c>
      <c r="P1582" s="159">
        <f t="shared" si="273"/>
        <v>2013</v>
      </c>
      <c r="Q1582" s="159">
        <f t="shared" si="274"/>
        <v>10</v>
      </c>
      <c r="R1582" s="160">
        <f t="shared" si="275"/>
        <v>301.76666666666279</v>
      </c>
      <c r="S1582" s="158">
        <f t="shared" si="276"/>
        <v>7.4298611111110153</v>
      </c>
      <c r="T1582" s="161">
        <f t="shared" si="277"/>
        <v>3558.9034722221763</v>
      </c>
      <c r="U1582" s="158">
        <f t="shared" si="278"/>
        <v>11.793560606060606</v>
      </c>
      <c r="V1582" s="160">
        <f t="shared" si="279"/>
        <v>12</v>
      </c>
    </row>
    <row r="1583" spans="1:22" x14ac:dyDescent="0.25">
      <c r="A1583" s="98" t="s">
        <v>30</v>
      </c>
      <c r="B1583" s="98" t="s">
        <v>17</v>
      </c>
      <c r="C1583" s="98">
        <v>55</v>
      </c>
      <c r="D1583" s="98">
        <v>1455</v>
      </c>
      <c r="E1583" s="157">
        <v>41562.322916666664</v>
      </c>
      <c r="F1583" s="157">
        <v>41572.863194444442</v>
      </c>
      <c r="G1583" s="98">
        <v>505</v>
      </c>
      <c r="H1583" s="98">
        <v>528</v>
      </c>
      <c r="I1583" s="98">
        <v>479</v>
      </c>
      <c r="J1583" s="98" t="s">
        <v>1990</v>
      </c>
      <c r="K1583" s="98" t="s">
        <v>1218</v>
      </c>
      <c r="L1583" s="105" t="str">
        <f t="shared" si="270"/>
        <v>Ghent</v>
      </c>
      <c r="M1583" s="105" t="str">
        <f t="shared" si="271"/>
        <v>Derate</v>
      </c>
      <c r="N1583" s="105" t="str">
        <f t="shared" si="272"/>
        <v>Coal</v>
      </c>
      <c r="O1583" s="105">
        <f>IFERROR(VLOOKUP(A1583,Lookup!$J$5:$P$19,7,FALSE),0)</f>
        <v>3</v>
      </c>
      <c r="P1583" s="159">
        <f t="shared" si="273"/>
        <v>2013</v>
      </c>
      <c r="Q1583" s="159">
        <f t="shared" si="274"/>
        <v>10</v>
      </c>
      <c r="R1583" s="160">
        <f t="shared" si="275"/>
        <v>252.96666666667443</v>
      </c>
      <c r="S1583" s="158">
        <f t="shared" si="276"/>
        <v>11.019381313131651</v>
      </c>
      <c r="T1583" s="161">
        <f t="shared" si="277"/>
        <v>5278.283648990061</v>
      </c>
      <c r="U1583" s="158">
        <f t="shared" si="278"/>
        <v>20.865530303030305</v>
      </c>
      <c r="V1583" s="160">
        <f t="shared" si="279"/>
        <v>21</v>
      </c>
    </row>
    <row r="1584" spans="1:22" x14ac:dyDescent="0.25">
      <c r="A1584" s="98" t="s">
        <v>30</v>
      </c>
      <c r="B1584" s="98" t="s">
        <v>38</v>
      </c>
      <c r="C1584" s="98">
        <v>56</v>
      </c>
      <c r="D1584" s="98">
        <v>1801</v>
      </c>
      <c r="E1584" s="157">
        <v>41572.863194444442</v>
      </c>
      <c r="F1584" s="157">
        <v>41592.443055555559</v>
      </c>
      <c r="G1584" s="98">
        <v>0</v>
      </c>
      <c r="H1584" s="98">
        <v>528</v>
      </c>
      <c r="I1584" s="98">
        <v>479</v>
      </c>
      <c r="J1584" s="98" t="s">
        <v>2021</v>
      </c>
      <c r="K1584" s="98" t="s">
        <v>1219</v>
      </c>
      <c r="L1584" s="105" t="str">
        <f t="shared" si="270"/>
        <v>Ghent</v>
      </c>
      <c r="M1584" s="105" t="str">
        <f t="shared" si="271"/>
        <v>Other</v>
      </c>
      <c r="N1584" s="105" t="str">
        <f t="shared" si="272"/>
        <v>Coal</v>
      </c>
      <c r="O1584" s="105">
        <f>IFERROR(VLOOKUP(A1584,Lookup!$J$5:$P$19,7,FALSE),0)</f>
        <v>3</v>
      </c>
      <c r="P1584" s="159">
        <f t="shared" si="273"/>
        <v>2013</v>
      </c>
      <c r="Q1584" s="159">
        <f t="shared" si="274"/>
        <v>10</v>
      </c>
      <c r="R1584" s="160">
        <f t="shared" si="275"/>
        <v>469.91666666680248</v>
      </c>
      <c r="S1584" s="158">
        <f t="shared" si="276"/>
        <v>469.91666666680248</v>
      </c>
      <c r="T1584" s="161">
        <f t="shared" si="277"/>
        <v>225090.08333339839</v>
      </c>
      <c r="U1584" s="158">
        <f t="shared" si="278"/>
        <v>479</v>
      </c>
      <c r="V1584" s="160">
        <f t="shared" si="279"/>
        <v>479</v>
      </c>
    </row>
    <row r="1585" spans="1:22" x14ac:dyDescent="0.25">
      <c r="A1585" s="98" t="s">
        <v>30</v>
      </c>
      <c r="B1585" s="98" t="s">
        <v>121</v>
      </c>
      <c r="C1585" s="98">
        <v>57</v>
      </c>
      <c r="D1585" s="98">
        <v>1455</v>
      </c>
      <c r="E1585" s="157">
        <v>41592.443055555559</v>
      </c>
      <c r="F1585" s="157">
        <v>41593.51666666667</v>
      </c>
      <c r="G1585" s="98">
        <v>0</v>
      </c>
      <c r="H1585" s="98">
        <v>528</v>
      </c>
      <c r="I1585" s="98">
        <v>479</v>
      </c>
      <c r="J1585" s="98" t="s">
        <v>1990</v>
      </c>
      <c r="K1585" s="98" t="s">
        <v>1220</v>
      </c>
      <c r="L1585" s="105" t="str">
        <f t="shared" si="270"/>
        <v>Ghent</v>
      </c>
      <c r="M1585" s="105" t="str">
        <f t="shared" si="271"/>
        <v>Other</v>
      </c>
      <c r="N1585" s="105" t="str">
        <f t="shared" si="272"/>
        <v>Coal</v>
      </c>
      <c r="O1585" s="105">
        <f>IFERROR(VLOOKUP(A1585,Lookup!$J$5:$P$19,7,FALSE),0)</f>
        <v>3</v>
      </c>
      <c r="P1585" s="159">
        <f t="shared" si="273"/>
        <v>2013</v>
      </c>
      <c r="Q1585" s="159">
        <f t="shared" si="274"/>
        <v>11</v>
      </c>
      <c r="R1585" s="160">
        <f t="shared" si="275"/>
        <v>25.766666666662786</v>
      </c>
      <c r="S1585" s="158">
        <f t="shared" si="276"/>
        <v>25.766666666662786</v>
      </c>
      <c r="T1585" s="161">
        <f t="shared" si="277"/>
        <v>12342.233333331475</v>
      </c>
      <c r="U1585" s="158">
        <f t="shared" si="278"/>
        <v>479</v>
      </c>
      <c r="V1585" s="160">
        <f t="shared" si="279"/>
        <v>479</v>
      </c>
    </row>
    <row r="1586" spans="1:22" x14ac:dyDescent="0.25">
      <c r="A1586" s="98" t="s">
        <v>30</v>
      </c>
      <c r="B1586" s="98" t="s">
        <v>15</v>
      </c>
      <c r="C1586" s="98">
        <v>58</v>
      </c>
      <c r="D1586" s="98">
        <v>4470</v>
      </c>
      <c r="E1586" s="157">
        <v>41593.563194444447</v>
      </c>
      <c r="F1586" s="157">
        <v>41594.261111111111</v>
      </c>
      <c r="G1586" s="98">
        <v>0</v>
      </c>
      <c r="H1586" s="98">
        <v>528</v>
      </c>
      <c r="I1586" s="98">
        <v>479</v>
      </c>
      <c r="J1586" s="98" t="s">
        <v>2498</v>
      </c>
      <c r="K1586" s="98" t="s">
        <v>1221</v>
      </c>
      <c r="L1586" s="105" t="str">
        <f t="shared" si="270"/>
        <v>Ghent</v>
      </c>
      <c r="M1586" s="105" t="str">
        <f t="shared" si="271"/>
        <v>Outage</v>
      </c>
      <c r="N1586" s="105" t="str">
        <f t="shared" si="272"/>
        <v>Coal</v>
      </c>
      <c r="O1586" s="105">
        <f>IFERROR(VLOOKUP(A1586,Lookup!$J$5:$P$19,7,FALSE),0)</f>
        <v>3</v>
      </c>
      <c r="P1586" s="159">
        <f t="shared" si="273"/>
        <v>2013</v>
      </c>
      <c r="Q1586" s="159">
        <f t="shared" si="274"/>
        <v>11</v>
      </c>
      <c r="R1586" s="160">
        <f t="shared" si="275"/>
        <v>16.749999999941792</v>
      </c>
      <c r="S1586" s="158">
        <f t="shared" si="276"/>
        <v>16.749999999941792</v>
      </c>
      <c r="T1586" s="161">
        <f t="shared" si="277"/>
        <v>8023.2499999721185</v>
      </c>
      <c r="U1586" s="158">
        <f t="shared" si="278"/>
        <v>479</v>
      </c>
      <c r="V1586" s="160">
        <f t="shared" si="279"/>
        <v>479</v>
      </c>
    </row>
    <row r="1587" spans="1:22" x14ac:dyDescent="0.25">
      <c r="A1587" s="98" t="s">
        <v>30</v>
      </c>
      <c r="B1587" s="98" t="s">
        <v>17</v>
      </c>
      <c r="C1587" s="98">
        <v>59</v>
      </c>
      <c r="D1587" s="98">
        <v>1850</v>
      </c>
      <c r="E1587" s="157">
        <v>41594.65625</v>
      </c>
      <c r="F1587" s="157">
        <v>41594.827777777777</v>
      </c>
      <c r="G1587" s="98">
        <v>433</v>
      </c>
      <c r="H1587" s="98">
        <v>528</v>
      </c>
      <c r="I1587" s="98">
        <v>479</v>
      </c>
      <c r="J1587" s="98" t="s">
        <v>2263</v>
      </c>
      <c r="K1587" s="98" t="s">
        <v>1222</v>
      </c>
      <c r="L1587" s="105" t="str">
        <f t="shared" si="270"/>
        <v>Ghent</v>
      </c>
      <c r="M1587" s="105" t="str">
        <f t="shared" si="271"/>
        <v>Derate</v>
      </c>
      <c r="N1587" s="105" t="str">
        <f t="shared" si="272"/>
        <v>Coal</v>
      </c>
      <c r="O1587" s="105">
        <f>IFERROR(VLOOKUP(A1587,Lookup!$J$5:$P$19,7,FALSE),0)</f>
        <v>3</v>
      </c>
      <c r="P1587" s="159">
        <f t="shared" si="273"/>
        <v>2013</v>
      </c>
      <c r="Q1587" s="159">
        <f t="shared" si="274"/>
        <v>11</v>
      </c>
      <c r="R1587" s="160">
        <f t="shared" si="275"/>
        <v>4.1166666666395031</v>
      </c>
      <c r="S1587" s="158">
        <f t="shared" si="276"/>
        <v>0.74068813130824396</v>
      </c>
      <c r="T1587" s="161">
        <f t="shared" si="277"/>
        <v>354.78961489664886</v>
      </c>
      <c r="U1587" s="158">
        <f t="shared" si="278"/>
        <v>86.183712121212125</v>
      </c>
      <c r="V1587" s="160">
        <f t="shared" si="279"/>
        <v>86</v>
      </c>
    </row>
    <row r="1588" spans="1:22" x14ac:dyDescent="0.25">
      <c r="A1588" s="98" t="s">
        <v>30</v>
      </c>
      <c r="B1588" s="98" t="s">
        <v>17</v>
      </c>
      <c r="C1588" s="98">
        <v>60</v>
      </c>
      <c r="D1588" s="98">
        <v>9650</v>
      </c>
      <c r="E1588" s="157">
        <v>41595.796527777777</v>
      </c>
      <c r="F1588" s="157">
        <v>41595.87777777778</v>
      </c>
      <c r="G1588" s="98">
        <v>200</v>
      </c>
      <c r="H1588" s="98">
        <v>528</v>
      </c>
      <c r="I1588" s="98">
        <v>479</v>
      </c>
      <c r="J1588" s="98" t="s">
        <v>2035</v>
      </c>
      <c r="K1588" s="98" t="s">
        <v>1223</v>
      </c>
      <c r="L1588" s="105" t="str">
        <f t="shared" si="270"/>
        <v>Ghent</v>
      </c>
      <c r="M1588" s="105" t="str">
        <f t="shared" si="271"/>
        <v>Derate</v>
      </c>
      <c r="N1588" s="105" t="str">
        <f t="shared" si="272"/>
        <v>Coal</v>
      </c>
      <c r="O1588" s="105">
        <f>IFERROR(VLOOKUP(A1588,Lookup!$J$5:$P$19,7,FALSE),0)</f>
        <v>3</v>
      </c>
      <c r="P1588" s="159">
        <f t="shared" si="273"/>
        <v>2013</v>
      </c>
      <c r="Q1588" s="159">
        <f t="shared" si="274"/>
        <v>11</v>
      </c>
      <c r="R1588" s="160">
        <f t="shared" si="275"/>
        <v>1.9500000000698492</v>
      </c>
      <c r="S1588" s="158">
        <f t="shared" si="276"/>
        <v>1.2113636364070275</v>
      </c>
      <c r="T1588" s="161">
        <f t="shared" si="277"/>
        <v>580.24318183896617</v>
      </c>
      <c r="U1588" s="158">
        <f t="shared" si="278"/>
        <v>297.56060606060606</v>
      </c>
      <c r="V1588" s="160">
        <f t="shared" si="279"/>
        <v>298</v>
      </c>
    </row>
    <row r="1589" spans="1:22" x14ac:dyDescent="0.25">
      <c r="A1589" s="98" t="s">
        <v>30</v>
      </c>
      <c r="B1589" s="98" t="s">
        <v>17</v>
      </c>
      <c r="C1589" s="98">
        <v>65</v>
      </c>
      <c r="D1589" s="98">
        <v>9650</v>
      </c>
      <c r="E1589" s="157">
        <v>41596.428472222222</v>
      </c>
      <c r="F1589" s="157">
        <v>41596.455555555556</v>
      </c>
      <c r="G1589" s="98">
        <v>450</v>
      </c>
      <c r="H1589" s="98">
        <v>528</v>
      </c>
      <c r="I1589" s="98">
        <v>479</v>
      </c>
      <c r="J1589" s="98" t="s">
        <v>2035</v>
      </c>
      <c r="K1589" s="98" t="s">
        <v>1224</v>
      </c>
      <c r="L1589" s="105" t="str">
        <f t="shared" si="270"/>
        <v>Ghent</v>
      </c>
      <c r="M1589" s="105" t="str">
        <f t="shared" si="271"/>
        <v>Derate</v>
      </c>
      <c r="N1589" s="105" t="str">
        <f t="shared" si="272"/>
        <v>Coal</v>
      </c>
      <c r="O1589" s="105">
        <f>IFERROR(VLOOKUP(A1589,Lookup!$J$5:$P$19,7,FALSE),0)</f>
        <v>3</v>
      </c>
      <c r="P1589" s="159">
        <f t="shared" si="273"/>
        <v>2013</v>
      </c>
      <c r="Q1589" s="159">
        <f t="shared" si="274"/>
        <v>11</v>
      </c>
      <c r="R1589" s="160">
        <f t="shared" si="275"/>
        <v>0.65000000002328306</v>
      </c>
      <c r="S1589" s="158">
        <f t="shared" si="276"/>
        <v>9.6022727276166814E-2</v>
      </c>
      <c r="T1589" s="161">
        <f t="shared" si="277"/>
        <v>45.994886365283904</v>
      </c>
      <c r="U1589" s="158">
        <f t="shared" si="278"/>
        <v>70.76136363636364</v>
      </c>
      <c r="V1589" s="160">
        <f t="shared" si="279"/>
        <v>71</v>
      </c>
    </row>
    <row r="1590" spans="1:22" x14ac:dyDescent="0.25">
      <c r="A1590" s="98" t="s">
        <v>30</v>
      </c>
      <c r="B1590" s="98" t="s">
        <v>17</v>
      </c>
      <c r="C1590" s="98">
        <v>61</v>
      </c>
      <c r="D1590" s="98">
        <v>9650</v>
      </c>
      <c r="E1590" s="157">
        <v>41596.548611111109</v>
      </c>
      <c r="F1590" s="157">
        <v>41596.588194444441</v>
      </c>
      <c r="G1590" s="98">
        <v>500</v>
      </c>
      <c r="H1590" s="98">
        <v>528</v>
      </c>
      <c r="I1590" s="98">
        <v>479</v>
      </c>
      <c r="J1590" s="98" t="s">
        <v>2035</v>
      </c>
      <c r="K1590" s="98" t="s">
        <v>1225</v>
      </c>
      <c r="L1590" s="105" t="str">
        <f t="shared" si="270"/>
        <v>Ghent</v>
      </c>
      <c r="M1590" s="105" t="str">
        <f t="shared" si="271"/>
        <v>Derate</v>
      </c>
      <c r="N1590" s="105" t="str">
        <f t="shared" si="272"/>
        <v>Coal</v>
      </c>
      <c r="O1590" s="105">
        <f>IFERROR(VLOOKUP(A1590,Lookup!$J$5:$P$19,7,FALSE),0)</f>
        <v>3</v>
      </c>
      <c r="P1590" s="159">
        <f t="shared" si="273"/>
        <v>2013</v>
      </c>
      <c r="Q1590" s="159">
        <f t="shared" si="274"/>
        <v>11</v>
      </c>
      <c r="R1590" s="160">
        <f t="shared" si="275"/>
        <v>0.94999999995343387</v>
      </c>
      <c r="S1590" s="158">
        <f t="shared" si="276"/>
        <v>5.0378787876318464E-2</v>
      </c>
      <c r="T1590" s="161">
        <f t="shared" si="277"/>
        <v>24.131439392756544</v>
      </c>
      <c r="U1590" s="158">
        <f t="shared" si="278"/>
        <v>25.401515151515152</v>
      </c>
      <c r="V1590" s="160">
        <f t="shared" si="279"/>
        <v>25</v>
      </c>
    </row>
    <row r="1591" spans="1:22" x14ac:dyDescent="0.25">
      <c r="A1591" s="98" t="s">
        <v>30</v>
      </c>
      <c r="B1591" s="98" t="s">
        <v>17</v>
      </c>
      <c r="C1591" s="98">
        <v>62</v>
      </c>
      <c r="D1591" s="98">
        <v>9650</v>
      </c>
      <c r="E1591" s="157">
        <v>41596.617361111108</v>
      </c>
      <c r="F1591" s="157">
        <v>41597.375</v>
      </c>
      <c r="G1591" s="98">
        <v>515</v>
      </c>
      <c r="H1591" s="98">
        <v>528</v>
      </c>
      <c r="I1591" s="98">
        <v>479</v>
      </c>
      <c r="J1591" s="98" t="s">
        <v>2035</v>
      </c>
      <c r="K1591" s="98" t="s">
        <v>1226</v>
      </c>
      <c r="L1591" s="105" t="str">
        <f t="shared" si="270"/>
        <v>Ghent</v>
      </c>
      <c r="M1591" s="105" t="str">
        <f t="shared" si="271"/>
        <v>Derate</v>
      </c>
      <c r="N1591" s="105" t="str">
        <f t="shared" si="272"/>
        <v>Coal</v>
      </c>
      <c r="O1591" s="105">
        <f>IFERROR(VLOOKUP(A1591,Lookup!$J$5:$P$19,7,FALSE),0)</f>
        <v>3</v>
      </c>
      <c r="P1591" s="159">
        <f t="shared" si="273"/>
        <v>2013</v>
      </c>
      <c r="Q1591" s="159">
        <f t="shared" si="274"/>
        <v>11</v>
      </c>
      <c r="R1591" s="160">
        <f t="shared" si="275"/>
        <v>18.183333333407063</v>
      </c>
      <c r="S1591" s="158">
        <f t="shared" si="276"/>
        <v>0.44769570707252238</v>
      </c>
      <c r="T1591" s="161">
        <f t="shared" si="277"/>
        <v>214.44624368773822</v>
      </c>
      <c r="U1591" s="158">
        <f t="shared" si="278"/>
        <v>11.793560606060606</v>
      </c>
      <c r="V1591" s="160">
        <f t="shared" si="279"/>
        <v>12</v>
      </c>
    </row>
    <row r="1592" spans="1:22" x14ac:dyDescent="0.25">
      <c r="A1592" s="98" t="s">
        <v>30</v>
      </c>
      <c r="B1592" s="98" t="s">
        <v>17</v>
      </c>
      <c r="C1592" s="98">
        <v>63</v>
      </c>
      <c r="D1592" s="98">
        <v>9650</v>
      </c>
      <c r="E1592" s="157">
        <v>41597.708333333336</v>
      </c>
      <c r="F1592" s="157">
        <v>41598.265972222223</v>
      </c>
      <c r="G1592" s="98">
        <v>515</v>
      </c>
      <c r="H1592" s="98">
        <v>528</v>
      </c>
      <c r="I1592" s="98">
        <v>479</v>
      </c>
      <c r="J1592" s="98" t="s">
        <v>2035</v>
      </c>
      <c r="K1592" s="98" t="s">
        <v>1227</v>
      </c>
      <c r="L1592" s="105" t="str">
        <f t="shared" si="270"/>
        <v>Ghent</v>
      </c>
      <c r="M1592" s="105" t="str">
        <f t="shared" si="271"/>
        <v>Derate</v>
      </c>
      <c r="N1592" s="105" t="str">
        <f t="shared" si="272"/>
        <v>Coal</v>
      </c>
      <c r="O1592" s="105">
        <f>IFERROR(VLOOKUP(A1592,Lookup!$J$5:$P$19,7,FALSE),0)</f>
        <v>3</v>
      </c>
      <c r="P1592" s="159">
        <f t="shared" si="273"/>
        <v>2013</v>
      </c>
      <c r="Q1592" s="159">
        <f t="shared" si="274"/>
        <v>11</v>
      </c>
      <c r="R1592" s="160">
        <f t="shared" si="275"/>
        <v>13.383333333302289</v>
      </c>
      <c r="S1592" s="158">
        <f t="shared" si="276"/>
        <v>0.32951388888812455</v>
      </c>
      <c r="T1592" s="161">
        <f t="shared" si="277"/>
        <v>157.83715277741166</v>
      </c>
      <c r="U1592" s="158">
        <f t="shared" si="278"/>
        <v>11.793560606060606</v>
      </c>
      <c r="V1592" s="160">
        <f t="shared" si="279"/>
        <v>12</v>
      </c>
    </row>
    <row r="1593" spans="1:22" x14ac:dyDescent="0.25">
      <c r="A1593" s="98" t="s">
        <v>30</v>
      </c>
      <c r="B1593" s="98" t="s">
        <v>32</v>
      </c>
      <c r="C1593" s="98">
        <v>64</v>
      </c>
      <c r="D1593" s="98">
        <v>1455</v>
      </c>
      <c r="E1593" s="157">
        <v>41599.384722222225</v>
      </c>
      <c r="F1593" s="157">
        <v>41599.947916666664</v>
      </c>
      <c r="G1593" s="98">
        <v>180</v>
      </c>
      <c r="H1593" s="98">
        <v>528</v>
      </c>
      <c r="I1593" s="98">
        <v>479</v>
      </c>
      <c r="J1593" s="98" t="s">
        <v>1990</v>
      </c>
      <c r="K1593" s="98" t="s">
        <v>1228</v>
      </c>
      <c r="L1593" s="105" t="str">
        <f t="shared" si="270"/>
        <v>Ghent</v>
      </c>
      <c r="M1593" s="105" t="str">
        <f t="shared" si="271"/>
        <v>Derate</v>
      </c>
      <c r="N1593" s="105" t="str">
        <f t="shared" si="272"/>
        <v>Coal</v>
      </c>
      <c r="O1593" s="105">
        <f>IFERROR(VLOOKUP(A1593,Lookup!$J$5:$P$19,7,FALSE),0)</f>
        <v>3</v>
      </c>
      <c r="P1593" s="159">
        <f t="shared" si="273"/>
        <v>2013</v>
      </c>
      <c r="Q1593" s="159">
        <f t="shared" si="274"/>
        <v>11</v>
      </c>
      <c r="R1593" s="160">
        <f t="shared" si="275"/>
        <v>13.516666666546371</v>
      </c>
      <c r="S1593" s="158">
        <f t="shared" si="276"/>
        <v>8.9087121211328348</v>
      </c>
      <c r="T1593" s="161">
        <f t="shared" si="277"/>
        <v>4267.2731060226279</v>
      </c>
      <c r="U1593" s="158">
        <f t="shared" si="278"/>
        <v>315.70454545454544</v>
      </c>
      <c r="V1593" s="160">
        <f t="shared" si="279"/>
        <v>316</v>
      </c>
    </row>
    <row r="1594" spans="1:22" x14ac:dyDescent="0.25">
      <c r="A1594" s="98" t="s">
        <v>30</v>
      </c>
      <c r="B1594" s="98" t="s">
        <v>17</v>
      </c>
      <c r="C1594" s="98">
        <v>66</v>
      </c>
      <c r="D1594" s="98">
        <v>9650</v>
      </c>
      <c r="E1594" s="157">
        <v>41601.902083333334</v>
      </c>
      <c r="F1594" s="157">
        <v>41602.044444444444</v>
      </c>
      <c r="G1594" s="98">
        <v>510</v>
      </c>
      <c r="H1594" s="98">
        <v>528</v>
      </c>
      <c r="I1594" s="98">
        <v>479</v>
      </c>
      <c r="J1594" s="98" t="s">
        <v>2035</v>
      </c>
      <c r="K1594" s="98" t="s">
        <v>1229</v>
      </c>
      <c r="L1594" s="105" t="str">
        <f t="shared" si="270"/>
        <v>Ghent</v>
      </c>
      <c r="M1594" s="105" t="str">
        <f t="shared" si="271"/>
        <v>Derate</v>
      </c>
      <c r="N1594" s="105" t="str">
        <f t="shared" si="272"/>
        <v>Coal</v>
      </c>
      <c r="O1594" s="105">
        <f>IFERROR(VLOOKUP(A1594,Lookup!$J$5:$P$19,7,FALSE),0)</f>
        <v>3</v>
      </c>
      <c r="P1594" s="159">
        <f t="shared" si="273"/>
        <v>2013</v>
      </c>
      <c r="Q1594" s="159">
        <f t="shared" si="274"/>
        <v>11</v>
      </c>
      <c r="R1594" s="160">
        <f t="shared" si="275"/>
        <v>3.4166666666278616</v>
      </c>
      <c r="S1594" s="158">
        <f t="shared" si="276"/>
        <v>0.11647727272594982</v>
      </c>
      <c r="T1594" s="161">
        <f t="shared" si="277"/>
        <v>55.792613635729964</v>
      </c>
      <c r="U1594" s="158">
        <f t="shared" si="278"/>
        <v>16.329545454545453</v>
      </c>
      <c r="V1594" s="160">
        <f t="shared" si="279"/>
        <v>16</v>
      </c>
    </row>
    <row r="1595" spans="1:22" x14ac:dyDescent="0.25">
      <c r="A1595" s="98" t="s">
        <v>30</v>
      </c>
      <c r="B1595" s="98" t="s">
        <v>17</v>
      </c>
      <c r="C1595" s="98">
        <v>67</v>
      </c>
      <c r="D1595" s="98">
        <v>9650</v>
      </c>
      <c r="E1595" s="157">
        <v>41602.322222222225</v>
      </c>
      <c r="F1595" s="157">
        <v>41602.35</v>
      </c>
      <c r="G1595" s="98">
        <v>510</v>
      </c>
      <c r="H1595" s="98">
        <v>528</v>
      </c>
      <c r="I1595" s="98">
        <v>479</v>
      </c>
      <c r="J1595" s="98" t="s">
        <v>2035</v>
      </c>
      <c r="K1595" s="98" t="s">
        <v>1230</v>
      </c>
      <c r="L1595" s="105" t="str">
        <f t="shared" si="270"/>
        <v>Ghent</v>
      </c>
      <c r="M1595" s="105" t="str">
        <f t="shared" si="271"/>
        <v>Derate</v>
      </c>
      <c r="N1595" s="105" t="str">
        <f t="shared" si="272"/>
        <v>Coal</v>
      </c>
      <c r="O1595" s="105">
        <f>IFERROR(VLOOKUP(A1595,Lookup!$J$5:$P$19,7,FALSE),0)</f>
        <v>3</v>
      </c>
      <c r="P1595" s="159">
        <f t="shared" si="273"/>
        <v>2013</v>
      </c>
      <c r="Q1595" s="159">
        <f t="shared" si="274"/>
        <v>11</v>
      </c>
      <c r="R1595" s="160">
        <f t="shared" si="275"/>
        <v>0.6666666665696539</v>
      </c>
      <c r="S1595" s="158">
        <f t="shared" si="276"/>
        <v>2.2727272723965474E-2</v>
      </c>
      <c r="T1595" s="161">
        <f t="shared" si="277"/>
        <v>10.886363634779462</v>
      </c>
      <c r="U1595" s="158">
        <f t="shared" si="278"/>
        <v>16.329545454545453</v>
      </c>
      <c r="V1595" s="160">
        <f t="shared" si="279"/>
        <v>16</v>
      </c>
    </row>
    <row r="1596" spans="1:22" x14ac:dyDescent="0.25">
      <c r="A1596" s="98" t="s">
        <v>30</v>
      </c>
      <c r="B1596" s="98" t="s">
        <v>15</v>
      </c>
      <c r="C1596" s="98">
        <v>69</v>
      </c>
      <c r="D1596" s="98">
        <v>1455</v>
      </c>
      <c r="E1596" s="157">
        <v>41605.500694444447</v>
      </c>
      <c r="F1596" s="157">
        <v>41605.588888888888</v>
      </c>
      <c r="G1596" s="98">
        <v>0</v>
      </c>
      <c r="H1596" s="98">
        <v>528</v>
      </c>
      <c r="I1596" s="98">
        <v>479</v>
      </c>
      <c r="J1596" s="98" t="s">
        <v>1990</v>
      </c>
      <c r="K1596" s="98" t="s">
        <v>1231</v>
      </c>
      <c r="L1596" s="105" t="str">
        <f t="shared" si="270"/>
        <v>Ghent</v>
      </c>
      <c r="M1596" s="105" t="str">
        <f t="shared" si="271"/>
        <v>Outage</v>
      </c>
      <c r="N1596" s="105" t="str">
        <f t="shared" si="272"/>
        <v>Coal</v>
      </c>
      <c r="O1596" s="105">
        <f>IFERROR(VLOOKUP(A1596,Lookup!$J$5:$P$19,7,FALSE),0)</f>
        <v>3</v>
      </c>
      <c r="P1596" s="159">
        <f t="shared" si="273"/>
        <v>2013</v>
      </c>
      <c r="Q1596" s="159">
        <f t="shared" si="274"/>
        <v>11</v>
      </c>
      <c r="R1596" s="160">
        <f t="shared" si="275"/>
        <v>2.1166666665812954</v>
      </c>
      <c r="S1596" s="158">
        <f t="shared" si="276"/>
        <v>2.1166666665812954</v>
      </c>
      <c r="T1596" s="161">
        <f t="shared" si="277"/>
        <v>1013.8833332924405</v>
      </c>
      <c r="U1596" s="158">
        <f t="shared" si="278"/>
        <v>479</v>
      </c>
      <c r="V1596" s="160">
        <f t="shared" si="279"/>
        <v>479</v>
      </c>
    </row>
    <row r="1597" spans="1:22" x14ac:dyDescent="0.25">
      <c r="A1597" s="98" t="s">
        <v>30</v>
      </c>
      <c r="B1597" s="98" t="s">
        <v>17</v>
      </c>
      <c r="C1597" s="98">
        <v>68</v>
      </c>
      <c r="D1597" s="98">
        <v>1455</v>
      </c>
      <c r="E1597" s="157">
        <v>41605.704861111109</v>
      </c>
      <c r="F1597" s="157">
        <v>41606.580555555556</v>
      </c>
      <c r="G1597" s="98">
        <v>205</v>
      </c>
      <c r="H1597" s="98">
        <v>528</v>
      </c>
      <c r="I1597" s="98">
        <v>479</v>
      </c>
      <c r="J1597" s="98" t="s">
        <v>1990</v>
      </c>
      <c r="K1597" s="98" t="s">
        <v>1232</v>
      </c>
      <c r="L1597" s="105" t="str">
        <f t="shared" si="270"/>
        <v>Ghent</v>
      </c>
      <c r="M1597" s="105" t="str">
        <f t="shared" si="271"/>
        <v>Derate</v>
      </c>
      <c r="N1597" s="105" t="str">
        <f t="shared" si="272"/>
        <v>Coal</v>
      </c>
      <c r="O1597" s="105">
        <f>IFERROR(VLOOKUP(A1597,Lookup!$J$5:$P$19,7,FALSE),0)</f>
        <v>3</v>
      </c>
      <c r="P1597" s="159">
        <f t="shared" si="273"/>
        <v>2013</v>
      </c>
      <c r="Q1597" s="159">
        <f t="shared" si="274"/>
        <v>11</v>
      </c>
      <c r="R1597" s="160">
        <f t="shared" si="275"/>
        <v>21.016666666720994</v>
      </c>
      <c r="S1597" s="158">
        <f t="shared" si="276"/>
        <v>12.856786616194851</v>
      </c>
      <c r="T1597" s="161">
        <f t="shared" si="277"/>
        <v>6158.4007891573337</v>
      </c>
      <c r="U1597" s="158">
        <f t="shared" si="278"/>
        <v>293.02462121212119</v>
      </c>
      <c r="V1597" s="160">
        <f t="shared" si="279"/>
        <v>293</v>
      </c>
    </row>
    <row r="1598" spans="1:22" x14ac:dyDescent="0.25">
      <c r="A1598" s="98" t="s">
        <v>30</v>
      </c>
      <c r="B1598" s="98" t="s">
        <v>20</v>
      </c>
      <c r="C1598" s="98">
        <v>70</v>
      </c>
      <c r="D1598" s="98">
        <v>1455</v>
      </c>
      <c r="E1598" s="157">
        <v>41606.580555555556</v>
      </c>
      <c r="F1598" s="157">
        <v>41608.428472222222</v>
      </c>
      <c r="G1598" s="98">
        <v>0</v>
      </c>
      <c r="H1598" s="98">
        <v>528</v>
      </c>
      <c r="I1598" s="98">
        <v>479</v>
      </c>
      <c r="J1598" s="98" t="s">
        <v>1990</v>
      </c>
      <c r="K1598" s="98" t="s">
        <v>1233</v>
      </c>
      <c r="L1598" s="105" t="str">
        <f t="shared" si="270"/>
        <v>Ghent</v>
      </c>
      <c r="M1598" s="105" t="str">
        <f t="shared" si="271"/>
        <v>Maintenance</v>
      </c>
      <c r="N1598" s="105" t="str">
        <f t="shared" si="272"/>
        <v>Coal</v>
      </c>
      <c r="O1598" s="105">
        <f>IFERROR(VLOOKUP(A1598,Lookup!$J$5:$P$19,7,FALSE),0)</f>
        <v>3</v>
      </c>
      <c r="P1598" s="159">
        <f t="shared" si="273"/>
        <v>2013</v>
      </c>
      <c r="Q1598" s="159">
        <f t="shared" si="274"/>
        <v>11</v>
      </c>
      <c r="R1598" s="160">
        <f t="shared" si="275"/>
        <v>44.349999999976717</v>
      </c>
      <c r="S1598" s="158">
        <f t="shared" si="276"/>
        <v>44.349999999976717</v>
      </c>
      <c r="T1598" s="161">
        <f t="shared" si="277"/>
        <v>21243.649999988847</v>
      </c>
      <c r="U1598" s="158">
        <f t="shared" si="278"/>
        <v>479</v>
      </c>
      <c r="V1598" s="160">
        <f t="shared" si="279"/>
        <v>479</v>
      </c>
    </row>
    <row r="1599" spans="1:22" x14ac:dyDescent="0.25">
      <c r="A1599" s="98" t="s">
        <v>30</v>
      </c>
      <c r="B1599" s="98" t="s">
        <v>15</v>
      </c>
      <c r="C1599" s="98">
        <v>71</v>
      </c>
      <c r="D1599" s="98">
        <v>4261</v>
      </c>
      <c r="E1599" s="157">
        <v>41617.036805555559</v>
      </c>
      <c r="F1599" s="157">
        <v>41617.157638888886</v>
      </c>
      <c r="G1599" s="98">
        <v>0</v>
      </c>
      <c r="H1599" s="98">
        <v>528</v>
      </c>
      <c r="I1599" s="98">
        <v>479</v>
      </c>
      <c r="J1599" s="98" t="s">
        <v>1985</v>
      </c>
      <c r="K1599" s="98" t="s">
        <v>1234</v>
      </c>
      <c r="L1599" s="105" t="str">
        <f t="shared" si="270"/>
        <v>Ghent</v>
      </c>
      <c r="M1599" s="105" t="str">
        <f t="shared" si="271"/>
        <v>Outage</v>
      </c>
      <c r="N1599" s="105" t="str">
        <f t="shared" si="272"/>
        <v>Coal</v>
      </c>
      <c r="O1599" s="105">
        <f>IFERROR(VLOOKUP(A1599,Lookup!$J$5:$P$19,7,FALSE),0)</f>
        <v>3</v>
      </c>
      <c r="P1599" s="159">
        <f t="shared" si="273"/>
        <v>2013</v>
      </c>
      <c r="Q1599" s="159">
        <f t="shared" si="274"/>
        <v>12</v>
      </c>
      <c r="R1599" s="160">
        <f t="shared" si="275"/>
        <v>2.8999999998486601</v>
      </c>
      <c r="S1599" s="158">
        <f t="shared" si="276"/>
        <v>2.8999999998486601</v>
      </c>
      <c r="T1599" s="161">
        <f t="shared" si="277"/>
        <v>1389.0999999275082</v>
      </c>
      <c r="U1599" s="158">
        <f t="shared" si="278"/>
        <v>479</v>
      </c>
      <c r="V1599" s="160">
        <f t="shared" si="279"/>
        <v>479</v>
      </c>
    </row>
    <row r="1600" spans="1:22" x14ac:dyDescent="0.25">
      <c r="A1600" s="98" t="s">
        <v>30</v>
      </c>
      <c r="B1600" s="98" t="s">
        <v>37</v>
      </c>
      <c r="C1600" s="98">
        <v>72</v>
      </c>
      <c r="D1600" s="98">
        <v>3110</v>
      </c>
      <c r="E1600" s="157">
        <v>41622.061805555553</v>
      </c>
      <c r="F1600" s="157">
        <v>41623.296527777777</v>
      </c>
      <c r="G1600" s="98">
        <v>0</v>
      </c>
      <c r="H1600" s="98">
        <v>528</v>
      </c>
      <c r="I1600" s="98">
        <v>479</v>
      </c>
      <c r="J1600" s="98" t="s">
        <v>2119</v>
      </c>
      <c r="K1600" s="98" t="s">
        <v>1235</v>
      </c>
      <c r="L1600" s="105" t="str">
        <f t="shared" si="270"/>
        <v>Ghent</v>
      </c>
      <c r="M1600" s="105" t="str">
        <f t="shared" si="271"/>
        <v>Outage</v>
      </c>
      <c r="N1600" s="105" t="str">
        <f t="shared" si="272"/>
        <v>Coal</v>
      </c>
      <c r="O1600" s="105">
        <f>IFERROR(VLOOKUP(A1600,Lookup!$J$5:$P$19,7,FALSE),0)</f>
        <v>3</v>
      </c>
      <c r="P1600" s="159">
        <f t="shared" si="273"/>
        <v>2013</v>
      </c>
      <c r="Q1600" s="159">
        <f t="shared" si="274"/>
        <v>12</v>
      </c>
      <c r="R1600" s="160">
        <f t="shared" si="275"/>
        <v>29.633333333360497</v>
      </c>
      <c r="S1600" s="158">
        <f t="shared" si="276"/>
        <v>29.633333333360497</v>
      </c>
      <c r="T1600" s="161">
        <f t="shared" si="277"/>
        <v>14194.366666679678</v>
      </c>
      <c r="U1600" s="158">
        <f t="shared" si="278"/>
        <v>479</v>
      </c>
      <c r="V1600" s="160">
        <f t="shared" si="279"/>
        <v>479</v>
      </c>
    </row>
    <row r="1601" spans="1:22" x14ac:dyDescent="0.25">
      <c r="A1601" s="98" t="s">
        <v>30</v>
      </c>
      <c r="B1601" s="98" t="s">
        <v>17</v>
      </c>
      <c r="C1601" s="98">
        <v>73</v>
      </c>
      <c r="D1601" s="98">
        <v>1850</v>
      </c>
      <c r="E1601" s="157">
        <v>41623.688888888886</v>
      </c>
      <c r="F1601" s="157">
        <v>41623.768055555556</v>
      </c>
      <c r="G1601" s="98">
        <v>482</v>
      </c>
      <c r="H1601" s="98">
        <v>528</v>
      </c>
      <c r="I1601" s="98">
        <v>479</v>
      </c>
      <c r="J1601" s="98" t="s">
        <v>2263</v>
      </c>
      <c r="K1601" s="98" t="s">
        <v>1236</v>
      </c>
      <c r="L1601" s="105" t="str">
        <f t="shared" si="270"/>
        <v>Ghent</v>
      </c>
      <c r="M1601" s="105" t="str">
        <f t="shared" si="271"/>
        <v>Derate</v>
      </c>
      <c r="N1601" s="105" t="str">
        <f t="shared" si="272"/>
        <v>Coal</v>
      </c>
      <c r="O1601" s="105">
        <f>IFERROR(VLOOKUP(A1601,Lookup!$J$5:$P$19,7,FALSE),0)</f>
        <v>3</v>
      </c>
      <c r="P1601" s="159">
        <f t="shared" si="273"/>
        <v>2013</v>
      </c>
      <c r="Q1601" s="159">
        <f t="shared" si="274"/>
        <v>12</v>
      </c>
      <c r="R1601" s="160">
        <f t="shared" si="275"/>
        <v>1.9000000000814907</v>
      </c>
      <c r="S1601" s="158">
        <f t="shared" si="276"/>
        <v>0.1655303030374026</v>
      </c>
      <c r="T1601" s="161">
        <f t="shared" si="277"/>
        <v>79.289015154915845</v>
      </c>
      <c r="U1601" s="158">
        <f t="shared" si="278"/>
        <v>41.731060606060609</v>
      </c>
      <c r="V1601" s="160">
        <f t="shared" si="279"/>
        <v>42</v>
      </c>
    </row>
    <row r="1602" spans="1:22" x14ac:dyDescent="0.25">
      <c r="A1602" s="98" t="s">
        <v>30</v>
      </c>
      <c r="B1602" s="98" t="s">
        <v>17</v>
      </c>
      <c r="C1602" s="98">
        <v>74</v>
      </c>
      <c r="D1602" s="98">
        <v>250</v>
      </c>
      <c r="E1602" s="157">
        <v>41626.010416666664</v>
      </c>
      <c r="F1602" s="157">
        <v>41626.048611111109</v>
      </c>
      <c r="G1602" s="98">
        <v>430</v>
      </c>
      <c r="H1602" s="98">
        <v>528</v>
      </c>
      <c r="I1602" s="98">
        <v>479</v>
      </c>
      <c r="J1602" s="98" t="s">
        <v>1978</v>
      </c>
      <c r="K1602" s="98" t="s">
        <v>1237</v>
      </c>
      <c r="L1602" s="105" t="str">
        <f t="shared" si="270"/>
        <v>Ghent</v>
      </c>
      <c r="M1602" s="105" t="str">
        <f t="shared" si="271"/>
        <v>Derate</v>
      </c>
      <c r="N1602" s="105" t="str">
        <f t="shared" si="272"/>
        <v>Coal</v>
      </c>
      <c r="O1602" s="105">
        <f>IFERROR(VLOOKUP(A1602,Lookup!$J$5:$P$19,7,FALSE),0)</f>
        <v>3</v>
      </c>
      <c r="P1602" s="159">
        <f t="shared" si="273"/>
        <v>2013</v>
      </c>
      <c r="Q1602" s="159">
        <f t="shared" si="274"/>
        <v>12</v>
      </c>
      <c r="R1602" s="160">
        <f t="shared" si="275"/>
        <v>0.91666666668606922</v>
      </c>
      <c r="S1602" s="158">
        <f t="shared" si="276"/>
        <v>0.17013888889249013</v>
      </c>
      <c r="T1602" s="161">
        <f t="shared" si="277"/>
        <v>81.49652777950277</v>
      </c>
      <c r="U1602" s="158">
        <f t="shared" si="278"/>
        <v>88.905303030303031</v>
      </c>
      <c r="V1602" s="160">
        <f t="shared" si="279"/>
        <v>89</v>
      </c>
    </row>
    <row r="1603" spans="1:22" x14ac:dyDescent="0.25">
      <c r="A1603" s="98" t="s">
        <v>30</v>
      </c>
      <c r="B1603" s="98" t="s">
        <v>17</v>
      </c>
      <c r="C1603" s="98">
        <v>75</v>
      </c>
      <c r="D1603" s="98">
        <v>9650</v>
      </c>
      <c r="E1603" s="157">
        <v>41628.142361111109</v>
      </c>
      <c r="F1603" s="157">
        <v>41628.583333333336</v>
      </c>
      <c r="G1603" s="98">
        <v>305</v>
      </c>
      <c r="H1603" s="98">
        <v>528</v>
      </c>
      <c r="I1603" s="98">
        <v>479</v>
      </c>
      <c r="J1603" s="98" t="s">
        <v>2035</v>
      </c>
      <c r="K1603" s="98" t="s">
        <v>1238</v>
      </c>
      <c r="L1603" s="105" t="str">
        <f t="shared" si="270"/>
        <v>Ghent</v>
      </c>
      <c r="M1603" s="105" t="str">
        <f t="shared" si="271"/>
        <v>Derate</v>
      </c>
      <c r="N1603" s="105" t="str">
        <f t="shared" si="272"/>
        <v>Coal</v>
      </c>
      <c r="O1603" s="105">
        <f>IFERROR(VLOOKUP(A1603,Lookup!$J$5:$P$19,7,FALSE),0)</f>
        <v>3</v>
      </c>
      <c r="P1603" s="159">
        <f t="shared" si="273"/>
        <v>2013</v>
      </c>
      <c r="Q1603" s="159">
        <f t="shared" si="274"/>
        <v>12</v>
      </c>
      <c r="R1603" s="160">
        <f t="shared" si="275"/>
        <v>10.583333333430346</v>
      </c>
      <c r="S1603" s="158">
        <f t="shared" si="276"/>
        <v>4.469854798020771</v>
      </c>
      <c r="T1603" s="161">
        <f t="shared" si="277"/>
        <v>2141.0604482519493</v>
      </c>
      <c r="U1603" s="158">
        <f t="shared" si="278"/>
        <v>202.30492424242425</v>
      </c>
      <c r="V1603" s="160">
        <f t="shared" si="279"/>
        <v>202</v>
      </c>
    </row>
    <row r="1604" spans="1:22" x14ac:dyDescent="0.25">
      <c r="A1604" s="98" t="s">
        <v>30</v>
      </c>
      <c r="B1604" s="98" t="s">
        <v>15</v>
      </c>
      <c r="C1604" s="98">
        <v>1</v>
      </c>
      <c r="D1604" s="98">
        <v>1455</v>
      </c>
      <c r="E1604" s="157">
        <v>41646.888888888891</v>
      </c>
      <c r="F1604" s="157">
        <v>41647.260416666664</v>
      </c>
      <c r="G1604" s="98">
        <v>0</v>
      </c>
      <c r="H1604" s="98">
        <v>528</v>
      </c>
      <c r="I1604" s="98">
        <v>479</v>
      </c>
      <c r="J1604" s="98" t="s">
        <v>1990</v>
      </c>
      <c r="K1604" s="98" t="s">
        <v>1239</v>
      </c>
      <c r="L1604" s="105" t="str">
        <f t="shared" si="270"/>
        <v>Ghent</v>
      </c>
      <c r="M1604" s="105" t="str">
        <f t="shared" si="271"/>
        <v>Outage</v>
      </c>
      <c r="N1604" s="105" t="str">
        <f t="shared" si="272"/>
        <v>Coal</v>
      </c>
      <c r="O1604" s="105">
        <f>IFERROR(VLOOKUP(A1604,Lookup!$J$5:$P$19,7,FALSE),0)</f>
        <v>3</v>
      </c>
      <c r="P1604" s="159">
        <f t="shared" si="273"/>
        <v>2014</v>
      </c>
      <c r="Q1604" s="159">
        <f t="shared" si="274"/>
        <v>1</v>
      </c>
      <c r="R1604" s="160">
        <f t="shared" si="275"/>
        <v>8.9166666665696539</v>
      </c>
      <c r="S1604" s="158">
        <f t="shared" si="276"/>
        <v>8.9166666665696539</v>
      </c>
      <c r="T1604" s="161">
        <f t="shared" si="277"/>
        <v>4271.0833332868642</v>
      </c>
      <c r="U1604" s="158">
        <f t="shared" si="278"/>
        <v>479</v>
      </c>
      <c r="V1604" s="160">
        <f t="shared" si="279"/>
        <v>479</v>
      </c>
    </row>
    <row r="1605" spans="1:22" x14ac:dyDescent="0.25">
      <c r="A1605" s="98" t="s">
        <v>30</v>
      </c>
      <c r="B1605" s="98" t="s">
        <v>17</v>
      </c>
      <c r="C1605" s="98">
        <v>2</v>
      </c>
      <c r="D1605" s="98">
        <v>1455</v>
      </c>
      <c r="E1605" s="157">
        <v>41647.260416666664</v>
      </c>
      <c r="F1605" s="157">
        <v>41649.479861111111</v>
      </c>
      <c r="G1605" s="98">
        <v>200</v>
      </c>
      <c r="H1605" s="98">
        <v>528</v>
      </c>
      <c r="I1605" s="98">
        <v>479</v>
      </c>
      <c r="J1605" s="98" t="s">
        <v>1990</v>
      </c>
      <c r="K1605" s="98" t="s">
        <v>1240</v>
      </c>
      <c r="L1605" s="105" t="str">
        <f t="shared" si="270"/>
        <v>Ghent</v>
      </c>
      <c r="M1605" s="105" t="str">
        <f t="shared" si="271"/>
        <v>Derate</v>
      </c>
      <c r="N1605" s="105" t="str">
        <f t="shared" si="272"/>
        <v>Coal</v>
      </c>
      <c r="O1605" s="105">
        <f>IFERROR(VLOOKUP(A1605,Lookup!$J$5:$P$19,7,FALSE),0)</f>
        <v>3</v>
      </c>
      <c r="P1605" s="159">
        <f t="shared" si="273"/>
        <v>2014</v>
      </c>
      <c r="Q1605" s="159">
        <f t="shared" si="274"/>
        <v>1</v>
      </c>
      <c r="R1605" s="160">
        <f t="shared" si="275"/>
        <v>53.266666666720994</v>
      </c>
      <c r="S1605" s="158">
        <f t="shared" si="276"/>
        <v>33.089898989932742</v>
      </c>
      <c r="T1605" s="161">
        <f t="shared" si="277"/>
        <v>15850.061616177783</v>
      </c>
      <c r="U1605" s="158">
        <f t="shared" si="278"/>
        <v>297.56060606060606</v>
      </c>
      <c r="V1605" s="160">
        <f t="shared" si="279"/>
        <v>298</v>
      </c>
    </row>
    <row r="1606" spans="1:22" x14ac:dyDescent="0.25">
      <c r="A1606" s="98" t="s">
        <v>30</v>
      </c>
      <c r="B1606" s="98" t="s">
        <v>20</v>
      </c>
      <c r="C1606" s="98">
        <v>3</v>
      </c>
      <c r="D1606" s="98">
        <v>1455</v>
      </c>
      <c r="E1606" s="157">
        <v>41649.479861111111</v>
      </c>
      <c r="F1606" s="157">
        <v>41652.142361111109</v>
      </c>
      <c r="G1606" s="98">
        <v>0</v>
      </c>
      <c r="H1606" s="98">
        <v>528</v>
      </c>
      <c r="I1606" s="98">
        <v>479</v>
      </c>
      <c r="J1606" s="98" t="s">
        <v>1990</v>
      </c>
      <c r="K1606" s="98" t="s">
        <v>1241</v>
      </c>
      <c r="L1606" s="105" t="str">
        <f t="shared" si="270"/>
        <v>Ghent</v>
      </c>
      <c r="M1606" s="105" t="str">
        <f t="shared" si="271"/>
        <v>Maintenance</v>
      </c>
      <c r="N1606" s="105" t="str">
        <f t="shared" si="272"/>
        <v>Coal</v>
      </c>
      <c r="O1606" s="105">
        <f>IFERROR(VLOOKUP(A1606,Lookup!$J$5:$P$19,7,FALSE),0)</f>
        <v>3</v>
      </c>
      <c r="P1606" s="159">
        <f t="shared" si="273"/>
        <v>2014</v>
      </c>
      <c r="Q1606" s="159">
        <f t="shared" si="274"/>
        <v>1</v>
      </c>
      <c r="R1606" s="160">
        <f t="shared" si="275"/>
        <v>63.899999999965075</v>
      </c>
      <c r="S1606" s="158">
        <f t="shared" si="276"/>
        <v>63.899999999965075</v>
      </c>
      <c r="T1606" s="161">
        <f t="shared" si="277"/>
        <v>30608.099999983271</v>
      </c>
      <c r="U1606" s="158">
        <f t="shared" si="278"/>
        <v>479</v>
      </c>
      <c r="V1606" s="160">
        <f t="shared" si="279"/>
        <v>479</v>
      </c>
    </row>
    <row r="1607" spans="1:22" x14ac:dyDescent="0.25">
      <c r="A1607" s="98" t="s">
        <v>30</v>
      </c>
      <c r="B1607" s="98" t="s">
        <v>18</v>
      </c>
      <c r="C1607" s="98">
        <v>4</v>
      </c>
      <c r="D1607" s="98">
        <v>4609</v>
      </c>
      <c r="E1607" s="157">
        <v>41652.142361111109</v>
      </c>
      <c r="F1607" s="157">
        <v>41652.263194444444</v>
      </c>
      <c r="G1607" s="98">
        <v>0</v>
      </c>
      <c r="H1607" s="98">
        <v>528</v>
      </c>
      <c r="I1607" s="98">
        <v>479</v>
      </c>
      <c r="J1607" s="98" t="s">
        <v>2105</v>
      </c>
      <c r="K1607" s="98" t="s">
        <v>1242</v>
      </c>
      <c r="L1607" s="105" t="str">
        <f t="shared" si="270"/>
        <v>Ghent</v>
      </c>
      <c r="M1607" s="105" t="str">
        <f t="shared" si="271"/>
        <v>Outage</v>
      </c>
      <c r="N1607" s="105" t="str">
        <f t="shared" si="272"/>
        <v>Coal</v>
      </c>
      <c r="O1607" s="105">
        <f>IFERROR(VLOOKUP(A1607,Lookup!$J$5:$P$19,7,FALSE),0)</f>
        <v>3</v>
      </c>
      <c r="P1607" s="159">
        <f t="shared" si="273"/>
        <v>2014</v>
      </c>
      <c r="Q1607" s="159">
        <f t="shared" si="274"/>
        <v>1</v>
      </c>
      <c r="R1607" s="160">
        <f t="shared" si="275"/>
        <v>2.9000000000232831</v>
      </c>
      <c r="S1607" s="158">
        <f t="shared" si="276"/>
        <v>2.9000000000232831</v>
      </c>
      <c r="T1607" s="161">
        <f t="shared" si="277"/>
        <v>1389.1000000111526</v>
      </c>
      <c r="U1607" s="158">
        <f t="shared" si="278"/>
        <v>479</v>
      </c>
      <c r="V1607" s="160">
        <f t="shared" si="279"/>
        <v>479</v>
      </c>
    </row>
    <row r="1608" spans="1:22" x14ac:dyDescent="0.25">
      <c r="A1608" s="98" t="s">
        <v>30</v>
      </c>
      <c r="B1608" s="98" t="s">
        <v>17</v>
      </c>
      <c r="C1608" s="98">
        <v>5</v>
      </c>
      <c r="D1608" s="98">
        <v>1455</v>
      </c>
      <c r="E1608" s="157">
        <v>41660.970833333333</v>
      </c>
      <c r="F1608" s="157">
        <v>41661.063194444447</v>
      </c>
      <c r="G1608" s="98">
        <v>520</v>
      </c>
      <c r="H1608" s="98">
        <v>528</v>
      </c>
      <c r="I1608" s="98">
        <v>479</v>
      </c>
      <c r="J1608" s="98" t="s">
        <v>1990</v>
      </c>
      <c r="K1608" s="98" t="s">
        <v>1243</v>
      </c>
      <c r="L1608" s="105" t="str">
        <f t="shared" si="270"/>
        <v>Ghent</v>
      </c>
      <c r="M1608" s="105" t="str">
        <f t="shared" si="271"/>
        <v>Derate</v>
      </c>
      <c r="N1608" s="105" t="str">
        <f t="shared" si="272"/>
        <v>Coal</v>
      </c>
      <c r="O1608" s="105">
        <f>IFERROR(VLOOKUP(A1608,Lookup!$J$5:$P$19,7,FALSE),0)</f>
        <v>3</v>
      </c>
      <c r="P1608" s="159">
        <f t="shared" si="273"/>
        <v>2014</v>
      </c>
      <c r="Q1608" s="159">
        <f t="shared" si="274"/>
        <v>1</v>
      </c>
      <c r="R1608" s="160">
        <f t="shared" si="275"/>
        <v>2.2166666667326353</v>
      </c>
      <c r="S1608" s="158">
        <f t="shared" si="276"/>
        <v>3.3585858586858114E-2</v>
      </c>
      <c r="T1608" s="161">
        <f t="shared" si="277"/>
        <v>16.087626263105037</v>
      </c>
      <c r="U1608" s="158">
        <f t="shared" si="278"/>
        <v>7.2575757575757578</v>
      </c>
      <c r="V1608" s="160">
        <f t="shared" si="279"/>
        <v>7</v>
      </c>
    </row>
    <row r="1609" spans="1:22" x14ac:dyDescent="0.25">
      <c r="A1609" s="98" t="s">
        <v>30</v>
      </c>
      <c r="B1609" s="98" t="s">
        <v>17</v>
      </c>
      <c r="C1609" s="98">
        <v>6</v>
      </c>
      <c r="D1609" s="98">
        <v>9290</v>
      </c>
      <c r="E1609" s="157">
        <v>41663.97152777778</v>
      </c>
      <c r="F1609" s="157">
        <v>41664.147916666669</v>
      </c>
      <c r="G1609" s="98">
        <v>480</v>
      </c>
      <c r="H1609" s="98">
        <v>528</v>
      </c>
      <c r="I1609" s="98">
        <v>479</v>
      </c>
      <c r="J1609" s="98" t="s">
        <v>2045</v>
      </c>
      <c r="K1609" s="98" t="s">
        <v>1244</v>
      </c>
      <c r="L1609" s="105" t="str">
        <f t="shared" si="270"/>
        <v>Ghent</v>
      </c>
      <c r="M1609" s="105" t="str">
        <f t="shared" si="271"/>
        <v>Derate</v>
      </c>
      <c r="N1609" s="105" t="str">
        <f t="shared" si="272"/>
        <v>Coal</v>
      </c>
      <c r="O1609" s="105">
        <f>IFERROR(VLOOKUP(A1609,Lookup!$J$5:$P$19,7,FALSE),0)</f>
        <v>3</v>
      </c>
      <c r="P1609" s="159">
        <f t="shared" si="273"/>
        <v>2014</v>
      </c>
      <c r="Q1609" s="159">
        <f t="shared" si="274"/>
        <v>1</v>
      </c>
      <c r="R1609" s="160">
        <f t="shared" si="275"/>
        <v>4.2333333333372138</v>
      </c>
      <c r="S1609" s="158">
        <f t="shared" si="276"/>
        <v>0.3848484848488376</v>
      </c>
      <c r="T1609" s="161">
        <f t="shared" si="277"/>
        <v>184.34242424259321</v>
      </c>
      <c r="U1609" s="158">
        <f t="shared" si="278"/>
        <v>43.545454545454547</v>
      </c>
      <c r="V1609" s="160">
        <f t="shared" si="279"/>
        <v>44</v>
      </c>
    </row>
    <row r="1610" spans="1:22" x14ac:dyDescent="0.25">
      <c r="A1610" s="98" t="s">
        <v>30</v>
      </c>
      <c r="B1610" s="98" t="s">
        <v>15</v>
      </c>
      <c r="C1610" s="98">
        <v>7</v>
      </c>
      <c r="D1610" s="98">
        <v>1040</v>
      </c>
      <c r="E1610" s="157">
        <v>41664.147916666669</v>
      </c>
      <c r="F1610" s="157">
        <v>41665.806250000001</v>
      </c>
      <c r="G1610" s="98">
        <v>0</v>
      </c>
      <c r="H1610" s="98">
        <v>528</v>
      </c>
      <c r="I1610" s="98">
        <v>479</v>
      </c>
      <c r="J1610" s="98" t="s">
        <v>2001</v>
      </c>
      <c r="K1610" s="98" t="s">
        <v>1245</v>
      </c>
      <c r="L1610" s="105" t="str">
        <f t="shared" si="270"/>
        <v>Ghent</v>
      </c>
      <c r="M1610" s="105" t="str">
        <f t="shared" si="271"/>
        <v>Outage</v>
      </c>
      <c r="N1610" s="105" t="str">
        <f t="shared" si="272"/>
        <v>Coal</v>
      </c>
      <c r="O1610" s="105">
        <f>IFERROR(VLOOKUP(A1610,Lookup!$J$5:$P$19,7,FALSE),0)</f>
        <v>3</v>
      </c>
      <c r="P1610" s="159">
        <f t="shared" si="273"/>
        <v>2014</v>
      </c>
      <c r="Q1610" s="159">
        <f t="shared" si="274"/>
        <v>1</v>
      </c>
      <c r="R1610" s="160">
        <f t="shared" si="275"/>
        <v>39.799999999988358</v>
      </c>
      <c r="S1610" s="158">
        <f t="shared" si="276"/>
        <v>39.799999999988358</v>
      </c>
      <c r="T1610" s="161">
        <f t="shared" si="277"/>
        <v>19064.199999994424</v>
      </c>
      <c r="U1610" s="158">
        <f t="shared" si="278"/>
        <v>479</v>
      </c>
      <c r="V1610" s="160">
        <f t="shared" si="279"/>
        <v>479</v>
      </c>
    </row>
    <row r="1611" spans="1:22" x14ac:dyDescent="0.25">
      <c r="A1611" s="98" t="s">
        <v>30</v>
      </c>
      <c r="B1611" s="98" t="s">
        <v>17</v>
      </c>
      <c r="C1611" s="98">
        <v>8</v>
      </c>
      <c r="D1611" s="98">
        <v>1455</v>
      </c>
      <c r="E1611" s="157">
        <v>41665.806250000001</v>
      </c>
      <c r="F1611" s="157">
        <v>41665.865972222222</v>
      </c>
      <c r="G1611" s="98">
        <v>200</v>
      </c>
      <c r="H1611" s="98">
        <v>528</v>
      </c>
      <c r="I1611" s="98">
        <v>479</v>
      </c>
      <c r="J1611" s="98" t="s">
        <v>1990</v>
      </c>
      <c r="K1611" s="98" t="s">
        <v>1246</v>
      </c>
      <c r="L1611" s="105" t="str">
        <f t="shared" si="270"/>
        <v>Ghent</v>
      </c>
      <c r="M1611" s="105" t="str">
        <f t="shared" si="271"/>
        <v>Derate</v>
      </c>
      <c r="N1611" s="105" t="str">
        <f t="shared" si="272"/>
        <v>Coal</v>
      </c>
      <c r="O1611" s="105">
        <f>IFERROR(VLOOKUP(A1611,Lookup!$J$5:$P$19,7,FALSE),0)</f>
        <v>3</v>
      </c>
      <c r="P1611" s="159">
        <f t="shared" si="273"/>
        <v>2014</v>
      </c>
      <c r="Q1611" s="159">
        <f t="shared" si="274"/>
        <v>1</v>
      </c>
      <c r="R1611" s="160">
        <f t="shared" si="275"/>
        <v>1.4333333332906477</v>
      </c>
      <c r="S1611" s="158">
        <f t="shared" si="276"/>
        <v>0.89040404037752363</v>
      </c>
      <c r="T1611" s="161">
        <f t="shared" si="277"/>
        <v>426.50353534083382</v>
      </c>
      <c r="U1611" s="158">
        <f t="shared" si="278"/>
        <v>297.56060606060606</v>
      </c>
      <c r="V1611" s="160">
        <f t="shared" si="279"/>
        <v>298</v>
      </c>
    </row>
    <row r="1612" spans="1:22" x14ac:dyDescent="0.25">
      <c r="A1612" s="98" t="s">
        <v>30</v>
      </c>
      <c r="B1612" s="98" t="s">
        <v>20</v>
      </c>
      <c r="C1612" s="98">
        <v>9</v>
      </c>
      <c r="D1612" s="98">
        <v>1455</v>
      </c>
      <c r="E1612" s="157">
        <v>41665.865972222222</v>
      </c>
      <c r="F1612" s="157">
        <v>41666.9375</v>
      </c>
      <c r="G1612" s="98">
        <v>0</v>
      </c>
      <c r="H1612" s="98">
        <v>528</v>
      </c>
      <c r="I1612" s="98">
        <v>479</v>
      </c>
      <c r="J1612" s="98" t="s">
        <v>1990</v>
      </c>
      <c r="K1612" s="98" t="s">
        <v>1247</v>
      </c>
      <c r="L1612" s="105" t="str">
        <f t="shared" si="270"/>
        <v>Ghent</v>
      </c>
      <c r="M1612" s="105" t="str">
        <f t="shared" si="271"/>
        <v>Maintenance</v>
      </c>
      <c r="N1612" s="105" t="str">
        <f t="shared" si="272"/>
        <v>Coal</v>
      </c>
      <c r="O1612" s="105">
        <f>IFERROR(VLOOKUP(A1612,Lookup!$J$5:$P$19,7,FALSE),0)</f>
        <v>3</v>
      </c>
      <c r="P1612" s="159">
        <f t="shared" si="273"/>
        <v>2014</v>
      </c>
      <c r="Q1612" s="159">
        <f t="shared" si="274"/>
        <v>1</v>
      </c>
      <c r="R1612" s="160">
        <f t="shared" si="275"/>
        <v>25.716666666674428</v>
      </c>
      <c r="S1612" s="158">
        <f t="shared" si="276"/>
        <v>25.716666666674428</v>
      </c>
      <c r="T1612" s="161">
        <f t="shared" si="277"/>
        <v>12318.283333337051</v>
      </c>
      <c r="U1612" s="158">
        <f t="shared" si="278"/>
        <v>479</v>
      </c>
      <c r="V1612" s="160">
        <f t="shared" si="279"/>
        <v>479</v>
      </c>
    </row>
    <row r="1613" spans="1:22" x14ac:dyDescent="0.25">
      <c r="A1613" s="98" t="s">
        <v>30</v>
      </c>
      <c r="B1613" s="98" t="s">
        <v>17</v>
      </c>
      <c r="C1613" s="98">
        <v>10</v>
      </c>
      <c r="D1613" s="98">
        <v>1455</v>
      </c>
      <c r="E1613" s="157">
        <v>41667.477083333331</v>
      </c>
      <c r="F1613" s="157">
        <v>41669.592361111114</v>
      </c>
      <c r="G1613" s="98">
        <v>500</v>
      </c>
      <c r="H1613" s="98">
        <v>528</v>
      </c>
      <c r="I1613" s="98">
        <v>479</v>
      </c>
      <c r="J1613" s="98" t="s">
        <v>1990</v>
      </c>
      <c r="K1613" s="98" t="s">
        <v>1248</v>
      </c>
      <c r="L1613" s="105" t="str">
        <f t="shared" si="270"/>
        <v>Ghent</v>
      </c>
      <c r="M1613" s="105" t="str">
        <f t="shared" si="271"/>
        <v>Derate</v>
      </c>
      <c r="N1613" s="105" t="str">
        <f t="shared" si="272"/>
        <v>Coal</v>
      </c>
      <c r="O1613" s="105">
        <f>IFERROR(VLOOKUP(A1613,Lookup!$J$5:$P$19,7,FALSE),0)</f>
        <v>3</v>
      </c>
      <c r="P1613" s="159">
        <f t="shared" si="273"/>
        <v>2014</v>
      </c>
      <c r="Q1613" s="159">
        <f t="shared" si="274"/>
        <v>1</v>
      </c>
      <c r="R1613" s="160">
        <f t="shared" si="275"/>
        <v>50.766666666779201</v>
      </c>
      <c r="S1613" s="158">
        <f t="shared" si="276"/>
        <v>2.6921717171776849</v>
      </c>
      <c r="T1613" s="161">
        <f t="shared" si="277"/>
        <v>1289.5502525281111</v>
      </c>
      <c r="U1613" s="158">
        <f t="shared" si="278"/>
        <v>25.401515151515152</v>
      </c>
      <c r="V1613" s="160">
        <f t="shared" si="279"/>
        <v>25</v>
      </c>
    </row>
    <row r="1614" spans="1:22" x14ac:dyDescent="0.25">
      <c r="A1614" s="98" t="s">
        <v>30</v>
      </c>
      <c r="B1614" s="98" t="s">
        <v>20</v>
      </c>
      <c r="C1614" s="98">
        <v>11</v>
      </c>
      <c r="D1614" s="98">
        <v>1455</v>
      </c>
      <c r="E1614" s="157">
        <v>41669.592361111114</v>
      </c>
      <c r="F1614" s="157">
        <v>41671.393055555556</v>
      </c>
      <c r="G1614" s="98">
        <v>0</v>
      </c>
      <c r="H1614" s="98">
        <v>528</v>
      </c>
      <c r="I1614" s="98">
        <v>479</v>
      </c>
      <c r="J1614" s="98" t="s">
        <v>1990</v>
      </c>
      <c r="K1614" s="98" t="s">
        <v>1249</v>
      </c>
      <c r="L1614" s="105" t="str">
        <f t="shared" si="270"/>
        <v>Ghent</v>
      </c>
      <c r="M1614" s="105" t="str">
        <f t="shared" si="271"/>
        <v>Maintenance</v>
      </c>
      <c r="N1614" s="105" t="str">
        <f t="shared" si="272"/>
        <v>Coal</v>
      </c>
      <c r="O1614" s="105">
        <f>IFERROR(VLOOKUP(A1614,Lookup!$J$5:$P$19,7,FALSE),0)</f>
        <v>3</v>
      </c>
      <c r="P1614" s="159">
        <f t="shared" si="273"/>
        <v>2014</v>
      </c>
      <c r="Q1614" s="159">
        <f t="shared" si="274"/>
        <v>1</v>
      </c>
      <c r="R1614" s="160">
        <f t="shared" si="275"/>
        <v>43.21666666661622</v>
      </c>
      <c r="S1614" s="158">
        <f t="shared" si="276"/>
        <v>43.21666666661622</v>
      </c>
      <c r="T1614" s="161">
        <f t="shared" si="277"/>
        <v>20700.783333309169</v>
      </c>
      <c r="U1614" s="158">
        <f t="shared" si="278"/>
        <v>479</v>
      </c>
      <c r="V1614" s="160">
        <f t="shared" si="279"/>
        <v>479</v>
      </c>
    </row>
    <row r="1615" spans="1:22" x14ac:dyDescent="0.25">
      <c r="A1615" s="98" t="s">
        <v>30</v>
      </c>
      <c r="B1615" s="98" t="s">
        <v>17</v>
      </c>
      <c r="C1615" s="98">
        <v>12</v>
      </c>
      <c r="D1615" s="98">
        <v>9650</v>
      </c>
      <c r="E1615" s="157">
        <v>41672.840277777781</v>
      </c>
      <c r="F1615" s="157">
        <v>41672.864583333336</v>
      </c>
      <c r="G1615" s="98">
        <v>400</v>
      </c>
      <c r="H1615" s="98">
        <v>528</v>
      </c>
      <c r="I1615" s="98">
        <v>479</v>
      </c>
      <c r="J1615" s="98" t="s">
        <v>2035</v>
      </c>
      <c r="K1615" s="98" t="s">
        <v>1250</v>
      </c>
      <c r="L1615" s="105" t="str">
        <f t="shared" si="270"/>
        <v>Ghent</v>
      </c>
      <c r="M1615" s="105" t="str">
        <f t="shared" si="271"/>
        <v>Derate</v>
      </c>
      <c r="N1615" s="105" t="str">
        <f t="shared" si="272"/>
        <v>Coal</v>
      </c>
      <c r="O1615" s="105">
        <f>IFERROR(VLOOKUP(A1615,Lookup!$J$5:$P$19,7,FALSE),0)</f>
        <v>3</v>
      </c>
      <c r="P1615" s="159">
        <f t="shared" si="273"/>
        <v>2014</v>
      </c>
      <c r="Q1615" s="159">
        <f t="shared" si="274"/>
        <v>2</v>
      </c>
      <c r="R1615" s="160">
        <f t="shared" si="275"/>
        <v>0.58333333331393078</v>
      </c>
      <c r="S1615" s="158">
        <f t="shared" si="276"/>
        <v>0.14141414140943775</v>
      </c>
      <c r="T1615" s="161">
        <f t="shared" si="277"/>
        <v>67.737373735120684</v>
      </c>
      <c r="U1615" s="158">
        <f t="shared" si="278"/>
        <v>116.12121212121212</v>
      </c>
      <c r="V1615" s="160">
        <f t="shared" si="279"/>
        <v>116</v>
      </c>
    </row>
    <row r="1616" spans="1:22" x14ac:dyDescent="0.25">
      <c r="A1616" s="98" t="s">
        <v>30</v>
      </c>
      <c r="B1616" s="98" t="s">
        <v>17</v>
      </c>
      <c r="C1616" s="98">
        <v>13</v>
      </c>
      <c r="D1616" s="98">
        <v>9650</v>
      </c>
      <c r="E1616" s="157">
        <v>41675.590277777781</v>
      </c>
      <c r="F1616" s="157">
        <v>41675.625</v>
      </c>
      <c r="G1616" s="98">
        <v>350</v>
      </c>
      <c r="H1616" s="98">
        <v>528</v>
      </c>
      <c r="I1616" s="98">
        <v>479</v>
      </c>
      <c r="J1616" s="98" t="s">
        <v>2035</v>
      </c>
      <c r="K1616" s="98" t="s">
        <v>1251</v>
      </c>
      <c r="L1616" s="105" t="str">
        <f t="shared" si="270"/>
        <v>Ghent</v>
      </c>
      <c r="M1616" s="105" t="str">
        <f t="shared" si="271"/>
        <v>Derate</v>
      </c>
      <c r="N1616" s="105" t="str">
        <f t="shared" si="272"/>
        <v>Coal</v>
      </c>
      <c r="O1616" s="105">
        <f>IFERROR(VLOOKUP(A1616,Lookup!$J$5:$P$19,7,FALSE),0)</f>
        <v>3</v>
      </c>
      <c r="P1616" s="159">
        <f t="shared" si="273"/>
        <v>2014</v>
      </c>
      <c r="Q1616" s="159">
        <f t="shared" si="274"/>
        <v>2</v>
      </c>
      <c r="R1616" s="160">
        <f t="shared" si="275"/>
        <v>0.83333333325572312</v>
      </c>
      <c r="S1616" s="158">
        <f t="shared" si="276"/>
        <v>0.28093434340817941</v>
      </c>
      <c r="T1616" s="161">
        <f t="shared" si="277"/>
        <v>134.56755049251794</v>
      </c>
      <c r="U1616" s="158">
        <f t="shared" si="278"/>
        <v>161.48106060606059</v>
      </c>
      <c r="V1616" s="160">
        <f t="shared" si="279"/>
        <v>161</v>
      </c>
    </row>
    <row r="1617" spans="1:22" x14ac:dyDescent="0.25">
      <c r="A1617" s="98" t="s">
        <v>30</v>
      </c>
      <c r="B1617" s="98" t="s">
        <v>17</v>
      </c>
      <c r="C1617" s="98">
        <v>14</v>
      </c>
      <c r="D1617" s="98">
        <v>9650</v>
      </c>
      <c r="E1617" s="157">
        <v>41675.625</v>
      </c>
      <c r="F1617" s="157">
        <v>41675.826388888891</v>
      </c>
      <c r="G1617" s="98">
        <v>208</v>
      </c>
      <c r="H1617" s="98">
        <v>528</v>
      </c>
      <c r="I1617" s="98">
        <v>479</v>
      </c>
      <c r="J1617" s="98" t="s">
        <v>2035</v>
      </c>
      <c r="K1617" s="98" t="s">
        <v>1252</v>
      </c>
      <c r="L1617" s="105" t="str">
        <f t="shared" si="270"/>
        <v>Ghent</v>
      </c>
      <c r="M1617" s="105" t="str">
        <f t="shared" si="271"/>
        <v>Derate</v>
      </c>
      <c r="N1617" s="105" t="str">
        <f t="shared" si="272"/>
        <v>Coal</v>
      </c>
      <c r="O1617" s="105">
        <f>IFERROR(VLOOKUP(A1617,Lookup!$J$5:$P$19,7,FALSE),0)</f>
        <v>3</v>
      </c>
      <c r="P1617" s="159">
        <f t="shared" si="273"/>
        <v>2014</v>
      </c>
      <c r="Q1617" s="159">
        <f t="shared" si="274"/>
        <v>2</v>
      </c>
      <c r="R1617" s="160">
        <f t="shared" si="275"/>
        <v>4.8333333333721384</v>
      </c>
      <c r="S1617" s="158">
        <f t="shared" si="276"/>
        <v>2.9292929293164476</v>
      </c>
      <c r="T1617" s="161">
        <f t="shared" si="277"/>
        <v>1403.1313131425784</v>
      </c>
      <c r="U1617" s="158">
        <f t="shared" si="278"/>
        <v>290.30303030303031</v>
      </c>
      <c r="V1617" s="160">
        <f t="shared" si="279"/>
        <v>290</v>
      </c>
    </row>
    <row r="1618" spans="1:22" x14ac:dyDescent="0.25">
      <c r="A1618" s="98" t="s">
        <v>30</v>
      </c>
      <c r="B1618" s="98" t="s">
        <v>17</v>
      </c>
      <c r="C1618" s="98">
        <v>15</v>
      </c>
      <c r="D1618" s="98">
        <v>9650</v>
      </c>
      <c r="E1618" s="157">
        <v>41685.195138888892</v>
      </c>
      <c r="F1618" s="157">
        <v>41685.296527777777</v>
      </c>
      <c r="G1618" s="98">
        <v>400</v>
      </c>
      <c r="H1618" s="98">
        <v>528</v>
      </c>
      <c r="I1618" s="98">
        <v>479</v>
      </c>
      <c r="J1618" s="98" t="s">
        <v>2035</v>
      </c>
      <c r="K1618" s="98" t="s">
        <v>1253</v>
      </c>
      <c r="L1618" s="105" t="str">
        <f t="shared" si="270"/>
        <v>Ghent</v>
      </c>
      <c r="M1618" s="105" t="str">
        <f t="shared" si="271"/>
        <v>Derate</v>
      </c>
      <c r="N1618" s="105" t="str">
        <f t="shared" si="272"/>
        <v>Coal</v>
      </c>
      <c r="O1618" s="105">
        <f>IFERROR(VLOOKUP(A1618,Lookup!$J$5:$P$19,7,FALSE),0)</f>
        <v>3</v>
      </c>
      <c r="P1618" s="159">
        <f t="shared" si="273"/>
        <v>2014</v>
      </c>
      <c r="Q1618" s="159">
        <f t="shared" si="274"/>
        <v>2</v>
      </c>
      <c r="R1618" s="160">
        <f t="shared" si="275"/>
        <v>2.4333333332324401</v>
      </c>
      <c r="S1618" s="158">
        <f t="shared" si="276"/>
        <v>0.58989898987453093</v>
      </c>
      <c r="T1618" s="161">
        <f t="shared" si="277"/>
        <v>282.56161614990032</v>
      </c>
      <c r="U1618" s="158">
        <f t="shared" si="278"/>
        <v>116.12121212121212</v>
      </c>
      <c r="V1618" s="160">
        <f t="shared" si="279"/>
        <v>116</v>
      </c>
    </row>
    <row r="1619" spans="1:22" x14ac:dyDescent="0.25">
      <c r="A1619" s="98" t="s">
        <v>30</v>
      </c>
      <c r="B1619" s="98" t="s">
        <v>17</v>
      </c>
      <c r="C1619" s="98">
        <v>16</v>
      </c>
      <c r="D1619" s="98">
        <v>9650</v>
      </c>
      <c r="E1619" s="157">
        <v>41685.473611111112</v>
      </c>
      <c r="F1619" s="157">
        <v>41685.619444444441</v>
      </c>
      <c r="G1619" s="98">
        <v>215</v>
      </c>
      <c r="H1619" s="98">
        <v>528</v>
      </c>
      <c r="I1619" s="98">
        <v>479</v>
      </c>
      <c r="J1619" s="98" t="s">
        <v>2035</v>
      </c>
      <c r="K1619" s="98" t="s">
        <v>1254</v>
      </c>
      <c r="L1619" s="105" t="str">
        <f t="shared" si="270"/>
        <v>Ghent</v>
      </c>
      <c r="M1619" s="105" t="str">
        <f t="shared" si="271"/>
        <v>Derate</v>
      </c>
      <c r="N1619" s="105" t="str">
        <f t="shared" si="272"/>
        <v>Coal</v>
      </c>
      <c r="O1619" s="105">
        <f>IFERROR(VLOOKUP(A1619,Lookup!$J$5:$P$19,7,FALSE),0)</f>
        <v>3</v>
      </c>
      <c r="P1619" s="159">
        <f t="shared" si="273"/>
        <v>2014</v>
      </c>
      <c r="Q1619" s="159">
        <f t="shared" si="274"/>
        <v>2</v>
      </c>
      <c r="R1619" s="160">
        <f t="shared" si="275"/>
        <v>3.4999999998835847</v>
      </c>
      <c r="S1619" s="158">
        <f t="shared" si="276"/>
        <v>2.0748106059915945</v>
      </c>
      <c r="T1619" s="161">
        <f t="shared" si="277"/>
        <v>993.83428026997376</v>
      </c>
      <c r="U1619" s="158">
        <f t="shared" si="278"/>
        <v>283.9526515151515</v>
      </c>
      <c r="V1619" s="160">
        <f t="shared" si="279"/>
        <v>284</v>
      </c>
    </row>
    <row r="1620" spans="1:22" x14ac:dyDescent="0.25">
      <c r="A1620" s="98" t="s">
        <v>30</v>
      </c>
      <c r="B1620" s="98" t="s">
        <v>32</v>
      </c>
      <c r="C1620" s="98">
        <v>17</v>
      </c>
      <c r="D1620" s="98">
        <v>9510</v>
      </c>
      <c r="E1620" s="157">
        <v>41685.916666666664</v>
      </c>
      <c r="F1620" s="157">
        <v>41686.544444444444</v>
      </c>
      <c r="G1620" s="98">
        <v>200</v>
      </c>
      <c r="H1620" s="98">
        <v>528</v>
      </c>
      <c r="I1620" s="98">
        <v>479</v>
      </c>
      <c r="J1620" s="98" t="s">
        <v>2385</v>
      </c>
      <c r="K1620" s="98" t="s">
        <v>1255</v>
      </c>
      <c r="L1620" s="105" t="str">
        <f t="shared" si="270"/>
        <v>Ghent</v>
      </c>
      <c r="M1620" s="105" t="str">
        <f t="shared" si="271"/>
        <v>Derate</v>
      </c>
      <c r="N1620" s="105" t="str">
        <f t="shared" si="272"/>
        <v>Coal</v>
      </c>
      <c r="O1620" s="105">
        <f>IFERROR(VLOOKUP(A1620,Lookup!$J$5:$P$19,7,FALSE),0)</f>
        <v>3</v>
      </c>
      <c r="P1620" s="159">
        <f t="shared" si="273"/>
        <v>2014</v>
      </c>
      <c r="Q1620" s="159">
        <f t="shared" si="274"/>
        <v>2</v>
      </c>
      <c r="R1620" s="160">
        <f t="shared" si="275"/>
        <v>15.066666666709352</v>
      </c>
      <c r="S1620" s="158">
        <f t="shared" si="276"/>
        <v>9.3595959596224763</v>
      </c>
      <c r="T1620" s="161">
        <f t="shared" si="277"/>
        <v>4483.2464646591661</v>
      </c>
      <c r="U1620" s="158">
        <f t="shared" si="278"/>
        <v>297.56060606060606</v>
      </c>
      <c r="V1620" s="160">
        <f t="shared" si="279"/>
        <v>298</v>
      </c>
    </row>
    <row r="1621" spans="1:22" x14ac:dyDescent="0.25">
      <c r="A1621" s="98" t="s">
        <v>30</v>
      </c>
      <c r="B1621" s="98" t="s">
        <v>17</v>
      </c>
      <c r="C1621" s="98">
        <v>18</v>
      </c>
      <c r="D1621" s="98">
        <v>1455</v>
      </c>
      <c r="E1621" s="157">
        <v>41687.451388888891</v>
      </c>
      <c r="F1621" s="157">
        <v>41687.5</v>
      </c>
      <c r="G1621" s="98">
        <v>470</v>
      </c>
      <c r="H1621" s="98">
        <v>528</v>
      </c>
      <c r="I1621" s="98">
        <v>479</v>
      </c>
      <c r="J1621" s="98" t="s">
        <v>1990</v>
      </c>
      <c r="K1621" s="98" t="s">
        <v>1256</v>
      </c>
      <c r="L1621" s="105" t="str">
        <f t="shared" si="270"/>
        <v>Ghent</v>
      </c>
      <c r="M1621" s="105" t="str">
        <f t="shared" si="271"/>
        <v>Derate</v>
      </c>
      <c r="N1621" s="105" t="str">
        <f t="shared" si="272"/>
        <v>Coal</v>
      </c>
      <c r="O1621" s="105">
        <f>IFERROR(VLOOKUP(A1621,Lookup!$J$5:$P$19,7,FALSE),0)</f>
        <v>3</v>
      </c>
      <c r="P1621" s="159">
        <f t="shared" si="273"/>
        <v>2014</v>
      </c>
      <c r="Q1621" s="159">
        <f t="shared" si="274"/>
        <v>2</v>
      </c>
      <c r="R1621" s="160">
        <f t="shared" si="275"/>
        <v>1.1666666666278616</v>
      </c>
      <c r="S1621" s="158">
        <f t="shared" si="276"/>
        <v>0.12815656565230296</v>
      </c>
      <c r="T1621" s="161">
        <f t="shared" si="277"/>
        <v>61.386994947453118</v>
      </c>
      <c r="U1621" s="158">
        <f t="shared" si="278"/>
        <v>52.617424242424242</v>
      </c>
      <c r="V1621" s="160">
        <f t="shared" si="279"/>
        <v>53</v>
      </c>
    </row>
    <row r="1622" spans="1:22" x14ac:dyDescent="0.25">
      <c r="A1622" s="98" t="s">
        <v>30</v>
      </c>
      <c r="B1622" s="98" t="s">
        <v>17</v>
      </c>
      <c r="C1622" s="98">
        <v>19</v>
      </c>
      <c r="D1622" s="98">
        <v>9650</v>
      </c>
      <c r="E1622" s="157">
        <v>41687.565972222219</v>
      </c>
      <c r="F1622" s="157">
        <v>41688.43472222222</v>
      </c>
      <c r="G1622" s="98">
        <v>492</v>
      </c>
      <c r="H1622" s="98">
        <v>528</v>
      </c>
      <c r="I1622" s="98">
        <v>479</v>
      </c>
      <c r="J1622" s="98" t="s">
        <v>2035</v>
      </c>
      <c r="K1622" s="98" t="s">
        <v>1257</v>
      </c>
      <c r="L1622" s="105" t="str">
        <f t="shared" si="270"/>
        <v>Ghent</v>
      </c>
      <c r="M1622" s="105" t="str">
        <f t="shared" si="271"/>
        <v>Derate</v>
      </c>
      <c r="N1622" s="105" t="str">
        <f t="shared" si="272"/>
        <v>Coal</v>
      </c>
      <c r="O1622" s="105">
        <f>IFERROR(VLOOKUP(A1622,Lookup!$J$5:$P$19,7,FALSE),0)</f>
        <v>3</v>
      </c>
      <c r="P1622" s="159">
        <f t="shared" si="273"/>
        <v>2014</v>
      </c>
      <c r="Q1622" s="159">
        <f t="shared" si="274"/>
        <v>2</v>
      </c>
      <c r="R1622" s="160">
        <f t="shared" si="275"/>
        <v>20.850000000034925</v>
      </c>
      <c r="S1622" s="158">
        <f t="shared" si="276"/>
        <v>1.4215909090932903</v>
      </c>
      <c r="T1622" s="161">
        <f t="shared" si="277"/>
        <v>680.94204545568607</v>
      </c>
      <c r="U1622" s="158">
        <f t="shared" si="278"/>
        <v>32.659090909090907</v>
      </c>
      <c r="V1622" s="160">
        <f t="shared" si="279"/>
        <v>33</v>
      </c>
    </row>
    <row r="1623" spans="1:22" x14ac:dyDescent="0.25">
      <c r="A1623" s="98" t="s">
        <v>30</v>
      </c>
      <c r="B1623" s="98" t="s">
        <v>17</v>
      </c>
      <c r="C1623" s="98">
        <v>20</v>
      </c>
      <c r="D1623" s="98">
        <v>1400</v>
      </c>
      <c r="E1623" s="157">
        <v>41688.43472222222</v>
      </c>
      <c r="F1623" s="157">
        <v>41695.166666666664</v>
      </c>
      <c r="G1623" s="98">
        <v>504</v>
      </c>
      <c r="H1623" s="98">
        <v>528</v>
      </c>
      <c r="I1623" s="98">
        <v>479</v>
      </c>
      <c r="J1623" s="98" t="s">
        <v>2043</v>
      </c>
      <c r="K1623" s="98" t="s">
        <v>1258</v>
      </c>
      <c r="L1623" s="105" t="str">
        <f t="shared" si="270"/>
        <v>Ghent</v>
      </c>
      <c r="M1623" s="105" t="str">
        <f t="shared" si="271"/>
        <v>Derate</v>
      </c>
      <c r="N1623" s="105" t="str">
        <f t="shared" si="272"/>
        <v>Coal</v>
      </c>
      <c r="O1623" s="105">
        <f>IFERROR(VLOOKUP(A1623,Lookup!$J$5:$P$19,7,FALSE),0)</f>
        <v>3</v>
      </c>
      <c r="P1623" s="159">
        <f t="shared" si="273"/>
        <v>2014</v>
      </c>
      <c r="Q1623" s="159">
        <f t="shared" si="274"/>
        <v>2</v>
      </c>
      <c r="R1623" s="160">
        <f t="shared" si="275"/>
        <v>161.56666666665114</v>
      </c>
      <c r="S1623" s="158">
        <f t="shared" si="276"/>
        <v>7.3439393939386886</v>
      </c>
      <c r="T1623" s="161">
        <f t="shared" si="277"/>
        <v>3517.7469696966318</v>
      </c>
      <c r="U1623" s="158">
        <f t="shared" si="278"/>
        <v>21.772727272727273</v>
      </c>
      <c r="V1623" s="160">
        <f t="shared" si="279"/>
        <v>22</v>
      </c>
    </row>
    <row r="1624" spans="1:22" x14ac:dyDescent="0.25">
      <c r="A1624" s="98" t="s">
        <v>30</v>
      </c>
      <c r="B1624" s="98" t="s">
        <v>17</v>
      </c>
      <c r="C1624" s="98">
        <v>21</v>
      </c>
      <c r="D1624" s="98">
        <v>9650</v>
      </c>
      <c r="E1624" s="157">
        <v>41690.520833333336</v>
      </c>
      <c r="F1624" s="157">
        <v>41690.545138888891</v>
      </c>
      <c r="G1624" s="98">
        <v>390</v>
      </c>
      <c r="H1624" s="98">
        <v>528</v>
      </c>
      <c r="I1624" s="98">
        <v>479</v>
      </c>
      <c r="J1624" s="98" t="s">
        <v>2035</v>
      </c>
      <c r="K1624" s="98" t="s">
        <v>1259</v>
      </c>
      <c r="L1624" s="105" t="str">
        <f t="shared" si="270"/>
        <v>Ghent</v>
      </c>
      <c r="M1624" s="105" t="str">
        <f t="shared" si="271"/>
        <v>Derate</v>
      </c>
      <c r="N1624" s="105" t="str">
        <f t="shared" si="272"/>
        <v>Coal</v>
      </c>
      <c r="O1624" s="105">
        <f>IFERROR(VLOOKUP(A1624,Lookup!$J$5:$P$19,7,FALSE),0)</f>
        <v>3</v>
      </c>
      <c r="P1624" s="159">
        <f t="shared" si="273"/>
        <v>2014</v>
      </c>
      <c r="Q1624" s="159">
        <f t="shared" si="274"/>
        <v>2</v>
      </c>
      <c r="R1624" s="160">
        <f t="shared" si="275"/>
        <v>0.58333333331393078</v>
      </c>
      <c r="S1624" s="158">
        <f t="shared" si="276"/>
        <v>0.15246212120705008</v>
      </c>
      <c r="T1624" s="161">
        <f t="shared" si="277"/>
        <v>73.029356058176987</v>
      </c>
      <c r="U1624" s="158">
        <f t="shared" si="278"/>
        <v>125.19318181818181</v>
      </c>
      <c r="V1624" s="160">
        <f t="shared" si="279"/>
        <v>125</v>
      </c>
    </row>
    <row r="1625" spans="1:22" x14ac:dyDescent="0.25">
      <c r="A1625" s="98" t="s">
        <v>30</v>
      </c>
      <c r="B1625" s="98" t="s">
        <v>17</v>
      </c>
      <c r="C1625" s="98">
        <v>22</v>
      </c>
      <c r="D1625" s="98">
        <v>250</v>
      </c>
      <c r="E1625" s="157">
        <v>41690.576388888891</v>
      </c>
      <c r="F1625" s="157">
        <v>41690.684027777781</v>
      </c>
      <c r="G1625" s="98">
        <v>400</v>
      </c>
      <c r="H1625" s="98">
        <v>528</v>
      </c>
      <c r="I1625" s="98">
        <v>479</v>
      </c>
      <c r="J1625" s="98" t="s">
        <v>1978</v>
      </c>
      <c r="K1625" s="98" t="s">
        <v>1260</v>
      </c>
      <c r="L1625" s="105" t="str">
        <f t="shared" si="270"/>
        <v>Ghent</v>
      </c>
      <c r="M1625" s="105" t="str">
        <f t="shared" si="271"/>
        <v>Derate</v>
      </c>
      <c r="N1625" s="105" t="str">
        <f t="shared" si="272"/>
        <v>Coal</v>
      </c>
      <c r="O1625" s="105">
        <f>IFERROR(VLOOKUP(A1625,Lookup!$J$5:$P$19,7,FALSE),0)</f>
        <v>3</v>
      </c>
      <c r="P1625" s="159">
        <f t="shared" si="273"/>
        <v>2014</v>
      </c>
      <c r="Q1625" s="159">
        <f t="shared" si="274"/>
        <v>2</v>
      </c>
      <c r="R1625" s="160">
        <f t="shared" si="275"/>
        <v>2.5833333333721384</v>
      </c>
      <c r="S1625" s="158">
        <f t="shared" si="276"/>
        <v>0.62626262627203355</v>
      </c>
      <c r="T1625" s="161">
        <f t="shared" si="277"/>
        <v>299.97979798430407</v>
      </c>
      <c r="U1625" s="158">
        <f t="shared" si="278"/>
        <v>116.12121212121212</v>
      </c>
      <c r="V1625" s="160">
        <f t="shared" si="279"/>
        <v>116</v>
      </c>
    </row>
    <row r="1626" spans="1:22" x14ac:dyDescent="0.25">
      <c r="A1626" s="98" t="s">
        <v>30</v>
      </c>
      <c r="B1626" s="98" t="s">
        <v>32</v>
      </c>
      <c r="C1626" s="98">
        <v>23</v>
      </c>
      <c r="D1626" s="98">
        <v>9650</v>
      </c>
      <c r="E1626" s="157">
        <v>41698.9375</v>
      </c>
      <c r="F1626" s="157">
        <v>41699.130555555559</v>
      </c>
      <c r="G1626" s="98">
        <v>230</v>
      </c>
      <c r="H1626" s="98">
        <v>528</v>
      </c>
      <c r="I1626" s="98">
        <v>479</v>
      </c>
      <c r="J1626" s="98" t="s">
        <v>2035</v>
      </c>
      <c r="K1626" s="98" t="s">
        <v>1261</v>
      </c>
      <c r="L1626" s="105" t="str">
        <f t="shared" si="270"/>
        <v>Ghent</v>
      </c>
      <c r="M1626" s="105" t="str">
        <f t="shared" si="271"/>
        <v>Derate</v>
      </c>
      <c r="N1626" s="105" t="str">
        <f t="shared" si="272"/>
        <v>Coal</v>
      </c>
      <c r="O1626" s="105">
        <f>IFERROR(VLOOKUP(A1626,Lookup!$J$5:$P$19,7,FALSE),0)</f>
        <v>3</v>
      </c>
      <c r="P1626" s="159">
        <f t="shared" si="273"/>
        <v>2014</v>
      </c>
      <c r="Q1626" s="159">
        <f t="shared" si="274"/>
        <v>2</v>
      </c>
      <c r="R1626" s="160">
        <f t="shared" si="275"/>
        <v>4.6333333334187046</v>
      </c>
      <c r="S1626" s="158">
        <f t="shared" si="276"/>
        <v>2.6150252525734357</v>
      </c>
      <c r="T1626" s="161">
        <f t="shared" si="277"/>
        <v>1252.5970959826757</v>
      </c>
      <c r="U1626" s="158">
        <f t="shared" si="278"/>
        <v>270.344696969697</v>
      </c>
      <c r="V1626" s="160">
        <f t="shared" si="279"/>
        <v>270</v>
      </c>
    </row>
    <row r="1627" spans="1:22" x14ac:dyDescent="0.25">
      <c r="A1627" s="98" t="s">
        <v>30</v>
      </c>
      <c r="B1627" s="98" t="s">
        <v>17</v>
      </c>
      <c r="C1627" s="98">
        <v>24</v>
      </c>
      <c r="D1627" s="98">
        <v>9650</v>
      </c>
      <c r="E1627" s="157">
        <v>41700.760416666664</v>
      </c>
      <c r="F1627" s="157">
        <v>41700.875</v>
      </c>
      <c r="G1627" s="98">
        <v>350</v>
      </c>
      <c r="H1627" s="98">
        <v>528</v>
      </c>
      <c r="I1627" s="98">
        <v>479</v>
      </c>
      <c r="J1627" s="98" t="s">
        <v>2035</v>
      </c>
      <c r="K1627" s="98" t="s">
        <v>1262</v>
      </c>
      <c r="L1627" s="105" t="str">
        <f t="shared" si="270"/>
        <v>Ghent</v>
      </c>
      <c r="M1627" s="105" t="str">
        <f t="shared" si="271"/>
        <v>Derate</v>
      </c>
      <c r="N1627" s="105" t="str">
        <f t="shared" si="272"/>
        <v>Coal</v>
      </c>
      <c r="O1627" s="105">
        <f>IFERROR(VLOOKUP(A1627,Lookup!$J$5:$P$19,7,FALSE),0)</f>
        <v>3</v>
      </c>
      <c r="P1627" s="159">
        <f t="shared" si="273"/>
        <v>2014</v>
      </c>
      <c r="Q1627" s="159">
        <f t="shared" si="274"/>
        <v>3</v>
      </c>
      <c r="R1627" s="160">
        <f t="shared" si="275"/>
        <v>2.7500000000582077</v>
      </c>
      <c r="S1627" s="158">
        <f t="shared" si="276"/>
        <v>0.92708333335295634</v>
      </c>
      <c r="T1627" s="161">
        <f t="shared" si="277"/>
        <v>444.07291667606609</v>
      </c>
      <c r="U1627" s="158">
        <f t="shared" si="278"/>
        <v>161.48106060606059</v>
      </c>
      <c r="V1627" s="160">
        <f t="shared" si="279"/>
        <v>161</v>
      </c>
    </row>
    <row r="1628" spans="1:22" x14ac:dyDescent="0.25">
      <c r="A1628" s="98" t="s">
        <v>30</v>
      </c>
      <c r="B1628" s="98" t="s">
        <v>17</v>
      </c>
      <c r="C1628" s="98">
        <v>25</v>
      </c>
      <c r="D1628" s="98">
        <v>9650</v>
      </c>
      <c r="E1628" s="157">
        <v>41703.297222222223</v>
      </c>
      <c r="F1628" s="157">
        <v>41703.335416666669</v>
      </c>
      <c r="G1628" s="98">
        <v>380</v>
      </c>
      <c r="H1628" s="98">
        <v>528</v>
      </c>
      <c r="I1628" s="98">
        <v>479</v>
      </c>
      <c r="J1628" s="98" t="s">
        <v>2035</v>
      </c>
      <c r="K1628" s="98" t="s">
        <v>1263</v>
      </c>
      <c r="L1628" s="105" t="str">
        <f t="shared" si="270"/>
        <v>Ghent</v>
      </c>
      <c r="M1628" s="105" t="str">
        <f t="shared" si="271"/>
        <v>Derate</v>
      </c>
      <c r="N1628" s="105" t="str">
        <f t="shared" si="272"/>
        <v>Coal</v>
      </c>
      <c r="O1628" s="105">
        <f>IFERROR(VLOOKUP(A1628,Lookup!$J$5:$P$19,7,FALSE),0)</f>
        <v>3</v>
      </c>
      <c r="P1628" s="159">
        <f t="shared" si="273"/>
        <v>2014</v>
      </c>
      <c r="Q1628" s="159">
        <f t="shared" si="274"/>
        <v>3</v>
      </c>
      <c r="R1628" s="160">
        <f t="shared" si="275"/>
        <v>0.91666666668606922</v>
      </c>
      <c r="S1628" s="158">
        <f t="shared" si="276"/>
        <v>0.25694444444988301</v>
      </c>
      <c r="T1628" s="161">
        <f t="shared" si="277"/>
        <v>123.07638889149396</v>
      </c>
      <c r="U1628" s="158">
        <f t="shared" si="278"/>
        <v>134.2651515151515</v>
      </c>
      <c r="V1628" s="160">
        <f t="shared" si="279"/>
        <v>134</v>
      </c>
    </row>
    <row r="1629" spans="1:22" x14ac:dyDescent="0.25">
      <c r="A1629" s="98" t="s">
        <v>30</v>
      </c>
      <c r="B1629" s="98" t="s">
        <v>17</v>
      </c>
      <c r="C1629" s="98">
        <v>26</v>
      </c>
      <c r="D1629" s="98">
        <v>9650</v>
      </c>
      <c r="E1629" s="157">
        <v>41703.727777777778</v>
      </c>
      <c r="F1629" s="157">
        <v>41704.0625</v>
      </c>
      <c r="G1629" s="98">
        <v>450</v>
      </c>
      <c r="H1629" s="98">
        <v>528</v>
      </c>
      <c r="I1629" s="98">
        <v>479</v>
      </c>
      <c r="J1629" s="98" t="s">
        <v>2035</v>
      </c>
      <c r="K1629" s="98" t="s">
        <v>1264</v>
      </c>
      <c r="L1629" s="105" t="str">
        <f t="shared" si="270"/>
        <v>Ghent</v>
      </c>
      <c r="M1629" s="105" t="str">
        <f t="shared" si="271"/>
        <v>Derate</v>
      </c>
      <c r="N1629" s="105" t="str">
        <f t="shared" si="272"/>
        <v>Coal</v>
      </c>
      <c r="O1629" s="105">
        <f>IFERROR(VLOOKUP(A1629,Lookup!$J$5:$P$19,7,FALSE),0)</f>
        <v>3</v>
      </c>
      <c r="P1629" s="159">
        <f t="shared" si="273"/>
        <v>2014</v>
      </c>
      <c r="Q1629" s="159">
        <f t="shared" si="274"/>
        <v>3</v>
      </c>
      <c r="R1629" s="160">
        <f t="shared" si="275"/>
        <v>8.0333333333255723</v>
      </c>
      <c r="S1629" s="158">
        <f t="shared" si="276"/>
        <v>1.1867424242412776</v>
      </c>
      <c r="T1629" s="161">
        <f t="shared" si="277"/>
        <v>568.44962121157198</v>
      </c>
      <c r="U1629" s="158">
        <f t="shared" si="278"/>
        <v>70.76136363636364</v>
      </c>
      <c r="V1629" s="160">
        <f t="shared" si="279"/>
        <v>71</v>
      </c>
    </row>
    <row r="1630" spans="1:22" x14ac:dyDescent="0.25">
      <c r="A1630" s="98" t="s">
        <v>30</v>
      </c>
      <c r="B1630" s="98" t="s">
        <v>17</v>
      </c>
      <c r="C1630" s="98">
        <v>27</v>
      </c>
      <c r="D1630" s="98">
        <v>9650</v>
      </c>
      <c r="E1630" s="157">
        <v>41705.180555555555</v>
      </c>
      <c r="F1630" s="157">
        <v>41705.253472222219</v>
      </c>
      <c r="G1630" s="98">
        <v>400</v>
      </c>
      <c r="H1630" s="98">
        <v>528</v>
      </c>
      <c r="I1630" s="98">
        <v>479</v>
      </c>
      <c r="J1630" s="98" t="s">
        <v>2035</v>
      </c>
      <c r="K1630" s="98" t="s">
        <v>1265</v>
      </c>
      <c r="L1630" s="105" t="str">
        <f t="shared" si="270"/>
        <v>Ghent</v>
      </c>
      <c r="M1630" s="105" t="str">
        <f t="shared" si="271"/>
        <v>Derate</v>
      </c>
      <c r="N1630" s="105" t="str">
        <f t="shared" si="272"/>
        <v>Coal</v>
      </c>
      <c r="O1630" s="105">
        <f>IFERROR(VLOOKUP(A1630,Lookup!$J$5:$P$19,7,FALSE),0)</f>
        <v>3</v>
      </c>
      <c r="P1630" s="159">
        <f t="shared" si="273"/>
        <v>2014</v>
      </c>
      <c r="Q1630" s="159">
        <f t="shared" si="274"/>
        <v>3</v>
      </c>
      <c r="R1630" s="160">
        <f t="shared" si="275"/>
        <v>1.7499999999417923</v>
      </c>
      <c r="S1630" s="158">
        <f t="shared" si="276"/>
        <v>0.42424242422831332</v>
      </c>
      <c r="T1630" s="161">
        <f t="shared" si="277"/>
        <v>203.21212120536208</v>
      </c>
      <c r="U1630" s="158">
        <f t="shared" si="278"/>
        <v>116.12121212121212</v>
      </c>
      <c r="V1630" s="160">
        <f t="shared" si="279"/>
        <v>116</v>
      </c>
    </row>
    <row r="1631" spans="1:22" x14ac:dyDescent="0.25">
      <c r="A1631" s="98" t="s">
        <v>30</v>
      </c>
      <c r="B1631" s="98" t="s">
        <v>17</v>
      </c>
      <c r="C1631" s="98">
        <v>28</v>
      </c>
      <c r="D1631" s="98">
        <v>9650</v>
      </c>
      <c r="E1631" s="157">
        <v>41705.3125</v>
      </c>
      <c r="F1631" s="157">
        <v>41705.333333333336</v>
      </c>
      <c r="G1631" s="98">
        <v>500</v>
      </c>
      <c r="H1631" s="98">
        <v>528</v>
      </c>
      <c r="I1631" s="98">
        <v>479</v>
      </c>
      <c r="J1631" s="98" t="s">
        <v>2035</v>
      </c>
      <c r="K1631" s="98" t="s">
        <v>1266</v>
      </c>
      <c r="L1631" s="105" t="str">
        <f t="shared" si="270"/>
        <v>Ghent</v>
      </c>
      <c r="M1631" s="105" t="str">
        <f t="shared" si="271"/>
        <v>Derate</v>
      </c>
      <c r="N1631" s="105" t="str">
        <f t="shared" si="272"/>
        <v>Coal</v>
      </c>
      <c r="O1631" s="105">
        <f>IFERROR(VLOOKUP(A1631,Lookup!$J$5:$P$19,7,FALSE),0)</f>
        <v>3</v>
      </c>
      <c r="P1631" s="159">
        <f t="shared" si="273"/>
        <v>2014</v>
      </c>
      <c r="Q1631" s="159">
        <f t="shared" si="274"/>
        <v>3</v>
      </c>
      <c r="R1631" s="160">
        <f t="shared" si="275"/>
        <v>0.50000000005820766</v>
      </c>
      <c r="S1631" s="158">
        <f t="shared" si="276"/>
        <v>2.6515151518238286E-2</v>
      </c>
      <c r="T1631" s="161">
        <f t="shared" si="277"/>
        <v>12.700757577236139</v>
      </c>
      <c r="U1631" s="158">
        <f t="shared" si="278"/>
        <v>25.401515151515152</v>
      </c>
      <c r="V1631" s="160">
        <f t="shared" si="279"/>
        <v>25</v>
      </c>
    </row>
    <row r="1632" spans="1:22" x14ac:dyDescent="0.25">
      <c r="A1632" s="98" t="s">
        <v>30</v>
      </c>
      <c r="B1632" s="98" t="s">
        <v>17</v>
      </c>
      <c r="C1632" s="98">
        <v>29</v>
      </c>
      <c r="D1632" s="98">
        <v>1400</v>
      </c>
      <c r="E1632" s="157">
        <v>41705.811805555553</v>
      </c>
      <c r="F1632" s="157">
        <v>41705.965277777781</v>
      </c>
      <c r="G1632" s="98">
        <v>517</v>
      </c>
      <c r="H1632" s="98">
        <v>528</v>
      </c>
      <c r="I1632" s="98">
        <v>479</v>
      </c>
      <c r="J1632" s="98" t="s">
        <v>2043</v>
      </c>
      <c r="K1632" s="98" t="s">
        <v>1267</v>
      </c>
      <c r="L1632" s="105" t="str">
        <f t="shared" si="270"/>
        <v>Ghent</v>
      </c>
      <c r="M1632" s="105" t="str">
        <f t="shared" si="271"/>
        <v>Derate</v>
      </c>
      <c r="N1632" s="105" t="str">
        <f t="shared" si="272"/>
        <v>Coal</v>
      </c>
      <c r="O1632" s="105">
        <f>IFERROR(VLOOKUP(A1632,Lookup!$J$5:$P$19,7,FALSE),0)</f>
        <v>3</v>
      </c>
      <c r="P1632" s="159">
        <f t="shared" si="273"/>
        <v>2014</v>
      </c>
      <c r="Q1632" s="159">
        <f t="shared" si="274"/>
        <v>3</v>
      </c>
      <c r="R1632" s="160">
        <f t="shared" si="275"/>
        <v>3.6833333334652707</v>
      </c>
      <c r="S1632" s="158">
        <f t="shared" si="276"/>
        <v>7.6736111113859806E-2</v>
      </c>
      <c r="T1632" s="161">
        <f t="shared" si="277"/>
        <v>36.756597223538847</v>
      </c>
      <c r="U1632" s="158">
        <f t="shared" si="278"/>
        <v>9.9791666666666661</v>
      </c>
      <c r="V1632" s="160">
        <f t="shared" si="279"/>
        <v>10</v>
      </c>
    </row>
    <row r="1633" spans="1:22" x14ac:dyDescent="0.25">
      <c r="A1633" s="98" t="s">
        <v>30</v>
      </c>
      <c r="B1633" s="98" t="s">
        <v>17</v>
      </c>
      <c r="C1633" s="98">
        <v>30</v>
      </c>
      <c r="D1633" s="98">
        <v>1400</v>
      </c>
      <c r="E1633" s="157">
        <v>41706.815972222219</v>
      </c>
      <c r="F1633" s="157">
        <v>41707.227777777778</v>
      </c>
      <c r="G1633" s="98">
        <v>518</v>
      </c>
      <c r="H1633" s="98">
        <v>528</v>
      </c>
      <c r="I1633" s="98">
        <v>479</v>
      </c>
      <c r="J1633" s="98" t="s">
        <v>2043</v>
      </c>
      <c r="K1633" s="98" t="s">
        <v>1268</v>
      </c>
      <c r="L1633" s="105" t="str">
        <f t="shared" si="270"/>
        <v>Ghent</v>
      </c>
      <c r="M1633" s="105" t="str">
        <f t="shared" si="271"/>
        <v>Derate</v>
      </c>
      <c r="N1633" s="105" t="str">
        <f t="shared" si="272"/>
        <v>Coal</v>
      </c>
      <c r="O1633" s="105">
        <f>IFERROR(VLOOKUP(A1633,Lookup!$J$5:$P$19,7,FALSE),0)</f>
        <v>3</v>
      </c>
      <c r="P1633" s="159">
        <f t="shared" si="273"/>
        <v>2014</v>
      </c>
      <c r="Q1633" s="159">
        <f t="shared" si="274"/>
        <v>3</v>
      </c>
      <c r="R1633" s="160">
        <f t="shared" si="275"/>
        <v>9.8833333334187046</v>
      </c>
      <c r="S1633" s="158">
        <f t="shared" si="276"/>
        <v>0.18718434343596033</v>
      </c>
      <c r="T1633" s="161">
        <f t="shared" si="277"/>
        <v>89.661300505824997</v>
      </c>
      <c r="U1633" s="158">
        <f t="shared" si="278"/>
        <v>9.0719696969696972</v>
      </c>
      <c r="V1633" s="160">
        <f t="shared" si="279"/>
        <v>9</v>
      </c>
    </row>
    <row r="1634" spans="1:22" x14ac:dyDescent="0.25">
      <c r="A1634" s="98" t="s">
        <v>30</v>
      </c>
      <c r="B1634" s="98" t="s">
        <v>17</v>
      </c>
      <c r="C1634" s="98">
        <v>31</v>
      </c>
      <c r="D1634" s="98">
        <v>280</v>
      </c>
      <c r="E1634" s="157">
        <v>41711.944444444445</v>
      </c>
      <c r="F1634" s="157">
        <v>41711.989583333336</v>
      </c>
      <c r="G1634" s="98">
        <v>430</v>
      </c>
      <c r="H1634" s="98">
        <v>528</v>
      </c>
      <c r="I1634" s="98">
        <v>479</v>
      </c>
      <c r="J1634" s="98" t="s">
        <v>1988</v>
      </c>
      <c r="K1634" s="98" t="s">
        <v>1269</v>
      </c>
      <c r="L1634" s="105" t="str">
        <f t="shared" si="270"/>
        <v>Ghent</v>
      </c>
      <c r="M1634" s="105" t="str">
        <f t="shared" si="271"/>
        <v>Derate</v>
      </c>
      <c r="N1634" s="105" t="str">
        <f t="shared" si="272"/>
        <v>Coal</v>
      </c>
      <c r="O1634" s="105">
        <f>IFERROR(VLOOKUP(A1634,Lookup!$J$5:$P$19,7,FALSE),0)</f>
        <v>3</v>
      </c>
      <c r="P1634" s="159">
        <f t="shared" si="273"/>
        <v>2014</v>
      </c>
      <c r="Q1634" s="159">
        <f t="shared" si="274"/>
        <v>3</v>
      </c>
      <c r="R1634" s="160">
        <f t="shared" si="275"/>
        <v>1.0833333333721384</v>
      </c>
      <c r="S1634" s="158">
        <f t="shared" si="276"/>
        <v>0.20107323233043478</v>
      </c>
      <c r="T1634" s="161">
        <f t="shared" si="277"/>
        <v>96.31407828627826</v>
      </c>
      <c r="U1634" s="158">
        <f t="shared" si="278"/>
        <v>88.905303030303031</v>
      </c>
      <c r="V1634" s="160">
        <f t="shared" si="279"/>
        <v>89</v>
      </c>
    </row>
    <row r="1635" spans="1:22" x14ac:dyDescent="0.25">
      <c r="A1635" s="98" t="s">
        <v>30</v>
      </c>
      <c r="B1635" s="98" t="s">
        <v>17</v>
      </c>
      <c r="C1635" s="98">
        <v>32</v>
      </c>
      <c r="D1635" s="98">
        <v>9650</v>
      </c>
      <c r="E1635" s="157">
        <v>41712.15</v>
      </c>
      <c r="F1635" s="157">
        <v>41712.220833333333</v>
      </c>
      <c r="G1635" s="98">
        <v>515</v>
      </c>
      <c r="H1635" s="98">
        <v>528</v>
      </c>
      <c r="I1635" s="98">
        <v>479</v>
      </c>
      <c r="J1635" s="98" t="s">
        <v>2035</v>
      </c>
      <c r="K1635" s="98" t="s">
        <v>1270</v>
      </c>
      <c r="L1635" s="105" t="str">
        <f t="shared" si="270"/>
        <v>Ghent</v>
      </c>
      <c r="M1635" s="105" t="str">
        <f t="shared" si="271"/>
        <v>Derate</v>
      </c>
      <c r="N1635" s="105" t="str">
        <f t="shared" si="272"/>
        <v>Coal</v>
      </c>
      <c r="O1635" s="105">
        <f>IFERROR(VLOOKUP(A1635,Lookup!$J$5:$P$19,7,FALSE),0)</f>
        <v>3</v>
      </c>
      <c r="P1635" s="159">
        <f t="shared" si="273"/>
        <v>2014</v>
      </c>
      <c r="Q1635" s="159">
        <f t="shared" si="274"/>
        <v>3</v>
      </c>
      <c r="R1635" s="160">
        <f t="shared" si="275"/>
        <v>1.6999999999534339</v>
      </c>
      <c r="S1635" s="158">
        <f t="shared" si="276"/>
        <v>4.1856060604914092E-2</v>
      </c>
      <c r="T1635" s="161">
        <f t="shared" si="277"/>
        <v>20.04905302975385</v>
      </c>
      <c r="U1635" s="158">
        <f t="shared" si="278"/>
        <v>11.793560606060606</v>
      </c>
      <c r="V1635" s="160">
        <f t="shared" si="279"/>
        <v>12</v>
      </c>
    </row>
    <row r="1636" spans="1:22" x14ac:dyDescent="0.25">
      <c r="A1636" s="98" t="s">
        <v>30</v>
      </c>
      <c r="B1636" s="98" t="s">
        <v>17</v>
      </c>
      <c r="C1636" s="98">
        <v>33</v>
      </c>
      <c r="D1636" s="98">
        <v>1400</v>
      </c>
      <c r="E1636" s="157">
        <v>41712.220833333333</v>
      </c>
      <c r="F1636" s="157">
        <v>41712.414583333331</v>
      </c>
      <c r="G1636" s="98">
        <v>525</v>
      </c>
      <c r="H1636" s="98">
        <v>528</v>
      </c>
      <c r="I1636" s="98">
        <v>479</v>
      </c>
      <c r="J1636" s="98" t="s">
        <v>2043</v>
      </c>
      <c r="K1636" s="98" t="s">
        <v>1271</v>
      </c>
      <c r="L1636" s="105" t="str">
        <f t="shared" si="270"/>
        <v>Ghent</v>
      </c>
      <c r="M1636" s="105" t="str">
        <f t="shared" si="271"/>
        <v>Derate</v>
      </c>
      <c r="N1636" s="105" t="str">
        <f t="shared" si="272"/>
        <v>Coal</v>
      </c>
      <c r="O1636" s="105">
        <f>IFERROR(VLOOKUP(A1636,Lookup!$J$5:$P$19,7,FALSE),0)</f>
        <v>3</v>
      </c>
      <c r="P1636" s="159">
        <f t="shared" si="273"/>
        <v>2014</v>
      </c>
      <c r="Q1636" s="159">
        <f t="shared" si="274"/>
        <v>3</v>
      </c>
      <c r="R1636" s="160">
        <f t="shared" si="275"/>
        <v>4.6499999999650754</v>
      </c>
      <c r="S1636" s="158">
        <f t="shared" si="276"/>
        <v>2.6420454545256111E-2</v>
      </c>
      <c r="T1636" s="161">
        <f t="shared" si="277"/>
        <v>12.655397727177677</v>
      </c>
      <c r="U1636" s="158">
        <f t="shared" si="278"/>
        <v>2.7215909090909092</v>
      </c>
      <c r="V1636" s="160">
        <f t="shared" si="279"/>
        <v>3</v>
      </c>
    </row>
    <row r="1637" spans="1:22" x14ac:dyDescent="0.25">
      <c r="A1637" s="98" t="s">
        <v>30</v>
      </c>
      <c r="B1637" s="98" t="s">
        <v>17</v>
      </c>
      <c r="C1637" s="98">
        <v>34</v>
      </c>
      <c r="D1637" s="98">
        <v>9650</v>
      </c>
      <c r="E1637" s="157">
        <v>41712.414583333331</v>
      </c>
      <c r="F1637" s="157">
        <v>41712.463888888888</v>
      </c>
      <c r="G1637" s="98">
        <v>490</v>
      </c>
      <c r="H1637" s="98">
        <v>528</v>
      </c>
      <c r="I1637" s="98">
        <v>479</v>
      </c>
      <c r="J1637" s="98" t="s">
        <v>2035</v>
      </c>
      <c r="K1637" s="98" t="s">
        <v>1272</v>
      </c>
      <c r="L1637" s="105" t="str">
        <f t="shared" si="270"/>
        <v>Ghent</v>
      </c>
      <c r="M1637" s="105" t="str">
        <f t="shared" si="271"/>
        <v>Derate</v>
      </c>
      <c r="N1637" s="105" t="str">
        <f t="shared" si="272"/>
        <v>Coal</v>
      </c>
      <c r="O1637" s="105">
        <f>IFERROR(VLOOKUP(A1637,Lookup!$J$5:$P$19,7,FALSE),0)</f>
        <v>3</v>
      </c>
      <c r="P1637" s="159">
        <f t="shared" si="273"/>
        <v>2014</v>
      </c>
      <c r="Q1637" s="159">
        <f t="shared" si="274"/>
        <v>3</v>
      </c>
      <c r="R1637" s="160">
        <f t="shared" si="275"/>
        <v>1.1833333333488554</v>
      </c>
      <c r="S1637" s="158">
        <f t="shared" si="276"/>
        <v>8.5164141415258535E-2</v>
      </c>
      <c r="T1637" s="161">
        <f t="shared" si="277"/>
        <v>40.793623737908838</v>
      </c>
      <c r="U1637" s="158">
        <f t="shared" si="278"/>
        <v>34.473484848484851</v>
      </c>
      <c r="V1637" s="160">
        <f t="shared" si="279"/>
        <v>34</v>
      </c>
    </row>
    <row r="1638" spans="1:22" x14ac:dyDescent="0.25">
      <c r="A1638" s="98" t="s">
        <v>30</v>
      </c>
      <c r="B1638" s="98" t="s">
        <v>17</v>
      </c>
      <c r="C1638" s="98">
        <v>35</v>
      </c>
      <c r="D1638" s="98">
        <v>1400</v>
      </c>
      <c r="E1638" s="157">
        <v>41712.463888888888</v>
      </c>
      <c r="F1638" s="157">
        <v>41712.518055555556</v>
      </c>
      <c r="G1638" s="98">
        <v>520</v>
      </c>
      <c r="H1638" s="98">
        <v>528</v>
      </c>
      <c r="I1638" s="98">
        <v>479</v>
      </c>
      <c r="J1638" s="98" t="s">
        <v>2043</v>
      </c>
      <c r="K1638" s="98" t="s">
        <v>1273</v>
      </c>
      <c r="L1638" s="105" t="str">
        <f t="shared" si="270"/>
        <v>Ghent</v>
      </c>
      <c r="M1638" s="105" t="str">
        <f t="shared" si="271"/>
        <v>Derate</v>
      </c>
      <c r="N1638" s="105" t="str">
        <f t="shared" si="272"/>
        <v>Coal</v>
      </c>
      <c r="O1638" s="105">
        <f>IFERROR(VLOOKUP(A1638,Lookup!$J$5:$P$19,7,FALSE),0)</f>
        <v>3</v>
      </c>
      <c r="P1638" s="159">
        <f t="shared" si="273"/>
        <v>2014</v>
      </c>
      <c r="Q1638" s="159">
        <f t="shared" si="274"/>
        <v>3</v>
      </c>
      <c r="R1638" s="160">
        <f t="shared" si="275"/>
        <v>1.3000000000465661</v>
      </c>
      <c r="S1638" s="158">
        <f t="shared" si="276"/>
        <v>1.9696969697675246E-2</v>
      </c>
      <c r="T1638" s="161">
        <f t="shared" si="277"/>
        <v>9.4348484851864427</v>
      </c>
      <c r="U1638" s="158">
        <f t="shared" si="278"/>
        <v>7.2575757575757578</v>
      </c>
      <c r="V1638" s="160">
        <f t="shared" si="279"/>
        <v>7</v>
      </c>
    </row>
    <row r="1639" spans="1:22" x14ac:dyDescent="0.25">
      <c r="A1639" s="98" t="s">
        <v>30</v>
      </c>
      <c r="B1639" s="98" t="s">
        <v>17</v>
      </c>
      <c r="C1639" s="98">
        <v>36</v>
      </c>
      <c r="D1639" s="98">
        <v>9650</v>
      </c>
      <c r="E1639" s="157">
        <v>41712.518055555556</v>
      </c>
      <c r="F1639" s="157">
        <v>41713.21875</v>
      </c>
      <c r="G1639" s="98">
        <v>454</v>
      </c>
      <c r="H1639" s="98">
        <v>528</v>
      </c>
      <c r="I1639" s="98">
        <v>479</v>
      </c>
      <c r="J1639" s="98" t="s">
        <v>2035</v>
      </c>
      <c r="K1639" s="98" t="s">
        <v>1274</v>
      </c>
      <c r="L1639" s="105" t="str">
        <f t="shared" ref="L1639:L1702" si="280">IF(OR(A1639="BR1",A1639="BR2",A1639="BR3",A1639="BR5",A1639="BR6",A1639="BR7",A1639="BR8",A1639="BR9",A1639="BR10",A1639="BR11"),"Brown",IF(OR(A1639="CR4",A1639="CR5",A1639="CR6",A1639="CR11"),"Cane Run",IF(OR(A1639="GH1",A1639="GH2",A1639="GH3",A1639="GH4"),"Ghent",IF(OR(A1639="GR3",A1639="GR4"),"Green River",IF(OR(A1639="MC1",A1639="MC2",A1639="MC3",A1639="MC4"),"Mill Creek",IF(OR(A1639="TC1",A1639="TC2",A1639="TC5",A1639="TC6",A1639="TC7",A1639="TC8",A1639="TC9",A1639="TC10"),"Trimble",IF(A1639="TY3","Tyrone",IF(OR(A1639="HA1",A1639="HA2",A1639="HA3"),"Haeflin",IF(OR(A1639="PR11",A1639="PR12",A1639="PR13"),"Paddy's Run","Zorn")))))))))</f>
        <v>Ghent</v>
      </c>
      <c r="M1639" s="105" t="str">
        <f t="shared" ref="M1639:M1702" si="281">IF(OR(B1639="D1",B1639="D2",B1639="D3",B1639="D4",B1639="PD"),"Derate",IF(OR(B1639="SF",B1639="U1",B1639="U2",B1639="U3"),"Outage",IF(OR(B1639="ME",B1639="MO"),"Maintenance","Other")))</f>
        <v>Derate</v>
      </c>
      <c r="N1639" s="105" t="str">
        <f t="shared" ref="N1639:N1702" si="282">IF(OR(A1639="BR1",A1639="BR2",A1639="BR3",A1639="CR4",A1639="CR5",A1639="CR6",A1639="GH1",A1639="GH2",A1639="GH3",A1639="GH4",A1639="GR3",A1639="GR4",A1639="MC1",A1639="MC2",A1639="MC3",A1639="MC4",A1639="TC1",A1639="TC2",A1639="TY3"),"Coal","Gas")</f>
        <v>Coal</v>
      </c>
      <c r="O1639" s="105">
        <f>IFERROR(VLOOKUP(A1639,Lookup!$J$5:$P$19,7,FALSE),0)</f>
        <v>3</v>
      </c>
      <c r="P1639" s="159">
        <f t="shared" ref="P1639:P1702" si="283">YEAR(E1639)</f>
        <v>2014</v>
      </c>
      <c r="Q1639" s="159">
        <f t="shared" ref="Q1639:Q1702" si="284">MONTH(E1639)</f>
        <v>3</v>
      </c>
      <c r="R1639" s="160">
        <f t="shared" ref="R1639:R1702" si="285">(F1639-E1639)*24</f>
        <v>16.816666666651145</v>
      </c>
      <c r="S1639" s="158">
        <f t="shared" ref="S1639:S1702" si="286">R1639*(H1639-G1639)/H1639</f>
        <v>2.3568813131291377</v>
      </c>
      <c r="T1639" s="161">
        <f t="shared" ref="T1639:T1702" si="287">S1639*I1639</f>
        <v>1128.946148988857</v>
      </c>
      <c r="U1639" s="158">
        <f t="shared" ref="U1639:U1702" si="288">IF(G1639&gt;0,MAX((H1639-G1639),0)*I1639/H1639,I1639)</f>
        <v>67.132575757575751</v>
      </c>
      <c r="V1639" s="160">
        <f t="shared" ref="V1639:V1702" si="289">ROUND(U1639,0)</f>
        <v>67</v>
      </c>
    </row>
    <row r="1640" spans="1:22" x14ac:dyDescent="0.25">
      <c r="A1640" s="98" t="s">
        <v>30</v>
      </c>
      <c r="B1640" s="98" t="s">
        <v>17</v>
      </c>
      <c r="C1640" s="98">
        <v>37</v>
      </c>
      <c r="D1640" s="98">
        <v>9650</v>
      </c>
      <c r="E1640" s="157">
        <v>41713.26666666667</v>
      </c>
      <c r="F1640" s="157">
        <v>41713.45416666667</v>
      </c>
      <c r="G1640" s="98">
        <v>490</v>
      </c>
      <c r="H1640" s="98">
        <v>528</v>
      </c>
      <c r="I1640" s="98">
        <v>479</v>
      </c>
      <c r="J1640" s="98" t="s">
        <v>2035</v>
      </c>
      <c r="K1640" s="98" t="s">
        <v>1275</v>
      </c>
      <c r="L1640" s="105" t="str">
        <f t="shared" si="280"/>
        <v>Ghent</v>
      </c>
      <c r="M1640" s="105" t="str">
        <f t="shared" si="281"/>
        <v>Derate</v>
      </c>
      <c r="N1640" s="105" t="str">
        <f t="shared" si="282"/>
        <v>Coal</v>
      </c>
      <c r="O1640" s="105">
        <f>IFERROR(VLOOKUP(A1640,Lookup!$J$5:$P$19,7,FALSE),0)</f>
        <v>3</v>
      </c>
      <c r="P1640" s="159">
        <f t="shared" si="283"/>
        <v>2014</v>
      </c>
      <c r="Q1640" s="159">
        <f t="shared" si="284"/>
        <v>3</v>
      </c>
      <c r="R1640" s="160">
        <f t="shared" si="285"/>
        <v>4.5</v>
      </c>
      <c r="S1640" s="158">
        <f t="shared" si="286"/>
        <v>0.32386363636363635</v>
      </c>
      <c r="T1640" s="161">
        <f t="shared" si="287"/>
        <v>155.13068181818181</v>
      </c>
      <c r="U1640" s="158">
        <f t="shared" si="288"/>
        <v>34.473484848484851</v>
      </c>
      <c r="V1640" s="160">
        <f t="shared" si="289"/>
        <v>34</v>
      </c>
    </row>
    <row r="1641" spans="1:22" x14ac:dyDescent="0.25">
      <c r="A1641" s="98" t="s">
        <v>30</v>
      </c>
      <c r="B1641" s="98" t="s">
        <v>17</v>
      </c>
      <c r="C1641" s="98">
        <v>38</v>
      </c>
      <c r="D1641" s="98">
        <v>9650</v>
      </c>
      <c r="E1641" s="157">
        <v>41715.395833333336</v>
      </c>
      <c r="F1641" s="157">
        <v>41715.460416666669</v>
      </c>
      <c r="G1641" s="98">
        <v>400</v>
      </c>
      <c r="H1641" s="98">
        <v>528</v>
      </c>
      <c r="I1641" s="98">
        <v>479</v>
      </c>
      <c r="J1641" s="98" t="s">
        <v>2035</v>
      </c>
      <c r="K1641" s="98" t="s">
        <v>1276</v>
      </c>
      <c r="L1641" s="105" t="str">
        <f t="shared" si="280"/>
        <v>Ghent</v>
      </c>
      <c r="M1641" s="105" t="str">
        <f t="shared" si="281"/>
        <v>Derate</v>
      </c>
      <c r="N1641" s="105" t="str">
        <f t="shared" si="282"/>
        <v>Coal</v>
      </c>
      <c r="O1641" s="105">
        <f>IFERROR(VLOOKUP(A1641,Lookup!$J$5:$P$19,7,FALSE),0)</f>
        <v>3</v>
      </c>
      <c r="P1641" s="159">
        <f t="shared" si="283"/>
        <v>2014</v>
      </c>
      <c r="Q1641" s="159">
        <f t="shared" si="284"/>
        <v>3</v>
      </c>
      <c r="R1641" s="160">
        <f t="shared" si="285"/>
        <v>1.5499999999883585</v>
      </c>
      <c r="S1641" s="158">
        <f t="shared" si="286"/>
        <v>0.37575757575475355</v>
      </c>
      <c r="T1641" s="161">
        <f t="shared" si="287"/>
        <v>179.98787878652695</v>
      </c>
      <c r="U1641" s="158">
        <f t="shared" si="288"/>
        <v>116.12121212121212</v>
      </c>
      <c r="V1641" s="160">
        <f t="shared" si="289"/>
        <v>116</v>
      </c>
    </row>
    <row r="1642" spans="1:22" x14ac:dyDescent="0.25">
      <c r="A1642" s="98" t="s">
        <v>30</v>
      </c>
      <c r="B1642" s="98" t="s">
        <v>17</v>
      </c>
      <c r="C1642" s="98">
        <v>39</v>
      </c>
      <c r="D1642" s="98">
        <v>1400</v>
      </c>
      <c r="E1642" s="157">
        <v>41717.25</v>
      </c>
      <c r="F1642" s="157">
        <v>41718.291666666664</v>
      </c>
      <c r="G1642" s="98">
        <v>510</v>
      </c>
      <c r="H1642" s="98">
        <v>528</v>
      </c>
      <c r="I1642" s="98">
        <v>479</v>
      </c>
      <c r="J1642" s="98" t="s">
        <v>2043</v>
      </c>
      <c r="K1642" s="98" t="s">
        <v>1277</v>
      </c>
      <c r="L1642" s="105" t="str">
        <f t="shared" si="280"/>
        <v>Ghent</v>
      </c>
      <c r="M1642" s="105" t="str">
        <f t="shared" si="281"/>
        <v>Derate</v>
      </c>
      <c r="N1642" s="105" t="str">
        <f t="shared" si="282"/>
        <v>Coal</v>
      </c>
      <c r="O1642" s="105">
        <f>IFERROR(VLOOKUP(A1642,Lookup!$J$5:$P$19,7,FALSE),0)</f>
        <v>3</v>
      </c>
      <c r="P1642" s="159">
        <f t="shared" si="283"/>
        <v>2014</v>
      </c>
      <c r="Q1642" s="159">
        <f t="shared" si="284"/>
        <v>3</v>
      </c>
      <c r="R1642" s="160">
        <f t="shared" si="285"/>
        <v>24.999999999941792</v>
      </c>
      <c r="S1642" s="158">
        <f t="shared" si="286"/>
        <v>0.85227272727074288</v>
      </c>
      <c r="T1642" s="161">
        <f t="shared" si="287"/>
        <v>408.23863636268584</v>
      </c>
      <c r="U1642" s="158">
        <f t="shared" si="288"/>
        <v>16.329545454545453</v>
      </c>
      <c r="V1642" s="160">
        <f t="shared" si="289"/>
        <v>16</v>
      </c>
    </row>
    <row r="1643" spans="1:22" x14ac:dyDescent="0.25">
      <c r="A1643" s="98" t="s">
        <v>30</v>
      </c>
      <c r="B1643" s="98" t="s">
        <v>17</v>
      </c>
      <c r="C1643" s="98">
        <v>40</v>
      </c>
      <c r="D1643" s="98">
        <v>280</v>
      </c>
      <c r="E1643" s="157">
        <v>41723.36041666667</v>
      </c>
      <c r="F1643" s="157">
        <v>41723.413888888892</v>
      </c>
      <c r="G1643" s="98">
        <v>465</v>
      </c>
      <c r="H1643" s="98">
        <v>528</v>
      </c>
      <c r="I1643" s="98">
        <v>479</v>
      </c>
      <c r="J1643" s="98" t="s">
        <v>1988</v>
      </c>
      <c r="K1643" s="98" t="s">
        <v>1278</v>
      </c>
      <c r="L1643" s="105" t="str">
        <f t="shared" si="280"/>
        <v>Ghent</v>
      </c>
      <c r="M1643" s="105" t="str">
        <f t="shared" si="281"/>
        <v>Derate</v>
      </c>
      <c r="N1643" s="105" t="str">
        <f t="shared" si="282"/>
        <v>Coal</v>
      </c>
      <c r="O1643" s="105">
        <f>IFERROR(VLOOKUP(A1643,Lookup!$J$5:$P$19,7,FALSE),0)</f>
        <v>3</v>
      </c>
      <c r="P1643" s="159">
        <f t="shared" si="283"/>
        <v>2014</v>
      </c>
      <c r="Q1643" s="159">
        <f t="shared" si="284"/>
        <v>3</v>
      </c>
      <c r="R1643" s="160">
        <f t="shared" si="285"/>
        <v>1.2833333333255723</v>
      </c>
      <c r="S1643" s="158">
        <f t="shared" si="286"/>
        <v>0.15312499999907397</v>
      </c>
      <c r="T1643" s="161">
        <f t="shared" si="287"/>
        <v>73.346874999556434</v>
      </c>
      <c r="U1643" s="158">
        <f t="shared" si="288"/>
        <v>57.153409090909093</v>
      </c>
      <c r="V1643" s="160">
        <f t="shared" si="289"/>
        <v>57</v>
      </c>
    </row>
    <row r="1644" spans="1:22" x14ac:dyDescent="0.25">
      <c r="A1644" s="98" t="s">
        <v>30</v>
      </c>
      <c r="B1644" s="98" t="s">
        <v>17</v>
      </c>
      <c r="C1644" s="98">
        <v>41</v>
      </c>
      <c r="D1644" s="98">
        <v>9650</v>
      </c>
      <c r="E1644" s="157">
        <v>41723.484722222223</v>
      </c>
      <c r="F1644" s="157">
        <v>41723.524305555555</v>
      </c>
      <c r="G1644" s="98">
        <v>450</v>
      </c>
      <c r="H1644" s="98">
        <v>528</v>
      </c>
      <c r="I1644" s="98">
        <v>479</v>
      </c>
      <c r="J1644" s="98" t="s">
        <v>2035</v>
      </c>
      <c r="K1644" s="98" t="s">
        <v>1279</v>
      </c>
      <c r="L1644" s="105" t="str">
        <f t="shared" si="280"/>
        <v>Ghent</v>
      </c>
      <c r="M1644" s="105" t="str">
        <f t="shared" si="281"/>
        <v>Derate</v>
      </c>
      <c r="N1644" s="105" t="str">
        <f t="shared" si="282"/>
        <v>Coal</v>
      </c>
      <c r="O1644" s="105">
        <f>IFERROR(VLOOKUP(A1644,Lookup!$J$5:$P$19,7,FALSE),0)</f>
        <v>3</v>
      </c>
      <c r="P1644" s="159">
        <f t="shared" si="283"/>
        <v>2014</v>
      </c>
      <c r="Q1644" s="159">
        <f t="shared" si="284"/>
        <v>3</v>
      </c>
      <c r="R1644" s="160">
        <f t="shared" si="285"/>
        <v>0.94999999995343387</v>
      </c>
      <c r="S1644" s="158">
        <f t="shared" si="286"/>
        <v>0.14034090908402999</v>
      </c>
      <c r="T1644" s="161">
        <f t="shared" si="287"/>
        <v>67.223295451250365</v>
      </c>
      <c r="U1644" s="158">
        <f t="shared" si="288"/>
        <v>70.76136363636364</v>
      </c>
      <c r="V1644" s="160">
        <f t="shared" si="289"/>
        <v>71</v>
      </c>
    </row>
    <row r="1645" spans="1:22" x14ac:dyDescent="0.25">
      <c r="A1645" s="98" t="s">
        <v>30</v>
      </c>
      <c r="B1645" s="98" t="s">
        <v>32</v>
      </c>
      <c r="C1645" s="98">
        <v>42</v>
      </c>
      <c r="D1645" s="98">
        <v>855</v>
      </c>
      <c r="E1645" s="157">
        <v>41724.916666666664</v>
      </c>
      <c r="F1645" s="157">
        <v>41725.025000000001</v>
      </c>
      <c r="G1645" s="98">
        <v>485</v>
      </c>
      <c r="H1645" s="98">
        <v>528</v>
      </c>
      <c r="I1645" s="98">
        <v>479</v>
      </c>
      <c r="J1645" s="98" t="s">
        <v>2130</v>
      </c>
      <c r="K1645" s="98" t="s">
        <v>1280</v>
      </c>
      <c r="L1645" s="105" t="str">
        <f t="shared" si="280"/>
        <v>Ghent</v>
      </c>
      <c r="M1645" s="105" t="str">
        <f t="shared" si="281"/>
        <v>Derate</v>
      </c>
      <c r="N1645" s="105" t="str">
        <f t="shared" si="282"/>
        <v>Coal</v>
      </c>
      <c r="O1645" s="105">
        <f>IFERROR(VLOOKUP(A1645,Lookup!$J$5:$P$19,7,FALSE),0)</f>
        <v>3</v>
      </c>
      <c r="P1645" s="159">
        <f t="shared" si="283"/>
        <v>2014</v>
      </c>
      <c r="Q1645" s="159">
        <f t="shared" si="284"/>
        <v>3</v>
      </c>
      <c r="R1645" s="160">
        <f t="shared" si="285"/>
        <v>2.6000000000931323</v>
      </c>
      <c r="S1645" s="158">
        <f t="shared" si="286"/>
        <v>0.21174242425000889</v>
      </c>
      <c r="T1645" s="161">
        <f t="shared" si="287"/>
        <v>101.42462121575426</v>
      </c>
      <c r="U1645" s="158">
        <f t="shared" si="288"/>
        <v>39.009469696969695</v>
      </c>
      <c r="V1645" s="160">
        <f t="shared" si="289"/>
        <v>39</v>
      </c>
    </row>
    <row r="1646" spans="1:22" x14ac:dyDescent="0.25">
      <c r="A1646" s="98" t="s">
        <v>30</v>
      </c>
      <c r="B1646" s="98" t="s">
        <v>38</v>
      </c>
      <c r="C1646" s="98">
        <v>43</v>
      </c>
      <c r="D1646" s="98">
        <v>1800</v>
      </c>
      <c r="E1646" s="157">
        <v>41726.921527777777</v>
      </c>
      <c r="F1646" s="157">
        <v>41771.000694444447</v>
      </c>
      <c r="G1646" s="98">
        <v>0</v>
      </c>
      <c r="H1646" s="98">
        <v>528</v>
      </c>
      <c r="I1646" s="98">
        <v>479</v>
      </c>
      <c r="J1646" s="98" t="s">
        <v>2178</v>
      </c>
      <c r="K1646" s="98" t="s">
        <v>1281</v>
      </c>
      <c r="L1646" s="105" t="str">
        <f t="shared" si="280"/>
        <v>Ghent</v>
      </c>
      <c r="M1646" s="105" t="str">
        <f t="shared" si="281"/>
        <v>Other</v>
      </c>
      <c r="N1646" s="105" t="str">
        <f t="shared" si="282"/>
        <v>Coal</v>
      </c>
      <c r="O1646" s="105">
        <f>IFERROR(VLOOKUP(A1646,Lookup!$J$5:$P$19,7,FALSE),0)</f>
        <v>3</v>
      </c>
      <c r="P1646" s="159">
        <f t="shared" si="283"/>
        <v>2014</v>
      </c>
      <c r="Q1646" s="159">
        <f t="shared" si="284"/>
        <v>3</v>
      </c>
      <c r="R1646" s="160">
        <f t="shared" si="285"/>
        <v>1057.9000000000815</v>
      </c>
      <c r="S1646" s="158">
        <f t="shared" si="286"/>
        <v>1057.9000000000815</v>
      </c>
      <c r="T1646" s="161">
        <f t="shared" si="287"/>
        <v>506734.10000003903</v>
      </c>
      <c r="U1646" s="158">
        <f t="shared" si="288"/>
        <v>479</v>
      </c>
      <c r="V1646" s="160">
        <f t="shared" si="289"/>
        <v>479</v>
      </c>
    </row>
    <row r="1647" spans="1:22" x14ac:dyDescent="0.25">
      <c r="A1647" s="98" t="s">
        <v>30</v>
      </c>
      <c r="B1647" s="98" t="s">
        <v>121</v>
      </c>
      <c r="C1647" s="98">
        <v>44</v>
      </c>
      <c r="D1647" s="98">
        <v>1800</v>
      </c>
      <c r="E1647" s="157">
        <v>41771.000694444447</v>
      </c>
      <c r="F1647" s="157">
        <v>41776.678472222222</v>
      </c>
      <c r="G1647" s="98">
        <v>0</v>
      </c>
      <c r="H1647" s="98">
        <v>528</v>
      </c>
      <c r="I1647" s="98">
        <v>479</v>
      </c>
      <c r="J1647" s="98" t="s">
        <v>2178</v>
      </c>
      <c r="K1647" s="98" t="s">
        <v>1282</v>
      </c>
      <c r="L1647" s="105" t="str">
        <f t="shared" si="280"/>
        <v>Ghent</v>
      </c>
      <c r="M1647" s="105" t="str">
        <f t="shared" si="281"/>
        <v>Other</v>
      </c>
      <c r="N1647" s="105" t="str">
        <f t="shared" si="282"/>
        <v>Coal</v>
      </c>
      <c r="O1647" s="105">
        <f>IFERROR(VLOOKUP(A1647,Lookup!$J$5:$P$19,7,FALSE),0)</f>
        <v>3</v>
      </c>
      <c r="P1647" s="159">
        <f t="shared" si="283"/>
        <v>2014</v>
      </c>
      <c r="Q1647" s="159">
        <f t="shared" si="284"/>
        <v>5</v>
      </c>
      <c r="R1647" s="160">
        <f t="shared" si="285"/>
        <v>136.26666666660458</v>
      </c>
      <c r="S1647" s="158">
        <f t="shared" si="286"/>
        <v>136.26666666660458</v>
      </c>
      <c r="T1647" s="161">
        <f t="shared" si="287"/>
        <v>65271.733333303593</v>
      </c>
      <c r="U1647" s="158">
        <f t="shared" si="288"/>
        <v>479</v>
      </c>
      <c r="V1647" s="160">
        <f t="shared" si="289"/>
        <v>479</v>
      </c>
    </row>
    <row r="1648" spans="1:22" x14ac:dyDescent="0.25">
      <c r="A1648" s="98" t="s">
        <v>30</v>
      </c>
      <c r="B1648" s="98" t="s">
        <v>18</v>
      </c>
      <c r="C1648" s="98">
        <v>45</v>
      </c>
      <c r="D1648" s="98">
        <v>4700</v>
      </c>
      <c r="E1648" s="157">
        <v>41776.678472222222</v>
      </c>
      <c r="F1648" s="157">
        <v>41776.865277777775</v>
      </c>
      <c r="G1648" s="98">
        <v>0</v>
      </c>
      <c r="H1648" s="98">
        <v>528</v>
      </c>
      <c r="I1648" s="98">
        <v>479</v>
      </c>
      <c r="J1648" s="98" t="s">
        <v>2010</v>
      </c>
      <c r="K1648" s="98" t="s">
        <v>1283</v>
      </c>
      <c r="L1648" s="105" t="str">
        <f t="shared" si="280"/>
        <v>Ghent</v>
      </c>
      <c r="M1648" s="105" t="str">
        <f t="shared" si="281"/>
        <v>Outage</v>
      </c>
      <c r="N1648" s="105" t="str">
        <f t="shared" si="282"/>
        <v>Coal</v>
      </c>
      <c r="O1648" s="105">
        <f>IFERROR(VLOOKUP(A1648,Lookup!$J$5:$P$19,7,FALSE),0)</f>
        <v>3</v>
      </c>
      <c r="P1648" s="159">
        <f t="shared" si="283"/>
        <v>2014</v>
      </c>
      <c r="Q1648" s="159">
        <f t="shared" si="284"/>
        <v>5</v>
      </c>
      <c r="R1648" s="160">
        <f t="shared" si="285"/>
        <v>4.4833333332790062</v>
      </c>
      <c r="S1648" s="158">
        <f t="shared" si="286"/>
        <v>4.4833333332790062</v>
      </c>
      <c r="T1648" s="161">
        <f t="shared" si="287"/>
        <v>2147.516666640644</v>
      </c>
      <c r="U1648" s="158">
        <f t="shared" si="288"/>
        <v>479</v>
      </c>
      <c r="V1648" s="160">
        <f t="shared" si="289"/>
        <v>479</v>
      </c>
    </row>
    <row r="1649" spans="1:22" x14ac:dyDescent="0.25">
      <c r="A1649" s="98" t="s">
        <v>30</v>
      </c>
      <c r="B1649" s="98" t="s">
        <v>17</v>
      </c>
      <c r="C1649" s="98">
        <v>46</v>
      </c>
      <c r="D1649" s="98">
        <v>1850</v>
      </c>
      <c r="E1649" s="157">
        <v>41777.604166666664</v>
      </c>
      <c r="F1649" s="157">
        <v>41778.076388888891</v>
      </c>
      <c r="G1649" s="98">
        <v>290</v>
      </c>
      <c r="H1649" s="98">
        <v>528</v>
      </c>
      <c r="I1649" s="98">
        <v>479</v>
      </c>
      <c r="J1649" s="98" t="s">
        <v>2263</v>
      </c>
      <c r="K1649" s="98" t="s">
        <v>1284</v>
      </c>
      <c r="L1649" s="105" t="str">
        <f t="shared" si="280"/>
        <v>Ghent</v>
      </c>
      <c r="M1649" s="105" t="str">
        <f t="shared" si="281"/>
        <v>Derate</v>
      </c>
      <c r="N1649" s="105" t="str">
        <f t="shared" si="282"/>
        <v>Coal</v>
      </c>
      <c r="O1649" s="105">
        <f>IFERROR(VLOOKUP(A1649,Lookup!$J$5:$P$19,7,FALSE),0)</f>
        <v>3</v>
      </c>
      <c r="P1649" s="159">
        <f t="shared" si="283"/>
        <v>2014</v>
      </c>
      <c r="Q1649" s="159">
        <f t="shared" si="284"/>
        <v>5</v>
      </c>
      <c r="R1649" s="160">
        <f t="shared" si="285"/>
        <v>11.333333333430346</v>
      </c>
      <c r="S1649" s="158">
        <f t="shared" si="286"/>
        <v>5.1085858586295876</v>
      </c>
      <c r="T1649" s="161">
        <f t="shared" si="287"/>
        <v>2447.0126262835724</v>
      </c>
      <c r="U1649" s="158">
        <f t="shared" si="288"/>
        <v>215.91287878787878</v>
      </c>
      <c r="V1649" s="160">
        <f t="shared" si="289"/>
        <v>216</v>
      </c>
    </row>
    <row r="1650" spans="1:22" x14ac:dyDescent="0.25">
      <c r="A1650" s="98" t="s">
        <v>30</v>
      </c>
      <c r="B1650" s="98" t="s">
        <v>17</v>
      </c>
      <c r="C1650" s="98">
        <v>47</v>
      </c>
      <c r="D1650" s="98">
        <v>250</v>
      </c>
      <c r="E1650" s="157">
        <v>41778.208333333336</v>
      </c>
      <c r="F1650" s="157">
        <v>41778.248611111114</v>
      </c>
      <c r="G1650" s="98">
        <v>325</v>
      </c>
      <c r="H1650" s="98">
        <v>528</v>
      </c>
      <c r="I1650" s="98">
        <v>479</v>
      </c>
      <c r="J1650" s="98" t="s">
        <v>1978</v>
      </c>
      <c r="K1650" s="98" t="s">
        <v>1285</v>
      </c>
      <c r="L1650" s="105" t="str">
        <f t="shared" si="280"/>
        <v>Ghent</v>
      </c>
      <c r="M1650" s="105" t="str">
        <f t="shared" si="281"/>
        <v>Derate</v>
      </c>
      <c r="N1650" s="105" t="str">
        <f t="shared" si="282"/>
        <v>Coal</v>
      </c>
      <c r="O1650" s="105">
        <f>IFERROR(VLOOKUP(A1650,Lookup!$J$5:$P$19,7,FALSE),0)</f>
        <v>3</v>
      </c>
      <c r="P1650" s="159">
        <f t="shared" si="283"/>
        <v>2014</v>
      </c>
      <c r="Q1650" s="159">
        <f t="shared" si="284"/>
        <v>5</v>
      </c>
      <c r="R1650" s="160">
        <f t="shared" si="285"/>
        <v>0.96666666667442769</v>
      </c>
      <c r="S1650" s="158">
        <f t="shared" si="286"/>
        <v>0.37165404040702427</v>
      </c>
      <c r="T1650" s="161">
        <f t="shared" si="287"/>
        <v>178.02228535496462</v>
      </c>
      <c r="U1650" s="158">
        <f t="shared" si="288"/>
        <v>184.16098484848484</v>
      </c>
      <c r="V1650" s="160">
        <f t="shared" si="289"/>
        <v>184</v>
      </c>
    </row>
    <row r="1651" spans="1:22" x14ac:dyDescent="0.25">
      <c r="A1651" s="98" t="s">
        <v>30</v>
      </c>
      <c r="B1651" s="98" t="s">
        <v>32</v>
      </c>
      <c r="C1651" s="98">
        <v>48</v>
      </c>
      <c r="D1651" s="98">
        <v>1470</v>
      </c>
      <c r="E1651" s="157">
        <v>41778.276388888888</v>
      </c>
      <c r="F1651" s="157">
        <v>41779.572916666664</v>
      </c>
      <c r="G1651" s="98">
        <v>459</v>
      </c>
      <c r="H1651" s="98">
        <v>528</v>
      </c>
      <c r="I1651" s="98">
        <v>479</v>
      </c>
      <c r="J1651" s="98" t="s">
        <v>2005</v>
      </c>
      <c r="K1651" s="98" t="s">
        <v>1286</v>
      </c>
      <c r="L1651" s="105" t="str">
        <f t="shared" si="280"/>
        <v>Ghent</v>
      </c>
      <c r="M1651" s="105" t="str">
        <f t="shared" si="281"/>
        <v>Derate</v>
      </c>
      <c r="N1651" s="105" t="str">
        <f t="shared" si="282"/>
        <v>Coal</v>
      </c>
      <c r="O1651" s="105">
        <f>IFERROR(VLOOKUP(A1651,Lookup!$J$5:$P$19,7,FALSE),0)</f>
        <v>3</v>
      </c>
      <c r="P1651" s="159">
        <f t="shared" si="283"/>
        <v>2014</v>
      </c>
      <c r="Q1651" s="159">
        <f t="shared" si="284"/>
        <v>5</v>
      </c>
      <c r="R1651" s="160">
        <f t="shared" si="285"/>
        <v>31.116666666639503</v>
      </c>
      <c r="S1651" s="158">
        <f t="shared" si="286"/>
        <v>4.0663825757540257</v>
      </c>
      <c r="T1651" s="161">
        <f t="shared" si="287"/>
        <v>1947.7972537861783</v>
      </c>
      <c r="U1651" s="158">
        <f t="shared" si="288"/>
        <v>62.596590909090907</v>
      </c>
      <c r="V1651" s="160">
        <f t="shared" si="289"/>
        <v>63</v>
      </c>
    </row>
    <row r="1652" spans="1:22" x14ac:dyDescent="0.25">
      <c r="A1652" s="98" t="s">
        <v>30</v>
      </c>
      <c r="B1652" s="98" t="s">
        <v>17</v>
      </c>
      <c r="C1652" s="98">
        <v>49</v>
      </c>
      <c r="D1652" s="98">
        <v>3974</v>
      </c>
      <c r="E1652" s="157">
        <v>41779.572916666664</v>
      </c>
      <c r="F1652" s="157">
        <v>41779.631249999999</v>
      </c>
      <c r="G1652" s="98">
        <v>275</v>
      </c>
      <c r="H1652" s="98">
        <v>528</v>
      </c>
      <c r="I1652" s="98">
        <v>479</v>
      </c>
      <c r="J1652" s="98" t="s">
        <v>2386</v>
      </c>
      <c r="K1652" s="98" t="s">
        <v>1287</v>
      </c>
      <c r="L1652" s="105" t="str">
        <f t="shared" si="280"/>
        <v>Ghent</v>
      </c>
      <c r="M1652" s="105" t="str">
        <f t="shared" si="281"/>
        <v>Derate</v>
      </c>
      <c r="N1652" s="105" t="str">
        <f t="shared" si="282"/>
        <v>Coal</v>
      </c>
      <c r="O1652" s="105">
        <f>IFERROR(VLOOKUP(A1652,Lookup!$J$5:$P$19,7,FALSE),0)</f>
        <v>3</v>
      </c>
      <c r="P1652" s="159">
        <f t="shared" si="283"/>
        <v>2014</v>
      </c>
      <c r="Q1652" s="159">
        <f t="shared" si="284"/>
        <v>5</v>
      </c>
      <c r="R1652" s="160">
        <f t="shared" si="285"/>
        <v>1.4000000000232831</v>
      </c>
      <c r="S1652" s="158">
        <f t="shared" si="286"/>
        <v>0.6708333333444898</v>
      </c>
      <c r="T1652" s="161">
        <f t="shared" si="287"/>
        <v>321.32916667201062</v>
      </c>
      <c r="U1652" s="158">
        <f t="shared" si="288"/>
        <v>229.52083333333334</v>
      </c>
      <c r="V1652" s="160">
        <f t="shared" si="289"/>
        <v>230</v>
      </c>
    </row>
    <row r="1653" spans="1:22" x14ac:dyDescent="0.25">
      <c r="A1653" s="98" t="s">
        <v>30</v>
      </c>
      <c r="B1653" s="98" t="s">
        <v>32</v>
      </c>
      <c r="C1653" s="98">
        <v>50</v>
      </c>
      <c r="D1653" s="98">
        <v>1455</v>
      </c>
      <c r="E1653" s="157">
        <v>41779.631249999999</v>
      </c>
      <c r="F1653" s="157">
        <v>41780.881944444445</v>
      </c>
      <c r="G1653" s="98">
        <v>488</v>
      </c>
      <c r="H1653" s="98">
        <v>528</v>
      </c>
      <c r="I1653" s="98">
        <v>479</v>
      </c>
      <c r="J1653" s="98" t="s">
        <v>1990</v>
      </c>
      <c r="K1653" s="98" t="s">
        <v>1288</v>
      </c>
      <c r="L1653" s="105" t="str">
        <f t="shared" si="280"/>
        <v>Ghent</v>
      </c>
      <c r="M1653" s="105" t="str">
        <f t="shared" si="281"/>
        <v>Derate</v>
      </c>
      <c r="N1653" s="105" t="str">
        <f t="shared" si="282"/>
        <v>Coal</v>
      </c>
      <c r="O1653" s="105">
        <f>IFERROR(VLOOKUP(A1653,Lookup!$J$5:$P$19,7,FALSE),0)</f>
        <v>3</v>
      </c>
      <c r="P1653" s="159">
        <f t="shared" si="283"/>
        <v>2014</v>
      </c>
      <c r="Q1653" s="159">
        <f t="shared" si="284"/>
        <v>5</v>
      </c>
      <c r="R1653" s="160">
        <f t="shared" si="285"/>
        <v>30.016666666720994</v>
      </c>
      <c r="S1653" s="158">
        <f t="shared" si="286"/>
        <v>2.2739898989940146</v>
      </c>
      <c r="T1653" s="161">
        <f t="shared" si="287"/>
        <v>1089.241161618133</v>
      </c>
      <c r="U1653" s="158">
        <f t="shared" si="288"/>
        <v>36.287878787878789</v>
      </c>
      <c r="V1653" s="160">
        <f t="shared" si="289"/>
        <v>36</v>
      </c>
    </row>
    <row r="1654" spans="1:22" x14ac:dyDescent="0.25">
      <c r="A1654" s="98" t="s">
        <v>30</v>
      </c>
      <c r="B1654" s="98" t="s">
        <v>17</v>
      </c>
      <c r="C1654" s="98">
        <v>51</v>
      </c>
      <c r="D1654" s="98">
        <v>3410</v>
      </c>
      <c r="E1654" s="157">
        <v>41784.560416666667</v>
      </c>
      <c r="F1654" s="157">
        <v>41784.711805555555</v>
      </c>
      <c r="G1654" s="98">
        <v>300</v>
      </c>
      <c r="H1654" s="98">
        <v>528</v>
      </c>
      <c r="I1654" s="98">
        <v>479</v>
      </c>
      <c r="J1654" s="98" t="s">
        <v>1983</v>
      </c>
      <c r="K1654" s="98" t="s">
        <v>1289</v>
      </c>
      <c r="L1654" s="105" t="str">
        <f t="shared" si="280"/>
        <v>Ghent</v>
      </c>
      <c r="M1654" s="105" t="str">
        <f t="shared" si="281"/>
        <v>Derate</v>
      </c>
      <c r="N1654" s="105" t="str">
        <f t="shared" si="282"/>
        <v>Coal</v>
      </c>
      <c r="O1654" s="105">
        <f>IFERROR(VLOOKUP(A1654,Lookup!$J$5:$P$19,7,FALSE),0)</f>
        <v>3</v>
      </c>
      <c r="P1654" s="159">
        <f t="shared" si="283"/>
        <v>2014</v>
      </c>
      <c r="Q1654" s="159">
        <f t="shared" si="284"/>
        <v>5</v>
      </c>
      <c r="R1654" s="160">
        <f t="shared" si="285"/>
        <v>3.6333333333022892</v>
      </c>
      <c r="S1654" s="158">
        <f t="shared" si="286"/>
        <v>1.5689393939259886</v>
      </c>
      <c r="T1654" s="161">
        <f t="shared" si="287"/>
        <v>751.52196969054853</v>
      </c>
      <c r="U1654" s="158">
        <f t="shared" si="288"/>
        <v>206.84090909090909</v>
      </c>
      <c r="V1654" s="160">
        <f t="shared" si="289"/>
        <v>207</v>
      </c>
    </row>
    <row r="1655" spans="1:22" x14ac:dyDescent="0.25">
      <c r="A1655" s="98" t="s">
        <v>30</v>
      </c>
      <c r="B1655" s="98" t="s">
        <v>17</v>
      </c>
      <c r="C1655" s="98">
        <v>52</v>
      </c>
      <c r="D1655" s="98">
        <v>1470</v>
      </c>
      <c r="E1655" s="157">
        <v>41784.865972222222</v>
      </c>
      <c r="F1655" s="157">
        <v>41785.674305555556</v>
      </c>
      <c r="G1655" s="98">
        <v>490</v>
      </c>
      <c r="H1655" s="98">
        <v>528</v>
      </c>
      <c r="I1655" s="98">
        <v>479</v>
      </c>
      <c r="J1655" s="98" t="s">
        <v>2005</v>
      </c>
      <c r="K1655" s="98" t="s">
        <v>1290</v>
      </c>
      <c r="L1655" s="105" t="str">
        <f t="shared" si="280"/>
        <v>Ghent</v>
      </c>
      <c r="M1655" s="105" t="str">
        <f t="shared" si="281"/>
        <v>Derate</v>
      </c>
      <c r="N1655" s="105" t="str">
        <f t="shared" si="282"/>
        <v>Coal</v>
      </c>
      <c r="O1655" s="105">
        <f>IFERROR(VLOOKUP(A1655,Lookup!$J$5:$P$19,7,FALSE),0)</f>
        <v>3</v>
      </c>
      <c r="P1655" s="159">
        <f t="shared" si="283"/>
        <v>2014</v>
      </c>
      <c r="Q1655" s="159">
        <f t="shared" si="284"/>
        <v>5</v>
      </c>
      <c r="R1655" s="160">
        <f t="shared" si="285"/>
        <v>19.400000000023283</v>
      </c>
      <c r="S1655" s="158">
        <f t="shared" si="286"/>
        <v>1.3962121212137968</v>
      </c>
      <c r="T1655" s="161">
        <f t="shared" si="287"/>
        <v>668.78560606140866</v>
      </c>
      <c r="U1655" s="158">
        <f t="shared" si="288"/>
        <v>34.473484848484851</v>
      </c>
      <c r="V1655" s="160">
        <f t="shared" si="289"/>
        <v>34</v>
      </c>
    </row>
    <row r="1656" spans="1:22" x14ac:dyDescent="0.25">
      <c r="A1656" s="98" t="s">
        <v>30</v>
      </c>
      <c r="B1656" s="98" t="s">
        <v>17</v>
      </c>
      <c r="C1656" s="98">
        <v>54</v>
      </c>
      <c r="D1656" s="98">
        <v>1400</v>
      </c>
      <c r="E1656" s="157">
        <v>41795.378472222219</v>
      </c>
      <c r="F1656" s="157">
        <v>41795.416666666664</v>
      </c>
      <c r="G1656" s="98">
        <v>502</v>
      </c>
      <c r="H1656" s="98">
        <v>528</v>
      </c>
      <c r="I1656" s="98">
        <v>479</v>
      </c>
      <c r="J1656" s="98" t="s">
        <v>2043</v>
      </c>
      <c r="K1656" s="98" t="s">
        <v>1291</v>
      </c>
      <c r="L1656" s="105" t="str">
        <f t="shared" si="280"/>
        <v>Ghent</v>
      </c>
      <c r="M1656" s="105" t="str">
        <f t="shared" si="281"/>
        <v>Derate</v>
      </c>
      <c r="N1656" s="105" t="str">
        <f t="shared" si="282"/>
        <v>Coal</v>
      </c>
      <c r="O1656" s="105">
        <f>IFERROR(VLOOKUP(A1656,Lookup!$J$5:$P$19,7,FALSE),0)</f>
        <v>3</v>
      </c>
      <c r="P1656" s="159">
        <f t="shared" si="283"/>
        <v>2014</v>
      </c>
      <c r="Q1656" s="159">
        <f t="shared" si="284"/>
        <v>6</v>
      </c>
      <c r="R1656" s="160">
        <f t="shared" si="285"/>
        <v>0.91666666668606922</v>
      </c>
      <c r="S1656" s="158">
        <f t="shared" si="286"/>
        <v>4.5138888889844318E-2</v>
      </c>
      <c r="T1656" s="161">
        <f t="shared" si="287"/>
        <v>21.621527778235428</v>
      </c>
      <c r="U1656" s="158">
        <f t="shared" si="288"/>
        <v>23.587121212121211</v>
      </c>
      <c r="V1656" s="160">
        <f t="shared" si="289"/>
        <v>24</v>
      </c>
    </row>
    <row r="1657" spans="1:22" x14ac:dyDescent="0.25">
      <c r="A1657" s="98" t="s">
        <v>30</v>
      </c>
      <c r="B1657" s="98" t="s">
        <v>20</v>
      </c>
      <c r="C1657" s="98">
        <v>53</v>
      </c>
      <c r="D1657" s="98">
        <v>775</v>
      </c>
      <c r="E1657" s="157">
        <v>41799.938888888886</v>
      </c>
      <c r="F1657" s="157">
        <v>41804.188888888886</v>
      </c>
      <c r="G1657" s="98">
        <v>0</v>
      </c>
      <c r="H1657" s="98">
        <v>528</v>
      </c>
      <c r="I1657" s="98">
        <v>479</v>
      </c>
      <c r="J1657" s="98" t="s">
        <v>2499</v>
      </c>
      <c r="K1657" s="98" t="s">
        <v>1292</v>
      </c>
      <c r="L1657" s="105" t="str">
        <f t="shared" si="280"/>
        <v>Ghent</v>
      </c>
      <c r="M1657" s="105" t="str">
        <f t="shared" si="281"/>
        <v>Maintenance</v>
      </c>
      <c r="N1657" s="105" t="str">
        <f t="shared" si="282"/>
        <v>Coal</v>
      </c>
      <c r="O1657" s="105">
        <f>IFERROR(VLOOKUP(A1657,Lookup!$J$5:$P$19,7,FALSE),0)</f>
        <v>3</v>
      </c>
      <c r="P1657" s="159">
        <f t="shared" si="283"/>
        <v>2014</v>
      </c>
      <c r="Q1657" s="159">
        <f t="shared" si="284"/>
        <v>6</v>
      </c>
      <c r="R1657" s="160">
        <f t="shared" si="285"/>
        <v>102</v>
      </c>
      <c r="S1657" s="158">
        <f t="shared" si="286"/>
        <v>102</v>
      </c>
      <c r="T1657" s="161">
        <f t="shared" si="287"/>
        <v>48858</v>
      </c>
      <c r="U1657" s="158">
        <f t="shared" si="288"/>
        <v>479</v>
      </c>
      <c r="V1657" s="160">
        <f t="shared" si="289"/>
        <v>479</v>
      </c>
    </row>
    <row r="1658" spans="1:22" x14ac:dyDescent="0.25">
      <c r="A1658" s="98" t="s">
        <v>30</v>
      </c>
      <c r="B1658" s="98" t="s">
        <v>17</v>
      </c>
      <c r="C1658" s="98">
        <v>55</v>
      </c>
      <c r="D1658" s="98">
        <v>385</v>
      </c>
      <c r="E1658" s="157">
        <v>41804.638888888891</v>
      </c>
      <c r="F1658" s="157">
        <v>41804.697222222225</v>
      </c>
      <c r="G1658" s="98">
        <v>320</v>
      </c>
      <c r="H1658" s="98">
        <v>528</v>
      </c>
      <c r="I1658" s="98">
        <v>479</v>
      </c>
      <c r="J1658" s="98" t="s">
        <v>228</v>
      </c>
      <c r="K1658" s="98" t="s">
        <v>1293</v>
      </c>
      <c r="L1658" s="105" t="str">
        <f t="shared" si="280"/>
        <v>Ghent</v>
      </c>
      <c r="M1658" s="105" t="str">
        <f t="shared" si="281"/>
        <v>Derate</v>
      </c>
      <c r="N1658" s="105" t="str">
        <f t="shared" si="282"/>
        <v>Coal</v>
      </c>
      <c r="O1658" s="105">
        <f>IFERROR(VLOOKUP(A1658,Lookup!$J$5:$P$19,7,FALSE),0)</f>
        <v>3</v>
      </c>
      <c r="P1658" s="159">
        <f t="shared" si="283"/>
        <v>2014</v>
      </c>
      <c r="Q1658" s="159">
        <f t="shared" si="284"/>
        <v>6</v>
      </c>
      <c r="R1658" s="160">
        <f t="shared" si="285"/>
        <v>1.4000000000232831</v>
      </c>
      <c r="S1658" s="158">
        <f t="shared" si="286"/>
        <v>0.55151515152432362</v>
      </c>
      <c r="T1658" s="161">
        <f t="shared" si="287"/>
        <v>264.17575758015101</v>
      </c>
      <c r="U1658" s="158">
        <f t="shared" si="288"/>
        <v>188.69696969696969</v>
      </c>
      <c r="V1658" s="160">
        <f t="shared" si="289"/>
        <v>189</v>
      </c>
    </row>
    <row r="1659" spans="1:22" x14ac:dyDescent="0.25">
      <c r="A1659" s="98" t="s">
        <v>30</v>
      </c>
      <c r="B1659" s="98" t="s">
        <v>17</v>
      </c>
      <c r="C1659" s="98">
        <v>56</v>
      </c>
      <c r="D1659" s="98">
        <v>385</v>
      </c>
      <c r="E1659" s="157">
        <v>41804.768750000003</v>
      </c>
      <c r="F1659" s="157">
        <v>41804.813194444447</v>
      </c>
      <c r="G1659" s="98">
        <v>420</v>
      </c>
      <c r="H1659" s="98">
        <v>528</v>
      </c>
      <c r="I1659" s="98">
        <v>479</v>
      </c>
      <c r="J1659" s="98" t="s">
        <v>228</v>
      </c>
      <c r="K1659" s="98" t="s">
        <v>1294</v>
      </c>
      <c r="L1659" s="105" t="str">
        <f t="shared" si="280"/>
        <v>Ghent</v>
      </c>
      <c r="M1659" s="105" t="str">
        <f t="shared" si="281"/>
        <v>Derate</v>
      </c>
      <c r="N1659" s="105" t="str">
        <f t="shared" si="282"/>
        <v>Coal</v>
      </c>
      <c r="O1659" s="105">
        <f>IFERROR(VLOOKUP(A1659,Lookup!$J$5:$P$19,7,FALSE),0)</f>
        <v>3</v>
      </c>
      <c r="P1659" s="159">
        <f t="shared" si="283"/>
        <v>2014</v>
      </c>
      <c r="Q1659" s="159">
        <f t="shared" si="284"/>
        <v>6</v>
      </c>
      <c r="R1659" s="160">
        <f t="shared" si="285"/>
        <v>1.0666666666511446</v>
      </c>
      <c r="S1659" s="158">
        <f t="shared" si="286"/>
        <v>0.21818181817864321</v>
      </c>
      <c r="T1659" s="161">
        <f t="shared" si="287"/>
        <v>104.5090909075701</v>
      </c>
      <c r="U1659" s="158">
        <f t="shared" si="288"/>
        <v>97.977272727272734</v>
      </c>
      <c r="V1659" s="160">
        <f t="shared" si="289"/>
        <v>98</v>
      </c>
    </row>
    <row r="1660" spans="1:22" x14ac:dyDescent="0.25">
      <c r="A1660" s="98" t="s">
        <v>30</v>
      </c>
      <c r="B1660" s="98" t="s">
        <v>17</v>
      </c>
      <c r="C1660" s="98">
        <v>57</v>
      </c>
      <c r="D1660" s="98">
        <v>775</v>
      </c>
      <c r="E1660" s="157">
        <v>41807.003472222219</v>
      </c>
      <c r="F1660" s="157">
        <v>41807.011111111111</v>
      </c>
      <c r="G1660" s="98">
        <v>210</v>
      </c>
      <c r="H1660" s="98">
        <v>528</v>
      </c>
      <c r="I1660" s="98">
        <v>479</v>
      </c>
      <c r="J1660" s="98" t="s">
        <v>2499</v>
      </c>
      <c r="K1660" s="98" t="s">
        <v>1295</v>
      </c>
      <c r="L1660" s="105" t="str">
        <f t="shared" si="280"/>
        <v>Ghent</v>
      </c>
      <c r="M1660" s="105" t="str">
        <f t="shared" si="281"/>
        <v>Derate</v>
      </c>
      <c r="N1660" s="105" t="str">
        <f t="shared" si="282"/>
        <v>Coal</v>
      </c>
      <c r="O1660" s="105">
        <f>IFERROR(VLOOKUP(A1660,Lookup!$J$5:$P$19,7,FALSE),0)</f>
        <v>3</v>
      </c>
      <c r="P1660" s="159">
        <f t="shared" si="283"/>
        <v>2014</v>
      </c>
      <c r="Q1660" s="159">
        <f t="shared" si="284"/>
        <v>6</v>
      </c>
      <c r="R1660" s="160">
        <f t="shared" si="285"/>
        <v>0.18333333340706304</v>
      </c>
      <c r="S1660" s="158">
        <f t="shared" si="286"/>
        <v>0.11041666671107206</v>
      </c>
      <c r="T1660" s="161">
        <f t="shared" si="287"/>
        <v>52.889583354603516</v>
      </c>
      <c r="U1660" s="158">
        <f t="shared" si="288"/>
        <v>288.48863636363637</v>
      </c>
      <c r="V1660" s="160">
        <f t="shared" si="289"/>
        <v>288</v>
      </c>
    </row>
    <row r="1661" spans="1:22" x14ac:dyDescent="0.25">
      <c r="A1661" s="98" t="s">
        <v>30</v>
      </c>
      <c r="B1661" s="98" t="s">
        <v>17</v>
      </c>
      <c r="C1661" s="98">
        <v>58</v>
      </c>
      <c r="D1661" s="98">
        <v>530</v>
      </c>
      <c r="E1661" s="157">
        <v>41815.871527777781</v>
      </c>
      <c r="F1661" s="157">
        <v>41815.931250000001</v>
      </c>
      <c r="G1661" s="98">
        <v>525</v>
      </c>
      <c r="H1661" s="98">
        <v>528</v>
      </c>
      <c r="I1661" s="98">
        <v>479</v>
      </c>
      <c r="J1661" s="98" t="s">
        <v>3438</v>
      </c>
      <c r="K1661" s="98" t="s">
        <v>1296</v>
      </c>
      <c r="L1661" s="105" t="str">
        <f t="shared" si="280"/>
        <v>Ghent</v>
      </c>
      <c r="M1661" s="105" t="str">
        <f t="shared" si="281"/>
        <v>Derate</v>
      </c>
      <c r="N1661" s="105" t="str">
        <f t="shared" si="282"/>
        <v>Coal</v>
      </c>
      <c r="O1661" s="105">
        <f>IFERROR(VLOOKUP(A1661,Lookup!$J$5:$P$19,7,FALSE),0)</f>
        <v>3</v>
      </c>
      <c r="P1661" s="159">
        <f t="shared" si="283"/>
        <v>2014</v>
      </c>
      <c r="Q1661" s="159">
        <f t="shared" si="284"/>
        <v>6</v>
      </c>
      <c r="R1661" s="160">
        <f t="shared" si="285"/>
        <v>1.4333333332906477</v>
      </c>
      <c r="S1661" s="158">
        <f t="shared" si="286"/>
        <v>8.1439393936968626E-3</v>
      </c>
      <c r="T1661" s="161">
        <f t="shared" si="287"/>
        <v>3.9009469695807972</v>
      </c>
      <c r="U1661" s="158">
        <f t="shared" si="288"/>
        <v>2.7215909090909092</v>
      </c>
      <c r="V1661" s="160">
        <f t="shared" si="289"/>
        <v>3</v>
      </c>
    </row>
    <row r="1662" spans="1:22" x14ac:dyDescent="0.25">
      <c r="A1662" s="98" t="s">
        <v>30</v>
      </c>
      <c r="B1662" s="98" t="s">
        <v>17</v>
      </c>
      <c r="C1662" s="98">
        <v>59</v>
      </c>
      <c r="D1662" s="98">
        <v>8125</v>
      </c>
      <c r="E1662" s="157">
        <v>41816.986111111109</v>
      </c>
      <c r="F1662" s="157">
        <v>41817.003472222219</v>
      </c>
      <c r="G1662" s="98">
        <v>380</v>
      </c>
      <c r="H1662" s="98">
        <v>528</v>
      </c>
      <c r="I1662" s="98">
        <v>479</v>
      </c>
      <c r="J1662" s="98" t="s">
        <v>2267</v>
      </c>
      <c r="K1662" s="98" t="s">
        <v>1297</v>
      </c>
      <c r="L1662" s="105" t="str">
        <f t="shared" si="280"/>
        <v>Ghent</v>
      </c>
      <c r="M1662" s="105" t="str">
        <f t="shared" si="281"/>
        <v>Derate</v>
      </c>
      <c r="N1662" s="105" t="str">
        <f t="shared" si="282"/>
        <v>Coal</v>
      </c>
      <c r="O1662" s="105">
        <f>IFERROR(VLOOKUP(A1662,Lookup!$J$5:$P$19,7,FALSE),0)</f>
        <v>3</v>
      </c>
      <c r="P1662" s="159">
        <f t="shared" si="283"/>
        <v>2014</v>
      </c>
      <c r="Q1662" s="159">
        <f t="shared" si="284"/>
        <v>6</v>
      </c>
      <c r="R1662" s="160">
        <f t="shared" si="285"/>
        <v>0.41666666662786156</v>
      </c>
      <c r="S1662" s="158">
        <f t="shared" si="286"/>
        <v>0.11679292928205211</v>
      </c>
      <c r="T1662" s="161">
        <f t="shared" si="287"/>
        <v>55.94381312610296</v>
      </c>
      <c r="U1662" s="158">
        <f t="shared" si="288"/>
        <v>134.2651515151515</v>
      </c>
      <c r="V1662" s="160">
        <f t="shared" si="289"/>
        <v>134</v>
      </c>
    </row>
    <row r="1663" spans="1:22" x14ac:dyDescent="0.25">
      <c r="A1663" s="98" t="s">
        <v>30</v>
      </c>
      <c r="B1663" s="98" t="s">
        <v>32</v>
      </c>
      <c r="C1663" s="98">
        <v>60</v>
      </c>
      <c r="D1663" s="98">
        <v>1455</v>
      </c>
      <c r="E1663" s="157">
        <v>41818.916666666664</v>
      </c>
      <c r="F1663" s="157">
        <v>41818.979166666664</v>
      </c>
      <c r="G1663" s="98">
        <v>490</v>
      </c>
      <c r="H1663" s="98">
        <v>528</v>
      </c>
      <c r="I1663" s="98">
        <v>479</v>
      </c>
      <c r="J1663" s="98" t="s">
        <v>1990</v>
      </c>
      <c r="K1663" s="98" t="s">
        <v>1298</v>
      </c>
      <c r="L1663" s="105" t="str">
        <f t="shared" si="280"/>
        <v>Ghent</v>
      </c>
      <c r="M1663" s="105" t="str">
        <f t="shared" si="281"/>
        <v>Derate</v>
      </c>
      <c r="N1663" s="105" t="str">
        <f t="shared" si="282"/>
        <v>Coal</v>
      </c>
      <c r="O1663" s="105">
        <f>IFERROR(VLOOKUP(A1663,Lookup!$J$5:$P$19,7,FALSE),0)</f>
        <v>3</v>
      </c>
      <c r="P1663" s="159">
        <f t="shared" si="283"/>
        <v>2014</v>
      </c>
      <c r="Q1663" s="159">
        <f t="shared" si="284"/>
        <v>6</v>
      </c>
      <c r="R1663" s="160">
        <f t="shared" si="285"/>
        <v>1.5</v>
      </c>
      <c r="S1663" s="158">
        <f t="shared" si="286"/>
        <v>0.10795454545454546</v>
      </c>
      <c r="T1663" s="161">
        <f t="shared" si="287"/>
        <v>51.710227272727273</v>
      </c>
      <c r="U1663" s="158">
        <f t="shared" si="288"/>
        <v>34.473484848484851</v>
      </c>
      <c r="V1663" s="160">
        <f t="shared" si="289"/>
        <v>34</v>
      </c>
    </row>
    <row r="1664" spans="1:22" x14ac:dyDescent="0.25">
      <c r="A1664" s="98" t="s">
        <v>30</v>
      </c>
      <c r="B1664" s="98" t="s">
        <v>32</v>
      </c>
      <c r="C1664" s="98">
        <v>61</v>
      </c>
      <c r="D1664" s="98">
        <v>1455</v>
      </c>
      <c r="E1664" s="157">
        <v>41818.979166666664</v>
      </c>
      <c r="F1664" s="157">
        <v>41819.186111111114</v>
      </c>
      <c r="G1664" s="98">
        <v>450</v>
      </c>
      <c r="H1664" s="98">
        <v>528</v>
      </c>
      <c r="I1664" s="98">
        <v>479</v>
      </c>
      <c r="J1664" s="98" t="s">
        <v>1990</v>
      </c>
      <c r="K1664" s="98" t="s">
        <v>1299</v>
      </c>
      <c r="L1664" s="105" t="str">
        <f t="shared" si="280"/>
        <v>Ghent</v>
      </c>
      <c r="M1664" s="105" t="str">
        <f t="shared" si="281"/>
        <v>Derate</v>
      </c>
      <c r="N1664" s="105" t="str">
        <f t="shared" si="282"/>
        <v>Coal</v>
      </c>
      <c r="O1664" s="105">
        <f>IFERROR(VLOOKUP(A1664,Lookup!$J$5:$P$19,7,FALSE),0)</f>
        <v>3</v>
      </c>
      <c r="P1664" s="159">
        <f t="shared" si="283"/>
        <v>2014</v>
      </c>
      <c r="Q1664" s="159">
        <f t="shared" si="284"/>
        <v>6</v>
      </c>
      <c r="R1664" s="160">
        <f t="shared" si="285"/>
        <v>4.966666666790843</v>
      </c>
      <c r="S1664" s="158">
        <f t="shared" si="286"/>
        <v>0.73371212123046547</v>
      </c>
      <c r="T1664" s="161">
        <f t="shared" si="287"/>
        <v>351.44810606939296</v>
      </c>
      <c r="U1664" s="158">
        <f t="shared" si="288"/>
        <v>70.76136363636364</v>
      </c>
      <c r="V1664" s="160">
        <f t="shared" si="289"/>
        <v>71</v>
      </c>
    </row>
    <row r="1665" spans="1:22" x14ac:dyDescent="0.25">
      <c r="A1665" s="98" t="s">
        <v>30</v>
      </c>
      <c r="B1665" s="98" t="s">
        <v>17</v>
      </c>
      <c r="C1665" s="98">
        <v>62</v>
      </c>
      <c r="D1665" s="98">
        <v>3412</v>
      </c>
      <c r="E1665" s="157">
        <v>41827.557638888888</v>
      </c>
      <c r="F1665" s="157">
        <v>41827.620138888888</v>
      </c>
      <c r="G1665" s="98">
        <v>300</v>
      </c>
      <c r="H1665" s="98">
        <v>528</v>
      </c>
      <c r="I1665" s="98">
        <v>479</v>
      </c>
      <c r="J1665" s="98" t="s">
        <v>2162</v>
      </c>
      <c r="K1665" s="98" t="s">
        <v>2500</v>
      </c>
      <c r="L1665" s="105" t="str">
        <f t="shared" si="280"/>
        <v>Ghent</v>
      </c>
      <c r="M1665" s="105" t="str">
        <f t="shared" si="281"/>
        <v>Derate</v>
      </c>
      <c r="N1665" s="105" t="str">
        <f t="shared" si="282"/>
        <v>Coal</v>
      </c>
      <c r="O1665" s="105">
        <f>IFERROR(VLOOKUP(A1665,Lookup!$J$5:$P$19,7,FALSE),0)</f>
        <v>3</v>
      </c>
      <c r="P1665" s="159">
        <f t="shared" si="283"/>
        <v>2014</v>
      </c>
      <c r="Q1665" s="159">
        <f t="shared" si="284"/>
        <v>7</v>
      </c>
      <c r="R1665" s="160">
        <f t="shared" si="285"/>
        <v>1.5</v>
      </c>
      <c r="S1665" s="158">
        <f t="shared" si="286"/>
        <v>0.64772727272727271</v>
      </c>
      <c r="T1665" s="161">
        <f t="shared" si="287"/>
        <v>310.26136363636363</v>
      </c>
      <c r="U1665" s="158">
        <f t="shared" si="288"/>
        <v>206.84090909090909</v>
      </c>
      <c r="V1665" s="160">
        <f t="shared" si="289"/>
        <v>207</v>
      </c>
    </row>
    <row r="1666" spans="1:22" x14ac:dyDescent="0.25">
      <c r="A1666" s="98" t="s">
        <v>30</v>
      </c>
      <c r="B1666" s="98" t="s">
        <v>17</v>
      </c>
      <c r="C1666" s="98">
        <v>63</v>
      </c>
      <c r="D1666" s="98">
        <v>3440</v>
      </c>
      <c r="E1666" s="157">
        <v>41831.007638888892</v>
      </c>
      <c r="F1666" s="157">
        <v>41833.173611111109</v>
      </c>
      <c r="G1666" s="98">
        <v>511</v>
      </c>
      <c r="H1666" s="98">
        <v>528</v>
      </c>
      <c r="I1666" s="98">
        <v>479</v>
      </c>
      <c r="J1666" s="98" t="s">
        <v>2100</v>
      </c>
      <c r="K1666" s="98" t="s">
        <v>2501</v>
      </c>
      <c r="L1666" s="105" t="str">
        <f t="shared" si="280"/>
        <v>Ghent</v>
      </c>
      <c r="M1666" s="105" t="str">
        <f t="shared" si="281"/>
        <v>Derate</v>
      </c>
      <c r="N1666" s="105" t="str">
        <f t="shared" si="282"/>
        <v>Coal</v>
      </c>
      <c r="O1666" s="105">
        <f>IFERROR(VLOOKUP(A1666,Lookup!$J$5:$P$19,7,FALSE),0)</f>
        <v>3</v>
      </c>
      <c r="P1666" s="159">
        <f t="shared" si="283"/>
        <v>2014</v>
      </c>
      <c r="Q1666" s="159">
        <f t="shared" si="284"/>
        <v>7</v>
      </c>
      <c r="R1666" s="160">
        <f t="shared" si="285"/>
        <v>51.983333333220799</v>
      </c>
      <c r="S1666" s="158">
        <f t="shared" si="286"/>
        <v>1.6737058080771847</v>
      </c>
      <c r="T1666" s="161">
        <f t="shared" si="287"/>
        <v>801.70508206897148</v>
      </c>
      <c r="U1666" s="158">
        <f t="shared" si="288"/>
        <v>15.422348484848484</v>
      </c>
      <c r="V1666" s="160">
        <f t="shared" si="289"/>
        <v>15</v>
      </c>
    </row>
    <row r="1667" spans="1:22" x14ac:dyDescent="0.25">
      <c r="A1667" s="98" t="s">
        <v>30</v>
      </c>
      <c r="B1667" s="98" t="s">
        <v>17</v>
      </c>
      <c r="C1667" s="98">
        <v>64</v>
      </c>
      <c r="D1667" s="98">
        <v>1455</v>
      </c>
      <c r="E1667" s="157">
        <v>41831.530555555553</v>
      </c>
      <c r="F1667" s="157">
        <v>41831.544444444444</v>
      </c>
      <c r="G1667" s="98">
        <v>480</v>
      </c>
      <c r="H1667" s="98">
        <v>528</v>
      </c>
      <c r="I1667" s="98">
        <v>479</v>
      </c>
      <c r="J1667" s="98" t="s">
        <v>1990</v>
      </c>
      <c r="K1667" s="98" t="s">
        <v>2502</v>
      </c>
      <c r="L1667" s="105" t="str">
        <f t="shared" si="280"/>
        <v>Ghent</v>
      </c>
      <c r="M1667" s="105" t="str">
        <f t="shared" si="281"/>
        <v>Derate</v>
      </c>
      <c r="N1667" s="105" t="str">
        <f t="shared" si="282"/>
        <v>Coal</v>
      </c>
      <c r="O1667" s="105">
        <f>IFERROR(VLOOKUP(A1667,Lookup!$J$5:$P$19,7,FALSE),0)</f>
        <v>3</v>
      </c>
      <c r="P1667" s="159">
        <f t="shared" si="283"/>
        <v>2014</v>
      </c>
      <c r="Q1667" s="159">
        <f t="shared" si="284"/>
        <v>7</v>
      </c>
      <c r="R1667" s="160">
        <f t="shared" si="285"/>
        <v>0.33333333337213844</v>
      </c>
      <c r="S1667" s="158">
        <f t="shared" si="286"/>
        <v>3.0303030306558041E-2</v>
      </c>
      <c r="T1667" s="161">
        <f t="shared" si="287"/>
        <v>14.515151516841302</v>
      </c>
      <c r="U1667" s="158">
        <f t="shared" si="288"/>
        <v>43.545454545454547</v>
      </c>
      <c r="V1667" s="160">
        <f t="shared" si="289"/>
        <v>44</v>
      </c>
    </row>
    <row r="1668" spans="1:22" x14ac:dyDescent="0.25">
      <c r="A1668" s="98" t="s">
        <v>30</v>
      </c>
      <c r="B1668" s="98" t="s">
        <v>17</v>
      </c>
      <c r="C1668" s="98">
        <v>65</v>
      </c>
      <c r="D1668" s="98">
        <v>1455</v>
      </c>
      <c r="E1668" s="157">
        <v>41831.553472222222</v>
      </c>
      <c r="F1668" s="157">
        <v>41831.57916666667</v>
      </c>
      <c r="G1668" s="98">
        <v>480</v>
      </c>
      <c r="H1668" s="98">
        <v>528</v>
      </c>
      <c r="I1668" s="98">
        <v>479</v>
      </c>
      <c r="J1668" s="98" t="s">
        <v>1990</v>
      </c>
      <c r="K1668" s="98" t="s">
        <v>2503</v>
      </c>
      <c r="L1668" s="105" t="str">
        <f t="shared" si="280"/>
        <v>Ghent</v>
      </c>
      <c r="M1668" s="105" t="str">
        <f t="shared" si="281"/>
        <v>Derate</v>
      </c>
      <c r="N1668" s="105" t="str">
        <f t="shared" si="282"/>
        <v>Coal</v>
      </c>
      <c r="O1668" s="105">
        <f>IFERROR(VLOOKUP(A1668,Lookup!$J$5:$P$19,7,FALSE),0)</f>
        <v>3</v>
      </c>
      <c r="P1668" s="159">
        <f t="shared" si="283"/>
        <v>2014</v>
      </c>
      <c r="Q1668" s="159">
        <f t="shared" si="284"/>
        <v>7</v>
      </c>
      <c r="R1668" s="160">
        <f t="shared" si="285"/>
        <v>0.61666666675591841</v>
      </c>
      <c r="S1668" s="158">
        <f t="shared" si="286"/>
        <v>5.6060606068719855E-2</v>
      </c>
      <c r="T1668" s="161">
        <f t="shared" si="287"/>
        <v>26.853030306916811</v>
      </c>
      <c r="U1668" s="158">
        <f t="shared" si="288"/>
        <v>43.545454545454547</v>
      </c>
      <c r="V1668" s="160">
        <f t="shared" si="289"/>
        <v>44</v>
      </c>
    </row>
    <row r="1669" spans="1:22" x14ac:dyDescent="0.25">
      <c r="A1669" s="98" t="s">
        <v>30</v>
      </c>
      <c r="B1669" s="98" t="s">
        <v>105</v>
      </c>
      <c r="C1669" s="98">
        <v>66</v>
      </c>
      <c r="D1669" s="98">
        <v>1455</v>
      </c>
      <c r="E1669" s="157">
        <v>41831.916666666664</v>
      </c>
      <c r="F1669" s="157">
        <v>41832.179166666669</v>
      </c>
      <c r="G1669" s="98">
        <v>473</v>
      </c>
      <c r="H1669" s="98">
        <v>528</v>
      </c>
      <c r="I1669" s="98">
        <v>479</v>
      </c>
      <c r="J1669" s="98" t="s">
        <v>1990</v>
      </c>
      <c r="K1669" s="98" t="s">
        <v>2504</v>
      </c>
      <c r="L1669" s="105" t="str">
        <f t="shared" si="280"/>
        <v>Ghent</v>
      </c>
      <c r="M1669" s="105" t="str">
        <f t="shared" si="281"/>
        <v>Derate</v>
      </c>
      <c r="N1669" s="105" t="str">
        <f t="shared" si="282"/>
        <v>Coal</v>
      </c>
      <c r="O1669" s="105">
        <f>IFERROR(VLOOKUP(A1669,Lookup!$J$5:$P$19,7,FALSE),0)</f>
        <v>3</v>
      </c>
      <c r="P1669" s="159">
        <f t="shared" si="283"/>
        <v>2014</v>
      </c>
      <c r="Q1669" s="159">
        <f t="shared" si="284"/>
        <v>7</v>
      </c>
      <c r="R1669" s="160">
        <f t="shared" si="285"/>
        <v>6.3000000001047738</v>
      </c>
      <c r="S1669" s="158">
        <f t="shared" si="286"/>
        <v>0.65625000001091394</v>
      </c>
      <c r="T1669" s="161">
        <f t="shared" si="287"/>
        <v>314.34375000522778</v>
      </c>
      <c r="U1669" s="158">
        <f t="shared" si="288"/>
        <v>49.895833333333336</v>
      </c>
      <c r="V1669" s="160">
        <f t="shared" si="289"/>
        <v>50</v>
      </c>
    </row>
    <row r="1670" spans="1:22" x14ac:dyDescent="0.25">
      <c r="A1670" s="98" t="s">
        <v>30</v>
      </c>
      <c r="B1670" s="98" t="s">
        <v>105</v>
      </c>
      <c r="C1670" s="98">
        <v>67</v>
      </c>
      <c r="D1670" s="98">
        <v>1455</v>
      </c>
      <c r="E1670" s="157">
        <v>41832.916666666664</v>
      </c>
      <c r="F1670" s="157">
        <v>41832.979166666664</v>
      </c>
      <c r="G1670" s="98">
        <v>450</v>
      </c>
      <c r="H1670" s="98">
        <v>528</v>
      </c>
      <c r="I1670" s="98">
        <v>479</v>
      </c>
      <c r="J1670" s="98" t="s">
        <v>1990</v>
      </c>
      <c r="K1670" s="98" t="s">
        <v>2505</v>
      </c>
      <c r="L1670" s="105" t="str">
        <f t="shared" si="280"/>
        <v>Ghent</v>
      </c>
      <c r="M1670" s="105" t="str">
        <f t="shared" si="281"/>
        <v>Derate</v>
      </c>
      <c r="N1670" s="105" t="str">
        <f t="shared" si="282"/>
        <v>Coal</v>
      </c>
      <c r="O1670" s="105">
        <f>IFERROR(VLOOKUP(A1670,Lookup!$J$5:$P$19,7,FALSE),0)</f>
        <v>3</v>
      </c>
      <c r="P1670" s="159">
        <f t="shared" si="283"/>
        <v>2014</v>
      </c>
      <c r="Q1670" s="159">
        <f t="shared" si="284"/>
        <v>7</v>
      </c>
      <c r="R1670" s="160">
        <f t="shared" si="285"/>
        <v>1.5</v>
      </c>
      <c r="S1670" s="158">
        <f t="shared" si="286"/>
        <v>0.22159090909090909</v>
      </c>
      <c r="T1670" s="161">
        <f t="shared" si="287"/>
        <v>106.14204545454545</v>
      </c>
      <c r="U1670" s="158">
        <f t="shared" si="288"/>
        <v>70.76136363636364</v>
      </c>
      <c r="V1670" s="160">
        <f t="shared" si="289"/>
        <v>71</v>
      </c>
    </row>
    <row r="1671" spans="1:22" x14ac:dyDescent="0.25">
      <c r="A1671" s="98" t="s">
        <v>30</v>
      </c>
      <c r="B1671" s="98" t="s">
        <v>17</v>
      </c>
      <c r="C1671" s="98">
        <v>68</v>
      </c>
      <c r="D1671" s="98">
        <v>3441</v>
      </c>
      <c r="E1671" s="157">
        <v>41833.729166666664</v>
      </c>
      <c r="F1671" s="157">
        <v>41835.170138888891</v>
      </c>
      <c r="G1671" s="98">
        <v>511</v>
      </c>
      <c r="H1671" s="98">
        <v>528</v>
      </c>
      <c r="I1671" s="98">
        <v>479</v>
      </c>
      <c r="J1671" s="98" t="s">
        <v>2282</v>
      </c>
      <c r="K1671" s="98" t="s">
        <v>2506</v>
      </c>
      <c r="L1671" s="105" t="str">
        <f t="shared" si="280"/>
        <v>Ghent</v>
      </c>
      <c r="M1671" s="105" t="str">
        <f t="shared" si="281"/>
        <v>Derate</v>
      </c>
      <c r="N1671" s="105" t="str">
        <f t="shared" si="282"/>
        <v>Coal</v>
      </c>
      <c r="O1671" s="105">
        <f>IFERROR(VLOOKUP(A1671,Lookup!$J$5:$P$19,7,FALSE),0)</f>
        <v>3</v>
      </c>
      <c r="P1671" s="159">
        <f t="shared" si="283"/>
        <v>2014</v>
      </c>
      <c r="Q1671" s="159">
        <f t="shared" si="284"/>
        <v>7</v>
      </c>
      <c r="R1671" s="160">
        <f t="shared" si="285"/>
        <v>34.583333333430346</v>
      </c>
      <c r="S1671" s="158">
        <f t="shared" si="286"/>
        <v>1.113478535356659</v>
      </c>
      <c r="T1671" s="161">
        <f t="shared" si="287"/>
        <v>533.35621843583965</v>
      </c>
      <c r="U1671" s="158">
        <f t="shared" si="288"/>
        <v>15.422348484848484</v>
      </c>
      <c r="V1671" s="160">
        <f t="shared" si="289"/>
        <v>15</v>
      </c>
    </row>
    <row r="1672" spans="1:22" x14ac:dyDescent="0.25">
      <c r="A1672" s="98" t="s">
        <v>30</v>
      </c>
      <c r="B1672" s="98" t="s">
        <v>105</v>
      </c>
      <c r="C1672" s="98">
        <v>69</v>
      </c>
      <c r="D1672" s="98">
        <v>1455</v>
      </c>
      <c r="E1672" s="157">
        <v>41833.875</v>
      </c>
      <c r="F1672" s="157">
        <v>41834.236805555556</v>
      </c>
      <c r="G1672" s="98">
        <v>473</v>
      </c>
      <c r="H1672" s="98">
        <v>528</v>
      </c>
      <c r="I1672" s="98">
        <v>479</v>
      </c>
      <c r="J1672" s="98" t="s">
        <v>1990</v>
      </c>
      <c r="K1672" s="98" t="s">
        <v>2507</v>
      </c>
      <c r="L1672" s="105" t="str">
        <f t="shared" si="280"/>
        <v>Ghent</v>
      </c>
      <c r="M1672" s="105" t="str">
        <f t="shared" si="281"/>
        <v>Derate</v>
      </c>
      <c r="N1672" s="105" t="str">
        <f t="shared" si="282"/>
        <v>Coal</v>
      </c>
      <c r="O1672" s="105">
        <f>IFERROR(VLOOKUP(A1672,Lookup!$J$5:$P$19,7,FALSE),0)</f>
        <v>3</v>
      </c>
      <c r="P1672" s="159">
        <f t="shared" si="283"/>
        <v>2014</v>
      </c>
      <c r="Q1672" s="159">
        <f t="shared" si="284"/>
        <v>7</v>
      </c>
      <c r="R1672" s="160">
        <f t="shared" si="285"/>
        <v>8.6833333333488554</v>
      </c>
      <c r="S1672" s="158">
        <f t="shared" si="286"/>
        <v>0.90451388889050577</v>
      </c>
      <c r="T1672" s="161">
        <f t="shared" si="287"/>
        <v>433.26215277855226</v>
      </c>
      <c r="U1672" s="158">
        <f t="shared" si="288"/>
        <v>49.895833333333336</v>
      </c>
      <c r="V1672" s="160">
        <f t="shared" si="289"/>
        <v>50</v>
      </c>
    </row>
    <row r="1673" spans="1:22" x14ac:dyDescent="0.25">
      <c r="A1673" s="98" t="s">
        <v>30</v>
      </c>
      <c r="B1673" s="98" t="s">
        <v>32</v>
      </c>
      <c r="C1673" s="98">
        <v>70</v>
      </c>
      <c r="D1673" s="98">
        <v>1470</v>
      </c>
      <c r="E1673" s="157">
        <v>41839.25</v>
      </c>
      <c r="F1673" s="157">
        <v>41839.673611111109</v>
      </c>
      <c r="G1673" s="98">
        <v>450</v>
      </c>
      <c r="H1673" s="98">
        <v>528</v>
      </c>
      <c r="I1673" s="98">
        <v>479</v>
      </c>
      <c r="J1673" s="98" t="s">
        <v>2005</v>
      </c>
      <c r="K1673" s="98" t="s">
        <v>2508</v>
      </c>
      <c r="L1673" s="105" t="str">
        <f t="shared" si="280"/>
        <v>Ghent</v>
      </c>
      <c r="M1673" s="105" t="str">
        <f t="shared" si="281"/>
        <v>Derate</v>
      </c>
      <c r="N1673" s="105" t="str">
        <f t="shared" si="282"/>
        <v>Coal</v>
      </c>
      <c r="O1673" s="105">
        <f>IFERROR(VLOOKUP(A1673,Lookup!$J$5:$P$19,7,FALSE),0)</f>
        <v>3</v>
      </c>
      <c r="P1673" s="159">
        <f t="shared" si="283"/>
        <v>2014</v>
      </c>
      <c r="Q1673" s="159">
        <f t="shared" si="284"/>
        <v>7</v>
      </c>
      <c r="R1673" s="160">
        <f t="shared" si="285"/>
        <v>10.166666666627862</v>
      </c>
      <c r="S1673" s="158">
        <f t="shared" si="286"/>
        <v>1.5018939393882069</v>
      </c>
      <c r="T1673" s="161">
        <f t="shared" si="287"/>
        <v>719.40719696695112</v>
      </c>
      <c r="U1673" s="158">
        <f t="shared" si="288"/>
        <v>70.76136363636364</v>
      </c>
      <c r="V1673" s="160">
        <f t="shared" si="289"/>
        <v>71</v>
      </c>
    </row>
    <row r="1674" spans="1:22" x14ac:dyDescent="0.25">
      <c r="A1674" s="98" t="s">
        <v>30</v>
      </c>
      <c r="B1674" s="98" t="s">
        <v>17</v>
      </c>
      <c r="C1674" s="98">
        <v>71</v>
      </c>
      <c r="D1674" s="98">
        <v>3410</v>
      </c>
      <c r="E1674" s="157">
        <v>41845.097916666666</v>
      </c>
      <c r="F1674" s="157">
        <v>41845.129166666666</v>
      </c>
      <c r="G1674" s="98">
        <v>300</v>
      </c>
      <c r="H1674" s="98">
        <v>528</v>
      </c>
      <c r="I1674" s="98">
        <v>479</v>
      </c>
      <c r="J1674" s="98" t="s">
        <v>1983</v>
      </c>
      <c r="K1674" s="98" t="s">
        <v>2509</v>
      </c>
      <c r="L1674" s="105" t="str">
        <f t="shared" si="280"/>
        <v>Ghent</v>
      </c>
      <c r="M1674" s="105" t="str">
        <f t="shared" si="281"/>
        <v>Derate</v>
      </c>
      <c r="N1674" s="105" t="str">
        <f t="shared" si="282"/>
        <v>Coal</v>
      </c>
      <c r="O1674" s="105">
        <f>IFERROR(VLOOKUP(A1674,Lookup!$J$5:$P$19,7,FALSE),0)</f>
        <v>3</v>
      </c>
      <c r="P1674" s="159">
        <f t="shared" si="283"/>
        <v>2014</v>
      </c>
      <c r="Q1674" s="159">
        <f t="shared" si="284"/>
        <v>7</v>
      </c>
      <c r="R1674" s="160">
        <f t="shared" si="285"/>
        <v>0.75</v>
      </c>
      <c r="S1674" s="158">
        <f t="shared" si="286"/>
        <v>0.32386363636363635</v>
      </c>
      <c r="T1674" s="161">
        <f t="shared" si="287"/>
        <v>155.13068181818181</v>
      </c>
      <c r="U1674" s="158">
        <f t="shared" si="288"/>
        <v>206.84090909090909</v>
      </c>
      <c r="V1674" s="160">
        <f t="shared" si="289"/>
        <v>207</v>
      </c>
    </row>
    <row r="1675" spans="1:22" x14ac:dyDescent="0.25">
      <c r="A1675" s="98" t="s">
        <v>30</v>
      </c>
      <c r="B1675" s="98" t="s">
        <v>32</v>
      </c>
      <c r="C1675" s="98">
        <v>72</v>
      </c>
      <c r="D1675" s="98">
        <v>3682</v>
      </c>
      <c r="E1675" s="157">
        <v>41849.208333333336</v>
      </c>
      <c r="F1675" s="157">
        <v>41849.697222222225</v>
      </c>
      <c r="G1675" s="98">
        <v>250</v>
      </c>
      <c r="H1675" s="98">
        <v>528</v>
      </c>
      <c r="I1675" s="98">
        <v>479</v>
      </c>
      <c r="J1675" s="98" t="s">
        <v>2401</v>
      </c>
      <c r="K1675" s="98" t="s">
        <v>2510</v>
      </c>
      <c r="L1675" s="105" t="str">
        <f t="shared" si="280"/>
        <v>Ghent</v>
      </c>
      <c r="M1675" s="105" t="str">
        <f t="shared" si="281"/>
        <v>Derate</v>
      </c>
      <c r="N1675" s="105" t="str">
        <f t="shared" si="282"/>
        <v>Coal</v>
      </c>
      <c r="O1675" s="105">
        <f>IFERROR(VLOOKUP(A1675,Lookup!$J$5:$P$19,7,FALSE),0)</f>
        <v>3</v>
      </c>
      <c r="P1675" s="159">
        <f t="shared" si="283"/>
        <v>2014</v>
      </c>
      <c r="Q1675" s="159">
        <f t="shared" si="284"/>
        <v>7</v>
      </c>
      <c r="R1675" s="160">
        <f t="shared" si="285"/>
        <v>11.733333333337214</v>
      </c>
      <c r="S1675" s="158">
        <f t="shared" si="286"/>
        <v>6.1777777777798208</v>
      </c>
      <c r="T1675" s="161">
        <f t="shared" si="287"/>
        <v>2959.1555555565342</v>
      </c>
      <c r="U1675" s="158">
        <f t="shared" si="288"/>
        <v>252.20075757575756</v>
      </c>
      <c r="V1675" s="160">
        <f t="shared" si="289"/>
        <v>252</v>
      </c>
    </row>
    <row r="1676" spans="1:22" x14ac:dyDescent="0.25">
      <c r="A1676" s="98" t="s">
        <v>30</v>
      </c>
      <c r="B1676" s="98" t="s">
        <v>32</v>
      </c>
      <c r="C1676" s="98">
        <v>73</v>
      </c>
      <c r="D1676" s="98">
        <v>3441</v>
      </c>
      <c r="E1676" s="157">
        <v>41855.916666666664</v>
      </c>
      <c r="F1676" s="157">
        <v>41856.22152777778</v>
      </c>
      <c r="G1676" s="98">
        <v>511</v>
      </c>
      <c r="H1676" s="98">
        <v>528</v>
      </c>
      <c r="I1676" s="98">
        <v>479</v>
      </c>
      <c r="J1676" s="98" t="s">
        <v>2282</v>
      </c>
      <c r="K1676" s="98" t="s">
        <v>2511</v>
      </c>
      <c r="L1676" s="105" t="str">
        <f t="shared" si="280"/>
        <v>Ghent</v>
      </c>
      <c r="M1676" s="105" t="str">
        <f t="shared" si="281"/>
        <v>Derate</v>
      </c>
      <c r="N1676" s="105" t="str">
        <f t="shared" si="282"/>
        <v>Coal</v>
      </c>
      <c r="O1676" s="105">
        <f>IFERROR(VLOOKUP(A1676,Lookup!$J$5:$P$19,7,FALSE),0)</f>
        <v>3</v>
      </c>
      <c r="P1676" s="159">
        <f t="shared" si="283"/>
        <v>2014</v>
      </c>
      <c r="Q1676" s="159">
        <f t="shared" si="284"/>
        <v>8</v>
      </c>
      <c r="R1676" s="160">
        <f t="shared" si="285"/>
        <v>7.3166666667675599</v>
      </c>
      <c r="S1676" s="158">
        <f t="shared" si="286"/>
        <v>0.23557449495274341</v>
      </c>
      <c r="T1676" s="161">
        <f t="shared" si="287"/>
        <v>112.84018308236409</v>
      </c>
      <c r="U1676" s="158">
        <f t="shared" si="288"/>
        <v>15.422348484848484</v>
      </c>
      <c r="V1676" s="160">
        <f t="shared" si="289"/>
        <v>15</v>
      </c>
    </row>
    <row r="1677" spans="1:22" x14ac:dyDescent="0.25">
      <c r="A1677" s="98" t="s">
        <v>30</v>
      </c>
      <c r="B1677" s="98" t="s">
        <v>32</v>
      </c>
      <c r="C1677" s="98">
        <v>74</v>
      </c>
      <c r="D1677" s="98">
        <v>1455</v>
      </c>
      <c r="E1677" s="157">
        <v>41859.916666666664</v>
      </c>
      <c r="F1677" s="157">
        <v>41860.179166666669</v>
      </c>
      <c r="G1677" s="98">
        <v>465</v>
      </c>
      <c r="H1677" s="98">
        <v>528</v>
      </c>
      <c r="I1677" s="98">
        <v>479</v>
      </c>
      <c r="J1677" s="98" t="s">
        <v>1990</v>
      </c>
      <c r="K1677" s="98" t="s">
        <v>2512</v>
      </c>
      <c r="L1677" s="105" t="str">
        <f t="shared" si="280"/>
        <v>Ghent</v>
      </c>
      <c r="M1677" s="105" t="str">
        <f t="shared" si="281"/>
        <v>Derate</v>
      </c>
      <c r="N1677" s="105" t="str">
        <f t="shared" si="282"/>
        <v>Coal</v>
      </c>
      <c r="O1677" s="105">
        <f>IFERROR(VLOOKUP(A1677,Lookup!$J$5:$P$19,7,FALSE),0)</f>
        <v>3</v>
      </c>
      <c r="P1677" s="159">
        <f t="shared" si="283"/>
        <v>2014</v>
      </c>
      <c r="Q1677" s="159">
        <f t="shared" si="284"/>
        <v>8</v>
      </c>
      <c r="R1677" s="160">
        <f t="shared" si="285"/>
        <v>6.3000000001047738</v>
      </c>
      <c r="S1677" s="158">
        <f t="shared" si="286"/>
        <v>0.7517045454670469</v>
      </c>
      <c r="T1677" s="161">
        <f t="shared" si="287"/>
        <v>360.06647727871547</v>
      </c>
      <c r="U1677" s="158">
        <f t="shared" si="288"/>
        <v>57.153409090909093</v>
      </c>
      <c r="V1677" s="160">
        <f t="shared" si="289"/>
        <v>57</v>
      </c>
    </row>
    <row r="1678" spans="1:22" x14ac:dyDescent="0.25">
      <c r="A1678" s="98" t="s">
        <v>30</v>
      </c>
      <c r="B1678" s="98" t="s">
        <v>17</v>
      </c>
      <c r="C1678" s="98">
        <v>75</v>
      </c>
      <c r="D1678" s="98">
        <v>3410</v>
      </c>
      <c r="E1678" s="157">
        <v>41861.740277777775</v>
      </c>
      <c r="F1678" s="157">
        <v>41861.805555555555</v>
      </c>
      <c r="G1678" s="98">
        <v>285</v>
      </c>
      <c r="H1678" s="98">
        <v>528</v>
      </c>
      <c r="I1678" s="98">
        <v>479</v>
      </c>
      <c r="J1678" s="98" t="s">
        <v>1983</v>
      </c>
      <c r="K1678" s="98" t="s">
        <v>2513</v>
      </c>
      <c r="L1678" s="105" t="str">
        <f t="shared" si="280"/>
        <v>Ghent</v>
      </c>
      <c r="M1678" s="105" t="str">
        <f t="shared" si="281"/>
        <v>Derate</v>
      </c>
      <c r="N1678" s="105" t="str">
        <f t="shared" si="282"/>
        <v>Coal</v>
      </c>
      <c r="O1678" s="105">
        <f>IFERROR(VLOOKUP(A1678,Lookup!$J$5:$P$19,7,FALSE),0)</f>
        <v>3</v>
      </c>
      <c r="P1678" s="159">
        <f t="shared" si="283"/>
        <v>2014</v>
      </c>
      <c r="Q1678" s="159">
        <f t="shared" si="284"/>
        <v>8</v>
      </c>
      <c r="R1678" s="160">
        <f t="shared" si="285"/>
        <v>1.5666666667093523</v>
      </c>
      <c r="S1678" s="158">
        <f t="shared" si="286"/>
        <v>0.72102272729237238</v>
      </c>
      <c r="T1678" s="161">
        <f t="shared" si="287"/>
        <v>345.36988637304637</v>
      </c>
      <c r="U1678" s="158">
        <f t="shared" si="288"/>
        <v>220.44886363636363</v>
      </c>
      <c r="V1678" s="160">
        <f t="shared" si="289"/>
        <v>220</v>
      </c>
    </row>
    <row r="1679" spans="1:22" x14ac:dyDescent="0.25">
      <c r="A1679" s="98" t="s">
        <v>30</v>
      </c>
      <c r="B1679" s="98" t="s">
        <v>17</v>
      </c>
      <c r="C1679" s="98">
        <v>76</v>
      </c>
      <c r="D1679" s="98">
        <v>1455</v>
      </c>
      <c r="E1679" s="157">
        <v>41862.338194444441</v>
      </c>
      <c r="F1679" s="157">
        <v>41862.877083333333</v>
      </c>
      <c r="G1679" s="98">
        <v>483</v>
      </c>
      <c r="H1679" s="98">
        <v>528</v>
      </c>
      <c r="I1679" s="98">
        <v>479</v>
      </c>
      <c r="J1679" s="98" t="s">
        <v>1990</v>
      </c>
      <c r="K1679" s="98" t="s">
        <v>2514</v>
      </c>
      <c r="L1679" s="105" t="str">
        <f t="shared" si="280"/>
        <v>Ghent</v>
      </c>
      <c r="M1679" s="105" t="str">
        <f t="shared" si="281"/>
        <v>Derate</v>
      </c>
      <c r="N1679" s="105" t="str">
        <f t="shared" si="282"/>
        <v>Coal</v>
      </c>
      <c r="O1679" s="105">
        <f>IFERROR(VLOOKUP(A1679,Lookup!$J$5:$P$19,7,FALSE),0)</f>
        <v>3</v>
      </c>
      <c r="P1679" s="159">
        <f t="shared" si="283"/>
        <v>2014</v>
      </c>
      <c r="Q1679" s="159">
        <f t="shared" si="284"/>
        <v>8</v>
      </c>
      <c r="R1679" s="160">
        <f t="shared" si="285"/>
        <v>12.933333333407063</v>
      </c>
      <c r="S1679" s="158">
        <f t="shared" si="286"/>
        <v>1.1022727272790112</v>
      </c>
      <c r="T1679" s="161">
        <f t="shared" si="287"/>
        <v>527.98863636664635</v>
      </c>
      <c r="U1679" s="158">
        <f t="shared" si="288"/>
        <v>40.823863636363633</v>
      </c>
      <c r="V1679" s="160">
        <f t="shared" si="289"/>
        <v>41</v>
      </c>
    </row>
    <row r="1680" spans="1:22" x14ac:dyDescent="0.25">
      <c r="A1680" s="98" t="s">
        <v>30</v>
      </c>
      <c r="B1680" s="98" t="s">
        <v>17</v>
      </c>
      <c r="C1680" s="98">
        <v>77</v>
      </c>
      <c r="D1680" s="98">
        <v>340</v>
      </c>
      <c r="E1680" s="157">
        <v>41872.736111111109</v>
      </c>
      <c r="F1680" s="157">
        <v>41872.74722222222</v>
      </c>
      <c r="G1680" s="98">
        <v>440</v>
      </c>
      <c r="H1680" s="98">
        <v>528</v>
      </c>
      <c r="I1680" s="98">
        <v>479</v>
      </c>
      <c r="J1680" s="98" t="s">
        <v>1970</v>
      </c>
      <c r="K1680" s="98" t="s">
        <v>2515</v>
      </c>
      <c r="L1680" s="105" t="str">
        <f t="shared" si="280"/>
        <v>Ghent</v>
      </c>
      <c r="M1680" s="105" t="str">
        <f t="shared" si="281"/>
        <v>Derate</v>
      </c>
      <c r="N1680" s="105" t="str">
        <f t="shared" si="282"/>
        <v>Coal</v>
      </c>
      <c r="O1680" s="105">
        <f>IFERROR(VLOOKUP(A1680,Lookup!$J$5:$P$19,7,FALSE),0)</f>
        <v>3</v>
      </c>
      <c r="P1680" s="159">
        <f t="shared" si="283"/>
        <v>2014</v>
      </c>
      <c r="Q1680" s="159">
        <f t="shared" si="284"/>
        <v>8</v>
      </c>
      <c r="R1680" s="160">
        <f t="shared" si="285"/>
        <v>0.26666666666278616</v>
      </c>
      <c r="S1680" s="158">
        <f t="shared" si="286"/>
        <v>4.4444444443797693E-2</v>
      </c>
      <c r="T1680" s="161">
        <f t="shared" si="287"/>
        <v>21.288888888579095</v>
      </c>
      <c r="U1680" s="158">
        <f t="shared" si="288"/>
        <v>79.833333333333329</v>
      </c>
      <c r="V1680" s="160">
        <f t="shared" si="289"/>
        <v>80</v>
      </c>
    </row>
    <row r="1681" spans="1:22" x14ac:dyDescent="0.25">
      <c r="A1681" s="98" t="s">
        <v>30</v>
      </c>
      <c r="B1681" s="98" t="s">
        <v>17</v>
      </c>
      <c r="C1681" s="98">
        <v>78</v>
      </c>
      <c r="D1681" s="98">
        <v>4499</v>
      </c>
      <c r="E1681" s="157">
        <v>41880.592361111114</v>
      </c>
      <c r="F1681" s="157">
        <v>41881.0625</v>
      </c>
      <c r="G1681" s="98">
        <v>530</v>
      </c>
      <c r="H1681" s="98">
        <v>528</v>
      </c>
      <c r="I1681" s="98">
        <v>479</v>
      </c>
      <c r="J1681" s="98" t="s">
        <v>2082</v>
      </c>
      <c r="K1681" s="98" t="s">
        <v>2516</v>
      </c>
      <c r="L1681" s="105" t="str">
        <f t="shared" si="280"/>
        <v>Ghent</v>
      </c>
      <c r="M1681" s="105" t="str">
        <f t="shared" si="281"/>
        <v>Derate</v>
      </c>
      <c r="N1681" s="105" t="str">
        <f t="shared" si="282"/>
        <v>Coal</v>
      </c>
      <c r="O1681" s="105">
        <f>IFERROR(VLOOKUP(A1681,Lookup!$J$5:$P$19,7,FALSE),0)</f>
        <v>3</v>
      </c>
      <c r="P1681" s="159">
        <f t="shared" si="283"/>
        <v>2014</v>
      </c>
      <c r="Q1681" s="159">
        <f t="shared" si="284"/>
        <v>8</v>
      </c>
      <c r="R1681" s="160">
        <f t="shared" si="285"/>
        <v>11.283333333267365</v>
      </c>
      <c r="S1681" s="158">
        <f t="shared" si="286"/>
        <v>-4.2739898989649111E-2</v>
      </c>
      <c r="T1681" s="161">
        <f t="shared" si="287"/>
        <v>-20.472411616041924</v>
      </c>
      <c r="U1681" s="158">
        <f t="shared" si="288"/>
        <v>0</v>
      </c>
      <c r="V1681" s="160">
        <f t="shared" si="289"/>
        <v>0</v>
      </c>
    </row>
    <row r="1682" spans="1:22" x14ac:dyDescent="0.25">
      <c r="A1682" s="98" t="s">
        <v>30</v>
      </c>
      <c r="B1682" s="98" t="s">
        <v>17</v>
      </c>
      <c r="C1682" s="98">
        <v>79</v>
      </c>
      <c r="D1682" s="98">
        <v>4499</v>
      </c>
      <c r="E1682" s="157">
        <v>41881.275000000001</v>
      </c>
      <c r="F1682" s="157">
        <v>41882.465277777781</v>
      </c>
      <c r="G1682" s="98">
        <v>522</v>
      </c>
      <c r="H1682" s="98">
        <v>528</v>
      </c>
      <c r="I1682" s="98">
        <v>479</v>
      </c>
      <c r="J1682" s="98" t="s">
        <v>2082</v>
      </c>
      <c r="K1682" s="98" t="s">
        <v>2517</v>
      </c>
      <c r="L1682" s="105" t="str">
        <f t="shared" si="280"/>
        <v>Ghent</v>
      </c>
      <c r="M1682" s="105" t="str">
        <f t="shared" si="281"/>
        <v>Derate</v>
      </c>
      <c r="N1682" s="105" t="str">
        <f t="shared" si="282"/>
        <v>Coal</v>
      </c>
      <c r="O1682" s="105">
        <f>IFERROR(VLOOKUP(A1682,Lookup!$J$5:$P$19,7,FALSE),0)</f>
        <v>3</v>
      </c>
      <c r="P1682" s="159">
        <f t="shared" si="283"/>
        <v>2014</v>
      </c>
      <c r="Q1682" s="159">
        <f t="shared" si="284"/>
        <v>8</v>
      </c>
      <c r="R1682" s="160">
        <f t="shared" si="285"/>
        <v>28.566666666709352</v>
      </c>
      <c r="S1682" s="158">
        <f t="shared" si="286"/>
        <v>0.3246212121216972</v>
      </c>
      <c r="T1682" s="161">
        <f t="shared" si="287"/>
        <v>155.49356060629296</v>
      </c>
      <c r="U1682" s="158">
        <f t="shared" si="288"/>
        <v>5.4431818181818183</v>
      </c>
      <c r="V1682" s="160">
        <f t="shared" si="289"/>
        <v>5</v>
      </c>
    </row>
    <row r="1683" spans="1:22" x14ac:dyDescent="0.25">
      <c r="A1683" s="98" t="s">
        <v>30</v>
      </c>
      <c r="B1683" s="98" t="s">
        <v>32</v>
      </c>
      <c r="C1683" s="98">
        <v>80</v>
      </c>
      <c r="D1683" s="98">
        <v>1455</v>
      </c>
      <c r="E1683" s="157">
        <v>41887.916666666664</v>
      </c>
      <c r="F1683" s="157">
        <v>41888.816666666666</v>
      </c>
      <c r="G1683" s="98">
        <v>470</v>
      </c>
      <c r="H1683" s="98">
        <v>528</v>
      </c>
      <c r="I1683" s="98">
        <v>479</v>
      </c>
      <c r="J1683" s="98" t="s">
        <v>1990</v>
      </c>
      <c r="K1683" s="98" t="s">
        <v>2518</v>
      </c>
      <c r="L1683" s="105" t="str">
        <f t="shared" si="280"/>
        <v>Ghent</v>
      </c>
      <c r="M1683" s="105" t="str">
        <f t="shared" si="281"/>
        <v>Derate</v>
      </c>
      <c r="N1683" s="105" t="str">
        <f t="shared" si="282"/>
        <v>Coal</v>
      </c>
      <c r="O1683" s="105">
        <f>IFERROR(VLOOKUP(A1683,Lookup!$J$5:$P$19,7,FALSE),0)</f>
        <v>3</v>
      </c>
      <c r="P1683" s="159">
        <f t="shared" si="283"/>
        <v>2014</v>
      </c>
      <c r="Q1683" s="159">
        <f t="shared" si="284"/>
        <v>9</v>
      </c>
      <c r="R1683" s="160">
        <f t="shared" si="285"/>
        <v>21.600000000034925</v>
      </c>
      <c r="S1683" s="158">
        <f t="shared" si="286"/>
        <v>2.3727272727311091</v>
      </c>
      <c r="T1683" s="161">
        <f t="shared" si="287"/>
        <v>1136.5363636382012</v>
      </c>
      <c r="U1683" s="158">
        <f t="shared" si="288"/>
        <v>52.617424242424242</v>
      </c>
      <c r="V1683" s="160">
        <f t="shared" si="289"/>
        <v>53</v>
      </c>
    </row>
    <row r="1684" spans="1:22" x14ac:dyDescent="0.25">
      <c r="A1684" s="98" t="s">
        <v>30</v>
      </c>
      <c r="B1684" s="98" t="s">
        <v>17</v>
      </c>
      <c r="C1684" s="98">
        <v>81</v>
      </c>
      <c r="D1684" s="98">
        <v>9210</v>
      </c>
      <c r="E1684" s="157">
        <v>41899.439583333333</v>
      </c>
      <c r="F1684" s="157">
        <v>41899.995138888888</v>
      </c>
      <c r="G1684" s="98">
        <v>480</v>
      </c>
      <c r="H1684" s="98">
        <v>528</v>
      </c>
      <c r="I1684" s="98">
        <v>479</v>
      </c>
      <c r="J1684" s="98" t="s">
        <v>2305</v>
      </c>
      <c r="K1684" s="98" t="s">
        <v>2519</v>
      </c>
      <c r="L1684" s="105" t="str">
        <f t="shared" si="280"/>
        <v>Ghent</v>
      </c>
      <c r="M1684" s="105" t="str">
        <f t="shared" si="281"/>
        <v>Derate</v>
      </c>
      <c r="N1684" s="105" t="str">
        <f t="shared" si="282"/>
        <v>Coal</v>
      </c>
      <c r="O1684" s="105">
        <f>IFERROR(VLOOKUP(A1684,Lookup!$J$5:$P$19,7,FALSE),0)</f>
        <v>3</v>
      </c>
      <c r="P1684" s="159">
        <f t="shared" si="283"/>
        <v>2014</v>
      </c>
      <c r="Q1684" s="159">
        <f t="shared" si="284"/>
        <v>9</v>
      </c>
      <c r="R1684" s="160">
        <f t="shared" si="285"/>
        <v>13.333333333313931</v>
      </c>
      <c r="S1684" s="158">
        <f t="shared" si="286"/>
        <v>1.2121212121194482</v>
      </c>
      <c r="T1684" s="161">
        <f t="shared" si="287"/>
        <v>580.6060606052157</v>
      </c>
      <c r="U1684" s="158">
        <f t="shared" si="288"/>
        <v>43.545454545454547</v>
      </c>
      <c r="V1684" s="160">
        <f t="shared" si="289"/>
        <v>44</v>
      </c>
    </row>
    <row r="1685" spans="1:22" x14ac:dyDescent="0.25">
      <c r="A1685" s="98" t="s">
        <v>30</v>
      </c>
      <c r="B1685" s="98" t="s">
        <v>17</v>
      </c>
      <c r="C1685" s="98">
        <v>82</v>
      </c>
      <c r="D1685" s="98">
        <v>9210</v>
      </c>
      <c r="E1685" s="157">
        <v>41900.140277777777</v>
      </c>
      <c r="F1685" s="157">
        <v>41900.184027777781</v>
      </c>
      <c r="G1685" s="98">
        <v>490</v>
      </c>
      <c r="H1685" s="98">
        <v>528</v>
      </c>
      <c r="I1685" s="98">
        <v>479</v>
      </c>
      <c r="J1685" s="98" t="s">
        <v>2305</v>
      </c>
      <c r="K1685" s="98" t="s">
        <v>2520</v>
      </c>
      <c r="L1685" s="105" t="str">
        <f t="shared" si="280"/>
        <v>Ghent</v>
      </c>
      <c r="M1685" s="105" t="str">
        <f t="shared" si="281"/>
        <v>Derate</v>
      </c>
      <c r="N1685" s="105" t="str">
        <f t="shared" si="282"/>
        <v>Coal</v>
      </c>
      <c r="O1685" s="105">
        <f>IFERROR(VLOOKUP(A1685,Lookup!$J$5:$P$19,7,FALSE),0)</f>
        <v>3</v>
      </c>
      <c r="P1685" s="159">
        <f t="shared" si="283"/>
        <v>2014</v>
      </c>
      <c r="Q1685" s="159">
        <f t="shared" si="284"/>
        <v>9</v>
      </c>
      <c r="R1685" s="160">
        <f t="shared" si="285"/>
        <v>1.0500000001047738</v>
      </c>
      <c r="S1685" s="158">
        <f t="shared" si="286"/>
        <v>7.556818182572235E-2</v>
      </c>
      <c r="T1685" s="161">
        <f t="shared" si="287"/>
        <v>36.197159094521005</v>
      </c>
      <c r="U1685" s="158">
        <f t="shared" si="288"/>
        <v>34.473484848484851</v>
      </c>
      <c r="V1685" s="160">
        <f t="shared" si="289"/>
        <v>34</v>
      </c>
    </row>
    <row r="1686" spans="1:22" x14ac:dyDescent="0.25">
      <c r="A1686" s="98" t="s">
        <v>30</v>
      </c>
      <c r="B1686" s="98" t="s">
        <v>17</v>
      </c>
      <c r="C1686" s="98">
        <v>83</v>
      </c>
      <c r="D1686" s="98">
        <v>1470</v>
      </c>
      <c r="E1686" s="157">
        <v>41906.410416666666</v>
      </c>
      <c r="F1686" s="157">
        <v>41906.452777777777</v>
      </c>
      <c r="G1686" s="98">
        <v>450</v>
      </c>
      <c r="H1686" s="98">
        <v>528</v>
      </c>
      <c r="I1686" s="98">
        <v>479</v>
      </c>
      <c r="J1686" s="98" t="s">
        <v>2005</v>
      </c>
      <c r="K1686" s="98" t="s">
        <v>2521</v>
      </c>
      <c r="L1686" s="105" t="str">
        <f t="shared" si="280"/>
        <v>Ghent</v>
      </c>
      <c r="M1686" s="105" t="str">
        <f t="shared" si="281"/>
        <v>Derate</v>
      </c>
      <c r="N1686" s="105" t="str">
        <f t="shared" si="282"/>
        <v>Coal</v>
      </c>
      <c r="O1686" s="105">
        <f>IFERROR(VLOOKUP(A1686,Lookup!$J$5:$P$19,7,FALSE),0)</f>
        <v>3</v>
      </c>
      <c r="P1686" s="159">
        <f t="shared" si="283"/>
        <v>2014</v>
      </c>
      <c r="Q1686" s="159">
        <f t="shared" si="284"/>
        <v>9</v>
      </c>
      <c r="R1686" s="160">
        <f t="shared" si="285"/>
        <v>1.0166666666627862</v>
      </c>
      <c r="S1686" s="158">
        <f t="shared" si="286"/>
        <v>0.15018939393882069</v>
      </c>
      <c r="T1686" s="161">
        <f t="shared" si="287"/>
        <v>71.940719696695112</v>
      </c>
      <c r="U1686" s="158">
        <f t="shared" si="288"/>
        <v>70.76136363636364</v>
      </c>
      <c r="V1686" s="160">
        <f t="shared" si="289"/>
        <v>71</v>
      </c>
    </row>
    <row r="1687" spans="1:22" x14ac:dyDescent="0.25">
      <c r="A1687" s="98" t="s">
        <v>30</v>
      </c>
      <c r="B1687" s="98" t="s">
        <v>15</v>
      </c>
      <c r="C1687" s="98">
        <v>84</v>
      </c>
      <c r="D1687" s="98">
        <v>3408</v>
      </c>
      <c r="E1687" s="157">
        <v>41907.570833333331</v>
      </c>
      <c r="F1687" s="157">
        <v>41907.601388888892</v>
      </c>
      <c r="G1687" s="98">
        <v>0</v>
      </c>
      <c r="H1687" s="98">
        <v>528</v>
      </c>
      <c r="I1687" s="98">
        <v>479</v>
      </c>
      <c r="J1687" s="98" t="s">
        <v>2195</v>
      </c>
      <c r="K1687" s="98" t="s">
        <v>2522</v>
      </c>
      <c r="L1687" s="105" t="str">
        <f t="shared" si="280"/>
        <v>Ghent</v>
      </c>
      <c r="M1687" s="105" t="str">
        <f t="shared" si="281"/>
        <v>Outage</v>
      </c>
      <c r="N1687" s="105" t="str">
        <f t="shared" si="282"/>
        <v>Coal</v>
      </c>
      <c r="O1687" s="105">
        <f>IFERROR(VLOOKUP(A1687,Lookup!$J$5:$P$19,7,FALSE),0)</f>
        <v>3</v>
      </c>
      <c r="P1687" s="159">
        <f t="shared" si="283"/>
        <v>2014</v>
      </c>
      <c r="Q1687" s="159">
        <f t="shared" si="284"/>
        <v>9</v>
      </c>
      <c r="R1687" s="160">
        <f t="shared" si="285"/>
        <v>0.73333333345362917</v>
      </c>
      <c r="S1687" s="158">
        <f t="shared" si="286"/>
        <v>0.73333333345362917</v>
      </c>
      <c r="T1687" s="161">
        <f t="shared" si="287"/>
        <v>351.26666672428837</v>
      </c>
      <c r="U1687" s="158">
        <f t="shared" si="288"/>
        <v>479</v>
      </c>
      <c r="V1687" s="160">
        <f t="shared" si="289"/>
        <v>479</v>
      </c>
    </row>
    <row r="1688" spans="1:22" x14ac:dyDescent="0.25">
      <c r="A1688" s="98" t="s">
        <v>30</v>
      </c>
      <c r="B1688" s="98" t="s">
        <v>20</v>
      </c>
      <c r="C1688" s="98">
        <v>85</v>
      </c>
      <c r="D1688" s="98">
        <v>1493</v>
      </c>
      <c r="E1688" s="157">
        <v>41915.696527777778</v>
      </c>
      <c r="F1688" s="157">
        <v>41919.211111111108</v>
      </c>
      <c r="G1688" s="98">
        <v>0</v>
      </c>
      <c r="H1688" s="98">
        <v>528</v>
      </c>
      <c r="I1688" s="98">
        <v>479</v>
      </c>
      <c r="J1688" s="98" t="s">
        <v>2185</v>
      </c>
      <c r="K1688" s="98" t="s">
        <v>2523</v>
      </c>
      <c r="L1688" s="105" t="str">
        <f t="shared" si="280"/>
        <v>Ghent</v>
      </c>
      <c r="M1688" s="105" t="str">
        <f t="shared" si="281"/>
        <v>Maintenance</v>
      </c>
      <c r="N1688" s="105" t="str">
        <f t="shared" si="282"/>
        <v>Coal</v>
      </c>
      <c r="O1688" s="105">
        <f>IFERROR(VLOOKUP(A1688,Lookup!$J$5:$P$19,7,FALSE),0)</f>
        <v>3</v>
      </c>
      <c r="P1688" s="159">
        <f t="shared" si="283"/>
        <v>2014</v>
      </c>
      <c r="Q1688" s="159">
        <f t="shared" si="284"/>
        <v>10</v>
      </c>
      <c r="R1688" s="160">
        <f t="shared" si="285"/>
        <v>84.349999999918509</v>
      </c>
      <c r="S1688" s="158">
        <f t="shared" si="286"/>
        <v>84.349999999918509</v>
      </c>
      <c r="T1688" s="161">
        <f t="shared" si="287"/>
        <v>40403.649999960966</v>
      </c>
      <c r="U1688" s="158">
        <f t="shared" si="288"/>
        <v>479</v>
      </c>
      <c r="V1688" s="160">
        <f t="shared" si="289"/>
        <v>479</v>
      </c>
    </row>
    <row r="1689" spans="1:22" x14ac:dyDescent="0.25">
      <c r="A1689" s="98" t="s">
        <v>30</v>
      </c>
      <c r="B1689" s="98" t="s">
        <v>17</v>
      </c>
      <c r="C1689" s="98">
        <v>86</v>
      </c>
      <c r="D1689" s="98">
        <v>3408</v>
      </c>
      <c r="E1689" s="157">
        <v>41920.375</v>
      </c>
      <c r="F1689" s="157">
        <v>41920.409722222219</v>
      </c>
      <c r="G1689" s="98">
        <v>300</v>
      </c>
      <c r="H1689" s="98">
        <v>528</v>
      </c>
      <c r="I1689" s="98">
        <v>479</v>
      </c>
      <c r="J1689" s="98" t="s">
        <v>2195</v>
      </c>
      <c r="K1689" s="98" t="s">
        <v>2524</v>
      </c>
      <c r="L1689" s="105" t="str">
        <f t="shared" si="280"/>
        <v>Ghent</v>
      </c>
      <c r="M1689" s="105" t="str">
        <f t="shared" si="281"/>
        <v>Derate</v>
      </c>
      <c r="N1689" s="105" t="str">
        <f t="shared" si="282"/>
        <v>Coal</v>
      </c>
      <c r="O1689" s="105">
        <f>IFERROR(VLOOKUP(A1689,Lookup!$J$5:$P$19,7,FALSE),0)</f>
        <v>3</v>
      </c>
      <c r="P1689" s="159">
        <f t="shared" si="283"/>
        <v>2014</v>
      </c>
      <c r="Q1689" s="159">
        <f t="shared" si="284"/>
        <v>10</v>
      </c>
      <c r="R1689" s="160">
        <f t="shared" si="285"/>
        <v>0.83333333325572312</v>
      </c>
      <c r="S1689" s="158">
        <f t="shared" si="286"/>
        <v>0.35984848481497134</v>
      </c>
      <c r="T1689" s="161">
        <f t="shared" si="287"/>
        <v>172.36742422637127</v>
      </c>
      <c r="U1689" s="158">
        <f t="shared" si="288"/>
        <v>206.84090909090909</v>
      </c>
      <c r="V1689" s="160">
        <f t="shared" si="289"/>
        <v>207</v>
      </c>
    </row>
    <row r="1690" spans="1:22" x14ac:dyDescent="0.25">
      <c r="A1690" s="98" t="s">
        <v>30</v>
      </c>
      <c r="B1690" s="98" t="s">
        <v>17</v>
      </c>
      <c r="C1690" s="98">
        <v>87</v>
      </c>
      <c r="D1690" s="98">
        <v>3408</v>
      </c>
      <c r="E1690" s="157">
        <v>41921.218055555553</v>
      </c>
      <c r="F1690" s="157">
        <v>41921.231944444444</v>
      </c>
      <c r="G1690" s="98">
        <v>300</v>
      </c>
      <c r="H1690" s="98">
        <v>528</v>
      </c>
      <c r="I1690" s="98">
        <v>479</v>
      </c>
      <c r="J1690" s="98" t="s">
        <v>2195</v>
      </c>
      <c r="K1690" s="98" t="s">
        <v>2525</v>
      </c>
      <c r="L1690" s="105" t="str">
        <f t="shared" si="280"/>
        <v>Ghent</v>
      </c>
      <c r="M1690" s="105" t="str">
        <f t="shared" si="281"/>
        <v>Derate</v>
      </c>
      <c r="N1690" s="105" t="str">
        <f t="shared" si="282"/>
        <v>Coal</v>
      </c>
      <c r="O1690" s="105">
        <f>IFERROR(VLOOKUP(A1690,Lookup!$J$5:$P$19,7,FALSE),0)</f>
        <v>3</v>
      </c>
      <c r="P1690" s="159">
        <f t="shared" si="283"/>
        <v>2014</v>
      </c>
      <c r="Q1690" s="159">
        <f t="shared" si="284"/>
        <v>10</v>
      </c>
      <c r="R1690" s="160">
        <f t="shared" si="285"/>
        <v>0.33333333337213844</v>
      </c>
      <c r="S1690" s="158">
        <f t="shared" si="286"/>
        <v>0.14393939395615069</v>
      </c>
      <c r="T1690" s="161">
        <f t="shared" si="287"/>
        <v>68.946969704996178</v>
      </c>
      <c r="U1690" s="158">
        <f t="shared" si="288"/>
        <v>206.84090909090909</v>
      </c>
      <c r="V1690" s="160">
        <f t="shared" si="289"/>
        <v>207</v>
      </c>
    </row>
    <row r="1691" spans="1:22" x14ac:dyDescent="0.25">
      <c r="A1691" s="98" t="s">
        <v>30</v>
      </c>
      <c r="B1691" s="98" t="s">
        <v>17</v>
      </c>
      <c r="C1691" s="98">
        <v>88</v>
      </c>
      <c r="D1691" s="98">
        <v>3408</v>
      </c>
      <c r="E1691" s="157">
        <v>41926.576388888891</v>
      </c>
      <c r="F1691" s="157">
        <v>41926.59375</v>
      </c>
      <c r="G1691" s="98">
        <v>260</v>
      </c>
      <c r="H1691" s="98">
        <v>528</v>
      </c>
      <c r="I1691" s="98">
        <v>479</v>
      </c>
      <c r="J1691" s="98" t="s">
        <v>2195</v>
      </c>
      <c r="K1691" s="98" t="s">
        <v>2526</v>
      </c>
      <c r="L1691" s="105" t="str">
        <f t="shared" si="280"/>
        <v>Ghent</v>
      </c>
      <c r="M1691" s="105" t="str">
        <f t="shared" si="281"/>
        <v>Derate</v>
      </c>
      <c r="N1691" s="105" t="str">
        <f t="shared" si="282"/>
        <v>Coal</v>
      </c>
      <c r="O1691" s="105">
        <f>IFERROR(VLOOKUP(A1691,Lookup!$J$5:$P$19,7,FALSE),0)</f>
        <v>3</v>
      </c>
      <c r="P1691" s="159">
        <f t="shared" si="283"/>
        <v>2014</v>
      </c>
      <c r="Q1691" s="159">
        <f t="shared" si="284"/>
        <v>10</v>
      </c>
      <c r="R1691" s="160">
        <f t="shared" si="285"/>
        <v>0.41666666662786156</v>
      </c>
      <c r="S1691" s="158">
        <f t="shared" si="286"/>
        <v>0.21148989897020246</v>
      </c>
      <c r="T1691" s="161">
        <f t="shared" si="287"/>
        <v>101.30366160672698</v>
      </c>
      <c r="U1691" s="158">
        <f t="shared" si="288"/>
        <v>243.12878787878788</v>
      </c>
      <c r="V1691" s="160">
        <f t="shared" si="289"/>
        <v>243</v>
      </c>
    </row>
    <row r="1692" spans="1:22" x14ac:dyDescent="0.25">
      <c r="A1692" s="98" t="s">
        <v>30</v>
      </c>
      <c r="B1692" s="98" t="s">
        <v>17</v>
      </c>
      <c r="C1692" s="98">
        <v>89</v>
      </c>
      <c r="D1692" s="98">
        <v>3408</v>
      </c>
      <c r="E1692" s="157">
        <v>41926.59375</v>
      </c>
      <c r="F1692" s="157">
        <v>41926.644444444442</v>
      </c>
      <c r="G1692" s="98">
        <v>325</v>
      </c>
      <c r="H1692" s="98">
        <v>528</v>
      </c>
      <c r="I1692" s="98">
        <v>479</v>
      </c>
      <c r="J1692" s="98" t="s">
        <v>2195</v>
      </c>
      <c r="K1692" s="98" t="s">
        <v>2527</v>
      </c>
      <c r="L1692" s="105" t="str">
        <f t="shared" si="280"/>
        <v>Ghent</v>
      </c>
      <c r="M1692" s="105" t="str">
        <f t="shared" si="281"/>
        <v>Derate</v>
      </c>
      <c r="N1692" s="105" t="str">
        <f t="shared" si="282"/>
        <v>Coal</v>
      </c>
      <c r="O1692" s="105">
        <f>IFERROR(VLOOKUP(A1692,Lookup!$J$5:$P$19,7,FALSE),0)</f>
        <v>3</v>
      </c>
      <c r="P1692" s="159">
        <f t="shared" si="283"/>
        <v>2014</v>
      </c>
      <c r="Q1692" s="159">
        <f t="shared" si="284"/>
        <v>10</v>
      </c>
      <c r="R1692" s="160">
        <f t="shared" si="285"/>
        <v>1.21666666661622</v>
      </c>
      <c r="S1692" s="158">
        <f t="shared" si="286"/>
        <v>0.46777146462706942</v>
      </c>
      <c r="T1692" s="161">
        <f t="shared" si="287"/>
        <v>224.06253155636625</v>
      </c>
      <c r="U1692" s="158">
        <f t="shared" si="288"/>
        <v>184.16098484848484</v>
      </c>
      <c r="V1692" s="160">
        <f t="shared" si="289"/>
        <v>184</v>
      </c>
    </row>
    <row r="1693" spans="1:22" x14ac:dyDescent="0.25">
      <c r="A1693" s="98" t="s">
        <v>30</v>
      </c>
      <c r="B1693" s="98" t="s">
        <v>20</v>
      </c>
      <c r="C1693" s="98">
        <v>90</v>
      </c>
      <c r="D1693" s="98">
        <v>1080</v>
      </c>
      <c r="E1693" s="157">
        <v>41970.53402777778</v>
      </c>
      <c r="F1693" s="157">
        <v>41971.552083333336</v>
      </c>
      <c r="G1693" s="98">
        <v>0</v>
      </c>
      <c r="H1693" s="98">
        <v>528</v>
      </c>
      <c r="I1693" s="98">
        <v>479</v>
      </c>
      <c r="J1693" s="98" t="s">
        <v>1991</v>
      </c>
      <c r="K1693" s="98" t="s">
        <v>2528</v>
      </c>
      <c r="L1693" s="105" t="str">
        <f t="shared" si="280"/>
        <v>Ghent</v>
      </c>
      <c r="M1693" s="105" t="str">
        <f t="shared" si="281"/>
        <v>Maintenance</v>
      </c>
      <c r="N1693" s="105" t="str">
        <f t="shared" si="282"/>
        <v>Coal</v>
      </c>
      <c r="O1693" s="105">
        <f>IFERROR(VLOOKUP(A1693,Lookup!$J$5:$P$19,7,FALSE),0)</f>
        <v>3</v>
      </c>
      <c r="P1693" s="159">
        <f t="shared" si="283"/>
        <v>2014</v>
      </c>
      <c r="Q1693" s="159">
        <f t="shared" si="284"/>
        <v>11</v>
      </c>
      <c r="R1693" s="160">
        <f t="shared" si="285"/>
        <v>24.433333333348855</v>
      </c>
      <c r="S1693" s="158">
        <f t="shared" si="286"/>
        <v>24.433333333348855</v>
      </c>
      <c r="T1693" s="161">
        <f t="shared" si="287"/>
        <v>11703.566666674102</v>
      </c>
      <c r="U1693" s="158">
        <f t="shared" si="288"/>
        <v>479</v>
      </c>
      <c r="V1693" s="160">
        <f t="shared" si="289"/>
        <v>479</v>
      </c>
    </row>
    <row r="1694" spans="1:22" x14ac:dyDescent="0.25">
      <c r="A1694" s="98" t="s">
        <v>30</v>
      </c>
      <c r="B1694" s="98" t="s">
        <v>17</v>
      </c>
      <c r="C1694" s="98">
        <v>91</v>
      </c>
      <c r="D1694" s="98">
        <v>380</v>
      </c>
      <c r="E1694" s="157">
        <v>41996.413194444445</v>
      </c>
      <c r="F1694" s="157">
        <v>41996.418749999997</v>
      </c>
      <c r="G1694" s="98">
        <v>435</v>
      </c>
      <c r="H1694" s="98">
        <v>528</v>
      </c>
      <c r="I1694" s="98">
        <v>479</v>
      </c>
      <c r="J1694" s="98" t="s">
        <v>2017</v>
      </c>
      <c r="K1694" s="98" t="s">
        <v>2529</v>
      </c>
      <c r="L1694" s="105" t="str">
        <f t="shared" si="280"/>
        <v>Ghent</v>
      </c>
      <c r="M1694" s="105" t="str">
        <f t="shared" si="281"/>
        <v>Derate</v>
      </c>
      <c r="N1694" s="105" t="str">
        <f t="shared" si="282"/>
        <v>Coal</v>
      </c>
      <c r="O1694" s="105">
        <f>IFERROR(VLOOKUP(A1694,Lookup!$J$5:$P$19,7,FALSE),0)</f>
        <v>3</v>
      </c>
      <c r="P1694" s="159">
        <f t="shared" si="283"/>
        <v>2014</v>
      </c>
      <c r="Q1694" s="159">
        <f t="shared" si="284"/>
        <v>12</v>
      </c>
      <c r="R1694" s="160">
        <f t="shared" si="285"/>
        <v>0.13333333324408159</v>
      </c>
      <c r="S1694" s="158">
        <f t="shared" si="286"/>
        <v>2.3484848469128006E-2</v>
      </c>
      <c r="T1694" s="161">
        <f t="shared" si="287"/>
        <v>11.249242416712315</v>
      </c>
      <c r="U1694" s="158">
        <f t="shared" si="288"/>
        <v>84.369318181818187</v>
      </c>
      <c r="V1694" s="160">
        <f t="shared" si="289"/>
        <v>84</v>
      </c>
    </row>
    <row r="1695" spans="1:22" x14ac:dyDescent="0.25">
      <c r="A1695" s="98" t="s">
        <v>30</v>
      </c>
      <c r="B1695" s="98" t="s">
        <v>17</v>
      </c>
      <c r="C1695" s="98">
        <v>1</v>
      </c>
      <c r="D1695" s="98">
        <v>1455</v>
      </c>
      <c r="E1695" s="157">
        <v>42012.18472222222</v>
      </c>
      <c r="F1695" s="157">
        <v>42012.326388888891</v>
      </c>
      <c r="G1695" s="98">
        <v>210</v>
      </c>
      <c r="H1695" s="98">
        <v>528</v>
      </c>
      <c r="I1695" s="98">
        <v>479</v>
      </c>
      <c r="J1695" s="98" t="s">
        <v>1990</v>
      </c>
      <c r="K1695" s="98" t="s">
        <v>2530</v>
      </c>
      <c r="L1695" s="105" t="str">
        <f t="shared" si="280"/>
        <v>Ghent</v>
      </c>
      <c r="M1695" s="105" t="str">
        <f t="shared" si="281"/>
        <v>Derate</v>
      </c>
      <c r="N1695" s="105" t="str">
        <f t="shared" si="282"/>
        <v>Coal</v>
      </c>
      <c r="O1695" s="105">
        <f>IFERROR(VLOOKUP(A1695,Lookup!$J$5:$P$19,7,FALSE),0)</f>
        <v>3</v>
      </c>
      <c r="P1695" s="159">
        <f t="shared" si="283"/>
        <v>2015</v>
      </c>
      <c r="Q1695" s="159">
        <f t="shared" si="284"/>
        <v>1</v>
      </c>
      <c r="R1695" s="160">
        <f t="shared" si="285"/>
        <v>3.4000000000814907</v>
      </c>
      <c r="S1695" s="158">
        <f t="shared" si="286"/>
        <v>2.0477272727763522</v>
      </c>
      <c r="T1695" s="161">
        <f t="shared" si="287"/>
        <v>980.86136365987272</v>
      </c>
      <c r="U1695" s="158">
        <f t="shared" si="288"/>
        <v>288.48863636363637</v>
      </c>
      <c r="V1695" s="160">
        <f t="shared" si="289"/>
        <v>288</v>
      </c>
    </row>
    <row r="1696" spans="1:22" x14ac:dyDescent="0.25">
      <c r="A1696" s="98" t="s">
        <v>30</v>
      </c>
      <c r="B1696" s="98" t="s">
        <v>17</v>
      </c>
      <c r="C1696" s="98">
        <v>2</v>
      </c>
      <c r="D1696" s="98">
        <v>8325</v>
      </c>
      <c r="E1696" s="157">
        <v>42013.771527777775</v>
      </c>
      <c r="F1696" s="157">
        <v>42014.004166666666</v>
      </c>
      <c r="G1696" s="98">
        <v>200</v>
      </c>
      <c r="H1696" s="98">
        <v>528</v>
      </c>
      <c r="I1696" s="98">
        <v>479</v>
      </c>
      <c r="J1696" s="98" t="s">
        <v>2531</v>
      </c>
      <c r="K1696" s="98" t="s">
        <v>2532</v>
      </c>
      <c r="L1696" s="105" t="str">
        <f t="shared" si="280"/>
        <v>Ghent</v>
      </c>
      <c r="M1696" s="105" t="str">
        <f t="shared" si="281"/>
        <v>Derate</v>
      </c>
      <c r="N1696" s="105" t="str">
        <f t="shared" si="282"/>
        <v>Coal</v>
      </c>
      <c r="O1696" s="105">
        <f>IFERROR(VLOOKUP(A1696,Lookup!$J$5:$P$19,7,FALSE),0)</f>
        <v>3</v>
      </c>
      <c r="P1696" s="159">
        <f t="shared" si="283"/>
        <v>2015</v>
      </c>
      <c r="Q1696" s="159">
        <f t="shared" si="284"/>
        <v>1</v>
      </c>
      <c r="R1696" s="160">
        <f t="shared" si="285"/>
        <v>5.5833333333721384</v>
      </c>
      <c r="S1696" s="158">
        <f t="shared" si="286"/>
        <v>3.4684343434584495</v>
      </c>
      <c r="T1696" s="161">
        <f t="shared" si="287"/>
        <v>1661.3800505165973</v>
      </c>
      <c r="U1696" s="158">
        <f t="shared" si="288"/>
        <v>297.56060606060606</v>
      </c>
      <c r="V1696" s="160">
        <f t="shared" si="289"/>
        <v>298</v>
      </c>
    </row>
    <row r="1697" spans="1:22" x14ac:dyDescent="0.25">
      <c r="A1697" s="98" t="s">
        <v>30</v>
      </c>
      <c r="B1697" s="98" t="s">
        <v>20</v>
      </c>
      <c r="C1697" s="98">
        <v>3</v>
      </c>
      <c r="D1697" s="98">
        <v>1488</v>
      </c>
      <c r="E1697" s="157">
        <v>42021.047222222223</v>
      </c>
      <c r="F1697" s="157">
        <v>42024.197916666664</v>
      </c>
      <c r="G1697" s="98">
        <v>0</v>
      </c>
      <c r="H1697" s="98">
        <v>528</v>
      </c>
      <c r="I1697" s="98">
        <v>479</v>
      </c>
      <c r="J1697" s="98" t="s">
        <v>2284</v>
      </c>
      <c r="K1697" s="98" t="s">
        <v>2533</v>
      </c>
      <c r="L1697" s="105" t="str">
        <f t="shared" si="280"/>
        <v>Ghent</v>
      </c>
      <c r="M1697" s="105" t="str">
        <f t="shared" si="281"/>
        <v>Maintenance</v>
      </c>
      <c r="N1697" s="105" t="str">
        <f t="shared" si="282"/>
        <v>Coal</v>
      </c>
      <c r="O1697" s="105">
        <f>IFERROR(VLOOKUP(A1697,Lookup!$J$5:$P$19,7,FALSE),0)</f>
        <v>3</v>
      </c>
      <c r="P1697" s="159">
        <f t="shared" si="283"/>
        <v>2015</v>
      </c>
      <c r="Q1697" s="159">
        <f t="shared" si="284"/>
        <v>1</v>
      </c>
      <c r="R1697" s="160">
        <f t="shared" si="285"/>
        <v>75.616666666581295</v>
      </c>
      <c r="S1697" s="158">
        <f t="shared" si="286"/>
        <v>75.616666666581295</v>
      </c>
      <c r="T1697" s="161">
        <f t="shared" si="287"/>
        <v>36220.383333292441</v>
      </c>
      <c r="U1697" s="158">
        <f t="shared" si="288"/>
        <v>479</v>
      </c>
      <c r="V1697" s="160">
        <f t="shared" si="289"/>
        <v>479</v>
      </c>
    </row>
    <row r="1698" spans="1:22" x14ac:dyDescent="0.25">
      <c r="A1698" s="98" t="s">
        <v>30</v>
      </c>
      <c r="B1698" s="98" t="s">
        <v>18</v>
      </c>
      <c r="C1698" s="98">
        <v>4</v>
      </c>
      <c r="D1698" s="98">
        <v>3613</v>
      </c>
      <c r="E1698" s="157">
        <v>42024.197916666664</v>
      </c>
      <c r="F1698" s="157">
        <v>42024.478472222225</v>
      </c>
      <c r="G1698" s="98">
        <v>0</v>
      </c>
      <c r="H1698" s="98">
        <v>528</v>
      </c>
      <c r="I1698" s="98">
        <v>479</v>
      </c>
      <c r="J1698" s="98" t="s">
        <v>2494</v>
      </c>
      <c r="K1698" s="98" t="s">
        <v>2534</v>
      </c>
      <c r="L1698" s="105" t="str">
        <f t="shared" si="280"/>
        <v>Ghent</v>
      </c>
      <c r="M1698" s="105" t="str">
        <f t="shared" si="281"/>
        <v>Outage</v>
      </c>
      <c r="N1698" s="105" t="str">
        <f t="shared" si="282"/>
        <v>Coal</v>
      </c>
      <c r="O1698" s="105">
        <f>IFERROR(VLOOKUP(A1698,Lookup!$J$5:$P$19,7,FALSE),0)</f>
        <v>3</v>
      </c>
      <c r="P1698" s="159">
        <f t="shared" si="283"/>
        <v>2015</v>
      </c>
      <c r="Q1698" s="159">
        <f t="shared" si="284"/>
        <v>1</v>
      </c>
      <c r="R1698" s="160">
        <f t="shared" si="285"/>
        <v>6.7333333334536292</v>
      </c>
      <c r="S1698" s="158">
        <f t="shared" si="286"/>
        <v>6.7333333334536292</v>
      </c>
      <c r="T1698" s="161">
        <f t="shared" si="287"/>
        <v>3225.2666667242884</v>
      </c>
      <c r="U1698" s="158">
        <f t="shared" si="288"/>
        <v>479</v>
      </c>
      <c r="V1698" s="160">
        <f t="shared" si="289"/>
        <v>479</v>
      </c>
    </row>
    <row r="1699" spans="1:22" x14ac:dyDescent="0.25">
      <c r="A1699" s="98" t="s">
        <v>30</v>
      </c>
      <c r="B1699" s="98" t="s">
        <v>17</v>
      </c>
      <c r="C1699" s="98">
        <v>5</v>
      </c>
      <c r="D1699" s="98">
        <v>1500</v>
      </c>
      <c r="E1699" s="157">
        <v>42040.158333333333</v>
      </c>
      <c r="F1699" s="157">
        <v>42040.236111111109</v>
      </c>
      <c r="G1699" s="98">
        <v>125</v>
      </c>
      <c r="H1699" s="98">
        <v>528</v>
      </c>
      <c r="I1699" s="98">
        <v>479</v>
      </c>
      <c r="J1699" s="98" t="s">
        <v>2190</v>
      </c>
      <c r="K1699" s="98" t="s">
        <v>2535</v>
      </c>
      <c r="L1699" s="105" t="str">
        <f t="shared" si="280"/>
        <v>Ghent</v>
      </c>
      <c r="M1699" s="105" t="str">
        <f t="shared" si="281"/>
        <v>Derate</v>
      </c>
      <c r="N1699" s="105" t="str">
        <f t="shared" si="282"/>
        <v>Coal</v>
      </c>
      <c r="O1699" s="105">
        <f>IFERROR(VLOOKUP(A1699,Lookup!$J$5:$P$19,7,FALSE),0)</f>
        <v>3</v>
      </c>
      <c r="P1699" s="159">
        <f t="shared" si="283"/>
        <v>2015</v>
      </c>
      <c r="Q1699" s="159">
        <f t="shared" si="284"/>
        <v>2</v>
      </c>
      <c r="R1699" s="160">
        <f t="shared" si="285"/>
        <v>1.8666666666395031</v>
      </c>
      <c r="S1699" s="158">
        <f t="shared" si="286"/>
        <v>1.4247474747267419</v>
      </c>
      <c r="T1699" s="161">
        <f t="shared" si="287"/>
        <v>682.45404039410937</v>
      </c>
      <c r="U1699" s="158">
        <f t="shared" si="288"/>
        <v>365.60037878787881</v>
      </c>
      <c r="V1699" s="160">
        <f t="shared" si="289"/>
        <v>366</v>
      </c>
    </row>
    <row r="1700" spans="1:22" x14ac:dyDescent="0.25">
      <c r="A1700" s="98" t="s">
        <v>30</v>
      </c>
      <c r="B1700" s="98" t="s">
        <v>17</v>
      </c>
      <c r="C1700" s="98">
        <v>6</v>
      </c>
      <c r="D1700" s="98">
        <v>1455</v>
      </c>
      <c r="E1700" s="157">
        <v>42040.274305555555</v>
      </c>
      <c r="F1700" s="157">
        <v>42040.490277777775</v>
      </c>
      <c r="G1700" s="98">
        <v>475</v>
      </c>
      <c r="H1700" s="98">
        <v>528</v>
      </c>
      <c r="I1700" s="98">
        <v>479</v>
      </c>
      <c r="J1700" s="98" t="s">
        <v>1990</v>
      </c>
      <c r="K1700" s="98" t="s">
        <v>2536</v>
      </c>
      <c r="L1700" s="105" t="str">
        <f t="shared" si="280"/>
        <v>Ghent</v>
      </c>
      <c r="M1700" s="105" t="str">
        <f t="shared" si="281"/>
        <v>Derate</v>
      </c>
      <c r="N1700" s="105" t="str">
        <f t="shared" si="282"/>
        <v>Coal</v>
      </c>
      <c r="O1700" s="105">
        <f>IFERROR(VLOOKUP(A1700,Lookup!$J$5:$P$19,7,FALSE),0)</f>
        <v>3</v>
      </c>
      <c r="P1700" s="159">
        <f t="shared" si="283"/>
        <v>2015</v>
      </c>
      <c r="Q1700" s="159">
        <f t="shared" si="284"/>
        <v>2</v>
      </c>
      <c r="R1700" s="160">
        <f t="shared" si="285"/>
        <v>5.1833333332906477</v>
      </c>
      <c r="S1700" s="158">
        <f t="shared" si="286"/>
        <v>0.52029671716743242</v>
      </c>
      <c r="T1700" s="161">
        <f t="shared" si="287"/>
        <v>249.22212752320013</v>
      </c>
      <c r="U1700" s="158">
        <f t="shared" si="288"/>
        <v>48.081439393939391</v>
      </c>
      <c r="V1700" s="160">
        <f t="shared" si="289"/>
        <v>48</v>
      </c>
    </row>
    <row r="1701" spans="1:22" x14ac:dyDescent="0.25">
      <c r="A1701" s="98" t="s">
        <v>30</v>
      </c>
      <c r="B1701" s="98" t="s">
        <v>17</v>
      </c>
      <c r="C1701" s="98">
        <v>7</v>
      </c>
      <c r="D1701" s="98">
        <v>3410</v>
      </c>
      <c r="E1701" s="157">
        <v>42056.03125</v>
      </c>
      <c r="F1701" s="157">
        <v>42056.059027777781</v>
      </c>
      <c r="G1701" s="98">
        <v>424</v>
      </c>
      <c r="H1701" s="98">
        <v>528</v>
      </c>
      <c r="I1701" s="98">
        <v>479</v>
      </c>
      <c r="J1701" s="98" t="s">
        <v>1983</v>
      </c>
      <c r="K1701" s="98" t="s">
        <v>2537</v>
      </c>
      <c r="L1701" s="105" t="str">
        <f t="shared" si="280"/>
        <v>Ghent</v>
      </c>
      <c r="M1701" s="105" t="str">
        <f t="shared" si="281"/>
        <v>Derate</v>
      </c>
      <c r="N1701" s="105" t="str">
        <f t="shared" si="282"/>
        <v>Coal</v>
      </c>
      <c r="O1701" s="105">
        <f>IFERROR(VLOOKUP(A1701,Lookup!$J$5:$P$19,7,FALSE),0)</f>
        <v>3</v>
      </c>
      <c r="P1701" s="159">
        <f t="shared" si="283"/>
        <v>2015</v>
      </c>
      <c r="Q1701" s="159">
        <f t="shared" si="284"/>
        <v>2</v>
      </c>
      <c r="R1701" s="160">
        <f t="shared" si="285"/>
        <v>0.66666666674427688</v>
      </c>
      <c r="S1701" s="158">
        <f t="shared" si="286"/>
        <v>0.13131313132841818</v>
      </c>
      <c r="T1701" s="161">
        <f t="shared" si="287"/>
        <v>62.898989906312309</v>
      </c>
      <c r="U1701" s="158">
        <f t="shared" si="288"/>
        <v>94.348484848484844</v>
      </c>
      <c r="V1701" s="160">
        <f t="shared" si="289"/>
        <v>94</v>
      </c>
    </row>
    <row r="1702" spans="1:22" x14ac:dyDescent="0.25">
      <c r="A1702" s="98" t="s">
        <v>30</v>
      </c>
      <c r="B1702" s="98" t="s">
        <v>17</v>
      </c>
      <c r="C1702" s="98">
        <v>8</v>
      </c>
      <c r="D1702" s="98">
        <v>3410</v>
      </c>
      <c r="E1702" s="157">
        <v>42056.059027777781</v>
      </c>
      <c r="F1702" s="157">
        <v>42056.147222222222</v>
      </c>
      <c r="G1702" s="98">
        <v>300</v>
      </c>
      <c r="H1702" s="98">
        <v>528</v>
      </c>
      <c r="I1702" s="98">
        <v>479</v>
      </c>
      <c r="J1702" s="98" t="s">
        <v>1983</v>
      </c>
      <c r="K1702" s="98" t="s">
        <v>2538</v>
      </c>
      <c r="L1702" s="105" t="str">
        <f t="shared" si="280"/>
        <v>Ghent</v>
      </c>
      <c r="M1702" s="105" t="str">
        <f t="shared" si="281"/>
        <v>Derate</v>
      </c>
      <c r="N1702" s="105" t="str">
        <f t="shared" si="282"/>
        <v>Coal</v>
      </c>
      <c r="O1702" s="105">
        <f>IFERROR(VLOOKUP(A1702,Lookup!$J$5:$P$19,7,FALSE),0)</f>
        <v>3</v>
      </c>
      <c r="P1702" s="159">
        <f t="shared" si="283"/>
        <v>2015</v>
      </c>
      <c r="Q1702" s="159">
        <f t="shared" si="284"/>
        <v>2</v>
      </c>
      <c r="R1702" s="160">
        <f t="shared" si="285"/>
        <v>2.1166666665812954</v>
      </c>
      <c r="S1702" s="158">
        <f t="shared" si="286"/>
        <v>0.91401515147828671</v>
      </c>
      <c r="T1702" s="161">
        <f t="shared" si="287"/>
        <v>437.81325755809934</v>
      </c>
      <c r="U1702" s="158">
        <f t="shared" si="288"/>
        <v>206.84090909090909</v>
      </c>
      <c r="V1702" s="160">
        <f t="shared" si="289"/>
        <v>207</v>
      </c>
    </row>
    <row r="1703" spans="1:22" x14ac:dyDescent="0.25">
      <c r="A1703" s="98" t="s">
        <v>30</v>
      </c>
      <c r="B1703" s="98" t="s">
        <v>17</v>
      </c>
      <c r="C1703" s="98">
        <v>9</v>
      </c>
      <c r="D1703" s="98">
        <v>250</v>
      </c>
      <c r="E1703" s="157">
        <v>42079.404166666667</v>
      </c>
      <c r="F1703" s="157">
        <v>42079.420138888891</v>
      </c>
      <c r="G1703" s="98">
        <v>390</v>
      </c>
      <c r="H1703" s="98">
        <v>528</v>
      </c>
      <c r="I1703" s="98">
        <v>479</v>
      </c>
      <c r="J1703" s="98" t="s">
        <v>1978</v>
      </c>
      <c r="K1703" s="98" t="s">
        <v>2539</v>
      </c>
      <c r="L1703" s="105" t="str">
        <f t="shared" ref="L1703:L1766" si="290">IF(OR(A1703="BR1",A1703="BR2",A1703="BR3",A1703="BR5",A1703="BR6",A1703="BR7",A1703="BR8",A1703="BR9",A1703="BR10",A1703="BR11"),"Brown",IF(OR(A1703="CR4",A1703="CR5",A1703="CR6",A1703="CR11"),"Cane Run",IF(OR(A1703="GH1",A1703="GH2",A1703="GH3",A1703="GH4"),"Ghent",IF(OR(A1703="GR3",A1703="GR4"),"Green River",IF(OR(A1703="MC1",A1703="MC2",A1703="MC3",A1703="MC4"),"Mill Creek",IF(OR(A1703="TC1",A1703="TC2",A1703="TC5",A1703="TC6",A1703="TC7",A1703="TC8",A1703="TC9",A1703="TC10"),"Trimble",IF(A1703="TY3","Tyrone",IF(OR(A1703="HA1",A1703="HA2",A1703="HA3"),"Haeflin",IF(OR(A1703="PR11",A1703="PR12",A1703="PR13"),"Paddy's Run","Zorn")))))))))</f>
        <v>Ghent</v>
      </c>
      <c r="M1703" s="105" t="str">
        <f t="shared" ref="M1703:M1766" si="291">IF(OR(B1703="D1",B1703="D2",B1703="D3",B1703="D4",B1703="PD"),"Derate",IF(OR(B1703="SF",B1703="U1",B1703="U2",B1703="U3"),"Outage",IF(OR(B1703="ME",B1703="MO"),"Maintenance","Other")))</f>
        <v>Derate</v>
      </c>
      <c r="N1703" s="105" t="str">
        <f t="shared" ref="N1703:N1766" si="292">IF(OR(A1703="BR1",A1703="BR2",A1703="BR3",A1703="CR4",A1703="CR5",A1703="CR6",A1703="GH1",A1703="GH2",A1703="GH3",A1703="GH4",A1703="GR3",A1703="GR4",A1703="MC1",A1703="MC2",A1703="MC3",A1703="MC4",A1703="TC1",A1703="TC2",A1703="TY3"),"Coal","Gas")</f>
        <v>Coal</v>
      </c>
      <c r="O1703" s="105">
        <f>IFERROR(VLOOKUP(A1703,Lookup!$J$5:$P$19,7,FALSE),0)</f>
        <v>3</v>
      </c>
      <c r="P1703" s="159">
        <f t="shared" ref="P1703:P1766" si="293">YEAR(E1703)</f>
        <v>2015</v>
      </c>
      <c r="Q1703" s="159">
        <f t="shared" ref="Q1703:Q1766" si="294">MONTH(E1703)</f>
        <v>3</v>
      </c>
      <c r="R1703" s="160">
        <f t="shared" ref="R1703:R1766" si="295">(F1703-E1703)*24</f>
        <v>0.38333333336049691</v>
      </c>
      <c r="S1703" s="158">
        <f t="shared" ref="S1703:S1766" si="296">R1703*(H1703-G1703)/H1703</f>
        <v>0.10018939394649351</v>
      </c>
      <c r="T1703" s="161">
        <f t="shared" ref="T1703:T1766" si="297">S1703*I1703</f>
        <v>47.990719700370391</v>
      </c>
      <c r="U1703" s="158">
        <f t="shared" ref="U1703:U1766" si="298">IF(G1703&gt;0,MAX((H1703-G1703),0)*I1703/H1703,I1703)</f>
        <v>125.19318181818181</v>
      </c>
      <c r="V1703" s="160">
        <f t="shared" ref="V1703:V1766" si="299">ROUND(U1703,0)</f>
        <v>125</v>
      </c>
    </row>
    <row r="1704" spans="1:22" x14ac:dyDescent="0.25">
      <c r="A1704" s="98" t="s">
        <v>30</v>
      </c>
      <c r="B1704" s="98" t="s">
        <v>32</v>
      </c>
      <c r="C1704" s="98">
        <v>10</v>
      </c>
      <c r="D1704" s="98">
        <v>1100</v>
      </c>
      <c r="E1704" s="157">
        <v>42084</v>
      </c>
      <c r="F1704" s="157">
        <v>42084.162499999999</v>
      </c>
      <c r="G1704" s="98">
        <v>220</v>
      </c>
      <c r="H1704" s="98">
        <v>528</v>
      </c>
      <c r="I1704" s="98">
        <v>479</v>
      </c>
      <c r="J1704" s="98" t="s">
        <v>2038</v>
      </c>
      <c r="K1704" s="98" t="s">
        <v>2540</v>
      </c>
      <c r="L1704" s="105" t="str">
        <f t="shared" si="290"/>
        <v>Ghent</v>
      </c>
      <c r="M1704" s="105" t="str">
        <f t="shared" si="291"/>
        <v>Derate</v>
      </c>
      <c r="N1704" s="105" t="str">
        <f t="shared" si="292"/>
        <v>Coal</v>
      </c>
      <c r="O1704" s="105">
        <f>IFERROR(VLOOKUP(A1704,Lookup!$J$5:$P$19,7,FALSE),0)</f>
        <v>3</v>
      </c>
      <c r="P1704" s="159">
        <f t="shared" si="293"/>
        <v>2015</v>
      </c>
      <c r="Q1704" s="159">
        <f t="shared" si="294"/>
        <v>3</v>
      </c>
      <c r="R1704" s="160">
        <f t="shared" si="295"/>
        <v>3.8999999999650754</v>
      </c>
      <c r="S1704" s="158">
        <f t="shared" si="296"/>
        <v>2.2749999999796273</v>
      </c>
      <c r="T1704" s="161">
        <f t="shared" si="297"/>
        <v>1089.7249999902415</v>
      </c>
      <c r="U1704" s="158">
        <f t="shared" si="298"/>
        <v>279.41666666666669</v>
      </c>
      <c r="V1704" s="160">
        <f t="shared" si="299"/>
        <v>279</v>
      </c>
    </row>
    <row r="1705" spans="1:22" x14ac:dyDescent="0.25">
      <c r="A1705" s="98" t="s">
        <v>30</v>
      </c>
      <c r="B1705" s="98" t="s">
        <v>32</v>
      </c>
      <c r="C1705" s="98">
        <v>11</v>
      </c>
      <c r="D1705" s="98">
        <v>1100</v>
      </c>
      <c r="E1705" s="157">
        <v>42092.541666666664</v>
      </c>
      <c r="F1705" s="157">
        <v>42092.689583333333</v>
      </c>
      <c r="G1705" s="98">
        <v>220</v>
      </c>
      <c r="H1705" s="98">
        <v>528</v>
      </c>
      <c r="I1705" s="98">
        <v>479</v>
      </c>
      <c r="J1705" s="98" t="s">
        <v>2038</v>
      </c>
      <c r="K1705" s="98" t="s">
        <v>2541</v>
      </c>
      <c r="L1705" s="105" t="str">
        <f t="shared" si="290"/>
        <v>Ghent</v>
      </c>
      <c r="M1705" s="105" t="str">
        <f t="shared" si="291"/>
        <v>Derate</v>
      </c>
      <c r="N1705" s="105" t="str">
        <f t="shared" si="292"/>
        <v>Coal</v>
      </c>
      <c r="O1705" s="105">
        <f>IFERROR(VLOOKUP(A1705,Lookup!$J$5:$P$19,7,FALSE),0)</f>
        <v>3</v>
      </c>
      <c r="P1705" s="159">
        <f t="shared" si="293"/>
        <v>2015</v>
      </c>
      <c r="Q1705" s="159">
        <f t="shared" si="294"/>
        <v>3</v>
      </c>
      <c r="R1705" s="160">
        <f t="shared" si="295"/>
        <v>3.5500000000465661</v>
      </c>
      <c r="S1705" s="158">
        <f t="shared" si="296"/>
        <v>2.0708333333604969</v>
      </c>
      <c r="T1705" s="161">
        <f t="shared" si="297"/>
        <v>991.92916667967802</v>
      </c>
      <c r="U1705" s="158">
        <f t="shared" si="298"/>
        <v>279.41666666666669</v>
      </c>
      <c r="V1705" s="160">
        <f t="shared" si="299"/>
        <v>279</v>
      </c>
    </row>
    <row r="1706" spans="1:22" x14ac:dyDescent="0.25">
      <c r="A1706" s="98" t="s">
        <v>30</v>
      </c>
      <c r="B1706" s="98" t="s">
        <v>17</v>
      </c>
      <c r="C1706" s="98">
        <v>12</v>
      </c>
      <c r="D1706" s="98">
        <v>4499</v>
      </c>
      <c r="E1706" s="157">
        <v>42095.279166666667</v>
      </c>
      <c r="F1706" s="157">
        <v>42107.088194444441</v>
      </c>
      <c r="G1706" s="98">
        <v>522</v>
      </c>
      <c r="H1706" s="98">
        <v>528</v>
      </c>
      <c r="I1706" s="98">
        <v>479</v>
      </c>
      <c r="J1706" s="98" t="s">
        <v>2082</v>
      </c>
      <c r="K1706" s="98" t="s">
        <v>2542</v>
      </c>
      <c r="L1706" s="105" t="str">
        <f t="shared" si="290"/>
        <v>Ghent</v>
      </c>
      <c r="M1706" s="105" t="str">
        <f t="shared" si="291"/>
        <v>Derate</v>
      </c>
      <c r="N1706" s="105" t="str">
        <f t="shared" si="292"/>
        <v>Coal</v>
      </c>
      <c r="O1706" s="105">
        <f>IFERROR(VLOOKUP(A1706,Lookup!$J$5:$P$19,7,FALSE),0)</f>
        <v>3</v>
      </c>
      <c r="P1706" s="159">
        <f t="shared" si="293"/>
        <v>2015</v>
      </c>
      <c r="Q1706" s="159">
        <f t="shared" si="294"/>
        <v>4</v>
      </c>
      <c r="R1706" s="160">
        <f t="shared" si="295"/>
        <v>283.41666666656965</v>
      </c>
      <c r="S1706" s="158">
        <f t="shared" si="296"/>
        <v>3.2206439393928368</v>
      </c>
      <c r="T1706" s="161">
        <f t="shared" si="297"/>
        <v>1542.6884469691688</v>
      </c>
      <c r="U1706" s="158">
        <f t="shared" si="298"/>
        <v>5.4431818181818183</v>
      </c>
      <c r="V1706" s="160">
        <f t="shared" si="299"/>
        <v>5</v>
      </c>
    </row>
    <row r="1707" spans="1:22" x14ac:dyDescent="0.25">
      <c r="A1707" s="98" t="s">
        <v>30</v>
      </c>
      <c r="B1707" s="98" t="s">
        <v>17</v>
      </c>
      <c r="C1707" s="98">
        <v>13</v>
      </c>
      <c r="D1707" s="98">
        <v>270</v>
      </c>
      <c r="E1707" s="157">
        <v>42107.088194444441</v>
      </c>
      <c r="F1707" s="157">
        <v>42107.357638888891</v>
      </c>
      <c r="G1707" s="98">
        <v>229</v>
      </c>
      <c r="H1707" s="98">
        <v>528</v>
      </c>
      <c r="I1707" s="98">
        <v>479</v>
      </c>
      <c r="J1707" s="98" t="s">
        <v>2031</v>
      </c>
      <c r="K1707" s="98" t="s">
        <v>2543</v>
      </c>
      <c r="L1707" s="105" t="str">
        <f t="shared" si="290"/>
        <v>Ghent</v>
      </c>
      <c r="M1707" s="105" t="str">
        <f t="shared" si="291"/>
        <v>Derate</v>
      </c>
      <c r="N1707" s="105" t="str">
        <f t="shared" si="292"/>
        <v>Coal</v>
      </c>
      <c r="O1707" s="105">
        <f>IFERROR(VLOOKUP(A1707,Lookup!$J$5:$P$19,7,FALSE),0)</f>
        <v>3</v>
      </c>
      <c r="P1707" s="159">
        <f t="shared" si="293"/>
        <v>2015</v>
      </c>
      <c r="Q1707" s="159">
        <f t="shared" si="294"/>
        <v>4</v>
      </c>
      <c r="R1707" s="160">
        <f t="shared" si="295"/>
        <v>6.466666666790843</v>
      </c>
      <c r="S1707" s="158">
        <f t="shared" si="296"/>
        <v>3.6619949495652691</v>
      </c>
      <c r="T1707" s="161">
        <f t="shared" si="297"/>
        <v>1754.0955808417639</v>
      </c>
      <c r="U1707" s="158">
        <f t="shared" si="298"/>
        <v>271.25189393939394</v>
      </c>
      <c r="V1707" s="160">
        <f t="shared" si="299"/>
        <v>271</v>
      </c>
    </row>
    <row r="1708" spans="1:22" x14ac:dyDescent="0.25">
      <c r="A1708" s="98" t="s">
        <v>30</v>
      </c>
      <c r="B1708" s="98" t="s">
        <v>17</v>
      </c>
      <c r="C1708" s="98">
        <v>14</v>
      </c>
      <c r="D1708" s="98">
        <v>4499</v>
      </c>
      <c r="E1708" s="157">
        <v>42107.357638888891</v>
      </c>
      <c r="F1708" s="157">
        <v>42111.311111111114</v>
      </c>
      <c r="G1708" s="98">
        <v>522</v>
      </c>
      <c r="H1708" s="98">
        <v>528</v>
      </c>
      <c r="I1708" s="98">
        <v>479</v>
      </c>
      <c r="J1708" s="98" t="s">
        <v>2082</v>
      </c>
      <c r="K1708" s="98" t="s">
        <v>2544</v>
      </c>
      <c r="L1708" s="105" t="str">
        <f t="shared" si="290"/>
        <v>Ghent</v>
      </c>
      <c r="M1708" s="105" t="str">
        <f t="shared" si="291"/>
        <v>Derate</v>
      </c>
      <c r="N1708" s="105" t="str">
        <f t="shared" si="292"/>
        <v>Coal</v>
      </c>
      <c r="O1708" s="105">
        <f>IFERROR(VLOOKUP(A1708,Lookup!$J$5:$P$19,7,FALSE),0)</f>
        <v>3</v>
      </c>
      <c r="P1708" s="159">
        <f t="shared" si="293"/>
        <v>2015</v>
      </c>
      <c r="Q1708" s="159">
        <f t="shared" si="294"/>
        <v>4</v>
      </c>
      <c r="R1708" s="160">
        <f t="shared" si="295"/>
        <v>94.883333333360497</v>
      </c>
      <c r="S1708" s="158">
        <f t="shared" si="296"/>
        <v>1.0782196969700057</v>
      </c>
      <c r="T1708" s="161">
        <f t="shared" si="297"/>
        <v>516.46723484863276</v>
      </c>
      <c r="U1708" s="158">
        <f t="shared" si="298"/>
        <v>5.4431818181818183</v>
      </c>
      <c r="V1708" s="160">
        <f t="shared" si="299"/>
        <v>5</v>
      </c>
    </row>
    <row r="1709" spans="1:22" x14ac:dyDescent="0.25">
      <c r="A1709" s="98" t="s">
        <v>30</v>
      </c>
      <c r="B1709" s="98" t="s">
        <v>17</v>
      </c>
      <c r="C1709" s="98">
        <v>15</v>
      </c>
      <c r="D1709" s="98">
        <v>250</v>
      </c>
      <c r="E1709" s="157">
        <v>42111.311111111114</v>
      </c>
      <c r="F1709" s="157">
        <v>42111.345833333333</v>
      </c>
      <c r="G1709" s="98">
        <v>434</v>
      </c>
      <c r="H1709" s="98">
        <v>528</v>
      </c>
      <c r="I1709" s="98">
        <v>479</v>
      </c>
      <c r="J1709" s="98" t="s">
        <v>1978</v>
      </c>
      <c r="K1709" s="98" t="s">
        <v>2545</v>
      </c>
      <c r="L1709" s="105" t="str">
        <f t="shared" si="290"/>
        <v>Ghent</v>
      </c>
      <c r="M1709" s="105" t="str">
        <f t="shared" si="291"/>
        <v>Derate</v>
      </c>
      <c r="N1709" s="105" t="str">
        <f t="shared" si="292"/>
        <v>Coal</v>
      </c>
      <c r="O1709" s="105">
        <f>IFERROR(VLOOKUP(A1709,Lookup!$J$5:$P$19,7,FALSE),0)</f>
        <v>3</v>
      </c>
      <c r="P1709" s="159">
        <f t="shared" si="293"/>
        <v>2015</v>
      </c>
      <c r="Q1709" s="159">
        <f t="shared" si="294"/>
        <v>4</v>
      </c>
      <c r="R1709" s="160">
        <f t="shared" si="295"/>
        <v>0.83333333325572312</v>
      </c>
      <c r="S1709" s="158">
        <f t="shared" si="296"/>
        <v>0.14835858584476888</v>
      </c>
      <c r="T1709" s="161">
        <f t="shared" si="297"/>
        <v>71.063762619644294</v>
      </c>
      <c r="U1709" s="158">
        <f t="shared" si="298"/>
        <v>85.276515151515156</v>
      </c>
      <c r="V1709" s="160">
        <f t="shared" si="299"/>
        <v>85</v>
      </c>
    </row>
    <row r="1710" spans="1:22" x14ac:dyDescent="0.25">
      <c r="A1710" s="98" t="s">
        <v>30</v>
      </c>
      <c r="B1710" s="98" t="s">
        <v>17</v>
      </c>
      <c r="C1710" s="98">
        <v>16</v>
      </c>
      <c r="D1710" s="98">
        <v>4499</v>
      </c>
      <c r="E1710" s="157">
        <v>42111.345833333333</v>
      </c>
      <c r="F1710" s="157">
        <v>42112.390972222223</v>
      </c>
      <c r="G1710" s="98">
        <v>515</v>
      </c>
      <c r="H1710" s="98">
        <v>528</v>
      </c>
      <c r="I1710" s="98">
        <v>479</v>
      </c>
      <c r="J1710" s="98" t="s">
        <v>2082</v>
      </c>
      <c r="K1710" s="98" t="s">
        <v>2546</v>
      </c>
      <c r="L1710" s="105" t="str">
        <f t="shared" si="290"/>
        <v>Ghent</v>
      </c>
      <c r="M1710" s="105" t="str">
        <f t="shared" si="291"/>
        <v>Derate</v>
      </c>
      <c r="N1710" s="105" t="str">
        <f t="shared" si="292"/>
        <v>Coal</v>
      </c>
      <c r="O1710" s="105">
        <f>IFERROR(VLOOKUP(A1710,Lookup!$J$5:$P$19,7,FALSE),0)</f>
        <v>3</v>
      </c>
      <c r="P1710" s="159">
        <f t="shared" si="293"/>
        <v>2015</v>
      </c>
      <c r="Q1710" s="159">
        <f t="shared" si="294"/>
        <v>4</v>
      </c>
      <c r="R1710" s="160">
        <f t="shared" si="295"/>
        <v>25.083333333372138</v>
      </c>
      <c r="S1710" s="158">
        <f t="shared" si="296"/>
        <v>0.61758207070802618</v>
      </c>
      <c r="T1710" s="161">
        <f t="shared" si="297"/>
        <v>295.82181186914454</v>
      </c>
      <c r="U1710" s="158">
        <f t="shared" si="298"/>
        <v>11.793560606060606</v>
      </c>
      <c r="V1710" s="160">
        <f t="shared" si="299"/>
        <v>12</v>
      </c>
    </row>
    <row r="1711" spans="1:22" x14ac:dyDescent="0.25">
      <c r="A1711" s="98" t="s">
        <v>30</v>
      </c>
      <c r="B1711" s="98" t="s">
        <v>15</v>
      </c>
      <c r="C1711" s="98">
        <v>17</v>
      </c>
      <c r="D1711" s="98">
        <v>270</v>
      </c>
      <c r="E1711" s="157">
        <v>42112.390972222223</v>
      </c>
      <c r="F1711" s="157">
        <v>42113.843055555553</v>
      </c>
      <c r="G1711" s="98">
        <v>0</v>
      </c>
      <c r="H1711" s="98">
        <v>528</v>
      </c>
      <c r="I1711" s="98">
        <v>479</v>
      </c>
      <c r="J1711" s="98" t="s">
        <v>2031</v>
      </c>
      <c r="K1711" s="98" t="s">
        <v>2547</v>
      </c>
      <c r="L1711" s="105" t="str">
        <f t="shared" si="290"/>
        <v>Ghent</v>
      </c>
      <c r="M1711" s="105" t="str">
        <f t="shared" si="291"/>
        <v>Outage</v>
      </c>
      <c r="N1711" s="105" t="str">
        <f t="shared" si="292"/>
        <v>Coal</v>
      </c>
      <c r="O1711" s="105">
        <f>IFERROR(VLOOKUP(A1711,Lookup!$J$5:$P$19,7,FALSE),0)</f>
        <v>3</v>
      </c>
      <c r="P1711" s="159">
        <f t="shared" si="293"/>
        <v>2015</v>
      </c>
      <c r="Q1711" s="159">
        <f t="shared" si="294"/>
        <v>4</v>
      </c>
      <c r="R1711" s="160">
        <f t="shared" si="295"/>
        <v>34.849999999918509</v>
      </c>
      <c r="S1711" s="158">
        <f t="shared" si="296"/>
        <v>34.849999999918509</v>
      </c>
      <c r="T1711" s="161">
        <f t="shared" si="297"/>
        <v>16693.149999960966</v>
      </c>
      <c r="U1711" s="158">
        <f t="shared" si="298"/>
        <v>479</v>
      </c>
      <c r="V1711" s="160">
        <f t="shared" si="299"/>
        <v>479</v>
      </c>
    </row>
    <row r="1712" spans="1:22" x14ac:dyDescent="0.25">
      <c r="A1712" s="98" t="s">
        <v>30</v>
      </c>
      <c r="B1712" s="98" t="s">
        <v>17</v>
      </c>
      <c r="C1712" s="98">
        <v>18</v>
      </c>
      <c r="D1712" s="98">
        <v>4499</v>
      </c>
      <c r="E1712" s="157">
        <v>42114.23333333333</v>
      </c>
      <c r="F1712" s="157">
        <v>42135.362500000003</v>
      </c>
      <c r="G1712" s="98">
        <v>516</v>
      </c>
      <c r="H1712" s="98">
        <v>528</v>
      </c>
      <c r="I1712" s="98">
        <v>479</v>
      </c>
      <c r="J1712" s="98" t="s">
        <v>2082</v>
      </c>
      <c r="K1712" s="98" t="s">
        <v>2548</v>
      </c>
      <c r="L1712" s="105" t="str">
        <f t="shared" si="290"/>
        <v>Ghent</v>
      </c>
      <c r="M1712" s="105" t="str">
        <f t="shared" si="291"/>
        <v>Derate</v>
      </c>
      <c r="N1712" s="105" t="str">
        <f t="shared" si="292"/>
        <v>Coal</v>
      </c>
      <c r="O1712" s="105">
        <f>IFERROR(VLOOKUP(A1712,Lookup!$J$5:$P$19,7,FALSE),0)</f>
        <v>3</v>
      </c>
      <c r="P1712" s="159">
        <f t="shared" si="293"/>
        <v>2015</v>
      </c>
      <c r="Q1712" s="159">
        <f t="shared" si="294"/>
        <v>4</v>
      </c>
      <c r="R1712" s="160">
        <f t="shared" si="295"/>
        <v>507.10000000015134</v>
      </c>
      <c r="S1712" s="158">
        <f t="shared" si="296"/>
        <v>11.525000000003439</v>
      </c>
      <c r="T1712" s="161">
        <f t="shared" si="297"/>
        <v>5520.4750000016475</v>
      </c>
      <c r="U1712" s="158">
        <f t="shared" si="298"/>
        <v>10.886363636363637</v>
      </c>
      <c r="V1712" s="160">
        <f t="shared" si="299"/>
        <v>11</v>
      </c>
    </row>
    <row r="1713" spans="1:22" x14ac:dyDescent="0.25">
      <c r="A1713" s="98" t="s">
        <v>30</v>
      </c>
      <c r="B1713" s="98" t="s">
        <v>20</v>
      </c>
      <c r="C1713" s="98">
        <v>19</v>
      </c>
      <c r="D1713" s="98">
        <v>1488</v>
      </c>
      <c r="E1713" s="157">
        <v>42135.362500000003</v>
      </c>
      <c r="F1713" s="157">
        <v>42143.056250000001</v>
      </c>
      <c r="G1713" s="98">
        <v>0</v>
      </c>
      <c r="H1713" s="98">
        <v>528</v>
      </c>
      <c r="I1713" s="98">
        <v>479</v>
      </c>
      <c r="J1713" s="98" t="s">
        <v>2284</v>
      </c>
      <c r="K1713" s="98" t="s">
        <v>2549</v>
      </c>
      <c r="L1713" s="105" t="str">
        <f t="shared" si="290"/>
        <v>Ghent</v>
      </c>
      <c r="M1713" s="105" t="str">
        <f t="shared" si="291"/>
        <v>Maintenance</v>
      </c>
      <c r="N1713" s="105" t="str">
        <f t="shared" si="292"/>
        <v>Coal</v>
      </c>
      <c r="O1713" s="105">
        <f>IFERROR(VLOOKUP(A1713,Lookup!$J$5:$P$19,7,FALSE),0)</f>
        <v>3</v>
      </c>
      <c r="P1713" s="159">
        <f t="shared" si="293"/>
        <v>2015</v>
      </c>
      <c r="Q1713" s="159">
        <f t="shared" si="294"/>
        <v>5</v>
      </c>
      <c r="R1713" s="160">
        <f t="shared" si="295"/>
        <v>184.64999999996508</v>
      </c>
      <c r="S1713" s="158">
        <f t="shared" si="296"/>
        <v>184.64999999996508</v>
      </c>
      <c r="T1713" s="161">
        <f t="shared" si="297"/>
        <v>88447.349999983271</v>
      </c>
      <c r="U1713" s="158">
        <f t="shared" si="298"/>
        <v>479</v>
      </c>
      <c r="V1713" s="160">
        <f t="shared" si="299"/>
        <v>479</v>
      </c>
    </row>
    <row r="1714" spans="1:22" x14ac:dyDescent="0.25">
      <c r="A1714" s="98" t="s">
        <v>30</v>
      </c>
      <c r="B1714" s="98" t="s">
        <v>17</v>
      </c>
      <c r="C1714" s="98">
        <v>20</v>
      </c>
      <c r="D1714" s="98">
        <v>1850</v>
      </c>
      <c r="E1714" s="157">
        <v>42143.394444444442</v>
      </c>
      <c r="F1714" s="157">
        <v>42143.604166666664</v>
      </c>
      <c r="G1714" s="98">
        <v>458</v>
      </c>
      <c r="H1714" s="98">
        <v>528</v>
      </c>
      <c r="I1714" s="98">
        <v>479</v>
      </c>
      <c r="J1714" s="98" t="s">
        <v>2263</v>
      </c>
      <c r="K1714" s="98" t="s">
        <v>2550</v>
      </c>
      <c r="L1714" s="105" t="str">
        <f t="shared" si="290"/>
        <v>Ghent</v>
      </c>
      <c r="M1714" s="105" t="str">
        <f t="shared" si="291"/>
        <v>Derate</v>
      </c>
      <c r="N1714" s="105" t="str">
        <f t="shared" si="292"/>
        <v>Coal</v>
      </c>
      <c r="O1714" s="105">
        <f>IFERROR(VLOOKUP(A1714,Lookup!$J$5:$P$19,7,FALSE),0)</f>
        <v>3</v>
      </c>
      <c r="P1714" s="159">
        <f t="shared" si="293"/>
        <v>2015</v>
      </c>
      <c r="Q1714" s="159">
        <f t="shared" si="294"/>
        <v>5</v>
      </c>
      <c r="R1714" s="160">
        <f t="shared" si="295"/>
        <v>5.0333333333255723</v>
      </c>
      <c r="S1714" s="158">
        <f t="shared" si="296"/>
        <v>0.66729797979695082</v>
      </c>
      <c r="T1714" s="161">
        <f t="shared" si="297"/>
        <v>319.63573232273944</v>
      </c>
      <c r="U1714" s="158">
        <f t="shared" si="298"/>
        <v>63.503787878787875</v>
      </c>
      <c r="V1714" s="160">
        <f t="shared" si="299"/>
        <v>64</v>
      </c>
    </row>
    <row r="1715" spans="1:22" x14ac:dyDescent="0.25">
      <c r="A1715" s="98" t="s">
        <v>30</v>
      </c>
      <c r="B1715" s="98" t="s">
        <v>17</v>
      </c>
      <c r="C1715" s="98">
        <v>21</v>
      </c>
      <c r="D1715" s="98">
        <v>250</v>
      </c>
      <c r="E1715" s="157">
        <v>42148.821527777778</v>
      </c>
      <c r="F1715" s="157">
        <v>42148.84097222222</v>
      </c>
      <c r="G1715" s="98">
        <v>435</v>
      </c>
      <c r="H1715" s="98">
        <v>528</v>
      </c>
      <c r="I1715" s="98">
        <v>479</v>
      </c>
      <c r="J1715" s="98" t="s">
        <v>1978</v>
      </c>
      <c r="K1715" s="98" t="s">
        <v>2551</v>
      </c>
      <c r="L1715" s="105" t="str">
        <f t="shared" si="290"/>
        <v>Ghent</v>
      </c>
      <c r="M1715" s="105" t="str">
        <f t="shared" si="291"/>
        <v>Derate</v>
      </c>
      <c r="N1715" s="105" t="str">
        <f t="shared" si="292"/>
        <v>Coal</v>
      </c>
      <c r="O1715" s="105">
        <f>IFERROR(VLOOKUP(A1715,Lookup!$J$5:$P$19,7,FALSE),0)</f>
        <v>3</v>
      </c>
      <c r="P1715" s="159">
        <f t="shared" si="293"/>
        <v>2015</v>
      </c>
      <c r="Q1715" s="159">
        <f t="shared" si="294"/>
        <v>5</v>
      </c>
      <c r="R1715" s="160">
        <f t="shared" si="295"/>
        <v>0.46666666661622003</v>
      </c>
      <c r="S1715" s="158">
        <f t="shared" si="296"/>
        <v>8.2196969688084209E-2</v>
      </c>
      <c r="T1715" s="161">
        <f t="shared" si="297"/>
        <v>39.372348480592336</v>
      </c>
      <c r="U1715" s="158">
        <f t="shared" si="298"/>
        <v>84.369318181818187</v>
      </c>
      <c r="V1715" s="160">
        <f t="shared" si="299"/>
        <v>84</v>
      </c>
    </row>
    <row r="1716" spans="1:22" x14ac:dyDescent="0.25">
      <c r="A1716" s="98" t="s">
        <v>30</v>
      </c>
      <c r="B1716" s="98" t="s">
        <v>15</v>
      </c>
      <c r="C1716" s="98">
        <v>22</v>
      </c>
      <c r="D1716" s="98">
        <v>1080</v>
      </c>
      <c r="E1716" s="157">
        <v>42165.935416666667</v>
      </c>
      <c r="F1716" s="157">
        <v>42167.300694444442</v>
      </c>
      <c r="G1716" s="98">
        <v>0</v>
      </c>
      <c r="H1716" s="98">
        <v>528</v>
      </c>
      <c r="I1716" s="98">
        <v>479</v>
      </c>
      <c r="J1716" s="98" t="s">
        <v>1991</v>
      </c>
      <c r="K1716" s="98" t="s">
        <v>2552</v>
      </c>
      <c r="L1716" s="105" t="str">
        <f t="shared" si="290"/>
        <v>Ghent</v>
      </c>
      <c r="M1716" s="105" t="str">
        <f t="shared" si="291"/>
        <v>Outage</v>
      </c>
      <c r="N1716" s="105" t="str">
        <f t="shared" si="292"/>
        <v>Coal</v>
      </c>
      <c r="O1716" s="105">
        <f>IFERROR(VLOOKUP(A1716,Lookup!$J$5:$P$19,7,FALSE),0)</f>
        <v>3</v>
      </c>
      <c r="P1716" s="159">
        <f t="shared" si="293"/>
        <v>2015</v>
      </c>
      <c r="Q1716" s="159">
        <f t="shared" si="294"/>
        <v>6</v>
      </c>
      <c r="R1716" s="160">
        <f t="shared" si="295"/>
        <v>32.766666666604578</v>
      </c>
      <c r="S1716" s="158">
        <f t="shared" si="296"/>
        <v>32.766666666604578</v>
      </c>
      <c r="T1716" s="161">
        <f t="shared" si="297"/>
        <v>15695.233333303593</v>
      </c>
      <c r="U1716" s="158">
        <f t="shared" si="298"/>
        <v>479</v>
      </c>
      <c r="V1716" s="160">
        <f t="shared" si="299"/>
        <v>479</v>
      </c>
    </row>
    <row r="1717" spans="1:22" x14ac:dyDescent="0.25">
      <c r="A1717" s="98" t="s">
        <v>30</v>
      </c>
      <c r="B1717" s="98" t="s">
        <v>15</v>
      </c>
      <c r="C1717" s="98">
        <v>23</v>
      </c>
      <c r="D1717" s="98">
        <v>1000</v>
      </c>
      <c r="E1717" s="157">
        <v>42168.85</v>
      </c>
      <c r="F1717" s="157">
        <v>42169.986805555556</v>
      </c>
      <c r="G1717" s="98">
        <v>0</v>
      </c>
      <c r="H1717" s="98">
        <v>528</v>
      </c>
      <c r="I1717" s="98">
        <v>479</v>
      </c>
      <c r="J1717" s="98" t="s">
        <v>2002</v>
      </c>
      <c r="K1717" s="98" t="s">
        <v>2553</v>
      </c>
      <c r="L1717" s="105" t="str">
        <f t="shared" si="290"/>
        <v>Ghent</v>
      </c>
      <c r="M1717" s="105" t="str">
        <f t="shared" si="291"/>
        <v>Outage</v>
      </c>
      <c r="N1717" s="105" t="str">
        <f t="shared" si="292"/>
        <v>Coal</v>
      </c>
      <c r="O1717" s="105">
        <f>IFERROR(VLOOKUP(A1717,Lookup!$J$5:$P$19,7,FALSE),0)</f>
        <v>3</v>
      </c>
      <c r="P1717" s="159">
        <f t="shared" si="293"/>
        <v>2015</v>
      </c>
      <c r="Q1717" s="159">
        <f t="shared" si="294"/>
        <v>6</v>
      </c>
      <c r="R1717" s="160">
        <f t="shared" si="295"/>
        <v>27.28333333338378</v>
      </c>
      <c r="S1717" s="158">
        <f t="shared" si="296"/>
        <v>27.28333333338378</v>
      </c>
      <c r="T1717" s="161">
        <f t="shared" si="297"/>
        <v>13068.716666690831</v>
      </c>
      <c r="U1717" s="158">
        <f t="shared" si="298"/>
        <v>479</v>
      </c>
      <c r="V1717" s="160">
        <f t="shared" si="299"/>
        <v>479</v>
      </c>
    </row>
    <row r="1718" spans="1:22" x14ac:dyDescent="0.25">
      <c r="A1718" s="98" t="s">
        <v>30</v>
      </c>
      <c r="B1718" s="98" t="s">
        <v>20</v>
      </c>
      <c r="C1718" s="98">
        <v>24</v>
      </c>
      <c r="D1718" s="98">
        <v>1000</v>
      </c>
      <c r="E1718" s="157">
        <v>42174.740277777775</v>
      </c>
      <c r="F1718" s="157">
        <v>42176.6</v>
      </c>
      <c r="G1718" s="98">
        <v>0</v>
      </c>
      <c r="H1718" s="98">
        <v>528</v>
      </c>
      <c r="I1718" s="98">
        <v>479</v>
      </c>
      <c r="J1718" s="98" t="s">
        <v>2002</v>
      </c>
      <c r="K1718" s="98" t="s">
        <v>2554</v>
      </c>
      <c r="L1718" s="105" t="str">
        <f t="shared" si="290"/>
        <v>Ghent</v>
      </c>
      <c r="M1718" s="105" t="str">
        <f t="shared" si="291"/>
        <v>Maintenance</v>
      </c>
      <c r="N1718" s="105" t="str">
        <f t="shared" si="292"/>
        <v>Coal</v>
      </c>
      <c r="O1718" s="105">
        <f>IFERROR(VLOOKUP(A1718,Lookup!$J$5:$P$19,7,FALSE),0)</f>
        <v>3</v>
      </c>
      <c r="P1718" s="159">
        <f t="shared" si="293"/>
        <v>2015</v>
      </c>
      <c r="Q1718" s="159">
        <f t="shared" si="294"/>
        <v>6</v>
      </c>
      <c r="R1718" s="160">
        <f t="shared" si="295"/>
        <v>44.633333333360497</v>
      </c>
      <c r="S1718" s="158">
        <f t="shared" si="296"/>
        <v>44.633333333360497</v>
      </c>
      <c r="T1718" s="161">
        <f t="shared" si="297"/>
        <v>21379.366666679678</v>
      </c>
      <c r="U1718" s="158">
        <f t="shared" si="298"/>
        <v>479</v>
      </c>
      <c r="V1718" s="160">
        <f t="shared" si="299"/>
        <v>479</v>
      </c>
    </row>
    <row r="1719" spans="1:22" x14ac:dyDescent="0.25">
      <c r="A1719" s="98" t="s">
        <v>30</v>
      </c>
      <c r="B1719" s="98" t="s">
        <v>17</v>
      </c>
      <c r="C1719" s="98">
        <v>25</v>
      </c>
      <c r="D1719" s="98">
        <v>3416</v>
      </c>
      <c r="E1719" s="157">
        <v>42198.057638888888</v>
      </c>
      <c r="F1719" s="157">
        <v>42198.924305555556</v>
      </c>
      <c r="G1719" s="98">
        <v>325</v>
      </c>
      <c r="H1719" s="98">
        <v>528</v>
      </c>
      <c r="I1719" s="98">
        <v>479</v>
      </c>
      <c r="J1719" s="98" t="s">
        <v>2164</v>
      </c>
      <c r="K1719" s="98" t="s">
        <v>3439</v>
      </c>
      <c r="L1719" s="105" t="str">
        <f t="shared" si="290"/>
        <v>Ghent</v>
      </c>
      <c r="M1719" s="105" t="str">
        <f t="shared" si="291"/>
        <v>Derate</v>
      </c>
      <c r="N1719" s="105" t="str">
        <f t="shared" si="292"/>
        <v>Coal</v>
      </c>
      <c r="O1719" s="105">
        <f>IFERROR(VLOOKUP(A1719,Lookup!$J$5:$P$19,7,FALSE),0)</f>
        <v>3</v>
      </c>
      <c r="P1719" s="159">
        <f t="shared" si="293"/>
        <v>2015</v>
      </c>
      <c r="Q1719" s="159">
        <f t="shared" si="294"/>
        <v>7</v>
      </c>
      <c r="R1719" s="160">
        <f t="shared" si="295"/>
        <v>20.800000000046566</v>
      </c>
      <c r="S1719" s="158">
        <f t="shared" si="296"/>
        <v>7.9969696969876001</v>
      </c>
      <c r="T1719" s="161">
        <f t="shared" si="297"/>
        <v>3830.5484848570604</v>
      </c>
      <c r="U1719" s="158">
        <f t="shared" si="298"/>
        <v>184.16098484848484</v>
      </c>
      <c r="V1719" s="160">
        <f t="shared" si="299"/>
        <v>184</v>
      </c>
    </row>
    <row r="1720" spans="1:22" x14ac:dyDescent="0.25">
      <c r="A1720" s="98" t="s">
        <v>30</v>
      </c>
      <c r="B1720" s="98" t="s">
        <v>17</v>
      </c>
      <c r="C1720" s="98">
        <v>26</v>
      </c>
      <c r="D1720" s="98">
        <v>250</v>
      </c>
      <c r="E1720" s="157">
        <v>42219.570138888892</v>
      </c>
      <c r="F1720" s="157">
        <v>42219.622916666667</v>
      </c>
      <c r="G1720" s="98">
        <v>410</v>
      </c>
      <c r="H1720" s="98">
        <v>528</v>
      </c>
      <c r="I1720" s="98">
        <v>479</v>
      </c>
      <c r="J1720" s="98" t="s">
        <v>1978</v>
      </c>
      <c r="K1720" s="98" t="s">
        <v>3440</v>
      </c>
      <c r="L1720" s="105" t="str">
        <f t="shared" si="290"/>
        <v>Ghent</v>
      </c>
      <c r="M1720" s="105" t="str">
        <f t="shared" si="291"/>
        <v>Derate</v>
      </c>
      <c r="N1720" s="105" t="str">
        <f t="shared" si="292"/>
        <v>Coal</v>
      </c>
      <c r="O1720" s="105">
        <f>IFERROR(VLOOKUP(A1720,Lookup!$J$5:$P$19,7,FALSE),0)</f>
        <v>3</v>
      </c>
      <c r="P1720" s="159">
        <f t="shared" si="293"/>
        <v>2015</v>
      </c>
      <c r="Q1720" s="159">
        <f t="shared" si="294"/>
        <v>8</v>
      </c>
      <c r="R1720" s="160">
        <f t="shared" si="295"/>
        <v>1.2666666666045785</v>
      </c>
      <c r="S1720" s="158">
        <f t="shared" si="296"/>
        <v>0.28308080806693231</v>
      </c>
      <c r="T1720" s="161">
        <f t="shared" si="297"/>
        <v>135.59570706406058</v>
      </c>
      <c r="U1720" s="158">
        <f t="shared" si="298"/>
        <v>107.04924242424242</v>
      </c>
      <c r="V1720" s="160">
        <f t="shared" si="299"/>
        <v>107</v>
      </c>
    </row>
    <row r="1721" spans="1:22" x14ac:dyDescent="0.25">
      <c r="A1721" s="98" t="s">
        <v>30</v>
      </c>
      <c r="B1721" s="98" t="s">
        <v>33</v>
      </c>
      <c r="C1721" s="98">
        <v>27</v>
      </c>
      <c r="D1721" s="98">
        <v>1040</v>
      </c>
      <c r="E1721" s="157">
        <v>42230.097222222219</v>
      </c>
      <c r="F1721" s="157">
        <v>42231.881944444445</v>
      </c>
      <c r="G1721" s="98">
        <v>0</v>
      </c>
      <c r="H1721" s="98">
        <v>528</v>
      </c>
      <c r="I1721" s="98">
        <v>479</v>
      </c>
      <c r="J1721" s="98" t="s">
        <v>2001</v>
      </c>
      <c r="K1721" s="98" t="s">
        <v>3441</v>
      </c>
      <c r="L1721" s="105" t="str">
        <f t="shared" si="290"/>
        <v>Ghent</v>
      </c>
      <c r="M1721" s="105" t="str">
        <f t="shared" si="291"/>
        <v>Outage</v>
      </c>
      <c r="N1721" s="105" t="str">
        <f t="shared" si="292"/>
        <v>Coal</v>
      </c>
      <c r="O1721" s="105">
        <f>IFERROR(VLOOKUP(A1721,Lookup!$J$5:$P$19,7,FALSE),0)</f>
        <v>3</v>
      </c>
      <c r="P1721" s="159">
        <f t="shared" si="293"/>
        <v>2015</v>
      </c>
      <c r="Q1721" s="159">
        <f t="shared" si="294"/>
        <v>8</v>
      </c>
      <c r="R1721" s="160">
        <f t="shared" si="295"/>
        <v>42.833333333430346</v>
      </c>
      <c r="S1721" s="158">
        <f t="shared" si="296"/>
        <v>42.833333333430346</v>
      </c>
      <c r="T1721" s="161">
        <f t="shared" si="297"/>
        <v>20517.166666713136</v>
      </c>
      <c r="U1721" s="158">
        <f t="shared" si="298"/>
        <v>479</v>
      </c>
      <c r="V1721" s="160">
        <f t="shared" si="299"/>
        <v>479</v>
      </c>
    </row>
    <row r="1722" spans="1:22" x14ac:dyDescent="0.25">
      <c r="A1722" s="98" t="s">
        <v>30</v>
      </c>
      <c r="B1722" s="98" t="s">
        <v>32</v>
      </c>
      <c r="C1722" s="98">
        <v>29</v>
      </c>
      <c r="D1722" s="98">
        <v>3410</v>
      </c>
      <c r="E1722" s="157">
        <v>42233.9375</v>
      </c>
      <c r="F1722" s="157">
        <v>42233.997916666667</v>
      </c>
      <c r="G1722" s="98">
        <v>300</v>
      </c>
      <c r="H1722" s="98">
        <v>528</v>
      </c>
      <c r="I1722" s="98">
        <v>479</v>
      </c>
      <c r="J1722" s="98" t="s">
        <v>1983</v>
      </c>
      <c r="K1722" s="98" t="s">
        <v>3442</v>
      </c>
      <c r="L1722" s="105" t="str">
        <f t="shared" si="290"/>
        <v>Ghent</v>
      </c>
      <c r="M1722" s="105" t="str">
        <f t="shared" si="291"/>
        <v>Derate</v>
      </c>
      <c r="N1722" s="105" t="str">
        <f t="shared" si="292"/>
        <v>Coal</v>
      </c>
      <c r="O1722" s="105">
        <f>IFERROR(VLOOKUP(A1722,Lookup!$J$5:$P$19,7,FALSE),0)</f>
        <v>3</v>
      </c>
      <c r="P1722" s="159">
        <f t="shared" si="293"/>
        <v>2015</v>
      </c>
      <c r="Q1722" s="159">
        <f t="shared" si="294"/>
        <v>8</v>
      </c>
      <c r="R1722" s="160">
        <f t="shared" si="295"/>
        <v>1.4500000000116415</v>
      </c>
      <c r="S1722" s="158">
        <f t="shared" si="296"/>
        <v>0.62613636364139069</v>
      </c>
      <c r="T1722" s="161">
        <f t="shared" si="297"/>
        <v>299.91931818422614</v>
      </c>
      <c r="U1722" s="158">
        <f t="shared" si="298"/>
        <v>206.84090909090909</v>
      </c>
      <c r="V1722" s="160">
        <f t="shared" si="299"/>
        <v>207</v>
      </c>
    </row>
    <row r="1723" spans="1:22" x14ac:dyDescent="0.25">
      <c r="A1723" s="98" t="s">
        <v>30</v>
      </c>
      <c r="B1723" s="98" t="s">
        <v>17</v>
      </c>
      <c r="C1723" s="98">
        <v>30</v>
      </c>
      <c r="D1723" s="98">
        <v>1415</v>
      </c>
      <c r="E1723" s="157">
        <v>42240.292361111111</v>
      </c>
      <c r="F1723" s="157">
        <v>42240.302777777775</v>
      </c>
      <c r="G1723" s="98">
        <v>500</v>
      </c>
      <c r="H1723" s="98">
        <v>528</v>
      </c>
      <c r="I1723" s="98">
        <v>479</v>
      </c>
      <c r="J1723" s="98" t="s">
        <v>2184</v>
      </c>
      <c r="K1723" s="98" t="s">
        <v>3443</v>
      </c>
      <c r="L1723" s="105" t="str">
        <f t="shared" si="290"/>
        <v>Ghent</v>
      </c>
      <c r="M1723" s="105" t="str">
        <f t="shared" si="291"/>
        <v>Derate</v>
      </c>
      <c r="N1723" s="105" t="str">
        <f t="shared" si="292"/>
        <v>Coal</v>
      </c>
      <c r="O1723" s="105">
        <f>IFERROR(VLOOKUP(A1723,Lookup!$J$5:$P$19,7,FALSE),0)</f>
        <v>3</v>
      </c>
      <c r="P1723" s="159">
        <f t="shared" si="293"/>
        <v>2015</v>
      </c>
      <c r="Q1723" s="159">
        <f t="shared" si="294"/>
        <v>8</v>
      </c>
      <c r="R1723" s="160">
        <f t="shared" si="295"/>
        <v>0.24999999994179234</v>
      </c>
      <c r="S1723" s="158">
        <f t="shared" si="296"/>
        <v>1.3257575754488988E-2</v>
      </c>
      <c r="T1723" s="161">
        <f t="shared" si="297"/>
        <v>6.350378786400225</v>
      </c>
      <c r="U1723" s="158">
        <f t="shared" si="298"/>
        <v>25.401515151515152</v>
      </c>
      <c r="V1723" s="160">
        <f t="shared" si="299"/>
        <v>25</v>
      </c>
    </row>
    <row r="1724" spans="1:22" x14ac:dyDescent="0.25">
      <c r="A1724" s="98" t="s">
        <v>30</v>
      </c>
      <c r="B1724" s="98" t="s">
        <v>15</v>
      </c>
      <c r="C1724" s="98">
        <v>31</v>
      </c>
      <c r="D1724" s="98">
        <v>1080</v>
      </c>
      <c r="E1724" s="157">
        <v>42246.452777777777</v>
      </c>
      <c r="F1724" s="157">
        <v>42249.59375</v>
      </c>
      <c r="G1724" s="98">
        <v>0</v>
      </c>
      <c r="H1724" s="98">
        <v>528</v>
      </c>
      <c r="I1724" s="98">
        <v>479</v>
      </c>
      <c r="J1724" s="98" t="s">
        <v>1991</v>
      </c>
      <c r="K1724" s="98" t="s">
        <v>3444</v>
      </c>
      <c r="L1724" s="105" t="str">
        <f t="shared" si="290"/>
        <v>Ghent</v>
      </c>
      <c r="M1724" s="105" t="str">
        <f t="shared" si="291"/>
        <v>Outage</v>
      </c>
      <c r="N1724" s="105" t="str">
        <f t="shared" si="292"/>
        <v>Coal</v>
      </c>
      <c r="O1724" s="105">
        <f>IFERROR(VLOOKUP(A1724,Lookup!$J$5:$P$19,7,FALSE),0)</f>
        <v>3</v>
      </c>
      <c r="P1724" s="159">
        <f t="shared" si="293"/>
        <v>2015</v>
      </c>
      <c r="Q1724" s="159">
        <f t="shared" si="294"/>
        <v>8</v>
      </c>
      <c r="R1724" s="160">
        <f t="shared" si="295"/>
        <v>75.383333333360497</v>
      </c>
      <c r="S1724" s="158">
        <f t="shared" si="296"/>
        <v>75.383333333360497</v>
      </c>
      <c r="T1724" s="161">
        <f t="shared" si="297"/>
        <v>36108.616666679678</v>
      </c>
      <c r="U1724" s="158">
        <f t="shared" si="298"/>
        <v>479</v>
      </c>
      <c r="V1724" s="160">
        <f t="shared" si="299"/>
        <v>479</v>
      </c>
    </row>
    <row r="1725" spans="1:22" x14ac:dyDescent="0.25">
      <c r="A1725" s="98" t="s">
        <v>30</v>
      </c>
      <c r="B1725" s="98" t="s">
        <v>33</v>
      </c>
      <c r="C1725" s="98">
        <v>32</v>
      </c>
      <c r="D1725" s="98">
        <v>500</v>
      </c>
      <c r="E1725" s="157">
        <v>42249.678472222222</v>
      </c>
      <c r="F1725" s="157">
        <v>42250.107638888891</v>
      </c>
      <c r="G1725" s="98">
        <v>0</v>
      </c>
      <c r="H1725" s="98">
        <v>528</v>
      </c>
      <c r="I1725" s="98">
        <v>479</v>
      </c>
      <c r="J1725" s="98" t="s">
        <v>3238</v>
      </c>
      <c r="K1725" s="98" t="s">
        <v>3445</v>
      </c>
      <c r="L1725" s="105" t="str">
        <f t="shared" si="290"/>
        <v>Ghent</v>
      </c>
      <c r="M1725" s="105" t="str">
        <f t="shared" si="291"/>
        <v>Outage</v>
      </c>
      <c r="N1725" s="105" t="str">
        <f t="shared" si="292"/>
        <v>Coal</v>
      </c>
      <c r="O1725" s="105">
        <f>IFERROR(VLOOKUP(A1725,Lookup!$J$5:$P$19,7,FALSE),0)</f>
        <v>3</v>
      </c>
      <c r="P1725" s="159">
        <f t="shared" si="293"/>
        <v>2015</v>
      </c>
      <c r="Q1725" s="159">
        <f t="shared" si="294"/>
        <v>9</v>
      </c>
      <c r="R1725" s="160">
        <f t="shared" si="295"/>
        <v>10.300000000046566</v>
      </c>
      <c r="S1725" s="158">
        <f t="shared" si="296"/>
        <v>10.300000000046566</v>
      </c>
      <c r="T1725" s="161">
        <f t="shared" si="297"/>
        <v>4933.7000000223052</v>
      </c>
      <c r="U1725" s="158">
        <f t="shared" si="298"/>
        <v>479</v>
      </c>
      <c r="V1725" s="160">
        <f t="shared" si="299"/>
        <v>479</v>
      </c>
    </row>
    <row r="1726" spans="1:22" x14ac:dyDescent="0.25">
      <c r="A1726" s="98" t="s">
        <v>30</v>
      </c>
      <c r="B1726" s="98" t="s">
        <v>32</v>
      </c>
      <c r="C1726" s="98">
        <v>33</v>
      </c>
      <c r="D1726" s="98">
        <v>1412</v>
      </c>
      <c r="E1726" s="157">
        <v>42283.989583333336</v>
      </c>
      <c r="F1726" s="157">
        <v>42284.093055555553</v>
      </c>
      <c r="G1726" s="98">
        <v>200</v>
      </c>
      <c r="H1726" s="98">
        <v>528</v>
      </c>
      <c r="I1726" s="98">
        <v>479</v>
      </c>
      <c r="J1726" s="98" t="s">
        <v>2252</v>
      </c>
      <c r="K1726" s="98" t="s">
        <v>3446</v>
      </c>
      <c r="L1726" s="105" t="str">
        <f t="shared" si="290"/>
        <v>Ghent</v>
      </c>
      <c r="M1726" s="105" t="str">
        <f t="shared" si="291"/>
        <v>Derate</v>
      </c>
      <c r="N1726" s="105" t="str">
        <f t="shared" si="292"/>
        <v>Coal</v>
      </c>
      <c r="O1726" s="105">
        <f>IFERROR(VLOOKUP(A1726,Lookup!$J$5:$P$19,7,FALSE),0)</f>
        <v>3</v>
      </c>
      <c r="P1726" s="159">
        <f t="shared" si="293"/>
        <v>2015</v>
      </c>
      <c r="Q1726" s="159">
        <f t="shared" si="294"/>
        <v>10</v>
      </c>
      <c r="R1726" s="160">
        <f t="shared" si="295"/>
        <v>2.4833333332207985</v>
      </c>
      <c r="S1726" s="158">
        <f t="shared" si="296"/>
        <v>1.5426767676068598</v>
      </c>
      <c r="T1726" s="161">
        <f t="shared" si="297"/>
        <v>738.94217168368584</v>
      </c>
      <c r="U1726" s="158">
        <f t="shared" si="298"/>
        <v>297.56060606060606</v>
      </c>
      <c r="V1726" s="160">
        <f t="shared" si="299"/>
        <v>298</v>
      </c>
    </row>
    <row r="1727" spans="1:22" x14ac:dyDescent="0.25">
      <c r="A1727" s="98" t="s">
        <v>30</v>
      </c>
      <c r="B1727" s="98" t="s">
        <v>38</v>
      </c>
      <c r="C1727" s="98">
        <v>34</v>
      </c>
      <c r="D1727" s="98">
        <v>4402</v>
      </c>
      <c r="E1727" s="157">
        <v>42293.530555555553</v>
      </c>
      <c r="F1727" s="157">
        <v>42324.052083333336</v>
      </c>
      <c r="G1727" s="98">
        <v>0</v>
      </c>
      <c r="H1727" s="98">
        <v>528</v>
      </c>
      <c r="I1727" s="98">
        <v>479</v>
      </c>
      <c r="J1727" s="98" t="s">
        <v>2146</v>
      </c>
      <c r="K1727" s="98" t="s">
        <v>3447</v>
      </c>
      <c r="L1727" s="105" t="str">
        <f t="shared" si="290"/>
        <v>Ghent</v>
      </c>
      <c r="M1727" s="105" t="str">
        <f t="shared" si="291"/>
        <v>Other</v>
      </c>
      <c r="N1727" s="105" t="str">
        <f t="shared" si="292"/>
        <v>Coal</v>
      </c>
      <c r="O1727" s="105">
        <f>IFERROR(VLOOKUP(A1727,Lookup!$J$5:$P$19,7,FALSE),0)</f>
        <v>3</v>
      </c>
      <c r="P1727" s="159">
        <f t="shared" si="293"/>
        <v>2015</v>
      </c>
      <c r="Q1727" s="159">
        <f t="shared" si="294"/>
        <v>10</v>
      </c>
      <c r="R1727" s="160">
        <f t="shared" si="295"/>
        <v>732.5166666667792</v>
      </c>
      <c r="S1727" s="158">
        <f t="shared" si="296"/>
        <v>732.5166666667792</v>
      </c>
      <c r="T1727" s="161">
        <f t="shared" si="297"/>
        <v>350875.48333338724</v>
      </c>
      <c r="U1727" s="158">
        <f t="shared" si="298"/>
        <v>479</v>
      </c>
      <c r="V1727" s="160">
        <f t="shared" si="299"/>
        <v>479</v>
      </c>
    </row>
    <row r="1728" spans="1:22" x14ac:dyDescent="0.25">
      <c r="A1728" s="98" t="s">
        <v>30</v>
      </c>
      <c r="B1728" s="98" t="s">
        <v>20</v>
      </c>
      <c r="C1728" s="98">
        <v>35</v>
      </c>
      <c r="D1728" s="98">
        <v>1050</v>
      </c>
      <c r="E1728" s="157">
        <v>42333.472916666666</v>
      </c>
      <c r="F1728" s="157">
        <v>42334.296527777777</v>
      </c>
      <c r="G1728" s="98">
        <v>0</v>
      </c>
      <c r="H1728" s="98">
        <v>528</v>
      </c>
      <c r="I1728" s="98">
        <v>479</v>
      </c>
      <c r="J1728" s="98" t="s">
        <v>2112</v>
      </c>
      <c r="K1728" s="98" t="s">
        <v>3448</v>
      </c>
      <c r="L1728" s="105" t="str">
        <f t="shared" si="290"/>
        <v>Ghent</v>
      </c>
      <c r="M1728" s="105" t="str">
        <f t="shared" si="291"/>
        <v>Maintenance</v>
      </c>
      <c r="N1728" s="105" t="str">
        <f t="shared" si="292"/>
        <v>Coal</v>
      </c>
      <c r="O1728" s="105">
        <f>IFERROR(VLOOKUP(A1728,Lookup!$J$5:$P$19,7,FALSE),0)</f>
        <v>3</v>
      </c>
      <c r="P1728" s="159">
        <f t="shared" si="293"/>
        <v>2015</v>
      </c>
      <c r="Q1728" s="159">
        <f t="shared" si="294"/>
        <v>11</v>
      </c>
      <c r="R1728" s="160">
        <f t="shared" si="295"/>
        <v>19.766666666662786</v>
      </c>
      <c r="S1728" s="158">
        <f t="shared" si="296"/>
        <v>19.766666666662786</v>
      </c>
      <c r="T1728" s="161">
        <f t="shared" si="297"/>
        <v>9468.2333333314746</v>
      </c>
      <c r="U1728" s="158">
        <f t="shared" si="298"/>
        <v>479</v>
      </c>
      <c r="V1728" s="160">
        <f t="shared" si="299"/>
        <v>479</v>
      </c>
    </row>
    <row r="1729" spans="1:22" x14ac:dyDescent="0.25">
      <c r="A1729" s="98" t="s">
        <v>30</v>
      </c>
      <c r="B1729" s="98" t="s">
        <v>17</v>
      </c>
      <c r="C1729" s="98">
        <v>36</v>
      </c>
      <c r="D1729" s="98">
        <v>340</v>
      </c>
      <c r="E1729" s="157">
        <v>42341.663888888892</v>
      </c>
      <c r="F1729" s="157">
        <v>42341.74722222222</v>
      </c>
      <c r="G1729" s="98">
        <v>425</v>
      </c>
      <c r="H1729" s="98">
        <v>528</v>
      </c>
      <c r="I1729" s="98">
        <v>479</v>
      </c>
      <c r="J1729" s="98" t="s">
        <v>1970</v>
      </c>
      <c r="K1729" s="98" t="s">
        <v>3449</v>
      </c>
      <c r="L1729" s="105" t="str">
        <f t="shared" si="290"/>
        <v>Ghent</v>
      </c>
      <c r="M1729" s="105" t="str">
        <f t="shared" si="291"/>
        <v>Derate</v>
      </c>
      <c r="N1729" s="105" t="str">
        <f t="shared" si="292"/>
        <v>Coal</v>
      </c>
      <c r="O1729" s="105">
        <f>IFERROR(VLOOKUP(A1729,Lookup!$J$5:$P$19,7,FALSE),0)</f>
        <v>3</v>
      </c>
      <c r="P1729" s="159">
        <f t="shared" si="293"/>
        <v>2015</v>
      </c>
      <c r="Q1729" s="159">
        <f t="shared" si="294"/>
        <v>12</v>
      </c>
      <c r="R1729" s="160">
        <f t="shared" si="295"/>
        <v>1.9999999998835847</v>
      </c>
      <c r="S1729" s="158">
        <f t="shared" si="296"/>
        <v>0.39015151512880536</v>
      </c>
      <c r="T1729" s="161">
        <f t="shared" si="297"/>
        <v>186.88257574669777</v>
      </c>
      <c r="U1729" s="158">
        <f t="shared" si="298"/>
        <v>93.441287878787875</v>
      </c>
      <c r="V1729" s="160">
        <f t="shared" si="299"/>
        <v>93</v>
      </c>
    </row>
    <row r="1730" spans="1:22" x14ac:dyDescent="0.25">
      <c r="A1730" s="98" t="s">
        <v>30</v>
      </c>
      <c r="B1730" s="98" t="s">
        <v>17</v>
      </c>
      <c r="C1730" s="98">
        <v>37</v>
      </c>
      <c r="D1730" s="98">
        <v>340</v>
      </c>
      <c r="E1730" s="157">
        <v>42358.399305555555</v>
      </c>
      <c r="F1730" s="157">
        <v>42358.490972222222</v>
      </c>
      <c r="G1730" s="98">
        <v>480</v>
      </c>
      <c r="H1730" s="98">
        <v>528</v>
      </c>
      <c r="I1730" s="98">
        <v>479</v>
      </c>
      <c r="J1730" s="98" t="s">
        <v>1970</v>
      </c>
      <c r="K1730" s="98" t="s">
        <v>3450</v>
      </c>
      <c r="L1730" s="105" t="str">
        <f t="shared" si="290"/>
        <v>Ghent</v>
      </c>
      <c r="M1730" s="105" t="str">
        <f t="shared" si="291"/>
        <v>Derate</v>
      </c>
      <c r="N1730" s="105" t="str">
        <f t="shared" si="292"/>
        <v>Coal</v>
      </c>
      <c r="O1730" s="105">
        <f>IFERROR(VLOOKUP(A1730,Lookup!$J$5:$P$19,7,FALSE),0)</f>
        <v>3</v>
      </c>
      <c r="P1730" s="159">
        <f t="shared" si="293"/>
        <v>2015</v>
      </c>
      <c r="Q1730" s="159">
        <f t="shared" si="294"/>
        <v>12</v>
      </c>
      <c r="R1730" s="160">
        <f t="shared" si="295"/>
        <v>2.2000000000116415</v>
      </c>
      <c r="S1730" s="158">
        <f t="shared" si="296"/>
        <v>0.20000000000105833</v>
      </c>
      <c r="T1730" s="161">
        <f t="shared" si="297"/>
        <v>95.800000000506941</v>
      </c>
      <c r="U1730" s="158">
        <f t="shared" si="298"/>
        <v>43.545454545454547</v>
      </c>
      <c r="V1730" s="160">
        <f t="shared" si="299"/>
        <v>44</v>
      </c>
    </row>
    <row r="1731" spans="1:22" x14ac:dyDescent="0.25">
      <c r="A1731" s="98" t="s">
        <v>30</v>
      </c>
      <c r="B1731" s="98" t="s">
        <v>17</v>
      </c>
      <c r="C1731" s="98">
        <v>1</v>
      </c>
      <c r="D1731" s="98">
        <v>250</v>
      </c>
      <c r="E1731" s="157">
        <v>42373.311111111114</v>
      </c>
      <c r="F1731" s="157">
        <v>42373.356249999997</v>
      </c>
      <c r="G1731" s="98">
        <v>450</v>
      </c>
      <c r="H1731" s="98">
        <v>528</v>
      </c>
      <c r="I1731" s="98">
        <v>479</v>
      </c>
      <c r="J1731" s="98" t="s">
        <v>1978</v>
      </c>
      <c r="K1731" s="98" t="s">
        <v>3451</v>
      </c>
      <c r="L1731" s="105" t="str">
        <f t="shared" si="290"/>
        <v>Ghent</v>
      </c>
      <c r="M1731" s="105" t="str">
        <f t="shared" si="291"/>
        <v>Derate</v>
      </c>
      <c r="N1731" s="105" t="str">
        <f t="shared" si="292"/>
        <v>Coal</v>
      </c>
      <c r="O1731" s="105">
        <f>IFERROR(VLOOKUP(A1731,Lookup!$J$5:$P$19,7,FALSE),0)</f>
        <v>3</v>
      </c>
      <c r="P1731" s="159">
        <f t="shared" si="293"/>
        <v>2016</v>
      </c>
      <c r="Q1731" s="159">
        <f t="shared" si="294"/>
        <v>1</v>
      </c>
      <c r="R1731" s="160">
        <f t="shared" si="295"/>
        <v>1.0833333331975155</v>
      </c>
      <c r="S1731" s="158">
        <f t="shared" si="296"/>
        <v>0.16003787876781478</v>
      </c>
      <c r="T1731" s="161">
        <f t="shared" si="297"/>
        <v>76.658143929783279</v>
      </c>
      <c r="U1731" s="158">
        <f t="shared" si="298"/>
        <v>70.76136363636364</v>
      </c>
      <c r="V1731" s="160">
        <f t="shared" si="299"/>
        <v>71</v>
      </c>
    </row>
    <row r="1732" spans="1:22" x14ac:dyDescent="0.25">
      <c r="A1732" s="98" t="s">
        <v>30</v>
      </c>
      <c r="B1732" s="98" t="s">
        <v>20</v>
      </c>
      <c r="C1732" s="98">
        <v>2</v>
      </c>
      <c r="D1732" s="98">
        <v>1050</v>
      </c>
      <c r="E1732" s="157">
        <v>42377.929861111108</v>
      </c>
      <c r="F1732" s="157">
        <v>42378.928472222222</v>
      </c>
      <c r="G1732" s="98">
        <v>0</v>
      </c>
      <c r="H1732" s="98">
        <v>528</v>
      </c>
      <c r="I1732" s="98">
        <v>479</v>
      </c>
      <c r="J1732" s="98" t="s">
        <v>2112</v>
      </c>
      <c r="K1732" s="98" t="s">
        <v>3452</v>
      </c>
      <c r="L1732" s="105" t="str">
        <f t="shared" si="290"/>
        <v>Ghent</v>
      </c>
      <c r="M1732" s="105" t="str">
        <f t="shared" si="291"/>
        <v>Maintenance</v>
      </c>
      <c r="N1732" s="105" t="str">
        <f t="shared" si="292"/>
        <v>Coal</v>
      </c>
      <c r="O1732" s="105">
        <f>IFERROR(VLOOKUP(A1732,Lookup!$J$5:$P$19,7,FALSE),0)</f>
        <v>3</v>
      </c>
      <c r="P1732" s="159">
        <f t="shared" si="293"/>
        <v>2016</v>
      </c>
      <c r="Q1732" s="159">
        <f t="shared" si="294"/>
        <v>1</v>
      </c>
      <c r="R1732" s="160">
        <f t="shared" si="295"/>
        <v>23.966666666732635</v>
      </c>
      <c r="S1732" s="158">
        <f t="shared" si="296"/>
        <v>23.966666666732635</v>
      </c>
      <c r="T1732" s="161">
        <f t="shared" si="297"/>
        <v>11480.033333364932</v>
      </c>
      <c r="U1732" s="158">
        <f t="shared" si="298"/>
        <v>479</v>
      </c>
      <c r="V1732" s="160">
        <f t="shared" si="299"/>
        <v>479</v>
      </c>
    </row>
    <row r="1733" spans="1:22" x14ac:dyDescent="0.25">
      <c r="A1733" s="98" t="s">
        <v>30</v>
      </c>
      <c r="B1733" s="98" t="s">
        <v>15</v>
      </c>
      <c r="C1733" s="98">
        <v>3</v>
      </c>
      <c r="D1733" s="98">
        <v>4800</v>
      </c>
      <c r="E1733" s="157">
        <v>42380.493055555555</v>
      </c>
      <c r="F1733" s="157">
        <v>42382.055555555555</v>
      </c>
      <c r="G1733" s="98">
        <v>0</v>
      </c>
      <c r="H1733" s="98">
        <v>528</v>
      </c>
      <c r="I1733" s="98">
        <v>479</v>
      </c>
      <c r="J1733" s="98" t="s">
        <v>2015</v>
      </c>
      <c r="K1733" s="98" t="s">
        <v>3453</v>
      </c>
      <c r="L1733" s="105" t="str">
        <f t="shared" si="290"/>
        <v>Ghent</v>
      </c>
      <c r="M1733" s="105" t="str">
        <f t="shared" si="291"/>
        <v>Outage</v>
      </c>
      <c r="N1733" s="105" t="str">
        <f t="shared" si="292"/>
        <v>Coal</v>
      </c>
      <c r="O1733" s="105">
        <f>IFERROR(VLOOKUP(A1733,Lookup!$J$5:$P$19,7,FALSE),0)</f>
        <v>3</v>
      </c>
      <c r="P1733" s="159">
        <f t="shared" si="293"/>
        <v>2016</v>
      </c>
      <c r="Q1733" s="159">
        <f t="shared" si="294"/>
        <v>1</v>
      </c>
      <c r="R1733" s="160">
        <f t="shared" si="295"/>
        <v>37.5</v>
      </c>
      <c r="S1733" s="158">
        <f t="shared" si="296"/>
        <v>37.5</v>
      </c>
      <c r="T1733" s="161">
        <f t="shared" si="297"/>
        <v>17962.5</v>
      </c>
      <c r="U1733" s="158">
        <f t="shared" si="298"/>
        <v>479</v>
      </c>
      <c r="V1733" s="160">
        <f t="shared" si="299"/>
        <v>479</v>
      </c>
    </row>
    <row r="1734" spans="1:22" x14ac:dyDescent="0.25">
      <c r="A1734" s="98" t="s">
        <v>30</v>
      </c>
      <c r="B1734" s="98" t="s">
        <v>20</v>
      </c>
      <c r="C1734" s="98">
        <v>5</v>
      </c>
      <c r="D1734" s="98">
        <v>1060</v>
      </c>
      <c r="E1734" s="157">
        <v>42437.601388888892</v>
      </c>
      <c r="F1734" s="157">
        <v>42438.236805555556</v>
      </c>
      <c r="G1734" s="98">
        <v>0</v>
      </c>
      <c r="H1734" s="98">
        <v>528</v>
      </c>
      <c r="I1734" s="98">
        <v>479</v>
      </c>
      <c r="J1734" s="98" t="s">
        <v>2179</v>
      </c>
      <c r="K1734" s="98" t="s">
        <v>3454</v>
      </c>
      <c r="L1734" s="105" t="str">
        <f t="shared" si="290"/>
        <v>Ghent</v>
      </c>
      <c r="M1734" s="105" t="str">
        <f t="shared" si="291"/>
        <v>Maintenance</v>
      </c>
      <c r="N1734" s="105" t="str">
        <f t="shared" si="292"/>
        <v>Coal</v>
      </c>
      <c r="O1734" s="105">
        <f>IFERROR(VLOOKUP(A1734,Lookup!$J$5:$P$19,7,FALSE),0)</f>
        <v>3</v>
      </c>
      <c r="P1734" s="159">
        <f t="shared" si="293"/>
        <v>2016</v>
      </c>
      <c r="Q1734" s="159">
        <f t="shared" si="294"/>
        <v>3</v>
      </c>
      <c r="R1734" s="160">
        <f t="shared" si="295"/>
        <v>15.249999999941792</v>
      </c>
      <c r="S1734" s="158">
        <f t="shared" si="296"/>
        <v>15.249999999941792</v>
      </c>
      <c r="T1734" s="161">
        <f t="shared" si="297"/>
        <v>7304.7499999721185</v>
      </c>
      <c r="U1734" s="158">
        <f t="shared" si="298"/>
        <v>479</v>
      </c>
      <c r="V1734" s="160">
        <f t="shared" si="299"/>
        <v>479</v>
      </c>
    </row>
    <row r="1735" spans="1:22" x14ac:dyDescent="0.25">
      <c r="A1735" s="98" t="s">
        <v>30</v>
      </c>
      <c r="B1735" s="98" t="s">
        <v>17</v>
      </c>
      <c r="C1735" s="98">
        <v>7</v>
      </c>
      <c r="D1735" s="98">
        <v>1150</v>
      </c>
      <c r="E1735" s="157">
        <v>42468.958333333336</v>
      </c>
      <c r="F1735" s="157">
        <v>42469.125</v>
      </c>
      <c r="G1735" s="98">
        <v>200</v>
      </c>
      <c r="H1735" s="98">
        <v>528</v>
      </c>
      <c r="I1735" s="98">
        <v>479</v>
      </c>
      <c r="J1735" s="98" t="s">
        <v>1980</v>
      </c>
      <c r="K1735" s="98" t="s">
        <v>3455</v>
      </c>
      <c r="L1735" s="105" t="str">
        <f t="shared" si="290"/>
        <v>Ghent</v>
      </c>
      <c r="M1735" s="105" t="str">
        <f t="shared" si="291"/>
        <v>Derate</v>
      </c>
      <c r="N1735" s="105" t="str">
        <f t="shared" si="292"/>
        <v>Coal</v>
      </c>
      <c r="O1735" s="105">
        <f>IFERROR(VLOOKUP(A1735,Lookup!$J$5:$P$19,7,FALSE),0)</f>
        <v>3</v>
      </c>
      <c r="P1735" s="159">
        <f t="shared" si="293"/>
        <v>2016</v>
      </c>
      <c r="Q1735" s="159">
        <f t="shared" si="294"/>
        <v>4</v>
      </c>
      <c r="R1735" s="160">
        <f t="shared" si="295"/>
        <v>3.9999999999417923</v>
      </c>
      <c r="S1735" s="158">
        <f t="shared" si="296"/>
        <v>2.4848484848123253</v>
      </c>
      <c r="T1735" s="161">
        <f t="shared" si="297"/>
        <v>1190.2424242251038</v>
      </c>
      <c r="U1735" s="158">
        <f t="shared" si="298"/>
        <v>297.56060606060606</v>
      </c>
      <c r="V1735" s="160">
        <f t="shared" si="299"/>
        <v>298</v>
      </c>
    </row>
    <row r="1736" spans="1:22" x14ac:dyDescent="0.25">
      <c r="A1736" s="98" t="s">
        <v>30</v>
      </c>
      <c r="B1736" s="98" t="s">
        <v>20</v>
      </c>
      <c r="C1736" s="98">
        <v>8</v>
      </c>
      <c r="D1736" s="98">
        <v>1512</v>
      </c>
      <c r="E1736" s="157">
        <v>42495.354861111111</v>
      </c>
      <c r="F1736" s="157">
        <v>42498.888888888891</v>
      </c>
      <c r="G1736" s="98">
        <v>0</v>
      </c>
      <c r="H1736" s="98">
        <v>528</v>
      </c>
      <c r="I1736" s="98">
        <v>479</v>
      </c>
      <c r="J1736" s="98" t="s">
        <v>2023</v>
      </c>
      <c r="K1736" s="98" t="s">
        <v>3456</v>
      </c>
      <c r="L1736" s="105" t="str">
        <f t="shared" si="290"/>
        <v>Ghent</v>
      </c>
      <c r="M1736" s="105" t="str">
        <f t="shared" si="291"/>
        <v>Maintenance</v>
      </c>
      <c r="N1736" s="105" t="str">
        <f t="shared" si="292"/>
        <v>Coal</v>
      </c>
      <c r="O1736" s="105">
        <f>IFERROR(VLOOKUP(A1736,Lookup!$J$5:$P$19,7,FALSE),0)</f>
        <v>3</v>
      </c>
      <c r="P1736" s="159">
        <f t="shared" si="293"/>
        <v>2016</v>
      </c>
      <c r="Q1736" s="159">
        <f t="shared" si="294"/>
        <v>5</v>
      </c>
      <c r="R1736" s="160">
        <f t="shared" si="295"/>
        <v>84.816666666709352</v>
      </c>
      <c r="S1736" s="158">
        <f t="shared" si="296"/>
        <v>84.816666666709352</v>
      </c>
      <c r="T1736" s="161">
        <f t="shared" si="297"/>
        <v>40627.18333335378</v>
      </c>
      <c r="U1736" s="158">
        <f t="shared" si="298"/>
        <v>479</v>
      </c>
      <c r="V1736" s="160">
        <f t="shared" si="299"/>
        <v>479</v>
      </c>
    </row>
    <row r="1737" spans="1:22" x14ac:dyDescent="0.25">
      <c r="A1737" s="98" t="s">
        <v>30</v>
      </c>
      <c r="B1737" s="98" t="s">
        <v>17</v>
      </c>
      <c r="C1737" s="98">
        <v>9</v>
      </c>
      <c r="D1737" s="98">
        <v>346</v>
      </c>
      <c r="E1737" s="157">
        <v>42504.370138888888</v>
      </c>
      <c r="F1737" s="157">
        <v>42504.520833333336</v>
      </c>
      <c r="G1737" s="98">
        <v>420</v>
      </c>
      <c r="H1737" s="98">
        <v>528</v>
      </c>
      <c r="I1737" s="98">
        <v>479</v>
      </c>
      <c r="J1737" s="98" t="s">
        <v>1986</v>
      </c>
      <c r="K1737" s="98" t="s">
        <v>3457</v>
      </c>
      <c r="L1737" s="105" t="str">
        <f t="shared" si="290"/>
        <v>Ghent</v>
      </c>
      <c r="M1737" s="105" t="str">
        <f t="shared" si="291"/>
        <v>Derate</v>
      </c>
      <c r="N1737" s="105" t="str">
        <f t="shared" si="292"/>
        <v>Coal</v>
      </c>
      <c r="O1737" s="105">
        <f>IFERROR(VLOOKUP(A1737,Lookup!$J$5:$P$19,7,FALSE),0)</f>
        <v>3</v>
      </c>
      <c r="P1737" s="159">
        <f t="shared" si="293"/>
        <v>2016</v>
      </c>
      <c r="Q1737" s="159">
        <f t="shared" si="294"/>
        <v>5</v>
      </c>
      <c r="R1737" s="160">
        <f t="shared" si="295"/>
        <v>3.6166666667559184</v>
      </c>
      <c r="S1737" s="158">
        <f t="shared" si="296"/>
        <v>0.73977272729098331</v>
      </c>
      <c r="T1737" s="161">
        <f t="shared" si="297"/>
        <v>354.35113637238101</v>
      </c>
      <c r="U1737" s="158">
        <f t="shared" si="298"/>
        <v>97.977272727272734</v>
      </c>
      <c r="V1737" s="160">
        <f t="shared" si="299"/>
        <v>98</v>
      </c>
    </row>
    <row r="1738" spans="1:22" x14ac:dyDescent="0.25">
      <c r="A1738" s="98" t="s">
        <v>30</v>
      </c>
      <c r="B1738" s="98" t="s">
        <v>17</v>
      </c>
      <c r="C1738" s="98">
        <v>10</v>
      </c>
      <c r="D1738" s="98">
        <v>267</v>
      </c>
      <c r="E1738" s="157">
        <v>42509.59097222222</v>
      </c>
      <c r="F1738" s="157">
        <v>42509.611805555556</v>
      </c>
      <c r="G1738" s="98">
        <v>425</v>
      </c>
      <c r="H1738" s="98">
        <v>528</v>
      </c>
      <c r="I1738" s="98">
        <v>479</v>
      </c>
      <c r="J1738" s="98" t="s">
        <v>1969</v>
      </c>
      <c r="K1738" s="98" t="s">
        <v>3458</v>
      </c>
      <c r="L1738" s="105" t="str">
        <f t="shared" si="290"/>
        <v>Ghent</v>
      </c>
      <c r="M1738" s="105" t="str">
        <f t="shared" si="291"/>
        <v>Derate</v>
      </c>
      <c r="N1738" s="105" t="str">
        <f t="shared" si="292"/>
        <v>Coal</v>
      </c>
      <c r="O1738" s="105">
        <f>IFERROR(VLOOKUP(A1738,Lookup!$J$5:$P$19,7,FALSE),0)</f>
        <v>3</v>
      </c>
      <c r="P1738" s="159">
        <f t="shared" si="293"/>
        <v>2016</v>
      </c>
      <c r="Q1738" s="159">
        <f t="shared" si="294"/>
        <v>5</v>
      </c>
      <c r="R1738" s="160">
        <f t="shared" si="295"/>
        <v>0.50000000005820766</v>
      </c>
      <c r="S1738" s="158">
        <f t="shared" si="296"/>
        <v>9.7537878799233688E-2</v>
      </c>
      <c r="T1738" s="161">
        <f t="shared" si="297"/>
        <v>46.720643944832936</v>
      </c>
      <c r="U1738" s="158">
        <f t="shared" si="298"/>
        <v>93.441287878787875</v>
      </c>
      <c r="V1738" s="160">
        <f t="shared" si="299"/>
        <v>93</v>
      </c>
    </row>
    <row r="1739" spans="1:22" x14ac:dyDescent="0.25">
      <c r="A1739" s="98" t="s">
        <v>30</v>
      </c>
      <c r="B1739" s="98" t="s">
        <v>32</v>
      </c>
      <c r="C1739" s="98">
        <v>11</v>
      </c>
      <c r="D1739" s="98">
        <v>250</v>
      </c>
      <c r="E1739" s="157">
        <v>42510.0625</v>
      </c>
      <c r="F1739" s="157">
        <v>42510.168055555558</v>
      </c>
      <c r="G1739" s="98">
        <v>420</v>
      </c>
      <c r="H1739" s="98">
        <v>528</v>
      </c>
      <c r="I1739" s="98">
        <v>479</v>
      </c>
      <c r="J1739" s="98" t="s">
        <v>1978</v>
      </c>
      <c r="K1739" s="98" t="s">
        <v>3459</v>
      </c>
      <c r="L1739" s="105" t="str">
        <f t="shared" si="290"/>
        <v>Ghent</v>
      </c>
      <c r="M1739" s="105" t="str">
        <f t="shared" si="291"/>
        <v>Derate</v>
      </c>
      <c r="N1739" s="105" t="str">
        <f t="shared" si="292"/>
        <v>Coal</v>
      </c>
      <c r="O1739" s="105">
        <f>IFERROR(VLOOKUP(A1739,Lookup!$J$5:$P$19,7,FALSE),0)</f>
        <v>3</v>
      </c>
      <c r="P1739" s="159">
        <f t="shared" si="293"/>
        <v>2016</v>
      </c>
      <c r="Q1739" s="159">
        <f t="shared" si="294"/>
        <v>5</v>
      </c>
      <c r="R1739" s="160">
        <f t="shared" si="295"/>
        <v>2.53333333338378</v>
      </c>
      <c r="S1739" s="158">
        <f t="shared" si="296"/>
        <v>0.51818181819213682</v>
      </c>
      <c r="T1739" s="161">
        <f t="shared" si="297"/>
        <v>248.20909091403354</v>
      </c>
      <c r="U1739" s="158">
        <f t="shared" si="298"/>
        <v>97.977272727272734</v>
      </c>
      <c r="V1739" s="160">
        <f t="shared" si="299"/>
        <v>98</v>
      </c>
    </row>
    <row r="1740" spans="1:22" x14ac:dyDescent="0.25">
      <c r="A1740" s="98" t="s">
        <v>30</v>
      </c>
      <c r="B1740" s="98" t="s">
        <v>20</v>
      </c>
      <c r="C1740" s="98">
        <v>12</v>
      </c>
      <c r="D1740" s="98">
        <v>1480</v>
      </c>
      <c r="E1740" s="157">
        <v>42510.404861111114</v>
      </c>
      <c r="F1740" s="157">
        <v>42520.686111111114</v>
      </c>
      <c r="G1740" s="98">
        <v>0</v>
      </c>
      <c r="H1740" s="98">
        <v>528</v>
      </c>
      <c r="I1740" s="98">
        <v>479</v>
      </c>
      <c r="J1740" s="98" t="s">
        <v>1972</v>
      </c>
      <c r="K1740" s="98" t="s">
        <v>3460</v>
      </c>
      <c r="L1740" s="105" t="str">
        <f t="shared" si="290"/>
        <v>Ghent</v>
      </c>
      <c r="M1740" s="105" t="str">
        <f t="shared" si="291"/>
        <v>Maintenance</v>
      </c>
      <c r="N1740" s="105" t="str">
        <f t="shared" si="292"/>
        <v>Coal</v>
      </c>
      <c r="O1740" s="105">
        <f>IFERROR(VLOOKUP(A1740,Lookup!$J$5:$P$19,7,FALSE),0)</f>
        <v>3</v>
      </c>
      <c r="P1740" s="159">
        <f t="shared" si="293"/>
        <v>2016</v>
      </c>
      <c r="Q1740" s="159">
        <f t="shared" si="294"/>
        <v>5</v>
      </c>
      <c r="R1740" s="160">
        <f t="shared" si="295"/>
        <v>246.75</v>
      </c>
      <c r="S1740" s="158">
        <f t="shared" si="296"/>
        <v>246.75</v>
      </c>
      <c r="T1740" s="161">
        <f t="shared" si="297"/>
        <v>118193.25</v>
      </c>
      <c r="U1740" s="158">
        <f t="shared" si="298"/>
        <v>479</v>
      </c>
      <c r="V1740" s="160">
        <f t="shared" si="299"/>
        <v>479</v>
      </c>
    </row>
    <row r="1741" spans="1:22" x14ac:dyDescent="0.25">
      <c r="A1741" s="98" t="s">
        <v>30</v>
      </c>
      <c r="B1741" s="98" t="s">
        <v>17</v>
      </c>
      <c r="C1741" s="98">
        <v>13</v>
      </c>
      <c r="D1741" s="98">
        <v>1850</v>
      </c>
      <c r="E1741" s="157">
        <v>42521.149305555555</v>
      </c>
      <c r="F1741" s="157">
        <v>42521.319444444445</v>
      </c>
      <c r="G1741" s="98">
        <v>508</v>
      </c>
      <c r="H1741" s="98">
        <v>528</v>
      </c>
      <c r="I1741" s="98">
        <v>479</v>
      </c>
      <c r="J1741" s="98" t="s">
        <v>2263</v>
      </c>
      <c r="K1741" s="98" t="s">
        <v>3461</v>
      </c>
      <c r="L1741" s="105" t="str">
        <f t="shared" si="290"/>
        <v>Ghent</v>
      </c>
      <c r="M1741" s="105" t="str">
        <f t="shared" si="291"/>
        <v>Derate</v>
      </c>
      <c r="N1741" s="105" t="str">
        <f t="shared" si="292"/>
        <v>Coal</v>
      </c>
      <c r="O1741" s="105">
        <f>IFERROR(VLOOKUP(A1741,Lookup!$J$5:$P$19,7,FALSE),0)</f>
        <v>3</v>
      </c>
      <c r="P1741" s="159">
        <f t="shared" si="293"/>
        <v>2016</v>
      </c>
      <c r="Q1741" s="159">
        <f t="shared" si="294"/>
        <v>5</v>
      </c>
      <c r="R1741" s="160">
        <f t="shared" si="295"/>
        <v>4.0833333333721384</v>
      </c>
      <c r="S1741" s="158">
        <f t="shared" si="296"/>
        <v>0.15467171717318706</v>
      </c>
      <c r="T1741" s="161">
        <f t="shared" si="297"/>
        <v>74.087752525956603</v>
      </c>
      <c r="U1741" s="158">
        <f t="shared" si="298"/>
        <v>18.143939393939394</v>
      </c>
      <c r="V1741" s="160">
        <f t="shared" si="299"/>
        <v>18</v>
      </c>
    </row>
    <row r="1742" spans="1:22" x14ac:dyDescent="0.25">
      <c r="A1742" s="98" t="s">
        <v>30</v>
      </c>
      <c r="B1742" s="98" t="s">
        <v>17</v>
      </c>
      <c r="C1742" s="98">
        <v>14</v>
      </c>
      <c r="D1742" s="98">
        <v>1470</v>
      </c>
      <c r="E1742" s="157">
        <v>42523.306250000001</v>
      </c>
      <c r="F1742" s="157">
        <v>42523.370833333334</v>
      </c>
      <c r="G1742" s="98">
        <v>460</v>
      </c>
      <c r="H1742" s="98">
        <v>528</v>
      </c>
      <c r="I1742" s="98">
        <v>479</v>
      </c>
      <c r="J1742" s="98" t="s">
        <v>2005</v>
      </c>
      <c r="K1742" s="98" t="s">
        <v>3462</v>
      </c>
      <c r="L1742" s="105" t="str">
        <f t="shared" si="290"/>
        <v>Ghent</v>
      </c>
      <c r="M1742" s="105" t="str">
        <f t="shared" si="291"/>
        <v>Derate</v>
      </c>
      <c r="N1742" s="105" t="str">
        <f t="shared" si="292"/>
        <v>Coal</v>
      </c>
      <c r="O1742" s="105">
        <f>IFERROR(VLOOKUP(A1742,Lookup!$J$5:$P$19,7,FALSE),0)</f>
        <v>3</v>
      </c>
      <c r="P1742" s="159">
        <f t="shared" si="293"/>
        <v>2016</v>
      </c>
      <c r="Q1742" s="159">
        <f t="shared" si="294"/>
        <v>6</v>
      </c>
      <c r="R1742" s="160">
        <f t="shared" si="295"/>
        <v>1.5499999999883585</v>
      </c>
      <c r="S1742" s="158">
        <f t="shared" si="296"/>
        <v>0.19962121211971284</v>
      </c>
      <c r="T1742" s="161">
        <f t="shared" si="297"/>
        <v>95.618560605342452</v>
      </c>
      <c r="U1742" s="158">
        <f t="shared" si="298"/>
        <v>61.689393939393938</v>
      </c>
      <c r="V1742" s="160">
        <f t="shared" si="299"/>
        <v>62</v>
      </c>
    </row>
    <row r="1743" spans="1:22" x14ac:dyDescent="0.25">
      <c r="A1743" s="98" t="s">
        <v>30</v>
      </c>
      <c r="B1743" s="98" t="s">
        <v>17</v>
      </c>
      <c r="C1743" s="98">
        <v>15</v>
      </c>
      <c r="D1743" s="98">
        <v>4291</v>
      </c>
      <c r="E1743" s="157">
        <v>42529.916666666664</v>
      </c>
      <c r="F1743" s="157">
        <v>42530.129166666666</v>
      </c>
      <c r="G1743" s="98">
        <v>445</v>
      </c>
      <c r="H1743" s="98">
        <v>528</v>
      </c>
      <c r="I1743" s="98">
        <v>479</v>
      </c>
      <c r="J1743" s="98" t="s">
        <v>3463</v>
      </c>
      <c r="K1743" s="98" t="s">
        <v>3464</v>
      </c>
      <c r="L1743" s="105" t="str">
        <f t="shared" si="290"/>
        <v>Ghent</v>
      </c>
      <c r="M1743" s="105" t="str">
        <f t="shared" si="291"/>
        <v>Derate</v>
      </c>
      <c r="N1743" s="105" t="str">
        <f t="shared" si="292"/>
        <v>Coal</v>
      </c>
      <c r="O1743" s="105">
        <f>IFERROR(VLOOKUP(A1743,Lookup!$J$5:$P$19,7,FALSE),0)</f>
        <v>3</v>
      </c>
      <c r="P1743" s="159">
        <f t="shared" si="293"/>
        <v>2016</v>
      </c>
      <c r="Q1743" s="159">
        <f t="shared" si="294"/>
        <v>6</v>
      </c>
      <c r="R1743" s="160">
        <f t="shared" si="295"/>
        <v>5.1000000000349246</v>
      </c>
      <c r="S1743" s="158">
        <f t="shared" si="296"/>
        <v>0.80170454546003544</v>
      </c>
      <c r="T1743" s="161">
        <f t="shared" si="297"/>
        <v>384.01647727535698</v>
      </c>
      <c r="U1743" s="158">
        <f t="shared" si="298"/>
        <v>75.297348484848484</v>
      </c>
      <c r="V1743" s="160">
        <f t="shared" si="299"/>
        <v>75</v>
      </c>
    </row>
    <row r="1744" spans="1:22" x14ac:dyDescent="0.25">
      <c r="A1744" s="98" t="s">
        <v>30</v>
      </c>
      <c r="B1744" s="98" t="s">
        <v>15</v>
      </c>
      <c r="C1744" s="98">
        <v>16</v>
      </c>
      <c r="D1744" s="98">
        <v>4291</v>
      </c>
      <c r="E1744" s="157">
        <v>42530.282638888886</v>
      </c>
      <c r="F1744" s="157">
        <v>42530.763194444444</v>
      </c>
      <c r="G1744" s="98">
        <v>0</v>
      </c>
      <c r="H1744" s="98">
        <v>528</v>
      </c>
      <c r="I1744" s="98">
        <v>479</v>
      </c>
      <c r="J1744" s="98" t="s">
        <v>3463</v>
      </c>
      <c r="K1744" s="98" t="s">
        <v>3465</v>
      </c>
      <c r="L1744" s="105" t="str">
        <f t="shared" si="290"/>
        <v>Ghent</v>
      </c>
      <c r="M1744" s="105" t="str">
        <f t="shared" si="291"/>
        <v>Outage</v>
      </c>
      <c r="N1744" s="105" t="str">
        <f t="shared" si="292"/>
        <v>Coal</v>
      </c>
      <c r="O1744" s="105">
        <f>IFERROR(VLOOKUP(A1744,Lookup!$J$5:$P$19,7,FALSE),0)</f>
        <v>3</v>
      </c>
      <c r="P1744" s="159">
        <f t="shared" si="293"/>
        <v>2016</v>
      </c>
      <c r="Q1744" s="159">
        <f t="shared" si="294"/>
        <v>6</v>
      </c>
      <c r="R1744" s="160">
        <f t="shared" si="295"/>
        <v>11.53333333338378</v>
      </c>
      <c r="S1744" s="158">
        <f t="shared" si="296"/>
        <v>11.53333333338378</v>
      </c>
      <c r="T1744" s="161">
        <f t="shared" si="297"/>
        <v>5524.4666666908306</v>
      </c>
      <c r="U1744" s="158">
        <f t="shared" si="298"/>
        <v>479</v>
      </c>
      <c r="V1744" s="160">
        <f t="shared" si="299"/>
        <v>479</v>
      </c>
    </row>
    <row r="1745" spans="1:22" x14ac:dyDescent="0.25">
      <c r="A1745" s="98" t="s">
        <v>30</v>
      </c>
      <c r="B1745" s="98" t="s">
        <v>20</v>
      </c>
      <c r="C1745" s="98">
        <v>17</v>
      </c>
      <c r="D1745" s="98">
        <v>4291</v>
      </c>
      <c r="E1745" s="157">
        <v>42530.763194444444</v>
      </c>
      <c r="F1745" s="157">
        <v>42531.388888888891</v>
      </c>
      <c r="G1745" s="98">
        <v>0</v>
      </c>
      <c r="H1745" s="98">
        <v>528</v>
      </c>
      <c r="I1745" s="98">
        <v>479</v>
      </c>
      <c r="J1745" s="98" t="s">
        <v>3463</v>
      </c>
      <c r="K1745" s="98" t="s">
        <v>3466</v>
      </c>
      <c r="L1745" s="105" t="str">
        <f t="shared" si="290"/>
        <v>Ghent</v>
      </c>
      <c r="M1745" s="105" t="str">
        <f t="shared" si="291"/>
        <v>Maintenance</v>
      </c>
      <c r="N1745" s="105" t="str">
        <f t="shared" si="292"/>
        <v>Coal</v>
      </c>
      <c r="O1745" s="105">
        <f>IFERROR(VLOOKUP(A1745,Lookup!$J$5:$P$19,7,FALSE),0)</f>
        <v>3</v>
      </c>
      <c r="P1745" s="159">
        <f t="shared" si="293"/>
        <v>2016</v>
      </c>
      <c r="Q1745" s="159">
        <f t="shared" si="294"/>
        <v>6</v>
      </c>
      <c r="R1745" s="160">
        <f t="shared" si="295"/>
        <v>15.016666666720994</v>
      </c>
      <c r="S1745" s="158">
        <f t="shared" si="296"/>
        <v>15.016666666720994</v>
      </c>
      <c r="T1745" s="161">
        <f t="shared" si="297"/>
        <v>7192.983333359356</v>
      </c>
      <c r="U1745" s="158">
        <f t="shared" si="298"/>
        <v>479</v>
      </c>
      <c r="V1745" s="160">
        <f t="shared" si="299"/>
        <v>479</v>
      </c>
    </row>
    <row r="1746" spans="1:22" x14ac:dyDescent="0.25">
      <c r="A1746" s="98" t="s">
        <v>30</v>
      </c>
      <c r="B1746" s="98" t="s">
        <v>15</v>
      </c>
      <c r="C1746" s="98">
        <v>18</v>
      </c>
      <c r="D1746" s="98">
        <v>4261</v>
      </c>
      <c r="E1746" s="157">
        <v>42532.738194444442</v>
      </c>
      <c r="F1746" s="157">
        <v>42532.805555555555</v>
      </c>
      <c r="G1746" s="98">
        <v>0</v>
      </c>
      <c r="H1746" s="98">
        <v>528</v>
      </c>
      <c r="I1746" s="98">
        <v>479</v>
      </c>
      <c r="J1746" s="98" t="s">
        <v>1985</v>
      </c>
      <c r="K1746" s="98" t="s">
        <v>3467</v>
      </c>
      <c r="L1746" s="105" t="str">
        <f t="shared" si="290"/>
        <v>Ghent</v>
      </c>
      <c r="M1746" s="105" t="str">
        <f t="shared" si="291"/>
        <v>Outage</v>
      </c>
      <c r="N1746" s="105" t="str">
        <f t="shared" si="292"/>
        <v>Coal</v>
      </c>
      <c r="O1746" s="105">
        <f>IFERROR(VLOOKUP(A1746,Lookup!$J$5:$P$19,7,FALSE),0)</f>
        <v>3</v>
      </c>
      <c r="P1746" s="159">
        <f t="shared" si="293"/>
        <v>2016</v>
      </c>
      <c r="Q1746" s="159">
        <f t="shared" si="294"/>
        <v>6</v>
      </c>
      <c r="R1746" s="160">
        <f t="shared" si="295"/>
        <v>1.6166666666977108</v>
      </c>
      <c r="S1746" s="158">
        <f t="shared" si="296"/>
        <v>1.6166666666977108</v>
      </c>
      <c r="T1746" s="161">
        <f t="shared" si="297"/>
        <v>774.38333334820345</v>
      </c>
      <c r="U1746" s="158">
        <f t="shared" si="298"/>
        <v>479</v>
      </c>
      <c r="V1746" s="160">
        <f t="shared" si="299"/>
        <v>479</v>
      </c>
    </row>
    <row r="1747" spans="1:22" x14ac:dyDescent="0.25">
      <c r="A1747" s="98" t="s">
        <v>30</v>
      </c>
      <c r="B1747" s="98" t="s">
        <v>15</v>
      </c>
      <c r="C1747" s="98">
        <v>19</v>
      </c>
      <c r="D1747" s="98">
        <v>4500</v>
      </c>
      <c r="E1747" s="157">
        <v>42532.805555555555</v>
      </c>
      <c r="F1747" s="157">
        <v>42536.739583333336</v>
      </c>
      <c r="G1747" s="98">
        <v>0</v>
      </c>
      <c r="H1747" s="98">
        <v>528</v>
      </c>
      <c r="I1747" s="98">
        <v>479</v>
      </c>
      <c r="J1747" s="98" t="s">
        <v>2269</v>
      </c>
      <c r="K1747" s="98" t="s">
        <v>3468</v>
      </c>
      <c r="L1747" s="105" t="str">
        <f t="shared" si="290"/>
        <v>Ghent</v>
      </c>
      <c r="M1747" s="105" t="str">
        <f t="shared" si="291"/>
        <v>Outage</v>
      </c>
      <c r="N1747" s="105" t="str">
        <f t="shared" si="292"/>
        <v>Coal</v>
      </c>
      <c r="O1747" s="105">
        <f>IFERROR(VLOOKUP(A1747,Lookup!$J$5:$P$19,7,FALSE),0)</f>
        <v>3</v>
      </c>
      <c r="P1747" s="159">
        <f t="shared" si="293"/>
        <v>2016</v>
      </c>
      <c r="Q1747" s="159">
        <f t="shared" si="294"/>
        <v>6</v>
      </c>
      <c r="R1747" s="160">
        <f t="shared" si="295"/>
        <v>94.416666666744277</v>
      </c>
      <c r="S1747" s="158">
        <f t="shared" si="296"/>
        <v>94.416666666744277</v>
      </c>
      <c r="T1747" s="161">
        <f t="shared" si="297"/>
        <v>45225.583333370509</v>
      </c>
      <c r="U1747" s="158">
        <f t="shared" si="298"/>
        <v>479</v>
      </c>
      <c r="V1747" s="160">
        <f t="shared" si="299"/>
        <v>479</v>
      </c>
    </row>
    <row r="1748" spans="1:22" x14ac:dyDescent="0.25">
      <c r="A1748" s="98" t="s">
        <v>30</v>
      </c>
      <c r="B1748" s="98" t="s">
        <v>17</v>
      </c>
      <c r="C1748" s="98">
        <v>20</v>
      </c>
      <c r="D1748" s="98">
        <v>4291</v>
      </c>
      <c r="E1748" s="157">
        <v>42538.236111111109</v>
      </c>
      <c r="F1748" s="157">
        <v>42538.331944444442</v>
      </c>
      <c r="G1748" s="98">
        <v>445</v>
      </c>
      <c r="H1748" s="98">
        <v>528</v>
      </c>
      <c r="I1748" s="98">
        <v>479</v>
      </c>
      <c r="J1748" s="98" t="s">
        <v>3463</v>
      </c>
      <c r="K1748" s="98" t="s">
        <v>3469</v>
      </c>
      <c r="L1748" s="105" t="str">
        <f t="shared" si="290"/>
        <v>Ghent</v>
      </c>
      <c r="M1748" s="105" t="str">
        <f t="shared" si="291"/>
        <v>Derate</v>
      </c>
      <c r="N1748" s="105" t="str">
        <f t="shared" si="292"/>
        <v>Coal</v>
      </c>
      <c r="O1748" s="105">
        <f>IFERROR(VLOOKUP(A1748,Lookup!$J$5:$P$19,7,FALSE),0)</f>
        <v>3</v>
      </c>
      <c r="P1748" s="159">
        <f t="shared" si="293"/>
        <v>2016</v>
      </c>
      <c r="Q1748" s="159">
        <f t="shared" si="294"/>
        <v>6</v>
      </c>
      <c r="R1748" s="160">
        <f t="shared" si="295"/>
        <v>2.2999999999883585</v>
      </c>
      <c r="S1748" s="158">
        <f t="shared" si="296"/>
        <v>0.36155303030120028</v>
      </c>
      <c r="T1748" s="161">
        <f t="shared" si="297"/>
        <v>173.18390151427494</v>
      </c>
      <c r="U1748" s="158">
        <f t="shared" si="298"/>
        <v>75.297348484848484</v>
      </c>
      <c r="V1748" s="160">
        <f t="shared" si="299"/>
        <v>75</v>
      </c>
    </row>
    <row r="1749" spans="1:22" x14ac:dyDescent="0.25">
      <c r="A1749" s="98" t="s">
        <v>30</v>
      </c>
      <c r="B1749" s="98" t="s">
        <v>15</v>
      </c>
      <c r="C1749" s="98">
        <v>21</v>
      </c>
      <c r="D1749" s="98">
        <v>1040</v>
      </c>
      <c r="E1749" s="157">
        <v>42552.890277777777</v>
      </c>
      <c r="F1749" s="157">
        <v>42554.212500000001</v>
      </c>
      <c r="G1749" s="98">
        <v>0</v>
      </c>
      <c r="H1749" s="98">
        <v>528</v>
      </c>
      <c r="I1749" s="98">
        <v>479</v>
      </c>
      <c r="J1749" s="98" t="s">
        <v>2001</v>
      </c>
      <c r="K1749" s="98" t="s">
        <v>4157</v>
      </c>
      <c r="L1749" s="105" t="str">
        <f t="shared" si="290"/>
        <v>Ghent</v>
      </c>
      <c r="M1749" s="105" t="str">
        <f t="shared" si="291"/>
        <v>Outage</v>
      </c>
      <c r="N1749" s="105" t="str">
        <f t="shared" si="292"/>
        <v>Coal</v>
      </c>
      <c r="O1749" s="105">
        <f>IFERROR(VLOOKUP(A1749,Lookup!$J$5:$P$19,7,FALSE),0)</f>
        <v>3</v>
      </c>
      <c r="P1749" s="159">
        <f t="shared" si="293"/>
        <v>2016</v>
      </c>
      <c r="Q1749" s="159">
        <f t="shared" si="294"/>
        <v>7</v>
      </c>
      <c r="R1749" s="160">
        <f t="shared" si="295"/>
        <v>31.733333333395422</v>
      </c>
      <c r="S1749" s="158">
        <f t="shared" si="296"/>
        <v>31.733333333395422</v>
      </c>
      <c r="T1749" s="161">
        <f t="shared" si="297"/>
        <v>15200.266666696407</v>
      </c>
      <c r="U1749" s="158">
        <f t="shared" si="298"/>
        <v>479</v>
      </c>
      <c r="V1749" s="160">
        <f t="shared" si="299"/>
        <v>479</v>
      </c>
    </row>
    <row r="1750" spans="1:22" x14ac:dyDescent="0.25">
      <c r="A1750" s="98" t="s">
        <v>30</v>
      </c>
      <c r="B1750" s="98" t="s">
        <v>32</v>
      </c>
      <c r="C1750" s="98">
        <v>22</v>
      </c>
      <c r="D1750" s="98">
        <v>1470</v>
      </c>
      <c r="E1750" s="157">
        <v>42560.072916666664</v>
      </c>
      <c r="F1750" s="157">
        <v>42560.125</v>
      </c>
      <c r="G1750" s="98">
        <v>400</v>
      </c>
      <c r="H1750" s="98">
        <v>528</v>
      </c>
      <c r="I1750" s="98">
        <v>479</v>
      </c>
      <c r="J1750" s="98" t="s">
        <v>2005</v>
      </c>
      <c r="K1750" s="98" t="s">
        <v>4158</v>
      </c>
      <c r="L1750" s="105" t="str">
        <f t="shared" si="290"/>
        <v>Ghent</v>
      </c>
      <c r="M1750" s="105" t="str">
        <f t="shared" si="291"/>
        <v>Derate</v>
      </c>
      <c r="N1750" s="105" t="str">
        <f t="shared" si="292"/>
        <v>Coal</v>
      </c>
      <c r="O1750" s="105">
        <f>IFERROR(VLOOKUP(A1750,Lookup!$J$5:$P$19,7,FALSE),0)</f>
        <v>3</v>
      </c>
      <c r="P1750" s="159">
        <f t="shared" si="293"/>
        <v>2016</v>
      </c>
      <c r="Q1750" s="159">
        <f t="shared" si="294"/>
        <v>7</v>
      </c>
      <c r="R1750" s="160">
        <f t="shared" si="295"/>
        <v>1.2500000000582077</v>
      </c>
      <c r="S1750" s="158">
        <f t="shared" si="296"/>
        <v>0.30303030304441397</v>
      </c>
      <c r="T1750" s="161">
        <f t="shared" si="297"/>
        <v>145.15151515827429</v>
      </c>
      <c r="U1750" s="158">
        <f t="shared" si="298"/>
        <v>116.12121212121212</v>
      </c>
      <c r="V1750" s="160">
        <f t="shared" si="299"/>
        <v>116</v>
      </c>
    </row>
    <row r="1751" spans="1:22" x14ac:dyDescent="0.25">
      <c r="A1751" s="98" t="s">
        <v>30</v>
      </c>
      <c r="B1751" s="98" t="s">
        <v>17</v>
      </c>
      <c r="C1751" s="98">
        <v>23</v>
      </c>
      <c r="D1751" s="98">
        <v>1040</v>
      </c>
      <c r="E1751" s="157">
        <v>42570.42083333333</v>
      </c>
      <c r="F1751" s="157">
        <v>42570.900694444441</v>
      </c>
      <c r="G1751" s="98">
        <v>378</v>
      </c>
      <c r="H1751" s="98">
        <v>528</v>
      </c>
      <c r="I1751" s="98">
        <v>479</v>
      </c>
      <c r="J1751" s="98" t="s">
        <v>2001</v>
      </c>
      <c r="K1751" s="98" t="s">
        <v>4159</v>
      </c>
      <c r="L1751" s="105" t="str">
        <f t="shared" si="290"/>
        <v>Ghent</v>
      </c>
      <c r="M1751" s="105" t="str">
        <f t="shared" si="291"/>
        <v>Derate</v>
      </c>
      <c r="N1751" s="105" t="str">
        <f t="shared" si="292"/>
        <v>Coal</v>
      </c>
      <c r="O1751" s="105">
        <f>IFERROR(VLOOKUP(A1751,Lookup!$J$5:$P$19,7,FALSE),0)</f>
        <v>3</v>
      </c>
      <c r="P1751" s="159">
        <f t="shared" si="293"/>
        <v>2016</v>
      </c>
      <c r="Q1751" s="159">
        <f t="shared" si="294"/>
        <v>7</v>
      </c>
      <c r="R1751" s="160">
        <f t="shared" si="295"/>
        <v>11.516666666662786</v>
      </c>
      <c r="S1751" s="158">
        <f t="shared" si="296"/>
        <v>3.2717803030292005</v>
      </c>
      <c r="T1751" s="161">
        <f t="shared" si="297"/>
        <v>1567.1827651509871</v>
      </c>
      <c r="U1751" s="158">
        <f t="shared" si="298"/>
        <v>136.07954545454547</v>
      </c>
      <c r="V1751" s="160">
        <f t="shared" si="299"/>
        <v>136</v>
      </c>
    </row>
    <row r="1752" spans="1:22" x14ac:dyDescent="0.25">
      <c r="A1752" s="98" t="s">
        <v>30</v>
      </c>
      <c r="B1752" s="98" t="s">
        <v>33</v>
      </c>
      <c r="C1752" s="98">
        <v>24</v>
      </c>
      <c r="D1752" s="98">
        <v>1040</v>
      </c>
      <c r="E1752" s="157">
        <v>42570.900694444441</v>
      </c>
      <c r="F1752" s="157">
        <v>42571.772222222222</v>
      </c>
      <c r="G1752" s="98">
        <v>0</v>
      </c>
      <c r="H1752" s="98">
        <v>528</v>
      </c>
      <c r="I1752" s="98">
        <v>479</v>
      </c>
      <c r="J1752" s="98" t="s">
        <v>2001</v>
      </c>
      <c r="K1752" s="98" t="s">
        <v>4160</v>
      </c>
      <c r="L1752" s="105" t="str">
        <f t="shared" si="290"/>
        <v>Ghent</v>
      </c>
      <c r="M1752" s="105" t="str">
        <f t="shared" si="291"/>
        <v>Outage</v>
      </c>
      <c r="N1752" s="105" t="str">
        <f t="shared" si="292"/>
        <v>Coal</v>
      </c>
      <c r="O1752" s="105">
        <f>IFERROR(VLOOKUP(A1752,Lookup!$J$5:$P$19,7,FALSE),0)</f>
        <v>3</v>
      </c>
      <c r="P1752" s="159">
        <f t="shared" si="293"/>
        <v>2016</v>
      </c>
      <c r="Q1752" s="159">
        <f t="shared" si="294"/>
        <v>7</v>
      </c>
      <c r="R1752" s="160">
        <f t="shared" si="295"/>
        <v>20.916666666744277</v>
      </c>
      <c r="S1752" s="158">
        <f t="shared" si="296"/>
        <v>20.916666666744277</v>
      </c>
      <c r="T1752" s="161">
        <f t="shared" si="297"/>
        <v>10019.083333370509</v>
      </c>
      <c r="U1752" s="158">
        <f t="shared" si="298"/>
        <v>479</v>
      </c>
      <c r="V1752" s="160">
        <f t="shared" si="299"/>
        <v>479</v>
      </c>
    </row>
    <row r="1753" spans="1:22" x14ac:dyDescent="0.25">
      <c r="A1753" s="98" t="s">
        <v>30</v>
      </c>
      <c r="B1753" s="98" t="s">
        <v>17</v>
      </c>
      <c r="C1753" s="98">
        <v>25</v>
      </c>
      <c r="D1753" s="98">
        <v>340</v>
      </c>
      <c r="E1753" s="157">
        <v>42588.671527777777</v>
      </c>
      <c r="F1753" s="157">
        <v>42588.747916666667</v>
      </c>
      <c r="G1753" s="98">
        <v>440</v>
      </c>
      <c r="H1753" s="98">
        <v>528</v>
      </c>
      <c r="I1753" s="98">
        <v>479</v>
      </c>
      <c r="J1753" s="98" t="s">
        <v>1970</v>
      </c>
      <c r="K1753" s="98" t="s">
        <v>4161</v>
      </c>
      <c r="L1753" s="105" t="str">
        <f t="shared" si="290"/>
        <v>Ghent</v>
      </c>
      <c r="M1753" s="105" t="str">
        <f t="shared" si="291"/>
        <v>Derate</v>
      </c>
      <c r="N1753" s="105" t="str">
        <f t="shared" si="292"/>
        <v>Coal</v>
      </c>
      <c r="O1753" s="105">
        <f>IFERROR(VLOOKUP(A1753,Lookup!$J$5:$P$19,7,FALSE),0)</f>
        <v>3</v>
      </c>
      <c r="P1753" s="159">
        <f t="shared" si="293"/>
        <v>2016</v>
      </c>
      <c r="Q1753" s="159">
        <f t="shared" si="294"/>
        <v>8</v>
      </c>
      <c r="R1753" s="160">
        <f t="shared" si="295"/>
        <v>1.8333333333721384</v>
      </c>
      <c r="S1753" s="158">
        <f t="shared" si="296"/>
        <v>0.30555555556202307</v>
      </c>
      <c r="T1753" s="161">
        <f t="shared" si="297"/>
        <v>146.36111111420905</v>
      </c>
      <c r="U1753" s="158">
        <f t="shared" si="298"/>
        <v>79.833333333333329</v>
      </c>
      <c r="V1753" s="160">
        <f t="shared" si="299"/>
        <v>80</v>
      </c>
    </row>
    <row r="1754" spans="1:22" x14ac:dyDescent="0.25">
      <c r="A1754" s="98" t="s">
        <v>30</v>
      </c>
      <c r="B1754" s="98" t="s">
        <v>15</v>
      </c>
      <c r="C1754" s="98">
        <v>26</v>
      </c>
      <c r="D1754" s="98">
        <v>1040</v>
      </c>
      <c r="E1754" s="157">
        <v>42594.04791666667</v>
      </c>
      <c r="F1754" s="157">
        <v>42595.149305555555</v>
      </c>
      <c r="G1754" s="98">
        <v>0</v>
      </c>
      <c r="H1754" s="98">
        <v>528</v>
      </c>
      <c r="I1754" s="98">
        <v>479</v>
      </c>
      <c r="J1754" s="98" t="s">
        <v>2001</v>
      </c>
      <c r="K1754" s="98" t="s">
        <v>4162</v>
      </c>
      <c r="L1754" s="105" t="str">
        <f t="shared" si="290"/>
        <v>Ghent</v>
      </c>
      <c r="M1754" s="105" t="str">
        <f t="shared" si="291"/>
        <v>Outage</v>
      </c>
      <c r="N1754" s="105" t="str">
        <f t="shared" si="292"/>
        <v>Coal</v>
      </c>
      <c r="O1754" s="105">
        <f>IFERROR(VLOOKUP(A1754,Lookup!$J$5:$P$19,7,FALSE),0)</f>
        <v>3</v>
      </c>
      <c r="P1754" s="159">
        <f t="shared" si="293"/>
        <v>2016</v>
      </c>
      <c r="Q1754" s="159">
        <f t="shared" si="294"/>
        <v>8</v>
      </c>
      <c r="R1754" s="160">
        <f t="shared" si="295"/>
        <v>26.43333333323244</v>
      </c>
      <c r="S1754" s="158">
        <f t="shared" si="296"/>
        <v>26.43333333323244</v>
      </c>
      <c r="T1754" s="161">
        <f t="shared" si="297"/>
        <v>12661.566666618339</v>
      </c>
      <c r="U1754" s="158">
        <f t="shared" si="298"/>
        <v>479</v>
      </c>
      <c r="V1754" s="160">
        <f t="shared" si="299"/>
        <v>479</v>
      </c>
    </row>
    <row r="1755" spans="1:22" x14ac:dyDescent="0.25">
      <c r="A1755" s="98" t="s">
        <v>30</v>
      </c>
      <c r="B1755" s="98" t="s">
        <v>17</v>
      </c>
      <c r="C1755" s="98">
        <v>27</v>
      </c>
      <c r="D1755" s="98">
        <v>1457</v>
      </c>
      <c r="E1755" s="157">
        <v>42622.865277777775</v>
      </c>
      <c r="F1755" s="157">
        <v>42623.013888888891</v>
      </c>
      <c r="G1755" s="98">
        <v>450</v>
      </c>
      <c r="H1755" s="98">
        <v>528</v>
      </c>
      <c r="I1755" s="98">
        <v>479</v>
      </c>
      <c r="J1755" s="98" t="s">
        <v>2292</v>
      </c>
      <c r="K1755" s="98" t="s">
        <v>4163</v>
      </c>
      <c r="L1755" s="105" t="str">
        <f t="shared" si="290"/>
        <v>Ghent</v>
      </c>
      <c r="M1755" s="105" t="str">
        <f t="shared" si="291"/>
        <v>Derate</v>
      </c>
      <c r="N1755" s="105" t="str">
        <f t="shared" si="292"/>
        <v>Coal</v>
      </c>
      <c r="O1755" s="105">
        <f>IFERROR(VLOOKUP(A1755,Lookup!$J$5:$P$19,7,FALSE),0)</f>
        <v>3</v>
      </c>
      <c r="P1755" s="159">
        <f t="shared" si="293"/>
        <v>2016</v>
      </c>
      <c r="Q1755" s="159">
        <f t="shared" si="294"/>
        <v>9</v>
      </c>
      <c r="R1755" s="160">
        <f t="shared" si="295"/>
        <v>3.5666666667675599</v>
      </c>
      <c r="S1755" s="158">
        <f t="shared" si="296"/>
        <v>0.5268939394088441</v>
      </c>
      <c r="T1755" s="161">
        <f t="shared" si="297"/>
        <v>252.38219697683633</v>
      </c>
      <c r="U1755" s="158">
        <f t="shared" si="298"/>
        <v>70.76136363636364</v>
      </c>
      <c r="V1755" s="160">
        <f t="shared" si="299"/>
        <v>71</v>
      </c>
    </row>
    <row r="1756" spans="1:22" x14ac:dyDescent="0.25">
      <c r="A1756" s="98" t="s">
        <v>30</v>
      </c>
      <c r="B1756" s="98" t="s">
        <v>15</v>
      </c>
      <c r="C1756" s="98">
        <v>28</v>
      </c>
      <c r="D1756" s="98">
        <v>1060</v>
      </c>
      <c r="E1756" s="157">
        <v>42635.10833333333</v>
      </c>
      <c r="F1756" s="157">
        <v>42636.986111111109</v>
      </c>
      <c r="G1756" s="98">
        <v>0</v>
      </c>
      <c r="H1756" s="98">
        <v>528</v>
      </c>
      <c r="I1756" s="98">
        <v>479</v>
      </c>
      <c r="J1756" s="98" t="s">
        <v>2179</v>
      </c>
      <c r="K1756" s="98" t="s">
        <v>4164</v>
      </c>
      <c r="L1756" s="105" t="str">
        <f t="shared" si="290"/>
        <v>Ghent</v>
      </c>
      <c r="M1756" s="105" t="str">
        <f t="shared" si="291"/>
        <v>Outage</v>
      </c>
      <c r="N1756" s="105" t="str">
        <f t="shared" si="292"/>
        <v>Coal</v>
      </c>
      <c r="O1756" s="105">
        <f>IFERROR(VLOOKUP(A1756,Lookup!$J$5:$P$19,7,FALSE),0)</f>
        <v>3</v>
      </c>
      <c r="P1756" s="159">
        <f t="shared" si="293"/>
        <v>2016</v>
      </c>
      <c r="Q1756" s="159">
        <f t="shared" si="294"/>
        <v>9</v>
      </c>
      <c r="R1756" s="160">
        <f t="shared" si="295"/>
        <v>45.066666666709352</v>
      </c>
      <c r="S1756" s="158">
        <f t="shared" si="296"/>
        <v>45.066666666709352</v>
      </c>
      <c r="T1756" s="161">
        <f t="shared" si="297"/>
        <v>21586.93333335378</v>
      </c>
      <c r="U1756" s="158">
        <f t="shared" si="298"/>
        <v>479</v>
      </c>
      <c r="V1756" s="160">
        <f t="shared" si="299"/>
        <v>479</v>
      </c>
    </row>
    <row r="1757" spans="1:22" x14ac:dyDescent="0.25">
      <c r="A1757" s="98" t="s">
        <v>30</v>
      </c>
      <c r="B1757" s="98" t="s">
        <v>20</v>
      </c>
      <c r="C1757" s="98">
        <v>29</v>
      </c>
      <c r="D1757" s="98">
        <v>1060</v>
      </c>
      <c r="E1757" s="157">
        <v>42641.338888888888</v>
      </c>
      <c r="F1757" s="157">
        <v>42642.645138888889</v>
      </c>
      <c r="G1757" s="98">
        <v>0</v>
      </c>
      <c r="H1757" s="98">
        <v>528</v>
      </c>
      <c r="I1757" s="98">
        <v>479</v>
      </c>
      <c r="J1757" s="98" t="s">
        <v>2179</v>
      </c>
      <c r="K1757" s="98" t="s">
        <v>4165</v>
      </c>
      <c r="L1757" s="105" t="str">
        <f t="shared" si="290"/>
        <v>Ghent</v>
      </c>
      <c r="M1757" s="105" t="str">
        <f t="shared" si="291"/>
        <v>Maintenance</v>
      </c>
      <c r="N1757" s="105" t="str">
        <f t="shared" si="292"/>
        <v>Coal</v>
      </c>
      <c r="O1757" s="105">
        <f>IFERROR(VLOOKUP(A1757,Lookup!$J$5:$P$19,7,FALSE),0)</f>
        <v>3</v>
      </c>
      <c r="P1757" s="159">
        <f t="shared" si="293"/>
        <v>2016</v>
      </c>
      <c r="Q1757" s="159">
        <f t="shared" si="294"/>
        <v>9</v>
      </c>
      <c r="R1757" s="160">
        <f t="shared" si="295"/>
        <v>31.350000000034925</v>
      </c>
      <c r="S1757" s="158">
        <f t="shared" si="296"/>
        <v>31.350000000034925</v>
      </c>
      <c r="T1757" s="161">
        <f t="shared" si="297"/>
        <v>15016.650000016729</v>
      </c>
      <c r="U1757" s="158">
        <f t="shared" si="298"/>
        <v>479</v>
      </c>
      <c r="V1757" s="160">
        <f t="shared" si="299"/>
        <v>479</v>
      </c>
    </row>
    <row r="1758" spans="1:22" x14ac:dyDescent="0.25">
      <c r="A1758" s="98" t="s">
        <v>30</v>
      </c>
      <c r="B1758" s="98" t="s">
        <v>17</v>
      </c>
      <c r="C1758" s="98">
        <v>30</v>
      </c>
      <c r="D1758" s="98">
        <v>344</v>
      </c>
      <c r="E1758" s="157">
        <v>42661.28125</v>
      </c>
      <c r="F1758" s="157">
        <v>42661.415972222225</v>
      </c>
      <c r="G1758" s="98">
        <v>420</v>
      </c>
      <c r="H1758" s="98">
        <v>528</v>
      </c>
      <c r="I1758" s="98">
        <v>479</v>
      </c>
      <c r="J1758" s="98" t="s">
        <v>1968</v>
      </c>
      <c r="K1758" s="98" t="s">
        <v>4166</v>
      </c>
      <c r="L1758" s="105" t="str">
        <f t="shared" si="290"/>
        <v>Ghent</v>
      </c>
      <c r="M1758" s="105" t="str">
        <f t="shared" si="291"/>
        <v>Derate</v>
      </c>
      <c r="N1758" s="105" t="str">
        <f t="shared" si="292"/>
        <v>Coal</v>
      </c>
      <c r="O1758" s="105">
        <f>IFERROR(VLOOKUP(A1758,Lookup!$J$5:$P$19,7,FALSE),0)</f>
        <v>3</v>
      </c>
      <c r="P1758" s="159">
        <f t="shared" si="293"/>
        <v>2016</v>
      </c>
      <c r="Q1758" s="159">
        <f t="shared" si="294"/>
        <v>10</v>
      </c>
      <c r="R1758" s="160">
        <f t="shared" si="295"/>
        <v>3.2333333333954215</v>
      </c>
      <c r="S1758" s="158">
        <f t="shared" si="296"/>
        <v>0.66136363637633622</v>
      </c>
      <c r="T1758" s="161">
        <f t="shared" si="297"/>
        <v>316.79318182426505</v>
      </c>
      <c r="U1758" s="158">
        <f t="shared" si="298"/>
        <v>97.977272727272734</v>
      </c>
      <c r="V1758" s="160">
        <f t="shared" si="299"/>
        <v>98</v>
      </c>
    </row>
    <row r="1759" spans="1:22" x14ac:dyDescent="0.25">
      <c r="A1759" s="98" t="s">
        <v>30</v>
      </c>
      <c r="B1759" s="98" t="s">
        <v>17</v>
      </c>
      <c r="C1759" s="98">
        <v>31</v>
      </c>
      <c r="D1759" s="98">
        <v>340</v>
      </c>
      <c r="E1759" s="157">
        <v>42665.488194444442</v>
      </c>
      <c r="F1759" s="157">
        <v>42672.662499999999</v>
      </c>
      <c r="G1759" s="98">
        <v>425</v>
      </c>
      <c r="H1759" s="98">
        <v>528</v>
      </c>
      <c r="I1759" s="98">
        <v>479</v>
      </c>
      <c r="J1759" s="98" t="s">
        <v>1970</v>
      </c>
      <c r="K1759" s="98" t="s">
        <v>4167</v>
      </c>
      <c r="L1759" s="105" t="str">
        <f t="shared" si="290"/>
        <v>Ghent</v>
      </c>
      <c r="M1759" s="105" t="str">
        <f t="shared" si="291"/>
        <v>Derate</v>
      </c>
      <c r="N1759" s="105" t="str">
        <f t="shared" si="292"/>
        <v>Coal</v>
      </c>
      <c r="O1759" s="105">
        <f>IFERROR(VLOOKUP(A1759,Lookup!$J$5:$P$19,7,FALSE),0)</f>
        <v>3</v>
      </c>
      <c r="P1759" s="159">
        <f t="shared" si="293"/>
        <v>2016</v>
      </c>
      <c r="Q1759" s="159">
        <f t="shared" si="294"/>
        <v>10</v>
      </c>
      <c r="R1759" s="160">
        <f t="shared" si="295"/>
        <v>172.18333333334886</v>
      </c>
      <c r="S1759" s="158">
        <f t="shared" si="296"/>
        <v>33.588794191922219</v>
      </c>
      <c r="T1759" s="161">
        <f t="shared" si="297"/>
        <v>16089.032417930743</v>
      </c>
      <c r="U1759" s="158">
        <f t="shared" si="298"/>
        <v>93.441287878787875</v>
      </c>
      <c r="V1759" s="160">
        <f t="shared" si="299"/>
        <v>93</v>
      </c>
    </row>
    <row r="1760" spans="1:22" x14ac:dyDescent="0.25">
      <c r="A1760" s="98" t="s">
        <v>30</v>
      </c>
      <c r="B1760" s="98" t="s">
        <v>38</v>
      </c>
      <c r="C1760" s="98">
        <v>32</v>
      </c>
      <c r="D1760" s="98">
        <v>1801</v>
      </c>
      <c r="E1760" s="157">
        <v>42672.662499999999</v>
      </c>
      <c r="F1760" s="157">
        <v>42692.831250000003</v>
      </c>
      <c r="G1760" s="98">
        <v>0</v>
      </c>
      <c r="H1760" s="98">
        <v>528</v>
      </c>
      <c r="I1760" s="98">
        <v>479</v>
      </c>
      <c r="J1760" s="98" t="s">
        <v>2021</v>
      </c>
      <c r="K1760" s="98" t="s">
        <v>4168</v>
      </c>
      <c r="L1760" s="105" t="str">
        <f t="shared" si="290"/>
        <v>Ghent</v>
      </c>
      <c r="M1760" s="105" t="str">
        <f t="shared" si="291"/>
        <v>Other</v>
      </c>
      <c r="N1760" s="105" t="str">
        <f t="shared" si="292"/>
        <v>Coal</v>
      </c>
      <c r="O1760" s="105">
        <f>IFERROR(VLOOKUP(A1760,Lookup!$J$5:$P$19,7,FALSE),0)</f>
        <v>3</v>
      </c>
      <c r="P1760" s="159">
        <f t="shared" si="293"/>
        <v>2016</v>
      </c>
      <c r="Q1760" s="159">
        <f t="shared" si="294"/>
        <v>10</v>
      </c>
      <c r="R1760" s="160">
        <f t="shared" si="295"/>
        <v>484.05000000010477</v>
      </c>
      <c r="S1760" s="158">
        <f t="shared" si="296"/>
        <v>484.05000000010477</v>
      </c>
      <c r="T1760" s="161">
        <f t="shared" si="297"/>
        <v>231859.95000005019</v>
      </c>
      <c r="U1760" s="158">
        <f t="shared" si="298"/>
        <v>479</v>
      </c>
      <c r="V1760" s="160">
        <f t="shared" si="299"/>
        <v>479</v>
      </c>
    </row>
    <row r="1761" spans="1:22" x14ac:dyDescent="0.25">
      <c r="A1761" s="98" t="s">
        <v>30</v>
      </c>
      <c r="B1761" s="98" t="s">
        <v>32</v>
      </c>
      <c r="C1761" s="98">
        <v>33</v>
      </c>
      <c r="D1761" s="98">
        <v>250</v>
      </c>
      <c r="E1761" s="157">
        <v>42696.461805555555</v>
      </c>
      <c r="F1761" s="157">
        <v>42696.506944444445</v>
      </c>
      <c r="G1761" s="98">
        <v>410</v>
      </c>
      <c r="H1761" s="98">
        <v>528</v>
      </c>
      <c r="I1761" s="98">
        <v>479</v>
      </c>
      <c r="J1761" s="98" t="s">
        <v>1978</v>
      </c>
      <c r="K1761" s="98" t="s">
        <v>4169</v>
      </c>
      <c r="L1761" s="105" t="str">
        <f t="shared" si="290"/>
        <v>Ghent</v>
      </c>
      <c r="M1761" s="105" t="str">
        <f t="shared" si="291"/>
        <v>Derate</v>
      </c>
      <c r="N1761" s="105" t="str">
        <f t="shared" si="292"/>
        <v>Coal</v>
      </c>
      <c r="O1761" s="105">
        <f>IFERROR(VLOOKUP(A1761,Lookup!$J$5:$P$19,7,FALSE),0)</f>
        <v>3</v>
      </c>
      <c r="P1761" s="159">
        <f t="shared" si="293"/>
        <v>2016</v>
      </c>
      <c r="Q1761" s="159">
        <f t="shared" si="294"/>
        <v>11</v>
      </c>
      <c r="R1761" s="160">
        <f t="shared" si="295"/>
        <v>1.0833333333721384</v>
      </c>
      <c r="S1761" s="158">
        <f t="shared" si="296"/>
        <v>0.24210858586725822</v>
      </c>
      <c r="T1761" s="161">
        <f t="shared" si="297"/>
        <v>115.97001263041669</v>
      </c>
      <c r="U1761" s="158">
        <f t="shared" si="298"/>
        <v>107.04924242424242</v>
      </c>
      <c r="V1761" s="160">
        <f t="shared" si="299"/>
        <v>107</v>
      </c>
    </row>
    <row r="1762" spans="1:22" x14ac:dyDescent="0.25">
      <c r="A1762" s="98" t="s">
        <v>30</v>
      </c>
      <c r="B1762" s="98" t="s">
        <v>17</v>
      </c>
      <c r="C1762" s="98">
        <v>34</v>
      </c>
      <c r="D1762" s="98">
        <v>340</v>
      </c>
      <c r="E1762" s="157">
        <v>42699.38958333333</v>
      </c>
      <c r="F1762" s="157">
        <v>42699.786805555559</v>
      </c>
      <c r="G1762" s="98">
        <v>420</v>
      </c>
      <c r="H1762" s="98">
        <v>528</v>
      </c>
      <c r="I1762" s="98">
        <v>479</v>
      </c>
      <c r="J1762" s="98" t="s">
        <v>1970</v>
      </c>
      <c r="K1762" s="98" t="s">
        <v>4170</v>
      </c>
      <c r="L1762" s="105" t="str">
        <f t="shared" si="290"/>
        <v>Ghent</v>
      </c>
      <c r="M1762" s="105" t="str">
        <f t="shared" si="291"/>
        <v>Derate</v>
      </c>
      <c r="N1762" s="105" t="str">
        <f t="shared" si="292"/>
        <v>Coal</v>
      </c>
      <c r="O1762" s="105">
        <f>IFERROR(VLOOKUP(A1762,Lookup!$J$5:$P$19,7,FALSE),0)</f>
        <v>3</v>
      </c>
      <c r="P1762" s="159">
        <f t="shared" si="293"/>
        <v>2016</v>
      </c>
      <c r="Q1762" s="159">
        <f t="shared" si="294"/>
        <v>11</v>
      </c>
      <c r="R1762" s="160">
        <f t="shared" si="295"/>
        <v>9.5333333335001953</v>
      </c>
      <c r="S1762" s="158">
        <f t="shared" si="296"/>
        <v>1.9500000000341309</v>
      </c>
      <c r="T1762" s="161">
        <f t="shared" si="297"/>
        <v>934.05000001634869</v>
      </c>
      <c r="U1762" s="158">
        <f t="shared" si="298"/>
        <v>97.977272727272734</v>
      </c>
      <c r="V1762" s="160">
        <f t="shared" si="299"/>
        <v>98</v>
      </c>
    </row>
    <row r="1763" spans="1:22" x14ac:dyDescent="0.25">
      <c r="A1763" s="98" t="s">
        <v>30</v>
      </c>
      <c r="B1763" s="98" t="s">
        <v>32</v>
      </c>
      <c r="C1763" s="98">
        <v>35</v>
      </c>
      <c r="D1763" s="98">
        <v>350</v>
      </c>
      <c r="E1763" s="157">
        <v>42701.916666666664</v>
      </c>
      <c r="F1763" s="157">
        <v>42702.020833333336</v>
      </c>
      <c r="G1763" s="98">
        <v>420</v>
      </c>
      <c r="H1763" s="98">
        <v>528</v>
      </c>
      <c r="I1763" s="98">
        <v>479</v>
      </c>
      <c r="J1763" s="98" t="s">
        <v>1976</v>
      </c>
      <c r="K1763" s="98" t="s">
        <v>4171</v>
      </c>
      <c r="L1763" s="105" t="str">
        <f t="shared" si="290"/>
        <v>Ghent</v>
      </c>
      <c r="M1763" s="105" t="str">
        <f t="shared" si="291"/>
        <v>Derate</v>
      </c>
      <c r="N1763" s="105" t="str">
        <f t="shared" si="292"/>
        <v>Coal</v>
      </c>
      <c r="O1763" s="105">
        <f>IFERROR(VLOOKUP(A1763,Lookup!$J$5:$P$19,7,FALSE),0)</f>
        <v>3</v>
      </c>
      <c r="P1763" s="159">
        <f t="shared" si="293"/>
        <v>2016</v>
      </c>
      <c r="Q1763" s="159">
        <f t="shared" si="294"/>
        <v>11</v>
      </c>
      <c r="R1763" s="160">
        <f t="shared" si="295"/>
        <v>2.5000000001164153</v>
      </c>
      <c r="S1763" s="158">
        <f t="shared" si="296"/>
        <v>0.51136363638744864</v>
      </c>
      <c r="T1763" s="161">
        <f t="shared" si="297"/>
        <v>244.9431818295879</v>
      </c>
      <c r="U1763" s="158">
        <f t="shared" si="298"/>
        <v>97.977272727272734</v>
      </c>
      <c r="V1763" s="160">
        <f t="shared" si="299"/>
        <v>98</v>
      </c>
    </row>
    <row r="1764" spans="1:22" x14ac:dyDescent="0.25">
      <c r="A1764" s="98" t="s">
        <v>30</v>
      </c>
      <c r="B1764" s="98" t="s">
        <v>32</v>
      </c>
      <c r="C1764" s="98">
        <v>36</v>
      </c>
      <c r="D1764" s="98">
        <v>8460</v>
      </c>
      <c r="E1764" s="157">
        <v>42713.90625</v>
      </c>
      <c r="F1764" s="157">
        <v>42716.208333333336</v>
      </c>
      <c r="G1764" s="98">
        <v>250</v>
      </c>
      <c r="H1764" s="98">
        <v>528</v>
      </c>
      <c r="I1764" s="98">
        <v>479</v>
      </c>
      <c r="J1764" s="98" t="s">
        <v>2651</v>
      </c>
      <c r="K1764" s="98" t="s">
        <v>4172</v>
      </c>
      <c r="L1764" s="105" t="str">
        <f t="shared" si="290"/>
        <v>Ghent</v>
      </c>
      <c r="M1764" s="105" t="str">
        <f t="shared" si="291"/>
        <v>Derate</v>
      </c>
      <c r="N1764" s="105" t="str">
        <f t="shared" si="292"/>
        <v>Coal</v>
      </c>
      <c r="O1764" s="105">
        <f>IFERROR(VLOOKUP(A1764,Lookup!$J$5:$P$19,7,FALSE),0)</f>
        <v>3</v>
      </c>
      <c r="P1764" s="159">
        <f t="shared" si="293"/>
        <v>2016</v>
      </c>
      <c r="Q1764" s="159">
        <f t="shared" si="294"/>
        <v>12</v>
      </c>
      <c r="R1764" s="160">
        <f t="shared" si="295"/>
        <v>55.250000000058208</v>
      </c>
      <c r="S1764" s="158">
        <f t="shared" si="296"/>
        <v>29.089962121242767</v>
      </c>
      <c r="T1764" s="161">
        <f t="shared" si="297"/>
        <v>13934.091856075285</v>
      </c>
      <c r="U1764" s="158">
        <f t="shared" si="298"/>
        <v>252.20075757575756</v>
      </c>
      <c r="V1764" s="160">
        <f t="shared" si="299"/>
        <v>252</v>
      </c>
    </row>
    <row r="1765" spans="1:22" x14ac:dyDescent="0.25">
      <c r="A1765" s="98" t="s">
        <v>30</v>
      </c>
      <c r="B1765" s="98" t="s">
        <v>18</v>
      </c>
      <c r="C1765" s="98">
        <v>4</v>
      </c>
      <c r="D1765" s="98">
        <v>4899</v>
      </c>
      <c r="E1765" s="157">
        <v>42788.79791666667</v>
      </c>
      <c r="F1765" s="157">
        <v>42788.945833333331</v>
      </c>
      <c r="G1765" s="98">
        <v>0</v>
      </c>
      <c r="H1765" s="98">
        <v>528</v>
      </c>
      <c r="I1765" s="98">
        <v>479</v>
      </c>
      <c r="J1765" s="98" t="s">
        <v>2243</v>
      </c>
      <c r="K1765" s="98" t="s">
        <v>4173</v>
      </c>
      <c r="L1765" s="105" t="str">
        <f t="shared" si="290"/>
        <v>Ghent</v>
      </c>
      <c r="M1765" s="105" t="str">
        <f t="shared" si="291"/>
        <v>Outage</v>
      </c>
      <c r="N1765" s="105" t="str">
        <f t="shared" si="292"/>
        <v>Coal</v>
      </c>
      <c r="O1765" s="105">
        <f>IFERROR(VLOOKUP(A1765,Lookup!$J$5:$P$19,7,FALSE),0)</f>
        <v>3</v>
      </c>
      <c r="P1765" s="159">
        <f t="shared" si="293"/>
        <v>2017</v>
      </c>
      <c r="Q1765" s="159">
        <f t="shared" si="294"/>
        <v>2</v>
      </c>
      <c r="R1765" s="160">
        <f t="shared" si="295"/>
        <v>3.5499999998719431</v>
      </c>
      <c r="S1765" s="158">
        <f t="shared" si="296"/>
        <v>3.5499999998719431</v>
      </c>
      <c r="T1765" s="161">
        <f t="shared" si="297"/>
        <v>1700.4499999386608</v>
      </c>
      <c r="U1765" s="158">
        <f t="shared" si="298"/>
        <v>479</v>
      </c>
      <c r="V1765" s="160">
        <f t="shared" si="299"/>
        <v>479</v>
      </c>
    </row>
    <row r="1766" spans="1:22" x14ac:dyDescent="0.25">
      <c r="A1766" s="98" t="s">
        <v>30</v>
      </c>
      <c r="B1766" s="98" t="s">
        <v>17</v>
      </c>
      <c r="C1766" s="98">
        <v>3</v>
      </c>
      <c r="D1766" s="98">
        <v>1850</v>
      </c>
      <c r="E1766" s="157">
        <v>42789.280555555553</v>
      </c>
      <c r="F1766" s="157">
        <v>42789.436805555553</v>
      </c>
      <c r="G1766" s="98">
        <v>435</v>
      </c>
      <c r="H1766" s="98">
        <v>528</v>
      </c>
      <c r="I1766" s="98">
        <v>479</v>
      </c>
      <c r="J1766" s="98" t="s">
        <v>2263</v>
      </c>
      <c r="K1766" s="98" t="s">
        <v>4174</v>
      </c>
      <c r="L1766" s="105" t="str">
        <f t="shared" si="290"/>
        <v>Ghent</v>
      </c>
      <c r="M1766" s="105" t="str">
        <f t="shared" si="291"/>
        <v>Derate</v>
      </c>
      <c r="N1766" s="105" t="str">
        <f t="shared" si="292"/>
        <v>Coal</v>
      </c>
      <c r="O1766" s="105">
        <f>IFERROR(VLOOKUP(A1766,Lookup!$J$5:$P$19,7,FALSE),0)</f>
        <v>3</v>
      </c>
      <c r="P1766" s="159">
        <f t="shared" si="293"/>
        <v>2017</v>
      </c>
      <c r="Q1766" s="159">
        <f t="shared" si="294"/>
        <v>2</v>
      </c>
      <c r="R1766" s="160">
        <f t="shared" si="295"/>
        <v>3.75</v>
      </c>
      <c r="S1766" s="158">
        <f t="shared" si="296"/>
        <v>0.66051136363636365</v>
      </c>
      <c r="T1766" s="161">
        <f t="shared" si="297"/>
        <v>316.38494318181819</v>
      </c>
      <c r="U1766" s="158">
        <f t="shared" si="298"/>
        <v>84.369318181818187</v>
      </c>
      <c r="V1766" s="160">
        <f t="shared" si="299"/>
        <v>84</v>
      </c>
    </row>
    <row r="1767" spans="1:22" x14ac:dyDescent="0.25">
      <c r="A1767" s="98" t="s">
        <v>30</v>
      </c>
      <c r="B1767" s="98" t="s">
        <v>15</v>
      </c>
      <c r="C1767" s="98">
        <v>5</v>
      </c>
      <c r="D1767" s="98">
        <v>1080</v>
      </c>
      <c r="E1767" s="157">
        <v>42840.683333333334</v>
      </c>
      <c r="F1767" s="157">
        <v>42844.175694444442</v>
      </c>
      <c r="G1767" s="98">
        <v>0</v>
      </c>
      <c r="H1767" s="98">
        <v>528</v>
      </c>
      <c r="I1767" s="98">
        <v>479</v>
      </c>
      <c r="J1767" s="98" t="s">
        <v>1991</v>
      </c>
      <c r="K1767" s="98" t="s">
        <v>4175</v>
      </c>
      <c r="L1767" s="105" t="str">
        <f t="shared" ref="L1767:L1830" si="300">IF(OR(A1767="BR1",A1767="BR2",A1767="BR3",A1767="BR5",A1767="BR6",A1767="BR7",A1767="BR8",A1767="BR9",A1767="BR10",A1767="BR11"),"Brown",IF(OR(A1767="CR4",A1767="CR5",A1767="CR6",A1767="CR11"),"Cane Run",IF(OR(A1767="GH1",A1767="GH2",A1767="GH3",A1767="GH4"),"Ghent",IF(OR(A1767="GR3",A1767="GR4"),"Green River",IF(OR(A1767="MC1",A1767="MC2",A1767="MC3",A1767="MC4"),"Mill Creek",IF(OR(A1767="TC1",A1767="TC2",A1767="TC5",A1767="TC6",A1767="TC7",A1767="TC8",A1767="TC9",A1767="TC10"),"Trimble",IF(A1767="TY3","Tyrone",IF(OR(A1767="HA1",A1767="HA2",A1767="HA3"),"Haeflin",IF(OR(A1767="PR11",A1767="PR12",A1767="PR13"),"Paddy's Run","Zorn")))))))))</f>
        <v>Ghent</v>
      </c>
      <c r="M1767" s="105" t="str">
        <f t="shared" ref="M1767:M1830" si="301">IF(OR(B1767="D1",B1767="D2",B1767="D3",B1767="D4",B1767="PD"),"Derate",IF(OR(B1767="SF",B1767="U1",B1767="U2",B1767="U3"),"Outage",IF(OR(B1767="ME",B1767="MO"),"Maintenance","Other")))</f>
        <v>Outage</v>
      </c>
      <c r="N1767" s="105" t="str">
        <f t="shared" ref="N1767:N1830" si="302">IF(OR(A1767="BR1",A1767="BR2",A1767="BR3",A1767="CR4",A1767="CR5",A1767="CR6",A1767="GH1",A1767="GH2",A1767="GH3",A1767="GH4",A1767="GR3",A1767="GR4",A1767="MC1",A1767="MC2",A1767="MC3",A1767="MC4",A1767="TC1",A1767="TC2",A1767="TY3"),"Coal","Gas")</f>
        <v>Coal</v>
      </c>
      <c r="O1767" s="105">
        <f>IFERROR(VLOOKUP(A1767,Lookup!$J$5:$P$19,7,FALSE),0)</f>
        <v>3</v>
      </c>
      <c r="P1767" s="159">
        <f t="shared" ref="P1767:P1830" si="303">YEAR(E1767)</f>
        <v>2017</v>
      </c>
      <c r="Q1767" s="159">
        <f t="shared" ref="Q1767:Q1830" si="304">MONTH(E1767)</f>
        <v>4</v>
      </c>
      <c r="R1767" s="160">
        <f t="shared" ref="R1767:R1830" si="305">(F1767-E1767)*24</f>
        <v>83.816666666592937</v>
      </c>
      <c r="S1767" s="158">
        <f t="shared" ref="S1767:S1830" si="306">R1767*(H1767-G1767)/H1767</f>
        <v>83.816666666592937</v>
      </c>
      <c r="T1767" s="161">
        <f t="shared" ref="T1767:T1830" si="307">S1767*I1767</f>
        <v>40148.183333298017</v>
      </c>
      <c r="U1767" s="158">
        <f t="shared" ref="U1767:U1830" si="308">IF(G1767&gt;0,MAX((H1767-G1767),0)*I1767/H1767,I1767)</f>
        <v>479</v>
      </c>
      <c r="V1767" s="160">
        <f t="shared" ref="V1767:V1830" si="309">ROUND(U1767,0)</f>
        <v>479</v>
      </c>
    </row>
    <row r="1768" spans="1:22" x14ac:dyDescent="0.25">
      <c r="A1768" s="98" t="s">
        <v>30</v>
      </c>
      <c r="B1768" s="98" t="s">
        <v>17</v>
      </c>
      <c r="C1768" s="98">
        <v>7</v>
      </c>
      <c r="D1768" s="98">
        <v>4499</v>
      </c>
      <c r="E1768" s="157">
        <v>42896.65347222222</v>
      </c>
      <c r="F1768" s="157">
        <v>42909.385416666664</v>
      </c>
      <c r="G1768" s="98">
        <v>520</v>
      </c>
      <c r="H1768" s="98">
        <v>528</v>
      </c>
      <c r="I1768" s="98">
        <v>479</v>
      </c>
      <c r="J1768" s="98" t="s">
        <v>2082</v>
      </c>
      <c r="K1768" s="98" t="s">
        <v>4727</v>
      </c>
      <c r="L1768" s="105" t="str">
        <f t="shared" si="300"/>
        <v>Ghent</v>
      </c>
      <c r="M1768" s="105" t="str">
        <f t="shared" si="301"/>
        <v>Derate</v>
      </c>
      <c r="N1768" s="105" t="str">
        <f t="shared" si="302"/>
        <v>Coal</v>
      </c>
      <c r="O1768" s="105">
        <f>IFERROR(VLOOKUP(A1768,Lookup!$J$5:$P$19,7,FALSE),0)</f>
        <v>3</v>
      </c>
      <c r="P1768" s="159">
        <f t="shared" si="303"/>
        <v>2017</v>
      </c>
      <c r="Q1768" s="159">
        <f t="shared" si="304"/>
        <v>6</v>
      </c>
      <c r="R1768" s="160">
        <f t="shared" si="305"/>
        <v>305.56666666665114</v>
      </c>
      <c r="S1768" s="158">
        <f t="shared" si="306"/>
        <v>4.6297979797977442</v>
      </c>
      <c r="T1768" s="161">
        <f t="shared" si="307"/>
        <v>2217.6732323231195</v>
      </c>
      <c r="U1768" s="158">
        <f t="shared" si="308"/>
        <v>7.2575757575757578</v>
      </c>
      <c r="V1768" s="160">
        <f t="shared" si="309"/>
        <v>7</v>
      </c>
    </row>
    <row r="1769" spans="1:22" x14ac:dyDescent="0.25">
      <c r="A1769" s="98" t="s">
        <v>30</v>
      </c>
      <c r="B1769" s="98" t="s">
        <v>32</v>
      </c>
      <c r="C1769" s="98">
        <v>8</v>
      </c>
      <c r="D1769" s="98">
        <v>3408</v>
      </c>
      <c r="E1769" s="157">
        <v>42908.947916666664</v>
      </c>
      <c r="F1769" s="157">
        <v>42908.981944444444</v>
      </c>
      <c r="G1769" s="98">
        <v>340</v>
      </c>
      <c r="H1769" s="98">
        <v>528</v>
      </c>
      <c r="I1769" s="98">
        <v>479</v>
      </c>
      <c r="J1769" s="98" t="s">
        <v>2195</v>
      </c>
      <c r="K1769" s="98" t="s">
        <v>4176</v>
      </c>
      <c r="L1769" s="105" t="str">
        <f t="shared" si="300"/>
        <v>Ghent</v>
      </c>
      <c r="M1769" s="105" t="str">
        <f t="shared" si="301"/>
        <v>Derate</v>
      </c>
      <c r="N1769" s="105" t="str">
        <f t="shared" si="302"/>
        <v>Coal</v>
      </c>
      <c r="O1769" s="105">
        <f>IFERROR(VLOOKUP(A1769,Lookup!$J$5:$P$19,7,FALSE),0)</f>
        <v>3</v>
      </c>
      <c r="P1769" s="159">
        <f t="shared" si="303"/>
        <v>2017</v>
      </c>
      <c r="Q1769" s="159">
        <f t="shared" si="304"/>
        <v>6</v>
      </c>
      <c r="R1769" s="160">
        <f t="shared" si="305"/>
        <v>0.81666666670935228</v>
      </c>
      <c r="S1769" s="158">
        <f t="shared" si="306"/>
        <v>0.29078282829802693</v>
      </c>
      <c r="T1769" s="161">
        <f t="shared" si="307"/>
        <v>139.2849747547549</v>
      </c>
      <c r="U1769" s="158">
        <f t="shared" si="308"/>
        <v>170.55303030303031</v>
      </c>
      <c r="V1769" s="160">
        <f t="shared" si="309"/>
        <v>171</v>
      </c>
    </row>
    <row r="1770" spans="1:22" x14ac:dyDescent="0.25">
      <c r="A1770" s="98" t="s">
        <v>30</v>
      </c>
      <c r="B1770" s="98" t="s">
        <v>17</v>
      </c>
      <c r="C1770" s="98">
        <v>9</v>
      </c>
      <c r="D1770" s="98">
        <v>3149</v>
      </c>
      <c r="E1770" s="157">
        <v>42938.463888888888</v>
      </c>
      <c r="F1770" s="157">
        <v>42938.837500000001</v>
      </c>
      <c r="G1770" s="98">
        <v>510</v>
      </c>
      <c r="H1770" s="98">
        <v>528</v>
      </c>
      <c r="I1770" s="98">
        <v>479</v>
      </c>
      <c r="J1770" s="98" t="s">
        <v>2034</v>
      </c>
      <c r="K1770" s="98" t="s">
        <v>4728</v>
      </c>
      <c r="L1770" s="105" t="str">
        <f t="shared" si="300"/>
        <v>Ghent</v>
      </c>
      <c r="M1770" s="105" t="str">
        <f t="shared" si="301"/>
        <v>Derate</v>
      </c>
      <c r="N1770" s="105" t="str">
        <f t="shared" si="302"/>
        <v>Coal</v>
      </c>
      <c r="O1770" s="105">
        <f>IFERROR(VLOOKUP(A1770,Lookup!$J$5:$P$19,7,FALSE),0)</f>
        <v>3</v>
      </c>
      <c r="P1770" s="159">
        <f t="shared" si="303"/>
        <v>2017</v>
      </c>
      <c r="Q1770" s="159">
        <f t="shared" si="304"/>
        <v>7</v>
      </c>
      <c r="R1770" s="160">
        <f t="shared" si="305"/>
        <v>8.9666666667326353</v>
      </c>
      <c r="S1770" s="158">
        <f t="shared" si="306"/>
        <v>0.30568181818406709</v>
      </c>
      <c r="T1770" s="161">
        <f t="shared" si="307"/>
        <v>146.42159091016813</v>
      </c>
      <c r="U1770" s="158">
        <f t="shared" si="308"/>
        <v>16.329545454545453</v>
      </c>
      <c r="V1770" s="160">
        <f t="shared" si="309"/>
        <v>16</v>
      </c>
    </row>
    <row r="1771" spans="1:22" x14ac:dyDescent="0.25">
      <c r="A1771" s="98" t="s">
        <v>30</v>
      </c>
      <c r="B1771" s="98" t="s">
        <v>17</v>
      </c>
      <c r="C1771" s="98">
        <v>10</v>
      </c>
      <c r="D1771" s="98">
        <v>4499</v>
      </c>
      <c r="E1771" s="157">
        <v>42938.837500000001</v>
      </c>
      <c r="F1771" s="157">
        <v>42940.612500000003</v>
      </c>
      <c r="G1771" s="98">
        <v>526</v>
      </c>
      <c r="H1771" s="98">
        <v>528</v>
      </c>
      <c r="I1771" s="98">
        <v>479</v>
      </c>
      <c r="J1771" s="98" t="s">
        <v>2082</v>
      </c>
      <c r="K1771" s="98" t="s">
        <v>4729</v>
      </c>
      <c r="L1771" s="105" t="str">
        <f t="shared" si="300"/>
        <v>Ghent</v>
      </c>
      <c r="M1771" s="105" t="str">
        <f t="shared" si="301"/>
        <v>Derate</v>
      </c>
      <c r="N1771" s="105" t="str">
        <f t="shared" si="302"/>
        <v>Coal</v>
      </c>
      <c r="O1771" s="105">
        <f>IFERROR(VLOOKUP(A1771,Lookup!$J$5:$P$19,7,FALSE),0)</f>
        <v>3</v>
      </c>
      <c r="P1771" s="159">
        <f t="shared" si="303"/>
        <v>2017</v>
      </c>
      <c r="Q1771" s="159">
        <f t="shared" si="304"/>
        <v>7</v>
      </c>
      <c r="R1771" s="160">
        <f t="shared" si="305"/>
        <v>42.600000000034925</v>
      </c>
      <c r="S1771" s="158">
        <f t="shared" si="306"/>
        <v>0.16136363636376866</v>
      </c>
      <c r="T1771" s="161">
        <f t="shared" si="307"/>
        <v>77.293181818245188</v>
      </c>
      <c r="U1771" s="158">
        <f t="shared" si="308"/>
        <v>1.8143939393939394</v>
      </c>
      <c r="V1771" s="160">
        <f t="shared" si="309"/>
        <v>2</v>
      </c>
    </row>
    <row r="1772" spans="1:22" x14ac:dyDescent="0.25">
      <c r="A1772" s="98" t="s">
        <v>30</v>
      </c>
      <c r="B1772" s="98" t="s">
        <v>17</v>
      </c>
      <c r="C1772" s="98">
        <v>11</v>
      </c>
      <c r="D1772" s="98">
        <v>3199</v>
      </c>
      <c r="E1772" s="157">
        <v>42940.612500000003</v>
      </c>
      <c r="F1772" s="157">
        <v>42940.636111111111</v>
      </c>
      <c r="G1772" s="98">
        <v>500</v>
      </c>
      <c r="H1772" s="98">
        <v>528</v>
      </c>
      <c r="I1772" s="98">
        <v>479</v>
      </c>
      <c r="J1772" s="98" t="s">
        <v>4730</v>
      </c>
      <c r="K1772" s="98" t="s">
        <v>4731</v>
      </c>
      <c r="L1772" s="105" t="str">
        <f t="shared" si="300"/>
        <v>Ghent</v>
      </c>
      <c r="M1772" s="105" t="str">
        <f t="shared" si="301"/>
        <v>Derate</v>
      </c>
      <c r="N1772" s="105" t="str">
        <f t="shared" si="302"/>
        <v>Coal</v>
      </c>
      <c r="O1772" s="105">
        <f>IFERROR(VLOOKUP(A1772,Lookup!$J$5:$P$19,7,FALSE),0)</f>
        <v>3</v>
      </c>
      <c r="P1772" s="159">
        <f t="shared" si="303"/>
        <v>2017</v>
      </c>
      <c r="Q1772" s="159">
        <f t="shared" si="304"/>
        <v>7</v>
      </c>
      <c r="R1772" s="160">
        <f t="shared" si="305"/>
        <v>0.56666666659293696</v>
      </c>
      <c r="S1772" s="158">
        <f t="shared" si="306"/>
        <v>3.0050505046595143E-2</v>
      </c>
      <c r="T1772" s="161">
        <f t="shared" si="307"/>
        <v>14.394191917319073</v>
      </c>
      <c r="U1772" s="158">
        <f t="shared" si="308"/>
        <v>25.401515151515152</v>
      </c>
      <c r="V1772" s="160">
        <f t="shared" si="309"/>
        <v>25</v>
      </c>
    </row>
    <row r="1773" spans="1:22" x14ac:dyDescent="0.25">
      <c r="A1773" s="98" t="s">
        <v>30</v>
      </c>
      <c r="B1773" s="98" t="s">
        <v>17</v>
      </c>
      <c r="C1773" s="98">
        <v>12</v>
      </c>
      <c r="D1773" s="98">
        <v>3149</v>
      </c>
      <c r="E1773" s="157">
        <v>42964.452777777777</v>
      </c>
      <c r="F1773" s="157">
        <v>42964.500694444447</v>
      </c>
      <c r="G1773" s="98">
        <v>515</v>
      </c>
      <c r="H1773" s="98">
        <v>528</v>
      </c>
      <c r="I1773" s="98">
        <v>479</v>
      </c>
      <c r="J1773" s="98" t="s">
        <v>2034</v>
      </c>
      <c r="K1773" s="98" t="s">
        <v>4732</v>
      </c>
      <c r="L1773" s="105" t="str">
        <f t="shared" si="300"/>
        <v>Ghent</v>
      </c>
      <c r="M1773" s="105" t="str">
        <f t="shared" si="301"/>
        <v>Derate</v>
      </c>
      <c r="N1773" s="105" t="str">
        <f t="shared" si="302"/>
        <v>Coal</v>
      </c>
      <c r="O1773" s="105">
        <f>IFERROR(VLOOKUP(A1773,Lookup!$J$5:$P$19,7,FALSE),0)</f>
        <v>3</v>
      </c>
      <c r="P1773" s="159">
        <f t="shared" si="303"/>
        <v>2017</v>
      </c>
      <c r="Q1773" s="159">
        <f t="shared" si="304"/>
        <v>8</v>
      </c>
      <c r="R1773" s="160">
        <f t="shared" si="305"/>
        <v>1.1500000000814907</v>
      </c>
      <c r="S1773" s="158">
        <f t="shared" si="306"/>
        <v>2.831439394140034E-2</v>
      </c>
      <c r="T1773" s="161">
        <f t="shared" si="307"/>
        <v>13.562594697930763</v>
      </c>
      <c r="U1773" s="158">
        <f t="shared" si="308"/>
        <v>11.793560606060606</v>
      </c>
      <c r="V1773" s="160">
        <f t="shared" si="309"/>
        <v>12</v>
      </c>
    </row>
    <row r="1774" spans="1:22" x14ac:dyDescent="0.25">
      <c r="A1774" s="98" t="s">
        <v>30</v>
      </c>
      <c r="B1774" s="98" t="s">
        <v>17</v>
      </c>
      <c r="C1774" s="98">
        <v>13</v>
      </c>
      <c r="D1774" s="98">
        <v>3149</v>
      </c>
      <c r="E1774" s="157">
        <v>42964.500694444447</v>
      </c>
      <c r="F1774" s="157">
        <v>42964.648611111108</v>
      </c>
      <c r="G1774" s="98">
        <v>510</v>
      </c>
      <c r="H1774" s="98">
        <v>528</v>
      </c>
      <c r="I1774" s="98">
        <v>479</v>
      </c>
      <c r="J1774" s="98" t="s">
        <v>2034</v>
      </c>
      <c r="K1774" s="98" t="s">
        <v>4733</v>
      </c>
      <c r="L1774" s="105" t="str">
        <f t="shared" si="300"/>
        <v>Ghent</v>
      </c>
      <c r="M1774" s="105" t="str">
        <f t="shared" si="301"/>
        <v>Derate</v>
      </c>
      <c r="N1774" s="105" t="str">
        <f t="shared" si="302"/>
        <v>Coal</v>
      </c>
      <c r="O1774" s="105">
        <f>IFERROR(VLOOKUP(A1774,Lookup!$J$5:$P$19,7,FALSE),0)</f>
        <v>3</v>
      </c>
      <c r="P1774" s="159">
        <f t="shared" si="303"/>
        <v>2017</v>
      </c>
      <c r="Q1774" s="159">
        <f t="shared" si="304"/>
        <v>8</v>
      </c>
      <c r="R1774" s="160">
        <f t="shared" si="305"/>
        <v>3.5499999998719431</v>
      </c>
      <c r="S1774" s="158">
        <f t="shared" si="306"/>
        <v>0.1210227272683617</v>
      </c>
      <c r="T1774" s="161">
        <f t="shared" si="307"/>
        <v>57.969886361545257</v>
      </c>
      <c r="U1774" s="158">
        <f t="shared" si="308"/>
        <v>16.329545454545453</v>
      </c>
      <c r="V1774" s="160">
        <f t="shared" si="309"/>
        <v>16</v>
      </c>
    </row>
    <row r="1775" spans="1:22" x14ac:dyDescent="0.25">
      <c r="A1775" s="98" t="s">
        <v>30</v>
      </c>
      <c r="B1775" s="98" t="s">
        <v>17</v>
      </c>
      <c r="C1775" s="98">
        <v>14</v>
      </c>
      <c r="D1775" s="98">
        <v>4499</v>
      </c>
      <c r="E1775" s="157">
        <v>42964.648611111108</v>
      </c>
      <c r="F1775" s="157">
        <v>42978.90625</v>
      </c>
      <c r="G1775" s="98">
        <v>525</v>
      </c>
      <c r="H1775" s="98">
        <v>528</v>
      </c>
      <c r="I1775" s="98">
        <v>479</v>
      </c>
      <c r="J1775" s="98" t="s">
        <v>2082</v>
      </c>
      <c r="K1775" s="98" t="s">
        <v>4734</v>
      </c>
      <c r="L1775" s="105" t="str">
        <f t="shared" si="300"/>
        <v>Ghent</v>
      </c>
      <c r="M1775" s="105" t="str">
        <f t="shared" si="301"/>
        <v>Derate</v>
      </c>
      <c r="N1775" s="105" t="str">
        <f t="shared" si="302"/>
        <v>Coal</v>
      </c>
      <c r="O1775" s="105">
        <f>IFERROR(VLOOKUP(A1775,Lookup!$J$5:$P$19,7,FALSE),0)</f>
        <v>3</v>
      </c>
      <c r="P1775" s="159">
        <f t="shared" si="303"/>
        <v>2017</v>
      </c>
      <c r="Q1775" s="159">
        <f t="shared" si="304"/>
        <v>8</v>
      </c>
      <c r="R1775" s="160">
        <f t="shared" si="305"/>
        <v>342.18333333340706</v>
      </c>
      <c r="S1775" s="158">
        <f t="shared" si="306"/>
        <v>1.9442234848489037</v>
      </c>
      <c r="T1775" s="161">
        <f t="shared" si="307"/>
        <v>931.28304924262488</v>
      </c>
      <c r="U1775" s="158">
        <f t="shared" si="308"/>
        <v>2.7215909090909092</v>
      </c>
      <c r="V1775" s="160">
        <f t="shared" si="309"/>
        <v>3</v>
      </c>
    </row>
    <row r="1776" spans="1:22" x14ac:dyDescent="0.25">
      <c r="A1776" s="98" t="s">
        <v>30</v>
      </c>
      <c r="B1776" s="98" t="s">
        <v>20</v>
      </c>
      <c r="C1776" s="98">
        <v>15</v>
      </c>
      <c r="D1776" s="98">
        <v>1040</v>
      </c>
      <c r="E1776" s="157">
        <v>42978.90625</v>
      </c>
      <c r="F1776" s="157">
        <v>42979.806944444441</v>
      </c>
      <c r="G1776" s="98">
        <v>0</v>
      </c>
      <c r="H1776" s="98">
        <v>528</v>
      </c>
      <c r="I1776" s="98">
        <v>479</v>
      </c>
      <c r="J1776" s="98" t="s">
        <v>2001</v>
      </c>
      <c r="K1776" s="98" t="s">
        <v>4735</v>
      </c>
      <c r="L1776" s="105" t="str">
        <f t="shared" si="300"/>
        <v>Ghent</v>
      </c>
      <c r="M1776" s="105" t="str">
        <f t="shared" si="301"/>
        <v>Maintenance</v>
      </c>
      <c r="N1776" s="105" t="str">
        <f t="shared" si="302"/>
        <v>Coal</v>
      </c>
      <c r="O1776" s="105">
        <f>IFERROR(VLOOKUP(A1776,Lookup!$J$5:$P$19,7,FALSE),0)</f>
        <v>3</v>
      </c>
      <c r="P1776" s="159">
        <f t="shared" si="303"/>
        <v>2017</v>
      </c>
      <c r="Q1776" s="159">
        <f t="shared" si="304"/>
        <v>8</v>
      </c>
      <c r="R1776" s="160">
        <f t="shared" si="305"/>
        <v>21.616666666581295</v>
      </c>
      <c r="S1776" s="158">
        <f t="shared" si="306"/>
        <v>21.616666666581295</v>
      </c>
      <c r="T1776" s="161">
        <f t="shared" si="307"/>
        <v>10354.383333292441</v>
      </c>
      <c r="U1776" s="158">
        <f t="shared" si="308"/>
        <v>479</v>
      </c>
      <c r="V1776" s="160">
        <f t="shared" si="309"/>
        <v>479</v>
      </c>
    </row>
    <row r="1777" spans="1:22" x14ac:dyDescent="0.25">
      <c r="A1777" s="98" t="s">
        <v>30</v>
      </c>
      <c r="B1777" s="98" t="s">
        <v>17</v>
      </c>
      <c r="C1777" s="98">
        <v>17</v>
      </c>
      <c r="D1777" s="98">
        <v>3441</v>
      </c>
      <c r="E1777" s="157">
        <v>42990.213194444441</v>
      </c>
      <c r="F1777" s="157">
        <v>42990.250694444447</v>
      </c>
      <c r="G1777" s="98">
        <v>460</v>
      </c>
      <c r="H1777" s="98">
        <v>528</v>
      </c>
      <c r="I1777" s="98">
        <v>479</v>
      </c>
      <c r="J1777" s="98" t="s">
        <v>2282</v>
      </c>
      <c r="K1777" s="98" t="s">
        <v>4736</v>
      </c>
      <c r="L1777" s="105" t="str">
        <f t="shared" si="300"/>
        <v>Ghent</v>
      </c>
      <c r="M1777" s="105" t="str">
        <f t="shared" si="301"/>
        <v>Derate</v>
      </c>
      <c r="N1777" s="105" t="str">
        <f t="shared" si="302"/>
        <v>Coal</v>
      </c>
      <c r="O1777" s="105">
        <f>IFERROR(VLOOKUP(A1777,Lookup!$J$5:$P$19,7,FALSE),0)</f>
        <v>3</v>
      </c>
      <c r="P1777" s="159">
        <f t="shared" si="303"/>
        <v>2017</v>
      </c>
      <c r="Q1777" s="159">
        <f t="shared" si="304"/>
        <v>9</v>
      </c>
      <c r="R1777" s="160">
        <f t="shared" si="305"/>
        <v>0.90000000013969839</v>
      </c>
      <c r="S1777" s="158">
        <f t="shared" si="306"/>
        <v>0.11590909092708236</v>
      </c>
      <c r="T1777" s="161">
        <f t="shared" si="307"/>
        <v>55.520454554072451</v>
      </c>
      <c r="U1777" s="158">
        <f t="shared" si="308"/>
        <v>61.689393939393938</v>
      </c>
      <c r="V1777" s="160">
        <f t="shared" si="309"/>
        <v>62</v>
      </c>
    </row>
    <row r="1778" spans="1:22" x14ac:dyDescent="0.25">
      <c r="A1778" s="98" t="s">
        <v>30</v>
      </c>
      <c r="B1778" s="98" t="s">
        <v>32</v>
      </c>
      <c r="C1778" s="98">
        <v>18</v>
      </c>
      <c r="D1778" s="98">
        <v>320</v>
      </c>
      <c r="E1778" s="157">
        <v>43000</v>
      </c>
      <c r="F1778" s="157">
        <v>43000.067361111112</v>
      </c>
      <c r="G1778" s="98">
        <v>450</v>
      </c>
      <c r="H1778" s="98">
        <v>528</v>
      </c>
      <c r="I1778" s="98">
        <v>479</v>
      </c>
      <c r="J1778" s="98" t="s">
        <v>1992</v>
      </c>
      <c r="K1778" s="98" t="s">
        <v>4737</v>
      </c>
      <c r="L1778" s="105" t="str">
        <f t="shared" si="300"/>
        <v>Ghent</v>
      </c>
      <c r="M1778" s="105" t="str">
        <f t="shared" si="301"/>
        <v>Derate</v>
      </c>
      <c r="N1778" s="105" t="str">
        <f t="shared" si="302"/>
        <v>Coal</v>
      </c>
      <c r="O1778" s="105">
        <f>IFERROR(VLOOKUP(A1778,Lookup!$J$5:$P$19,7,FALSE),0)</f>
        <v>3</v>
      </c>
      <c r="P1778" s="159">
        <f t="shared" si="303"/>
        <v>2017</v>
      </c>
      <c r="Q1778" s="159">
        <f t="shared" si="304"/>
        <v>9</v>
      </c>
      <c r="R1778" s="160">
        <f t="shared" si="305"/>
        <v>1.6166666666977108</v>
      </c>
      <c r="S1778" s="158">
        <f t="shared" si="306"/>
        <v>0.23882575758034363</v>
      </c>
      <c r="T1778" s="161">
        <f t="shared" si="307"/>
        <v>114.3975378809846</v>
      </c>
      <c r="U1778" s="158">
        <f t="shared" si="308"/>
        <v>70.76136363636364</v>
      </c>
      <c r="V1778" s="160">
        <f t="shared" si="309"/>
        <v>71</v>
      </c>
    </row>
    <row r="1779" spans="1:22" x14ac:dyDescent="0.25">
      <c r="A1779" s="98" t="s">
        <v>30</v>
      </c>
      <c r="B1779" s="98" t="s">
        <v>17</v>
      </c>
      <c r="C1779" s="98">
        <v>19</v>
      </c>
      <c r="D1779" s="98">
        <v>320</v>
      </c>
      <c r="E1779" s="157">
        <v>43005.243055555555</v>
      </c>
      <c r="F1779" s="157">
        <v>43005.382638888892</v>
      </c>
      <c r="G1779" s="98">
        <v>420</v>
      </c>
      <c r="H1779" s="98">
        <v>528</v>
      </c>
      <c r="I1779" s="98">
        <v>479</v>
      </c>
      <c r="J1779" s="98" t="s">
        <v>1992</v>
      </c>
      <c r="K1779" s="98" t="s">
        <v>4738</v>
      </c>
      <c r="L1779" s="105" t="str">
        <f t="shared" si="300"/>
        <v>Ghent</v>
      </c>
      <c r="M1779" s="105" t="str">
        <f t="shared" si="301"/>
        <v>Derate</v>
      </c>
      <c r="N1779" s="105" t="str">
        <f t="shared" si="302"/>
        <v>Coal</v>
      </c>
      <c r="O1779" s="105">
        <f>IFERROR(VLOOKUP(A1779,Lookup!$J$5:$P$19,7,FALSE),0)</f>
        <v>3</v>
      </c>
      <c r="P1779" s="159">
        <f t="shared" si="303"/>
        <v>2017</v>
      </c>
      <c r="Q1779" s="159">
        <f t="shared" si="304"/>
        <v>9</v>
      </c>
      <c r="R1779" s="160">
        <f t="shared" si="305"/>
        <v>3.3500000000931323</v>
      </c>
      <c r="S1779" s="158">
        <f t="shared" si="306"/>
        <v>0.68522727274632256</v>
      </c>
      <c r="T1779" s="161">
        <f t="shared" si="307"/>
        <v>328.22386364548851</v>
      </c>
      <c r="U1779" s="158">
        <f t="shared" si="308"/>
        <v>97.977272727272734</v>
      </c>
      <c r="V1779" s="160">
        <f t="shared" si="309"/>
        <v>98</v>
      </c>
    </row>
    <row r="1780" spans="1:22" x14ac:dyDescent="0.25">
      <c r="A1780" s="98" t="s">
        <v>30</v>
      </c>
      <c r="B1780" s="98" t="s">
        <v>38</v>
      </c>
      <c r="C1780" s="98">
        <v>20</v>
      </c>
      <c r="D1780" s="98">
        <v>1801</v>
      </c>
      <c r="E1780" s="157">
        <v>43021.867361111108</v>
      </c>
      <c r="F1780" s="157">
        <v>43052</v>
      </c>
      <c r="G1780" s="98">
        <v>0</v>
      </c>
      <c r="H1780" s="98">
        <v>528</v>
      </c>
      <c r="I1780" s="98">
        <v>479</v>
      </c>
      <c r="J1780" s="98" t="s">
        <v>2021</v>
      </c>
      <c r="K1780" s="98" t="s">
        <v>4739</v>
      </c>
      <c r="L1780" s="105" t="str">
        <f t="shared" si="300"/>
        <v>Ghent</v>
      </c>
      <c r="M1780" s="105" t="str">
        <f t="shared" si="301"/>
        <v>Other</v>
      </c>
      <c r="N1780" s="105" t="str">
        <f t="shared" si="302"/>
        <v>Coal</v>
      </c>
      <c r="O1780" s="105">
        <f>IFERROR(VLOOKUP(A1780,Lookup!$J$5:$P$19,7,FALSE),0)</f>
        <v>3</v>
      </c>
      <c r="P1780" s="159">
        <f t="shared" si="303"/>
        <v>2017</v>
      </c>
      <c r="Q1780" s="159">
        <f t="shared" si="304"/>
        <v>10</v>
      </c>
      <c r="R1780" s="160">
        <f t="shared" si="305"/>
        <v>723.18333333340706</v>
      </c>
      <c r="S1780" s="158">
        <f t="shared" si="306"/>
        <v>723.18333333340706</v>
      </c>
      <c r="T1780" s="161">
        <f t="shared" si="307"/>
        <v>346404.81666670198</v>
      </c>
      <c r="U1780" s="158">
        <f t="shared" si="308"/>
        <v>479</v>
      </c>
      <c r="V1780" s="160">
        <f t="shared" si="309"/>
        <v>479</v>
      </c>
    </row>
    <row r="1781" spans="1:22" x14ac:dyDescent="0.25">
      <c r="A1781" s="98" t="s">
        <v>30</v>
      </c>
      <c r="B1781" s="98" t="s">
        <v>121</v>
      </c>
      <c r="C1781" s="98">
        <v>21</v>
      </c>
      <c r="D1781" s="98">
        <v>1801</v>
      </c>
      <c r="E1781" s="157">
        <v>43052</v>
      </c>
      <c r="F1781" s="157">
        <v>43054.421527777777</v>
      </c>
      <c r="G1781" s="98">
        <v>0</v>
      </c>
      <c r="H1781" s="98">
        <v>528</v>
      </c>
      <c r="I1781" s="98">
        <v>479</v>
      </c>
      <c r="J1781" s="98" t="s">
        <v>2021</v>
      </c>
      <c r="K1781" s="98" t="s">
        <v>4740</v>
      </c>
      <c r="L1781" s="105" t="str">
        <f t="shared" si="300"/>
        <v>Ghent</v>
      </c>
      <c r="M1781" s="105" t="str">
        <f t="shared" si="301"/>
        <v>Other</v>
      </c>
      <c r="N1781" s="105" t="str">
        <f t="shared" si="302"/>
        <v>Coal</v>
      </c>
      <c r="O1781" s="105">
        <f>IFERROR(VLOOKUP(A1781,Lookup!$J$5:$P$19,7,FALSE),0)</f>
        <v>3</v>
      </c>
      <c r="P1781" s="159">
        <f t="shared" si="303"/>
        <v>2017</v>
      </c>
      <c r="Q1781" s="159">
        <f t="shared" si="304"/>
        <v>11</v>
      </c>
      <c r="R1781" s="160">
        <f t="shared" si="305"/>
        <v>58.116666666639503</v>
      </c>
      <c r="S1781" s="158">
        <f t="shared" si="306"/>
        <v>58.116666666639503</v>
      </c>
      <c r="T1781" s="161">
        <f t="shared" si="307"/>
        <v>27837.883333320322</v>
      </c>
      <c r="U1781" s="158">
        <f t="shared" si="308"/>
        <v>479</v>
      </c>
      <c r="V1781" s="160">
        <f t="shared" si="309"/>
        <v>479</v>
      </c>
    </row>
    <row r="1782" spans="1:22" x14ac:dyDescent="0.25">
      <c r="A1782" s="98" t="s">
        <v>30</v>
      </c>
      <c r="B1782" s="98" t="s">
        <v>18</v>
      </c>
      <c r="C1782" s="98">
        <v>24</v>
      </c>
      <c r="D1782" s="98">
        <v>800</v>
      </c>
      <c r="E1782" s="157">
        <v>43054.421527777777</v>
      </c>
      <c r="F1782" s="157">
        <v>43054.897222222222</v>
      </c>
      <c r="G1782" s="98">
        <v>0</v>
      </c>
      <c r="H1782" s="98">
        <v>528</v>
      </c>
      <c r="I1782" s="98">
        <v>479</v>
      </c>
      <c r="J1782" s="98" t="s">
        <v>2197</v>
      </c>
      <c r="K1782" s="98" t="s">
        <v>4741</v>
      </c>
      <c r="L1782" s="105" t="str">
        <f t="shared" si="300"/>
        <v>Ghent</v>
      </c>
      <c r="M1782" s="105" t="str">
        <f t="shared" si="301"/>
        <v>Outage</v>
      </c>
      <c r="N1782" s="105" t="str">
        <f t="shared" si="302"/>
        <v>Coal</v>
      </c>
      <c r="O1782" s="105">
        <f>IFERROR(VLOOKUP(A1782,Lookup!$J$5:$P$19,7,FALSE),0)</f>
        <v>3</v>
      </c>
      <c r="P1782" s="159">
        <f t="shared" si="303"/>
        <v>2017</v>
      </c>
      <c r="Q1782" s="159">
        <f t="shared" si="304"/>
        <v>11</v>
      </c>
      <c r="R1782" s="160">
        <f t="shared" si="305"/>
        <v>11.416666666686069</v>
      </c>
      <c r="S1782" s="158">
        <f t="shared" si="306"/>
        <v>11.416666666686069</v>
      </c>
      <c r="T1782" s="161">
        <f t="shared" si="307"/>
        <v>5468.5833333426272</v>
      </c>
      <c r="U1782" s="158">
        <f t="shared" si="308"/>
        <v>479</v>
      </c>
      <c r="V1782" s="160">
        <f t="shared" si="309"/>
        <v>479</v>
      </c>
    </row>
    <row r="1783" spans="1:22" x14ac:dyDescent="0.25">
      <c r="A1783" s="98" t="s">
        <v>30</v>
      </c>
      <c r="B1783" s="98" t="s">
        <v>17</v>
      </c>
      <c r="C1783" s="98">
        <v>22</v>
      </c>
      <c r="D1783" s="98">
        <v>1140</v>
      </c>
      <c r="E1783" s="157">
        <v>43058.397222222222</v>
      </c>
      <c r="F1783" s="157">
        <v>43058.441666666666</v>
      </c>
      <c r="G1783" s="98">
        <v>200</v>
      </c>
      <c r="H1783" s="98">
        <v>528</v>
      </c>
      <c r="I1783" s="98">
        <v>479</v>
      </c>
      <c r="J1783" s="98" t="s">
        <v>2044</v>
      </c>
      <c r="K1783" s="98" t="s">
        <v>4742</v>
      </c>
      <c r="L1783" s="105" t="str">
        <f t="shared" si="300"/>
        <v>Ghent</v>
      </c>
      <c r="M1783" s="105" t="str">
        <f t="shared" si="301"/>
        <v>Derate</v>
      </c>
      <c r="N1783" s="105" t="str">
        <f t="shared" si="302"/>
        <v>Coal</v>
      </c>
      <c r="O1783" s="105">
        <f>IFERROR(VLOOKUP(A1783,Lookup!$J$5:$P$19,7,FALSE),0)</f>
        <v>3</v>
      </c>
      <c r="P1783" s="159">
        <f t="shared" si="303"/>
        <v>2017</v>
      </c>
      <c r="Q1783" s="159">
        <f t="shared" si="304"/>
        <v>11</v>
      </c>
      <c r="R1783" s="160">
        <f t="shared" si="305"/>
        <v>1.0666666666511446</v>
      </c>
      <c r="S1783" s="158">
        <f t="shared" si="306"/>
        <v>0.66262626261662017</v>
      </c>
      <c r="T1783" s="161">
        <f t="shared" si="307"/>
        <v>317.39797979336106</v>
      </c>
      <c r="U1783" s="158">
        <f t="shared" si="308"/>
        <v>297.56060606060606</v>
      </c>
      <c r="V1783" s="160">
        <f t="shared" si="309"/>
        <v>298</v>
      </c>
    </row>
    <row r="1784" spans="1:22" x14ac:dyDescent="0.25">
      <c r="A1784" s="98" t="s">
        <v>30</v>
      </c>
      <c r="B1784" s="98" t="s">
        <v>15</v>
      </c>
      <c r="C1784" s="98">
        <v>23</v>
      </c>
      <c r="D1784" s="98">
        <v>1040</v>
      </c>
      <c r="E1784" s="157">
        <v>43058.441666666666</v>
      </c>
      <c r="F1784" s="157">
        <v>43062.010416666664</v>
      </c>
      <c r="G1784" s="98">
        <v>0</v>
      </c>
      <c r="H1784" s="98">
        <v>528</v>
      </c>
      <c r="I1784" s="98">
        <v>479</v>
      </c>
      <c r="J1784" s="98" t="s">
        <v>2001</v>
      </c>
      <c r="K1784" s="98" t="s">
        <v>4743</v>
      </c>
      <c r="L1784" s="105" t="str">
        <f t="shared" si="300"/>
        <v>Ghent</v>
      </c>
      <c r="M1784" s="105" t="str">
        <f t="shared" si="301"/>
        <v>Outage</v>
      </c>
      <c r="N1784" s="105" t="str">
        <f t="shared" si="302"/>
        <v>Coal</v>
      </c>
      <c r="O1784" s="105">
        <f>IFERROR(VLOOKUP(A1784,Lookup!$J$5:$P$19,7,FALSE),0)</f>
        <v>3</v>
      </c>
      <c r="P1784" s="159">
        <f t="shared" si="303"/>
        <v>2017</v>
      </c>
      <c r="Q1784" s="159">
        <f t="shared" si="304"/>
        <v>11</v>
      </c>
      <c r="R1784" s="160">
        <f t="shared" si="305"/>
        <v>85.649999999965075</v>
      </c>
      <c r="S1784" s="158">
        <f t="shared" si="306"/>
        <v>85.649999999965075</v>
      </c>
      <c r="T1784" s="161">
        <f t="shared" si="307"/>
        <v>41026.349999983271</v>
      </c>
      <c r="U1784" s="158">
        <f t="shared" si="308"/>
        <v>479</v>
      </c>
      <c r="V1784" s="160">
        <f t="shared" si="309"/>
        <v>479</v>
      </c>
    </row>
    <row r="1785" spans="1:22" x14ac:dyDescent="0.25">
      <c r="A1785" s="98" t="s">
        <v>30</v>
      </c>
      <c r="B1785" s="98" t="s">
        <v>17</v>
      </c>
      <c r="C1785" s="98">
        <v>25</v>
      </c>
      <c r="D1785" s="98">
        <v>1455</v>
      </c>
      <c r="E1785" s="157">
        <v>43074.423611111109</v>
      </c>
      <c r="F1785" s="157">
        <v>43074.47152777778</v>
      </c>
      <c r="G1785" s="98">
        <v>450</v>
      </c>
      <c r="H1785" s="98">
        <v>528</v>
      </c>
      <c r="I1785" s="98">
        <v>479</v>
      </c>
      <c r="J1785" s="98" t="s">
        <v>1990</v>
      </c>
      <c r="K1785" s="98" t="s">
        <v>4744</v>
      </c>
      <c r="L1785" s="105" t="str">
        <f t="shared" si="300"/>
        <v>Ghent</v>
      </c>
      <c r="M1785" s="105" t="str">
        <f t="shared" si="301"/>
        <v>Derate</v>
      </c>
      <c r="N1785" s="105" t="str">
        <f t="shared" si="302"/>
        <v>Coal</v>
      </c>
      <c r="O1785" s="105">
        <f>IFERROR(VLOOKUP(A1785,Lookup!$J$5:$P$19,7,FALSE),0)</f>
        <v>3</v>
      </c>
      <c r="P1785" s="159">
        <f t="shared" si="303"/>
        <v>2017</v>
      </c>
      <c r="Q1785" s="159">
        <f t="shared" si="304"/>
        <v>12</v>
      </c>
      <c r="R1785" s="160">
        <f t="shared" si="305"/>
        <v>1.1500000000814907</v>
      </c>
      <c r="S1785" s="158">
        <f t="shared" si="306"/>
        <v>0.16988636364840204</v>
      </c>
      <c r="T1785" s="161">
        <f t="shared" si="307"/>
        <v>81.375568187584577</v>
      </c>
      <c r="U1785" s="158">
        <f t="shared" si="308"/>
        <v>70.76136363636364</v>
      </c>
      <c r="V1785" s="160">
        <f t="shared" si="309"/>
        <v>71</v>
      </c>
    </row>
    <row r="1786" spans="1:22" x14ac:dyDescent="0.25">
      <c r="A1786" s="98" t="s">
        <v>30</v>
      </c>
      <c r="B1786" s="98" t="s">
        <v>32</v>
      </c>
      <c r="C1786" s="98">
        <v>1</v>
      </c>
      <c r="D1786" s="98">
        <v>920</v>
      </c>
      <c r="E1786" s="157">
        <v>43105.861111111109</v>
      </c>
      <c r="F1786" s="157">
        <v>43105.96875</v>
      </c>
      <c r="G1786" s="98">
        <v>240</v>
      </c>
      <c r="H1786" s="98">
        <v>528</v>
      </c>
      <c r="I1786" s="98">
        <v>479</v>
      </c>
      <c r="J1786" s="98" t="s">
        <v>1974</v>
      </c>
      <c r="K1786" s="98" t="s">
        <v>4745</v>
      </c>
      <c r="L1786" s="105" t="str">
        <f t="shared" si="300"/>
        <v>Ghent</v>
      </c>
      <c r="M1786" s="105" t="str">
        <f t="shared" si="301"/>
        <v>Derate</v>
      </c>
      <c r="N1786" s="105" t="str">
        <f t="shared" si="302"/>
        <v>Coal</v>
      </c>
      <c r="O1786" s="105">
        <f>IFERROR(VLOOKUP(A1786,Lookup!$J$5:$P$19,7,FALSE),0)</f>
        <v>3</v>
      </c>
      <c r="P1786" s="159">
        <f t="shared" si="303"/>
        <v>2018</v>
      </c>
      <c r="Q1786" s="159">
        <f t="shared" si="304"/>
        <v>1</v>
      </c>
      <c r="R1786" s="160">
        <f t="shared" si="305"/>
        <v>2.5833333333721384</v>
      </c>
      <c r="S1786" s="158">
        <f t="shared" si="306"/>
        <v>1.4090909091120756</v>
      </c>
      <c r="T1786" s="161">
        <f t="shared" si="307"/>
        <v>674.9545454646842</v>
      </c>
      <c r="U1786" s="158">
        <f t="shared" si="308"/>
        <v>261.27272727272725</v>
      </c>
      <c r="V1786" s="160">
        <f t="shared" si="309"/>
        <v>261</v>
      </c>
    </row>
    <row r="1787" spans="1:22" x14ac:dyDescent="0.25">
      <c r="A1787" s="98" t="s">
        <v>30</v>
      </c>
      <c r="B1787" s="98" t="s">
        <v>20</v>
      </c>
      <c r="C1787" s="98">
        <v>3</v>
      </c>
      <c r="D1787" s="98">
        <v>550</v>
      </c>
      <c r="E1787" s="157">
        <v>43155.323611111111</v>
      </c>
      <c r="F1787" s="157">
        <v>43155.751388888886</v>
      </c>
      <c r="G1787" s="98">
        <v>0</v>
      </c>
      <c r="H1787" s="98">
        <v>528</v>
      </c>
      <c r="I1787" s="98">
        <v>479</v>
      </c>
      <c r="J1787" s="98" t="s">
        <v>2373</v>
      </c>
      <c r="K1787" s="98" t="s">
        <v>4746</v>
      </c>
      <c r="L1787" s="105" t="str">
        <f t="shared" si="300"/>
        <v>Ghent</v>
      </c>
      <c r="M1787" s="105" t="str">
        <f t="shared" si="301"/>
        <v>Maintenance</v>
      </c>
      <c r="N1787" s="105" t="str">
        <f t="shared" si="302"/>
        <v>Coal</v>
      </c>
      <c r="O1787" s="105">
        <f>IFERROR(VLOOKUP(A1787,Lookup!$J$5:$P$19,7,FALSE),0)</f>
        <v>3</v>
      </c>
      <c r="P1787" s="159">
        <f t="shared" si="303"/>
        <v>2018</v>
      </c>
      <c r="Q1787" s="159">
        <f t="shared" si="304"/>
        <v>2</v>
      </c>
      <c r="R1787" s="160">
        <f t="shared" si="305"/>
        <v>10.266666666604578</v>
      </c>
      <c r="S1787" s="158">
        <f t="shared" si="306"/>
        <v>10.266666666604578</v>
      </c>
      <c r="T1787" s="161">
        <f t="shared" si="307"/>
        <v>4917.7333333035931</v>
      </c>
      <c r="U1787" s="158">
        <f t="shared" si="308"/>
        <v>479</v>
      </c>
      <c r="V1787" s="160">
        <f t="shared" si="309"/>
        <v>479</v>
      </c>
    </row>
    <row r="1788" spans="1:22" x14ac:dyDescent="0.25">
      <c r="A1788" s="98" t="s">
        <v>30</v>
      </c>
      <c r="B1788" s="98" t="s">
        <v>15</v>
      </c>
      <c r="C1788" s="98">
        <v>5</v>
      </c>
      <c r="D1788" s="98">
        <v>3220</v>
      </c>
      <c r="E1788" s="157">
        <v>43162.479166666664</v>
      </c>
      <c r="F1788" s="157">
        <v>43163.140277777777</v>
      </c>
      <c r="G1788" s="98">
        <v>0</v>
      </c>
      <c r="H1788" s="98">
        <v>528</v>
      </c>
      <c r="I1788" s="98">
        <v>479</v>
      </c>
      <c r="J1788" s="98" t="s">
        <v>2301</v>
      </c>
      <c r="K1788" s="98" t="s">
        <v>4747</v>
      </c>
      <c r="L1788" s="105" t="str">
        <f t="shared" si="300"/>
        <v>Ghent</v>
      </c>
      <c r="M1788" s="105" t="str">
        <f t="shared" si="301"/>
        <v>Outage</v>
      </c>
      <c r="N1788" s="105" t="str">
        <f t="shared" si="302"/>
        <v>Coal</v>
      </c>
      <c r="O1788" s="105">
        <f>IFERROR(VLOOKUP(A1788,Lookup!$J$5:$P$19,7,FALSE),0)</f>
        <v>3</v>
      </c>
      <c r="P1788" s="159">
        <f t="shared" si="303"/>
        <v>2018</v>
      </c>
      <c r="Q1788" s="159">
        <f t="shared" si="304"/>
        <v>3</v>
      </c>
      <c r="R1788" s="160">
        <f t="shared" si="305"/>
        <v>15.866666666697711</v>
      </c>
      <c r="S1788" s="158">
        <f t="shared" si="306"/>
        <v>15.866666666697711</v>
      </c>
      <c r="T1788" s="161">
        <f t="shared" si="307"/>
        <v>7600.1333333482035</v>
      </c>
      <c r="U1788" s="158">
        <f t="shared" si="308"/>
        <v>479</v>
      </c>
      <c r="V1788" s="160">
        <f t="shared" si="309"/>
        <v>479</v>
      </c>
    </row>
    <row r="1789" spans="1:22" x14ac:dyDescent="0.25">
      <c r="A1789" s="98" t="s">
        <v>30</v>
      </c>
      <c r="B1789" s="98" t="s">
        <v>17</v>
      </c>
      <c r="C1789" s="98">
        <v>6</v>
      </c>
      <c r="D1789" s="98">
        <v>1457</v>
      </c>
      <c r="E1789" s="157">
        <v>43185.366666666669</v>
      </c>
      <c r="F1789" s="157">
        <v>43185.49722222222</v>
      </c>
      <c r="G1789" s="98">
        <v>450</v>
      </c>
      <c r="H1789" s="98">
        <v>528</v>
      </c>
      <c r="I1789" s="98">
        <v>479</v>
      </c>
      <c r="J1789" s="98" t="s">
        <v>2292</v>
      </c>
      <c r="K1789" s="98" t="s">
        <v>4748</v>
      </c>
      <c r="L1789" s="105" t="str">
        <f t="shared" si="300"/>
        <v>Ghent</v>
      </c>
      <c r="M1789" s="105" t="str">
        <f t="shared" si="301"/>
        <v>Derate</v>
      </c>
      <c r="N1789" s="105" t="str">
        <f t="shared" si="302"/>
        <v>Coal</v>
      </c>
      <c r="O1789" s="105">
        <f>IFERROR(VLOOKUP(A1789,Lookup!$J$5:$P$19,7,FALSE),0)</f>
        <v>3</v>
      </c>
      <c r="P1789" s="159">
        <f t="shared" si="303"/>
        <v>2018</v>
      </c>
      <c r="Q1789" s="159">
        <f t="shared" si="304"/>
        <v>3</v>
      </c>
      <c r="R1789" s="160">
        <f t="shared" si="305"/>
        <v>3.1333333332440816</v>
      </c>
      <c r="S1789" s="158">
        <f t="shared" si="306"/>
        <v>0.46287878786560294</v>
      </c>
      <c r="T1789" s="161">
        <f t="shared" si="307"/>
        <v>221.71893938762381</v>
      </c>
      <c r="U1789" s="158">
        <f t="shared" si="308"/>
        <v>70.76136363636364</v>
      </c>
      <c r="V1789" s="160">
        <f t="shared" si="309"/>
        <v>71</v>
      </c>
    </row>
    <row r="1790" spans="1:22" x14ac:dyDescent="0.25">
      <c r="A1790" s="98" t="s">
        <v>30</v>
      </c>
      <c r="B1790" s="98" t="s">
        <v>17</v>
      </c>
      <c r="C1790" s="98">
        <v>7</v>
      </c>
      <c r="D1790" s="98">
        <v>3412</v>
      </c>
      <c r="E1790" s="157">
        <v>43219.302083333336</v>
      </c>
      <c r="F1790" s="157">
        <v>43219.320138888892</v>
      </c>
      <c r="G1790" s="98">
        <v>155</v>
      </c>
      <c r="H1790" s="98">
        <v>528</v>
      </c>
      <c r="I1790" s="98">
        <v>479</v>
      </c>
      <c r="J1790" s="98" t="s">
        <v>2162</v>
      </c>
      <c r="K1790" s="98" t="s">
        <v>4749</v>
      </c>
      <c r="L1790" s="105" t="str">
        <f t="shared" si="300"/>
        <v>Ghent</v>
      </c>
      <c r="M1790" s="105" t="str">
        <f t="shared" si="301"/>
        <v>Derate</v>
      </c>
      <c r="N1790" s="105" t="str">
        <f t="shared" si="302"/>
        <v>Coal</v>
      </c>
      <c r="O1790" s="105">
        <f>IFERROR(VLOOKUP(A1790,Lookup!$J$5:$P$19,7,FALSE),0)</f>
        <v>3</v>
      </c>
      <c r="P1790" s="159">
        <f t="shared" si="303"/>
        <v>2018</v>
      </c>
      <c r="Q1790" s="159">
        <f t="shared" si="304"/>
        <v>4</v>
      </c>
      <c r="R1790" s="160">
        <f t="shared" si="305"/>
        <v>0.43333333334885538</v>
      </c>
      <c r="S1790" s="158">
        <f t="shared" si="306"/>
        <v>0.30612373738470278</v>
      </c>
      <c r="T1790" s="161">
        <f t="shared" si="307"/>
        <v>146.63327020727263</v>
      </c>
      <c r="U1790" s="158">
        <f t="shared" si="308"/>
        <v>338.38446969696969</v>
      </c>
      <c r="V1790" s="160">
        <f t="shared" si="309"/>
        <v>338</v>
      </c>
    </row>
    <row r="1791" spans="1:22" x14ac:dyDescent="0.25">
      <c r="A1791" s="98" t="s">
        <v>30</v>
      </c>
      <c r="B1791" s="98" t="s">
        <v>15</v>
      </c>
      <c r="C1791" s="98">
        <v>8</v>
      </c>
      <c r="D1791" s="98">
        <v>3412</v>
      </c>
      <c r="E1791" s="157">
        <v>43219.320138888892</v>
      </c>
      <c r="F1791" s="157">
        <v>43219.404861111114</v>
      </c>
      <c r="G1791" s="98">
        <v>0</v>
      </c>
      <c r="H1791" s="98">
        <v>528</v>
      </c>
      <c r="I1791" s="98">
        <v>479</v>
      </c>
      <c r="J1791" s="98" t="s">
        <v>2162</v>
      </c>
      <c r="K1791" s="98" t="s">
        <v>4750</v>
      </c>
      <c r="L1791" s="105" t="str">
        <f t="shared" si="300"/>
        <v>Ghent</v>
      </c>
      <c r="M1791" s="105" t="str">
        <f t="shared" si="301"/>
        <v>Outage</v>
      </c>
      <c r="N1791" s="105" t="str">
        <f t="shared" si="302"/>
        <v>Coal</v>
      </c>
      <c r="O1791" s="105">
        <f>IFERROR(VLOOKUP(A1791,Lookup!$J$5:$P$19,7,FALSE),0)</f>
        <v>3</v>
      </c>
      <c r="P1791" s="159">
        <f t="shared" si="303"/>
        <v>2018</v>
      </c>
      <c r="Q1791" s="159">
        <f t="shared" si="304"/>
        <v>4</v>
      </c>
      <c r="R1791" s="160">
        <f t="shared" si="305"/>
        <v>2.0333333333255723</v>
      </c>
      <c r="S1791" s="158">
        <f t="shared" si="306"/>
        <v>2.0333333333255723</v>
      </c>
      <c r="T1791" s="161">
        <f t="shared" si="307"/>
        <v>973.96666666294914</v>
      </c>
      <c r="U1791" s="158">
        <f t="shared" si="308"/>
        <v>479</v>
      </c>
      <c r="V1791" s="160">
        <f t="shared" si="309"/>
        <v>479</v>
      </c>
    </row>
    <row r="1792" spans="1:22" x14ac:dyDescent="0.25">
      <c r="A1792" s="98" t="s">
        <v>24</v>
      </c>
      <c r="B1792" s="98" t="s">
        <v>20</v>
      </c>
      <c r="C1792" s="98">
        <v>1</v>
      </c>
      <c r="D1792" s="98">
        <v>1455</v>
      </c>
      <c r="E1792" s="157">
        <v>41275</v>
      </c>
      <c r="F1792" s="157">
        <v>41283.205555555556</v>
      </c>
      <c r="G1792" s="98">
        <v>0</v>
      </c>
      <c r="H1792" s="98">
        <v>525</v>
      </c>
      <c r="I1792" s="98">
        <v>478</v>
      </c>
      <c r="J1792" s="98" t="s">
        <v>1990</v>
      </c>
      <c r="K1792" s="98" t="s">
        <v>525</v>
      </c>
      <c r="L1792" s="105" t="str">
        <f t="shared" si="300"/>
        <v>Ghent</v>
      </c>
      <c r="M1792" s="105" t="str">
        <f t="shared" si="301"/>
        <v>Maintenance</v>
      </c>
      <c r="N1792" s="105" t="str">
        <f t="shared" si="302"/>
        <v>Coal</v>
      </c>
      <c r="O1792" s="105">
        <f>IFERROR(VLOOKUP(A1792,Lookup!$J$5:$P$19,7,FALSE),0)</f>
        <v>3</v>
      </c>
      <c r="P1792" s="159">
        <f t="shared" si="303"/>
        <v>2013</v>
      </c>
      <c r="Q1792" s="159">
        <f t="shared" si="304"/>
        <v>1</v>
      </c>
      <c r="R1792" s="160">
        <f t="shared" si="305"/>
        <v>196.93333333334886</v>
      </c>
      <c r="S1792" s="158">
        <f t="shared" si="306"/>
        <v>196.93333333334886</v>
      </c>
      <c r="T1792" s="161">
        <f t="shared" si="307"/>
        <v>94134.133333340753</v>
      </c>
      <c r="U1792" s="158">
        <f t="shared" si="308"/>
        <v>478</v>
      </c>
      <c r="V1792" s="160">
        <f t="shared" si="309"/>
        <v>478</v>
      </c>
    </row>
    <row r="1793" spans="1:22" x14ac:dyDescent="0.25">
      <c r="A1793" s="98" t="s">
        <v>24</v>
      </c>
      <c r="B1793" s="98" t="s">
        <v>17</v>
      </c>
      <c r="C1793" s="98">
        <v>3</v>
      </c>
      <c r="D1793" s="98">
        <v>1455</v>
      </c>
      <c r="E1793" s="157">
        <v>41283.3125</v>
      </c>
      <c r="F1793" s="157">
        <v>41283.64166666667</v>
      </c>
      <c r="G1793" s="98">
        <v>200</v>
      </c>
      <c r="H1793" s="98">
        <v>525</v>
      </c>
      <c r="I1793" s="98">
        <v>478</v>
      </c>
      <c r="J1793" s="98" t="s">
        <v>1990</v>
      </c>
      <c r="K1793" s="98" t="s">
        <v>526</v>
      </c>
      <c r="L1793" s="105" t="str">
        <f t="shared" si="300"/>
        <v>Ghent</v>
      </c>
      <c r="M1793" s="105" t="str">
        <f t="shared" si="301"/>
        <v>Derate</v>
      </c>
      <c r="N1793" s="105" t="str">
        <f t="shared" si="302"/>
        <v>Coal</v>
      </c>
      <c r="O1793" s="105">
        <f>IFERROR(VLOOKUP(A1793,Lookup!$J$5:$P$19,7,FALSE),0)</f>
        <v>3</v>
      </c>
      <c r="P1793" s="159">
        <f t="shared" si="303"/>
        <v>2013</v>
      </c>
      <c r="Q1793" s="159">
        <f t="shared" si="304"/>
        <v>1</v>
      </c>
      <c r="R1793" s="160">
        <f t="shared" si="305"/>
        <v>7.9000000000814907</v>
      </c>
      <c r="S1793" s="158">
        <f t="shared" si="306"/>
        <v>4.8904761905266367</v>
      </c>
      <c r="T1793" s="161">
        <f t="shared" si="307"/>
        <v>2337.6476190717322</v>
      </c>
      <c r="U1793" s="158">
        <f t="shared" si="308"/>
        <v>295.90476190476193</v>
      </c>
      <c r="V1793" s="160">
        <f t="shared" si="309"/>
        <v>296</v>
      </c>
    </row>
    <row r="1794" spans="1:22" x14ac:dyDescent="0.25">
      <c r="A1794" s="98" t="s">
        <v>24</v>
      </c>
      <c r="B1794" s="98" t="s">
        <v>17</v>
      </c>
      <c r="C1794" s="98">
        <v>4</v>
      </c>
      <c r="D1794" s="98">
        <v>1455</v>
      </c>
      <c r="E1794" s="157">
        <v>41283.64166666667</v>
      </c>
      <c r="F1794" s="157">
        <v>41283.678472222222</v>
      </c>
      <c r="G1794" s="98">
        <v>225</v>
      </c>
      <c r="H1794" s="98">
        <v>525</v>
      </c>
      <c r="I1794" s="98">
        <v>478</v>
      </c>
      <c r="J1794" s="98" t="s">
        <v>1990</v>
      </c>
      <c r="K1794" s="98" t="s">
        <v>527</v>
      </c>
      <c r="L1794" s="105" t="str">
        <f t="shared" si="300"/>
        <v>Ghent</v>
      </c>
      <c r="M1794" s="105" t="str">
        <f t="shared" si="301"/>
        <v>Derate</v>
      </c>
      <c r="N1794" s="105" t="str">
        <f t="shared" si="302"/>
        <v>Coal</v>
      </c>
      <c r="O1794" s="105">
        <f>IFERROR(VLOOKUP(A1794,Lookup!$J$5:$P$19,7,FALSE),0)</f>
        <v>3</v>
      </c>
      <c r="P1794" s="159">
        <f t="shared" si="303"/>
        <v>2013</v>
      </c>
      <c r="Q1794" s="159">
        <f t="shared" si="304"/>
        <v>1</v>
      </c>
      <c r="R1794" s="160">
        <f t="shared" si="305"/>
        <v>0.88333333324408159</v>
      </c>
      <c r="S1794" s="158">
        <f t="shared" si="306"/>
        <v>0.50476190471090376</v>
      </c>
      <c r="T1794" s="161">
        <f t="shared" si="307"/>
        <v>241.276190451812</v>
      </c>
      <c r="U1794" s="158">
        <f t="shared" si="308"/>
        <v>273.14285714285717</v>
      </c>
      <c r="V1794" s="160">
        <f t="shared" si="309"/>
        <v>273</v>
      </c>
    </row>
    <row r="1795" spans="1:22" x14ac:dyDescent="0.25">
      <c r="A1795" s="98" t="s">
        <v>24</v>
      </c>
      <c r="B1795" s="98" t="s">
        <v>17</v>
      </c>
      <c r="C1795" s="98">
        <v>5</v>
      </c>
      <c r="D1795" s="98">
        <v>1455</v>
      </c>
      <c r="E1795" s="157">
        <v>41283.678472222222</v>
      </c>
      <c r="F1795" s="157">
        <v>41283.833333333336</v>
      </c>
      <c r="G1795" s="98">
        <v>230</v>
      </c>
      <c r="H1795" s="98">
        <v>525</v>
      </c>
      <c r="I1795" s="98">
        <v>478</v>
      </c>
      <c r="J1795" s="98" t="s">
        <v>1990</v>
      </c>
      <c r="K1795" s="98" t="s">
        <v>528</v>
      </c>
      <c r="L1795" s="105" t="str">
        <f t="shared" si="300"/>
        <v>Ghent</v>
      </c>
      <c r="M1795" s="105" t="str">
        <f t="shared" si="301"/>
        <v>Derate</v>
      </c>
      <c r="N1795" s="105" t="str">
        <f t="shared" si="302"/>
        <v>Coal</v>
      </c>
      <c r="O1795" s="105">
        <f>IFERROR(VLOOKUP(A1795,Lookup!$J$5:$P$19,7,FALSE),0)</f>
        <v>3</v>
      </c>
      <c r="P1795" s="159">
        <f t="shared" si="303"/>
        <v>2013</v>
      </c>
      <c r="Q1795" s="159">
        <f t="shared" si="304"/>
        <v>1</v>
      </c>
      <c r="R1795" s="160">
        <f t="shared" si="305"/>
        <v>3.7166666667326353</v>
      </c>
      <c r="S1795" s="158">
        <f t="shared" si="306"/>
        <v>2.0884126984497664</v>
      </c>
      <c r="T1795" s="161">
        <f t="shared" si="307"/>
        <v>998.26126985898838</v>
      </c>
      <c r="U1795" s="158">
        <f t="shared" si="308"/>
        <v>268.59047619047618</v>
      </c>
      <c r="V1795" s="160">
        <f t="shared" si="309"/>
        <v>269</v>
      </c>
    </row>
    <row r="1796" spans="1:22" x14ac:dyDescent="0.25">
      <c r="A1796" s="98" t="s">
        <v>24</v>
      </c>
      <c r="B1796" s="98" t="s">
        <v>17</v>
      </c>
      <c r="C1796" s="98">
        <v>6</v>
      </c>
      <c r="D1796" s="98">
        <v>1455</v>
      </c>
      <c r="E1796" s="157">
        <v>41283.833333333336</v>
      </c>
      <c r="F1796" s="157">
        <v>41285.925694444442</v>
      </c>
      <c r="G1796" s="98">
        <v>200</v>
      </c>
      <c r="H1796" s="98">
        <v>525</v>
      </c>
      <c r="I1796" s="98">
        <v>478</v>
      </c>
      <c r="J1796" s="98" t="s">
        <v>1990</v>
      </c>
      <c r="K1796" s="98" t="s">
        <v>529</v>
      </c>
      <c r="L1796" s="105" t="str">
        <f t="shared" si="300"/>
        <v>Ghent</v>
      </c>
      <c r="M1796" s="105" t="str">
        <f t="shared" si="301"/>
        <v>Derate</v>
      </c>
      <c r="N1796" s="105" t="str">
        <f t="shared" si="302"/>
        <v>Coal</v>
      </c>
      <c r="O1796" s="105">
        <f>IFERROR(VLOOKUP(A1796,Lookup!$J$5:$P$19,7,FALSE),0)</f>
        <v>3</v>
      </c>
      <c r="P1796" s="159">
        <f t="shared" si="303"/>
        <v>2013</v>
      </c>
      <c r="Q1796" s="159">
        <f t="shared" si="304"/>
        <v>1</v>
      </c>
      <c r="R1796" s="160">
        <f t="shared" si="305"/>
        <v>50.216666666558012</v>
      </c>
      <c r="S1796" s="158">
        <f t="shared" si="306"/>
        <v>31.086507936440675</v>
      </c>
      <c r="T1796" s="161">
        <f t="shared" si="307"/>
        <v>14859.350793618643</v>
      </c>
      <c r="U1796" s="158">
        <f t="shared" si="308"/>
        <v>295.90476190476193</v>
      </c>
      <c r="V1796" s="160">
        <f t="shared" si="309"/>
        <v>296</v>
      </c>
    </row>
    <row r="1797" spans="1:22" x14ac:dyDescent="0.25">
      <c r="A1797" s="98" t="s">
        <v>24</v>
      </c>
      <c r="B1797" s="98" t="s">
        <v>20</v>
      </c>
      <c r="C1797" s="98">
        <v>7</v>
      </c>
      <c r="D1797" s="98">
        <v>1455</v>
      </c>
      <c r="E1797" s="157">
        <v>41285.925694444442</v>
      </c>
      <c r="F1797" s="157">
        <v>41290.678472222222</v>
      </c>
      <c r="G1797" s="98">
        <v>0</v>
      </c>
      <c r="H1797" s="98">
        <v>525</v>
      </c>
      <c r="I1797" s="98">
        <v>478</v>
      </c>
      <c r="J1797" s="98" t="s">
        <v>1990</v>
      </c>
      <c r="K1797" s="98" t="s">
        <v>530</v>
      </c>
      <c r="L1797" s="105" t="str">
        <f t="shared" si="300"/>
        <v>Ghent</v>
      </c>
      <c r="M1797" s="105" t="str">
        <f t="shared" si="301"/>
        <v>Maintenance</v>
      </c>
      <c r="N1797" s="105" t="str">
        <f t="shared" si="302"/>
        <v>Coal</v>
      </c>
      <c r="O1797" s="105">
        <f>IFERROR(VLOOKUP(A1797,Lookup!$J$5:$P$19,7,FALSE),0)</f>
        <v>3</v>
      </c>
      <c r="P1797" s="159">
        <f t="shared" si="303"/>
        <v>2013</v>
      </c>
      <c r="Q1797" s="159">
        <f t="shared" si="304"/>
        <v>1</v>
      </c>
      <c r="R1797" s="160">
        <f t="shared" si="305"/>
        <v>114.06666666670935</v>
      </c>
      <c r="S1797" s="158">
        <f t="shared" si="306"/>
        <v>114.06666666670935</v>
      </c>
      <c r="T1797" s="161">
        <f t="shared" si="307"/>
        <v>54523.86666668707</v>
      </c>
      <c r="U1797" s="158">
        <f t="shared" si="308"/>
        <v>478</v>
      </c>
      <c r="V1797" s="160">
        <f t="shared" si="309"/>
        <v>478</v>
      </c>
    </row>
    <row r="1798" spans="1:22" x14ac:dyDescent="0.25">
      <c r="A1798" s="98" t="s">
        <v>24</v>
      </c>
      <c r="B1798" s="98" t="s">
        <v>18</v>
      </c>
      <c r="C1798" s="98">
        <v>8</v>
      </c>
      <c r="D1798" s="98">
        <v>1455</v>
      </c>
      <c r="E1798" s="157">
        <v>41290.678472222222</v>
      </c>
      <c r="F1798" s="157">
        <v>41291.671527777777</v>
      </c>
      <c r="G1798" s="98">
        <v>0</v>
      </c>
      <c r="H1798" s="98">
        <v>525</v>
      </c>
      <c r="I1798" s="98">
        <v>478</v>
      </c>
      <c r="J1798" s="98" t="s">
        <v>1990</v>
      </c>
      <c r="K1798" s="98" t="s">
        <v>531</v>
      </c>
      <c r="L1798" s="105" t="str">
        <f t="shared" si="300"/>
        <v>Ghent</v>
      </c>
      <c r="M1798" s="105" t="str">
        <f t="shared" si="301"/>
        <v>Outage</v>
      </c>
      <c r="N1798" s="105" t="str">
        <f t="shared" si="302"/>
        <v>Coal</v>
      </c>
      <c r="O1798" s="105">
        <f>IFERROR(VLOOKUP(A1798,Lookup!$J$5:$P$19,7,FALSE),0)</f>
        <v>3</v>
      </c>
      <c r="P1798" s="159">
        <f t="shared" si="303"/>
        <v>2013</v>
      </c>
      <c r="Q1798" s="159">
        <f t="shared" si="304"/>
        <v>1</v>
      </c>
      <c r="R1798" s="160">
        <f t="shared" si="305"/>
        <v>23.833333333313931</v>
      </c>
      <c r="S1798" s="158">
        <f t="shared" si="306"/>
        <v>23.833333333313931</v>
      </c>
      <c r="T1798" s="161">
        <f t="shared" si="307"/>
        <v>11392.333333324059</v>
      </c>
      <c r="U1798" s="158">
        <f t="shared" si="308"/>
        <v>478</v>
      </c>
      <c r="V1798" s="160">
        <f t="shared" si="309"/>
        <v>478</v>
      </c>
    </row>
    <row r="1799" spans="1:22" x14ac:dyDescent="0.25">
      <c r="A1799" s="98" t="s">
        <v>24</v>
      </c>
      <c r="B1799" s="98" t="s">
        <v>17</v>
      </c>
      <c r="C1799" s="98">
        <v>9</v>
      </c>
      <c r="D1799" s="98">
        <v>1455</v>
      </c>
      <c r="E1799" s="157">
        <v>41291.671527777777</v>
      </c>
      <c r="F1799" s="157">
        <v>41293.527083333334</v>
      </c>
      <c r="G1799" s="98">
        <v>200</v>
      </c>
      <c r="H1799" s="98">
        <v>525</v>
      </c>
      <c r="I1799" s="98">
        <v>478</v>
      </c>
      <c r="J1799" s="98" t="s">
        <v>1990</v>
      </c>
      <c r="K1799" s="98" t="s">
        <v>532</v>
      </c>
      <c r="L1799" s="105" t="str">
        <f t="shared" si="300"/>
        <v>Ghent</v>
      </c>
      <c r="M1799" s="105" t="str">
        <f t="shared" si="301"/>
        <v>Derate</v>
      </c>
      <c r="N1799" s="105" t="str">
        <f t="shared" si="302"/>
        <v>Coal</v>
      </c>
      <c r="O1799" s="105">
        <f>IFERROR(VLOOKUP(A1799,Lookup!$J$5:$P$19,7,FALSE),0)</f>
        <v>3</v>
      </c>
      <c r="P1799" s="159">
        <f t="shared" si="303"/>
        <v>2013</v>
      </c>
      <c r="Q1799" s="159">
        <f t="shared" si="304"/>
        <v>1</v>
      </c>
      <c r="R1799" s="160">
        <f t="shared" si="305"/>
        <v>44.53333333338378</v>
      </c>
      <c r="S1799" s="158">
        <f t="shared" si="306"/>
        <v>27.568253968285198</v>
      </c>
      <c r="T1799" s="161">
        <f t="shared" si="307"/>
        <v>13177.625396840325</v>
      </c>
      <c r="U1799" s="158">
        <f t="shared" si="308"/>
        <v>295.90476190476193</v>
      </c>
      <c r="V1799" s="160">
        <f t="shared" si="309"/>
        <v>296</v>
      </c>
    </row>
    <row r="1800" spans="1:22" x14ac:dyDescent="0.25">
      <c r="A1800" s="98" t="s">
        <v>24</v>
      </c>
      <c r="B1800" s="98" t="s">
        <v>20</v>
      </c>
      <c r="C1800" s="98">
        <v>10</v>
      </c>
      <c r="D1800" s="98">
        <v>1455</v>
      </c>
      <c r="E1800" s="157">
        <v>41293.527083333334</v>
      </c>
      <c r="F1800" s="157">
        <v>41294.35833333333</v>
      </c>
      <c r="G1800" s="98">
        <v>0</v>
      </c>
      <c r="H1800" s="98">
        <v>525</v>
      </c>
      <c r="I1800" s="98">
        <v>478</v>
      </c>
      <c r="J1800" s="98" t="s">
        <v>1990</v>
      </c>
      <c r="K1800" s="98" t="s">
        <v>533</v>
      </c>
      <c r="L1800" s="105" t="str">
        <f t="shared" si="300"/>
        <v>Ghent</v>
      </c>
      <c r="M1800" s="105" t="str">
        <f t="shared" si="301"/>
        <v>Maintenance</v>
      </c>
      <c r="N1800" s="105" t="str">
        <f t="shared" si="302"/>
        <v>Coal</v>
      </c>
      <c r="O1800" s="105">
        <f>IFERROR(VLOOKUP(A1800,Lookup!$J$5:$P$19,7,FALSE),0)</f>
        <v>3</v>
      </c>
      <c r="P1800" s="159">
        <f t="shared" si="303"/>
        <v>2013</v>
      </c>
      <c r="Q1800" s="159">
        <f t="shared" si="304"/>
        <v>1</v>
      </c>
      <c r="R1800" s="160">
        <f t="shared" si="305"/>
        <v>19.949999999895226</v>
      </c>
      <c r="S1800" s="158">
        <f t="shared" si="306"/>
        <v>19.949999999895226</v>
      </c>
      <c r="T1800" s="161">
        <f t="shared" si="307"/>
        <v>9536.0999999499181</v>
      </c>
      <c r="U1800" s="158">
        <f t="shared" si="308"/>
        <v>478</v>
      </c>
      <c r="V1800" s="160">
        <f t="shared" si="309"/>
        <v>478</v>
      </c>
    </row>
    <row r="1801" spans="1:22" x14ac:dyDescent="0.25">
      <c r="A1801" s="98" t="s">
        <v>24</v>
      </c>
      <c r="B1801" s="98" t="s">
        <v>17</v>
      </c>
      <c r="C1801" s="98">
        <v>11</v>
      </c>
      <c r="D1801" s="98">
        <v>3440</v>
      </c>
      <c r="E1801" s="157">
        <v>41294.53125</v>
      </c>
      <c r="F1801" s="157">
        <v>41295.878472222219</v>
      </c>
      <c r="G1801" s="98">
        <v>511</v>
      </c>
      <c r="H1801" s="98">
        <v>525</v>
      </c>
      <c r="I1801" s="98">
        <v>478</v>
      </c>
      <c r="J1801" s="98" t="s">
        <v>2100</v>
      </c>
      <c r="K1801" s="98" t="s">
        <v>534</v>
      </c>
      <c r="L1801" s="105" t="str">
        <f t="shared" si="300"/>
        <v>Ghent</v>
      </c>
      <c r="M1801" s="105" t="str">
        <f t="shared" si="301"/>
        <v>Derate</v>
      </c>
      <c r="N1801" s="105" t="str">
        <f t="shared" si="302"/>
        <v>Coal</v>
      </c>
      <c r="O1801" s="105">
        <f>IFERROR(VLOOKUP(A1801,Lookup!$J$5:$P$19,7,FALSE),0)</f>
        <v>3</v>
      </c>
      <c r="P1801" s="159">
        <f t="shared" si="303"/>
        <v>2013</v>
      </c>
      <c r="Q1801" s="159">
        <f t="shared" si="304"/>
        <v>1</v>
      </c>
      <c r="R1801" s="160">
        <f t="shared" si="305"/>
        <v>32.333333333255723</v>
      </c>
      <c r="S1801" s="158">
        <f t="shared" si="306"/>
        <v>0.86222222222015266</v>
      </c>
      <c r="T1801" s="161">
        <f t="shared" si="307"/>
        <v>412.14222222123294</v>
      </c>
      <c r="U1801" s="158">
        <f t="shared" si="308"/>
        <v>12.746666666666666</v>
      </c>
      <c r="V1801" s="160">
        <f t="shared" si="309"/>
        <v>13</v>
      </c>
    </row>
    <row r="1802" spans="1:22" x14ac:dyDescent="0.25">
      <c r="A1802" s="98" t="s">
        <v>24</v>
      </c>
      <c r="B1802" s="98" t="s">
        <v>37</v>
      </c>
      <c r="C1802" s="98">
        <v>12</v>
      </c>
      <c r="D1802" s="98">
        <v>3110</v>
      </c>
      <c r="E1802" s="157">
        <v>41307.001388888886</v>
      </c>
      <c r="F1802" s="157">
        <v>41307.929166666669</v>
      </c>
      <c r="G1802" s="98">
        <v>0</v>
      </c>
      <c r="H1802" s="98">
        <v>525</v>
      </c>
      <c r="I1802" s="98">
        <v>478</v>
      </c>
      <c r="J1802" s="98" t="s">
        <v>2119</v>
      </c>
      <c r="K1802" s="98" t="s">
        <v>535</v>
      </c>
      <c r="L1802" s="105" t="str">
        <f t="shared" si="300"/>
        <v>Ghent</v>
      </c>
      <c r="M1802" s="105" t="str">
        <f t="shared" si="301"/>
        <v>Outage</v>
      </c>
      <c r="N1802" s="105" t="str">
        <f t="shared" si="302"/>
        <v>Coal</v>
      </c>
      <c r="O1802" s="105">
        <f>IFERROR(VLOOKUP(A1802,Lookup!$J$5:$P$19,7,FALSE),0)</f>
        <v>3</v>
      </c>
      <c r="P1802" s="159">
        <f t="shared" si="303"/>
        <v>2013</v>
      </c>
      <c r="Q1802" s="159">
        <f t="shared" si="304"/>
        <v>2</v>
      </c>
      <c r="R1802" s="160">
        <f t="shared" si="305"/>
        <v>22.266666666779201</v>
      </c>
      <c r="S1802" s="158">
        <f t="shared" si="306"/>
        <v>22.266666666779201</v>
      </c>
      <c r="T1802" s="161">
        <f t="shared" si="307"/>
        <v>10643.466666720458</v>
      </c>
      <c r="U1802" s="158">
        <f t="shared" si="308"/>
        <v>478</v>
      </c>
      <c r="V1802" s="160">
        <f t="shared" si="309"/>
        <v>478</v>
      </c>
    </row>
    <row r="1803" spans="1:22" x14ac:dyDescent="0.25">
      <c r="A1803" s="98" t="s">
        <v>24</v>
      </c>
      <c r="B1803" s="98" t="s">
        <v>17</v>
      </c>
      <c r="C1803" s="98">
        <v>13</v>
      </c>
      <c r="D1803" s="98">
        <v>1488</v>
      </c>
      <c r="E1803" s="157">
        <v>41308.888194444444</v>
      </c>
      <c r="F1803" s="157">
        <v>41313.959027777775</v>
      </c>
      <c r="G1803" s="98">
        <v>190</v>
      </c>
      <c r="H1803" s="98">
        <v>525</v>
      </c>
      <c r="I1803" s="98">
        <v>478</v>
      </c>
      <c r="J1803" s="98" t="s">
        <v>2284</v>
      </c>
      <c r="K1803" s="98" t="s">
        <v>536</v>
      </c>
      <c r="L1803" s="105" t="str">
        <f t="shared" si="300"/>
        <v>Ghent</v>
      </c>
      <c r="M1803" s="105" t="str">
        <f t="shared" si="301"/>
        <v>Derate</v>
      </c>
      <c r="N1803" s="105" t="str">
        <f t="shared" si="302"/>
        <v>Coal</v>
      </c>
      <c r="O1803" s="105">
        <f>IFERROR(VLOOKUP(A1803,Lookup!$J$5:$P$19,7,FALSE),0)</f>
        <v>3</v>
      </c>
      <c r="P1803" s="159">
        <f t="shared" si="303"/>
        <v>2013</v>
      </c>
      <c r="Q1803" s="159">
        <f t="shared" si="304"/>
        <v>2</v>
      </c>
      <c r="R1803" s="160">
        <f t="shared" si="305"/>
        <v>121.69999999995343</v>
      </c>
      <c r="S1803" s="158">
        <f t="shared" si="306"/>
        <v>77.656190476160759</v>
      </c>
      <c r="T1803" s="161">
        <f t="shared" si="307"/>
        <v>37119.659047604844</v>
      </c>
      <c r="U1803" s="158">
        <f t="shared" si="308"/>
        <v>305.00952380952378</v>
      </c>
      <c r="V1803" s="160">
        <f t="shared" si="309"/>
        <v>305</v>
      </c>
    </row>
    <row r="1804" spans="1:22" x14ac:dyDescent="0.25">
      <c r="A1804" s="98" t="s">
        <v>24</v>
      </c>
      <c r="B1804" s="98" t="s">
        <v>20</v>
      </c>
      <c r="C1804" s="98">
        <v>14</v>
      </c>
      <c r="D1804" s="98">
        <v>1488</v>
      </c>
      <c r="E1804" s="157">
        <v>41313.959027777775</v>
      </c>
      <c r="F1804" s="157">
        <v>41315.109722222223</v>
      </c>
      <c r="G1804" s="98">
        <v>0</v>
      </c>
      <c r="H1804" s="98">
        <v>525</v>
      </c>
      <c r="I1804" s="98">
        <v>478</v>
      </c>
      <c r="J1804" s="98" t="s">
        <v>2284</v>
      </c>
      <c r="K1804" s="98" t="s">
        <v>537</v>
      </c>
      <c r="L1804" s="105" t="str">
        <f t="shared" si="300"/>
        <v>Ghent</v>
      </c>
      <c r="M1804" s="105" t="str">
        <f t="shared" si="301"/>
        <v>Maintenance</v>
      </c>
      <c r="N1804" s="105" t="str">
        <f t="shared" si="302"/>
        <v>Coal</v>
      </c>
      <c r="O1804" s="105">
        <f>IFERROR(VLOOKUP(A1804,Lookup!$J$5:$P$19,7,FALSE),0)</f>
        <v>3</v>
      </c>
      <c r="P1804" s="159">
        <f t="shared" si="303"/>
        <v>2013</v>
      </c>
      <c r="Q1804" s="159">
        <f t="shared" si="304"/>
        <v>2</v>
      </c>
      <c r="R1804" s="160">
        <f t="shared" si="305"/>
        <v>27.616666666755918</v>
      </c>
      <c r="S1804" s="158">
        <f t="shared" si="306"/>
        <v>27.616666666755918</v>
      </c>
      <c r="T1804" s="161">
        <f t="shared" si="307"/>
        <v>13200.766666709329</v>
      </c>
      <c r="U1804" s="158">
        <f t="shared" si="308"/>
        <v>478</v>
      </c>
      <c r="V1804" s="160">
        <f t="shared" si="309"/>
        <v>478</v>
      </c>
    </row>
    <row r="1805" spans="1:22" x14ac:dyDescent="0.25">
      <c r="A1805" s="98" t="s">
        <v>24</v>
      </c>
      <c r="B1805" s="98" t="s">
        <v>17</v>
      </c>
      <c r="C1805" s="98">
        <v>15</v>
      </c>
      <c r="D1805" s="98">
        <v>346</v>
      </c>
      <c r="E1805" s="157">
        <v>41327.736111111109</v>
      </c>
      <c r="F1805" s="157">
        <v>41327.780555555553</v>
      </c>
      <c r="G1805" s="98">
        <v>403</v>
      </c>
      <c r="H1805" s="98">
        <v>525</v>
      </c>
      <c r="I1805" s="98">
        <v>478</v>
      </c>
      <c r="J1805" s="98" t="s">
        <v>1986</v>
      </c>
      <c r="K1805" s="98" t="s">
        <v>538</v>
      </c>
      <c r="L1805" s="105" t="str">
        <f t="shared" si="300"/>
        <v>Ghent</v>
      </c>
      <c r="M1805" s="105" t="str">
        <f t="shared" si="301"/>
        <v>Derate</v>
      </c>
      <c r="N1805" s="105" t="str">
        <f t="shared" si="302"/>
        <v>Coal</v>
      </c>
      <c r="O1805" s="105">
        <f>IFERROR(VLOOKUP(A1805,Lookup!$J$5:$P$19,7,FALSE),0)</f>
        <v>3</v>
      </c>
      <c r="P1805" s="159">
        <f t="shared" si="303"/>
        <v>2013</v>
      </c>
      <c r="Q1805" s="159">
        <f t="shared" si="304"/>
        <v>2</v>
      </c>
      <c r="R1805" s="160">
        <f t="shared" si="305"/>
        <v>1.0666666666511446</v>
      </c>
      <c r="S1805" s="158">
        <f t="shared" si="306"/>
        <v>0.24787301586940885</v>
      </c>
      <c r="T1805" s="161">
        <f t="shared" si="307"/>
        <v>118.48330158557744</v>
      </c>
      <c r="U1805" s="158">
        <f t="shared" si="308"/>
        <v>111.07809523809524</v>
      </c>
      <c r="V1805" s="160">
        <f t="shared" si="309"/>
        <v>111</v>
      </c>
    </row>
    <row r="1806" spans="1:22" x14ac:dyDescent="0.25">
      <c r="A1806" s="98" t="s">
        <v>24</v>
      </c>
      <c r="B1806" s="98" t="s">
        <v>17</v>
      </c>
      <c r="C1806" s="98">
        <v>16</v>
      </c>
      <c r="D1806" s="98">
        <v>350</v>
      </c>
      <c r="E1806" s="157">
        <v>41336.145833333336</v>
      </c>
      <c r="F1806" s="157">
        <v>41336.213888888888</v>
      </c>
      <c r="G1806" s="98">
        <v>400</v>
      </c>
      <c r="H1806" s="98">
        <v>525</v>
      </c>
      <c r="I1806" s="98">
        <v>478</v>
      </c>
      <c r="J1806" s="98" t="s">
        <v>1976</v>
      </c>
      <c r="K1806" s="98" t="s">
        <v>539</v>
      </c>
      <c r="L1806" s="105" t="str">
        <f t="shared" si="300"/>
        <v>Ghent</v>
      </c>
      <c r="M1806" s="105" t="str">
        <f t="shared" si="301"/>
        <v>Derate</v>
      </c>
      <c r="N1806" s="105" t="str">
        <f t="shared" si="302"/>
        <v>Coal</v>
      </c>
      <c r="O1806" s="105">
        <f>IFERROR(VLOOKUP(A1806,Lookup!$J$5:$P$19,7,FALSE),0)</f>
        <v>3</v>
      </c>
      <c r="P1806" s="159">
        <f t="shared" si="303"/>
        <v>2013</v>
      </c>
      <c r="Q1806" s="159">
        <f t="shared" si="304"/>
        <v>3</v>
      </c>
      <c r="R1806" s="160">
        <f t="shared" si="305"/>
        <v>1.6333333332440816</v>
      </c>
      <c r="S1806" s="158">
        <f t="shared" si="306"/>
        <v>0.38888888886763845</v>
      </c>
      <c r="T1806" s="161">
        <f t="shared" si="307"/>
        <v>185.88888887873117</v>
      </c>
      <c r="U1806" s="158">
        <f t="shared" si="308"/>
        <v>113.80952380952381</v>
      </c>
      <c r="V1806" s="160">
        <f t="shared" si="309"/>
        <v>114</v>
      </c>
    </row>
    <row r="1807" spans="1:22" x14ac:dyDescent="0.25">
      <c r="A1807" s="98" t="s">
        <v>24</v>
      </c>
      <c r="B1807" s="98" t="s">
        <v>17</v>
      </c>
      <c r="C1807" s="98">
        <v>17</v>
      </c>
      <c r="D1807" s="98">
        <v>1493</v>
      </c>
      <c r="E1807" s="157">
        <v>41337.267361111109</v>
      </c>
      <c r="F1807" s="157">
        <v>41338.504861111112</v>
      </c>
      <c r="G1807" s="98">
        <v>510</v>
      </c>
      <c r="H1807" s="98">
        <v>525</v>
      </c>
      <c r="I1807" s="98">
        <v>478</v>
      </c>
      <c r="J1807" s="98" t="s">
        <v>2185</v>
      </c>
      <c r="K1807" s="98" t="s">
        <v>540</v>
      </c>
      <c r="L1807" s="105" t="str">
        <f t="shared" si="300"/>
        <v>Ghent</v>
      </c>
      <c r="M1807" s="105" t="str">
        <f t="shared" si="301"/>
        <v>Derate</v>
      </c>
      <c r="N1807" s="105" t="str">
        <f t="shared" si="302"/>
        <v>Coal</v>
      </c>
      <c r="O1807" s="105">
        <f>IFERROR(VLOOKUP(A1807,Lookup!$J$5:$P$19,7,FALSE),0)</f>
        <v>3</v>
      </c>
      <c r="P1807" s="159">
        <f t="shared" si="303"/>
        <v>2013</v>
      </c>
      <c r="Q1807" s="159">
        <f t="shared" si="304"/>
        <v>3</v>
      </c>
      <c r="R1807" s="160">
        <f t="shared" si="305"/>
        <v>29.700000000069849</v>
      </c>
      <c r="S1807" s="158">
        <f t="shared" si="306"/>
        <v>0.84857142857342427</v>
      </c>
      <c r="T1807" s="161">
        <f t="shared" si="307"/>
        <v>405.61714285809683</v>
      </c>
      <c r="U1807" s="158">
        <f t="shared" si="308"/>
        <v>13.657142857142857</v>
      </c>
      <c r="V1807" s="160">
        <f t="shared" si="309"/>
        <v>14</v>
      </c>
    </row>
    <row r="1808" spans="1:22" x14ac:dyDescent="0.25">
      <c r="A1808" s="98" t="s">
        <v>24</v>
      </c>
      <c r="B1808" s="98" t="s">
        <v>17</v>
      </c>
      <c r="C1808" s="98">
        <v>18</v>
      </c>
      <c r="D1808" s="98">
        <v>1493</v>
      </c>
      <c r="E1808" s="157">
        <v>41338.504861111112</v>
      </c>
      <c r="F1808" s="157">
        <v>41341.978472222225</v>
      </c>
      <c r="G1808" s="98">
        <v>500</v>
      </c>
      <c r="H1808" s="98">
        <v>525</v>
      </c>
      <c r="I1808" s="98">
        <v>478</v>
      </c>
      <c r="J1808" s="98" t="s">
        <v>2185</v>
      </c>
      <c r="K1808" s="98" t="s">
        <v>541</v>
      </c>
      <c r="L1808" s="105" t="str">
        <f t="shared" si="300"/>
        <v>Ghent</v>
      </c>
      <c r="M1808" s="105" t="str">
        <f t="shared" si="301"/>
        <v>Derate</v>
      </c>
      <c r="N1808" s="105" t="str">
        <f t="shared" si="302"/>
        <v>Coal</v>
      </c>
      <c r="O1808" s="105">
        <f>IFERROR(VLOOKUP(A1808,Lookup!$J$5:$P$19,7,FALSE),0)</f>
        <v>3</v>
      </c>
      <c r="P1808" s="159">
        <f t="shared" si="303"/>
        <v>2013</v>
      </c>
      <c r="Q1808" s="159">
        <f t="shared" si="304"/>
        <v>3</v>
      </c>
      <c r="R1808" s="160">
        <f t="shared" si="305"/>
        <v>83.366666666697711</v>
      </c>
      <c r="S1808" s="158">
        <f t="shared" si="306"/>
        <v>3.9698412698427483</v>
      </c>
      <c r="T1808" s="161">
        <f t="shared" si="307"/>
        <v>1897.5841269848338</v>
      </c>
      <c r="U1808" s="158">
        <f t="shared" si="308"/>
        <v>22.761904761904763</v>
      </c>
      <c r="V1808" s="160">
        <f t="shared" si="309"/>
        <v>23</v>
      </c>
    </row>
    <row r="1809" spans="1:22" x14ac:dyDescent="0.25">
      <c r="A1809" s="98" t="s">
        <v>24</v>
      </c>
      <c r="B1809" s="98" t="s">
        <v>17</v>
      </c>
      <c r="C1809" s="98">
        <v>20</v>
      </c>
      <c r="D1809" s="98">
        <v>3149</v>
      </c>
      <c r="E1809" s="157">
        <v>41372.45208333333</v>
      </c>
      <c r="F1809" s="157">
        <v>41373.261805555558</v>
      </c>
      <c r="G1809" s="98">
        <v>505</v>
      </c>
      <c r="H1809" s="98">
        <v>525</v>
      </c>
      <c r="I1809" s="98">
        <v>478</v>
      </c>
      <c r="J1809" s="98" t="s">
        <v>2034</v>
      </c>
      <c r="K1809" s="98" t="s">
        <v>542</v>
      </c>
      <c r="L1809" s="105" t="str">
        <f t="shared" si="300"/>
        <v>Ghent</v>
      </c>
      <c r="M1809" s="105" t="str">
        <f t="shared" si="301"/>
        <v>Derate</v>
      </c>
      <c r="N1809" s="105" t="str">
        <f t="shared" si="302"/>
        <v>Coal</v>
      </c>
      <c r="O1809" s="105">
        <f>IFERROR(VLOOKUP(A1809,Lookup!$J$5:$P$19,7,FALSE),0)</f>
        <v>3</v>
      </c>
      <c r="P1809" s="159">
        <f t="shared" si="303"/>
        <v>2013</v>
      </c>
      <c r="Q1809" s="159">
        <f t="shared" si="304"/>
        <v>4</v>
      </c>
      <c r="R1809" s="160">
        <f t="shared" si="305"/>
        <v>19.433333333465271</v>
      </c>
      <c r="S1809" s="158">
        <f t="shared" si="306"/>
        <v>0.74031746032248646</v>
      </c>
      <c r="T1809" s="161">
        <f t="shared" si="307"/>
        <v>353.87174603414854</v>
      </c>
      <c r="U1809" s="158">
        <f t="shared" si="308"/>
        <v>18.209523809523809</v>
      </c>
      <c r="V1809" s="160">
        <f t="shared" si="309"/>
        <v>18</v>
      </c>
    </row>
    <row r="1810" spans="1:22" x14ac:dyDescent="0.25">
      <c r="A1810" s="98" t="s">
        <v>24</v>
      </c>
      <c r="B1810" s="98" t="s">
        <v>17</v>
      </c>
      <c r="C1810" s="98">
        <v>21</v>
      </c>
      <c r="D1810" s="98">
        <v>3149</v>
      </c>
      <c r="E1810" s="157">
        <v>41373.476388888892</v>
      </c>
      <c r="F1810" s="157">
        <v>41373.940972222219</v>
      </c>
      <c r="G1810" s="98">
        <v>493</v>
      </c>
      <c r="H1810" s="98">
        <v>525</v>
      </c>
      <c r="I1810" s="98">
        <v>478</v>
      </c>
      <c r="J1810" s="98" t="s">
        <v>2034</v>
      </c>
      <c r="K1810" s="98" t="s">
        <v>543</v>
      </c>
      <c r="L1810" s="105" t="str">
        <f t="shared" si="300"/>
        <v>Ghent</v>
      </c>
      <c r="M1810" s="105" t="str">
        <f t="shared" si="301"/>
        <v>Derate</v>
      </c>
      <c r="N1810" s="105" t="str">
        <f t="shared" si="302"/>
        <v>Coal</v>
      </c>
      <c r="O1810" s="105">
        <f>IFERROR(VLOOKUP(A1810,Lookup!$J$5:$P$19,7,FALSE),0)</f>
        <v>3</v>
      </c>
      <c r="P1810" s="159">
        <f t="shared" si="303"/>
        <v>2013</v>
      </c>
      <c r="Q1810" s="159">
        <f t="shared" si="304"/>
        <v>4</v>
      </c>
      <c r="R1810" s="160">
        <f t="shared" si="305"/>
        <v>11.14999999984866</v>
      </c>
      <c r="S1810" s="158">
        <f t="shared" si="306"/>
        <v>0.67961904760982306</v>
      </c>
      <c r="T1810" s="161">
        <f t="shared" si="307"/>
        <v>324.85790475749542</v>
      </c>
      <c r="U1810" s="158">
        <f t="shared" si="308"/>
        <v>29.135238095238094</v>
      </c>
      <c r="V1810" s="160">
        <f t="shared" si="309"/>
        <v>29</v>
      </c>
    </row>
    <row r="1811" spans="1:22" x14ac:dyDescent="0.25">
      <c r="A1811" s="98" t="s">
        <v>24</v>
      </c>
      <c r="B1811" s="98" t="s">
        <v>17</v>
      </c>
      <c r="C1811" s="98">
        <v>22</v>
      </c>
      <c r="D1811" s="98">
        <v>3149</v>
      </c>
      <c r="E1811" s="157">
        <v>41374.36041666667</v>
      </c>
      <c r="F1811" s="157">
        <v>41374.969444444447</v>
      </c>
      <c r="G1811" s="98">
        <v>500</v>
      </c>
      <c r="H1811" s="98">
        <v>525</v>
      </c>
      <c r="I1811" s="98">
        <v>478</v>
      </c>
      <c r="J1811" s="98" t="s">
        <v>2034</v>
      </c>
      <c r="K1811" s="98" t="s">
        <v>544</v>
      </c>
      <c r="L1811" s="105" t="str">
        <f t="shared" si="300"/>
        <v>Ghent</v>
      </c>
      <c r="M1811" s="105" t="str">
        <f t="shared" si="301"/>
        <v>Derate</v>
      </c>
      <c r="N1811" s="105" t="str">
        <f t="shared" si="302"/>
        <v>Coal</v>
      </c>
      <c r="O1811" s="105">
        <f>IFERROR(VLOOKUP(A1811,Lookup!$J$5:$P$19,7,FALSE),0)</f>
        <v>3</v>
      </c>
      <c r="P1811" s="159">
        <f t="shared" si="303"/>
        <v>2013</v>
      </c>
      <c r="Q1811" s="159">
        <f t="shared" si="304"/>
        <v>4</v>
      </c>
      <c r="R1811" s="160">
        <f t="shared" si="305"/>
        <v>14.616666666639503</v>
      </c>
      <c r="S1811" s="158">
        <f t="shared" si="306"/>
        <v>0.69603174603045248</v>
      </c>
      <c r="T1811" s="161">
        <f t="shared" si="307"/>
        <v>332.70317460255626</v>
      </c>
      <c r="U1811" s="158">
        <f t="shared" si="308"/>
        <v>22.761904761904763</v>
      </c>
      <c r="V1811" s="160">
        <f t="shared" si="309"/>
        <v>23</v>
      </c>
    </row>
    <row r="1812" spans="1:22" x14ac:dyDescent="0.25">
      <c r="A1812" s="98" t="s">
        <v>24</v>
      </c>
      <c r="B1812" s="98" t="s">
        <v>17</v>
      </c>
      <c r="C1812" s="98">
        <v>23</v>
      </c>
      <c r="D1812" s="98">
        <v>3149</v>
      </c>
      <c r="E1812" s="157">
        <v>41375.341666666667</v>
      </c>
      <c r="F1812" s="157">
        <v>41375.675000000003</v>
      </c>
      <c r="G1812" s="98">
        <v>500</v>
      </c>
      <c r="H1812" s="98">
        <v>525</v>
      </c>
      <c r="I1812" s="98">
        <v>478</v>
      </c>
      <c r="J1812" s="98" t="s">
        <v>2034</v>
      </c>
      <c r="K1812" s="98" t="s">
        <v>545</v>
      </c>
      <c r="L1812" s="105" t="str">
        <f t="shared" si="300"/>
        <v>Ghent</v>
      </c>
      <c r="M1812" s="105" t="str">
        <f t="shared" si="301"/>
        <v>Derate</v>
      </c>
      <c r="N1812" s="105" t="str">
        <f t="shared" si="302"/>
        <v>Coal</v>
      </c>
      <c r="O1812" s="105">
        <f>IFERROR(VLOOKUP(A1812,Lookup!$J$5:$P$19,7,FALSE),0)</f>
        <v>3</v>
      </c>
      <c r="P1812" s="159">
        <f t="shared" si="303"/>
        <v>2013</v>
      </c>
      <c r="Q1812" s="159">
        <f t="shared" si="304"/>
        <v>4</v>
      </c>
      <c r="R1812" s="160">
        <f t="shared" si="305"/>
        <v>8.0000000000582077</v>
      </c>
      <c r="S1812" s="158">
        <f t="shared" si="306"/>
        <v>0.38095238095515277</v>
      </c>
      <c r="T1812" s="161">
        <f t="shared" si="307"/>
        <v>182.09523809656304</v>
      </c>
      <c r="U1812" s="158">
        <f t="shared" si="308"/>
        <v>22.761904761904763</v>
      </c>
      <c r="V1812" s="160">
        <f t="shared" si="309"/>
        <v>23</v>
      </c>
    </row>
    <row r="1813" spans="1:22" x14ac:dyDescent="0.25">
      <c r="A1813" s="98" t="s">
        <v>24</v>
      </c>
      <c r="B1813" s="98" t="s">
        <v>17</v>
      </c>
      <c r="C1813" s="98">
        <v>25</v>
      </c>
      <c r="D1813" s="98">
        <v>250</v>
      </c>
      <c r="E1813" s="157">
        <v>41381.434027777781</v>
      </c>
      <c r="F1813" s="157">
        <v>41381.451388888891</v>
      </c>
      <c r="G1813" s="98">
        <v>425</v>
      </c>
      <c r="H1813" s="98">
        <v>525</v>
      </c>
      <c r="I1813" s="98">
        <v>478</v>
      </c>
      <c r="J1813" s="98" t="s">
        <v>1978</v>
      </c>
      <c r="K1813" s="98" t="s">
        <v>546</v>
      </c>
      <c r="L1813" s="105" t="str">
        <f t="shared" si="300"/>
        <v>Ghent</v>
      </c>
      <c r="M1813" s="105" t="str">
        <f t="shared" si="301"/>
        <v>Derate</v>
      </c>
      <c r="N1813" s="105" t="str">
        <f t="shared" si="302"/>
        <v>Coal</v>
      </c>
      <c r="O1813" s="105">
        <f>IFERROR(VLOOKUP(A1813,Lookup!$J$5:$P$19,7,FALSE),0)</f>
        <v>3</v>
      </c>
      <c r="P1813" s="159">
        <f t="shared" si="303"/>
        <v>2013</v>
      </c>
      <c r="Q1813" s="159">
        <f t="shared" si="304"/>
        <v>4</v>
      </c>
      <c r="R1813" s="160">
        <f t="shared" si="305"/>
        <v>0.41666666662786156</v>
      </c>
      <c r="S1813" s="158">
        <f t="shared" si="306"/>
        <v>7.9365079357687912E-2</v>
      </c>
      <c r="T1813" s="161">
        <f t="shared" si="307"/>
        <v>37.93650793297482</v>
      </c>
      <c r="U1813" s="158">
        <f t="shared" si="308"/>
        <v>91.047619047619051</v>
      </c>
      <c r="V1813" s="160">
        <f t="shared" si="309"/>
        <v>91</v>
      </c>
    </row>
    <row r="1814" spans="1:22" x14ac:dyDescent="0.25">
      <c r="A1814" s="98" t="s">
        <v>24</v>
      </c>
      <c r="B1814" s="98" t="s">
        <v>17</v>
      </c>
      <c r="C1814" s="98">
        <v>26</v>
      </c>
      <c r="D1814" s="98">
        <v>3149</v>
      </c>
      <c r="E1814" s="157">
        <v>41381.548611111109</v>
      </c>
      <c r="F1814" s="157">
        <v>41381.984027777777</v>
      </c>
      <c r="G1814" s="98">
        <v>493</v>
      </c>
      <c r="H1814" s="98">
        <v>525</v>
      </c>
      <c r="I1814" s="98">
        <v>478</v>
      </c>
      <c r="J1814" s="98" t="s">
        <v>2034</v>
      </c>
      <c r="K1814" s="98" t="s">
        <v>547</v>
      </c>
      <c r="L1814" s="105" t="str">
        <f t="shared" si="300"/>
        <v>Ghent</v>
      </c>
      <c r="M1814" s="105" t="str">
        <f t="shared" si="301"/>
        <v>Derate</v>
      </c>
      <c r="N1814" s="105" t="str">
        <f t="shared" si="302"/>
        <v>Coal</v>
      </c>
      <c r="O1814" s="105">
        <f>IFERROR(VLOOKUP(A1814,Lookup!$J$5:$P$19,7,FALSE),0)</f>
        <v>3</v>
      </c>
      <c r="P1814" s="159">
        <f t="shared" si="303"/>
        <v>2013</v>
      </c>
      <c r="Q1814" s="159">
        <f t="shared" si="304"/>
        <v>4</v>
      </c>
      <c r="R1814" s="160">
        <f t="shared" si="305"/>
        <v>10.450000000011642</v>
      </c>
      <c r="S1814" s="158">
        <f t="shared" si="306"/>
        <v>0.63695238095309048</v>
      </c>
      <c r="T1814" s="161">
        <f t="shared" si="307"/>
        <v>304.46323809557725</v>
      </c>
      <c r="U1814" s="158">
        <f t="shared" si="308"/>
        <v>29.135238095238094</v>
      </c>
      <c r="V1814" s="160">
        <f t="shared" si="309"/>
        <v>29</v>
      </c>
    </row>
    <row r="1815" spans="1:22" x14ac:dyDescent="0.25">
      <c r="A1815" s="98" t="s">
        <v>24</v>
      </c>
      <c r="B1815" s="98" t="s">
        <v>17</v>
      </c>
      <c r="C1815" s="98">
        <v>27</v>
      </c>
      <c r="D1815" s="98">
        <v>250</v>
      </c>
      <c r="E1815" s="157">
        <v>41381.601388888892</v>
      </c>
      <c r="F1815" s="157">
        <v>41381.625</v>
      </c>
      <c r="G1815" s="98">
        <v>445</v>
      </c>
      <c r="H1815" s="98">
        <v>525</v>
      </c>
      <c r="I1815" s="98">
        <v>478</v>
      </c>
      <c r="J1815" s="98" t="s">
        <v>1978</v>
      </c>
      <c r="K1815" s="98" t="s">
        <v>548</v>
      </c>
      <c r="L1815" s="105" t="str">
        <f t="shared" si="300"/>
        <v>Ghent</v>
      </c>
      <c r="M1815" s="105" t="str">
        <f t="shared" si="301"/>
        <v>Derate</v>
      </c>
      <c r="N1815" s="105" t="str">
        <f t="shared" si="302"/>
        <v>Coal</v>
      </c>
      <c r="O1815" s="105">
        <f>IFERROR(VLOOKUP(A1815,Lookup!$J$5:$P$19,7,FALSE),0)</f>
        <v>3</v>
      </c>
      <c r="P1815" s="159">
        <f t="shared" si="303"/>
        <v>2013</v>
      </c>
      <c r="Q1815" s="159">
        <f t="shared" si="304"/>
        <v>4</v>
      </c>
      <c r="R1815" s="160">
        <f t="shared" si="305"/>
        <v>0.56666666659293696</v>
      </c>
      <c r="S1815" s="158">
        <f t="shared" si="306"/>
        <v>8.6349206337971343E-2</v>
      </c>
      <c r="T1815" s="161">
        <f t="shared" si="307"/>
        <v>41.274920629550301</v>
      </c>
      <c r="U1815" s="158">
        <f t="shared" si="308"/>
        <v>72.838095238095235</v>
      </c>
      <c r="V1815" s="160">
        <f t="shared" si="309"/>
        <v>73</v>
      </c>
    </row>
    <row r="1816" spans="1:22" x14ac:dyDescent="0.25">
      <c r="A1816" s="98" t="s">
        <v>24</v>
      </c>
      <c r="B1816" s="98" t="s">
        <v>17</v>
      </c>
      <c r="C1816" s="98">
        <v>28</v>
      </c>
      <c r="D1816" s="98">
        <v>3149</v>
      </c>
      <c r="E1816" s="157">
        <v>41382.333333333336</v>
      </c>
      <c r="F1816" s="157">
        <v>41383.147916666669</v>
      </c>
      <c r="G1816" s="98">
        <v>477</v>
      </c>
      <c r="H1816" s="98">
        <v>525</v>
      </c>
      <c r="I1816" s="98">
        <v>478</v>
      </c>
      <c r="J1816" s="98" t="s">
        <v>2034</v>
      </c>
      <c r="K1816" s="98" t="s">
        <v>549</v>
      </c>
      <c r="L1816" s="105" t="str">
        <f t="shared" si="300"/>
        <v>Ghent</v>
      </c>
      <c r="M1816" s="105" t="str">
        <f t="shared" si="301"/>
        <v>Derate</v>
      </c>
      <c r="N1816" s="105" t="str">
        <f t="shared" si="302"/>
        <v>Coal</v>
      </c>
      <c r="O1816" s="105">
        <f>IFERROR(VLOOKUP(A1816,Lookup!$J$5:$P$19,7,FALSE),0)</f>
        <v>3</v>
      </c>
      <c r="P1816" s="159">
        <f t="shared" si="303"/>
        <v>2013</v>
      </c>
      <c r="Q1816" s="159">
        <f t="shared" si="304"/>
        <v>4</v>
      </c>
      <c r="R1816" s="160">
        <f t="shared" si="305"/>
        <v>19.549999999988358</v>
      </c>
      <c r="S1816" s="158">
        <f t="shared" si="306"/>
        <v>1.7874285714275071</v>
      </c>
      <c r="T1816" s="161">
        <f t="shared" si="307"/>
        <v>854.39085714234841</v>
      </c>
      <c r="U1816" s="158">
        <f t="shared" si="308"/>
        <v>43.702857142857141</v>
      </c>
      <c r="V1816" s="160">
        <f t="shared" si="309"/>
        <v>44</v>
      </c>
    </row>
    <row r="1817" spans="1:22" x14ac:dyDescent="0.25">
      <c r="A1817" s="98" t="s">
        <v>24</v>
      </c>
      <c r="B1817" s="98" t="s">
        <v>17</v>
      </c>
      <c r="C1817" s="98">
        <v>29</v>
      </c>
      <c r="D1817" s="98">
        <v>4260</v>
      </c>
      <c r="E1817" s="157">
        <v>41383.998611111114</v>
      </c>
      <c r="F1817" s="157">
        <v>41384.004166666666</v>
      </c>
      <c r="G1817" s="98">
        <v>460</v>
      </c>
      <c r="H1817" s="98">
        <v>525</v>
      </c>
      <c r="I1817" s="98">
        <v>478</v>
      </c>
      <c r="J1817" s="98" t="s">
        <v>1982</v>
      </c>
      <c r="K1817" s="98" t="s">
        <v>550</v>
      </c>
      <c r="L1817" s="105" t="str">
        <f t="shared" si="300"/>
        <v>Ghent</v>
      </c>
      <c r="M1817" s="105" t="str">
        <f t="shared" si="301"/>
        <v>Derate</v>
      </c>
      <c r="N1817" s="105" t="str">
        <f t="shared" si="302"/>
        <v>Coal</v>
      </c>
      <c r="O1817" s="105">
        <f>IFERROR(VLOOKUP(A1817,Lookup!$J$5:$P$19,7,FALSE),0)</f>
        <v>3</v>
      </c>
      <c r="P1817" s="159">
        <f t="shared" si="303"/>
        <v>2013</v>
      </c>
      <c r="Q1817" s="159">
        <f t="shared" si="304"/>
        <v>4</v>
      </c>
      <c r="R1817" s="160">
        <f t="shared" si="305"/>
        <v>0.13333333324408159</v>
      </c>
      <c r="S1817" s="158">
        <f t="shared" si="306"/>
        <v>1.6507936496886293E-2</v>
      </c>
      <c r="T1817" s="161">
        <f t="shared" si="307"/>
        <v>7.8907936455116481</v>
      </c>
      <c r="U1817" s="158">
        <f t="shared" si="308"/>
        <v>59.180952380952384</v>
      </c>
      <c r="V1817" s="160">
        <f t="shared" si="309"/>
        <v>59</v>
      </c>
    </row>
    <row r="1818" spans="1:22" x14ac:dyDescent="0.25">
      <c r="A1818" s="98" t="s">
        <v>24</v>
      </c>
      <c r="B1818" s="98" t="s">
        <v>15</v>
      </c>
      <c r="C1818" s="98">
        <v>30</v>
      </c>
      <c r="D1818" s="98">
        <v>4260</v>
      </c>
      <c r="E1818" s="157">
        <v>41384.004166666666</v>
      </c>
      <c r="F1818" s="157">
        <v>41384.161111111112</v>
      </c>
      <c r="G1818" s="98">
        <v>0</v>
      </c>
      <c r="H1818" s="98">
        <v>525</v>
      </c>
      <c r="I1818" s="98">
        <v>478</v>
      </c>
      <c r="J1818" s="98" t="s">
        <v>1982</v>
      </c>
      <c r="K1818" s="98" t="s">
        <v>551</v>
      </c>
      <c r="L1818" s="105" t="str">
        <f t="shared" si="300"/>
        <v>Ghent</v>
      </c>
      <c r="M1818" s="105" t="str">
        <f t="shared" si="301"/>
        <v>Outage</v>
      </c>
      <c r="N1818" s="105" t="str">
        <f t="shared" si="302"/>
        <v>Coal</v>
      </c>
      <c r="O1818" s="105">
        <f>IFERROR(VLOOKUP(A1818,Lookup!$J$5:$P$19,7,FALSE),0)</f>
        <v>3</v>
      </c>
      <c r="P1818" s="159">
        <f t="shared" si="303"/>
        <v>2013</v>
      </c>
      <c r="Q1818" s="159">
        <f t="shared" si="304"/>
        <v>4</v>
      </c>
      <c r="R1818" s="160">
        <f t="shared" si="305"/>
        <v>3.7666666667209938</v>
      </c>
      <c r="S1818" s="158">
        <f t="shared" si="306"/>
        <v>3.7666666667209938</v>
      </c>
      <c r="T1818" s="161">
        <f t="shared" si="307"/>
        <v>1800.466666692635</v>
      </c>
      <c r="U1818" s="158">
        <f t="shared" si="308"/>
        <v>478</v>
      </c>
      <c r="V1818" s="160">
        <f t="shared" si="309"/>
        <v>478</v>
      </c>
    </row>
    <row r="1819" spans="1:22" x14ac:dyDescent="0.25">
      <c r="A1819" s="98" t="s">
        <v>24</v>
      </c>
      <c r="B1819" s="98" t="s">
        <v>17</v>
      </c>
      <c r="C1819" s="98">
        <v>31</v>
      </c>
      <c r="D1819" s="98">
        <v>1493</v>
      </c>
      <c r="E1819" s="157">
        <v>41388.052777777775</v>
      </c>
      <c r="F1819" s="157">
        <v>41395.326388888891</v>
      </c>
      <c r="G1819" s="98">
        <v>500</v>
      </c>
      <c r="H1819" s="98">
        <v>525</v>
      </c>
      <c r="I1819" s="98">
        <v>478</v>
      </c>
      <c r="J1819" s="98" t="s">
        <v>2185</v>
      </c>
      <c r="K1819" s="98" t="s">
        <v>552</v>
      </c>
      <c r="L1819" s="105" t="str">
        <f t="shared" si="300"/>
        <v>Ghent</v>
      </c>
      <c r="M1819" s="105" t="str">
        <f t="shared" si="301"/>
        <v>Derate</v>
      </c>
      <c r="N1819" s="105" t="str">
        <f t="shared" si="302"/>
        <v>Coal</v>
      </c>
      <c r="O1819" s="105">
        <f>IFERROR(VLOOKUP(A1819,Lookup!$J$5:$P$19,7,FALSE),0)</f>
        <v>3</v>
      </c>
      <c r="P1819" s="159">
        <f t="shared" si="303"/>
        <v>2013</v>
      </c>
      <c r="Q1819" s="159">
        <f t="shared" si="304"/>
        <v>4</v>
      </c>
      <c r="R1819" s="160">
        <f t="shared" si="305"/>
        <v>174.56666666676756</v>
      </c>
      <c r="S1819" s="158">
        <f t="shared" si="306"/>
        <v>8.3126984127032166</v>
      </c>
      <c r="T1819" s="161">
        <f t="shared" si="307"/>
        <v>3973.4698412721377</v>
      </c>
      <c r="U1819" s="158">
        <f t="shared" si="308"/>
        <v>22.761904761904763</v>
      </c>
      <c r="V1819" s="160">
        <f t="shared" si="309"/>
        <v>23</v>
      </c>
    </row>
    <row r="1820" spans="1:22" x14ac:dyDescent="0.25">
      <c r="A1820" s="98" t="s">
        <v>24</v>
      </c>
      <c r="B1820" s="98" t="s">
        <v>17</v>
      </c>
      <c r="C1820" s="98">
        <v>32</v>
      </c>
      <c r="D1820" s="98">
        <v>1493</v>
      </c>
      <c r="E1820" s="157">
        <v>41395.326388888891</v>
      </c>
      <c r="F1820" s="157">
        <v>41395.679166666669</v>
      </c>
      <c r="G1820" s="98">
        <v>510</v>
      </c>
      <c r="H1820" s="98">
        <v>525</v>
      </c>
      <c r="I1820" s="98">
        <v>478</v>
      </c>
      <c r="J1820" s="98" t="s">
        <v>2185</v>
      </c>
      <c r="K1820" s="98" t="s">
        <v>553</v>
      </c>
      <c r="L1820" s="105" t="str">
        <f t="shared" si="300"/>
        <v>Ghent</v>
      </c>
      <c r="M1820" s="105" t="str">
        <f t="shared" si="301"/>
        <v>Derate</v>
      </c>
      <c r="N1820" s="105" t="str">
        <f t="shared" si="302"/>
        <v>Coal</v>
      </c>
      <c r="O1820" s="105">
        <f>IFERROR(VLOOKUP(A1820,Lookup!$J$5:$P$19,7,FALSE),0)</f>
        <v>3</v>
      </c>
      <c r="P1820" s="159">
        <f t="shared" si="303"/>
        <v>2013</v>
      </c>
      <c r="Q1820" s="159">
        <f t="shared" si="304"/>
        <v>5</v>
      </c>
      <c r="R1820" s="160">
        <f t="shared" si="305"/>
        <v>8.4666666666744277</v>
      </c>
      <c r="S1820" s="158">
        <f t="shared" si="306"/>
        <v>0.24190476190498364</v>
      </c>
      <c r="T1820" s="161">
        <f t="shared" si="307"/>
        <v>115.63047619058219</v>
      </c>
      <c r="U1820" s="158">
        <f t="shared" si="308"/>
        <v>13.657142857142857</v>
      </c>
      <c r="V1820" s="160">
        <f t="shared" si="309"/>
        <v>14</v>
      </c>
    </row>
    <row r="1821" spans="1:22" x14ac:dyDescent="0.25">
      <c r="A1821" s="98" t="s">
        <v>24</v>
      </c>
      <c r="B1821" s="98" t="s">
        <v>20</v>
      </c>
      <c r="C1821" s="98">
        <v>33</v>
      </c>
      <c r="D1821" s="98">
        <v>1493</v>
      </c>
      <c r="E1821" s="157">
        <v>41397.933333333334</v>
      </c>
      <c r="F1821" s="157">
        <v>41401.949999999997</v>
      </c>
      <c r="G1821" s="98">
        <v>0</v>
      </c>
      <c r="H1821" s="98">
        <v>525</v>
      </c>
      <c r="I1821" s="98">
        <v>478</v>
      </c>
      <c r="J1821" s="98" t="s">
        <v>2185</v>
      </c>
      <c r="K1821" s="98" t="s">
        <v>554</v>
      </c>
      <c r="L1821" s="105" t="str">
        <f t="shared" si="300"/>
        <v>Ghent</v>
      </c>
      <c r="M1821" s="105" t="str">
        <f t="shared" si="301"/>
        <v>Maintenance</v>
      </c>
      <c r="N1821" s="105" t="str">
        <f t="shared" si="302"/>
        <v>Coal</v>
      </c>
      <c r="O1821" s="105">
        <f>IFERROR(VLOOKUP(A1821,Lookup!$J$5:$P$19,7,FALSE),0)</f>
        <v>3</v>
      </c>
      <c r="P1821" s="159">
        <f t="shared" si="303"/>
        <v>2013</v>
      </c>
      <c r="Q1821" s="159">
        <f t="shared" si="304"/>
        <v>5</v>
      </c>
      <c r="R1821" s="160">
        <f t="shared" si="305"/>
        <v>96.399999999906868</v>
      </c>
      <c r="S1821" s="158">
        <f t="shared" si="306"/>
        <v>96.399999999906868</v>
      </c>
      <c r="T1821" s="161">
        <f t="shared" si="307"/>
        <v>46079.199999955483</v>
      </c>
      <c r="U1821" s="158">
        <f t="shared" si="308"/>
        <v>478</v>
      </c>
      <c r="V1821" s="160">
        <f t="shared" si="309"/>
        <v>478</v>
      </c>
    </row>
    <row r="1822" spans="1:22" x14ac:dyDescent="0.25">
      <c r="A1822" s="98" t="s">
        <v>24</v>
      </c>
      <c r="B1822" s="98" t="s">
        <v>17</v>
      </c>
      <c r="C1822" s="98">
        <v>34</v>
      </c>
      <c r="D1822" s="98">
        <v>9900</v>
      </c>
      <c r="E1822" s="157">
        <v>41402.283333333333</v>
      </c>
      <c r="F1822" s="157">
        <v>41402.326388888891</v>
      </c>
      <c r="G1822" s="98">
        <v>360</v>
      </c>
      <c r="H1822" s="98">
        <v>525</v>
      </c>
      <c r="I1822" s="98">
        <v>478</v>
      </c>
      <c r="J1822" s="98" t="s">
        <v>1996</v>
      </c>
      <c r="K1822" s="98" t="s">
        <v>555</v>
      </c>
      <c r="L1822" s="105" t="str">
        <f t="shared" si="300"/>
        <v>Ghent</v>
      </c>
      <c r="M1822" s="105" t="str">
        <f t="shared" si="301"/>
        <v>Derate</v>
      </c>
      <c r="N1822" s="105" t="str">
        <f t="shared" si="302"/>
        <v>Coal</v>
      </c>
      <c r="O1822" s="105">
        <f>IFERROR(VLOOKUP(A1822,Lookup!$J$5:$P$19,7,FALSE),0)</f>
        <v>3</v>
      </c>
      <c r="P1822" s="159">
        <f t="shared" si="303"/>
        <v>2013</v>
      </c>
      <c r="Q1822" s="159">
        <f t="shared" si="304"/>
        <v>5</v>
      </c>
      <c r="R1822" s="160">
        <f t="shared" si="305"/>
        <v>1.03333333338378</v>
      </c>
      <c r="S1822" s="158">
        <f t="shared" si="306"/>
        <v>0.3247619047777594</v>
      </c>
      <c r="T1822" s="161">
        <f t="shared" si="307"/>
        <v>155.23619048376901</v>
      </c>
      <c r="U1822" s="158">
        <f t="shared" si="308"/>
        <v>150.22857142857143</v>
      </c>
      <c r="V1822" s="160">
        <f t="shared" si="309"/>
        <v>150</v>
      </c>
    </row>
    <row r="1823" spans="1:22" x14ac:dyDescent="0.25">
      <c r="A1823" s="98" t="s">
        <v>24</v>
      </c>
      <c r="B1823" s="98" t="s">
        <v>17</v>
      </c>
      <c r="C1823" s="98">
        <v>35</v>
      </c>
      <c r="D1823" s="98">
        <v>385</v>
      </c>
      <c r="E1823" s="157">
        <v>41408.217361111114</v>
      </c>
      <c r="F1823" s="157">
        <v>41408.226388888892</v>
      </c>
      <c r="G1823" s="98">
        <v>409</v>
      </c>
      <c r="H1823" s="98">
        <v>525</v>
      </c>
      <c r="I1823" s="98">
        <v>478</v>
      </c>
      <c r="J1823" s="98" t="s">
        <v>228</v>
      </c>
      <c r="K1823" s="98" t="s">
        <v>556</v>
      </c>
      <c r="L1823" s="105" t="str">
        <f t="shared" si="300"/>
        <v>Ghent</v>
      </c>
      <c r="M1823" s="105" t="str">
        <f t="shared" si="301"/>
        <v>Derate</v>
      </c>
      <c r="N1823" s="105" t="str">
        <f t="shared" si="302"/>
        <v>Coal</v>
      </c>
      <c r="O1823" s="105">
        <f>IFERROR(VLOOKUP(A1823,Lookup!$J$5:$P$19,7,FALSE),0)</f>
        <v>3</v>
      </c>
      <c r="P1823" s="159">
        <f t="shared" si="303"/>
        <v>2013</v>
      </c>
      <c r="Q1823" s="159">
        <f t="shared" si="304"/>
        <v>5</v>
      </c>
      <c r="R1823" s="160">
        <f t="shared" si="305"/>
        <v>0.21666666667442769</v>
      </c>
      <c r="S1823" s="158">
        <f t="shared" si="306"/>
        <v>4.7873015874730689E-2</v>
      </c>
      <c r="T1823" s="161">
        <f t="shared" si="307"/>
        <v>22.88330158812127</v>
      </c>
      <c r="U1823" s="158">
        <f t="shared" si="308"/>
        <v>105.6152380952381</v>
      </c>
      <c r="V1823" s="160">
        <f t="shared" si="309"/>
        <v>106</v>
      </c>
    </row>
    <row r="1824" spans="1:22" x14ac:dyDescent="0.25">
      <c r="A1824" s="98" t="s">
        <v>24</v>
      </c>
      <c r="B1824" s="98" t="s">
        <v>20</v>
      </c>
      <c r="C1824" s="98">
        <v>36</v>
      </c>
      <c r="D1824" s="98">
        <v>1000</v>
      </c>
      <c r="E1824" s="157">
        <v>41411.963194444441</v>
      </c>
      <c r="F1824" s="157">
        <v>41412.688888888886</v>
      </c>
      <c r="G1824" s="98">
        <v>0</v>
      </c>
      <c r="H1824" s="98">
        <v>525</v>
      </c>
      <c r="I1824" s="98">
        <v>478</v>
      </c>
      <c r="J1824" s="98" t="s">
        <v>2002</v>
      </c>
      <c r="K1824" s="98" t="s">
        <v>557</v>
      </c>
      <c r="L1824" s="105" t="str">
        <f t="shared" si="300"/>
        <v>Ghent</v>
      </c>
      <c r="M1824" s="105" t="str">
        <f t="shared" si="301"/>
        <v>Maintenance</v>
      </c>
      <c r="N1824" s="105" t="str">
        <f t="shared" si="302"/>
        <v>Coal</v>
      </c>
      <c r="O1824" s="105">
        <f>IFERROR(VLOOKUP(A1824,Lookup!$J$5:$P$19,7,FALSE),0)</f>
        <v>3</v>
      </c>
      <c r="P1824" s="159">
        <f t="shared" si="303"/>
        <v>2013</v>
      </c>
      <c r="Q1824" s="159">
        <f t="shared" si="304"/>
        <v>5</v>
      </c>
      <c r="R1824" s="160">
        <f t="shared" si="305"/>
        <v>17.416666666686069</v>
      </c>
      <c r="S1824" s="158">
        <f t="shared" si="306"/>
        <v>17.416666666686069</v>
      </c>
      <c r="T1824" s="161">
        <f t="shared" si="307"/>
        <v>8325.1666666759411</v>
      </c>
      <c r="U1824" s="158">
        <f t="shared" si="308"/>
        <v>478</v>
      </c>
      <c r="V1824" s="160">
        <f t="shared" si="309"/>
        <v>478</v>
      </c>
    </row>
    <row r="1825" spans="1:22" x14ac:dyDescent="0.25">
      <c r="A1825" s="98" t="s">
        <v>24</v>
      </c>
      <c r="B1825" s="98" t="s">
        <v>17</v>
      </c>
      <c r="C1825" s="98">
        <v>37</v>
      </c>
      <c r="D1825" s="98">
        <v>590</v>
      </c>
      <c r="E1825" s="157">
        <v>41416.205555555556</v>
      </c>
      <c r="F1825" s="157">
        <v>41416.239583333336</v>
      </c>
      <c r="G1825" s="98">
        <v>340</v>
      </c>
      <c r="H1825" s="98">
        <v>525</v>
      </c>
      <c r="I1825" s="98">
        <v>478</v>
      </c>
      <c r="J1825" s="98" t="s">
        <v>2116</v>
      </c>
      <c r="K1825" s="98" t="s">
        <v>558</v>
      </c>
      <c r="L1825" s="105" t="str">
        <f t="shared" si="300"/>
        <v>Ghent</v>
      </c>
      <c r="M1825" s="105" t="str">
        <f t="shared" si="301"/>
        <v>Derate</v>
      </c>
      <c r="N1825" s="105" t="str">
        <f t="shared" si="302"/>
        <v>Coal</v>
      </c>
      <c r="O1825" s="105">
        <f>IFERROR(VLOOKUP(A1825,Lookup!$J$5:$P$19,7,FALSE),0)</f>
        <v>3</v>
      </c>
      <c r="P1825" s="159">
        <f t="shared" si="303"/>
        <v>2013</v>
      </c>
      <c r="Q1825" s="159">
        <f t="shared" si="304"/>
        <v>5</v>
      </c>
      <c r="R1825" s="160">
        <f t="shared" si="305"/>
        <v>0.81666666670935228</v>
      </c>
      <c r="S1825" s="158">
        <f t="shared" si="306"/>
        <v>0.28777777779281938</v>
      </c>
      <c r="T1825" s="161">
        <f t="shared" si="307"/>
        <v>137.55777778496767</v>
      </c>
      <c r="U1825" s="158">
        <f t="shared" si="308"/>
        <v>168.43809523809523</v>
      </c>
      <c r="V1825" s="160">
        <f t="shared" si="309"/>
        <v>168</v>
      </c>
    </row>
    <row r="1826" spans="1:22" x14ac:dyDescent="0.25">
      <c r="A1826" s="98" t="s">
        <v>24</v>
      </c>
      <c r="B1826" s="98" t="s">
        <v>17</v>
      </c>
      <c r="C1826" s="98">
        <v>38</v>
      </c>
      <c r="D1826" s="98">
        <v>250</v>
      </c>
      <c r="E1826" s="157">
        <v>41450.481249999997</v>
      </c>
      <c r="F1826" s="157">
        <v>41450.490972222222</v>
      </c>
      <c r="G1826" s="98">
        <v>450</v>
      </c>
      <c r="H1826" s="98">
        <v>525</v>
      </c>
      <c r="I1826" s="98">
        <v>478</v>
      </c>
      <c r="J1826" s="98" t="s">
        <v>1978</v>
      </c>
      <c r="K1826" s="98" t="s">
        <v>559</v>
      </c>
      <c r="L1826" s="105" t="str">
        <f t="shared" si="300"/>
        <v>Ghent</v>
      </c>
      <c r="M1826" s="105" t="str">
        <f t="shared" si="301"/>
        <v>Derate</v>
      </c>
      <c r="N1826" s="105" t="str">
        <f t="shared" si="302"/>
        <v>Coal</v>
      </c>
      <c r="O1826" s="105">
        <f>IFERROR(VLOOKUP(A1826,Lookup!$J$5:$P$19,7,FALSE),0)</f>
        <v>3</v>
      </c>
      <c r="P1826" s="159">
        <f t="shared" si="303"/>
        <v>2013</v>
      </c>
      <c r="Q1826" s="159">
        <f t="shared" si="304"/>
        <v>6</v>
      </c>
      <c r="R1826" s="160">
        <f t="shared" si="305"/>
        <v>0.2333333333954215</v>
      </c>
      <c r="S1826" s="158">
        <f t="shared" si="306"/>
        <v>3.3333333342203071E-2</v>
      </c>
      <c r="T1826" s="161">
        <f t="shared" si="307"/>
        <v>15.933333337573067</v>
      </c>
      <c r="U1826" s="158">
        <f t="shared" si="308"/>
        <v>68.285714285714292</v>
      </c>
      <c r="V1826" s="160">
        <f t="shared" si="309"/>
        <v>68</v>
      </c>
    </row>
    <row r="1827" spans="1:22" x14ac:dyDescent="0.25">
      <c r="A1827" s="98" t="s">
        <v>24</v>
      </c>
      <c r="B1827" s="98" t="s">
        <v>17</v>
      </c>
      <c r="C1827" s="98">
        <v>39</v>
      </c>
      <c r="D1827" s="98">
        <v>1455</v>
      </c>
      <c r="E1827" s="157">
        <v>41451.182638888888</v>
      </c>
      <c r="F1827" s="157">
        <v>41451.276388888888</v>
      </c>
      <c r="G1827" s="98">
        <v>190</v>
      </c>
      <c r="H1827" s="98">
        <v>525</v>
      </c>
      <c r="I1827" s="98">
        <v>478</v>
      </c>
      <c r="J1827" s="98" t="s">
        <v>1990</v>
      </c>
      <c r="K1827" s="98" t="s">
        <v>560</v>
      </c>
      <c r="L1827" s="105" t="str">
        <f t="shared" si="300"/>
        <v>Ghent</v>
      </c>
      <c r="M1827" s="105" t="str">
        <f t="shared" si="301"/>
        <v>Derate</v>
      </c>
      <c r="N1827" s="105" t="str">
        <f t="shared" si="302"/>
        <v>Coal</v>
      </c>
      <c r="O1827" s="105">
        <f>IFERROR(VLOOKUP(A1827,Lookup!$J$5:$P$19,7,FALSE),0)</f>
        <v>3</v>
      </c>
      <c r="P1827" s="159">
        <f t="shared" si="303"/>
        <v>2013</v>
      </c>
      <c r="Q1827" s="159">
        <f t="shared" si="304"/>
        <v>6</v>
      </c>
      <c r="R1827" s="160">
        <f t="shared" si="305"/>
        <v>2.25</v>
      </c>
      <c r="S1827" s="158">
        <f t="shared" si="306"/>
        <v>1.4357142857142857</v>
      </c>
      <c r="T1827" s="161">
        <f t="shared" si="307"/>
        <v>686.2714285714286</v>
      </c>
      <c r="U1827" s="158">
        <f t="shared" si="308"/>
        <v>305.00952380952378</v>
      </c>
      <c r="V1827" s="160">
        <f t="shared" si="309"/>
        <v>305</v>
      </c>
    </row>
    <row r="1828" spans="1:22" x14ac:dyDescent="0.25">
      <c r="A1828" s="98" t="s">
        <v>24</v>
      </c>
      <c r="B1828" s="98" t="s">
        <v>17</v>
      </c>
      <c r="C1828" s="98">
        <v>40</v>
      </c>
      <c r="D1828" s="98">
        <v>1455</v>
      </c>
      <c r="E1828" s="157">
        <v>41452.430555555555</v>
      </c>
      <c r="F1828" s="157">
        <v>41452.466666666667</v>
      </c>
      <c r="G1828" s="98">
        <v>180</v>
      </c>
      <c r="H1828" s="98">
        <v>525</v>
      </c>
      <c r="I1828" s="98">
        <v>478</v>
      </c>
      <c r="J1828" s="98" t="s">
        <v>1990</v>
      </c>
      <c r="K1828" s="98" t="s">
        <v>561</v>
      </c>
      <c r="L1828" s="105" t="str">
        <f t="shared" si="300"/>
        <v>Ghent</v>
      </c>
      <c r="M1828" s="105" t="str">
        <f t="shared" si="301"/>
        <v>Derate</v>
      </c>
      <c r="N1828" s="105" t="str">
        <f t="shared" si="302"/>
        <v>Coal</v>
      </c>
      <c r="O1828" s="105">
        <f>IFERROR(VLOOKUP(A1828,Lookup!$J$5:$P$19,7,FALSE),0)</f>
        <v>3</v>
      </c>
      <c r="P1828" s="159">
        <f t="shared" si="303"/>
        <v>2013</v>
      </c>
      <c r="Q1828" s="159">
        <f t="shared" si="304"/>
        <v>6</v>
      </c>
      <c r="R1828" s="160">
        <f t="shared" si="305"/>
        <v>0.86666666669771075</v>
      </c>
      <c r="S1828" s="158">
        <f t="shared" si="306"/>
        <v>0.56952380954420989</v>
      </c>
      <c r="T1828" s="161">
        <f t="shared" si="307"/>
        <v>272.23238096213231</v>
      </c>
      <c r="U1828" s="158">
        <f t="shared" si="308"/>
        <v>314.1142857142857</v>
      </c>
      <c r="V1828" s="160">
        <f t="shared" si="309"/>
        <v>314</v>
      </c>
    </row>
    <row r="1829" spans="1:22" x14ac:dyDescent="0.25">
      <c r="A1829" s="98" t="s">
        <v>24</v>
      </c>
      <c r="B1829" s="98" t="s">
        <v>15</v>
      </c>
      <c r="C1829" s="98">
        <v>41</v>
      </c>
      <c r="D1829" s="98">
        <v>3245</v>
      </c>
      <c r="E1829" s="157">
        <v>41467.191666666666</v>
      </c>
      <c r="F1829" s="157">
        <v>41474.674305555556</v>
      </c>
      <c r="G1829" s="98">
        <v>0</v>
      </c>
      <c r="H1829" s="98">
        <v>525</v>
      </c>
      <c r="I1829" s="98">
        <v>478</v>
      </c>
      <c r="J1829" s="98" t="s">
        <v>2199</v>
      </c>
      <c r="K1829" s="98" t="s">
        <v>1300</v>
      </c>
      <c r="L1829" s="105" t="str">
        <f t="shared" si="300"/>
        <v>Ghent</v>
      </c>
      <c r="M1829" s="105" t="str">
        <f t="shared" si="301"/>
        <v>Outage</v>
      </c>
      <c r="N1829" s="105" t="str">
        <f t="shared" si="302"/>
        <v>Coal</v>
      </c>
      <c r="O1829" s="105">
        <f>IFERROR(VLOOKUP(A1829,Lookup!$J$5:$P$19,7,FALSE),0)</f>
        <v>3</v>
      </c>
      <c r="P1829" s="159">
        <f t="shared" si="303"/>
        <v>2013</v>
      </c>
      <c r="Q1829" s="159">
        <f t="shared" si="304"/>
        <v>7</v>
      </c>
      <c r="R1829" s="160">
        <f t="shared" si="305"/>
        <v>179.58333333337214</v>
      </c>
      <c r="S1829" s="158">
        <f t="shared" si="306"/>
        <v>179.58333333337214</v>
      </c>
      <c r="T1829" s="161">
        <f t="shared" si="307"/>
        <v>85840.833333351882</v>
      </c>
      <c r="U1829" s="158">
        <f t="shared" si="308"/>
        <v>478</v>
      </c>
      <c r="V1829" s="160">
        <f t="shared" si="309"/>
        <v>478</v>
      </c>
    </row>
    <row r="1830" spans="1:22" x14ac:dyDescent="0.25">
      <c r="A1830" s="98" t="s">
        <v>24</v>
      </c>
      <c r="B1830" s="98" t="s">
        <v>32</v>
      </c>
      <c r="C1830" s="98">
        <v>42</v>
      </c>
      <c r="D1830" s="98">
        <v>1455</v>
      </c>
      <c r="E1830" s="157">
        <v>41482.25</v>
      </c>
      <c r="F1830" s="157">
        <v>41482.520833333336</v>
      </c>
      <c r="G1830" s="98">
        <v>160</v>
      </c>
      <c r="H1830" s="98">
        <v>525</v>
      </c>
      <c r="I1830" s="98">
        <v>478</v>
      </c>
      <c r="J1830" s="98" t="s">
        <v>1990</v>
      </c>
      <c r="K1830" s="98" t="s">
        <v>1301</v>
      </c>
      <c r="L1830" s="105" t="str">
        <f t="shared" si="300"/>
        <v>Ghent</v>
      </c>
      <c r="M1830" s="105" t="str">
        <f t="shared" si="301"/>
        <v>Derate</v>
      </c>
      <c r="N1830" s="105" t="str">
        <f t="shared" si="302"/>
        <v>Coal</v>
      </c>
      <c r="O1830" s="105">
        <f>IFERROR(VLOOKUP(A1830,Lookup!$J$5:$P$19,7,FALSE),0)</f>
        <v>3</v>
      </c>
      <c r="P1830" s="159">
        <f t="shared" si="303"/>
        <v>2013</v>
      </c>
      <c r="Q1830" s="159">
        <f t="shared" si="304"/>
        <v>7</v>
      </c>
      <c r="R1830" s="160">
        <f t="shared" si="305"/>
        <v>6.5000000000582077</v>
      </c>
      <c r="S1830" s="158">
        <f t="shared" si="306"/>
        <v>4.5190476190880871</v>
      </c>
      <c r="T1830" s="161">
        <f t="shared" si="307"/>
        <v>2160.1047619241058</v>
      </c>
      <c r="U1830" s="158">
        <f t="shared" si="308"/>
        <v>332.32380952380953</v>
      </c>
      <c r="V1830" s="160">
        <f t="shared" si="309"/>
        <v>332</v>
      </c>
    </row>
    <row r="1831" spans="1:22" x14ac:dyDescent="0.25">
      <c r="A1831" s="98" t="s">
        <v>24</v>
      </c>
      <c r="B1831" s="98" t="s">
        <v>17</v>
      </c>
      <c r="C1831" s="98">
        <v>43</v>
      </c>
      <c r="D1831" s="98">
        <v>1999</v>
      </c>
      <c r="E1831" s="157">
        <v>41493.385416666664</v>
      </c>
      <c r="F1831" s="157">
        <v>41493.659722222219</v>
      </c>
      <c r="G1831" s="98">
        <v>495</v>
      </c>
      <c r="H1831" s="98">
        <v>525</v>
      </c>
      <c r="I1831" s="98">
        <v>478</v>
      </c>
      <c r="J1831" s="98" t="s">
        <v>2108</v>
      </c>
      <c r="K1831" s="98" t="s">
        <v>1302</v>
      </c>
      <c r="L1831" s="105" t="str">
        <f t="shared" ref="L1831:L1894" si="310">IF(OR(A1831="BR1",A1831="BR2",A1831="BR3",A1831="BR5",A1831="BR6",A1831="BR7",A1831="BR8",A1831="BR9",A1831="BR10",A1831="BR11"),"Brown",IF(OR(A1831="CR4",A1831="CR5",A1831="CR6",A1831="CR11"),"Cane Run",IF(OR(A1831="GH1",A1831="GH2",A1831="GH3",A1831="GH4"),"Ghent",IF(OR(A1831="GR3",A1831="GR4"),"Green River",IF(OR(A1831="MC1",A1831="MC2",A1831="MC3",A1831="MC4"),"Mill Creek",IF(OR(A1831="TC1",A1831="TC2",A1831="TC5",A1831="TC6",A1831="TC7",A1831="TC8",A1831="TC9",A1831="TC10"),"Trimble",IF(A1831="TY3","Tyrone",IF(OR(A1831="HA1",A1831="HA2",A1831="HA3"),"Haeflin",IF(OR(A1831="PR11",A1831="PR12",A1831="PR13"),"Paddy's Run","Zorn")))))))))</f>
        <v>Ghent</v>
      </c>
      <c r="M1831" s="105" t="str">
        <f t="shared" ref="M1831:M1894" si="311">IF(OR(B1831="D1",B1831="D2",B1831="D3",B1831="D4",B1831="PD"),"Derate",IF(OR(B1831="SF",B1831="U1",B1831="U2",B1831="U3"),"Outage",IF(OR(B1831="ME",B1831="MO"),"Maintenance","Other")))</f>
        <v>Derate</v>
      </c>
      <c r="N1831" s="105" t="str">
        <f t="shared" ref="N1831:N1894" si="312">IF(OR(A1831="BR1",A1831="BR2",A1831="BR3",A1831="CR4",A1831="CR5",A1831="CR6",A1831="GH1",A1831="GH2",A1831="GH3",A1831="GH4",A1831="GR3",A1831="GR4",A1831="MC1",A1831="MC2",A1831="MC3",A1831="MC4",A1831="TC1",A1831="TC2",A1831="TY3"),"Coal","Gas")</f>
        <v>Coal</v>
      </c>
      <c r="O1831" s="105">
        <f>IFERROR(VLOOKUP(A1831,Lookup!$J$5:$P$19,7,FALSE),0)</f>
        <v>3</v>
      </c>
      <c r="P1831" s="159">
        <f t="shared" ref="P1831:P1894" si="313">YEAR(E1831)</f>
        <v>2013</v>
      </c>
      <c r="Q1831" s="159">
        <f t="shared" ref="Q1831:Q1894" si="314">MONTH(E1831)</f>
        <v>8</v>
      </c>
      <c r="R1831" s="160">
        <f t="shared" ref="R1831:R1894" si="315">(F1831-E1831)*24</f>
        <v>6.5833333333139308</v>
      </c>
      <c r="S1831" s="158">
        <f t="shared" ref="S1831:S1894" si="316">R1831*(H1831-G1831)/H1831</f>
        <v>0.37619047618936746</v>
      </c>
      <c r="T1831" s="161">
        <f t="shared" ref="T1831:T1894" si="317">S1831*I1831</f>
        <v>179.81904761851766</v>
      </c>
      <c r="U1831" s="158">
        <f t="shared" ref="U1831:U1894" si="318">IF(G1831&gt;0,MAX((H1831-G1831),0)*I1831/H1831,I1831)</f>
        <v>27.314285714285713</v>
      </c>
      <c r="V1831" s="160">
        <f t="shared" ref="V1831:V1894" si="319">ROUND(U1831,0)</f>
        <v>27</v>
      </c>
    </row>
    <row r="1832" spans="1:22" x14ac:dyDescent="0.25">
      <c r="A1832" s="98" t="s">
        <v>24</v>
      </c>
      <c r="B1832" s="98" t="s">
        <v>20</v>
      </c>
      <c r="C1832" s="98">
        <v>44</v>
      </c>
      <c r="D1832" s="98">
        <v>1040</v>
      </c>
      <c r="E1832" s="157">
        <v>41505.173611111109</v>
      </c>
      <c r="F1832" s="157">
        <v>41505.754166666666</v>
      </c>
      <c r="G1832" s="98">
        <v>0</v>
      </c>
      <c r="H1832" s="98">
        <v>525</v>
      </c>
      <c r="I1832" s="98">
        <v>478</v>
      </c>
      <c r="J1832" s="98" t="s">
        <v>2001</v>
      </c>
      <c r="K1832" s="98" t="s">
        <v>1303</v>
      </c>
      <c r="L1832" s="105" t="str">
        <f t="shared" si="310"/>
        <v>Ghent</v>
      </c>
      <c r="M1832" s="105" t="str">
        <f t="shared" si="311"/>
        <v>Maintenance</v>
      </c>
      <c r="N1832" s="105" t="str">
        <f t="shared" si="312"/>
        <v>Coal</v>
      </c>
      <c r="O1832" s="105">
        <f>IFERROR(VLOOKUP(A1832,Lookup!$J$5:$P$19,7,FALSE),0)</f>
        <v>3</v>
      </c>
      <c r="P1832" s="159">
        <f t="shared" si="313"/>
        <v>2013</v>
      </c>
      <c r="Q1832" s="159">
        <f t="shared" si="314"/>
        <v>8</v>
      </c>
      <c r="R1832" s="160">
        <f t="shared" si="315"/>
        <v>13.933333333348855</v>
      </c>
      <c r="S1832" s="158">
        <f t="shared" si="316"/>
        <v>13.933333333348855</v>
      </c>
      <c r="T1832" s="161">
        <f t="shared" si="317"/>
        <v>6660.1333333407529</v>
      </c>
      <c r="U1832" s="158">
        <f t="shared" si="318"/>
        <v>478</v>
      </c>
      <c r="V1832" s="160">
        <f t="shared" si="319"/>
        <v>478</v>
      </c>
    </row>
    <row r="1833" spans="1:22" x14ac:dyDescent="0.25">
      <c r="A1833" s="98" t="s">
        <v>24</v>
      </c>
      <c r="B1833" s="98" t="s">
        <v>38</v>
      </c>
      <c r="C1833" s="98">
        <v>45</v>
      </c>
      <c r="D1833" s="98">
        <v>1812</v>
      </c>
      <c r="E1833" s="157">
        <v>41544.921527777777</v>
      </c>
      <c r="F1833" s="157">
        <v>41558.643750000003</v>
      </c>
      <c r="G1833" s="98">
        <v>0</v>
      </c>
      <c r="H1833" s="98">
        <v>525</v>
      </c>
      <c r="I1833" s="98">
        <v>478</v>
      </c>
      <c r="J1833" s="98" t="s">
        <v>1994</v>
      </c>
      <c r="K1833" s="98" t="s">
        <v>1304</v>
      </c>
      <c r="L1833" s="105" t="str">
        <f t="shared" si="310"/>
        <v>Ghent</v>
      </c>
      <c r="M1833" s="105" t="str">
        <f t="shared" si="311"/>
        <v>Other</v>
      </c>
      <c r="N1833" s="105" t="str">
        <f t="shared" si="312"/>
        <v>Coal</v>
      </c>
      <c r="O1833" s="105">
        <f>IFERROR(VLOOKUP(A1833,Lookup!$J$5:$P$19,7,FALSE),0)</f>
        <v>3</v>
      </c>
      <c r="P1833" s="159">
        <f t="shared" si="313"/>
        <v>2013</v>
      </c>
      <c r="Q1833" s="159">
        <f t="shared" si="314"/>
        <v>9</v>
      </c>
      <c r="R1833" s="160">
        <f t="shared" si="315"/>
        <v>329.33333333343035</v>
      </c>
      <c r="S1833" s="158">
        <f t="shared" si="316"/>
        <v>329.33333333343035</v>
      </c>
      <c r="T1833" s="161">
        <f t="shared" si="317"/>
        <v>157421.33333337971</v>
      </c>
      <c r="U1833" s="158">
        <f t="shared" si="318"/>
        <v>478</v>
      </c>
      <c r="V1833" s="160">
        <f t="shared" si="319"/>
        <v>478</v>
      </c>
    </row>
    <row r="1834" spans="1:22" x14ac:dyDescent="0.25">
      <c r="A1834" s="98" t="s">
        <v>24</v>
      </c>
      <c r="B1834" s="98" t="s">
        <v>17</v>
      </c>
      <c r="C1834" s="98">
        <v>46</v>
      </c>
      <c r="D1834" s="98">
        <v>1850</v>
      </c>
      <c r="E1834" s="157">
        <v>41559.149305555555</v>
      </c>
      <c r="F1834" s="157">
        <v>41559.184027777781</v>
      </c>
      <c r="G1834" s="98">
        <v>470</v>
      </c>
      <c r="H1834" s="98">
        <v>525</v>
      </c>
      <c r="I1834" s="98">
        <v>478</v>
      </c>
      <c r="J1834" s="98" t="s">
        <v>2263</v>
      </c>
      <c r="K1834" s="98" t="s">
        <v>1305</v>
      </c>
      <c r="L1834" s="105" t="str">
        <f t="shared" si="310"/>
        <v>Ghent</v>
      </c>
      <c r="M1834" s="105" t="str">
        <f t="shared" si="311"/>
        <v>Derate</v>
      </c>
      <c r="N1834" s="105" t="str">
        <f t="shared" si="312"/>
        <v>Coal</v>
      </c>
      <c r="O1834" s="105">
        <f>IFERROR(VLOOKUP(A1834,Lookup!$J$5:$P$19,7,FALSE),0)</f>
        <v>3</v>
      </c>
      <c r="P1834" s="159">
        <f t="shared" si="313"/>
        <v>2013</v>
      </c>
      <c r="Q1834" s="159">
        <f t="shared" si="314"/>
        <v>10</v>
      </c>
      <c r="R1834" s="160">
        <f t="shared" si="315"/>
        <v>0.8333333334303461</v>
      </c>
      <c r="S1834" s="158">
        <f t="shared" si="316"/>
        <v>8.7301587311750542E-2</v>
      </c>
      <c r="T1834" s="161">
        <f t="shared" si="317"/>
        <v>41.730158735016758</v>
      </c>
      <c r="U1834" s="158">
        <f t="shared" si="318"/>
        <v>50.076190476190476</v>
      </c>
      <c r="V1834" s="160">
        <f t="shared" si="319"/>
        <v>50</v>
      </c>
    </row>
    <row r="1835" spans="1:22" x14ac:dyDescent="0.25">
      <c r="A1835" s="98" t="s">
        <v>24</v>
      </c>
      <c r="B1835" s="98" t="s">
        <v>17</v>
      </c>
      <c r="C1835" s="98">
        <v>47</v>
      </c>
      <c r="D1835" s="98">
        <v>3211</v>
      </c>
      <c r="E1835" s="157">
        <v>41559.228472222225</v>
      </c>
      <c r="F1835" s="157">
        <v>41561.154166666667</v>
      </c>
      <c r="G1835" s="98">
        <v>490</v>
      </c>
      <c r="H1835" s="98">
        <v>525</v>
      </c>
      <c r="I1835" s="98">
        <v>478</v>
      </c>
      <c r="J1835" s="98" t="s">
        <v>2180</v>
      </c>
      <c r="K1835" s="98" t="s">
        <v>1306</v>
      </c>
      <c r="L1835" s="105" t="str">
        <f t="shared" si="310"/>
        <v>Ghent</v>
      </c>
      <c r="M1835" s="105" t="str">
        <f t="shared" si="311"/>
        <v>Derate</v>
      </c>
      <c r="N1835" s="105" t="str">
        <f t="shared" si="312"/>
        <v>Coal</v>
      </c>
      <c r="O1835" s="105">
        <f>IFERROR(VLOOKUP(A1835,Lookup!$J$5:$P$19,7,FALSE),0)</f>
        <v>3</v>
      </c>
      <c r="P1835" s="159">
        <f t="shared" si="313"/>
        <v>2013</v>
      </c>
      <c r="Q1835" s="159">
        <f t="shared" si="314"/>
        <v>10</v>
      </c>
      <c r="R1835" s="160">
        <f t="shared" si="315"/>
        <v>46.21666666661622</v>
      </c>
      <c r="S1835" s="158">
        <f t="shared" si="316"/>
        <v>3.0811111111077478</v>
      </c>
      <c r="T1835" s="161">
        <f t="shared" si="317"/>
        <v>1472.7711111095034</v>
      </c>
      <c r="U1835" s="158">
        <f t="shared" si="318"/>
        <v>31.866666666666667</v>
      </c>
      <c r="V1835" s="160">
        <f t="shared" si="319"/>
        <v>32</v>
      </c>
    </row>
    <row r="1836" spans="1:22" x14ac:dyDescent="0.25">
      <c r="A1836" s="98" t="s">
        <v>24</v>
      </c>
      <c r="B1836" s="98" t="s">
        <v>15</v>
      </c>
      <c r="C1836" s="98">
        <v>48</v>
      </c>
      <c r="D1836" s="98">
        <v>1080</v>
      </c>
      <c r="E1836" s="157">
        <v>41561.154166666667</v>
      </c>
      <c r="F1836" s="157">
        <v>41562.09375</v>
      </c>
      <c r="G1836" s="98">
        <v>0</v>
      </c>
      <c r="H1836" s="98">
        <v>525</v>
      </c>
      <c r="I1836" s="98">
        <v>478</v>
      </c>
      <c r="J1836" s="98" t="s">
        <v>1991</v>
      </c>
      <c r="K1836" s="98" t="s">
        <v>1307</v>
      </c>
      <c r="L1836" s="105" t="str">
        <f t="shared" si="310"/>
        <v>Ghent</v>
      </c>
      <c r="M1836" s="105" t="str">
        <f t="shared" si="311"/>
        <v>Outage</v>
      </c>
      <c r="N1836" s="105" t="str">
        <f t="shared" si="312"/>
        <v>Coal</v>
      </c>
      <c r="O1836" s="105">
        <f>IFERROR(VLOOKUP(A1836,Lookup!$J$5:$P$19,7,FALSE),0)</f>
        <v>3</v>
      </c>
      <c r="P1836" s="159">
        <f t="shared" si="313"/>
        <v>2013</v>
      </c>
      <c r="Q1836" s="159">
        <f t="shared" si="314"/>
        <v>10</v>
      </c>
      <c r="R1836" s="160">
        <f t="shared" si="315"/>
        <v>22.549999999988358</v>
      </c>
      <c r="S1836" s="158">
        <f t="shared" si="316"/>
        <v>22.549999999988358</v>
      </c>
      <c r="T1836" s="161">
        <f t="shared" si="317"/>
        <v>10778.899999994435</v>
      </c>
      <c r="U1836" s="158">
        <f t="shared" si="318"/>
        <v>478</v>
      </c>
      <c r="V1836" s="160">
        <f t="shared" si="319"/>
        <v>478</v>
      </c>
    </row>
    <row r="1837" spans="1:22" x14ac:dyDescent="0.25">
      <c r="A1837" s="98" t="s">
        <v>24</v>
      </c>
      <c r="B1837" s="98" t="s">
        <v>18</v>
      </c>
      <c r="C1837" s="98">
        <v>49</v>
      </c>
      <c r="D1837" s="98">
        <v>9910</v>
      </c>
      <c r="E1837" s="157">
        <v>41562.09375</v>
      </c>
      <c r="F1837" s="157">
        <v>41562.259027777778</v>
      </c>
      <c r="G1837" s="98">
        <v>0</v>
      </c>
      <c r="H1837" s="98">
        <v>525</v>
      </c>
      <c r="I1837" s="98">
        <v>478</v>
      </c>
      <c r="J1837" s="98" t="s">
        <v>2014</v>
      </c>
      <c r="K1837" s="98" t="s">
        <v>1308</v>
      </c>
      <c r="L1837" s="105" t="str">
        <f t="shared" si="310"/>
        <v>Ghent</v>
      </c>
      <c r="M1837" s="105" t="str">
        <f t="shared" si="311"/>
        <v>Outage</v>
      </c>
      <c r="N1837" s="105" t="str">
        <f t="shared" si="312"/>
        <v>Coal</v>
      </c>
      <c r="O1837" s="105">
        <f>IFERROR(VLOOKUP(A1837,Lookup!$J$5:$P$19,7,FALSE),0)</f>
        <v>3</v>
      </c>
      <c r="P1837" s="159">
        <f t="shared" si="313"/>
        <v>2013</v>
      </c>
      <c r="Q1837" s="159">
        <f t="shared" si="314"/>
        <v>10</v>
      </c>
      <c r="R1837" s="160">
        <f t="shared" si="315"/>
        <v>3.9666666666744277</v>
      </c>
      <c r="S1837" s="158">
        <f t="shared" si="316"/>
        <v>3.9666666666744277</v>
      </c>
      <c r="T1837" s="161">
        <f t="shared" si="317"/>
        <v>1896.0666666703764</v>
      </c>
      <c r="U1837" s="158">
        <f t="shared" si="318"/>
        <v>478</v>
      </c>
      <c r="V1837" s="160">
        <f t="shared" si="319"/>
        <v>478</v>
      </c>
    </row>
    <row r="1838" spans="1:22" x14ac:dyDescent="0.25">
      <c r="A1838" s="98" t="s">
        <v>24</v>
      </c>
      <c r="B1838" s="98" t="s">
        <v>17</v>
      </c>
      <c r="C1838" s="98">
        <v>50</v>
      </c>
      <c r="D1838" s="98">
        <v>3211</v>
      </c>
      <c r="E1838" s="157">
        <v>41562.472222222219</v>
      </c>
      <c r="F1838" s="157">
        <v>41565.65625</v>
      </c>
      <c r="G1838" s="98">
        <v>500</v>
      </c>
      <c r="H1838" s="98">
        <v>525</v>
      </c>
      <c r="I1838" s="98">
        <v>478</v>
      </c>
      <c r="J1838" s="98" t="s">
        <v>2180</v>
      </c>
      <c r="K1838" s="98" t="s">
        <v>1309</v>
      </c>
      <c r="L1838" s="105" t="str">
        <f t="shared" si="310"/>
        <v>Ghent</v>
      </c>
      <c r="M1838" s="105" t="str">
        <f t="shared" si="311"/>
        <v>Derate</v>
      </c>
      <c r="N1838" s="105" t="str">
        <f t="shared" si="312"/>
        <v>Coal</v>
      </c>
      <c r="O1838" s="105">
        <f>IFERROR(VLOOKUP(A1838,Lookup!$J$5:$P$19,7,FALSE),0)</f>
        <v>3</v>
      </c>
      <c r="P1838" s="159">
        <f t="shared" si="313"/>
        <v>2013</v>
      </c>
      <c r="Q1838" s="159">
        <f t="shared" si="314"/>
        <v>10</v>
      </c>
      <c r="R1838" s="160">
        <f t="shared" si="315"/>
        <v>76.416666666744277</v>
      </c>
      <c r="S1838" s="158">
        <f t="shared" si="316"/>
        <v>3.6388888888925845</v>
      </c>
      <c r="T1838" s="161">
        <f t="shared" si="317"/>
        <v>1739.3888888906554</v>
      </c>
      <c r="U1838" s="158">
        <f t="shared" si="318"/>
        <v>22.761904761904763</v>
      </c>
      <c r="V1838" s="160">
        <f t="shared" si="319"/>
        <v>23</v>
      </c>
    </row>
    <row r="1839" spans="1:22" x14ac:dyDescent="0.25">
      <c r="A1839" s="98" t="s">
        <v>24</v>
      </c>
      <c r="B1839" s="98" t="s">
        <v>17</v>
      </c>
      <c r="C1839" s="98">
        <v>51</v>
      </c>
      <c r="D1839" s="98">
        <v>9650</v>
      </c>
      <c r="E1839" s="157">
        <v>41567.793749999997</v>
      </c>
      <c r="F1839" s="157">
        <v>41567.895833333336</v>
      </c>
      <c r="G1839" s="98">
        <v>370</v>
      </c>
      <c r="H1839" s="98">
        <v>525</v>
      </c>
      <c r="I1839" s="98">
        <v>478</v>
      </c>
      <c r="J1839" s="98" t="s">
        <v>2035</v>
      </c>
      <c r="K1839" s="98" t="s">
        <v>1310</v>
      </c>
      <c r="L1839" s="105" t="str">
        <f t="shared" si="310"/>
        <v>Ghent</v>
      </c>
      <c r="M1839" s="105" t="str">
        <f t="shared" si="311"/>
        <v>Derate</v>
      </c>
      <c r="N1839" s="105" t="str">
        <f t="shared" si="312"/>
        <v>Coal</v>
      </c>
      <c r="O1839" s="105">
        <f>IFERROR(VLOOKUP(A1839,Lookup!$J$5:$P$19,7,FALSE),0)</f>
        <v>3</v>
      </c>
      <c r="P1839" s="159">
        <f t="shared" si="313"/>
        <v>2013</v>
      </c>
      <c r="Q1839" s="159">
        <f t="shared" si="314"/>
        <v>10</v>
      </c>
      <c r="R1839" s="160">
        <f t="shared" si="315"/>
        <v>2.4500000001280569</v>
      </c>
      <c r="S1839" s="158">
        <f t="shared" si="316"/>
        <v>0.72333333337114059</v>
      </c>
      <c r="T1839" s="161">
        <f t="shared" si="317"/>
        <v>345.75333335140522</v>
      </c>
      <c r="U1839" s="158">
        <f t="shared" si="318"/>
        <v>141.12380952380951</v>
      </c>
      <c r="V1839" s="160">
        <f t="shared" si="319"/>
        <v>141</v>
      </c>
    </row>
    <row r="1840" spans="1:22" x14ac:dyDescent="0.25">
      <c r="A1840" s="98" t="s">
        <v>24</v>
      </c>
      <c r="B1840" s="98" t="s">
        <v>17</v>
      </c>
      <c r="C1840" s="98">
        <v>52</v>
      </c>
      <c r="D1840" s="98">
        <v>1455</v>
      </c>
      <c r="E1840" s="157">
        <v>41579.036805555559</v>
      </c>
      <c r="F1840" s="157">
        <v>41579.465277777781</v>
      </c>
      <c r="G1840" s="98">
        <v>190</v>
      </c>
      <c r="H1840" s="98">
        <v>525</v>
      </c>
      <c r="I1840" s="98">
        <v>478</v>
      </c>
      <c r="J1840" s="98" t="s">
        <v>1990</v>
      </c>
      <c r="K1840" s="98" t="s">
        <v>1311</v>
      </c>
      <c r="L1840" s="105" t="str">
        <f t="shared" si="310"/>
        <v>Ghent</v>
      </c>
      <c r="M1840" s="105" t="str">
        <f t="shared" si="311"/>
        <v>Derate</v>
      </c>
      <c r="N1840" s="105" t="str">
        <f t="shared" si="312"/>
        <v>Coal</v>
      </c>
      <c r="O1840" s="105">
        <f>IFERROR(VLOOKUP(A1840,Lookup!$J$5:$P$19,7,FALSE),0)</f>
        <v>3</v>
      </c>
      <c r="P1840" s="159">
        <f t="shared" si="313"/>
        <v>2013</v>
      </c>
      <c r="Q1840" s="159">
        <f t="shared" si="314"/>
        <v>11</v>
      </c>
      <c r="R1840" s="160">
        <f t="shared" si="315"/>
        <v>10.283333333325572</v>
      </c>
      <c r="S1840" s="158">
        <f t="shared" si="316"/>
        <v>6.5617460317410794</v>
      </c>
      <c r="T1840" s="161">
        <f t="shared" si="317"/>
        <v>3136.5146031722361</v>
      </c>
      <c r="U1840" s="158">
        <f t="shared" si="318"/>
        <v>305.00952380952378</v>
      </c>
      <c r="V1840" s="160">
        <f t="shared" si="319"/>
        <v>305</v>
      </c>
    </row>
    <row r="1841" spans="1:22" x14ac:dyDescent="0.25">
      <c r="A1841" s="98" t="s">
        <v>24</v>
      </c>
      <c r="B1841" s="98" t="s">
        <v>15</v>
      </c>
      <c r="C1841" s="98">
        <v>53</v>
      </c>
      <c r="D1841" s="98">
        <v>9910</v>
      </c>
      <c r="E1841" s="157">
        <v>41583.589583333334</v>
      </c>
      <c r="F1841" s="157">
        <v>41584.626388888886</v>
      </c>
      <c r="G1841" s="98">
        <v>0</v>
      </c>
      <c r="H1841" s="98">
        <v>525</v>
      </c>
      <c r="I1841" s="98">
        <v>478</v>
      </c>
      <c r="J1841" s="98" t="s">
        <v>2014</v>
      </c>
      <c r="K1841" s="98" t="s">
        <v>1312</v>
      </c>
      <c r="L1841" s="105" t="str">
        <f t="shared" si="310"/>
        <v>Ghent</v>
      </c>
      <c r="M1841" s="105" t="str">
        <f t="shared" si="311"/>
        <v>Outage</v>
      </c>
      <c r="N1841" s="105" t="str">
        <f t="shared" si="312"/>
        <v>Coal</v>
      </c>
      <c r="O1841" s="105">
        <f>IFERROR(VLOOKUP(A1841,Lookup!$J$5:$P$19,7,FALSE),0)</f>
        <v>3</v>
      </c>
      <c r="P1841" s="159">
        <f t="shared" si="313"/>
        <v>2013</v>
      </c>
      <c r="Q1841" s="159">
        <f t="shared" si="314"/>
        <v>11</v>
      </c>
      <c r="R1841" s="160">
        <f t="shared" si="315"/>
        <v>24.883333333244082</v>
      </c>
      <c r="S1841" s="158">
        <f t="shared" si="316"/>
        <v>24.883333333244082</v>
      </c>
      <c r="T1841" s="161">
        <f t="shared" si="317"/>
        <v>11894.233333290671</v>
      </c>
      <c r="U1841" s="158">
        <f t="shared" si="318"/>
        <v>478</v>
      </c>
      <c r="V1841" s="160">
        <f t="shared" si="319"/>
        <v>478</v>
      </c>
    </row>
    <row r="1842" spans="1:22" x14ac:dyDescent="0.25">
      <c r="A1842" s="98" t="s">
        <v>24</v>
      </c>
      <c r="B1842" s="98" t="s">
        <v>17</v>
      </c>
      <c r="C1842" s="98">
        <v>54</v>
      </c>
      <c r="D1842" s="98">
        <v>9650</v>
      </c>
      <c r="E1842" s="157">
        <v>41591.388888888891</v>
      </c>
      <c r="F1842" s="157">
        <v>41591.548611111109</v>
      </c>
      <c r="G1842" s="98">
        <v>474</v>
      </c>
      <c r="H1842" s="98">
        <v>525</v>
      </c>
      <c r="I1842" s="98">
        <v>478</v>
      </c>
      <c r="J1842" s="98" t="s">
        <v>2035</v>
      </c>
      <c r="K1842" s="98" t="s">
        <v>1313</v>
      </c>
      <c r="L1842" s="105" t="str">
        <f t="shared" si="310"/>
        <v>Ghent</v>
      </c>
      <c r="M1842" s="105" t="str">
        <f t="shared" si="311"/>
        <v>Derate</v>
      </c>
      <c r="N1842" s="105" t="str">
        <f t="shared" si="312"/>
        <v>Coal</v>
      </c>
      <c r="O1842" s="105">
        <f>IFERROR(VLOOKUP(A1842,Lookup!$J$5:$P$19,7,FALSE),0)</f>
        <v>3</v>
      </c>
      <c r="P1842" s="159">
        <f t="shared" si="313"/>
        <v>2013</v>
      </c>
      <c r="Q1842" s="159">
        <f t="shared" si="314"/>
        <v>11</v>
      </c>
      <c r="R1842" s="160">
        <f t="shared" si="315"/>
        <v>3.8333333332557231</v>
      </c>
      <c r="S1842" s="158">
        <f t="shared" si="316"/>
        <v>0.37238095237341312</v>
      </c>
      <c r="T1842" s="161">
        <f t="shared" si="317"/>
        <v>177.99809523449147</v>
      </c>
      <c r="U1842" s="158">
        <f t="shared" si="318"/>
        <v>46.434285714285714</v>
      </c>
      <c r="V1842" s="160">
        <f t="shared" si="319"/>
        <v>46</v>
      </c>
    </row>
    <row r="1843" spans="1:22" x14ac:dyDescent="0.25">
      <c r="A1843" s="98" t="s">
        <v>24</v>
      </c>
      <c r="B1843" s="98" t="s">
        <v>17</v>
      </c>
      <c r="C1843" s="98">
        <v>55</v>
      </c>
      <c r="D1843" s="98">
        <v>8551</v>
      </c>
      <c r="E1843" s="157">
        <v>41592.350694444445</v>
      </c>
      <c r="F1843" s="157">
        <v>41593.125</v>
      </c>
      <c r="G1843" s="98">
        <v>200</v>
      </c>
      <c r="H1843" s="98">
        <v>525</v>
      </c>
      <c r="I1843" s="98">
        <v>478</v>
      </c>
      <c r="J1843" s="98" t="s">
        <v>1981</v>
      </c>
      <c r="K1843" s="98" t="s">
        <v>1314</v>
      </c>
      <c r="L1843" s="105" t="str">
        <f t="shared" si="310"/>
        <v>Ghent</v>
      </c>
      <c r="M1843" s="105" t="str">
        <f t="shared" si="311"/>
        <v>Derate</v>
      </c>
      <c r="N1843" s="105" t="str">
        <f t="shared" si="312"/>
        <v>Coal</v>
      </c>
      <c r="O1843" s="105">
        <f>IFERROR(VLOOKUP(A1843,Lookup!$J$5:$P$19,7,FALSE),0)</f>
        <v>3</v>
      </c>
      <c r="P1843" s="159">
        <f t="shared" si="313"/>
        <v>2013</v>
      </c>
      <c r="Q1843" s="159">
        <f t="shared" si="314"/>
        <v>11</v>
      </c>
      <c r="R1843" s="160">
        <f t="shared" si="315"/>
        <v>18.583333333313931</v>
      </c>
      <c r="S1843" s="158">
        <f t="shared" si="316"/>
        <v>11.503968253956243</v>
      </c>
      <c r="T1843" s="161">
        <f t="shared" si="317"/>
        <v>5498.8968253910843</v>
      </c>
      <c r="U1843" s="158">
        <f t="shared" si="318"/>
        <v>295.90476190476193</v>
      </c>
      <c r="V1843" s="160">
        <f t="shared" si="319"/>
        <v>296</v>
      </c>
    </row>
    <row r="1844" spans="1:22" x14ac:dyDescent="0.25">
      <c r="A1844" s="98" t="s">
        <v>24</v>
      </c>
      <c r="B1844" s="98" t="s">
        <v>17</v>
      </c>
      <c r="C1844" s="98">
        <v>56</v>
      </c>
      <c r="D1844" s="98">
        <v>9650</v>
      </c>
      <c r="E1844" s="157">
        <v>41593.490277777775</v>
      </c>
      <c r="F1844" s="157">
        <v>41593.553472222222</v>
      </c>
      <c r="G1844" s="98">
        <v>414</v>
      </c>
      <c r="H1844" s="98">
        <v>525</v>
      </c>
      <c r="I1844" s="98">
        <v>478</v>
      </c>
      <c r="J1844" s="98" t="s">
        <v>2035</v>
      </c>
      <c r="K1844" s="98" t="s">
        <v>1315</v>
      </c>
      <c r="L1844" s="105" t="str">
        <f t="shared" si="310"/>
        <v>Ghent</v>
      </c>
      <c r="M1844" s="105" t="str">
        <f t="shared" si="311"/>
        <v>Derate</v>
      </c>
      <c r="N1844" s="105" t="str">
        <f t="shared" si="312"/>
        <v>Coal</v>
      </c>
      <c r="O1844" s="105">
        <f>IFERROR(VLOOKUP(A1844,Lookup!$J$5:$P$19,7,FALSE),0)</f>
        <v>3</v>
      </c>
      <c r="P1844" s="159">
        <f t="shared" si="313"/>
        <v>2013</v>
      </c>
      <c r="Q1844" s="159">
        <f t="shared" si="314"/>
        <v>11</v>
      </c>
      <c r="R1844" s="160">
        <f t="shared" si="315"/>
        <v>1.5166666667209938</v>
      </c>
      <c r="S1844" s="158">
        <f t="shared" si="316"/>
        <v>0.32066666667815297</v>
      </c>
      <c r="T1844" s="161">
        <f t="shared" si="317"/>
        <v>153.27866667215713</v>
      </c>
      <c r="U1844" s="158">
        <f t="shared" si="318"/>
        <v>101.06285714285714</v>
      </c>
      <c r="V1844" s="160">
        <f t="shared" si="319"/>
        <v>101</v>
      </c>
    </row>
    <row r="1845" spans="1:22" x14ac:dyDescent="0.25">
      <c r="A1845" s="98" t="s">
        <v>24</v>
      </c>
      <c r="B1845" s="98" t="s">
        <v>17</v>
      </c>
      <c r="C1845" s="98">
        <v>57</v>
      </c>
      <c r="D1845" s="98">
        <v>8825</v>
      </c>
      <c r="E1845" s="157">
        <v>41598.244444444441</v>
      </c>
      <c r="F1845" s="157">
        <v>41598.32916666667</v>
      </c>
      <c r="G1845" s="98">
        <v>515</v>
      </c>
      <c r="H1845" s="98">
        <v>525</v>
      </c>
      <c r="I1845" s="98">
        <v>478</v>
      </c>
      <c r="J1845" s="98" t="s">
        <v>2187</v>
      </c>
      <c r="K1845" s="98" t="s">
        <v>1316</v>
      </c>
      <c r="L1845" s="105" t="str">
        <f t="shared" si="310"/>
        <v>Ghent</v>
      </c>
      <c r="M1845" s="105" t="str">
        <f t="shared" si="311"/>
        <v>Derate</v>
      </c>
      <c r="N1845" s="105" t="str">
        <f t="shared" si="312"/>
        <v>Coal</v>
      </c>
      <c r="O1845" s="105">
        <f>IFERROR(VLOOKUP(A1845,Lookup!$J$5:$P$19,7,FALSE),0)</f>
        <v>3</v>
      </c>
      <c r="P1845" s="159">
        <f t="shared" si="313"/>
        <v>2013</v>
      </c>
      <c r="Q1845" s="159">
        <f t="shared" si="314"/>
        <v>11</v>
      </c>
      <c r="R1845" s="160">
        <f t="shared" si="315"/>
        <v>2.0333333335001953</v>
      </c>
      <c r="S1845" s="158">
        <f t="shared" si="316"/>
        <v>3.8730158733337051E-2</v>
      </c>
      <c r="T1845" s="161">
        <f t="shared" si="317"/>
        <v>18.51301587453511</v>
      </c>
      <c r="U1845" s="158">
        <f t="shared" si="318"/>
        <v>9.1047619047619044</v>
      </c>
      <c r="V1845" s="160">
        <f t="shared" si="319"/>
        <v>9</v>
      </c>
    </row>
    <row r="1846" spans="1:22" x14ac:dyDescent="0.25">
      <c r="A1846" s="98" t="s">
        <v>24</v>
      </c>
      <c r="B1846" s="98" t="s">
        <v>17</v>
      </c>
      <c r="C1846" s="98">
        <v>58</v>
      </c>
      <c r="D1846" s="98">
        <v>9650</v>
      </c>
      <c r="E1846" s="157">
        <v>41612.645833333336</v>
      </c>
      <c r="F1846" s="157">
        <v>41612.781944444447</v>
      </c>
      <c r="G1846" s="98">
        <v>470</v>
      </c>
      <c r="H1846" s="98">
        <v>525</v>
      </c>
      <c r="I1846" s="98">
        <v>478</v>
      </c>
      <c r="J1846" s="98" t="s">
        <v>2035</v>
      </c>
      <c r="K1846" s="98" t="s">
        <v>1317</v>
      </c>
      <c r="L1846" s="105" t="str">
        <f t="shared" si="310"/>
        <v>Ghent</v>
      </c>
      <c r="M1846" s="105" t="str">
        <f t="shared" si="311"/>
        <v>Derate</v>
      </c>
      <c r="N1846" s="105" t="str">
        <f t="shared" si="312"/>
        <v>Coal</v>
      </c>
      <c r="O1846" s="105">
        <f>IFERROR(VLOOKUP(A1846,Lookup!$J$5:$P$19,7,FALSE),0)</f>
        <v>3</v>
      </c>
      <c r="P1846" s="159">
        <f t="shared" si="313"/>
        <v>2013</v>
      </c>
      <c r="Q1846" s="159">
        <f t="shared" si="314"/>
        <v>12</v>
      </c>
      <c r="R1846" s="160">
        <f t="shared" si="315"/>
        <v>3.2666666666627862</v>
      </c>
      <c r="S1846" s="158">
        <f t="shared" si="316"/>
        <v>0.3422222222218157</v>
      </c>
      <c r="T1846" s="161">
        <f t="shared" si="317"/>
        <v>163.58222222202789</v>
      </c>
      <c r="U1846" s="158">
        <f t="shared" si="318"/>
        <v>50.076190476190476</v>
      </c>
      <c r="V1846" s="160">
        <f t="shared" si="319"/>
        <v>50</v>
      </c>
    </row>
    <row r="1847" spans="1:22" x14ac:dyDescent="0.25">
      <c r="A1847" s="98" t="s">
        <v>24</v>
      </c>
      <c r="B1847" s="98" t="s">
        <v>17</v>
      </c>
      <c r="C1847" s="98">
        <v>59</v>
      </c>
      <c r="D1847" s="98">
        <v>340</v>
      </c>
      <c r="E1847" s="157">
        <v>41616.416666666664</v>
      </c>
      <c r="F1847" s="157">
        <v>41616.484027777777</v>
      </c>
      <c r="G1847" s="98">
        <v>500</v>
      </c>
      <c r="H1847" s="98">
        <v>525</v>
      </c>
      <c r="I1847" s="98">
        <v>478</v>
      </c>
      <c r="J1847" s="98" t="s">
        <v>1970</v>
      </c>
      <c r="K1847" s="98" t="s">
        <v>1318</v>
      </c>
      <c r="L1847" s="105" t="str">
        <f t="shared" si="310"/>
        <v>Ghent</v>
      </c>
      <c r="M1847" s="105" t="str">
        <f t="shared" si="311"/>
        <v>Derate</v>
      </c>
      <c r="N1847" s="105" t="str">
        <f t="shared" si="312"/>
        <v>Coal</v>
      </c>
      <c r="O1847" s="105">
        <f>IFERROR(VLOOKUP(A1847,Lookup!$J$5:$P$19,7,FALSE),0)</f>
        <v>3</v>
      </c>
      <c r="P1847" s="159">
        <f t="shared" si="313"/>
        <v>2013</v>
      </c>
      <c r="Q1847" s="159">
        <f t="shared" si="314"/>
        <v>12</v>
      </c>
      <c r="R1847" s="160">
        <f t="shared" si="315"/>
        <v>1.6166666666977108</v>
      </c>
      <c r="S1847" s="158">
        <f t="shared" si="316"/>
        <v>7.6984126985605278E-2</v>
      </c>
      <c r="T1847" s="161">
        <f t="shared" si="317"/>
        <v>36.798412699119325</v>
      </c>
      <c r="U1847" s="158">
        <f t="shared" si="318"/>
        <v>22.761904761904763</v>
      </c>
      <c r="V1847" s="160">
        <f t="shared" si="319"/>
        <v>23</v>
      </c>
    </row>
    <row r="1848" spans="1:22" x14ac:dyDescent="0.25">
      <c r="A1848" s="98" t="s">
        <v>24</v>
      </c>
      <c r="B1848" s="98" t="s">
        <v>20</v>
      </c>
      <c r="C1848" s="98">
        <v>60</v>
      </c>
      <c r="D1848" s="98">
        <v>1455</v>
      </c>
      <c r="E1848" s="157">
        <v>41628.00277777778</v>
      </c>
      <c r="F1848" s="157">
        <v>41629.314583333333</v>
      </c>
      <c r="G1848" s="98">
        <v>0</v>
      </c>
      <c r="H1848" s="98">
        <v>525</v>
      </c>
      <c r="I1848" s="98">
        <v>478</v>
      </c>
      <c r="J1848" s="98" t="s">
        <v>1990</v>
      </c>
      <c r="K1848" s="98" t="s">
        <v>1319</v>
      </c>
      <c r="L1848" s="105" t="str">
        <f t="shared" si="310"/>
        <v>Ghent</v>
      </c>
      <c r="M1848" s="105" t="str">
        <f t="shared" si="311"/>
        <v>Maintenance</v>
      </c>
      <c r="N1848" s="105" t="str">
        <f t="shared" si="312"/>
        <v>Coal</v>
      </c>
      <c r="O1848" s="105">
        <f>IFERROR(VLOOKUP(A1848,Lookup!$J$5:$P$19,7,FALSE),0)</f>
        <v>3</v>
      </c>
      <c r="P1848" s="159">
        <f t="shared" si="313"/>
        <v>2013</v>
      </c>
      <c r="Q1848" s="159">
        <f t="shared" si="314"/>
        <v>12</v>
      </c>
      <c r="R1848" s="160">
        <f t="shared" si="315"/>
        <v>31.483333333279006</v>
      </c>
      <c r="S1848" s="158">
        <f t="shared" si="316"/>
        <v>31.483333333279006</v>
      </c>
      <c r="T1848" s="161">
        <f t="shared" si="317"/>
        <v>15049.033333307365</v>
      </c>
      <c r="U1848" s="158">
        <f t="shared" si="318"/>
        <v>478</v>
      </c>
      <c r="V1848" s="160">
        <f t="shared" si="319"/>
        <v>478</v>
      </c>
    </row>
    <row r="1849" spans="1:22" x14ac:dyDescent="0.25">
      <c r="A1849" s="98" t="s">
        <v>24</v>
      </c>
      <c r="B1849" s="98" t="s">
        <v>15</v>
      </c>
      <c r="C1849" s="98">
        <v>61</v>
      </c>
      <c r="D1849" s="98">
        <v>3611</v>
      </c>
      <c r="E1849" s="157">
        <v>41629.31527777778</v>
      </c>
      <c r="F1849" s="157">
        <v>41629.383333333331</v>
      </c>
      <c r="G1849" s="98">
        <v>0</v>
      </c>
      <c r="H1849" s="98">
        <v>525</v>
      </c>
      <c r="I1849" s="98">
        <v>478</v>
      </c>
      <c r="J1849" s="98" t="s">
        <v>2091</v>
      </c>
      <c r="K1849" s="98" t="s">
        <v>1320</v>
      </c>
      <c r="L1849" s="105" t="str">
        <f t="shared" si="310"/>
        <v>Ghent</v>
      </c>
      <c r="M1849" s="105" t="str">
        <f t="shared" si="311"/>
        <v>Outage</v>
      </c>
      <c r="N1849" s="105" t="str">
        <f t="shared" si="312"/>
        <v>Coal</v>
      </c>
      <c r="O1849" s="105">
        <f>IFERROR(VLOOKUP(A1849,Lookup!$J$5:$P$19,7,FALSE),0)</f>
        <v>3</v>
      </c>
      <c r="P1849" s="159">
        <f t="shared" si="313"/>
        <v>2013</v>
      </c>
      <c r="Q1849" s="159">
        <f t="shared" si="314"/>
        <v>12</v>
      </c>
      <c r="R1849" s="160">
        <f t="shared" si="315"/>
        <v>1.6333333332440816</v>
      </c>
      <c r="S1849" s="158">
        <f t="shared" si="316"/>
        <v>1.6333333332440816</v>
      </c>
      <c r="T1849" s="161">
        <f t="shared" si="317"/>
        <v>780.733333290671</v>
      </c>
      <c r="U1849" s="158">
        <f t="shared" si="318"/>
        <v>478</v>
      </c>
      <c r="V1849" s="160">
        <f t="shared" si="319"/>
        <v>478</v>
      </c>
    </row>
    <row r="1850" spans="1:22" x14ac:dyDescent="0.25">
      <c r="A1850" s="98" t="s">
        <v>24</v>
      </c>
      <c r="B1850" s="98" t="s">
        <v>17</v>
      </c>
      <c r="C1850" s="98">
        <v>62</v>
      </c>
      <c r="D1850" s="98">
        <v>280</v>
      </c>
      <c r="E1850" s="157">
        <v>41633.915277777778</v>
      </c>
      <c r="F1850" s="157">
        <v>41633.943055555559</v>
      </c>
      <c r="G1850" s="98">
        <v>420</v>
      </c>
      <c r="H1850" s="98">
        <v>525</v>
      </c>
      <c r="I1850" s="98">
        <v>478</v>
      </c>
      <c r="J1850" s="98" t="s">
        <v>1988</v>
      </c>
      <c r="K1850" s="98" t="s">
        <v>1321</v>
      </c>
      <c r="L1850" s="105" t="str">
        <f t="shared" si="310"/>
        <v>Ghent</v>
      </c>
      <c r="M1850" s="105" t="str">
        <f t="shared" si="311"/>
        <v>Derate</v>
      </c>
      <c r="N1850" s="105" t="str">
        <f t="shared" si="312"/>
        <v>Coal</v>
      </c>
      <c r="O1850" s="105">
        <f>IFERROR(VLOOKUP(A1850,Lookup!$J$5:$P$19,7,FALSE),0)</f>
        <v>3</v>
      </c>
      <c r="P1850" s="159">
        <f t="shared" si="313"/>
        <v>2013</v>
      </c>
      <c r="Q1850" s="159">
        <f t="shared" si="314"/>
        <v>12</v>
      </c>
      <c r="R1850" s="160">
        <f t="shared" si="315"/>
        <v>0.66666666674427688</v>
      </c>
      <c r="S1850" s="158">
        <f t="shared" si="316"/>
        <v>0.13333333334885539</v>
      </c>
      <c r="T1850" s="161">
        <f t="shared" si="317"/>
        <v>63.733333340752878</v>
      </c>
      <c r="U1850" s="158">
        <f t="shared" si="318"/>
        <v>95.6</v>
      </c>
      <c r="V1850" s="160">
        <f t="shared" si="319"/>
        <v>96</v>
      </c>
    </row>
    <row r="1851" spans="1:22" x14ac:dyDescent="0.25">
      <c r="A1851" s="98" t="s">
        <v>24</v>
      </c>
      <c r="B1851" s="98" t="s">
        <v>20</v>
      </c>
      <c r="C1851" s="98">
        <v>63</v>
      </c>
      <c r="D1851" s="98">
        <v>1000</v>
      </c>
      <c r="E1851" s="157">
        <v>41639.504861111112</v>
      </c>
      <c r="F1851" s="157">
        <v>41640</v>
      </c>
      <c r="G1851" s="98">
        <v>0</v>
      </c>
      <c r="H1851" s="98">
        <v>525</v>
      </c>
      <c r="I1851" s="98">
        <v>478</v>
      </c>
      <c r="J1851" s="98" t="s">
        <v>2002</v>
      </c>
      <c r="K1851" s="98" t="s">
        <v>1322</v>
      </c>
      <c r="L1851" s="105" t="str">
        <f t="shared" si="310"/>
        <v>Ghent</v>
      </c>
      <c r="M1851" s="105" t="str">
        <f t="shared" si="311"/>
        <v>Maintenance</v>
      </c>
      <c r="N1851" s="105" t="str">
        <f t="shared" si="312"/>
        <v>Coal</v>
      </c>
      <c r="O1851" s="105">
        <f>IFERROR(VLOOKUP(A1851,Lookup!$J$5:$P$19,7,FALSE),0)</f>
        <v>3</v>
      </c>
      <c r="P1851" s="159">
        <f t="shared" si="313"/>
        <v>2013</v>
      </c>
      <c r="Q1851" s="159">
        <f t="shared" si="314"/>
        <v>12</v>
      </c>
      <c r="R1851" s="160">
        <f t="shared" si="315"/>
        <v>11.883333333302289</v>
      </c>
      <c r="S1851" s="158">
        <f t="shared" si="316"/>
        <v>11.883333333302289</v>
      </c>
      <c r="T1851" s="161">
        <f t="shared" si="317"/>
        <v>5680.2333333184943</v>
      </c>
      <c r="U1851" s="158">
        <f t="shared" si="318"/>
        <v>478</v>
      </c>
      <c r="V1851" s="160">
        <f t="shared" si="319"/>
        <v>478</v>
      </c>
    </row>
    <row r="1852" spans="1:22" x14ac:dyDescent="0.25">
      <c r="A1852" s="98" t="s">
        <v>24</v>
      </c>
      <c r="B1852" s="98" t="s">
        <v>20</v>
      </c>
      <c r="C1852" s="98">
        <v>3</v>
      </c>
      <c r="D1852" s="98">
        <v>1000</v>
      </c>
      <c r="E1852" s="157">
        <v>41640</v>
      </c>
      <c r="F1852" s="157">
        <v>41640.036805555559</v>
      </c>
      <c r="G1852" s="98">
        <v>0</v>
      </c>
      <c r="H1852" s="98">
        <v>525</v>
      </c>
      <c r="I1852" s="98">
        <v>478</v>
      </c>
      <c r="J1852" s="98" t="s">
        <v>2002</v>
      </c>
      <c r="K1852" s="98" t="s">
        <v>1323</v>
      </c>
      <c r="L1852" s="105" t="str">
        <f t="shared" si="310"/>
        <v>Ghent</v>
      </c>
      <c r="M1852" s="105" t="str">
        <f t="shared" si="311"/>
        <v>Maintenance</v>
      </c>
      <c r="N1852" s="105" t="str">
        <f t="shared" si="312"/>
        <v>Coal</v>
      </c>
      <c r="O1852" s="105">
        <f>IFERROR(VLOOKUP(A1852,Lookup!$J$5:$P$19,7,FALSE),0)</f>
        <v>3</v>
      </c>
      <c r="P1852" s="159">
        <f t="shared" si="313"/>
        <v>2014</v>
      </c>
      <c r="Q1852" s="159">
        <f t="shared" si="314"/>
        <v>1</v>
      </c>
      <c r="R1852" s="160">
        <f t="shared" si="315"/>
        <v>0.88333333341870457</v>
      </c>
      <c r="S1852" s="158">
        <f t="shared" si="316"/>
        <v>0.88333333341870457</v>
      </c>
      <c r="T1852" s="161">
        <f t="shared" si="317"/>
        <v>422.23333337414078</v>
      </c>
      <c r="U1852" s="158">
        <f t="shared" si="318"/>
        <v>478</v>
      </c>
      <c r="V1852" s="160">
        <f t="shared" si="319"/>
        <v>478</v>
      </c>
    </row>
    <row r="1853" spans="1:22" x14ac:dyDescent="0.25">
      <c r="A1853" s="98" t="s">
        <v>24</v>
      </c>
      <c r="B1853" s="98" t="s">
        <v>17</v>
      </c>
      <c r="C1853" s="98">
        <v>2</v>
      </c>
      <c r="D1853" s="98">
        <v>250</v>
      </c>
      <c r="E1853" s="157">
        <v>41646.163194444445</v>
      </c>
      <c r="F1853" s="157">
        <v>41646.191666666666</v>
      </c>
      <c r="G1853" s="98">
        <v>400</v>
      </c>
      <c r="H1853" s="98">
        <v>525</v>
      </c>
      <c r="I1853" s="98">
        <v>478</v>
      </c>
      <c r="J1853" s="98" t="s">
        <v>1978</v>
      </c>
      <c r="K1853" s="98" t="s">
        <v>1324</v>
      </c>
      <c r="L1853" s="105" t="str">
        <f t="shared" si="310"/>
        <v>Ghent</v>
      </c>
      <c r="M1853" s="105" t="str">
        <f t="shared" si="311"/>
        <v>Derate</v>
      </c>
      <c r="N1853" s="105" t="str">
        <f t="shared" si="312"/>
        <v>Coal</v>
      </c>
      <c r="O1853" s="105">
        <f>IFERROR(VLOOKUP(A1853,Lookup!$J$5:$P$19,7,FALSE),0)</f>
        <v>3</v>
      </c>
      <c r="P1853" s="159">
        <f t="shared" si="313"/>
        <v>2014</v>
      </c>
      <c r="Q1853" s="159">
        <f t="shared" si="314"/>
        <v>1</v>
      </c>
      <c r="R1853" s="160">
        <f t="shared" si="315"/>
        <v>0.68333333329064772</v>
      </c>
      <c r="S1853" s="158">
        <f t="shared" si="316"/>
        <v>0.16269841268824944</v>
      </c>
      <c r="T1853" s="161">
        <f t="shared" si="317"/>
        <v>77.769841264983228</v>
      </c>
      <c r="U1853" s="158">
        <f t="shared" si="318"/>
        <v>113.80952380952381</v>
      </c>
      <c r="V1853" s="160">
        <f t="shared" si="319"/>
        <v>114</v>
      </c>
    </row>
    <row r="1854" spans="1:22" x14ac:dyDescent="0.25">
      <c r="A1854" s="98" t="s">
        <v>24</v>
      </c>
      <c r="B1854" s="98" t="s">
        <v>17</v>
      </c>
      <c r="C1854" s="98">
        <v>5</v>
      </c>
      <c r="D1854" s="98">
        <v>9650</v>
      </c>
      <c r="E1854" s="157">
        <v>41673.034722222219</v>
      </c>
      <c r="F1854" s="157">
        <v>41673.074999999997</v>
      </c>
      <c r="G1854" s="98">
        <v>400</v>
      </c>
      <c r="H1854" s="98">
        <v>525</v>
      </c>
      <c r="I1854" s="98">
        <v>478</v>
      </c>
      <c r="J1854" s="98" t="s">
        <v>2035</v>
      </c>
      <c r="K1854" s="98" t="s">
        <v>1325</v>
      </c>
      <c r="L1854" s="105" t="str">
        <f t="shared" si="310"/>
        <v>Ghent</v>
      </c>
      <c r="M1854" s="105" t="str">
        <f t="shared" si="311"/>
        <v>Derate</v>
      </c>
      <c r="N1854" s="105" t="str">
        <f t="shared" si="312"/>
        <v>Coal</v>
      </c>
      <c r="O1854" s="105">
        <f>IFERROR(VLOOKUP(A1854,Lookup!$J$5:$P$19,7,FALSE),0)</f>
        <v>3</v>
      </c>
      <c r="P1854" s="159">
        <f t="shared" si="313"/>
        <v>2014</v>
      </c>
      <c r="Q1854" s="159">
        <f t="shared" si="314"/>
        <v>2</v>
      </c>
      <c r="R1854" s="160">
        <f t="shared" si="315"/>
        <v>0.96666666667442769</v>
      </c>
      <c r="S1854" s="158">
        <f t="shared" si="316"/>
        <v>0.23015873016057803</v>
      </c>
      <c r="T1854" s="161">
        <f t="shared" si="317"/>
        <v>110.0158730167563</v>
      </c>
      <c r="U1854" s="158">
        <f t="shared" si="318"/>
        <v>113.80952380952381</v>
      </c>
      <c r="V1854" s="160">
        <f t="shared" si="319"/>
        <v>114</v>
      </c>
    </row>
    <row r="1855" spans="1:22" x14ac:dyDescent="0.25">
      <c r="A1855" s="98" t="s">
        <v>24</v>
      </c>
      <c r="B1855" s="98" t="s">
        <v>32</v>
      </c>
      <c r="C1855" s="98">
        <v>6</v>
      </c>
      <c r="D1855" s="98">
        <v>3416</v>
      </c>
      <c r="E1855" s="157">
        <v>41678.958333333336</v>
      </c>
      <c r="F1855" s="157">
        <v>41679.013888888891</v>
      </c>
      <c r="G1855" s="98">
        <v>300</v>
      </c>
      <c r="H1855" s="98">
        <v>525</v>
      </c>
      <c r="I1855" s="98">
        <v>478</v>
      </c>
      <c r="J1855" s="98" t="s">
        <v>2164</v>
      </c>
      <c r="K1855" s="98" t="s">
        <v>1326</v>
      </c>
      <c r="L1855" s="105" t="str">
        <f t="shared" si="310"/>
        <v>Ghent</v>
      </c>
      <c r="M1855" s="105" t="str">
        <f t="shared" si="311"/>
        <v>Derate</v>
      </c>
      <c r="N1855" s="105" t="str">
        <f t="shared" si="312"/>
        <v>Coal</v>
      </c>
      <c r="O1855" s="105">
        <f>IFERROR(VLOOKUP(A1855,Lookup!$J$5:$P$19,7,FALSE),0)</f>
        <v>3</v>
      </c>
      <c r="P1855" s="159">
        <f t="shared" si="313"/>
        <v>2014</v>
      </c>
      <c r="Q1855" s="159">
        <f t="shared" si="314"/>
        <v>2</v>
      </c>
      <c r="R1855" s="160">
        <f t="shared" si="315"/>
        <v>1.3333333333139308</v>
      </c>
      <c r="S1855" s="158">
        <f t="shared" si="316"/>
        <v>0.57142857142025605</v>
      </c>
      <c r="T1855" s="161">
        <f t="shared" si="317"/>
        <v>273.14285713888239</v>
      </c>
      <c r="U1855" s="158">
        <f t="shared" si="318"/>
        <v>204.85714285714286</v>
      </c>
      <c r="V1855" s="160">
        <f t="shared" si="319"/>
        <v>205</v>
      </c>
    </row>
    <row r="1856" spans="1:22" x14ac:dyDescent="0.25">
      <c r="A1856" s="98" t="s">
        <v>24</v>
      </c>
      <c r="B1856" s="98" t="s">
        <v>15</v>
      </c>
      <c r="C1856" s="98">
        <v>7</v>
      </c>
      <c r="D1856" s="98">
        <v>250</v>
      </c>
      <c r="E1856" s="157">
        <v>41679.160416666666</v>
      </c>
      <c r="F1856" s="157">
        <v>41679.234722222223</v>
      </c>
      <c r="G1856" s="98">
        <v>0</v>
      </c>
      <c r="H1856" s="98">
        <v>525</v>
      </c>
      <c r="I1856" s="98">
        <v>478</v>
      </c>
      <c r="J1856" s="98" t="s">
        <v>1978</v>
      </c>
      <c r="K1856" s="98" t="s">
        <v>1327</v>
      </c>
      <c r="L1856" s="105" t="str">
        <f t="shared" si="310"/>
        <v>Ghent</v>
      </c>
      <c r="M1856" s="105" t="str">
        <f t="shared" si="311"/>
        <v>Outage</v>
      </c>
      <c r="N1856" s="105" t="str">
        <f t="shared" si="312"/>
        <v>Coal</v>
      </c>
      <c r="O1856" s="105">
        <f>IFERROR(VLOOKUP(A1856,Lookup!$J$5:$P$19,7,FALSE),0)</f>
        <v>3</v>
      </c>
      <c r="P1856" s="159">
        <f t="shared" si="313"/>
        <v>2014</v>
      </c>
      <c r="Q1856" s="159">
        <f t="shared" si="314"/>
        <v>2</v>
      </c>
      <c r="R1856" s="160">
        <f t="shared" si="315"/>
        <v>1.78333333338378</v>
      </c>
      <c r="S1856" s="158">
        <f t="shared" si="316"/>
        <v>1.78333333338378</v>
      </c>
      <c r="T1856" s="161">
        <f t="shared" si="317"/>
        <v>852.43333335744683</v>
      </c>
      <c r="U1856" s="158">
        <f t="shared" si="318"/>
        <v>478</v>
      </c>
      <c r="V1856" s="160">
        <f t="shared" si="319"/>
        <v>478</v>
      </c>
    </row>
    <row r="1857" spans="1:22" x14ac:dyDescent="0.25">
      <c r="A1857" s="98" t="s">
        <v>24</v>
      </c>
      <c r="B1857" s="98" t="s">
        <v>32</v>
      </c>
      <c r="C1857" s="98">
        <v>8</v>
      </c>
      <c r="D1857" s="98">
        <v>250</v>
      </c>
      <c r="E1857" s="157">
        <v>41695.165277777778</v>
      </c>
      <c r="F1857" s="157">
        <v>41695.231249999997</v>
      </c>
      <c r="G1857" s="98">
        <v>520</v>
      </c>
      <c r="H1857" s="98">
        <v>525</v>
      </c>
      <c r="I1857" s="98">
        <v>478</v>
      </c>
      <c r="J1857" s="98" t="s">
        <v>1978</v>
      </c>
      <c r="K1857" s="98" t="s">
        <v>1328</v>
      </c>
      <c r="L1857" s="105" t="str">
        <f t="shared" si="310"/>
        <v>Ghent</v>
      </c>
      <c r="M1857" s="105" t="str">
        <f t="shared" si="311"/>
        <v>Derate</v>
      </c>
      <c r="N1857" s="105" t="str">
        <f t="shared" si="312"/>
        <v>Coal</v>
      </c>
      <c r="O1857" s="105">
        <f>IFERROR(VLOOKUP(A1857,Lookup!$J$5:$P$19,7,FALSE),0)</f>
        <v>3</v>
      </c>
      <c r="P1857" s="159">
        <f t="shared" si="313"/>
        <v>2014</v>
      </c>
      <c r="Q1857" s="159">
        <f t="shared" si="314"/>
        <v>2</v>
      </c>
      <c r="R1857" s="160">
        <f t="shared" si="315"/>
        <v>1.5833333332557231</v>
      </c>
      <c r="S1857" s="158">
        <f t="shared" si="316"/>
        <v>1.5079365078625935E-2</v>
      </c>
      <c r="T1857" s="161">
        <f t="shared" si="317"/>
        <v>7.2079365075831969</v>
      </c>
      <c r="U1857" s="158">
        <f t="shared" si="318"/>
        <v>4.5523809523809522</v>
      </c>
      <c r="V1857" s="160">
        <f t="shared" si="319"/>
        <v>5</v>
      </c>
    </row>
    <row r="1858" spans="1:22" x14ac:dyDescent="0.25">
      <c r="A1858" s="98" t="s">
        <v>24</v>
      </c>
      <c r="B1858" s="98" t="s">
        <v>17</v>
      </c>
      <c r="C1858" s="98">
        <v>9</v>
      </c>
      <c r="D1858" s="98">
        <v>9650</v>
      </c>
      <c r="E1858" s="157">
        <v>41703.732638888891</v>
      </c>
      <c r="F1858" s="157">
        <v>41703.756249999999</v>
      </c>
      <c r="G1858" s="98">
        <v>450</v>
      </c>
      <c r="H1858" s="98">
        <v>525</v>
      </c>
      <c r="I1858" s="98">
        <v>478</v>
      </c>
      <c r="J1858" s="98" t="s">
        <v>2035</v>
      </c>
      <c r="K1858" s="98" t="s">
        <v>1329</v>
      </c>
      <c r="L1858" s="105" t="str">
        <f t="shared" si="310"/>
        <v>Ghent</v>
      </c>
      <c r="M1858" s="105" t="str">
        <f t="shared" si="311"/>
        <v>Derate</v>
      </c>
      <c r="N1858" s="105" t="str">
        <f t="shared" si="312"/>
        <v>Coal</v>
      </c>
      <c r="O1858" s="105">
        <f>IFERROR(VLOOKUP(A1858,Lookup!$J$5:$P$19,7,FALSE),0)</f>
        <v>3</v>
      </c>
      <c r="P1858" s="159">
        <f t="shared" si="313"/>
        <v>2014</v>
      </c>
      <c r="Q1858" s="159">
        <f t="shared" si="314"/>
        <v>3</v>
      </c>
      <c r="R1858" s="160">
        <f t="shared" si="315"/>
        <v>0.56666666659293696</v>
      </c>
      <c r="S1858" s="158">
        <f t="shared" si="316"/>
        <v>8.0952380941848132E-2</v>
      </c>
      <c r="T1858" s="161">
        <f t="shared" si="317"/>
        <v>38.695238090203404</v>
      </c>
      <c r="U1858" s="158">
        <f t="shared" si="318"/>
        <v>68.285714285714292</v>
      </c>
      <c r="V1858" s="160">
        <f t="shared" si="319"/>
        <v>68</v>
      </c>
    </row>
    <row r="1859" spans="1:22" x14ac:dyDescent="0.25">
      <c r="A1859" s="98" t="s">
        <v>24</v>
      </c>
      <c r="B1859" s="98" t="s">
        <v>17</v>
      </c>
      <c r="C1859" s="98">
        <v>10</v>
      </c>
      <c r="D1859" s="98">
        <v>9650</v>
      </c>
      <c r="E1859" s="157">
        <v>41703.866666666669</v>
      </c>
      <c r="F1859" s="157">
        <v>41703.917361111111</v>
      </c>
      <c r="G1859" s="98">
        <v>500</v>
      </c>
      <c r="H1859" s="98">
        <v>525</v>
      </c>
      <c r="I1859" s="98">
        <v>478</v>
      </c>
      <c r="J1859" s="98" t="s">
        <v>2035</v>
      </c>
      <c r="K1859" s="98" t="s">
        <v>1330</v>
      </c>
      <c r="L1859" s="105" t="str">
        <f t="shared" si="310"/>
        <v>Ghent</v>
      </c>
      <c r="M1859" s="105" t="str">
        <f t="shared" si="311"/>
        <v>Derate</v>
      </c>
      <c r="N1859" s="105" t="str">
        <f t="shared" si="312"/>
        <v>Coal</v>
      </c>
      <c r="O1859" s="105">
        <f>IFERROR(VLOOKUP(A1859,Lookup!$J$5:$P$19,7,FALSE),0)</f>
        <v>3</v>
      </c>
      <c r="P1859" s="159">
        <f t="shared" si="313"/>
        <v>2014</v>
      </c>
      <c r="Q1859" s="159">
        <f t="shared" si="314"/>
        <v>3</v>
      </c>
      <c r="R1859" s="160">
        <f t="shared" si="315"/>
        <v>1.21666666661622</v>
      </c>
      <c r="S1859" s="158">
        <f t="shared" si="316"/>
        <v>5.7936507934105715E-2</v>
      </c>
      <c r="T1859" s="161">
        <f t="shared" si="317"/>
        <v>27.693650792502531</v>
      </c>
      <c r="U1859" s="158">
        <f t="shared" si="318"/>
        <v>22.761904761904763</v>
      </c>
      <c r="V1859" s="160">
        <f t="shared" si="319"/>
        <v>23</v>
      </c>
    </row>
    <row r="1860" spans="1:22" x14ac:dyDescent="0.25">
      <c r="A1860" s="98" t="s">
        <v>24</v>
      </c>
      <c r="B1860" s="98" t="s">
        <v>17</v>
      </c>
      <c r="C1860" s="98">
        <v>11</v>
      </c>
      <c r="D1860" s="98">
        <v>3440</v>
      </c>
      <c r="E1860" s="157">
        <v>41722.363888888889</v>
      </c>
      <c r="F1860" s="157">
        <v>41724.104166666664</v>
      </c>
      <c r="G1860" s="98">
        <v>511</v>
      </c>
      <c r="H1860" s="98">
        <v>525</v>
      </c>
      <c r="I1860" s="98">
        <v>478</v>
      </c>
      <c r="J1860" s="98" t="s">
        <v>2100</v>
      </c>
      <c r="K1860" s="98" t="s">
        <v>1331</v>
      </c>
      <c r="L1860" s="105" t="str">
        <f t="shared" si="310"/>
        <v>Ghent</v>
      </c>
      <c r="M1860" s="105" t="str">
        <f t="shared" si="311"/>
        <v>Derate</v>
      </c>
      <c r="N1860" s="105" t="str">
        <f t="shared" si="312"/>
        <v>Coal</v>
      </c>
      <c r="O1860" s="105">
        <f>IFERROR(VLOOKUP(A1860,Lookup!$J$5:$P$19,7,FALSE),0)</f>
        <v>3</v>
      </c>
      <c r="P1860" s="159">
        <f t="shared" si="313"/>
        <v>2014</v>
      </c>
      <c r="Q1860" s="159">
        <f t="shared" si="314"/>
        <v>3</v>
      </c>
      <c r="R1860" s="160">
        <f t="shared" si="315"/>
        <v>41.766666666604578</v>
      </c>
      <c r="S1860" s="158">
        <f t="shared" si="316"/>
        <v>1.1137777777761222</v>
      </c>
      <c r="T1860" s="161">
        <f t="shared" si="317"/>
        <v>532.3857777769864</v>
      </c>
      <c r="U1860" s="158">
        <f t="shared" si="318"/>
        <v>12.746666666666666</v>
      </c>
      <c r="V1860" s="160">
        <f t="shared" si="319"/>
        <v>13</v>
      </c>
    </row>
    <row r="1861" spans="1:22" x14ac:dyDescent="0.25">
      <c r="A1861" s="98" t="s">
        <v>24</v>
      </c>
      <c r="B1861" s="98" t="s">
        <v>17</v>
      </c>
      <c r="C1861" s="98">
        <v>12</v>
      </c>
      <c r="D1861" s="98">
        <v>4499</v>
      </c>
      <c r="E1861" s="157">
        <v>41724.270833333336</v>
      </c>
      <c r="F1861" s="157">
        <v>41730</v>
      </c>
      <c r="G1861" s="98">
        <v>530</v>
      </c>
      <c r="H1861" s="98">
        <v>525</v>
      </c>
      <c r="I1861" s="98">
        <v>478</v>
      </c>
      <c r="J1861" s="98" t="s">
        <v>2082</v>
      </c>
      <c r="K1861" s="98" t="s">
        <v>1332</v>
      </c>
      <c r="L1861" s="105" t="str">
        <f t="shared" si="310"/>
        <v>Ghent</v>
      </c>
      <c r="M1861" s="105" t="str">
        <f t="shared" si="311"/>
        <v>Derate</v>
      </c>
      <c r="N1861" s="105" t="str">
        <f t="shared" si="312"/>
        <v>Coal</v>
      </c>
      <c r="O1861" s="105">
        <f>IFERROR(VLOOKUP(A1861,Lookup!$J$5:$P$19,7,FALSE),0)</f>
        <v>3</v>
      </c>
      <c r="P1861" s="159">
        <f t="shared" si="313"/>
        <v>2014</v>
      </c>
      <c r="Q1861" s="159">
        <f t="shared" si="314"/>
        <v>3</v>
      </c>
      <c r="R1861" s="160">
        <f t="shared" si="315"/>
        <v>137.49999999994179</v>
      </c>
      <c r="S1861" s="158">
        <f t="shared" si="316"/>
        <v>-1.3095238095232551</v>
      </c>
      <c r="T1861" s="161">
        <f t="shared" si="317"/>
        <v>-625.95238095211596</v>
      </c>
      <c r="U1861" s="158">
        <f t="shared" si="318"/>
        <v>0</v>
      </c>
      <c r="V1861" s="160">
        <f t="shared" si="319"/>
        <v>0</v>
      </c>
    </row>
    <row r="1862" spans="1:22" x14ac:dyDescent="0.25">
      <c r="A1862" s="98" t="s">
        <v>24</v>
      </c>
      <c r="B1862" s="98" t="s">
        <v>32</v>
      </c>
      <c r="C1862" s="98">
        <v>13</v>
      </c>
      <c r="D1862" s="98">
        <v>920</v>
      </c>
      <c r="E1862" s="157">
        <v>41730.966666666667</v>
      </c>
      <c r="F1862" s="157">
        <v>41731.163194444445</v>
      </c>
      <c r="G1862" s="98">
        <v>215</v>
      </c>
      <c r="H1862" s="98">
        <v>525</v>
      </c>
      <c r="I1862" s="98">
        <v>478</v>
      </c>
      <c r="J1862" s="98" t="s">
        <v>1974</v>
      </c>
      <c r="K1862" s="98" t="s">
        <v>1333</v>
      </c>
      <c r="L1862" s="105" t="str">
        <f t="shared" si="310"/>
        <v>Ghent</v>
      </c>
      <c r="M1862" s="105" t="str">
        <f t="shared" si="311"/>
        <v>Derate</v>
      </c>
      <c r="N1862" s="105" t="str">
        <f t="shared" si="312"/>
        <v>Coal</v>
      </c>
      <c r="O1862" s="105">
        <f>IFERROR(VLOOKUP(A1862,Lookup!$J$5:$P$19,7,FALSE),0)</f>
        <v>3</v>
      </c>
      <c r="P1862" s="159">
        <f t="shared" si="313"/>
        <v>2014</v>
      </c>
      <c r="Q1862" s="159">
        <f t="shared" si="314"/>
        <v>4</v>
      </c>
      <c r="R1862" s="160">
        <f t="shared" si="315"/>
        <v>4.7166666666744277</v>
      </c>
      <c r="S1862" s="158">
        <f t="shared" si="316"/>
        <v>2.7850793650839476</v>
      </c>
      <c r="T1862" s="161">
        <f t="shared" si="317"/>
        <v>1331.2679365101269</v>
      </c>
      <c r="U1862" s="158">
        <f t="shared" si="318"/>
        <v>282.24761904761903</v>
      </c>
      <c r="V1862" s="160">
        <f t="shared" si="319"/>
        <v>282</v>
      </c>
    </row>
    <row r="1863" spans="1:22" x14ac:dyDescent="0.25">
      <c r="A1863" s="98" t="s">
        <v>24</v>
      </c>
      <c r="B1863" s="98" t="s">
        <v>32</v>
      </c>
      <c r="C1863" s="98">
        <v>14</v>
      </c>
      <c r="D1863" s="98">
        <v>1100</v>
      </c>
      <c r="E1863" s="157">
        <v>41739.958333333336</v>
      </c>
      <c r="F1863" s="157">
        <v>41740.166666666664</v>
      </c>
      <c r="G1863" s="98">
        <v>220</v>
      </c>
      <c r="H1863" s="98">
        <v>525</v>
      </c>
      <c r="I1863" s="98">
        <v>478</v>
      </c>
      <c r="J1863" s="98" t="s">
        <v>2038</v>
      </c>
      <c r="K1863" s="98" t="s">
        <v>1334</v>
      </c>
      <c r="L1863" s="105" t="str">
        <f t="shared" si="310"/>
        <v>Ghent</v>
      </c>
      <c r="M1863" s="105" t="str">
        <f t="shared" si="311"/>
        <v>Derate</v>
      </c>
      <c r="N1863" s="105" t="str">
        <f t="shared" si="312"/>
        <v>Coal</v>
      </c>
      <c r="O1863" s="105">
        <f>IFERROR(VLOOKUP(A1863,Lookup!$J$5:$P$19,7,FALSE),0)</f>
        <v>3</v>
      </c>
      <c r="P1863" s="159">
        <f t="shared" si="313"/>
        <v>2014</v>
      </c>
      <c r="Q1863" s="159">
        <f t="shared" si="314"/>
        <v>4</v>
      </c>
      <c r="R1863" s="160">
        <f t="shared" si="315"/>
        <v>4.9999999998835847</v>
      </c>
      <c r="S1863" s="158">
        <f t="shared" si="316"/>
        <v>2.904761904694273</v>
      </c>
      <c r="T1863" s="161">
        <f t="shared" si="317"/>
        <v>1388.4761904438624</v>
      </c>
      <c r="U1863" s="158">
        <f t="shared" si="318"/>
        <v>277.6952380952381</v>
      </c>
      <c r="V1863" s="160">
        <f t="shared" si="319"/>
        <v>278</v>
      </c>
    </row>
    <row r="1864" spans="1:22" x14ac:dyDescent="0.25">
      <c r="A1864" s="98" t="s">
        <v>24</v>
      </c>
      <c r="B1864" s="98" t="s">
        <v>17</v>
      </c>
      <c r="C1864" s="98">
        <v>15</v>
      </c>
      <c r="D1864" s="98">
        <v>1100</v>
      </c>
      <c r="E1864" s="157">
        <v>41748.251388888886</v>
      </c>
      <c r="F1864" s="157">
        <v>41748.333333333336</v>
      </c>
      <c r="G1864" s="98">
        <v>500</v>
      </c>
      <c r="H1864" s="98">
        <v>525</v>
      </c>
      <c r="I1864" s="98">
        <v>478</v>
      </c>
      <c r="J1864" s="98" t="s">
        <v>2038</v>
      </c>
      <c r="K1864" s="98" t="s">
        <v>1335</v>
      </c>
      <c r="L1864" s="105" t="str">
        <f t="shared" si="310"/>
        <v>Ghent</v>
      </c>
      <c r="M1864" s="105" t="str">
        <f t="shared" si="311"/>
        <v>Derate</v>
      </c>
      <c r="N1864" s="105" t="str">
        <f t="shared" si="312"/>
        <v>Coal</v>
      </c>
      <c r="O1864" s="105">
        <f>IFERROR(VLOOKUP(A1864,Lookup!$J$5:$P$19,7,FALSE),0)</f>
        <v>3</v>
      </c>
      <c r="P1864" s="159">
        <f t="shared" si="313"/>
        <v>2014</v>
      </c>
      <c r="Q1864" s="159">
        <f t="shared" si="314"/>
        <v>4</v>
      </c>
      <c r="R1864" s="160">
        <f t="shared" si="315"/>
        <v>1.966666666790843</v>
      </c>
      <c r="S1864" s="158">
        <f t="shared" si="316"/>
        <v>9.365079365670681E-2</v>
      </c>
      <c r="T1864" s="161">
        <f t="shared" si="317"/>
        <v>44.765079367905855</v>
      </c>
      <c r="U1864" s="158">
        <f t="shared" si="318"/>
        <v>22.761904761904763</v>
      </c>
      <c r="V1864" s="160">
        <f t="shared" si="319"/>
        <v>23</v>
      </c>
    </row>
    <row r="1865" spans="1:22" x14ac:dyDescent="0.25">
      <c r="A1865" s="98" t="s">
        <v>24</v>
      </c>
      <c r="B1865" s="98" t="s">
        <v>32</v>
      </c>
      <c r="C1865" s="98">
        <v>16</v>
      </c>
      <c r="D1865" s="98">
        <v>1100</v>
      </c>
      <c r="E1865" s="157">
        <v>41748.986111111109</v>
      </c>
      <c r="F1865" s="157">
        <v>41749.166666666664</v>
      </c>
      <c r="G1865" s="98">
        <v>210</v>
      </c>
      <c r="H1865" s="98">
        <v>525</v>
      </c>
      <c r="I1865" s="98">
        <v>478</v>
      </c>
      <c r="J1865" s="98" t="s">
        <v>2038</v>
      </c>
      <c r="K1865" s="98" t="s">
        <v>1336</v>
      </c>
      <c r="L1865" s="105" t="str">
        <f t="shared" si="310"/>
        <v>Ghent</v>
      </c>
      <c r="M1865" s="105" t="str">
        <f t="shared" si="311"/>
        <v>Derate</v>
      </c>
      <c r="N1865" s="105" t="str">
        <f t="shared" si="312"/>
        <v>Coal</v>
      </c>
      <c r="O1865" s="105">
        <f>IFERROR(VLOOKUP(A1865,Lookup!$J$5:$P$19,7,FALSE),0)</f>
        <v>3</v>
      </c>
      <c r="P1865" s="159">
        <f t="shared" si="313"/>
        <v>2014</v>
      </c>
      <c r="Q1865" s="159">
        <f t="shared" si="314"/>
        <v>4</v>
      </c>
      <c r="R1865" s="160">
        <f t="shared" si="315"/>
        <v>4.3333333333139308</v>
      </c>
      <c r="S1865" s="158">
        <f t="shared" si="316"/>
        <v>2.5999999999883583</v>
      </c>
      <c r="T1865" s="161">
        <f t="shared" si="317"/>
        <v>1242.7999999944352</v>
      </c>
      <c r="U1865" s="158">
        <f t="shared" si="318"/>
        <v>286.8</v>
      </c>
      <c r="V1865" s="160">
        <f t="shared" si="319"/>
        <v>287</v>
      </c>
    </row>
    <row r="1866" spans="1:22" x14ac:dyDescent="0.25">
      <c r="A1866" s="98" t="s">
        <v>24</v>
      </c>
      <c r="B1866" s="98" t="s">
        <v>15</v>
      </c>
      <c r="C1866" s="98">
        <v>17</v>
      </c>
      <c r="D1866" s="98">
        <v>1475</v>
      </c>
      <c r="E1866" s="157">
        <v>41750.890277777777</v>
      </c>
      <c r="F1866" s="157">
        <v>41751.005555555559</v>
      </c>
      <c r="G1866" s="98">
        <v>0</v>
      </c>
      <c r="H1866" s="98">
        <v>525</v>
      </c>
      <c r="I1866" s="98">
        <v>478</v>
      </c>
      <c r="J1866" s="98" t="s">
        <v>1989</v>
      </c>
      <c r="K1866" s="98" t="s">
        <v>1337</v>
      </c>
      <c r="L1866" s="105" t="str">
        <f t="shared" si="310"/>
        <v>Ghent</v>
      </c>
      <c r="M1866" s="105" t="str">
        <f t="shared" si="311"/>
        <v>Outage</v>
      </c>
      <c r="N1866" s="105" t="str">
        <f t="shared" si="312"/>
        <v>Coal</v>
      </c>
      <c r="O1866" s="105">
        <f>IFERROR(VLOOKUP(A1866,Lookup!$J$5:$P$19,7,FALSE),0)</f>
        <v>3</v>
      </c>
      <c r="P1866" s="159">
        <f t="shared" si="313"/>
        <v>2014</v>
      </c>
      <c r="Q1866" s="159">
        <f t="shared" si="314"/>
        <v>4</v>
      </c>
      <c r="R1866" s="160">
        <f t="shared" si="315"/>
        <v>2.7666666667792015</v>
      </c>
      <c r="S1866" s="158">
        <f t="shared" si="316"/>
        <v>2.7666666667792015</v>
      </c>
      <c r="T1866" s="161">
        <f t="shared" si="317"/>
        <v>1322.4666667204583</v>
      </c>
      <c r="U1866" s="158">
        <f t="shared" si="318"/>
        <v>478</v>
      </c>
      <c r="V1866" s="160">
        <f t="shared" si="319"/>
        <v>478</v>
      </c>
    </row>
    <row r="1867" spans="1:22" x14ac:dyDescent="0.25">
      <c r="A1867" s="98" t="s">
        <v>24</v>
      </c>
      <c r="B1867" s="98" t="s">
        <v>17</v>
      </c>
      <c r="C1867" s="98">
        <v>18</v>
      </c>
      <c r="D1867" s="98">
        <v>8200</v>
      </c>
      <c r="E1867" s="157">
        <v>41755.245138888888</v>
      </c>
      <c r="F1867" s="157">
        <v>41755.402777777781</v>
      </c>
      <c r="G1867" s="98">
        <v>409</v>
      </c>
      <c r="H1867" s="98">
        <v>525</v>
      </c>
      <c r="I1867" s="98">
        <v>478</v>
      </c>
      <c r="J1867" s="98" t="s">
        <v>2262</v>
      </c>
      <c r="K1867" s="98" t="s">
        <v>1338</v>
      </c>
      <c r="L1867" s="105" t="str">
        <f t="shared" si="310"/>
        <v>Ghent</v>
      </c>
      <c r="M1867" s="105" t="str">
        <f t="shared" si="311"/>
        <v>Derate</v>
      </c>
      <c r="N1867" s="105" t="str">
        <f t="shared" si="312"/>
        <v>Coal</v>
      </c>
      <c r="O1867" s="105">
        <f>IFERROR(VLOOKUP(A1867,Lookup!$J$5:$P$19,7,FALSE),0)</f>
        <v>3</v>
      </c>
      <c r="P1867" s="159">
        <f t="shared" si="313"/>
        <v>2014</v>
      </c>
      <c r="Q1867" s="159">
        <f t="shared" si="314"/>
        <v>4</v>
      </c>
      <c r="R1867" s="160">
        <f t="shared" si="315"/>
        <v>3.7833333334419876</v>
      </c>
      <c r="S1867" s="158">
        <f t="shared" si="316"/>
        <v>0.83593650796051533</v>
      </c>
      <c r="T1867" s="161">
        <f t="shared" si="317"/>
        <v>399.57765080512632</v>
      </c>
      <c r="U1867" s="158">
        <f t="shared" si="318"/>
        <v>105.6152380952381</v>
      </c>
      <c r="V1867" s="160">
        <f t="shared" si="319"/>
        <v>106</v>
      </c>
    </row>
    <row r="1868" spans="1:22" x14ac:dyDescent="0.25">
      <c r="A1868" s="98" t="s">
        <v>24</v>
      </c>
      <c r="B1868" s="98" t="s">
        <v>17</v>
      </c>
      <c r="C1868" s="98">
        <v>19</v>
      </c>
      <c r="D1868" s="98">
        <v>8200</v>
      </c>
      <c r="E1868" s="157">
        <v>41757.394444444442</v>
      </c>
      <c r="F1868" s="157">
        <v>41757.497916666667</v>
      </c>
      <c r="G1868" s="98">
        <v>240</v>
      </c>
      <c r="H1868" s="98">
        <v>525</v>
      </c>
      <c r="I1868" s="98">
        <v>478</v>
      </c>
      <c r="J1868" s="98" t="s">
        <v>2262</v>
      </c>
      <c r="K1868" s="98" t="s">
        <v>1339</v>
      </c>
      <c r="L1868" s="105" t="str">
        <f t="shared" si="310"/>
        <v>Ghent</v>
      </c>
      <c r="M1868" s="105" t="str">
        <f t="shared" si="311"/>
        <v>Derate</v>
      </c>
      <c r="N1868" s="105" t="str">
        <f t="shared" si="312"/>
        <v>Coal</v>
      </c>
      <c r="O1868" s="105">
        <f>IFERROR(VLOOKUP(A1868,Lookup!$J$5:$P$19,7,FALSE),0)</f>
        <v>3</v>
      </c>
      <c r="P1868" s="159">
        <f t="shared" si="313"/>
        <v>2014</v>
      </c>
      <c r="Q1868" s="159">
        <f t="shared" si="314"/>
        <v>4</v>
      </c>
      <c r="R1868" s="160">
        <f t="shared" si="315"/>
        <v>2.4833333333954215</v>
      </c>
      <c r="S1868" s="158">
        <f t="shared" si="316"/>
        <v>1.3480952381289431</v>
      </c>
      <c r="T1868" s="161">
        <f t="shared" si="317"/>
        <v>644.3895238256348</v>
      </c>
      <c r="U1868" s="158">
        <f t="shared" si="318"/>
        <v>259.48571428571427</v>
      </c>
      <c r="V1868" s="160">
        <f t="shared" si="319"/>
        <v>259</v>
      </c>
    </row>
    <row r="1869" spans="1:22" x14ac:dyDescent="0.25">
      <c r="A1869" s="98" t="s">
        <v>24</v>
      </c>
      <c r="B1869" s="98" t="s">
        <v>17</v>
      </c>
      <c r="C1869" s="98">
        <v>20</v>
      </c>
      <c r="D1869" s="98">
        <v>8200</v>
      </c>
      <c r="E1869" s="157">
        <v>41757.497916666667</v>
      </c>
      <c r="F1869" s="157">
        <v>41757.525000000001</v>
      </c>
      <c r="G1869" s="98">
        <v>225</v>
      </c>
      <c r="H1869" s="98">
        <v>525</v>
      </c>
      <c r="I1869" s="98">
        <v>478</v>
      </c>
      <c r="J1869" s="98" t="s">
        <v>2262</v>
      </c>
      <c r="K1869" s="98" t="s">
        <v>1340</v>
      </c>
      <c r="L1869" s="105" t="str">
        <f t="shared" si="310"/>
        <v>Ghent</v>
      </c>
      <c r="M1869" s="105" t="str">
        <f t="shared" si="311"/>
        <v>Derate</v>
      </c>
      <c r="N1869" s="105" t="str">
        <f t="shared" si="312"/>
        <v>Coal</v>
      </c>
      <c r="O1869" s="105">
        <f>IFERROR(VLOOKUP(A1869,Lookup!$J$5:$P$19,7,FALSE),0)</f>
        <v>3</v>
      </c>
      <c r="P1869" s="159">
        <f t="shared" si="313"/>
        <v>2014</v>
      </c>
      <c r="Q1869" s="159">
        <f t="shared" si="314"/>
        <v>4</v>
      </c>
      <c r="R1869" s="160">
        <f t="shared" si="315"/>
        <v>0.65000000002328306</v>
      </c>
      <c r="S1869" s="158">
        <f t="shared" si="316"/>
        <v>0.37142857144187602</v>
      </c>
      <c r="T1869" s="161">
        <f t="shared" si="317"/>
        <v>177.54285714921673</v>
      </c>
      <c r="U1869" s="158">
        <f t="shared" si="318"/>
        <v>273.14285714285717</v>
      </c>
      <c r="V1869" s="160">
        <f t="shared" si="319"/>
        <v>273</v>
      </c>
    </row>
    <row r="1870" spans="1:22" x14ac:dyDescent="0.25">
      <c r="A1870" s="98" t="s">
        <v>24</v>
      </c>
      <c r="B1870" s="98" t="s">
        <v>20</v>
      </c>
      <c r="C1870" s="98">
        <v>21</v>
      </c>
      <c r="D1870" s="98">
        <v>1493</v>
      </c>
      <c r="E1870" s="157">
        <v>41760.982638888891</v>
      </c>
      <c r="F1870" s="157">
        <v>41764.347222222219</v>
      </c>
      <c r="G1870" s="98">
        <v>0</v>
      </c>
      <c r="H1870" s="98">
        <v>525</v>
      </c>
      <c r="I1870" s="98">
        <v>478</v>
      </c>
      <c r="J1870" s="98" t="s">
        <v>2185</v>
      </c>
      <c r="K1870" s="98" t="s">
        <v>1341</v>
      </c>
      <c r="L1870" s="105" t="str">
        <f t="shared" si="310"/>
        <v>Ghent</v>
      </c>
      <c r="M1870" s="105" t="str">
        <f t="shared" si="311"/>
        <v>Maintenance</v>
      </c>
      <c r="N1870" s="105" t="str">
        <f t="shared" si="312"/>
        <v>Coal</v>
      </c>
      <c r="O1870" s="105">
        <f>IFERROR(VLOOKUP(A1870,Lookup!$J$5:$P$19,7,FALSE),0)</f>
        <v>3</v>
      </c>
      <c r="P1870" s="159">
        <f t="shared" si="313"/>
        <v>2014</v>
      </c>
      <c r="Q1870" s="159">
        <f t="shared" si="314"/>
        <v>5</v>
      </c>
      <c r="R1870" s="160">
        <f t="shared" si="315"/>
        <v>80.749999999883585</v>
      </c>
      <c r="S1870" s="158">
        <f t="shared" si="316"/>
        <v>80.749999999883585</v>
      </c>
      <c r="T1870" s="161">
        <f t="shared" si="317"/>
        <v>38598.499999944353</v>
      </c>
      <c r="U1870" s="158">
        <f t="shared" si="318"/>
        <v>478</v>
      </c>
      <c r="V1870" s="160">
        <f t="shared" si="319"/>
        <v>478</v>
      </c>
    </row>
    <row r="1871" spans="1:22" x14ac:dyDescent="0.25">
      <c r="A1871" s="98" t="s">
        <v>24</v>
      </c>
      <c r="B1871" s="98" t="s">
        <v>83</v>
      </c>
      <c r="C1871" s="98">
        <v>22</v>
      </c>
      <c r="D1871" s="98">
        <v>1455</v>
      </c>
      <c r="E1871" s="157">
        <v>41764.347222222219</v>
      </c>
      <c r="F1871" s="157">
        <v>41765.177083333336</v>
      </c>
      <c r="G1871" s="98">
        <v>0</v>
      </c>
      <c r="H1871" s="98">
        <v>525</v>
      </c>
      <c r="I1871" s="98">
        <v>478</v>
      </c>
      <c r="J1871" s="98" t="s">
        <v>1990</v>
      </c>
      <c r="K1871" s="98" t="s">
        <v>1342</v>
      </c>
      <c r="L1871" s="105" t="str">
        <f t="shared" si="310"/>
        <v>Ghent</v>
      </c>
      <c r="M1871" s="105" t="str">
        <f t="shared" si="311"/>
        <v>Maintenance</v>
      </c>
      <c r="N1871" s="105" t="str">
        <f t="shared" si="312"/>
        <v>Coal</v>
      </c>
      <c r="O1871" s="105">
        <f>IFERROR(VLOOKUP(A1871,Lookup!$J$5:$P$19,7,FALSE),0)</f>
        <v>3</v>
      </c>
      <c r="P1871" s="159">
        <f t="shared" si="313"/>
        <v>2014</v>
      </c>
      <c r="Q1871" s="159">
        <f t="shared" si="314"/>
        <v>5</v>
      </c>
      <c r="R1871" s="160">
        <f t="shared" si="315"/>
        <v>19.916666666802485</v>
      </c>
      <c r="S1871" s="158">
        <f t="shared" si="316"/>
        <v>19.916666666802485</v>
      </c>
      <c r="T1871" s="161">
        <f t="shared" si="317"/>
        <v>9520.1666667315876</v>
      </c>
      <c r="U1871" s="158">
        <f t="shared" si="318"/>
        <v>478</v>
      </c>
      <c r="V1871" s="160">
        <f t="shared" si="319"/>
        <v>478</v>
      </c>
    </row>
    <row r="1872" spans="1:22" x14ac:dyDescent="0.25">
      <c r="A1872" s="98" t="s">
        <v>24</v>
      </c>
      <c r="B1872" s="98" t="s">
        <v>17</v>
      </c>
      <c r="C1872" s="98">
        <v>23</v>
      </c>
      <c r="D1872" s="98">
        <v>1200</v>
      </c>
      <c r="E1872" s="157">
        <v>41766.291666666664</v>
      </c>
      <c r="F1872" s="157">
        <v>41766.344444444447</v>
      </c>
      <c r="G1872" s="98">
        <v>500</v>
      </c>
      <c r="H1872" s="98">
        <v>525</v>
      </c>
      <c r="I1872" s="98">
        <v>478</v>
      </c>
      <c r="J1872" s="98" t="s">
        <v>2246</v>
      </c>
      <c r="K1872" s="98" t="s">
        <v>1343</v>
      </c>
      <c r="L1872" s="105" t="str">
        <f t="shared" si="310"/>
        <v>Ghent</v>
      </c>
      <c r="M1872" s="105" t="str">
        <f t="shared" si="311"/>
        <v>Derate</v>
      </c>
      <c r="N1872" s="105" t="str">
        <f t="shared" si="312"/>
        <v>Coal</v>
      </c>
      <c r="O1872" s="105">
        <f>IFERROR(VLOOKUP(A1872,Lookup!$J$5:$P$19,7,FALSE),0)</f>
        <v>3</v>
      </c>
      <c r="P1872" s="159">
        <f t="shared" si="313"/>
        <v>2014</v>
      </c>
      <c r="Q1872" s="159">
        <f t="shared" si="314"/>
        <v>5</v>
      </c>
      <c r="R1872" s="160">
        <f t="shared" si="315"/>
        <v>1.2666666667792015</v>
      </c>
      <c r="S1872" s="158">
        <f t="shared" si="316"/>
        <v>6.0317460322819115E-2</v>
      </c>
      <c r="T1872" s="161">
        <f t="shared" si="317"/>
        <v>28.831746034307535</v>
      </c>
      <c r="U1872" s="158">
        <f t="shared" si="318"/>
        <v>22.761904761904763</v>
      </c>
      <c r="V1872" s="160">
        <f t="shared" si="319"/>
        <v>23</v>
      </c>
    </row>
    <row r="1873" spans="1:22" x14ac:dyDescent="0.25">
      <c r="A1873" s="98" t="s">
        <v>24</v>
      </c>
      <c r="B1873" s="98" t="s">
        <v>17</v>
      </c>
      <c r="C1873" s="98">
        <v>24</v>
      </c>
      <c r="D1873" s="98">
        <v>920</v>
      </c>
      <c r="E1873" s="157">
        <v>41779.336805555555</v>
      </c>
      <c r="F1873" s="157">
        <v>41779.609027777777</v>
      </c>
      <c r="G1873" s="98">
        <v>500</v>
      </c>
      <c r="H1873" s="98">
        <v>525</v>
      </c>
      <c r="I1873" s="98">
        <v>478</v>
      </c>
      <c r="J1873" s="98" t="s">
        <v>1974</v>
      </c>
      <c r="K1873" s="98" t="s">
        <v>1344</v>
      </c>
      <c r="L1873" s="105" t="str">
        <f t="shared" si="310"/>
        <v>Ghent</v>
      </c>
      <c r="M1873" s="105" t="str">
        <f t="shared" si="311"/>
        <v>Derate</v>
      </c>
      <c r="N1873" s="105" t="str">
        <f t="shared" si="312"/>
        <v>Coal</v>
      </c>
      <c r="O1873" s="105">
        <f>IFERROR(VLOOKUP(A1873,Lookup!$J$5:$P$19,7,FALSE),0)</f>
        <v>3</v>
      </c>
      <c r="P1873" s="159">
        <f t="shared" si="313"/>
        <v>2014</v>
      </c>
      <c r="Q1873" s="159">
        <f t="shared" si="314"/>
        <v>5</v>
      </c>
      <c r="R1873" s="160">
        <f t="shared" si="315"/>
        <v>6.5333333333255723</v>
      </c>
      <c r="S1873" s="158">
        <f t="shared" si="316"/>
        <v>0.31111111111074152</v>
      </c>
      <c r="T1873" s="161">
        <f t="shared" si="317"/>
        <v>148.71111111093444</v>
      </c>
      <c r="U1873" s="158">
        <f t="shared" si="318"/>
        <v>22.761904761904763</v>
      </c>
      <c r="V1873" s="160">
        <f t="shared" si="319"/>
        <v>23</v>
      </c>
    </row>
    <row r="1874" spans="1:22" x14ac:dyDescent="0.25">
      <c r="A1874" s="98" t="s">
        <v>24</v>
      </c>
      <c r="B1874" s="98" t="s">
        <v>17</v>
      </c>
      <c r="C1874" s="98">
        <v>25</v>
      </c>
      <c r="D1874" s="98">
        <v>1455</v>
      </c>
      <c r="E1874" s="157">
        <v>41784.854166666664</v>
      </c>
      <c r="F1874" s="157">
        <v>41785.270833333336</v>
      </c>
      <c r="G1874" s="98">
        <v>425</v>
      </c>
      <c r="H1874" s="98">
        <v>525</v>
      </c>
      <c r="I1874" s="98">
        <v>478</v>
      </c>
      <c r="J1874" s="98" t="s">
        <v>1990</v>
      </c>
      <c r="K1874" s="98" t="s">
        <v>1345</v>
      </c>
      <c r="L1874" s="105" t="str">
        <f t="shared" si="310"/>
        <v>Ghent</v>
      </c>
      <c r="M1874" s="105" t="str">
        <f t="shared" si="311"/>
        <v>Derate</v>
      </c>
      <c r="N1874" s="105" t="str">
        <f t="shared" si="312"/>
        <v>Coal</v>
      </c>
      <c r="O1874" s="105">
        <f>IFERROR(VLOOKUP(A1874,Lookup!$J$5:$P$19,7,FALSE),0)</f>
        <v>3</v>
      </c>
      <c r="P1874" s="159">
        <f t="shared" si="313"/>
        <v>2014</v>
      </c>
      <c r="Q1874" s="159">
        <f t="shared" si="314"/>
        <v>5</v>
      </c>
      <c r="R1874" s="160">
        <f t="shared" si="315"/>
        <v>10.000000000116415</v>
      </c>
      <c r="S1874" s="158">
        <f t="shared" si="316"/>
        <v>1.9047619047840791</v>
      </c>
      <c r="T1874" s="161">
        <f t="shared" si="317"/>
        <v>910.47619048678985</v>
      </c>
      <c r="U1874" s="158">
        <f t="shared" si="318"/>
        <v>91.047619047619051</v>
      </c>
      <c r="V1874" s="160">
        <f t="shared" si="319"/>
        <v>91</v>
      </c>
    </row>
    <row r="1875" spans="1:22" x14ac:dyDescent="0.25">
      <c r="A1875" s="98" t="s">
        <v>24</v>
      </c>
      <c r="B1875" s="98" t="s">
        <v>20</v>
      </c>
      <c r="C1875" s="98">
        <v>26</v>
      </c>
      <c r="D1875" s="98">
        <v>1455</v>
      </c>
      <c r="E1875" s="157">
        <v>41790.012499999997</v>
      </c>
      <c r="F1875" s="157">
        <v>41791.900694444441</v>
      </c>
      <c r="G1875" s="98">
        <v>0</v>
      </c>
      <c r="H1875" s="98">
        <v>525</v>
      </c>
      <c r="I1875" s="98">
        <v>478</v>
      </c>
      <c r="J1875" s="98" t="s">
        <v>1990</v>
      </c>
      <c r="K1875" s="98" t="s">
        <v>1346</v>
      </c>
      <c r="L1875" s="105" t="str">
        <f t="shared" si="310"/>
        <v>Ghent</v>
      </c>
      <c r="M1875" s="105" t="str">
        <f t="shared" si="311"/>
        <v>Maintenance</v>
      </c>
      <c r="N1875" s="105" t="str">
        <f t="shared" si="312"/>
        <v>Coal</v>
      </c>
      <c r="O1875" s="105">
        <f>IFERROR(VLOOKUP(A1875,Lookup!$J$5:$P$19,7,FALSE),0)</f>
        <v>3</v>
      </c>
      <c r="P1875" s="159">
        <f t="shared" si="313"/>
        <v>2014</v>
      </c>
      <c r="Q1875" s="159">
        <f t="shared" si="314"/>
        <v>5</v>
      </c>
      <c r="R1875" s="160">
        <f t="shared" si="315"/>
        <v>45.316666666651145</v>
      </c>
      <c r="S1875" s="158">
        <f t="shared" si="316"/>
        <v>45.316666666651145</v>
      </c>
      <c r="T1875" s="161">
        <f t="shared" si="317"/>
        <v>21661.366666659247</v>
      </c>
      <c r="U1875" s="158">
        <f t="shared" si="318"/>
        <v>478</v>
      </c>
      <c r="V1875" s="160">
        <f t="shared" si="319"/>
        <v>478</v>
      </c>
    </row>
    <row r="1876" spans="1:22" x14ac:dyDescent="0.25">
      <c r="A1876" s="98" t="s">
        <v>24</v>
      </c>
      <c r="B1876" s="98" t="s">
        <v>17</v>
      </c>
      <c r="C1876" s="98">
        <v>27</v>
      </c>
      <c r="D1876" s="98">
        <v>9650</v>
      </c>
      <c r="E1876" s="157">
        <v>41797.606944444444</v>
      </c>
      <c r="F1876" s="157">
        <v>41797.753472222219</v>
      </c>
      <c r="G1876" s="98">
        <v>279</v>
      </c>
      <c r="H1876" s="98">
        <v>525</v>
      </c>
      <c r="I1876" s="98">
        <v>478</v>
      </c>
      <c r="J1876" s="98" t="s">
        <v>2035</v>
      </c>
      <c r="K1876" s="98" t="s">
        <v>1347</v>
      </c>
      <c r="L1876" s="105" t="str">
        <f t="shared" si="310"/>
        <v>Ghent</v>
      </c>
      <c r="M1876" s="105" t="str">
        <f t="shared" si="311"/>
        <v>Derate</v>
      </c>
      <c r="N1876" s="105" t="str">
        <f t="shared" si="312"/>
        <v>Coal</v>
      </c>
      <c r="O1876" s="105">
        <f>IFERROR(VLOOKUP(A1876,Lookup!$J$5:$P$19,7,FALSE),0)</f>
        <v>3</v>
      </c>
      <c r="P1876" s="159">
        <f t="shared" si="313"/>
        <v>2014</v>
      </c>
      <c r="Q1876" s="159">
        <f t="shared" si="314"/>
        <v>6</v>
      </c>
      <c r="R1876" s="160">
        <f t="shared" si="315"/>
        <v>3.5166666666045785</v>
      </c>
      <c r="S1876" s="158">
        <f t="shared" si="316"/>
        <v>1.6478095237804311</v>
      </c>
      <c r="T1876" s="161">
        <f t="shared" si="317"/>
        <v>787.65295236704605</v>
      </c>
      <c r="U1876" s="158">
        <f t="shared" si="318"/>
        <v>223.97714285714287</v>
      </c>
      <c r="V1876" s="160">
        <f t="shared" si="319"/>
        <v>224</v>
      </c>
    </row>
    <row r="1877" spans="1:22" x14ac:dyDescent="0.25">
      <c r="A1877" s="98" t="s">
        <v>24</v>
      </c>
      <c r="B1877" s="98" t="s">
        <v>17</v>
      </c>
      <c r="C1877" s="98">
        <v>28</v>
      </c>
      <c r="D1877" s="98">
        <v>9650</v>
      </c>
      <c r="E1877" s="157">
        <v>41806.648611111108</v>
      </c>
      <c r="F1877" s="157">
        <v>41806.77847222222</v>
      </c>
      <c r="G1877" s="98">
        <v>300</v>
      </c>
      <c r="H1877" s="98">
        <v>525</v>
      </c>
      <c r="I1877" s="98">
        <v>478</v>
      </c>
      <c r="J1877" s="98" t="s">
        <v>2035</v>
      </c>
      <c r="K1877" s="98" t="s">
        <v>1348</v>
      </c>
      <c r="L1877" s="105" t="str">
        <f t="shared" si="310"/>
        <v>Ghent</v>
      </c>
      <c r="M1877" s="105" t="str">
        <f t="shared" si="311"/>
        <v>Derate</v>
      </c>
      <c r="N1877" s="105" t="str">
        <f t="shared" si="312"/>
        <v>Coal</v>
      </c>
      <c r="O1877" s="105">
        <f>IFERROR(VLOOKUP(A1877,Lookup!$J$5:$P$19,7,FALSE),0)</f>
        <v>3</v>
      </c>
      <c r="P1877" s="159">
        <f t="shared" si="313"/>
        <v>2014</v>
      </c>
      <c r="Q1877" s="159">
        <f t="shared" si="314"/>
        <v>6</v>
      </c>
      <c r="R1877" s="160">
        <f t="shared" si="315"/>
        <v>3.1166666666977108</v>
      </c>
      <c r="S1877" s="158">
        <f t="shared" si="316"/>
        <v>1.3357142857275903</v>
      </c>
      <c r="T1877" s="161">
        <f t="shared" si="317"/>
        <v>638.47142857778817</v>
      </c>
      <c r="U1877" s="158">
        <f t="shared" si="318"/>
        <v>204.85714285714286</v>
      </c>
      <c r="V1877" s="160">
        <f t="shared" si="319"/>
        <v>205</v>
      </c>
    </row>
    <row r="1878" spans="1:22" x14ac:dyDescent="0.25">
      <c r="A1878" s="98" t="s">
        <v>24</v>
      </c>
      <c r="B1878" s="98" t="s">
        <v>17</v>
      </c>
      <c r="C1878" s="98">
        <v>29</v>
      </c>
      <c r="D1878" s="98">
        <v>280</v>
      </c>
      <c r="E1878" s="157">
        <v>41816.347222222219</v>
      </c>
      <c r="F1878" s="157">
        <v>41816.369444444441</v>
      </c>
      <c r="G1878" s="98">
        <v>450</v>
      </c>
      <c r="H1878" s="98">
        <v>525</v>
      </c>
      <c r="I1878" s="98">
        <v>478</v>
      </c>
      <c r="J1878" s="98" t="s">
        <v>1988</v>
      </c>
      <c r="K1878" s="98" t="s">
        <v>1349</v>
      </c>
      <c r="L1878" s="105" t="str">
        <f t="shared" si="310"/>
        <v>Ghent</v>
      </c>
      <c r="M1878" s="105" t="str">
        <f t="shared" si="311"/>
        <v>Derate</v>
      </c>
      <c r="N1878" s="105" t="str">
        <f t="shared" si="312"/>
        <v>Coal</v>
      </c>
      <c r="O1878" s="105">
        <f>IFERROR(VLOOKUP(A1878,Lookup!$J$5:$P$19,7,FALSE),0)</f>
        <v>3</v>
      </c>
      <c r="P1878" s="159">
        <f t="shared" si="313"/>
        <v>2014</v>
      </c>
      <c r="Q1878" s="159">
        <f t="shared" si="314"/>
        <v>6</v>
      </c>
      <c r="R1878" s="160">
        <f t="shared" si="315"/>
        <v>0.53333333332557231</v>
      </c>
      <c r="S1878" s="158">
        <f t="shared" si="316"/>
        <v>7.6190476189367473E-2</v>
      </c>
      <c r="T1878" s="161">
        <f t="shared" si="317"/>
        <v>36.419047618517652</v>
      </c>
      <c r="U1878" s="158">
        <f t="shared" si="318"/>
        <v>68.285714285714292</v>
      </c>
      <c r="V1878" s="160">
        <f t="shared" si="319"/>
        <v>68</v>
      </c>
    </row>
    <row r="1879" spans="1:22" x14ac:dyDescent="0.25">
      <c r="A1879" s="98" t="s">
        <v>24</v>
      </c>
      <c r="B1879" s="98" t="s">
        <v>17</v>
      </c>
      <c r="C1879" s="98">
        <v>30</v>
      </c>
      <c r="D1879" s="98">
        <v>1160</v>
      </c>
      <c r="E1879" s="157">
        <v>41821.188888888886</v>
      </c>
      <c r="F1879" s="157">
        <v>41821.215277777781</v>
      </c>
      <c r="G1879" s="98">
        <v>500</v>
      </c>
      <c r="H1879" s="98">
        <v>525</v>
      </c>
      <c r="I1879" s="98">
        <v>478</v>
      </c>
      <c r="J1879" s="98" t="s">
        <v>2273</v>
      </c>
      <c r="K1879" s="98" t="s">
        <v>2558</v>
      </c>
      <c r="L1879" s="105" t="str">
        <f t="shared" si="310"/>
        <v>Ghent</v>
      </c>
      <c r="M1879" s="105" t="str">
        <f t="shared" si="311"/>
        <v>Derate</v>
      </c>
      <c r="N1879" s="105" t="str">
        <f t="shared" si="312"/>
        <v>Coal</v>
      </c>
      <c r="O1879" s="105">
        <f>IFERROR(VLOOKUP(A1879,Lookup!$J$5:$P$19,7,FALSE),0)</f>
        <v>3</v>
      </c>
      <c r="P1879" s="159">
        <f t="shared" si="313"/>
        <v>2014</v>
      </c>
      <c r="Q1879" s="159">
        <f t="shared" si="314"/>
        <v>7</v>
      </c>
      <c r="R1879" s="160">
        <f t="shared" si="315"/>
        <v>0.63333333347691223</v>
      </c>
      <c r="S1879" s="158">
        <f t="shared" si="316"/>
        <v>3.0158730165567249E-2</v>
      </c>
      <c r="T1879" s="161">
        <f t="shared" si="317"/>
        <v>14.415873019141145</v>
      </c>
      <c r="U1879" s="158">
        <f t="shared" si="318"/>
        <v>22.761904761904763</v>
      </c>
      <c r="V1879" s="160">
        <f t="shared" si="319"/>
        <v>23</v>
      </c>
    </row>
    <row r="1880" spans="1:22" x14ac:dyDescent="0.25">
      <c r="A1880" s="98" t="s">
        <v>24</v>
      </c>
      <c r="B1880" s="98" t="s">
        <v>17</v>
      </c>
      <c r="C1880" s="98">
        <v>31</v>
      </c>
      <c r="D1880" s="98">
        <v>1160</v>
      </c>
      <c r="E1880" s="157">
        <v>41821.215277777781</v>
      </c>
      <c r="F1880" s="157">
        <v>41821.305555555555</v>
      </c>
      <c r="G1880" s="98">
        <v>507</v>
      </c>
      <c r="H1880" s="98">
        <v>525</v>
      </c>
      <c r="I1880" s="98">
        <v>478</v>
      </c>
      <c r="J1880" s="98" t="s">
        <v>2273</v>
      </c>
      <c r="K1880" s="98" t="s">
        <v>2559</v>
      </c>
      <c r="L1880" s="105" t="str">
        <f t="shared" si="310"/>
        <v>Ghent</v>
      </c>
      <c r="M1880" s="105" t="str">
        <f t="shared" si="311"/>
        <v>Derate</v>
      </c>
      <c r="N1880" s="105" t="str">
        <f t="shared" si="312"/>
        <v>Coal</v>
      </c>
      <c r="O1880" s="105">
        <f>IFERROR(VLOOKUP(A1880,Lookup!$J$5:$P$19,7,FALSE),0)</f>
        <v>3</v>
      </c>
      <c r="P1880" s="159">
        <f t="shared" si="313"/>
        <v>2014</v>
      </c>
      <c r="Q1880" s="159">
        <f t="shared" si="314"/>
        <v>7</v>
      </c>
      <c r="R1880" s="160">
        <f t="shared" si="315"/>
        <v>2.1666666665696539</v>
      </c>
      <c r="S1880" s="158">
        <f t="shared" si="316"/>
        <v>7.4285714282388129E-2</v>
      </c>
      <c r="T1880" s="161">
        <f t="shared" si="317"/>
        <v>35.508571426981526</v>
      </c>
      <c r="U1880" s="158">
        <f t="shared" si="318"/>
        <v>16.388571428571428</v>
      </c>
      <c r="V1880" s="160">
        <f t="shared" si="319"/>
        <v>16</v>
      </c>
    </row>
    <row r="1881" spans="1:22" x14ac:dyDescent="0.25">
      <c r="A1881" s="98" t="s">
        <v>24</v>
      </c>
      <c r="B1881" s="98" t="s">
        <v>17</v>
      </c>
      <c r="C1881" s="98">
        <v>32</v>
      </c>
      <c r="D1881" s="98">
        <v>9650</v>
      </c>
      <c r="E1881" s="157">
        <v>41832.729166666664</v>
      </c>
      <c r="F1881" s="157">
        <v>41832.760416666664</v>
      </c>
      <c r="G1881" s="98">
        <v>390</v>
      </c>
      <c r="H1881" s="98">
        <v>525</v>
      </c>
      <c r="I1881" s="98">
        <v>478</v>
      </c>
      <c r="J1881" s="98" t="s">
        <v>2035</v>
      </c>
      <c r="K1881" s="98" t="s">
        <v>2560</v>
      </c>
      <c r="L1881" s="105" t="str">
        <f t="shared" si="310"/>
        <v>Ghent</v>
      </c>
      <c r="M1881" s="105" t="str">
        <f t="shared" si="311"/>
        <v>Derate</v>
      </c>
      <c r="N1881" s="105" t="str">
        <f t="shared" si="312"/>
        <v>Coal</v>
      </c>
      <c r="O1881" s="105">
        <f>IFERROR(VLOOKUP(A1881,Lookup!$J$5:$P$19,7,FALSE),0)</f>
        <v>3</v>
      </c>
      <c r="P1881" s="159">
        <f t="shared" si="313"/>
        <v>2014</v>
      </c>
      <c r="Q1881" s="159">
        <f t="shared" si="314"/>
        <v>7</v>
      </c>
      <c r="R1881" s="160">
        <f t="shared" si="315"/>
        <v>0.75</v>
      </c>
      <c r="S1881" s="158">
        <f t="shared" si="316"/>
        <v>0.19285714285714287</v>
      </c>
      <c r="T1881" s="161">
        <f t="shared" si="317"/>
        <v>92.185714285714283</v>
      </c>
      <c r="U1881" s="158">
        <f t="shared" si="318"/>
        <v>122.91428571428571</v>
      </c>
      <c r="V1881" s="160">
        <f t="shared" si="319"/>
        <v>123</v>
      </c>
    </row>
    <row r="1882" spans="1:22" x14ac:dyDescent="0.25">
      <c r="A1882" s="98" t="s">
        <v>24</v>
      </c>
      <c r="B1882" s="98" t="s">
        <v>17</v>
      </c>
      <c r="C1882" s="98">
        <v>33</v>
      </c>
      <c r="D1882" s="98">
        <v>9650</v>
      </c>
      <c r="E1882" s="157">
        <v>41832.760416666664</v>
      </c>
      <c r="F1882" s="157">
        <v>41832.85</v>
      </c>
      <c r="G1882" s="98">
        <v>310</v>
      </c>
      <c r="H1882" s="98">
        <v>525</v>
      </c>
      <c r="I1882" s="98">
        <v>478</v>
      </c>
      <c r="J1882" s="98" t="s">
        <v>2035</v>
      </c>
      <c r="K1882" s="98" t="s">
        <v>2561</v>
      </c>
      <c r="L1882" s="105" t="str">
        <f t="shared" si="310"/>
        <v>Ghent</v>
      </c>
      <c r="M1882" s="105" t="str">
        <f t="shared" si="311"/>
        <v>Derate</v>
      </c>
      <c r="N1882" s="105" t="str">
        <f t="shared" si="312"/>
        <v>Coal</v>
      </c>
      <c r="O1882" s="105">
        <f>IFERROR(VLOOKUP(A1882,Lookup!$J$5:$P$19,7,FALSE),0)</f>
        <v>3</v>
      </c>
      <c r="P1882" s="159">
        <f t="shared" si="313"/>
        <v>2014</v>
      </c>
      <c r="Q1882" s="159">
        <f t="shared" si="314"/>
        <v>7</v>
      </c>
      <c r="R1882" s="160">
        <f t="shared" si="315"/>
        <v>2.1500000000232831</v>
      </c>
      <c r="S1882" s="158">
        <f t="shared" si="316"/>
        <v>0.88047619048572545</v>
      </c>
      <c r="T1882" s="161">
        <f t="shared" si="317"/>
        <v>420.86761905217679</v>
      </c>
      <c r="U1882" s="158">
        <f t="shared" si="318"/>
        <v>195.75238095238095</v>
      </c>
      <c r="V1882" s="160">
        <f t="shared" si="319"/>
        <v>196</v>
      </c>
    </row>
    <row r="1883" spans="1:22" x14ac:dyDescent="0.25">
      <c r="A1883" s="98" t="s">
        <v>24</v>
      </c>
      <c r="B1883" s="98" t="s">
        <v>20</v>
      </c>
      <c r="C1883" s="98">
        <v>34</v>
      </c>
      <c r="D1883" s="98">
        <v>8160</v>
      </c>
      <c r="E1883" s="157">
        <v>41838.97152777778</v>
      </c>
      <c r="F1883" s="157">
        <v>41841.273611111108</v>
      </c>
      <c r="G1883" s="98">
        <v>0</v>
      </c>
      <c r="H1883" s="98">
        <v>525</v>
      </c>
      <c r="I1883" s="98">
        <v>478</v>
      </c>
      <c r="J1883" s="98" t="s">
        <v>2245</v>
      </c>
      <c r="K1883" s="98" t="s">
        <v>2562</v>
      </c>
      <c r="L1883" s="105" t="str">
        <f t="shared" si="310"/>
        <v>Ghent</v>
      </c>
      <c r="M1883" s="105" t="str">
        <f t="shared" si="311"/>
        <v>Maintenance</v>
      </c>
      <c r="N1883" s="105" t="str">
        <f t="shared" si="312"/>
        <v>Coal</v>
      </c>
      <c r="O1883" s="105">
        <f>IFERROR(VLOOKUP(A1883,Lookup!$J$5:$P$19,7,FALSE),0)</f>
        <v>3</v>
      </c>
      <c r="P1883" s="159">
        <f t="shared" si="313"/>
        <v>2014</v>
      </c>
      <c r="Q1883" s="159">
        <f t="shared" si="314"/>
        <v>7</v>
      </c>
      <c r="R1883" s="160">
        <f t="shared" si="315"/>
        <v>55.249999999883585</v>
      </c>
      <c r="S1883" s="158">
        <f t="shared" si="316"/>
        <v>55.249999999883585</v>
      </c>
      <c r="T1883" s="161">
        <f t="shared" si="317"/>
        <v>26409.499999944353</v>
      </c>
      <c r="U1883" s="158">
        <f t="shared" si="318"/>
        <v>478</v>
      </c>
      <c r="V1883" s="160">
        <f t="shared" si="319"/>
        <v>478</v>
      </c>
    </row>
    <row r="1884" spans="1:22" x14ac:dyDescent="0.25">
      <c r="A1884" s="98" t="s">
        <v>24</v>
      </c>
      <c r="B1884" s="98" t="s">
        <v>17</v>
      </c>
      <c r="C1884" s="98">
        <v>35</v>
      </c>
      <c r="D1884" s="98">
        <v>250</v>
      </c>
      <c r="E1884" s="157">
        <v>41842.431250000001</v>
      </c>
      <c r="F1884" s="157">
        <v>41842.459722222222</v>
      </c>
      <c r="G1884" s="98">
        <v>450</v>
      </c>
      <c r="H1884" s="98">
        <v>525</v>
      </c>
      <c r="I1884" s="98">
        <v>478</v>
      </c>
      <c r="J1884" s="98" t="s">
        <v>1978</v>
      </c>
      <c r="K1884" s="98" t="s">
        <v>2563</v>
      </c>
      <c r="L1884" s="105" t="str">
        <f t="shared" si="310"/>
        <v>Ghent</v>
      </c>
      <c r="M1884" s="105" t="str">
        <f t="shared" si="311"/>
        <v>Derate</v>
      </c>
      <c r="N1884" s="105" t="str">
        <f t="shared" si="312"/>
        <v>Coal</v>
      </c>
      <c r="O1884" s="105">
        <f>IFERROR(VLOOKUP(A1884,Lookup!$J$5:$P$19,7,FALSE),0)</f>
        <v>3</v>
      </c>
      <c r="P1884" s="159">
        <f t="shared" si="313"/>
        <v>2014</v>
      </c>
      <c r="Q1884" s="159">
        <f t="shared" si="314"/>
        <v>7</v>
      </c>
      <c r="R1884" s="160">
        <f t="shared" si="315"/>
        <v>0.68333333329064772</v>
      </c>
      <c r="S1884" s="158">
        <f t="shared" si="316"/>
        <v>9.7619047612949678E-2</v>
      </c>
      <c r="T1884" s="161">
        <f t="shared" si="317"/>
        <v>46.661904758989948</v>
      </c>
      <c r="U1884" s="158">
        <f t="shared" si="318"/>
        <v>68.285714285714292</v>
      </c>
      <c r="V1884" s="160">
        <f t="shared" si="319"/>
        <v>68</v>
      </c>
    </row>
    <row r="1885" spans="1:22" x14ac:dyDescent="0.25">
      <c r="A1885" s="98" t="s">
        <v>24</v>
      </c>
      <c r="B1885" s="98" t="s">
        <v>32</v>
      </c>
      <c r="C1885" s="98">
        <v>36</v>
      </c>
      <c r="D1885" s="98">
        <v>3682</v>
      </c>
      <c r="E1885" s="157">
        <v>41849.208333333336</v>
      </c>
      <c r="F1885" s="157">
        <v>41849.697222222225</v>
      </c>
      <c r="G1885" s="98">
        <v>333</v>
      </c>
      <c r="H1885" s="98">
        <v>525</v>
      </c>
      <c r="I1885" s="98">
        <v>478</v>
      </c>
      <c r="J1885" s="98" t="s">
        <v>2401</v>
      </c>
      <c r="K1885" s="98" t="s">
        <v>2564</v>
      </c>
      <c r="L1885" s="105" t="str">
        <f t="shared" si="310"/>
        <v>Ghent</v>
      </c>
      <c r="M1885" s="105" t="str">
        <f t="shared" si="311"/>
        <v>Derate</v>
      </c>
      <c r="N1885" s="105" t="str">
        <f t="shared" si="312"/>
        <v>Coal</v>
      </c>
      <c r="O1885" s="105">
        <f>IFERROR(VLOOKUP(A1885,Lookup!$J$5:$P$19,7,FALSE),0)</f>
        <v>3</v>
      </c>
      <c r="P1885" s="159">
        <f t="shared" si="313"/>
        <v>2014</v>
      </c>
      <c r="Q1885" s="159">
        <f t="shared" si="314"/>
        <v>7</v>
      </c>
      <c r="R1885" s="160">
        <f t="shared" si="315"/>
        <v>11.733333333337214</v>
      </c>
      <c r="S1885" s="158">
        <f t="shared" si="316"/>
        <v>4.2910476190490385</v>
      </c>
      <c r="T1885" s="161">
        <f t="shared" si="317"/>
        <v>2051.1207619054403</v>
      </c>
      <c r="U1885" s="158">
        <f t="shared" si="318"/>
        <v>174.81142857142856</v>
      </c>
      <c r="V1885" s="160">
        <f t="shared" si="319"/>
        <v>175</v>
      </c>
    </row>
    <row r="1886" spans="1:22" x14ac:dyDescent="0.25">
      <c r="A1886" s="98" t="s">
        <v>24</v>
      </c>
      <c r="B1886" s="98" t="s">
        <v>17</v>
      </c>
      <c r="C1886" s="98">
        <v>37</v>
      </c>
      <c r="D1886" s="98">
        <v>280</v>
      </c>
      <c r="E1886" s="157">
        <v>41853.731944444444</v>
      </c>
      <c r="F1886" s="157">
        <v>41853.777083333334</v>
      </c>
      <c r="G1886" s="98">
        <v>430</v>
      </c>
      <c r="H1886" s="98">
        <v>525</v>
      </c>
      <c r="I1886" s="98">
        <v>478</v>
      </c>
      <c r="J1886" s="98" t="s">
        <v>1988</v>
      </c>
      <c r="K1886" s="98" t="s">
        <v>2565</v>
      </c>
      <c r="L1886" s="105" t="str">
        <f t="shared" si="310"/>
        <v>Ghent</v>
      </c>
      <c r="M1886" s="105" t="str">
        <f t="shared" si="311"/>
        <v>Derate</v>
      </c>
      <c r="N1886" s="105" t="str">
        <f t="shared" si="312"/>
        <v>Coal</v>
      </c>
      <c r="O1886" s="105">
        <f>IFERROR(VLOOKUP(A1886,Lookup!$J$5:$P$19,7,FALSE),0)</f>
        <v>3</v>
      </c>
      <c r="P1886" s="159">
        <f t="shared" si="313"/>
        <v>2014</v>
      </c>
      <c r="Q1886" s="159">
        <f t="shared" si="314"/>
        <v>8</v>
      </c>
      <c r="R1886" s="160">
        <f t="shared" si="315"/>
        <v>1.0833333333721384</v>
      </c>
      <c r="S1886" s="158">
        <f t="shared" si="316"/>
        <v>0.19603174603876791</v>
      </c>
      <c r="T1886" s="161">
        <f t="shared" si="317"/>
        <v>93.703174606531064</v>
      </c>
      <c r="U1886" s="158">
        <f t="shared" si="318"/>
        <v>86.495238095238093</v>
      </c>
      <c r="V1886" s="160">
        <f t="shared" si="319"/>
        <v>86</v>
      </c>
    </row>
    <row r="1887" spans="1:22" x14ac:dyDescent="0.25">
      <c r="A1887" s="98" t="s">
        <v>24</v>
      </c>
      <c r="B1887" s="98" t="s">
        <v>17</v>
      </c>
      <c r="C1887" s="98">
        <v>38</v>
      </c>
      <c r="D1887" s="98">
        <v>320</v>
      </c>
      <c r="E1887" s="157">
        <v>41857.597222222219</v>
      </c>
      <c r="F1887" s="157">
        <v>41857.707638888889</v>
      </c>
      <c r="G1887" s="98">
        <v>410</v>
      </c>
      <c r="H1887" s="98">
        <v>525</v>
      </c>
      <c r="I1887" s="98">
        <v>478</v>
      </c>
      <c r="J1887" s="98" t="s">
        <v>1992</v>
      </c>
      <c r="K1887" s="98" t="s">
        <v>2566</v>
      </c>
      <c r="L1887" s="105" t="str">
        <f t="shared" si="310"/>
        <v>Ghent</v>
      </c>
      <c r="M1887" s="105" t="str">
        <f t="shared" si="311"/>
        <v>Derate</v>
      </c>
      <c r="N1887" s="105" t="str">
        <f t="shared" si="312"/>
        <v>Coal</v>
      </c>
      <c r="O1887" s="105">
        <f>IFERROR(VLOOKUP(A1887,Lookup!$J$5:$P$19,7,FALSE),0)</f>
        <v>3</v>
      </c>
      <c r="P1887" s="159">
        <f t="shared" si="313"/>
        <v>2014</v>
      </c>
      <c r="Q1887" s="159">
        <f t="shared" si="314"/>
        <v>8</v>
      </c>
      <c r="R1887" s="160">
        <f t="shared" si="315"/>
        <v>2.6500000000814907</v>
      </c>
      <c r="S1887" s="158">
        <f t="shared" si="316"/>
        <v>0.58047619049404087</v>
      </c>
      <c r="T1887" s="161">
        <f t="shared" si="317"/>
        <v>277.46761905615153</v>
      </c>
      <c r="U1887" s="158">
        <f t="shared" si="318"/>
        <v>104.70476190476191</v>
      </c>
      <c r="V1887" s="160">
        <f t="shared" si="319"/>
        <v>105</v>
      </c>
    </row>
    <row r="1888" spans="1:22" x14ac:dyDescent="0.25">
      <c r="A1888" s="98" t="s">
        <v>24</v>
      </c>
      <c r="B1888" s="98" t="s">
        <v>17</v>
      </c>
      <c r="C1888" s="98">
        <v>39</v>
      </c>
      <c r="D1888" s="98">
        <v>1160</v>
      </c>
      <c r="E1888" s="157">
        <v>41861.782638888886</v>
      </c>
      <c r="F1888" s="157">
        <v>41861.9375</v>
      </c>
      <c r="G1888" s="98">
        <v>495</v>
      </c>
      <c r="H1888" s="98">
        <v>525</v>
      </c>
      <c r="I1888" s="98">
        <v>478</v>
      </c>
      <c r="J1888" s="98" t="s">
        <v>2273</v>
      </c>
      <c r="K1888" s="98" t="s">
        <v>2567</v>
      </c>
      <c r="L1888" s="105" t="str">
        <f t="shared" si="310"/>
        <v>Ghent</v>
      </c>
      <c r="M1888" s="105" t="str">
        <f t="shared" si="311"/>
        <v>Derate</v>
      </c>
      <c r="N1888" s="105" t="str">
        <f t="shared" si="312"/>
        <v>Coal</v>
      </c>
      <c r="O1888" s="105">
        <f>IFERROR(VLOOKUP(A1888,Lookup!$J$5:$P$19,7,FALSE),0)</f>
        <v>3</v>
      </c>
      <c r="P1888" s="159">
        <f t="shared" si="313"/>
        <v>2014</v>
      </c>
      <c r="Q1888" s="159">
        <f t="shared" si="314"/>
        <v>8</v>
      </c>
      <c r="R1888" s="160">
        <f t="shared" si="315"/>
        <v>3.7166666667326353</v>
      </c>
      <c r="S1888" s="158">
        <f t="shared" si="316"/>
        <v>0.21238095238472202</v>
      </c>
      <c r="T1888" s="161">
        <f t="shared" si="317"/>
        <v>101.51809523989712</v>
      </c>
      <c r="U1888" s="158">
        <f t="shared" si="318"/>
        <v>27.314285714285713</v>
      </c>
      <c r="V1888" s="160">
        <f t="shared" si="319"/>
        <v>27</v>
      </c>
    </row>
    <row r="1889" spans="1:22" x14ac:dyDescent="0.25">
      <c r="A1889" s="98" t="s">
        <v>24</v>
      </c>
      <c r="B1889" s="98" t="s">
        <v>17</v>
      </c>
      <c r="C1889" s="98">
        <v>40</v>
      </c>
      <c r="D1889" s="98">
        <v>9650</v>
      </c>
      <c r="E1889" s="157">
        <v>41862.82916666667</v>
      </c>
      <c r="F1889" s="157">
        <v>41863.038194444445</v>
      </c>
      <c r="G1889" s="98">
        <v>495</v>
      </c>
      <c r="H1889" s="98">
        <v>525</v>
      </c>
      <c r="I1889" s="98">
        <v>478</v>
      </c>
      <c r="J1889" s="98" t="s">
        <v>2035</v>
      </c>
      <c r="K1889" s="98" t="s">
        <v>2568</v>
      </c>
      <c r="L1889" s="105" t="str">
        <f t="shared" si="310"/>
        <v>Ghent</v>
      </c>
      <c r="M1889" s="105" t="str">
        <f t="shared" si="311"/>
        <v>Derate</v>
      </c>
      <c r="N1889" s="105" t="str">
        <f t="shared" si="312"/>
        <v>Coal</v>
      </c>
      <c r="O1889" s="105">
        <f>IFERROR(VLOOKUP(A1889,Lookup!$J$5:$P$19,7,FALSE),0)</f>
        <v>3</v>
      </c>
      <c r="P1889" s="159">
        <f t="shared" si="313"/>
        <v>2014</v>
      </c>
      <c r="Q1889" s="159">
        <f t="shared" si="314"/>
        <v>8</v>
      </c>
      <c r="R1889" s="160">
        <f t="shared" si="315"/>
        <v>5.0166666666045785</v>
      </c>
      <c r="S1889" s="158">
        <f t="shared" si="316"/>
        <v>0.2866666666631188</v>
      </c>
      <c r="T1889" s="161">
        <f t="shared" si="317"/>
        <v>137.02666666497078</v>
      </c>
      <c r="U1889" s="158">
        <f t="shared" si="318"/>
        <v>27.314285714285713</v>
      </c>
      <c r="V1889" s="160">
        <f t="shared" si="319"/>
        <v>27</v>
      </c>
    </row>
    <row r="1890" spans="1:22" x14ac:dyDescent="0.25">
      <c r="A1890" s="98" t="s">
        <v>24</v>
      </c>
      <c r="B1890" s="98" t="s">
        <v>17</v>
      </c>
      <c r="C1890" s="98">
        <v>41</v>
      </c>
      <c r="D1890" s="98">
        <v>9650</v>
      </c>
      <c r="E1890" s="157">
        <v>41863.220138888886</v>
      </c>
      <c r="F1890" s="157">
        <v>41863.249305555553</v>
      </c>
      <c r="G1890" s="98">
        <v>495</v>
      </c>
      <c r="H1890" s="98">
        <v>525</v>
      </c>
      <c r="I1890" s="98">
        <v>478</v>
      </c>
      <c r="J1890" s="98" t="s">
        <v>2035</v>
      </c>
      <c r="K1890" s="98" t="s">
        <v>2569</v>
      </c>
      <c r="L1890" s="105" t="str">
        <f t="shared" si="310"/>
        <v>Ghent</v>
      </c>
      <c r="M1890" s="105" t="str">
        <f t="shared" si="311"/>
        <v>Derate</v>
      </c>
      <c r="N1890" s="105" t="str">
        <f t="shared" si="312"/>
        <v>Coal</v>
      </c>
      <c r="O1890" s="105">
        <f>IFERROR(VLOOKUP(A1890,Lookup!$J$5:$P$19,7,FALSE),0)</f>
        <v>3</v>
      </c>
      <c r="P1890" s="159">
        <f t="shared" si="313"/>
        <v>2014</v>
      </c>
      <c r="Q1890" s="159">
        <f t="shared" si="314"/>
        <v>8</v>
      </c>
      <c r="R1890" s="160">
        <f t="shared" si="315"/>
        <v>0.70000000001164153</v>
      </c>
      <c r="S1890" s="158">
        <f t="shared" si="316"/>
        <v>4.0000000000665233E-2</v>
      </c>
      <c r="T1890" s="161">
        <f t="shared" si="317"/>
        <v>19.12000000031798</v>
      </c>
      <c r="U1890" s="158">
        <f t="shared" si="318"/>
        <v>27.314285714285713</v>
      </c>
      <c r="V1890" s="160">
        <f t="shared" si="319"/>
        <v>27</v>
      </c>
    </row>
    <row r="1891" spans="1:22" x14ac:dyDescent="0.25">
      <c r="A1891" s="98" t="s">
        <v>24</v>
      </c>
      <c r="B1891" s="98" t="s">
        <v>17</v>
      </c>
      <c r="C1891" s="98">
        <v>42</v>
      </c>
      <c r="D1891" s="98">
        <v>9650</v>
      </c>
      <c r="E1891" s="157">
        <v>41863.249305555553</v>
      </c>
      <c r="F1891" s="157">
        <v>41863.442361111112</v>
      </c>
      <c r="G1891" s="98">
        <v>445</v>
      </c>
      <c r="H1891" s="98">
        <v>525</v>
      </c>
      <c r="I1891" s="98">
        <v>478</v>
      </c>
      <c r="J1891" s="98" t="s">
        <v>2035</v>
      </c>
      <c r="K1891" s="98" t="s">
        <v>2570</v>
      </c>
      <c r="L1891" s="105" t="str">
        <f t="shared" si="310"/>
        <v>Ghent</v>
      </c>
      <c r="M1891" s="105" t="str">
        <f t="shared" si="311"/>
        <v>Derate</v>
      </c>
      <c r="N1891" s="105" t="str">
        <f t="shared" si="312"/>
        <v>Coal</v>
      </c>
      <c r="O1891" s="105">
        <f>IFERROR(VLOOKUP(A1891,Lookup!$J$5:$P$19,7,FALSE),0)</f>
        <v>3</v>
      </c>
      <c r="P1891" s="159">
        <f t="shared" si="313"/>
        <v>2014</v>
      </c>
      <c r="Q1891" s="159">
        <f t="shared" si="314"/>
        <v>8</v>
      </c>
      <c r="R1891" s="160">
        <f t="shared" si="315"/>
        <v>4.6333333334187046</v>
      </c>
      <c r="S1891" s="158">
        <f t="shared" si="316"/>
        <v>0.70603174604475494</v>
      </c>
      <c r="T1891" s="161">
        <f t="shared" si="317"/>
        <v>337.48317460939285</v>
      </c>
      <c r="U1891" s="158">
        <f t="shared" si="318"/>
        <v>72.838095238095235</v>
      </c>
      <c r="V1891" s="160">
        <f t="shared" si="319"/>
        <v>73</v>
      </c>
    </row>
    <row r="1892" spans="1:22" x14ac:dyDescent="0.25">
      <c r="A1892" s="98" t="s">
        <v>24</v>
      </c>
      <c r="B1892" s="98" t="s">
        <v>17</v>
      </c>
      <c r="C1892" s="98">
        <v>43</v>
      </c>
      <c r="D1892" s="98">
        <v>1455</v>
      </c>
      <c r="E1892" s="157">
        <v>41871.072222222225</v>
      </c>
      <c r="F1892" s="157">
        <v>41871.180555555555</v>
      </c>
      <c r="G1892" s="98">
        <v>200</v>
      </c>
      <c r="H1892" s="98">
        <v>525</v>
      </c>
      <c r="I1892" s="98">
        <v>478</v>
      </c>
      <c r="J1892" s="98" t="s">
        <v>1990</v>
      </c>
      <c r="K1892" s="98" t="s">
        <v>2571</v>
      </c>
      <c r="L1892" s="105" t="str">
        <f t="shared" si="310"/>
        <v>Ghent</v>
      </c>
      <c r="M1892" s="105" t="str">
        <f t="shared" si="311"/>
        <v>Derate</v>
      </c>
      <c r="N1892" s="105" t="str">
        <f t="shared" si="312"/>
        <v>Coal</v>
      </c>
      <c r="O1892" s="105">
        <f>IFERROR(VLOOKUP(A1892,Lookup!$J$5:$P$19,7,FALSE),0)</f>
        <v>3</v>
      </c>
      <c r="P1892" s="159">
        <f t="shared" si="313"/>
        <v>2014</v>
      </c>
      <c r="Q1892" s="159">
        <f t="shared" si="314"/>
        <v>8</v>
      </c>
      <c r="R1892" s="160">
        <f t="shared" si="315"/>
        <v>2.5999999999185093</v>
      </c>
      <c r="S1892" s="158">
        <f t="shared" si="316"/>
        <v>1.6095238094733628</v>
      </c>
      <c r="T1892" s="161">
        <f t="shared" si="317"/>
        <v>769.35238092826739</v>
      </c>
      <c r="U1892" s="158">
        <f t="shared" si="318"/>
        <v>295.90476190476193</v>
      </c>
      <c r="V1892" s="160">
        <f t="shared" si="319"/>
        <v>296</v>
      </c>
    </row>
    <row r="1893" spans="1:22" x14ac:dyDescent="0.25">
      <c r="A1893" s="98" t="s">
        <v>24</v>
      </c>
      <c r="B1893" s="98" t="s">
        <v>17</v>
      </c>
      <c r="C1893" s="98">
        <v>44</v>
      </c>
      <c r="D1893" s="98">
        <v>1599</v>
      </c>
      <c r="E1893" s="157">
        <v>41873.406944444447</v>
      </c>
      <c r="F1893" s="157">
        <v>41873.972916666666</v>
      </c>
      <c r="G1893" s="98">
        <v>505</v>
      </c>
      <c r="H1893" s="98">
        <v>525</v>
      </c>
      <c r="I1893" s="98">
        <v>478</v>
      </c>
      <c r="J1893" s="98" t="s">
        <v>2013</v>
      </c>
      <c r="K1893" s="98" t="s">
        <v>2572</v>
      </c>
      <c r="L1893" s="105" t="str">
        <f t="shared" si="310"/>
        <v>Ghent</v>
      </c>
      <c r="M1893" s="105" t="str">
        <f t="shared" si="311"/>
        <v>Derate</v>
      </c>
      <c r="N1893" s="105" t="str">
        <f t="shared" si="312"/>
        <v>Coal</v>
      </c>
      <c r="O1893" s="105">
        <f>IFERROR(VLOOKUP(A1893,Lookup!$J$5:$P$19,7,FALSE),0)</f>
        <v>3</v>
      </c>
      <c r="P1893" s="159">
        <f t="shared" si="313"/>
        <v>2014</v>
      </c>
      <c r="Q1893" s="159">
        <f t="shared" si="314"/>
        <v>8</v>
      </c>
      <c r="R1893" s="160">
        <f t="shared" si="315"/>
        <v>13.583333333255723</v>
      </c>
      <c r="S1893" s="158">
        <f t="shared" si="316"/>
        <v>0.51746031745736087</v>
      </c>
      <c r="T1893" s="161">
        <f t="shared" si="317"/>
        <v>247.3460317446185</v>
      </c>
      <c r="U1893" s="158">
        <f t="shared" si="318"/>
        <v>18.209523809523809</v>
      </c>
      <c r="V1893" s="160">
        <f t="shared" si="319"/>
        <v>18</v>
      </c>
    </row>
    <row r="1894" spans="1:22" x14ac:dyDescent="0.25">
      <c r="A1894" s="98" t="s">
        <v>24</v>
      </c>
      <c r="B1894" s="98" t="s">
        <v>17</v>
      </c>
      <c r="C1894" s="98">
        <v>45</v>
      </c>
      <c r="D1894" s="98">
        <v>3631</v>
      </c>
      <c r="E1894" s="157">
        <v>41873.752083333333</v>
      </c>
      <c r="F1894" s="157">
        <v>41873.76666666667</v>
      </c>
      <c r="G1894" s="98">
        <v>450</v>
      </c>
      <c r="H1894" s="98">
        <v>525</v>
      </c>
      <c r="I1894" s="98">
        <v>478</v>
      </c>
      <c r="J1894" s="98" t="s">
        <v>2133</v>
      </c>
      <c r="K1894" s="98" t="s">
        <v>2573</v>
      </c>
      <c r="L1894" s="105" t="str">
        <f t="shared" si="310"/>
        <v>Ghent</v>
      </c>
      <c r="M1894" s="105" t="str">
        <f t="shared" si="311"/>
        <v>Derate</v>
      </c>
      <c r="N1894" s="105" t="str">
        <f t="shared" si="312"/>
        <v>Coal</v>
      </c>
      <c r="O1894" s="105">
        <f>IFERROR(VLOOKUP(A1894,Lookup!$J$5:$P$19,7,FALSE),0)</f>
        <v>3</v>
      </c>
      <c r="P1894" s="159">
        <f t="shared" si="313"/>
        <v>2014</v>
      </c>
      <c r="Q1894" s="159">
        <f t="shared" si="314"/>
        <v>8</v>
      </c>
      <c r="R1894" s="160">
        <f t="shared" si="315"/>
        <v>0.35000000009313226</v>
      </c>
      <c r="S1894" s="158">
        <f t="shared" si="316"/>
        <v>5.000000001330461E-2</v>
      </c>
      <c r="T1894" s="161">
        <f t="shared" si="317"/>
        <v>23.900000006359605</v>
      </c>
      <c r="U1894" s="158">
        <f t="shared" si="318"/>
        <v>68.285714285714292</v>
      </c>
      <c r="V1894" s="160">
        <f t="shared" si="319"/>
        <v>68</v>
      </c>
    </row>
    <row r="1895" spans="1:22" x14ac:dyDescent="0.25">
      <c r="A1895" s="98" t="s">
        <v>24</v>
      </c>
      <c r="B1895" s="98" t="s">
        <v>20</v>
      </c>
      <c r="C1895" s="98">
        <v>46</v>
      </c>
      <c r="D1895" s="98">
        <v>8160</v>
      </c>
      <c r="E1895" s="157">
        <v>41873.972916666666</v>
      </c>
      <c r="F1895" s="157">
        <v>41876.042361111111</v>
      </c>
      <c r="G1895" s="98">
        <v>0</v>
      </c>
      <c r="H1895" s="98">
        <v>525</v>
      </c>
      <c r="I1895" s="98">
        <v>478</v>
      </c>
      <c r="J1895" s="98" t="s">
        <v>2245</v>
      </c>
      <c r="K1895" s="98" t="s">
        <v>2574</v>
      </c>
      <c r="L1895" s="105" t="str">
        <f t="shared" ref="L1895:L1958" si="320">IF(OR(A1895="BR1",A1895="BR2",A1895="BR3",A1895="BR5",A1895="BR6",A1895="BR7",A1895="BR8",A1895="BR9",A1895="BR10",A1895="BR11"),"Brown",IF(OR(A1895="CR4",A1895="CR5",A1895="CR6",A1895="CR11"),"Cane Run",IF(OR(A1895="GH1",A1895="GH2",A1895="GH3",A1895="GH4"),"Ghent",IF(OR(A1895="GR3",A1895="GR4"),"Green River",IF(OR(A1895="MC1",A1895="MC2",A1895="MC3",A1895="MC4"),"Mill Creek",IF(OR(A1895="TC1",A1895="TC2",A1895="TC5",A1895="TC6",A1895="TC7",A1895="TC8",A1895="TC9",A1895="TC10"),"Trimble",IF(A1895="TY3","Tyrone",IF(OR(A1895="HA1",A1895="HA2",A1895="HA3"),"Haeflin",IF(OR(A1895="PR11",A1895="PR12",A1895="PR13"),"Paddy's Run","Zorn")))))))))</f>
        <v>Ghent</v>
      </c>
      <c r="M1895" s="105" t="str">
        <f t="shared" ref="M1895:M1958" si="321">IF(OR(B1895="D1",B1895="D2",B1895="D3",B1895="D4",B1895="PD"),"Derate",IF(OR(B1895="SF",B1895="U1",B1895="U2",B1895="U3"),"Outage",IF(OR(B1895="ME",B1895="MO"),"Maintenance","Other")))</f>
        <v>Maintenance</v>
      </c>
      <c r="N1895" s="105" t="str">
        <f t="shared" ref="N1895:N1958" si="322">IF(OR(A1895="BR1",A1895="BR2",A1895="BR3",A1895="CR4",A1895="CR5",A1895="CR6",A1895="GH1",A1895="GH2",A1895="GH3",A1895="GH4",A1895="GR3",A1895="GR4",A1895="MC1",A1895="MC2",A1895="MC3",A1895="MC4",A1895="TC1",A1895="TC2",A1895="TY3"),"Coal","Gas")</f>
        <v>Coal</v>
      </c>
      <c r="O1895" s="105">
        <f>IFERROR(VLOOKUP(A1895,Lookup!$J$5:$P$19,7,FALSE),0)</f>
        <v>3</v>
      </c>
      <c r="P1895" s="159">
        <f t="shared" ref="P1895:P1958" si="323">YEAR(E1895)</f>
        <v>2014</v>
      </c>
      <c r="Q1895" s="159">
        <f t="shared" ref="Q1895:Q1958" si="324">MONTH(E1895)</f>
        <v>8</v>
      </c>
      <c r="R1895" s="160">
        <f t="shared" ref="R1895:R1958" si="325">(F1895-E1895)*24</f>
        <v>49.666666666686069</v>
      </c>
      <c r="S1895" s="158">
        <f t="shared" ref="S1895:S1958" si="326">R1895*(H1895-G1895)/H1895</f>
        <v>49.666666666686069</v>
      </c>
      <c r="T1895" s="161">
        <f t="shared" ref="T1895:T1958" si="327">S1895*I1895</f>
        <v>23740.666666675941</v>
      </c>
      <c r="U1895" s="158">
        <f t="shared" ref="U1895:U1958" si="328">IF(G1895&gt;0,MAX((H1895-G1895),0)*I1895/H1895,I1895)</f>
        <v>478</v>
      </c>
      <c r="V1895" s="160">
        <f t="shared" ref="V1895:V1958" si="329">ROUND(U1895,0)</f>
        <v>478</v>
      </c>
    </row>
    <row r="1896" spans="1:22" x14ac:dyDescent="0.25">
      <c r="A1896" s="98" t="s">
        <v>24</v>
      </c>
      <c r="B1896" s="98" t="s">
        <v>15</v>
      </c>
      <c r="C1896" s="98">
        <v>47</v>
      </c>
      <c r="D1896" s="98">
        <v>1000</v>
      </c>
      <c r="E1896" s="157">
        <v>41876.426388888889</v>
      </c>
      <c r="F1896" s="157">
        <v>41877.311111111114</v>
      </c>
      <c r="G1896" s="98">
        <v>0</v>
      </c>
      <c r="H1896" s="98">
        <v>525</v>
      </c>
      <c r="I1896" s="98">
        <v>478</v>
      </c>
      <c r="J1896" s="98" t="s">
        <v>2002</v>
      </c>
      <c r="K1896" s="98" t="s">
        <v>2575</v>
      </c>
      <c r="L1896" s="105" t="str">
        <f t="shared" si="320"/>
        <v>Ghent</v>
      </c>
      <c r="M1896" s="105" t="str">
        <f t="shared" si="321"/>
        <v>Outage</v>
      </c>
      <c r="N1896" s="105" t="str">
        <f t="shared" si="322"/>
        <v>Coal</v>
      </c>
      <c r="O1896" s="105">
        <f>IFERROR(VLOOKUP(A1896,Lookup!$J$5:$P$19,7,FALSE),0)</f>
        <v>3</v>
      </c>
      <c r="P1896" s="159">
        <f t="shared" si="323"/>
        <v>2014</v>
      </c>
      <c r="Q1896" s="159">
        <f t="shared" si="324"/>
        <v>8</v>
      </c>
      <c r="R1896" s="160">
        <f t="shared" si="325"/>
        <v>21.233333333395422</v>
      </c>
      <c r="S1896" s="158">
        <f t="shared" si="326"/>
        <v>21.233333333395422</v>
      </c>
      <c r="T1896" s="161">
        <f t="shared" si="327"/>
        <v>10149.533333363011</v>
      </c>
      <c r="U1896" s="158">
        <f t="shared" si="328"/>
        <v>478</v>
      </c>
      <c r="V1896" s="160">
        <f t="shared" si="329"/>
        <v>478</v>
      </c>
    </row>
    <row r="1897" spans="1:22" x14ac:dyDescent="0.25">
      <c r="A1897" s="98" t="s">
        <v>24</v>
      </c>
      <c r="B1897" s="98" t="s">
        <v>15</v>
      </c>
      <c r="C1897" s="98">
        <v>48</v>
      </c>
      <c r="D1897" s="98">
        <v>1599</v>
      </c>
      <c r="E1897" s="157">
        <v>41877.411805555559</v>
      </c>
      <c r="F1897" s="157">
        <v>41877.458333333336</v>
      </c>
      <c r="G1897" s="98">
        <v>0</v>
      </c>
      <c r="H1897" s="98">
        <v>525</v>
      </c>
      <c r="I1897" s="98">
        <v>478</v>
      </c>
      <c r="J1897" s="98" t="s">
        <v>2013</v>
      </c>
      <c r="K1897" s="98" t="s">
        <v>2576</v>
      </c>
      <c r="L1897" s="105" t="str">
        <f t="shared" si="320"/>
        <v>Ghent</v>
      </c>
      <c r="M1897" s="105" t="str">
        <f t="shared" si="321"/>
        <v>Outage</v>
      </c>
      <c r="N1897" s="105" t="str">
        <f t="shared" si="322"/>
        <v>Coal</v>
      </c>
      <c r="O1897" s="105">
        <f>IFERROR(VLOOKUP(A1897,Lookup!$J$5:$P$19,7,FALSE),0)</f>
        <v>3</v>
      </c>
      <c r="P1897" s="159">
        <f t="shared" si="323"/>
        <v>2014</v>
      </c>
      <c r="Q1897" s="159">
        <f t="shared" si="324"/>
        <v>8</v>
      </c>
      <c r="R1897" s="160">
        <f t="shared" si="325"/>
        <v>1.1166666666395031</v>
      </c>
      <c r="S1897" s="158">
        <f t="shared" si="326"/>
        <v>1.1166666666395031</v>
      </c>
      <c r="T1897" s="161">
        <f t="shared" si="327"/>
        <v>533.76666665368248</v>
      </c>
      <c r="U1897" s="158">
        <f t="shared" si="328"/>
        <v>478</v>
      </c>
      <c r="V1897" s="160">
        <f t="shared" si="329"/>
        <v>478</v>
      </c>
    </row>
    <row r="1898" spans="1:22" x14ac:dyDescent="0.25">
      <c r="A1898" s="98" t="s">
        <v>24</v>
      </c>
      <c r="B1898" s="98" t="s">
        <v>15</v>
      </c>
      <c r="C1898" s="98">
        <v>49</v>
      </c>
      <c r="D1898" s="98">
        <v>1000</v>
      </c>
      <c r="E1898" s="157">
        <v>41878.356944444444</v>
      </c>
      <c r="F1898" s="157">
        <v>41880.887499999997</v>
      </c>
      <c r="G1898" s="98">
        <v>0</v>
      </c>
      <c r="H1898" s="98">
        <v>525</v>
      </c>
      <c r="I1898" s="98">
        <v>478</v>
      </c>
      <c r="J1898" s="98" t="s">
        <v>2002</v>
      </c>
      <c r="K1898" s="98" t="s">
        <v>2577</v>
      </c>
      <c r="L1898" s="105" t="str">
        <f t="shared" si="320"/>
        <v>Ghent</v>
      </c>
      <c r="M1898" s="105" t="str">
        <f t="shared" si="321"/>
        <v>Outage</v>
      </c>
      <c r="N1898" s="105" t="str">
        <f t="shared" si="322"/>
        <v>Coal</v>
      </c>
      <c r="O1898" s="105">
        <f>IFERROR(VLOOKUP(A1898,Lookup!$J$5:$P$19,7,FALSE),0)</f>
        <v>3</v>
      </c>
      <c r="P1898" s="159">
        <f t="shared" si="323"/>
        <v>2014</v>
      </c>
      <c r="Q1898" s="159">
        <f t="shared" si="324"/>
        <v>8</v>
      </c>
      <c r="R1898" s="160">
        <f t="shared" si="325"/>
        <v>60.733333333279006</v>
      </c>
      <c r="S1898" s="158">
        <f t="shared" si="326"/>
        <v>60.733333333279006</v>
      </c>
      <c r="T1898" s="161">
        <f t="shared" si="327"/>
        <v>29030.533333307365</v>
      </c>
      <c r="U1898" s="158">
        <f t="shared" si="328"/>
        <v>478</v>
      </c>
      <c r="V1898" s="160">
        <f t="shared" si="329"/>
        <v>478</v>
      </c>
    </row>
    <row r="1899" spans="1:22" x14ac:dyDescent="0.25">
      <c r="A1899" s="98" t="s">
        <v>24</v>
      </c>
      <c r="B1899" s="98" t="s">
        <v>15</v>
      </c>
      <c r="C1899" s="98">
        <v>50</v>
      </c>
      <c r="D1899" s="98">
        <v>3110</v>
      </c>
      <c r="E1899" s="157">
        <v>41886.729861111111</v>
      </c>
      <c r="F1899" s="157">
        <v>41887.680555555555</v>
      </c>
      <c r="G1899" s="98">
        <v>0</v>
      </c>
      <c r="H1899" s="98">
        <v>525</v>
      </c>
      <c r="I1899" s="98">
        <v>478</v>
      </c>
      <c r="J1899" s="98" t="s">
        <v>2119</v>
      </c>
      <c r="K1899" s="98" t="s">
        <v>2578</v>
      </c>
      <c r="L1899" s="105" t="str">
        <f t="shared" si="320"/>
        <v>Ghent</v>
      </c>
      <c r="M1899" s="105" t="str">
        <f t="shared" si="321"/>
        <v>Outage</v>
      </c>
      <c r="N1899" s="105" t="str">
        <f t="shared" si="322"/>
        <v>Coal</v>
      </c>
      <c r="O1899" s="105">
        <f>IFERROR(VLOOKUP(A1899,Lookup!$J$5:$P$19,7,FALSE),0)</f>
        <v>3</v>
      </c>
      <c r="P1899" s="159">
        <f t="shared" si="323"/>
        <v>2014</v>
      </c>
      <c r="Q1899" s="159">
        <f t="shared" si="324"/>
        <v>9</v>
      </c>
      <c r="R1899" s="160">
        <f t="shared" si="325"/>
        <v>22.816666666651145</v>
      </c>
      <c r="S1899" s="158">
        <f t="shared" si="326"/>
        <v>22.816666666651145</v>
      </c>
      <c r="T1899" s="161">
        <f t="shared" si="327"/>
        <v>10906.366666659247</v>
      </c>
      <c r="U1899" s="158">
        <f t="shared" si="328"/>
        <v>478</v>
      </c>
      <c r="V1899" s="160">
        <f t="shared" si="329"/>
        <v>478</v>
      </c>
    </row>
    <row r="1900" spans="1:22" x14ac:dyDescent="0.25">
      <c r="A1900" s="98" t="s">
        <v>24</v>
      </c>
      <c r="B1900" s="98" t="s">
        <v>20</v>
      </c>
      <c r="C1900" s="98">
        <v>51</v>
      </c>
      <c r="D1900" s="98">
        <v>1050</v>
      </c>
      <c r="E1900" s="157">
        <v>41887.680555555555</v>
      </c>
      <c r="F1900" s="157">
        <v>41888.665972222225</v>
      </c>
      <c r="G1900" s="98">
        <v>0</v>
      </c>
      <c r="H1900" s="98">
        <v>525</v>
      </c>
      <c r="I1900" s="98">
        <v>478</v>
      </c>
      <c r="J1900" s="98" t="s">
        <v>2112</v>
      </c>
      <c r="K1900" s="98" t="s">
        <v>2579</v>
      </c>
      <c r="L1900" s="105" t="str">
        <f t="shared" si="320"/>
        <v>Ghent</v>
      </c>
      <c r="M1900" s="105" t="str">
        <f t="shared" si="321"/>
        <v>Maintenance</v>
      </c>
      <c r="N1900" s="105" t="str">
        <f t="shared" si="322"/>
        <v>Coal</v>
      </c>
      <c r="O1900" s="105">
        <f>IFERROR(VLOOKUP(A1900,Lookup!$J$5:$P$19,7,FALSE),0)</f>
        <v>3</v>
      </c>
      <c r="P1900" s="159">
        <f t="shared" si="323"/>
        <v>2014</v>
      </c>
      <c r="Q1900" s="159">
        <f t="shared" si="324"/>
        <v>9</v>
      </c>
      <c r="R1900" s="160">
        <f t="shared" si="325"/>
        <v>23.650000000081491</v>
      </c>
      <c r="S1900" s="158">
        <f t="shared" si="326"/>
        <v>23.650000000081491</v>
      </c>
      <c r="T1900" s="161">
        <f t="shared" si="327"/>
        <v>11304.700000038953</v>
      </c>
      <c r="U1900" s="158">
        <f t="shared" si="328"/>
        <v>478</v>
      </c>
      <c r="V1900" s="160">
        <f t="shared" si="329"/>
        <v>478</v>
      </c>
    </row>
    <row r="1901" spans="1:22" x14ac:dyDescent="0.25">
      <c r="A1901" s="98" t="s">
        <v>24</v>
      </c>
      <c r="B1901" s="98" t="s">
        <v>17</v>
      </c>
      <c r="C1901" s="98">
        <v>52</v>
      </c>
      <c r="D1901" s="98">
        <v>3110</v>
      </c>
      <c r="E1901" s="157">
        <v>41889.309027777781</v>
      </c>
      <c r="F1901" s="157">
        <v>41891.947916666664</v>
      </c>
      <c r="G1901" s="98">
        <v>368</v>
      </c>
      <c r="H1901" s="98">
        <v>525</v>
      </c>
      <c r="I1901" s="98">
        <v>478</v>
      </c>
      <c r="J1901" s="98" t="s">
        <v>2119</v>
      </c>
      <c r="K1901" s="98" t="s">
        <v>2580</v>
      </c>
      <c r="L1901" s="105" t="str">
        <f t="shared" si="320"/>
        <v>Ghent</v>
      </c>
      <c r="M1901" s="105" t="str">
        <f t="shared" si="321"/>
        <v>Derate</v>
      </c>
      <c r="N1901" s="105" t="str">
        <f t="shared" si="322"/>
        <v>Coal</v>
      </c>
      <c r="O1901" s="105">
        <f>IFERROR(VLOOKUP(A1901,Lookup!$J$5:$P$19,7,FALSE),0)</f>
        <v>3</v>
      </c>
      <c r="P1901" s="159">
        <f t="shared" si="323"/>
        <v>2014</v>
      </c>
      <c r="Q1901" s="159">
        <f t="shared" si="324"/>
        <v>9</v>
      </c>
      <c r="R1901" s="160">
        <f t="shared" si="325"/>
        <v>63.333333333197515</v>
      </c>
      <c r="S1901" s="158">
        <f t="shared" si="326"/>
        <v>18.939682539641925</v>
      </c>
      <c r="T1901" s="161">
        <f t="shared" si="327"/>
        <v>9053.1682539488411</v>
      </c>
      <c r="U1901" s="158">
        <f t="shared" si="328"/>
        <v>142.94476190476192</v>
      </c>
      <c r="V1901" s="160">
        <f t="shared" si="329"/>
        <v>143</v>
      </c>
    </row>
    <row r="1902" spans="1:22" x14ac:dyDescent="0.25">
      <c r="A1902" s="98" t="s">
        <v>24</v>
      </c>
      <c r="B1902" s="98" t="s">
        <v>32</v>
      </c>
      <c r="C1902" s="98">
        <v>53</v>
      </c>
      <c r="D1902" s="98">
        <v>3110</v>
      </c>
      <c r="E1902" s="157">
        <v>41893.958333333336</v>
      </c>
      <c r="F1902" s="157">
        <v>41894.240972222222</v>
      </c>
      <c r="G1902" s="98">
        <v>290</v>
      </c>
      <c r="H1902" s="98">
        <v>525</v>
      </c>
      <c r="I1902" s="98">
        <v>478</v>
      </c>
      <c r="J1902" s="98" t="s">
        <v>2119</v>
      </c>
      <c r="K1902" s="98" t="s">
        <v>2581</v>
      </c>
      <c r="L1902" s="105" t="str">
        <f t="shared" si="320"/>
        <v>Ghent</v>
      </c>
      <c r="M1902" s="105" t="str">
        <f t="shared" si="321"/>
        <v>Derate</v>
      </c>
      <c r="N1902" s="105" t="str">
        <f t="shared" si="322"/>
        <v>Coal</v>
      </c>
      <c r="O1902" s="105">
        <f>IFERROR(VLOOKUP(A1902,Lookup!$J$5:$P$19,7,FALSE),0)</f>
        <v>3</v>
      </c>
      <c r="P1902" s="159">
        <f t="shared" si="323"/>
        <v>2014</v>
      </c>
      <c r="Q1902" s="159">
        <f t="shared" si="324"/>
        <v>9</v>
      </c>
      <c r="R1902" s="160">
        <f t="shared" si="325"/>
        <v>6.7833333332673647</v>
      </c>
      <c r="S1902" s="158">
        <f t="shared" si="326"/>
        <v>3.0363492063196773</v>
      </c>
      <c r="T1902" s="161">
        <f t="shared" si="327"/>
        <v>1451.3749206208058</v>
      </c>
      <c r="U1902" s="158">
        <f t="shared" si="328"/>
        <v>213.96190476190475</v>
      </c>
      <c r="V1902" s="160">
        <f t="shared" si="329"/>
        <v>214</v>
      </c>
    </row>
    <row r="1903" spans="1:22" x14ac:dyDescent="0.25">
      <c r="A1903" s="98" t="s">
        <v>24</v>
      </c>
      <c r="B1903" s="98" t="s">
        <v>15</v>
      </c>
      <c r="C1903" s="98">
        <v>54</v>
      </c>
      <c r="D1903" s="98">
        <v>9900</v>
      </c>
      <c r="E1903" s="157">
        <v>41894.240972222222</v>
      </c>
      <c r="F1903" s="157">
        <v>41894.25</v>
      </c>
      <c r="G1903" s="98">
        <v>0</v>
      </c>
      <c r="H1903" s="98">
        <v>525</v>
      </c>
      <c r="I1903" s="98">
        <v>478</v>
      </c>
      <c r="J1903" s="98" t="s">
        <v>1996</v>
      </c>
      <c r="K1903" s="98" t="s">
        <v>2582</v>
      </c>
      <c r="L1903" s="105" t="str">
        <f t="shared" si="320"/>
        <v>Ghent</v>
      </c>
      <c r="M1903" s="105" t="str">
        <f t="shared" si="321"/>
        <v>Outage</v>
      </c>
      <c r="N1903" s="105" t="str">
        <f t="shared" si="322"/>
        <v>Coal</v>
      </c>
      <c r="O1903" s="105">
        <f>IFERROR(VLOOKUP(A1903,Lookup!$J$5:$P$19,7,FALSE),0)</f>
        <v>3</v>
      </c>
      <c r="P1903" s="159">
        <f t="shared" si="323"/>
        <v>2014</v>
      </c>
      <c r="Q1903" s="159">
        <f t="shared" si="324"/>
        <v>9</v>
      </c>
      <c r="R1903" s="160">
        <f t="shared" si="325"/>
        <v>0.21666666667442769</v>
      </c>
      <c r="S1903" s="158">
        <f t="shared" si="326"/>
        <v>0.21666666667442769</v>
      </c>
      <c r="T1903" s="161">
        <f t="shared" si="327"/>
        <v>103.56666667037643</v>
      </c>
      <c r="U1903" s="158">
        <f t="shared" si="328"/>
        <v>478</v>
      </c>
      <c r="V1903" s="160">
        <f t="shared" si="329"/>
        <v>478</v>
      </c>
    </row>
    <row r="1904" spans="1:22" x14ac:dyDescent="0.25">
      <c r="A1904" s="98" t="s">
        <v>24</v>
      </c>
      <c r="B1904" s="98" t="s">
        <v>20</v>
      </c>
      <c r="C1904" s="98">
        <v>56</v>
      </c>
      <c r="D1904" s="98">
        <v>3110</v>
      </c>
      <c r="E1904" s="157">
        <v>41894.25</v>
      </c>
      <c r="F1904" s="157">
        <v>41894.818749999999</v>
      </c>
      <c r="G1904" s="98">
        <v>0</v>
      </c>
      <c r="H1904" s="98">
        <v>525</v>
      </c>
      <c r="I1904" s="98">
        <v>478</v>
      </c>
      <c r="J1904" s="98" t="s">
        <v>2119</v>
      </c>
      <c r="K1904" s="98" t="s">
        <v>2583</v>
      </c>
      <c r="L1904" s="105" t="str">
        <f t="shared" si="320"/>
        <v>Ghent</v>
      </c>
      <c r="M1904" s="105" t="str">
        <f t="shared" si="321"/>
        <v>Maintenance</v>
      </c>
      <c r="N1904" s="105" t="str">
        <f t="shared" si="322"/>
        <v>Coal</v>
      </c>
      <c r="O1904" s="105">
        <f>IFERROR(VLOOKUP(A1904,Lookup!$J$5:$P$19,7,FALSE),0)</f>
        <v>3</v>
      </c>
      <c r="P1904" s="159">
        <f t="shared" si="323"/>
        <v>2014</v>
      </c>
      <c r="Q1904" s="159">
        <f t="shared" si="324"/>
        <v>9</v>
      </c>
      <c r="R1904" s="160">
        <f t="shared" si="325"/>
        <v>13.649999999965075</v>
      </c>
      <c r="S1904" s="158">
        <f t="shared" si="326"/>
        <v>13.649999999965075</v>
      </c>
      <c r="T1904" s="161">
        <f t="shared" si="327"/>
        <v>6524.699999983306</v>
      </c>
      <c r="U1904" s="158">
        <f t="shared" si="328"/>
        <v>478</v>
      </c>
      <c r="V1904" s="160">
        <f t="shared" si="329"/>
        <v>478</v>
      </c>
    </row>
    <row r="1905" spans="1:22" x14ac:dyDescent="0.25">
      <c r="A1905" s="98" t="s">
        <v>24</v>
      </c>
      <c r="B1905" s="98" t="s">
        <v>17</v>
      </c>
      <c r="C1905" s="98">
        <v>57</v>
      </c>
      <c r="D1905" s="98">
        <v>1850</v>
      </c>
      <c r="E1905" s="157">
        <v>41895.351388888892</v>
      </c>
      <c r="F1905" s="157">
        <v>41895.622916666667</v>
      </c>
      <c r="G1905" s="98">
        <v>469</v>
      </c>
      <c r="H1905" s="98">
        <v>525</v>
      </c>
      <c r="I1905" s="98">
        <v>478</v>
      </c>
      <c r="J1905" s="98" t="s">
        <v>2263</v>
      </c>
      <c r="K1905" s="98" t="s">
        <v>2584</v>
      </c>
      <c r="L1905" s="105" t="str">
        <f t="shared" si="320"/>
        <v>Ghent</v>
      </c>
      <c r="M1905" s="105" t="str">
        <f t="shared" si="321"/>
        <v>Derate</v>
      </c>
      <c r="N1905" s="105" t="str">
        <f t="shared" si="322"/>
        <v>Coal</v>
      </c>
      <c r="O1905" s="105">
        <f>IFERROR(VLOOKUP(A1905,Lookup!$J$5:$P$19,7,FALSE),0)</f>
        <v>3</v>
      </c>
      <c r="P1905" s="159">
        <f t="shared" si="323"/>
        <v>2014</v>
      </c>
      <c r="Q1905" s="159">
        <f t="shared" si="324"/>
        <v>9</v>
      </c>
      <c r="R1905" s="160">
        <f t="shared" si="325"/>
        <v>6.5166666666045785</v>
      </c>
      <c r="S1905" s="158">
        <f t="shared" si="326"/>
        <v>0.69511111110448842</v>
      </c>
      <c r="T1905" s="161">
        <f t="shared" si="327"/>
        <v>332.26311110794546</v>
      </c>
      <c r="U1905" s="158">
        <f t="shared" si="328"/>
        <v>50.986666666666665</v>
      </c>
      <c r="V1905" s="160">
        <f t="shared" si="329"/>
        <v>51</v>
      </c>
    </row>
    <row r="1906" spans="1:22" x14ac:dyDescent="0.25">
      <c r="A1906" s="98" t="s">
        <v>24</v>
      </c>
      <c r="B1906" s="98" t="s">
        <v>17</v>
      </c>
      <c r="C1906" s="98">
        <v>58</v>
      </c>
      <c r="D1906" s="98">
        <v>8817</v>
      </c>
      <c r="E1906" s="157">
        <v>41902.651388888888</v>
      </c>
      <c r="F1906" s="157">
        <v>41902.794444444444</v>
      </c>
      <c r="G1906" s="98">
        <v>344</v>
      </c>
      <c r="H1906" s="98">
        <v>525</v>
      </c>
      <c r="I1906" s="98">
        <v>478</v>
      </c>
      <c r="J1906" s="98" t="s">
        <v>2189</v>
      </c>
      <c r="K1906" s="98" t="s">
        <v>2585</v>
      </c>
      <c r="L1906" s="105" t="str">
        <f t="shared" si="320"/>
        <v>Ghent</v>
      </c>
      <c r="M1906" s="105" t="str">
        <f t="shared" si="321"/>
        <v>Derate</v>
      </c>
      <c r="N1906" s="105" t="str">
        <f t="shared" si="322"/>
        <v>Coal</v>
      </c>
      <c r="O1906" s="105">
        <f>IFERROR(VLOOKUP(A1906,Lookup!$J$5:$P$19,7,FALSE),0)</f>
        <v>3</v>
      </c>
      <c r="P1906" s="159">
        <f t="shared" si="323"/>
        <v>2014</v>
      </c>
      <c r="Q1906" s="159">
        <f t="shared" si="324"/>
        <v>9</v>
      </c>
      <c r="R1906" s="160">
        <f t="shared" si="325"/>
        <v>3.4333333333488554</v>
      </c>
      <c r="S1906" s="158">
        <f t="shared" si="326"/>
        <v>1.1836825396878912</v>
      </c>
      <c r="T1906" s="161">
        <f t="shared" si="327"/>
        <v>565.80025397081192</v>
      </c>
      <c r="U1906" s="158">
        <f t="shared" si="328"/>
        <v>164.79619047619047</v>
      </c>
      <c r="V1906" s="160">
        <f t="shared" si="329"/>
        <v>165</v>
      </c>
    </row>
    <row r="1907" spans="1:22" x14ac:dyDescent="0.25">
      <c r="A1907" s="98" t="s">
        <v>24</v>
      </c>
      <c r="B1907" s="98" t="s">
        <v>17</v>
      </c>
      <c r="C1907" s="98">
        <v>59</v>
      </c>
      <c r="D1907" s="98">
        <v>4499</v>
      </c>
      <c r="E1907" s="157">
        <v>41913.449999999997</v>
      </c>
      <c r="F1907" s="157">
        <v>41919.425694444442</v>
      </c>
      <c r="G1907" s="98">
        <v>511</v>
      </c>
      <c r="H1907" s="98">
        <v>525</v>
      </c>
      <c r="I1907" s="98">
        <v>478</v>
      </c>
      <c r="J1907" s="98" t="s">
        <v>2082</v>
      </c>
      <c r="K1907" s="98" t="s">
        <v>2586</v>
      </c>
      <c r="L1907" s="105" t="str">
        <f t="shared" si="320"/>
        <v>Ghent</v>
      </c>
      <c r="M1907" s="105" t="str">
        <f t="shared" si="321"/>
        <v>Derate</v>
      </c>
      <c r="N1907" s="105" t="str">
        <f t="shared" si="322"/>
        <v>Coal</v>
      </c>
      <c r="O1907" s="105">
        <f>IFERROR(VLOOKUP(A1907,Lookup!$J$5:$P$19,7,FALSE),0)</f>
        <v>3</v>
      </c>
      <c r="P1907" s="159">
        <f t="shared" si="323"/>
        <v>2014</v>
      </c>
      <c r="Q1907" s="159">
        <f t="shared" si="324"/>
        <v>10</v>
      </c>
      <c r="R1907" s="160">
        <f t="shared" si="325"/>
        <v>143.41666666668607</v>
      </c>
      <c r="S1907" s="158">
        <f t="shared" si="326"/>
        <v>3.8244444444449619</v>
      </c>
      <c r="T1907" s="161">
        <f t="shared" si="327"/>
        <v>1828.0844444446918</v>
      </c>
      <c r="U1907" s="158">
        <f t="shared" si="328"/>
        <v>12.746666666666666</v>
      </c>
      <c r="V1907" s="160">
        <f t="shared" si="329"/>
        <v>13</v>
      </c>
    </row>
    <row r="1908" spans="1:22" x14ac:dyDescent="0.25">
      <c r="A1908" s="98" t="s">
        <v>24</v>
      </c>
      <c r="B1908" s="98" t="s">
        <v>17</v>
      </c>
      <c r="C1908" s="98">
        <v>60</v>
      </c>
      <c r="D1908" s="98">
        <v>4499</v>
      </c>
      <c r="E1908" s="157">
        <v>41919.425694444442</v>
      </c>
      <c r="F1908" s="157">
        <v>41922.989583333336</v>
      </c>
      <c r="G1908" s="98">
        <v>505</v>
      </c>
      <c r="H1908" s="98">
        <v>525</v>
      </c>
      <c r="I1908" s="98">
        <v>478</v>
      </c>
      <c r="J1908" s="98" t="s">
        <v>2082</v>
      </c>
      <c r="K1908" s="98" t="s">
        <v>2587</v>
      </c>
      <c r="L1908" s="105" t="str">
        <f t="shared" si="320"/>
        <v>Ghent</v>
      </c>
      <c r="M1908" s="105" t="str">
        <f t="shared" si="321"/>
        <v>Derate</v>
      </c>
      <c r="N1908" s="105" t="str">
        <f t="shared" si="322"/>
        <v>Coal</v>
      </c>
      <c r="O1908" s="105">
        <f>IFERROR(VLOOKUP(A1908,Lookup!$J$5:$P$19,7,FALSE),0)</f>
        <v>3</v>
      </c>
      <c r="P1908" s="159">
        <f t="shared" si="323"/>
        <v>2014</v>
      </c>
      <c r="Q1908" s="159">
        <f t="shared" si="324"/>
        <v>10</v>
      </c>
      <c r="R1908" s="160">
        <f t="shared" si="325"/>
        <v>85.533333333441988</v>
      </c>
      <c r="S1908" s="158">
        <f t="shared" si="326"/>
        <v>3.2584126984168376</v>
      </c>
      <c r="T1908" s="161">
        <f t="shared" si="327"/>
        <v>1557.5212698432483</v>
      </c>
      <c r="U1908" s="158">
        <f t="shared" si="328"/>
        <v>18.209523809523809</v>
      </c>
      <c r="V1908" s="160">
        <f t="shared" si="329"/>
        <v>18</v>
      </c>
    </row>
    <row r="1909" spans="1:22" x14ac:dyDescent="0.25">
      <c r="A1909" s="98" t="s">
        <v>24</v>
      </c>
      <c r="B1909" s="98" t="s">
        <v>38</v>
      </c>
      <c r="C1909" s="98">
        <v>61</v>
      </c>
      <c r="D1909" s="98">
        <v>4400</v>
      </c>
      <c r="E1909" s="157">
        <v>41922.989583333336</v>
      </c>
      <c r="F1909" s="157">
        <v>41978.064583333333</v>
      </c>
      <c r="G1909" s="98">
        <v>0</v>
      </c>
      <c r="H1909" s="98">
        <v>525</v>
      </c>
      <c r="I1909" s="98">
        <v>478</v>
      </c>
      <c r="J1909" s="98" t="s">
        <v>2079</v>
      </c>
      <c r="K1909" s="98" t="s">
        <v>2588</v>
      </c>
      <c r="L1909" s="105" t="str">
        <f t="shared" si="320"/>
        <v>Ghent</v>
      </c>
      <c r="M1909" s="105" t="str">
        <f t="shared" si="321"/>
        <v>Other</v>
      </c>
      <c r="N1909" s="105" t="str">
        <f t="shared" si="322"/>
        <v>Coal</v>
      </c>
      <c r="O1909" s="105">
        <f>IFERROR(VLOOKUP(A1909,Lookup!$J$5:$P$19,7,FALSE),0)</f>
        <v>3</v>
      </c>
      <c r="P1909" s="159">
        <f t="shared" si="323"/>
        <v>2014</v>
      </c>
      <c r="Q1909" s="159">
        <f t="shared" si="324"/>
        <v>10</v>
      </c>
      <c r="R1909" s="160">
        <f t="shared" si="325"/>
        <v>1321.7999999999302</v>
      </c>
      <c r="S1909" s="158">
        <f t="shared" si="326"/>
        <v>1321.7999999999302</v>
      </c>
      <c r="T1909" s="161">
        <f t="shared" si="327"/>
        <v>631820.39999996661</v>
      </c>
      <c r="U1909" s="158">
        <f t="shared" si="328"/>
        <v>478</v>
      </c>
      <c r="V1909" s="160">
        <f t="shared" si="329"/>
        <v>478</v>
      </c>
    </row>
    <row r="1910" spans="1:22" x14ac:dyDescent="0.25">
      <c r="A1910" s="98" t="s">
        <v>24</v>
      </c>
      <c r="B1910" s="98" t="s">
        <v>15</v>
      </c>
      <c r="C1910" s="98">
        <v>62</v>
      </c>
      <c r="D1910" s="98">
        <v>4470</v>
      </c>
      <c r="E1910" s="157">
        <v>41978.072222222225</v>
      </c>
      <c r="F1910" s="157">
        <v>41978.285416666666</v>
      </c>
      <c r="G1910" s="98">
        <v>0</v>
      </c>
      <c r="H1910" s="98">
        <v>525</v>
      </c>
      <c r="I1910" s="98">
        <v>478</v>
      </c>
      <c r="J1910" s="98" t="s">
        <v>2498</v>
      </c>
      <c r="K1910" s="98" t="s">
        <v>2589</v>
      </c>
      <c r="L1910" s="105" t="str">
        <f t="shared" si="320"/>
        <v>Ghent</v>
      </c>
      <c r="M1910" s="105" t="str">
        <f t="shared" si="321"/>
        <v>Outage</v>
      </c>
      <c r="N1910" s="105" t="str">
        <f t="shared" si="322"/>
        <v>Coal</v>
      </c>
      <c r="O1910" s="105">
        <f>IFERROR(VLOOKUP(A1910,Lookup!$J$5:$P$19,7,FALSE),0)</f>
        <v>3</v>
      </c>
      <c r="P1910" s="159">
        <f t="shared" si="323"/>
        <v>2014</v>
      </c>
      <c r="Q1910" s="159">
        <f t="shared" si="324"/>
        <v>12</v>
      </c>
      <c r="R1910" s="160">
        <f t="shared" si="325"/>
        <v>5.1166666665812954</v>
      </c>
      <c r="S1910" s="158">
        <f t="shared" si="326"/>
        <v>5.1166666665812954</v>
      </c>
      <c r="T1910" s="161">
        <f t="shared" si="327"/>
        <v>2445.7666666258592</v>
      </c>
      <c r="U1910" s="158">
        <f t="shared" si="328"/>
        <v>478</v>
      </c>
      <c r="V1910" s="160">
        <f t="shared" si="329"/>
        <v>478</v>
      </c>
    </row>
    <row r="1911" spans="1:22" x14ac:dyDescent="0.25">
      <c r="A1911" s="98" t="s">
        <v>24</v>
      </c>
      <c r="B1911" s="98" t="s">
        <v>15</v>
      </c>
      <c r="C1911" s="98">
        <v>63</v>
      </c>
      <c r="D1911" s="98">
        <v>4470</v>
      </c>
      <c r="E1911" s="157">
        <v>41978.313194444447</v>
      </c>
      <c r="F1911" s="157">
        <v>41978.512499999997</v>
      </c>
      <c r="G1911" s="98">
        <v>0</v>
      </c>
      <c r="H1911" s="98">
        <v>525</v>
      </c>
      <c r="I1911" s="98">
        <v>478</v>
      </c>
      <c r="J1911" s="98" t="s">
        <v>2498</v>
      </c>
      <c r="K1911" s="98" t="s">
        <v>2590</v>
      </c>
      <c r="L1911" s="105" t="str">
        <f t="shared" si="320"/>
        <v>Ghent</v>
      </c>
      <c r="M1911" s="105" t="str">
        <f t="shared" si="321"/>
        <v>Outage</v>
      </c>
      <c r="N1911" s="105" t="str">
        <f t="shared" si="322"/>
        <v>Coal</v>
      </c>
      <c r="O1911" s="105">
        <f>IFERROR(VLOOKUP(A1911,Lookup!$J$5:$P$19,7,FALSE),0)</f>
        <v>3</v>
      </c>
      <c r="P1911" s="159">
        <f t="shared" si="323"/>
        <v>2014</v>
      </c>
      <c r="Q1911" s="159">
        <f t="shared" si="324"/>
        <v>12</v>
      </c>
      <c r="R1911" s="160">
        <f t="shared" si="325"/>
        <v>4.783333333209157</v>
      </c>
      <c r="S1911" s="158">
        <f t="shared" si="326"/>
        <v>4.783333333209157</v>
      </c>
      <c r="T1911" s="161">
        <f t="shared" si="327"/>
        <v>2286.433333273977</v>
      </c>
      <c r="U1911" s="158">
        <f t="shared" si="328"/>
        <v>478</v>
      </c>
      <c r="V1911" s="160">
        <f t="shared" si="329"/>
        <v>478</v>
      </c>
    </row>
    <row r="1912" spans="1:22" x14ac:dyDescent="0.25">
      <c r="A1912" s="98" t="s">
        <v>24</v>
      </c>
      <c r="B1912" s="98" t="s">
        <v>15</v>
      </c>
      <c r="C1912" s="98">
        <v>64</v>
      </c>
      <c r="D1912" s="98">
        <v>4470</v>
      </c>
      <c r="E1912" s="157">
        <v>41978.544444444444</v>
      </c>
      <c r="F1912" s="157">
        <v>41978.587500000001</v>
      </c>
      <c r="G1912" s="98">
        <v>0</v>
      </c>
      <c r="H1912" s="98">
        <v>525</v>
      </c>
      <c r="I1912" s="98">
        <v>478</v>
      </c>
      <c r="J1912" s="98" t="s">
        <v>2498</v>
      </c>
      <c r="K1912" s="98" t="s">
        <v>2591</v>
      </c>
      <c r="L1912" s="105" t="str">
        <f t="shared" si="320"/>
        <v>Ghent</v>
      </c>
      <c r="M1912" s="105" t="str">
        <f t="shared" si="321"/>
        <v>Outage</v>
      </c>
      <c r="N1912" s="105" t="str">
        <f t="shared" si="322"/>
        <v>Coal</v>
      </c>
      <c r="O1912" s="105">
        <f>IFERROR(VLOOKUP(A1912,Lookup!$J$5:$P$19,7,FALSE),0)</f>
        <v>3</v>
      </c>
      <c r="P1912" s="159">
        <f t="shared" si="323"/>
        <v>2014</v>
      </c>
      <c r="Q1912" s="159">
        <f t="shared" si="324"/>
        <v>12</v>
      </c>
      <c r="R1912" s="160">
        <f t="shared" si="325"/>
        <v>1.03333333338378</v>
      </c>
      <c r="S1912" s="158">
        <f t="shared" si="326"/>
        <v>1.03333333338378</v>
      </c>
      <c r="T1912" s="161">
        <f t="shared" si="327"/>
        <v>493.93333335744683</v>
      </c>
      <c r="U1912" s="158">
        <f t="shared" si="328"/>
        <v>478</v>
      </c>
      <c r="V1912" s="160">
        <f t="shared" si="329"/>
        <v>478</v>
      </c>
    </row>
    <row r="1913" spans="1:22" x14ac:dyDescent="0.25">
      <c r="A1913" s="98" t="s">
        <v>24</v>
      </c>
      <c r="B1913" s="98" t="s">
        <v>17</v>
      </c>
      <c r="C1913" s="98">
        <v>65</v>
      </c>
      <c r="D1913" s="98">
        <v>1850</v>
      </c>
      <c r="E1913" s="157">
        <v>41979.587500000001</v>
      </c>
      <c r="F1913" s="157">
        <v>41980.637499999997</v>
      </c>
      <c r="G1913" s="98">
        <v>441</v>
      </c>
      <c r="H1913" s="98">
        <v>525</v>
      </c>
      <c r="I1913" s="98">
        <v>478</v>
      </c>
      <c r="J1913" s="98" t="s">
        <v>2263</v>
      </c>
      <c r="K1913" s="98" t="s">
        <v>2592</v>
      </c>
      <c r="L1913" s="105" t="str">
        <f t="shared" si="320"/>
        <v>Ghent</v>
      </c>
      <c r="M1913" s="105" t="str">
        <f t="shared" si="321"/>
        <v>Derate</v>
      </c>
      <c r="N1913" s="105" t="str">
        <f t="shared" si="322"/>
        <v>Coal</v>
      </c>
      <c r="O1913" s="105">
        <f>IFERROR(VLOOKUP(A1913,Lookup!$J$5:$P$19,7,FALSE),0)</f>
        <v>3</v>
      </c>
      <c r="P1913" s="159">
        <f t="shared" si="323"/>
        <v>2014</v>
      </c>
      <c r="Q1913" s="159">
        <f t="shared" si="324"/>
        <v>12</v>
      </c>
      <c r="R1913" s="160">
        <f t="shared" si="325"/>
        <v>25.199999999895226</v>
      </c>
      <c r="S1913" s="158">
        <f t="shared" si="326"/>
        <v>4.0319999999832365</v>
      </c>
      <c r="T1913" s="161">
        <f t="shared" si="327"/>
        <v>1927.2959999919872</v>
      </c>
      <c r="U1913" s="158">
        <f t="shared" si="328"/>
        <v>76.48</v>
      </c>
      <c r="V1913" s="160">
        <f t="shared" si="329"/>
        <v>76</v>
      </c>
    </row>
    <row r="1914" spans="1:22" x14ac:dyDescent="0.25">
      <c r="A1914" s="98" t="s">
        <v>24</v>
      </c>
      <c r="B1914" s="98" t="s">
        <v>15</v>
      </c>
      <c r="C1914" s="98">
        <v>66</v>
      </c>
      <c r="D1914" s="98">
        <v>3431</v>
      </c>
      <c r="E1914" s="157">
        <v>41980.637499999997</v>
      </c>
      <c r="F1914" s="157">
        <v>41981.406944444447</v>
      </c>
      <c r="G1914" s="98">
        <v>0</v>
      </c>
      <c r="H1914" s="98">
        <v>525</v>
      </c>
      <c r="I1914" s="98">
        <v>478</v>
      </c>
      <c r="J1914" s="98" t="s">
        <v>2123</v>
      </c>
      <c r="K1914" s="98" t="s">
        <v>2593</v>
      </c>
      <c r="L1914" s="105" t="str">
        <f t="shared" si="320"/>
        <v>Ghent</v>
      </c>
      <c r="M1914" s="105" t="str">
        <f t="shared" si="321"/>
        <v>Outage</v>
      </c>
      <c r="N1914" s="105" t="str">
        <f t="shared" si="322"/>
        <v>Coal</v>
      </c>
      <c r="O1914" s="105">
        <f>IFERROR(VLOOKUP(A1914,Lookup!$J$5:$P$19,7,FALSE),0)</f>
        <v>3</v>
      </c>
      <c r="P1914" s="159">
        <f t="shared" si="323"/>
        <v>2014</v>
      </c>
      <c r="Q1914" s="159">
        <f t="shared" si="324"/>
        <v>12</v>
      </c>
      <c r="R1914" s="160">
        <f t="shared" si="325"/>
        <v>18.466666666790843</v>
      </c>
      <c r="S1914" s="158">
        <f t="shared" si="326"/>
        <v>18.466666666790843</v>
      </c>
      <c r="T1914" s="161">
        <f t="shared" si="327"/>
        <v>8827.066666726023</v>
      </c>
      <c r="U1914" s="158">
        <f t="shared" si="328"/>
        <v>478</v>
      </c>
      <c r="V1914" s="160">
        <f t="shared" si="329"/>
        <v>478</v>
      </c>
    </row>
    <row r="1915" spans="1:22" x14ac:dyDescent="0.25">
      <c r="A1915" s="98" t="s">
        <v>24</v>
      </c>
      <c r="B1915" s="98" t="s">
        <v>17</v>
      </c>
      <c r="C1915" s="98">
        <v>67</v>
      </c>
      <c r="D1915" s="98">
        <v>3410</v>
      </c>
      <c r="E1915" s="157">
        <v>41981.740277777775</v>
      </c>
      <c r="F1915" s="157">
        <v>41981.881944444445</v>
      </c>
      <c r="G1915" s="98">
        <v>270</v>
      </c>
      <c r="H1915" s="98">
        <v>525</v>
      </c>
      <c r="I1915" s="98">
        <v>478</v>
      </c>
      <c r="J1915" s="98" t="s">
        <v>1983</v>
      </c>
      <c r="K1915" s="98" t="s">
        <v>2594</v>
      </c>
      <c r="L1915" s="105" t="str">
        <f t="shared" si="320"/>
        <v>Ghent</v>
      </c>
      <c r="M1915" s="105" t="str">
        <f t="shared" si="321"/>
        <v>Derate</v>
      </c>
      <c r="N1915" s="105" t="str">
        <f t="shared" si="322"/>
        <v>Coal</v>
      </c>
      <c r="O1915" s="105">
        <f>IFERROR(VLOOKUP(A1915,Lookup!$J$5:$P$19,7,FALSE),0)</f>
        <v>3</v>
      </c>
      <c r="P1915" s="159">
        <f t="shared" si="323"/>
        <v>2014</v>
      </c>
      <c r="Q1915" s="159">
        <f t="shared" si="324"/>
        <v>12</v>
      </c>
      <c r="R1915" s="160">
        <f t="shared" si="325"/>
        <v>3.4000000000814907</v>
      </c>
      <c r="S1915" s="158">
        <f t="shared" si="326"/>
        <v>1.6514285714681527</v>
      </c>
      <c r="T1915" s="161">
        <f t="shared" si="327"/>
        <v>789.382857161777</v>
      </c>
      <c r="U1915" s="158">
        <f t="shared" si="328"/>
        <v>232.17142857142858</v>
      </c>
      <c r="V1915" s="160">
        <f t="shared" si="329"/>
        <v>232</v>
      </c>
    </row>
    <row r="1916" spans="1:22" x14ac:dyDescent="0.25">
      <c r="A1916" s="98" t="s">
        <v>24</v>
      </c>
      <c r="B1916" s="98" t="s">
        <v>17</v>
      </c>
      <c r="C1916" s="98">
        <v>68</v>
      </c>
      <c r="D1916" s="98">
        <v>1850</v>
      </c>
      <c r="E1916" s="157">
        <v>41981.881944444445</v>
      </c>
      <c r="F1916" s="157">
        <v>41982.298611111109</v>
      </c>
      <c r="G1916" s="98">
        <v>482</v>
      </c>
      <c r="H1916" s="98">
        <v>525</v>
      </c>
      <c r="I1916" s="98">
        <v>478</v>
      </c>
      <c r="J1916" s="98" t="s">
        <v>2263</v>
      </c>
      <c r="K1916" s="98" t="s">
        <v>2595</v>
      </c>
      <c r="L1916" s="105" t="str">
        <f t="shared" si="320"/>
        <v>Ghent</v>
      </c>
      <c r="M1916" s="105" t="str">
        <f t="shared" si="321"/>
        <v>Derate</v>
      </c>
      <c r="N1916" s="105" t="str">
        <f t="shared" si="322"/>
        <v>Coal</v>
      </c>
      <c r="O1916" s="105">
        <f>IFERROR(VLOOKUP(A1916,Lookup!$J$5:$P$19,7,FALSE),0)</f>
        <v>3</v>
      </c>
      <c r="P1916" s="159">
        <f t="shared" si="323"/>
        <v>2014</v>
      </c>
      <c r="Q1916" s="159">
        <f t="shared" si="324"/>
        <v>12</v>
      </c>
      <c r="R1916" s="160">
        <f t="shared" si="325"/>
        <v>9.9999999999417923</v>
      </c>
      <c r="S1916" s="158">
        <f t="shared" si="326"/>
        <v>0.81904761904285162</v>
      </c>
      <c r="T1916" s="161">
        <f t="shared" si="327"/>
        <v>391.5047619024831</v>
      </c>
      <c r="U1916" s="158">
        <f t="shared" si="328"/>
        <v>39.150476190476191</v>
      </c>
      <c r="V1916" s="160">
        <f t="shared" si="329"/>
        <v>39</v>
      </c>
    </row>
    <row r="1917" spans="1:22" x14ac:dyDescent="0.25">
      <c r="A1917" s="98" t="s">
        <v>24</v>
      </c>
      <c r="B1917" s="98" t="s">
        <v>17</v>
      </c>
      <c r="C1917" s="98">
        <v>69</v>
      </c>
      <c r="D1917" s="98">
        <v>3341</v>
      </c>
      <c r="E1917" s="157">
        <v>41982.753472222219</v>
      </c>
      <c r="F1917" s="157">
        <v>41982.871527777781</v>
      </c>
      <c r="G1917" s="98">
        <v>460</v>
      </c>
      <c r="H1917" s="98">
        <v>525</v>
      </c>
      <c r="I1917" s="98">
        <v>478</v>
      </c>
      <c r="J1917" s="98" t="s">
        <v>2104</v>
      </c>
      <c r="K1917" s="98" t="s">
        <v>2596</v>
      </c>
      <c r="L1917" s="105" t="str">
        <f t="shared" si="320"/>
        <v>Ghent</v>
      </c>
      <c r="M1917" s="105" t="str">
        <f t="shared" si="321"/>
        <v>Derate</v>
      </c>
      <c r="N1917" s="105" t="str">
        <f t="shared" si="322"/>
        <v>Coal</v>
      </c>
      <c r="O1917" s="105">
        <f>IFERROR(VLOOKUP(A1917,Lookup!$J$5:$P$19,7,FALSE),0)</f>
        <v>3</v>
      </c>
      <c r="P1917" s="159">
        <f t="shared" si="323"/>
        <v>2014</v>
      </c>
      <c r="Q1917" s="159">
        <f t="shared" si="324"/>
        <v>12</v>
      </c>
      <c r="R1917" s="160">
        <f t="shared" si="325"/>
        <v>2.8333333334885538</v>
      </c>
      <c r="S1917" s="158">
        <f t="shared" si="326"/>
        <v>0.35079365081286856</v>
      </c>
      <c r="T1917" s="161">
        <f t="shared" si="327"/>
        <v>167.67936508855118</v>
      </c>
      <c r="U1917" s="158">
        <f t="shared" si="328"/>
        <v>59.180952380952384</v>
      </c>
      <c r="V1917" s="160">
        <f t="shared" si="329"/>
        <v>59</v>
      </c>
    </row>
    <row r="1918" spans="1:22" x14ac:dyDescent="0.25">
      <c r="A1918" s="98" t="s">
        <v>24</v>
      </c>
      <c r="B1918" s="98" t="s">
        <v>17</v>
      </c>
      <c r="C1918" s="98">
        <v>72</v>
      </c>
      <c r="D1918" s="98">
        <v>1455</v>
      </c>
      <c r="E1918" s="157">
        <v>41982.871527777781</v>
      </c>
      <c r="F1918" s="157">
        <v>41983.399305555555</v>
      </c>
      <c r="G1918" s="98">
        <v>500</v>
      </c>
      <c r="H1918" s="98">
        <v>525</v>
      </c>
      <c r="I1918" s="98">
        <v>478</v>
      </c>
      <c r="J1918" s="98" t="s">
        <v>1990</v>
      </c>
      <c r="K1918" s="98" t="s">
        <v>2597</v>
      </c>
      <c r="L1918" s="105" t="str">
        <f t="shared" si="320"/>
        <v>Ghent</v>
      </c>
      <c r="M1918" s="105" t="str">
        <f t="shared" si="321"/>
        <v>Derate</v>
      </c>
      <c r="N1918" s="105" t="str">
        <f t="shared" si="322"/>
        <v>Coal</v>
      </c>
      <c r="O1918" s="105">
        <f>IFERROR(VLOOKUP(A1918,Lookup!$J$5:$P$19,7,FALSE),0)</f>
        <v>3</v>
      </c>
      <c r="P1918" s="159">
        <f t="shared" si="323"/>
        <v>2014</v>
      </c>
      <c r="Q1918" s="159">
        <f t="shared" si="324"/>
        <v>12</v>
      </c>
      <c r="R1918" s="160">
        <f t="shared" si="325"/>
        <v>12.666666666569654</v>
      </c>
      <c r="S1918" s="158">
        <f t="shared" si="326"/>
        <v>0.6031746031699835</v>
      </c>
      <c r="T1918" s="161">
        <f t="shared" si="327"/>
        <v>288.31746031525211</v>
      </c>
      <c r="U1918" s="158">
        <f t="shared" si="328"/>
        <v>22.761904761904763</v>
      </c>
      <c r="V1918" s="160">
        <f t="shared" si="329"/>
        <v>23</v>
      </c>
    </row>
    <row r="1919" spans="1:22" x14ac:dyDescent="0.25">
      <c r="A1919" s="98" t="s">
        <v>24</v>
      </c>
      <c r="B1919" s="98" t="s">
        <v>15</v>
      </c>
      <c r="C1919" s="98">
        <v>71</v>
      </c>
      <c r="D1919" s="98">
        <v>1470</v>
      </c>
      <c r="E1919" s="157">
        <v>41983.399305555555</v>
      </c>
      <c r="F1919" s="157">
        <v>41983.525000000001</v>
      </c>
      <c r="G1919" s="98">
        <v>0</v>
      </c>
      <c r="H1919" s="98">
        <v>525</v>
      </c>
      <c r="I1919" s="98">
        <v>478</v>
      </c>
      <c r="J1919" s="98" t="s">
        <v>2005</v>
      </c>
      <c r="K1919" s="98" t="s">
        <v>2598</v>
      </c>
      <c r="L1919" s="105" t="str">
        <f t="shared" si="320"/>
        <v>Ghent</v>
      </c>
      <c r="M1919" s="105" t="str">
        <f t="shared" si="321"/>
        <v>Outage</v>
      </c>
      <c r="N1919" s="105" t="str">
        <f t="shared" si="322"/>
        <v>Coal</v>
      </c>
      <c r="O1919" s="105">
        <f>IFERROR(VLOOKUP(A1919,Lookup!$J$5:$P$19,7,FALSE),0)</f>
        <v>3</v>
      </c>
      <c r="P1919" s="159">
        <f t="shared" si="323"/>
        <v>2014</v>
      </c>
      <c r="Q1919" s="159">
        <f t="shared" si="324"/>
        <v>12</v>
      </c>
      <c r="R1919" s="160">
        <f t="shared" si="325"/>
        <v>3.0166666667209938</v>
      </c>
      <c r="S1919" s="158">
        <f t="shared" si="326"/>
        <v>3.0166666667209938</v>
      </c>
      <c r="T1919" s="161">
        <f t="shared" si="327"/>
        <v>1441.966666692635</v>
      </c>
      <c r="U1919" s="158">
        <f t="shared" si="328"/>
        <v>478</v>
      </c>
      <c r="V1919" s="160">
        <f t="shared" si="329"/>
        <v>478</v>
      </c>
    </row>
    <row r="1920" spans="1:22" x14ac:dyDescent="0.25">
      <c r="A1920" s="98" t="s">
        <v>24</v>
      </c>
      <c r="B1920" s="98" t="s">
        <v>17</v>
      </c>
      <c r="C1920" s="98">
        <v>73</v>
      </c>
      <c r="D1920" s="98">
        <v>1850</v>
      </c>
      <c r="E1920" s="157">
        <v>41983.798611111109</v>
      </c>
      <c r="F1920" s="157">
        <v>41984.288194444445</v>
      </c>
      <c r="G1920" s="98">
        <v>492</v>
      </c>
      <c r="H1920" s="98">
        <v>525</v>
      </c>
      <c r="I1920" s="98">
        <v>478</v>
      </c>
      <c r="J1920" s="98" t="s">
        <v>2263</v>
      </c>
      <c r="K1920" s="98" t="s">
        <v>2599</v>
      </c>
      <c r="L1920" s="105" t="str">
        <f t="shared" si="320"/>
        <v>Ghent</v>
      </c>
      <c r="M1920" s="105" t="str">
        <f t="shared" si="321"/>
        <v>Derate</v>
      </c>
      <c r="N1920" s="105" t="str">
        <f t="shared" si="322"/>
        <v>Coal</v>
      </c>
      <c r="O1920" s="105">
        <f>IFERROR(VLOOKUP(A1920,Lookup!$J$5:$P$19,7,FALSE),0)</f>
        <v>3</v>
      </c>
      <c r="P1920" s="159">
        <f t="shared" si="323"/>
        <v>2014</v>
      </c>
      <c r="Q1920" s="159">
        <f t="shared" si="324"/>
        <v>12</v>
      </c>
      <c r="R1920" s="160">
        <f t="shared" si="325"/>
        <v>11.750000000058208</v>
      </c>
      <c r="S1920" s="158">
        <f t="shared" si="326"/>
        <v>0.73857142857508729</v>
      </c>
      <c r="T1920" s="161">
        <f t="shared" si="327"/>
        <v>353.03714285889174</v>
      </c>
      <c r="U1920" s="158">
        <f t="shared" si="328"/>
        <v>30.045714285714286</v>
      </c>
      <c r="V1920" s="160">
        <f t="shared" si="329"/>
        <v>30</v>
      </c>
    </row>
    <row r="1921" spans="1:22" x14ac:dyDescent="0.25">
      <c r="A1921" s="98" t="s">
        <v>24</v>
      </c>
      <c r="B1921" s="98" t="s">
        <v>17</v>
      </c>
      <c r="C1921" s="98">
        <v>74</v>
      </c>
      <c r="D1921" s="98">
        <v>1475</v>
      </c>
      <c r="E1921" s="157">
        <v>41984.288194444445</v>
      </c>
      <c r="F1921" s="157">
        <v>41984.510416666664</v>
      </c>
      <c r="G1921" s="98">
        <v>500</v>
      </c>
      <c r="H1921" s="98">
        <v>525</v>
      </c>
      <c r="I1921" s="98">
        <v>478</v>
      </c>
      <c r="J1921" s="98" t="s">
        <v>1989</v>
      </c>
      <c r="K1921" s="98" t="s">
        <v>2600</v>
      </c>
      <c r="L1921" s="105" t="str">
        <f t="shared" si="320"/>
        <v>Ghent</v>
      </c>
      <c r="M1921" s="105" t="str">
        <f t="shared" si="321"/>
        <v>Derate</v>
      </c>
      <c r="N1921" s="105" t="str">
        <f t="shared" si="322"/>
        <v>Coal</v>
      </c>
      <c r="O1921" s="105">
        <f>IFERROR(VLOOKUP(A1921,Lookup!$J$5:$P$19,7,FALSE),0)</f>
        <v>3</v>
      </c>
      <c r="P1921" s="159">
        <f t="shared" si="323"/>
        <v>2014</v>
      </c>
      <c r="Q1921" s="159">
        <f t="shared" si="324"/>
        <v>12</v>
      </c>
      <c r="R1921" s="160">
        <f t="shared" si="325"/>
        <v>5.3333333332557231</v>
      </c>
      <c r="S1921" s="158">
        <f t="shared" si="326"/>
        <v>0.25396825396455824</v>
      </c>
      <c r="T1921" s="161">
        <f t="shared" si="327"/>
        <v>121.39682539505884</v>
      </c>
      <c r="U1921" s="158">
        <f t="shared" si="328"/>
        <v>22.761904761904763</v>
      </c>
      <c r="V1921" s="160">
        <f t="shared" si="329"/>
        <v>23</v>
      </c>
    </row>
    <row r="1922" spans="1:22" x14ac:dyDescent="0.25">
      <c r="A1922" s="98" t="s">
        <v>24</v>
      </c>
      <c r="B1922" s="98" t="s">
        <v>17</v>
      </c>
      <c r="C1922" s="98">
        <v>75</v>
      </c>
      <c r="D1922" s="98">
        <v>3441</v>
      </c>
      <c r="E1922" s="157">
        <v>41984.510416666664</v>
      </c>
      <c r="F1922" s="157">
        <v>41985.919444444444</v>
      </c>
      <c r="G1922" s="98">
        <v>511</v>
      </c>
      <c r="H1922" s="98">
        <v>525</v>
      </c>
      <c r="I1922" s="98">
        <v>478</v>
      </c>
      <c r="J1922" s="98" t="s">
        <v>2282</v>
      </c>
      <c r="K1922" s="98" t="s">
        <v>2601</v>
      </c>
      <c r="L1922" s="105" t="str">
        <f t="shared" si="320"/>
        <v>Ghent</v>
      </c>
      <c r="M1922" s="105" t="str">
        <f t="shared" si="321"/>
        <v>Derate</v>
      </c>
      <c r="N1922" s="105" t="str">
        <f t="shared" si="322"/>
        <v>Coal</v>
      </c>
      <c r="O1922" s="105">
        <f>IFERROR(VLOOKUP(A1922,Lookup!$J$5:$P$19,7,FALSE),0)</f>
        <v>3</v>
      </c>
      <c r="P1922" s="159">
        <f t="shared" si="323"/>
        <v>2014</v>
      </c>
      <c r="Q1922" s="159">
        <f t="shared" si="324"/>
        <v>12</v>
      </c>
      <c r="R1922" s="160">
        <f t="shared" si="325"/>
        <v>33.816666666709352</v>
      </c>
      <c r="S1922" s="158">
        <f t="shared" si="326"/>
        <v>0.9017777777789161</v>
      </c>
      <c r="T1922" s="161">
        <f t="shared" si="327"/>
        <v>431.04977777832187</v>
      </c>
      <c r="U1922" s="158">
        <f t="shared" si="328"/>
        <v>12.746666666666666</v>
      </c>
      <c r="V1922" s="160">
        <f t="shared" si="329"/>
        <v>13</v>
      </c>
    </row>
    <row r="1923" spans="1:22" x14ac:dyDescent="0.25">
      <c r="A1923" s="98" t="s">
        <v>24</v>
      </c>
      <c r="B1923" s="98" t="s">
        <v>15</v>
      </c>
      <c r="C1923" s="98">
        <v>76</v>
      </c>
      <c r="D1923" s="98">
        <v>1455</v>
      </c>
      <c r="E1923" s="157">
        <v>41985.960416666669</v>
      </c>
      <c r="F1923" s="157">
        <v>41986.176388888889</v>
      </c>
      <c r="G1923" s="98">
        <v>0</v>
      </c>
      <c r="H1923" s="98">
        <v>525</v>
      </c>
      <c r="I1923" s="98">
        <v>478</v>
      </c>
      <c r="J1923" s="98" t="s">
        <v>1990</v>
      </c>
      <c r="K1923" s="98" t="s">
        <v>2602</v>
      </c>
      <c r="L1923" s="105" t="str">
        <f t="shared" si="320"/>
        <v>Ghent</v>
      </c>
      <c r="M1923" s="105" t="str">
        <f t="shared" si="321"/>
        <v>Outage</v>
      </c>
      <c r="N1923" s="105" t="str">
        <f t="shared" si="322"/>
        <v>Coal</v>
      </c>
      <c r="O1923" s="105">
        <f>IFERROR(VLOOKUP(A1923,Lookup!$J$5:$P$19,7,FALSE),0)</f>
        <v>3</v>
      </c>
      <c r="P1923" s="159">
        <f t="shared" si="323"/>
        <v>2014</v>
      </c>
      <c r="Q1923" s="159">
        <f t="shared" si="324"/>
        <v>12</v>
      </c>
      <c r="R1923" s="160">
        <f t="shared" si="325"/>
        <v>5.1833333332906477</v>
      </c>
      <c r="S1923" s="158">
        <f t="shared" si="326"/>
        <v>5.1833333332906477</v>
      </c>
      <c r="T1923" s="161">
        <f t="shared" si="327"/>
        <v>2477.6333333129296</v>
      </c>
      <c r="U1923" s="158">
        <f t="shared" si="328"/>
        <v>478</v>
      </c>
      <c r="V1923" s="160">
        <f t="shared" si="329"/>
        <v>478</v>
      </c>
    </row>
    <row r="1924" spans="1:22" x14ac:dyDescent="0.25">
      <c r="A1924" s="98" t="s">
        <v>24</v>
      </c>
      <c r="B1924" s="98" t="s">
        <v>32</v>
      </c>
      <c r="C1924" s="98">
        <v>77</v>
      </c>
      <c r="D1924" s="98">
        <v>3644</v>
      </c>
      <c r="E1924" s="157">
        <v>41987.306250000001</v>
      </c>
      <c r="F1924" s="157">
        <v>41987.554861111108</v>
      </c>
      <c r="G1924" s="98">
        <v>500</v>
      </c>
      <c r="H1924" s="98">
        <v>525</v>
      </c>
      <c r="I1924" s="98">
        <v>478</v>
      </c>
      <c r="J1924" s="98" t="s">
        <v>2603</v>
      </c>
      <c r="K1924" s="98" t="s">
        <v>2604</v>
      </c>
      <c r="L1924" s="105" t="str">
        <f t="shared" si="320"/>
        <v>Ghent</v>
      </c>
      <c r="M1924" s="105" t="str">
        <f t="shared" si="321"/>
        <v>Derate</v>
      </c>
      <c r="N1924" s="105" t="str">
        <f t="shared" si="322"/>
        <v>Coal</v>
      </c>
      <c r="O1924" s="105">
        <f>IFERROR(VLOOKUP(A1924,Lookup!$J$5:$P$19,7,FALSE),0)</f>
        <v>3</v>
      </c>
      <c r="P1924" s="159">
        <f t="shared" si="323"/>
        <v>2014</v>
      </c>
      <c r="Q1924" s="159">
        <f t="shared" si="324"/>
        <v>12</v>
      </c>
      <c r="R1924" s="160">
        <f t="shared" si="325"/>
        <v>5.9666666665580124</v>
      </c>
      <c r="S1924" s="158">
        <f t="shared" si="326"/>
        <v>0.28412698412181009</v>
      </c>
      <c r="T1924" s="161">
        <f t="shared" si="327"/>
        <v>135.81269841022521</v>
      </c>
      <c r="U1924" s="158">
        <f t="shared" si="328"/>
        <v>22.761904761904763</v>
      </c>
      <c r="V1924" s="160">
        <f t="shared" si="329"/>
        <v>23</v>
      </c>
    </row>
    <row r="1925" spans="1:22" x14ac:dyDescent="0.25">
      <c r="A1925" s="98" t="s">
        <v>24</v>
      </c>
      <c r="B1925" s="98" t="s">
        <v>17</v>
      </c>
      <c r="C1925" s="98">
        <v>78</v>
      </c>
      <c r="D1925" s="98">
        <v>3441</v>
      </c>
      <c r="E1925" s="157">
        <v>41988.699305555558</v>
      </c>
      <c r="F1925" s="157">
        <v>41989.255555555559</v>
      </c>
      <c r="G1925" s="98">
        <v>511</v>
      </c>
      <c r="H1925" s="98">
        <v>525</v>
      </c>
      <c r="I1925" s="98">
        <v>478</v>
      </c>
      <c r="J1925" s="98" t="s">
        <v>2282</v>
      </c>
      <c r="K1925" s="98" t="s">
        <v>2605</v>
      </c>
      <c r="L1925" s="105" t="str">
        <f t="shared" si="320"/>
        <v>Ghent</v>
      </c>
      <c r="M1925" s="105" t="str">
        <f t="shared" si="321"/>
        <v>Derate</v>
      </c>
      <c r="N1925" s="105" t="str">
        <f t="shared" si="322"/>
        <v>Coal</v>
      </c>
      <c r="O1925" s="105">
        <f>IFERROR(VLOOKUP(A1925,Lookup!$J$5:$P$19,7,FALSE),0)</f>
        <v>3</v>
      </c>
      <c r="P1925" s="159">
        <f t="shared" si="323"/>
        <v>2014</v>
      </c>
      <c r="Q1925" s="159">
        <f t="shared" si="324"/>
        <v>12</v>
      </c>
      <c r="R1925" s="160">
        <f t="shared" si="325"/>
        <v>13.350000000034925</v>
      </c>
      <c r="S1925" s="158">
        <f t="shared" si="326"/>
        <v>0.35600000000093135</v>
      </c>
      <c r="T1925" s="161">
        <f t="shared" si="327"/>
        <v>170.16800000044518</v>
      </c>
      <c r="U1925" s="158">
        <f t="shared" si="328"/>
        <v>12.746666666666666</v>
      </c>
      <c r="V1925" s="160">
        <f t="shared" si="329"/>
        <v>13</v>
      </c>
    </row>
    <row r="1926" spans="1:22" x14ac:dyDescent="0.25">
      <c r="A1926" s="98" t="s">
        <v>24</v>
      </c>
      <c r="B1926" s="98" t="s">
        <v>20</v>
      </c>
      <c r="C1926" s="98">
        <v>79</v>
      </c>
      <c r="D1926" s="98">
        <v>4260</v>
      </c>
      <c r="E1926" s="157">
        <v>41996.4375</v>
      </c>
      <c r="F1926" s="157">
        <v>41999.808333333334</v>
      </c>
      <c r="G1926" s="98">
        <v>0</v>
      </c>
      <c r="H1926" s="98">
        <v>525</v>
      </c>
      <c r="I1926" s="98">
        <v>478</v>
      </c>
      <c r="J1926" s="98" t="s">
        <v>1982</v>
      </c>
      <c r="K1926" s="98" t="s">
        <v>2606</v>
      </c>
      <c r="L1926" s="105" t="str">
        <f t="shared" si="320"/>
        <v>Ghent</v>
      </c>
      <c r="M1926" s="105" t="str">
        <f t="shared" si="321"/>
        <v>Maintenance</v>
      </c>
      <c r="N1926" s="105" t="str">
        <f t="shared" si="322"/>
        <v>Coal</v>
      </c>
      <c r="O1926" s="105">
        <f>IFERROR(VLOOKUP(A1926,Lookup!$J$5:$P$19,7,FALSE),0)</f>
        <v>3</v>
      </c>
      <c r="P1926" s="159">
        <f t="shared" si="323"/>
        <v>2014</v>
      </c>
      <c r="Q1926" s="159">
        <f t="shared" si="324"/>
        <v>12</v>
      </c>
      <c r="R1926" s="160">
        <f t="shared" si="325"/>
        <v>80.900000000023283</v>
      </c>
      <c r="S1926" s="158">
        <f t="shared" si="326"/>
        <v>80.900000000023283</v>
      </c>
      <c r="T1926" s="161">
        <f t="shared" si="327"/>
        <v>38670.200000011129</v>
      </c>
      <c r="U1926" s="158">
        <f t="shared" si="328"/>
        <v>478</v>
      </c>
      <c r="V1926" s="160">
        <f t="shared" si="329"/>
        <v>478</v>
      </c>
    </row>
    <row r="1927" spans="1:22" x14ac:dyDescent="0.25">
      <c r="A1927" s="98" t="s">
        <v>24</v>
      </c>
      <c r="B1927" s="98" t="s">
        <v>17</v>
      </c>
      <c r="C1927" s="98">
        <v>80</v>
      </c>
      <c r="D1927" s="98">
        <v>3441</v>
      </c>
      <c r="E1927" s="157">
        <v>42002.378472222219</v>
      </c>
      <c r="F1927" s="157">
        <v>42002.470833333333</v>
      </c>
      <c r="G1927" s="98">
        <v>490</v>
      </c>
      <c r="H1927" s="98">
        <v>525</v>
      </c>
      <c r="I1927" s="98">
        <v>478</v>
      </c>
      <c r="J1927" s="98" t="s">
        <v>2282</v>
      </c>
      <c r="K1927" s="98" t="s">
        <v>2607</v>
      </c>
      <c r="L1927" s="105" t="str">
        <f t="shared" si="320"/>
        <v>Ghent</v>
      </c>
      <c r="M1927" s="105" t="str">
        <f t="shared" si="321"/>
        <v>Derate</v>
      </c>
      <c r="N1927" s="105" t="str">
        <f t="shared" si="322"/>
        <v>Coal</v>
      </c>
      <c r="O1927" s="105">
        <f>IFERROR(VLOOKUP(A1927,Lookup!$J$5:$P$19,7,FALSE),0)</f>
        <v>3</v>
      </c>
      <c r="P1927" s="159">
        <f t="shared" si="323"/>
        <v>2014</v>
      </c>
      <c r="Q1927" s="159">
        <f t="shared" si="324"/>
        <v>12</v>
      </c>
      <c r="R1927" s="160">
        <f t="shared" si="325"/>
        <v>2.2166666667326353</v>
      </c>
      <c r="S1927" s="158">
        <f t="shared" si="326"/>
        <v>0.14777777778217568</v>
      </c>
      <c r="T1927" s="161">
        <f t="shared" si="327"/>
        <v>70.637777779879983</v>
      </c>
      <c r="U1927" s="158">
        <f t="shared" si="328"/>
        <v>31.866666666666667</v>
      </c>
      <c r="V1927" s="160">
        <f t="shared" si="329"/>
        <v>32</v>
      </c>
    </row>
    <row r="1928" spans="1:22" x14ac:dyDescent="0.25">
      <c r="A1928" s="98" t="s">
        <v>24</v>
      </c>
      <c r="B1928" s="98" t="s">
        <v>17</v>
      </c>
      <c r="C1928" s="98">
        <v>81</v>
      </c>
      <c r="D1928" s="98">
        <v>270</v>
      </c>
      <c r="E1928" s="157">
        <v>42003.23333333333</v>
      </c>
      <c r="F1928" s="157">
        <v>42003.251388888886</v>
      </c>
      <c r="G1928" s="98">
        <v>420</v>
      </c>
      <c r="H1928" s="98">
        <v>525</v>
      </c>
      <c r="I1928" s="98">
        <v>478</v>
      </c>
      <c r="J1928" s="98" t="s">
        <v>2031</v>
      </c>
      <c r="K1928" s="98" t="s">
        <v>2608</v>
      </c>
      <c r="L1928" s="105" t="str">
        <f t="shared" si="320"/>
        <v>Ghent</v>
      </c>
      <c r="M1928" s="105" t="str">
        <f t="shared" si="321"/>
        <v>Derate</v>
      </c>
      <c r="N1928" s="105" t="str">
        <f t="shared" si="322"/>
        <v>Coal</v>
      </c>
      <c r="O1928" s="105">
        <f>IFERROR(VLOOKUP(A1928,Lookup!$J$5:$P$19,7,FALSE),0)</f>
        <v>3</v>
      </c>
      <c r="P1928" s="159">
        <f t="shared" si="323"/>
        <v>2014</v>
      </c>
      <c r="Q1928" s="159">
        <f t="shared" si="324"/>
        <v>12</v>
      </c>
      <c r="R1928" s="160">
        <f t="shared" si="325"/>
        <v>0.43333333334885538</v>
      </c>
      <c r="S1928" s="158">
        <f t="shared" si="326"/>
        <v>8.6666666669771075E-2</v>
      </c>
      <c r="T1928" s="161">
        <f t="shared" si="327"/>
        <v>41.426666668150574</v>
      </c>
      <c r="U1928" s="158">
        <f t="shared" si="328"/>
        <v>95.6</v>
      </c>
      <c r="V1928" s="160">
        <f t="shared" si="329"/>
        <v>96</v>
      </c>
    </row>
    <row r="1929" spans="1:22" x14ac:dyDescent="0.25">
      <c r="A1929" s="98" t="s">
        <v>24</v>
      </c>
      <c r="B1929" s="98" t="s">
        <v>17</v>
      </c>
      <c r="C1929" s="98">
        <v>82</v>
      </c>
      <c r="D1929" s="98">
        <v>9650</v>
      </c>
      <c r="E1929" s="157">
        <v>42004.37777777778</v>
      </c>
      <c r="F1929" s="157">
        <v>42004.482638888891</v>
      </c>
      <c r="G1929" s="98">
        <v>280</v>
      </c>
      <c r="H1929" s="98">
        <v>525</v>
      </c>
      <c r="I1929" s="98">
        <v>478</v>
      </c>
      <c r="J1929" s="98" t="s">
        <v>2035</v>
      </c>
      <c r="K1929" s="98" t="s">
        <v>2609</v>
      </c>
      <c r="L1929" s="105" t="str">
        <f t="shared" si="320"/>
        <v>Ghent</v>
      </c>
      <c r="M1929" s="105" t="str">
        <f t="shared" si="321"/>
        <v>Derate</v>
      </c>
      <c r="N1929" s="105" t="str">
        <f t="shared" si="322"/>
        <v>Coal</v>
      </c>
      <c r="O1929" s="105">
        <f>IFERROR(VLOOKUP(A1929,Lookup!$J$5:$P$19,7,FALSE),0)</f>
        <v>3</v>
      </c>
      <c r="P1929" s="159">
        <f t="shared" si="323"/>
        <v>2014</v>
      </c>
      <c r="Q1929" s="159">
        <f t="shared" si="324"/>
        <v>12</v>
      </c>
      <c r="R1929" s="160">
        <f t="shared" si="325"/>
        <v>2.5166666666627862</v>
      </c>
      <c r="S1929" s="158">
        <f t="shared" si="326"/>
        <v>1.1744444444426336</v>
      </c>
      <c r="T1929" s="161">
        <f t="shared" si="327"/>
        <v>561.3844444435789</v>
      </c>
      <c r="U1929" s="158">
        <f t="shared" si="328"/>
        <v>223.06666666666666</v>
      </c>
      <c r="V1929" s="160">
        <f t="shared" si="329"/>
        <v>223</v>
      </c>
    </row>
    <row r="1930" spans="1:22" x14ac:dyDescent="0.25">
      <c r="A1930" s="98" t="s">
        <v>24</v>
      </c>
      <c r="B1930" s="98" t="s">
        <v>17</v>
      </c>
      <c r="C1930" s="98">
        <v>1</v>
      </c>
      <c r="D1930" s="98">
        <v>9650</v>
      </c>
      <c r="E1930" s="157">
        <v>42020.159722222219</v>
      </c>
      <c r="F1930" s="157">
        <v>42020.268055555556</v>
      </c>
      <c r="G1930" s="98">
        <v>350</v>
      </c>
      <c r="H1930" s="98">
        <v>525</v>
      </c>
      <c r="I1930" s="98">
        <v>478</v>
      </c>
      <c r="J1930" s="98" t="s">
        <v>2035</v>
      </c>
      <c r="K1930" s="98" t="s">
        <v>2610</v>
      </c>
      <c r="L1930" s="105" t="str">
        <f t="shared" si="320"/>
        <v>Ghent</v>
      </c>
      <c r="M1930" s="105" t="str">
        <f t="shared" si="321"/>
        <v>Derate</v>
      </c>
      <c r="N1930" s="105" t="str">
        <f t="shared" si="322"/>
        <v>Coal</v>
      </c>
      <c r="O1930" s="105">
        <f>IFERROR(VLOOKUP(A1930,Lookup!$J$5:$P$19,7,FALSE),0)</f>
        <v>3</v>
      </c>
      <c r="P1930" s="159">
        <f t="shared" si="323"/>
        <v>2015</v>
      </c>
      <c r="Q1930" s="159">
        <f t="shared" si="324"/>
        <v>1</v>
      </c>
      <c r="R1930" s="160">
        <f t="shared" si="325"/>
        <v>2.6000000000931323</v>
      </c>
      <c r="S1930" s="158">
        <f t="shared" si="326"/>
        <v>0.86666666669771075</v>
      </c>
      <c r="T1930" s="161">
        <f t="shared" si="327"/>
        <v>414.26666668150574</v>
      </c>
      <c r="U1930" s="158">
        <f t="shared" si="328"/>
        <v>159.33333333333334</v>
      </c>
      <c r="V1930" s="160">
        <f t="shared" si="329"/>
        <v>159</v>
      </c>
    </row>
    <row r="1931" spans="1:22" x14ac:dyDescent="0.25">
      <c r="A1931" s="98" t="s">
        <v>24</v>
      </c>
      <c r="B1931" s="98" t="s">
        <v>32</v>
      </c>
      <c r="C1931" s="98">
        <v>2</v>
      </c>
      <c r="D1931" s="98">
        <v>410</v>
      </c>
      <c r="E1931" s="157">
        <v>42026.900694444441</v>
      </c>
      <c r="F1931" s="157">
        <v>42027.208333333336</v>
      </c>
      <c r="G1931" s="98">
        <v>210</v>
      </c>
      <c r="H1931" s="98">
        <v>525</v>
      </c>
      <c r="I1931" s="98">
        <v>478</v>
      </c>
      <c r="J1931" s="98" t="s">
        <v>2049</v>
      </c>
      <c r="K1931" s="98" t="s">
        <v>2611</v>
      </c>
      <c r="L1931" s="105" t="str">
        <f t="shared" si="320"/>
        <v>Ghent</v>
      </c>
      <c r="M1931" s="105" t="str">
        <f t="shared" si="321"/>
        <v>Derate</v>
      </c>
      <c r="N1931" s="105" t="str">
        <f t="shared" si="322"/>
        <v>Coal</v>
      </c>
      <c r="O1931" s="105">
        <f>IFERROR(VLOOKUP(A1931,Lookup!$J$5:$P$19,7,FALSE),0)</f>
        <v>3</v>
      </c>
      <c r="P1931" s="159">
        <f t="shared" si="323"/>
        <v>2015</v>
      </c>
      <c r="Q1931" s="159">
        <f t="shared" si="324"/>
        <v>1</v>
      </c>
      <c r="R1931" s="160">
        <f t="shared" si="325"/>
        <v>7.3833333334769122</v>
      </c>
      <c r="S1931" s="158">
        <f t="shared" si="326"/>
        <v>4.4300000000861477</v>
      </c>
      <c r="T1931" s="161">
        <f t="shared" si="327"/>
        <v>2117.5400000411787</v>
      </c>
      <c r="U1931" s="158">
        <f t="shared" si="328"/>
        <v>286.8</v>
      </c>
      <c r="V1931" s="160">
        <f t="shared" si="329"/>
        <v>287</v>
      </c>
    </row>
    <row r="1932" spans="1:22" x14ac:dyDescent="0.25">
      <c r="A1932" s="98" t="s">
        <v>24</v>
      </c>
      <c r="B1932" s="98" t="s">
        <v>20</v>
      </c>
      <c r="C1932" s="98">
        <v>3</v>
      </c>
      <c r="D1932" s="98">
        <v>3110</v>
      </c>
      <c r="E1932" s="157">
        <v>42028.556250000001</v>
      </c>
      <c r="F1932" s="157">
        <v>42029.75</v>
      </c>
      <c r="G1932" s="98">
        <v>0</v>
      </c>
      <c r="H1932" s="98">
        <v>525</v>
      </c>
      <c r="I1932" s="98">
        <v>478</v>
      </c>
      <c r="J1932" s="98" t="s">
        <v>2119</v>
      </c>
      <c r="K1932" s="98" t="s">
        <v>2612</v>
      </c>
      <c r="L1932" s="105" t="str">
        <f t="shared" si="320"/>
        <v>Ghent</v>
      </c>
      <c r="M1932" s="105" t="str">
        <f t="shared" si="321"/>
        <v>Maintenance</v>
      </c>
      <c r="N1932" s="105" t="str">
        <f t="shared" si="322"/>
        <v>Coal</v>
      </c>
      <c r="O1932" s="105">
        <f>IFERROR(VLOOKUP(A1932,Lookup!$J$5:$P$19,7,FALSE),0)</f>
        <v>3</v>
      </c>
      <c r="P1932" s="159">
        <f t="shared" si="323"/>
        <v>2015</v>
      </c>
      <c r="Q1932" s="159">
        <f t="shared" si="324"/>
        <v>1</v>
      </c>
      <c r="R1932" s="160">
        <f t="shared" si="325"/>
        <v>28.649999999965075</v>
      </c>
      <c r="S1932" s="158">
        <f t="shared" si="326"/>
        <v>28.649999999965075</v>
      </c>
      <c r="T1932" s="161">
        <f t="shared" si="327"/>
        <v>13694.699999983306</v>
      </c>
      <c r="U1932" s="158">
        <f t="shared" si="328"/>
        <v>478</v>
      </c>
      <c r="V1932" s="160">
        <f t="shared" si="329"/>
        <v>478</v>
      </c>
    </row>
    <row r="1933" spans="1:22" x14ac:dyDescent="0.25">
      <c r="A1933" s="98" t="s">
        <v>24</v>
      </c>
      <c r="B1933" s="98" t="s">
        <v>15</v>
      </c>
      <c r="C1933" s="98">
        <v>4</v>
      </c>
      <c r="D1933" s="98">
        <v>1310</v>
      </c>
      <c r="E1933" s="157">
        <v>42029.75</v>
      </c>
      <c r="F1933" s="157">
        <v>42031.015277777777</v>
      </c>
      <c r="G1933" s="98">
        <v>0</v>
      </c>
      <c r="H1933" s="98">
        <v>525</v>
      </c>
      <c r="I1933" s="98">
        <v>478</v>
      </c>
      <c r="J1933" s="98" t="s">
        <v>2613</v>
      </c>
      <c r="K1933" s="98" t="s">
        <v>2614</v>
      </c>
      <c r="L1933" s="105" t="str">
        <f t="shared" si="320"/>
        <v>Ghent</v>
      </c>
      <c r="M1933" s="105" t="str">
        <f t="shared" si="321"/>
        <v>Outage</v>
      </c>
      <c r="N1933" s="105" t="str">
        <f t="shared" si="322"/>
        <v>Coal</v>
      </c>
      <c r="O1933" s="105">
        <f>IFERROR(VLOOKUP(A1933,Lookup!$J$5:$P$19,7,FALSE),0)</f>
        <v>3</v>
      </c>
      <c r="P1933" s="159">
        <f t="shared" si="323"/>
        <v>2015</v>
      </c>
      <c r="Q1933" s="159">
        <f t="shared" si="324"/>
        <v>1</v>
      </c>
      <c r="R1933" s="160">
        <f t="shared" si="325"/>
        <v>30.366666666639503</v>
      </c>
      <c r="S1933" s="158">
        <f t="shared" si="326"/>
        <v>30.366666666639503</v>
      </c>
      <c r="T1933" s="161">
        <f t="shared" si="327"/>
        <v>14515.266666653682</v>
      </c>
      <c r="U1933" s="158">
        <f t="shared" si="328"/>
        <v>478</v>
      </c>
      <c r="V1933" s="160">
        <f t="shared" si="329"/>
        <v>478</v>
      </c>
    </row>
    <row r="1934" spans="1:22" x14ac:dyDescent="0.25">
      <c r="A1934" s="98" t="s">
        <v>24</v>
      </c>
      <c r="B1934" s="98" t="s">
        <v>15</v>
      </c>
      <c r="C1934" s="98">
        <v>5</v>
      </c>
      <c r="D1934" s="98">
        <v>1475</v>
      </c>
      <c r="E1934" s="157">
        <v>42031.11041666667</v>
      </c>
      <c r="F1934" s="157">
        <v>42031.174305555556</v>
      </c>
      <c r="G1934" s="98">
        <v>0</v>
      </c>
      <c r="H1934" s="98">
        <v>525</v>
      </c>
      <c r="I1934" s="98">
        <v>478</v>
      </c>
      <c r="J1934" s="98" t="s">
        <v>1989</v>
      </c>
      <c r="K1934" s="98" t="s">
        <v>2615</v>
      </c>
      <c r="L1934" s="105" t="str">
        <f t="shared" si="320"/>
        <v>Ghent</v>
      </c>
      <c r="M1934" s="105" t="str">
        <f t="shared" si="321"/>
        <v>Outage</v>
      </c>
      <c r="N1934" s="105" t="str">
        <f t="shared" si="322"/>
        <v>Coal</v>
      </c>
      <c r="O1934" s="105">
        <f>IFERROR(VLOOKUP(A1934,Lookup!$J$5:$P$19,7,FALSE),0)</f>
        <v>3</v>
      </c>
      <c r="P1934" s="159">
        <f t="shared" si="323"/>
        <v>2015</v>
      </c>
      <c r="Q1934" s="159">
        <f t="shared" si="324"/>
        <v>1</v>
      </c>
      <c r="R1934" s="160">
        <f t="shared" si="325"/>
        <v>1.5333333332673647</v>
      </c>
      <c r="S1934" s="158">
        <f t="shared" si="326"/>
        <v>1.5333333332673647</v>
      </c>
      <c r="T1934" s="161">
        <f t="shared" si="327"/>
        <v>732.9333333018003</v>
      </c>
      <c r="U1934" s="158">
        <f t="shared" si="328"/>
        <v>478</v>
      </c>
      <c r="V1934" s="160">
        <f t="shared" si="329"/>
        <v>478</v>
      </c>
    </row>
    <row r="1935" spans="1:22" x14ac:dyDescent="0.25">
      <c r="A1935" s="98" t="s">
        <v>24</v>
      </c>
      <c r="B1935" s="98" t="s">
        <v>15</v>
      </c>
      <c r="C1935" s="98">
        <v>6</v>
      </c>
      <c r="D1935" s="98">
        <v>1080</v>
      </c>
      <c r="E1935" s="157">
        <v>42039.48541666667</v>
      </c>
      <c r="F1935" s="157">
        <v>42040.539583333331</v>
      </c>
      <c r="G1935" s="98">
        <v>0</v>
      </c>
      <c r="H1935" s="98">
        <v>525</v>
      </c>
      <c r="I1935" s="98">
        <v>478</v>
      </c>
      <c r="J1935" s="98" t="s">
        <v>1991</v>
      </c>
      <c r="K1935" s="98" t="s">
        <v>2616</v>
      </c>
      <c r="L1935" s="105" t="str">
        <f t="shared" si="320"/>
        <v>Ghent</v>
      </c>
      <c r="M1935" s="105" t="str">
        <f t="shared" si="321"/>
        <v>Outage</v>
      </c>
      <c r="N1935" s="105" t="str">
        <f t="shared" si="322"/>
        <v>Coal</v>
      </c>
      <c r="O1935" s="105">
        <f>IFERROR(VLOOKUP(A1935,Lookup!$J$5:$P$19,7,FALSE),0)</f>
        <v>3</v>
      </c>
      <c r="P1935" s="159">
        <f t="shared" si="323"/>
        <v>2015</v>
      </c>
      <c r="Q1935" s="159">
        <f t="shared" si="324"/>
        <v>2</v>
      </c>
      <c r="R1935" s="160">
        <f t="shared" si="325"/>
        <v>25.299999999871943</v>
      </c>
      <c r="S1935" s="158">
        <f t="shared" si="326"/>
        <v>25.299999999871943</v>
      </c>
      <c r="T1935" s="161">
        <f t="shared" si="327"/>
        <v>12093.399999938789</v>
      </c>
      <c r="U1935" s="158">
        <f t="shared" si="328"/>
        <v>478</v>
      </c>
      <c r="V1935" s="160">
        <f t="shared" si="329"/>
        <v>478</v>
      </c>
    </row>
    <row r="1936" spans="1:22" x14ac:dyDescent="0.25">
      <c r="A1936" s="98" t="s">
        <v>24</v>
      </c>
      <c r="B1936" s="98" t="s">
        <v>32</v>
      </c>
      <c r="C1936" s="98">
        <v>7</v>
      </c>
      <c r="D1936" s="98">
        <v>410</v>
      </c>
      <c r="E1936" s="157">
        <v>42046.916666666664</v>
      </c>
      <c r="F1936" s="157">
        <v>42047.140277777777</v>
      </c>
      <c r="G1936" s="98">
        <v>200</v>
      </c>
      <c r="H1936" s="98">
        <v>525</v>
      </c>
      <c r="I1936" s="98">
        <v>478</v>
      </c>
      <c r="J1936" s="98" t="s">
        <v>2049</v>
      </c>
      <c r="K1936" s="98" t="s">
        <v>2617</v>
      </c>
      <c r="L1936" s="105" t="str">
        <f t="shared" si="320"/>
        <v>Ghent</v>
      </c>
      <c r="M1936" s="105" t="str">
        <f t="shared" si="321"/>
        <v>Derate</v>
      </c>
      <c r="N1936" s="105" t="str">
        <f t="shared" si="322"/>
        <v>Coal</v>
      </c>
      <c r="O1936" s="105">
        <f>IFERROR(VLOOKUP(A1936,Lookup!$J$5:$P$19,7,FALSE),0)</f>
        <v>3</v>
      </c>
      <c r="P1936" s="159">
        <f t="shared" si="323"/>
        <v>2015</v>
      </c>
      <c r="Q1936" s="159">
        <f t="shared" si="324"/>
        <v>2</v>
      </c>
      <c r="R1936" s="160">
        <f t="shared" si="325"/>
        <v>5.3666666666977108</v>
      </c>
      <c r="S1936" s="158">
        <f t="shared" si="326"/>
        <v>3.3222222222414399</v>
      </c>
      <c r="T1936" s="161">
        <f t="shared" si="327"/>
        <v>1588.0222222314083</v>
      </c>
      <c r="U1936" s="158">
        <f t="shared" si="328"/>
        <v>295.90476190476193</v>
      </c>
      <c r="V1936" s="160">
        <f t="shared" si="329"/>
        <v>296</v>
      </c>
    </row>
    <row r="1937" spans="1:22" x14ac:dyDescent="0.25">
      <c r="A1937" s="98" t="s">
        <v>24</v>
      </c>
      <c r="B1937" s="98" t="s">
        <v>32</v>
      </c>
      <c r="C1937" s="98">
        <v>8</v>
      </c>
      <c r="D1937" s="98">
        <v>410</v>
      </c>
      <c r="E1937" s="157">
        <v>42047.895833333336</v>
      </c>
      <c r="F1937" s="157">
        <v>42048.003472222219</v>
      </c>
      <c r="G1937" s="98">
        <v>300</v>
      </c>
      <c r="H1937" s="98">
        <v>525</v>
      </c>
      <c r="I1937" s="98">
        <v>478</v>
      </c>
      <c r="J1937" s="98" t="s">
        <v>2049</v>
      </c>
      <c r="K1937" s="98" t="s">
        <v>2618</v>
      </c>
      <c r="L1937" s="105" t="str">
        <f t="shared" si="320"/>
        <v>Ghent</v>
      </c>
      <c r="M1937" s="105" t="str">
        <f t="shared" si="321"/>
        <v>Derate</v>
      </c>
      <c r="N1937" s="105" t="str">
        <f t="shared" si="322"/>
        <v>Coal</v>
      </c>
      <c r="O1937" s="105">
        <f>IFERROR(VLOOKUP(A1937,Lookup!$J$5:$P$19,7,FALSE),0)</f>
        <v>3</v>
      </c>
      <c r="P1937" s="159">
        <f t="shared" si="323"/>
        <v>2015</v>
      </c>
      <c r="Q1937" s="159">
        <f t="shared" si="324"/>
        <v>2</v>
      </c>
      <c r="R1937" s="160">
        <f t="shared" si="325"/>
        <v>2.5833333331975155</v>
      </c>
      <c r="S1937" s="158">
        <f t="shared" si="326"/>
        <v>1.1071428570846495</v>
      </c>
      <c r="T1937" s="161">
        <f t="shared" si="327"/>
        <v>529.21428568646252</v>
      </c>
      <c r="U1937" s="158">
        <f t="shared" si="328"/>
        <v>204.85714285714286</v>
      </c>
      <c r="V1937" s="160">
        <f t="shared" si="329"/>
        <v>205</v>
      </c>
    </row>
    <row r="1938" spans="1:22" x14ac:dyDescent="0.25">
      <c r="A1938" s="98" t="s">
        <v>24</v>
      </c>
      <c r="B1938" s="98" t="s">
        <v>32</v>
      </c>
      <c r="C1938" s="98">
        <v>9</v>
      </c>
      <c r="D1938" s="98">
        <v>1100</v>
      </c>
      <c r="E1938" s="157">
        <v>42065.956250000003</v>
      </c>
      <c r="F1938" s="157">
        <v>42066.169444444444</v>
      </c>
      <c r="G1938" s="98">
        <v>200</v>
      </c>
      <c r="H1938" s="98">
        <v>525</v>
      </c>
      <c r="I1938" s="98">
        <v>478</v>
      </c>
      <c r="J1938" s="98" t="s">
        <v>2038</v>
      </c>
      <c r="K1938" s="98" t="s">
        <v>2619</v>
      </c>
      <c r="L1938" s="105" t="str">
        <f t="shared" si="320"/>
        <v>Ghent</v>
      </c>
      <c r="M1938" s="105" t="str">
        <f t="shared" si="321"/>
        <v>Derate</v>
      </c>
      <c r="N1938" s="105" t="str">
        <f t="shared" si="322"/>
        <v>Coal</v>
      </c>
      <c r="O1938" s="105">
        <f>IFERROR(VLOOKUP(A1938,Lookup!$J$5:$P$19,7,FALSE),0)</f>
        <v>3</v>
      </c>
      <c r="P1938" s="159">
        <f t="shared" si="323"/>
        <v>2015</v>
      </c>
      <c r="Q1938" s="159">
        <f t="shared" si="324"/>
        <v>3</v>
      </c>
      <c r="R1938" s="160">
        <f t="shared" si="325"/>
        <v>5.1166666665812954</v>
      </c>
      <c r="S1938" s="158">
        <f t="shared" si="326"/>
        <v>3.1674603174074685</v>
      </c>
      <c r="T1938" s="161">
        <f t="shared" si="327"/>
        <v>1514.0460317207699</v>
      </c>
      <c r="U1938" s="158">
        <f t="shared" si="328"/>
        <v>295.90476190476193</v>
      </c>
      <c r="V1938" s="160">
        <f t="shared" si="329"/>
        <v>296</v>
      </c>
    </row>
    <row r="1939" spans="1:22" x14ac:dyDescent="0.25">
      <c r="A1939" s="98" t="s">
        <v>24</v>
      </c>
      <c r="B1939" s="98" t="s">
        <v>32</v>
      </c>
      <c r="C1939" s="98">
        <v>10</v>
      </c>
      <c r="D1939" s="98">
        <v>8813</v>
      </c>
      <c r="E1939" s="157">
        <v>42071.458333333336</v>
      </c>
      <c r="F1939" s="157">
        <v>42071.724305555559</v>
      </c>
      <c r="G1939" s="98">
        <v>200</v>
      </c>
      <c r="H1939" s="98">
        <v>525</v>
      </c>
      <c r="I1939" s="98">
        <v>478</v>
      </c>
      <c r="J1939" s="98" t="s">
        <v>2620</v>
      </c>
      <c r="K1939" s="98" t="s">
        <v>2621</v>
      </c>
      <c r="L1939" s="105" t="str">
        <f t="shared" si="320"/>
        <v>Ghent</v>
      </c>
      <c r="M1939" s="105" t="str">
        <f t="shared" si="321"/>
        <v>Derate</v>
      </c>
      <c r="N1939" s="105" t="str">
        <f t="shared" si="322"/>
        <v>Coal</v>
      </c>
      <c r="O1939" s="105">
        <f>IFERROR(VLOOKUP(A1939,Lookup!$J$5:$P$19,7,FALSE),0)</f>
        <v>3</v>
      </c>
      <c r="P1939" s="159">
        <f t="shared" si="323"/>
        <v>2015</v>
      </c>
      <c r="Q1939" s="159">
        <f t="shared" si="324"/>
        <v>3</v>
      </c>
      <c r="R1939" s="160">
        <f t="shared" si="325"/>
        <v>6.3833333333604969</v>
      </c>
      <c r="S1939" s="158">
        <f t="shared" si="326"/>
        <v>3.9515873016041172</v>
      </c>
      <c r="T1939" s="161">
        <f t="shared" si="327"/>
        <v>1888.8587301667681</v>
      </c>
      <c r="U1939" s="158">
        <f t="shared" si="328"/>
        <v>295.90476190476193</v>
      </c>
      <c r="V1939" s="160">
        <f t="shared" si="329"/>
        <v>296</v>
      </c>
    </row>
    <row r="1940" spans="1:22" x14ac:dyDescent="0.25">
      <c r="A1940" s="98" t="s">
        <v>24</v>
      </c>
      <c r="B1940" s="98" t="s">
        <v>17</v>
      </c>
      <c r="C1940" s="98">
        <v>11</v>
      </c>
      <c r="D1940" s="98">
        <v>8813</v>
      </c>
      <c r="E1940" s="157">
        <v>42071.724305555559</v>
      </c>
      <c r="F1940" s="157">
        <v>42071.819444444445</v>
      </c>
      <c r="G1940" s="98">
        <v>200</v>
      </c>
      <c r="H1940" s="98">
        <v>525</v>
      </c>
      <c r="I1940" s="98">
        <v>478</v>
      </c>
      <c r="J1940" s="98" t="s">
        <v>2620</v>
      </c>
      <c r="K1940" s="98" t="s">
        <v>2622</v>
      </c>
      <c r="L1940" s="105" t="str">
        <f t="shared" si="320"/>
        <v>Ghent</v>
      </c>
      <c r="M1940" s="105" t="str">
        <f t="shared" si="321"/>
        <v>Derate</v>
      </c>
      <c r="N1940" s="105" t="str">
        <f t="shared" si="322"/>
        <v>Coal</v>
      </c>
      <c r="O1940" s="105">
        <f>IFERROR(VLOOKUP(A1940,Lookup!$J$5:$P$19,7,FALSE),0)</f>
        <v>3</v>
      </c>
      <c r="P1940" s="159">
        <f t="shared" si="323"/>
        <v>2015</v>
      </c>
      <c r="Q1940" s="159">
        <f t="shared" si="324"/>
        <v>3</v>
      </c>
      <c r="R1940" s="160">
        <f t="shared" si="325"/>
        <v>2.2833333332673647</v>
      </c>
      <c r="S1940" s="158">
        <f t="shared" si="326"/>
        <v>1.4134920634512258</v>
      </c>
      <c r="T1940" s="161">
        <f t="shared" si="327"/>
        <v>675.64920632968597</v>
      </c>
      <c r="U1940" s="158">
        <f t="shared" si="328"/>
        <v>295.90476190476193</v>
      </c>
      <c r="V1940" s="160">
        <f t="shared" si="329"/>
        <v>296</v>
      </c>
    </row>
    <row r="1941" spans="1:22" x14ac:dyDescent="0.25">
      <c r="A1941" s="98" t="s">
        <v>24</v>
      </c>
      <c r="B1941" s="98" t="s">
        <v>17</v>
      </c>
      <c r="C1941" s="98">
        <v>12</v>
      </c>
      <c r="D1941" s="98">
        <v>8813</v>
      </c>
      <c r="E1941" s="157">
        <v>42071.819444444445</v>
      </c>
      <c r="F1941" s="157">
        <v>42071.896527777775</v>
      </c>
      <c r="G1941" s="98">
        <v>480</v>
      </c>
      <c r="H1941" s="98">
        <v>525</v>
      </c>
      <c r="I1941" s="98">
        <v>478</v>
      </c>
      <c r="J1941" s="98" t="s">
        <v>2620</v>
      </c>
      <c r="K1941" s="98" t="s">
        <v>2623</v>
      </c>
      <c r="L1941" s="105" t="str">
        <f t="shared" si="320"/>
        <v>Ghent</v>
      </c>
      <c r="M1941" s="105" t="str">
        <f t="shared" si="321"/>
        <v>Derate</v>
      </c>
      <c r="N1941" s="105" t="str">
        <f t="shared" si="322"/>
        <v>Coal</v>
      </c>
      <c r="O1941" s="105">
        <f>IFERROR(VLOOKUP(A1941,Lookup!$J$5:$P$19,7,FALSE),0)</f>
        <v>3</v>
      </c>
      <c r="P1941" s="159">
        <f t="shared" si="323"/>
        <v>2015</v>
      </c>
      <c r="Q1941" s="159">
        <f t="shared" si="324"/>
        <v>3</v>
      </c>
      <c r="R1941" s="160">
        <f t="shared" si="325"/>
        <v>1.8499999999185093</v>
      </c>
      <c r="S1941" s="158">
        <f t="shared" si="326"/>
        <v>0.15857142856444364</v>
      </c>
      <c r="T1941" s="161">
        <f t="shared" si="327"/>
        <v>75.797142853804061</v>
      </c>
      <c r="U1941" s="158">
        <f t="shared" si="328"/>
        <v>40.971428571428568</v>
      </c>
      <c r="V1941" s="160">
        <f t="shared" si="329"/>
        <v>41</v>
      </c>
    </row>
    <row r="1942" spans="1:22" x14ac:dyDescent="0.25">
      <c r="A1942" s="98" t="s">
        <v>24</v>
      </c>
      <c r="B1942" s="98" t="s">
        <v>17</v>
      </c>
      <c r="C1942" s="98">
        <v>13</v>
      </c>
      <c r="D1942" s="98">
        <v>9270</v>
      </c>
      <c r="E1942" s="157">
        <v>42079.138888888891</v>
      </c>
      <c r="F1942" s="157">
        <v>42079.158333333333</v>
      </c>
      <c r="G1942" s="98">
        <v>440</v>
      </c>
      <c r="H1942" s="98">
        <v>525</v>
      </c>
      <c r="I1942" s="98">
        <v>478</v>
      </c>
      <c r="J1942" s="98" t="s">
        <v>2006</v>
      </c>
      <c r="K1942" s="98" t="s">
        <v>2624</v>
      </c>
      <c r="L1942" s="105" t="str">
        <f t="shared" si="320"/>
        <v>Ghent</v>
      </c>
      <c r="M1942" s="105" t="str">
        <f t="shared" si="321"/>
        <v>Derate</v>
      </c>
      <c r="N1942" s="105" t="str">
        <f t="shared" si="322"/>
        <v>Coal</v>
      </c>
      <c r="O1942" s="105">
        <f>IFERROR(VLOOKUP(A1942,Lookup!$J$5:$P$19,7,FALSE),0)</f>
        <v>3</v>
      </c>
      <c r="P1942" s="159">
        <f t="shared" si="323"/>
        <v>2015</v>
      </c>
      <c r="Q1942" s="159">
        <f t="shared" si="324"/>
        <v>3</v>
      </c>
      <c r="R1942" s="160">
        <f t="shared" si="325"/>
        <v>0.46666666661622003</v>
      </c>
      <c r="S1942" s="158">
        <f t="shared" si="326"/>
        <v>7.5555555547388006E-2</v>
      </c>
      <c r="T1942" s="161">
        <f t="shared" si="327"/>
        <v>36.115555551651468</v>
      </c>
      <c r="U1942" s="158">
        <f t="shared" si="328"/>
        <v>77.390476190476193</v>
      </c>
      <c r="V1942" s="160">
        <f t="shared" si="329"/>
        <v>77</v>
      </c>
    </row>
    <row r="1943" spans="1:22" x14ac:dyDescent="0.25">
      <c r="A1943" s="98" t="s">
        <v>24</v>
      </c>
      <c r="B1943" s="98" t="s">
        <v>32</v>
      </c>
      <c r="C1943" s="98">
        <v>14</v>
      </c>
      <c r="D1943" s="98">
        <v>1100</v>
      </c>
      <c r="E1943" s="157">
        <v>42085</v>
      </c>
      <c r="F1943" s="157">
        <v>42085.177083333336</v>
      </c>
      <c r="G1943" s="98">
        <v>210</v>
      </c>
      <c r="H1943" s="98">
        <v>525</v>
      </c>
      <c r="I1943" s="98">
        <v>478</v>
      </c>
      <c r="J1943" s="98" t="s">
        <v>2038</v>
      </c>
      <c r="K1943" s="98" t="s">
        <v>2625</v>
      </c>
      <c r="L1943" s="105" t="str">
        <f t="shared" si="320"/>
        <v>Ghent</v>
      </c>
      <c r="M1943" s="105" t="str">
        <f t="shared" si="321"/>
        <v>Derate</v>
      </c>
      <c r="N1943" s="105" t="str">
        <f t="shared" si="322"/>
        <v>Coal</v>
      </c>
      <c r="O1943" s="105">
        <f>IFERROR(VLOOKUP(A1943,Lookup!$J$5:$P$19,7,FALSE),0)</f>
        <v>3</v>
      </c>
      <c r="P1943" s="159">
        <f t="shared" si="323"/>
        <v>2015</v>
      </c>
      <c r="Q1943" s="159">
        <f t="shared" si="324"/>
        <v>3</v>
      </c>
      <c r="R1943" s="160">
        <f t="shared" si="325"/>
        <v>4.2500000000582077</v>
      </c>
      <c r="S1943" s="158">
        <f t="shared" si="326"/>
        <v>2.5500000000349248</v>
      </c>
      <c r="T1943" s="161">
        <f t="shared" si="327"/>
        <v>1218.9000000166941</v>
      </c>
      <c r="U1943" s="158">
        <f t="shared" si="328"/>
        <v>286.8</v>
      </c>
      <c r="V1943" s="160">
        <f t="shared" si="329"/>
        <v>287</v>
      </c>
    </row>
    <row r="1944" spans="1:22" x14ac:dyDescent="0.25">
      <c r="A1944" s="98" t="s">
        <v>24</v>
      </c>
      <c r="B1944" s="98" t="s">
        <v>17</v>
      </c>
      <c r="C1944" s="98">
        <v>15</v>
      </c>
      <c r="D1944" s="98">
        <v>3110</v>
      </c>
      <c r="E1944" s="157">
        <v>42086.214583333334</v>
      </c>
      <c r="F1944" s="157">
        <v>42086.361805555556</v>
      </c>
      <c r="G1944" s="98">
        <v>440</v>
      </c>
      <c r="H1944" s="98">
        <v>525</v>
      </c>
      <c r="I1944" s="98">
        <v>478</v>
      </c>
      <c r="J1944" s="98" t="s">
        <v>2119</v>
      </c>
      <c r="K1944" s="98" t="s">
        <v>2626</v>
      </c>
      <c r="L1944" s="105" t="str">
        <f t="shared" si="320"/>
        <v>Ghent</v>
      </c>
      <c r="M1944" s="105" t="str">
        <f t="shared" si="321"/>
        <v>Derate</v>
      </c>
      <c r="N1944" s="105" t="str">
        <f t="shared" si="322"/>
        <v>Coal</v>
      </c>
      <c r="O1944" s="105">
        <f>IFERROR(VLOOKUP(A1944,Lookup!$J$5:$P$19,7,FALSE),0)</f>
        <v>3</v>
      </c>
      <c r="P1944" s="159">
        <f t="shared" si="323"/>
        <v>2015</v>
      </c>
      <c r="Q1944" s="159">
        <f t="shared" si="324"/>
        <v>3</v>
      </c>
      <c r="R1944" s="160">
        <f t="shared" si="325"/>
        <v>3.5333333333255723</v>
      </c>
      <c r="S1944" s="158">
        <f t="shared" si="326"/>
        <v>0.5720634920622355</v>
      </c>
      <c r="T1944" s="161">
        <f t="shared" si="327"/>
        <v>273.44634920574856</v>
      </c>
      <c r="U1944" s="158">
        <f t="shared" si="328"/>
        <v>77.390476190476193</v>
      </c>
      <c r="V1944" s="160">
        <f t="shared" si="329"/>
        <v>77</v>
      </c>
    </row>
    <row r="1945" spans="1:22" x14ac:dyDescent="0.25">
      <c r="A1945" s="98" t="s">
        <v>24</v>
      </c>
      <c r="B1945" s="98" t="s">
        <v>15</v>
      </c>
      <c r="C1945" s="98">
        <v>16</v>
      </c>
      <c r="D1945" s="98">
        <v>3110</v>
      </c>
      <c r="E1945" s="157">
        <v>42086.361805555556</v>
      </c>
      <c r="F1945" s="157">
        <v>42087.645833333336</v>
      </c>
      <c r="G1945" s="98">
        <v>0</v>
      </c>
      <c r="H1945" s="98">
        <v>525</v>
      </c>
      <c r="I1945" s="98">
        <v>478</v>
      </c>
      <c r="J1945" s="98" t="s">
        <v>2119</v>
      </c>
      <c r="K1945" s="98" t="s">
        <v>2627</v>
      </c>
      <c r="L1945" s="105" t="str">
        <f t="shared" si="320"/>
        <v>Ghent</v>
      </c>
      <c r="M1945" s="105" t="str">
        <f t="shared" si="321"/>
        <v>Outage</v>
      </c>
      <c r="N1945" s="105" t="str">
        <f t="shared" si="322"/>
        <v>Coal</v>
      </c>
      <c r="O1945" s="105">
        <f>IFERROR(VLOOKUP(A1945,Lookup!$J$5:$P$19,7,FALSE),0)</f>
        <v>3</v>
      </c>
      <c r="P1945" s="159">
        <f t="shared" si="323"/>
        <v>2015</v>
      </c>
      <c r="Q1945" s="159">
        <f t="shared" si="324"/>
        <v>3</v>
      </c>
      <c r="R1945" s="160">
        <f t="shared" si="325"/>
        <v>30.816666666709352</v>
      </c>
      <c r="S1945" s="158">
        <f t="shared" si="326"/>
        <v>30.816666666709352</v>
      </c>
      <c r="T1945" s="161">
        <f t="shared" si="327"/>
        <v>14730.36666668707</v>
      </c>
      <c r="U1945" s="158">
        <f t="shared" si="328"/>
        <v>478</v>
      </c>
      <c r="V1945" s="160">
        <f t="shared" si="329"/>
        <v>478</v>
      </c>
    </row>
    <row r="1946" spans="1:22" x14ac:dyDescent="0.25">
      <c r="A1946" s="98" t="s">
        <v>24</v>
      </c>
      <c r="B1946" s="98" t="s">
        <v>17</v>
      </c>
      <c r="C1946" s="98">
        <v>17</v>
      </c>
      <c r="D1946" s="98">
        <v>1850</v>
      </c>
      <c r="E1946" s="157">
        <v>42087.990277777775</v>
      </c>
      <c r="F1946" s="157">
        <v>42088.27847222222</v>
      </c>
      <c r="G1946" s="98">
        <v>450</v>
      </c>
      <c r="H1946" s="98">
        <v>525</v>
      </c>
      <c r="I1946" s="98">
        <v>478</v>
      </c>
      <c r="J1946" s="98" t="s">
        <v>2263</v>
      </c>
      <c r="K1946" s="98" t="s">
        <v>2628</v>
      </c>
      <c r="L1946" s="105" t="str">
        <f t="shared" si="320"/>
        <v>Ghent</v>
      </c>
      <c r="M1946" s="105" t="str">
        <f t="shared" si="321"/>
        <v>Derate</v>
      </c>
      <c r="N1946" s="105" t="str">
        <f t="shared" si="322"/>
        <v>Coal</v>
      </c>
      <c r="O1946" s="105">
        <f>IFERROR(VLOOKUP(A1946,Lookup!$J$5:$P$19,7,FALSE),0)</f>
        <v>3</v>
      </c>
      <c r="P1946" s="159">
        <f t="shared" si="323"/>
        <v>2015</v>
      </c>
      <c r="Q1946" s="159">
        <f t="shared" si="324"/>
        <v>3</v>
      </c>
      <c r="R1946" s="160">
        <f t="shared" si="325"/>
        <v>6.9166666666860692</v>
      </c>
      <c r="S1946" s="158">
        <f t="shared" si="326"/>
        <v>0.98809523809800992</v>
      </c>
      <c r="T1946" s="161">
        <f t="shared" si="327"/>
        <v>472.30952381084876</v>
      </c>
      <c r="U1946" s="158">
        <f t="shared" si="328"/>
        <v>68.285714285714292</v>
      </c>
      <c r="V1946" s="160">
        <f t="shared" si="329"/>
        <v>68</v>
      </c>
    </row>
    <row r="1947" spans="1:22" x14ac:dyDescent="0.25">
      <c r="A1947" s="98" t="s">
        <v>24</v>
      </c>
      <c r="B1947" s="98" t="s">
        <v>17</v>
      </c>
      <c r="C1947" s="98">
        <v>18</v>
      </c>
      <c r="D1947" s="98">
        <v>1512</v>
      </c>
      <c r="E1947" s="157">
        <v>42088.27847222222</v>
      </c>
      <c r="F1947" s="157">
        <v>42088.567361111112</v>
      </c>
      <c r="G1947" s="98">
        <v>500</v>
      </c>
      <c r="H1947" s="98">
        <v>525</v>
      </c>
      <c r="I1947" s="98">
        <v>478</v>
      </c>
      <c r="J1947" s="98" t="s">
        <v>2023</v>
      </c>
      <c r="K1947" s="98" t="s">
        <v>2629</v>
      </c>
      <c r="L1947" s="105" t="str">
        <f t="shared" si="320"/>
        <v>Ghent</v>
      </c>
      <c r="M1947" s="105" t="str">
        <f t="shared" si="321"/>
        <v>Derate</v>
      </c>
      <c r="N1947" s="105" t="str">
        <f t="shared" si="322"/>
        <v>Coal</v>
      </c>
      <c r="O1947" s="105">
        <f>IFERROR(VLOOKUP(A1947,Lookup!$J$5:$P$19,7,FALSE),0)</f>
        <v>3</v>
      </c>
      <c r="P1947" s="159">
        <f t="shared" si="323"/>
        <v>2015</v>
      </c>
      <c r="Q1947" s="159">
        <f t="shared" si="324"/>
        <v>3</v>
      </c>
      <c r="R1947" s="160">
        <f t="shared" si="325"/>
        <v>6.933333333407063</v>
      </c>
      <c r="S1947" s="158">
        <f t="shared" si="326"/>
        <v>0.33015873016224112</v>
      </c>
      <c r="T1947" s="161">
        <f t="shared" si="327"/>
        <v>157.81587301755127</v>
      </c>
      <c r="U1947" s="158">
        <f t="shared" si="328"/>
        <v>22.761904761904763</v>
      </c>
      <c r="V1947" s="160">
        <f t="shared" si="329"/>
        <v>23</v>
      </c>
    </row>
    <row r="1948" spans="1:22" x14ac:dyDescent="0.25">
      <c r="A1948" s="98" t="s">
        <v>24</v>
      </c>
      <c r="B1948" s="98" t="s">
        <v>17</v>
      </c>
      <c r="C1948" s="98">
        <v>19</v>
      </c>
      <c r="D1948" s="98">
        <v>1512</v>
      </c>
      <c r="E1948" s="157">
        <v>42088.567361111112</v>
      </c>
      <c r="F1948" s="157">
        <v>42088.63958333333</v>
      </c>
      <c r="G1948" s="98">
        <v>200</v>
      </c>
      <c r="H1948" s="98">
        <v>525</v>
      </c>
      <c r="I1948" s="98">
        <v>478</v>
      </c>
      <c r="J1948" s="98" t="s">
        <v>2023</v>
      </c>
      <c r="K1948" s="98" t="s">
        <v>2630</v>
      </c>
      <c r="L1948" s="105" t="str">
        <f t="shared" si="320"/>
        <v>Ghent</v>
      </c>
      <c r="M1948" s="105" t="str">
        <f t="shared" si="321"/>
        <v>Derate</v>
      </c>
      <c r="N1948" s="105" t="str">
        <f t="shared" si="322"/>
        <v>Coal</v>
      </c>
      <c r="O1948" s="105">
        <f>IFERROR(VLOOKUP(A1948,Lookup!$J$5:$P$19,7,FALSE),0)</f>
        <v>3</v>
      </c>
      <c r="P1948" s="159">
        <f t="shared" si="323"/>
        <v>2015</v>
      </c>
      <c r="Q1948" s="159">
        <f t="shared" si="324"/>
        <v>3</v>
      </c>
      <c r="R1948" s="160">
        <f t="shared" si="325"/>
        <v>1.7333333332207985</v>
      </c>
      <c r="S1948" s="158">
        <f t="shared" si="326"/>
        <v>1.0730158729462087</v>
      </c>
      <c r="T1948" s="161">
        <f t="shared" si="327"/>
        <v>512.90158726828781</v>
      </c>
      <c r="U1948" s="158">
        <f t="shared" si="328"/>
        <v>295.90476190476193</v>
      </c>
      <c r="V1948" s="160">
        <f t="shared" si="329"/>
        <v>296</v>
      </c>
    </row>
    <row r="1949" spans="1:22" x14ac:dyDescent="0.25">
      <c r="A1949" s="98" t="s">
        <v>24</v>
      </c>
      <c r="B1949" s="98" t="s">
        <v>32</v>
      </c>
      <c r="C1949" s="98">
        <v>20</v>
      </c>
      <c r="D1949" s="98">
        <v>1100</v>
      </c>
      <c r="E1949" s="157">
        <v>42106.916666666664</v>
      </c>
      <c r="F1949" s="157">
        <v>42107.088194444441</v>
      </c>
      <c r="G1949" s="98">
        <v>200</v>
      </c>
      <c r="H1949" s="98">
        <v>525</v>
      </c>
      <c r="I1949" s="98">
        <v>478</v>
      </c>
      <c r="J1949" s="98" t="s">
        <v>2038</v>
      </c>
      <c r="K1949" s="98" t="s">
        <v>2631</v>
      </c>
      <c r="L1949" s="105" t="str">
        <f t="shared" si="320"/>
        <v>Ghent</v>
      </c>
      <c r="M1949" s="105" t="str">
        <f t="shared" si="321"/>
        <v>Derate</v>
      </c>
      <c r="N1949" s="105" t="str">
        <f t="shared" si="322"/>
        <v>Coal</v>
      </c>
      <c r="O1949" s="105">
        <f>IFERROR(VLOOKUP(A1949,Lookup!$J$5:$P$19,7,FALSE),0)</f>
        <v>3</v>
      </c>
      <c r="P1949" s="159">
        <f t="shared" si="323"/>
        <v>2015</v>
      </c>
      <c r="Q1949" s="159">
        <f t="shared" si="324"/>
        <v>4</v>
      </c>
      <c r="R1949" s="160">
        <f t="shared" si="325"/>
        <v>4.1166666666395031</v>
      </c>
      <c r="S1949" s="158">
        <f t="shared" si="326"/>
        <v>2.5484126983958828</v>
      </c>
      <c r="T1949" s="161">
        <f t="shared" si="327"/>
        <v>1218.1412698332319</v>
      </c>
      <c r="U1949" s="158">
        <f t="shared" si="328"/>
        <v>295.90476190476193</v>
      </c>
      <c r="V1949" s="160">
        <f t="shared" si="329"/>
        <v>296</v>
      </c>
    </row>
    <row r="1950" spans="1:22" x14ac:dyDescent="0.25">
      <c r="A1950" s="98" t="s">
        <v>24</v>
      </c>
      <c r="B1950" s="98" t="s">
        <v>17</v>
      </c>
      <c r="C1950" s="98">
        <v>21</v>
      </c>
      <c r="D1950" s="98">
        <v>1850</v>
      </c>
      <c r="E1950" s="157">
        <v>42107.988888888889</v>
      </c>
      <c r="F1950" s="157">
        <v>42108.415972222225</v>
      </c>
      <c r="G1950" s="98">
        <v>447</v>
      </c>
      <c r="H1950" s="98">
        <v>525</v>
      </c>
      <c r="I1950" s="98">
        <v>478</v>
      </c>
      <c r="J1950" s="98" t="s">
        <v>2263</v>
      </c>
      <c r="K1950" s="98" t="s">
        <v>2632</v>
      </c>
      <c r="L1950" s="105" t="str">
        <f t="shared" si="320"/>
        <v>Ghent</v>
      </c>
      <c r="M1950" s="105" t="str">
        <f t="shared" si="321"/>
        <v>Derate</v>
      </c>
      <c r="N1950" s="105" t="str">
        <f t="shared" si="322"/>
        <v>Coal</v>
      </c>
      <c r="O1950" s="105">
        <f>IFERROR(VLOOKUP(A1950,Lookup!$J$5:$P$19,7,FALSE),0)</f>
        <v>3</v>
      </c>
      <c r="P1950" s="159">
        <f t="shared" si="323"/>
        <v>2015</v>
      </c>
      <c r="Q1950" s="159">
        <f t="shared" si="324"/>
        <v>4</v>
      </c>
      <c r="R1950" s="160">
        <f t="shared" si="325"/>
        <v>10.250000000058208</v>
      </c>
      <c r="S1950" s="158">
        <f t="shared" si="326"/>
        <v>1.5228571428657909</v>
      </c>
      <c r="T1950" s="161">
        <f t="shared" si="327"/>
        <v>727.92571428984809</v>
      </c>
      <c r="U1950" s="158">
        <f t="shared" si="328"/>
        <v>71.017142857142858</v>
      </c>
      <c r="V1950" s="160">
        <f t="shared" si="329"/>
        <v>71</v>
      </c>
    </row>
    <row r="1951" spans="1:22" x14ac:dyDescent="0.25">
      <c r="A1951" s="98" t="s">
        <v>24</v>
      </c>
      <c r="B1951" s="98" t="s">
        <v>20</v>
      </c>
      <c r="C1951" s="98">
        <v>22</v>
      </c>
      <c r="D1951" s="98">
        <v>1488</v>
      </c>
      <c r="E1951" s="157">
        <v>42118.958333333336</v>
      </c>
      <c r="F1951" s="157">
        <v>42125.144444444442</v>
      </c>
      <c r="G1951" s="98">
        <v>0</v>
      </c>
      <c r="H1951" s="98">
        <v>525</v>
      </c>
      <c r="I1951" s="98">
        <v>478</v>
      </c>
      <c r="J1951" s="98" t="s">
        <v>2284</v>
      </c>
      <c r="K1951" s="98" t="s">
        <v>2633</v>
      </c>
      <c r="L1951" s="105" t="str">
        <f t="shared" si="320"/>
        <v>Ghent</v>
      </c>
      <c r="M1951" s="105" t="str">
        <f t="shared" si="321"/>
        <v>Maintenance</v>
      </c>
      <c r="N1951" s="105" t="str">
        <f t="shared" si="322"/>
        <v>Coal</v>
      </c>
      <c r="O1951" s="105">
        <f>IFERROR(VLOOKUP(A1951,Lookup!$J$5:$P$19,7,FALSE),0)</f>
        <v>3</v>
      </c>
      <c r="P1951" s="159">
        <f t="shared" si="323"/>
        <v>2015</v>
      </c>
      <c r="Q1951" s="159">
        <f t="shared" si="324"/>
        <v>4</v>
      </c>
      <c r="R1951" s="160">
        <f t="shared" si="325"/>
        <v>148.46666666655801</v>
      </c>
      <c r="S1951" s="158">
        <f t="shared" si="326"/>
        <v>148.46666666655801</v>
      </c>
      <c r="T1951" s="161">
        <f t="shared" si="327"/>
        <v>70967.06666661473</v>
      </c>
      <c r="U1951" s="158">
        <f t="shared" si="328"/>
        <v>478</v>
      </c>
      <c r="V1951" s="160">
        <f t="shared" si="329"/>
        <v>478</v>
      </c>
    </row>
    <row r="1952" spans="1:22" x14ac:dyDescent="0.25">
      <c r="A1952" s="98" t="s">
        <v>24</v>
      </c>
      <c r="B1952" s="98" t="s">
        <v>17</v>
      </c>
      <c r="C1952" s="98">
        <v>23</v>
      </c>
      <c r="D1952" s="98">
        <v>1850</v>
      </c>
      <c r="E1952" s="157">
        <v>42125.493055555555</v>
      </c>
      <c r="F1952" s="157">
        <v>42125.761111111111</v>
      </c>
      <c r="G1952" s="98">
        <v>441</v>
      </c>
      <c r="H1952" s="98">
        <v>525</v>
      </c>
      <c r="I1952" s="98">
        <v>478</v>
      </c>
      <c r="J1952" s="98" t="s">
        <v>2263</v>
      </c>
      <c r="K1952" s="98" t="s">
        <v>2634</v>
      </c>
      <c r="L1952" s="105" t="str">
        <f t="shared" si="320"/>
        <v>Ghent</v>
      </c>
      <c r="M1952" s="105" t="str">
        <f t="shared" si="321"/>
        <v>Derate</v>
      </c>
      <c r="N1952" s="105" t="str">
        <f t="shared" si="322"/>
        <v>Coal</v>
      </c>
      <c r="O1952" s="105">
        <f>IFERROR(VLOOKUP(A1952,Lookup!$J$5:$P$19,7,FALSE),0)</f>
        <v>3</v>
      </c>
      <c r="P1952" s="159">
        <f t="shared" si="323"/>
        <v>2015</v>
      </c>
      <c r="Q1952" s="159">
        <f t="shared" si="324"/>
        <v>5</v>
      </c>
      <c r="R1952" s="160">
        <f t="shared" si="325"/>
        <v>6.4333333333488554</v>
      </c>
      <c r="S1952" s="158">
        <f t="shared" si="326"/>
        <v>1.0293333333358168</v>
      </c>
      <c r="T1952" s="161">
        <f t="shared" si="327"/>
        <v>492.02133333452042</v>
      </c>
      <c r="U1952" s="158">
        <f t="shared" si="328"/>
        <v>76.48</v>
      </c>
      <c r="V1952" s="160">
        <f t="shared" si="329"/>
        <v>76</v>
      </c>
    </row>
    <row r="1953" spans="1:22" x14ac:dyDescent="0.25">
      <c r="A1953" s="98" t="s">
        <v>24</v>
      </c>
      <c r="B1953" s="98" t="s">
        <v>32</v>
      </c>
      <c r="C1953" s="98">
        <v>24</v>
      </c>
      <c r="D1953" s="98">
        <v>8601</v>
      </c>
      <c r="E1953" s="157">
        <v>42136.958333333336</v>
      </c>
      <c r="F1953" s="157">
        <v>42137.119444444441</v>
      </c>
      <c r="G1953" s="98">
        <v>450</v>
      </c>
      <c r="H1953" s="98">
        <v>525</v>
      </c>
      <c r="I1953" s="98">
        <v>478</v>
      </c>
      <c r="J1953" s="98" t="s">
        <v>232</v>
      </c>
      <c r="K1953" s="98" t="s">
        <v>2635</v>
      </c>
      <c r="L1953" s="105" t="str">
        <f t="shared" si="320"/>
        <v>Ghent</v>
      </c>
      <c r="M1953" s="105" t="str">
        <f t="shared" si="321"/>
        <v>Derate</v>
      </c>
      <c r="N1953" s="105" t="str">
        <f t="shared" si="322"/>
        <v>Coal</v>
      </c>
      <c r="O1953" s="105">
        <f>IFERROR(VLOOKUP(A1953,Lookup!$J$5:$P$19,7,FALSE),0)</f>
        <v>3</v>
      </c>
      <c r="P1953" s="159">
        <f t="shared" si="323"/>
        <v>2015</v>
      </c>
      <c r="Q1953" s="159">
        <f t="shared" si="324"/>
        <v>5</v>
      </c>
      <c r="R1953" s="160">
        <f t="shared" si="325"/>
        <v>3.8666666665230878</v>
      </c>
      <c r="S1953" s="158">
        <f t="shared" si="326"/>
        <v>0.55238095236044116</v>
      </c>
      <c r="T1953" s="161">
        <f t="shared" si="327"/>
        <v>264.0380952282909</v>
      </c>
      <c r="U1953" s="158">
        <f t="shared" si="328"/>
        <v>68.285714285714292</v>
      </c>
      <c r="V1953" s="160">
        <f t="shared" si="329"/>
        <v>68</v>
      </c>
    </row>
    <row r="1954" spans="1:22" x14ac:dyDescent="0.25">
      <c r="A1954" s="98" t="s">
        <v>24</v>
      </c>
      <c r="B1954" s="98" t="s">
        <v>17</v>
      </c>
      <c r="C1954" s="98">
        <v>25</v>
      </c>
      <c r="D1954" s="98">
        <v>1470</v>
      </c>
      <c r="E1954" s="157">
        <v>42137.330555555556</v>
      </c>
      <c r="F1954" s="157">
        <v>42137.425000000003</v>
      </c>
      <c r="G1954" s="98">
        <v>486</v>
      </c>
      <c r="H1954" s="98">
        <v>525</v>
      </c>
      <c r="I1954" s="98">
        <v>478</v>
      </c>
      <c r="J1954" s="98" t="s">
        <v>2005</v>
      </c>
      <c r="K1954" s="98" t="s">
        <v>2636</v>
      </c>
      <c r="L1954" s="105" t="str">
        <f t="shared" si="320"/>
        <v>Ghent</v>
      </c>
      <c r="M1954" s="105" t="str">
        <f t="shared" si="321"/>
        <v>Derate</v>
      </c>
      <c r="N1954" s="105" t="str">
        <f t="shared" si="322"/>
        <v>Coal</v>
      </c>
      <c r="O1954" s="105">
        <f>IFERROR(VLOOKUP(A1954,Lookup!$J$5:$P$19,7,FALSE),0)</f>
        <v>3</v>
      </c>
      <c r="P1954" s="159">
        <f t="shared" si="323"/>
        <v>2015</v>
      </c>
      <c r="Q1954" s="159">
        <f t="shared" si="324"/>
        <v>5</v>
      </c>
      <c r="R1954" s="160">
        <f t="shared" si="325"/>
        <v>2.2666666667209938</v>
      </c>
      <c r="S1954" s="158">
        <f t="shared" si="326"/>
        <v>0.16838095238498813</v>
      </c>
      <c r="T1954" s="161">
        <f t="shared" si="327"/>
        <v>80.486095240024326</v>
      </c>
      <c r="U1954" s="158">
        <f t="shared" si="328"/>
        <v>35.508571428571429</v>
      </c>
      <c r="V1954" s="160">
        <f t="shared" si="329"/>
        <v>36</v>
      </c>
    </row>
    <row r="1955" spans="1:22" x14ac:dyDescent="0.25">
      <c r="A1955" s="98" t="s">
        <v>24</v>
      </c>
      <c r="B1955" s="98" t="s">
        <v>32</v>
      </c>
      <c r="C1955" s="98">
        <v>26</v>
      </c>
      <c r="D1955" s="98">
        <v>8601</v>
      </c>
      <c r="E1955" s="157">
        <v>42137.958333333336</v>
      </c>
      <c r="F1955" s="157">
        <v>42138.114583333336</v>
      </c>
      <c r="G1955" s="98">
        <v>375</v>
      </c>
      <c r="H1955" s="98">
        <v>525</v>
      </c>
      <c r="I1955" s="98">
        <v>478</v>
      </c>
      <c r="J1955" s="98" t="s">
        <v>232</v>
      </c>
      <c r="K1955" s="98" t="s">
        <v>2637</v>
      </c>
      <c r="L1955" s="105" t="str">
        <f t="shared" si="320"/>
        <v>Ghent</v>
      </c>
      <c r="M1955" s="105" t="str">
        <f t="shared" si="321"/>
        <v>Derate</v>
      </c>
      <c r="N1955" s="105" t="str">
        <f t="shared" si="322"/>
        <v>Coal</v>
      </c>
      <c r="O1955" s="105">
        <f>IFERROR(VLOOKUP(A1955,Lookup!$J$5:$P$19,7,FALSE),0)</f>
        <v>3</v>
      </c>
      <c r="P1955" s="159">
        <f t="shared" si="323"/>
        <v>2015</v>
      </c>
      <c r="Q1955" s="159">
        <f t="shared" si="324"/>
        <v>5</v>
      </c>
      <c r="R1955" s="160">
        <f t="shared" si="325"/>
        <v>3.75</v>
      </c>
      <c r="S1955" s="158">
        <f t="shared" si="326"/>
        <v>1.0714285714285714</v>
      </c>
      <c r="T1955" s="161">
        <f t="shared" si="327"/>
        <v>512.14285714285711</v>
      </c>
      <c r="U1955" s="158">
        <f t="shared" si="328"/>
        <v>136.57142857142858</v>
      </c>
      <c r="V1955" s="160">
        <f t="shared" si="329"/>
        <v>137</v>
      </c>
    </row>
    <row r="1956" spans="1:22" x14ac:dyDescent="0.25">
      <c r="A1956" s="98" t="s">
        <v>24</v>
      </c>
      <c r="B1956" s="98" t="s">
        <v>17</v>
      </c>
      <c r="C1956" s="98">
        <v>27</v>
      </c>
      <c r="D1956" s="98">
        <v>1470</v>
      </c>
      <c r="E1956" s="157">
        <v>42167.895833333336</v>
      </c>
      <c r="F1956" s="157">
        <v>42168.100694444445</v>
      </c>
      <c r="G1956" s="98">
        <v>310</v>
      </c>
      <c r="H1956" s="98">
        <v>525</v>
      </c>
      <c r="I1956" s="98">
        <v>478</v>
      </c>
      <c r="J1956" s="98" t="s">
        <v>2005</v>
      </c>
      <c r="K1956" s="98" t="s">
        <v>2638</v>
      </c>
      <c r="L1956" s="105" t="str">
        <f t="shared" si="320"/>
        <v>Ghent</v>
      </c>
      <c r="M1956" s="105" t="str">
        <f t="shared" si="321"/>
        <v>Derate</v>
      </c>
      <c r="N1956" s="105" t="str">
        <f t="shared" si="322"/>
        <v>Coal</v>
      </c>
      <c r="O1956" s="105">
        <f>IFERROR(VLOOKUP(A1956,Lookup!$J$5:$P$19,7,FALSE),0)</f>
        <v>3</v>
      </c>
      <c r="P1956" s="159">
        <f t="shared" si="323"/>
        <v>2015</v>
      </c>
      <c r="Q1956" s="159">
        <f t="shared" si="324"/>
        <v>6</v>
      </c>
      <c r="R1956" s="160">
        <f t="shared" si="325"/>
        <v>4.9166666666278616</v>
      </c>
      <c r="S1956" s="158">
        <f t="shared" si="326"/>
        <v>2.0134920634761717</v>
      </c>
      <c r="T1956" s="161">
        <f t="shared" si="327"/>
        <v>962.44920634161008</v>
      </c>
      <c r="U1956" s="158">
        <f t="shared" si="328"/>
        <v>195.75238095238095</v>
      </c>
      <c r="V1956" s="160">
        <f t="shared" si="329"/>
        <v>196</v>
      </c>
    </row>
    <row r="1957" spans="1:22" x14ac:dyDescent="0.25">
      <c r="A1957" s="98" t="s">
        <v>24</v>
      </c>
      <c r="B1957" s="98" t="s">
        <v>32</v>
      </c>
      <c r="C1957" s="98">
        <v>28</v>
      </c>
      <c r="D1957" s="98">
        <v>1470</v>
      </c>
      <c r="E1957" s="157">
        <v>42181.040277777778</v>
      </c>
      <c r="F1957" s="157">
        <v>42181.052777777775</v>
      </c>
      <c r="G1957" s="98">
        <v>305</v>
      </c>
      <c r="H1957" s="98">
        <v>525</v>
      </c>
      <c r="I1957" s="98">
        <v>478</v>
      </c>
      <c r="J1957" s="98" t="s">
        <v>2005</v>
      </c>
      <c r="K1957" s="98" t="s">
        <v>3470</v>
      </c>
      <c r="L1957" s="105" t="str">
        <f t="shared" si="320"/>
        <v>Ghent</v>
      </c>
      <c r="M1957" s="105" t="str">
        <f t="shared" si="321"/>
        <v>Derate</v>
      </c>
      <c r="N1957" s="105" t="str">
        <f t="shared" si="322"/>
        <v>Coal</v>
      </c>
      <c r="O1957" s="105">
        <f>IFERROR(VLOOKUP(A1957,Lookup!$J$5:$P$19,7,FALSE),0)</f>
        <v>3</v>
      </c>
      <c r="P1957" s="159">
        <f t="shared" si="323"/>
        <v>2015</v>
      </c>
      <c r="Q1957" s="159">
        <f t="shared" si="324"/>
        <v>6</v>
      </c>
      <c r="R1957" s="160">
        <f t="shared" si="325"/>
        <v>0.29999999993015081</v>
      </c>
      <c r="S1957" s="158">
        <f t="shared" si="326"/>
        <v>0.12571428568501558</v>
      </c>
      <c r="T1957" s="161">
        <f t="shared" si="327"/>
        <v>60.091428557437446</v>
      </c>
      <c r="U1957" s="158">
        <f t="shared" si="328"/>
        <v>200.3047619047619</v>
      </c>
      <c r="V1957" s="160">
        <f t="shared" si="329"/>
        <v>200</v>
      </c>
    </row>
    <row r="1958" spans="1:22" x14ac:dyDescent="0.25">
      <c r="A1958" s="98" t="s">
        <v>24</v>
      </c>
      <c r="B1958" s="98" t="s">
        <v>15</v>
      </c>
      <c r="C1958" s="98">
        <v>29</v>
      </c>
      <c r="D1958" s="98">
        <v>4302</v>
      </c>
      <c r="E1958" s="157">
        <v>42188.05</v>
      </c>
      <c r="F1958" s="157">
        <v>42188.214583333334</v>
      </c>
      <c r="G1958" s="98">
        <v>0</v>
      </c>
      <c r="H1958" s="98">
        <v>525</v>
      </c>
      <c r="I1958" s="98">
        <v>478</v>
      </c>
      <c r="J1958" s="98" t="s">
        <v>2024</v>
      </c>
      <c r="K1958" s="98" t="s">
        <v>3471</v>
      </c>
      <c r="L1958" s="105" t="str">
        <f t="shared" si="320"/>
        <v>Ghent</v>
      </c>
      <c r="M1958" s="105" t="str">
        <f t="shared" si="321"/>
        <v>Outage</v>
      </c>
      <c r="N1958" s="105" t="str">
        <f t="shared" si="322"/>
        <v>Coal</v>
      </c>
      <c r="O1958" s="105">
        <f>IFERROR(VLOOKUP(A1958,Lookup!$J$5:$P$19,7,FALSE),0)</f>
        <v>3</v>
      </c>
      <c r="P1958" s="159">
        <f t="shared" si="323"/>
        <v>2015</v>
      </c>
      <c r="Q1958" s="159">
        <f t="shared" si="324"/>
        <v>7</v>
      </c>
      <c r="R1958" s="160">
        <f t="shared" si="325"/>
        <v>3.9499999999534339</v>
      </c>
      <c r="S1958" s="158">
        <f t="shared" si="326"/>
        <v>3.9499999999534339</v>
      </c>
      <c r="T1958" s="161">
        <f t="shared" si="327"/>
        <v>1888.0999999777414</v>
      </c>
      <c r="U1958" s="158">
        <f t="shared" si="328"/>
        <v>478</v>
      </c>
      <c r="V1958" s="160">
        <f t="shared" si="329"/>
        <v>478</v>
      </c>
    </row>
    <row r="1959" spans="1:22" x14ac:dyDescent="0.25">
      <c r="A1959" s="98" t="s">
        <v>24</v>
      </c>
      <c r="B1959" s="98" t="s">
        <v>32</v>
      </c>
      <c r="C1959" s="98">
        <v>30</v>
      </c>
      <c r="D1959" s="98">
        <v>1512</v>
      </c>
      <c r="E1959" s="157">
        <v>42191.958333333336</v>
      </c>
      <c r="F1959" s="157">
        <v>42191.979166666664</v>
      </c>
      <c r="G1959" s="98">
        <v>200</v>
      </c>
      <c r="H1959" s="98">
        <v>525</v>
      </c>
      <c r="I1959" s="98">
        <v>478</v>
      </c>
      <c r="J1959" s="98" t="s">
        <v>2023</v>
      </c>
      <c r="K1959" s="98" t="s">
        <v>3472</v>
      </c>
      <c r="L1959" s="105" t="str">
        <f t="shared" ref="L1959:L2022" si="330">IF(OR(A1959="BR1",A1959="BR2",A1959="BR3",A1959="BR5",A1959="BR6",A1959="BR7",A1959="BR8",A1959="BR9",A1959="BR10",A1959="BR11"),"Brown",IF(OR(A1959="CR4",A1959="CR5",A1959="CR6",A1959="CR11"),"Cane Run",IF(OR(A1959="GH1",A1959="GH2",A1959="GH3",A1959="GH4"),"Ghent",IF(OR(A1959="GR3",A1959="GR4"),"Green River",IF(OR(A1959="MC1",A1959="MC2",A1959="MC3",A1959="MC4"),"Mill Creek",IF(OR(A1959="TC1",A1959="TC2",A1959="TC5",A1959="TC6",A1959="TC7",A1959="TC8",A1959="TC9",A1959="TC10"),"Trimble",IF(A1959="TY3","Tyrone",IF(OR(A1959="HA1",A1959="HA2",A1959="HA3"),"Haeflin",IF(OR(A1959="PR11",A1959="PR12",A1959="PR13"),"Paddy's Run","Zorn")))))))))</f>
        <v>Ghent</v>
      </c>
      <c r="M1959" s="105" t="str">
        <f t="shared" ref="M1959:M2022" si="331">IF(OR(B1959="D1",B1959="D2",B1959="D3",B1959="D4",B1959="PD"),"Derate",IF(OR(B1959="SF",B1959="U1",B1959="U2",B1959="U3"),"Outage",IF(OR(B1959="ME",B1959="MO"),"Maintenance","Other")))</f>
        <v>Derate</v>
      </c>
      <c r="N1959" s="105" t="str">
        <f t="shared" ref="N1959:N2022" si="332">IF(OR(A1959="BR1",A1959="BR2",A1959="BR3",A1959="CR4",A1959="CR5",A1959="CR6",A1959="GH1",A1959="GH2",A1959="GH3",A1959="GH4",A1959="GR3",A1959="GR4",A1959="MC1",A1959="MC2",A1959="MC3",A1959="MC4",A1959="TC1",A1959="TC2",A1959="TY3"),"Coal","Gas")</f>
        <v>Coal</v>
      </c>
      <c r="O1959" s="105">
        <f>IFERROR(VLOOKUP(A1959,Lookup!$J$5:$P$19,7,FALSE),0)</f>
        <v>3</v>
      </c>
      <c r="P1959" s="159">
        <f t="shared" ref="P1959:P2022" si="333">YEAR(E1959)</f>
        <v>2015</v>
      </c>
      <c r="Q1959" s="159">
        <f t="shared" ref="Q1959:Q2022" si="334">MONTH(E1959)</f>
        <v>7</v>
      </c>
      <c r="R1959" s="160">
        <f t="shared" ref="R1959:R2022" si="335">(F1959-E1959)*24</f>
        <v>0.49999999988358468</v>
      </c>
      <c r="S1959" s="158">
        <f t="shared" ref="S1959:S2022" si="336">R1959*(H1959-G1959)/H1959</f>
        <v>0.3095238094517429</v>
      </c>
      <c r="T1959" s="161">
        <f t="shared" ref="T1959:T2022" si="337">S1959*I1959</f>
        <v>147.95238091793311</v>
      </c>
      <c r="U1959" s="158">
        <f t="shared" ref="U1959:U2022" si="338">IF(G1959&gt;0,MAX((H1959-G1959),0)*I1959/H1959,I1959)</f>
        <v>295.90476190476193</v>
      </c>
      <c r="V1959" s="160">
        <f t="shared" ref="V1959:V2022" si="339">ROUND(U1959,0)</f>
        <v>296</v>
      </c>
    </row>
    <row r="1960" spans="1:22" x14ac:dyDescent="0.25">
      <c r="A1960" s="98" t="s">
        <v>24</v>
      </c>
      <c r="B1960" s="98" t="s">
        <v>17</v>
      </c>
      <c r="C1960" s="98">
        <v>31</v>
      </c>
      <c r="D1960" s="98">
        <v>1455</v>
      </c>
      <c r="E1960" s="157">
        <v>42192.4</v>
      </c>
      <c r="F1960" s="157">
        <v>42192.411805555559</v>
      </c>
      <c r="G1960" s="98">
        <v>500</v>
      </c>
      <c r="H1960" s="98">
        <v>525</v>
      </c>
      <c r="I1960" s="98">
        <v>478</v>
      </c>
      <c r="J1960" s="98" t="s">
        <v>1990</v>
      </c>
      <c r="K1960" s="98" t="s">
        <v>3473</v>
      </c>
      <c r="L1960" s="105" t="str">
        <f t="shared" si="330"/>
        <v>Ghent</v>
      </c>
      <c r="M1960" s="105" t="str">
        <f t="shared" si="331"/>
        <v>Derate</v>
      </c>
      <c r="N1960" s="105" t="str">
        <f t="shared" si="332"/>
        <v>Coal</v>
      </c>
      <c r="O1960" s="105">
        <f>IFERROR(VLOOKUP(A1960,Lookup!$J$5:$P$19,7,FALSE),0)</f>
        <v>3</v>
      </c>
      <c r="P1960" s="159">
        <f t="shared" si="333"/>
        <v>2015</v>
      </c>
      <c r="Q1960" s="159">
        <f t="shared" si="334"/>
        <v>7</v>
      </c>
      <c r="R1960" s="160">
        <f t="shared" si="335"/>
        <v>0.28333333338377997</v>
      </c>
      <c r="S1960" s="158">
        <f t="shared" si="336"/>
        <v>1.3492063494465713E-2</v>
      </c>
      <c r="T1960" s="161">
        <f t="shared" si="337"/>
        <v>6.4492063503546113</v>
      </c>
      <c r="U1960" s="158">
        <f t="shared" si="338"/>
        <v>22.761904761904763</v>
      </c>
      <c r="V1960" s="160">
        <f t="shared" si="339"/>
        <v>23</v>
      </c>
    </row>
    <row r="1961" spans="1:22" x14ac:dyDescent="0.25">
      <c r="A1961" s="98" t="s">
        <v>24</v>
      </c>
      <c r="B1961" s="98" t="s">
        <v>17</v>
      </c>
      <c r="C1961" s="98">
        <v>32</v>
      </c>
      <c r="D1961" s="98">
        <v>1470</v>
      </c>
      <c r="E1961" s="157">
        <v>42192.436111111114</v>
      </c>
      <c r="F1961" s="157">
        <v>42192.470833333333</v>
      </c>
      <c r="G1961" s="98">
        <v>480</v>
      </c>
      <c r="H1961" s="98">
        <v>525</v>
      </c>
      <c r="I1961" s="98">
        <v>478</v>
      </c>
      <c r="J1961" s="98" t="s">
        <v>2005</v>
      </c>
      <c r="K1961" s="98" t="s">
        <v>3474</v>
      </c>
      <c r="L1961" s="105" t="str">
        <f t="shared" si="330"/>
        <v>Ghent</v>
      </c>
      <c r="M1961" s="105" t="str">
        <f t="shared" si="331"/>
        <v>Derate</v>
      </c>
      <c r="N1961" s="105" t="str">
        <f t="shared" si="332"/>
        <v>Coal</v>
      </c>
      <c r="O1961" s="105">
        <f>IFERROR(VLOOKUP(A1961,Lookup!$J$5:$P$19,7,FALSE),0)</f>
        <v>3</v>
      </c>
      <c r="P1961" s="159">
        <f t="shared" si="333"/>
        <v>2015</v>
      </c>
      <c r="Q1961" s="159">
        <f t="shared" si="334"/>
        <v>7</v>
      </c>
      <c r="R1961" s="160">
        <f t="shared" si="335"/>
        <v>0.83333333325572312</v>
      </c>
      <c r="S1961" s="158">
        <f t="shared" si="336"/>
        <v>7.1428571421919121E-2</v>
      </c>
      <c r="T1961" s="161">
        <f t="shared" si="337"/>
        <v>34.142857139677339</v>
      </c>
      <c r="U1961" s="158">
        <f t="shared" si="338"/>
        <v>40.971428571428568</v>
      </c>
      <c r="V1961" s="160">
        <f t="shared" si="339"/>
        <v>41</v>
      </c>
    </row>
    <row r="1962" spans="1:22" x14ac:dyDescent="0.25">
      <c r="A1962" s="98" t="s">
        <v>24</v>
      </c>
      <c r="B1962" s="98" t="s">
        <v>17</v>
      </c>
      <c r="C1962" s="98">
        <v>33</v>
      </c>
      <c r="D1962" s="98">
        <v>1470</v>
      </c>
      <c r="E1962" s="157">
        <v>42195.546527777777</v>
      </c>
      <c r="F1962" s="157">
        <v>42195.821527777778</v>
      </c>
      <c r="G1962" s="98">
        <v>450</v>
      </c>
      <c r="H1962" s="98">
        <v>525</v>
      </c>
      <c r="I1962" s="98">
        <v>478</v>
      </c>
      <c r="J1962" s="98" t="s">
        <v>2005</v>
      </c>
      <c r="K1962" s="98" t="s">
        <v>3475</v>
      </c>
      <c r="L1962" s="105" t="str">
        <f t="shared" si="330"/>
        <v>Ghent</v>
      </c>
      <c r="M1962" s="105" t="str">
        <f t="shared" si="331"/>
        <v>Derate</v>
      </c>
      <c r="N1962" s="105" t="str">
        <f t="shared" si="332"/>
        <v>Coal</v>
      </c>
      <c r="O1962" s="105">
        <f>IFERROR(VLOOKUP(A1962,Lookup!$J$5:$P$19,7,FALSE),0)</f>
        <v>3</v>
      </c>
      <c r="P1962" s="159">
        <f t="shared" si="333"/>
        <v>2015</v>
      </c>
      <c r="Q1962" s="159">
        <f t="shared" si="334"/>
        <v>7</v>
      </c>
      <c r="R1962" s="160">
        <f t="shared" si="335"/>
        <v>6.6000000000349246</v>
      </c>
      <c r="S1962" s="158">
        <f t="shared" si="336"/>
        <v>0.94285714286213207</v>
      </c>
      <c r="T1962" s="161">
        <f t="shared" si="337"/>
        <v>450.68571428809912</v>
      </c>
      <c r="U1962" s="158">
        <f t="shared" si="338"/>
        <v>68.285714285714292</v>
      </c>
      <c r="V1962" s="160">
        <f t="shared" si="339"/>
        <v>68</v>
      </c>
    </row>
    <row r="1963" spans="1:22" x14ac:dyDescent="0.25">
      <c r="A1963" s="98" t="s">
        <v>24</v>
      </c>
      <c r="B1963" s="98" t="s">
        <v>20</v>
      </c>
      <c r="C1963" s="98">
        <v>34</v>
      </c>
      <c r="D1963" s="98">
        <v>1493</v>
      </c>
      <c r="E1963" s="157">
        <v>42221.97152777778</v>
      </c>
      <c r="F1963" s="157">
        <v>42224.010416666664</v>
      </c>
      <c r="G1963" s="98">
        <v>0</v>
      </c>
      <c r="H1963" s="98">
        <v>525</v>
      </c>
      <c r="I1963" s="98">
        <v>478</v>
      </c>
      <c r="J1963" s="98" t="s">
        <v>2185</v>
      </c>
      <c r="K1963" s="98" t="s">
        <v>3476</v>
      </c>
      <c r="L1963" s="105" t="str">
        <f t="shared" si="330"/>
        <v>Ghent</v>
      </c>
      <c r="M1963" s="105" t="str">
        <f t="shared" si="331"/>
        <v>Maintenance</v>
      </c>
      <c r="N1963" s="105" t="str">
        <f t="shared" si="332"/>
        <v>Coal</v>
      </c>
      <c r="O1963" s="105">
        <f>IFERROR(VLOOKUP(A1963,Lookup!$J$5:$P$19,7,FALSE),0)</f>
        <v>3</v>
      </c>
      <c r="P1963" s="159">
        <f t="shared" si="333"/>
        <v>2015</v>
      </c>
      <c r="Q1963" s="159">
        <f t="shared" si="334"/>
        <v>8</v>
      </c>
      <c r="R1963" s="160">
        <f t="shared" si="335"/>
        <v>48.93333333323244</v>
      </c>
      <c r="S1963" s="158">
        <f t="shared" si="336"/>
        <v>48.93333333323244</v>
      </c>
      <c r="T1963" s="161">
        <f t="shared" si="337"/>
        <v>23390.133333285106</v>
      </c>
      <c r="U1963" s="158">
        <f t="shared" si="338"/>
        <v>478</v>
      </c>
      <c r="V1963" s="160">
        <f t="shared" si="339"/>
        <v>478</v>
      </c>
    </row>
    <row r="1964" spans="1:22" x14ac:dyDescent="0.25">
      <c r="A1964" s="98" t="s">
        <v>24</v>
      </c>
      <c r="B1964" s="98" t="s">
        <v>17</v>
      </c>
      <c r="C1964" s="98">
        <v>35</v>
      </c>
      <c r="D1964" s="98">
        <v>1850</v>
      </c>
      <c r="E1964" s="157">
        <v>42224.352777777778</v>
      </c>
      <c r="F1964" s="157">
        <v>42224.413194444445</v>
      </c>
      <c r="G1964" s="98">
        <v>450</v>
      </c>
      <c r="H1964" s="98">
        <v>525</v>
      </c>
      <c r="I1964" s="98">
        <v>478</v>
      </c>
      <c r="J1964" s="98" t="s">
        <v>2263</v>
      </c>
      <c r="K1964" s="98" t="s">
        <v>3477</v>
      </c>
      <c r="L1964" s="105" t="str">
        <f t="shared" si="330"/>
        <v>Ghent</v>
      </c>
      <c r="M1964" s="105" t="str">
        <f t="shared" si="331"/>
        <v>Derate</v>
      </c>
      <c r="N1964" s="105" t="str">
        <f t="shared" si="332"/>
        <v>Coal</v>
      </c>
      <c r="O1964" s="105">
        <f>IFERROR(VLOOKUP(A1964,Lookup!$J$5:$P$19,7,FALSE),0)</f>
        <v>3</v>
      </c>
      <c r="P1964" s="159">
        <f t="shared" si="333"/>
        <v>2015</v>
      </c>
      <c r="Q1964" s="159">
        <f t="shared" si="334"/>
        <v>8</v>
      </c>
      <c r="R1964" s="160">
        <f t="shared" si="335"/>
        <v>1.4500000000116415</v>
      </c>
      <c r="S1964" s="158">
        <f t="shared" si="336"/>
        <v>0.20714285714452021</v>
      </c>
      <c r="T1964" s="161">
        <f t="shared" si="337"/>
        <v>99.014285715080661</v>
      </c>
      <c r="U1964" s="158">
        <f t="shared" si="338"/>
        <v>68.285714285714292</v>
      </c>
      <c r="V1964" s="160">
        <f t="shared" si="339"/>
        <v>68</v>
      </c>
    </row>
    <row r="1965" spans="1:22" x14ac:dyDescent="0.25">
      <c r="A1965" s="98" t="s">
        <v>24</v>
      </c>
      <c r="B1965" s="98" t="s">
        <v>17</v>
      </c>
      <c r="C1965" s="98">
        <v>36</v>
      </c>
      <c r="D1965" s="98">
        <v>1850</v>
      </c>
      <c r="E1965" s="157">
        <v>42224.413194444445</v>
      </c>
      <c r="F1965" s="157">
        <v>42224.529861111114</v>
      </c>
      <c r="G1965" s="98">
        <v>480</v>
      </c>
      <c r="H1965" s="98">
        <v>525</v>
      </c>
      <c r="I1965" s="98">
        <v>478</v>
      </c>
      <c r="J1965" s="98" t="s">
        <v>2263</v>
      </c>
      <c r="K1965" s="98" t="s">
        <v>3478</v>
      </c>
      <c r="L1965" s="105" t="str">
        <f t="shared" si="330"/>
        <v>Ghent</v>
      </c>
      <c r="M1965" s="105" t="str">
        <f t="shared" si="331"/>
        <v>Derate</v>
      </c>
      <c r="N1965" s="105" t="str">
        <f t="shared" si="332"/>
        <v>Coal</v>
      </c>
      <c r="O1965" s="105">
        <f>IFERROR(VLOOKUP(A1965,Lookup!$J$5:$P$19,7,FALSE),0)</f>
        <v>3</v>
      </c>
      <c r="P1965" s="159">
        <f t="shared" si="333"/>
        <v>2015</v>
      </c>
      <c r="Q1965" s="159">
        <f t="shared" si="334"/>
        <v>8</v>
      </c>
      <c r="R1965" s="160">
        <f t="shared" si="335"/>
        <v>2.8000000000465661</v>
      </c>
      <c r="S1965" s="158">
        <f t="shared" si="336"/>
        <v>0.24000000000399138</v>
      </c>
      <c r="T1965" s="161">
        <f t="shared" si="337"/>
        <v>114.72000000190788</v>
      </c>
      <c r="U1965" s="158">
        <f t="shared" si="338"/>
        <v>40.971428571428568</v>
      </c>
      <c r="V1965" s="160">
        <f t="shared" si="339"/>
        <v>41</v>
      </c>
    </row>
    <row r="1966" spans="1:22" x14ac:dyDescent="0.25">
      <c r="A1966" s="98" t="s">
        <v>24</v>
      </c>
      <c r="B1966" s="98" t="s">
        <v>15</v>
      </c>
      <c r="C1966" s="98">
        <v>37</v>
      </c>
      <c r="D1966" s="98">
        <v>3430</v>
      </c>
      <c r="E1966" s="157">
        <v>42230.574305555558</v>
      </c>
      <c r="F1966" s="157">
        <v>42230.630555555559</v>
      </c>
      <c r="G1966" s="98">
        <v>0</v>
      </c>
      <c r="H1966" s="98">
        <v>525</v>
      </c>
      <c r="I1966" s="98">
        <v>478</v>
      </c>
      <c r="J1966" s="98" t="s">
        <v>2642</v>
      </c>
      <c r="K1966" s="98" t="s">
        <v>3479</v>
      </c>
      <c r="L1966" s="105" t="str">
        <f t="shared" si="330"/>
        <v>Ghent</v>
      </c>
      <c r="M1966" s="105" t="str">
        <f t="shared" si="331"/>
        <v>Outage</v>
      </c>
      <c r="N1966" s="105" t="str">
        <f t="shared" si="332"/>
        <v>Coal</v>
      </c>
      <c r="O1966" s="105">
        <f>IFERROR(VLOOKUP(A1966,Lookup!$J$5:$P$19,7,FALSE),0)</f>
        <v>3</v>
      </c>
      <c r="P1966" s="159">
        <f t="shared" si="333"/>
        <v>2015</v>
      </c>
      <c r="Q1966" s="159">
        <f t="shared" si="334"/>
        <v>8</v>
      </c>
      <c r="R1966" s="160">
        <f t="shared" si="335"/>
        <v>1.3500000000349246</v>
      </c>
      <c r="S1966" s="158">
        <f t="shared" si="336"/>
        <v>1.3500000000349246</v>
      </c>
      <c r="T1966" s="161">
        <f t="shared" si="337"/>
        <v>645.30000001669396</v>
      </c>
      <c r="U1966" s="158">
        <f t="shared" si="338"/>
        <v>478</v>
      </c>
      <c r="V1966" s="160">
        <f t="shared" si="339"/>
        <v>478</v>
      </c>
    </row>
    <row r="1967" spans="1:22" x14ac:dyDescent="0.25">
      <c r="A1967" s="98" t="s">
        <v>24</v>
      </c>
      <c r="B1967" s="98" t="s">
        <v>17</v>
      </c>
      <c r="C1967" s="98">
        <v>38</v>
      </c>
      <c r="D1967" s="98">
        <v>3441</v>
      </c>
      <c r="E1967" s="157">
        <v>42244.644444444442</v>
      </c>
      <c r="F1967" s="157">
        <v>42244.663194444445</v>
      </c>
      <c r="G1967" s="98">
        <v>490</v>
      </c>
      <c r="H1967" s="98">
        <v>525</v>
      </c>
      <c r="I1967" s="98">
        <v>478</v>
      </c>
      <c r="J1967" s="98" t="s">
        <v>2282</v>
      </c>
      <c r="K1967" s="98" t="s">
        <v>3480</v>
      </c>
      <c r="L1967" s="105" t="str">
        <f t="shared" si="330"/>
        <v>Ghent</v>
      </c>
      <c r="M1967" s="105" t="str">
        <f t="shared" si="331"/>
        <v>Derate</v>
      </c>
      <c r="N1967" s="105" t="str">
        <f t="shared" si="332"/>
        <v>Coal</v>
      </c>
      <c r="O1967" s="105">
        <f>IFERROR(VLOOKUP(A1967,Lookup!$J$5:$P$19,7,FALSE),0)</f>
        <v>3</v>
      </c>
      <c r="P1967" s="159">
        <f t="shared" si="333"/>
        <v>2015</v>
      </c>
      <c r="Q1967" s="159">
        <f t="shared" si="334"/>
        <v>8</v>
      </c>
      <c r="R1967" s="160">
        <f t="shared" si="335"/>
        <v>0.45000000006984919</v>
      </c>
      <c r="S1967" s="158">
        <f t="shared" si="336"/>
        <v>3.0000000004656614E-2</v>
      </c>
      <c r="T1967" s="161">
        <f t="shared" si="337"/>
        <v>14.340000002225862</v>
      </c>
      <c r="U1967" s="158">
        <f t="shared" si="338"/>
        <v>31.866666666666667</v>
      </c>
      <c r="V1967" s="160">
        <f t="shared" si="339"/>
        <v>32</v>
      </c>
    </row>
    <row r="1968" spans="1:22" x14ac:dyDescent="0.25">
      <c r="A1968" s="98" t="s">
        <v>24</v>
      </c>
      <c r="B1968" s="98" t="s">
        <v>17</v>
      </c>
      <c r="C1968" s="98">
        <v>39</v>
      </c>
      <c r="D1968" s="98">
        <v>3441</v>
      </c>
      <c r="E1968" s="157">
        <v>42245.517361111109</v>
      </c>
      <c r="F1968" s="157">
        <v>42245.546527777777</v>
      </c>
      <c r="G1968" s="98">
        <v>490</v>
      </c>
      <c r="H1968" s="98">
        <v>525</v>
      </c>
      <c r="I1968" s="98">
        <v>478</v>
      </c>
      <c r="J1968" s="98" t="s">
        <v>2282</v>
      </c>
      <c r="K1968" s="98" t="s">
        <v>3481</v>
      </c>
      <c r="L1968" s="105" t="str">
        <f t="shared" si="330"/>
        <v>Ghent</v>
      </c>
      <c r="M1968" s="105" t="str">
        <f t="shared" si="331"/>
        <v>Derate</v>
      </c>
      <c r="N1968" s="105" t="str">
        <f t="shared" si="332"/>
        <v>Coal</v>
      </c>
      <c r="O1968" s="105">
        <f>IFERROR(VLOOKUP(A1968,Lookup!$J$5:$P$19,7,FALSE),0)</f>
        <v>3</v>
      </c>
      <c r="P1968" s="159">
        <f t="shared" si="333"/>
        <v>2015</v>
      </c>
      <c r="Q1968" s="159">
        <f t="shared" si="334"/>
        <v>8</v>
      </c>
      <c r="R1968" s="160">
        <f t="shared" si="335"/>
        <v>0.70000000001164153</v>
      </c>
      <c r="S1968" s="158">
        <f t="shared" si="336"/>
        <v>4.666666666744277E-2</v>
      </c>
      <c r="T1968" s="161">
        <f t="shared" si="337"/>
        <v>22.306666667037643</v>
      </c>
      <c r="U1968" s="158">
        <f t="shared" si="338"/>
        <v>31.866666666666667</v>
      </c>
      <c r="V1968" s="160">
        <f t="shared" si="339"/>
        <v>32</v>
      </c>
    </row>
    <row r="1969" spans="1:22" x14ac:dyDescent="0.25">
      <c r="A1969" s="98" t="s">
        <v>24</v>
      </c>
      <c r="B1969" s="98" t="s">
        <v>17</v>
      </c>
      <c r="C1969" s="98">
        <v>40</v>
      </c>
      <c r="D1969" s="98">
        <v>9900</v>
      </c>
      <c r="E1969" s="157">
        <v>42252.999305555553</v>
      </c>
      <c r="F1969" s="157">
        <v>42253.074305555558</v>
      </c>
      <c r="G1969" s="98">
        <v>113</v>
      </c>
      <c r="H1969" s="98">
        <v>525</v>
      </c>
      <c r="I1969" s="98">
        <v>478</v>
      </c>
      <c r="J1969" s="98" t="s">
        <v>1996</v>
      </c>
      <c r="K1969" s="98" t="s">
        <v>3482</v>
      </c>
      <c r="L1969" s="105" t="str">
        <f t="shared" si="330"/>
        <v>Ghent</v>
      </c>
      <c r="M1969" s="105" t="str">
        <f t="shared" si="331"/>
        <v>Derate</v>
      </c>
      <c r="N1969" s="105" t="str">
        <f t="shared" si="332"/>
        <v>Coal</v>
      </c>
      <c r="O1969" s="105">
        <f>IFERROR(VLOOKUP(A1969,Lookup!$J$5:$P$19,7,FALSE),0)</f>
        <v>3</v>
      </c>
      <c r="P1969" s="159">
        <f t="shared" si="333"/>
        <v>2015</v>
      </c>
      <c r="Q1969" s="159">
        <f t="shared" si="334"/>
        <v>9</v>
      </c>
      <c r="R1969" s="160">
        <f t="shared" si="335"/>
        <v>1.8000000001047738</v>
      </c>
      <c r="S1969" s="158">
        <f t="shared" si="336"/>
        <v>1.412571428653651</v>
      </c>
      <c r="T1969" s="161">
        <f t="shared" si="337"/>
        <v>675.2091428964452</v>
      </c>
      <c r="U1969" s="158">
        <f t="shared" si="338"/>
        <v>375.11619047619047</v>
      </c>
      <c r="V1969" s="160">
        <f t="shared" si="339"/>
        <v>375</v>
      </c>
    </row>
    <row r="1970" spans="1:22" x14ac:dyDescent="0.25">
      <c r="A1970" s="98" t="s">
        <v>24</v>
      </c>
      <c r="B1970" s="98" t="s">
        <v>17</v>
      </c>
      <c r="C1970" s="98">
        <v>42</v>
      </c>
      <c r="D1970" s="98">
        <v>4499</v>
      </c>
      <c r="E1970" s="157">
        <v>42278.553472222222</v>
      </c>
      <c r="F1970" s="157">
        <v>42301.347916666666</v>
      </c>
      <c r="G1970" s="98">
        <v>521</v>
      </c>
      <c r="H1970" s="98">
        <v>525</v>
      </c>
      <c r="I1970" s="98">
        <v>478</v>
      </c>
      <c r="J1970" s="98" t="s">
        <v>2082</v>
      </c>
      <c r="K1970" s="98" t="s">
        <v>3483</v>
      </c>
      <c r="L1970" s="105" t="str">
        <f t="shared" si="330"/>
        <v>Ghent</v>
      </c>
      <c r="M1970" s="105" t="str">
        <f t="shared" si="331"/>
        <v>Derate</v>
      </c>
      <c r="N1970" s="105" t="str">
        <f t="shared" si="332"/>
        <v>Coal</v>
      </c>
      <c r="O1970" s="105">
        <f>IFERROR(VLOOKUP(A1970,Lookup!$J$5:$P$19,7,FALSE),0)</f>
        <v>3</v>
      </c>
      <c r="P1970" s="159">
        <f t="shared" si="333"/>
        <v>2015</v>
      </c>
      <c r="Q1970" s="159">
        <f t="shared" si="334"/>
        <v>10</v>
      </c>
      <c r="R1970" s="160">
        <f t="shared" si="335"/>
        <v>547.06666666665114</v>
      </c>
      <c r="S1970" s="158">
        <f t="shared" si="336"/>
        <v>4.1681269841268662</v>
      </c>
      <c r="T1970" s="161">
        <f t="shared" si="337"/>
        <v>1992.3646984126422</v>
      </c>
      <c r="U1970" s="158">
        <f t="shared" si="338"/>
        <v>3.6419047619047618</v>
      </c>
      <c r="V1970" s="160">
        <f t="shared" si="339"/>
        <v>4</v>
      </c>
    </row>
    <row r="1971" spans="1:22" x14ac:dyDescent="0.25">
      <c r="A1971" s="98" t="s">
        <v>24</v>
      </c>
      <c r="B1971" s="98" t="s">
        <v>17</v>
      </c>
      <c r="C1971" s="98">
        <v>43</v>
      </c>
      <c r="D1971" s="98">
        <v>4499</v>
      </c>
      <c r="E1971" s="157">
        <v>42301.347916666666</v>
      </c>
      <c r="F1971" s="157">
        <v>42335.511111111111</v>
      </c>
      <c r="G1971" s="98">
        <v>515</v>
      </c>
      <c r="H1971" s="98">
        <v>525</v>
      </c>
      <c r="I1971" s="98">
        <v>478</v>
      </c>
      <c r="J1971" s="98" t="s">
        <v>2082</v>
      </c>
      <c r="K1971" s="98" t="s">
        <v>3484</v>
      </c>
      <c r="L1971" s="105" t="str">
        <f t="shared" si="330"/>
        <v>Ghent</v>
      </c>
      <c r="M1971" s="105" t="str">
        <f t="shared" si="331"/>
        <v>Derate</v>
      </c>
      <c r="N1971" s="105" t="str">
        <f t="shared" si="332"/>
        <v>Coal</v>
      </c>
      <c r="O1971" s="105">
        <f>IFERROR(VLOOKUP(A1971,Lookup!$J$5:$P$19,7,FALSE),0)</f>
        <v>3</v>
      </c>
      <c r="P1971" s="159">
        <f t="shared" si="333"/>
        <v>2015</v>
      </c>
      <c r="Q1971" s="159">
        <f t="shared" si="334"/>
        <v>10</v>
      </c>
      <c r="R1971" s="160">
        <f t="shared" si="335"/>
        <v>819.91666666668607</v>
      </c>
      <c r="S1971" s="158">
        <f t="shared" si="336"/>
        <v>15.617460317460687</v>
      </c>
      <c r="T1971" s="161">
        <f t="shared" si="337"/>
        <v>7465.1460317462079</v>
      </c>
      <c r="U1971" s="158">
        <f t="shared" si="338"/>
        <v>9.1047619047619044</v>
      </c>
      <c r="V1971" s="160">
        <f t="shared" si="339"/>
        <v>9</v>
      </c>
    </row>
    <row r="1972" spans="1:22" x14ac:dyDescent="0.25">
      <c r="A1972" s="98" t="s">
        <v>24</v>
      </c>
      <c r="B1972" s="98" t="s">
        <v>17</v>
      </c>
      <c r="C1972" s="98">
        <v>44</v>
      </c>
      <c r="D1972" s="98">
        <v>8199</v>
      </c>
      <c r="E1972" s="157">
        <v>42321.932638888888</v>
      </c>
      <c r="F1972" s="157">
        <v>42322.004861111112</v>
      </c>
      <c r="G1972" s="98">
        <v>405</v>
      </c>
      <c r="H1972" s="98">
        <v>525</v>
      </c>
      <c r="I1972" s="98">
        <v>478</v>
      </c>
      <c r="J1972" s="98" t="s">
        <v>2264</v>
      </c>
      <c r="K1972" s="98" t="s">
        <v>3485</v>
      </c>
      <c r="L1972" s="105" t="str">
        <f t="shared" si="330"/>
        <v>Ghent</v>
      </c>
      <c r="M1972" s="105" t="str">
        <f t="shared" si="331"/>
        <v>Derate</v>
      </c>
      <c r="N1972" s="105" t="str">
        <f t="shared" si="332"/>
        <v>Coal</v>
      </c>
      <c r="O1972" s="105">
        <f>IFERROR(VLOOKUP(A1972,Lookup!$J$5:$P$19,7,FALSE),0)</f>
        <v>3</v>
      </c>
      <c r="P1972" s="159">
        <f t="shared" si="333"/>
        <v>2015</v>
      </c>
      <c r="Q1972" s="159">
        <f t="shared" si="334"/>
        <v>11</v>
      </c>
      <c r="R1972" s="160">
        <f t="shared" si="335"/>
        <v>1.7333333333954215</v>
      </c>
      <c r="S1972" s="158">
        <f t="shared" si="336"/>
        <v>0.3961904762046678</v>
      </c>
      <c r="T1972" s="161">
        <f t="shared" si="337"/>
        <v>189.37904762583122</v>
      </c>
      <c r="U1972" s="158">
        <f t="shared" si="338"/>
        <v>109.25714285714285</v>
      </c>
      <c r="V1972" s="160">
        <f t="shared" si="339"/>
        <v>109</v>
      </c>
    </row>
    <row r="1973" spans="1:22" x14ac:dyDescent="0.25">
      <c r="A1973" s="98" t="s">
        <v>24</v>
      </c>
      <c r="B1973" s="98" t="s">
        <v>17</v>
      </c>
      <c r="C1973" s="98">
        <v>45</v>
      </c>
      <c r="D1973" s="98">
        <v>8199</v>
      </c>
      <c r="E1973" s="157">
        <v>42322.004861111112</v>
      </c>
      <c r="F1973" s="157">
        <v>42322.051388888889</v>
      </c>
      <c r="G1973" s="98">
        <v>300</v>
      </c>
      <c r="H1973" s="98">
        <v>525</v>
      </c>
      <c r="I1973" s="98">
        <v>478</v>
      </c>
      <c r="J1973" s="98" t="s">
        <v>2264</v>
      </c>
      <c r="K1973" s="98" t="s">
        <v>3486</v>
      </c>
      <c r="L1973" s="105" t="str">
        <f t="shared" si="330"/>
        <v>Ghent</v>
      </c>
      <c r="M1973" s="105" t="str">
        <f t="shared" si="331"/>
        <v>Derate</v>
      </c>
      <c r="N1973" s="105" t="str">
        <f t="shared" si="332"/>
        <v>Coal</v>
      </c>
      <c r="O1973" s="105">
        <f>IFERROR(VLOOKUP(A1973,Lookup!$J$5:$P$19,7,FALSE),0)</f>
        <v>3</v>
      </c>
      <c r="P1973" s="159">
        <f t="shared" si="333"/>
        <v>2015</v>
      </c>
      <c r="Q1973" s="159">
        <f t="shared" si="334"/>
        <v>11</v>
      </c>
      <c r="R1973" s="160">
        <f t="shared" si="335"/>
        <v>1.1166666666395031</v>
      </c>
      <c r="S1973" s="158">
        <f t="shared" si="336"/>
        <v>0.47857142855978702</v>
      </c>
      <c r="T1973" s="161">
        <f t="shared" si="337"/>
        <v>228.75714285157818</v>
      </c>
      <c r="U1973" s="158">
        <f t="shared" si="338"/>
        <v>204.85714285714286</v>
      </c>
      <c r="V1973" s="160">
        <f t="shared" si="339"/>
        <v>205</v>
      </c>
    </row>
    <row r="1974" spans="1:22" x14ac:dyDescent="0.25">
      <c r="A1974" s="98" t="s">
        <v>24</v>
      </c>
      <c r="B1974" s="98" t="s">
        <v>20</v>
      </c>
      <c r="C1974" s="98">
        <v>46</v>
      </c>
      <c r="D1974" s="98">
        <v>1493</v>
      </c>
      <c r="E1974" s="157">
        <v>42335.511111111111</v>
      </c>
      <c r="F1974" s="157">
        <v>42337.837500000001</v>
      </c>
      <c r="G1974" s="98">
        <v>0</v>
      </c>
      <c r="H1974" s="98">
        <v>525</v>
      </c>
      <c r="I1974" s="98">
        <v>478</v>
      </c>
      <c r="J1974" s="98" t="s">
        <v>2185</v>
      </c>
      <c r="K1974" s="98" t="s">
        <v>3487</v>
      </c>
      <c r="L1974" s="105" t="str">
        <f t="shared" si="330"/>
        <v>Ghent</v>
      </c>
      <c r="M1974" s="105" t="str">
        <f t="shared" si="331"/>
        <v>Maintenance</v>
      </c>
      <c r="N1974" s="105" t="str">
        <f t="shared" si="332"/>
        <v>Coal</v>
      </c>
      <c r="O1974" s="105">
        <f>IFERROR(VLOOKUP(A1974,Lookup!$J$5:$P$19,7,FALSE),0)</f>
        <v>3</v>
      </c>
      <c r="P1974" s="159">
        <f t="shared" si="333"/>
        <v>2015</v>
      </c>
      <c r="Q1974" s="159">
        <f t="shared" si="334"/>
        <v>11</v>
      </c>
      <c r="R1974" s="160">
        <f t="shared" si="335"/>
        <v>55.833333333372138</v>
      </c>
      <c r="S1974" s="158">
        <f t="shared" si="336"/>
        <v>55.833333333372138</v>
      </c>
      <c r="T1974" s="161">
        <f t="shared" si="337"/>
        <v>26688.333333351882</v>
      </c>
      <c r="U1974" s="158">
        <f t="shared" si="338"/>
        <v>478</v>
      </c>
      <c r="V1974" s="160">
        <f t="shared" si="339"/>
        <v>478</v>
      </c>
    </row>
    <row r="1975" spans="1:22" x14ac:dyDescent="0.25">
      <c r="A1975" s="98" t="s">
        <v>24</v>
      </c>
      <c r="B1975" s="98" t="s">
        <v>17</v>
      </c>
      <c r="C1975" s="98">
        <v>47</v>
      </c>
      <c r="D1975" s="98">
        <v>4499</v>
      </c>
      <c r="E1975" s="157">
        <v>42337.837500000001</v>
      </c>
      <c r="F1975" s="157">
        <v>42348.520833333336</v>
      </c>
      <c r="G1975" s="98">
        <v>515</v>
      </c>
      <c r="H1975" s="98">
        <v>525</v>
      </c>
      <c r="I1975" s="98">
        <v>478</v>
      </c>
      <c r="J1975" s="98" t="s">
        <v>2082</v>
      </c>
      <c r="K1975" s="98" t="s">
        <v>3488</v>
      </c>
      <c r="L1975" s="105" t="str">
        <f t="shared" si="330"/>
        <v>Ghent</v>
      </c>
      <c r="M1975" s="105" t="str">
        <f t="shared" si="331"/>
        <v>Derate</v>
      </c>
      <c r="N1975" s="105" t="str">
        <f t="shared" si="332"/>
        <v>Coal</v>
      </c>
      <c r="O1975" s="105">
        <f>IFERROR(VLOOKUP(A1975,Lookup!$J$5:$P$19,7,FALSE),0)</f>
        <v>3</v>
      </c>
      <c r="P1975" s="159">
        <f t="shared" si="333"/>
        <v>2015</v>
      </c>
      <c r="Q1975" s="159">
        <f t="shared" si="334"/>
        <v>11</v>
      </c>
      <c r="R1975" s="160">
        <f t="shared" si="335"/>
        <v>256.40000000002328</v>
      </c>
      <c r="S1975" s="158">
        <f t="shared" si="336"/>
        <v>4.8838095238099672</v>
      </c>
      <c r="T1975" s="161">
        <f t="shared" si="337"/>
        <v>2334.4609523811641</v>
      </c>
      <c r="U1975" s="158">
        <f t="shared" si="338"/>
        <v>9.1047619047619044</v>
      </c>
      <c r="V1975" s="160">
        <f t="shared" si="339"/>
        <v>9</v>
      </c>
    </row>
    <row r="1976" spans="1:22" x14ac:dyDescent="0.25">
      <c r="A1976" s="98" t="s">
        <v>24</v>
      </c>
      <c r="B1976" s="98" t="s">
        <v>17</v>
      </c>
      <c r="C1976" s="98">
        <v>49</v>
      </c>
      <c r="D1976" s="98">
        <v>1850</v>
      </c>
      <c r="E1976" s="157">
        <v>42355.387499999997</v>
      </c>
      <c r="F1976" s="157">
        <v>42355.513888888891</v>
      </c>
      <c r="G1976" s="98">
        <v>425</v>
      </c>
      <c r="H1976" s="98">
        <v>525</v>
      </c>
      <c r="I1976" s="98">
        <v>478</v>
      </c>
      <c r="J1976" s="98" t="s">
        <v>2263</v>
      </c>
      <c r="K1976" s="98" t="s">
        <v>3489</v>
      </c>
      <c r="L1976" s="105" t="str">
        <f t="shared" si="330"/>
        <v>Ghent</v>
      </c>
      <c r="M1976" s="105" t="str">
        <f t="shared" si="331"/>
        <v>Derate</v>
      </c>
      <c r="N1976" s="105" t="str">
        <f t="shared" si="332"/>
        <v>Coal</v>
      </c>
      <c r="O1976" s="105">
        <f>IFERROR(VLOOKUP(A1976,Lookup!$J$5:$P$19,7,FALSE),0)</f>
        <v>3</v>
      </c>
      <c r="P1976" s="159">
        <f t="shared" si="333"/>
        <v>2015</v>
      </c>
      <c r="Q1976" s="159">
        <f t="shared" si="334"/>
        <v>12</v>
      </c>
      <c r="R1976" s="160">
        <f t="shared" si="335"/>
        <v>3.0333333334419876</v>
      </c>
      <c r="S1976" s="158">
        <f t="shared" si="336"/>
        <v>0.57777777779847383</v>
      </c>
      <c r="T1976" s="161">
        <f t="shared" si="337"/>
        <v>276.17777778767049</v>
      </c>
      <c r="U1976" s="158">
        <f t="shared" si="338"/>
        <v>91.047619047619051</v>
      </c>
      <c r="V1976" s="160">
        <f t="shared" si="339"/>
        <v>91</v>
      </c>
    </row>
    <row r="1977" spans="1:22" x14ac:dyDescent="0.25">
      <c r="A1977" s="98" t="s">
        <v>24</v>
      </c>
      <c r="B1977" s="98" t="s">
        <v>17</v>
      </c>
      <c r="C1977" s="98">
        <v>50</v>
      </c>
      <c r="D1977" s="98">
        <v>4499</v>
      </c>
      <c r="E1977" s="157">
        <v>42355.513888888891</v>
      </c>
      <c r="F1977" s="157">
        <v>42370</v>
      </c>
      <c r="G1977" s="98">
        <v>515</v>
      </c>
      <c r="H1977" s="98">
        <v>525</v>
      </c>
      <c r="I1977" s="98">
        <v>478</v>
      </c>
      <c r="J1977" s="98" t="s">
        <v>2082</v>
      </c>
      <c r="K1977" s="98" t="s">
        <v>3490</v>
      </c>
      <c r="L1977" s="105" t="str">
        <f t="shared" si="330"/>
        <v>Ghent</v>
      </c>
      <c r="M1977" s="105" t="str">
        <f t="shared" si="331"/>
        <v>Derate</v>
      </c>
      <c r="N1977" s="105" t="str">
        <f t="shared" si="332"/>
        <v>Coal</v>
      </c>
      <c r="O1977" s="105">
        <f>IFERROR(VLOOKUP(A1977,Lookup!$J$5:$P$19,7,FALSE),0)</f>
        <v>3</v>
      </c>
      <c r="P1977" s="159">
        <f t="shared" si="333"/>
        <v>2015</v>
      </c>
      <c r="Q1977" s="159">
        <f t="shared" si="334"/>
        <v>12</v>
      </c>
      <c r="R1977" s="160">
        <f t="shared" si="335"/>
        <v>347.66666666662786</v>
      </c>
      <c r="S1977" s="158">
        <f t="shared" si="336"/>
        <v>6.6222222222214828</v>
      </c>
      <c r="T1977" s="161">
        <f t="shared" si="337"/>
        <v>3165.4222222218687</v>
      </c>
      <c r="U1977" s="158">
        <f t="shared" si="338"/>
        <v>9.1047619047619044</v>
      </c>
      <c r="V1977" s="160">
        <f t="shared" si="339"/>
        <v>9</v>
      </c>
    </row>
    <row r="1978" spans="1:22" x14ac:dyDescent="0.25">
      <c r="A1978" s="98" t="s">
        <v>24</v>
      </c>
      <c r="B1978" s="98" t="s">
        <v>17</v>
      </c>
      <c r="C1978" s="98">
        <v>1</v>
      </c>
      <c r="D1978" s="98">
        <v>4499</v>
      </c>
      <c r="E1978" s="157">
        <v>42370</v>
      </c>
      <c r="F1978" s="157">
        <v>42429.999305555553</v>
      </c>
      <c r="G1978" s="98">
        <v>515</v>
      </c>
      <c r="H1978" s="98">
        <v>525</v>
      </c>
      <c r="I1978" s="98">
        <v>478</v>
      </c>
      <c r="J1978" s="98" t="s">
        <v>2082</v>
      </c>
      <c r="K1978" s="98" t="s">
        <v>3491</v>
      </c>
      <c r="L1978" s="105" t="str">
        <f t="shared" si="330"/>
        <v>Ghent</v>
      </c>
      <c r="M1978" s="105" t="str">
        <f t="shared" si="331"/>
        <v>Derate</v>
      </c>
      <c r="N1978" s="105" t="str">
        <f t="shared" si="332"/>
        <v>Coal</v>
      </c>
      <c r="O1978" s="105">
        <f>IFERROR(VLOOKUP(A1978,Lookup!$J$5:$P$19,7,FALSE),0)</f>
        <v>3</v>
      </c>
      <c r="P1978" s="159">
        <f t="shared" si="333"/>
        <v>2016</v>
      </c>
      <c r="Q1978" s="159">
        <f t="shared" si="334"/>
        <v>1</v>
      </c>
      <c r="R1978" s="160">
        <f t="shared" si="335"/>
        <v>1439.983333333279</v>
      </c>
      <c r="S1978" s="158">
        <f t="shared" si="336"/>
        <v>27.428253968252932</v>
      </c>
      <c r="T1978" s="161">
        <f t="shared" si="337"/>
        <v>13110.705396824902</v>
      </c>
      <c r="U1978" s="158">
        <f t="shared" si="338"/>
        <v>9.1047619047619044</v>
      </c>
      <c r="V1978" s="160">
        <f t="shared" si="339"/>
        <v>9</v>
      </c>
    </row>
    <row r="1979" spans="1:22" x14ac:dyDescent="0.25">
      <c r="A1979" s="98" t="s">
        <v>24</v>
      </c>
      <c r="B1979" s="98" t="s">
        <v>32</v>
      </c>
      <c r="C1979" s="98">
        <v>2</v>
      </c>
      <c r="D1979" s="98">
        <v>3414</v>
      </c>
      <c r="E1979" s="157">
        <v>42405.479166666664</v>
      </c>
      <c r="F1979" s="157">
        <v>42405.520833333336</v>
      </c>
      <c r="G1979" s="98">
        <v>330</v>
      </c>
      <c r="H1979" s="98">
        <v>525</v>
      </c>
      <c r="I1979" s="98">
        <v>478</v>
      </c>
      <c r="J1979" s="98" t="s">
        <v>1984</v>
      </c>
      <c r="K1979" s="98" t="s">
        <v>3492</v>
      </c>
      <c r="L1979" s="105" t="str">
        <f t="shared" si="330"/>
        <v>Ghent</v>
      </c>
      <c r="M1979" s="105" t="str">
        <f t="shared" si="331"/>
        <v>Derate</v>
      </c>
      <c r="N1979" s="105" t="str">
        <f t="shared" si="332"/>
        <v>Coal</v>
      </c>
      <c r="O1979" s="105">
        <f>IFERROR(VLOOKUP(A1979,Lookup!$J$5:$P$19,7,FALSE),0)</f>
        <v>3</v>
      </c>
      <c r="P1979" s="159">
        <f t="shared" si="333"/>
        <v>2016</v>
      </c>
      <c r="Q1979" s="159">
        <f t="shared" si="334"/>
        <v>2</v>
      </c>
      <c r="R1979" s="160">
        <f t="shared" si="335"/>
        <v>1.0000000001164153</v>
      </c>
      <c r="S1979" s="158">
        <f t="shared" si="336"/>
        <v>0.37142857147181141</v>
      </c>
      <c r="T1979" s="161">
        <f t="shared" si="337"/>
        <v>177.54285716352587</v>
      </c>
      <c r="U1979" s="158">
        <f t="shared" si="338"/>
        <v>177.54285714285714</v>
      </c>
      <c r="V1979" s="160">
        <f t="shared" si="339"/>
        <v>178</v>
      </c>
    </row>
    <row r="1980" spans="1:22" x14ac:dyDescent="0.25">
      <c r="A1980" s="98" t="s">
        <v>24</v>
      </c>
      <c r="B1980" s="98" t="s">
        <v>17</v>
      </c>
      <c r="C1980" s="98">
        <v>3</v>
      </c>
      <c r="D1980" s="98">
        <v>340</v>
      </c>
      <c r="E1980" s="157">
        <v>42412.757638888892</v>
      </c>
      <c r="F1980" s="157">
        <v>42412.776388888888</v>
      </c>
      <c r="G1980" s="98">
        <v>431</v>
      </c>
      <c r="H1980" s="98">
        <v>525</v>
      </c>
      <c r="I1980" s="98">
        <v>478</v>
      </c>
      <c r="J1980" s="98" t="s">
        <v>1970</v>
      </c>
      <c r="K1980" s="98" t="s">
        <v>3493</v>
      </c>
      <c r="L1980" s="105" t="str">
        <f t="shared" si="330"/>
        <v>Ghent</v>
      </c>
      <c r="M1980" s="105" t="str">
        <f t="shared" si="331"/>
        <v>Derate</v>
      </c>
      <c r="N1980" s="105" t="str">
        <f t="shared" si="332"/>
        <v>Coal</v>
      </c>
      <c r="O1980" s="105">
        <f>IFERROR(VLOOKUP(A1980,Lookup!$J$5:$P$19,7,FALSE),0)</f>
        <v>3</v>
      </c>
      <c r="P1980" s="159">
        <f t="shared" si="333"/>
        <v>2016</v>
      </c>
      <c r="Q1980" s="159">
        <f t="shared" si="334"/>
        <v>2</v>
      </c>
      <c r="R1980" s="160">
        <f t="shared" si="335"/>
        <v>0.44999999989522621</v>
      </c>
      <c r="S1980" s="158">
        <f t="shared" si="336"/>
        <v>8.0571428552669078E-2</v>
      </c>
      <c r="T1980" s="161">
        <f t="shared" si="337"/>
        <v>38.513142848175818</v>
      </c>
      <c r="U1980" s="158">
        <f t="shared" si="338"/>
        <v>85.584761904761905</v>
      </c>
      <c r="V1980" s="160">
        <f t="shared" si="339"/>
        <v>86</v>
      </c>
    </row>
    <row r="1981" spans="1:22" x14ac:dyDescent="0.25">
      <c r="A1981" s="98" t="s">
        <v>24</v>
      </c>
      <c r="B1981" s="98" t="s">
        <v>17</v>
      </c>
      <c r="C1981" s="98">
        <v>4</v>
      </c>
      <c r="D1981" s="98">
        <v>340</v>
      </c>
      <c r="E1981" s="157">
        <v>42420.375</v>
      </c>
      <c r="F1981" s="157">
        <v>42420.512499999997</v>
      </c>
      <c r="G1981" s="98">
        <v>440</v>
      </c>
      <c r="H1981" s="98">
        <v>525</v>
      </c>
      <c r="I1981" s="98">
        <v>478</v>
      </c>
      <c r="J1981" s="98" t="s">
        <v>1970</v>
      </c>
      <c r="K1981" s="98" t="s">
        <v>3494</v>
      </c>
      <c r="L1981" s="105" t="str">
        <f t="shared" si="330"/>
        <v>Ghent</v>
      </c>
      <c r="M1981" s="105" t="str">
        <f t="shared" si="331"/>
        <v>Derate</v>
      </c>
      <c r="N1981" s="105" t="str">
        <f t="shared" si="332"/>
        <v>Coal</v>
      </c>
      <c r="O1981" s="105">
        <f>IFERROR(VLOOKUP(A1981,Lookup!$J$5:$P$19,7,FALSE),0)</f>
        <v>3</v>
      </c>
      <c r="P1981" s="159">
        <f t="shared" si="333"/>
        <v>2016</v>
      </c>
      <c r="Q1981" s="159">
        <f t="shared" si="334"/>
        <v>2</v>
      </c>
      <c r="R1981" s="160">
        <f t="shared" si="335"/>
        <v>3.2999999999301508</v>
      </c>
      <c r="S1981" s="158">
        <f t="shared" si="336"/>
        <v>0.53428571427440541</v>
      </c>
      <c r="T1981" s="161">
        <f t="shared" si="337"/>
        <v>255.38857142316579</v>
      </c>
      <c r="U1981" s="158">
        <f t="shared" si="338"/>
        <v>77.390476190476193</v>
      </c>
      <c r="V1981" s="160">
        <f t="shared" si="339"/>
        <v>77</v>
      </c>
    </row>
    <row r="1982" spans="1:22" x14ac:dyDescent="0.25">
      <c r="A1982" s="98" t="s">
        <v>24</v>
      </c>
      <c r="B1982" s="98" t="s">
        <v>17</v>
      </c>
      <c r="C1982" s="98">
        <v>5</v>
      </c>
      <c r="D1982" s="98">
        <v>4499</v>
      </c>
      <c r="E1982" s="157">
        <v>42430</v>
      </c>
      <c r="F1982" s="157">
        <v>42443.262499999997</v>
      </c>
      <c r="G1982" s="98">
        <v>515</v>
      </c>
      <c r="H1982" s="98">
        <v>525</v>
      </c>
      <c r="I1982" s="98">
        <v>478</v>
      </c>
      <c r="J1982" s="98" t="s">
        <v>2082</v>
      </c>
      <c r="K1982" s="98" t="s">
        <v>3495</v>
      </c>
      <c r="L1982" s="105" t="str">
        <f t="shared" si="330"/>
        <v>Ghent</v>
      </c>
      <c r="M1982" s="105" t="str">
        <f t="shared" si="331"/>
        <v>Derate</v>
      </c>
      <c r="N1982" s="105" t="str">
        <f t="shared" si="332"/>
        <v>Coal</v>
      </c>
      <c r="O1982" s="105">
        <f>IFERROR(VLOOKUP(A1982,Lookup!$J$5:$P$19,7,FALSE),0)</f>
        <v>3</v>
      </c>
      <c r="P1982" s="159">
        <f t="shared" si="333"/>
        <v>2016</v>
      </c>
      <c r="Q1982" s="159">
        <f t="shared" si="334"/>
        <v>3</v>
      </c>
      <c r="R1982" s="160">
        <f t="shared" si="335"/>
        <v>318.29999999993015</v>
      </c>
      <c r="S1982" s="158">
        <f t="shared" si="336"/>
        <v>6.0628571428558127</v>
      </c>
      <c r="T1982" s="161">
        <f t="shared" si="337"/>
        <v>2898.0457142850782</v>
      </c>
      <c r="U1982" s="158">
        <f t="shared" si="338"/>
        <v>9.1047619047619044</v>
      </c>
      <c r="V1982" s="160">
        <f t="shared" si="339"/>
        <v>9</v>
      </c>
    </row>
    <row r="1983" spans="1:22" x14ac:dyDescent="0.25">
      <c r="A1983" s="98" t="s">
        <v>24</v>
      </c>
      <c r="B1983" s="98" t="s">
        <v>15</v>
      </c>
      <c r="C1983" s="98">
        <v>6</v>
      </c>
      <c r="D1983" s="98">
        <v>1080</v>
      </c>
      <c r="E1983" s="157">
        <v>42443.262499999997</v>
      </c>
      <c r="F1983" s="157">
        <v>42446.554861111108</v>
      </c>
      <c r="G1983" s="98">
        <v>0</v>
      </c>
      <c r="H1983" s="98">
        <v>525</v>
      </c>
      <c r="I1983" s="98">
        <v>478</v>
      </c>
      <c r="J1983" s="98" t="s">
        <v>1991</v>
      </c>
      <c r="K1983" s="98" t="s">
        <v>3496</v>
      </c>
      <c r="L1983" s="105" t="str">
        <f t="shared" si="330"/>
        <v>Ghent</v>
      </c>
      <c r="M1983" s="105" t="str">
        <f t="shared" si="331"/>
        <v>Outage</v>
      </c>
      <c r="N1983" s="105" t="str">
        <f t="shared" si="332"/>
        <v>Coal</v>
      </c>
      <c r="O1983" s="105">
        <f>IFERROR(VLOOKUP(A1983,Lookup!$J$5:$P$19,7,FALSE),0)</f>
        <v>3</v>
      </c>
      <c r="P1983" s="159">
        <f t="shared" si="333"/>
        <v>2016</v>
      </c>
      <c r="Q1983" s="159">
        <f t="shared" si="334"/>
        <v>3</v>
      </c>
      <c r="R1983" s="160">
        <f t="shared" si="335"/>
        <v>79.016666666662786</v>
      </c>
      <c r="S1983" s="158">
        <f t="shared" si="336"/>
        <v>79.016666666662786</v>
      </c>
      <c r="T1983" s="161">
        <f t="shared" si="337"/>
        <v>37769.966666664812</v>
      </c>
      <c r="U1983" s="158">
        <f t="shared" si="338"/>
        <v>478</v>
      </c>
      <c r="V1983" s="160">
        <f t="shared" si="339"/>
        <v>478</v>
      </c>
    </row>
    <row r="1984" spans="1:22" x14ac:dyDescent="0.25">
      <c r="A1984" s="98" t="s">
        <v>24</v>
      </c>
      <c r="B1984" s="98" t="s">
        <v>17</v>
      </c>
      <c r="C1984" s="98">
        <v>7</v>
      </c>
      <c r="D1984" s="98">
        <v>1080</v>
      </c>
      <c r="E1984" s="157">
        <v>42446.874305555553</v>
      </c>
      <c r="F1984" s="157">
        <v>42449.329861111109</v>
      </c>
      <c r="G1984" s="98">
        <v>512</v>
      </c>
      <c r="H1984" s="98">
        <v>525</v>
      </c>
      <c r="I1984" s="98">
        <v>478</v>
      </c>
      <c r="J1984" s="98" t="s">
        <v>1991</v>
      </c>
      <c r="K1984" s="98" t="s">
        <v>3497</v>
      </c>
      <c r="L1984" s="105" t="str">
        <f t="shared" si="330"/>
        <v>Ghent</v>
      </c>
      <c r="M1984" s="105" t="str">
        <f t="shared" si="331"/>
        <v>Derate</v>
      </c>
      <c r="N1984" s="105" t="str">
        <f t="shared" si="332"/>
        <v>Coal</v>
      </c>
      <c r="O1984" s="105">
        <f>IFERROR(VLOOKUP(A1984,Lookup!$J$5:$P$19,7,FALSE),0)</f>
        <v>3</v>
      </c>
      <c r="P1984" s="159">
        <f t="shared" si="333"/>
        <v>2016</v>
      </c>
      <c r="Q1984" s="159">
        <f t="shared" si="334"/>
        <v>3</v>
      </c>
      <c r="R1984" s="160">
        <f t="shared" si="335"/>
        <v>58.933333333348855</v>
      </c>
      <c r="S1984" s="158">
        <f t="shared" si="336"/>
        <v>1.4593015873019717</v>
      </c>
      <c r="T1984" s="161">
        <f t="shared" si="337"/>
        <v>697.54615873034243</v>
      </c>
      <c r="U1984" s="158">
        <f t="shared" si="338"/>
        <v>11.836190476190476</v>
      </c>
      <c r="V1984" s="160">
        <f t="shared" si="339"/>
        <v>12</v>
      </c>
    </row>
    <row r="1985" spans="1:22" x14ac:dyDescent="0.25">
      <c r="A1985" s="98" t="s">
        <v>24</v>
      </c>
      <c r="B1985" s="98" t="s">
        <v>38</v>
      </c>
      <c r="C1985" s="98">
        <v>8</v>
      </c>
      <c r="D1985" s="98">
        <v>3341</v>
      </c>
      <c r="E1985" s="157">
        <v>42459.959722222222</v>
      </c>
      <c r="F1985" s="157">
        <v>42483.517361111109</v>
      </c>
      <c r="G1985" s="98">
        <v>0</v>
      </c>
      <c r="H1985" s="98">
        <v>525</v>
      </c>
      <c r="I1985" s="98">
        <v>478</v>
      </c>
      <c r="J1985" s="98" t="s">
        <v>2104</v>
      </c>
      <c r="K1985" s="98" t="s">
        <v>3498</v>
      </c>
      <c r="L1985" s="105" t="str">
        <f t="shared" si="330"/>
        <v>Ghent</v>
      </c>
      <c r="M1985" s="105" t="str">
        <f t="shared" si="331"/>
        <v>Other</v>
      </c>
      <c r="N1985" s="105" t="str">
        <f t="shared" si="332"/>
        <v>Coal</v>
      </c>
      <c r="O1985" s="105">
        <f>IFERROR(VLOOKUP(A1985,Lookup!$J$5:$P$19,7,FALSE),0)</f>
        <v>3</v>
      </c>
      <c r="P1985" s="159">
        <f t="shared" si="333"/>
        <v>2016</v>
      </c>
      <c r="Q1985" s="159">
        <f t="shared" si="334"/>
        <v>3</v>
      </c>
      <c r="R1985" s="160">
        <f t="shared" si="335"/>
        <v>565.38333333330229</v>
      </c>
      <c r="S1985" s="158">
        <f t="shared" si="336"/>
        <v>565.38333333330229</v>
      </c>
      <c r="T1985" s="161">
        <f t="shared" si="337"/>
        <v>270253.23333331849</v>
      </c>
      <c r="U1985" s="158">
        <f t="shared" si="338"/>
        <v>478</v>
      </c>
      <c r="V1985" s="160">
        <f t="shared" si="339"/>
        <v>478</v>
      </c>
    </row>
    <row r="1986" spans="1:22" x14ac:dyDescent="0.25">
      <c r="A1986" s="98" t="s">
        <v>24</v>
      </c>
      <c r="B1986" s="98" t="s">
        <v>17</v>
      </c>
      <c r="C1986" s="98">
        <v>9</v>
      </c>
      <c r="D1986" s="98">
        <v>9910</v>
      </c>
      <c r="E1986" s="157">
        <v>42485.397916666669</v>
      </c>
      <c r="F1986" s="157">
        <v>42485.427777777775</v>
      </c>
      <c r="G1986" s="98">
        <v>460</v>
      </c>
      <c r="H1986" s="98">
        <v>525</v>
      </c>
      <c r="I1986" s="98">
        <v>478</v>
      </c>
      <c r="J1986" s="98" t="s">
        <v>2014</v>
      </c>
      <c r="K1986" s="98" t="s">
        <v>3499</v>
      </c>
      <c r="L1986" s="105" t="str">
        <f t="shared" si="330"/>
        <v>Ghent</v>
      </c>
      <c r="M1986" s="105" t="str">
        <f t="shared" si="331"/>
        <v>Derate</v>
      </c>
      <c r="N1986" s="105" t="str">
        <f t="shared" si="332"/>
        <v>Coal</v>
      </c>
      <c r="O1986" s="105">
        <f>IFERROR(VLOOKUP(A1986,Lookup!$J$5:$P$19,7,FALSE),0)</f>
        <v>3</v>
      </c>
      <c r="P1986" s="159">
        <f t="shared" si="333"/>
        <v>2016</v>
      </c>
      <c r="Q1986" s="159">
        <f t="shared" si="334"/>
        <v>4</v>
      </c>
      <c r="R1986" s="160">
        <f t="shared" si="335"/>
        <v>0.71666666655801237</v>
      </c>
      <c r="S1986" s="158">
        <f t="shared" si="336"/>
        <v>8.8730158716706295E-2</v>
      </c>
      <c r="T1986" s="161">
        <f t="shared" si="337"/>
        <v>42.41301586658561</v>
      </c>
      <c r="U1986" s="158">
        <f t="shared" si="338"/>
        <v>59.180952380952384</v>
      </c>
      <c r="V1986" s="160">
        <f t="shared" si="339"/>
        <v>59</v>
      </c>
    </row>
    <row r="1987" spans="1:22" x14ac:dyDescent="0.25">
      <c r="A1987" s="98" t="s">
        <v>24</v>
      </c>
      <c r="B1987" s="98" t="s">
        <v>17</v>
      </c>
      <c r="C1987" s="98">
        <v>10</v>
      </c>
      <c r="D1987" s="98">
        <v>3341</v>
      </c>
      <c r="E1987" s="157">
        <v>42487.274305555555</v>
      </c>
      <c r="F1987" s="157">
        <v>42487.333333333336</v>
      </c>
      <c r="G1987" s="98">
        <v>460</v>
      </c>
      <c r="H1987" s="98">
        <v>525</v>
      </c>
      <c r="I1987" s="98">
        <v>478</v>
      </c>
      <c r="J1987" s="98" t="s">
        <v>2104</v>
      </c>
      <c r="K1987" s="98" t="s">
        <v>3500</v>
      </c>
      <c r="L1987" s="105" t="str">
        <f t="shared" si="330"/>
        <v>Ghent</v>
      </c>
      <c r="M1987" s="105" t="str">
        <f t="shared" si="331"/>
        <v>Derate</v>
      </c>
      <c r="N1987" s="105" t="str">
        <f t="shared" si="332"/>
        <v>Coal</v>
      </c>
      <c r="O1987" s="105">
        <f>IFERROR(VLOOKUP(A1987,Lookup!$J$5:$P$19,7,FALSE),0)</f>
        <v>3</v>
      </c>
      <c r="P1987" s="159">
        <f t="shared" si="333"/>
        <v>2016</v>
      </c>
      <c r="Q1987" s="159">
        <f t="shared" si="334"/>
        <v>4</v>
      </c>
      <c r="R1987" s="160">
        <f t="shared" si="335"/>
        <v>1.4166666667442769</v>
      </c>
      <c r="S1987" s="158">
        <f t="shared" si="336"/>
        <v>0.17539682540643428</v>
      </c>
      <c r="T1987" s="161">
        <f t="shared" si="337"/>
        <v>83.83968254427559</v>
      </c>
      <c r="U1987" s="158">
        <f t="shared" si="338"/>
        <v>59.180952380952384</v>
      </c>
      <c r="V1987" s="160">
        <f t="shared" si="339"/>
        <v>59</v>
      </c>
    </row>
    <row r="1988" spans="1:22" x14ac:dyDescent="0.25">
      <c r="A1988" s="98" t="s">
        <v>24</v>
      </c>
      <c r="B1988" s="98" t="s">
        <v>20</v>
      </c>
      <c r="C1988" s="98">
        <v>11</v>
      </c>
      <c r="D1988" s="98">
        <v>1488</v>
      </c>
      <c r="E1988" s="157">
        <v>42489.92083333333</v>
      </c>
      <c r="F1988" s="157">
        <v>42490.923611111109</v>
      </c>
      <c r="G1988" s="98">
        <v>0</v>
      </c>
      <c r="H1988" s="98">
        <v>525</v>
      </c>
      <c r="I1988" s="98">
        <v>478</v>
      </c>
      <c r="J1988" s="98" t="s">
        <v>2284</v>
      </c>
      <c r="K1988" s="98" t="s">
        <v>3501</v>
      </c>
      <c r="L1988" s="105" t="str">
        <f t="shared" si="330"/>
        <v>Ghent</v>
      </c>
      <c r="M1988" s="105" t="str">
        <f t="shared" si="331"/>
        <v>Maintenance</v>
      </c>
      <c r="N1988" s="105" t="str">
        <f t="shared" si="332"/>
        <v>Coal</v>
      </c>
      <c r="O1988" s="105">
        <f>IFERROR(VLOOKUP(A1988,Lookup!$J$5:$P$19,7,FALSE),0)</f>
        <v>3</v>
      </c>
      <c r="P1988" s="159">
        <f t="shared" si="333"/>
        <v>2016</v>
      </c>
      <c r="Q1988" s="159">
        <f t="shared" si="334"/>
        <v>4</v>
      </c>
      <c r="R1988" s="160">
        <f t="shared" si="335"/>
        <v>24.066666666709352</v>
      </c>
      <c r="S1988" s="158">
        <f t="shared" si="336"/>
        <v>24.066666666709352</v>
      </c>
      <c r="T1988" s="161">
        <f t="shared" si="337"/>
        <v>11503.86666668707</v>
      </c>
      <c r="U1988" s="158">
        <f t="shared" si="338"/>
        <v>478</v>
      </c>
      <c r="V1988" s="160">
        <f t="shared" si="339"/>
        <v>478</v>
      </c>
    </row>
    <row r="1989" spans="1:22" x14ac:dyDescent="0.25">
      <c r="A1989" s="98" t="s">
        <v>24</v>
      </c>
      <c r="B1989" s="98" t="s">
        <v>32</v>
      </c>
      <c r="C1989" s="98">
        <v>12</v>
      </c>
      <c r="D1989" s="98">
        <v>250</v>
      </c>
      <c r="E1989" s="157">
        <v>42509.888888888891</v>
      </c>
      <c r="F1989" s="157">
        <v>42510.0625</v>
      </c>
      <c r="G1989" s="98">
        <v>400</v>
      </c>
      <c r="H1989" s="98">
        <v>525</v>
      </c>
      <c r="I1989" s="98">
        <v>478</v>
      </c>
      <c r="J1989" s="98" t="s">
        <v>1978</v>
      </c>
      <c r="K1989" s="98" t="s">
        <v>3502</v>
      </c>
      <c r="L1989" s="105" t="str">
        <f t="shared" si="330"/>
        <v>Ghent</v>
      </c>
      <c r="M1989" s="105" t="str">
        <f t="shared" si="331"/>
        <v>Derate</v>
      </c>
      <c r="N1989" s="105" t="str">
        <f t="shared" si="332"/>
        <v>Coal</v>
      </c>
      <c r="O1989" s="105">
        <f>IFERROR(VLOOKUP(A1989,Lookup!$J$5:$P$19,7,FALSE),0)</f>
        <v>3</v>
      </c>
      <c r="P1989" s="159">
        <f t="shared" si="333"/>
        <v>2016</v>
      </c>
      <c r="Q1989" s="159">
        <f t="shared" si="334"/>
        <v>5</v>
      </c>
      <c r="R1989" s="160">
        <f t="shared" si="335"/>
        <v>4.1666666666278616</v>
      </c>
      <c r="S1989" s="158">
        <f t="shared" si="336"/>
        <v>0.9920634920542527</v>
      </c>
      <c r="T1989" s="161">
        <f t="shared" si="337"/>
        <v>474.20634920193277</v>
      </c>
      <c r="U1989" s="158">
        <f t="shared" si="338"/>
        <v>113.80952380952381</v>
      </c>
      <c r="V1989" s="160">
        <f t="shared" si="339"/>
        <v>114</v>
      </c>
    </row>
    <row r="1990" spans="1:22" x14ac:dyDescent="0.25">
      <c r="A1990" s="98" t="s">
        <v>24</v>
      </c>
      <c r="B1990" s="98" t="s">
        <v>17</v>
      </c>
      <c r="C1990" s="98">
        <v>13</v>
      </c>
      <c r="D1990" s="98">
        <v>1470</v>
      </c>
      <c r="E1990" s="157">
        <v>42520.573611111111</v>
      </c>
      <c r="F1990" s="157">
        <v>42520.854166666664</v>
      </c>
      <c r="G1990" s="98">
        <v>471</v>
      </c>
      <c r="H1990" s="98">
        <v>525</v>
      </c>
      <c r="I1990" s="98">
        <v>478</v>
      </c>
      <c r="J1990" s="98" t="s">
        <v>2005</v>
      </c>
      <c r="K1990" s="98" t="s">
        <v>3503</v>
      </c>
      <c r="L1990" s="105" t="str">
        <f t="shared" si="330"/>
        <v>Ghent</v>
      </c>
      <c r="M1990" s="105" t="str">
        <f t="shared" si="331"/>
        <v>Derate</v>
      </c>
      <c r="N1990" s="105" t="str">
        <f t="shared" si="332"/>
        <v>Coal</v>
      </c>
      <c r="O1990" s="105">
        <f>IFERROR(VLOOKUP(A1990,Lookup!$J$5:$P$19,7,FALSE),0)</f>
        <v>3</v>
      </c>
      <c r="P1990" s="159">
        <f t="shared" si="333"/>
        <v>2016</v>
      </c>
      <c r="Q1990" s="159">
        <f t="shared" si="334"/>
        <v>5</v>
      </c>
      <c r="R1990" s="160">
        <f t="shared" si="335"/>
        <v>6.7333333332790062</v>
      </c>
      <c r="S1990" s="158">
        <f t="shared" si="336"/>
        <v>0.69257142856584064</v>
      </c>
      <c r="T1990" s="161">
        <f t="shared" si="337"/>
        <v>331.04914285447182</v>
      </c>
      <c r="U1990" s="158">
        <f t="shared" si="338"/>
        <v>49.165714285714287</v>
      </c>
      <c r="V1990" s="160">
        <f t="shared" si="339"/>
        <v>49</v>
      </c>
    </row>
    <row r="1991" spans="1:22" x14ac:dyDescent="0.25">
      <c r="A1991" s="98" t="s">
        <v>24</v>
      </c>
      <c r="B1991" s="98" t="s">
        <v>17</v>
      </c>
      <c r="C1991" s="98">
        <v>14</v>
      </c>
      <c r="D1991" s="98">
        <v>1470</v>
      </c>
      <c r="E1991" s="157">
        <v>42521.395833333336</v>
      </c>
      <c r="F1991" s="157">
        <v>42521.534722222219</v>
      </c>
      <c r="G1991" s="98">
        <v>467</v>
      </c>
      <c r="H1991" s="98">
        <v>525</v>
      </c>
      <c r="I1991" s="98">
        <v>478</v>
      </c>
      <c r="J1991" s="98" t="s">
        <v>2005</v>
      </c>
      <c r="K1991" s="98" t="s">
        <v>3504</v>
      </c>
      <c r="L1991" s="105" t="str">
        <f t="shared" si="330"/>
        <v>Ghent</v>
      </c>
      <c r="M1991" s="105" t="str">
        <f t="shared" si="331"/>
        <v>Derate</v>
      </c>
      <c r="N1991" s="105" t="str">
        <f t="shared" si="332"/>
        <v>Coal</v>
      </c>
      <c r="O1991" s="105">
        <f>IFERROR(VLOOKUP(A1991,Lookup!$J$5:$P$19,7,FALSE),0)</f>
        <v>3</v>
      </c>
      <c r="P1991" s="159">
        <f t="shared" si="333"/>
        <v>2016</v>
      </c>
      <c r="Q1991" s="159">
        <f t="shared" si="334"/>
        <v>5</v>
      </c>
      <c r="R1991" s="160">
        <f t="shared" si="335"/>
        <v>3.3333333331975155</v>
      </c>
      <c r="S1991" s="158">
        <f t="shared" si="336"/>
        <v>0.36825396823896361</v>
      </c>
      <c r="T1991" s="161">
        <f t="shared" si="337"/>
        <v>176.02539681822461</v>
      </c>
      <c r="U1991" s="158">
        <f t="shared" si="338"/>
        <v>52.807619047619049</v>
      </c>
      <c r="V1991" s="160">
        <f t="shared" si="339"/>
        <v>53</v>
      </c>
    </row>
    <row r="1992" spans="1:22" x14ac:dyDescent="0.25">
      <c r="A1992" s="98" t="s">
        <v>24</v>
      </c>
      <c r="B1992" s="98" t="s">
        <v>17</v>
      </c>
      <c r="C1992" s="98">
        <v>15</v>
      </c>
      <c r="D1992" s="98">
        <v>250</v>
      </c>
      <c r="E1992" s="157">
        <v>42528.086805555555</v>
      </c>
      <c r="F1992" s="157">
        <v>42528.515972222223</v>
      </c>
      <c r="G1992" s="98">
        <v>425</v>
      </c>
      <c r="H1992" s="98">
        <v>525</v>
      </c>
      <c r="I1992" s="98">
        <v>478</v>
      </c>
      <c r="J1992" s="98" t="s">
        <v>1978</v>
      </c>
      <c r="K1992" s="98" t="s">
        <v>3505</v>
      </c>
      <c r="L1992" s="105" t="str">
        <f t="shared" si="330"/>
        <v>Ghent</v>
      </c>
      <c r="M1992" s="105" t="str">
        <f t="shared" si="331"/>
        <v>Derate</v>
      </c>
      <c r="N1992" s="105" t="str">
        <f t="shared" si="332"/>
        <v>Coal</v>
      </c>
      <c r="O1992" s="105">
        <f>IFERROR(VLOOKUP(A1992,Lookup!$J$5:$P$19,7,FALSE),0)</f>
        <v>3</v>
      </c>
      <c r="P1992" s="159">
        <f t="shared" si="333"/>
        <v>2016</v>
      </c>
      <c r="Q1992" s="159">
        <f t="shared" si="334"/>
        <v>6</v>
      </c>
      <c r="R1992" s="160">
        <f t="shared" si="335"/>
        <v>10.300000000046566</v>
      </c>
      <c r="S1992" s="158">
        <f t="shared" si="336"/>
        <v>1.9619047619136316</v>
      </c>
      <c r="T1992" s="161">
        <f t="shared" si="337"/>
        <v>937.79047619471589</v>
      </c>
      <c r="U1992" s="158">
        <f t="shared" si="338"/>
        <v>91.047619047619051</v>
      </c>
      <c r="V1992" s="160">
        <f t="shared" si="339"/>
        <v>91</v>
      </c>
    </row>
    <row r="1993" spans="1:22" x14ac:dyDescent="0.25">
      <c r="A1993" s="98" t="s">
        <v>24</v>
      </c>
      <c r="B1993" s="98" t="s">
        <v>17</v>
      </c>
      <c r="C1993" s="98">
        <v>16</v>
      </c>
      <c r="D1993" s="98">
        <v>250</v>
      </c>
      <c r="E1993" s="157">
        <v>42534.839583333334</v>
      </c>
      <c r="F1993" s="157">
        <v>42534.856249999997</v>
      </c>
      <c r="G1993" s="98">
        <v>450</v>
      </c>
      <c r="H1993" s="98">
        <v>525</v>
      </c>
      <c r="I1993" s="98">
        <v>478</v>
      </c>
      <c r="J1993" s="98" t="s">
        <v>1978</v>
      </c>
      <c r="K1993" s="98" t="s">
        <v>3506</v>
      </c>
      <c r="L1993" s="105" t="str">
        <f t="shared" si="330"/>
        <v>Ghent</v>
      </c>
      <c r="M1993" s="105" t="str">
        <f t="shared" si="331"/>
        <v>Derate</v>
      </c>
      <c r="N1993" s="105" t="str">
        <f t="shared" si="332"/>
        <v>Coal</v>
      </c>
      <c r="O1993" s="105">
        <f>IFERROR(VLOOKUP(A1993,Lookup!$J$5:$P$19,7,FALSE),0)</f>
        <v>3</v>
      </c>
      <c r="P1993" s="159">
        <f t="shared" si="333"/>
        <v>2016</v>
      </c>
      <c r="Q1993" s="159">
        <f t="shared" si="334"/>
        <v>6</v>
      </c>
      <c r="R1993" s="160">
        <f t="shared" si="335"/>
        <v>0.39999999990686774</v>
      </c>
      <c r="S1993" s="158">
        <f t="shared" si="336"/>
        <v>5.7142857129552534E-2</v>
      </c>
      <c r="T1993" s="161">
        <f t="shared" si="337"/>
        <v>27.314285707926111</v>
      </c>
      <c r="U1993" s="158">
        <f t="shared" si="338"/>
        <v>68.285714285714292</v>
      </c>
      <c r="V1993" s="160">
        <f t="shared" si="339"/>
        <v>68</v>
      </c>
    </row>
    <row r="1994" spans="1:22" x14ac:dyDescent="0.25">
      <c r="A1994" s="98" t="s">
        <v>24</v>
      </c>
      <c r="B1994" s="98" t="s">
        <v>17</v>
      </c>
      <c r="C1994" s="98">
        <v>17</v>
      </c>
      <c r="D1994" s="98">
        <v>346</v>
      </c>
      <c r="E1994" s="157">
        <v>42566.435416666667</v>
      </c>
      <c r="F1994" s="157">
        <v>42566.527777777781</v>
      </c>
      <c r="G1994" s="98">
        <v>450</v>
      </c>
      <c r="H1994" s="98">
        <v>525</v>
      </c>
      <c r="I1994" s="98">
        <v>478</v>
      </c>
      <c r="J1994" s="98" t="s">
        <v>1986</v>
      </c>
      <c r="K1994" s="98" t="s">
        <v>4177</v>
      </c>
      <c r="L1994" s="105" t="str">
        <f t="shared" si="330"/>
        <v>Ghent</v>
      </c>
      <c r="M1994" s="105" t="str">
        <f t="shared" si="331"/>
        <v>Derate</v>
      </c>
      <c r="N1994" s="105" t="str">
        <f t="shared" si="332"/>
        <v>Coal</v>
      </c>
      <c r="O1994" s="105">
        <f>IFERROR(VLOOKUP(A1994,Lookup!$J$5:$P$19,7,FALSE),0)</f>
        <v>3</v>
      </c>
      <c r="P1994" s="159">
        <f t="shared" si="333"/>
        <v>2016</v>
      </c>
      <c r="Q1994" s="159">
        <f t="shared" si="334"/>
        <v>7</v>
      </c>
      <c r="R1994" s="160">
        <f t="shared" si="335"/>
        <v>2.2166666667326353</v>
      </c>
      <c r="S1994" s="158">
        <f t="shared" si="336"/>
        <v>0.31666666667609078</v>
      </c>
      <c r="T1994" s="161">
        <f t="shared" si="337"/>
        <v>151.3666666711714</v>
      </c>
      <c r="U1994" s="158">
        <f t="shared" si="338"/>
        <v>68.285714285714292</v>
      </c>
      <c r="V1994" s="160">
        <f t="shared" si="339"/>
        <v>68</v>
      </c>
    </row>
    <row r="1995" spans="1:22" x14ac:dyDescent="0.25">
      <c r="A1995" s="98" t="s">
        <v>24</v>
      </c>
      <c r="B1995" s="98" t="s">
        <v>15</v>
      </c>
      <c r="C1995" s="98">
        <v>18</v>
      </c>
      <c r="D1995" s="98">
        <v>3220</v>
      </c>
      <c r="E1995" s="157">
        <v>42574.626388888886</v>
      </c>
      <c r="F1995" s="157">
        <v>42581.879166666666</v>
      </c>
      <c r="G1995" s="98">
        <v>0</v>
      </c>
      <c r="H1995" s="98">
        <v>525</v>
      </c>
      <c r="I1995" s="98">
        <v>478</v>
      </c>
      <c r="J1995" s="98" t="s">
        <v>2301</v>
      </c>
      <c r="K1995" s="98" t="s">
        <v>4178</v>
      </c>
      <c r="L1995" s="105" t="str">
        <f t="shared" si="330"/>
        <v>Ghent</v>
      </c>
      <c r="M1995" s="105" t="str">
        <f t="shared" si="331"/>
        <v>Outage</v>
      </c>
      <c r="N1995" s="105" t="str">
        <f t="shared" si="332"/>
        <v>Coal</v>
      </c>
      <c r="O1995" s="105">
        <f>IFERROR(VLOOKUP(A1995,Lookup!$J$5:$P$19,7,FALSE),0)</f>
        <v>3</v>
      </c>
      <c r="P1995" s="159">
        <f t="shared" si="333"/>
        <v>2016</v>
      </c>
      <c r="Q1995" s="159">
        <f t="shared" si="334"/>
        <v>7</v>
      </c>
      <c r="R1995" s="160">
        <f t="shared" si="335"/>
        <v>174.06666666670935</v>
      </c>
      <c r="S1995" s="158">
        <f t="shared" si="336"/>
        <v>174.06666666670935</v>
      </c>
      <c r="T1995" s="161">
        <f t="shared" si="337"/>
        <v>83203.86666668707</v>
      </c>
      <c r="U1995" s="158">
        <f t="shared" si="338"/>
        <v>478</v>
      </c>
      <c r="V1995" s="160">
        <f t="shared" si="339"/>
        <v>478</v>
      </c>
    </row>
    <row r="1996" spans="1:22" x14ac:dyDescent="0.25">
      <c r="A1996" s="98" t="s">
        <v>24</v>
      </c>
      <c r="B1996" s="98" t="s">
        <v>17</v>
      </c>
      <c r="C1996" s="98">
        <v>19</v>
      </c>
      <c r="D1996" s="98">
        <v>3441</v>
      </c>
      <c r="E1996" s="157">
        <v>42582.700694444444</v>
      </c>
      <c r="F1996" s="157">
        <v>42582.739583333336</v>
      </c>
      <c r="G1996" s="98">
        <v>500</v>
      </c>
      <c r="H1996" s="98">
        <v>525</v>
      </c>
      <c r="I1996" s="98">
        <v>478</v>
      </c>
      <c r="J1996" s="98" t="s">
        <v>2282</v>
      </c>
      <c r="K1996" s="98" t="s">
        <v>4179</v>
      </c>
      <c r="L1996" s="105" t="str">
        <f t="shared" si="330"/>
        <v>Ghent</v>
      </c>
      <c r="M1996" s="105" t="str">
        <f t="shared" si="331"/>
        <v>Derate</v>
      </c>
      <c r="N1996" s="105" t="str">
        <f t="shared" si="332"/>
        <v>Coal</v>
      </c>
      <c r="O1996" s="105">
        <f>IFERROR(VLOOKUP(A1996,Lookup!$J$5:$P$19,7,FALSE),0)</f>
        <v>3</v>
      </c>
      <c r="P1996" s="159">
        <f t="shared" si="333"/>
        <v>2016</v>
      </c>
      <c r="Q1996" s="159">
        <f t="shared" si="334"/>
        <v>7</v>
      </c>
      <c r="R1996" s="160">
        <f t="shared" si="335"/>
        <v>0.93333333340706304</v>
      </c>
      <c r="S1996" s="158">
        <f t="shared" si="336"/>
        <v>4.4444444447955381E-2</v>
      </c>
      <c r="T1996" s="161">
        <f t="shared" si="337"/>
        <v>21.244444446122671</v>
      </c>
      <c r="U1996" s="158">
        <f t="shared" si="338"/>
        <v>22.761904761904763</v>
      </c>
      <c r="V1996" s="160">
        <f t="shared" si="339"/>
        <v>23</v>
      </c>
    </row>
    <row r="1997" spans="1:22" x14ac:dyDescent="0.25">
      <c r="A1997" s="98" t="s">
        <v>24</v>
      </c>
      <c r="B1997" s="98" t="s">
        <v>20</v>
      </c>
      <c r="C1997" s="98">
        <v>20</v>
      </c>
      <c r="D1997" s="98">
        <v>3220</v>
      </c>
      <c r="E1997" s="157">
        <v>42613.92083333333</v>
      </c>
      <c r="F1997" s="157">
        <v>42615.760416666664</v>
      </c>
      <c r="G1997" s="98">
        <v>0</v>
      </c>
      <c r="H1997" s="98">
        <v>525</v>
      </c>
      <c r="I1997" s="98">
        <v>478</v>
      </c>
      <c r="J1997" s="98" t="s">
        <v>2301</v>
      </c>
      <c r="K1997" s="98" t="s">
        <v>4180</v>
      </c>
      <c r="L1997" s="105" t="str">
        <f t="shared" si="330"/>
        <v>Ghent</v>
      </c>
      <c r="M1997" s="105" t="str">
        <f t="shared" si="331"/>
        <v>Maintenance</v>
      </c>
      <c r="N1997" s="105" t="str">
        <f t="shared" si="332"/>
        <v>Coal</v>
      </c>
      <c r="O1997" s="105">
        <f>IFERROR(VLOOKUP(A1997,Lookup!$J$5:$P$19,7,FALSE),0)</f>
        <v>3</v>
      </c>
      <c r="P1997" s="159">
        <f t="shared" si="333"/>
        <v>2016</v>
      </c>
      <c r="Q1997" s="159">
        <f t="shared" si="334"/>
        <v>8</v>
      </c>
      <c r="R1997" s="160">
        <f t="shared" si="335"/>
        <v>44.150000000023283</v>
      </c>
      <c r="S1997" s="158">
        <f t="shared" si="336"/>
        <v>44.150000000023283</v>
      </c>
      <c r="T1997" s="161">
        <f t="shared" si="337"/>
        <v>21103.700000011129</v>
      </c>
      <c r="U1997" s="158">
        <f t="shared" si="338"/>
        <v>478</v>
      </c>
      <c r="V1997" s="160">
        <f t="shared" si="339"/>
        <v>478</v>
      </c>
    </row>
    <row r="1998" spans="1:22" x14ac:dyDescent="0.25">
      <c r="A1998" s="98" t="s">
        <v>24</v>
      </c>
      <c r="B1998" s="98" t="s">
        <v>17</v>
      </c>
      <c r="C1998" s="98">
        <v>22</v>
      </c>
      <c r="D1998" s="98">
        <v>3431</v>
      </c>
      <c r="E1998" s="157">
        <v>42653.23541666667</v>
      </c>
      <c r="F1998" s="157">
        <v>42653.96875</v>
      </c>
      <c r="G1998" s="98">
        <v>511</v>
      </c>
      <c r="H1998" s="98">
        <v>525</v>
      </c>
      <c r="I1998" s="98">
        <v>478</v>
      </c>
      <c r="J1998" s="98" t="s">
        <v>2123</v>
      </c>
      <c r="K1998" s="98" t="s">
        <v>4181</v>
      </c>
      <c r="L1998" s="105" t="str">
        <f t="shared" si="330"/>
        <v>Ghent</v>
      </c>
      <c r="M1998" s="105" t="str">
        <f t="shared" si="331"/>
        <v>Derate</v>
      </c>
      <c r="N1998" s="105" t="str">
        <f t="shared" si="332"/>
        <v>Coal</v>
      </c>
      <c r="O1998" s="105">
        <f>IFERROR(VLOOKUP(A1998,Lookup!$J$5:$P$19,7,FALSE),0)</f>
        <v>3</v>
      </c>
      <c r="P1998" s="159">
        <f t="shared" si="333"/>
        <v>2016</v>
      </c>
      <c r="Q1998" s="159">
        <f t="shared" si="334"/>
        <v>10</v>
      </c>
      <c r="R1998" s="160">
        <f t="shared" si="335"/>
        <v>17.599999999918509</v>
      </c>
      <c r="S1998" s="158">
        <f t="shared" si="336"/>
        <v>0.46933333333116023</v>
      </c>
      <c r="T1998" s="161">
        <f t="shared" si="337"/>
        <v>224.3413333322946</v>
      </c>
      <c r="U1998" s="158">
        <f t="shared" si="338"/>
        <v>12.746666666666666</v>
      </c>
      <c r="V1998" s="160">
        <f t="shared" si="339"/>
        <v>13</v>
      </c>
    </row>
    <row r="1999" spans="1:22" x14ac:dyDescent="0.25">
      <c r="A1999" s="98" t="s">
        <v>24</v>
      </c>
      <c r="B1999" s="98" t="s">
        <v>20</v>
      </c>
      <c r="C1999" s="98">
        <v>23</v>
      </c>
      <c r="D1999" s="98">
        <v>3220</v>
      </c>
      <c r="E1999" s="157">
        <v>42655.956250000003</v>
      </c>
      <c r="F1999" s="157">
        <v>42658.354166666664</v>
      </c>
      <c r="G1999" s="98">
        <v>0</v>
      </c>
      <c r="H1999" s="98">
        <v>525</v>
      </c>
      <c r="I1999" s="98">
        <v>478</v>
      </c>
      <c r="J1999" s="98" t="s">
        <v>2301</v>
      </c>
      <c r="K1999" s="98" t="s">
        <v>4182</v>
      </c>
      <c r="L1999" s="105" t="str">
        <f t="shared" si="330"/>
        <v>Ghent</v>
      </c>
      <c r="M1999" s="105" t="str">
        <f t="shared" si="331"/>
        <v>Maintenance</v>
      </c>
      <c r="N1999" s="105" t="str">
        <f t="shared" si="332"/>
        <v>Coal</v>
      </c>
      <c r="O1999" s="105">
        <f>IFERROR(VLOOKUP(A1999,Lookup!$J$5:$P$19,7,FALSE),0)</f>
        <v>3</v>
      </c>
      <c r="P1999" s="159">
        <f t="shared" si="333"/>
        <v>2016</v>
      </c>
      <c r="Q1999" s="159">
        <f t="shared" si="334"/>
        <v>10</v>
      </c>
      <c r="R1999" s="160">
        <f t="shared" si="335"/>
        <v>57.549999999871943</v>
      </c>
      <c r="S1999" s="158">
        <f t="shared" si="336"/>
        <v>57.549999999871943</v>
      </c>
      <c r="T1999" s="161">
        <f t="shared" si="337"/>
        <v>27508.899999938789</v>
      </c>
      <c r="U1999" s="158">
        <f t="shared" si="338"/>
        <v>478</v>
      </c>
      <c r="V1999" s="160">
        <f t="shared" si="339"/>
        <v>478</v>
      </c>
    </row>
    <row r="2000" spans="1:22" x14ac:dyDescent="0.25">
      <c r="A2000" s="98" t="s">
        <v>24</v>
      </c>
      <c r="B2000" s="98" t="s">
        <v>17</v>
      </c>
      <c r="C2000" s="98">
        <v>24</v>
      </c>
      <c r="D2000" s="98">
        <v>8601</v>
      </c>
      <c r="E2000" s="157">
        <v>42673.434027777781</v>
      </c>
      <c r="F2000" s="157">
        <v>42673.629166666666</v>
      </c>
      <c r="G2000" s="98">
        <v>350</v>
      </c>
      <c r="H2000" s="98">
        <v>525</v>
      </c>
      <c r="I2000" s="98">
        <v>478</v>
      </c>
      <c r="J2000" s="98" t="s">
        <v>232</v>
      </c>
      <c r="K2000" s="98" t="s">
        <v>4183</v>
      </c>
      <c r="L2000" s="105" t="str">
        <f t="shared" si="330"/>
        <v>Ghent</v>
      </c>
      <c r="M2000" s="105" t="str">
        <f t="shared" si="331"/>
        <v>Derate</v>
      </c>
      <c r="N2000" s="105" t="str">
        <f t="shared" si="332"/>
        <v>Coal</v>
      </c>
      <c r="O2000" s="105">
        <f>IFERROR(VLOOKUP(A2000,Lookup!$J$5:$P$19,7,FALSE),0)</f>
        <v>3</v>
      </c>
      <c r="P2000" s="159">
        <f t="shared" si="333"/>
        <v>2016</v>
      </c>
      <c r="Q2000" s="159">
        <f t="shared" si="334"/>
        <v>10</v>
      </c>
      <c r="R2000" s="160">
        <f t="shared" si="335"/>
        <v>4.6833333332324401</v>
      </c>
      <c r="S2000" s="158">
        <f t="shared" si="336"/>
        <v>1.56111111107748</v>
      </c>
      <c r="T2000" s="161">
        <f t="shared" si="337"/>
        <v>746.21111109503545</v>
      </c>
      <c r="U2000" s="158">
        <f t="shared" si="338"/>
        <v>159.33333333333334</v>
      </c>
      <c r="V2000" s="160">
        <f t="shared" si="339"/>
        <v>159</v>
      </c>
    </row>
    <row r="2001" spans="1:22" x14ac:dyDescent="0.25">
      <c r="A2001" s="98" t="s">
        <v>24</v>
      </c>
      <c r="B2001" s="98" t="s">
        <v>17</v>
      </c>
      <c r="C2001" s="98">
        <v>25</v>
      </c>
      <c r="D2001" s="98">
        <v>4499</v>
      </c>
      <c r="E2001" s="157">
        <v>42682.265972222223</v>
      </c>
      <c r="F2001" s="157">
        <v>42682.272916666669</v>
      </c>
      <c r="G2001" s="98">
        <v>518</v>
      </c>
      <c r="H2001" s="98">
        <v>525</v>
      </c>
      <c r="I2001" s="98">
        <v>478</v>
      </c>
      <c r="J2001" s="98" t="s">
        <v>2082</v>
      </c>
      <c r="K2001" s="98" t="s">
        <v>4184</v>
      </c>
      <c r="L2001" s="105" t="str">
        <f t="shared" si="330"/>
        <v>Ghent</v>
      </c>
      <c r="M2001" s="105" t="str">
        <f t="shared" si="331"/>
        <v>Derate</v>
      </c>
      <c r="N2001" s="105" t="str">
        <f t="shared" si="332"/>
        <v>Coal</v>
      </c>
      <c r="O2001" s="105">
        <f>IFERROR(VLOOKUP(A2001,Lookup!$J$5:$P$19,7,FALSE),0)</f>
        <v>3</v>
      </c>
      <c r="P2001" s="159">
        <f t="shared" si="333"/>
        <v>2016</v>
      </c>
      <c r="Q2001" s="159">
        <f t="shared" si="334"/>
        <v>11</v>
      </c>
      <c r="R2001" s="160">
        <f t="shared" si="335"/>
        <v>0.16666666668606922</v>
      </c>
      <c r="S2001" s="158">
        <f t="shared" si="336"/>
        <v>2.2222222224809228E-3</v>
      </c>
      <c r="T2001" s="161">
        <f t="shared" si="337"/>
        <v>1.062222222345881</v>
      </c>
      <c r="U2001" s="158">
        <f t="shared" si="338"/>
        <v>6.3733333333333331</v>
      </c>
      <c r="V2001" s="160">
        <f t="shared" si="339"/>
        <v>6</v>
      </c>
    </row>
    <row r="2002" spans="1:22" x14ac:dyDescent="0.25">
      <c r="A2002" s="98" t="s">
        <v>24</v>
      </c>
      <c r="B2002" s="98" t="s">
        <v>17</v>
      </c>
      <c r="C2002" s="98">
        <v>26</v>
      </c>
      <c r="D2002" s="98">
        <v>1480</v>
      </c>
      <c r="E2002" s="157">
        <v>42682.381249999999</v>
      </c>
      <c r="F2002" s="157">
        <v>42682.395138888889</v>
      </c>
      <c r="G2002" s="98">
        <v>450</v>
      </c>
      <c r="H2002" s="98">
        <v>525</v>
      </c>
      <c r="I2002" s="98">
        <v>478</v>
      </c>
      <c r="J2002" s="98" t="s">
        <v>1972</v>
      </c>
      <c r="K2002" s="98" t="s">
        <v>4185</v>
      </c>
      <c r="L2002" s="105" t="str">
        <f t="shared" si="330"/>
        <v>Ghent</v>
      </c>
      <c r="M2002" s="105" t="str">
        <f t="shared" si="331"/>
        <v>Derate</v>
      </c>
      <c r="N2002" s="105" t="str">
        <f t="shared" si="332"/>
        <v>Coal</v>
      </c>
      <c r="O2002" s="105">
        <f>IFERROR(VLOOKUP(A2002,Lookup!$J$5:$P$19,7,FALSE),0)</f>
        <v>3</v>
      </c>
      <c r="P2002" s="159">
        <f t="shared" si="333"/>
        <v>2016</v>
      </c>
      <c r="Q2002" s="159">
        <f t="shared" si="334"/>
        <v>11</v>
      </c>
      <c r="R2002" s="160">
        <f t="shared" si="335"/>
        <v>0.33333333337213844</v>
      </c>
      <c r="S2002" s="158">
        <f t="shared" si="336"/>
        <v>4.7619047624591203E-2</v>
      </c>
      <c r="T2002" s="161">
        <f t="shared" si="337"/>
        <v>22.761904764554593</v>
      </c>
      <c r="U2002" s="158">
        <f t="shared" si="338"/>
        <v>68.285714285714292</v>
      </c>
      <c r="V2002" s="160">
        <f t="shared" si="339"/>
        <v>68</v>
      </c>
    </row>
    <row r="2003" spans="1:22" x14ac:dyDescent="0.25">
      <c r="A2003" s="98" t="s">
        <v>24</v>
      </c>
      <c r="B2003" s="98" t="s">
        <v>17</v>
      </c>
      <c r="C2003" s="98">
        <v>27</v>
      </c>
      <c r="D2003" s="98">
        <v>3441</v>
      </c>
      <c r="E2003" s="157">
        <v>42686.28125</v>
      </c>
      <c r="F2003" s="157">
        <v>42686.754861111112</v>
      </c>
      <c r="G2003" s="98">
        <v>511</v>
      </c>
      <c r="H2003" s="98">
        <v>525</v>
      </c>
      <c r="I2003" s="98">
        <v>478</v>
      </c>
      <c r="J2003" s="98" t="s">
        <v>2282</v>
      </c>
      <c r="K2003" s="98" t="s">
        <v>4186</v>
      </c>
      <c r="L2003" s="105" t="str">
        <f t="shared" si="330"/>
        <v>Ghent</v>
      </c>
      <c r="M2003" s="105" t="str">
        <f t="shared" si="331"/>
        <v>Derate</v>
      </c>
      <c r="N2003" s="105" t="str">
        <f t="shared" si="332"/>
        <v>Coal</v>
      </c>
      <c r="O2003" s="105">
        <f>IFERROR(VLOOKUP(A2003,Lookup!$J$5:$P$19,7,FALSE),0)</f>
        <v>3</v>
      </c>
      <c r="P2003" s="159">
        <f t="shared" si="333"/>
        <v>2016</v>
      </c>
      <c r="Q2003" s="159">
        <f t="shared" si="334"/>
        <v>11</v>
      </c>
      <c r="R2003" s="160">
        <f t="shared" si="335"/>
        <v>11.366666666697711</v>
      </c>
      <c r="S2003" s="158">
        <f t="shared" si="336"/>
        <v>0.30311111111193895</v>
      </c>
      <c r="T2003" s="161">
        <f t="shared" si="337"/>
        <v>144.88711111150681</v>
      </c>
      <c r="U2003" s="158">
        <f t="shared" si="338"/>
        <v>12.746666666666666</v>
      </c>
      <c r="V2003" s="160">
        <f t="shared" si="339"/>
        <v>13</v>
      </c>
    </row>
    <row r="2004" spans="1:22" x14ac:dyDescent="0.25">
      <c r="A2004" s="98" t="s">
        <v>24</v>
      </c>
      <c r="B2004" s="98" t="s">
        <v>17</v>
      </c>
      <c r="C2004" s="98">
        <v>29</v>
      </c>
      <c r="D2004" s="98">
        <v>380</v>
      </c>
      <c r="E2004" s="157">
        <v>42702.300694444442</v>
      </c>
      <c r="F2004" s="157">
        <v>42702.318749999999</v>
      </c>
      <c r="G2004" s="98">
        <v>433</v>
      </c>
      <c r="H2004" s="98">
        <v>525</v>
      </c>
      <c r="I2004" s="98">
        <v>478</v>
      </c>
      <c r="J2004" s="98" t="s">
        <v>2017</v>
      </c>
      <c r="K2004" s="98" t="s">
        <v>4187</v>
      </c>
      <c r="L2004" s="105" t="str">
        <f t="shared" si="330"/>
        <v>Ghent</v>
      </c>
      <c r="M2004" s="105" t="str">
        <f t="shared" si="331"/>
        <v>Derate</v>
      </c>
      <c r="N2004" s="105" t="str">
        <f t="shared" si="332"/>
        <v>Coal</v>
      </c>
      <c r="O2004" s="105">
        <f>IFERROR(VLOOKUP(A2004,Lookup!$J$5:$P$19,7,FALSE),0)</f>
        <v>3</v>
      </c>
      <c r="P2004" s="159">
        <f t="shared" si="333"/>
        <v>2016</v>
      </c>
      <c r="Q2004" s="159">
        <f t="shared" si="334"/>
        <v>11</v>
      </c>
      <c r="R2004" s="160">
        <f t="shared" si="335"/>
        <v>0.43333333334885538</v>
      </c>
      <c r="S2004" s="158">
        <f t="shared" si="336"/>
        <v>7.5936507939227987E-2</v>
      </c>
      <c r="T2004" s="161">
        <f t="shared" si="337"/>
        <v>36.297650794950975</v>
      </c>
      <c r="U2004" s="158">
        <f t="shared" si="338"/>
        <v>83.763809523809527</v>
      </c>
      <c r="V2004" s="160">
        <f t="shared" si="339"/>
        <v>84</v>
      </c>
    </row>
    <row r="2005" spans="1:22" x14ac:dyDescent="0.25">
      <c r="A2005" s="98" t="s">
        <v>24</v>
      </c>
      <c r="B2005" s="98" t="s">
        <v>17</v>
      </c>
      <c r="C2005" s="98">
        <v>30</v>
      </c>
      <c r="D2005" s="98">
        <v>4499</v>
      </c>
      <c r="E2005" s="157">
        <v>42705.465277777781</v>
      </c>
      <c r="F2005" s="157">
        <v>42723.333333333336</v>
      </c>
      <c r="G2005" s="98">
        <v>531</v>
      </c>
      <c r="H2005" s="98">
        <v>525</v>
      </c>
      <c r="I2005" s="98">
        <v>478</v>
      </c>
      <c r="J2005" s="98" t="s">
        <v>2082</v>
      </c>
      <c r="K2005" s="98" t="s">
        <v>4188</v>
      </c>
      <c r="L2005" s="105" t="str">
        <f t="shared" si="330"/>
        <v>Ghent</v>
      </c>
      <c r="M2005" s="105" t="str">
        <f t="shared" si="331"/>
        <v>Derate</v>
      </c>
      <c r="N2005" s="105" t="str">
        <f t="shared" si="332"/>
        <v>Coal</v>
      </c>
      <c r="O2005" s="105">
        <f>IFERROR(VLOOKUP(A2005,Lookup!$J$5:$P$19,7,FALSE),0)</f>
        <v>3</v>
      </c>
      <c r="P2005" s="159">
        <f t="shared" si="333"/>
        <v>2016</v>
      </c>
      <c r="Q2005" s="159">
        <f t="shared" si="334"/>
        <v>12</v>
      </c>
      <c r="R2005" s="160">
        <f t="shared" si="335"/>
        <v>428.83333333331393</v>
      </c>
      <c r="S2005" s="158">
        <f t="shared" si="336"/>
        <v>-4.9009523809521589</v>
      </c>
      <c r="T2005" s="161">
        <f t="shared" si="337"/>
        <v>-2342.6552380951321</v>
      </c>
      <c r="U2005" s="158">
        <f t="shared" si="338"/>
        <v>0</v>
      </c>
      <c r="V2005" s="160">
        <f t="shared" si="339"/>
        <v>0</v>
      </c>
    </row>
    <row r="2006" spans="1:22" x14ac:dyDescent="0.25">
      <c r="A2006" s="98" t="s">
        <v>24</v>
      </c>
      <c r="B2006" s="98" t="s">
        <v>17</v>
      </c>
      <c r="C2006" s="98">
        <v>31</v>
      </c>
      <c r="D2006" s="98">
        <v>4499</v>
      </c>
      <c r="E2006" s="157">
        <v>42723.333333333336</v>
      </c>
      <c r="F2006" s="157">
        <v>42724.345833333333</v>
      </c>
      <c r="G2006" s="98">
        <v>515</v>
      </c>
      <c r="H2006" s="98">
        <v>525</v>
      </c>
      <c r="I2006" s="98">
        <v>478</v>
      </c>
      <c r="J2006" s="98" t="s">
        <v>2082</v>
      </c>
      <c r="K2006" s="98" t="s">
        <v>4189</v>
      </c>
      <c r="L2006" s="105" t="str">
        <f t="shared" si="330"/>
        <v>Ghent</v>
      </c>
      <c r="M2006" s="105" t="str">
        <f t="shared" si="331"/>
        <v>Derate</v>
      </c>
      <c r="N2006" s="105" t="str">
        <f t="shared" si="332"/>
        <v>Coal</v>
      </c>
      <c r="O2006" s="105">
        <f>IFERROR(VLOOKUP(A2006,Lookup!$J$5:$P$19,7,FALSE),0)</f>
        <v>3</v>
      </c>
      <c r="P2006" s="159">
        <f t="shared" si="333"/>
        <v>2016</v>
      </c>
      <c r="Q2006" s="159">
        <f t="shared" si="334"/>
        <v>12</v>
      </c>
      <c r="R2006" s="160">
        <f t="shared" si="335"/>
        <v>24.299999999930151</v>
      </c>
      <c r="S2006" s="158">
        <f t="shared" si="336"/>
        <v>0.46285714285581242</v>
      </c>
      <c r="T2006" s="161">
        <f t="shared" si="337"/>
        <v>221.24571428507835</v>
      </c>
      <c r="U2006" s="158">
        <f t="shared" si="338"/>
        <v>9.1047619047619044</v>
      </c>
      <c r="V2006" s="160">
        <f t="shared" si="339"/>
        <v>9</v>
      </c>
    </row>
    <row r="2007" spans="1:22" x14ac:dyDescent="0.25">
      <c r="A2007" s="98" t="s">
        <v>24</v>
      </c>
      <c r="B2007" s="98" t="s">
        <v>17</v>
      </c>
      <c r="C2007" s="98">
        <v>32</v>
      </c>
      <c r="D2007" s="98">
        <v>4499</v>
      </c>
      <c r="E2007" s="157">
        <v>42724.345833333333</v>
      </c>
      <c r="F2007" s="157">
        <v>42736</v>
      </c>
      <c r="G2007" s="98">
        <v>526</v>
      </c>
      <c r="H2007" s="98">
        <v>525</v>
      </c>
      <c r="I2007" s="98">
        <v>478</v>
      </c>
      <c r="J2007" s="98" t="s">
        <v>2082</v>
      </c>
      <c r="K2007" s="98" t="s">
        <v>4190</v>
      </c>
      <c r="L2007" s="105" t="str">
        <f t="shared" si="330"/>
        <v>Ghent</v>
      </c>
      <c r="M2007" s="105" t="str">
        <f t="shared" si="331"/>
        <v>Derate</v>
      </c>
      <c r="N2007" s="105" t="str">
        <f t="shared" si="332"/>
        <v>Coal</v>
      </c>
      <c r="O2007" s="105">
        <f>IFERROR(VLOOKUP(A2007,Lookup!$J$5:$P$19,7,FALSE),0)</f>
        <v>3</v>
      </c>
      <c r="P2007" s="159">
        <f t="shared" si="333"/>
        <v>2016</v>
      </c>
      <c r="Q2007" s="159">
        <f t="shared" si="334"/>
        <v>12</v>
      </c>
      <c r="R2007" s="160">
        <f t="shared" si="335"/>
        <v>279.70000000001164</v>
      </c>
      <c r="S2007" s="158">
        <f t="shared" si="336"/>
        <v>-0.53276190476192697</v>
      </c>
      <c r="T2007" s="161">
        <f t="shared" si="337"/>
        <v>-254.66019047620108</v>
      </c>
      <c r="U2007" s="158">
        <f t="shared" si="338"/>
        <v>0</v>
      </c>
      <c r="V2007" s="160">
        <f t="shared" si="339"/>
        <v>0</v>
      </c>
    </row>
    <row r="2008" spans="1:22" x14ac:dyDescent="0.25">
      <c r="A2008" s="98" t="s">
        <v>24</v>
      </c>
      <c r="B2008" s="98" t="s">
        <v>17</v>
      </c>
      <c r="C2008" s="98">
        <v>1</v>
      </c>
      <c r="D2008" s="98">
        <v>4499</v>
      </c>
      <c r="E2008" s="157">
        <v>42736</v>
      </c>
      <c r="F2008" s="157">
        <v>42741.353472222225</v>
      </c>
      <c r="G2008" s="98">
        <v>526</v>
      </c>
      <c r="H2008" s="98">
        <v>525</v>
      </c>
      <c r="I2008" s="98">
        <v>478</v>
      </c>
      <c r="J2008" s="98" t="s">
        <v>2082</v>
      </c>
      <c r="K2008" s="98" t="s">
        <v>4191</v>
      </c>
      <c r="L2008" s="105" t="str">
        <f t="shared" si="330"/>
        <v>Ghent</v>
      </c>
      <c r="M2008" s="105" t="str">
        <f t="shared" si="331"/>
        <v>Derate</v>
      </c>
      <c r="N2008" s="105" t="str">
        <f t="shared" si="332"/>
        <v>Coal</v>
      </c>
      <c r="O2008" s="105">
        <f>IFERROR(VLOOKUP(A2008,Lookup!$J$5:$P$19,7,FALSE),0)</f>
        <v>3</v>
      </c>
      <c r="P2008" s="159">
        <f t="shared" si="333"/>
        <v>2017</v>
      </c>
      <c r="Q2008" s="159">
        <f t="shared" si="334"/>
        <v>1</v>
      </c>
      <c r="R2008" s="160">
        <f t="shared" si="335"/>
        <v>128.48333333339542</v>
      </c>
      <c r="S2008" s="158">
        <f t="shared" si="336"/>
        <v>-0.24473015873027698</v>
      </c>
      <c r="T2008" s="161">
        <f t="shared" si="337"/>
        <v>-116.98101587307239</v>
      </c>
      <c r="U2008" s="158">
        <f t="shared" si="338"/>
        <v>0</v>
      </c>
      <c r="V2008" s="160">
        <f t="shared" si="339"/>
        <v>0</v>
      </c>
    </row>
    <row r="2009" spans="1:22" x14ac:dyDescent="0.25">
      <c r="A2009" s="98" t="s">
        <v>24</v>
      </c>
      <c r="B2009" s="98" t="s">
        <v>17</v>
      </c>
      <c r="C2009" s="98">
        <v>2</v>
      </c>
      <c r="D2009" s="98">
        <v>4499</v>
      </c>
      <c r="E2009" s="157">
        <v>42741.353472222225</v>
      </c>
      <c r="F2009" s="157">
        <v>42741.479166666664</v>
      </c>
      <c r="G2009" s="98">
        <v>511</v>
      </c>
      <c r="H2009" s="98">
        <v>525</v>
      </c>
      <c r="I2009" s="98">
        <v>478</v>
      </c>
      <c r="J2009" s="98" t="s">
        <v>2082</v>
      </c>
      <c r="K2009" s="98" t="s">
        <v>4192</v>
      </c>
      <c r="L2009" s="105" t="str">
        <f t="shared" si="330"/>
        <v>Ghent</v>
      </c>
      <c r="M2009" s="105" t="str">
        <f t="shared" si="331"/>
        <v>Derate</v>
      </c>
      <c r="N2009" s="105" t="str">
        <f t="shared" si="332"/>
        <v>Coal</v>
      </c>
      <c r="O2009" s="105">
        <f>IFERROR(VLOOKUP(A2009,Lookup!$J$5:$P$19,7,FALSE),0)</f>
        <v>3</v>
      </c>
      <c r="P2009" s="159">
        <f t="shared" si="333"/>
        <v>2017</v>
      </c>
      <c r="Q2009" s="159">
        <f t="shared" si="334"/>
        <v>1</v>
      </c>
      <c r="R2009" s="160">
        <f t="shared" si="335"/>
        <v>3.0166666665463708</v>
      </c>
      <c r="S2009" s="158">
        <f t="shared" si="336"/>
        <v>8.0444444441236551E-2</v>
      </c>
      <c r="T2009" s="161">
        <f t="shared" si="337"/>
        <v>38.452444442911073</v>
      </c>
      <c r="U2009" s="158">
        <f t="shared" si="338"/>
        <v>12.746666666666666</v>
      </c>
      <c r="V2009" s="160">
        <f t="shared" si="339"/>
        <v>13</v>
      </c>
    </row>
    <row r="2010" spans="1:22" x14ac:dyDescent="0.25">
      <c r="A2010" s="98" t="s">
        <v>24</v>
      </c>
      <c r="B2010" s="98" t="s">
        <v>17</v>
      </c>
      <c r="C2010" s="98">
        <v>3</v>
      </c>
      <c r="D2010" s="98">
        <v>4499</v>
      </c>
      <c r="E2010" s="157">
        <v>42741.479166666664</v>
      </c>
      <c r="F2010" s="157">
        <v>42778.331944444442</v>
      </c>
      <c r="G2010" s="98">
        <v>515</v>
      </c>
      <c r="H2010" s="98">
        <v>525</v>
      </c>
      <c r="I2010" s="98">
        <v>478</v>
      </c>
      <c r="J2010" s="98" t="s">
        <v>2082</v>
      </c>
      <c r="K2010" s="98" t="s">
        <v>4193</v>
      </c>
      <c r="L2010" s="105" t="str">
        <f t="shared" si="330"/>
        <v>Ghent</v>
      </c>
      <c r="M2010" s="105" t="str">
        <f t="shared" si="331"/>
        <v>Derate</v>
      </c>
      <c r="N2010" s="105" t="str">
        <f t="shared" si="332"/>
        <v>Coal</v>
      </c>
      <c r="O2010" s="105">
        <f>IFERROR(VLOOKUP(A2010,Lookup!$J$5:$P$19,7,FALSE),0)</f>
        <v>3</v>
      </c>
      <c r="P2010" s="159">
        <f t="shared" si="333"/>
        <v>2017</v>
      </c>
      <c r="Q2010" s="159">
        <f t="shared" si="334"/>
        <v>1</v>
      </c>
      <c r="R2010" s="160">
        <f t="shared" si="335"/>
        <v>884.46666666667443</v>
      </c>
      <c r="S2010" s="158">
        <f t="shared" si="336"/>
        <v>16.846984126984275</v>
      </c>
      <c r="T2010" s="161">
        <f t="shared" si="337"/>
        <v>8052.8584126984833</v>
      </c>
      <c r="U2010" s="158">
        <f t="shared" si="338"/>
        <v>9.1047619047619044</v>
      </c>
      <c r="V2010" s="160">
        <f t="shared" si="339"/>
        <v>9</v>
      </c>
    </row>
    <row r="2011" spans="1:22" x14ac:dyDescent="0.25">
      <c r="A2011" s="98" t="s">
        <v>24</v>
      </c>
      <c r="B2011" s="98" t="s">
        <v>17</v>
      </c>
      <c r="C2011" s="98">
        <v>4</v>
      </c>
      <c r="D2011" s="98">
        <v>340</v>
      </c>
      <c r="E2011" s="157">
        <v>42769.302777777775</v>
      </c>
      <c r="F2011" s="157">
        <v>42769.370833333334</v>
      </c>
      <c r="G2011" s="98">
        <v>430</v>
      </c>
      <c r="H2011" s="98">
        <v>525</v>
      </c>
      <c r="I2011" s="98">
        <v>478</v>
      </c>
      <c r="J2011" s="98" t="s">
        <v>1970</v>
      </c>
      <c r="K2011" s="98" t="s">
        <v>4194</v>
      </c>
      <c r="L2011" s="105" t="str">
        <f t="shared" si="330"/>
        <v>Ghent</v>
      </c>
      <c r="M2011" s="105" t="str">
        <f t="shared" si="331"/>
        <v>Derate</v>
      </c>
      <c r="N2011" s="105" t="str">
        <f t="shared" si="332"/>
        <v>Coal</v>
      </c>
      <c r="O2011" s="105">
        <f>IFERROR(VLOOKUP(A2011,Lookup!$J$5:$P$19,7,FALSE),0)</f>
        <v>3</v>
      </c>
      <c r="P2011" s="159">
        <f t="shared" si="333"/>
        <v>2017</v>
      </c>
      <c r="Q2011" s="159">
        <f t="shared" si="334"/>
        <v>2</v>
      </c>
      <c r="R2011" s="160">
        <f t="shared" si="335"/>
        <v>1.6333333334187046</v>
      </c>
      <c r="S2011" s="158">
        <f t="shared" si="336"/>
        <v>0.29555555557100366</v>
      </c>
      <c r="T2011" s="161">
        <f t="shared" si="337"/>
        <v>141.27555556293976</v>
      </c>
      <c r="U2011" s="158">
        <f t="shared" si="338"/>
        <v>86.495238095238093</v>
      </c>
      <c r="V2011" s="160">
        <f t="shared" si="339"/>
        <v>86</v>
      </c>
    </row>
    <row r="2012" spans="1:22" x14ac:dyDescent="0.25">
      <c r="A2012" s="98" t="s">
        <v>24</v>
      </c>
      <c r="B2012" s="98" t="s">
        <v>17</v>
      </c>
      <c r="C2012" s="98">
        <v>6</v>
      </c>
      <c r="D2012" s="98">
        <v>4499</v>
      </c>
      <c r="E2012" s="157">
        <v>42778.157638888886</v>
      </c>
      <c r="F2012" s="157">
        <v>42778.331944444442</v>
      </c>
      <c r="G2012" s="98">
        <v>515</v>
      </c>
      <c r="H2012" s="98">
        <v>525</v>
      </c>
      <c r="I2012" s="98">
        <v>478</v>
      </c>
      <c r="J2012" s="98" t="s">
        <v>2082</v>
      </c>
      <c r="K2012" s="98" t="s">
        <v>4195</v>
      </c>
      <c r="L2012" s="105" t="str">
        <f t="shared" si="330"/>
        <v>Ghent</v>
      </c>
      <c r="M2012" s="105" t="str">
        <f t="shared" si="331"/>
        <v>Derate</v>
      </c>
      <c r="N2012" s="105" t="str">
        <f t="shared" si="332"/>
        <v>Coal</v>
      </c>
      <c r="O2012" s="105">
        <f>IFERROR(VLOOKUP(A2012,Lookup!$J$5:$P$19,7,FALSE),0)</f>
        <v>3</v>
      </c>
      <c r="P2012" s="159">
        <f t="shared" si="333"/>
        <v>2017</v>
      </c>
      <c r="Q2012" s="159">
        <f t="shared" si="334"/>
        <v>2</v>
      </c>
      <c r="R2012" s="160">
        <f t="shared" si="335"/>
        <v>4.1833333333488554</v>
      </c>
      <c r="S2012" s="158">
        <f t="shared" si="336"/>
        <v>7.968253968283534E-2</v>
      </c>
      <c r="T2012" s="161">
        <f t="shared" si="337"/>
        <v>38.088253968395293</v>
      </c>
      <c r="U2012" s="158">
        <f t="shared" si="338"/>
        <v>9.1047619047619044</v>
      </c>
      <c r="V2012" s="160">
        <f t="shared" si="339"/>
        <v>9</v>
      </c>
    </row>
    <row r="2013" spans="1:22" x14ac:dyDescent="0.25">
      <c r="A2013" s="98" t="s">
        <v>24</v>
      </c>
      <c r="B2013" s="98" t="s">
        <v>17</v>
      </c>
      <c r="C2013" s="98">
        <v>5</v>
      </c>
      <c r="D2013" s="98">
        <v>3412</v>
      </c>
      <c r="E2013" s="157">
        <v>42778.298611111109</v>
      </c>
      <c r="F2013" s="157">
        <v>42778.331944444442</v>
      </c>
      <c r="G2013" s="98">
        <v>200</v>
      </c>
      <c r="H2013" s="98">
        <v>525</v>
      </c>
      <c r="I2013" s="98">
        <v>478</v>
      </c>
      <c r="J2013" s="98" t="s">
        <v>2162</v>
      </c>
      <c r="K2013" s="98" t="s">
        <v>4196</v>
      </c>
      <c r="L2013" s="105" t="str">
        <f t="shared" si="330"/>
        <v>Ghent</v>
      </c>
      <c r="M2013" s="105" t="str">
        <f t="shared" si="331"/>
        <v>Derate</v>
      </c>
      <c r="N2013" s="105" t="str">
        <f t="shared" si="332"/>
        <v>Coal</v>
      </c>
      <c r="O2013" s="105">
        <f>IFERROR(VLOOKUP(A2013,Lookup!$J$5:$P$19,7,FALSE),0)</f>
        <v>3</v>
      </c>
      <c r="P2013" s="159">
        <f t="shared" si="333"/>
        <v>2017</v>
      </c>
      <c r="Q2013" s="159">
        <f t="shared" si="334"/>
        <v>2</v>
      </c>
      <c r="R2013" s="160">
        <f t="shared" si="335"/>
        <v>0.79999999998835847</v>
      </c>
      <c r="S2013" s="158">
        <f t="shared" si="336"/>
        <v>0.49523809523088858</v>
      </c>
      <c r="T2013" s="161">
        <f t="shared" si="337"/>
        <v>236.72380952036474</v>
      </c>
      <c r="U2013" s="158">
        <f t="shared" si="338"/>
        <v>295.90476190476193</v>
      </c>
      <c r="V2013" s="160">
        <f t="shared" si="339"/>
        <v>296</v>
      </c>
    </row>
    <row r="2014" spans="1:22" x14ac:dyDescent="0.25">
      <c r="A2014" s="98" t="s">
        <v>24</v>
      </c>
      <c r="B2014" s="98" t="s">
        <v>15</v>
      </c>
      <c r="C2014" s="98">
        <v>7</v>
      </c>
      <c r="D2014" s="98">
        <v>3412</v>
      </c>
      <c r="E2014" s="157">
        <v>42778.331944444442</v>
      </c>
      <c r="F2014" s="157">
        <v>42778.976388888892</v>
      </c>
      <c r="G2014" s="98">
        <v>0</v>
      </c>
      <c r="H2014" s="98">
        <v>525</v>
      </c>
      <c r="I2014" s="98">
        <v>478</v>
      </c>
      <c r="J2014" s="98" t="s">
        <v>2162</v>
      </c>
      <c r="K2014" s="98" t="s">
        <v>4197</v>
      </c>
      <c r="L2014" s="105" t="str">
        <f t="shared" si="330"/>
        <v>Ghent</v>
      </c>
      <c r="M2014" s="105" t="str">
        <f t="shared" si="331"/>
        <v>Outage</v>
      </c>
      <c r="N2014" s="105" t="str">
        <f t="shared" si="332"/>
        <v>Coal</v>
      </c>
      <c r="O2014" s="105">
        <f>IFERROR(VLOOKUP(A2014,Lookup!$J$5:$P$19,7,FALSE),0)</f>
        <v>3</v>
      </c>
      <c r="P2014" s="159">
        <f t="shared" si="333"/>
        <v>2017</v>
      </c>
      <c r="Q2014" s="159">
        <f t="shared" si="334"/>
        <v>2</v>
      </c>
      <c r="R2014" s="160">
        <f t="shared" si="335"/>
        <v>15.466666666790843</v>
      </c>
      <c r="S2014" s="158">
        <f t="shared" si="336"/>
        <v>15.466666666790843</v>
      </c>
      <c r="T2014" s="161">
        <f t="shared" si="337"/>
        <v>7393.066666726023</v>
      </c>
      <c r="U2014" s="158">
        <f t="shared" si="338"/>
        <v>478</v>
      </c>
      <c r="V2014" s="160">
        <f t="shared" si="339"/>
        <v>478</v>
      </c>
    </row>
    <row r="2015" spans="1:22" x14ac:dyDescent="0.25">
      <c r="A2015" s="98" t="s">
        <v>24</v>
      </c>
      <c r="B2015" s="98" t="s">
        <v>17</v>
      </c>
      <c r="C2015" s="98">
        <v>8</v>
      </c>
      <c r="D2015" s="98">
        <v>4499</v>
      </c>
      <c r="E2015" s="157">
        <v>42778.976388888892</v>
      </c>
      <c r="F2015" s="157">
        <v>42794.999305555553</v>
      </c>
      <c r="G2015" s="98">
        <v>515</v>
      </c>
      <c r="H2015" s="98">
        <v>525</v>
      </c>
      <c r="I2015" s="98">
        <v>478</v>
      </c>
      <c r="J2015" s="98" t="s">
        <v>2082</v>
      </c>
      <c r="K2015" s="98" t="s">
        <v>4198</v>
      </c>
      <c r="L2015" s="105" t="str">
        <f t="shared" si="330"/>
        <v>Ghent</v>
      </c>
      <c r="M2015" s="105" t="str">
        <f t="shared" si="331"/>
        <v>Derate</v>
      </c>
      <c r="N2015" s="105" t="str">
        <f t="shared" si="332"/>
        <v>Coal</v>
      </c>
      <c r="O2015" s="105">
        <f>IFERROR(VLOOKUP(A2015,Lookup!$J$5:$P$19,7,FALSE),0)</f>
        <v>3</v>
      </c>
      <c r="P2015" s="159">
        <f t="shared" si="333"/>
        <v>2017</v>
      </c>
      <c r="Q2015" s="159">
        <f t="shared" si="334"/>
        <v>2</v>
      </c>
      <c r="R2015" s="160">
        <f t="shared" si="335"/>
        <v>384.54999999987194</v>
      </c>
      <c r="S2015" s="158">
        <f t="shared" si="336"/>
        <v>7.3247619047594652</v>
      </c>
      <c r="T2015" s="161">
        <f t="shared" si="337"/>
        <v>3501.2361904750242</v>
      </c>
      <c r="U2015" s="158">
        <f t="shared" si="338"/>
        <v>9.1047619047619044</v>
      </c>
      <c r="V2015" s="160">
        <f t="shared" si="339"/>
        <v>9</v>
      </c>
    </row>
    <row r="2016" spans="1:22" x14ac:dyDescent="0.25">
      <c r="A2016" s="98" t="s">
        <v>24</v>
      </c>
      <c r="B2016" s="98" t="s">
        <v>17</v>
      </c>
      <c r="C2016" s="98">
        <v>9</v>
      </c>
      <c r="D2016" s="98">
        <v>4499</v>
      </c>
      <c r="E2016" s="157">
        <v>42795</v>
      </c>
      <c r="F2016" s="157">
        <v>42795.544444444444</v>
      </c>
      <c r="G2016" s="98">
        <v>515</v>
      </c>
      <c r="H2016" s="98">
        <v>525</v>
      </c>
      <c r="I2016" s="98">
        <v>478</v>
      </c>
      <c r="J2016" s="98" t="s">
        <v>2082</v>
      </c>
      <c r="K2016" s="98" t="s">
        <v>4199</v>
      </c>
      <c r="L2016" s="105" t="str">
        <f t="shared" si="330"/>
        <v>Ghent</v>
      </c>
      <c r="M2016" s="105" t="str">
        <f t="shared" si="331"/>
        <v>Derate</v>
      </c>
      <c r="N2016" s="105" t="str">
        <f t="shared" si="332"/>
        <v>Coal</v>
      </c>
      <c r="O2016" s="105">
        <f>IFERROR(VLOOKUP(A2016,Lookup!$J$5:$P$19,7,FALSE),0)</f>
        <v>3</v>
      </c>
      <c r="P2016" s="159">
        <f t="shared" si="333"/>
        <v>2017</v>
      </c>
      <c r="Q2016" s="159">
        <f t="shared" si="334"/>
        <v>3</v>
      </c>
      <c r="R2016" s="160">
        <f t="shared" si="335"/>
        <v>13.066666666651145</v>
      </c>
      <c r="S2016" s="158">
        <f t="shared" si="336"/>
        <v>0.24888888888859323</v>
      </c>
      <c r="T2016" s="161">
        <f t="shared" si="337"/>
        <v>118.96888888874756</v>
      </c>
      <c r="U2016" s="158">
        <f t="shared" si="338"/>
        <v>9.1047619047619044</v>
      </c>
      <c r="V2016" s="160">
        <f t="shared" si="339"/>
        <v>9</v>
      </c>
    </row>
    <row r="2017" spans="1:22" x14ac:dyDescent="0.25">
      <c r="A2017" s="98" t="s">
        <v>24</v>
      </c>
      <c r="B2017" s="98" t="s">
        <v>17</v>
      </c>
      <c r="C2017" s="98">
        <v>10</v>
      </c>
      <c r="D2017" s="98">
        <v>4499</v>
      </c>
      <c r="E2017" s="157">
        <v>42795.544444444444</v>
      </c>
      <c r="F2017" s="157">
        <v>42795.681944444441</v>
      </c>
      <c r="G2017" s="98">
        <v>505</v>
      </c>
      <c r="H2017" s="98">
        <v>525</v>
      </c>
      <c r="I2017" s="98">
        <v>478</v>
      </c>
      <c r="J2017" s="98" t="s">
        <v>2082</v>
      </c>
      <c r="K2017" s="98" t="s">
        <v>4200</v>
      </c>
      <c r="L2017" s="105" t="str">
        <f t="shared" si="330"/>
        <v>Ghent</v>
      </c>
      <c r="M2017" s="105" t="str">
        <f t="shared" si="331"/>
        <v>Derate</v>
      </c>
      <c r="N2017" s="105" t="str">
        <f t="shared" si="332"/>
        <v>Coal</v>
      </c>
      <c r="O2017" s="105">
        <f>IFERROR(VLOOKUP(A2017,Lookup!$J$5:$P$19,7,FALSE),0)</f>
        <v>3</v>
      </c>
      <c r="P2017" s="159">
        <f t="shared" si="333"/>
        <v>2017</v>
      </c>
      <c r="Q2017" s="159">
        <f t="shared" si="334"/>
        <v>3</v>
      </c>
      <c r="R2017" s="160">
        <f t="shared" si="335"/>
        <v>3.2999999999301508</v>
      </c>
      <c r="S2017" s="158">
        <f t="shared" si="336"/>
        <v>0.1257142857116248</v>
      </c>
      <c r="T2017" s="161">
        <f t="shared" si="337"/>
        <v>60.091428570156651</v>
      </c>
      <c r="U2017" s="158">
        <f t="shared" si="338"/>
        <v>18.209523809523809</v>
      </c>
      <c r="V2017" s="160">
        <f t="shared" si="339"/>
        <v>18</v>
      </c>
    </row>
    <row r="2018" spans="1:22" x14ac:dyDescent="0.25">
      <c r="A2018" s="98" t="s">
        <v>24</v>
      </c>
      <c r="B2018" s="98" t="s">
        <v>17</v>
      </c>
      <c r="C2018" s="98">
        <v>11</v>
      </c>
      <c r="D2018" s="98">
        <v>4499</v>
      </c>
      <c r="E2018" s="157">
        <v>42795.681944444441</v>
      </c>
      <c r="F2018" s="157">
        <v>42801.285416666666</v>
      </c>
      <c r="G2018" s="98">
        <v>515</v>
      </c>
      <c r="H2018" s="98">
        <v>525</v>
      </c>
      <c r="I2018" s="98">
        <v>478</v>
      </c>
      <c r="J2018" s="98" t="s">
        <v>2082</v>
      </c>
      <c r="K2018" s="98" t="s">
        <v>4201</v>
      </c>
      <c r="L2018" s="105" t="str">
        <f t="shared" si="330"/>
        <v>Ghent</v>
      </c>
      <c r="M2018" s="105" t="str">
        <f t="shared" si="331"/>
        <v>Derate</v>
      </c>
      <c r="N2018" s="105" t="str">
        <f t="shared" si="332"/>
        <v>Coal</v>
      </c>
      <c r="O2018" s="105">
        <f>IFERROR(VLOOKUP(A2018,Lookup!$J$5:$P$19,7,FALSE),0)</f>
        <v>3</v>
      </c>
      <c r="P2018" s="159">
        <f t="shared" si="333"/>
        <v>2017</v>
      </c>
      <c r="Q2018" s="159">
        <f t="shared" si="334"/>
        <v>3</v>
      </c>
      <c r="R2018" s="160">
        <f t="shared" si="335"/>
        <v>134.48333333339542</v>
      </c>
      <c r="S2018" s="158">
        <f t="shared" si="336"/>
        <v>2.5615873015884842</v>
      </c>
      <c r="T2018" s="161">
        <f t="shared" si="337"/>
        <v>1224.4387301592956</v>
      </c>
      <c r="U2018" s="158">
        <f t="shared" si="338"/>
        <v>9.1047619047619044</v>
      </c>
      <c r="V2018" s="160">
        <f t="shared" si="339"/>
        <v>9</v>
      </c>
    </row>
    <row r="2019" spans="1:22" x14ac:dyDescent="0.25">
      <c r="A2019" s="98" t="s">
        <v>24</v>
      </c>
      <c r="B2019" s="98" t="s">
        <v>17</v>
      </c>
      <c r="C2019" s="98">
        <v>12</v>
      </c>
      <c r="D2019" s="98">
        <v>4499</v>
      </c>
      <c r="E2019" s="157">
        <v>42801.285416666666</v>
      </c>
      <c r="F2019" s="157">
        <v>42801.365972222222</v>
      </c>
      <c r="G2019" s="98">
        <v>509</v>
      </c>
      <c r="H2019" s="98">
        <v>525</v>
      </c>
      <c r="I2019" s="98">
        <v>478</v>
      </c>
      <c r="J2019" s="98" t="s">
        <v>2082</v>
      </c>
      <c r="K2019" s="98" t="s">
        <v>4202</v>
      </c>
      <c r="L2019" s="105" t="str">
        <f t="shared" si="330"/>
        <v>Ghent</v>
      </c>
      <c r="M2019" s="105" t="str">
        <f t="shared" si="331"/>
        <v>Derate</v>
      </c>
      <c r="N2019" s="105" t="str">
        <f t="shared" si="332"/>
        <v>Coal</v>
      </c>
      <c r="O2019" s="105">
        <f>IFERROR(VLOOKUP(A2019,Lookup!$J$5:$P$19,7,FALSE),0)</f>
        <v>3</v>
      </c>
      <c r="P2019" s="159">
        <f t="shared" si="333"/>
        <v>2017</v>
      </c>
      <c r="Q2019" s="159">
        <f t="shared" si="334"/>
        <v>3</v>
      </c>
      <c r="R2019" s="160">
        <f t="shared" si="335"/>
        <v>1.9333333333488554</v>
      </c>
      <c r="S2019" s="158">
        <f t="shared" si="336"/>
        <v>5.8920634921107974E-2</v>
      </c>
      <c r="T2019" s="161">
        <f t="shared" si="337"/>
        <v>28.16406349228961</v>
      </c>
      <c r="U2019" s="158">
        <f t="shared" si="338"/>
        <v>14.567619047619047</v>
      </c>
      <c r="V2019" s="160">
        <f t="shared" si="339"/>
        <v>15</v>
      </c>
    </row>
    <row r="2020" spans="1:22" x14ac:dyDescent="0.25">
      <c r="A2020" s="98" t="s">
        <v>24</v>
      </c>
      <c r="B2020" s="98" t="s">
        <v>17</v>
      </c>
      <c r="C2020" s="98">
        <v>13</v>
      </c>
      <c r="D2020" s="98">
        <v>4499</v>
      </c>
      <c r="E2020" s="157">
        <v>42801.365972222222</v>
      </c>
      <c r="F2020" s="157">
        <v>42832.993750000001</v>
      </c>
      <c r="G2020" s="98">
        <v>510</v>
      </c>
      <c r="H2020" s="98">
        <v>525</v>
      </c>
      <c r="I2020" s="98">
        <v>478</v>
      </c>
      <c r="J2020" s="98" t="s">
        <v>2082</v>
      </c>
      <c r="K2020" s="98" t="s">
        <v>4203</v>
      </c>
      <c r="L2020" s="105" t="str">
        <f t="shared" si="330"/>
        <v>Ghent</v>
      </c>
      <c r="M2020" s="105" t="str">
        <f t="shared" si="331"/>
        <v>Derate</v>
      </c>
      <c r="N2020" s="105" t="str">
        <f t="shared" si="332"/>
        <v>Coal</v>
      </c>
      <c r="O2020" s="105">
        <f>IFERROR(VLOOKUP(A2020,Lookup!$J$5:$P$19,7,FALSE),0)</f>
        <v>3</v>
      </c>
      <c r="P2020" s="159">
        <f t="shared" si="333"/>
        <v>2017</v>
      </c>
      <c r="Q2020" s="159">
        <f t="shared" si="334"/>
        <v>3</v>
      </c>
      <c r="R2020" s="160">
        <f t="shared" si="335"/>
        <v>759.06666666670935</v>
      </c>
      <c r="S2020" s="158">
        <f t="shared" si="336"/>
        <v>21.687619047620267</v>
      </c>
      <c r="T2020" s="161">
        <f t="shared" si="337"/>
        <v>10366.681904762487</v>
      </c>
      <c r="U2020" s="158">
        <f t="shared" si="338"/>
        <v>13.657142857142857</v>
      </c>
      <c r="V2020" s="160">
        <f t="shared" si="339"/>
        <v>14</v>
      </c>
    </row>
    <row r="2021" spans="1:22" x14ac:dyDescent="0.25">
      <c r="A2021" s="98" t="s">
        <v>24</v>
      </c>
      <c r="B2021" s="98" t="s">
        <v>32</v>
      </c>
      <c r="C2021" s="98">
        <v>14</v>
      </c>
      <c r="D2021" s="98">
        <v>1980</v>
      </c>
      <c r="E2021" s="157">
        <v>42830.947916666664</v>
      </c>
      <c r="F2021" s="157">
        <v>42831.004166666666</v>
      </c>
      <c r="G2021" s="98">
        <v>440</v>
      </c>
      <c r="H2021" s="98">
        <v>525</v>
      </c>
      <c r="I2021" s="98">
        <v>478</v>
      </c>
      <c r="J2021" s="98" t="s">
        <v>2126</v>
      </c>
      <c r="K2021" s="98" t="s">
        <v>4204</v>
      </c>
      <c r="L2021" s="105" t="str">
        <f t="shared" si="330"/>
        <v>Ghent</v>
      </c>
      <c r="M2021" s="105" t="str">
        <f t="shared" si="331"/>
        <v>Derate</v>
      </c>
      <c r="N2021" s="105" t="str">
        <f t="shared" si="332"/>
        <v>Coal</v>
      </c>
      <c r="O2021" s="105">
        <f>IFERROR(VLOOKUP(A2021,Lookup!$J$5:$P$19,7,FALSE),0)</f>
        <v>3</v>
      </c>
      <c r="P2021" s="159">
        <f t="shared" si="333"/>
        <v>2017</v>
      </c>
      <c r="Q2021" s="159">
        <f t="shared" si="334"/>
        <v>4</v>
      </c>
      <c r="R2021" s="160">
        <f t="shared" si="335"/>
        <v>1.3500000000349246</v>
      </c>
      <c r="S2021" s="158">
        <f t="shared" si="336"/>
        <v>0.21857142857708303</v>
      </c>
      <c r="T2021" s="161">
        <f t="shared" si="337"/>
        <v>104.47714285984569</v>
      </c>
      <c r="U2021" s="158">
        <f t="shared" si="338"/>
        <v>77.390476190476193</v>
      </c>
      <c r="V2021" s="160">
        <f t="shared" si="339"/>
        <v>77</v>
      </c>
    </row>
    <row r="2022" spans="1:22" x14ac:dyDescent="0.25">
      <c r="A2022" s="98" t="s">
        <v>24</v>
      </c>
      <c r="B2022" s="98" t="s">
        <v>38</v>
      </c>
      <c r="C2022" s="98">
        <v>15</v>
      </c>
      <c r="D2022" s="98">
        <v>1801</v>
      </c>
      <c r="E2022" s="157">
        <v>42832.993750000001</v>
      </c>
      <c r="F2022" s="157">
        <v>42853.234722222223</v>
      </c>
      <c r="G2022" s="98">
        <v>0</v>
      </c>
      <c r="H2022" s="98">
        <v>525</v>
      </c>
      <c r="I2022" s="98">
        <v>478</v>
      </c>
      <c r="J2022" s="98" t="s">
        <v>2021</v>
      </c>
      <c r="K2022" s="98" t="s">
        <v>4205</v>
      </c>
      <c r="L2022" s="105" t="str">
        <f t="shared" si="330"/>
        <v>Ghent</v>
      </c>
      <c r="M2022" s="105" t="str">
        <f t="shared" si="331"/>
        <v>Other</v>
      </c>
      <c r="N2022" s="105" t="str">
        <f t="shared" si="332"/>
        <v>Coal</v>
      </c>
      <c r="O2022" s="105">
        <f>IFERROR(VLOOKUP(A2022,Lookup!$J$5:$P$19,7,FALSE),0)</f>
        <v>3</v>
      </c>
      <c r="P2022" s="159">
        <f t="shared" si="333"/>
        <v>2017</v>
      </c>
      <c r="Q2022" s="159">
        <f t="shared" si="334"/>
        <v>4</v>
      </c>
      <c r="R2022" s="160">
        <f t="shared" si="335"/>
        <v>485.78333333332557</v>
      </c>
      <c r="S2022" s="158">
        <f t="shared" si="336"/>
        <v>485.78333333332557</v>
      </c>
      <c r="T2022" s="161">
        <f t="shared" si="337"/>
        <v>232204.43333332962</v>
      </c>
      <c r="U2022" s="158">
        <f t="shared" si="338"/>
        <v>478</v>
      </c>
      <c r="V2022" s="160">
        <f t="shared" si="339"/>
        <v>478</v>
      </c>
    </row>
    <row r="2023" spans="1:22" x14ac:dyDescent="0.25">
      <c r="A2023" s="98" t="s">
        <v>24</v>
      </c>
      <c r="B2023" s="98" t="s">
        <v>15</v>
      </c>
      <c r="C2023" s="98">
        <v>16</v>
      </c>
      <c r="D2023" s="98">
        <v>1040</v>
      </c>
      <c r="E2023" s="157">
        <v>42858.081250000003</v>
      </c>
      <c r="F2023" s="157">
        <v>42859.856944444444</v>
      </c>
      <c r="G2023" s="98">
        <v>0</v>
      </c>
      <c r="H2023" s="98">
        <v>525</v>
      </c>
      <c r="I2023" s="98">
        <v>478</v>
      </c>
      <c r="J2023" s="98" t="s">
        <v>2001</v>
      </c>
      <c r="K2023" s="98" t="s">
        <v>4206</v>
      </c>
      <c r="L2023" s="105" t="str">
        <f t="shared" ref="L2023:L2044" si="340">IF(OR(A2023="BR1",A2023="BR2",A2023="BR3",A2023="BR5",A2023="BR6",A2023="BR7",A2023="BR8",A2023="BR9",A2023="BR10",A2023="BR11"),"Brown",IF(OR(A2023="CR4",A2023="CR5",A2023="CR6",A2023="CR11"),"Cane Run",IF(OR(A2023="GH1",A2023="GH2",A2023="GH3",A2023="GH4"),"Ghent",IF(OR(A2023="GR3",A2023="GR4"),"Green River",IF(OR(A2023="MC1",A2023="MC2",A2023="MC3",A2023="MC4"),"Mill Creek",IF(OR(A2023="TC1",A2023="TC2",A2023="TC5",A2023="TC6",A2023="TC7",A2023="TC8",A2023="TC9",A2023="TC10"),"Trimble",IF(A2023="TY3","Tyrone",IF(OR(A2023="HA1",A2023="HA2",A2023="HA3"),"Haeflin",IF(OR(A2023="PR11",A2023="PR12",A2023="PR13"),"Paddy's Run","Zorn")))))))))</f>
        <v>Ghent</v>
      </c>
      <c r="M2023" s="105" t="str">
        <f t="shared" ref="M2023:M2044" si="341">IF(OR(B2023="D1",B2023="D2",B2023="D3",B2023="D4",B2023="PD"),"Derate",IF(OR(B2023="SF",B2023="U1",B2023="U2",B2023="U3"),"Outage",IF(OR(B2023="ME",B2023="MO"),"Maintenance","Other")))</f>
        <v>Outage</v>
      </c>
      <c r="N2023" s="105" t="str">
        <f t="shared" ref="N2023:N2044" si="342">IF(OR(A2023="BR1",A2023="BR2",A2023="BR3",A2023="CR4",A2023="CR5",A2023="CR6",A2023="GH1",A2023="GH2",A2023="GH3",A2023="GH4",A2023="GR3",A2023="GR4",A2023="MC1",A2023="MC2",A2023="MC3",A2023="MC4",A2023="TC1",A2023="TC2",A2023="TY3"),"Coal","Gas")</f>
        <v>Coal</v>
      </c>
      <c r="O2023" s="105">
        <f>IFERROR(VLOOKUP(A2023,Lookup!$J$5:$P$19,7,FALSE),0)</f>
        <v>3</v>
      </c>
      <c r="P2023" s="159">
        <f t="shared" ref="P2023:P2044" si="343">YEAR(E2023)</f>
        <v>2017</v>
      </c>
      <c r="Q2023" s="159">
        <f t="shared" ref="Q2023:Q2044" si="344">MONTH(E2023)</f>
        <v>5</v>
      </c>
      <c r="R2023" s="160">
        <f t="shared" ref="R2023:R2044" si="345">(F2023-E2023)*24</f>
        <v>42.616666666581295</v>
      </c>
      <c r="S2023" s="158">
        <f t="shared" ref="S2023:S2044" si="346">R2023*(H2023-G2023)/H2023</f>
        <v>42.616666666581295</v>
      </c>
      <c r="T2023" s="161">
        <f t="shared" ref="T2023:T2044" si="347">S2023*I2023</f>
        <v>20370.766666625859</v>
      </c>
      <c r="U2023" s="158">
        <f t="shared" ref="U2023:U2044" si="348">IF(G2023&gt;0,MAX((H2023-G2023),0)*I2023/H2023,I2023)</f>
        <v>478</v>
      </c>
      <c r="V2023" s="160">
        <f t="shared" ref="V2023:V2044" si="349">ROUND(U2023,0)</f>
        <v>478</v>
      </c>
    </row>
    <row r="2024" spans="1:22" x14ac:dyDescent="0.25">
      <c r="A2024" s="98" t="s">
        <v>24</v>
      </c>
      <c r="B2024" s="98" t="s">
        <v>17</v>
      </c>
      <c r="C2024" s="98">
        <v>17</v>
      </c>
      <c r="D2024" s="98">
        <v>3661</v>
      </c>
      <c r="E2024" s="157">
        <v>42872.395138888889</v>
      </c>
      <c r="F2024" s="157">
        <v>42872.404861111114</v>
      </c>
      <c r="G2024" s="98">
        <v>411</v>
      </c>
      <c r="H2024" s="98">
        <v>525</v>
      </c>
      <c r="I2024" s="98">
        <v>478</v>
      </c>
      <c r="J2024" s="98" t="s">
        <v>2170</v>
      </c>
      <c r="K2024" s="98" t="s">
        <v>4207</v>
      </c>
      <c r="L2024" s="105" t="str">
        <f t="shared" si="340"/>
        <v>Ghent</v>
      </c>
      <c r="M2024" s="105" t="str">
        <f t="shared" si="341"/>
        <v>Derate</v>
      </c>
      <c r="N2024" s="105" t="str">
        <f t="shared" si="342"/>
        <v>Coal</v>
      </c>
      <c r="O2024" s="105">
        <f>IFERROR(VLOOKUP(A2024,Lookup!$J$5:$P$19,7,FALSE),0)</f>
        <v>3</v>
      </c>
      <c r="P2024" s="159">
        <f t="shared" si="343"/>
        <v>2017</v>
      </c>
      <c r="Q2024" s="159">
        <f t="shared" si="344"/>
        <v>5</v>
      </c>
      <c r="R2024" s="160">
        <f t="shared" si="345"/>
        <v>0.2333333333954215</v>
      </c>
      <c r="S2024" s="158">
        <f t="shared" si="346"/>
        <v>5.0666666680148673E-2</v>
      </c>
      <c r="T2024" s="161">
        <f t="shared" si="347"/>
        <v>24.218666673111066</v>
      </c>
      <c r="U2024" s="158">
        <f t="shared" si="348"/>
        <v>103.79428571428572</v>
      </c>
      <c r="V2024" s="160">
        <f t="shared" si="349"/>
        <v>104</v>
      </c>
    </row>
    <row r="2025" spans="1:22" x14ac:dyDescent="0.25">
      <c r="A2025" s="98" t="s">
        <v>24</v>
      </c>
      <c r="B2025" s="98" t="s">
        <v>17</v>
      </c>
      <c r="C2025" s="98">
        <v>18</v>
      </c>
      <c r="D2025" s="98">
        <v>335</v>
      </c>
      <c r="E2025" s="157">
        <v>42900.138194444444</v>
      </c>
      <c r="F2025" s="157">
        <v>42900.384722222225</v>
      </c>
      <c r="G2025" s="98">
        <v>420</v>
      </c>
      <c r="H2025" s="98">
        <v>525</v>
      </c>
      <c r="I2025" s="98">
        <v>478</v>
      </c>
      <c r="J2025" s="98" t="s">
        <v>2131</v>
      </c>
      <c r="K2025" s="98" t="s">
        <v>4208</v>
      </c>
      <c r="L2025" s="105" t="str">
        <f t="shared" si="340"/>
        <v>Ghent</v>
      </c>
      <c r="M2025" s="105" t="str">
        <f t="shared" si="341"/>
        <v>Derate</v>
      </c>
      <c r="N2025" s="105" t="str">
        <f t="shared" si="342"/>
        <v>Coal</v>
      </c>
      <c r="O2025" s="105">
        <f>IFERROR(VLOOKUP(A2025,Lookup!$J$5:$P$19,7,FALSE),0)</f>
        <v>3</v>
      </c>
      <c r="P2025" s="159">
        <f t="shared" si="343"/>
        <v>2017</v>
      </c>
      <c r="Q2025" s="159">
        <f t="shared" si="344"/>
        <v>6</v>
      </c>
      <c r="R2025" s="160">
        <f t="shared" si="345"/>
        <v>5.9166666667442769</v>
      </c>
      <c r="S2025" s="158">
        <f t="shared" si="346"/>
        <v>1.1833333333488554</v>
      </c>
      <c r="T2025" s="161">
        <f t="shared" si="347"/>
        <v>565.63333334075287</v>
      </c>
      <c r="U2025" s="158">
        <f t="shared" si="348"/>
        <v>95.6</v>
      </c>
      <c r="V2025" s="160">
        <f t="shared" si="349"/>
        <v>96</v>
      </c>
    </row>
    <row r="2026" spans="1:22" x14ac:dyDescent="0.25">
      <c r="A2026" s="98" t="s">
        <v>24</v>
      </c>
      <c r="B2026" s="98" t="s">
        <v>15</v>
      </c>
      <c r="C2026" s="98">
        <v>19</v>
      </c>
      <c r="D2026" s="98">
        <v>1040</v>
      </c>
      <c r="E2026" s="157">
        <v>42931.772916666669</v>
      </c>
      <c r="F2026" s="157">
        <v>42933.835416666669</v>
      </c>
      <c r="G2026" s="98">
        <v>0</v>
      </c>
      <c r="H2026" s="98">
        <v>525</v>
      </c>
      <c r="I2026" s="98">
        <v>478</v>
      </c>
      <c r="J2026" s="98" t="s">
        <v>2001</v>
      </c>
      <c r="K2026" s="98" t="s">
        <v>4751</v>
      </c>
      <c r="L2026" s="105" t="str">
        <f t="shared" si="340"/>
        <v>Ghent</v>
      </c>
      <c r="M2026" s="105" t="str">
        <f t="shared" si="341"/>
        <v>Outage</v>
      </c>
      <c r="N2026" s="105" t="str">
        <f t="shared" si="342"/>
        <v>Coal</v>
      </c>
      <c r="O2026" s="105">
        <f>IFERROR(VLOOKUP(A2026,Lookup!$J$5:$P$19,7,FALSE),0)</f>
        <v>3</v>
      </c>
      <c r="P2026" s="159">
        <f t="shared" si="343"/>
        <v>2017</v>
      </c>
      <c r="Q2026" s="159">
        <f t="shared" si="344"/>
        <v>7</v>
      </c>
      <c r="R2026" s="160">
        <f t="shared" si="345"/>
        <v>49.5</v>
      </c>
      <c r="S2026" s="158">
        <f t="shared" si="346"/>
        <v>49.5</v>
      </c>
      <c r="T2026" s="161">
        <f t="shared" si="347"/>
        <v>23661</v>
      </c>
      <c r="U2026" s="158">
        <f t="shared" si="348"/>
        <v>478</v>
      </c>
      <c r="V2026" s="160">
        <f t="shared" si="349"/>
        <v>478</v>
      </c>
    </row>
    <row r="2027" spans="1:22" x14ac:dyDescent="0.25">
      <c r="A2027" s="98" t="s">
        <v>24</v>
      </c>
      <c r="B2027" s="98" t="s">
        <v>15</v>
      </c>
      <c r="C2027" s="98">
        <v>20</v>
      </c>
      <c r="D2027" s="98">
        <v>1040</v>
      </c>
      <c r="E2027" s="157">
        <v>42941.104166666664</v>
      </c>
      <c r="F2027" s="157">
        <v>42942.726388888892</v>
      </c>
      <c r="G2027" s="98">
        <v>0</v>
      </c>
      <c r="H2027" s="98">
        <v>525</v>
      </c>
      <c r="I2027" s="98">
        <v>478</v>
      </c>
      <c r="J2027" s="98" t="s">
        <v>2001</v>
      </c>
      <c r="K2027" s="98" t="s">
        <v>4752</v>
      </c>
      <c r="L2027" s="105" t="str">
        <f t="shared" si="340"/>
        <v>Ghent</v>
      </c>
      <c r="M2027" s="105" t="str">
        <f t="shared" si="341"/>
        <v>Outage</v>
      </c>
      <c r="N2027" s="105" t="str">
        <f t="shared" si="342"/>
        <v>Coal</v>
      </c>
      <c r="O2027" s="105">
        <f>IFERROR(VLOOKUP(A2027,Lookup!$J$5:$P$19,7,FALSE),0)</f>
        <v>3</v>
      </c>
      <c r="P2027" s="159">
        <f t="shared" si="343"/>
        <v>2017</v>
      </c>
      <c r="Q2027" s="159">
        <f t="shared" si="344"/>
        <v>7</v>
      </c>
      <c r="R2027" s="160">
        <f t="shared" si="345"/>
        <v>38.933333333465271</v>
      </c>
      <c r="S2027" s="158">
        <f t="shared" si="346"/>
        <v>38.933333333465271</v>
      </c>
      <c r="T2027" s="161">
        <f t="shared" si="347"/>
        <v>18610.133333396399</v>
      </c>
      <c r="U2027" s="158">
        <f t="shared" si="348"/>
        <v>478</v>
      </c>
      <c r="V2027" s="160">
        <f t="shared" si="349"/>
        <v>478</v>
      </c>
    </row>
    <row r="2028" spans="1:22" x14ac:dyDescent="0.25">
      <c r="A2028" s="98" t="s">
        <v>24</v>
      </c>
      <c r="B2028" s="98" t="s">
        <v>17</v>
      </c>
      <c r="C2028" s="98">
        <v>21</v>
      </c>
      <c r="D2028" s="98">
        <v>1470</v>
      </c>
      <c r="E2028" s="157">
        <v>42993.513194444444</v>
      </c>
      <c r="F2028" s="157">
        <v>42993.536805555559</v>
      </c>
      <c r="G2028" s="98">
        <v>450</v>
      </c>
      <c r="H2028" s="98">
        <v>525</v>
      </c>
      <c r="I2028" s="98">
        <v>478</v>
      </c>
      <c r="J2028" s="98" t="s">
        <v>2005</v>
      </c>
      <c r="K2028" s="98" t="s">
        <v>4753</v>
      </c>
      <c r="L2028" s="105" t="str">
        <f t="shared" si="340"/>
        <v>Ghent</v>
      </c>
      <c r="M2028" s="105" t="str">
        <f t="shared" si="341"/>
        <v>Derate</v>
      </c>
      <c r="N2028" s="105" t="str">
        <f t="shared" si="342"/>
        <v>Coal</v>
      </c>
      <c r="O2028" s="105">
        <f>IFERROR(VLOOKUP(A2028,Lookup!$J$5:$P$19,7,FALSE),0)</f>
        <v>3</v>
      </c>
      <c r="P2028" s="159">
        <f t="shared" si="343"/>
        <v>2017</v>
      </c>
      <c r="Q2028" s="159">
        <f t="shared" si="344"/>
        <v>9</v>
      </c>
      <c r="R2028" s="160">
        <f t="shared" si="345"/>
        <v>0.56666666676755995</v>
      </c>
      <c r="S2028" s="158">
        <f t="shared" si="346"/>
        <v>8.0952380966794274E-2</v>
      </c>
      <c r="T2028" s="161">
        <f t="shared" si="347"/>
        <v>38.695238102127661</v>
      </c>
      <c r="U2028" s="158">
        <f t="shared" si="348"/>
        <v>68.285714285714292</v>
      </c>
      <c r="V2028" s="160">
        <f t="shared" si="349"/>
        <v>68</v>
      </c>
    </row>
    <row r="2029" spans="1:22" x14ac:dyDescent="0.25">
      <c r="A2029" s="98" t="s">
        <v>24</v>
      </c>
      <c r="B2029" s="98" t="s">
        <v>17</v>
      </c>
      <c r="C2029" s="98">
        <v>22</v>
      </c>
      <c r="D2029" s="98">
        <v>1470</v>
      </c>
      <c r="E2029" s="157">
        <v>42993.536805555559</v>
      </c>
      <c r="F2029" s="157">
        <v>42993.613888888889</v>
      </c>
      <c r="G2029" s="98">
        <v>425</v>
      </c>
      <c r="H2029" s="98">
        <v>525</v>
      </c>
      <c r="I2029" s="98">
        <v>478</v>
      </c>
      <c r="J2029" s="98" t="s">
        <v>2005</v>
      </c>
      <c r="K2029" s="98" t="s">
        <v>4754</v>
      </c>
      <c r="L2029" s="105" t="str">
        <f t="shared" si="340"/>
        <v>Ghent</v>
      </c>
      <c r="M2029" s="105" t="str">
        <f t="shared" si="341"/>
        <v>Derate</v>
      </c>
      <c r="N2029" s="105" t="str">
        <f t="shared" si="342"/>
        <v>Coal</v>
      </c>
      <c r="O2029" s="105">
        <f>IFERROR(VLOOKUP(A2029,Lookup!$J$5:$P$19,7,FALSE),0)</f>
        <v>3</v>
      </c>
      <c r="P2029" s="159">
        <f t="shared" si="343"/>
        <v>2017</v>
      </c>
      <c r="Q2029" s="159">
        <f t="shared" si="344"/>
        <v>9</v>
      </c>
      <c r="R2029" s="160">
        <f t="shared" si="345"/>
        <v>1.8499999999185093</v>
      </c>
      <c r="S2029" s="158">
        <f t="shared" si="346"/>
        <v>0.35238095236543032</v>
      </c>
      <c r="T2029" s="161">
        <f t="shared" si="347"/>
        <v>168.43809523067569</v>
      </c>
      <c r="U2029" s="158">
        <f t="shared" si="348"/>
        <v>91.047619047619051</v>
      </c>
      <c r="V2029" s="160">
        <f t="shared" si="349"/>
        <v>91</v>
      </c>
    </row>
    <row r="2030" spans="1:22" x14ac:dyDescent="0.25">
      <c r="A2030" s="98" t="s">
        <v>24</v>
      </c>
      <c r="B2030" s="98" t="s">
        <v>17</v>
      </c>
      <c r="C2030" s="98">
        <v>23</v>
      </c>
      <c r="D2030" s="98">
        <v>320</v>
      </c>
      <c r="E2030" s="157">
        <v>42997.848611111112</v>
      </c>
      <c r="F2030" s="157">
        <v>42998.027083333334</v>
      </c>
      <c r="G2030" s="98">
        <v>420</v>
      </c>
      <c r="H2030" s="98">
        <v>525</v>
      </c>
      <c r="I2030" s="98">
        <v>478</v>
      </c>
      <c r="J2030" s="98" t="s">
        <v>1992</v>
      </c>
      <c r="K2030" s="98" t="s">
        <v>4755</v>
      </c>
      <c r="L2030" s="105" t="str">
        <f t="shared" si="340"/>
        <v>Ghent</v>
      </c>
      <c r="M2030" s="105" t="str">
        <f t="shared" si="341"/>
        <v>Derate</v>
      </c>
      <c r="N2030" s="105" t="str">
        <f t="shared" si="342"/>
        <v>Coal</v>
      </c>
      <c r="O2030" s="105">
        <f>IFERROR(VLOOKUP(A2030,Lookup!$J$5:$P$19,7,FALSE),0)</f>
        <v>3</v>
      </c>
      <c r="P2030" s="159">
        <f t="shared" si="343"/>
        <v>2017</v>
      </c>
      <c r="Q2030" s="159">
        <f t="shared" si="344"/>
        <v>9</v>
      </c>
      <c r="R2030" s="160">
        <f t="shared" si="345"/>
        <v>4.2833333333255723</v>
      </c>
      <c r="S2030" s="158">
        <f t="shared" si="346"/>
        <v>0.85666666666511448</v>
      </c>
      <c r="T2030" s="161">
        <f t="shared" si="347"/>
        <v>409.4866666659247</v>
      </c>
      <c r="U2030" s="158">
        <f t="shared" si="348"/>
        <v>95.6</v>
      </c>
      <c r="V2030" s="160">
        <f t="shared" si="349"/>
        <v>96</v>
      </c>
    </row>
    <row r="2031" spans="1:22" x14ac:dyDescent="0.25">
      <c r="A2031" s="98" t="s">
        <v>24</v>
      </c>
      <c r="B2031" s="98" t="s">
        <v>15</v>
      </c>
      <c r="C2031" s="98">
        <v>24</v>
      </c>
      <c r="D2031" s="98">
        <v>3220</v>
      </c>
      <c r="E2031" s="157">
        <v>43057.730555555558</v>
      </c>
      <c r="F2031" s="157">
        <v>43060.31527777778</v>
      </c>
      <c r="G2031" s="98">
        <v>0</v>
      </c>
      <c r="H2031" s="98">
        <v>525</v>
      </c>
      <c r="I2031" s="98">
        <v>478</v>
      </c>
      <c r="J2031" s="98" t="s">
        <v>2301</v>
      </c>
      <c r="K2031" s="98" t="s">
        <v>4756</v>
      </c>
      <c r="L2031" s="105" t="str">
        <f t="shared" si="340"/>
        <v>Ghent</v>
      </c>
      <c r="M2031" s="105" t="str">
        <f t="shared" si="341"/>
        <v>Outage</v>
      </c>
      <c r="N2031" s="105" t="str">
        <f t="shared" si="342"/>
        <v>Coal</v>
      </c>
      <c r="O2031" s="105">
        <f>IFERROR(VLOOKUP(A2031,Lookup!$J$5:$P$19,7,FALSE),0)</f>
        <v>3</v>
      </c>
      <c r="P2031" s="159">
        <f t="shared" si="343"/>
        <v>2017</v>
      </c>
      <c r="Q2031" s="159">
        <f t="shared" si="344"/>
        <v>11</v>
      </c>
      <c r="R2031" s="160">
        <f t="shared" si="345"/>
        <v>62.033333333325572</v>
      </c>
      <c r="S2031" s="158">
        <f t="shared" si="346"/>
        <v>62.033333333325572</v>
      </c>
      <c r="T2031" s="161">
        <f t="shared" si="347"/>
        <v>29651.933333329624</v>
      </c>
      <c r="U2031" s="158">
        <f t="shared" si="348"/>
        <v>478</v>
      </c>
      <c r="V2031" s="160">
        <f t="shared" si="349"/>
        <v>478</v>
      </c>
    </row>
    <row r="2032" spans="1:22" x14ac:dyDescent="0.25">
      <c r="A2032" s="98" t="s">
        <v>24</v>
      </c>
      <c r="B2032" s="98" t="s">
        <v>15</v>
      </c>
      <c r="C2032" s="98">
        <v>25</v>
      </c>
      <c r="D2032" s="98">
        <v>4800</v>
      </c>
      <c r="E2032" s="157">
        <v>43076.630555555559</v>
      </c>
      <c r="F2032" s="157">
        <v>43076.849305555559</v>
      </c>
      <c r="G2032" s="98">
        <v>0</v>
      </c>
      <c r="H2032" s="98">
        <v>525</v>
      </c>
      <c r="I2032" s="98">
        <v>478</v>
      </c>
      <c r="J2032" s="98" t="s">
        <v>2015</v>
      </c>
      <c r="K2032" s="98" t="s">
        <v>4757</v>
      </c>
      <c r="L2032" s="105" t="str">
        <f t="shared" si="340"/>
        <v>Ghent</v>
      </c>
      <c r="M2032" s="105" t="str">
        <f t="shared" si="341"/>
        <v>Outage</v>
      </c>
      <c r="N2032" s="105" t="str">
        <f t="shared" si="342"/>
        <v>Coal</v>
      </c>
      <c r="O2032" s="105">
        <f>IFERROR(VLOOKUP(A2032,Lookup!$J$5:$P$19,7,FALSE),0)</f>
        <v>3</v>
      </c>
      <c r="P2032" s="159">
        <f t="shared" si="343"/>
        <v>2017</v>
      </c>
      <c r="Q2032" s="159">
        <f t="shared" si="344"/>
        <v>12</v>
      </c>
      <c r="R2032" s="160">
        <f t="shared" si="345"/>
        <v>5.25</v>
      </c>
      <c r="S2032" s="158">
        <f t="shared" si="346"/>
        <v>5.25</v>
      </c>
      <c r="T2032" s="161">
        <f t="shared" si="347"/>
        <v>2509.5</v>
      </c>
      <c r="U2032" s="158">
        <f t="shared" si="348"/>
        <v>478</v>
      </c>
      <c r="V2032" s="160">
        <f t="shared" si="349"/>
        <v>478</v>
      </c>
    </row>
    <row r="2033" spans="1:22" x14ac:dyDescent="0.25">
      <c r="A2033" s="98" t="s">
        <v>24</v>
      </c>
      <c r="B2033" s="98" t="s">
        <v>32</v>
      </c>
      <c r="C2033" s="98">
        <v>1</v>
      </c>
      <c r="D2033" s="98">
        <v>920</v>
      </c>
      <c r="E2033" s="157">
        <v>43106.892361111109</v>
      </c>
      <c r="F2033" s="157">
        <v>43107.010416666664</v>
      </c>
      <c r="G2033" s="98">
        <v>240</v>
      </c>
      <c r="H2033" s="98">
        <v>525</v>
      </c>
      <c r="I2033" s="98">
        <v>478</v>
      </c>
      <c r="J2033" s="98" t="s">
        <v>1974</v>
      </c>
      <c r="K2033" s="98" t="s">
        <v>4758</v>
      </c>
      <c r="L2033" s="105" t="str">
        <f t="shared" si="340"/>
        <v>Ghent</v>
      </c>
      <c r="M2033" s="105" t="str">
        <f t="shared" si="341"/>
        <v>Derate</v>
      </c>
      <c r="N2033" s="105" t="str">
        <f t="shared" si="342"/>
        <v>Coal</v>
      </c>
      <c r="O2033" s="105">
        <f>IFERROR(VLOOKUP(A2033,Lookup!$J$5:$P$19,7,FALSE),0)</f>
        <v>3</v>
      </c>
      <c r="P2033" s="159">
        <f t="shared" si="343"/>
        <v>2018</v>
      </c>
      <c r="Q2033" s="159">
        <f t="shared" si="344"/>
        <v>1</v>
      </c>
      <c r="R2033" s="160">
        <f t="shared" si="345"/>
        <v>2.8333333333139308</v>
      </c>
      <c r="S2033" s="158">
        <f t="shared" si="346"/>
        <v>1.5380952380847053</v>
      </c>
      <c r="T2033" s="161">
        <f t="shared" si="347"/>
        <v>735.20952380448909</v>
      </c>
      <c r="U2033" s="158">
        <f t="shared" si="348"/>
        <v>259.48571428571427</v>
      </c>
      <c r="V2033" s="160">
        <f t="shared" si="349"/>
        <v>259</v>
      </c>
    </row>
    <row r="2034" spans="1:22" x14ac:dyDescent="0.25">
      <c r="A2034" s="98" t="s">
        <v>24</v>
      </c>
      <c r="B2034" s="98" t="s">
        <v>38</v>
      </c>
      <c r="C2034" s="98">
        <v>2</v>
      </c>
      <c r="D2034" s="98">
        <v>1801</v>
      </c>
      <c r="E2034" s="157">
        <v>43196.90347222222</v>
      </c>
      <c r="F2034" s="157">
        <v>43220.999305555553</v>
      </c>
      <c r="G2034" s="98">
        <v>0</v>
      </c>
      <c r="H2034" s="98">
        <v>525</v>
      </c>
      <c r="I2034" s="98">
        <v>478</v>
      </c>
      <c r="J2034" s="98" t="s">
        <v>2021</v>
      </c>
      <c r="K2034" s="98" t="s">
        <v>4759</v>
      </c>
      <c r="L2034" s="105" t="str">
        <f t="shared" si="340"/>
        <v>Ghent</v>
      </c>
      <c r="M2034" s="105" t="str">
        <f t="shared" si="341"/>
        <v>Other</v>
      </c>
      <c r="N2034" s="105" t="str">
        <f t="shared" si="342"/>
        <v>Coal</v>
      </c>
      <c r="O2034" s="105">
        <f>IFERROR(VLOOKUP(A2034,Lookup!$J$5:$P$19,7,FALSE),0)</f>
        <v>3</v>
      </c>
      <c r="P2034" s="159">
        <f t="shared" si="343"/>
        <v>2018</v>
      </c>
      <c r="Q2034" s="159">
        <f t="shared" si="344"/>
        <v>4</v>
      </c>
      <c r="R2034" s="160">
        <f t="shared" si="345"/>
        <v>578.29999999998836</v>
      </c>
      <c r="S2034" s="158">
        <f t="shared" si="346"/>
        <v>578.29999999998836</v>
      </c>
      <c r="T2034" s="161">
        <f t="shared" si="347"/>
        <v>276427.39999999444</v>
      </c>
      <c r="U2034" s="158">
        <f t="shared" si="348"/>
        <v>478</v>
      </c>
      <c r="V2034" s="160">
        <f t="shared" si="349"/>
        <v>478</v>
      </c>
    </row>
    <row r="2035" spans="1:22" x14ac:dyDescent="0.25">
      <c r="A2035" s="98" t="s">
        <v>23</v>
      </c>
      <c r="B2035" s="98" t="s">
        <v>17</v>
      </c>
      <c r="C2035" s="98">
        <v>1</v>
      </c>
      <c r="D2035" s="98">
        <v>250</v>
      </c>
      <c r="E2035" s="157">
        <v>41275.179861111108</v>
      </c>
      <c r="F2035" s="157">
        <v>41275.216666666667</v>
      </c>
      <c r="G2035" s="98">
        <v>250</v>
      </c>
      <c r="H2035" s="98">
        <v>330</v>
      </c>
      <c r="I2035" s="98">
        <v>300</v>
      </c>
      <c r="J2035" s="98" t="s">
        <v>1978</v>
      </c>
      <c r="K2035" s="98" t="s">
        <v>569</v>
      </c>
      <c r="L2035" s="105" t="str">
        <f t="shared" si="340"/>
        <v>Mill Creek</v>
      </c>
      <c r="M2035" s="105" t="str">
        <f t="shared" si="341"/>
        <v>Derate</v>
      </c>
      <c r="N2035" s="105" t="str">
        <f t="shared" si="342"/>
        <v>Coal</v>
      </c>
      <c r="O2035" s="105">
        <f>IFERROR(VLOOKUP(A2035,Lookup!$J$5:$P$19,7,FALSE),0)</f>
        <v>2</v>
      </c>
      <c r="P2035" s="159">
        <f t="shared" si="343"/>
        <v>2013</v>
      </c>
      <c r="Q2035" s="159">
        <f t="shared" si="344"/>
        <v>1</v>
      </c>
      <c r="R2035" s="160">
        <f t="shared" si="345"/>
        <v>0.88333333341870457</v>
      </c>
      <c r="S2035" s="158">
        <f t="shared" si="346"/>
        <v>0.21414141416211019</v>
      </c>
      <c r="T2035" s="161">
        <f t="shared" si="347"/>
        <v>64.242424248633057</v>
      </c>
      <c r="U2035" s="158">
        <f t="shared" si="348"/>
        <v>72.727272727272734</v>
      </c>
      <c r="V2035" s="160">
        <f t="shared" si="349"/>
        <v>73</v>
      </c>
    </row>
    <row r="2036" spans="1:22" x14ac:dyDescent="0.25">
      <c r="A2036" s="98" t="s">
        <v>23</v>
      </c>
      <c r="B2036" s="98" t="s">
        <v>79</v>
      </c>
      <c r="C2036" s="98">
        <v>2</v>
      </c>
      <c r="D2036" s="98">
        <v>1160</v>
      </c>
      <c r="E2036" s="157">
        <v>41275.938194444447</v>
      </c>
      <c r="F2036" s="157">
        <v>41276.200694444444</v>
      </c>
      <c r="G2036" s="98">
        <v>0</v>
      </c>
      <c r="H2036" s="98">
        <v>330</v>
      </c>
      <c r="I2036" s="98">
        <v>300</v>
      </c>
      <c r="J2036" s="98" t="s">
        <v>2273</v>
      </c>
      <c r="K2036" s="98" t="s">
        <v>51</v>
      </c>
      <c r="L2036" s="105" t="str">
        <f t="shared" si="340"/>
        <v>Mill Creek</v>
      </c>
      <c r="M2036" s="105" t="str">
        <f t="shared" si="341"/>
        <v>Other</v>
      </c>
      <c r="N2036" s="105" t="str">
        <f t="shared" si="342"/>
        <v>Coal</v>
      </c>
      <c r="O2036" s="105">
        <f>IFERROR(VLOOKUP(A2036,Lookup!$J$5:$P$19,7,FALSE),0)</f>
        <v>2</v>
      </c>
      <c r="P2036" s="159">
        <f t="shared" si="343"/>
        <v>2013</v>
      </c>
      <c r="Q2036" s="159">
        <f t="shared" si="344"/>
        <v>1</v>
      </c>
      <c r="R2036" s="160">
        <f t="shared" si="345"/>
        <v>6.2999999999301508</v>
      </c>
      <c r="S2036" s="158">
        <f t="shared" si="346"/>
        <v>6.2999999999301508</v>
      </c>
      <c r="T2036" s="161">
        <f t="shared" si="347"/>
        <v>1889.9999999790452</v>
      </c>
      <c r="U2036" s="158">
        <f t="shared" si="348"/>
        <v>300</v>
      </c>
      <c r="V2036" s="160">
        <f t="shared" si="349"/>
        <v>300</v>
      </c>
    </row>
    <row r="2037" spans="1:22" x14ac:dyDescent="0.25">
      <c r="A2037" s="98" t="s">
        <v>23</v>
      </c>
      <c r="B2037" s="98" t="s">
        <v>17</v>
      </c>
      <c r="C2037" s="98">
        <v>3</v>
      </c>
      <c r="D2037" s="98">
        <v>250</v>
      </c>
      <c r="E2037" s="157">
        <v>41277.599305555559</v>
      </c>
      <c r="F2037" s="157">
        <v>41277.661111111112</v>
      </c>
      <c r="G2037" s="98">
        <v>255</v>
      </c>
      <c r="H2037" s="98">
        <v>330</v>
      </c>
      <c r="I2037" s="98">
        <v>300</v>
      </c>
      <c r="J2037" s="98" t="s">
        <v>1978</v>
      </c>
      <c r="K2037" s="98" t="s">
        <v>570</v>
      </c>
      <c r="L2037" s="105" t="str">
        <f t="shared" si="340"/>
        <v>Mill Creek</v>
      </c>
      <c r="M2037" s="105" t="str">
        <f t="shared" si="341"/>
        <v>Derate</v>
      </c>
      <c r="N2037" s="105" t="str">
        <f t="shared" si="342"/>
        <v>Coal</v>
      </c>
      <c r="O2037" s="105">
        <f>IFERROR(VLOOKUP(A2037,Lookup!$J$5:$P$19,7,FALSE),0)</f>
        <v>2</v>
      </c>
      <c r="P2037" s="159">
        <f t="shared" si="343"/>
        <v>2013</v>
      </c>
      <c r="Q2037" s="159">
        <f t="shared" si="344"/>
        <v>1</v>
      </c>
      <c r="R2037" s="160">
        <f t="shared" si="345"/>
        <v>1.4833333332790062</v>
      </c>
      <c r="S2037" s="158">
        <f t="shared" si="346"/>
        <v>0.33712121210886503</v>
      </c>
      <c r="T2037" s="161">
        <f t="shared" si="347"/>
        <v>101.13636363265951</v>
      </c>
      <c r="U2037" s="158">
        <f t="shared" si="348"/>
        <v>68.181818181818187</v>
      </c>
      <c r="V2037" s="160">
        <f t="shared" si="349"/>
        <v>68</v>
      </c>
    </row>
    <row r="2038" spans="1:22" x14ac:dyDescent="0.25">
      <c r="A2038" s="98" t="s">
        <v>23</v>
      </c>
      <c r="B2038" s="98" t="s">
        <v>79</v>
      </c>
      <c r="C2038" s="98">
        <v>4</v>
      </c>
      <c r="D2038" s="98">
        <v>360</v>
      </c>
      <c r="E2038" s="157">
        <v>41284</v>
      </c>
      <c r="F2038" s="157">
        <v>41284.115277777775</v>
      </c>
      <c r="G2038" s="98">
        <v>0</v>
      </c>
      <c r="H2038" s="98">
        <v>330</v>
      </c>
      <c r="I2038" s="98">
        <v>300</v>
      </c>
      <c r="J2038" s="98" t="s">
        <v>229</v>
      </c>
      <c r="K2038" s="98" t="s">
        <v>256</v>
      </c>
      <c r="L2038" s="105" t="str">
        <f t="shared" si="340"/>
        <v>Mill Creek</v>
      </c>
      <c r="M2038" s="105" t="str">
        <f t="shared" si="341"/>
        <v>Other</v>
      </c>
      <c r="N2038" s="105" t="str">
        <f t="shared" si="342"/>
        <v>Coal</v>
      </c>
      <c r="O2038" s="105">
        <f>IFERROR(VLOOKUP(A2038,Lookup!$J$5:$P$19,7,FALSE),0)</f>
        <v>2</v>
      </c>
      <c r="P2038" s="159">
        <f t="shared" si="343"/>
        <v>2013</v>
      </c>
      <c r="Q2038" s="159">
        <f t="shared" si="344"/>
        <v>1</v>
      </c>
      <c r="R2038" s="160">
        <f t="shared" si="345"/>
        <v>2.7666666666045785</v>
      </c>
      <c r="S2038" s="158">
        <f t="shared" si="346"/>
        <v>2.7666666666045785</v>
      </c>
      <c r="T2038" s="161">
        <f t="shared" si="347"/>
        <v>829.99999998137355</v>
      </c>
      <c r="U2038" s="158">
        <f t="shared" si="348"/>
        <v>300</v>
      </c>
      <c r="V2038" s="160">
        <f t="shared" si="349"/>
        <v>300</v>
      </c>
    </row>
    <row r="2039" spans="1:22" x14ac:dyDescent="0.25">
      <c r="A2039" s="98" t="s">
        <v>23</v>
      </c>
      <c r="B2039" s="98" t="s">
        <v>17</v>
      </c>
      <c r="C2039" s="98">
        <v>5</v>
      </c>
      <c r="D2039" s="98">
        <v>9270</v>
      </c>
      <c r="E2039" s="157">
        <v>41288.465277777781</v>
      </c>
      <c r="F2039" s="157">
        <v>41288.561805555553</v>
      </c>
      <c r="G2039" s="98">
        <v>200</v>
      </c>
      <c r="H2039" s="98">
        <v>330</v>
      </c>
      <c r="I2039" s="98">
        <v>300</v>
      </c>
      <c r="J2039" s="98" t="s">
        <v>2006</v>
      </c>
      <c r="K2039" s="98" t="s">
        <v>46</v>
      </c>
      <c r="L2039" s="105" t="str">
        <f t="shared" si="340"/>
        <v>Mill Creek</v>
      </c>
      <c r="M2039" s="105" t="str">
        <f t="shared" si="341"/>
        <v>Derate</v>
      </c>
      <c r="N2039" s="105" t="str">
        <f t="shared" si="342"/>
        <v>Coal</v>
      </c>
      <c r="O2039" s="105">
        <f>IFERROR(VLOOKUP(A2039,Lookup!$J$5:$P$19,7,FALSE),0)</f>
        <v>2</v>
      </c>
      <c r="P2039" s="159">
        <f t="shared" si="343"/>
        <v>2013</v>
      </c>
      <c r="Q2039" s="159">
        <f t="shared" si="344"/>
        <v>1</v>
      </c>
      <c r="R2039" s="160">
        <f t="shared" si="345"/>
        <v>2.3166666665347293</v>
      </c>
      <c r="S2039" s="158">
        <f t="shared" si="346"/>
        <v>0.91262626257428725</v>
      </c>
      <c r="T2039" s="161">
        <f t="shared" si="347"/>
        <v>273.78787877228615</v>
      </c>
      <c r="U2039" s="158">
        <f t="shared" si="348"/>
        <v>118.18181818181819</v>
      </c>
      <c r="V2039" s="160">
        <f t="shared" si="349"/>
        <v>118</v>
      </c>
    </row>
    <row r="2040" spans="1:22" x14ac:dyDescent="0.25">
      <c r="A2040" s="98" t="s">
        <v>23</v>
      </c>
      <c r="B2040" s="98" t="s">
        <v>17</v>
      </c>
      <c r="C2040" s="98">
        <v>6</v>
      </c>
      <c r="D2040" s="98">
        <v>9270</v>
      </c>
      <c r="E2040" s="157">
        <v>41289.350694444445</v>
      </c>
      <c r="F2040" s="157">
        <v>41289.372916666667</v>
      </c>
      <c r="G2040" s="98">
        <v>254</v>
      </c>
      <c r="H2040" s="98">
        <v>330</v>
      </c>
      <c r="I2040" s="98">
        <v>300</v>
      </c>
      <c r="J2040" s="98" t="s">
        <v>2006</v>
      </c>
      <c r="K2040" s="98" t="s">
        <v>89</v>
      </c>
      <c r="L2040" s="105" t="str">
        <f t="shared" si="340"/>
        <v>Mill Creek</v>
      </c>
      <c r="M2040" s="105" t="str">
        <f t="shared" si="341"/>
        <v>Derate</v>
      </c>
      <c r="N2040" s="105" t="str">
        <f t="shared" si="342"/>
        <v>Coal</v>
      </c>
      <c r="O2040" s="105">
        <f>IFERROR(VLOOKUP(A2040,Lookup!$J$5:$P$19,7,FALSE),0)</f>
        <v>2</v>
      </c>
      <c r="P2040" s="159">
        <f t="shared" si="343"/>
        <v>2013</v>
      </c>
      <c r="Q2040" s="159">
        <f t="shared" si="344"/>
        <v>1</v>
      </c>
      <c r="R2040" s="160">
        <f t="shared" si="345"/>
        <v>0.53333333332557231</v>
      </c>
      <c r="S2040" s="158">
        <f t="shared" si="346"/>
        <v>0.12282828282649544</v>
      </c>
      <c r="T2040" s="161">
        <f t="shared" si="347"/>
        <v>36.848484847948633</v>
      </c>
      <c r="U2040" s="158">
        <f t="shared" si="348"/>
        <v>69.090909090909093</v>
      </c>
      <c r="V2040" s="160">
        <f t="shared" si="349"/>
        <v>69</v>
      </c>
    </row>
    <row r="2041" spans="1:22" x14ac:dyDescent="0.25">
      <c r="A2041" s="98" t="s">
        <v>23</v>
      </c>
      <c r="B2041" s="98" t="s">
        <v>17</v>
      </c>
      <c r="C2041" s="98">
        <v>7</v>
      </c>
      <c r="D2041" s="98">
        <v>9270</v>
      </c>
      <c r="E2041" s="157">
        <v>41289.541666666664</v>
      </c>
      <c r="F2041" s="157">
        <v>41289.559027777781</v>
      </c>
      <c r="G2041" s="98">
        <v>235</v>
      </c>
      <c r="H2041" s="98">
        <v>330</v>
      </c>
      <c r="I2041" s="98">
        <v>300</v>
      </c>
      <c r="J2041" s="98" t="s">
        <v>2006</v>
      </c>
      <c r="K2041" s="98" t="s">
        <v>571</v>
      </c>
      <c r="L2041" s="105" t="str">
        <f t="shared" si="340"/>
        <v>Mill Creek</v>
      </c>
      <c r="M2041" s="105" t="str">
        <f t="shared" si="341"/>
        <v>Derate</v>
      </c>
      <c r="N2041" s="105" t="str">
        <f t="shared" si="342"/>
        <v>Coal</v>
      </c>
      <c r="O2041" s="105">
        <f>IFERROR(VLOOKUP(A2041,Lookup!$J$5:$P$19,7,FALSE),0)</f>
        <v>2</v>
      </c>
      <c r="P2041" s="159">
        <f t="shared" si="343"/>
        <v>2013</v>
      </c>
      <c r="Q2041" s="159">
        <f t="shared" si="344"/>
        <v>1</v>
      </c>
      <c r="R2041" s="160">
        <f t="shared" si="345"/>
        <v>0.41666666680248454</v>
      </c>
      <c r="S2041" s="158">
        <f t="shared" si="346"/>
        <v>0.11994949498859403</v>
      </c>
      <c r="T2041" s="161">
        <f t="shared" si="347"/>
        <v>35.984848496578209</v>
      </c>
      <c r="U2041" s="158">
        <f t="shared" si="348"/>
        <v>86.36363636363636</v>
      </c>
      <c r="V2041" s="160">
        <f t="shared" si="349"/>
        <v>86</v>
      </c>
    </row>
    <row r="2042" spans="1:22" x14ac:dyDescent="0.25">
      <c r="A2042" s="98" t="s">
        <v>23</v>
      </c>
      <c r="B2042" s="98" t="s">
        <v>17</v>
      </c>
      <c r="C2042" s="98">
        <v>8</v>
      </c>
      <c r="D2042" s="98">
        <v>9270</v>
      </c>
      <c r="E2042" s="157">
        <v>41289.559027777781</v>
      </c>
      <c r="F2042" s="157">
        <v>41289.666666666664</v>
      </c>
      <c r="G2042" s="98">
        <v>200</v>
      </c>
      <c r="H2042" s="98">
        <v>330</v>
      </c>
      <c r="I2042" s="98">
        <v>300</v>
      </c>
      <c r="J2042" s="98" t="s">
        <v>2006</v>
      </c>
      <c r="K2042" s="98" t="s">
        <v>572</v>
      </c>
      <c r="L2042" s="105" t="str">
        <f t="shared" si="340"/>
        <v>Mill Creek</v>
      </c>
      <c r="M2042" s="105" t="str">
        <f t="shared" si="341"/>
        <v>Derate</v>
      </c>
      <c r="N2042" s="105" t="str">
        <f t="shared" si="342"/>
        <v>Coal</v>
      </c>
      <c r="O2042" s="105">
        <f>IFERROR(VLOOKUP(A2042,Lookup!$J$5:$P$19,7,FALSE),0)</f>
        <v>2</v>
      </c>
      <c r="P2042" s="159">
        <f t="shared" si="343"/>
        <v>2013</v>
      </c>
      <c r="Q2042" s="159">
        <f t="shared" si="344"/>
        <v>1</v>
      </c>
      <c r="R2042" s="160">
        <f t="shared" si="345"/>
        <v>2.5833333331975155</v>
      </c>
      <c r="S2042" s="158">
        <f t="shared" si="346"/>
        <v>1.0176767676232636</v>
      </c>
      <c r="T2042" s="161">
        <f t="shared" si="347"/>
        <v>305.30303028697909</v>
      </c>
      <c r="U2042" s="158">
        <f t="shared" si="348"/>
        <v>118.18181818181819</v>
      </c>
      <c r="V2042" s="160">
        <f t="shared" si="349"/>
        <v>118</v>
      </c>
    </row>
    <row r="2043" spans="1:22" x14ac:dyDescent="0.25">
      <c r="A2043" s="98" t="s">
        <v>23</v>
      </c>
      <c r="B2043" s="98" t="s">
        <v>17</v>
      </c>
      <c r="C2043" s="98">
        <v>9</v>
      </c>
      <c r="D2043" s="98">
        <v>9270</v>
      </c>
      <c r="E2043" s="157">
        <v>41290.0625</v>
      </c>
      <c r="F2043" s="157">
        <v>41290.09375</v>
      </c>
      <c r="G2043" s="98">
        <v>240</v>
      </c>
      <c r="H2043" s="98">
        <v>330</v>
      </c>
      <c r="I2043" s="98">
        <v>300</v>
      </c>
      <c r="J2043" s="98" t="s">
        <v>2006</v>
      </c>
      <c r="K2043" s="98" t="s">
        <v>90</v>
      </c>
      <c r="L2043" s="105" t="str">
        <f t="shared" si="340"/>
        <v>Mill Creek</v>
      </c>
      <c r="M2043" s="105" t="str">
        <f t="shared" si="341"/>
        <v>Derate</v>
      </c>
      <c r="N2043" s="105" t="str">
        <f t="shared" si="342"/>
        <v>Coal</v>
      </c>
      <c r="O2043" s="105">
        <f>IFERROR(VLOOKUP(A2043,Lookup!$J$5:$P$19,7,FALSE),0)</f>
        <v>2</v>
      </c>
      <c r="P2043" s="159">
        <f t="shared" si="343"/>
        <v>2013</v>
      </c>
      <c r="Q2043" s="159">
        <f t="shared" si="344"/>
        <v>1</v>
      </c>
      <c r="R2043" s="160">
        <f t="shared" si="345"/>
        <v>0.75</v>
      </c>
      <c r="S2043" s="158">
        <f t="shared" si="346"/>
        <v>0.20454545454545456</v>
      </c>
      <c r="T2043" s="161">
        <f t="shared" si="347"/>
        <v>61.363636363636367</v>
      </c>
      <c r="U2043" s="158">
        <f t="shared" si="348"/>
        <v>81.818181818181813</v>
      </c>
      <c r="V2043" s="160">
        <f t="shared" si="349"/>
        <v>82</v>
      </c>
    </row>
    <row r="2044" spans="1:22" x14ac:dyDescent="0.25">
      <c r="A2044" s="98" t="s">
        <v>23</v>
      </c>
      <c r="B2044" s="98" t="s">
        <v>17</v>
      </c>
      <c r="C2044" s="98">
        <v>10</v>
      </c>
      <c r="D2044" s="98">
        <v>9270</v>
      </c>
      <c r="E2044" s="157">
        <v>41290.09375</v>
      </c>
      <c r="F2044" s="157">
        <v>41290.315972222219</v>
      </c>
      <c r="G2044" s="98">
        <v>120</v>
      </c>
      <c r="H2044" s="98">
        <v>330</v>
      </c>
      <c r="I2044" s="98">
        <v>300</v>
      </c>
      <c r="J2044" s="98" t="s">
        <v>2006</v>
      </c>
      <c r="K2044" s="98" t="s">
        <v>46</v>
      </c>
      <c r="L2044" s="105" t="str">
        <f t="shared" si="340"/>
        <v>Mill Creek</v>
      </c>
      <c r="M2044" s="105" t="str">
        <f t="shared" si="341"/>
        <v>Derate</v>
      </c>
      <c r="N2044" s="105" t="str">
        <f t="shared" si="342"/>
        <v>Coal</v>
      </c>
      <c r="O2044" s="105">
        <f>IFERROR(VLOOKUP(A2044,Lookup!$J$5:$P$19,7,FALSE),0)</f>
        <v>2</v>
      </c>
      <c r="P2044" s="159">
        <f t="shared" si="343"/>
        <v>2013</v>
      </c>
      <c r="Q2044" s="159">
        <f t="shared" si="344"/>
        <v>1</v>
      </c>
      <c r="R2044" s="160">
        <f t="shared" si="345"/>
        <v>5.3333333332557231</v>
      </c>
      <c r="S2044" s="158">
        <f t="shared" si="346"/>
        <v>3.3939393938900055</v>
      </c>
      <c r="T2044" s="161">
        <f t="shared" si="347"/>
        <v>1018.1818181670017</v>
      </c>
      <c r="U2044" s="158">
        <f t="shared" si="348"/>
        <v>190.90909090909091</v>
      </c>
      <c r="V2044" s="160">
        <f t="shared" si="349"/>
        <v>191</v>
      </c>
    </row>
    <row r="2045" spans="1:22" x14ac:dyDescent="0.25">
      <c r="A2045" s="98" t="s">
        <v>23</v>
      </c>
      <c r="B2045" s="98" t="s">
        <v>15</v>
      </c>
      <c r="C2045" s="98">
        <v>11</v>
      </c>
      <c r="D2045" s="98">
        <v>360</v>
      </c>
      <c r="E2045" s="157">
        <v>41290.315972222219</v>
      </c>
      <c r="F2045" s="157">
        <v>41293.353472222225</v>
      </c>
      <c r="G2045" s="98">
        <v>0</v>
      </c>
      <c r="H2045" s="98">
        <v>330</v>
      </c>
      <c r="I2045" s="98">
        <v>300</v>
      </c>
      <c r="J2045" s="98" t="s">
        <v>229</v>
      </c>
      <c r="K2045" s="98" t="s">
        <v>573</v>
      </c>
      <c r="L2045" s="105" t="str">
        <f t="shared" ref="L2045:L2108" si="350">IF(OR(A2045="BR1",A2045="BR2",A2045="BR3",A2045="BR5",A2045="BR6",A2045="BR7",A2045="BR8",A2045="BR9",A2045="BR10",A2045="BR11"),"Brown",IF(OR(A2045="CR4",A2045="CR5",A2045="CR6",A2045="CR11"),"Cane Run",IF(OR(A2045="GH1",A2045="GH2",A2045="GH3",A2045="GH4"),"Ghent",IF(OR(A2045="GR3",A2045="GR4"),"Green River",IF(OR(A2045="MC1",A2045="MC2",A2045="MC3",A2045="MC4"),"Mill Creek",IF(OR(A2045="TC1",A2045="TC2",A2045="TC5",A2045="TC6",A2045="TC7",A2045="TC8",A2045="TC9",A2045="TC10"),"Trimble",IF(A2045="TY3","Tyrone",IF(OR(A2045="HA1",A2045="HA2",A2045="HA3"),"Haeflin",IF(OR(A2045="PR11",A2045="PR12",A2045="PR13"),"Paddy's Run","Zorn")))))))))</f>
        <v>Mill Creek</v>
      </c>
      <c r="M2045" s="105" t="str">
        <f t="shared" ref="M2045:M2108" si="351">IF(OR(B2045="D1",B2045="D2",B2045="D3",B2045="D4",B2045="PD"),"Derate",IF(OR(B2045="SF",B2045="U1",B2045="U2",B2045="U3"),"Outage",IF(OR(B2045="ME",B2045="MO"),"Maintenance","Other")))</f>
        <v>Outage</v>
      </c>
      <c r="N2045" s="105" t="str">
        <f t="shared" ref="N2045:N2108" si="352">IF(OR(A2045="BR1",A2045="BR2",A2045="BR3",A2045="CR4",A2045="CR5",A2045="CR6",A2045="GH1",A2045="GH2",A2045="GH3",A2045="GH4",A2045="GR3",A2045="GR4",A2045="MC1",A2045="MC2",A2045="MC3",A2045="MC4",A2045="TC1",A2045="TC2",A2045="TY3"),"Coal","Gas")</f>
        <v>Coal</v>
      </c>
      <c r="O2045" s="105">
        <f>IFERROR(VLOOKUP(A2045,Lookup!$J$5:$P$19,7,FALSE),0)</f>
        <v>2</v>
      </c>
      <c r="P2045" s="159">
        <f t="shared" ref="P2045:P2108" si="353">YEAR(E2045)</f>
        <v>2013</v>
      </c>
      <c r="Q2045" s="159">
        <f t="shared" ref="Q2045:Q2108" si="354">MONTH(E2045)</f>
        <v>1</v>
      </c>
      <c r="R2045" s="160">
        <f t="shared" ref="R2045:R2108" si="355">(F2045-E2045)*24</f>
        <v>72.900000000139698</v>
      </c>
      <c r="S2045" s="158">
        <f t="shared" ref="S2045:S2108" si="356">R2045*(H2045-G2045)/H2045</f>
        <v>72.900000000139698</v>
      </c>
      <c r="T2045" s="161">
        <f t="shared" ref="T2045:T2108" si="357">S2045*I2045</f>
        <v>21870.00000004191</v>
      </c>
      <c r="U2045" s="158">
        <f t="shared" ref="U2045:U2108" si="358">IF(G2045&gt;0,MAX((H2045-G2045),0)*I2045/H2045,I2045)</f>
        <v>300</v>
      </c>
      <c r="V2045" s="160">
        <f t="shared" ref="V2045:V2108" si="359">ROUND(U2045,0)</f>
        <v>300</v>
      </c>
    </row>
    <row r="2046" spans="1:22" x14ac:dyDescent="0.25">
      <c r="A2046" s="98" t="s">
        <v>23</v>
      </c>
      <c r="B2046" s="98" t="s">
        <v>79</v>
      </c>
      <c r="C2046" s="98">
        <v>12</v>
      </c>
      <c r="D2046" s="98">
        <v>1850</v>
      </c>
      <c r="E2046" s="157">
        <v>41293.353472222225</v>
      </c>
      <c r="F2046" s="157">
        <v>41293.6875</v>
      </c>
      <c r="G2046" s="98">
        <v>0</v>
      </c>
      <c r="H2046" s="98">
        <v>330</v>
      </c>
      <c r="I2046" s="98">
        <v>300</v>
      </c>
      <c r="J2046" s="98" t="s">
        <v>2263</v>
      </c>
      <c r="K2046" s="98" t="s">
        <v>85</v>
      </c>
      <c r="L2046" s="105" t="str">
        <f t="shared" si="350"/>
        <v>Mill Creek</v>
      </c>
      <c r="M2046" s="105" t="str">
        <f t="shared" si="351"/>
        <v>Other</v>
      </c>
      <c r="N2046" s="105" t="str">
        <f t="shared" si="352"/>
        <v>Coal</v>
      </c>
      <c r="O2046" s="105">
        <f>IFERROR(VLOOKUP(A2046,Lookup!$J$5:$P$19,7,FALSE),0)</f>
        <v>2</v>
      </c>
      <c r="P2046" s="159">
        <f t="shared" si="353"/>
        <v>2013</v>
      </c>
      <c r="Q2046" s="159">
        <f t="shared" si="354"/>
        <v>1</v>
      </c>
      <c r="R2046" s="160">
        <f t="shared" si="355"/>
        <v>8.0166666666045785</v>
      </c>
      <c r="S2046" s="158">
        <f t="shared" si="356"/>
        <v>8.0166666666045785</v>
      </c>
      <c r="T2046" s="161">
        <f t="shared" si="357"/>
        <v>2404.9999999813735</v>
      </c>
      <c r="U2046" s="158">
        <f t="shared" si="358"/>
        <v>300</v>
      </c>
      <c r="V2046" s="160">
        <f t="shared" si="359"/>
        <v>300</v>
      </c>
    </row>
    <row r="2047" spans="1:22" x14ac:dyDescent="0.25">
      <c r="A2047" s="98" t="s">
        <v>23</v>
      </c>
      <c r="B2047" s="98" t="s">
        <v>17</v>
      </c>
      <c r="C2047" s="98">
        <v>13</v>
      </c>
      <c r="D2047" s="98">
        <v>1850</v>
      </c>
      <c r="E2047" s="157">
        <v>41293.6875</v>
      </c>
      <c r="F2047" s="157">
        <v>41293.899305555555</v>
      </c>
      <c r="G2047" s="98">
        <v>250</v>
      </c>
      <c r="H2047" s="98">
        <v>330</v>
      </c>
      <c r="I2047" s="98">
        <v>300</v>
      </c>
      <c r="J2047" s="98" t="s">
        <v>2263</v>
      </c>
      <c r="K2047" s="98" t="s">
        <v>41</v>
      </c>
      <c r="L2047" s="105" t="str">
        <f t="shared" si="350"/>
        <v>Mill Creek</v>
      </c>
      <c r="M2047" s="105" t="str">
        <f t="shared" si="351"/>
        <v>Derate</v>
      </c>
      <c r="N2047" s="105" t="str">
        <f t="shared" si="352"/>
        <v>Coal</v>
      </c>
      <c r="O2047" s="105">
        <f>IFERROR(VLOOKUP(A2047,Lookup!$J$5:$P$19,7,FALSE),0)</f>
        <v>2</v>
      </c>
      <c r="P2047" s="159">
        <f t="shared" si="353"/>
        <v>2013</v>
      </c>
      <c r="Q2047" s="159">
        <f t="shared" si="354"/>
        <v>1</v>
      </c>
      <c r="R2047" s="160">
        <f t="shared" si="355"/>
        <v>5.0833333333139308</v>
      </c>
      <c r="S2047" s="158">
        <f t="shared" si="356"/>
        <v>1.2323232323185287</v>
      </c>
      <c r="T2047" s="161">
        <f t="shared" si="357"/>
        <v>369.69696969555861</v>
      </c>
      <c r="U2047" s="158">
        <f t="shared" si="358"/>
        <v>72.727272727272734</v>
      </c>
      <c r="V2047" s="160">
        <f t="shared" si="359"/>
        <v>73</v>
      </c>
    </row>
    <row r="2048" spans="1:22" x14ac:dyDescent="0.25">
      <c r="A2048" s="98" t="s">
        <v>23</v>
      </c>
      <c r="B2048" s="98" t="s">
        <v>105</v>
      </c>
      <c r="C2048" s="98">
        <v>14</v>
      </c>
      <c r="D2048" s="98">
        <v>360</v>
      </c>
      <c r="E2048" s="157">
        <v>41294.916666666664</v>
      </c>
      <c r="F2048" s="157">
        <v>41295.027777777781</v>
      </c>
      <c r="G2048" s="98">
        <v>225</v>
      </c>
      <c r="H2048" s="98">
        <v>330</v>
      </c>
      <c r="I2048" s="98">
        <v>300</v>
      </c>
      <c r="J2048" s="98" t="s">
        <v>229</v>
      </c>
      <c r="K2048" s="98" t="s">
        <v>574</v>
      </c>
      <c r="L2048" s="105" t="str">
        <f t="shared" si="350"/>
        <v>Mill Creek</v>
      </c>
      <c r="M2048" s="105" t="str">
        <f t="shared" si="351"/>
        <v>Derate</v>
      </c>
      <c r="N2048" s="105" t="str">
        <f t="shared" si="352"/>
        <v>Coal</v>
      </c>
      <c r="O2048" s="105">
        <f>IFERROR(VLOOKUP(A2048,Lookup!$J$5:$P$19,7,FALSE),0)</f>
        <v>2</v>
      </c>
      <c r="P2048" s="159">
        <f t="shared" si="353"/>
        <v>2013</v>
      </c>
      <c r="Q2048" s="159">
        <f t="shared" si="354"/>
        <v>1</v>
      </c>
      <c r="R2048" s="160">
        <f t="shared" si="355"/>
        <v>2.6666666668024845</v>
      </c>
      <c r="S2048" s="158">
        <f t="shared" si="356"/>
        <v>0.84848484852806327</v>
      </c>
      <c r="T2048" s="161">
        <f t="shared" si="357"/>
        <v>254.54545455841898</v>
      </c>
      <c r="U2048" s="158">
        <f t="shared" si="358"/>
        <v>95.454545454545453</v>
      </c>
      <c r="V2048" s="160">
        <f t="shared" si="359"/>
        <v>95</v>
      </c>
    </row>
    <row r="2049" spans="1:22" x14ac:dyDescent="0.25">
      <c r="A2049" s="98" t="s">
        <v>23</v>
      </c>
      <c r="B2049" s="98" t="s">
        <v>17</v>
      </c>
      <c r="C2049" s="98">
        <v>15</v>
      </c>
      <c r="D2049" s="98">
        <v>9270</v>
      </c>
      <c r="E2049" s="157">
        <v>41295.275694444441</v>
      </c>
      <c r="F2049" s="157">
        <v>41295.505555555559</v>
      </c>
      <c r="G2049" s="98">
        <v>240</v>
      </c>
      <c r="H2049" s="98">
        <v>330</v>
      </c>
      <c r="I2049" s="98">
        <v>300</v>
      </c>
      <c r="J2049" s="98" t="s">
        <v>2006</v>
      </c>
      <c r="K2049" s="98" t="s">
        <v>575</v>
      </c>
      <c r="L2049" s="105" t="str">
        <f t="shared" si="350"/>
        <v>Mill Creek</v>
      </c>
      <c r="M2049" s="105" t="str">
        <f t="shared" si="351"/>
        <v>Derate</v>
      </c>
      <c r="N2049" s="105" t="str">
        <f t="shared" si="352"/>
        <v>Coal</v>
      </c>
      <c r="O2049" s="105">
        <f>IFERROR(VLOOKUP(A2049,Lookup!$J$5:$P$19,7,FALSE),0)</f>
        <v>2</v>
      </c>
      <c r="P2049" s="159">
        <f t="shared" si="353"/>
        <v>2013</v>
      </c>
      <c r="Q2049" s="159">
        <f t="shared" si="354"/>
        <v>1</v>
      </c>
      <c r="R2049" s="160">
        <f t="shared" si="355"/>
        <v>5.5166666668374091</v>
      </c>
      <c r="S2049" s="158">
        <f t="shared" si="356"/>
        <v>1.5045454545920207</v>
      </c>
      <c r="T2049" s="161">
        <f t="shared" si="357"/>
        <v>451.36363637760621</v>
      </c>
      <c r="U2049" s="158">
        <f t="shared" si="358"/>
        <v>81.818181818181813</v>
      </c>
      <c r="V2049" s="160">
        <f t="shared" si="359"/>
        <v>82</v>
      </c>
    </row>
    <row r="2050" spans="1:22" x14ac:dyDescent="0.25">
      <c r="A2050" s="98" t="s">
        <v>23</v>
      </c>
      <c r="B2050" s="98" t="s">
        <v>17</v>
      </c>
      <c r="C2050" s="98">
        <v>16</v>
      </c>
      <c r="D2050" s="98">
        <v>310</v>
      </c>
      <c r="E2050" s="157">
        <v>41297.958333333336</v>
      </c>
      <c r="F2050" s="157">
        <v>41298.128472222219</v>
      </c>
      <c r="G2050" s="98">
        <v>225</v>
      </c>
      <c r="H2050" s="98">
        <v>330</v>
      </c>
      <c r="I2050" s="98">
        <v>300</v>
      </c>
      <c r="J2050" s="98" t="s">
        <v>1966</v>
      </c>
      <c r="K2050" s="98" t="s">
        <v>576</v>
      </c>
      <c r="L2050" s="105" t="str">
        <f t="shared" si="350"/>
        <v>Mill Creek</v>
      </c>
      <c r="M2050" s="105" t="str">
        <f t="shared" si="351"/>
        <v>Derate</v>
      </c>
      <c r="N2050" s="105" t="str">
        <f t="shared" si="352"/>
        <v>Coal</v>
      </c>
      <c r="O2050" s="105">
        <f>IFERROR(VLOOKUP(A2050,Lookup!$J$5:$P$19,7,FALSE),0)</f>
        <v>2</v>
      </c>
      <c r="P2050" s="159">
        <f t="shared" si="353"/>
        <v>2013</v>
      </c>
      <c r="Q2050" s="159">
        <f t="shared" si="354"/>
        <v>1</v>
      </c>
      <c r="R2050" s="160">
        <f t="shared" si="355"/>
        <v>4.0833333331975155</v>
      </c>
      <c r="S2050" s="158">
        <f t="shared" si="356"/>
        <v>1.2992424241992095</v>
      </c>
      <c r="T2050" s="161">
        <f t="shared" si="357"/>
        <v>389.77272725976286</v>
      </c>
      <c r="U2050" s="158">
        <f t="shared" si="358"/>
        <v>95.454545454545453</v>
      </c>
      <c r="V2050" s="160">
        <f t="shared" si="359"/>
        <v>95</v>
      </c>
    </row>
    <row r="2051" spans="1:22" x14ac:dyDescent="0.25">
      <c r="A2051" s="98" t="s">
        <v>23</v>
      </c>
      <c r="B2051" s="98" t="s">
        <v>17</v>
      </c>
      <c r="C2051" s="98">
        <v>17</v>
      </c>
      <c r="D2051" s="98">
        <v>9270</v>
      </c>
      <c r="E2051" s="157">
        <v>41298.892361111109</v>
      </c>
      <c r="F2051" s="157">
        <v>41298.958333333336</v>
      </c>
      <c r="G2051" s="98">
        <v>260</v>
      </c>
      <c r="H2051" s="98">
        <v>330</v>
      </c>
      <c r="I2051" s="98">
        <v>300</v>
      </c>
      <c r="J2051" s="98" t="s">
        <v>2006</v>
      </c>
      <c r="K2051" s="98" t="s">
        <v>575</v>
      </c>
      <c r="L2051" s="105" t="str">
        <f t="shared" si="350"/>
        <v>Mill Creek</v>
      </c>
      <c r="M2051" s="105" t="str">
        <f t="shared" si="351"/>
        <v>Derate</v>
      </c>
      <c r="N2051" s="105" t="str">
        <f t="shared" si="352"/>
        <v>Coal</v>
      </c>
      <c r="O2051" s="105">
        <f>IFERROR(VLOOKUP(A2051,Lookup!$J$5:$P$19,7,FALSE),0)</f>
        <v>2</v>
      </c>
      <c r="P2051" s="159">
        <f t="shared" si="353"/>
        <v>2013</v>
      </c>
      <c r="Q2051" s="159">
        <f t="shared" si="354"/>
        <v>1</v>
      </c>
      <c r="R2051" s="160">
        <f t="shared" si="355"/>
        <v>1.5833333334303461</v>
      </c>
      <c r="S2051" s="158">
        <f t="shared" si="356"/>
        <v>0.33585858587916434</v>
      </c>
      <c r="T2051" s="161">
        <f t="shared" si="357"/>
        <v>100.7575757637493</v>
      </c>
      <c r="U2051" s="158">
        <f t="shared" si="358"/>
        <v>63.636363636363633</v>
      </c>
      <c r="V2051" s="160">
        <f t="shared" si="359"/>
        <v>64</v>
      </c>
    </row>
    <row r="2052" spans="1:22" x14ac:dyDescent="0.25">
      <c r="A2052" s="98" t="s">
        <v>23</v>
      </c>
      <c r="B2052" s="98" t="s">
        <v>105</v>
      </c>
      <c r="C2052" s="98">
        <v>18</v>
      </c>
      <c r="D2052" s="98">
        <v>360</v>
      </c>
      <c r="E2052" s="157">
        <v>41298.958333333336</v>
      </c>
      <c r="F2052" s="157">
        <v>41299.118055555555</v>
      </c>
      <c r="G2052" s="98">
        <v>230</v>
      </c>
      <c r="H2052" s="98">
        <v>330</v>
      </c>
      <c r="I2052" s="98">
        <v>300</v>
      </c>
      <c r="J2052" s="98" t="s">
        <v>229</v>
      </c>
      <c r="K2052" s="98" t="s">
        <v>256</v>
      </c>
      <c r="L2052" s="105" t="str">
        <f t="shared" si="350"/>
        <v>Mill Creek</v>
      </c>
      <c r="M2052" s="105" t="str">
        <f t="shared" si="351"/>
        <v>Derate</v>
      </c>
      <c r="N2052" s="105" t="str">
        <f t="shared" si="352"/>
        <v>Coal</v>
      </c>
      <c r="O2052" s="105">
        <f>IFERROR(VLOOKUP(A2052,Lookup!$J$5:$P$19,7,FALSE),0)</f>
        <v>2</v>
      </c>
      <c r="P2052" s="159">
        <f t="shared" si="353"/>
        <v>2013</v>
      </c>
      <c r="Q2052" s="159">
        <f t="shared" si="354"/>
        <v>1</v>
      </c>
      <c r="R2052" s="160">
        <f t="shared" si="355"/>
        <v>3.8333333332557231</v>
      </c>
      <c r="S2052" s="158">
        <f t="shared" si="356"/>
        <v>1.1616161615926435</v>
      </c>
      <c r="T2052" s="161">
        <f t="shared" si="357"/>
        <v>348.48484847779304</v>
      </c>
      <c r="U2052" s="158">
        <f t="shared" si="358"/>
        <v>90.909090909090907</v>
      </c>
      <c r="V2052" s="160">
        <f t="shared" si="359"/>
        <v>91</v>
      </c>
    </row>
    <row r="2053" spans="1:22" x14ac:dyDescent="0.25">
      <c r="A2053" s="98" t="s">
        <v>23</v>
      </c>
      <c r="B2053" s="98" t="s">
        <v>79</v>
      </c>
      <c r="C2053" s="98">
        <v>19</v>
      </c>
      <c r="D2053" s="98">
        <v>3230</v>
      </c>
      <c r="E2053" s="157">
        <v>41300.930555555555</v>
      </c>
      <c r="F2053" s="157">
        <v>41300.963194444441</v>
      </c>
      <c r="G2053" s="98">
        <v>0</v>
      </c>
      <c r="H2053" s="98">
        <v>330</v>
      </c>
      <c r="I2053" s="98">
        <v>300</v>
      </c>
      <c r="J2053" s="98" t="s">
        <v>2256</v>
      </c>
      <c r="K2053" s="98" t="s">
        <v>577</v>
      </c>
      <c r="L2053" s="105" t="str">
        <f t="shared" si="350"/>
        <v>Mill Creek</v>
      </c>
      <c r="M2053" s="105" t="str">
        <f t="shared" si="351"/>
        <v>Other</v>
      </c>
      <c r="N2053" s="105" t="str">
        <f t="shared" si="352"/>
        <v>Coal</v>
      </c>
      <c r="O2053" s="105">
        <f>IFERROR(VLOOKUP(A2053,Lookup!$J$5:$P$19,7,FALSE),0)</f>
        <v>2</v>
      </c>
      <c r="P2053" s="159">
        <f t="shared" si="353"/>
        <v>2013</v>
      </c>
      <c r="Q2053" s="159">
        <f t="shared" si="354"/>
        <v>1</v>
      </c>
      <c r="R2053" s="160">
        <f t="shared" si="355"/>
        <v>0.78333333326736465</v>
      </c>
      <c r="S2053" s="158">
        <f t="shared" si="356"/>
        <v>0.78333333326736465</v>
      </c>
      <c r="T2053" s="161">
        <f t="shared" si="357"/>
        <v>234.9999999802094</v>
      </c>
      <c r="U2053" s="158">
        <f t="shared" si="358"/>
        <v>300</v>
      </c>
      <c r="V2053" s="160">
        <f t="shared" si="359"/>
        <v>300</v>
      </c>
    </row>
    <row r="2054" spans="1:22" x14ac:dyDescent="0.25">
      <c r="A2054" s="98" t="s">
        <v>23</v>
      </c>
      <c r="B2054" s="98" t="s">
        <v>79</v>
      </c>
      <c r="C2054" s="98">
        <v>20</v>
      </c>
      <c r="D2054" s="98">
        <v>3230</v>
      </c>
      <c r="E2054" s="157">
        <v>41301.96875</v>
      </c>
      <c r="F2054" s="157">
        <v>41302.01458333333</v>
      </c>
      <c r="G2054" s="98">
        <v>0</v>
      </c>
      <c r="H2054" s="98">
        <v>330</v>
      </c>
      <c r="I2054" s="98">
        <v>300</v>
      </c>
      <c r="J2054" s="98" t="s">
        <v>2256</v>
      </c>
      <c r="K2054" s="98" t="s">
        <v>577</v>
      </c>
      <c r="L2054" s="105" t="str">
        <f t="shared" si="350"/>
        <v>Mill Creek</v>
      </c>
      <c r="M2054" s="105" t="str">
        <f t="shared" si="351"/>
        <v>Other</v>
      </c>
      <c r="N2054" s="105" t="str">
        <f t="shared" si="352"/>
        <v>Coal</v>
      </c>
      <c r="O2054" s="105">
        <f>IFERROR(VLOOKUP(A2054,Lookup!$J$5:$P$19,7,FALSE),0)</f>
        <v>2</v>
      </c>
      <c r="P2054" s="159">
        <f t="shared" si="353"/>
        <v>2013</v>
      </c>
      <c r="Q2054" s="159">
        <f t="shared" si="354"/>
        <v>1</v>
      </c>
      <c r="R2054" s="160">
        <f t="shared" si="355"/>
        <v>1.0999999999185093</v>
      </c>
      <c r="S2054" s="158">
        <f t="shared" si="356"/>
        <v>1.0999999999185093</v>
      </c>
      <c r="T2054" s="161">
        <f t="shared" si="357"/>
        <v>329.99999997555278</v>
      </c>
      <c r="U2054" s="158">
        <f t="shared" si="358"/>
        <v>300</v>
      </c>
      <c r="V2054" s="160">
        <f t="shared" si="359"/>
        <v>300</v>
      </c>
    </row>
    <row r="2055" spans="1:22" x14ac:dyDescent="0.25">
      <c r="A2055" s="98" t="s">
        <v>23</v>
      </c>
      <c r="B2055" s="98" t="s">
        <v>17</v>
      </c>
      <c r="C2055" s="98">
        <v>21</v>
      </c>
      <c r="D2055" s="98">
        <v>250</v>
      </c>
      <c r="E2055" s="157">
        <v>41302.01458333333</v>
      </c>
      <c r="F2055" s="157">
        <v>41302.040277777778</v>
      </c>
      <c r="G2055" s="98">
        <v>240</v>
      </c>
      <c r="H2055" s="98">
        <v>330</v>
      </c>
      <c r="I2055" s="98">
        <v>300</v>
      </c>
      <c r="J2055" s="98" t="s">
        <v>1978</v>
      </c>
      <c r="K2055" s="98" t="s">
        <v>578</v>
      </c>
      <c r="L2055" s="105" t="str">
        <f t="shared" si="350"/>
        <v>Mill Creek</v>
      </c>
      <c r="M2055" s="105" t="str">
        <f t="shared" si="351"/>
        <v>Derate</v>
      </c>
      <c r="N2055" s="105" t="str">
        <f t="shared" si="352"/>
        <v>Coal</v>
      </c>
      <c r="O2055" s="105">
        <f>IFERROR(VLOOKUP(A2055,Lookup!$J$5:$P$19,7,FALSE),0)</f>
        <v>2</v>
      </c>
      <c r="P2055" s="159">
        <f t="shared" si="353"/>
        <v>2013</v>
      </c>
      <c r="Q2055" s="159">
        <f t="shared" si="354"/>
        <v>1</v>
      </c>
      <c r="R2055" s="160">
        <f t="shared" si="355"/>
        <v>0.61666666675591841</v>
      </c>
      <c r="S2055" s="158">
        <f t="shared" si="356"/>
        <v>0.16818181820615957</v>
      </c>
      <c r="T2055" s="161">
        <f t="shared" si="357"/>
        <v>50.454545461847871</v>
      </c>
      <c r="U2055" s="158">
        <f t="shared" si="358"/>
        <v>81.818181818181813</v>
      </c>
      <c r="V2055" s="160">
        <f t="shared" si="359"/>
        <v>82</v>
      </c>
    </row>
    <row r="2056" spans="1:22" x14ac:dyDescent="0.25">
      <c r="A2056" s="98" t="s">
        <v>23</v>
      </c>
      <c r="B2056" s="98" t="s">
        <v>79</v>
      </c>
      <c r="C2056" s="98">
        <v>22</v>
      </c>
      <c r="D2056" s="98">
        <v>1160</v>
      </c>
      <c r="E2056" s="157">
        <v>41305.958333333336</v>
      </c>
      <c r="F2056" s="157">
        <v>41306.208333333336</v>
      </c>
      <c r="G2056" s="98">
        <v>0</v>
      </c>
      <c r="H2056" s="98">
        <v>330</v>
      </c>
      <c r="I2056" s="98">
        <v>300</v>
      </c>
      <c r="J2056" s="98" t="s">
        <v>2273</v>
      </c>
      <c r="K2056" s="98" t="s">
        <v>51</v>
      </c>
      <c r="L2056" s="105" t="str">
        <f t="shared" si="350"/>
        <v>Mill Creek</v>
      </c>
      <c r="M2056" s="105" t="str">
        <f t="shared" si="351"/>
        <v>Other</v>
      </c>
      <c r="N2056" s="105" t="str">
        <f t="shared" si="352"/>
        <v>Coal</v>
      </c>
      <c r="O2056" s="105">
        <f>IFERROR(VLOOKUP(A2056,Lookup!$J$5:$P$19,7,FALSE),0)</f>
        <v>2</v>
      </c>
      <c r="P2056" s="159">
        <f t="shared" si="353"/>
        <v>2013</v>
      </c>
      <c r="Q2056" s="159">
        <f t="shared" si="354"/>
        <v>1</v>
      </c>
      <c r="R2056" s="160">
        <f t="shared" si="355"/>
        <v>6</v>
      </c>
      <c r="S2056" s="158">
        <f t="shared" si="356"/>
        <v>6</v>
      </c>
      <c r="T2056" s="161">
        <f t="shared" si="357"/>
        <v>1800</v>
      </c>
      <c r="U2056" s="158">
        <f t="shared" si="358"/>
        <v>300</v>
      </c>
      <c r="V2056" s="160">
        <f t="shared" si="359"/>
        <v>300</v>
      </c>
    </row>
    <row r="2057" spans="1:22" x14ac:dyDescent="0.25">
      <c r="A2057" s="98" t="s">
        <v>23</v>
      </c>
      <c r="B2057" s="98" t="s">
        <v>17</v>
      </c>
      <c r="C2057" s="98">
        <v>23</v>
      </c>
      <c r="D2057" s="98">
        <v>8262</v>
      </c>
      <c r="E2057" s="157">
        <v>41306.262499999997</v>
      </c>
      <c r="F2057" s="157">
        <v>41308.418055555558</v>
      </c>
      <c r="G2057" s="98">
        <v>310</v>
      </c>
      <c r="H2057" s="98">
        <v>330</v>
      </c>
      <c r="I2057" s="98">
        <v>300</v>
      </c>
      <c r="J2057" s="98" t="s">
        <v>2650</v>
      </c>
      <c r="K2057" s="98" t="s">
        <v>579</v>
      </c>
      <c r="L2057" s="105" t="str">
        <f t="shared" si="350"/>
        <v>Mill Creek</v>
      </c>
      <c r="M2057" s="105" t="str">
        <f t="shared" si="351"/>
        <v>Derate</v>
      </c>
      <c r="N2057" s="105" t="str">
        <f t="shared" si="352"/>
        <v>Coal</v>
      </c>
      <c r="O2057" s="105">
        <f>IFERROR(VLOOKUP(A2057,Lookup!$J$5:$P$19,7,FALSE),0)</f>
        <v>2</v>
      </c>
      <c r="P2057" s="159">
        <f t="shared" si="353"/>
        <v>2013</v>
      </c>
      <c r="Q2057" s="159">
        <f t="shared" si="354"/>
        <v>2</v>
      </c>
      <c r="R2057" s="160">
        <f t="shared" si="355"/>
        <v>51.733333333453629</v>
      </c>
      <c r="S2057" s="158">
        <f t="shared" si="356"/>
        <v>3.1353535353608262</v>
      </c>
      <c r="T2057" s="161">
        <f t="shared" si="357"/>
        <v>940.60606060824784</v>
      </c>
      <c r="U2057" s="158">
        <f t="shared" si="358"/>
        <v>18.181818181818183</v>
      </c>
      <c r="V2057" s="160">
        <f t="shared" si="359"/>
        <v>18</v>
      </c>
    </row>
    <row r="2058" spans="1:22" x14ac:dyDescent="0.25">
      <c r="A2058" s="98" t="s">
        <v>23</v>
      </c>
      <c r="B2058" s="98" t="s">
        <v>17</v>
      </c>
      <c r="C2058" s="98">
        <v>24</v>
      </c>
      <c r="D2058" s="98">
        <v>250</v>
      </c>
      <c r="E2058" s="157">
        <v>41307.811111111114</v>
      </c>
      <c r="F2058" s="157">
        <v>41307.925000000003</v>
      </c>
      <c r="G2058" s="98">
        <v>240</v>
      </c>
      <c r="H2058" s="98">
        <v>330</v>
      </c>
      <c r="I2058" s="98">
        <v>300</v>
      </c>
      <c r="J2058" s="98" t="s">
        <v>1978</v>
      </c>
      <c r="K2058" s="98" t="s">
        <v>580</v>
      </c>
      <c r="L2058" s="105" t="str">
        <f t="shared" si="350"/>
        <v>Mill Creek</v>
      </c>
      <c r="M2058" s="105" t="str">
        <f t="shared" si="351"/>
        <v>Derate</v>
      </c>
      <c r="N2058" s="105" t="str">
        <f t="shared" si="352"/>
        <v>Coal</v>
      </c>
      <c r="O2058" s="105">
        <f>IFERROR(VLOOKUP(A2058,Lookup!$J$5:$P$19,7,FALSE),0)</f>
        <v>2</v>
      </c>
      <c r="P2058" s="159">
        <f t="shared" si="353"/>
        <v>2013</v>
      </c>
      <c r="Q2058" s="159">
        <f t="shared" si="354"/>
        <v>2</v>
      </c>
      <c r="R2058" s="160">
        <f t="shared" si="355"/>
        <v>2.7333333333372138</v>
      </c>
      <c r="S2058" s="158">
        <f t="shared" si="356"/>
        <v>0.74545454545560375</v>
      </c>
      <c r="T2058" s="161">
        <f t="shared" si="357"/>
        <v>223.63636363668112</v>
      </c>
      <c r="U2058" s="158">
        <f t="shared" si="358"/>
        <v>81.818181818181813</v>
      </c>
      <c r="V2058" s="160">
        <f t="shared" si="359"/>
        <v>82</v>
      </c>
    </row>
    <row r="2059" spans="1:22" x14ac:dyDescent="0.25">
      <c r="A2059" s="98" t="s">
        <v>23</v>
      </c>
      <c r="B2059" s="98" t="s">
        <v>20</v>
      </c>
      <c r="C2059" s="98">
        <v>25</v>
      </c>
      <c r="D2059" s="98">
        <v>8262</v>
      </c>
      <c r="E2059" s="157">
        <v>41308.418055555558</v>
      </c>
      <c r="F2059" s="157">
        <v>41310.114583333336</v>
      </c>
      <c r="G2059" s="98">
        <v>0</v>
      </c>
      <c r="H2059" s="98">
        <v>330</v>
      </c>
      <c r="I2059" s="98">
        <v>300</v>
      </c>
      <c r="J2059" s="98" t="s">
        <v>2650</v>
      </c>
      <c r="K2059" s="98" t="s">
        <v>581</v>
      </c>
      <c r="L2059" s="105" t="str">
        <f t="shared" si="350"/>
        <v>Mill Creek</v>
      </c>
      <c r="M2059" s="105" t="str">
        <f t="shared" si="351"/>
        <v>Maintenance</v>
      </c>
      <c r="N2059" s="105" t="str">
        <f t="shared" si="352"/>
        <v>Coal</v>
      </c>
      <c r="O2059" s="105">
        <f>IFERROR(VLOOKUP(A2059,Lookup!$J$5:$P$19,7,FALSE),0)</f>
        <v>2</v>
      </c>
      <c r="P2059" s="159">
        <f t="shared" si="353"/>
        <v>2013</v>
      </c>
      <c r="Q2059" s="159">
        <f t="shared" si="354"/>
        <v>2</v>
      </c>
      <c r="R2059" s="160">
        <f t="shared" si="355"/>
        <v>40.716666666674428</v>
      </c>
      <c r="S2059" s="158">
        <f t="shared" si="356"/>
        <v>40.716666666674428</v>
      </c>
      <c r="T2059" s="161">
        <f t="shared" si="357"/>
        <v>12215.000000002328</v>
      </c>
      <c r="U2059" s="158">
        <f t="shared" si="358"/>
        <v>300</v>
      </c>
      <c r="V2059" s="160">
        <f t="shared" si="359"/>
        <v>300</v>
      </c>
    </row>
    <row r="2060" spans="1:22" x14ac:dyDescent="0.25">
      <c r="A2060" s="98" t="s">
        <v>23</v>
      </c>
      <c r="B2060" s="98" t="s">
        <v>79</v>
      </c>
      <c r="C2060" s="98">
        <v>26</v>
      </c>
      <c r="D2060" s="98">
        <v>1850</v>
      </c>
      <c r="E2060" s="157">
        <v>41310.114583333336</v>
      </c>
      <c r="F2060" s="157">
        <v>41310.489583333336</v>
      </c>
      <c r="G2060" s="98">
        <v>0</v>
      </c>
      <c r="H2060" s="98">
        <v>330</v>
      </c>
      <c r="I2060" s="98">
        <v>300</v>
      </c>
      <c r="J2060" s="98" t="s">
        <v>2263</v>
      </c>
      <c r="K2060" s="98" t="s">
        <v>86</v>
      </c>
      <c r="L2060" s="105" t="str">
        <f t="shared" si="350"/>
        <v>Mill Creek</v>
      </c>
      <c r="M2060" s="105" t="str">
        <f t="shared" si="351"/>
        <v>Other</v>
      </c>
      <c r="N2060" s="105" t="str">
        <f t="shared" si="352"/>
        <v>Coal</v>
      </c>
      <c r="O2060" s="105">
        <f>IFERROR(VLOOKUP(A2060,Lookup!$J$5:$P$19,7,FALSE),0)</f>
        <v>2</v>
      </c>
      <c r="P2060" s="159">
        <f t="shared" si="353"/>
        <v>2013</v>
      </c>
      <c r="Q2060" s="159">
        <f t="shared" si="354"/>
        <v>2</v>
      </c>
      <c r="R2060" s="160">
        <f t="shared" si="355"/>
        <v>9</v>
      </c>
      <c r="S2060" s="158">
        <f t="shared" si="356"/>
        <v>9</v>
      </c>
      <c r="T2060" s="161">
        <f t="shared" si="357"/>
        <v>2700</v>
      </c>
      <c r="U2060" s="158">
        <f t="shared" si="358"/>
        <v>300</v>
      </c>
      <c r="V2060" s="160">
        <f t="shared" si="359"/>
        <v>300</v>
      </c>
    </row>
    <row r="2061" spans="1:22" x14ac:dyDescent="0.25">
      <c r="A2061" s="98" t="s">
        <v>23</v>
      </c>
      <c r="B2061" s="98" t="s">
        <v>17</v>
      </c>
      <c r="C2061" s="98">
        <v>27</v>
      </c>
      <c r="D2061" s="98">
        <v>320</v>
      </c>
      <c r="E2061" s="157">
        <v>41310.638888888891</v>
      </c>
      <c r="F2061" s="157">
        <v>41310.666666666664</v>
      </c>
      <c r="G2061" s="98">
        <v>270</v>
      </c>
      <c r="H2061" s="98">
        <v>330</v>
      </c>
      <c r="I2061" s="98">
        <v>300</v>
      </c>
      <c r="J2061" s="98" t="s">
        <v>1992</v>
      </c>
      <c r="K2061" s="98" t="s">
        <v>63</v>
      </c>
      <c r="L2061" s="105" t="str">
        <f t="shared" si="350"/>
        <v>Mill Creek</v>
      </c>
      <c r="M2061" s="105" t="str">
        <f t="shared" si="351"/>
        <v>Derate</v>
      </c>
      <c r="N2061" s="105" t="str">
        <f t="shared" si="352"/>
        <v>Coal</v>
      </c>
      <c r="O2061" s="105">
        <f>IFERROR(VLOOKUP(A2061,Lookup!$J$5:$P$19,7,FALSE),0)</f>
        <v>2</v>
      </c>
      <c r="P2061" s="159">
        <f t="shared" si="353"/>
        <v>2013</v>
      </c>
      <c r="Q2061" s="159">
        <f t="shared" si="354"/>
        <v>2</v>
      </c>
      <c r="R2061" s="160">
        <f t="shared" si="355"/>
        <v>0.6666666665696539</v>
      </c>
      <c r="S2061" s="158">
        <f t="shared" si="356"/>
        <v>0.12121212119448253</v>
      </c>
      <c r="T2061" s="161">
        <f t="shared" si="357"/>
        <v>36.363636358344763</v>
      </c>
      <c r="U2061" s="158">
        <f t="shared" si="358"/>
        <v>54.545454545454547</v>
      </c>
      <c r="V2061" s="160">
        <f t="shared" si="359"/>
        <v>55</v>
      </c>
    </row>
    <row r="2062" spans="1:22" x14ac:dyDescent="0.25">
      <c r="A2062" s="98" t="s">
        <v>23</v>
      </c>
      <c r="B2062" s="98" t="s">
        <v>79</v>
      </c>
      <c r="C2062" s="98">
        <v>28</v>
      </c>
      <c r="D2062" s="98">
        <v>310</v>
      </c>
      <c r="E2062" s="157">
        <v>41310.953472222223</v>
      </c>
      <c r="F2062" s="157">
        <v>41311.009722222225</v>
      </c>
      <c r="G2062" s="98">
        <v>0</v>
      </c>
      <c r="H2062" s="98">
        <v>330</v>
      </c>
      <c r="I2062" s="98">
        <v>300</v>
      </c>
      <c r="J2062" s="98" t="s">
        <v>1966</v>
      </c>
      <c r="K2062" s="98" t="s">
        <v>582</v>
      </c>
      <c r="L2062" s="105" t="str">
        <f t="shared" si="350"/>
        <v>Mill Creek</v>
      </c>
      <c r="M2062" s="105" t="str">
        <f t="shared" si="351"/>
        <v>Other</v>
      </c>
      <c r="N2062" s="105" t="str">
        <f t="shared" si="352"/>
        <v>Coal</v>
      </c>
      <c r="O2062" s="105">
        <f>IFERROR(VLOOKUP(A2062,Lookup!$J$5:$P$19,7,FALSE),0)</f>
        <v>2</v>
      </c>
      <c r="P2062" s="159">
        <f t="shared" si="353"/>
        <v>2013</v>
      </c>
      <c r="Q2062" s="159">
        <f t="shared" si="354"/>
        <v>2</v>
      </c>
      <c r="R2062" s="160">
        <f t="shared" si="355"/>
        <v>1.3500000000349246</v>
      </c>
      <c r="S2062" s="158">
        <f t="shared" si="356"/>
        <v>1.3500000000349246</v>
      </c>
      <c r="T2062" s="161">
        <f t="shared" si="357"/>
        <v>405.00000001047738</v>
      </c>
      <c r="U2062" s="158">
        <f t="shared" si="358"/>
        <v>300</v>
      </c>
      <c r="V2062" s="160">
        <f t="shared" si="359"/>
        <v>300</v>
      </c>
    </row>
    <row r="2063" spans="1:22" x14ac:dyDescent="0.25">
      <c r="A2063" s="98" t="s">
        <v>23</v>
      </c>
      <c r="B2063" s="98" t="s">
        <v>79</v>
      </c>
      <c r="C2063" s="98">
        <v>29</v>
      </c>
      <c r="D2063" s="98">
        <v>310</v>
      </c>
      <c r="E2063" s="157">
        <v>41311.932638888888</v>
      </c>
      <c r="F2063" s="157">
        <v>41311.973611111112</v>
      </c>
      <c r="G2063" s="98">
        <v>0</v>
      </c>
      <c r="H2063" s="98">
        <v>330</v>
      </c>
      <c r="I2063" s="98">
        <v>300</v>
      </c>
      <c r="J2063" s="98" t="s">
        <v>1966</v>
      </c>
      <c r="K2063" s="98" t="s">
        <v>583</v>
      </c>
      <c r="L2063" s="105" t="str">
        <f t="shared" si="350"/>
        <v>Mill Creek</v>
      </c>
      <c r="M2063" s="105" t="str">
        <f t="shared" si="351"/>
        <v>Other</v>
      </c>
      <c r="N2063" s="105" t="str">
        <f t="shared" si="352"/>
        <v>Coal</v>
      </c>
      <c r="O2063" s="105">
        <f>IFERROR(VLOOKUP(A2063,Lookup!$J$5:$P$19,7,FALSE),0)</f>
        <v>2</v>
      </c>
      <c r="P2063" s="159">
        <f t="shared" si="353"/>
        <v>2013</v>
      </c>
      <c r="Q2063" s="159">
        <f t="shared" si="354"/>
        <v>2</v>
      </c>
      <c r="R2063" s="160">
        <f t="shared" si="355"/>
        <v>0.9833333333954215</v>
      </c>
      <c r="S2063" s="158">
        <f t="shared" si="356"/>
        <v>0.9833333333954215</v>
      </c>
      <c r="T2063" s="161">
        <f t="shared" si="357"/>
        <v>295.00000001862645</v>
      </c>
      <c r="U2063" s="158">
        <f t="shared" si="358"/>
        <v>300</v>
      </c>
      <c r="V2063" s="160">
        <f t="shared" si="359"/>
        <v>300</v>
      </c>
    </row>
    <row r="2064" spans="1:22" x14ac:dyDescent="0.25">
      <c r="A2064" s="98" t="s">
        <v>23</v>
      </c>
      <c r="B2064" s="98" t="s">
        <v>79</v>
      </c>
      <c r="C2064" s="98">
        <v>30</v>
      </c>
      <c r="D2064" s="98">
        <v>310</v>
      </c>
      <c r="E2064" s="157">
        <v>41312.933333333334</v>
      </c>
      <c r="F2064" s="157">
        <v>41312.958333333336</v>
      </c>
      <c r="G2064" s="98">
        <v>0</v>
      </c>
      <c r="H2064" s="98">
        <v>330</v>
      </c>
      <c r="I2064" s="98">
        <v>300</v>
      </c>
      <c r="J2064" s="98" t="s">
        <v>1966</v>
      </c>
      <c r="K2064" s="98" t="s">
        <v>584</v>
      </c>
      <c r="L2064" s="105" t="str">
        <f t="shared" si="350"/>
        <v>Mill Creek</v>
      </c>
      <c r="M2064" s="105" t="str">
        <f t="shared" si="351"/>
        <v>Other</v>
      </c>
      <c r="N2064" s="105" t="str">
        <f t="shared" si="352"/>
        <v>Coal</v>
      </c>
      <c r="O2064" s="105">
        <f>IFERROR(VLOOKUP(A2064,Lookup!$J$5:$P$19,7,FALSE),0)</f>
        <v>2</v>
      </c>
      <c r="P2064" s="159">
        <f t="shared" si="353"/>
        <v>2013</v>
      </c>
      <c r="Q2064" s="159">
        <f t="shared" si="354"/>
        <v>2</v>
      </c>
      <c r="R2064" s="160">
        <f t="shared" si="355"/>
        <v>0.6000000000349246</v>
      </c>
      <c r="S2064" s="158">
        <f t="shared" si="356"/>
        <v>0.6000000000349246</v>
      </c>
      <c r="T2064" s="161">
        <f t="shared" si="357"/>
        <v>180.00000001047738</v>
      </c>
      <c r="U2064" s="158">
        <f t="shared" si="358"/>
        <v>300</v>
      </c>
      <c r="V2064" s="160">
        <f t="shared" si="359"/>
        <v>300</v>
      </c>
    </row>
    <row r="2065" spans="1:22" x14ac:dyDescent="0.25">
      <c r="A2065" s="98" t="s">
        <v>23</v>
      </c>
      <c r="B2065" s="98" t="s">
        <v>79</v>
      </c>
      <c r="C2065" s="98">
        <v>31</v>
      </c>
      <c r="D2065" s="98">
        <v>1160</v>
      </c>
      <c r="E2065" s="157">
        <v>41315.947916666664</v>
      </c>
      <c r="F2065" s="157">
        <v>41316.208333333336</v>
      </c>
      <c r="G2065" s="98">
        <v>0</v>
      </c>
      <c r="H2065" s="98">
        <v>330</v>
      </c>
      <c r="I2065" s="98">
        <v>300</v>
      </c>
      <c r="J2065" s="98" t="s">
        <v>2273</v>
      </c>
      <c r="K2065" s="98" t="s">
        <v>51</v>
      </c>
      <c r="L2065" s="105" t="str">
        <f t="shared" si="350"/>
        <v>Mill Creek</v>
      </c>
      <c r="M2065" s="105" t="str">
        <f t="shared" si="351"/>
        <v>Other</v>
      </c>
      <c r="N2065" s="105" t="str">
        <f t="shared" si="352"/>
        <v>Coal</v>
      </c>
      <c r="O2065" s="105">
        <f>IFERROR(VLOOKUP(A2065,Lookup!$J$5:$P$19,7,FALSE),0)</f>
        <v>2</v>
      </c>
      <c r="P2065" s="159">
        <f t="shared" si="353"/>
        <v>2013</v>
      </c>
      <c r="Q2065" s="159">
        <f t="shared" si="354"/>
        <v>2</v>
      </c>
      <c r="R2065" s="160">
        <f t="shared" si="355"/>
        <v>6.2500000001164153</v>
      </c>
      <c r="S2065" s="158">
        <f t="shared" si="356"/>
        <v>6.2500000001164153</v>
      </c>
      <c r="T2065" s="161">
        <f t="shared" si="357"/>
        <v>1875.0000000349246</v>
      </c>
      <c r="U2065" s="158">
        <f t="shared" si="358"/>
        <v>300</v>
      </c>
      <c r="V2065" s="160">
        <f t="shared" si="359"/>
        <v>300</v>
      </c>
    </row>
    <row r="2066" spans="1:22" x14ac:dyDescent="0.25">
      <c r="A2066" s="98" t="s">
        <v>23</v>
      </c>
      <c r="B2066" s="98" t="s">
        <v>17</v>
      </c>
      <c r="C2066" s="98">
        <v>32</v>
      </c>
      <c r="D2066" s="98">
        <v>300</v>
      </c>
      <c r="E2066" s="157">
        <v>41316.251388888886</v>
      </c>
      <c r="F2066" s="157">
        <v>41316.427083333336</v>
      </c>
      <c r="G2066" s="98">
        <v>250</v>
      </c>
      <c r="H2066" s="98">
        <v>330</v>
      </c>
      <c r="I2066" s="98">
        <v>300</v>
      </c>
      <c r="J2066" s="98" t="s">
        <v>1977</v>
      </c>
      <c r="K2066" s="98" t="s">
        <v>585</v>
      </c>
      <c r="L2066" s="105" t="str">
        <f t="shared" si="350"/>
        <v>Mill Creek</v>
      </c>
      <c r="M2066" s="105" t="str">
        <f t="shared" si="351"/>
        <v>Derate</v>
      </c>
      <c r="N2066" s="105" t="str">
        <f t="shared" si="352"/>
        <v>Coal</v>
      </c>
      <c r="O2066" s="105">
        <f>IFERROR(VLOOKUP(A2066,Lookup!$J$5:$P$19,7,FALSE),0)</f>
        <v>2</v>
      </c>
      <c r="P2066" s="159">
        <f t="shared" si="353"/>
        <v>2013</v>
      </c>
      <c r="Q2066" s="159">
        <f t="shared" si="354"/>
        <v>2</v>
      </c>
      <c r="R2066" s="160">
        <f t="shared" si="355"/>
        <v>4.216666666790843</v>
      </c>
      <c r="S2066" s="158">
        <f t="shared" si="356"/>
        <v>1.0222222222523256</v>
      </c>
      <c r="T2066" s="161">
        <f t="shared" si="357"/>
        <v>306.66666667569768</v>
      </c>
      <c r="U2066" s="158">
        <f t="shared" si="358"/>
        <v>72.727272727272734</v>
      </c>
      <c r="V2066" s="160">
        <f t="shared" si="359"/>
        <v>73</v>
      </c>
    </row>
    <row r="2067" spans="1:22" x14ac:dyDescent="0.25">
      <c r="A2067" s="98" t="s">
        <v>23</v>
      </c>
      <c r="B2067" s="98" t="s">
        <v>17</v>
      </c>
      <c r="C2067" s="98">
        <v>33</v>
      </c>
      <c r="D2067" s="98">
        <v>300</v>
      </c>
      <c r="E2067" s="157">
        <v>41316.427083333336</v>
      </c>
      <c r="F2067" s="157">
        <v>41316.509722222225</v>
      </c>
      <c r="G2067" s="98">
        <v>275</v>
      </c>
      <c r="H2067" s="98">
        <v>330</v>
      </c>
      <c r="I2067" s="98">
        <v>300</v>
      </c>
      <c r="J2067" s="98" t="s">
        <v>1977</v>
      </c>
      <c r="K2067" s="98" t="s">
        <v>586</v>
      </c>
      <c r="L2067" s="105" t="str">
        <f t="shared" si="350"/>
        <v>Mill Creek</v>
      </c>
      <c r="M2067" s="105" t="str">
        <f t="shared" si="351"/>
        <v>Derate</v>
      </c>
      <c r="N2067" s="105" t="str">
        <f t="shared" si="352"/>
        <v>Coal</v>
      </c>
      <c r="O2067" s="105">
        <f>IFERROR(VLOOKUP(A2067,Lookup!$J$5:$P$19,7,FALSE),0)</f>
        <v>2</v>
      </c>
      <c r="P2067" s="159">
        <f t="shared" si="353"/>
        <v>2013</v>
      </c>
      <c r="Q2067" s="159">
        <f t="shared" si="354"/>
        <v>2</v>
      </c>
      <c r="R2067" s="160">
        <f t="shared" si="355"/>
        <v>1.9833333333372138</v>
      </c>
      <c r="S2067" s="158">
        <f t="shared" si="356"/>
        <v>0.33055555555620231</v>
      </c>
      <c r="T2067" s="161">
        <f t="shared" si="357"/>
        <v>99.166666666860692</v>
      </c>
      <c r="U2067" s="158">
        <f t="shared" si="358"/>
        <v>50</v>
      </c>
      <c r="V2067" s="160">
        <f t="shared" si="359"/>
        <v>50</v>
      </c>
    </row>
    <row r="2068" spans="1:22" x14ac:dyDescent="0.25">
      <c r="A2068" s="98" t="s">
        <v>23</v>
      </c>
      <c r="B2068" s="98" t="s">
        <v>17</v>
      </c>
      <c r="C2068" s="98">
        <v>34</v>
      </c>
      <c r="D2068" s="98">
        <v>300</v>
      </c>
      <c r="E2068" s="157">
        <v>41316.533333333333</v>
      </c>
      <c r="F2068" s="157">
        <v>41316.656944444447</v>
      </c>
      <c r="G2068" s="98">
        <v>277</v>
      </c>
      <c r="H2068" s="98">
        <v>330</v>
      </c>
      <c r="I2068" s="98">
        <v>300</v>
      </c>
      <c r="J2068" s="98" t="s">
        <v>1977</v>
      </c>
      <c r="K2068" s="98" t="s">
        <v>587</v>
      </c>
      <c r="L2068" s="105" t="str">
        <f t="shared" si="350"/>
        <v>Mill Creek</v>
      </c>
      <c r="M2068" s="105" t="str">
        <f t="shared" si="351"/>
        <v>Derate</v>
      </c>
      <c r="N2068" s="105" t="str">
        <f t="shared" si="352"/>
        <v>Coal</v>
      </c>
      <c r="O2068" s="105">
        <f>IFERROR(VLOOKUP(A2068,Lookup!$J$5:$P$19,7,FALSE),0)</f>
        <v>2</v>
      </c>
      <c r="P2068" s="159">
        <f t="shared" si="353"/>
        <v>2013</v>
      </c>
      <c r="Q2068" s="159">
        <f t="shared" si="354"/>
        <v>2</v>
      </c>
      <c r="R2068" s="160">
        <f t="shared" si="355"/>
        <v>2.9666666667326353</v>
      </c>
      <c r="S2068" s="158">
        <f t="shared" si="356"/>
        <v>0.47646464647524145</v>
      </c>
      <c r="T2068" s="161">
        <f t="shared" si="357"/>
        <v>142.93939394257242</v>
      </c>
      <c r="U2068" s="158">
        <f t="shared" si="358"/>
        <v>48.18181818181818</v>
      </c>
      <c r="V2068" s="160">
        <f t="shared" si="359"/>
        <v>48</v>
      </c>
    </row>
    <row r="2069" spans="1:22" x14ac:dyDescent="0.25">
      <c r="A2069" s="98" t="s">
        <v>23</v>
      </c>
      <c r="B2069" s="98" t="s">
        <v>17</v>
      </c>
      <c r="C2069" s="98">
        <v>35</v>
      </c>
      <c r="D2069" s="98">
        <v>300</v>
      </c>
      <c r="E2069" s="157">
        <v>41316.656944444447</v>
      </c>
      <c r="F2069" s="157">
        <v>41316.770833333336</v>
      </c>
      <c r="G2069" s="98">
        <v>250</v>
      </c>
      <c r="H2069" s="98">
        <v>330</v>
      </c>
      <c r="I2069" s="98">
        <v>300</v>
      </c>
      <c r="J2069" s="98" t="s">
        <v>1977</v>
      </c>
      <c r="K2069" s="98" t="s">
        <v>588</v>
      </c>
      <c r="L2069" s="105" t="str">
        <f t="shared" si="350"/>
        <v>Mill Creek</v>
      </c>
      <c r="M2069" s="105" t="str">
        <f t="shared" si="351"/>
        <v>Derate</v>
      </c>
      <c r="N2069" s="105" t="str">
        <f t="shared" si="352"/>
        <v>Coal</v>
      </c>
      <c r="O2069" s="105">
        <f>IFERROR(VLOOKUP(A2069,Lookup!$J$5:$P$19,7,FALSE),0)</f>
        <v>2</v>
      </c>
      <c r="P2069" s="159">
        <f t="shared" si="353"/>
        <v>2013</v>
      </c>
      <c r="Q2069" s="159">
        <f t="shared" si="354"/>
        <v>2</v>
      </c>
      <c r="R2069" s="160">
        <f t="shared" si="355"/>
        <v>2.7333333333372138</v>
      </c>
      <c r="S2069" s="158">
        <f t="shared" si="356"/>
        <v>0.66262626262720337</v>
      </c>
      <c r="T2069" s="161">
        <f t="shared" si="357"/>
        <v>198.78787878816101</v>
      </c>
      <c r="U2069" s="158">
        <f t="shared" si="358"/>
        <v>72.727272727272734</v>
      </c>
      <c r="V2069" s="160">
        <f t="shared" si="359"/>
        <v>73</v>
      </c>
    </row>
    <row r="2070" spans="1:22" x14ac:dyDescent="0.25">
      <c r="A2070" s="98" t="s">
        <v>23</v>
      </c>
      <c r="B2070" s="98" t="s">
        <v>17</v>
      </c>
      <c r="C2070" s="98">
        <v>36</v>
      </c>
      <c r="D2070" s="98">
        <v>300</v>
      </c>
      <c r="E2070" s="157">
        <v>41316.770833333336</v>
      </c>
      <c r="F2070" s="157">
        <v>41316.854166666664</v>
      </c>
      <c r="G2070" s="98">
        <v>280</v>
      </c>
      <c r="H2070" s="98">
        <v>330</v>
      </c>
      <c r="I2070" s="98">
        <v>300</v>
      </c>
      <c r="J2070" s="98" t="s">
        <v>1977</v>
      </c>
      <c r="K2070" s="98" t="s">
        <v>587</v>
      </c>
      <c r="L2070" s="105" t="str">
        <f t="shared" si="350"/>
        <v>Mill Creek</v>
      </c>
      <c r="M2070" s="105" t="str">
        <f t="shared" si="351"/>
        <v>Derate</v>
      </c>
      <c r="N2070" s="105" t="str">
        <f t="shared" si="352"/>
        <v>Coal</v>
      </c>
      <c r="O2070" s="105">
        <f>IFERROR(VLOOKUP(A2070,Lookup!$J$5:$P$19,7,FALSE),0)</f>
        <v>2</v>
      </c>
      <c r="P2070" s="159">
        <f t="shared" si="353"/>
        <v>2013</v>
      </c>
      <c r="Q2070" s="159">
        <f t="shared" si="354"/>
        <v>2</v>
      </c>
      <c r="R2070" s="160">
        <f t="shared" si="355"/>
        <v>1.9999999998835847</v>
      </c>
      <c r="S2070" s="158">
        <f t="shared" si="356"/>
        <v>0.30303030301266437</v>
      </c>
      <c r="T2070" s="161">
        <f t="shared" si="357"/>
        <v>90.90909090379931</v>
      </c>
      <c r="U2070" s="158">
        <f t="shared" si="358"/>
        <v>45.454545454545453</v>
      </c>
      <c r="V2070" s="160">
        <f t="shared" si="359"/>
        <v>45</v>
      </c>
    </row>
    <row r="2071" spans="1:22" x14ac:dyDescent="0.25">
      <c r="A2071" s="98" t="s">
        <v>23</v>
      </c>
      <c r="B2071" s="98" t="s">
        <v>17</v>
      </c>
      <c r="C2071" s="98">
        <v>37</v>
      </c>
      <c r="D2071" s="98">
        <v>9270</v>
      </c>
      <c r="E2071" s="157">
        <v>41318.504166666666</v>
      </c>
      <c r="F2071" s="157">
        <v>41318.534722222219</v>
      </c>
      <c r="G2071" s="98">
        <v>250</v>
      </c>
      <c r="H2071" s="98">
        <v>330</v>
      </c>
      <c r="I2071" s="98">
        <v>300</v>
      </c>
      <c r="J2071" s="98" t="s">
        <v>2006</v>
      </c>
      <c r="K2071" s="98" t="s">
        <v>575</v>
      </c>
      <c r="L2071" s="105" t="str">
        <f t="shared" si="350"/>
        <v>Mill Creek</v>
      </c>
      <c r="M2071" s="105" t="str">
        <f t="shared" si="351"/>
        <v>Derate</v>
      </c>
      <c r="N2071" s="105" t="str">
        <f t="shared" si="352"/>
        <v>Coal</v>
      </c>
      <c r="O2071" s="105">
        <f>IFERROR(VLOOKUP(A2071,Lookup!$J$5:$P$19,7,FALSE),0)</f>
        <v>2</v>
      </c>
      <c r="P2071" s="159">
        <f t="shared" si="353"/>
        <v>2013</v>
      </c>
      <c r="Q2071" s="159">
        <f t="shared" si="354"/>
        <v>2</v>
      </c>
      <c r="R2071" s="160">
        <f t="shared" si="355"/>
        <v>0.73333333327900618</v>
      </c>
      <c r="S2071" s="158">
        <f t="shared" si="356"/>
        <v>0.17777777776460757</v>
      </c>
      <c r="T2071" s="161">
        <f t="shared" si="357"/>
        <v>53.33333332938227</v>
      </c>
      <c r="U2071" s="158">
        <f t="shared" si="358"/>
        <v>72.727272727272734</v>
      </c>
      <c r="V2071" s="160">
        <f t="shared" si="359"/>
        <v>73</v>
      </c>
    </row>
    <row r="2072" spans="1:22" x14ac:dyDescent="0.25">
      <c r="A2072" s="98" t="s">
        <v>23</v>
      </c>
      <c r="B2072" s="98" t="s">
        <v>17</v>
      </c>
      <c r="C2072" s="98">
        <v>38</v>
      </c>
      <c r="D2072" s="98">
        <v>250</v>
      </c>
      <c r="E2072" s="157">
        <v>41318.996527777781</v>
      </c>
      <c r="F2072" s="157">
        <v>41319.119444444441</v>
      </c>
      <c r="G2072" s="98">
        <v>240</v>
      </c>
      <c r="H2072" s="98">
        <v>330</v>
      </c>
      <c r="I2072" s="98">
        <v>300</v>
      </c>
      <c r="J2072" s="98" t="s">
        <v>1978</v>
      </c>
      <c r="K2072" s="98" t="s">
        <v>589</v>
      </c>
      <c r="L2072" s="105" t="str">
        <f t="shared" si="350"/>
        <v>Mill Creek</v>
      </c>
      <c r="M2072" s="105" t="str">
        <f t="shared" si="351"/>
        <v>Derate</v>
      </c>
      <c r="N2072" s="105" t="str">
        <f t="shared" si="352"/>
        <v>Coal</v>
      </c>
      <c r="O2072" s="105">
        <f>IFERROR(VLOOKUP(A2072,Lookup!$J$5:$P$19,7,FALSE),0)</f>
        <v>2</v>
      </c>
      <c r="P2072" s="159">
        <f t="shared" si="353"/>
        <v>2013</v>
      </c>
      <c r="Q2072" s="159">
        <f t="shared" si="354"/>
        <v>2</v>
      </c>
      <c r="R2072" s="160">
        <f t="shared" si="355"/>
        <v>2.9499999998370185</v>
      </c>
      <c r="S2072" s="158">
        <f t="shared" si="356"/>
        <v>0.80454545450100501</v>
      </c>
      <c r="T2072" s="161">
        <f t="shared" si="357"/>
        <v>241.3636363503015</v>
      </c>
      <c r="U2072" s="158">
        <f t="shared" si="358"/>
        <v>81.818181818181813</v>
      </c>
      <c r="V2072" s="160">
        <f t="shared" si="359"/>
        <v>82</v>
      </c>
    </row>
    <row r="2073" spans="1:22" x14ac:dyDescent="0.25">
      <c r="A2073" s="98" t="s">
        <v>23</v>
      </c>
      <c r="B2073" s="98" t="s">
        <v>105</v>
      </c>
      <c r="C2073" s="98">
        <v>39</v>
      </c>
      <c r="D2073" s="98">
        <v>310</v>
      </c>
      <c r="E2073" s="157">
        <v>41319.958333333336</v>
      </c>
      <c r="F2073" s="157">
        <v>41320.206944444442</v>
      </c>
      <c r="G2073" s="98">
        <v>250</v>
      </c>
      <c r="H2073" s="98">
        <v>330</v>
      </c>
      <c r="I2073" s="98">
        <v>300</v>
      </c>
      <c r="J2073" s="98" t="s">
        <v>1966</v>
      </c>
      <c r="K2073" s="98" t="s">
        <v>565</v>
      </c>
      <c r="L2073" s="105" t="str">
        <f t="shared" si="350"/>
        <v>Mill Creek</v>
      </c>
      <c r="M2073" s="105" t="str">
        <f t="shared" si="351"/>
        <v>Derate</v>
      </c>
      <c r="N2073" s="105" t="str">
        <f t="shared" si="352"/>
        <v>Coal</v>
      </c>
      <c r="O2073" s="105">
        <f>IFERROR(VLOOKUP(A2073,Lookup!$J$5:$P$19,7,FALSE),0)</f>
        <v>2</v>
      </c>
      <c r="P2073" s="159">
        <f t="shared" si="353"/>
        <v>2013</v>
      </c>
      <c r="Q2073" s="159">
        <f t="shared" si="354"/>
        <v>2</v>
      </c>
      <c r="R2073" s="160">
        <f t="shared" si="355"/>
        <v>5.9666666665580124</v>
      </c>
      <c r="S2073" s="158">
        <f t="shared" si="356"/>
        <v>1.446464646438306</v>
      </c>
      <c r="T2073" s="161">
        <f t="shared" si="357"/>
        <v>433.93939393149179</v>
      </c>
      <c r="U2073" s="158">
        <f t="shared" si="358"/>
        <v>72.727272727272734</v>
      </c>
      <c r="V2073" s="160">
        <f t="shared" si="359"/>
        <v>73</v>
      </c>
    </row>
    <row r="2074" spans="1:22" x14ac:dyDescent="0.25">
      <c r="A2074" s="98" t="s">
        <v>23</v>
      </c>
      <c r="B2074" s="98" t="s">
        <v>17</v>
      </c>
      <c r="C2074" s="98">
        <v>40</v>
      </c>
      <c r="D2074" s="98">
        <v>310</v>
      </c>
      <c r="E2074" s="157">
        <v>41320.0625</v>
      </c>
      <c r="F2074" s="157">
        <v>41320.206944444442</v>
      </c>
      <c r="G2074" s="98">
        <v>175</v>
      </c>
      <c r="H2074" s="98">
        <v>330</v>
      </c>
      <c r="I2074" s="98">
        <v>300</v>
      </c>
      <c r="J2074" s="98" t="s">
        <v>1966</v>
      </c>
      <c r="K2074" s="98" t="s">
        <v>590</v>
      </c>
      <c r="L2074" s="105" t="str">
        <f t="shared" si="350"/>
        <v>Mill Creek</v>
      </c>
      <c r="M2074" s="105" t="str">
        <f t="shared" si="351"/>
        <v>Derate</v>
      </c>
      <c r="N2074" s="105" t="str">
        <f t="shared" si="352"/>
        <v>Coal</v>
      </c>
      <c r="O2074" s="105">
        <f>IFERROR(VLOOKUP(A2074,Lookup!$J$5:$P$19,7,FALSE),0)</f>
        <v>2</v>
      </c>
      <c r="P2074" s="159">
        <f t="shared" si="353"/>
        <v>2013</v>
      </c>
      <c r="Q2074" s="159">
        <f t="shared" si="354"/>
        <v>2</v>
      </c>
      <c r="R2074" s="160">
        <f t="shared" si="355"/>
        <v>3.46666666661622</v>
      </c>
      <c r="S2074" s="158">
        <f t="shared" si="356"/>
        <v>1.6282828282591337</v>
      </c>
      <c r="T2074" s="161">
        <f t="shared" si="357"/>
        <v>488.48484847774012</v>
      </c>
      <c r="U2074" s="158">
        <f t="shared" si="358"/>
        <v>140.90909090909091</v>
      </c>
      <c r="V2074" s="160">
        <f t="shared" si="359"/>
        <v>141</v>
      </c>
    </row>
    <row r="2075" spans="1:22" x14ac:dyDescent="0.25">
      <c r="A2075" s="98" t="s">
        <v>23</v>
      </c>
      <c r="B2075" s="98" t="s">
        <v>15</v>
      </c>
      <c r="C2075" s="98">
        <v>41</v>
      </c>
      <c r="D2075" s="98">
        <v>3149</v>
      </c>
      <c r="E2075" s="157">
        <v>41320.65625</v>
      </c>
      <c r="F2075" s="157">
        <v>41320.703472222223</v>
      </c>
      <c r="G2075" s="98">
        <v>0</v>
      </c>
      <c r="H2075" s="98">
        <v>330</v>
      </c>
      <c r="I2075" s="98">
        <v>300</v>
      </c>
      <c r="J2075" s="98" t="s">
        <v>2034</v>
      </c>
      <c r="K2075" s="98" t="s">
        <v>591</v>
      </c>
      <c r="L2075" s="105" t="str">
        <f t="shared" si="350"/>
        <v>Mill Creek</v>
      </c>
      <c r="M2075" s="105" t="str">
        <f t="shared" si="351"/>
        <v>Outage</v>
      </c>
      <c r="N2075" s="105" t="str">
        <f t="shared" si="352"/>
        <v>Coal</v>
      </c>
      <c r="O2075" s="105">
        <f>IFERROR(VLOOKUP(A2075,Lookup!$J$5:$P$19,7,FALSE),0)</f>
        <v>2</v>
      </c>
      <c r="P2075" s="159">
        <f t="shared" si="353"/>
        <v>2013</v>
      </c>
      <c r="Q2075" s="159">
        <f t="shared" si="354"/>
        <v>2</v>
      </c>
      <c r="R2075" s="160">
        <f t="shared" si="355"/>
        <v>1.1333333333604969</v>
      </c>
      <c r="S2075" s="158">
        <f t="shared" si="356"/>
        <v>1.1333333333604969</v>
      </c>
      <c r="T2075" s="161">
        <f t="shared" si="357"/>
        <v>340.00000000814907</v>
      </c>
      <c r="U2075" s="158">
        <f t="shared" si="358"/>
        <v>300</v>
      </c>
      <c r="V2075" s="160">
        <f t="shared" si="359"/>
        <v>300</v>
      </c>
    </row>
    <row r="2076" spans="1:22" x14ac:dyDescent="0.25">
      <c r="A2076" s="98" t="s">
        <v>23</v>
      </c>
      <c r="B2076" s="98" t="s">
        <v>79</v>
      </c>
      <c r="C2076" s="98">
        <v>42</v>
      </c>
      <c r="D2076" s="98">
        <v>1850</v>
      </c>
      <c r="E2076" s="157">
        <v>41320.703472222223</v>
      </c>
      <c r="F2076" s="157">
        <v>41320.965277777781</v>
      </c>
      <c r="G2076" s="98">
        <v>0</v>
      </c>
      <c r="H2076" s="98">
        <v>330</v>
      </c>
      <c r="I2076" s="98">
        <v>300</v>
      </c>
      <c r="J2076" s="98" t="s">
        <v>2263</v>
      </c>
      <c r="K2076" s="98" t="s">
        <v>87</v>
      </c>
      <c r="L2076" s="105" t="str">
        <f t="shared" si="350"/>
        <v>Mill Creek</v>
      </c>
      <c r="M2076" s="105" t="str">
        <f t="shared" si="351"/>
        <v>Other</v>
      </c>
      <c r="N2076" s="105" t="str">
        <f t="shared" si="352"/>
        <v>Coal</v>
      </c>
      <c r="O2076" s="105">
        <f>IFERROR(VLOOKUP(A2076,Lookup!$J$5:$P$19,7,FALSE),0)</f>
        <v>2</v>
      </c>
      <c r="P2076" s="159">
        <f t="shared" si="353"/>
        <v>2013</v>
      </c>
      <c r="Q2076" s="159">
        <f t="shared" si="354"/>
        <v>2</v>
      </c>
      <c r="R2076" s="160">
        <f t="shared" si="355"/>
        <v>6.28333333338378</v>
      </c>
      <c r="S2076" s="158">
        <f t="shared" si="356"/>
        <v>6.28333333338378</v>
      </c>
      <c r="T2076" s="161">
        <f t="shared" si="357"/>
        <v>1885.000000015134</v>
      </c>
      <c r="U2076" s="158">
        <f t="shared" si="358"/>
        <v>300</v>
      </c>
      <c r="V2076" s="160">
        <f t="shared" si="359"/>
        <v>300</v>
      </c>
    </row>
    <row r="2077" spans="1:22" x14ac:dyDescent="0.25">
      <c r="A2077" s="98" t="s">
        <v>23</v>
      </c>
      <c r="B2077" s="98" t="s">
        <v>17</v>
      </c>
      <c r="C2077" s="98">
        <v>43</v>
      </c>
      <c r="D2077" s="98">
        <v>310</v>
      </c>
      <c r="E2077" s="157">
        <v>41324.232638888891</v>
      </c>
      <c r="F2077" s="157">
        <v>41324.275694444441</v>
      </c>
      <c r="G2077" s="98">
        <v>240</v>
      </c>
      <c r="H2077" s="98">
        <v>330</v>
      </c>
      <c r="I2077" s="98">
        <v>300</v>
      </c>
      <c r="J2077" s="98" t="s">
        <v>1966</v>
      </c>
      <c r="K2077" s="98" t="s">
        <v>592</v>
      </c>
      <c r="L2077" s="105" t="str">
        <f t="shared" si="350"/>
        <v>Mill Creek</v>
      </c>
      <c r="M2077" s="105" t="str">
        <f t="shared" si="351"/>
        <v>Derate</v>
      </c>
      <c r="N2077" s="105" t="str">
        <f t="shared" si="352"/>
        <v>Coal</v>
      </c>
      <c r="O2077" s="105">
        <f>IFERROR(VLOOKUP(A2077,Lookup!$J$5:$P$19,7,FALSE),0)</f>
        <v>2</v>
      </c>
      <c r="P2077" s="159">
        <f t="shared" si="353"/>
        <v>2013</v>
      </c>
      <c r="Q2077" s="159">
        <f t="shared" si="354"/>
        <v>2</v>
      </c>
      <c r="R2077" s="160">
        <f t="shared" si="355"/>
        <v>1.033333333209157</v>
      </c>
      <c r="S2077" s="158">
        <f t="shared" si="356"/>
        <v>0.28181818178431556</v>
      </c>
      <c r="T2077" s="161">
        <f t="shared" si="357"/>
        <v>84.545454535294667</v>
      </c>
      <c r="U2077" s="158">
        <f t="shared" si="358"/>
        <v>81.818181818181813</v>
      </c>
      <c r="V2077" s="160">
        <f t="shared" si="359"/>
        <v>82</v>
      </c>
    </row>
    <row r="2078" spans="1:22" x14ac:dyDescent="0.25">
      <c r="A2078" s="98" t="s">
        <v>23</v>
      </c>
      <c r="B2078" s="98" t="s">
        <v>17</v>
      </c>
      <c r="C2078" s="98">
        <v>44</v>
      </c>
      <c r="D2078" s="98">
        <v>9600</v>
      </c>
      <c r="E2078" s="157">
        <v>41326.800000000003</v>
      </c>
      <c r="F2078" s="157">
        <v>41326.833333333336</v>
      </c>
      <c r="G2078" s="98">
        <v>260</v>
      </c>
      <c r="H2078" s="98">
        <v>330</v>
      </c>
      <c r="I2078" s="98">
        <v>300</v>
      </c>
      <c r="J2078" s="98" t="s">
        <v>2111</v>
      </c>
      <c r="K2078" s="98" t="s">
        <v>593</v>
      </c>
      <c r="L2078" s="105" t="str">
        <f t="shared" si="350"/>
        <v>Mill Creek</v>
      </c>
      <c r="M2078" s="105" t="str">
        <f t="shared" si="351"/>
        <v>Derate</v>
      </c>
      <c r="N2078" s="105" t="str">
        <f t="shared" si="352"/>
        <v>Coal</v>
      </c>
      <c r="O2078" s="105">
        <f>IFERROR(VLOOKUP(A2078,Lookup!$J$5:$P$19,7,FALSE),0)</f>
        <v>2</v>
      </c>
      <c r="P2078" s="159">
        <f t="shared" si="353"/>
        <v>2013</v>
      </c>
      <c r="Q2078" s="159">
        <f t="shared" si="354"/>
        <v>2</v>
      </c>
      <c r="R2078" s="160">
        <f t="shared" si="355"/>
        <v>0.79999999998835847</v>
      </c>
      <c r="S2078" s="158">
        <f t="shared" si="356"/>
        <v>0.16969696969450029</v>
      </c>
      <c r="T2078" s="161">
        <f t="shared" si="357"/>
        <v>50.909090908350088</v>
      </c>
      <c r="U2078" s="158">
        <f t="shared" si="358"/>
        <v>63.636363636363633</v>
      </c>
      <c r="V2078" s="160">
        <f t="shared" si="359"/>
        <v>64</v>
      </c>
    </row>
    <row r="2079" spans="1:22" x14ac:dyDescent="0.25">
      <c r="A2079" s="98" t="s">
        <v>23</v>
      </c>
      <c r="B2079" s="98" t="s">
        <v>79</v>
      </c>
      <c r="C2079" s="98">
        <v>45</v>
      </c>
      <c r="D2079" s="98">
        <v>1160</v>
      </c>
      <c r="E2079" s="157">
        <v>41326.958333333336</v>
      </c>
      <c r="F2079" s="157">
        <v>41327.170138888891</v>
      </c>
      <c r="G2079" s="98">
        <v>0</v>
      </c>
      <c r="H2079" s="98">
        <v>330</v>
      </c>
      <c r="I2079" s="98">
        <v>300</v>
      </c>
      <c r="J2079" s="98" t="s">
        <v>2273</v>
      </c>
      <c r="K2079" s="98" t="s">
        <v>594</v>
      </c>
      <c r="L2079" s="105" t="str">
        <f t="shared" si="350"/>
        <v>Mill Creek</v>
      </c>
      <c r="M2079" s="105" t="str">
        <f t="shared" si="351"/>
        <v>Other</v>
      </c>
      <c r="N2079" s="105" t="str">
        <f t="shared" si="352"/>
        <v>Coal</v>
      </c>
      <c r="O2079" s="105">
        <f>IFERROR(VLOOKUP(A2079,Lookup!$J$5:$P$19,7,FALSE),0)</f>
        <v>2</v>
      </c>
      <c r="P2079" s="159">
        <f t="shared" si="353"/>
        <v>2013</v>
      </c>
      <c r="Q2079" s="159">
        <f t="shared" si="354"/>
        <v>2</v>
      </c>
      <c r="R2079" s="160">
        <f t="shared" si="355"/>
        <v>5.0833333333139308</v>
      </c>
      <c r="S2079" s="158">
        <f t="shared" si="356"/>
        <v>5.0833333333139308</v>
      </c>
      <c r="T2079" s="161">
        <f t="shared" si="357"/>
        <v>1524.9999999941792</v>
      </c>
      <c r="U2079" s="158">
        <f t="shared" si="358"/>
        <v>300</v>
      </c>
      <c r="V2079" s="160">
        <f t="shared" si="359"/>
        <v>300</v>
      </c>
    </row>
    <row r="2080" spans="1:22" x14ac:dyDescent="0.25">
      <c r="A2080" s="98" t="s">
        <v>23</v>
      </c>
      <c r="B2080" s="98" t="s">
        <v>17</v>
      </c>
      <c r="C2080" s="98">
        <v>46</v>
      </c>
      <c r="D2080" s="98">
        <v>1160</v>
      </c>
      <c r="E2080" s="157">
        <v>41333.090277777781</v>
      </c>
      <c r="F2080" s="157">
        <v>41333.173611111109</v>
      </c>
      <c r="G2080" s="98">
        <v>240</v>
      </c>
      <c r="H2080" s="98">
        <v>330</v>
      </c>
      <c r="I2080" s="98">
        <v>300</v>
      </c>
      <c r="J2080" s="98" t="s">
        <v>2273</v>
      </c>
      <c r="K2080" s="98" t="s">
        <v>594</v>
      </c>
      <c r="L2080" s="105" t="str">
        <f t="shared" si="350"/>
        <v>Mill Creek</v>
      </c>
      <c r="M2080" s="105" t="str">
        <f t="shared" si="351"/>
        <v>Derate</v>
      </c>
      <c r="N2080" s="105" t="str">
        <f t="shared" si="352"/>
        <v>Coal</v>
      </c>
      <c r="O2080" s="105">
        <f>IFERROR(VLOOKUP(A2080,Lookup!$J$5:$P$19,7,FALSE),0)</f>
        <v>2</v>
      </c>
      <c r="P2080" s="159">
        <f t="shared" si="353"/>
        <v>2013</v>
      </c>
      <c r="Q2080" s="159">
        <f t="shared" si="354"/>
        <v>2</v>
      </c>
      <c r="R2080" s="160">
        <f t="shared" si="355"/>
        <v>1.9999999998835847</v>
      </c>
      <c r="S2080" s="158">
        <f t="shared" si="356"/>
        <v>0.54545454542279581</v>
      </c>
      <c r="T2080" s="161">
        <f t="shared" si="357"/>
        <v>163.63636362683874</v>
      </c>
      <c r="U2080" s="158">
        <f t="shared" si="358"/>
        <v>81.818181818181813</v>
      </c>
      <c r="V2080" s="160">
        <f t="shared" si="359"/>
        <v>82</v>
      </c>
    </row>
    <row r="2081" spans="1:22" x14ac:dyDescent="0.25">
      <c r="A2081" s="98" t="s">
        <v>23</v>
      </c>
      <c r="B2081" s="98" t="s">
        <v>17</v>
      </c>
      <c r="C2081" s="98">
        <v>47</v>
      </c>
      <c r="D2081" s="98">
        <v>1480</v>
      </c>
      <c r="E2081" s="157">
        <v>41333.577777777777</v>
      </c>
      <c r="F2081" s="157">
        <v>41334.079861111109</v>
      </c>
      <c r="G2081" s="98">
        <v>320</v>
      </c>
      <c r="H2081" s="98">
        <v>330</v>
      </c>
      <c r="I2081" s="98">
        <v>300</v>
      </c>
      <c r="J2081" s="98" t="s">
        <v>1972</v>
      </c>
      <c r="K2081" s="98" t="s">
        <v>595</v>
      </c>
      <c r="L2081" s="105" t="str">
        <f t="shared" si="350"/>
        <v>Mill Creek</v>
      </c>
      <c r="M2081" s="105" t="str">
        <f t="shared" si="351"/>
        <v>Derate</v>
      </c>
      <c r="N2081" s="105" t="str">
        <f t="shared" si="352"/>
        <v>Coal</v>
      </c>
      <c r="O2081" s="105">
        <f>IFERROR(VLOOKUP(A2081,Lookup!$J$5:$P$19,7,FALSE),0)</f>
        <v>2</v>
      </c>
      <c r="P2081" s="159">
        <f t="shared" si="353"/>
        <v>2013</v>
      </c>
      <c r="Q2081" s="159">
        <f t="shared" si="354"/>
        <v>2</v>
      </c>
      <c r="R2081" s="160">
        <f t="shared" si="355"/>
        <v>12.049999999988358</v>
      </c>
      <c r="S2081" s="158">
        <f t="shared" si="356"/>
        <v>0.3651515151511624</v>
      </c>
      <c r="T2081" s="161">
        <f t="shared" si="357"/>
        <v>109.54545454534872</v>
      </c>
      <c r="U2081" s="158">
        <f t="shared" si="358"/>
        <v>9.0909090909090917</v>
      </c>
      <c r="V2081" s="160">
        <f t="shared" si="359"/>
        <v>9</v>
      </c>
    </row>
    <row r="2082" spans="1:22" x14ac:dyDescent="0.25">
      <c r="A2082" s="98" t="s">
        <v>23</v>
      </c>
      <c r="B2082" s="98" t="s">
        <v>79</v>
      </c>
      <c r="C2082" s="98">
        <v>48</v>
      </c>
      <c r="D2082" s="98">
        <v>1160</v>
      </c>
      <c r="E2082" s="157">
        <v>41336.458333333336</v>
      </c>
      <c r="F2082" s="157">
        <v>41336.770833333336</v>
      </c>
      <c r="G2082" s="98">
        <v>0</v>
      </c>
      <c r="H2082" s="98">
        <v>330</v>
      </c>
      <c r="I2082" s="98">
        <v>300</v>
      </c>
      <c r="J2082" s="98" t="s">
        <v>2273</v>
      </c>
      <c r="K2082" s="98" t="s">
        <v>51</v>
      </c>
      <c r="L2082" s="105" t="str">
        <f t="shared" si="350"/>
        <v>Mill Creek</v>
      </c>
      <c r="M2082" s="105" t="str">
        <f t="shared" si="351"/>
        <v>Other</v>
      </c>
      <c r="N2082" s="105" t="str">
        <f t="shared" si="352"/>
        <v>Coal</v>
      </c>
      <c r="O2082" s="105">
        <f>IFERROR(VLOOKUP(A2082,Lookup!$J$5:$P$19,7,FALSE),0)</f>
        <v>2</v>
      </c>
      <c r="P2082" s="159">
        <f t="shared" si="353"/>
        <v>2013</v>
      </c>
      <c r="Q2082" s="159">
        <f t="shared" si="354"/>
        <v>3</v>
      </c>
      <c r="R2082" s="160">
        <f t="shared" si="355"/>
        <v>7.5</v>
      </c>
      <c r="S2082" s="158">
        <f t="shared" si="356"/>
        <v>7.5</v>
      </c>
      <c r="T2082" s="161">
        <f t="shared" si="357"/>
        <v>2250</v>
      </c>
      <c r="U2082" s="158">
        <f t="shared" si="358"/>
        <v>300</v>
      </c>
      <c r="V2082" s="160">
        <f t="shared" si="359"/>
        <v>300</v>
      </c>
    </row>
    <row r="2083" spans="1:22" x14ac:dyDescent="0.25">
      <c r="A2083" s="98" t="s">
        <v>23</v>
      </c>
      <c r="B2083" s="98" t="s">
        <v>17</v>
      </c>
      <c r="C2083" s="98">
        <v>49</v>
      </c>
      <c r="D2083" s="98">
        <v>1160</v>
      </c>
      <c r="E2083" s="157">
        <v>41337.826388888891</v>
      </c>
      <c r="F2083" s="157">
        <v>41337.9375</v>
      </c>
      <c r="G2083" s="98">
        <v>300</v>
      </c>
      <c r="H2083" s="98">
        <v>330</v>
      </c>
      <c r="I2083" s="98">
        <v>300</v>
      </c>
      <c r="J2083" s="98" t="s">
        <v>2273</v>
      </c>
      <c r="K2083" s="98" t="s">
        <v>596</v>
      </c>
      <c r="L2083" s="105" t="str">
        <f t="shared" si="350"/>
        <v>Mill Creek</v>
      </c>
      <c r="M2083" s="105" t="str">
        <f t="shared" si="351"/>
        <v>Derate</v>
      </c>
      <c r="N2083" s="105" t="str">
        <f t="shared" si="352"/>
        <v>Coal</v>
      </c>
      <c r="O2083" s="105">
        <f>IFERROR(VLOOKUP(A2083,Lookup!$J$5:$P$19,7,FALSE),0)</f>
        <v>2</v>
      </c>
      <c r="P2083" s="159">
        <f t="shared" si="353"/>
        <v>2013</v>
      </c>
      <c r="Q2083" s="159">
        <f t="shared" si="354"/>
        <v>3</v>
      </c>
      <c r="R2083" s="160">
        <f t="shared" si="355"/>
        <v>2.6666666666278616</v>
      </c>
      <c r="S2083" s="158">
        <f t="shared" si="356"/>
        <v>0.2424242424207147</v>
      </c>
      <c r="T2083" s="161">
        <f t="shared" si="357"/>
        <v>72.727272726214409</v>
      </c>
      <c r="U2083" s="158">
        <f t="shared" si="358"/>
        <v>27.272727272727273</v>
      </c>
      <c r="V2083" s="160">
        <f t="shared" si="359"/>
        <v>27</v>
      </c>
    </row>
    <row r="2084" spans="1:22" x14ac:dyDescent="0.25">
      <c r="A2084" s="98" t="s">
        <v>23</v>
      </c>
      <c r="B2084" s="98" t="s">
        <v>79</v>
      </c>
      <c r="C2084" s="98">
        <v>50</v>
      </c>
      <c r="D2084" s="98">
        <v>1160</v>
      </c>
      <c r="E2084" s="157">
        <v>41337.9375</v>
      </c>
      <c r="F2084" s="157">
        <v>41338.177083333336</v>
      </c>
      <c r="G2084" s="98">
        <v>0</v>
      </c>
      <c r="H2084" s="98">
        <v>330</v>
      </c>
      <c r="I2084" s="98">
        <v>300</v>
      </c>
      <c r="J2084" s="98" t="s">
        <v>2273</v>
      </c>
      <c r="K2084" s="98" t="s">
        <v>51</v>
      </c>
      <c r="L2084" s="105" t="str">
        <f t="shared" si="350"/>
        <v>Mill Creek</v>
      </c>
      <c r="M2084" s="105" t="str">
        <f t="shared" si="351"/>
        <v>Other</v>
      </c>
      <c r="N2084" s="105" t="str">
        <f t="shared" si="352"/>
        <v>Coal</v>
      </c>
      <c r="O2084" s="105">
        <f>IFERROR(VLOOKUP(A2084,Lookup!$J$5:$P$19,7,FALSE),0)</f>
        <v>2</v>
      </c>
      <c r="P2084" s="159">
        <f t="shared" si="353"/>
        <v>2013</v>
      </c>
      <c r="Q2084" s="159">
        <f t="shared" si="354"/>
        <v>3</v>
      </c>
      <c r="R2084" s="160">
        <f t="shared" si="355"/>
        <v>5.7500000000582077</v>
      </c>
      <c r="S2084" s="158">
        <f t="shared" si="356"/>
        <v>5.7500000000582077</v>
      </c>
      <c r="T2084" s="161">
        <f t="shared" si="357"/>
        <v>1725.0000000174623</v>
      </c>
      <c r="U2084" s="158">
        <f t="shared" si="358"/>
        <v>300</v>
      </c>
      <c r="V2084" s="160">
        <f t="shared" si="359"/>
        <v>300</v>
      </c>
    </row>
    <row r="2085" spans="1:22" x14ac:dyDescent="0.25">
      <c r="A2085" s="98" t="s">
        <v>23</v>
      </c>
      <c r="B2085" s="98" t="s">
        <v>79</v>
      </c>
      <c r="C2085" s="98">
        <v>51</v>
      </c>
      <c r="D2085" s="98">
        <v>1160</v>
      </c>
      <c r="E2085" s="157">
        <v>41338.489583333336</v>
      </c>
      <c r="F2085" s="157">
        <v>41338.680555555555</v>
      </c>
      <c r="G2085" s="98">
        <v>0</v>
      </c>
      <c r="H2085" s="98">
        <v>330</v>
      </c>
      <c r="I2085" s="98">
        <v>300</v>
      </c>
      <c r="J2085" s="98" t="s">
        <v>2273</v>
      </c>
      <c r="K2085" s="98" t="s">
        <v>51</v>
      </c>
      <c r="L2085" s="105" t="str">
        <f t="shared" si="350"/>
        <v>Mill Creek</v>
      </c>
      <c r="M2085" s="105" t="str">
        <f t="shared" si="351"/>
        <v>Other</v>
      </c>
      <c r="N2085" s="105" t="str">
        <f t="shared" si="352"/>
        <v>Coal</v>
      </c>
      <c r="O2085" s="105">
        <f>IFERROR(VLOOKUP(A2085,Lookup!$J$5:$P$19,7,FALSE),0)</f>
        <v>2</v>
      </c>
      <c r="P2085" s="159">
        <f t="shared" si="353"/>
        <v>2013</v>
      </c>
      <c r="Q2085" s="159">
        <f t="shared" si="354"/>
        <v>3</v>
      </c>
      <c r="R2085" s="160">
        <f t="shared" si="355"/>
        <v>4.5833333332557231</v>
      </c>
      <c r="S2085" s="158">
        <f t="shared" si="356"/>
        <v>4.5833333332557231</v>
      </c>
      <c r="T2085" s="161">
        <f t="shared" si="357"/>
        <v>1374.9999999767169</v>
      </c>
      <c r="U2085" s="158">
        <f t="shared" si="358"/>
        <v>300</v>
      </c>
      <c r="V2085" s="160">
        <f t="shared" si="359"/>
        <v>300</v>
      </c>
    </row>
    <row r="2086" spans="1:22" x14ac:dyDescent="0.25">
      <c r="A2086" s="98" t="s">
        <v>23</v>
      </c>
      <c r="B2086" s="98" t="s">
        <v>17</v>
      </c>
      <c r="C2086" s="98">
        <v>52</v>
      </c>
      <c r="D2086" s="98">
        <v>310</v>
      </c>
      <c r="E2086" s="157">
        <v>41339.586805555555</v>
      </c>
      <c r="F2086" s="157">
        <v>41339.652777777781</v>
      </c>
      <c r="G2086" s="98">
        <v>250</v>
      </c>
      <c r="H2086" s="98">
        <v>330</v>
      </c>
      <c r="I2086" s="98">
        <v>300</v>
      </c>
      <c r="J2086" s="98" t="s">
        <v>1966</v>
      </c>
      <c r="K2086" s="98" t="s">
        <v>597</v>
      </c>
      <c r="L2086" s="105" t="str">
        <f t="shared" si="350"/>
        <v>Mill Creek</v>
      </c>
      <c r="M2086" s="105" t="str">
        <f t="shared" si="351"/>
        <v>Derate</v>
      </c>
      <c r="N2086" s="105" t="str">
        <f t="shared" si="352"/>
        <v>Coal</v>
      </c>
      <c r="O2086" s="105">
        <f>IFERROR(VLOOKUP(A2086,Lookup!$J$5:$P$19,7,FALSE),0)</f>
        <v>2</v>
      </c>
      <c r="P2086" s="159">
        <f t="shared" si="353"/>
        <v>2013</v>
      </c>
      <c r="Q2086" s="159">
        <f t="shared" si="354"/>
        <v>3</v>
      </c>
      <c r="R2086" s="160">
        <f t="shared" si="355"/>
        <v>1.5833333334303461</v>
      </c>
      <c r="S2086" s="158">
        <f t="shared" si="356"/>
        <v>0.38383838386190211</v>
      </c>
      <c r="T2086" s="161">
        <f t="shared" si="357"/>
        <v>115.15151515857063</v>
      </c>
      <c r="U2086" s="158">
        <f t="shared" si="358"/>
        <v>72.727272727272734</v>
      </c>
      <c r="V2086" s="160">
        <f t="shared" si="359"/>
        <v>73</v>
      </c>
    </row>
    <row r="2087" spans="1:22" x14ac:dyDescent="0.25">
      <c r="A2087" s="98" t="s">
        <v>23</v>
      </c>
      <c r="B2087" s="98" t="s">
        <v>79</v>
      </c>
      <c r="C2087" s="98">
        <v>53</v>
      </c>
      <c r="D2087" s="98">
        <v>1160</v>
      </c>
      <c r="E2087" s="157">
        <v>41339.979166666664</v>
      </c>
      <c r="F2087" s="157">
        <v>41340.208333333336</v>
      </c>
      <c r="G2087" s="98">
        <v>0</v>
      </c>
      <c r="H2087" s="98">
        <v>330</v>
      </c>
      <c r="I2087" s="98">
        <v>300</v>
      </c>
      <c r="J2087" s="98" t="s">
        <v>2273</v>
      </c>
      <c r="K2087" s="98" t="s">
        <v>51</v>
      </c>
      <c r="L2087" s="105" t="str">
        <f t="shared" si="350"/>
        <v>Mill Creek</v>
      </c>
      <c r="M2087" s="105" t="str">
        <f t="shared" si="351"/>
        <v>Other</v>
      </c>
      <c r="N2087" s="105" t="str">
        <f t="shared" si="352"/>
        <v>Coal</v>
      </c>
      <c r="O2087" s="105">
        <f>IFERROR(VLOOKUP(A2087,Lookup!$J$5:$P$19,7,FALSE),0)</f>
        <v>2</v>
      </c>
      <c r="P2087" s="159">
        <f t="shared" si="353"/>
        <v>2013</v>
      </c>
      <c r="Q2087" s="159">
        <f t="shared" si="354"/>
        <v>3</v>
      </c>
      <c r="R2087" s="160">
        <f t="shared" si="355"/>
        <v>5.5000000001164153</v>
      </c>
      <c r="S2087" s="158">
        <f t="shared" si="356"/>
        <v>5.5000000001164153</v>
      </c>
      <c r="T2087" s="161">
        <f t="shared" si="357"/>
        <v>1650.0000000349246</v>
      </c>
      <c r="U2087" s="158">
        <f t="shared" si="358"/>
        <v>300</v>
      </c>
      <c r="V2087" s="160">
        <f t="shared" si="359"/>
        <v>300</v>
      </c>
    </row>
    <row r="2088" spans="1:22" x14ac:dyDescent="0.25">
      <c r="A2088" s="98" t="s">
        <v>23</v>
      </c>
      <c r="B2088" s="98" t="s">
        <v>79</v>
      </c>
      <c r="C2088" s="98">
        <v>54</v>
      </c>
      <c r="D2088" s="98">
        <v>1160</v>
      </c>
      <c r="E2088" s="157">
        <v>41341.59375</v>
      </c>
      <c r="F2088" s="157">
        <v>41341.826388888891</v>
      </c>
      <c r="G2088" s="98">
        <v>0</v>
      </c>
      <c r="H2088" s="98">
        <v>330</v>
      </c>
      <c r="I2088" s="98">
        <v>300</v>
      </c>
      <c r="J2088" s="98" t="s">
        <v>2273</v>
      </c>
      <c r="K2088" s="98" t="s">
        <v>51</v>
      </c>
      <c r="L2088" s="105" t="str">
        <f t="shared" si="350"/>
        <v>Mill Creek</v>
      </c>
      <c r="M2088" s="105" t="str">
        <f t="shared" si="351"/>
        <v>Other</v>
      </c>
      <c r="N2088" s="105" t="str">
        <f t="shared" si="352"/>
        <v>Coal</v>
      </c>
      <c r="O2088" s="105">
        <f>IFERROR(VLOOKUP(A2088,Lookup!$J$5:$P$19,7,FALSE),0)</f>
        <v>2</v>
      </c>
      <c r="P2088" s="159">
        <f t="shared" si="353"/>
        <v>2013</v>
      </c>
      <c r="Q2088" s="159">
        <f t="shared" si="354"/>
        <v>3</v>
      </c>
      <c r="R2088" s="160">
        <f t="shared" si="355"/>
        <v>5.5833333333721384</v>
      </c>
      <c r="S2088" s="158">
        <f t="shared" si="356"/>
        <v>5.5833333333721384</v>
      </c>
      <c r="T2088" s="161">
        <f t="shared" si="357"/>
        <v>1675.0000000116415</v>
      </c>
      <c r="U2088" s="158">
        <f t="shared" si="358"/>
        <v>300</v>
      </c>
      <c r="V2088" s="160">
        <f t="shared" si="359"/>
        <v>300</v>
      </c>
    </row>
    <row r="2089" spans="1:22" x14ac:dyDescent="0.25">
      <c r="A2089" s="98" t="s">
        <v>23</v>
      </c>
      <c r="B2089" s="98" t="s">
        <v>79</v>
      </c>
      <c r="C2089" s="98">
        <v>55</v>
      </c>
      <c r="D2089" s="98">
        <v>1160</v>
      </c>
      <c r="E2089" s="157">
        <v>41347.916666666664</v>
      </c>
      <c r="F2089" s="157">
        <v>41348.15625</v>
      </c>
      <c r="G2089" s="98">
        <v>0</v>
      </c>
      <c r="H2089" s="98">
        <v>330</v>
      </c>
      <c r="I2089" s="98">
        <v>300</v>
      </c>
      <c r="J2089" s="98" t="s">
        <v>2273</v>
      </c>
      <c r="K2089" s="98" t="s">
        <v>51</v>
      </c>
      <c r="L2089" s="105" t="str">
        <f t="shared" si="350"/>
        <v>Mill Creek</v>
      </c>
      <c r="M2089" s="105" t="str">
        <f t="shared" si="351"/>
        <v>Other</v>
      </c>
      <c r="N2089" s="105" t="str">
        <f t="shared" si="352"/>
        <v>Coal</v>
      </c>
      <c r="O2089" s="105">
        <f>IFERROR(VLOOKUP(A2089,Lookup!$J$5:$P$19,7,FALSE),0)</f>
        <v>2</v>
      </c>
      <c r="P2089" s="159">
        <f t="shared" si="353"/>
        <v>2013</v>
      </c>
      <c r="Q2089" s="159">
        <f t="shared" si="354"/>
        <v>3</v>
      </c>
      <c r="R2089" s="160">
        <f t="shared" si="355"/>
        <v>5.7500000000582077</v>
      </c>
      <c r="S2089" s="158">
        <f t="shared" si="356"/>
        <v>5.7500000000582077</v>
      </c>
      <c r="T2089" s="161">
        <f t="shared" si="357"/>
        <v>1725.0000000174623</v>
      </c>
      <c r="U2089" s="158">
        <f t="shared" si="358"/>
        <v>300</v>
      </c>
      <c r="V2089" s="160">
        <f t="shared" si="359"/>
        <v>300</v>
      </c>
    </row>
    <row r="2090" spans="1:22" x14ac:dyDescent="0.25">
      <c r="A2090" s="98" t="s">
        <v>23</v>
      </c>
      <c r="B2090" s="98" t="s">
        <v>17</v>
      </c>
      <c r="C2090" s="98">
        <v>56</v>
      </c>
      <c r="D2090" s="98">
        <v>310</v>
      </c>
      <c r="E2090" s="157">
        <v>41348.236111111109</v>
      </c>
      <c r="F2090" s="157">
        <v>41348.426388888889</v>
      </c>
      <c r="G2090" s="98">
        <v>260</v>
      </c>
      <c r="H2090" s="98">
        <v>330</v>
      </c>
      <c r="I2090" s="98">
        <v>300</v>
      </c>
      <c r="J2090" s="98" t="s">
        <v>1966</v>
      </c>
      <c r="K2090" s="98" t="s">
        <v>598</v>
      </c>
      <c r="L2090" s="105" t="str">
        <f t="shared" si="350"/>
        <v>Mill Creek</v>
      </c>
      <c r="M2090" s="105" t="str">
        <f t="shared" si="351"/>
        <v>Derate</v>
      </c>
      <c r="N2090" s="105" t="str">
        <f t="shared" si="352"/>
        <v>Coal</v>
      </c>
      <c r="O2090" s="105">
        <f>IFERROR(VLOOKUP(A2090,Lookup!$J$5:$P$19,7,FALSE),0)</f>
        <v>2</v>
      </c>
      <c r="P2090" s="159">
        <f t="shared" si="353"/>
        <v>2013</v>
      </c>
      <c r="Q2090" s="159">
        <f t="shared" si="354"/>
        <v>3</v>
      </c>
      <c r="R2090" s="160">
        <f t="shared" si="355"/>
        <v>4.5666666667093523</v>
      </c>
      <c r="S2090" s="158">
        <f t="shared" si="356"/>
        <v>0.96868686869592324</v>
      </c>
      <c r="T2090" s="161">
        <f t="shared" si="357"/>
        <v>290.606060608777</v>
      </c>
      <c r="U2090" s="158">
        <f t="shared" si="358"/>
        <v>63.636363636363633</v>
      </c>
      <c r="V2090" s="160">
        <f t="shared" si="359"/>
        <v>64</v>
      </c>
    </row>
    <row r="2091" spans="1:22" x14ac:dyDescent="0.25">
      <c r="A2091" s="98" t="s">
        <v>23</v>
      </c>
      <c r="B2091" s="98" t="s">
        <v>38</v>
      </c>
      <c r="C2091" s="98">
        <v>57</v>
      </c>
      <c r="D2091" s="98">
        <v>4400</v>
      </c>
      <c r="E2091" s="157">
        <v>41349.031944444447</v>
      </c>
      <c r="F2091" s="157">
        <v>41407.25</v>
      </c>
      <c r="G2091" s="98">
        <v>0</v>
      </c>
      <c r="H2091" s="98">
        <v>330</v>
      </c>
      <c r="I2091" s="98">
        <v>300</v>
      </c>
      <c r="J2091" s="98" t="s">
        <v>2079</v>
      </c>
      <c r="K2091" s="98" t="s">
        <v>243</v>
      </c>
      <c r="L2091" s="105" t="str">
        <f t="shared" si="350"/>
        <v>Mill Creek</v>
      </c>
      <c r="M2091" s="105" t="str">
        <f t="shared" si="351"/>
        <v>Other</v>
      </c>
      <c r="N2091" s="105" t="str">
        <f t="shared" si="352"/>
        <v>Coal</v>
      </c>
      <c r="O2091" s="105">
        <f>IFERROR(VLOOKUP(A2091,Lookup!$J$5:$P$19,7,FALSE),0)</f>
        <v>2</v>
      </c>
      <c r="P2091" s="159">
        <f t="shared" si="353"/>
        <v>2013</v>
      </c>
      <c r="Q2091" s="159">
        <f t="shared" si="354"/>
        <v>3</v>
      </c>
      <c r="R2091" s="160">
        <f t="shared" si="355"/>
        <v>1397.233333333279</v>
      </c>
      <c r="S2091" s="158">
        <f t="shared" si="356"/>
        <v>1397.233333333279</v>
      </c>
      <c r="T2091" s="161">
        <f t="shared" si="357"/>
        <v>419169.9999999837</v>
      </c>
      <c r="U2091" s="158">
        <f t="shared" si="358"/>
        <v>300</v>
      </c>
      <c r="V2091" s="160">
        <f t="shared" si="359"/>
        <v>300</v>
      </c>
    </row>
    <row r="2092" spans="1:22" x14ac:dyDescent="0.25">
      <c r="A2092" s="98" t="s">
        <v>23</v>
      </c>
      <c r="B2092" s="98" t="s">
        <v>121</v>
      </c>
      <c r="C2092" s="98">
        <v>58</v>
      </c>
      <c r="D2092" s="98">
        <v>4400</v>
      </c>
      <c r="E2092" s="157">
        <v>41407.25</v>
      </c>
      <c r="F2092" s="157">
        <v>41433.052777777775</v>
      </c>
      <c r="G2092" s="98">
        <v>0</v>
      </c>
      <c r="H2092" s="98">
        <v>330</v>
      </c>
      <c r="I2092" s="98">
        <v>300</v>
      </c>
      <c r="J2092" s="98" t="s">
        <v>2079</v>
      </c>
      <c r="K2092" s="98" t="s">
        <v>599</v>
      </c>
      <c r="L2092" s="105" t="str">
        <f t="shared" si="350"/>
        <v>Mill Creek</v>
      </c>
      <c r="M2092" s="105" t="str">
        <f t="shared" si="351"/>
        <v>Other</v>
      </c>
      <c r="N2092" s="105" t="str">
        <f t="shared" si="352"/>
        <v>Coal</v>
      </c>
      <c r="O2092" s="105">
        <f>IFERROR(VLOOKUP(A2092,Lookup!$J$5:$P$19,7,FALSE),0)</f>
        <v>2</v>
      </c>
      <c r="P2092" s="159">
        <f t="shared" si="353"/>
        <v>2013</v>
      </c>
      <c r="Q2092" s="159">
        <f t="shared" si="354"/>
        <v>5</v>
      </c>
      <c r="R2092" s="160">
        <f t="shared" si="355"/>
        <v>619.26666666660458</v>
      </c>
      <c r="S2092" s="158">
        <f t="shared" si="356"/>
        <v>619.26666666660458</v>
      </c>
      <c r="T2092" s="161">
        <f t="shared" si="357"/>
        <v>185779.99999998137</v>
      </c>
      <c r="U2092" s="158">
        <f t="shared" si="358"/>
        <v>300</v>
      </c>
      <c r="V2092" s="160">
        <f t="shared" si="359"/>
        <v>300</v>
      </c>
    </row>
    <row r="2093" spans="1:22" x14ac:dyDescent="0.25">
      <c r="A2093" s="98" t="s">
        <v>23</v>
      </c>
      <c r="B2093" s="98" t="s">
        <v>15</v>
      </c>
      <c r="C2093" s="98">
        <v>59</v>
      </c>
      <c r="D2093" s="98">
        <v>3611</v>
      </c>
      <c r="E2093" s="157">
        <v>41433.057638888888</v>
      </c>
      <c r="F2093" s="157">
        <v>41434.040277777778</v>
      </c>
      <c r="G2093" s="98">
        <v>0</v>
      </c>
      <c r="H2093" s="98">
        <v>330</v>
      </c>
      <c r="I2093" s="98">
        <v>300</v>
      </c>
      <c r="J2093" s="98" t="s">
        <v>2091</v>
      </c>
      <c r="K2093" s="98" t="s">
        <v>600</v>
      </c>
      <c r="L2093" s="105" t="str">
        <f t="shared" si="350"/>
        <v>Mill Creek</v>
      </c>
      <c r="M2093" s="105" t="str">
        <f t="shared" si="351"/>
        <v>Outage</v>
      </c>
      <c r="N2093" s="105" t="str">
        <f t="shared" si="352"/>
        <v>Coal</v>
      </c>
      <c r="O2093" s="105">
        <f>IFERROR(VLOOKUP(A2093,Lookup!$J$5:$P$19,7,FALSE),0)</f>
        <v>2</v>
      </c>
      <c r="P2093" s="159">
        <f t="shared" si="353"/>
        <v>2013</v>
      </c>
      <c r="Q2093" s="159">
        <f t="shared" si="354"/>
        <v>6</v>
      </c>
      <c r="R2093" s="160">
        <f t="shared" si="355"/>
        <v>23.583333333372138</v>
      </c>
      <c r="S2093" s="158">
        <f t="shared" si="356"/>
        <v>23.583333333372138</v>
      </c>
      <c r="T2093" s="161">
        <f t="shared" si="357"/>
        <v>7075.0000000116415</v>
      </c>
      <c r="U2093" s="158">
        <f t="shared" si="358"/>
        <v>300</v>
      </c>
      <c r="V2093" s="160">
        <f t="shared" si="359"/>
        <v>300</v>
      </c>
    </row>
    <row r="2094" spans="1:22" x14ac:dyDescent="0.25">
      <c r="A2094" s="98" t="s">
        <v>23</v>
      </c>
      <c r="B2094" s="98" t="s">
        <v>15</v>
      </c>
      <c r="C2094" s="98">
        <v>60</v>
      </c>
      <c r="D2094" s="98">
        <v>800</v>
      </c>
      <c r="E2094" s="157">
        <v>41434.082638888889</v>
      </c>
      <c r="F2094" s="157">
        <v>41434.277083333334</v>
      </c>
      <c r="G2094" s="98">
        <v>0</v>
      </c>
      <c r="H2094" s="98">
        <v>330</v>
      </c>
      <c r="I2094" s="98">
        <v>300</v>
      </c>
      <c r="J2094" s="98" t="s">
        <v>2197</v>
      </c>
      <c r="K2094" s="98" t="s">
        <v>601</v>
      </c>
      <c r="L2094" s="105" t="str">
        <f t="shared" si="350"/>
        <v>Mill Creek</v>
      </c>
      <c r="M2094" s="105" t="str">
        <f t="shared" si="351"/>
        <v>Outage</v>
      </c>
      <c r="N2094" s="105" t="str">
        <f t="shared" si="352"/>
        <v>Coal</v>
      </c>
      <c r="O2094" s="105">
        <f>IFERROR(VLOOKUP(A2094,Lookup!$J$5:$P$19,7,FALSE),0)</f>
        <v>2</v>
      </c>
      <c r="P2094" s="159">
        <f t="shared" si="353"/>
        <v>2013</v>
      </c>
      <c r="Q2094" s="159">
        <f t="shared" si="354"/>
        <v>6</v>
      </c>
      <c r="R2094" s="160">
        <f t="shared" si="355"/>
        <v>4.6666666666860692</v>
      </c>
      <c r="S2094" s="158">
        <f t="shared" si="356"/>
        <v>4.6666666666860692</v>
      </c>
      <c r="T2094" s="161">
        <f t="shared" si="357"/>
        <v>1400.0000000058208</v>
      </c>
      <c r="U2094" s="158">
        <f t="shared" si="358"/>
        <v>300</v>
      </c>
      <c r="V2094" s="160">
        <f t="shared" si="359"/>
        <v>300</v>
      </c>
    </row>
    <row r="2095" spans="1:22" x14ac:dyDescent="0.25">
      <c r="A2095" s="98" t="s">
        <v>23</v>
      </c>
      <c r="B2095" s="98" t="s">
        <v>15</v>
      </c>
      <c r="C2095" s="98">
        <v>61</v>
      </c>
      <c r="D2095" s="98">
        <v>800</v>
      </c>
      <c r="E2095" s="157">
        <v>41434.310416666667</v>
      </c>
      <c r="F2095" s="157">
        <v>41434.579861111109</v>
      </c>
      <c r="G2095" s="98">
        <v>0</v>
      </c>
      <c r="H2095" s="98">
        <v>330</v>
      </c>
      <c r="I2095" s="98">
        <v>300</v>
      </c>
      <c r="J2095" s="98" t="s">
        <v>2197</v>
      </c>
      <c r="K2095" s="98" t="s">
        <v>601</v>
      </c>
      <c r="L2095" s="105" t="str">
        <f t="shared" si="350"/>
        <v>Mill Creek</v>
      </c>
      <c r="M2095" s="105" t="str">
        <f t="shared" si="351"/>
        <v>Outage</v>
      </c>
      <c r="N2095" s="105" t="str">
        <f t="shared" si="352"/>
        <v>Coal</v>
      </c>
      <c r="O2095" s="105">
        <f>IFERROR(VLOOKUP(A2095,Lookup!$J$5:$P$19,7,FALSE),0)</f>
        <v>2</v>
      </c>
      <c r="P2095" s="159">
        <f t="shared" si="353"/>
        <v>2013</v>
      </c>
      <c r="Q2095" s="159">
        <f t="shared" si="354"/>
        <v>6</v>
      </c>
      <c r="R2095" s="160">
        <f t="shared" si="355"/>
        <v>6.46666666661622</v>
      </c>
      <c r="S2095" s="158">
        <f t="shared" si="356"/>
        <v>6.46666666661622</v>
      </c>
      <c r="T2095" s="161">
        <f t="shared" si="357"/>
        <v>1939.999999984866</v>
      </c>
      <c r="U2095" s="158">
        <f t="shared" si="358"/>
        <v>300</v>
      </c>
      <c r="V2095" s="160">
        <f t="shared" si="359"/>
        <v>300</v>
      </c>
    </row>
    <row r="2096" spans="1:22" x14ac:dyDescent="0.25">
      <c r="A2096" s="98" t="s">
        <v>23</v>
      </c>
      <c r="B2096" s="98" t="s">
        <v>15</v>
      </c>
      <c r="C2096" s="98">
        <v>62</v>
      </c>
      <c r="D2096" s="98">
        <v>4560</v>
      </c>
      <c r="E2096" s="157">
        <v>41434.635416666664</v>
      </c>
      <c r="F2096" s="157">
        <v>41435.272222222222</v>
      </c>
      <c r="G2096" s="98">
        <v>0</v>
      </c>
      <c r="H2096" s="98">
        <v>330</v>
      </c>
      <c r="I2096" s="98">
        <v>300</v>
      </c>
      <c r="J2096" s="98" t="s">
        <v>2226</v>
      </c>
      <c r="K2096" s="98" t="s">
        <v>602</v>
      </c>
      <c r="L2096" s="105" t="str">
        <f t="shared" si="350"/>
        <v>Mill Creek</v>
      </c>
      <c r="M2096" s="105" t="str">
        <f t="shared" si="351"/>
        <v>Outage</v>
      </c>
      <c r="N2096" s="105" t="str">
        <f t="shared" si="352"/>
        <v>Coal</v>
      </c>
      <c r="O2096" s="105">
        <f>IFERROR(VLOOKUP(A2096,Lookup!$J$5:$P$19,7,FALSE),0)</f>
        <v>2</v>
      </c>
      <c r="P2096" s="159">
        <f t="shared" si="353"/>
        <v>2013</v>
      </c>
      <c r="Q2096" s="159">
        <f t="shared" si="354"/>
        <v>6</v>
      </c>
      <c r="R2096" s="160">
        <f t="shared" si="355"/>
        <v>15.28333333338378</v>
      </c>
      <c r="S2096" s="158">
        <f t="shared" si="356"/>
        <v>15.28333333338378</v>
      </c>
      <c r="T2096" s="161">
        <f t="shared" si="357"/>
        <v>4585.000000015134</v>
      </c>
      <c r="U2096" s="158">
        <f t="shared" si="358"/>
        <v>300</v>
      </c>
      <c r="V2096" s="160">
        <f t="shared" si="359"/>
        <v>300</v>
      </c>
    </row>
    <row r="2097" spans="1:22" x14ac:dyDescent="0.25">
      <c r="A2097" s="98" t="s">
        <v>23</v>
      </c>
      <c r="B2097" s="98" t="s">
        <v>17</v>
      </c>
      <c r="C2097" s="98">
        <v>63</v>
      </c>
      <c r="D2097" s="98">
        <v>1850</v>
      </c>
      <c r="E2097" s="157">
        <v>41435.855555555558</v>
      </c>
      <c r="F2097" s="157">
        <v>41436.246527777781</v>
      </c>
      <c r="G2097" s="98">
        <v>146</v>
      </c>
      <c r="H2097" s="98">
        <v>330</v>
      </c>
      <c r="I2097" s="98">
        <v>300</v>
      </c>
      <c r="J2097" s="98" t="s">
        <v>2263</v>
      </c>
      <c r="K2097" s="98" t="s">
        <v>603</v>
      </c>
      <c r="L2097" s="105" t="str">
        <f t="shared" si="350"/>
        <v>Mill Creek</v>
      </c>
      <c r="M2097" s="105" t="str">
        <f t="shared" si="351"/>
        <v>Derate</v>
      </c>
      <c r="N2097" s="105" t="str">
        <f t="shared" si="352"/>
        <v>Coal</v>
      </c>
      <c r="O2097" s="105">
        <f>IFERROR(VLOOKUP(A2097,Lookup!$J$5:$P$19,7,FALSE),0)</f>
        <v>2</v>
      </c>
      <c r="P2097" s="159">
        <f t="shared" si="353"/>
        <v>2013</v>
      </c>
      <c r="Q2097" s="159">
        <f t="shared" si="354"/>
        <v>6</v>
      </c>
      <c r="R2097" s="160">
        <f t="shared" si="355"/>
        <v>9.3833333333604969</v>
      </c>
      <c r="S2097" s="158">
        <f t="shared" si="356"/>
        <v>5.2319191919343373</v>
      </c>
      <c r="T2097" s="161">
        <f t="shared" si="357"/>
        <v>1569.5757575803011</v>
      </c>
      <c r="U2097" s="158">
        <f t="shared" si="358"/>
        <v>167.27272727272728</v>
      </c>
      <c r="V2097" s="160">
        <f t="shared" si="359"/>
        <v>167</v>
      </c>
    </row>
    <row r="2098" spans="1:22" x14ac:dyDescent="0.25">
      <c r="A2098" s="98" t="s">
        <v>23</v>
      </c>
      <c r="B2098" s="98" t="s">
        <v>17</v>
      </c>
      <c r="C2098" s="98">
        <v>64</v>
      </c>
      <c r="D2098" s="98">
        <v>4560</v>
      </c>
      <c r="E2098" s="157">
        <v>41436.246527777781</v>
      </c>
      <c r="F2098" s="157">
        <v>41436.383333333331</v>
      </c>
      <c r="G2098" s="98">
        <v>212</v>
      </c>
      <c r="H2098" s="98">
        <v>330</v>
      </c>
      <c r="I2098" s="98">
        <v>300</v>
      </c>
      <c r="J2098" s="98" t="s">
        <v>2226</v>
      </c>
      <c r="K2098" s="98" t="s">
        <v>602</v>
      </c>
      <c r="L2098" s="105" t="str">
        <f t="shared" si="350"/>
        <v>Mill Creek</v>
      </c>
      <c r="M2098" s="105" t="str">
        <f t="shared" si="351"/>
        <v>Derate</v>
      </c>
      <c r="N2098" s="105" t="str">
        <f t="shared" si="352"/>
        <v>Coal</v>
      </c>
      <c r="O2098" s="105">
        <f>IFERROR(VLOOKUP(A2098,Lookup!$J$5:$P$19,7,FALSE),0)</f>
        <v>2</v>
      </c>
      <c r="P2098" s="159">
        <f t="shared" si="353"/>
        <v>2013</v>
      </c>
      <c r="Q2098" s="159">
        <f t="shared" si="354"/>
        <v>6</v>
      </c>
      <c r="R2098" s="160">
        <f t="shared" si="355"/>
        <v>3.283333333209157</v>
      </c>
      <c r="S2098" s="158">
        <f t="shared" si="356"/>
        <v>1.1740404039960015</v>
      </c>
      <c r="T2098" s="161">
        <f t="shared" si="357"/>
        <v>352.21212119880045</v>
      </c>
      <c r="U2098" s="158">
        <f t="shared" si="358"/>
        <v>107.27272727272727</v>
      </c>
      <c r="V2098" s="160">
        <f t="shared" si="359"/>
        <v>107</v>
      </c>
    </row>
    <row r="2099" spans="1:22" x14ac:dyDescent="0.25">
      <c r="A2099" s="98" t="s">
        <v>23</v>
      </c>
      <c r="B2099" s="98" t="s">
        <v>105</v>
      </c>
      <c r="C2099" s="98">
        <v>65</v>
      </c>
      <c r="D2099" s="98">
        <v>4560</v>
      </c>
      <c r="E2099" s="157">
        <v>41436.383333333331</v>
      </c>
      <c r="F2099" s="157">
        <v>41436.404166666667</v>
      </c>
      <c r="G2099" s="98">
        <v>200</v>
      </c>
      <c r="H2099" s="98">
        <v>330</v>
      </c>
      <c r="I2099" s="98">
        <v>300</v>
      </c>
      <c r="J2099" s="98" t="s">
        <v>2226</v>
      </c>
      <c r="K2099" s="98" t="s">
        <v>604</v>
      </c>
      <c r="L2099" s="105" t="str">
        <f t="shared" si="350"/>
        <v>Mill Creek</v>
      </c>
      <c r="M2099" s="105" t="str">
        <f t="shared" si="351"/>
        <v>Derate</v>
      </c>
      <c r="N2099" s="105" t="str">
        <f t="shared" si="352"/>
        <v>Coal</v>
      </c>
      <c r="O2099" s="105">
        <f>IFERROR(VLOOKUP(A2099,Lookup!$J$5:$P$19,7,FALSE),0)</f>
        <v>2</v>
      </c>
      <c r="P2099" s="159">
        <f t="shared" si="353"/>
        <v>2013</v>
      </c>
      <c r="Q2099" s="159">
        <f t="shared" si="354"/>
        <v>6</v>
      </c>
      <c r="R2099" s="160">
        <f t="shared" si="355"/>
        <v>0.50000000005820766</v>
      </c>
      <c r="S2099" s="158">
        <f t="shared" si="356"/>
        <v>0.19696969699262726</v>
      </c>
      <c r="T2099" s="161">
        <f t="shared" si="357"/>
        <v>59.090909097788177</v>
      </c>
      <c r="U2099" s="158">
        <f t="shared" si="358"/>
        <v>118.18181818181819</v>
      </c>
      <c r="V2099" s="160">
        <f t="shared" si="359"/>
        <v>118</v>
      </c>
    </row>
    <row r="2100" spans="1:22" x14ac:dyDescent="0.25">
      <c r="A2100" s="98" t="s">
        <v>23</v>
      </c>
      <c r="B2100" s="98" t="s">
        <v>15</v>
      </c>
      <c r="C2100" s="98">
        <v>66</v>
      </c>
      <c r="D2100" s="98">
        <v>4560</v>
      </c>
      <c r="E2100" s="157">
        <v>41436.404166666667</v>
      </c>
      <c r="F2100" s="157">
        <v>41436.475694444445</v>
      </c>
      <c r="G2100" s="98">
        <v>0</v>
      </c>
      <c r="H2100" s="98">
        <v>330</v>
      </c>
      <c r="I2100" s="98">
        <v>300</v>
      </c>
      <c r="J2100" s="98" t="s">
        <v>2226</v>
      </c>
      <c r="K2100" s="98" t="s">
        <v>602</v>
      </c>
      <c r="L2100" s="105" t="str">
        <f t="shared" si="350"/>
        <v>Mill Creek</v>
      </c>
      <c r="M2100" s="105" t="str">
        <f t="shared" si="351"/>
        <v>Outage</v>
      </c>
      <c r="N2100" s="105" t="str">
        <f t="shared" si="352"/>
        <v>Coal</v>
      </c>
      <c r="O2100" s="105">
        <f>IFERROR(VLOOKUP(A2100,Lookup!$J$5:$P$19,7,FALSE),0)</f>
        <v>2</v>
      </c>
      <c r="P2100" s="159">
        <f t="shared" si="353"/>
        <v>2013</v>
      </c>
      <c r="Q2100" s="159">
        <f t="shared" si="354"/>
        <v>6</v>
      </c>
      <c r="R2100" s="160">
        <f t="shared" si="355"/>
        <v>1.7166666666744277</v>
      </c>
      <c r="S2100" s="158">
        <f t="shared" si="356"/>
        <v>1.7166666666744277</v>
      </c>
      <c r="T2100" s="161">
        <f t="shared" si="357"/>
        <v>515.00000000232831</v>
      </c>
      <c r="U2100" s="158">
        <f t="shared" si="358"/>
        <v>300</v>
      </c>
      <c r="V2100" s="160">
        <f t="shared" si="359"/>
        <v>300</v>
      </c>
    </row>
    <row r="2101" spans="1:22" x14ac:dyDescent="0.25">
      <c r="A2101" s="98" t="s">
        <v>23</v>
      </c>
      <c r="B2101" s="98" t="s">
        <v>17</v>
      </c>
      <c r="C2101" s="98">
        <v>67</v>
      </c>
      <c r="D2101" s="98">
        <v>4560</v>
      </c>
      <c r="E2101" s="157">
        <v>41436.5</v>
      </c>
      <c r="F2101" s="157">
        <v>41436.548611111109</v>
      </c>
      <c r="G2101" s="98">
        <v>100</v>
      </c>
      <c r="H2101" s="98">
        <v>330</v>
      </c>
      <c r="I2101" s="98">
        <v>300</v>
      </c>
      <c r="J2101" s="98" t="s">
        <v>2226</v>
      </c>
      <c r="K2101" s="98" t="s">
        <v>602</v>
      </c>
      <c r="L2101" s="105" t="str">
        <f t="shared" si="350"/>
        <v>Mill Creek</v>
      </c>
      <c r="M2101" s="105" t="str">
        <f t="shared" si="351"/>
        <v>Derate</v>
      </c>
      <c r="N2101" s="105" t="str">
        <f t="shared" si="352"/>
        <v>Coal</v>
      </c>
      <c r="O2101" s="105">
        <f>IFERROR(VLOOKUP(A2101,Lookup!$J$5:$P$19,7,FALSE),0)</f>
        <v>2</v>
      </c>
      <c r="P2101" s="159">
        <f t="shared" si="353"/>
        <v>2013</v>
      </c>
      <c r="Q2101" s="159">
        <f t="shared" si="354"/>
        <v>6</v>
      </c>
      <c r="R2101" s="160">
        <f t="shared" si="355"/>
        <v>1.1666666666278616</v>
      </c>
      <c r="S2101" s="158">
        <f t="shared" si="356"/>
        <v>0.81313131310426712</v>
      </c>
      <c r="T2101" s="161">
        <f t="shared" si="357"/>
        <v>243.93939393128014</v>
      </c>
      <c r="U2101" s="158">
        <f t="shared" si="358"/>
        <v>209.09090909090909</v>
      </c>
      <c r="V2101" s="160">
        <f t="shared" si="359"/>
        <v>209</v>
      </c>
    </row>
    <row r="2102" spans="1:22" x14ac:dyDescent="0.25">
      <c r="A2102" s="98" t="s">
        <v>23</v>
      </c>
      <c r="B2102" s="98" t="s">
        <v>17</v>
      </c>
      <c r="C2102" s="98">
        <v>68</v>
      </c>
      <c r="D2102" s="98">
        <v>4560</v>
      </c>
      <c r="E2102" s="157">
        <v>41436.548611111109</v>
      </c>
      <c r="F2102" s="157">
        <v>41436.589583333334</v>
      </c>
      <c r="G2102" s="98">
        <v>200</v>
      </c>
      <c r="H2102" s="98">
        <v>330</v>
      </c>
      <c r="I2102" s="98">
        <v>300</v>
      </c>
      <c r="J2102" s="98" t="s">
        <v>2226</v>
      </c>
      <c r="K2102" s="98" t="s">
        <v>602</v>
      </c>
      <c r="L2102" s="105" t="str">
        <f t="shared" si="350"/>
        <v>Mill Creek</v>
      </c>
      <c r="M2102" s="105" t="str">
        <f t="shared" si="351"/>
        <v>Derate</v>
      </c>
      <c r="N2102" s="105" t="str">
        <f t="shared" si="352"/>
        <v>Coal</v>
      </c>
      <c r="O2102" s="105">
        <f>IFERROR(VLOOKUP(A2102,Lookup!$J$5:$P$19,7,FALSE),0)</f>
        <v>2</v>
      </c>
      <c r="P2102" s="159">
        <f t="shared" si="353"/>
        <v>2013</v>
      </c>
      <c r="Q2102" s="159">
        <f t="shared" si="354"/>
        <v>6</v>
      </c>
      <c r="R2102" s="160">
        <f t="shared" si="355"/>
        <v>0.9833333333954215</v>
      </c>
      <c r="S2102" s="158">
        <f t="shared" si="356"/>
        <v>0.38737373739819636</v>
      </c>
      <c r="T2102" s="161">
        <f t="shared" si="357"/>
        <v>116.21212121945891</v>
      </c>
      <c r="U2102" s="158">
        <f t="shared" si="358"/>
        <v>118.18181818181819</v>
      </c>
      <c r="V2102" s="160">
        <f t="shared" si="359"/>
        <v>118</v>
      </c>
    </row>
    <row r="2103" spans="1:22" x14ac:dyDescent="0.25">
      <c r="A2103" s="98" t="s">
        <v>23</v>
      </c>
      <c r="B2103" s="98" t="s">
        <v>17</v>
      </c>
      <c r="C2103" s="98">
        <v>69</v>
      </c>
      <c r="D2103" s="98">
        <v>4560</v>
      </c>
      <c r="E2103" s="157">
        <v>41436.589583333334</v>
      </c>
      <c r="F2103" s="157">
        <v>41436.645833333336</v>
      </c>
      <c r="G2103" s="98">
        <v>260</v>
      </c>
      <c r="H2103" s="98">
        <v>330</v>
      </c>
      <c r="I2103" s="98">
        <v>300</v>
      </c>
      <c r="J2103" s="98" t="s">
        <v>2226</v>
      </c>
      <c r="K2103" s="98" t="s">
        <v>602</v>
      </c>
      <c r="L2103" s="105" t="str">
        <f t="shared" si="350"/>
        <v>Mill Creek</v>
      </c>
      <c r="M2103" s="105" t="str">
        <f t="shared" si="351"/>
        <v>Derate</v>
      </c>
      <c r="N2103" s="105" t="str">
        <f t="shared" si="352"/>
        <v>Coal</v>
      </c>
      <c r="O2103" s="105">
        <f>IFERROR(VLOOKUP(A2103,Lookup!$J$5:$P$19,7,FALSE),0)</f>
        <v>2</v>
      </c>
      <c r="P2103" s="159">
        <f t="shared" si="353"/>
        <v>2013</v>
      </c>
      <c r="Q2103" s="159">
        <f t="shared" si="354"/>
        <v>6</v>
      </c>
      <c r="R2103" s="160">
        <f t="shared" si="355"/>
        <v>1.3500000000349246</v>
      </c>
      <c r="S2103" s="158">
        <f t="shared" si="356"/>
        <v>0.28636363637104462</v>
      </c>
      <c r="T2103" s="161">
        <f t="shared" si="357"/>
        <v>85.909090911313385</v>
      </c>
      <c r="U2103" s="158">
        <f t="shared" si="358"/>
        <v>63.636363636363633</v>
      </c>
      <c r="V2103" s="160">
        <f t="shared" si="359"/>
        <v>64</v>
      </c>
    </row>
    <row r="2104" spans="1:22" x14ac:dyDescent="0.25">
      <c r="A2104" s="98" t="s">
        <v>23</v>
      </c>
      <c r="B2104" s="98" t="s">
        <v>17</v>
      </c>
      <c r="C2104" s="98">
        <v>70</v>
      </c>
      <c r="D2104" s="98">
        <v>4560</v>
      </c>
      <c r="E2104" s="157">
        <v>41436.645833333336</v>
      </c>
      <c r="F2104" s="157">
        <v>41436.834722222222</v>
      </c>
      <c r="G2104" s="98">
        <v>185</v>
      </c>
      <c r="H2104" s="98">
        <v>330</v>
      </c>
      <c r="I2104" s="98">
        <v>300</v>
      </c>
      <c r="J2104" s="98" t="s">
        <v>2226</v>
      </c>
      <c r="K2104" s="98" t="s">
        <v>602</v>
      </c>
      <c r="L2104" s="105" t="str">
        <f t="shared" si="350"/>
        <v>Mill Creek</v>
      </c>
      <c r="M2104" s="105" t="str">
        <f t="shared" si="351"/>
        <v>Derate</v>
      </c>
      <c r="N2104" s="105" t="str">
        <f t="shared" si="352"/>
        <v>Coal</v>
      </c>
      <c r="O2104" s="105">
        <f>IFERROR(VLOOKUP(A2104,Lookup!$J$5:$P$19,7,FALSE),0)</f>
        <v>2</v>
      </c>
      <c r="P2104" s="159">
        <f t="shared" si="353"/>
        <v>2013</v>
      </c>
      <c r="Q2104" s="159">
        <f t="shared" si="354"/>
        <v>6</v>
      </c>
      <c r="R2104" s="160">
        <f t="shared" si="355"/>
        <v>4.5333333332673647</v>
      </c>
      <c r="S2104" s="158">
        <f t="shared" si="356"/>
        <v>1.9919191918902057</v>
      </c>
      <c r="T2104" s="161">
        <f t="shared" si="357"/>
        <v>597.57575756706171</v>
      </c>
      <c r="U2104" s="158">
        <f t="shared" si="358"/>
        <v>131.81818181818181</v>
      </c>
      <c r="V2104" s="160">
        <f t="shared" si="359"/>
        <v>132</v>
      </c>
    </row>
    <row r="2105" spans="1:22" x14ac:dyDescent="0.25">
      <c r="A2105" s="98" t="s">
        <v>23</v>
      </c>
      <c r="B2105" s="98" t="s">
        <v>17</v>
      </c>
      <c r="C2105" s="98">
        <v>71</v>
      </c>
      <c r="D2105" s="98">
        <v>4560</v>
      </c>
      <c r="E2105" s="157">
        <v>41436.834722222222</v>
      </c>
      <c r="F2105" s="157">
        <v>41436.918055555558</v>
      </c>
      <c r="G2105" s="98">
        <v>230</v>
      </c>
      <c r="H2105" s="98">
        <v>330</v>
      </c>
      <c r="I2105" s="98">
        <v>300</v>
      </c>
      <c r="J2105" s="98" t="s">
        <v>2226</v>
      </c>
      <c r="K2105" s="98" t="s">
        <v>602</v>
      </c>
      <c r="L2105" s="105" t="str">
        <f t="shared" si="350"/>
        <v>Mill Creek</v>
      </c>
      <c r="M2105" s="105" t="str">
        <f t="shared" si="351"/>
        <v>Derate</v>
      </c>
      <c r="N2105" s="105" t="str">
        <f t="shared" si="352"/>
        <v>Coal</v>
      </c>
      <c r="O2105" s="105">
        <f>IFERROR(VLOOKUP(A2105,Lookup!$J$5:$P$19,7,FALSE),0)</f>
        <v>2</v>
      </c>
      <c r="P2105" s="159">
        <f t="shared" si="353"/>
        <v>2013</v>
      </c>
      <c r="Q2105" s="159">
        <f t="shared" si="354"/>
        <v>6</v>
      </c>
      <c r="R2105" s="160">
        <f t="shared" si="355"/>
        <v>2.0000000000582077</v>
      </c>
      <c r="S2105" s="158">
        <f t="shared" si="356"/>
        <v>0.60606060607824475</v>
      </c>
      <c r="T2105" s="161">
        <f t="shared" si="357"/>
        <v>181.81818182347342</v>
      </c>
      <c r="U2105" s="158">
        <f t="shared" si="358"/>
        <v>90.909090909090907</v>
      </c>
      <c r="V2105" s="160">
        <f t="shared" si="359"/>
        <v>91</v>
      </c>
    </row>
    <row r="2106" spans="1:22" x14ac:dyDescent="0.25">
      <c r="A2106" s="98" t="s">
        <v>23</v>
      </c>
      <c r="B2106" s="98" t="s">
        <v>17</v>
      </c>
      <c r="C2106" s="98">
        <v>72</v>
      </c>
      <c r="D2106" s="98">
        <v>4560</v>
      </c>
      <c r="E2106" s="157">
        <v>41436.918055555558</v>
      </c>
      <c r="F2106" s="157">
        <v>41436.961805555555</v>
      </c>
      <c r="G2106" s="98">
        <v>260</v>
      </c>
      <c r="H2106" s="98">
        <v>330</v>
      </c>
      <c r="I2106" s="98">
        <v>300</v>
      </c>
      <c r="J2106" s="98" t="s">
        <v>2226</v>
      </c>
      <c r="K2106" s="98" t="s">
        <v>602</v>
      </c>
      <c r="L2106" s="105" t="str">
        <f t="shared" si="350"/>
        <v>Mill Creek</v>
      </c>
      <c r="M2106" s="105" t="str">
        <f t="shared" si="351"/>
        <v>Derate</v>
      </c>
      <c r="N2106" s="105" t="str">
        <f t="shared" si="352"/>
        <v>Coal</v>
      </c>
      <c r="O2106" s="105">
        <f>IFERROR(VLOOKUP(A2106,Lookup!$J$5:$P$19,7,FALSE),0)</f>
        <v>2</v>
      </c>
      <c r="P2106" s="159">
        <f t="shared" si="353"/>
        <v>2013</v>
      </c>
      <c r="Q2106" s="159">
        <f t="shared" si="354"/>
        <v>6</v>
      </c>
      <c r="R2106" s="160">
        <f t="shared" si="355"/>
        <v>1.0499999999301508</v>
      </c>
      <c r="S2106" s="158">
        <f t="shared" si="356"/>
        <v>0.22272727271245624</v>
      </c>
      <c r="T2106" s="161">
        <f t="shared" si="357"/>
        <v>66.818181813736871</v>
      </c>
      <c r="U2106" s="158">
        <f t="shared" si="358"/>
        <v>63.636363636363633</v>
      </c>
      <c r="V2106" s="160">
        <f t="shared" si="359"/>
        <v>64</v>
      </c>
    </row>
    <row r="2107" spans="1:22" x14ac:dyDescent="0.25">
      <c r="A2107" s="98" t="s">
        <v>23</v>
      </c>
      <c r="B2107" s="98" t="s">
        <v>17</v>
      </c>
      <c r="C2107" s="98">
        <v>73</v>
      </c>
      <c r="D2107" s="98">
        <v>4560</v>
      </c>
      <c r="E2107" s="157">
        <v>41436.961805555555</v>
      </c>
      <c r="F2107" s="157">
        <v>41437.03402777778</v>
      </c>
      <c r="G2107" s="98">
        <v>290</v>
      </c>
      <c r="H2107" s="98">
        <v>330</v>
      </c>
      <c r="I2107" s="98">
        <v>300</v>
      </c>
      <c r="J2107" s="98" t="s">
        <v>2226</v>
      </c>
      <c r="K2107" s="98" t="s">
        <v>602</v>
      </c>
      <c r="L2107" s="105" t="str">
        <f t="shared" si="350"/>
        <v>Mill Creek</v>
      </c>
      <c r="M2107" s="105" t="str">
        <f t="shared" si="351"/>
        <v>Derate</v>
      </c>
      <c r="N2107" s="105" t="str">
        <f t="shared" si="352"/>
        <v>Coal</v>
      </c>
      <c r="O2107" s="105">
        <f>IFERROR(VLOOKUP(A2107,Lookup!$J$5:$P$19,7,FALSE),0)</f>
        <v>2</v>
      </c>
      <c r="P2107" s="159">
        <f t="shared" si="353"/>
        <v>2013</v>
      </c>
      <c r="Q2107" s="159">
        <f t="shared" si="354"/>
        <v>6</v>
      </c>
      <c r="R2107" s="160">
        <f t="shared" si="355"/>
        <v>1.7333333333954215</v>
      </c>
      <c r="S2107" s="158">
        <f t="shared" si="356"/>
        <v>0.21010101010853593</v>
      </c>
      <c r="T2107" s="161">
        <f t="shared" si="357"/>
        <v>63.030303032560781</v>
      </c>
      <c r="U2107" s="158">
        <f t="shared" si="358"/>
        <v>36.363636363636367</v>
      </c>
      <c r="V2107" s="160">
        <f t="shared" si="359"/>
        <v>36</v>
      </c>
    </row>
    <row r="2108" spans="1:22" x14ac:dyDescent="0.25">
      <c r="A2108" s="98" t="s">
        <v>23</v>
      </c>
      <c r="B2108" s="98" t="s">
        <v>17</v>
      </c>
      <c r="C2108" s="98">
        <v>74</v>
      </c>
      <c r="D2108" s="98">
        <v>4560</v>
      </c>
      <c r="E2108" s="157">
        <v>41437.03402777778</v>
      </c>
      <c r="F2108" s="157">
        <v>41437.107638888891</v>
      </c>
      <c r="G2108" s="98">
        <v>302</v>
      </c>
      <c r="H2108" s="98">
        <v>330</v>
      </c>
      <c r="I2108" s="98">
        <v>300</v>
      </c>
      <c r="J2108" s="98" t="s">
        <v>2226</v>
      </c>
      <c r="K2108" s="98" t="s">
        <v>602</v>
      </c>
      <c r="L2108" s="105" t="str">
        <f t="shared" si="350"/>
        <v>Mill Creek</v>
      </c>
      <c r="M2108" s="105" t="str">
        <f t="shared" si="351"/>
        <v>Derate</v>
      </c>
      <c r="N2108" s="105" t="str">
        <f t="shared" si="352"/>
        <v>Coal</v>
      </c>
      <c r="O2108" s="105">
        <f>IFERROR(VLOOKUP(A2108,Lookup!$J$5:$P$19,7,FALSE),0)</f>
        <v>2</v>
      </c>
      <c r="P2108" s="159">
        <f t="shared" si="353"/>
        <v>2013</v>
      </c>
      <c r="Q2108" s="159">
        <f t="shared" si="354"/>
        <v>6</v>
      </c>
      <c r="R2108" s="160">
        <f t="shared" si="355"/>
        <v>1.7666666666627862</v>
      </c>
      <c r="S2108" s="158">
        <f t="shared" si="356"/>
        <v>0.14989898989866066</v>
      </c>
      <c r="T2108" s="161">
        <f t="shared" si="357"/>
        <v>44.969696969598196</v>
      </c>
      <c r="U2108" s="158">
        <f t="shared" si="358"/>
        <v>25.454545454545453</v>
      </c>
      <c r="V2108" s="160">
        <f t="shared" si="359"/>
        <v>25</v>
      </c>
    </row>
    <row r="2109" spans="1:22" x14ac:dyDescent="0.25">
      <c r="A2109" s="98" t="s">
        <v>23</v>
      </c>
      <c r="B2109" s="98" t="s">
        <v>17</v>
      </c>
      <c r="C2109" s="98">
        <v>75</v>
      </c>
      <c r="D2109" s="98">
        <v>4560</v>
      </c>
      <c r="E2109" s="157">
        <v>41437.107638888891</v>
      </c>
      <c r="F2109" s="157">
        <v>41437.128472222219</v>
      </c>
      <c r="G2109" s="98">
        <v>315</v>
      </c>
      <c r="H2109" s="98">
        <v>330</v>
      </c>
      <c r="I2109" s="98">
        <v>300</v>
      </c>
      <c r="J2109" s="98" t="s">
        <v>2226</v>
      </c>
      <c r="K2109" s="98" t="s">
        <v>602</v>
      </c>
      <c r="L2109" s="105" t="str">
        <f t="shared" ref="L2109:L2145" si="360">IF(OR(A2109="BR1",A2109="BR2",A2109="BR3",A2109="BR5",A2109="BR6",A2109="BR7",A2109="BR8",A2109="BR9",A2109="BR10",A2109="BR11"),"Brown",IF(OR(A2109="CR4",A2109="CR5",A2109="CR6",A2109="CR11"),"Cane Run",IF(OR(A2109="GH1",A2109="GH2",A2109="GH3",A2109="GH4"),"Ghent",IF(OR(A2109="GR3",A2109="GR4"),"Green River",IF(OR(A2109="MC1",A2109="MC2",A2109="MC3",A2109="MC4"),"Mill Creek",IF(OR(A2109="TC1",A2109="TC2",A2109="TC5",A2109="TC6",A2109="TC7",A2109="TC8",A2109="TC9",A2109="TC10"),"Trimble",IF(A2109="TY3","Tyrone",IF(OR(A2109="HA1",A2109="HA2",A2109="HA3"),"Haeflin",IF(OR(A2109="PR11",A2109="PR12",A2109="PR13"),"Paddy's Run","Zorn")))))))))</f>
        <v>Mill Creek</v>
      </c>
      <c r="M2109" s="105" t="str">
        <f t="shared" ref="M2109:M2145" si="361">IF(OR(B2109="D1",B2109="D2",B2109="D3",B2109="D4",B2109="PD"),"Derate",IF(OR(B2109="SF",B2109="U1",B2109="U2",B2109="U3"),"Outage",IF(OR(B2109="ME",B2109="MO"),"Maintenance","Other")))</f>
        <v>Derate</v>
      </c>
      <c r="N2109" s="105" t="str">
        <f t="shared" ref="N2109:N2145" si="362">IF(OR(A2109="BR1",A2109="BR2",A2109="BR3",A2109="CR4",A2109="CR5",A2109="CR6",A2109="GH1",A2109="GH2",A2109="GH3",A2109="GH4",A2109="GR3",A2109="GR4",A2109="MC1",A2109="MC2",A2109="MC3",A2109="MC4",A2109="TC1",A2109="TC2",A2109="TY3"),"Coal","Gas")</f>
        <v>Coal</v>
      </c>
      <c r="O2109" s="105">
        <f>IFERROR(VLOOKUP(A2109,Lookup!$J$5:$P$19,7,FALSE),0)</f>
        <v>2</v>
      </c>
      <c r="P2109" s="159">
        <f t="shared" ref="P2109:P2145" si="363">YEAR(E2109)</f>
        <v>2013</v>
      </c>
      <c r="Q2109" s="159">
        <f t="shared" ref="Q2109:Q2145" si="364">MONTH(E2109)</f>
        <v>6</v>
      </c>
      <c r="R2109" s="160">
        <f t="shared" ref="R2109:R2145" si="365">(F2109-E2109)*24</f>
        <v>0.49999999988358468</v>
      </c>
      <c r="S2109" s="158">
        <f t="shared" ref="S2109:S2145" si="366">R2109*(H2109-G2109)/H2109</f>
        <v>2.272727272198112E-2</v>
      </c>
      <c r="T2109" s="161">
        <f t="shared" ref="T2109:T2145" si="367">S2109*I2109</f>
        <v>6.8181818165943362</v>
      </c>
      <c r="U2109" s="158">
        <f t="shared" ref="U2109:U2145" si="368">IF(G2109&gt;0,MAX((H2109-G2109),0)*I2109/H2109,I2109)</f>
        <v>13.636363636363637</v>
      </c>
      <c r="V2109" s="160">
        <f t="shared" ref="V2109:V2145" si="369">ROUND(U2109,0)</f>
        <v>14</v>
      </c>
    </row>
    <row r="2110" spans="1:22" x14ac:dyDescent="0.25">
      <c r="A2110" s="98" t="s">
        <v>23</v>
      </c>
      <c r="B2110" s="98" t="s">
        <v>17</v>
      </c>
      <c r="C2110" s="98">
        <v>76</v>
      </c>
      <c r="D2110" s="98">
        <v>1850</v>
      </c>
      <c r="E2110" s="157">
        <v>41437.128472222219</v>
      </c>
      <c r="F2110" s="157">
        <v>41437.239583333336</v>
      </c>
      <c r="G2110" s="98">
        <v>317</v>
      </c>
      <c r="H2110" s="98">
        <v>330</v>
      </c>
      <c r="I2110" s="98">
        <v>300</v>
      </c>
      <c r="J2110" s="98" t="s">
        <v>2263</v>
      </c>
      <c r="K2110" s="98" t="s">
        <v>41</v>
      </c>
      <c r="L2110" s="105" t="str">
        <f t="shared" si="360"/>
        <v>Mill Creek</v>
      </c>
      <c r="M2110" s="105" t="str">
        <f t="shared" si="361"/>
        <v>Derate</v>
      </c>
      <c r="N2110" s="105" t="str">
        <f t="shared" si="362"/>
        <v>Coal</v>
      </c>
      <c r="O2110" s="105">
        <f>IFERROR(VLOOKUP(A2110,Lookup!$J$5:$P$19,7,FALSE),0)</f>
        <v>2</v>
      </c>
      <c r="P2110" s="159">
        <f t="shared" si="363"/>
        <v>2013</v>
      </c>
      <c r="Q2110" s="159">
        <f t="shared" si="364"/>
        <v>6</v>
      </c>
      <c r="R2110" s="160">
        <f t="shared" si="365"/>
        <v>2.6666666668024845</v>
      </c>
      <c r="S2110" s="158">
        <f t="shared" si="366"/>
        <v>0.10505050505585545</v>
      </c>
      <c r="T2110" s="161">
        <f t="shared" si="367"/>
        <v>31.515151516756635</v>
      </c>
      <c r="U2110" s="158">
        <f t="shared" si="368"/>
        <v>11.818181818181818</v>
      </c>
      <c r="V2110" s="160">
        <f t="shared" si="369"/>
        <v>12</v>
      </c>
    </row>
    <row r="2111" spans="1:22" x14ac:dyDescent="0.25">
      <c r="A2111" s="98" t="s">
        <v>23</v>
      </c>
      <c r="B2111" s="98" t="s">
        <v>17</v>
      </c>
      <c r="C2111" s="98">
        <v>77</v>
      </c>
      <c r="D2111" s="98">
        <v>4560</v>
      </c>
      <c r="E2111" s="157">
        <v>41437.239583333336</v>
      </c>
      <c r="F2111" s="157">
        <v>41439.008333333331</v>
      </c>
      <c r="G2111" s="98">
        <v>270</v>
      </c>
      <c r="H2111" s="98">
        <v>330</v>
      </c>
      <c r="I2111" s="98">
        <v>300</v>
      </c>
      <c r="J2111" s="98" t="s">
        <v>2226</v>
      </c>
      <c r="K2111" s="98" t="s">
        <v>602</v>
      </c>
      <c r="L2111" s="105" t="str">
        <f t="shared" si="360"/>
        <v>Mill Creek</v>
      </c>
      <c r="M2111" s="105" t="str">
        <f t="shared" si="361"/>
        <v>Derate</v>
      </c>
      <c r="N2111" s="105" t="str">
        <f t="shared" si="362"/>
        <v>Coal</v>
      </c>
      <c r="O2111" s="105">
        <f>IFERROR(VLOOKUP(A2111,Lookup!$J$5:$P$19,7,FALSE),0)</f>
        <v>2</v>
      </c>
      <c r="P2111" s="159">
        <f t="shared" si="363"/>
        <v>2013</v>
      </c>
      <c r="Q2111" s="159">
        <f t="shared" si="364"/>
        <v>6</v>
      </c>
      <c r="R2111" s="160">
        <f t="shared" si="365"/>
        <v>42.449999999895226</v>
      </c>
      <c r="S2111" s="158">
        <f t="shared" si="366"/>
        <v>7.7181818181627682</v>
      </c>
      <c r="T2111" s="161">
        <f t="shared" si="367"/>
        <v>2315.4545454488302</v>
      </c>
      <c r="U2111" s="158">
        <f t="shared" si="368"/>
        <v>54.545454545454547</v>
      </c>
      <c r="V2111" s="160">
        <f t="shared" si="369"/>
        <v>55</v>
      </c>
    </row>
    <row r="2112" spans="1:22" x14ac:dyDescent="0.25">
      <c r="A2112" s="98" t="s">
        <v>23</v>
      </c>
      <c r="B2112" s="98" t="s">
        <v>17</v>
      </c>
      <c r="C2112" s="98">
        <v>78</v>
      </c>
      <c r="D2112" s="98">
        <v>310</v>
      </c>
      <c r="E2112" s="157">
        <v>41440.368750000001</v>
      </c>
      <c r="F2112" s="157">
        <v>41440.395138888889</v>
      </c>
      <c r="G2112" s="98">
        <v>250</v>
      </c>
      <c r="H2112" s="98">
        <v>330</v>
      </c>
      <c r="I2112" s="98">
        <v>300</v>
      </c>
      <c r="J2112" s="98" t="s">
        <v>1966</v>
      </c>
      <c r="K2112" s="98" t="s">
        <v>605</v>
      </c>
      <c r="L2112" s="105" t="str">
        <f t="shared" si="360"/>
        <v>Mill Creek</v>
      </c>
      <c r="M2112" s="105" t="str">
        <f t="shared" si="361"/>
        <v>Derate</v>
      </c>
      <c r="N2112" s="105" t="str">
        <f t="shared" si="362"/>
        <v>Coal</v>
      </c>
      <c r="O2112" s="105">
        <f>IFERROR(VLOOKUP(A2112,Lookup!$J$5:$P$19,7,FALSE),0)</f>
        <v>2</v>
      </c>
      <c r="P2112" s="159">
        <f t="shared" si="363"/>
        <v>2013</v>
      </c>
      <c r="Q2112" s="159">
        <f t="shared" si="364"/>
        <v>6</v>
      </c>
      <c r="R2112" s="160">
        <f t="shared" si="365"/>
        <v>0.63333333330228925</v>
      </c>
      <c r="S2112" s="158">
        <f t="shared" si="366"/>
        <v>0.15353535352782768</v>
      </c>
      <c r="T2112" s="161">
        <f t="shared" si="367"/>
        <v>46.060606058348306</v>
      </c>
      <c r="U2112" s="158">
        <f t="shared" si="368"/>
        <v>72.727272727272734</v>
      </c>
      <c r="V2112" s="160">
        <f t="shared" si="369"/>
        <v>73</v>
      </c>
    </row>
    <row r="2113" spans="1:22" x14ac:dyDescent="0.25">
      <c r="A2113" s="98" t="s">
        <v>23</v>
      </c>
      <c r="B2113" s="98" t="s">
        <v>17</v>
      </c>
      <c r="C2113" s="98">
        <v>79</v>
      </c>
      <c r="D2113" s="98">
        <v>310</v>
      </c>
      <c r="E2113" s="157">
        <v>41441.958333333336</v>
      </c>
      <c r="F2113" s="157">
        <v>41442.048611111109</v>
      </c>
      <c r="G2113" s="98">
        <v>250</v>
      </c>
      <c r="H2113" s="98">
        <v>330</v>
      </c>
      <c r="I2113" s="98">
        <v>300</v>
      </c>
      <c r="J2113" s="98" t="s">
        <v>1966</v>
      </c>
      <c r="K2113" s="98" t="s">
        <v>606</v>
      </c>
      <c r="L2113" s="105" t="str">
        <f t="shared" si="360"/>
        <v>Mill Creek</v>
      </c>
      <c r="M2113" s="105" t="str">
        <f t="shared" si="361"/>
        <v>Derate</v>
      </c>
      <c r="N2113" s="105" t="str">
        <f t="shared" si="362"/>
        <v>Coal</v>
      </c>
      <c r="O2113" s="105">
        <f>IFERROR(VLOOKUP(A2113,Lookup!$J$5:$P$19,7,FALSE),0)</f>
        <v>2</v>
      </c>
      <c r="P2113" s="159">
        <f t="shared" si="363"/>
        <v>2013</v>
      </c>
      <c r="Q2113" s="159">
        <f t="shared" si="364"/>
        <v>6</v>
      </c>
      <c r="R2113" s="160">
        <f t="shared" si="365"/>
        <v>2.1666666665696539</v>
      </c>
      <c r="S2113" s="158">
        <f t="shared" si="366"/>
        <v>0.52525252522900701</v>
      </c>
      <c r="T2113" s="161">
        <f t="shared" si="367"/>
        <v>157.5757575687021</v>
      </c>
      <c r="U2113" s="158">
        <f t="shared" si="368"/>
        <v>72.727272727272734</v>
      </c>
      <c r="V2113" s="160">
        <f t="shared" si="369"/>
        <v>73</v>
      </c>
    </row>
    <row r="2114" spans="1:22" x14ac:dyDescent="0.25">
      <c r="A2114" s="98" t="s">
        <v>23</v>
      </c>
      <c r="B2114" s="98" t="s">
        <v>105</v>
      </c>
      <c r="C2114" s="98">
        <v>80</v>
      </c>
      <c r="D2114" s="98">
        <v>310</v>
      </c>
      <c r="E2114" s="157">
        <v>41442.916666666664</v>
      </c>
      <c r="F2114" s="157">
        <v>41443.045138888891</v>
      </c>
      <c r="G2114" s="98">
        <v>250</v>
      </c>
      <c r="H2114" s="98">
        <v>330</v>
      </c>
      <c r="I2114" s="98">
        <v>300</v>
      </c>
      <c r="J2114" s="98" t="s">
        <v>1966</v>
      </c>
      <c r="K2114" s="98" t="s">
        <v>607</v>
      </c>
      <c r="L2114" s="105" t="str">
        <f t="shared" si="360"/>
        <v>Mill Creek</v>
      </c>
      <c r="M2114" s="105" t="str">
        <f t="shared" si="361"/>
        <v>Derate</v>
      </c>
      <c r="N2114" s="105" t="str">
        <f t="shared" si="362"/>
        <v>Coal</v>
      </c>
      <c r="O2114" s="105">
        <f>IFERROR(VLOOKUP(A2114,Lookup!$J$5:$P$19,7,FALSE),0)</f>
        <v>2</v>
      </c>
      <c r="P2114" s="159">
        <f t="shared" si="363"/>
        <v>2013</v>
      </c>
      <c r="Q2114" s="159">
        <f t="shared" si="364"/>
        <v>6</v>
      </c>
      <c r="R2114" s="160">
        <f t="shared" si="365"/>
        <v>3.0833333334303461</v>
      </c>
      <c r="S2114" s="158">
        <f t="shared" si="366"/>
        <v>0.7474747474982657</v>
      </c>
      <c r="T2114" s="161">
        <f t="shared" si="367"/>
        <v>224.24242424947971</v>
      </c>
      <c r="U2114" s="158">
        <f t="shared" si="368"/>
        <v>72.727272727272734</v>
      </c>
      <c r="V2114" s="160">
        <f t="shared" si="369"/>
        <v>73</v>
      </c>
    </row>
    <row r="2115" spans="1:22" x14ac:dyDescent="0.25">
      <c r="A2115" s="98" t="s">
        <v>23</v>
      </c>
      <c r="B2115" s="98" t="s">
        <v>105</v>
      </c>
      <c r="C2115" s="98">
        <v>81</v>
      </c>
      <c r="D2115" s="98">
        <v>310</v>
      </c>
      <c r="E2115" s="157">
        <v>41443.904861111114</v>
      </c>
      <c r="F2115" s="157">
        <v>41444.140972222223</v>
      </c>
      <c r="G2115" s="98">
        <v>240</v>
      </c>
      <c r="H2115" s="98">
        <v>330</v>
      </c>
      <c r="I2115" s="98">
        <v>300</v>
      </c>
      <c r="J2115" s="98" t="s">
        <v>1966</v>
      </c>
      <c r="K2115" s="98" t="s">
        <v>608</v>
      </c>
      <c r="L2115" s="105" t="str">
        <f t="shared" si="360"/>
        <v>Mill Creek</v>
      </c>
      <c r="M2115" s="105" t="str">
        <f t="shared" si="361"/>
        <v>Derate</v>
      </c>
      <c r="N2115" s="105" t="str">
        <f t="shared" si="362"/>
        <v>Coal</v>
      </c>
      <c r="O2115" s="105">
        <f>IFERROR(VLOOKUP(A2115,Lookup!$J$5:$P$19,7,FALSE),0)</f>
        <v>2</v>
      </c>
      <c r="P2115" s="159">
        <f t="shared" si="363"/>
        <v>2013</v>
      </c>
      <c r="Q2115" s="159">
        <f t="shared" si="364"/>
        <v>6</v>
      </c>
      <c r="R2115" s="160">
        <f t="shared" si="365"/>
        <v>5.6666666666278616</v>
      </c>
      <c r="S2115" s="158">
        <f t="shared" si="366"/>
        <v>1.5454545454439623</v>
      </c>
      <c r="T2115" s="161">
        <f t="shared" si="367"/>
        <v>463.63636363318869</v>
      </c>
      <c r="U2115" s="158">
        <f t="shared" si="368"/>
        <v>81.818181818181813</v>
      </c>
      <c r="V2115" s="160">
        <f t="shared" si="369"/>
        <v>82</v>
      </c>
    </row>
    <row r="2116" spans="1:22" x14ac:dyDescent="0.25">
      <c r="A2116" s="98" t="s">
        <v>23</v>
      </c>
      <c r="B2116" s="98" t="s">
        <v>20</v>
      </c>
      <c r="C2116" s="98">
        <v>82</v>
      </c>
      <c r="D2116" s="98">
        <v>1000</v>
      </c>
      <c r="E2116" s="157">
        <v>41445.012499999997</v>
      </c>
      <c r="F2116" s="157">
        <v>41445.880555555559</v>
      </c>
      <c r="G2116" s="98">
        <v>0</v>
      </c>
      <c r="H2116" s="98">
        <v>330</v>
      </c>
      <c r="I2116" s="98">
        <v>300</v>
      </c>
      <c r="J2116" s="98" t="s">
        <v>2002</v>
      </c>
      <c r="K2116" s="98" t="s">
        <v>71</v>
      </c>
      <c r="L2116" s="105" t="str">
        <f t="shared" si="360"/>
        <v>Mill Creek</v>
      </c>
      <c r="M2116" s="105" t="str">
        <f t="shared" si="361"/>
        <v>Maintenance</v>
      </c>
      <c r="N2116" s="105" t="str">
        <f t="shared" si="362"/>
        <v>Coal</v>
      </c>
      <c r="O2116" s="105">
        <f>IFERROR(VLOOKUP(A2116,Lookup!$J$5:$P$19,7,FALSE),0)</f>
        <v>2</v>
      </c>
      <c r="P2116" s="159">
        <f t="shared" si="363"/>
        <v>2013</v>
      </c>
      <c r="Q2116" s="159">
        <f t="shared" si="364"/>
        <v>6</v>
      </c>
      <c r="R2116" s="160">
        <f t="shared" si="365"/>
        <v>20.833333333488554</v>
      </c>
      <c r="S2116" s="158">
        <f t="shared" si="366"/>
        <v>20.833333333488554</v>
      </c>
      <c r="T2116" s="161">
        <f t="shared" si="367"/>
        <v>6250.0000000465661</v>
      </c>
      <c r="U2116" s="158">
        <f t="shared" si="368"/>
        <v>300</v>
      </c>
      <c r="V2116" s="160">
        <f t="shared" si="369"/>
        <v>300</v>
      </c>
    </row>
    <row r="2117" spans="1:22" x14ac:dyDescent="0.25">
      <c r="A2117" s="98" t="s">
        <v>23</v>
      </c>
      <c r="B2117" s="98" t="s">
        <v>79</v>
      </c>
      <c r="C2117" s="98">
        <v>83</v>
      </c>
      <c r="D2117" s="98">
        <v>1850</v>
      </c>
      <c r="E2117" s="157">
        <v>41445.880555555559</v>
      </c>
      <c r="F2117" s="157">
        <v>41446.36041666667</v>
      </c>
      <c r="G2117" s="98">
        <v>0</v>
      </c>
      <c r="H2117" s="98">
        <v>330</v>
      </c>
      <c r="I2117" s="98">
        <v>300</v>
      </c>
      <c r="J2117" s="98" t="s">
        <v>2263</v>
      </c>
      <c r="K2117" s="98" t="s">
        <v>86</v>
      </c>
      <c r="L2117" s="105" t="str">
        <f t="shared" si="360"/>
        <v>Mill Creek</v>
      </c>
      <c r="M2117" s="105" t="str">
        <f t="shared" si="361"/>
        <v>Other</v>
      </c>
      <c r="N2117" s="105" t="str">
        <f t="shared" si="362"/>
        <v>Coal</v>
      </c>
      <c r="O2117" s="105">
        <f>IFERROR(VLOOKUP(A2117,Lookup!$J$5:$P$19,7,FALSE),0)</f>
        <v>2</v>
      </c>
      <c r="P2117" s="159">
        <f t="shared" si="363"/>
        <v>2013</v>
      </c>
      <c r="Q2117" s="159">
        <f t="shared" si="364"/>
        <v>6</v>
      </c>
      <c r="R2117" s="160">
        <f t="shared" si="365"/>
        <v>11.516666666662786</v>
      </c>
      <c r="S2117" s="158">
        <f t="shared" si="366"/>
        <v>11.516666666662786</v>
      </c>
      <c r="T2117" s="161">
        <f t="shared" si="367"/>
        <v>3454.9999999988358</v>
      </c>
      <c r="U2117" s="158">
        <f t="shared" si="368"/>
        <v>300</v>
      </c>
      <c r="V2117" s="160">
        <f t="shared" si="369"/>
        <v>300</v>
      </c>
    </row>
    <row r="2118" spans="1:22" x14ac:dyDescent="0.25">
      <c r="A2118" s="98" t="s">
        <v>23</v>
      </c>
      <c r="B2118" s="98" t="s">
        <v>17</v>
      </c>
      <c r="C2118" s="98">
        <v>84</v>
      </c>
      <c r="D2118" s="98">
        <v>250</v>
      </c>
      <c r="E2118" s="157">
        <v>41447.679166666669</v>
      </c>
      <c r="F2118" s="157">
        <v>41447.722916666666</v>
      </c>
      <c r="G2118" s="98">
        <v>200</v>
      </c>
      <c r="H2118" s="98">
        <v>330</v>
      </c>
      <c r="I2118" s="98">
        <v>300</v>
      </c>
      <c r="J2118" s="98" t="s">
        <v>1978</v>
      </c>
      <c r="K2118" s="98" t="s">
        <v>609</v>
      </c>
      <c r="L2118" s="105" t="str">
        <f t="shared" si="360"/>
        <v>Mill Creek</v>
      </c>
      <c r="M2118" s="105" t="str">
        <f t="shared" si="361"/>
        <v>Derate</v>
      </c>
      <c r="N2118" s="105" t="str">
        <f t="shared" si="362"/>
        <v>Coal</v>
      </c>
      <c r="O2118" s="105">
        <f>IFERROR(VLOOKUP(A2118,Lookup!$J$5:$P$19,7,FALSE),0)</f>
        <v>2</v>
      </c>
      <c r="P2118" s="159">
        <f t="shared" si="363"/>
        <v>2013</v>
      </c>
      <c r="Q2118" s="159">
        <f t="shared" si="364"/>
        <v>6</v>
      </c>
      <c r="R2118" s="160">
        <f t="shared" si="365"/>
        <v>1.0499999999301508</v>
      </c>
      <c r="S2118" s="158">
        <f t="shared" si="366"/>
        <v>0.41363636360884731</v>
      </c>
      <c r="T2118" s="161">
        <f t="shared" si="367"/>
        <v>124.09090908265419</v>
      </c>
      <c r="U2118" s="158">
        <f t="shared" si="368"/>
        <v>118.18181818181819</v>
      </c>
      <c r="V2118" s="160">
        <f t="shared" si="369"/>
        <v>118</v>
      </c>
    </row>
    <row r="2119" spans="1:22" x14ac:dyDescent="0.25">
      <c r="A2119" s="98" t="s">
        <v>23</v>
      </c>
      <c r="B2119" s="98" t="s">
        <v>105</v>
      </c>
      <c r="C2119" s="98">
        <v>85</v>
      </c>
      <c r="D2119" s="98">
        <v>310</v>
      </c>
      <c r="E2119" s="157">
        <v>41449.875</v>
      </c>
      <c r="F2119" s="157">
        <v>41450.213194444441</v>
      </c>
      <c r="G2119" s="98">
        <v>250</v>
      </c>
      <c r="H2119" s="98">
        <v>330</v>
      </c>
      <c r="I2119" s="98">
        <v>300</v>
      </c>
      <c r="J2119" s="98" t="s">
        <v>1966</v>
      </c>
      <c r="K2119" s="98" t="s">
        <v>610</v>
      </c>
      <c r="L2119" s="105" t="str">
        <f t="shared" si="360"/>
        <v>Mill Creek</v>
      </c>
      <c r="M2119" s="105" t="str">
        <f t="shared" si="361"/>
        <v>Derate</v>
      </c>
      <c r="N2119" s="105" t="str">
        <f t="shared" si="362"/>
        <v>Coal</v>
      </c>
      <c r="O2119" s="105">
        <f>IFERROR(VLOOKUP(A2119,Lookup!$J$5:$P$19,7,FALSE),0)</f>
        <v>2</v>
      </c>
      <c r="P2119" s="159">
        <f t="shared" si="363"/>
        <v>2013</v>
      </c>
      <c r="Q2119" s="159">
        <f t="shared" si="364"/>
        <v>6</v>
      </c>
      <c r="R2119" s="160">
        <f t="shared" si="365"/>
        <v>8.1166666665812954</v>
      </c>
      <c r="S2119" s="158">
        <f t="shared" si="366"/>
        <v>1.9676767676560716</v>
      </c>
      <c r="T2119" s="161">
        <f t="shared" si="367"/>
        <v>590.30303029682148</v>
      </c>
      <c r="U2119" s="158">
        <f t="shared" si="368"/>
        <v>72.727272727272734</v>
      </c>
      <c r="V2119" s="160">
        <f t="shared" si="369"/>
        <v>73</v>
      </c>
    </row>
    <row r="2120" spans="1:22" x14ac:dyDescent="0.25">
      <c r="A2120" s="98" t="s">
        <v>23</v>
      </c>
      <c r="B2120" s="98" t="s">
        <v>17</v>
      </c>
      <c r="C2120" s="98">
        <v>86</v>
      </c>
      <c r="D2120" s="98">
        <v>250</v>
      </c>
      <c r="E2120" s="157">
        <v>41450.715277777781</v>
      </c>
      <c r="F2120" s="157">
        <v>41450.756944444445</v>
      </c>
      <c r="G2120" s="98">
        <v>290</v>
      </c>
      <c r="H2120" s="98">
        <v>330</v>
      </c>
      <c r="I2120" s="98">
        <v>300</v>
      </c>
      <c r="J2120" s="98" t="s">
        <v>1978</v>
      </c>
      <c r="K2120" s="98" t="s">
        <v>611</v>
      </c>
      <c r="L2120" s="105" t="str">
        <f t="shared" si="360"/>
        <v>Mill Creek</v>
      </c>
      <c r="M2120" s="105" t="str">
        <f t="shared" si="361"/>
        <v>Derate</v>
      </c>
      <c r="N2120" s="105" t="str">
        <f t="shared" si="362"/>
        <v>Coal</v>
      </c>
      <c r="O2120" s="105">
        <f>IFERROR(VLOOKUP(A2120,Lookup!$J$5:$P$19,7,FALSE),0)</f>
        <v>2</v>
      </c>
      <c r="P2120" s="159">
        <f t="shared" si="363"/>
        <v>2013</v>
      </c>
      <c r="Q2120" s="159">
        <f t="shared" si="364"/>
        <v>6</v>
      </c>
      <c r="R2120" s="160">
        <f t="shared" si="365"/>
        <v>0.99999999994179234</v>
      </c>
      <c r="S2120" s="158">
        <f t="shared" si="366"/>
        <v>0.12121212120506573</v>
      </c>
      <c r="T2120" s="161">
        <f t="shared" si="367"/>
        <v>36.363636361519717</v>
      </c>
      <c r="U2120" s="158">
        <f t="shared" si="368"/>
        <v>36.363636363636367</v>
      </c>
      <c r="V2120" s="160">
        <f t="shared" si="369"/>
        <v>36</v>
      </c>
    </row>
    <row r="2121" spans="1:22" x14ac:dyDescent="0.25">
      <c r="A2121" s="98" t="s">
        <v>23</v>
      </c>
      <c r="B2121" s="98" t="s">
        <v>17</v>
      </c>
      <c r="C2121" s="98">
        <v>87</v>
      </c>
      <c r="D2121" s="98">
        <v>250</v>
      </c>
      <c r="E2121" s="157">
        <v>41450.756944444445</v>
      </c>
      <c r="F2121" s="157">
        <v>41450.879861111112</v>
      </c>
      <c r="G2121" s="98">
        <v>230</v>
      </c>
      <c r="H2121" s="98">
        <v>330</v>
      </c>
      <c r="I2121" s="98">
        <v>300</v>
      </c>
      <c r="J2121" s="98" t="s">
        <v>1978</v>
      </c>
      <c r="K2121" s="98" t="s">
        <v>611</v>
      </c>
      <c r="L2121" s="105" t="str">
        <f t="shared" si="360"/>
        <v>Mill Creek</v>
      </c>
      <c r="M2121" s="105" t="str">
        <f t="shared" si="361"/>
        <v>Derate</v>
      </c>
      <c r="N2121" s="105" t="str">
        <f t="shared" si="362"/>
        <v>Coal</v>
      </c>
      <c r="O2121" s="105">
        <f>IFERROR(VLOOKUP(A2121,Lookup!$J$5:$P$19,7,FALSE),0)</f>
        <v>2</v>
      </c>
      <c r="P2121" s="159">
        <f t="shared" si="363"/>
        <v>2013</v>
      </c>
      <c r="Q2121" s="159">
        <f t="shared" si="364"/>
        <v>6</v>
      </c>
      <c r="R2121" s="160">
        <f t="shared" si="365"/>
        <v>2.9500000000116415</v>
      </c>
      <c r="S2121" s="158">
        <f t="shared" si="366"/>
        <v>0.89393939394292166</v>
      </c>
      <c r="T2121" s="161">
        <f t="shared" si="367"/>
        <v>268.1818181828765</v>
      </c>
      <c r="U2121" s="158">
        <f t="shared" si="368"/>
        <v>90.909090909090907</v>
      </c>
      <c r="V2121" s="160">
        <f t="shared" si="369"/>
        <v>91</v>
      </c>
    </row>
    <row r="2122" spans="1:22" x14ac:dyDescent="0.25">
      <c r="A2122" s="98" t="s">
        <v>23</v>
      </c>
      <c r="B2122" s="98" t="s">
        <v>105</v>
      </c>
      <c r="C2122" s="98">
        <v>88</v>
      </c>
      <c r="D2122" s="98">
        <v>310</v>
      </c>
      <c r="E2122" s="157">
        <v>41450.916666666664</v>
      </c>
      <c r="F2122" s="157">
        <v>41451.248611111114</v>
      </c>
      <c r="G2122" s="98">
        <v>230</v>
      </c>
      <c r="H2122" s="98">
        <v>330</v>
      </c>
      <c r="I2122" s="98">
        <v>300</v>
      </c>
      <c r="J2122" s="98" t="s">
        <v>1966</v>
      </c>
      <c r="K2122" s="98" t="s">
        <v>612</v>
      </c>
      <c r="L2122" s="105" t="str">
        <f t="shared" si="360"/>
        <v>Mill Creek</v>
      </c>
      <c r="M2122" s="105" t="str">
        <f t="shared" si="361"/>
        <v>Derate</v>
      </c>
      <c r="N2122" s="105" t="str">
        <f t="shared" si="362"/>
        <v>Coal</v>
      </c>
      <c r="O2122" s="105">
        <f>IFERROR(VLOOKUP(A2122,Lookup!$J$5:$P$19,7,FALSE),0)</f>
        <v>2</v>
      </c>
      <c r="P2122" s="159">
        <f t="shared" si="363"/>
        <v>2013</v>
      </c>
      <c r="Q2122" s="159">
        <f t="shared" si="364"/>
        <v>6</v>
      </c>
      <c r="R2122" s="160">
        <f t="shared" si="365"/>
        <v>7.966666666790843</v>
      </c>
      <c r="S2122" s="158">
        <f t="shared" si="366"/>
        <v>2.4141414141790434</v>
      </c>
      <c r="T2122" s="161">
        <f t="shared" si="367"/>
        <v>724.24242425371301</v>
      </c>
      <c r="U2122" s="158">
        <f t="shared" si="368"/>
        <v>90.909090909090907</v>
      </c>
      <c r="V2122" s="160">
        <f t="shared" si="369"/>
        <v>91</v>
      </c>
    </row>
    <row r="2123" spans="1:22" x14ac:dyDescent="0.25">
      <c r="A2123" s="98" t="s">
        <v>23</v>
      </c>
      <c r="B2123" s="98" t="s">
        <v>105</v>
      </c>
      <c r="C2123" s="98">
        <v>89</v>
      </c>
      <c r="D2123" s="98">
        <v>310</v>
      </c>
      <c r="E2123" s="157">
        <v>41452.916666666664</v>
      </c>
      <c r="F2123" s="157">
        <v>41453.290972222225</v>
      </c>
      <c r="G2123" s="98">
        <v>230</v>
      </c>
      <c r="H2123" s="98">
        <v>330</v>
      </c>
      <c r="I2123" s="98">
        <v>300</v>
      </c>
      <c r="J2123" s="98" t="s">
        <v>1966</v>
      </c>
      <c r="K2123" s="98" t="s">
        <v>610</v>
      </c>
      <c r="L2123" s="105" t="str">
        <f t="shared" si="360"/>
        <v>Mill Creek</v>
      </c>
      <c r="M2123" s="105" t="str">
        <f t="shared" si="361"/>
        <v>Derate</v>
      </c>
      <c r="N2123" s="105" t="str">
        <f t="shared" si="362"/>
        <v>Coal</v>
      </c>
      <c r="O2123" s="105">
        <f>IFERROR(VLOOKUP(A2123,Lookup!$J$5:$P$19,7,FALSE),0)</f>
        <v>2</v>
      </c>
      <c r="P2123" s="159">
        <f t="shared" si="363"/>
        <v>2013</v>
      </c>
      <c r="Q2123" s="159">
        <f t="shared" si="364"/>
        <v>6</v>
      </c>
      <c r="R2123" s="160">
        <f t="shared" si="365"/>
        <v>8.9833333334536292</v>
      </c>
      <c r="S2123" s="158">
        <f t="shared" si="366"/>
        <v>2.7222222222586754</v>
      </c>
      <c r="T2123" s="161">
        <f t="shared" si="367"/>
        <v>816.66666667760262</v>
      </c>
      <c r="U2123" s="158">
        <f t="shared" si="368"/>
        <v>90.909090909090907</v>
      </c>
      <c r="V2123" s="160">
        <f t="shared" si="369"/>
        <v>91</v>
      </c>
    </row>
    <row r="2124" spans="1:22" x14ac:dyDescent="0.25">
      <c r="A2124" s="98" t="s">
        <v>23</v>
      </c>
      <c r="B2124" s="98" t="s">
        <v>105</v>
      </c>
      <c r="C2124" s="98">
        <v>90</v>
      </c>
      <c r="D2124" s="98">
        <v>310</v>
      </c>
      <c r="E2124" s="157">
        <v>41455.958333333336</v>
      </c>
      <c r="F2124" s="157">
        <v>41456.227083333331</v>
      </c>
      <c r="G2124" s="98">
        <v>230</v>
      </c>
      <c r="H2124" s="98">
        <v>330</v>
      </c>
      <c r="I2124" s="98">
        <v>300</v>
      </c>
      <c r="J2124" s="98" t="s">
        <v>1966</v>
      </c>
      <c r="K2124" s="98" t="s">
        <v>613</v>
      </c>
      <c r="L2124" s="105" t="str">
        <f t="shared" si="360"/>
        <v>Mill Creek</v>
      </c>
      <c r="M2124" s="105" t="str">
        <f t="shared" si="361"/>
        <v>Derate</v>
      </c>
      <c r="N2124" s="105" t="str">
        <f t="shared" si="362"/>
        <v>Coal</v>
      </c>
      <c r="O2124" s="105">
        <f>IFERROR(VLOOKUP(A2124,Lookup!$J$5:$P$19,7,FALSE),0)</f>
        <v>2</v>
      </c>
      <c r="P2124" s="159">
        <f t="shared" si="363"/>
        <v>2013</v>
      </c>
      <c r="Q2124" s="159">
        <f t="shared" si="364"/>
        <v>6</v>
      </c>
      <c r="R2124" s="160">
        <f t="shared" si="365"/>
        <v>6.4499999998952262</v>
      </c>
      <c r="S2124" s="158">
        <f t="shared" si="366"/>
        <v>1.9545454545137049</v>
      </c>
      <c r="T2124" s="161">
        <f t="shared" si="367"/>
        <v>586.36363635411146</v>
      </c>
      <c r="U2124" s="158">
        <f t="shared" si="368"/>
        <v>90.909090909090907</v>
      </c>
      <c r="V2124" s="160">
        <f t="shared" si="369"/>
        <v>91</v>
      </c>
    </row>
    <row r="2125" spans="1:22" x14ac:dyDescent="0.25">
      <c r="A2125" s="98" t="s">
        <v>23</v>
      </c>
      <c r="B2125" s="98" t="s">
        <v>105</v>
      </c>
      <c r="C2125" s="98">
        <v>91</v>
      </c>
      <c r="D2125" s="98">
        <v>310</v>
      </c>
      <c r="E2125" s="157">
        <v>41456.9375</v>
      </c>
      <c r="F2125" s="157">
        <v>41457.262499999997</v>
      </c>
      <c r="G2125" s="98">
        <v>230</v>
      </c>
      <c r="H2125" s="98">
        <v>330</v>
      </c>
      <c r="I2125" s="98">
        <v>300</v>
      </c>
      <c r="J2125" s="98" t="s">
        <v>1966</v>
      </c>
      <c r="K2125" s="98" t="s">
        <v>612</v>
      </c>
      <c r="L2125" s="105" t="str">
        <f t="shared" si="360"/>
        <v>Mill Creek</v>
      </c>
      <c r="M2125" s="105" t="str">
        <f t="shared" si="361"/>
        <v>Derate</v>
      </c>
      <c r="N2125" s="105" t="str">
        <f t="shared" si="362"/>
        <v>Coal</v>
      </c>
      <c r="O2125" s="105">
        <f>IFERROR(VLOOKUP(A2125,Lookup!$J$5:$P$19,7,FALSE),0)</f>
        <v>2</v>
      </c>
      <c r="P2125" s="159">
        <f t="shared" si="363"/>
        <v>2013</v>
      </c>
      <c r="Q2125" s="159">
        <f t="shared" si="364"/>
        <v>7</v>
      </c>
      <c r="R2125" s="160">
        <f t="shared" si="365"/>
        <v>7.7999999999301508</v>
      </c>
      <c r="S2125" s="158">
        <f t="shared" si="366"/>
        <v>2.3636363636151971</v>
      </c>
      <c r="T2125" s="161">
        <f t="shared" si="367"/>
        <v>709.09090908455914</v>
      </c>
      <c r="U2125" s="158">
        <f t="shared" si="368"/>
        <v>90.909090909090907</v>
      </c>
      <c r="V2125" s="160">
        <f t="shared" si="369"/>
        <v>91</v>
      </c>
    </row>
    <row r="2126" spans="1:22" x14ac:dyDescent="0.25">
      <c r="A2126" s="98" t="s">
        <v>23</v>
      </c>
      <c r="B2126" s="98" t="s">
        <v>105</v>
      </c>
      <c r="C2126" s="98">
        <v>92</v>
      </c>
      <c r="D2126" s="98">
        <v>310</v>
      </c>
      <c r="E2126" s="157">
        <v>41457.916666666664</v>
      </c>
      <c r="F2126" s="157">
        <v>41458.159722222219</v>
      </c>
      <c r="G2126" s="98">
        <v>230</v>
      </c>
      <c r="H2126" s="98">
        <v>330</v>
      </c>
      <c r="I2126" s="98">
        <v>300</v>
      </c>
      <c r="J2126" s="98" t="s">
        <v>1966</v>
      </c>
      <c r="K2126" s="98" t="s">
        <v>612</v>
      </c>
      <c r="L2126" s="105" t="str">
        <f t="shared" si="360"/>
        <v>Mill Creek</v>
      </c>
      <c r="M2126" s="105" t="str">
        <f t="shared" si="361"/>
        <v>Derate</v>
      </c>
      <c r="N2126" s="105" t="str">
        <f t="shared" si="362"/>
        <v>Coal</v>
      </c>
      <c r="O2126" s="105">
        <f>IFERROR(VLOOKUP(A2126,Lookup!$J$5:$P$19,7,FALSE),0)</f>
        <v>2</v>
      </c>
      <c r="P2126" s="159">
        <f t="shared" si="363"/>
        <v>2013</v>
      </c>
      <c r="Q2126" s="159">
        <f t="shared" si="364"/>
        <v>7</v>
      </c>
      <c r="R2126" s="160">
        <f t="shared" si="365"/>
        <v>5.8333333333139308</v>
      </c>
      <c r="S2126" s="158">
        <f t="shared" si="366"/>
        <v>1.7676767676708882</v>
      </c>
      <c r="T2126" s="161">
        <f t="shared" si="367"/>
        <v>530.30303030126652</v>
      </c>
      <c r="U2126" s="158">
        <f t="shared" si="368"/>
        <v>90.909090909090907</v>
      </c>
      <c r="V2126" s="160">
        <f t="shared" si="369"/>
        <v>91</v>
      </c>
    </row>
    <row r="2127" spans="1:22" x14ac:dyDescent="0.25">
      <c r="A2127" s="98" t="s">
        <v>23</v>
      </c>
      <c r="B2127" s="98" t="s">
        <v>20</v>
      </c>
      <c r="C2127" s="98">
        <v>93</v>
      </c>
      <c r="D2127" s="98">
        <v>3441</v>
      </c>
      <c r="E2127" s="157">
        <v>41458.981249999997</v>
      </c>
      <c r="F2127" s="157">
        <v>41460.061805555553</v>
      </c>
      <c r="G2127" s="98">
        <v>0</v>
      </c>
      <c r="H2127" s="98">
        <v>330</v>
      </c>
      <c r="I2127" s="98">
        <v>300</v>
      </c>
      <c r="J2127" s="98" t="s">
        <v>2282</v>
      </c>
      <c r="K2127" s="98" t="s">
        <v>614</v>
      </c>
      <c r="L2127" s="105" t="str">
        <f t="shared" si="360"/>
        <v>Mill Creek</v>
      </c>
      <c r="M2127" s="105" t="str">
        <f t="shared" si="361"/>
        <v>Maintenance</v>
      </c>
      <c r="N2127" s="105" t="str">
        <f t="shared" si="362"/>
        <v>Coal</v>
      </c>
      <c r="O2127" s="105">
        <f>IFERROR(VLOOKUP(A2127,Lookup!$J$5:$P$19,7,FALSE),0)</f>
        <v>2</v>
      </c>
      <c r="P2127" s="159">
        <f t="shared" si="363"/>
        <v>2013</v>
      </c>
      <c r="Q2127" s="159">
        <f t="shared" si="364"/>
        <v>7</v>
      </c>
      <c r="R2127" s="160">
        <f t="shared" si="365"/>
        <v>25.933333333348855</v>
      </c>
      <c r="S2127" s="158">
        <f t="shared" si="366"/>
        <v>25.933333333348855</v>
      </c>
      <c r="T2127" s="161">
        <f t="shared" si="367"/>
        <v>7780.0000000046566</v>
      </c>
      <c r="U2127" s="158">
        <f t="shared" si="368"/>
        <v>300</v>
      </c>
      <c r="V2127" s="160">
        <f t="shared" si="369"/>
        <v>300</v>
      </c>
    </row>
    <row r="2128" spans="1:22" x14ac:dyDescent="0.25">
      <c r="A2128" s="98" t="s">
        <v>23</v>
      </c>
      <c r="B2128" s="98" t="s">
        <v>79</v>
      </c>
      <c r="C2128" s="98">
        <v>94</v>
      </c>
      <c r="D2128" s="98">
        <v>1850</v>
      </c>
      <c r="E2128" s="157">
        <v>41460.061805555553</v>
      </c>
      <c r="F2128" s="157">
        <v>41460.399305555555</v>
      </c>
      <c r="G2128" s="98">
        <v>0</v>
      </c>
      <c r="H2128" s="98">
        <v>330</v>
      </c>
      <c r="I2128" s="98">
        <v>300</v>
      </c>
      <c r="J2128" s="98" t="s">
        <v>2263</v>
      </c>
      <c r="K2128" s="98" t="s">
        <v>86</v>
      </c>
      <c r="L2128" s="105" t="str">
        <f t="shared" si="360"/>
        <v>Mill Creek</v>
      </c>
      <c r="M2128" s="105" t="str">
        <f t="shared" si="361"/>
        <v>Other</v>
      </c>
      <c r="N2128" s="105" t="str">
        <f t="shared" si="362"/>
        <v>Coal</v>
      </c>
      <c r="O2128" s="105">
        <f>IFERROR(VLOOKUP(A2128,Lookup!$J$5:$P$19,7,FALSE),0)</f>
        <v>2</v>
      </c>
      <c r="P2128" s="159">
        <f t="shared" si="363"/>
        <v>2013</v>
      </c>
      <c r="Q2128" s="159">
        <f t="shared" si="364"/>
        <v>7</v>
      </c>
      <c r="R2128" s="160">
        <f t="shared" si="365"/>
        <v>8.1000000000349246</v>
      </c>
      <c r="S2128" s="158">
        <f t="shared" si="366"/>
        <v>8.1000000000349246</v>
      </c>
      <c r="T2128" s="161">
        <f t="shared" si="367"/>
        <v>2430.0000000104774</v>
      </c>
      <c r="U2128" s="158">
        <f t="shared" si="368"/>
        <v>300</v>
      </c>
      <c r="V2128" s="160">
        <f t="shared" si="369"/>
        <v>300</v>
      </c>
    </row>
    <row r="2129" spans="1:22" x14ac:dyDescent="0.25">
      <c r="A2129" s="98" t="s">
        <v>23</v>
      </c>
      <c r="B2129" s="98" t="s">
        <v>17</v>
      </c>
      <c r="C2129" s="98">
        <v>95</v>
      </c>
      <c r="D2129" s="98">
        <v>1850</v>
      </c>
      <c r="E2129" s="157">
        <v>41460.399305555555</v>
      </c>
      <c r="F2129" s="157">
        <v>41460.625</v>
      </c>
      <c r="G2129" s="98">
        <v>298</v>
      </c>
      <c r="H2129" s="98">
        <v>330</v>
      </c>
      <c r="I2129" s="98">
        <v>300</v>
      </c>
      <c r="J2129" s="98" t="s">
        <v>2263</v>
      </c>
      <c r="K2129" s="98" t="s">
        <v>41</v>
      </c>
      <c r="L2129" s="105" t="str">
        <f t="shared" si="360"/>
        <v>Mill Creek</v>
      </c>
      <c r="M2129" s="105" t="str">
        <f t="shared" si="361"/>
        <v>Derate</v>
      </c>
      <c r="N2129" s="105" t="str">
        <f t="shared" si="362"/>
        <v>Coal</v>
      </c>
      <c r="O2129" s="105">
        <f>IFERROR(VLOOKUP(A2129,Lookup!$J$5:$P$19,7,FALSE),0)</f>
        <v>2</v>
      </c>
      <c r="P2129" s="159">
        <f t="shared" si="363"/>
        <v>2013</v>
      </c>
      <c r="Q2129" s="159">
        <f t="shared" si="364"/>
        <v>7</v>
      </c>
      <c r="R2129" s="160">
        <f t="shared" si="365"/>
        <v>5.4166666666860692</v>
      </c>
      <c r="S2129" s="158">
        <f t="shared" si="366"/>
        <v>0.52525252525440669</v>
      </c>
      <c r="T2129" s="161">
        <f t="shared" si="367"/>
        <v>157.57575757632202</v>
      </c>
      <c r="U2129" s="158">
        <f t="shared" si="368"/>
        <v>29.09090909090909</v>
      </c>
      <c r="V2129" s="160">
        <f t="shared" si="369"/>
        <v>29</v>
      </c>
    </row>
    <row r="2130" spans="1:22" x14ac:dyDescent="0.25">
      <c r="A2130" s="98" t="s">
        <v>23</v>
      </c>
      <c r="B2130" s="98" t="s">
        <v>105</v>
      </c>
      <c r="C2130" s="98">
        <v>96</v>
      </c>
      <c r="D2130" s="98">
        <v>310</v>
      </c>
      <c r="E2130" s="157">
        <v>41462.934027777781</v>
      </c>
      <c r="F2130" s="157">
        <v>41463.111111111109</v>
      </c>
      <c r="G2130" s="98">
        <v>250</v>
      </c>
      <c r="H2130" s="98">
        <v>330</v>
      </c>
      <c r="I2130" s="98">
        <v>300</v>
      </c>
      <c r="J2130" s="98" t="s">
        <v>1966</v>
      </c>
      <c r="K2130" s="98" t="s">
        <v>613</v>
      </c>
      <c r="L2130" s="105" t="str">
        <f t="shared" si="360"/>
        <v>Mill Creek</v>
      </c>
      <c r="M2130" s="105" t="str">
        <f t="shared" si="361"/>
        <v>Derate</v>
      </c>
      <c r="N2130" s="105" t="str">
        <f t="shared" si="362"/>
        <v>Coal</v>
      </c>
      <c r="O2130" s="105">
        <f>IFERROR(VLOOKUP(A2130,Lookup!$J$5:$P$19,7,FALSE),0)</f>
        <v>2</v>
      </c>
      <c r="P2130" s="159">
        <f t="shared" si="363"/>
        <v>2013</v>
      </c>
      <c r="Q2130" s="159">
        <f t="shared" si="364"/>
        <v>7</v>
      </c>
      <c r="R2130" s="160">
        <f t="shared" si="365"/>
        <v>4.2499999998835847</v>
      </c>
      <c r="S2130" s="158">
        <f t="shared" si="366"/>
        <v>1.0303030302748084</v>
      </c>
      <c r="T2130" s="161">
        <f t="shared" si="367"/>
        <v>309.09090908244252</v>
      </c>
      <c r="U2130" s="158">
        <f t="shared" si="368"/>
        <v>72.727272727272734</v>
      </c>
      <c r="V2130" s="160">
        <f t="shared" si="369"/>
        <v>73</v>
      </c>
    </row>
    <row r="2131" spans="1:22" x14ac:dyDescent="0.25">
      <c r="A2131" s="98" t="s">
        <v>23</v>
      </c>
      <c r="B2131" s="98" t="s">
        <v>105</v>
      </c>
      <c r="C2131" s="98">
        <v>97</v>
      </c>
      <c r="D2131" s="98">
        <v>310</v>
      </c>
      <c r="E2131" s="157">
        <v>41463.916666666664</v>
      </c>
      <c r="F2131" s="157">
        <v>41464.120833333334</v>
      </c>
      <c r="G2131" s="98">
        <v>250</v>
      </c>
      <c r="H2131" s="98">
        <v>330</v>
      </c>
      <c r="I2131" s="98">
        <v>300</v>
      </c>
      <c r="J2131" s="98" t="s">
        <v>1966</v>
      </c>
      <c r="K2131" s="98" t="s">
        <v>610</v>
      </c>
      <c r="L2131" s="105" t="str">
        <f t="shared" si="360"/>
        <v>Mill Creek</v>
      </c>
      <c r="M2131" s="105" t="str">
        <f t="shared" si="361"/>
        <v>Derate</v>
      </c>
      <c r="N2131" s="105" t="str">
        <f t="shared" si="362"/>
        <v>Coal</v>
      </c>
      <c r="O2131" s="105">
        <f>IFERROR(VLOOKUP(A2131,Lookup!$J$5:$P$19,7,FALSE),0)</f>
        <v>2</v>
      </c>
      <c r="P2131" s="159">
        <f t="shared" si="363"/>
        <v>2013</v>
      </c>
      <c r="Q2131" s="159">
        <f t="shared" si="364"/>
        <v>7</v>
      </c>
      <c r="R2131" s="160">
        <f t="shared" si="365"/>
        <v>4.9000000000814907</v>
      </c>
      <c r="S2131" s="158">
        <f t="shared" si="366"/>
        <v>1.1878787878985433</v>
      </c>
      <c r="T2131" s="161">
        <f t="shared" si="367"/>
        <v>356.36363636956298</v>
      </c>
      <c r="U2131" s="158">
        <f t="shared" si="368"/>
        <v>72.727272727272734</v>
      </c>
      <c r="V2131" s="160">
        <f t="shared" si="369"/>
        <v>73</v>
      </c>
    </row>
    <row r="2132" spans="1:22" x14ac:dyDescent="0.25">
      <c r="A2132" s="98" t="s">
        <v>23</v>
      </c>
      <c r="B2132" s="98" t="s">
        <v>105</v>
      </c>
      <c r="C2132" s="98">
        <v>98</v>
      </c>
      <c r="D2132" s="98">
        <v>310</v>
      </c>
      <c r="E2132" s="157">
        <v>41464.958333333336</v>
      </c>
      <c r="F2132" s="157">
        <v>41465.125</v>
      </c>
      <c r="G2132" s="98">
        <v>250</v>
      </c>
      <c r="H2132" s="98">
        <v>330</v>
      </c>
      <c r="I2132" s="98">
        <v>300</v>
      </c>
      <c r="J2132" s="98" t="s">
        <v>1966</v>
      </c>
      <c r="K2132" s="98" t="s">
        <v>610</v>
      </c>
      <c r="L2132" s="105" t="str">
        <f t="shared" si="360"/>
        <v>Mill Creek</v>
      </c>
      <c r="M2132" s="105" t="str">
        <f t="shared" si="361"/>
        <v>Derate</v>
      </c>
      <c r="N2132" s="105" t="str">
        <f t="shared" si="362"/>
        <v>Coal</v>
      </c>
      <c r="O2132" s="105">
        <f>IFERROR(VLOOKUP(A2132,Lookup!$J$5:$P$19,7,FALSE),0)</f>
        <v>2</v>
      </c>
      <c r="P2132" s="159">
        <f t="shared" si="363"/>
        <v>2013</v>
      </c>
      <c r="Q2132" s="159">
        <f t="shared" si="364"/>
        <v>7</v>
      </c>
      <c r="R2132" s="160">
        <f t="shared" si="365"/>
        <v>3.9999999999417923</v>
      </c>
      <c r="S2132" s="158">
        <f t="shared" si="366"/>
        <v>0.96969696968285879</v>
      </c>
      <c r="T2132" s="161">
        <f t="shared" si="367"/>
        <v>290.90909090485763</v>
      </c>
      <c r="U2132" s="158">
        <f t="shared" si="368"/>
        <v>72.727272727272734</v>
      </c>
      <c r="V2132" s="160">
        <f t="shared" si="369"/>
        <v>73</v>
      </c>
    </row>
    <row r="2133" spans="1:22" x14ac:dyDescent="0.25">
      <c r="A2133" s="98" t="s">
        <v>23</v>
      </c>
      <c r="B2133" s="98" t="s">
        <v>105</v>
      </c>
      <c r="C2133" s="98">
        <v>99</v>
      </c>
      <c r="D2133" s="98">
        <v>310</v>
      </c>
      <c r="E2133" s="157">
        <v>41466.916666666664</v>
      </c>
      <c r="F2133" s="157">
        <v>41467.142361111109</v>
      </c>
      <c r="G2133" s="98">
        <v>250</v>
      </c>
      <c r="H2133" s="98">
        <v>330</v>
      </c>
      <c r="I2133" s="98">
        <v>300</v>
      </c>
      <c r="J2133" s="98" t="s">
        <v>1966</v>
      </c>
      <c r="K2133" s="98" t="s">
        <v>1351</v>
      </c>
      <c r="L2133" s="105" t="str">
        <f t="shared" si="360"/>
        <v>Mill Creek</v>
      </c>
      <c r="M2133" s="105" t="str">
        <f t="shared" si="361"/>
        <v>Derate</v>
      </c>
      <c r="N2133" s="105" t="str">
        <f t="shared" si="362"/>
        <v>Coal</v>
      </c>
      <c r="O2133" s="105">
        <f>IFERROR(VLOOKUP(A2133,Lookup!$J$5:$P$19,7,FALSE),0)</f>
        <v>2</v>
      </c>
      <c r="P2133" s="159">
        <f t="shared" si="363"/>
        <v>2013</v>
      </c>
      <c r="Q2133" s="159">
        <f t="shared" si="364"/>
        <v>7</v>
      </c>
      <c r="R2133" s="160">
        <f t="shared" si="365"/>
        <v>5.4166666666860692</v>
      </c>
      <c r="S2133" s="158">
        <f t="shared" si="366"/>
        <v>1.3131313131360167</v>
      </c>
      <c r="T2133" s="161">
        <f t="shared" si="367"/>
        <v>393.93939394080502</v>
      </c>
      <c r="U2133" s="158">
        <f t="shared" si="368"/>
        <v>72.727272727272734</v>
      </c>
      <c r="V2133" s="160">
        <f t="shared" si="369"/>
        <v>73</v>
      </c>
    </row>
    <row r="2134" spans="1:22" x14ac:dyDescent="0.25">
      <c r="A2134" s="98" t="s">
        <v>23</v>
      </c>
      <c r="B2134" s="98" t="s">
        <v>17</v>
      </c>
      <c r="C2134" s="98">
        <v>100</v>
      </c>
      <c r="D2134" s="98">
        <v>8280</v>
      </c>
      <c r="E2134" s="157">
        <v>41468.802777777775</v>
      </c>
      <c r="F2134" s="157">
        <v>41468.813888888886</v>
      </c>
      <c r="G2134" s="98">
        <v>300</v>
      </c>
      <c r="H2134" s="98">
        <v>330</v>
      </c>
      <c r="I2134" s="98">
        <v>300</v>
      </c>
      <c r="J2134" s="98" t="s">
        <v>2255</v>
      </c>
      <c r="K2134" s="98" t="s">
        <v>1352</v>
      </c>
      <c r="L2134" s="105" t="str">
        <f t="shared" si="360"/>
        <v>Mill Creek</v>
      </c>
      <c r="M2134" s="105" t="str">
        <f t="shared" si="361"/>
        <v>Derate</v>
      </c>
      <c r="N2134" s="105" t="str">
        <f t="shared" si="362"/>
        <v>Coal</v>
      </c>
      <c r="O2134" s="105">
        <f>IFERROR(VLOOKUP(A2134,Lookup!$J$5:$P$19,7,FALSE),0)</f>
        <v>2</v>
      </c>
      <c r="P2134" s="159">
        <f t="shared" si="363"/>
        <v>2013</v>
      </c>
      <c r="Q2134" s="159">
        <f t="shared" si="364"/>
        <v>7</v>
      </c>
      <c r="R2134" s="160">
        <f t="shared" si="365"/>
        <v>0.26666666666278616</v>
      </c>
      <c r="S2134" s="158">
        <f t="shared" si="366"/>
        <v>2.4242424242071469E-2</v>
      </c>
      <c r="T2134" s="161">
        <f t="shared" si="367"/>
        <v>7.2727272726214407</v>
      </c>
      <c r="U2134" s="158">
        <f t="shared" si="368"/>
        <v>27.272727272727273</v>
      </c>
      <c r="V2134" s="160">
        <f t="shared" si="369"/>
        <v>27</v>
      </c>
    </row>
    <row r="2135" spans="1:22" x14ac:dyDescent="0.25">
      <c r="A2135" s="98" t="s">
        <v>23</v>
      </c>
      <c r="B2135" s="98" t="s">
        <v>17</v>
      </c>
      <c r="C2135" s="98">
        <v>101</v>
      </c>
      <c r="D2135" s="98">
        <v>253</v>
      </c>
      <c r="E2135" s="157">
        <v>41470.727777777778</v>
      </c>
      <c r="F2135" s="157">
        <v>41470.90625</v>
      </c>
      <c r="G2135" s="98">
        <v>278</v>
      </c>
      <c r="H2135" s="98">
        <v>330</v>
      </c>
      <c r="I2135" s="98">
        <v>300</v>
      </c>
      <c r="J2135" s="98" t="s">
        <v>1999</v>
      </c>
      <c r="K2135" s="98" t="s">
        <v>1353</v>
      </c>
      <c r="L2135" s="105" t="str">
        <f t="shared" si="360"/>
        <v>Mill Creek</v>
      </c>
      <c r="M2135" s="105" t="str">
        <f t="shared" si="361"/>
        <v>Derate</v>
      </c>
      <c r="N2135" s="105" t="str">
        <f t="shared" si="362"/>
        <v>Coal</v>
      </c>
      <c r="O2135" s="105">
        <f>IFERROR(VLOOKUP(A2135,Lookup!$J$5:$P$19,7,FALSE),0)</f>
        <v>2</v>
      </c>
      <c r="P2135" s="159">
        <f t="shared" si="363"/>
        <v>2013</v>
      </c>
      <c r="Q2135" s="159">
        <f t="shared" si="364"/>
        <v>7</v>
      </c>
      <c r="R2135" s="160">
        <f t="shared" si="365"/>
        <v>4.2833333333255723</v>
      </c>
      <c r="S2135" s="158">
        <f t="shared" si="366"/>
        <v>0.67494949494827206</v>
      </c>
      <c r="T2135" s="161">
        <f t="shared" si="367"/>
        <v>202.4848484844816</v>
      </c>
      <c r="U2135" s="158">
        <f t="shared" si="368"/>
        <v>47.272727272727273</v>
      </c>
      <c r="V2135" s="160">
        <f t="shared" si="369"/>
        <v>47</v>
      </c>
    </row>
    <row r="2136" spans="1:22" x14ac:dyDescent="0.25">
      <c r="A2136" s="98" t="s">
        <v>23</v>
      </c>
      <c r="B2136" s="98" t="s">
        <v>15</v>
      </c>
      <c r="C2136" s="98">
        <v>102</v>
      </c>
      <c r="D2136" s="98">
        <v>1000</v>
      </c>
      <c r="E2136" s="157">
        <v>41472.820138888892</v>
      </c>
      <c r="F2136" s="157">
        <v>41474.161805555559</v>
      </c>
      <c r="G2136" s="98">
        <v>0</v>
      </c>
      <c r="H2136" s="98">
        <v>330</v>
      </c>
      <c r="I2136" s="98">
        <v>300</v>
      </c>
      <c r="J2136" s="98" t="s">
        <v>2002</v>
      </c>
      <c r="K2136" s="98" t="s">
        <v>71</v>
      </c>
      <c r="L2136" s="105" t="str">
        <f t="shared" si="360"/>
        <v>Mill Creek</v>
      </c>
      <c r="M2136" s="105" t="str">
        <f t="shared" si="361"/>
        <v>Outage</v>
      </c>
      <c r="N2136" s="105" t="str">
        <f t="shared" si="362"/>
        <v>Coal</v>
      </c>
      <c r="O2136" s="105">
        <f>IFERROR(VLOOKUP(A2136,Lookup!$J$5:$P$19,7,FALSE),0)</f>
        <v>2</v>
      </c>
      <c r="P2136" s="159">
        <f t="shared" si="363"/>
        <v>2013</v>
      </c>
      <c r="Q2136" s="159">
        <f t="shared" si="364"/>
        <v>7</v>
      </c>
      <c r="R2136" s="160">
        <f t="shared" si="365"/>
        <v>32.200000000011642</v>
      </c>
      <c r="S2136" s="158">
        <f t="shared" si="366"/>
        <v>32.200000000011642</v>
      </c>
      <c r="T2136" s="161">
        <f t="shared" si="367"/>
        <v>9660.0000000034925</v>
      </c>
      <c r="U2136" s="158">
        <f t="shared" si="368"/>
        <v>300</v>
      </c>
      <c r="V2136" s="160">
        <f t="shared" si="369"/>
        <v>300</v>
      </c>
    </row>
    <row r="2137" spans="1:22" x14ac:dyDescent="0.25">
      <c r="A2137" s="98" t="s">
        <v>23</v>
      </c>
      <c r="B2137" s="98" t="s">
        <v>79</v>
      </c>
      <c r="C2137" s="98">
        <v>103</v>
      </c>
      <c r="D2137" s="98">
        <v>1850</v>
      </c>
      <c r="E2137" s="157">
        <v>41474.161805555559</v>
      </c>
      <c r="F2137" s="157">
        <v>41474.494444444441</v>
      </c>
      <c r="G2137" s="98">
        <v>0</v>
      </c>
      <c r="H2137" s="98">
        <v>330</v>
      </c>
      <c r="I2137" s="98">
        <v>300</v>
      </c>
      <c r="J2137" s="98" t="s">
        <v>2263</v>
      </c>
      <c r="K2137" s="98" t="s">
        <v>86</v>
      </c>
      <c r="L2137" s="105" t="str">
        <f t="shared" si="360"/>
        <v>Mill Creek</v>
      </c>
      <c r="M2137" s="105" t="str">
        <f t="shared" si="361"/>
        <v>Other</v>
      </c>
      <c r="N2137" s="105" t="str">
        <f t="shared" si="362"/>
        <v>Coal</v>
      </c>
      <c r="O2137" s="105">
        <f>IFERROR(VLOOKUP(A2137,Lookup!$J$5:$P$19,7,FALSE),0)</f>
        <v>2</v>
      </c>
      <c r="P2137" s="159">
        <f t="shared" si="363"/>
        <v>2013</v>
      </c>
      <c r="Q2137" s="159">
        <f t="shared" si="364"/>
        <v>7</v>
      </c>
      <c r="R2137" s="160">
        <f t="shared" si="365"/>
        <v>7.9833333331625909</v>
      </c>
      <c r="S2137" s="158">
        <f t="shared" si="366"/>
        <v>7.9833333331625909</v>
      </c>
      <c r="T2137" s="161">
        <f t="shared" si="367"/>
        <v>2394.9999999487773</v>
      </c>
      <c r="U2137" s="158">
        <f t="shared" si="368"/>
        <v>300</v>
      </c>
      <c r="V2137" s="160">
        <f t="shared" si="369"/>
        <v>300</v>
      </c>
    </row>
    <row r="2138" spans="1:22" x14ac:dyDescent="0.25">
      <c r="A2138" s="98" t="s">
        <v>23</v>
      </c>
      <c r="B2138" s="98" t="s">
        <v>17</v>
      </c>
      <c r="C2138" s="98">
        <v>104</v>
      </c>
      <c r="D2138" s="98">
        <v>4261</v>
      </c>
      <c r="E2138" s="157">
        <v>41477.309027777781</v>
      </c>
      <c r="F2138" s="157">
        <v>41477.336805555555</v>
      </c>
      <c r="G2138" s="98">
        <v>260</v>
      </c>
      <c r="H2138" s="98">
        <v>330</v>
      </c>
      <c r="I2138" s="98">
        <v>300</v>
      </c>
      <c r="J2138" s="98" t="s">
        <v>1985</v>
      </c>
      <c r="K2138" s="98" t="s">
        <v>1354</v>
      </c>
      <c r="L2138" s="105" t="str">
        <f t="shared" si="360"/>
        <v>Mill Creek</v>
      </c>
      <c r="M2138" s="105" t="str">
        <f t="shared" si="361"/>
        <v>Derate</v>
      </c>
      <c r="N2138" s="105" t="str">
        <f t="shared" si="362"/>
        <v>Coal</v>
      </c>
      <c r="O2138" s="105">
        <f>IFERROR(VLOOKUP(A2138,Lookup!$J$5:$P$19,7,FALSE),0)</f>
        <v>2</v>
      </c>
      <c r="P2138" s="159">
        <f t="shared" si="363"/>
        <v>2013</v>
      </c>
      <c r="Q2138" s="159">
        <f t="shared" si="364"/>
        <v>7</v>
      </c>
      <c r="R2138" s="160">
        <f t="shared" si="365"/>
        <v>0.6666666665696539</v>
      </c>
      <c r="S2138" s="158">
        <f t="shared" si="366"/>
        <v>0.14141414139356295</v>
      </c>
      <c r="T2138" s="161">
        <f t="shared" si="367"/>
        <v>42.424242418068886</v>
      </c>
      <c r="U2138" s="158">
        <f t="shared" si="368"/>
        <v>63.636363636363633</v>
      </c>
      <c r="V2138" s="160">
        <f t="shared" si="369"/>
        <v>64</v>
      </c>
    </row>
    <row r="2139" spans="1:22" x14ac:dyDescent="0.25">
      <c r="A2139" s="98" t="s">
        <v>23</v>
      </c>
      <c r="B2139" s="98" t="s">
        <v>17</v>
      </c>
      <c r="C2139" s="98">
        <v>105</v>
      </c>
      <c r="D2139" s="98">
        <v>4261</v>
      </c>
      <c r="E2139" s="157">
        <v>41477.4375</v>
      </c>
      <c r="F2139" s="157">
        <v>41477.541666666664</v>
      </c>
      <c r="G2139" s="98">
        <v>260</v>
      </c>
      <c r="H2139" s="98">
        <v>330</v>
      </c>
      <c r="I2139" s="98">
        <v>300</v>
      </c>
      <c r="J2139" s="98" t="s">
        <v>1985</v>
      </c>
      <c r="K2139" s="98" t="s">
        <v>1354</v>
      </c>
      <c r="L2139" s="105" t="str">
        <f t="shared" si="360"/>
        <v>Mill Creek</v>
      </c>
      <c r="M2139" s="105" t="str">
        <f t="shared" si="361"/>
        <v>Derate</v>
      </c>
      <c r="N2139" s="105" t="str">
        <f t="shared" si="362"/>
        <v>Coal</v>
      </c>
      <c r="O2139" s="105">
        <f>IFERROR(VLOOKUP(A2139,Lookup!$J$5:$P$19,7,FALSE),0)</f>
        <v>2</v>
      </c>
      <c r="P2139" s="159">
        <f t="shared" si="363"/>
        <v>2013</v>
      </c>
      <c r="Q2139" s="159">
        <f t="shared" si="364"/>
        <v>7</v>
      </c>
      <c r="R2139" s="160">
        <f t="shared" si="365"/>
        <v>2.4999999999417923</v>
      </c>
      <c r="S2139" s="158">
        <f t="shared" si="366"/>
        <v>0.53030303029068326</v>
      </c>
      <c r="T2139" s="161">
        <f t="shared" si="367"/>
        <v>159.09090908720498</v>
      </c>
      <c r="U2139" s="158">
        <f t="shared" si="368"/>
        <v>63.636363636363633</v>
      </c>
      <c r="V2139" s="160">
        <f t="shared" si="369"/>
        <v>64</v>
      </c>
    </row>
    <row r="2140" spans="1:22" x14ac:dyDescent="0.25">
      <c r="A2140" s="98" t="s">
        <v>23</v>
      </c>
      <c r="B2140" s="98" t="s">
        <v>105</v>
      </c>
      <c r="C2140" s="98">
        <v>106</v>
      </c>
      <c r="D2140" s="98">
        <v>310</v>
      </c>
      <c r="E2140" s="157">
        <v>41477.916666666664</v>
      </c>
      <c r="F2140" s="157">
        <v>41478.197916666664</v>
      </c>
      <c r="G2140" s="98">
        <v>250</v>
      </c>
      <c r="H2140" s="98">
        <v>330</v>
      </c>
      <c r="I2140" s="98">
        <v>300</v>
      </c>
      <c r="J2140" s="98" t="s">
        <v>1966</v>
      </c>
      <c r="K2140" s="98" t="s">
        <v>610</v>
      </c>
      <c r="L2140" s="105" t="str">
        <f t="shared" si="360"/>
        <v>Mill Creek</v>
      </c>
      <c r="M2140" s="105" t="str">
        <f t="shared" si="361"/>
        <v>Derate</v>
      </c>
      <c r="N2140" s="105" t="str">
        <f t="shared" si="362"/>
        <v>Coal</v>
      </c>
      <c r="O2140" s="105">
        <f>IFERROR(VLOOKUP(A2140,Lookup!$J$5:$P$19,7,FALSE),0)</f>
        <v>2</v>
      </c>
      <c r="P2140" s="159">
        <f t="shared" si="363"/>
        <v>2013</v>
      </c>
      <c r="Q2140" s="159">
        <f t="shared" si="364"/>
        <v>7</v>
      </c>
      <c r="R2140" s="160">
        <f t="shared" si="365"/>
        <v>6.75</v>
      </c>
      <c r="S2140" s="158">
        <f t="shared" si="366"/>
        <v>1.6363636363636365</v>
      </c>
      <c r="T2140" s="161">
        <f t="shared" si="367"/>
        <v>490.90909090909093</v>
      </c>
      <c r="U2140" s="158">
        <f t="shared" si="368"/>
        <v>72.727272727272734</v>
      </c>
      <c r="V2140" s="160">
        <f t="shared" si="369"/>
        <v>73</v>
      </c>
    </row>
    <row r="2141" spans="1:22" x14ac:dyDescent="0.25">
      <c r="A2141" s="98" t="s">
        <v>23</v>
      </c>
      <c r="B2141" s="98" t="s">
        <v>17</v>
      </c>
      <c r="C2141" s="98">
        <v>107</v>
      </c>
      <c r="D2141" s="98">
        <v>250</v>
      </c>
      <c r="E2141" s="157">
        <v>41478.711805555555</v>
      </c>
      <c r="F2141" s="157">
        <v>41478.859027777777</v>
      </c>
      <c r="G2141" s="98">
        <v>290</v>
      </c>
      <c r="H2141" s="98">
        <v>330</v>
      </c>
      <c r="I2141" s="98">
        <v>300</v>
      </c>
      <c r="J2141" s="98" t="s">
        <v>1978</v>
      </c>
      <c r="K2141" s="98" t="s">
        <v>1355</v>
      </c>
      <c r="L2141" s="105" t="str">
        <f t="shared" si="360"/>
        <v>Mill Creek</v>
      </c>
      <c r="M2141" s="105" t="str">
        <f t="shared" si="361"/>
        <v>Derate</v>
      </c>
      <c r="N2141" s="105" t="str">
        <f t="shared" si="362"/>
        <v>Coal</v>
      </c>
      <c r="O2141" s="105">
        <f>IFERROR(VLOOKUP(A2141,Lookup!$J$5:$P$19,7,FALSE),0)</f>
        <v>2</v>
      </c>
      <c r="P2141" s="159">
        <f t="shared" si="363"/>
        <v>2013</v>
      </c>
      <c r="Q2141" s="159">
        <f t="shared" si="364"/>
        <v>7</v>
      </c>
      <c r="R2141" s="160">
        <f t="shared" si="365"/>
        <v>3.5333333333255723</v>
      </c>
      <c r="S2141" s="158">
        <f t="shared" si="366"/>
        <v>0.42828282828188757</v>
      </c>
      <c r="T2141" s="161">
        <f t="shared" si="367"/>
        <v>128.48484848456627</v>
      </c>
      <c r="U2141" s="158">
        <f t="shared" si="368"/>
        <v>36.363636363636367</v>
      </c>
      <c r="V2141" s="160">
        <f t="shared" si="369"/>
        <v>36</v>
      </c>
    </row>
    <row r="2142" spans="1:22" x14ac:dyDescent="0.25">
      <c r="A2142" s="98" t="s">
        <v>23</v>
      </c>
      <c r="B2142" s="98" t="s">
        <v>105</v>
      </c>
      <c r="C2142" s="98">
        <v>108</v>
      </c>
      <c r="D2142" s="98">
        <v>310</v>
      </c>
      <c r="E2142" s="157">
        <v>41478.9375</v>
      </c>
      <c r="F2142" s="157">
        <v>41479.138888888891</v>
      </c>
      <c r="G2142" s="98">
        <v>260</v>
      </c>
      <c r="H2142" s="98">
        <v>330</v>
      </c>
      <c r="I2142" s="98">
        <v>300</v>
      </c>
      <c r="J2142" s="98" t="s">
        <v>1966</v>
      </c>
      <c r="K2142" s="98" t="s">
        <v>610</v>
      </c>
      <c r="L2142" s="105" t="str">
        <f t="shared" si="360"/>
        <v>Mill Creek</v>
      </c>
      <c r="M2142" s="105" t="str">
        <f t="shared" si="361"/>
        <v>Derate</v>
      </c>
      <c r="N2142" s="105" t="str">
        <f t="shared" si="362"/>
        <v>Coal</v>
      </c>
      <c r="O2142" s="105">
        <f>IFERROR(VLOOKUP(A2142,Lookup!$J$5:$P$19,7,FALSE),0)</f>
        <v>2</v>
      </c>
      <c r="P2142" s="159">
        <f t="shared" si="363"/>
        <v>2013</v>
      </c>
      <c r="Q2142" s="159">
        <f t="shared" si="364"/>
        <v>7</v>
      </c>
      <c r="R2142" s="160">
        <f t="shared" si="365"/>
        <v>4.8333333333721384</v>
      </c>
      <c r="S2142" s="158">
        <f t="shared" si="366"/>
        <v>1.0252525252607567</v>
      </c>
      <c r="T2142" s="161">
        <f t="shared" si="367"/>
        <v>307.57575757822701</v>
      </c>
      <c r="U2142" s="158">
        <f t="shared" si="368"/>
        <v>63.636363636363633</v>
      </c>
      <c r="V2142" s="160">
        <f t="shared" si="369"/>
        <v>64</v>
      </c>
    </row>
    <row r="2143" spans="1:22" x14ac:dyDescent="0.25">
      <c r="A2143" s="98" t="s">
        <v>23</v>
      </c>
      <c r="B2143" s="98" t="s">
        <v>17</v>
      </c>
      <c r="C2143" s="98">
        <v>109</v>
      </c>
      <c r="D2143" s="98">
        <v>330</v>
      </c>
      <c r="E2143" s="157">
        <v>41479.465277777781</v>
      </c>
      <c r="F2143" s="157">
        <v>41479.479166666664</v>
      </c>
      <c r="G2143" s="98">
        <v>250</v>
      </c>
      <c r="H2143" s="98">
        <v>330</v>
      </c>
      <c r="I2143" s="98">
        <v>300</v>
      </c>
      <c r="J2143" s="98" t="s">
        <v>2291</v>
      </c>
      <c r="K2143" s="98" t="s">
        <v>235</v>
      </c>
      <c r="L2143" s="105" t="str">
        <f t="shared" si="360"/>
        <v>Mill Creek</v>
      </c>
      <c r="M2143" s="105" t="str">
        <f t="shared" si="361"/>
        <v>Derate</v>
      </c>
      <c r="N2143" s="105" t="str">
        <f t="shared" si="362"/>
        <v>Coal</v>
      </c>
      <c r="O2143" s="105">
        <f>IFERROR(VLOOKUP(A2143,Lookup!$J$5:$P$19,7,FALSE),0)</f>
        <v>2</v>
      </c>
      <c r="P2143" s="159">
        <f t="shared" si="363"/>
        <v>2013</v>
      </c>
      <c r="Q2143" s="159">
        <f t="shared" si="364"/>
        <v>7</v>
      </c>
      <c r="R2143" s="160">
        <f t="shared" si="365"/>
        <v>0.33333333319751546</v>
      </c>
      <c r="S2143" s="158">
        <f t="shared" si="366"/>
        <v>8.0808080775155264E-2</v>
      </c>
      <c r="T2143" s="161">
        <f t="shared" si="367"/>
        <v>24.242424232546579</v>
      </c>
      <c r="U2143" s="158">
        <f t="shared" si="368"/>
        <v>72.727272727272734</v>
      </c>
      <c r="V2143" s="160">
        <f t="shared" si="369"/>
        <v>73</v>
      </c>
    </row>
    <row r="2144" spans="1:22" x14ac:dyDescent="0.25">
      <c r="A2144" s="98" t="s">
        <v>23</v>
      </c>
      <c r="B2144" s="98" t="s">
        <v>105</v>
      </c>
      <c r="C2144" s="98">
        <v>110</v>
      </c>
      <c r="D2144" s="98">
        <v>310</v>
      </c>
      <c r="E2144" s="157">
        <v>41479.916666666664</v>
      </c>
      <c r="F2144" s="157">
        <v>41480.197916666664</v>
      </c>
      <c r="G2144" s="98">
        <v>250</v>
      </c>
      <c r="H2144" s="98">
        <v>330</v>
      </c>
      <c r="I2144" s="98">
        <v>300</v>
      </c>
      <c r="J2144" s="98" t="s">
        <v>1966</v>
      </c>
      <c r="K2144" s="98" t="s">
        <v>613</v>
      </c>
      <c r="L2144" s="105" t="str">
        <f t="shared" si="360"/>
        <v>Mill Creek</v>
      </c>
      <c r="M2144" s="105" t="str">
        <f t="shared" si="361"/>
        <v>Derate</v>
      </c>
      <c r="N2144" s="105" t="str">
        <f t="shared" si="362"/>
        <v>Coal</v>
      </c>
      <c r="O2144" s="105">
        <f>IFERROR(VLOOKUP(A2144,Lookup!$J$5:$P$19,7,FALSE),0)</f>
        <v>2</v>
      </c>
      <c r="P2144" s="159">
        <f t="shared" si="363"/>
        <v>2013</v>
      </c>
      <c r="Q2144" s="159">
        <f t="shared" si="364"/>
        <v>7</v>
      </c>
      <c r="R2144" s="160">
        <f t="shared" si="365"/>
        <v>6.75</v>
      </c>
      <c r="S2144" s="158">
        <f t="shared" si="366"/>
        <v>1.6363636363636365</v>
      </c>
      <c r="T2144" s="161">
        <f t="shared" si="367"/>
        <v>490.90909090909093</v>
      </c>
      <c r="U2144" s="158">
        <f t="shared" si="368"/>
        <v>72.727272727272734</v>
      </c>
      <c r="V2144" s="160">
        <f t="shared" si="369"/>
        <v>73</v>
      </c>
    </row>
    <row r="2145" spans="1:22" x14ac:dyDescent="0.25">
      <c r="A2145" s="98" t="s">
        <v>23</v>
      </c>
      <c r="B2145" s="98" t="s">
        <v>79</v>
      </c>
      <c r="C2145" s="98">
        <v>113</v>
      </c>
      <c r="D2145" s="98">
        <v>9999</v>
      </c>
      <c r="E2145" s="157">
        <v>41484.375</v>
      </c>
      <c r="F2145" s="157">
        <v>41484.541666666664</v>
      </c>
      <c r="G2145" s="98">
        <v>0</v>
      </c>
      <c r="H2145" s="98">
        <v>330</v>
      </c>
      <c r="I2145" s="98">
        <v>300</v>
      </c>
      <c r="J2145" s="98" t="s">
        <v>2261</v>
      </c>
      <c r="K2145" s="98" t="s">
        <v>1356</v>
      </c>
      <c r="L2145" s="105" t="str">
        <f t="shared" si="360"/>
        <v>Mill Creek</v>
      </c>
      <c r="M2145" s="105" t="str">
        <f t="shared" si="361"/>
        <v>Other</v>
      </c>
      <c r="N2145" s="105" t="str">
        <f t="shared" si="362"/>
        <v>Coal</v>
      </c>
      <c r="O2145" s="105">
        <f>IFERROR(VLOOKUP(A2145,Lookup!$J$5:$P$19,7,FALSE),0)</f>
        <v>2</v>
      </c>
      <c r="P2145" s="159">
        <f t="shared" si="363"/>
        <v>2013</v>
      </c>
      <c r="Q2145" s="159">
        <f t="shared" si="364"/>
        <v>7</v>
      </c>
      <c r="R2145" s="160">
        <f t="shared" si="365"/>
        <v>3.9999999999417923</v>
      </c>
      <c r="S2145" s="158">
        <f t="shared" si="366"/>
        <v>3.9999999999417923</v>
      </c>
      <c r="T2145" s="161">
        <f t="shared" si="367"/>
        <v>1199.9999999825377</v>
      </c>
      <c r="U2145" s="158">
        <f t="shared" si="368"/>
        <v>300</v>
      </c>
      <c r="V2145" s="160">
        <f t="shared" si="369"/>
        <v>300</v>
      </c>
    </row>
    <row r="2146" spans="1:22" x14ac:dyDescent="0.25">
      <c r="A2146" s="98" t="s">
        <v>23</v>
      </c>
      <c r="B2146" s="98" t="s">
        <v>105</v>
      </c>
      <c r="C2146" s="98">
        <v>111</v>
      </c>
      <c r="D2146" s="98">
        <v>310</v>
      </c>
      <c r="E2146" s="157">
        <v>41484.916666666664</v>
      </c>
      <c r="F2146" s="157">
        <v>41485.161111111112</v>
      </c>
      <c r="G2146" s="98">
        <v>250</v>
      </c>
      <c r="H2146" s="98">
        <v>330</v>
      </c>
      <c r="I2146" s="98">
        <v>300</v>
      </c>
      <c r="J2146" s="98" t="s">
        <v>1966</v>
      </c>
      <c r="K2146" s="98" t="s">
        <v>612</v>
      </c>
      <c r="L2146" s="105" t="str">
        <f t="shared" si="170"/>
        <v>Mill Creek</v>
      </c>
      <c r="M2146" s="105" t="str">
        <f t="shared" si="171"/>
        <v>Derate</v>
      </c>
      <c r="N2146" s="105" t="str">
        <f t="shared" si="172"/>
        <v>Coal</v>
      </c>
      <c r="O2146" s="105">
        <f>IFERROR(VLOOKUP(A2146,Lookup!$J$5:$P$19,7,FALSE),0)</f>
        <v>2</v>
      </c>
      <c r="P2146" s="159">
        <f t="shared" si="173"/>
        <v>2013</v>
      </c>
      <c r="Q2146" s="159">
        <f t="shared" si="174"/>
        <v>7</v>
      </c>
      <c r="R2146" s="160">
        <f t="shared" si="175"/>
        <v>5.8666666667559184</v>
      </c>
      <c r="S2146" s="158">
        <f t="shared" si="176"/>
        <v>1.422222222243859</v>
      </c>
      <c r="T2146" s="161">
        <f t="shared" si="177"/>
        <v>426.66666667315769</v>
      </c>
      <c r="U2146" s="158">
        <f t="shared" si="179"/>
        <v>72.727272727272734</v>
      </c>
      <c r="V2146" s="160">
        <f t="shared" si="178"/>
        <v>73</v>
      </c>
    </row>
    <row r="2147" spans="1:22" x14ac:dyDescent="0.25">
      <c r="A2147" s="98" t="s">
        <v>23</v>
      </c>
      <c r="B2147" s="98" t="s">
        <v>17</v>
      </c>
      <c r="C2147" s="98">
        <v>112</v>
      </c>
      <c r="D2147" s="98">
        <v>3415</v>
      </c>
      <c r="E2147" s="157">
        <v>41485.003472222219</v>
      </c>
      <c r="F2147" s="157">
        <v>41485.130555555559</v>
      </c>
      <c r="G2147" s="98">
        <v>190</v>
      </c>
      <c r="H2147" s="98">
        <v>330</v>
      </c>
      <c r="I2147" s="98">
        <v>300</v>
      </c>
      <c r="J2147" s="98" t="s">
        <v>2109</v>
      </c>
      <c r="K2147" s="98" t="s">
        <v>1357</v>
      </c>
      <c r="L2147" s="105" t="str">
        <f t="shared" si="170"/>
        <v>Mill Creek</v>
      </c>
      <c r="M2147" s="105" t="str">
        <f t="shared" si="171"/>
        <v>Derate</v>
      </c>
      <c r="N2147" s="105" t="str">
        <f t="shared" si="172"/>
        <v>Coal</v>
      </c>
      <c r="O2147" s="105">
        <f>IFERROR(VLOOKUP(A2147,Lookup!$J$5:$P$19,7,FALSE),0)</f>
        <v>2</v>
      </c>
      <c r="P2147" s="159">
        <f t="shared" si="173"/>
        <v>2013</v>
      </c>
      <c r="Q2147" s="159">
        <f t="shared" si="174"/>
        <v>7</v>
      </c>
      <c r="R2147" s="160">
        <f t="shared" si="175"/>
        <v>3.0500000001629815</v>
      </c>
      <c r="S2147" s="158">
        <f t="shared" si="176"/>
        <v>1.2939393940085375</v>
      </c>
      <c r="T2147" s="161">
        <f t="shared" si="177"/>
        <v>388.18181820256126</v>
      </c>
      <c r="U2147" s="158">
        <f t="shared" si="179"/>
        <v>127.27272727272727</v>
      </c>
      <c r="V2147" s="160">
        <f t="shared" si="178"/>
        <v>127</v>
      </c>
    </row>
    <row r="2148" spans="1:22" x14ac:dyDescent="0.25">
      <c r="A2148" s="98" t="s">
        <v>23</v>
      </c>
      <c r="B2148" s="98" t="s">
        <v>105</v>
      </c>
      <c r="C2148" s="98">
        <v>114</v>
      </c>
      <c r="D2148" s="98">
        <v>250</v>
      </c>
      <c r="E2148" s="157">
        <v>41485.916666666664</v>
      </c>
      <c r="F2148" s="162">
        <v>41486.15902777778</v>
      </c>
      <c r="G2148" s="98">
        <v>250</v>
      </c>
      <c r="H2148" s="98">
        <v>330</v>
      </c>
      <c r="I2148" s="98">
        <v>300</v>
      </c>
      <c r="J2148" s="98" t="s">
        <v>1978</v>
      </c>
      <c r="K2148" s="98" t="s">
        <v>1358</v>
      </c>
      <c r="L2148" s="105" t="str">
        <f t="shared" si="170"/>
        <v>Mill Creek</v>
      </c>
      <c r="M2148" s="105" t="str">
        <f t="shared" si="171"/>
        <v>Derate</v>
      </c>
      <c r="N2148" s="105" t="str">
        <f t="shared" si="172"/>
        <v>Coal</v>
      </c>
      <c r="O2148" s="105">
        <f>IFERROR(VLOOKUP(A2148,Lookup!$J$5:$P$19,7,FALSE),0)</f>
        <v>2</v>
      </c>
      <c r="P2148" s="159">
        <f t="shared" si="173"/>
        <v>2013</v>
      </c>
      <c r="Q2148" s="159">
        <f t="shared" si="174"/>
        <v>7</v>
      </c>
      <c r="R2148" s="160">
        <f t="shared" si="175"/>
        <v>5.8166666667675599</v>
      </c>
      <c r="S2148" s="158">
        <f t="shared" si="176"/>
        <v>1.4101010101254692</v>
      </c>
      <c r="T2148" s="161">
        <f t="shared" si="177"/>
        <v>423.03030303764075</v>
      </c>
      <c r="U2148" s="158">
        <f t="shared" si="179"/>
        <v>72.727272727272734</v>
      </c>
      <c r="V2148" s="160">
        <f t="shared" si="178"/>
        <v>73</v>
      </c>
    </row>
    <row r="2149" spans="1:22" x14ac:dyDescent="0.25">
      <c r="A2149" s="98" t="s">
        <v>23</v>
      </c>
      <c r="B2149" s="98" t="s">
        <v>105</v>
      </c>
      <c r="C2149" s="98">
        <v>115</v>
      </c>
      <c r="D2149" s="98">
        <v>310</v>
      </c>
      <c r="E2149" s="162">
        <v>41486.916666666664</v>
      </c>
      <c r="F2149" s="157">
        <v>41487.146527777775</v>
      </c>
      <c r="G2149" s="98">
        <v>250</v>
      </c>
      <c r="H2149" s="98">
        <v>330</v>
      </c>
      <c r="I2149" s="98">
        <v>300</v>
      </c>
      <c r="J2149" s="98" t="s">
        <v>1966</v>
      </c>
      <c r="K2149" s="98" t="s">
        <v>612</v>
      </c>
      <c r="L2149" s="105" t="str">
        <f t="shared" si="170"/>
        <v>Mill Creek</v>
      </c>
      <c r="M2149" s="105" t="str">
        <f t="shared" si="171"/>
        <v>Derate</v>
      </c>
      <c r="N2149" s="105" t="str">
        <f t="shared" si="172"/>
        <v>Coal</v>
      </c>
      <c r="O2149" s="105">
        <f>IFERROR(VLOOKUP(A2149,Lookup!$J$5:$P$19,7,FALSE),0)</f>
        <v>2</v>
      </c>
      <c r="P2149" s="159">
        <f t="shared" si="173"/>
        <v>2013</v>
      </c>
      <c r="Q2149" s="159">
        <f t="shared" si="174"/>
        <v>7</v>
      </c>
      <c r="R2149" s="160">
        <f t="shared" si="175"/>
        <v>5.5166666666627862</v>
      </c>
      <c r="S2149" s="158">
        <f t="shared" si="176"/>
        <v>1.3373737373727967</v>
      </c>
      <c r="T2149" s="161">
        <f t="shared" si="177"/>
        <v>401.21212121183902</v>
      </c>
      <c r="U2149" s="158">
        <f t="shared" si="179"/>
        <v>72.727272727272734</v>
      </c>
      <c r="V2149" s="160">
        <f t="shared" si="178"/>
        <v>73</v>
      </c>
    </row>
    <row r="2150" spans="1:22" x14ac:dyDescent="0.25">
      <c r="A2150" s="98" t="s">
        <v>23</v>
      </c>
      <c r="B2150" s="98" t="s">
        <v>105</v>
      </c>
      <c r="C2150" s="98">
        <v>116</v>
      </c>
      <c r="D2150" s="98">
        <v>310</v>
      </c>
      <c r="E2150" s="157">
        <v>41487.916666666664</v>
      </c>
      <c r="F2150" s="162">
        <v>41488.131944444445</v>
      </c>
      <c r="G2150" s="98">
        <v>250</v>
      </c>
      <c r="H2150" s="98">
        <v>330</v>
      </c>
      <c r="I2150" s="98">
        <v>300</v>
      </c>
      <c r="J2150" s="98" t="s">
        <v>1966</v>
      </c>
      <c r="K2150" s="98" t="s">
        <v>612</v>
      </c>
      <c r="L2150" s="105" t="str">
        <f t="shared" si="170"/>
        <v>Mill Creek</v>
      </c>
      <c r="M2150" s="105" t="str">
        <f t="shared" si="171"/>
        <v>Derate</v>
      </c>
      <c r="N2150" s="105" t="str">
        <f t="shared" si="172"/>
        <v>Coal</v>
      </c>
      <c r="O2150" s="105">
        <f>IFERROR(VLOOKUP(A2150,Lookup!$J$5:$P$19,7,FALSE),0)</f>
        <v>2</v>
      </c>
      <c r="P2150" s="159">
        <f t="shared" si="173"/>
        <v>2013</v>
      </c>
      <c r="Q2150" s="159">
        <f t="shared" si="174"/>
        <v>8</v>
      </c>
      <c r="R2150" s="160">
        <f t="shared" si="175"/>
        <v>5.1666666667442769</v>
      </c>
      <c r="S2150" s="158">
        <f t="shared" si="176"/>
        <v>1.2525252525440671</v>
      </c>
      <c r="T2150" s="161">
        <f t="shared" si="177"/>
        <v>375.75757576322013</v>
      </c>
      <c r="U2150" s="158">
        <f t="shared" si="179"/>
        <v>72.727272727272734</v>
      </c>
      <c r="V2150" s="160">
        <f t="shared" si="178"/>
        <v>73</v>
      </c>
    </row>
    <row r="2151" spans="1:22" x14ac:dyDescent="0.25">
      <c r="A2151" s="98" t="s">
        <v>23</v>
      </c>
      <c r="B2151" s="98" t="s">
        <v>105</v>
      </c>
      <c r="C2151" s="98">
        <v>117</v>
      </c>
      <c r="D2151" s="98">
        <v>310</v>
      </c>
      <c r="E2151" s="162">
        <v>41490.916666666664</v>
      </c>
      <c r="F2151" s="157">
        <v>41491.140972222223</v>
      </c>
      <c r="G2151" s="98">
        <v>250</v>
      </c>
      <c r="H2151" s="98">
        <v>330</v>
      </c>
      <c r="I2151" s="98">
        <v>300</v>
      </c>
      <c r="J2151" s="98" t="s">
        <v>1966</v>
      </c>
      <c r="K2151" s="98" t="s">
        <v>612</v>
      </c>
      <c r="L2151" s="105" t="str">
        <f t="shared" si="170"/>
        <v>Mill Creek</v>
      </c>
      <c r="M2151" s="105" t="str">
        <f t="shared" si="171"/>
        <v>Derate</v>
      </c>
      <c r="N2151" s="105" t="str">
        <f t="shared" si="172"/>
        <v>Coal</v>
      </c>
      <c r="O2151" s="105">
        <f>IFERROR(VLOOKUP(A2151,Lookup!$J$5:$P$19,7,FALSE),0)</f>
        <v>2</v>
      </c>
      <c r="P2151" s="159">
        <f t="shared" si="173"/>
        <v>2013</v>
      </c>
      <c r="Q2151" s="159">
        <f t="shared" si="174"/>
        <v>8</v>
      </c>
      <c r="R2151" s="160">
        <f t="shared" si="175"/>
        <v>5.3833333334187046</v>
      </c>
      <c r="S2151" s="158">
        <f t="shared" si="176"/>
        <v>1.3050505050712011</v>
      </c>
      <c r="T2151" s="161">
        <f t="shared" si="177"/>
        <v>391.51515152136034</v>
      </c>
      <c r="U2151" s="158">
        <f t="shared" si="179"/>
        <v>72.727272727272734</v>
      </c>
      <c r="V2151" s="160">
        <f t="shared" si="178"/>
        <v>73</v>
      </c>
    </row>
    <row r="2152" spans="1:22" x14ac:dyDescent="0.25">
      <c r="A2152" s="98" t="s">
        <v>23</v>
      </c>
      <c r="B2152" s="98" t="s">
        <v>105</v>
      </c>
      <c r="C2152" s="98">
        <v>118</v>
      </c>
      <c r="D2152" s="98">
        <v>310</v>
      </c>
      <c r="E2152" s="157">
        <v>41491.916666666664</v>
      </c>
      <c r="F2152" s="157">
        <v>41492.170138888891</v>
      </c>
      <c r="G2152" s="98">
        <v>250</v>
      </c>
      <c r="H2152" s="98">
        <v>330</v>
      </c>
      <c r="I2152" s="98">
        <v>300</v>
      </c>
      <c r="J2152" s="98" t="s">
        <v>1966</v>
      </c>
      <c r="K2152" s="98" t="s">
        <v>610</v>
      </c>
      <c r="L2152" s="105" t="str">
        <f t="shared" ref="L2152:L2215" si="370">IF(OR(A2152="BR1",A2152="BR2",A2152="BR3",A2152="BR5",A2152="BR6",A2152="BR7",A2152="BR8",A2152="BR9",A2152="BR10",A2152="BR11"),"Brown",IF(OR(A2152="CR4",A2152="CR5",A2152="CR6",A2152="CR11"),"Cane Run",IF(OR(A2152="GH1",A2152="GH2",A2152="GH3",A2152="GH4"),"Ghent",IF(OR(A2152="GR3",A2152="GR4"),"Green River",IF(OR(A2152="MC1",A2152="MC2",A2152="MC3",A2152="MC4"),"Mill Creek",IF(OR(A2152="TC1",A2152="TC2",A2152="TC5",A2152="TC6",A2152="TC7",A2152="TC8",A2152="TC9",A2152="TC10"),"Trimble",IF(A2152="TY3","Tyrone",IF(OR(A2152="HA1",A2152="HA2",A2152="HA3"),"Haeflin",IF(OR(A2152="PR11",A2152="PR12",A2152="PR13"),"Paddy's Run","Zorn")))))))))</f>
        <v>Mill Creek</v>
      </c>
      <c r="M2152" s="105" t="str">
        <f t="shared" ref="M2152:M2215" si="371">IF(OR(B2152="D1",B2152="D2",B2152="D3",B2152="D4",B2152="PD"),"Derate",IF(OR(B2152="SF",B2152="U1",B2152="U2",B2152="U3"),"Outage",IF(OR(B2152="ME",B2152="MO"),"Maintenance","Other")))</f>
        <v>Derate</v>
      </c>
      <c r="N2152" s="105" t="str">
        <f t="shared" ref="N2152:N2215" si="372">IF(OR(A2152="BR1",A2152="BR2",A2152="BR3",A2152="CR4",A2152="CR5",A2152="CR6",A2152="GH1",A2152="GH2",A2152="GH3",A2152="GH4",A2152="GR3",A2152="GR4",A2152="MC1",A2152="MC2",A2152="MC3",A2152="MC4",A2152="TC1",A2152="TC2",A2152="TY3"),"Coal","Gas")</f>
        <v>Coal</v>
      </c>
      <c r="O2152" s="105">
        <f>IFERROR(VLOOKUP(A2152,Lookup!$J$5:$P$19,7,FALSE),0)</f>
        <v>2</v>
      </c>
      <c r="P2152" s="159">
        <f t="shared" ref="P2152:P2215" si="373">YEAR(E2152)</f>
        <v>2013</v>
      </c>
      <c r="Q2152" s="159">
        <f t="shared" ref="Q2152:Q2215" si="374">MONTH(E2152)</f>
        <v>8</v>
      </c>
      <c r="R2152" s="160">
        <f t="shared" ref="R2152:R2215" si="375">(F2152-E2152)*24</f>
        <v>6.0833333334303461</v>
      </c>
      <c r="S2152" s="158">
        <f t="shared" ref="S2152:S2215" si="376">R2152*(H2152-G2152)/H2152</f>
        <v>1.474747474770993</v>
      </c>
      <c r="T2152" s="161">
        <f t="shared" ref="T2152:T2215" si="377">S2152*I2152</f>
        <v>442.4242424312979</v>
      </c>
      <c r="U2152" s="158">
        <f t="shared" si="179"/>
        <v>72.727272727272734</v>
      </c>
      <c r="V2152" s="160">
        <f t="shared" ref="V2152:V2215" si="378">ROUND(U2152,0)</f>
        <v>73</v>
      </c>
    </row>
    <row r="2153" spans="1:22" x14ac:dyDescent="0.25">
      <c r="A2153" s="98" t="s">
        <v>23</v>
      </c>
      <c r="B2153" s="98" t="s">
        <v>105</v>
      </c>
      <c r="C2153" s="98">
        <v>119</v>
      </c>
      <c r="D2153" s="98">
        <v>310</v>
      </c>
      <c r="E2153" s="157">
        <v>41492.916666666664</v>
      </c>
      <c r="F2153" s="157">
        <v>41493.166666666664</v>
      </c>
      <c r="G2153" s="98">
        <v>240</v>
      </c>
      <c r="H2153" s="98">
        <v>330</v>
      </c>
      <c r="I2153" s="98">
        <v>300</v>
      </c>
      <c r="J2153" s="98" t="s">
        <v>1966</v>
      </c>
      <c r="K2153" s="98" t="s">
        <v>610</v>
      </c>
      <c r="L2153" s="105" t="str">
        <f t="shared" si="370"/>
        <v>Mill Creek</v>
      </c>
      <c r="M2153" s="105" t="str">
        <f t="shared" si="371"/>
        <v>Derate</v>
      </c>
      <c r="N2153" s="105" t="str">
        <f t="shared" si="372"/>
        <v>Coal</v>
      </c>
      <c r="O2153" s="105">
        <f>IFERROR(VLOOKUP(A2153,Lookup!$J$5:$P$19,7,FALSE),0)</f>
        <v>2</v>
      </c>
      <c r="P2153" s="159">
        <f t="shared" si="373"/>
        <v>2013</v>
      </c>
      <c r="Q2153" s="159">
        <f t="shared" si="374"/>
        <v>8</v>
      </c>
      <c r="R2153" s="160">
        <f t="shared" si="375"/>
        <v>6</v>
      </c>
      <c r="S2153" s="158">
        <f t="shared" si="376"/>
        <v>1.6363636363636365</v>
      </c>
      <c r="T2153" s="161">
        <f t="shared" si="377"/>
        <v>490.90909090909093</v>
      </c>
      <c r="U2153" s="158">
        <f t="shared" ref="U2153:U2216" si="379">IF(G2153&gt;0,MAX((H2153-G2153),0)*I2153/H2153,I2153)</f>
        <v>81.818181818181813</v>
      </c>
      <c r="V2153" s="160">
        <f t="shared" si="378"/>
        <v>82</v>
      </c>
    </row>
    <row r="2154" spans="1:22" x14ac:dyDescent="0.25">
      <c r="A2154" s="98" t="s">
        <v>23</v>
      </c>
      <c r="B2154" s="98" t="s">
        <v>105</v>
      </c>
      <c r="C2154" s="98">
        <v>120</v>
      </c>
      <c r="D2154" s="98">
        <v>310</v>
      </c>
      <c r="E2154" s="157">
        <v>41493.916666666664</v>
      </c>
      <c r="F2154" s="157">
        <v>41494.15902777778</v>
      </c>
      <c r="G2154" s="98">
        <v>250</v>
      </c>
      <c r="H2154" s="98">
        <v>330</v>
      </c>
      <c r="I2154" s="98">
        <v>300</v>
      </c>
      <c r="J2154" s="98" t="s">
        <v>1966</v>
      </c>
      <c r="K2154" s="98" t="s">
        <v>610</v>
      </c>
      <c r="L2154" s="105" t="str">
        <f t="shared" si="370"/>
        <v>Mill Creek</v>
      </c>
      <c r="M2154" s="105" t="str">
        <f t="shared" si="371"/>
        <v>Derate</v>
      </c>
      <c r="N2154" s="105" t="str">
        <f t="shared" si="372"/>
        <v>Coal</v>
      </c>
      <c r="O2154" s="105">
        <f>IFERROR(VLOOKUP(A2154,Lookup!$J$5:$P$19,7,FALSE),0)</f>
        <v>2</v>
      </c>
      <c r="P2154" s="159">
        <f t="shared" si="373"/>
        <v>2013</v>
      </c>
      <c r="Q2154" s="159">
        <f t="shared" si="374"/>
        <v>8</v>
      </c>
      <c r="R2154" s="160">
        <f t="shared" si="375"/>
        <v>5.8166666667675599</v>
      </c>
      <c r="S2154" s="158">
        <f t="shared" si="376"/>
        <v>1.4101010101254692</v>
      </c>
      <c r="T2154" s="161">
        <f t="shared" si="377"/>
        <v>423.03030303764075</v>
      </c>
      <c r="U2154" s="158">
        <f t="shared" si="379"/>
        <v>72.727272727272734</v>
      </c>
      <c r="V2154" s="160">
        <f t="shared" si="378"/>
        <v>73</v>
      </c>
    </row>
    <row r="2155" spans="1:22" x14ac:dyDescent="0.25">
      <c r="A2155" s="98" t="s">
        <v>23</v>
      </c>
      <c r="B2155" s="98" t="s">
        <v>17</v>
      </c>
      <c r="C2155" s="98">
        <v>121</v>
      </c>
      <c r="D2155" s="98">
        <v>30</v>
      </c>
      <c r="E2155" s="157">
        <v>41501.59375</v>
      </c>
      <c r="F2155" s="157">
        <v>41501.731944444444</v>
      </c>
      <c r="G2155" s="98">
        <v>230</v>
      </c>
      <c r="H2155" s="98">
        <v>330</v>
      </c>
      <c r="I2155" s="98">
        <v>300</v>
      </c>
      <c r="J2155" s="98" t="s">
        <v>2125</v>
      </c>
      <c r="K2155" s="98" t="s">
        <v>1359</v>
      </c>
      <c r="L2155" s="105" t="str">
        <f t="shared" si="370"/>
        <v>Mill Creek</v>
      </c>
      <c r="M2155" s="105" t="str">
        <f t="shared" si="371"/>
        <v>Derate</v>
      </c>
      <c r="N2155" s="105" t="str">
        <f t="shared" si="372"/>
        <v>Coal</v>
      </c>
      <c r="O2155" s="105">
        <f>IFERROR(VLOOKUP(A2155,Lookup!$J$5:$P$19,7,FALSE),0)</f>
        <v>2</v>
      </c>
      <c r="P2155" s="159">
        <f t="shared" si="373"/>
        <v>2013</v>
      </c>
      <c r="Q2155" s="159">
        <f t="shared" si="374"/>
        <v>8</v>
      </c>
      <c r="R2155" s="160">
        <f t="shared" si="375"/>
        <v>3.3166666666511446</v>
      </c>
      <c r="S2155" s="158">
        <f t="shared" si="376"/>
        <v>1.0050505050458014</v>
      </c>
      <c r="T2155" s="161">
        <f t="shared" si="377"/>
        <v>301.51515151374042</v>
      </c>
      <c r="U2155" s="158">
        <f t="shared" si="379"/>
        <v>90.909090909090907</v>
      </c>
      <c r="V2155" s="160">
        <f t="shared" si="378"/>
        <v>91</v>
      </c>
    </row>
    <row r="2156" spans="1:22" x14ac:dyDescent="0.25">
      <c r="A2156" s="98" t="s">
        <v>23</v>
      </c>
      <c r="B2156" s="98" t="s">
        <v>105</v>
      </c>
      <c r="C2156" s="98">
        <v>122</v>
      </c>
      <c r="D2156" s="98">
        <v>360</v>
      </c>
      <c r="E2156" s="157">
        <v>41505.895833333336</v>
      </c>
      <c r="F2156" s="157">
        <v>41505.954861111109</v>
      </c>
      <c r="G2156" s="98">
        <v>250</v>
      </c>
      <c r="H2156" s="98">
        <v>330</v>
      </c>
      <c r="I2156" s="98">
        <v>300</v>
      </c>
      <c r="J2156" s="98" t="s">
        <v>229</v>
      </c>
      <c r="K2156" s="98" t="s">
        <v>1360</v>
      </c>
      <c r="L2156" s="105" t="str">
        <f t="shared" si="370"/>
        <v>Mill Creek</v>
      </c>
      <c r="M2156" s="105" t="str">
        <f t="shared" si="371"/>
        <v>Derate</v>
      </c>
      <c r="N2156" s="105" t="str">
        <f t="shared" si="372"/>
        <v>Coal</v>
      </c>
      <c r="O2156" s="105">
        <f>IFERROR(VLOOKUP(A2156,Lookup!$J$5:$P$19,7,FALSE),0)</f>
        <v>2</v>
      </c>
      <c r="P2156" s="159">
        <f t="shared" si="373"/>
        <v>2013</v>
      </c>
      <c r="Q2156" s="159">
        <f t="shared" si="374"/>
        <v>8</v>
      </c>
      <c r="R2156" s="160">
        <f t="shared" si="375"/>
        <v>1.4166666665696539</v>
      </c>
      <c r="S2156" s="158">
        <f t="shared" si="376"/>
        <v>0.34343434341082518</v>
      </c>
      <c r="T2156" s="161">
        <f t="shared" si="377"/>
        <v>103.03030302324755</v>
      </c>
      <c r="U2156" s="158">
        <f t="shared" si="379"/>
        <v>72.727272727272734</v>
      </c>
      <c r="V2156" s="160">
        <f t="shared" si="378"/>
        <v>73</v>
      </c>
    </row>
    <row r="2157" spans="1:22" x14ac:dyDescent="0.25">
      <c r="A2157" s="98" t="s">
        <v>23</v>
      </c>
      <c r="B2157" s="98" t="s">
        <v>105</v>
      </c>
      <c r="C2157" s="98">
        <v>123</v>
      </c>
      <c r="D2157" s="98">
        <v>250</v>
      </c>
      <c r="E2157" s="162">
        <v>41511.916666666664</v>
      </c>
      <c r="F2157" s="157">
        <v>41512.158333333333</v>
      </c>
      <c r="G2157" s="98">
        <v>250</v>
      </c>
      <c r="H2157" s="98">
        <v>330</v>
      </c>
      <c r="I2157" s="98">
        <v>300</v>
      </c>
      <c r="J2157" s="98" t="s">
        <v>1978</v>
      </c>
      <c r="K2157" s="98" t="s">
        <v>1361</v>
      </c>
      <c r="L2157" s="105" t="str">
        <f t="shared" si="370"/>
        <v>Mill Creek</v>
      </c>
      <c r="M2157" s="105" t="str">
        <f t="shared" si="371"/>
        <v>Derate</v>
      </c>
      <c r="N2157" s="105" t="str">
        <f t="shared" si="372"/>
        <v>Coal</v>
      </c>
      <c r="O2157" s="105">
        <f>IFERROR(VLOOKUP(A2157,Lookup!$J$5:$P$19,7,FALSE),0)</f>
        <v>2</v>
      </c>
      <c r="P2157" s="159">
        <f t="shared" si="373"/>
        <v>2013</v>
      </c>
      <c r="Q2157" s="159">
        <f t="shared" si="374"/>
        <v>8</v>
      </c>
      <c r="R2157" s="160">
        <f t="shared" si="375"/>
        <v>5.8000000000465661</v>
      </c>
      <c r="S2157" s="158">
        <f t="shared" si="376"/>
        <v>1.4060606060718948</v>
      </c>
      <c r="T2157" s="161">
        <f t="shared" si="377"/>
        <v>421.81818182156843</v>
      </c>
      <c r="U2157" s="158">
        <f t="shared" si="379"/>
        <v>72.727272727272734</v>
      </c>
      <c r="V2157" s="160">
        <f t="shared" si="378"/>
        <v>73</v>
      </c>
    </row>
    <row r="2158" spans="1:22" x14ac:dyDescent="0.25">
      <c r="A2158" s="98" t="s">
        <v>23</v>
      </c>
      <c r="B2158" s="98" t="s">
        <v>105</v>
      </c>
      <c r="C2158" s="98">
        <v>124</v>
      </c>
      <c r="D2158" s="98">
        <v>360</v>
      </c>
      <c r="E2158" s="157">
        <v>41515.927083333336</v>
      </c>
      <c r="F2158" s="157">
        <v>41516.215277777781</v>
      </c>
      <c r="G2158" s="98">
        <v>250</v>
      </c>
      <c r="H2158" s="98">
        <v>330</v>
      </c>
      <c r="I2158" s="98">
        <v>300</v>
      </c>
      <c r="J2158" s="98" t="s">
        <v>229</v>
      </c>
      <c r="K2158" s="98" t="s">
        <v>1362</v>
      </c>
      <c r="L2158" s="105" t="str">
        <f t="shared" si="370"/>
        <v>Mill Creek</v>
      </c>
      <c r="M2158" s="105" t="str">
        <f t="shared" si="371"/>
        <v>Derate</v>
      </c>
      <c r="N2158" s="105" t="str">
        <f t="shared" si="372"/>
        <v>Coal</v>
      </c>
      <c r="O2158" s="105">
        <f>IFERROR(VLOOKUP(A2158,Lookup!$J$5:$P$19,7,FALSE),0)</f>
        <v>2</v>
      </c>
      <c r="P2158" s="159">
        <f t="shared" si="373"/>
        <v>2013</v>
      </c>
      <c r="Q2158" s="159">
        <f t="shared" si="374"/>
        <v>8</v>
      </c>
      <c r="R2158" s="160">
        <f t="shared" si="375"/>
        <v>6.9166666666860692</v>
      </c>
      <c r="S2158" s="158">
        <f t="shared" si="376"/>
        <v>1.6767676767723805</v>
      </c>
      <c r="T2158" s="161">
        <f t="shared" si="377"/>
        <v>503.03030303171414</v>
      </c>
      <c r="U2158" s="158">
        <f t="shared" si="379"/>
        <v>72.727272727272734</v>
      </c>
      <c r="V2158" s="160">
        <f t="shared" si="378"/>
        <v>73</v>
      </c>
    </row>
    <row r="2159" spans="1:22" x14ac:dyDescent="0.25">
      <c r="A2159" s="98" t="s">
        <v>23</v>
      </c>
      <c r="B2159" s="98" t="s">
        <v>17</v>
      </c>
      <c r="C2159" s="98">
        <v>125</v>
      </c>
      <c r="D2159" s="98">
        <v>250</v>
      </c>
      <c r="E2159" s="157">
        <v>41516.689583333333</v>
      </c>
      <c r="F2159" s="157">
        <v>41516.958333333336</v>
      </c>
      <c r="G2159" s="98">
        <v>300</v>
      </c>
      <c r="H2159" s="98">
        <v>330</v>
      </c>
      <c r="I2159" s="98">
        <v>300</v>
      </c>
      <c r="J2159" s="98" t="s">
        <v>1978</v>
      </c>
      <c r="K2159" s="98" t="s">
        <v>1363</v>
      </c>
      <c r="L2159" s="105" t="str">
        <f t="shared" si="370"/>
        <v>Mill Creek</v>
      </c>
      <c r="M2159" s="105" t="str">
        <f t="shared" si="371"/>
        <v>Derate</v>
      </c>
      <c r="N2159" s="105" t="str">
        <f t="shared" si="372"/>
        <v>Coal</v>
      </c>
      <c r="O2159" s="105">
        <f>IFERROR(VLOOKUP(A2159,Lookup!$J$5:$P$19,7,FALSE),0)</f>
        <v>2</v>
      </c>
      <c r="P2159" s="159">
        <f t="shared" si="373"/>
        <v>2013</v>
      </c>
      <c r="Q2159" s="159">
        <f t="shared" si="374"/>
        <v>8</v>
      </c>
      <c r="R2159" s="160">
        <f t="shared" si="375"/>
        <v>6.4500000000698492</v>
      </c>
      <c r="S2159" s="158">
        <f t="shared" si="376"/>
        <v>0.58636363636998634</v>
      </c>
      <c r="T2159" s="161">
        <f t="shared" si="377"/>
        <v>175.9090909109959</v>
      </c>
      <c r="U2159" s="158">
        <f t="shared" si="379"/>
        <v>27.272727272727273</v>
      </c>
      <c r="V2159" s="160">
        <f t="shared" si="378"/>
        <v>27</v>
      </c>
    </row>
    <row r="2160" spans="1:22" x14ac:dyDescent="0.25">
      <c r="A2160" s="98" t="s">
        <v>23</v>
      </c>
      <c r="B2160" s="98" t="s">
        <v>105</v>
      </c>
      <c r="C2160" s="98">
        <v>126</v>
      </c>
      <c r="D2160" s="98">
        <v>250</v>
      </c>
      <c r="E2160" s="157">
        <v>41516.958333333336</v>
      </c>
      <c r="F2160" s="157">
        <v>41517.160416666666</v>
      </c>
      <c r="G2160" s="98">
        <v>125</v>
      </c>
      <c r="H2160" s="98">
        <v>330</v>
      </c>
      <c r="I2160" s="98">
        <v>300</v>
      </c>
      <c r="J2160" s="98" t="s">
        <v>1978</v>
      </c>
      <c r="K2160" s="98" t="s">
        <v>1364</v>
      </c>
      <c r="L2160" s="105" t="str">
        <f t="shared" si="370"/>
        <v>Mill Creek</v>
      </c>
      <c r="M2160" s="105" t="str">
        <f t="shared" si="371"/>
        <v>Derate</v>
      </c>
      <c r="N2160" s="105" t="str">
        <f t="shared" si="372"/>
        <v>Coal</v>
      </c>
      <c r="O2160" s="105">
        <f>IFERROR(VLOOKUP(A2160,Lookup!$J$5:$P$19,7,FALSE),0)</f>
        <v>2</v>
      </c>
      <c r="P2160" s="159">
        <f t="shared" si="373"/>
        <v>2013</v>
      </c>
      <c r="Q2160" s="159">
        <f t="shared" si="374"/>
        <v>8</v>
      </c>
      <c r="R2160" s="160">
        <f t="shared" si="375"/>
        <v>4.8499999999185093</v>
      </c>
      <c r="S2160" s="158">
        <f t="shared" si="376"/>
        <v>3.0128787878281647</v>
      </c>
      <c r="T2160" s="161">
        <f t="shared" si="377"/>
        <v>903.8636363484494</v>
      </c>
      <c r="U2160" s="158">
        <f t="shared" si="379"/>
        <v>186.36363636363637</v>
      </c>
      <c r="V2160" s="160">
        <f t="shared" si="378"/>
        <v>186</v>
      </c>
    </row>
    <row r="2161" spans="1:22" x14ac:dyDescent="0.25">
      <c r="A2161" s="98" t="s">
        <v>23</v>
      </c>
      <c r="B2161" s="98" t="s">
        <v>105</v>
      </c>
      <c r="C2161" s="98">
        <v>127</v>
      </c>
      <c r="D2161" s="98">
        <v>250</v>
      </c>
      <c r="E2161" s="157">
        <v>41517.160416666666</v>
      </c>
      <c r="F2161" s="157">
        <v>41517.188888888886</v>
      </c>
      <c r="G2161" s="98">
        <v>240</v>
      </c>
      <c r="H2161" s="98">
        <v>330</v>
      </c>
      <c r="I2161" s="98">
        <v>300</v>
      </c>
      <c r="J2161" s="98" t="s">
        <v>1978</v>
      </c>
      <c r="K2161" s="98" t="s">
        <v>1365</v>
      </c>
      <c r="L2161" s="105" t="str">
        <f t="shared" si="370"/>
        <v>Mill Creek</v>
      </c>
      <c r="M2161" s="105" t="str">
        <f t="shared" si="371"/>
        <v>Derate</v>
      </c>
      <c r="N2161" s="105" t="str">
        <f t="shared" si="372"/>
        <v>Coal</v>
      </c>
      <c r="O2161" s="105">
        <f>IFERROR(VLOOKUP(A2161,Lookup!$J$5:$P$19,7,FALSE),0)</f>
        <v>2</v>
      </c>
      <c r="P2161" s="159">
        <f t="shared" si="373"/>
        <v>2013</v>
      </c>
      <c r="Q2161" s="159">
        <f t="shared" si="374"/>
        <v>8</v>
      </c>
      <c r="R2161" s="160">
        <f t="shared" si="375"/>
        <v>0.68333333329064772</v>
      </c>
      <c r="S2161" s="158">
        <f t="shared" si="376"/>
        <v>0.18636363635199482</v>
      </c>
      <c r="T2161" s="161">
        <f t="shared" si="377"/>
        <v>55.909090905598447</v>
      </c>
      <c r="U2161" s="158">
        <f t="shared" si="379"/>
        <v>81.818181818181813</v>
      </c>
      <c r="V2161" s="160">
        <f t="shared" si="378"/>
        <v>82</v>
      </c>
    </row>
    <row r="2162" spans="1:22" x14ac:dyDescent="0.25">
      <c r="A2162" s="98" t="s">
        <v>23</v>
      </c>
      <c r="B2162" s="98" t="s">
        <v>17</v>
      </c>
      <c r="C2162" s="98">
        <v>128</v>
      </c>
      <c r="D2162" s="98">
        <v>250</v>
      </c>
      <c r="E2162" s="157">
        <v>41518.618055555555</v>
      </c>
      <c r="F2162" s="157">
        <v>41518.886805555558</v>
      </c>
      <c r="G2162" s="98">
        <v>304</v>
      </c>
      <c r="H2162" s="98">
        <v>330</v>
      </c>
      <c r="I2162" s="98">
        <v>300</v>
      </c>
      <c r="J2162" s="98" t="s">
        <v>1978</v>
      </c>
      <c r="K2162" s="98" t="s">
        <v>1366</v>
      </c>
      <c r="L2162" s="105" t="str">
        <f t="shared" si="370"/>
        <v>Mill Creek</v>
      </c>
      <c r="M2162" s="105" t="str">
        <f t="shared" si="371"/>
        <v>Derate</v>
      </c>
      <c r="N2162" s="105" t="str">
        <f t="shared" si="372"/>
        <v>Coal</v>
      </c>
      <c r="O2162" s="105">
        <f>IFERROR(VLOOKUP(A2162,Lookup!$J$5:$P$19,7,FALSE),0)</f>
        <v>2</v>
      </c>
      <c r="P2162" s="159">
        <f t="shared" si="373"/>
        <v>2013</v>
      </c>
      <c r="Q2162" s="159">
        <f t="shared" si="374"/>
        <v>9</v>
      </c>
      <c r="R2162" s="160">
        <f t="shared" si="375"/>
        <v>6.4500000000698492</v>
      </c>
      <c r="S2162" s="158">
        <f t="shared" si="376"/>
        <v>0.50818181818732144</v>
      </c>
      <c r="T2162" s="161">
        <f t="shared" si="377"/>
        <v>152.45454545619643</v>
      </c>
      <c r="U2162" s="158">
        <f t="shared" si="379"/>
        <v>23.636363636363637</v>
      </c>
      <c r="V2162" s="160">
        <f t="shared" si="378"/>
        <v>24</v>
      </c>
    </row>
    <row r="2163" spans="1:22" x14ac:dyDescent="0.25">
      <c r="A2163" s="98" t="s">
        <v>23</v>
      </c>
      <c r="B2163" s="98" t="s">
        <v>17</v>
      </c>
      <c r="C2163" s="98">
        <v>129</v>
      </c>
      <c r="D2163" s="98">
        <v>8260</v>
      </c>
      <c r="E2163" s="157">
        <v>41523.755555555559</v>
      </c>
      <c r="F2163" s="157">
        <v>41523.78125</v>
      </c>
      <c r="G2163" s="98">
        <v>150</v>
      </c>
      <c r="H2163" s="98">
        <v>330</v>
      </c>
      <c r="I2163" s="98">
        <v>300</v>
      </c>
      <c r="J2163" s="98" t="s">
        <v>2248</v>
      </c>
      <c r="K2163" s="98" t="s">
        <v>1367</v>
      </c>
      <c r="L2163" s="105" t="str">
        <f t="shared" si="370"/>
        <v>Mill Creek</v>
      </c>
      <c r="M2163" s="105" t="str">
        <f t="shared" si="371"/>
        <v>Derate</v>
      </c>
      <c r="N2163" s="105" t="str">
        <f t="shared" si="372"/>
        <v>Coal</v>
      </c>
      <c r="O2163" s="105">
        <f>IFERROR(VLOOKUP(A2163,Lookup!$J$5:$P$19,7,FALSE),0)</f>
        <v>2</v>
      </c>
      <c r="P2163" s="159">
        <f t="shared" si="373"/>
        <v>2013</v>
      </c>
      <c r="Q2163" s="159">
        <f t="shared" si="374"/>
        <v>9</v>
      </c>
      <c r="R2163" s="160">
        <f t="shared" si="375"/>
        <v>0.61666666658129543</v>
      </c>
      <c r="S2163" s="158">
        <f t="shared" si="376"/>
        <v>0.33636363631707022</v>
      </c>
      <c r="T2163" s="161">
        <f t="shared" si="377"/>
        <v>100.90909089512107</v>
      </c>
      <c r="U2163" s="158">
        <f t="shared" si="379"/>
        <v>163.63636363636363</v>
      </c>
      <c r="V2163" s="160">
        <f t="shared" si="378"/>
        <v>164</v>
      </c>
    </row>
    <row r="2164" spans="1:22" x14ac:dyDescent="0.25">
      <c r="A2164" s="98" t="s">
        <v>23</v>
      </c>
      <c r="B2164" s="98" t="s">
        <v>17</v>
      </c>
      <c r="C2164" s="98">
        <v>130</v>
      </c>
      <c r="D2164" s="98">
        <v>8260</v>
      </c>
      <c r="E2164" s="162">
        <v>41523.78125</v>
      </c>
      <c r="F2164" s="157">
        <v>41523.916666666664</v>
      </c>
      <c r="G2164" s="98">
        <v>215</v>
      </c>
      <c r="H2164" s="98">
        <v>330</v>
      </c>
      <c r="I2164" s="98">
        <v>300</v>
      </c>
      <c r="J2164" s="98" t="s">
        <v>2248</v>
      </c>
      <c r="K2164" s="98" t="s">
        <v>1368</v>
      </c>
      <c r="L2164" s="105" t="str">
        <f t="shared" si="370"/>
        <v>Mill Creek</v>
      </c>
      <c r="M2164" s="105" t="str">
        <f t="shared" si="371"/>
        <v>Derate</v>
      </c>
      <c r="N2164" s="105" t="str">
        <f t="shared" si="372"/>
        <v>Coal</v>
      </c>
      <c r="O2164" s="105">
        <f>IFERROR(VLOOKUP(A2164,Lookup!$J$5:$P$19,7,FALSE),0)</f>
        <v>2</v>
      </c>
      <c r="P2164" s="159">
        <f t="shared" si="373"/>
        <v>2013</v>
      </c>
      <c r="Q2164" s="159">
        <f t="shared" si="374"/>
        <v>9</v>
      </c>
      <c r="R2164" s="160">
        <f t="shared" si="375"/>
        <v>3.2499999999417923</v>
      </c>
      <c r="S2164" s="158">
        <f t="shared" si="376"/>
        <v>1.1325757575554731</v>
      </c>
      <c r="T2164" s="161">
        <f t="shared" si="377"/>
        <v>339.77272726664194</v>
      </c>
      <c r="U2164" s="158">
        <f t="shared" si="379"/>
        <v>104.54545454545455</v>
      </c>
      <c r="V2164" s="160">
        <f t="shared" si="378"/>
        <v>105</v>
      </c>
    </row>
    <row r="2165" spans="1:22" x14ac:dyDescent="0.25">
      <c r="A2165" s="98" t="s">
        <v>23</v>
      </c>
      <c r="B2165" s="98" t="s">
        <v>105</v>
      </c>
      <c r="C2165" s="98">
        <v>131</v>
      </c>
      <c r="D2165" s="98">
        <v>250</v>
      </c>
      <c r="E2165" s="157">
        <v>41532.864583333336</v>
      </c>
      <c r="F2165" s="157">
        <v>41533.135416666664</v>
      </c>
      <c r="G2165" s="98">
        <v>250</v>
      </c>
      <c r="H2165" s="98">
        <v>330</v>
      </c>
      <c r="I2165" s="98">
        <v>300</v>
      </c>
      <c r="J2165" s="98" t="s">
        <v>1978</v>
      </c>
      <c r="K2165" s="98" t="s">
        <v>70</v>
      </c>
      <c r="L2165" s="105" t="str">
        <f t="shared" si="370"/>
        <v>Mill Creek</v>
      </c>
      <c r="M2165" s="105" t="str">
        <f t="shared" si="371"/>
        <v>Derate</v>
      </c>
      <c r="N2165" s="105" t="str">
        <f t="shared" si="372"/>
        <v>Coal</v>
      </c>
      <c r="O2165" s="105">
        <f>IFERROR(VLOOKUP(A2165,Lookup!$J$5:$P$19,7,FALSE),0)</f>
        <v>2</v>
      </c>
      <c r="P2165" s="159">
        <f t="shared" si="373"/>
        <v>2013</v>
      </c>
      <c r="Q2165" s="159">
        <f t="shared" si="374"/>
        <v>9</v>
      </c>
      <c r="R2165" s="160">
        <f t="shared" si="375"/>
        <v>6.4999999998835847</v>
      </c>
      <c r="S2165" s="158">
        <f t="shared" si="376"/>
        <v>1.5757575757293538</v>
      </c>
      <c r="T2165" s="161">
        <f t="shared" si="377"/>
        <v>472.72727271880615</v>
      </c>
      <c r="U2165" s="158">
        <f t="shared" si="379"/>
        <v>72.727272727272734</v>
      </c>
      <c r="V2165" s="160">
        <f t="shared" si="378"/>
        <v>73</v>
      </c>
    </row>
    <row r="2166" spans="1:22" x14ac:dyDescent="0.25">
      <c r="A2166" s="98" t="s">
        <v>23</v>
      </c>
      <c r="B2166" s="98" t="s">
        <v>105</v>
      </c>
      <c r="C2166" s="98">
        <v>132</v>
      </c>
      <c r="D2166" s="98">
        <v>310</v>
      </c>
      <c r="E2166" s="157">
        <v>41533.84375</v>
      </c>
      <c r="F2166" s="157">
        <v>41534.013888888891</v>
      </c>
      <c r="G2166" s="98">
        <v>250</v>
      </c>
      <c r="H2166" s="98">
        <v>330</v>
      </c>
      <c r="I2166" s="98">
        <v>300</v>
      </c>
      <c r="J2166" s="98" t="s">
        <v>1966</v>
      </c>
      <c r="K2166" s="98" t="s">
        <v>1369</v>
      </c>
      <c r="L2166" s="105" t="str">
        <f t="shared" si="370"/>
        <v>Mill Creek</v>
      </c>
      <c r="M2166" s="105" t="str">
        <f t="shared" si="371"/>
        <v>Derate</v>
      </c>
      <c r="N2166" s="105" t="str">
        <f t="shared" si="372"/>
        <v>Coal</v>
      </c>
      <c r="O2166" s="105">
        <f>IFERROR(VLOOKUP(A2166,Lookup!$J$5:$P$19,7,FALSE),0)</f>
        <v>2</v>
      </c>
      <c r="P2166" s="159">
        <f t="shared" si="373"/>
        <v>2013</v>
      </c>
      <c r="Q2166" s="159">
        <f t="shared" si="374"/>
        <v>9</v>
      </c>
      <c r="R2166" s="160">
        <f t="shared" si="375"/>
        <v>4.0833333333721384</v>
      </c>
      <c r="S2166" s="158">
        <f t="shared" si="376"/>
        <v>0.9898989899083972</v>
      </c>
      <c r="T2166" s="161">
        <f t="shared" si="377"/>
        <v>296.96969697251916</v>
      </c>
      <c r="U2166" s="158">
        <f t="shared" si="379"/>
        <v>72.727272727272734</v>
      </c>
      <c r="V2166" s="160">
        <f t="shared" si="378"/>
        <v>73</v>
      </c>
    </row>
    <row r="2167" spans="1:22" x14ac:dyDescent="0.25">
      <c r="A2167" s="98" t="s">
        <v>23</v>
      </c>
      <c r="B2167" s="98" t="s">
        <v>105</v>
      </c>
      <c r="C2167" s="98">
        <v>133</v>
      </c>
      <c r="D2167" s="98">
        <v>250</v>
      </c>
      <c r="E2167" s="157">
        <v>41534.916666666664</v>
      </c>
      <c r="F2167" s="157">
        <v>41535.145833333336</v>
      </c>
      <c r="G2167" s="98">
        <v>250</v>
      </c>
      <c r="H2167" s="98">
        <v>330</v>
      </c>
      <c r="I2167" s="98">
        <v>300</v>
      </c>
      <c r="J2167" s="98" t="s">
        <v>1978</v>
      </c>
      <c r="K2167" s="98" t="s">
        <v>566</v>
      </c>
      <c r="L2167" s="105" t="str">
        <f t="shared" si="370"/>
        <v>Mill Creek</v>
      </c>
      <c r="M2167" s="105" t="str">
        <f t="shared" si="371"/>
        <v>Derate</v>
      </c>
      <c r="N2167" s="105" t="str">
        <f t="shared" si="372"/>
        <v>Coal</v>
      </c>
      <c r="O2167" s="105">
        <f>IFERROR(VLOOKUP(A2167,Lookup!$J$5:$P$19,7,FALSE),0)</f>
        <v>2</v>
      </c>
      <c r="P2167" s="159">
        <f t="shared" si="373"/>
        <v>2013</v>
      </c>
      <c r="Q2167" s="159">
        <f t="shared" si="374"/>
        <v>9</v>
      </c>
      <c r="R2167" s="160">
        <f t="shared" si="375"/>
        <v>5.5000000001164153</v>
      </c>
      <c r="S2167" s="158">
        <f t="shared" si="376"/>
        <v>1.3333333333615551</v>
      </c>
      <c r="T2167" s="161">
        <f t="shared" si="377"/>
        <v>400.00000000846654</v>
      </c>
      <c r="U2167" s="158">
        <f t="shared" si="379"/>
        <v>72.727272727272734</v>
      </c>
      <c r="V2167" s="160">
        <f t="shared" si="378"/>
        <v>73</v>
      </c>
    </row>
    <row r="2168" spans="1:22" x14ac:dyDescent="0.25">
      <c r="A2168" s="98" t="s">
        <v>23</v>
      </c>
      <c r="B2168" s="98" t="s">
        <v>105</v>
      </c>
      <c r="C2168" s="98">
        <v>134</v>
      </c>
      <c r="D2168" s="98">
        <v>250</v>
      </c>
      <c r="E2168" s="157">
        <v>41535.916666666664</v>
      </c>
      <c r="F2168" s="157">
        <v>41536.147916666669</v>
      </c>
      <c r="G2168" s="98">
        <v>250</v>
      </c>
      <c r="H2168" s="98">
        <v>330</v>
      </c>
      <c r="I2168" s="98">
        <v>300</v>
      </c>
      <c r="J2168" s="98" t="s">
        <v>1978</v>
      </c>
      <c r="K2168" s="98" t="s">
        <v>567</v>
      </c>
      <c r="L2168" s="105" t="str">
        <f t="shared" si="370"/>
        <v>Mill Creek</v>
      </c>
      <c r="M2168" s="105" t="str">
        <f t="shared" si="371"/>
        <v>Derate</v>
      </c>
      <c r="N2168" s="105" t="str">
        <f t="shared" si="372"/>
        <v>Coal</v>
      </c>
      <c r="O2168" s="105">
        <f>IFERROR(VLOOKUP(A2168,Lookup!$J$5:$P$19,7,FALSE),0)</f>
        <v>2</v>
      </c>
      <c r="P2168" s="159">
        <f t="shared" si="373"/>
        <v>2013</v>
      </c>
      <c r="Q2168" s="159">
        <f t="shared" si="374"/>
        <v>9</v>
      </c>
      <c r="R2168" s="160">
        <f t="shared" si="375"/>
        <v>5.5500000001047738</v>
      </c>
      <c r="S2168" s="158">
        <f t="shared" si="376"/>
        <v>1.3454545454799451</v>
      </c>
      <c r="T2168" s="161">
        <f t="shared" si="377"/>
        <v>403.63636364398354</v>
      </c>
      <c r="U2168" s="158">
        <f t="shared" si="379"/>
        <v>72.727272727272734</v>
      </c>
      <c r="V2168" s="160">
        <f t="shared" si="378"/>
        <v>73</v>
      </c>
    </row>
    <row r="2169" spans="1:22" x14ac:dyDescent="0.25">
      <c r="A2169" s="98" t="s">
        <v>23</v>
      </c>
      <c r="B2169" s="98" t="s">
        <v>105</v>
      </c>
      <c r="C2169" s="98">
        <v>135</v>
      </c>
      <c r="D2169" s="98">
        <v>250</v>
      </c>
      <c r="E2169" s="157">
        <v>41536.958333333336</v>
      </c>
      <c r="F2169" s="157">
        <v>41537.151388888888</v>
      </c>
      <c r="G2169" s="98">
        <v>250</v>
      </c>
      <c r="H2169" s="98">
        <v>330</v>
      </c>
      <c r="I2169" s="98">
        <v>300</v>
      </c>
      <c r="J2169" s="98" t="s">
        <v>1978</v>
      </c>
      <c r="K2169" s="98" t="s">
        <v>108</v>
      </c>
      <c r="L2169" s="105" t="str">
        <f t="shared" si="370"/>
        <v>Mill Creek</v>
      </c>
      <c r="M2169" s="105" t="str">
        <f t="shared" si="371"/>
        <v>Derate</v>
      </c>
      <c r="N2169" s="105" t="str">
        <f t="shared" si="372"/>
        <v>Coal</v>
      </c>
      <c r="O2169" s="105">
        <f>IFERROR(VLOOKUP(A2169,Lookup!$J$5:$P$19,7,FALSE),0)</f>
        <v>2</v>
      </c>
      <c r="P2169" s="159">
        <f t="shared" si="373"/>
        <v>2013</v>
      </c>
      <c r="Q2169" s="159">
        <f t="shared" si="374"/>
        <v>9</v>
      </c>
      <c r="R2169" s="160">
        <f t="shared" si="375"/>
        <v>4.6333333332440816</v>
      </c>
      <c r="S2169" s="158">
        <f t="shared" si="376"/>
        <v>1.1232323232106864</v>
      </c>
      <c r="T2169" s="161">
        <f t="shared" si="377"/>
        <v>336.96969696320593</v>
      </c>
      <c r="U2169" s="158">
        <f t="shared" si="379"/>
        <v>72.727272727272734</v>
      </c>
      <c r="V2169" s="160">
        <f t="shared" si="378"/>
        <v>73</v>
      </c>
    </row>
    <row r="2170" spans="1:22" x14ac:dyDescent="0.25">
      <c r="A2170" s="98" t="s">
        <v>23</v>
      </c>
      <c r="B2170" s="98" t="s">
        <v>20</v>
      </c>
      <c r="C2170" s="98">
        <v>136</v>
      </c>
      <c r="D2170" s="98">
        <v>4270</v>
      </c>
      <c r="E2170" s="157">
        <v>41540.705555555556</v>
      </c>
      <c r="F2170" s="157">
        <v>41544.663888888892</v>
      </c>
      <c r="G2170" s="98">
        <v>0</v>
      </c>
      <c r="H2170" s="98">
        <v>330</v>
      </c>
      <c r="I2170" s="98">
        <v>300</v>
      </c>
      <c r="J2170" s="98" t="s">
        <v>2555</v>
      </c>
      <c r="K2170" s="98" t="s">
        <v>1370</v>
      </c>
      <c r="L2170" s="105" t="str">
        <f t="shared" si="370"/>
        <v>Mill Creek</v>
      </c>
      <c r="M2170" s="105" t="str">
        <f t="shared" si="371"/>
        <v>Maintenance</v>
      </c>
      <c r="N2170" s="105" t="str">
        <f t="shared" si="372"/>
        <v>Coal</v>
      </c>
      <c r="O2170" s="105">
        <f>IFERROR(VLOOKUP(A2170,Lookup!$J$5:$P$19,7,FALSE),0)</f>
        <v>2</v>
      </c>
      <c r="P2170" s="159">
        <f t="shared" si="373"/>
        <v>2013</v>
      </c>
      <c r="Q2170" s="159">
        <f t="shared" si="374"/>
        <v>9</v>
      </c>
      <c r="R2170" s="160">
        <f t="shared" si="375"/>
        <v>95.000000000058208</v>
      </c>
      <c r="S2170" s="158">
        <f t="shared" si="376"/>
        <v>95.000000000058208</v>
      </c>
      <c r="T2170" s="161">
        <f t="shared" si="377"/>
        <v>28500.000000017462</v>
      </c>
      <c r="U2170" s="158">
        <f t="shared" si="379"/>
        <v>300</v>
      </c>
      <c r="V2170" s="160">
        <f t="shared" si="378"/>
        <v>300</v>
      </c>
    </row>
    <row r="2171" spans="1:22" x14ac:dyDescent="0.25">
      <c r="A2171" s="98" t="s">
        <v>23</v>
      </c>
      <c r="B2171" s="98" t="s">
        <v>79</v>
      </c>
      <c r="C2171" s="98">
        <v>137</v>
      </c>
      <c r="D2171" s="98">
        <v>1850</v>
      </c>
      <c r="E2171" s="157">
        <v>41544.663888888892</v>
      </c>
      <c r="F2171" s="157">
        <v>41545.020833333336</v>
      </c>
      <c r="G2171" s="98">
        <v>0</v>
      </c>
      <c r="H2171" s="98">
        <v>330</v>
      </c>
      <c r="I2171" s="98">
        <v>300</v>
      </c>
      <c r="J2171" s="98" t="s">
        <v>2263</v>
      </c>
      <c r="K2171" s="98" t="s">
        <v>85</v>
      </c>
      <c r="L2171" s="105" t="str">
        <f t="shared" si="370"/>
        <v>Mill Creek</v>
      </c>
      <c r="M2171" s="105" t="str">
        <f t="shared" si="371"/>
        <v>Other</v>
      </c>
      <c r="N2171" s="105" t="str">
        <f t="shared" si="372"/>
        <v>Coal</v>
      </c>
      <c r="O2171" s="105">
        <f>IFERROR(VLOOKUP(A2171,Lookup!$J$5:$P$19,7,FALSE),0)</f>
        <v>2</v>
      </c>
      <c r="P2171" s="159">
        <f t="shared" si="373"/>
        <v>2013</v>
      </c>
      <c r="Q2171" s="159">
        <f t="shared" si="374"/>
        <v>9</v>
      </c>
      <c r="R2171" s="160">
        <f t="shared" si="375"/>
        <v>8.5666666666511446</v>
      </c>
      <c r="S2171" s="158">
        <f t="shared" si="376"/>
        <v>8.5666666666511446</v>
      </c>
      <c r="T2171" s="161">
        <f t="shared" si="377"/>
        <v>2569.9999999953434</v>
      </c>
      <c r="U2171" s="158">
        <f t="shared" si="379"/>
        <v>300</v>
      </c>
      <c r="V2171" s="160">
        <f t="shared" si="378"/>
        <v>300</v>
      </c>
    </row>
    <row r="2172" spans="1:22" x14ac:dyDescent="0.25">
      <c r="A2172" s="98" t="s">
        <v>23</v>
      </c>
      <c r="B2172" s="98" t="s">
        <v>15</v>
      </c>
      <c r="C2172" s="98">
        <v>138</v>
      </c>
      <c r="D2172" s="98">
        <v>800</v>
      </c>
      <c r="E2172" s="157">
        <v>41547.161805555559</v>
      </c>
      <c r="F2172" s="157">
        <v>41547.313194444447</v>
      </c>
      <c r="G2172" s="98">
        <v>0</v>
      </c>
      <c r="H2172" s="98">
        <v>330</v>
      </c>
      <c r="I2172" s="98">
        <v>300</v>
      </c>
      <c r="J2172" s="98" t="s">
        <v>2197</v>
      </c>
      <c r="K2172" s="98" t="s">
        <v>44</v>
      </c>
      <c r="L2172" s="105" t="str">
        <f t="shared" si="370"/>
        <v>Mill Creek</v>
      </c>
      <c r="M2172" s="105" t="str">
        <f t="shared" si="371"/>
        <v>Outage</v>
      </c>
      <c r="N2172" s="105" t="str">
        <f t="shared" si="372"/>
        <v>Coal</v>
      </c>
      <c r="O2172" s="105">
        <f>IFERROR(VLOOKUP(A2172,Lookup!$J$5:$P$19,7,FALSE),0)</f>
        <v>2</v>
      </c>
      <c r="P2172" s="159">
        <f t="shared" si="373"/>
        <v>2013</v>
      </c>
      <c r="Q2172" s="159">
        <f t="shared" si="374"/>
        <v>9</v>
      </c>
      <c r="R2172" s="160">
        <f t="shared" si="375"/>
        <v>3.6333333333022892</v>
      </c>
      <c r="S2172" s="158">
        <f t="shared" si="376"/>
        <v>3.6333333333022892</v>
      </c>
      <c r="T2172" s="161">
        <f t="shared" si="377"/>
        <v>1089.9999999906868</v>
      </c>
      <c r="U2172" s="158">
        <f t="shared" si="379"/>
        <v>300</v>
      </c>
      <c r="V2172" s="160">
        <f t="shared" si="378"/>
        <v>300</v>
      </c>
    </row>
    <row r="2173" spans="1:22" x14ac:dyDescent="0.25">
      <c r="A2173" s="98" t="s">
        <v>23</v>
      </c>
      <c r="B2173" s="98" t="s">
        <v>79</v>
      </c>
      <c r="C2173" s="98">
        <v>139</v>
      </c>
      <c r="D2173" s="98">
        <v>1850</v>
      </c>
      <c r="E2173" s="157">
        <v>41547.313194444447</v>
      </c>
      <c r="F2173" s="157">
        <v>41547.603472222225</v>
      </c>
      <c r="G2173" s="98">
        <v>0</v>
      </c>
      <c r="H2173" s="98">
        <v>330</v>
      </c>
      <c r="I2173" s="98">
        <v>300</v>
      </c>
      <c r="J2173" s="98" t="s">
        <v>2263</v>
      </c>
      <c r="K2173" s="98" t="s">
        <v>87</v>
      </c>
      <c r="L2173" s="105" t="str">
        <f t="shared" si="370"/>
        <v>Mill Creek</v>
      </c>
      <c r="M2173" s="105" t="str">
        <f t="shared" si="371"/>
        <v>Other</v>
      </c>
      <c r="N2173" s="105" t="str">
        <f t="shared" si="372"/>
        <v>Coal</v>
      </c>
      <c r="O2173" s="105">
        <f>IFERROR(VLOOKUP(A2173,Lookup!$J$5:$P$19,7,FALSE),0)</f>
        <v>2</v>
      </c>
      <c r="P2173" s="159">
        <f t="shared" si="373"/>
        <v>2013</v>
      </c>
      <c r="Q2173" s="159">
        <f t="shared" si="374"/>
        <v>9</v>
      </c>
      <c r="R2173" s="160">
        <f t="shared" si="375"/>
        <v>6.9666666666744277</v>
      </c>
      <c r="S2173" s="158">
        <f t="shared" si="376"/>
        <v>6.9666666666744277</v>
      </c>
      <c r="T2173" s="161">
        <f t="shared" si="377"/>
        <v>2090.0000000023283</v>
      </c>
      <c r="U2173" s="158">
        <f t="shared" si="379"/>
        <v>300</v>
      </c>
      <c r="V2173" s="160">
        <f t="shared" si="378"/>
        <v>300</v>
      </c>
    </row>
    <row r="2174" spans="1:22" x14ac:dyDescent="0.25">
      <c r="A2174" s="98" t="s">
        <v>23</v>
      </c>
      <c r="B2174" s="98" t="s">
        <v>17</v>
      </c>
      <c r="C2174" s="98">
        <v>140</v>
      </c>
      <c r="D2174" s="98">
        <v>250</v>
      </c>
      <c r="E2174" s="157">
        <v>41554.951388888891</v>
      </c>
      <c r="F2174" s="157">
        <v>41555.089583333334</v>
      </c>
      <c r="G2174" s="98">
        <v>250</v>
      </c>
      <c r="H2174" s="98">
        <v>330</v>
      </c>
      <c r="I2174" s="98">
        <v>300</v>
      </c>
      <c r="J2174" s="98" t="s">
        <v>1978</v>
      </c>
      <c r="K2174" s="98" t="s">
        <v>1371</v>
      </c>
      <c r="L2174" s="105" t="str">
        <f t="shared" si="370"/>
        <v>Mill Creek</v>
      </c>
      <c r="M2174" s="105" t="str">
        <f t="shared" si="371"/>
        <v>Derate</v>
      </c>
      <c r="N2174" s="105" t="str">
        <f t="shared" si="372"/>
        <v>Coal</v>
      </c>
      <c r="O2174" s="105">
        <f>IFERROR(VLOOKUP(A2174,Lookup!$J$5:$P$19,7,FALSE),0)</f>
        <v>2</v>
      </c>
      <c r="P2174" s="159">
        <f t="shared" si="373"/>
        <v>2013</v>
      </c>
      <c r="Q2174" s="159">
        <f t="shared" si="374"/>
        <v>10</v>
      </c>
      <c r="R2174" s="160">
        <f t="shared" si="375"/>
        <v>3.3166666666511446</v>
      </c>
      <c r="S2174" s="158">
        <f t="shared" si="376"/>
        <v>0.80404040403664112</v>
      </c>
      <c r="T2174" s="161">
        <f t="shared" si="377"/>
        <v>241.21212121099234</v>
      </c>
      <c r="U2174" s="158">
        <f t="shared" si="379"/>
        <v>72.727272727272734</v>
      </c>
      <c r="V2174" s="160">
        <f t="shared" si="378"/>
        <v>73</v>
      </c>
    </row>
    <row r="2175" spans="1:22" x14ac:dyDescent="0.25">
      <c r="A2175" s="98" t="s">
        <v>23</v>
      </c>
      <c r="B2175" s="98" t="s">
        <v>15</v>
      </c>
      <c r="C2175" s="98">
        <v>141</v>
      </c>
      <c r="D2175" s="98">
        <v>250</v>
      </c>
      <c r="E2175" s="157">
        <v>41555.17291666667</v>
      </c>
      <c r="F2175" s="157">
        <v>41555.423611111109</v>
      </c>
      <c r="G2175" s="98">
        <v>0</v>
      </c>
      <c r="H2175" s="98">
        <v>330</v>
      </c>
      <c r="I2175" s="98">
        <v>300</v>
      </c>
      <c r="J2175" s="98" t="s">
        <v>1978</v>
      </c>
      <c r="K2175" s="98" t="s">
        <v>1372</v>
      </c>
      <c r="L2175" s="105" t="str">
        <f t="shared" si="370"/>
        <v>Mill Creek</v>
      </c>
      <c r="M2175" s="105" t="str">
        <f t="shared" si="371"/>
        <v>Outage</v>
      </c>
      <c r="N2175" s="105" t="str">
        <f t="shared" si="372"/>
        <v>Coal</v>
      </c>
      <c r="O2175" s="105">
        <f>IFERROR(VLOOKUP(A2175,Lookup!$J$5:$P$19,7,FALSE),0)</f>
        <v>2</v>
      </c>
      <c r="P2175" s="159">
        <f t="shared" si="373"/>
        <v>2013</v>
      </c>
      <c r="Q2175" s="159">
        <f t="shared" si="374"/>
        <v>10</v>
      </c>
      <c r="R2175" s="160">
        <f t="shared" si="375"/>
        <v>6.0166666665463708</v>
      </c>
      <c r="S2175" s="158">
        <f t="shared" si="376"/>
        <v>6.0166666665463708</v>
      </c>
      <c r="T2175" s="161">
        <f t="shared" si="377"/>
        <v>1804.9999999639113</v>
      </c>
      <c r="U2175" s="158">
        <f t="shared" si="379"/>
        <v>300</v>
      </c>
      <c r="V2175" s="160">
        <f t="shared" si="378"/>
        <v>300</v>
      </c>
    </row>
    <row r="2176" spans="1:22" x14ac:dyDescent="0.25">
      <c r="A2176" s="98" t="s">
        <v>23</v>
      </c>
      <c r="B2176" s="98" t="s">
        <v>79</v>
      </c>
      <c r="C2176" s="98">
        <v>142</v>
      </c>
      <c r="D2176" s="98">
        <v>1850</v>
      </c>
      <c r="E2176" s="157">
        <v>41555.423611111109</v>
      </c>
      <c r="F2176" s="157">
        <v>41555.673611111109</v>
      </c>
      <c r="G2176" s="98">
        <v>0</v>
      </c>
      <c r="H2176" s="98">
        <v>330</v>
      </c>
      <c r="I2176" s="98">
        <v>300</v>
      </c>
      <c r="J2176" s="98" t="s">
        <v>2263</v>
      </c>
      <c r="K2176" s="98" t="s">
        <v>86</v>
      </c>
      <c r="L2176" s="105" t="str">
        <f t="shared" si="370"/>
        <v>Mill Creek</v>
      </c>
      <c r="M2176" s="105" t="str">
        <f t="shared" si="371"/>
        <v>Other</v>
      </c>
      <c r="N2176" s="105" t="str">
        <f t="shared" si="372"/>
        <v>Coal</v>
      </c>
      <c r="O2176" s="105">
        <f>IFERROR(VLOOKUP(A2176,Lookup!$J$5:$P$19,7,FALSE),0)</f>
        <v>2</v>
      </c>
      <c r="P2176" s="159">
        <f t="shared" si="373"/>
        <v>2013</v>
      </c>
      <c r="Q2176" s="159">
        <f t="shared" si="374"/>
        <v>10</v>
      </c>
      <c r="R2176" s="160">
        <f t="shared" si="375"/>
        <v>6</v>
      </c>
      <c r="S2176" s="158">
        <f t="shared" si="376"/>
        <v>6</v>
      </c>
      <c r="T2176" s="161">
        <f t="shared" si="377"/>
        <v>1800</v>
      </c>
      <c r="U2176" s="158">
        <f t="shared" si="379"/>
        <v>300</v>
      </c>
      <c r="V2176" s="160">
        <f t="shared" si="378"/>
        <v>300</v>
      </c>
    </row>
    <row r="2177" spans="1:22" x14ac:dyDescent="0.25">
      <c r="A2177" s="98" t="s">
        <v>23</v>
      </c>
      <c r="B2177" s="98" t="s">
        <v>17</v>
      </c>
      <c r="C2177" s="98">
        <v>143</v>
      </c>
      <c r="D2177" s="98">
        <v>250</v>
      </c>
      <c r="E2177" s="157">
        <v>41555.673611111109</v>
      </c>
      <c r="F2177" s="157">
        <v>41556.184027777781</v>
      </c>
      <c r="G2177" s="98">
        <v>250</v>
      </c>
      <c r="H2177" s="98">
        <v>330</v>
      </c>
      <c r="I2177" s="98">
        <v>300</v>
      </c>
      <c r="J2177" s="98" t="s">
        <v>1978</v>
      </c>
      <c r="K2177" s="98" t="s">
        <v>46</v>
      </c>
      <c r="L2177" s="105" t="str">
        <f t="shared" si="370"/>
        <v>Mill Creek</v>
      </c>
      <c r="M2177" s="105" t="str">
        <f t="shared" si="371"/>
        <v>Derate</v>
      </c>
      <c r="N2177" s="105" t="str">
        <f t="shared" si="372"/>
        <v>Coal</v>
      </c>
      <c r="O2177" s="105">
        <f>IFERROR(VLOOKUP(A2177,Lookup!$J$5:$P$19,7,FALSE),0)</f>
        <v>2</v>
      </c>
      <c r="P2177" s="159">
        <f t="shared" si="373"/>
        <v>2013</v>
      </c>
      <c r="Q2177" s="159">
        <f t="shared" si="374"/>
        <v>10</v>
      </c>
      <c r="R2177" s="160">
        <f t="shared" si="375"/>
        <v>12.250000000116415</v>
      </c>
      <c r="S2177" s="158">
        <f t="shared" si="376"/>
        <v>2.9696969697251916</v>
      </c>
      <c r="T2177" s="161">
        <f t="shared" si="377"/>
        <v>890.90909091755748</v>
      </c>
      <c r="U2177" s="158">
        <f t="shared" si="379"/>
        <v>72.727272727272734</v>
      </c>
      <c r="V2177" s="160">
        <f t="shared" si="378"/>
        <v>73</v>
      </c>
    </row>
    <row r="2178" spans="1:22" x14ac:dyDescent="0.25">
      <c r="A2178" s="98" t="s">
        <v>23</v>
      </c>
      <c r="B2178" s="98" t="s">
        <v>17</v>
      </c>
      <c r="C2178" s="98">
        <v>144</v>
      </c>
      <c r="D2178" s="98">
        <v>250</v>
      </c>
      <c r="E2178" s="157">
        <v>41556.184027777781</v>
      </c>
      <c r="F2178" s="157">
        <v>41556.229166666664</v>
      </c>
      <c r="G2178" s="98">
        <v>270</v>
      </c>
      <c r="H2178" s="98">
        <v>330</v>
      </c>
      <c r="I2178" s="98">
        <v>300</v>
      </c>
      <c r="J2178" s="98" t="s">
        <v>1978</v>
      </c>
      <c r="K2178" s="98" t="s">
        <v>46</v>
      </c>
      <c r="L2178" s="105" t="str">
        <f t="shared" si="370"/>
        <v>Mill Creek</v>
      </c>
      <c r="M2178" s="105" t="str">
        <f t="shared" si="371"/>
        <v>Derate</v>
      </c>
      <c r="N2178" s="105" t="str">
        <f t="shared" si="372"/>
        <v>Coal</v>
      </c>
      <c r="O2178" s="105">
        <f>IFERROR(VLOOKUP(A2178,Lookup!$J$5:$P$19,7,FALSE),0)</f>
        <v>2</v>
      </c>
      <c r="P2178" s="159">
        <f t="shared" si="373"/>
        <v>2013</v>
      </c>
      <c r="Q2178" s="159">
        <f t="shared" si="374"/>
        <v>10</v>
      </c>
      <c r="R2178" s="160">
        <f t="shared" si="375"/>
        <v>1.0833333331975155</v>
      </c>
      <c r="S2178" s="158">
        <f t="shared" si="376"/>
        <v>0.1969696969450028</v>
      </c>
      <c r="T2178" s="161">
        <f t="shared" si="377"/>
        <v>59.09090908350084</v>
      </c>
      <c r="U2178" s="158">
        <f t="shared" si="379"/>
        <v>54.545454545454547</v>
      </c>
      <c r="V2178" s="160">
        <f t="shared" si="378"/>
        <v>55</v>
      </c>
    </row>
    <row r="2179" spans="1:22" x14ac:dyDescent="0.25">
      <c r="A2179" s="98" t="s">
        <v>23</v>
      </c>
      <c r="B2179" s="98" t="s">
        <v>17</v>
      </c>
      <c r="C2179" s="98">
        <v>145</v>
      </c>
      <c r="D2179" s="98">
        <v>250</v>
      </c>
      <c r="E2179" s="157">
        <v>41556.229166666664</v>
      </c>
      <c r="F2179" s="157">
        <v>41556.260416666664</v>
      </c>
      <c r="G2179" s="98">
        <v>275</v>
      </c>
      <c r="H2179" s="98">
        <v>330</v>
      </c>
      <c r="I2179" s="98">
        <v>300</v>
      </c>
      <c r="J2179" s="98" t="s">
        <v>1978</v>
      </c>
      <c r="K2179" s="98" t="s">
        <v>46</v>
      </c>
      <c r="L2179" s="105" t="str">
        <f t="shared" si="370"/>
        <v>Mill Creek</v>
      </c>
      <c r="M2179" s="105" t="str">
        <f t="shared" si="371"/>
        <v>Derate</v>
      </c>
      <c r="N2179" s="105" t="str">
        <f t="shared" si="372"/>
        <v>Coal</v>
      </c>
      <c r="O2179" s="105">
        <f>IFERROR(VLOOKUP(A2179,Lookup!$J$5:$P$19,7,FALSE),0)</f>
        <v>2</v>
      </c>
      <c r="P2179" s="159">
        <f t="shared" si="373"/>
        <v>2013</v>
      </c>
      <c r="Q2179" s="159">
        <f t="shared" si="374"/>
        <v>10</v>
      </c>
      <c r="R2179" s="160">
        <f t="shared" si="375"/>
        <v>0.75</v>
      </c>
      <c r="S2179" s="158">
        <f t="shared" si="376"/>
        <v>0.125</v>
      </c>
      <c r="T2179" s="161">
        <f t="shared" si="377"/>
        <v>37.5</v>
      </c>
      <c r="U2179" s="158">
        <f t="shared" si="379"/>
        <v>50</v>
      </c>
      <c r="V2179" s="160">
        <f t="shared" si="378"/>
        <v>50</v>
      </c>
    </row>
    <row r="2180" spans="1:22" x14ac:dyDescent="0.25">
      <c r="A2180" s="98" t="s">
        <v>23</v>
      </c>
      <c r="B2180" s="98" t="s">
        <v>105</v>
      </c>
      <c r="C2180" s="98">
        <v>146</v>
      </c>
      <c r="D2180" s="98">
        <v>310</v>
      </c>
      <c r="E2180" s="157">
        <v>41560.88958333333</v>
      </c>
      <c r="F2180" s="157">
        <v>41561.132638888892</v>
      </c>
      <c r="G2180" s="98">
        <v>240</v>
      </c>
      <c r="H2180" s="98">
        <v>330</v>
      </c>
      <c r="I2180" s="98">
        <v>300</v>
      </c>
      <c r="J2180" s="98" t="s">
        <v>1966</v>
      </c>
      <c r="K2180" s="98" t="s">
        <v>1373</v>
      </c>
      <c r="L2180" s="105" t="str">
        <f t="shared" si="370"/>
        <v>Mill Creek</v>
      </c>
      <c r="M2180" s="105" t="str">
        <f t="shared" si="371"/>
        <v>Derate</v>
      </c>
      <c r="N2180" s="105" t="str">
        <f t="shared" si="372"/>
        <v>Coal</v>
      </c>
      <c r="O2180" s="105">
        <f>IFERROR(VLOOKUP(A2180,Lookup!$J$5:$P$19,7,FALSE),0)</f>
        <v>2</v>
      </c>
      <c r="P2180" s="159">
        <f t="shared" si="373"/>
        <v>2013</v>
      </c>
      <c r="Q2180" s="159">
        <f t="shared" si="374"/>
        <v>10</v>
      </c>
      <c r="R2180" s="160">
        <f t="shared" si="375"/>
        <v>5.8333333334885538</v>
      </c>
      <c r="S2180" s="158">
        <f t="shared" si="376"/>
        <v>1.5909090909514239</v>
      </c>
      <c r="T2180" s="161">
        <f t="shared" si="377"/>
        <v>477.27272728542715</v>
      </c>
      <c r="U2180" s="158">
        <f t="shared" si="379"/>
        <v>81.818181818181813</v>
      </c>
      <c r="V2180" s="160">
        <f t="shared" si="378"/>
        <v>82</v>
      </c>
    </row>
    <row r="2181" spans="1:22" x14ac:dyDescent="0.25">
      <c r="A2181" s="98" t="s">
        <v>23</v>
      </c>
      <c r="B2181" s="98" t="s">
        <v>105</v>
      </c>
      <c r="C2181" s="98">
        <v>147</v>
      </c>
      <c r="D2181" s="98">
        <v>310</v>
      </c>
      <c r="E2181" s="157">
        <v>41561.940972222219</v>
      </c>
      <c r="F2181" s="157">
        <v>41562.068749999999</v>
      </c>
      <c r="G2181" s="98">
        <v>250</v>
      </c>
      <c r="H2181" s="98">
        <v>330</v>
      </c>
      <c r="I2181" s="98">
        <v>300</v>
      </c>
      <c r="J2181" s="98" t="s">
        <v>1966</v>
      </c>
      <c r="K2181" s="98" t="s">
        <v>1374</v>
      </c>
      <c r="L2181" s="105" t="str">
        <f t="shared" si="370"/>
        <v>Mill Creek</v>
      </c>
      <c r="M2181" s="105" t="str">
        <f t="shared" si="371"/>
        <v>Derate</v>
      </c>
      <c r="N2181" s="105" t="str">
        <f t="shared" si="372"/>
        <v>Coal</v>
      </c>
      <c r="O2181" s="105">
        <f>IFERROR(VLOOKUP(A2181,Lookup!$J$5:$P$19,7,FALSE),0)</f>
        <v>2</v>
      </c>
      <c r="P2181" s="159">
        <f t="shared" si="373"/>
        <v>2013</v>
      </c>
      <c r="Q2181" s="159">
        <f t="shared" si="374"/>
        <v>10</v>
      </c>
      <c r="R2181" s="160">
        <f t="shared" si="375"/>
        <v>3.0666666667093523</v>
      </c>
      <c r="S2181" s="158">
        <f t="shared" si="376"/>
        <v>0.7434343434446915</v>
      </c>
      <c r="T2181" s="161">
        <f t="shared" si="377"/>
        <v>223.03030303340745</v>
      </c>
      <c r="U2181" s="158">
        <f t="shared" si="379"/>
        <v>72.727272727272734</v>
      </c>
      <c r="V2181" s="160">
        <f t="shared" si="378"/>
        <v>73</v>
      </c>
    </row>
    <row r="2182" spans="1:22" x14ac:dyDescent="0.25">
      <c r="A2182" s="98" t="s">
        <v>23</v>
      </c>
      <c r="B2182" s="98" t="s">
        <v>105</v>
      </c>
      <c r="C2182" s="98">
        <v>148</v>
      </c>
      <c r="D2182" s="98">
        <v>310</v>
      </c>
      <c r="E2182" s="157">
        <v>41567.916666666664</v>
      </c>
      <c r="F2182" s="157">
        <v>41568.267361111109</v>
      </c>
      <c r="G2182" s="98">
        <v>250</v>
      </c>
      <c r="H2182" s="98">
        <v>330</v>
      </c>
      <c r="I2182" s="98">
        <v>300</v>
      </c>
      <c r="J2182" s="98" t="s">
        <v>1966</v>
      </c>
      <c r="K2182" s="98" t="s">
        <v>1375</v>
      </c>
      <c r="L2182" s="105" t="str">
        <f t="shared" si="370"/>
        <v>Mill Creek</v>
      </c>
      <c r="M2182" s="105" t="str">
        <f t="shared" si="371"/>
        <v>Derate</v>
      </c>
      <c r="N2182" s="105" t="str">
        <f t="shared" si="372"/>
        <v>Coal</v>
      </c>
      <c r="O2182" s="105">
        <f>IFERROR(VLOOKUP(A2182,Lookup!$J$5:$P$19,7,FALSE),0)</f>
        <v>2</v>
      </c>
      <c r="P2182" s="159">
        <f t="shared" si="373"/>
        <v>2013</v>
      </c>
      <c r="Q2182" s="159">
        <f t="shared" si="374"/>
        <v>10</v>
      </c>
      <c r="R2182" s="160">
        <f t="shared" si="375"/>
        <v>8.4166666666860692</v>
      </c>
      <c r="S2182" s="158">
        <f t="shared" si="376"/>
        <v>2.040404040408744</v>
      </c>
      <c r="T2182" s="161">
        <f t="shared" si="377"/>
        <v>612.12121212262321</v>
      </c>
      <c r="U2182" s="158">
        <f t="shared" si="379"/>
        <v>72.727272727272734</v>
      </c>
      <c r="V2182" s="160">
        <f t="shared" si="378"/>
        <v>73</v>
      </c>
    </row>
    <row r="2183" spans="1:22" x14ac:dyDescent="0.25">
      <c r="A2183" s="98" t="s">
        <v>23</v>
      </c>
      <c r="B2183" s="98" t="s">
        <v>105</v>
      </c>
      <c r="C2183" s="98">
        <v>149</v>
      </c>
      <c r="D2183" s="98">
        <v>250</v>
      </c>
      <c r="E2183" s="157">
        <v>41576.958333333336</v>
      </c>
      <c r="F2183" s="157">
        <v>41576.990972222222</v>
      </c>
      <c r="G2183" s="98">
        <v>245</v>
      </c>
      <c r="H2183" s="98">
        <v>330</v>
      </c>
      <c r="I2183" s="98">
        <v>300</v>
      </c>
      <c r="J2183" s="98" t="s">
        <v>1978</v>
      </c>
      <c r="K2183" s="98" t="s">
        <v>1376</v>
      </c>
      <c r="L2183" s="105" t="str">
        <f t="shared" si="370"/>
        <v>Mill Creek</v>
      </c>
      <c r="M2183" s="105" t="str">
        <f t="shared" si="371"/>
        <v>Derate</v>
      </c>
      <c r="N2183" s="105" t="str">
        <f t="shared" si="372"/>
        <v>Coal</v>
      </c>
      <c r="O2183" s="105">
        <f>IFERROR(VLOOKUP(A2183,Lookup!$J$5:$P$19,7,FALSE),0)</f>
        <v>2</v>
      </c>
      <c r="P2183" s="159">
        <f t="shared" si="373"/>
        <v>2013</v>
      </c>
      <c r="Q2183" s="159">
        <f t="shared" si="374"/>
        <v>10</v>
      </c>
      <c r="R2183" s="160">
        <f t="shared" si="375"/>
        <v>0.78333333326736465</v>
      </c>
      <c r="S2183" s="158">
        <f t="shared" si="376"/>
        <v>0.20176767675068483</v>
      </c>
      <c r="T2183" s="161">
        <f t="shared" si="377"/>
        <v>60.530303025205448</v>
      </c>
      <c r="U2183" s="158">
        <f t="shared" si="379"/>
        <v>77.272727272727266</v>
      </c>
      <c r="V2183" s="160">
        <f t="shared" si="378"/>
        <v>77</v>
      </c>
    </row>
    <row r="2184" spans="1:22" x14ac:dyDescent="0.25">
      <c r="A2184" s="98" t="s">
        <v>23</v>
      </c>
      <c r="B2184" s="98" t="s">
        <v>105</v>
      </c>
      <c r="C2184" s="98">
        <v>150</v>
      </c>
      <c r="D2184" s="98">
        <v>250</v>
      </c>
      <c r="E2184" s="157">
        <v>41582.958333333336</v>
      </c>
      <c r="F2184" s="157">
        <v>41583.1</v>
      </c>
      <c r="G2184" s="98">
        <v>245</v>
      </c>
      <c r="H2184" s="98">
        <v>330</v>
      </c>
      <c r="I2184" s="98">
        <v>300</v>
      </c>
      <c r="J2184" s="98" t="s">
        <v>1978</v>
      </c>
      <c r="K2184" s="98" t="s">
        <v>1377</v>
      </c>
      <c r="L2184" s="105" t="str">
        <f t="shared" si="370"/>
        <v>Mill Creek</v>
      </c>
      <c r="M2184" s="105" t="str">
        <f t="shared" si="371"/>
        <v>Derate</v>
      </c>
      <c r="N2184" s="105" t="str">
        <f t="shared" si="372"/>
        <v>Coal</v>
      </c>
      <c r="O2184" s="105">
        <f>IFERROR(VLOOKUP(A2184,Lookup!$J$5:$P$19,7,FALSE),0)</f>
        <v>2</v>
      </c>
      <c r="P2184" s="159">
        <f t="shared" si="373"/>
        <v>2013</v>
      </c>
      <c r="Q2184" s="159">
        <f t="shared" si="374"/>
        <v>11</v>
      </c>
      <c r="R2184" s="160">
        <f t="shared" si="375"/>
        <v>3.3999999999068677</v>
      </c>
      <c r="S2184" s="158">
        <f t="shared" si="376"/>
        <v>0.87575757573358715</v>
      </c>
      <c r="T2184" s="161">
        <f t="shared" si="377"/>
        <v>262.72727272007614</v>
      </c>
      <c r="U2184" s="158">
        <f t="shared" si="379"/>
        <v>77.272727272727266</v>
      </c>
      <c r="V2184" s="160">
        <f t="shared" si="378"/>
        <v>77</v>
      </c>
    </row>
    <row r="2185" spans="1:22" x14ac:dyDescent="0.25">
      <c r="A2185" s="98" t="s">
        <v>23</v>
      </c>
      <c r="B2185" s="98" t="s">
        <v>79</v>
      </c>
      <c r="C2185" s="98">
        <v>151</v>
      </c>
      <c r="D2185" s="98">
        <v>8460</v>
      </c>
      <c r="E2185" s="157">
        <v>41583.34375</v>
      </c>
      <c r="F2185" s="157">
        <v>41583.791666666664</v>
      </c>
      <c r="G2185" s="98">
        <v>0</v>
      </c>
      <c r="H2185" s="98">
        <v>330</v>
      </c>
      <c r="I2185" s="98">
        <v>300</v>
      </c>
      <c r="J2185" s="98" t="s">
        <v>2651</v>
      </c>
      <c r="K2185" s="98" t="s">
        <v>1378</v>
      </c>
      <c r="L2185" s="105" t="str">
        <f t="shared" si="370"/>
        <v>Mill Creek</v>
      </c>
      <c r="M2185" s="105" t="str">
        <f t="shared" si="371"/>
        <v>Other</v>
      </c>
      <c r="N2185" s="105" t="str">
        <f t="shared" si="372"/>
        <v>Coal</v>
      </c>
      <c r="O2185" s="105">
        <f>IFERROR(VLOOKUP(A2185,Lookup!$J$5:$P$19,7,FALSE),0)</f>
        <v>2</v>
      </c>
      <c r="P2185" s="159">
        <f t="shared" si="373"/>
        <v>2013</v>
      </c>
      <c r="Q2185" s="159">
        <f t="shared" si="374"/>
        <v>11</v>
      </c>
      <c r="R2185" s="160">
        <f t="shared" si="375"/>
        <v>10.749999999941792</v>
      </c>
      <c r="S2185" s="158">
        <f t="shared" si="376"/>
        <v>10.749999999941792</v>
      </c>
      <c r="T2185" s="161">
        <f t="shared" si="377"/>
        <v>3224.9999999825377</v>
      </c>
      <c r="U2185" s="158">
        <f t="shared" si="379"/>
        <v>300</v>
      </c>
      <c r="V2185" s="160">
        <f t="shared" si="378"/>
        <v>300</v>
      </c>
    </row>
    <row r="2186" spans="1:22" x14ac:dyDescent="0.25">
      <c r="A2186" s="98" t="s">
        <v>23</v>
      </c>
      <c r="B2186" s="98" t="s">
        <v>79</v>
      </c>
      <c r="C2186" s="98">
        <v>152</v>
      </c>
      <c r="D2186" s="98">
        <v>8460</v>
      </c>
      <c r="E2186" s="157">
        <v>41584.333333333336</v>
      </c>
      <c r="F2186" s="157">
        <v>41584.597916666666</v>
      </c>
      <c r="G2186" s="98">
        <v>0</v>
      </c>
      <c r="H2186" s="98">
        <v>330</v>
      </c>
      <c r="I2186" s="98">
        <v>300</v>
      </c>
      <c r="J2186" s="98" t="s">
        <v>2651</v>
      </c>
      <c r="K2186" s="98" t="s">
        <v>1379</v>
      </c>
      <c r="L2186" s="105" t="str">
        <f t="shared" si="370"/>
        <v>Mill Creek</v>
      </c>
      <c r="M2186" s="105" t="str">
        <f t="shared" si="371"/>
        <v>Other</v>
      </c>
      <c r="N2186" s="105" t="str">
        <f t="shared" si="372"/>
        <v>Coal</v>
      </c>
      <c r="O2186" s="105">
        <f>IFERROR(VLOOKUP(A2186,Lookup!$J$5:$P$19,7,FALSE),0)</f>
        <v>2</v>
      </c>
      <c r="P2186" s="159">
        <f t="shared" si="373"/>
        <v>2013</v>
      </c>
      <c r="Q2186" s="159">
        <f t="shared" si="374"/>
        <v>11</v>
      </c>
      <c r="R2186" s="160">
        <f t="shared" si="375"/>
        <v>6.3499999999185093</v>
      </c>
      <c r="S2186" s="158">
        <f t="shared" si="376"/>
        <v>6.3499999999185093</v>
      </c>
      <c r="T2186" s="161">
        <f t="shared" si="377"/>
        <v>1904.9999999755528</v>
      </c>
      <c r="U2186" s="158">
        <f t="shared" si="379"/>
        <v>300</v>
      </c>
      <c r="V2186" s="160">
        <f t="shared" si="378"/>
        <v>300</v>
      </c>
    </row>
    <row r="2187" spans="1:22" x14ac:dyDescent="0.25">
      <c r="A2187" s="98" t="s">
        <v>23</v>
      </c>
      <c r="B2187" s="98" t="s">
        <v>17</v>
      </c>
      <c r="C2187" s="98">
        <v>153</v>
      </c>
      <c r="D2187" s="98">
        <v>310</v>
      </c>
      <c r="E2187" s="157">
        <v>41587.1875</v>
      </c>
      <c r="F2187" s="157">
        <v>41587.336111111108</v>
      </c>
      <c r="G2187" s="98">
        <v>320</v>
      </c>
      <c r="H2187" s="98">
        <v>330</v>
      </c>
      <c r="I2187" s="98">
        <v>300</v>
      </c>
      <c r="J2187" s="98" t="s">
        <v>1966</v>
      </c>
      <c r="K2187" s="98" t="s">
        <v>1380</v>
      </c>
      <c r="L2187" s="105" t="str">
        <f t="shared" si="370"/>
        <v>Mill Creek</v>
      </c>
      <c r="M2187" s="105" t="str">
        <f t="shared" si="371"/>
        <v>Derate</v>
      </c>
      <c r="N2187" s="105" t="str">
        <f t="shared" si="372"/>
        <v>Coal</v>
      </c>
      <c r="O2187" s="105">
        <f>IFERROR(VLOOKUP(A2187,Lookup!$J$5:$P$19,7,FALSE),0)</f>
        <v>2</v>
      </c>
      <c r="P2187" s="159">
        <f t="shared" si="373"/>
        <v>2013</v>
      </c>
      <c r="Q2187" s="159">
        <f t="shared" si="374"/>
        <v>11</v>
      </c>
      <c r="R2187" s="160">
        <f t="shared" si="375"/>
        <v>3.566666666592937</v>
      </c>
      <c r="S2187" s="158">
        <f t="shared" si="376"/>
        <v>0.10808080807857384</v>
      </c>
      <c r="T2187" s="161">
        <f t="shared" si="377"/>
        <v>32.424242423572153</v>
      </c>
      <c r="U2187" s="158">
        <f t="shared" si="379"/>
        <v>9.0909090909090917</v>
      </c>
      <c r="V2187" s="160">
        <f t="shared" si="378"/>
        <v>9</v>
      </c>
    </row>
    <row r="2188" spans="1:22" x14ac:dyDescent="0.25">
      <c r="A2188" s="98" t="s">
        <v>23</v>
      </c>
      <c r="B2188" s="98" t="s">
        <v>17</v>
      </c>
      <c r="C2188" s="98">
        <v>154</v>
      </c>
      <c r="D2188" s="98">
        <v>310</v>
      </c>
      <c r="E2188" s="157">
        <v>41587.336111111108</v>
      </c>
      <c r="F2188" s="157">
        <v>41587.634027777778</v>
      </c>
      <c r="G2188" s="98">
        <v>260</v>
      </c>
      <c r="H2188" s="98">
        <v>330</v>
      </c>
      <c r="I2188" s="98">
        <v>300</v>
      </c>
      <c r="J2188" s="98" t="s">
        <v>1966</v>
      </c>
      <c r="K2188" s="98" t="s">
        <v>1381</v>
      </c>
      <c r="L2188" s="105" t="str">
        <f t="shared" si="370"/>
        <v>Mill Creek</v>
      </c>
      <c r="M2188" s="105" t="str">
        <f t="shared" si="371"/>
        <v>Derate</v>
      </c>
      <c r="N2188" s="105" t="str">
        <f t="shared" si="372"/>
        <v>Coal</v>
      </c>
      <c r="O2188" s="105">
        <f>IFERROR(VLOOKUP(A2188,Lookup!$J$5:$P$19,7,FALSE),0)</f>
        <v>2</v>
      </c>
      <c r="P2188" s="159">
        <f t="shared" si="373"/>
        <v>2013</v>
      </c>
      <c r="Q2188" s="159">
        <f t="shared" si="374"/>
        <v>11</v>
      </c>
      <c r="R2188" s="160">
        <f t="shared" si="375"/>
        <v>7.1500000000814907</v>
      </c>
      <c r="S2188" s="158">
        <f t="shared" si="376"/>
        <v>1.5166666666839526</v>
      </c>
      <c r="T2188" s="161">
        <f t="shared" si="377"/>
        <v>455.00000000518577</v>
      </c>
      <c r="U2188" s="158">
        <f t="shared" si="379"/>
        <v>63.636363636363633</v>
      </c>
      <c r="V2188" s="160">
        <f t="shared" si="378"/>
        <v>64</v>
      </c>
    </row>
    <row r="2189" spans="1:22" x14ac:dyDescent="0.25">
      <c r="A2189" s="98" t="s">
        <v>23</v>
      </c>
      <c r="B2189" s="98" t="s">
        <v>105</v>
      </c>
      <c r="C2189" s="98">
        <v>155</v>
      </c>
      <c r="D2189" s="98">
        <v>550</v>
      </c>
      <c r="E2189" s="157">
        <v>41589.9375</v>
      </c>
      <c r="F2189" s="157">
        <v>41589.986111111109</v>
      </c>
      <c r="G2189" s="98">
        <v>290</v>
      </c>
      <c r="H2189" s="98">
        <v>330</v>
      </c>
      <c r="I2189" s="98">
        <v>300</v>
      </c>
      <c r="J2189" s="98" t="s">
        <v>2373</v>
      </c>
      <c r="K2189" s="98" t="s">
        <v>1382</v>
      </c>
      <c r="L2189" s="105" t="str">
        <f t="shared" si="370"/>
        <v>Mill Creek</v>
      </c>
      <c r="M2189" s="105" t="str">
        <f t="shared" si="371"/>
        <v>Derate</v>
      </c>
      <c r="N2189" s="105" t="str">
        <f t="shared" si="372"/>
        <v>Coal</v>
      </c>
      <c r="O2189" s="105">
        <f>IFERROR(VLOOKUP(A2189,Lookup!$J$5:$P$19,7,FALSE),0)</f>
        <v>2</v>
      </c>
      <c r="P2189" s="159">
        <f t="shared" si="373"/>
        <v>2013</v>
      </c>
      <c r="Q2189" s="159">
        <f t="shared" si="374"/>
        <v>11</v>
      </c>
      <c r="R2189" s="160">
        <f t="shared" si="375"/>
        <v>1.1666666666278616</v>
      </c>
      <c r="S2189" s="158">
        <f t="shared" si="376"/>
        <v>0.14141414140943775</v>
      </c>
      <c r="T2189" s="161">
        <f t="shared" si="377"/>
        <v>42.424242422831327</v>
      </c>
      <c r="U2189" s="158">
        <f t="shared" si="379"/>
        <v>36.363636363636367</v>
      </c>
      <c r="V2189" s="160">
        <f t="shared" si="378"/>
        <v>36</v>
      </c>
    </row>
    <row r="2190" spans="1:22" x14ac:dyDescent="0.25">
      <c r="A2190" s="98" t="s">
        <v>23</v>
      </c>
      <c r="B2190" s="98" t="s">
        <v>17</v>
      </c>
      <c r="C2190" s="98">
        <v>156</v>
      </c>
      <c r="D2190" s="98">
        <v>250</v>
      </c>
      <c r="E2190" s="157">
        <v>41591.888888888891</v>
      </c>
      <c r="F2190" s="157">
        <v>41591.920138888891</v>
      </c>
      <c r="G2190" s="98">
        <v>270</v>
      </c>
      <c r="H2190" s="98">
        <v>330</v>
      </c>
      <c r="I2190" s="98">
        <v>300</v>
      </c>
      <c r="J2190" s="98" t="s">
        <v>1978</v>
      </c>
      <c r="K2190" s="98" t="s">
        <v>1383</v>
      </c>
      <c r="L2190" s="105" t="str">
        <f t="shared" si="370"/>
        <v>Mill Creek</v>
      </c>
      <c r="M2190" s="105" t="str">
        <f t="shared" si="371"/>
        <v>Derate</v>
      </c>
      <c r="N2190" s="105" t="str">
        <f t="shared" si="372"/>
        <v>Coal</v>
      </c>
      <c r="O2190" s="105">
        <f>IFERROR(VLOOKUP(A2190,Lookup!$J$5:$P$19,7,FALSE),0)</f>
        <v>2</v>
      </c>
      <c r="P2190" s="159">
        <f t="shared" si="373"/>
        <v>2013</v>
      </c>
      <c r="Q2190" s="159">
        <f t="shared" si="374"/>
        <v>11</v>
      </c>
      <c r="R2190" s="160">
        <f t="shared" si="375"/>
        <v>0.75</v>
      </c>
      <c r="S2190" s="158">
        <f t="shared" si="376"/>
        <v>0.13636363636363635</v>
      </c>
      <c r="T2190" s="161">
        <f t="shared" si="377"/>
        <v>40.909090909090907</v>
      </c>
      <c r="U2190" s="158">
        <f t="shared" si="379"/>
        <v>54.545454545454547</v>
      </c>
      <c r="V2190" s="160">
        <f t="shared" si="378"/>
        <v>55</v>
      </c>
    </row>
    <row r="2191" spans="1:22" x14ac:dyDescent="0.25">
      <c r="A2191" s="98" t="s">
        <v>23</v>
      </c>
      <c r="B2191" s="98" t="s">
        <v>17</v>
      </c>
      <c r="C2191" s="98">
        <v>157</v>
      </c>
      <c r="D2191" s="98">
        <v>250</v>
      </c>
      <c r="E2191" s="157">
        <v>41592.116666666669</v>
      </c>
      <c r="F2191" s="157">
        <v>41592.34097222222</v>
      </c>
      <c r="G2191" s="98">
        <v>250</v>
      </c>
      <c r="H2191" s="98">
        <v>330</v>
      </c>
      <c r="I2191" s="98">
        <v>300</v>
      </c>
      <c r="J2191" s="98" t="s">
        <v>1978</v>
      </c>
      <c r="K2191" s="98" t="s">
        <v>1384</v>
      </c>
      <c r="L2191" s="105" t="str">
        <f t="shared" si="370"/>
        <v>Mill Creek</v>
      </c>
      <c r="M2191" s="105" t="str">
        <f t="shared" si="371"/>
        <v>Derate</v>
      </c>
      <c r="N2191" s="105" t="str">
        <f t="shared" si="372"/>
        <v>Coal</v>
      </c>
      <c r="O2191" s="105">
        <f>IFERROR(VLOOKUP(A2191,Lookup!$J$5:$P$19,7,FALSE),0)</f>
        <v>2</v>
      </c>
      <c r="P2191" s="159">
        <f t="shared" si="373"/>
        <v>2013</v>
      </c>
      <c r="Q2191" s="159">
        <f t="shared" si="374"/>
        <v>11</v>
      </c>
      <c r="R2191" s="160">
        <f t="shared" si="375"/>
        <v>5.3833333332440816</v>
      </c>
      <c r="S2191" s="158">
        <f t="shared" si="376"/>
        <v>1.3050505050288683</v>
      </c>
      <c r="T2191" s="161">
        <f t="shared" si="377"/>
        <v>391.51515150866049</v>
      </c>
      <c r="U2191" s="158">
        <f t="shared" si="379"/>
        <v>72.727272727272734</v>
      </c>
      <c r="V2191" s="160">
        <f t="shared" si="378"/>
        <v>73</v>
      </c>
    </row>
    <row r="2192" spans="1:22" x14ac:dyDescent="0.25">
      <c r="A2192" s="98" t="s">
        <v>23</v>
      </c>
      <c r="B2192" s="98" t="s">
        <v>105</v>
      </c>
      <c r="C2192" s="98">
        <v>158</v>
      </c>
      <c r="D2192" s="98">
        <v>250</v>
      </c>
      <c r="E2192" s="157">
        <v>41595.916666666664</v>
      </c>
      <c r="F2192" s="157">
        <v>41596.206250000003</v>
      </c>
      <c r="G2192" s="98">
        <v>260</v>
      </c>
      <c r="H2192" s="98">
        <v>330</v>
      </c>
      <c r="I2192" s="98">
        <v>300</v>
      </c>
      <c r="J2192" s="98" t="s">
        <v>1978</v>
      </c>
      <c r="K2192" s="98" t="s">
        <v>1385</v>
      </c>
      <c r="L2192" s="105" t="str">
        <f t="shared" si="370"/>
        <v>Mill Creek</v>
      </c>
      <c r="M2192" s="105" t="str">
        <f t="shared" si="371"/>
        <v>Derate</v>
      </c>
      <c r="N2192" s="105" t="str">
        <f t="shared" si="372"/>
        <v>Coal</v>
      </c>
      <c r="O2192" s="105">
        <f>IFERROR(VLOOKUP(A2192,Lookup!$J$5:$P$19,7,FALSE),0)</f>
        <v>2</v>
      </c>
      <c r="P2192" s="159">
        <f t="shared" si="373"/>
        <v>2013</v>
      </c>
      <c r="Q2192" s="159">
        <f t="shared" si="374"/>
        <v>11</v>
      </c>
      <c r="R2192" s="160">
        <f t="shared" si="375"/>
        <v>6.9500000001280569</v>
      </c>
      <c r="S2192" s="158">
        <f t="shared" si="376"/>
        <v>1.4742424242695877</v>
      </c>
      <c r="T2192" s="161">
        <f t="shared" si="377"/>
        <v>442.27272728087632</v>
      </c>
      <c r="U2192" s="158">
        <f t="shared" si="379"/>
        <v>63.636363636363633</v>
      </c>
      <c r="V2192" s="160">
        <f t="shared" si="378"/>
        <v>64</v>
      </c>
    </row>
    <row r="2193" spans="1:22" x14ac:dyDescent="0.25">
      <c r="A2193" s="98" t="s">
        <v>23</v>
      </c>
      <c r="B2193" s="98" t="s">
        <v>17</v>
      </c>
      <c r="C2193" s="98">
        <v>159</v>
      </c>
      <c r="D2193" s="98">
        <v>3149</v>
      </c>
      <c r="E2193" s="157">
        <v>41596.29791666667</v>
      </c>
      <c r="F2193" s="157">
        <v>41596.431250000001</v>
      </c>
      <c r="G2193" s="98">
        <v>300</v>
      </c>
      <c r="H2193" s="98">
        <v>330</v>
      </c>
      <c r="I2193" s="98">
        <v>300</v>
      </c>
      <c r="J2193" s="98" t="s">
        <v>2034</v>
      </c>
      <c r="K2193" s="98" t="s">
        <v>1386</v>
      </c>
      <c r="L2193" s="105" t="str">
        <f t="shared" si="370"/>
        <v>Mill Creek</v>
      </c>
      <c r="M2193" s="105" t="str">
        <f t="shared" si="371"/>
        <v>Derate</v>
      </c>
      <c r="N2193" s="105" t="str">
        <f t="shared" si="372"/>
        <v>Coal</v>
      </c>
      <c r="O2193" s="105">
        <f>IFERROR(VLOOKUP(A2193,Lookup!$J$5:$P$19,7,FALSE),0)</f>
        <v>2</v>
      </c>
      <c r="P2193" s="159">
        <f t="shared" si="373"/>
        <v>2013</v>
      </c>
      <c r="Q2193" s="159">
        <f t="shared" si="374"/>
        <v>11</v>
      </c>
      <c r="R2193" s="160">
        <f t="shared" si="375"/>
        <v>3.1999999999534339</v>
      </c>
      <c r="S2193" s="158">
        <f t="shared" si="376"/>
        <v>0.29090909090485761</v>
      </c>
      <c r="T2193" s="161">
        <f t="shared" si="377"/>
        <v>87.272727271457285</v>
      </c>
      <c r="U2193" s="158">
        <f t="shared" si="379"/>
        <v>27.272727272727273</v>
      </c>
      <c r="V2193" s="160">
        <f t="shared" si="378"/>
        <v>27</v>
      </c>
    </row>
    <row r="2194" spans="1:22" x14ac:dyDescent="0.25">
      <c r="A2194" s="98" t="s">
        <v>23</v>
      </c>
      <c r="B2194" s="98" t="s">
        <v>20</v>
      </c>
      <c r="C2194" s="98">
        <v>160</v>
      </c>
      <c r="D2194" s="98">
        <v>3110</v>
      </c>
      <c r="E2194" s="157">
        <v>41596.431250000001</v>
      </c>
      <c r="F2194" s="157">
        <v>41598.193749999999</v>
      </c>
      <c r="G2194" s="98">
        <v>0</v>
      </c>
      <c r="H2194" s="98">
        <v>330</v>
      </c>
      <c r="I2194" s="98">
        <v>300</v>
      </c>
      <c r="J2194" s="98" t="s">
        <v>2119</v>
      </c>
      <c r="K2194" s="98" t="s">
        <v>31</v>
      </c>
      <c r="L2194" s="105" t="str">
        <f t="shared" si="370"/>
        <v>Mill Creek</v>
      </c>
      <c r="M2194" s="105" t="str">
        <f t="shared" si="371"/>
        <v>Maintenance</v>
      </c>
      <c r="N2194" s="105" t="str">
        <f t="shared" si="372"/>
        <v>Coal</v>
      </c>
      <c r="O2194" s="105">
        <f>IFERROR(VLOOKUP(A2194,Lookup!$J$5:$P$19,7,FALSE),0)</f>
        <v>2</v>
      </c>
      <c r="P2194" s="159">
        <f t="shared" si="373"/>
        <v>2013</v>
      </c>
      <c r="Q2194" s="159">
        <f t="shared" si="374"/>
        <v>11</v>
      </c>
      <c r="R2194" s="160">
        <f t="shared" si="375"/>
        <v>42.299999999930151</v>
      </c>
      <c r="S2194" s="158">
        <f t="shared" si="376"/>
        <v>42.299999999930151</v>
      </c>
      <c r="T2194" s="161">
        <f t="shared" si="377"/>
        <v>12689.999999979045</v>
      </c>
      <c r="U2194" s="158">
        <f t="shared" si="379"/>
        <v>300</v>
      </c>
      <c r="V2194" s="160">
        <f t="shared" si="378"/>
        <v>300</v>
      </c>
    </row>
    <row r="2195" spans="1:22" x14ac:dyDescent="0.25">
      <c r="A2195" s="98" t="s">
        <v>23</v>
      </c>
      <c r="B2195" s="98" t="s">
        <v>79</v>
      </c>
      <c r="C2195" s="98">
        <v>161</v>
      </c>
      <c r="D2195" s="98">
        <v>1850</v>
      </c>
      <c r="E2195" s="157">
        <v>41598.193749999999</v>
      </c>
      <c r="F2195" s="157">
        <v>41598.447916666664</v>
      </c>
      <c r="G2195" s="98">
        <v>0</v>
      </c>
      <c r="H2195" s="98">
        <v>330</v>
      </c>
      <c r="I2195" s="98">
        <v>300</v>
      </c>
      <c r="J2195" s="98" t="s">
        <v>2263</v>
      </c>
      <c r="K2195" s="98" t="s">
        <v>86</v>
      </c>
      <c r="L2195" s="105" t="str">
        <f t="shared" si="370"/>
        <v>Mill Creek</v>
      </c>
      <c r="M2195" s="105" t="str">
        <f t="shared" si="371"/>
        <v>Other</v>
      </c>
      <c r="N2195" s="105" t="str">
        <f t="shared" si="372"/>
        <v>Coal</v>
      </c>
      <c r="O2195" s="105">
        <f>IFERROR(VLOOKUP(A2195,Lookup!$J$5:$P$19,7,FALSE),0)</f>
        <v>2</v>
      </c>
      <c r="P2195" s="159">
        <f t="shared" si="373"/>
        <v>2013</v>
      </c>
      <c r="Q2195" s="159">
        <f t="shared" si="374"/>
        <v>11</v>
      </c>
      <c r="R2195" s="160">
        <f t="shared" si="375"/>
        <v>6.0999999999767169</v>
      </c>
      <c r="S2195" s="158">
        <f t="shared" si="376"/>
        <v>6.0999999999767169</v>
      </c>
      <c r="T2195" s="161">
        <f t="shared" si="377"/>
        <v>1829.9999999930151</v>
      </c>
      <c r="U2195" s="158">
        <f t="shared" si="379"/>
        <v>300</v>
      </c>
      <c r="V2195" s="160">
        <f t="shared" si="378"/>
        <v>300</v>
      </c>
    </row>
    <row r="2196" spans="1:22" x14ac:dyDescent="0.25">
      <c r="A2196" s="98" t="s">
        <v>23</v>
      </c>
      <c r="B2196" s="98" t="s">
        <v>17</v>
      </c>
      <c r="C2196" s="98">
        <v>162</v>
      </c>
      <c r="D2196" s="98">
        <v>1850</v>
      </c>
      <c r="E2196" s="157">
        <v>41598.447916666664</v>
      </c>
      <c r="F2196" s="157">
        <v>41598.482638888891</v>
      </c>
      <c r="G2196" s="98">
        <v>315</v>
      </c>
      <c r="H2196" s="98">
        <v>330</v>
      </c>
      <c r="I2196" s="98">
        <v>300</v>
      </c>
      <c r="J2196" s="98" t="s">
        <v>2263</v>
      </c>
      <c r="K2196" s="98" t="s">
        <v>41</v>
      </c>
      <c r="L2196" s="105" t="str">
        <f t="shared" si="370"/>
        <v>Mill Creek</v>
      </c>
      <c r="M2196" s="105" t="str">
        <f t="shared" si="371"/>
        <v>Derate</v>
      </c>
      <c r="N2196" s="105" t="str">
        <f t="shared" si="372"/>
        <v>Coal</v>
      </c>
      <c r="O2196" s="105">
        <f>IFERROR(VLOOKUP(A2196,Lookup!$J$5:$P$19,7,FALSE),0)</f>
        <v>2</v>
      </c>
      <c r="P2196" s="159">
        <f t="shared" si="373"/>
        <v>2013</v>
      </c>
      <c r="Q2196" s="159">
        <f t="shared" si="374"/>
        <v>11</v>
      </c>
      <c r="R2196" s="160">
        <f t="shared" si="375"/>
        <v>0.8333333334303461</v>
      </c>
      <c r="S2196" s="158">
        <f t="shared" si="376"/>
        <v>3.7878787883197547E-2</v>
      </c>
      <c r="T2196" s="161">
        <f t="shared" si="377"/>
        <v>11.363636364959264</v>
      </c>
      <c r="U2196" s="158">
        <f t="shared" si="379"/>
        <v>13.636363636363637</v>
      </c>
      <c r="V2196" s="160">
        <f t="shared" si="378"/>
        <v>14</v>
      </c>
    </row>
    <row r="2197" spans="1:22" x14ac:dyDescent="0.25">
      <c r="A2197" s="98" t="s">
        <v>23</v>
      </c>
      <c r="B2197" s="98" t="s">
        <v>105</v>
      </c>
      <c r="C2197" s="98">
        <v>163</v>
      </c>
      <c r="D2197" s="98">
        <v>250</v>
      </c>
      <c r="E2197" s="157">
        <v>41598.916666666664</v>
      </c>
      <c r="F2197" s="157">
        <v>41599.205555555556</v>
      </c>
      <c r="G2197" s="98">
        <v>250</v>
      </c>
      <c r="H2197" s="98">
        <v>330</v>
      </c>
      <c r="I2197" s="98">
        <v>300</v>
      </c>
      <c r="J2197" s="98" t="s">
        <v>1978</v>
      </c>
      <c r="K2197" s="98" t="s">
        <v>1387</v>
      </c>
      <c r="L2197" s="105" t="str">
        <f t="shared" si="370"/>
        <v>Mill Creek</v>
      </c>
      <c r="M2197" s="105" t="str">
        <f t="shared" si="371"/>
        <v>Derate</v>
      </c>
      <c r="N2197" s="105" t="str">
        <f t="shared" si="372"/>
        <v>Coal</v>
      </c>
      <c r="O2197" s="105">
        <f>IFERROR(VLOOKUP(A2197,Lookup!$J$5:$P$19,7,FALSE),0)</f>
        <v>2</v>
      </c>
      <c r="P2197" s="159">
        <f t="shared" si="373"/>
        <v>2013</v>
      </c>
      <c r="Q2197" s="159">
        <f t="shared" si="374"/>
        <v>11</v>
      </c>
      <c r="R2197" s="160">
        <f t="shared" si="375"/>
        <v>6.933333333407063</v>
      </c>
      <c r="S2197" s="158">
        <f t="shared" si="376"/>
        <v>1.6808080808259547</v>
      </c>
      <c r="T2197" s="161">
        <f t="shared" si="377"/>
        <v>504.2424242477864</v>
      </c>
      <c r="U2197" s="158">
        <f t="shared" si="379"/>
        <v>72.727272727272734</v>
      </c>
      <c r="V2197" s="160">
        <f t="shared" si="378"/>
        <v>73</v>
      </c>
    </row>
    <row r="2198" spans="1:22" x14ac:dyDescent="0.25">
      <c r="A2198" s="98" t="s">
        <v>23</v>
      </c>
      <c r="B2198" s="98" t="s">
        <v>105</v>
      </c>
      <c r="C2198" s="98">
        <v>164</v>
      </c>
      <c r="D2198" s="98">
        <v>360</v>
      </c>
      <c r="E2198" s="157">
        <v>41612.900694444441</v>
      </c>
      <c r="F2198" s="157">
        <v>41613.188888888886</v>
      </c>
      <c r="G2198" s="98">
        <v>145</v>
      </c>
      <c r="H2198" s="98">
        <v>330</v>
      </c>
      <c r="I2198" s="98">
        <v>300</v>
      </c>
      <c r="J2198" s="98" t="s">
        <v>229</v>
      </c>
      <c r="K2198" s="98" t="s">
        <v>1388</v>
      </c>
      <c r="L2198" s="105" t="str">
        <f t="shared" si="370"/>
        <v>Mill Creek</v>
      </c>
      <c r="M2198" s="105" t="str">
        <f t="shared" si="371"/>
        <v>Derate</v>
      </c>
      <c r="N2198" s="105" t="str">
        <f t="shared" si="372"/>
        <v>Coal</v>
      </c>
      <c r="O2198" s="105">
        <f>IFERROR(VLOOKUP(A2198,Lookup!$J$5:$P$19,7,FALSE),0)</f>
        <v>2</v>
      </c>
      <c r="P2198" s="159">
        <f t="shared" si="373"/>
        <v>2013</v>
      </c>
      <c r="Q2198" s="159">
        <f t="shared" si="374"/>
        <v>12</v>
      </c>
      <c r="R2198" s="160">
        <f t="shared" si="375"/>
        <v>6.9166666666860692</v>
      </c>
      <c r="S2198" s="158">
        <f t="shared" si="376"/>
        <v>3.8775252525361297</v>
      </c>
      <c r="T2198" s="161">
        <f t="shared" si="377"/>
        <v>1163.2575757608388</v>
      </c>
      <c r="U2198" s="158">
        <f t="shared" si="379"/>
        <v>168.18181818181819</v>
      </c>
      <c r="V2198" s="160">
        <f t="shared" si="378"/>
        <v>168</v>
      </c>
    </row>
    <row r="2199" spans="1:22" x14ac:dyDescent="0.25">
      <c r="A2199" s="98" t="s">
        <v>23</v>
      </c>
      <c r="B2199" s="98" t="s">
        <v>17</v>
      </c>
      <c r="C2199" s="98">
        <v>165</v>
      </c>
      <c r="D2199" s="98">
        <v>250</v>
      </c>
      <c r="E2199" s="157">
        <v>41619.040277777778</v>
      </c>
      <c r="F2199" s="157">
        <v>41619.138194444444</v>
      </c>
      <c r="G2199" s="98">
        <v>230</v>
      </c>
      <c r="H2199" s="98">
        <v>330</v>
      </c>
      <c r="I2199" s="98">
        <v>300</v>
      </c>
      <c r="J2199" s="98" t="s">
        <v>1978</v>
      </c>
      <c r="K2199" s="98" t="s">
        <v>1389</v>
      </c>
      <c r="L2199" s="105" t="str">
        <f t="shared" si="370"/>
        <v>Mill Creek</v>
      </c>
      <c r="M2199" s="105" t="str">
        <f t="shared" si="371"/>
        <v>Derate</v>
      </c>
      <c r="N2199" s="105" t="str">
        <f t="shared" si="372"/>
        <v>Coal</v>
      </c>
      <c r="O2199" s="105">
        <f>IFERROR(VLOOKUP(A2199,Lookup!$J$5:$P$19,7,FALSE),0)</f>
        <v>2</v>
      </c>
      <c r="P2199" s="159">
        <f t="shared" si="373"/>
        <v>2013</v>
      </c>
      <c r="Q2199" s="159">
        <f t="shared" si="374"/>
        <v>12</v>
      </c>
      <c r="R2199" s="160">
        <f t="shared" si="375"/>
        <v>2.3499999999767169</v>
      </c>
      <c r="S2199" s="158">
        <f t="shared" si="376"/>
        <v>0.71212121211415669</v>
      </c>
      <c r="T2199" s="161">
        <f t="shared" si="377"/>
        <v>213.636363634247</v>
      </c>
      <c r="U2199" s="158">
        <f t="shared" si="379"/>
        <v>90.909090909090907</v>
      </c>
      <c r="V2199" s="160">
        <f t="shared" si="378"/>
        <v>91</v>
      </c>
    </row>
    <row r="2200" spans="1:22" x14ac:dyDescent="0.25">
      <c r="A2200" s="98" t="s">
        <v>23</v>
      </c>
      <c r="B2200" s="98" t="s">
        <v>17</v>
      </c>
      <c r="C2200" s="98">
        <v>166</v>
      </c>
      <c r="D2200" s="98">
        <v>250</v>
      </c>
      <c r="E2200" s="157">
        <v>41619.394444444442</v>
      </c>
      <c r="F2200" s="157">
        <v>41619.417361111111</v>
      </c>
      <c r="G2200" s="98">
        <v>230</v>
      </c>
      <c r="H2200" s="98">
        <v>330</v>
      </c>
      <c r="I2200" s="98">
        <v>300</v>
      </c>
      <c r="J2200" s="98" t="s">
        <v>1978</v>
      </c>
      <c r="K2200" s="98" t="s">
        <v>1390</v>
      </c>
      <c r="L2200" s="105" t="str">
        <f t="shared" si="370"/>
        <v>Mill Creek</v>
      </c>
      <c r="M2200" s="105" t="str">
        <f t="shared" si="371"/>
        <v>Derate</v>
      </c>
      <c r="N2200" s="105" t="str">
        <f t="shared" si="372"/>
        <v>Coal</v>
      </c>
      <c r="O2200" s="105">
        <f>IFERROR(VLOOKUP(A2200,Lookup!$J$5:$P$19,7,FALSE),0)</f>
        <v>2</v>
      </c>
      <c r="P2200" s="159">
        <f t="shared" si="373"/>
        <v>2013</v>
      </c>
      <c r="Q2200" s="159">
        <f t="shared" si="374"/>
        <v>12</v>
      </c>
      <c r="R2200" s="160">
        <f t="shared" si="375"/>
        <v>0.55000000004656613</v>
      </c>
      <c r="S2200" s="158">
        <f t="shared" si="376"/>
        <v>0.16666666668077762</v>
      </c>
      <c r="T2200" s="161">
        <f t="shared" si="377"/>
        <v>50.000000004233286</v>
      </c>
      <c r="U2200" s="158">
        <f t="shared" si="379"/>
        <v>90.909090909090907</v>
      </c>
      <c r="V2200" s="160">
        <f t="shared" si="378"/>
        <v>91</v>
      </c>
    </row>
    <row r="2201" spans="1:22" x14ac:dyDescent="0.25">
      <c r="A2201" s="98" t="s">
        <v>23</v>
      </c>
      <c r="B2201" s="98" t="s">
        <v>105</v>
      </c>
      <c r="C2201" s="98">
        <v>167</v>
      </c>
      <c r="D2201" s="98">
        <v>250</v>
      </c>
      <c r="E2201" s="157">
        <v>41619.520833333336</v>
      </c>
      <c r="F2201" s="157">
        <v>41619.597916666666</v>
      </c>
      <c r="G2201" s="98">
        <v>230</v>
      </c>
      <c r="H2201" s="98">
        <v>330</v>
      </c>
      <c r="I2201" s="98">
        <v>300</v>
      </c>
      <c r="J2201" s="98" t="s">
        <v>1978</v>
      </c>
      <c r="K2201" s="98" t="s">
        <v>1391</v>
      </c>
      <c r="L2201" s="105" t="str">
        <f t="shared" si="370"/>
        <v>Mill Creek</v>
      </c>
      <c r="M2201" s="105" t="str">
        <f t="shared" si="371"/>
        <v>Derate</v>
      </c>
      <c r="N2201" s="105" t="str">
        <f t="shared" si="372"/>
        <v>Coal</v>
      </c>
      <c r="O2201" s="105">
        <f>IFERROR(VLOOKUP(A2201,Lookup!$J$5:$P$19,7,FALSE),0)</f>
        <v>2</v>
      </c>
      <c r="P2201" s="159">
        <f t="shared" si="373"/>
        <v>2013</v>
      </c>
      <c r="Q2201" s="159">
        <f t="shared" si="374"/>
        <v>12</v>
      </c>
      <c r="R2201" s="160">
        <f t="shared" si="375"/>
        <v>1.8499999999185093</v>
      </c>
      <c r="S2201" s="158">
        <f t="shared" si="376"/>
        <v>0.56060606058136642</v>
      </c>
      <c r="T2201" s="161">
        <f t="shared" si="377"/>
        <v>168.18181817440993</v>
      </c>
      <c r="U2201" s="158">
        <f t="shared" si="379"/>
        <v>90.909090909090907</v>
      </c>
      <c r="V2201" s="160">
        <f t="shared" si="378"/>
        <v>91</v>
      </c>
    </row>
    <row r="2202" spans="1:22" x14ac:dyDescent="0.25">
      <c r="A2202" s="98" t="s">
        <v>23</v>
      </c>
      <c r="B2202" s="98" t="s">
        <v>17</v>
      </c>
      <c r="C2202" s="98">
        <v>168</v>
      </c>
      <c r="D2202" s="98">
        <v>250</v>
      </c>
      <c r="E2202" s="157">
        <v>41619.908333333333</v>
      </c>
      <c r="F2202" s="157">
        <v>41619.961805555555</v>
      </c>
      <c r="G2202" s="98">
        <v>270</v>
      </c>
      <c r="H2202" s="98">
        <v>330</v>
      </c>
      <c r="I2202" s="98">
        <v>300</v>
      </c>
      <c r="J2202" s="98" t="s">
        <v>1978</v>
      </c>
      <c r="K2202" s="98" t="s">
        <v>1390</v>
      </c>
      <c r="L2202" s="105" t="str">
        <f t="shared" si="370"/>
        <v>Mill Creek</v>
      </c>
      <c r="M2202" s="105" t="str">
        <f t="shared" si="371"/>
        <v>Derate</v>
      </c>
      <c r="N2202" s="105" t="str">
        <f t="shared" si="372"/>
        <v>Coal</v>
      </c>
      <c r="O2202" s="105">
        <f>IFERROR(VLOOKUP(A2202,Lookup!$J$5:$P$19,7,FALSE),0)</f>
        <v>2</v>
      </c>
      <c r="P2202" s="159">
        <f t="shared" si="373"/>
        <v>2013</v>
      </c>
      <c r="Q2202" s="159">
        <f t="shared" si="374"/>
        <v>12</v>
      </c>
      <c r="R2202" s="160">
        <f t="shared" si="375"/>
        <v>1.2833333333255723</v>
      </c>
      <c r="S2202" s="158">
        <f t="shared" si="376"/>
        <v>0.23333333333192224</v>
      </c>
      <c r="T2202" s="161">
        <f t="shared" si="377"/>
        <v>69.999999999576673</v>
      </c>
      <c r="U2202" s="158">
        <f t="shared" si="379"/>
        <v>54.545454545454547</v>
      </c>
      <c r="V2202" s="160">
        <f t="shared" si="378"/>
        <v>55</v>
      </c>
    </row>
    <row r="2203" spans="1:22" x14ac:dyDescent="0.25">
      <c r="A2203" s="98" t="s">
        <v>23</v>
      </c>
      <c r="B2203" s="98" t="s">
        <v>17</v>
      </c>
      <c r="C2203" s="98">
        <v>169</v>
      </c>
      <c r="D2203" s="98">
        <v>250</v>
      </c>
      <c r="E2203" s="157">
        <v>41619.982638888891</v>
      </c>
      <c r="F2203" s="157">
        <v>41620.125</v>
      </c>
      <c r="G2203" s="98">
        <v>270</v>
      </c>
      <c r="H2203" s="98">
        <v>330</v>
      </c>
      <c r="I2203" s="98">
        <v>300</v>
      </c>
      <c r="J2203" s="98" t="s">
        <v>1978</v>
      </c>
      <c r="K2203" s="98" t="s">
        <v>1390</v>
      </c>
      <c r="L2203" s="105" t="str">
        <f t="shared" si="370"/>
        <v>Mill Creek</v>
      </c>
      <c r="M2203" s="105" t="str">
        <f t="shared" si="371"/>
        <v>Derate</v>
      </c>
      <c r="N2203" s="105" t="str">
        <f t="shared" si="372"/>
        <v>Coal</v>
      </c>
      <c r="O2203" s="105">
        <f>IFERROR(VLOOKUP(A2203,Lookup!$J$5:$P$19,7,FALSE),0)</f>
        <v>2</v>
      </c>
      <c r="P2203" s="159">
        <f t="shared" si="373"/>
        <v>2013</v>
      </c>
      <c r="Q2203" s="159">
        <f t="shared" si="374"/>
        <v>12</v>
      </c>
      <c r="R2203" s="160">
        <f t="shared" si="375"/>
        <v>3.4166666666278616</v>
      </c>
      <c r="S2203" s="158">
        <f t="shared" si="376"/>
        <v>0.62121212120506575</v>
      </c>
      <c r="T2203" s="161">
        <f t="shared" si="377"/>
        <v>186.36363636151972</v>
      </c>
      <c r="U2203" s="158">
        <f t="shared" si="379"/>
        <v>54.545454545454547</v>
      </c>
      <c r="V2203" s="160">
        <f t="shared" si="378"/>
        <v>55</v>
      </c>
    </row>
    <row r="2204" spans="1:22" x14ac:dyDescent="0.25">
      <c r="A2204" s="98" t="s">
        <v>23</v>
      </c>
      <c r="B2204" s="98" t="s">
        <v>17</v>
      </c>
      <c r="C2204" s="98">
        <v>170</v>
      </c>
      <c r="D2204" s="98">
        <v>250</v>
      </c>
      <c r="E2204" s="157">
        <v>41620.271527777775</v>
      </c>
      <c r="F2204" s="157">
        <v>41620.287499999999</v>
      </c>
      <c r="G2204" s="98">
        <v>270</v>
      </c>
      <c r="H2204" s="98">
        <v>330</v>
      </c>
      <c r="I2204" s="98">
        <v>300</v>
      </c>
      <c r="J2204" s="98" t="s">
        <v>1978</v>
      </c>
      <c r="K2204" s="98" t="s">
        <v>1390</v>
      </c>
      <c r="L2204" s="105" t="str">
        <f t="shared" si="370"/>
        <v>Mill Creek</v>
      </c>
      <c r="M2204" s="105" t="str">
        <f t="shared" si="371"/>
        <v>Derate</v>
      </c>
      <c r="N2204" s="105" t="str">
        <f t="shared" si="372"/>
        <v>Coal</v>
      </c>
      <c r="O2204" s="105">
        <f>IFERROR(VLOOKUP(A2204,Lookup!$J$5:$P$19,7,FALSE),0)</f>
        <v>2</v>
      </c>
      <c r="P2204" s="159">
        <f t="shared" si="373"/>
        <v>2013</v>
      </c>
      <c r="Q2204" s="159">
        <f t="shared" si="374"/>
        <v>12</v>
      </c>
      <c r="R2204" s="160">
        <f t="shared" si="375"/>
        <v>0.38333333336049691</v>
      </c>
      <c r="S2204" s="158">
        <f t="shared" si="376"/>
        <v>6.9696969701908529E-2</v>
      </c>
      <c r="T2204" s="161">
        <f t="shared" si="377"/>
        <v>20.909090910572559</v>
      </c>
      <c r="U2204" s="158">
        <f t="shared" si="379"/>
        <v>54.545454545454547</v>
      </c>
      <c r="V2204" s="160">
        <f t="shared" si="378"/>
        <v>55</v>
      </c>
    </row>
    <row r="2205" spans="1:22" x14ac:dyDescent="0.25">
      <c r="A2205" s="98" t="s">
        <v>23</v>
      </c>
      <c r="B2205" s="98" t="s">
        <v>17</v>
      </c>
      <c r="C2205" s="98">
        <v>171</v>
      </c>
      <c r="D2205" s="98">
        <v>250</v>
      </c>
      <c r="E2205" s="157">
        <v>41620.327777777777</v>
      </c>
      <c r="F2205" s="157">
        <v>41620.334027777775</v>
      </c>
      <c r="G2205" s="98">
        <v>270</v>
      </c>
      <c r="H2205" s="98">
        <v>330</v>
      </c>
      <c r="I2205" s="98">
        <v>300</v>
      </c>
      <c r="J2205" s="98" t="s">
        <v>1978</v>
      </c>
      <c r="K2205" s="98" t="s">
        <v>1390</v>
      </c>
      <c r="L2205" s="105" t="str">
        <f t="shared" si="370"/>
        <v>Mill Creek</v>
      </c>
      <c r="M2205" s="105" t="str">
        <f t="shared" si="371"/>
        <v>Derate</v>
      </c>
      <c r="N2205" s="105" t="str">
        <f t="shared" si="372"/>
        <v>Coal</v>
      </c>
      <c r="O2205" s="105">
        <f>IFERROR(VLOOKUP(A2205,Lookup!$J$5:$P$19,7,FALSE),0)</f>
        <v>2</v>
      </c>
      <c r="P2205" s="159">
        <f t="shared" si="373"/>
        <v>2013</v>
      </c>
      <c r="Q2205" s="159">
        <f t="shared" si="374"/>
        <v>12</v>
      </c>
      <c r="R2205" s="160">
        <f t="shared" si="375"/>
        <v>0.1499999999650754</v>
      </c>
      <c r="S2205" s="158">
        <f t="shared" si="376"/>
        <v>2.7272727266377347E-2</v>
      </c>
      <c r="T2205" s="161">
        <f t="shared" si="377"/>
        <v>8.1818181799132041</v>
      </c>
      <c r="U2205" s="158">
        <f t="shared" si="379"/>
        <v>54.545454545454547</v>
      </c>
      <c r="V2205" s="160">
        <f t="shared" si="378"/>
        <v>55</v>
      </c>
    </row>
    <row r="2206" spans="1:22" x14ac:dyDescent="0.25">
      <c r="A2206" s="98" t="s">
        <v>23</v>
      </c>
      <c r="B2206" s="98" t="s">
        <v>17</v>
      </c>
      <c r="C2206" s="98">
        <v>172</v>
      </c>
      <c r="D2206" s="98">
        <v>250</v>
      </c>
      <c r="E2206" s="157">
        <v>41620.34375</v>
      </c>
      <c r="F2206" s="157">
        <v>41620.353472222225</v>
      </c>
      <c r="G2206" s="98">
        <v>270</v>
      </c>
      <c r="H2206" s="98">
        <v>330</v>
      </c>
      <c r="I2206" s="98">
        <v>300</v>
      </c>
      <c r="J2206" s="98" t="s">
        <v>1978</v>
      </c>
      <c r="K2206" s="98" t="s">
        <v>1390</v>
      </c>
      <c r="L2206" s="105" t="str">
        <f t="shared" si="370"/>
        <v>Mill Creek</v>
      </c>
      <c r="M2206" s="105" t="str">
        <f t="shared" si="371"/>
        <v>Derate</v>
      </c>
      <c r="N2206" s="105" t="str">
        <f t="shared" si="372"/>
        <v>Coal</v>
      </c>
      <c r="O2206" s="105">
        <f>IFERROR(VLOOKUP(A2206,Lookup!$J$5:$P$19,7,FALSE),0)</f>
        <v>2</v>
      </c>
      <c r="P2206" s="159">
        <f t="shared" si="373"/>
        <v>2013</v>
      </c>
      <c r="Q2206" s="159">
        <f t="shared" si="374"/>
        <v>12</v>
      </c>
      <c r="R2206" s="160">
        <f t="shared" si="375"/>
        <v>0.2333333333954215</v>
      </c>
      <c r="S2206" s="158">
        <f t="shared" si="376"/>
        <v>4.2424242435531181E-2</v>
      </c>
      <c r="T2206" s="161">
        <f t="shared" si="377"/>
        <v>12.727272730659354</v>
      </c>
      <c r="U2206" s="158">
        <f t="shared" si="379"/>
        <v>54.545454545454547</v>
      </c>
      <c r="V2206" s="160">
        <f t="shared" si="378"/>
        <v>55</v>
      </c>
    </row>
    <row r="2207" spans="1:22" x14ac:dyDescent="0.25">
      <c r="A2207" s="98" t="s">
        <v>23</v>
      </c>
      <c r="B2207" s="98" t="s">
        <v>17</v>
      </c>
      <c r="C2207" s="98">
        <v>173</v>
      </c>
      <c r="D2207" s="98">
        <v>250</v>
      </c>
      <c r="E2207" s="157">
        <v>41620.458333333336</v>
      </c>
      <c r="F2207" s="157">
        <v>41620.466666666667</v>
      </c>
      <c r="G2207" s="98">
        <v>270</v>
      </c>
      <c r="H2207" s="98">
        <v>330</v>
      </c>
      <c r="I2207" s="98">
        <v>300</v>
      </c>
      <c r="J2207" s="98" t="s">
        <v>1978</v>
      </c>
      <c r="K2207" s="98" t="s">
        <v>1390</v>
      </c>
      <c r="L2207" s="105" t="str">
        <f t="shared" si="370"/>
        <v>Mill Creek</v>
      </c>
      <c r="M2207" s="105" t="str">
        <f t="shared" si="371"/>
        <v>Derate</v>
      </c>
      <c r="N2207" s="105" t="str">
        <f t="shared" si="372"/>
        <v>Coal</v>
      </c>
      <c r="O2207" s="105">
        <f>IFERROR(VLOOKUP(A2207,Lookup!$J$5:$P$19,7,FALSE),0)</f>
        <v>2</v>
      </c>
      <c r="P2207" s="159">
        <f t="shared" si="373"/>
        <v>2013</v>
      </c>
      <c r="Q2207" s="159">
        <f t="shared" si="374"/>
        <v>12</v>
      </c>
      <c r="R2207" s="160">
        <f t="shared" si="375"/>
        <v>0.19999999995343387</v>
      </c>
      <c r="S2207" s="158">
        <f t="shared" si="376"/>
        <v>3.6363636355169794E-2</v>
      </c>
      <c r="T2207" s="161">
        <f t="shared" si="377"/>
        <v>10.909090906550938</v>
      </c>
      <c r="U2207" s="158">
        <f t="shared" si="379"/>
        <v>54.545454545454547</v>
      </c>
      <c r="V2207" s="160">
        <f t="shared" si="378"/>
        <v>55</v>
      </c>
    </row>
    <row r="2208" spans="1:22" x14ac:dyDescent="0.25">
      <c r="A2208" s="98" t="s">
        <v>23</v>
      </c>
      <c r="B2208" s="98" t="s">
        <v>17</v>
      </c>
      <c r="C2208" s="98">
        <v>174</v>
      </c>
      <c r="D2208" s="98">
        <v>250</v>
      </c>
      <c r="E2208" s="157">
        <v>41620.59375</v>
      </c>
      <c r="F2208" s="157">
        <v>41620.637499999997</v>
      </c>
      <c r="G2208" s="98">
        <v>260</v>
      </c>
      <c r="H2208" s="98">
        <v>330</v>
      </c>
      <c r="I2208" s="98">
        <v>300</v>
      </c>
      <c r="J2208" s="98" t="s">
        <v>1978</v>
      </c>
      <c r="K2208" s="98" t="s">
        <v>1392</v>
      </c>
      <c r="L2208" s="105" t="str">
        <f t="shared" si="370"/>
        <v>Mill Creek</v>
      </c>
      <c r="M2208" s="105" t="str">
        <f t="shared" si="371"/>
        <v>Derate</v>
      </c>
      <c r="N2208" s="105" t="str">
        <f t="shared" si="372"/>
        <v>Coal</v>
      </c>
      <c r="O2208" s="105">
        <f>IFERROR(VLOOKUP(A2208,Lookup!$J$5:$P$19,7,FALSE),0)</f>
        <v>2</v>
      </c>
      <c r="P2208" s="159">
        <f t="shared" si="373"/>
        <v>2013</v>
      </c>
      <c r="Q2208" s="159">
        <f t="shared" si="374"/>
        <v>12</v>
      </c>
      <c r="R2208" s="160">
        <f t="shared" si="375"/>
        <v>1.0499999999301508</v>
      </c>
      <c r="S2208" s="158">
        <f t="shared" si="376"/>
        <v>0.22272727271245624</v>
      </c>
      <c r="T2208" s="161">
        <f t="shared" si="377"/>
        <v>66.818181813736871</v>
      </c>
      <c r="U2208" s="158">
        <f t="shared" si="379"/>
        <v>63.636363636363633</v>
      </c>
      <c r="V2208" s="160">
        <f t="shared" si="378"/>
        <v>64</v>
      </c>
    </row>
    <row r="2209" spans="1:22" x14ac:dyDescent="0.25">
      <c r="A2209" s="98" t="s">
        <v>23</v>
      </c>
      <c r="B2209" s="98" t="s">
        <v>17</v>
      </c>
      <c r="C2209" s="98">
        <v>175</v>
      </c>
      <c r="D2209" s="98">
        <v>3149</v>
      </c>
      <c r="E2209" s="157">
        <v>41620.85</v>
      </c>
      <c r="F2209" s="157">
        <v>41621.27847222222</v>
      </c>
      <c r="G2209" s="98">
        <v>315</v>
      </c>
      <c r="H2209" s="98">
        <v>330</v>
      </c>
      <c r="I2209" s="98">
        <v>300</v>
      </c>
      <c r="J2209" s="98" t="s">
        <v>2034</v>
      </c>
      <c r="K2209" s="98" t="s">
        <v>40</v>
      </c>
      <c r="L2209" s="105" t="str">
        <f t="shared" si="370"/>
        <v>Mill Creek</v>
      </c>
      <c r="M2209" s="105" t="str">
        <f t="shared" si="371"/>
        <v>Derate</v>
      </c>
      <c r="N2209" s="105" t="str">
        <f t="shared" si="372"/>
        <v>Coal</v>
      </c>
      <c r="O2209" s="105">
        <f>IFERROR(VLOOKUP(A2209,Lookup!$J$5:$P$19,7,FALSE),0)</f>
        <v>2</v>
      </c>
      <c r="P2209" s="159">
        <f t="shared" si="373"/>
        <v>2013</v>
      </c>
      <c r="Q2209" s="159">
        <f t="shared" si="374"/>
        <v>12</v>
      </c>
      <c r="R2209" s="160">
        <f t="shared" si="375"/>
        <v>10.283333333325572</v>
      </c>
      <c r="S2209" s="158">
        <f t="shared" si="376"/>
        <v>0.46742424242388964</v>
      </c>
      <c r="T2209" s="161">
        <f t="shared" si="377"/>
        <v>140.22727272716688</v>
      </c>
      <c r="U2209" s="158">
        <f t="shared" si="379"/>
        <v>13.636363636363637</v>
      </c>
      <c r="V2209" s="160">
        <f t="shared" si="378"/>
        <v>14</v>
      </c>
    </row>
    <row r="2210" spans="1:22" x14ac:dyDescent="0.25">
      <c r="A2210" s="98" t="s">
        <v>23</v>
      </c>
      <c r="B2210" s="98" t="s">
        <v>17</v>
      </c>
      <c r="C2210" s="98">
        <v>176</v>
      </c>
      <c r="D2210" s="98">
        <v>3149</v>
      </c>
      <c r="E2210" s="157">
        <v>41621.27847222222</v>
      </c>
      <c r="F2210" s="157">
        <v>41622.006249999999</v>
      </c>
      <c r="G2210" s="98">
        <v>305</v>
      </c>
      <c r="H2210" s="98">
        <v>330</v>
      </c>
      <c r="I2210" s="98">
        <v>300</v>
      </c>
      <c r="J2210" s="98" t="s">
        <v>2034</v>
      </c>
      <c r="K2210" s="98" t="s">
        <v>40</v>
      </c>
      <c r="L2210" s="105" t="str">
        <f t="shared" si="370"/>
        <v>Mill Creek</v>
      </c>
      <c r="M2210" s="105" t="str">
        <f t="shared" si="371"/>
        <v>Derate</v>
      </c>
      <c r="N2210" s="105" t="str">
        <f t="shared" si="372"/>
        <v>Coal</v>
      </c>
      <c r="O2210" s="105">
        <f>IFERROR(VLOOKUP(A2210,Lookup!$J$5:$P$19,7,FALSE),0)</f>
        <v>2</v>
      </c>
      <c r="P2210" s="159">
        <f t="shared" si="373"/>
        <v>2013</v>
      </c>
      <c r="Q2210" s="159">
        <f t="shared" si="374"/>
        <v>12</v>
      </c>
      <c r="R2210" s="160">
        <f t="shared" si="375"/>
        <v>17.466666666674428</v>
      </c>
      <c r="S2210" s="158">
        <f t="shared" si="376"/>
        <v>1.3232323232329113</v>
      </c>
      <c r="T2210" s="161">
        <f t="shared" si="377"/>
        <v>396.96969696987338</v>
      </c>
      <c r="U2210" s="158">
        <f t="shared" si="379"/>
        <v>22.727272727272727</v>
      </c>
      <c r="V2210" s="160">
        <f t="shared" si="378"/>
        <v>23</v>
      </c>
    </row>
    <row r="2211" spans="1:22" x14ac:dyDescent="0.25">
      <c r="A2211" s="98" t="s">
        <v>23</v>
      </c>
      <c r="B2211" s="98" t="s">
        <v>20</v>
      </c>
      <c r="C2211" s="98">
        <v>177</v>
      </c>
      <c r="D2211" s="98">
        <v>3113</v>
      </c>
      <c r="E2211" s="157">
        <v>41622.006249999999</v>
      </c>
      <c r="F2211" s="157">
        <v>41623.365972222222</v>
      </c>
      <c r="G2211" s="98">
        <v>0</v>
      </c>
      <c r="H2211" s="98">
        <v>330</v>
      </c>
      <c r="I2211" s="98">
        <v>300</v>
      </c>
      <c r="J2211" s="98" t="s">
        <v>2254</v>
      </c>
      <c r="K2211" s="98" t="s">
        <v>1393</v>
      </c>
      <c r="L2211" s="105" t="str">
        <f t="shared" si="370"/>
        <v>Mill Creek</v>
      </c>
      <c r="M2211" s="105" t="str">
        <f t="shared" si="371"/>
        <v>Maintenance</v>
      </c>
      <c r="N2211" s="105" t="str">
        <f t="shared" si="372"/>
        <v>Coal</v>
      </c>
      <c r="O2211" s="105">
        <f>IFERROR(VLOOKUP(A2211,Lookup!$J$5:$P$19,7,FALSE),0)</f>
        <v>2</v>
      </c>
      <c r="P2211" s="159">
        <f t="shared" si="373"/>
        <v>2013</v>
      </c>
      <c r="Q2211" s="159">
        <f t="shared" si="374"/>
        <v>12</v>
      </c>
      <c r="R2211" s="160">
        <f t="shared" si="375"/>
        <v>32.633333333360497</v>
      </c>
      <c r="S2211" s="158">
        <f t="shared" si="376"/>
        <v>32.633333333360497</v>
      </c>
      <c r="T2211" s="161">
        <f t="shared" si="377"/>
        <v>9790.0000000081491</v>
      </c>
      <c r="U2211" s="158">
        <f t="shared" si="379"/>
        <v>300</v>
      </c>
      <c r="V2211" s="160">
        <f t="shared" si="378"/>
        <v>300</v>
      </c>
    </row>
    <row r="2212" spans="1:22" x14ac:dyDescent="0.25">
      <c r="A2212" s="98" t="s">
        <v>23</v>
      </c>
      <c r="B2212" s="98" t="s">
        <v>79</v>
      </c>
      <c r="C2212" s="98">
        <v>178</v>
      </c>
      <c r="D2212" s="98">
        <v>1850</v>
      </c>
      <c r="E2212" s="157">
        <v>41623.365972222222</v>
      </c>
      <c r="F2212" s="157">
        <v>41623.661805555559</v>
      </c>
      <c r="G2212" s="98">
        <v>0</v>
      </c>
      <c r="H2212" s="98">
        <v>330</v>
      </c>
      <c r="I2212" s="98">
        <v>300</v>
      </c>
      <c r="J2212" s="98" t="s">
        <v>2263</v>
      </c>
      <c r="K2212" s="98" t="s">
        <v>86</v>
      </c>
      <c r="L2212" s="105" t="str">
        <f t="shared" si="370"/>
        <v>Mill Creek</v>
      </c>
      <c r="M2212" s="105" t="str">
        <f t="shared" si="371"/>
        <v>Other</v>
      </c>
      <c r="N2212" s="105" t="str">
        <f t="shared" si="372"/>
        <v>Coal</v>
      </c>
      <c r="O2212" s="105">
        <f>IFERROR(VLOOKUP(A2212,Lookup!$J$5:$P$19,7,FALSE),0)</f>
        <v>2</v>
      </c>
      <c r="P2212" s="159">
        <f t="shared" si="373"/>
        <v>2013</v>
      </c>
      <c r="Q2212" s="159">
        <f t="shared" si="374"/>
        <v>12</v>
      </c>
      <c r="R2212" s="160">
        <f t="shared" si="375"/>
        <v>7.1000000000931323</v>
      </c>
      <c r="S2212" s="158">
        <f t="shared" si="376"/>
        <v>7.1000000000931323</v>
      </c>
      <c r="T2212" s="161">
        <f t="shared" si="377"/>
        <v>2130.0000000279397</v>
      </c>
      <c r="U2212" s="158">
        <f t="shared" si="379"/>
        <v>300</v>
      </c>
      <c r="V2212" s="160">
        <f t="shared" si="378"/>
        <v>300</v>
      </c>
    </row>
    <row r="2213" spans="1:22" x14ac:dyDescent="0.25">
      <c r="A2213" s="98" t="s">
        <v>23</v>
      </c>
      <c r="B2213" s="98" t="s">
        <v>17</v>
      </c>
      <c r="C2213" s="98">
        <v>179</v>
      </c>
      <c r="D2213" s="98">
        <v>1850</v>
      </c>
      <c r="E2213" s="157">
        <v>41623.661805555559</v>
      </c>
      <c r="F2213" s="157">
        <v>41623.706250000003</v>
      </c>
      <c r="G2213" s="98">
        <v>270</v>
      </c>
      <c r="H2213" s="98">
        <v>330</v>
      </c>
      <c r="I2213" s="98">
        <v>300</v>
      </c>
      <c r="J2213" s="98" t="s">
        <v>2263</v>
      </c>
      <c r="K2213" s="98" t="s">
        <v>41</v>
      </c>
      <c r="L2213" s="105" t="str">
        <f t="shared" si="370"/>
        <v>Mill Creek</v>
      </c>
      <c r="M2213" s="105" t="str">
        <f t="shared" si="371"/>
        <v>Derate</v>
      </c>
      <c r="N2213" s="105" t="str">
        <f t="shared" si="372"/>
        <v>Coal</v>
      </c>
      <c r="O2213" s="105">
        <f>IFERROR(VLOOKUP(A2213,Lookup!$J$5:$P$19,7,FALSE),0)</f>
        <v>2</v>
      </c>
      <c r="P2213" s="159">
        <f t="shared" si="373"/>
        <v>2013</v>
      </c>
      <c r="Q2213" s="159">
        <f t="shared" si="374"/>
        <v>12</v>
      </c>
      <c r="R2213" s="160">
        <f t="shared" si="375"/>
        <v>1.0666666666511446</v>
      </c>
      <c r="S2213" s="158">
        <f t="shared" si="376"/>
        <v>0.19393939393657175</v>
      </c>
      <c r="T2213" s="161">
        <f t="shared" si="377"/>
        <v>58.181818180971526</v>
      </c>
      <c r="U2213" s="158">
        <f t="shared" si="379"/>
        <v>54.545454545454547</v>
      </c>
      <c r="V2213" s="160">
        <f t="shared" si="378"/>
        <v>55</v>
      </c>
    </row>
    <row r="2214" spans="1:22" x14ac:dyDescent="0.25">
      <c r="A2214" s="98" t="s">
        <v>23</v>
      </c>
      <c r="B2214" s="98" t="s">
        <v>17</v>
      </c>
      <c r="C2214" s="98">
        <v>180</v>
      </c>
      <c r="D2214" s="98">
        <v>250</v>
      </c>
      <c r="E2214" s="157">
        <v>41624.900694444441</v>
      </c>
      <c r="F2214" s="157">
        <v>41624.922222222223</v>
      </c>
      <c r="G2214" s="98">
        <v>250</v>
      </c>
      <c r="H2214" s="98">
        <v>330</v>
      </c>
      <c r="I2214" s="98">
        <v>300</v>
      </c>
      <c r="J2214" s="98" t="s">
        <v>1978</v>
      </c>
      <c r="K2214" s="98" t="s">
        <v>1394</v>
      </c>
      <c r="L2214" s="105" t="str">
        <f t="shared" si="370"/>
        <v>Mill Creek</v>
      </c>
      <c r="M2214" s="105" t="str">
        <f t="shared" si="371"/>
        <v>Derate</v>
      </c>
      <c r="N2214" s="105" t="str">
        <f t="shared" si="372"/>
        <v>Coal</v>
      </c>
      <c r="O2214" s="105">
        <f>IFERROR(VLOOKUP(A2214,Lookup!$J$5:$P$19,7,FALSE),0)</f>
        <v>2</v>
      </c>
      <c r="P2214" s="159">
        <f t="shared" si="373"/>
        <v>2013</v>
      </c>
      <c r="Q2214" s="159">
        <f t="shared" si="374"/>
        <v>12</v>
      </c>
      <c r="R2214" s="160">
        <f t="shared" si="375"/>
        <v>0.51666666677920148</v>
      </c>
      <c r="S2214" s="158">
        <f t="shared" si="376"/>
        <v>0.12525252527980643</v>
      </c>
      <c r="T2214" s="161">
        <f t="shared" si="377"/>
        <v>37.575757583941929</v>
      </c>
      <c r="U2214" s="158">
        <f t="shared" si="379"/>
        <v>72.727272727272734</v>
      </c>
      <c r="V2214" s="160">
        <f t="shared" si="378"/>
        <v>73</v>
      </c>
    </row>
    <row r="2215" spans="1:22" x14ac:dyDescent="0.25">
      <c r="A2215" s="98" t="s">
        <v>23</v>
      </c>
      <c r="B2215" s="98" t="s">
        <v>17</v>
      </c>
      <c r="C2215" s="98">
        <v>181</v>
      </c>
      <c r="D2215" s="98">
        <v>250</v>
      </c>
      <c r="E2215" s="157">
        <v>41624.96597222222</v>
      </c>
      <c r="F2215" s="157">
        <v>41625.186805555553</v>
      </c>
      <c r="G2215" s="98">
        <v>250</v>
      </c>
      <c r="H2215" s="98">
        <v>330</v>
      </c>
      <c r="I2215" s="98">
        <v>300</v>
      </c>
      <c r="J2215" s="98" t="s">
        <v>1978</v>
      </c>
      <c r="K2215" s="98" t="s">
        <v>1395</v>
      </c>
      <c r="L2215" s="105" t="str">
        <f t="shared" si="370"/>
        <v>Mill Creek</v>
      </c>
      <c r="M2215" s="105" t="str">
        <f t="shared" si="371"/>
        <v>Derate</v>
      </c>
      <c r="N2215" s="105" t="str">
        <f t="shared" si="372"/>
        <v>Coal</v>
      </c>
      <c r="O2215" s="105">
        <f>IFERROR(VLOOKUP(A2215,Lookup!$J$5:$P$19,7,FALSE),0)</f>
        <v>2</v>
      </c>
      <c r="P2215" s="159">
        <f t="shared" si="373"/>
        <v>2013</v>
      </c>
      <c r="Q2215" s="159">
        <f t="shared" si="374"/>
        <v>12</v>
      </c>
      <c r="R2215" s="160">
        <f t="shared" si="375"/>
        <v>5.2999999999883585</v>
      </c>
      <c r="S2215" s="158">
        <f t="shared" si="376"/>
        <v>1.2848484848456627</v>
      </c>
      <c r="T2215" s="161">
        <f t="shared" si="377"/>
        <v>385.45454545369881</v>
      </c>
      <c r="U2215" s="158">
        <f t="shared" si="379"/>
        <v>72.727272727272734</v>
      </c>
      <c r="V2215" s="160">
        <f t="shared" si="378"/>
        <v>73</v>
      </c>
    </row>
    <row r="2216" spans="1:22" x14ac:dyDescent="0.25">
      <c r="A2216" s="98" t="s">
        <v>23</v>
      </c>
      <c r="B2216" s="98" t="s">
        <v>105</v>
      </c>
      <c r="C2216" s="98">
        <v>182</v>
      </c>
      <c r="D2216" s="98">
        <v>310</v>
      </c>
      <c r="E2216" s="157">
        <v>41625.9375</v>
      </c>
      <c r="F2216" s="157">
        <v>41626.125</v>
      </c>
      <c r="G2216" s="98">
        <v>250</v>
      </c>
      <c r="H2216" s="98">
        <v>330</v>
      </c>
      <c r="I2216" s="98">
        <v>300</v>
      </c>
      <c r="J2216" s="98" t="s">
        <v>1966</v>
      </c>
      <c r="K2216" s="98" t="s">
        <v>1396</v>
      </c>
      <c r="L2216" s="105" t="str">
        <f t="shared" ref="L2216:L2279" si="380">IF(OR(A2216="BR1",A2216="BR2",A2216="BR3",A2216="BR5",A2216="BR6",A2216="BR7",A2216="BR8",A2216="BR9",A2216="BR10",A2216="BR11"),"Brown",IF(OR(A2216="CR4",A2216="CR5",A2216="CR6",A2216="CR11"),"Cane Run",IF(OR(A2216="GH1",A2216="GH2",A2216="GH3",A2216="GH4"),"Ghent",IF(OR(A2216="GR3",A2216="GR4"),"Green River",IF(OR(A2216="MC1",A2216="MC2",A2216="MC3",A2216="MC4"),"Mill Creek",IF(OR(A2216="TC1",A2216="TC2",A2216="TC5",A2216="TC6",A2216="TC7",A2216="TC8",A2216="TC9",A2216="TC10"),"Trimble",IF(A2216="TY3","Tyrone",IF(OR(A2216="HA1",A2216="HA2",A2216="HA3"),"Haeflin",IF(OR(A2216="PR11",A2216="PR12",A2216="PR13"),"Paddy's Run","Zorn")))))))))</f>
        <v>Mill Creek</v>
      </c>
      <c r="M2216" s="105" t="str">
        <f t="shared" ref="M2216:M2279" si="381">IF(OR(B2216="D1",B2216="D2",B2216="D3",B2216="D4",B2216="PD"),"Derate",IF(OR(B2216="SF",B2216="U1",B2216="U2",B2216="U3"),"Outage",IF(OR(B2216="ME",B2216="MO"),"Maintenance","Other")))</f>
        <v>Derate</v>
      </c>
      <c r="N2216" s="105" t="str">
        <f t="shared" ref="N2216:N2279" si="382">IF(OR(A2216="BR1",A2216="BR2",A2216="BR3",A2216="CR4",A2216="CR5",A2216="CR6",A2216="GH1",A2216="GH2",A2216="GH3",A2216="GH4",A2216="GR3",A2216="GR4",A2216="MC1",A2216="MC2",A2216="MC3",A2216="MC4",A2216="TC1",A2216="TC2",A2216="TY3"),"Coal","Gas")</f>
        <v>Coal</v>
      </c>
      <c r="O2216" s="105">
        <f>IFERROR(VLOOKUP(A2216,Lookup!$J$5:$P$19,7,FALSE),0)</f>
        <v>2</v>
      </c>
      <c r="P2216" s="159">
        <f t="shared" ref="P2216:P2279" si="383">YEAR(E2216)</f>
        <v>2013</v>
      </c>
      <c r="Q2216" s="159">
        <f t="shared" ref="Q2216:Q2279" si="384">MONTH(E2216)</f>
        <v>12</v>
      </c>
      <c r="R2216" s="160">
        <f t="shared" ref="R2216:R2279" si="385">(F2216-E2216)*24</f>
        <v>4.5</v>
      </c>
      <c r="S2216" s="158">
        <f t="shared" ref="S2216:S2279" si="386">R2216*(H2216-G2216)/H2216</f>
        <v>1.0909090909090908</v>
      </c>
      <c r="T2216" s="161">
        <f t="shared" ref="T2216:T2279" si="387">S2216*I2216</f>
        <v>327.27272727272725</v>
      </c>
      <c r="U2216" s="158">
        <f t="shared" si="379"/>
        <v>72.727272727272734</v>
      </c>
      <c r="V2216" s="160">
        <f t="shared" ref="V2216:V2279" si="388">ROUND(U2216,0)</f>
        <v>73</v>
      </c>
    </row>
    <row r="2217" spans="1:22" x14ac:dyDescent="0.25">
      <c r="A2217" s="98" t="s">
        <v>23</v>
      </c>
      <c r="B2217" s="98" t="s">
        <v>17</v>
      </c>
      <c r="C2217" s="98">
        <v>183</v>
      </c>
      <c r="D2217" s="98">
        <v>250</v>
      </c>
      <c r="E2217" s="157">
        <v>41627.854166666664</v>
      </c>
      <c r="F2217" s="157">
        <v>41628.013888888891</v>
      </c>
      <c r="G2217" s="98">
        <v>265</v>
      </c>
      <c r="H2217" s="98">
        <v>330</v>
      </c>
      <c r="I2217" s="98">
        <v>300</v>
      </c>
      <c r="J2217" s="98" t="s">
        <v>1978</v>
      </c>
      <c r="K2217" s="98" t="s">
        <v>1397</v>
      </c>
      <c r="L2217" s="105" t="str">
        <f t="shared" si="380"/>
        <v>Mill Creek</v>
      </c>
      <c r="M2217" s="105" t="str">
        <f t="shared" si="381"/>
        <v>Derate</v>
      </c>
      <c r="N2217" s="105" t="str">
        <f t="shared" si="382"/>
        <v>Coal</v>
      </c>
      <c r="O2217" s="105">
        <f>IFERROR(VLOOKUP(A2217,Lookup!$J$5:$P$19,7,FALSE),0)</f>
        <v>2</v>
      </c>
      <c r="P2217" s="159">
        <f t="shared" si="383"/>
        <v>2013</v>
      </c>
      <c r="Q2217" s="159">
        <f t="shared" si="384"/>
        <v>12</v>
      </c>
      <c r="R2217" s="160">
        <f t="shared" si="385"/>
        <v>3.8333333334303461</v>
      </c>
      <c r="S2217" s="158">
        <f t="shared" si="386"/>
        <v>0.75505050506961358</v>
      </c>
      <c r="T2217" s="161">
        <f t="shared" si="387"/>
        <v>226.51515152088407</v>
      </c>
      <c r="U2217" s="158">
        <f t="shared" ref="U2217:U2280" si="389">IF(G2217&gt;0,MAX((H2217-G2217),0)*I2217/H2217,I2217)</f>
        <v>59.090909090909093</v>
      </c>
      <c r="V2217" s="160">
        <f t="shared" si="388"/>
        <v>59</v>
      </c>
    </row>
    <row r="2218" spans="1:22" x14ac:dyDescent="0.25">
      <c r="A2218" s="98" t="s">
        <v>23</v>
      </c>
      <c r="B2218" s="98" t="s">
        <v>17</v>
      </c>
      <c r="C2218" s="98">
        <v>184</v>
      </c>
      <c r="D2218" s="98">
        <v>250</v>
      </c>
      <c r="E2218" s="157">
        <v>41628.013888888891</v>
      </c>
      <c r="F2218" s="157">
        <v>41628.275000000001</v>
      </c>
      <c r="G2218" s="98">
        <v>315</v>
      </c>
      <c r="H2218" s="98">
        <v>330</v>
      </c>
      <c r="I2218" s="98">
        <v>300</v>
      </c>
      <c r="J2218" s="98" t="s">
        <v>1978</v>
      </c>
      <c r="K2218" s="98" t="s">
        <v>1397</v>
      </c>
      <c r="L2218" s="105" t="str">
        <f t="shared" si="380"/>
        <v>Mill Creek</v>
      </c>
      <c r="M2218" s="105" t="str">
        <f t="shared" si="381"/>
        <v>Derate</v>
      </c>
      <c r="N2218" s="105" t="str">
        <f t="shared" si="382"/>
        <v>Coal</v>
      </c>
      <c r="O2218" s="105">
        <f>IFERROR(VLOOKUP(A2218,Lookup!$J$5:$P$19,7,FALSE),0)</f>
        <v>2</v>
      </c>
      <c r="P2218" s="159">
        <f t="shared" si="383"/>
        <v>2013</v>
      </c>
      <c r="Q2218" s="159">
        <f t="shared" si="384"/>
        <v>12</v>
      </c>
      <c r="R2218" s="160">
        <f t="shared" si="385"/>
        <v>6.2666666666627862</v>
      </c>
      <c r="S2218" s="158">
        <f t="shared" si="386"/>
        <v>0.28484848484830844</v>
      </c>
      <c r="T2218" s="161">
        <f t="shared" si="387"/>
        <v>85.454545454492532</v>
      </c>
      <c r="U2218" s="158">
        <f t="shared" si="389"/>
        <v>13.636363636363637</v>
      </c>
      <c r="V2218" s="160">
        <f t="shared" si="388"/>
        <v>14</v>
      </c>
    </row>
    <row r="2219" spans="1:22" x14ac:dyDescent="0.25">
      <c r="A2219" s="98" t="s">
        <v>23</v>
      </c>
      <c r="B2219" s="98" t="s">
        <v>17</v>
      </c>
      <c r="C2219" s="98">
        <v>185</v>
      </c>
      <c r="D2219" s="98">
        <v>250</v>
      </c>
      <c r="E2219" s="157">
        <v>41628.395138888889</v>
      </c>
      <c r="F2219" s="157">
        <v>41628.472222222219</v>
      </c>
      <c r="G2219" s="98">
        <v>275</v>
      </c>
      <c r="H2219" s="98">
        <v>330</v>
      </c>
      <c r="I2219" s="98">
        <v>300</v>
      </c>
      <c r="J2219" s="98" t="s">
        <v>1978</v>
      </c>
      <c r="K2219" s="98" t="s">
        <v>1398</v>
      </c>
      <c r="L2219" s="105" t="str">
        <f t="shared" si="380"/>
        <v>Mill Creek</v>
      </c>
      <c r="M2219" s="105" t="str">
        <f t="shared" si="381"/>
        <v>Derate</v>
      </c>
      <c r="N2219" s="105" t="str">
        <f t="shared" si="382"/>
        <v>Coal</v>
      </c>
      <c r="O2219" s="105">
        <f>IFERROR(VLOOKUP(A2219,Lookup!$J$5:$P$19,7,FALSE),0)</f>
        <v>2</v>
      </c>
      <c r="P2219" s="159">
        <f t="shared" si="383"/>
        <v>2013</v>
      </c>
      <c r="Q2219" s="159">
        <f t="shared" si="384"/>
        <v>12</v>
      </c>
      <c r="R2219" s="160">
        <f t="shared" si="385"/>
        <v>1.8499999999185093</v>
      </c>
      <c r="S2219" s="158">
        <f t="shared" si="386"/>
        <v>0.30833333331975155</v>
      </c>
      <c r="T2219" s="161">
        <f t="shared" si="387"/>
        <v>92.499999995925464</v>
      </c>
      <c r="U2219" s="158">
        <f t="shared" si="389"/>
        <v>50</v>
      </c>
      <c r="V2219" s="160">
        <f t="shared" si="388"/>
        <v>50</v>
      </c>
    </row>
    <row r="2220" spans="1:22" x14ac:dyDescent="0.25">
      <c r="A2220" s="98" t="s">
        <v>23</v>
      </c>
      <c r="B2220" s="98" t="s">
        <v>17</v>
      </c>
      <c r="C2220" s="98">
        <v>186</v>
      </c>
      <c r="D2220" s="98">
        <v>3149</v>
      </c>
      <c r="E2220" s="157">
        <v>41634.769444444442</v>
      </c>
      <c r="F2220" s="157">
        <v>41635.270833333336</v>
      </c>
      <c r="G2220" s="98">
        <v>310</v>
      </c>
      <c r="H2220" s="98">
        <v>330</v>
      </c>
      <c r="I2220" s="98">
        <v>300</v>
      </c>
      <c r="J2220" s="98" t="s">
        <v>2034</v>
      </c>
      <c r="K2220" s="98" t="s">
        <v>40</v>
      </c>
      <c r="L2220" s="105" t="str">
        <f t="shared" si="380"/>
        <v>Mill Creek</v>
      </c>
      <c r="M2220" s="105" t="str">
        <f t="shared" si="381"/>
        <v>Derate</v>
      </c>
      <c r="N2220" s="105" t="str">
        <f t="shared" si="382"/>
        <v>Coal</v>
      </c>
      <c r="O2220" s="105">
        <f>IFERROR(VLOOKUP(A2220,Lookup!$J$5:$P$19,7,FALSE),0)</f>
        <v>2</v>
      </c>
      <c r="P2220" s="159">
        <f t="shared" si="383"/>
        <v>2013</v>
      </c>
      <c r="Q2220" s="159">
        <f t="shared" si="384"/>
        <v>12</v>
      </c>
      <c r="R2220" s="160">
        <f t="shared" si="385"/>
        <v>12.033333333441988</v>
      </c>
      <c r="S2220" s="158">
        <f t="shared" si="386"/>
        <v>0.72929292929951439</v>
      </c>
      <c r="T2220" s="161">
        <f t="shared" si="387"/>
        <v>218.78787878985432</v>
      </c>
      <c r="U2220" s="158">
        <f t="shared" si="389"/>
        <v>18.181818181818183</v>
      </c>
      <c r="V2220" s="160">
        <f t="shared" si="388"/>
        <v>18</v>
      </c>
    </row>
    <row r="2221" spans="1:22" x14ac:dyDescent="0.25">
      <c r="A2221" s="98" t="s">
        <v>23</v>
      </c>
      <c r="B2221" s="98" t="s">
        <v>17</v>
      </c>
      <c r="C2221" s="98">
        <v>187</v>
      </c>
      <c r="D2221" s="98">
        <v>3149</v>
      </c>
      <c r="E2221" s="157">
        <v>41635.270833333336</v>
      </c>
      <c r="F2221" s="157">
        <v>41635.894444444442</v>
      </c>
      <c r="G2221" s="98">
        <v>300</v>
      </c>
      <c r="H2221" s="98">
        <v>330</v>
      </c>
      <c r="I2221" s="98">
        <v>300</v>
      </c>
      <c r="J2221" s="98" t="s">
        <v>2034</v>
      </c>
      <c r="K2221" s="98" t="s">
        <v>40</v>
      </c>
      <c r="L2221" s="105" t="str">
        <f t="shared" si="380"/>
        <v>Mill Creek</v>
      </c>
      <c r="M2221" s="105" t="str">
        <f t="shared" si="381"/>
        <v>Derate</v>
      </c>
      <c r="N2221" s="105" t="str">
        <f t="shared" si="382"/>
        <v>Coal</v>
      </c>
      <c r="O2221" s="105">
        <f>IFERROR(VLOOKUP(A2221,Lookup!$J$5:$P$19,7,FALSE),0)</f>
        <v>2</v>
      </c>
      <c r="P2221" s="159">
        <f t="shared" si="383"/>
        <v>2013</v>
      </c>
      <c r="Q2221" s="159">
        <f t="shared" si="384"/>
        <v>12</v>
      </c>
      <c r="R2221" s="160">
        <f t="shared" si="385"/>
        <v>14.966666666558012</v>
      </c>
      <c r="S2221" s="158">
        <f t="shared" si="386"/>
        <v>1.3606060605961829</v>
      </c>
      <c r="T2221" s="161">
        <f t="shared" si="387"/>
        <v>408.18181817885488</v>
      </c>
      <c r="U2221" s="158">
        <f t="shared" si="389"/>
        <v>27.272727272727273</v>
      </c>
      <c r="V2221" s="160">
        <f t="shared" si="388"/>
        <v>27</v>
      </c>
    </row>
    <row r="2222" spans="1:22" x14ac:dyDescent="0.25">
      <c r="A2222" s="98" t="s">
        <v>23</v>
      </c>
      <c r="B2222" s="98" t="s">
        <v>20</v>
      </c>
      <c r="C2222" s="98">
        <v>188</v>
      </c>
      <c r="D2222" s="98">
        <v>3113</v>
      </c>
      <c r="E2222" s="157">
        <v>41635.894444444442</v>
      </c>
      <c r="F2222" s="157">
        <v>41636.169444444444</v>
      </c>
      <c r="G2222" s="98">
        <v>0</v>
      </c>
      <c r="H2222" s="98">
        <v>330</v>
      </c>
      <c r="I2222" s="98">
        <v>300</v>
      </c>
      <c r="J2222" s="98" t="s">
        <v>2254</v>
      </c>
      <c r="K2222" s="98" t="s">
        <v>1399</v>
      </c>
      <c r="L2222" s="105" t="str">
        <f t="shared" si="380"/>
        <v>Mill Creek</v>
      </c>
      <c r="M2222" s="105" t="str">
        <f t="shared" si="381"/>
        <v>Maintenance</v>
      </c>
      <c r="N2222" s="105" t="str">
        <f t="shared" si="382"/>
        <v>Coal</v>
      </c>
      <c r="O2222" s="105">
        <f>IFERROR(VLOOKUP(A2222,Lookup!$J$5:$P$19,7,FALSE),0)</f>
        <v>2</v>
      </c>
      <c r="P2222" s="159">
        <f t="shared" si="383"/>
        <v>2013</v>
      </c>
      <c r="Q2222" s="159">
        <f t="shared" si="384"/>
        <v>12</v>
      </c>
      <c r="R2222" s="160">
        <f t="shared" si="385"/>
        <v>6.6000000000349246</v>
      </c>
      <c r="S2222" s="158">
        <f t="shared" si="386"/>
        <v>6.6000000000349246</v>
      </c>
      <c r="T2222" s="161">
        <f t="shared" si="387"/>
        <v>1980.0000000104774</v>
      </c>
      <c r="U2222" s="158">
        <f t="shared" si="389"/>
        <v>300</v>
      </c>
      <c r="V2222" s="160">
        <f t="shared" si="388"/>
        <v>300</v>
      </c>
    </row>
    <row r="2223" spans="1:22" x14ac:dyDescent="0.25">
      <c r="A2223" s="98" t="s">
        <v>23</v>
      </c>
      <c r="B2223" s="98" t="s">
        <v>18</v>
      </c>
      <c r="C2223" s="98">
        <v>189</v>
      </c>
      <c r="D2223" s="98">
        <v>9320</v>
      </c>
      <c r="E2223" s="157">
        <v>41636.169444444444</v>
      </c>
      <c r="F2223" s="157">
        <v>41636.512499999997</v>
      </c>
      <c r="G2223" s="98">
        <v>0</v>
      </c>
      <c r="H2223" s="98">
        <v>330</v>
      </c>
      <c r="I2223" s="98">
        <v>300</v>
      </c>
      <c r="J2223" s="98" t="s">
        <v>2646</v>
      </c>
      <c r="K2223" s="98" t="s">
        <v>1400</v>
      </c>
      <c r="L2223" s="105" t="str">
        <f t="shared" si="380"/>
        <v>Mill Creek</v>
      </c>
      <c r="M2223" s="105" t="str">
        <f t="shared" si="381"/>
        <v>Outage</v>
      </c>
      <c r="N2223" s="105" t="str">
        <f t="shared" si="382"/>
        <v>Coal</v>
      </c>
      <c r="O2223" s="105">
        <f>IFERROR(VLOOKUP(A2223,Lookup!$J$5:$P$19,7,FALSE),0)</f>
        <v>2</v>
      </c>
      <c r="P2223" s="159">
        <f t="shared" si="383"/>
        <v>2013</v>
      </c>
      <c r="Q2223" s="159">
        <f t="shared" si="384"/>
        <v>12</v>
      </c>
      <c r="R2223" s="160">
        <f t="shared" si="385"/>
        <v>8.2333333332790062</v>
      </c>
      <c r="S2223" s="158">
        <f t="shared" si="386"/>
        <v>8.2333333332790062</v>
      </c>
      <c r="T2223" s="161">
        <f t="shared" si="387"/>
        <v>2469.9999999837019</v>
      </c>
      <c r="U2223" s="158">
        <f t="shared" si="389"/>
        <v>300</v>
      </c>
      <c r="V2223" s="160">
        <f t="shared" si="388"/>
        <v>300</v>
      </c>
    </row>
    <row r="2224" spans="1:22" x14ac:dyDescent="0.25">
      <c r="A2224" s="98" t="s">
        <v>23</v>
      </c>
      <c r="B2224" s="98" t="s">
        <v>17</v>
      </c>
      <c r="C2224" s="98">
        <v>190</v>
      </c>
      <c r="D2224" s="98">
        <v>200</v>
      </c>
      <c r="E2224" s="157">
        <v>41636.8125</v>
      </c>
      <c r="F2224" s="157">
        <v>41637.041666666664</v>
      </c>
      <c r="G2224" s="98">
        <v>255</v>
      </c>
      <c r="H2224" s="98">
        <v>330</v>
      </c>
      <c r="I2224" s="98">
        <v>300</v>
      </c>
      <c r="J2224" s="98" t="s">
        <v>2253</v>
      </c>
      <c r="K2224" s="98" t="s">
        <v>1401</v>
      </c>
      <c r="L2224" s="105" t="str">
        <f t="shared" si="380"/>
        <v>Mill Creek</v>
      </c>
      <c r="M2224" s="105" t="str">
        <f t="shared" si="381"/>
        <v>Derate</v>
      </c>
      <c r="N2224" s="105" t="str">
        <f t="shared" si="382"/>
        <v>Coal</v>
      </c>
      <c r="O2224" s="105">
        <f>IFERROR(VLOOKUP(A2224,Lookup!$J$5:$P$19,7,FALSE),0)</f>
        <v>2</v>
      </c>
      <c r="P2224" s="159">
        <f t="shared" si="383"/>
        <v>2013</v>
      </c>
      <c r="Q2224" s="159">
        <f t="shared" si="384"/>
        <v>12</v>
      </c>
      <c r="R2224" s="160">
        <f t="shared" si="385"/>
        <v>5.4999999999417923</v>
      </c>
      <c r="S2224" s="158">
        <f t="shared" si="386"/>
        <v>1.249999999986771</v>
      </c>
      <c r="T2224" s="161">
        <f t="shared" si="387"/>
        <v>374.99999999603131</v>
      </c>
      <c r="U2224" s="158">
        <f t="shared" si="389"/>
        <v>68.181818181818187</v>
      </c>
      <c r="V2224" s="160">
        <f t="shared" si="388"/>
        <v>68</v>
      </c>
    </row>
    <row r="2225" spans="1:22" x14ac:dyDescent="0.25">
      <c r="A2225" s="98" t="s">
        <v>23</v>
      </c>
      <c r="B2225" s="98" t="s">
        <v>17</v>
      </c>
      <c r="C2225" s="98">
        <v>1</v>
      </c>
      <c r="D2225" s="98">
        <v>8280</v>
      </c>
      <c r="E2225" s="157">
        <v>41646.302083333336</v>
      </c>
      <c r="F2225" s="157">
        <v>41646.373611111114</v>
      </c>
      <c r="G2225" s="98">
        <v>260</v>
      </c>
      <c r="H2225" s="98">
        <v>330</v>
      </c>
      <c r="I2225" s="98">
        <v>300</v>
      </c>
      <c r="J2225" s="98" t="s">
        <v>2255</v>
      </c>
      <c r="K2225" s="98" t="s">
        <v>61</v>
      </c>
      <c r="L2225" s="105" t="str">
        <f t="shared" si="380"/>
        <v>Mill Creek</v>
      </c>
      <c r="M2225" s="105" t="str">
        <f t="shared" si="381"/>
        <v>Derate</v>
      </c>
      <c r="N2225" s="105" t="str">
        <f t="shared" si="382"/>
        <v>Coal</v>
      </c>
      <c r="O2225" s="105">
        <f>IFERROR(VLOOKUP(A2225,Lookup!$J$5:$P$19,7,FALSE),0)</f>
        <v>2</v>
      </c>
      <c r="P2225" s="159">
        <f t="shared" si="383"/>
        <v>2014</v>
      </c>
      <c r="Q2225" s="159">
        <f t="shared" si="384"/>
        <v>1</v>
      </c>
      <c r="R2225" s="160">
        <f t="shared" si="385"/>
        <v>1.7166666666744277</v>
      </c>
      <c r="S2225" s="158">
        <f t="shared" si="386"/>
        <v>0.36414141414306039</v>
      </c>
      <c r="T2225" s="161">
        <f t="shared" si="387"/>
        <v>109.24242424291812</v>
      </c>
      <c r="U2225" s="158">
        <f t="shared" si="389"/>
        <v>63.636363636363633</v>
      </c>
      <c r="V2225" s="160">
        <f t="shared" si="388"/>
        <v>64</v>
      </c>
    </row>
    <row r="2226" spans="1:22" x14ac:dyDescent="0.25">
      <c r="A2226" s="98" t="s">
        <v>23</v>
      </c>
      <c r="B2226" s="98" t="s">
        <v>17</v>
      </c>
      <c r="C2226" s="98">
        <v>2</v>
      </c>
      <c r="D2226" s="98">
        <v>250</v>
      </c>
      <c r="E2226" s="157">
        <v>41646.701388888891</v>
      </c>
      <c r="F2226" s="157">
        <v>41646.754166666666</v>
      </c>
      <c r="G2226" s="98">
        <v>260</v>
      </c>
      <c r="H2226" s="98">
        <v>330</v>
      </c>
      <c r="I2226" s="98">
        <v>300</v>
      </c>
      <c r="J2226" s="98" t="s">
        <v>1978</v>
      </c>
      <c r="K2226" s="98" t="s">
        <v>1402</v>
      </c>
      <c r="L2226" s="105" t="str">
        <f t="shared" si="380"/>
        <v>Mill Creek</v>
      </c>
      <c r="M2226" s="105" t="str">
        <f t="shared" si="381"/>
        <v>Derate</v>
      </c>
      <c r="N2226" s="105" t="str">
        <f t="shared" si="382"/>
        <v>Coal</v>
      </c>
      <c r="O2226" s="105">
        <f>IFERROR(VLOOKUP(A2226,Lookup!$J$5:$P$19,7,FALSE),0)</f>
        <v>2</v>
      </c>
      <c r="P2226" s="159">
        <f t="shared" si="383"/>
        <v>2014</v>
      </c>
      <c r="Q2226" s="159">
        <f t="shared" si="384"/>
        <v>1</v>
      </c>
      <c r="R2226" s="160">
        <f t="shared" si="385"/>
        <v>1.2666666666045785</v>
      </c>
      <c r="S2226" s="158">
        <f t="shared" si="386"/>
        <v>0.26868686867369845</v>
      </c>
      <c r="T2226" s="161">
        <f t="shared" si="387"/>
        <v>80.606060602109537</v>
      </c>
      <c r="U2226" s="158">
        <f t="shared" si="389"/>
        <v>63.636363636363633</v>
      </c>
      <c r="V2226" s="160">
        <f t="shared" si="388"/>
        <v>64</v>
      </c>
    </row>
    <row r="2227" spans="1:22" x14ac:dyDescent="0.25">
      <c r="A2227" s="98" t="s">
        <v>23</v>
      </c>
      <c r="B2227" s="98" t="s">
        <v>17</v>
      </c>
      <c r="C2227" s="98">
        <v>3</v>
      </c>
      <c r="D2227" s="98">
        <v>250</v>
      </c>
      <c r="E2227" s="157">
        <v>41647.239583333336</v>
      </c>
      <c r="F2227" s="157">
        <v>41647.279861111114</v>
      </c>
      <c r="G2227" s="98">
        <v>240</v>
      </c>
      <c r="H2227" s="98">
        <v>330</v>
      </c>
      <c r="I2227" s="98">
        <v>300</v>
      </c>
      <c r="J2227" s="98" t="s">
        <v>1978</v>
      </c>
      <c r="K2227" s="98" t="s">
        <v>1402</v>
      </c>
      <c r="L2227" s="105" t="str">
        <f t="shared" si="380"/>
        <v>Mill Creek</v>
      </c>
      <c r="M2227" s="105" t="str">
        <f t="shared" si="381"/>
        <v>Derate</v>
      </c>
      <c r="N2227" s="105" t="str">
        <f t="shared" si="382"/>
        <v>Coal</v>
      </c>
      <c r="O2227" s="105">
        <f>IFERROR(VLOOKUP(A2227,Lookup!$J$5:$P$19,7,FALSE),0)</f>
        <v>2</v>
      </c>
      <c r="P2227" s="159">
        <f t="shared" si="383"/>
        <v>2014</v>
      </c>
      <c r="Q2227" s="159">
        <f t="shared" si="384"/>
        <v>1</v>
      </c>
      <c r="R2227" s="160">
        <f t="shared" si="385"/>
        <v>0.96666666667442769</v>
      </c>
      <c r="S2227" s="158">
        <f t="shared" si="386"/>
        <v>0.26363636363848025</v>
      </c>
      <c r="T2227" s="161">
        <f t="shared" si="387"/>
        <v>79.090909091544077</v>
      </c>
      <c r="U2227" s="158">
        <f t="shared" si="389"/>
        <v>81.818181818181813</v>
      </c>
      <c r="V2227" s="160">
        <f t="shared" si="388"/>
        <v>82</v>
      </c>
    </row>
    <row r="2228" spans="1:22" x14ac:dyDescent="0.25">
      <c r="A2228" s="98" t="s">
        <v>23</v>
      </c>
      <c r="B2228" s="98" t="s">
        <v>105</v>
      </c>
      <c r="C2228" s="98">
        <v>4</v>
      </c>
      <c r="D2228" s="98">
        <v>310</v>
      </c>
      <c r="E2228" s="157">
        <v>41648.893055555556</v>
      </c>
      <c r="F2228" s="157">
        <v>41649.053472222222</v>
      </c>
      <c r="G2228" s="98">
        <v>245</v>
      </c>
      <c r="H2228" s="98">
        <v>330</v>
      </c>
      <c r="I2228" s="98">
        <v>300</v>
      </c>
      <c r="J2228" s="98" t="s">
        <v>1966</v>
      </c>
      <c r="K2228" s="98" t="s">
        <v>234</v>
      </c>
      <c r="L2228" s="105" t="str">
        <f t="shared" si="380"/>
        <v>Mill Creek</v>
      </c>
      <c r="M2228" s="105" t="str">
        <f t="shared" si="381"/>
        <v>Derate</v>
      </c>
      <c r="N2228" s="105" t="str">
        <f t="shared" si="382"/>
        <v>Coal</v>
      </c>
      <c r="O2228" s="105">
        <f>IFERROR(VLOOKUP(A2228,Lookup!$J$5:$P$19,7,FALSE),0)</f>
        <v>2</v>
      </c>
      <c r="P2228" s="159">
        <f t="shared" si="383"/>
        <v>2014</v>
      </c>
      <c r="Q2228" s="159">
        <f t="shared" si="384"/>
        <v>1</v>
      </c>
      <c r="R2228" s="160">
        <f t="shared" si="385"/>
        <v>3.8499999999767169</v>
      </c>
      <c r="S2228" s="158">
        <f t="shared" si="386"/>
        <v>0.99166666666066949</v>
      </c>
      <c r="T2228" s="161">
        <f t="shared" si="387"/>
        <v>297.49999999820085</v>
      </c>
      <c r="U2228" s="158">
        <f t="shared" si="389"/>
        <v>77.272727272727266</v>
      </c>
      <c r="V2228" s="160">
        <f t="shared" si="388"/>
        <v>77</v>
      </c>
    </row>
    <row r="2229" spans="1:22" x14ac:dyDescent="0.25">
      <c r="A2229" s="98" t="s">
        <v>23</v>
      </c>
      <c r="B2229" s="98" t="s">
        <v>105</v>
      </c>
      <c r="C2229" s="98">
        <v>5</v>
      </c>
      <c r="D2229" s="98">
        <v>310</v>
      </c>
      <c r="E2229" s="157">
        <v>41652.916666666664</v>
      </c>
      <c r="F2229" s="157">
        <v>41653.303472222222</v>
      </c>
      <c r="G2229" s="98">
        <v>240</v>
      </c>
      <c r="H2229" s="98">
        <v>330</v>
      </c>
      <c r="I2229" s="98">
        <v>300</v>
      </c>
      <c r="J2229" s="98" t="s">
        <v>1966</v>
      </c>
      <c r="K2229" s="98" t="s">
        <v>1403</v>
      </c>
      <c r="L2229" s="105" t="str">
        <f t="shared" si="380"/>
        <v>Mill Creek</v>
      </c>
      <c r="M2229" s="105" t="str">
        <f t="shared" si="381"/>
        <v>Derate</v>
      </c>
      <c r="N2229" s="105" t="str">
        <f t="shared" si="382"/>
        <v>Coal</v>
      </c>
      <c r="O2229" s="105">
        <f>IFERROR(VLOOKUP(A2229,Lookup!$J$5:$P$19,7,FALSE),0)</f>
        <v>2</v>
      </c>
      <c r="P2229" s="159">
        <f t="shared" si="383"/>
        <v>2014</v>
      </c>
      <c r="Q2229" s="159">
        <f t="shared" si="384"/>
        <v>1</v>
      </c>
      <c r="R2229" s="160">
        <f t="shared" si="385"/>
        <v>9.28333333338378</v>
      </c>
      <c r="S2229" s="158">
        <f t="shared" si="386"/>
        <v>2.5318181818319401</v>
      </c>
      <c r="T2229" s="161">
        <f t="shared" si="387"/>
        <v>759.54545454958202</v>
      </c>
      <c r="U2229" s="158">
        <f t="shared" si="389"/>
        <v>81.818181818181813</v>
      </c>
      <c r="V2229" s="160">
        <f t="shared" si="388"/>
        <v>82</v>
      </c>
    </row>
    <row r="2230" spans="1:22" x14ac:dyDescent="0.25">
      <c r="A2230" s="98" t="s">
        <v>23</v>
      </c>
      <c r="B2230" s="98" t="s">
        <v>105</v>
      </c>
      <c r="C2230" s="98">
        <v>6</v>
      </c>
      <c r="D2230" s="98">
        <v>310</v>
      </c>
      <c r="E2230" s="157">
        <v>41653.94027777778</v>
      </c>
      <c r="F2230" s="157">
        <v>41654.195833333331</v>
      </c>
      <c r="G2230" s="98">
        <v>240</v>
      </c>
      <c r="H2230" s="98">
        <v>330</v>
      </c>
      <c r="I2230" s="98">
        <v>300</v>
      </c>
      <c r="J2230" s="98" t="s">
        <v>1966</v>
      </c>
      <c r="K2230" s="98" t="s">
        <v>1404</v>
      </c>
      <c r="L2230" s="105" t="str">
        <f t="shared" si="380"/>
        <v>Mill Creek</v>
      </c>
      <c r="M2230" s="105" t="str">
        <f t="shared" si="381"/>
        <v>Derate</v>
      </c>
      <c r="N2230" s="105" t="str">
        <f t="shared" si="382"/>
        <v>Coal</v>
      </c>
      <c r="O2230" s="105">
        <f>IFERROR(VLOOKUP(A2230,Lookup!$J$5:$P$19,7,FALSE),0)</f>
        <v>2</v>
      </c>
      <c r="P2230" s="159">
        <f t="shared" si="383"/>
        <v>2014</v>
      </c>
      <c r="Q2230" s="159">
        <f t="shared" si="384"/>
        <v>1</v>
      </c>
      <c r="R2230" s="160">
        <f t="shared" si="385"/>
        <v>6.1333333332440816</v>
      </c>
      <c r="S2230" s="158">
        <f t="shared" si="386"/>
        <v>1.6727272727029314</v>
      </c>
      <c r="T2230" s="161">
        <f t="shared" si="387"/>
        <v>501.81818181087942</v>
      </c>
      <c r="U2230" s="158">
        <f t="shared" si="389"/>
        <v>81.818181818181813</v>
      </c>
      <c r="V2230" s="160">
        <f t="shared" si="388"/>
        <v>82</v>
      </c>
    </row>
    <row r="2231" spans="1:22" x14ac:dyDescent="0.25">
      <c r="A2231" s="98" t="s">
        <v>23</v>
      </c>
      <c r="B2231" s="98" t="s">
        <v>105</v>
      </c>
      <c r="C2231" s="98">
        <v>7</v>
      </c>
      <c r="D2231" s="98">
        <v>250</v>
      </c>
      <c r="E2231" s="157">
        <v>41654.958333333336</v>
      </c>
      <c r="F2231" s="157">
        <v>41655.261805555558</v>
      </c>
      <c r="G2231" s="98">
        <v>240</v>
      </c>
      <c r="H2231" s="98">
        <v>330</v>
      </c>
      <c r="I2231" s="98">
        <v>300</v>
      </c>
      <c r="J2231" s="98" t="s">
        <v>1978</v>
      </c>
      <c r="K2231" s="98" t="s">
        <v>566</v>
      </c>
      <c r="L2231" s="105" t="str">
        <f t="shared" si="380"/>
        <v>Mill Creek</v>
      </c>
      <c r="M2231" s="105" t="str">
        <f t="shared" si="381"/>
        <v>Derate</v>
      </c>
      <c r="N2231" s="105" t="str">
        <f t="shared" si="382"/>
        <v>Coal</v>
      </c>
      <c r="O2231" s="105">
        <f>IFERROR(VLOOKUP(A2231,Lookup!$J$5:$P$19,7,FALSE),0)</f>
        <v>2</v>
      </c>
      <c r="P2231" s="159">
        <f t="shared" si="383"/>
        <v>2014</v>
      </c>
      <c r="Q2231" s="159">
        <f t="shared" si="384"/>
        <v>1</v>
      </c>
      <c r="R2231" s="160">
        <f t="shared" si="385"/>
        <v>7.2833333333255723</v>
      </c>
      <c r="S2231" s="158">
        <f t="shared" si="386"/>
        <v>1.9863636363615198</v>
      </c>
      <c r="T2231" s="161">
        <f t="shared" si="387"/>
        <v>595.90909090845594</v>
      </c>
      <c r="U2231" s="158">
        <f t="shared" si="389"/>
        <v>81.818181818181813</v>
      </c>
      <c r="V2231" s="160">
        <f t="shared" si="388"/>
        <v>82</v>
      </c>
    </row>
    <row r="2232" spans="1:22" x14ac:dyDescent="0.25">
      <c r="A2232" s="98" t="s">
        <v>23</v>
      </c>
      <c r="B2232" s="98" t="s">
        <v>105</v>
      </c>
      <c r="C2232" s="98">
        <v>8</v>
      </c>
      <c r="D2232" s="98">
        <v>250</v>
      </c>
      <c r="E2232" s="157">
        <v>41655.958333333336</v>
      </c>
      <c r="F2232" s="157">
        <v>41656.176388888889</v>
      </c>
      <c r="G2232" s="98">
        <v>240</v>
      </c>
      <c r="H2232" s="98">
        <v>330</v>
      </c>
      <c r="I2232" s="98">
        <v>300</v>
      </c>
      <c r="J2232" s="98" t="s">
        <v>1978</v>
      </c>
      <c r="K2232" s="98" t="s">
        <v>567</v>
      </c>
      <c r="L2232" s="105" t="str">
        <f t="shared" si="380"/>
        <v>Mill Creek</v>
      </c>
      <c r="M2232" s="105" t="str">
        <f t="shared" si="381"/>
        <v>Derate</v>
      </c>
      <c r="N2232" s="105" t="str">
        <f t="shared" si="382"/>
        <v>Coal</v>
      </c>
      <c r="O2232" s="105">
        <f>IFERROR(VLOOKUP(A2232,Lookup!$J$5:$P$19,7,FALSE),0)</f>
        <v>2</v>
      </c>
      <c r="P2232" s="159">
        <f t="shared" si="383"/>
        <v>2014</v>
      </c>
      <c r="Q2232" s="159">
        <f t="shared" si="384"/>
        <v>1</v>
      </c>
      <c r="R2232" s="160">
        <f t="shared" si="385"/>
        <v>5.2333333332790062</v>
      </c>
      <c r="S2232" s="158">
        <f t="shared" si="386"/>
        <v>1.4272727272579109</v>
      </c>
      <c r="T2232" s="161">
        <f t="shared" si="387"/>
        <v>428.18181817737326</v>
      </c>
      <c r="U2232" s="158">
        <f t="shared" si="389"/>
        <v>81.818181818181813</v>
      </c>
      <c r="V2232" s="160">
        <f t="shared" si="388"/>
        <v>82</v>
      </c>
    </row>
    <row r="2233" spans="1:22" x14ac:dyDescent="0.25">
      <c r="A2233" s="98" t="s">
        <v>23</v>
      </c>
      <c r="B2233" s="98" t="s">
        <v>17</v>
      </c>
      <c r="C2233" s="98">
        <v>9</v>
      </c>
      <c r="D2233" s="98">
        <v>4261</v>
      </c>
      <c r="E2233" s="157">
        <v>41656.904166666667</v>
      </c>
      <c r="F2233" s="157">
        <v>41657.356249999997</v>
      </c>
      <c r="G2233" s="98">
        <v>300</v>
      </c>
      <c r="H2233" s="98">
        <v>330</v>
      </c>
      <c r="I2233" s="98">
        <v>300</v>
      </c>
      <c r="J2233" s="98" t="s">
        <v>1985</v>
      </c>
      <c r="K2233" s="98" t="s">
        <v>1405</v>
      </c>
      <c r="L2233" s="105" t="str">
        <f t="shared" si="380"/>
        <v>Mill Creek</v>
      </c>
      <c r="M2233" s="105" t="str">
        <f t="shared" si="381"/>
        <v>Derate</v>
      </c>
      <c r="N2233" s="105" t="str">
        <f t="shared" si="382"/>
        <v>Coal</v>
      </c>
      <c r="O2233" s="105">
        <f>IFERROR(VLOOKUP(A2233,Lookup!$J$5:$P$19,7,FALSE),0)</f>
        <v>2</v>
      </c>
      <c r="P2233" s="159">
        <f t="shared" si="383"/>
        <v>2014</v>
      </c>
      <c r="Q2233" s="159">
        <f t="shared" si="384"/>
        <v>1</v>
      </c>
      <c r="R2233" s="160">
        <f t="shared" si="385"/>
        <v>10.849999999918509</v>
      </c>
      <c r="S2233" s="158">
        <f t="shared" si="386"/>
        <v>0.98636363635622815</v>
      </c>
      <c r="T2233" s="161">
        <f t="shared" si="387"/>
        <v>295.90909090686847</v>
      </c>
      <c r="U2233" s="158">
        <f t="shared" si="389"/>
        <v>27.272727272727273</v>
      </c>
      <c r="V2233" s="160">
        <f t="shared" si="388"/>
        <v>27</v>
      </c>
    </row>
    <row r="2234" spans="1:22" x14ac:dyDescent="0.25">
      <c r="A2234" s="98" t="s">
        <v>23</v>
      </c>
      <c r="B2234" s="98" t="s">
        <v>15</v>
      </c>
      <c r="C2234" s="98">
        <v>10</v>
      </c>
      <c r="D2234" s="98">
        <v>800</v>
      </c>
      <c r="E2234" s="157">
        <v>41657.356249999997</v>
      </c>
      <c r="F2234" s="157">
        <v>41657.472916666666</v>
      </c>
      <c r="G2234" s="98">
        <v>0</v>
      </c>
      <c r="H2234" s="98">
        <v>330</v>
      </c>
      <c r="I2234" s="98">
        <v>300</v>
      </c>
      <c r="J2234" s="98" t="s">
        <v>2197</v>
      </c>
      <c r="K2234" s="98" t="s">
        <v>1406</v>
      </c>
      <c r="L2234" s="105" t="str">
        <f t="shared" si="380"/>
        <v>Mill Creek</v>
      </c>
      <c r="M2234" s="105" t="str">
        <f t="shared" si="381"/>
        <v>Outage</v>
      </c>
      <c r="N2234" s="105" t="str">
        <f t="shared" si="382"/>
        <v>Coal</v>
      </c>
      <c r="O2234" s="105">
        <f>IFERROR(VLOOKUP(A2234,Lookup!$J$5:$P$19,7,FALSE),0)</f>
        <v>2</v>
      </c>
      <c r="P2234" s="159">
        <f t="shared" si="383"/>
        <v>2014</v>
      </c>
      <c r="Q2234" s="159">
        <f t="shared" si="384"/>
        <v>1</v>
      </c>
      <c r="R2234" s="160">
        <f t="shared" si="385"/>
        <v>2.8000000000465661</v>
      </c>
      <c r="S2234" s="158">
        <f t="shared" si="386"/>
        <v>2.8000000000465661</v>
      </c>
      <c r="T2234" s="161">
        <f t="shared" si="387"/>
        <v>840.00000001396984</v>
      </c>
      <c r="U2234" s="158">
        <f t="shared" si="389"/>
        <v>300</v>
      </c>
      <c r="V2234" s="160">
        <f t="shared" si="388"/>
        <v>300</v>
      </c>
    </row>
    <row r="2235" spans="1:22" x14ac:dyDescent="0.25">
      <c r="A2235" s="98" t="s">
        <v>23</v>
      </c>
      <c r="B2235" s="98" t="s">
        <v>79</v>
      </c>
      <c r="C2235" s="98">
        <v>11</v>
      </c>
      <c r="D2235" s="98">
        <v>1850</v>
      </c>
      <c r="E2235" s="157">
        <v>41657.472916666666</v>
      </c>
      <c r="F2235" s="157">
        <v>41657.65625</v>
      </c>
      <c r="G2235" s="98">
        <v>0</v>
      </c>
      <c r="H2235" s="98">
        <v>330</v>
      </c>
      <c r="I2235" s="98">
        <v>300</v>
      </c>
      <c r="J2235" s="98" t="s">
        <v>2263</v>
      </c>
      <c r="K2235" s="98" t="s">
        <v>87</v>
      </c>
      <c r="L2235" s="105" t="str">
        <f t="shared" si="380"/>
        <v>Mill Creek</v>
      </c>
      <c r="M2235" s="105" t="str">
        <f t="shared" si="381"/>
        <v>Other</v>
      </c>
      <c r="N2235" s="105" t="str">
        <f t="shared" si="382"/>
        <v>Coal</v>
      </c>
      <c r="O2235" s="105">
        <f>IFERROR(VLOOKUP(A2235,Lookup!$J$5:$P$19,7,FALSE),0)</f>
        <v>2</v>
      </c>
      <c r="P2235" s="159">
        <f t="shared" si="383"/>
        <v>2014</v>
      </c>
      <c r="Q2235" s="159">
        <f t="shared" si="384"/>
        <v>1</v>
      </c>
      <c r="R2235" s="160">
        <f t="shared" si="385"/>
        <v>4.4000000000232831</v>
      </c>
      <c r="S2235" s="158">
        <f t="shared" si="386"/>
        <v>4.4000000000232831</v>
      </c>
      <c r="T2235" s="161">
        <f t="shared" si="387"/>
        <v>1320.0000000069849</v>
      </c>
      <c r="U2235" s="158">
        <f t="shared" si="389"/>
        <v>300</v>
      </c>
      <c r="V2235" s="160">
        <f t="shared" si="388"/>
        <v>300</v>
      </c>
    </row>
    <row r="2236" spans="1:22" x14ac:dyDescent="0.25">
      <c r="A2236" s="98" t="s">
        <v>23</v>
      </c>
      <c r="B2236" s="98" t="s">
        <v>17</v>
      </c>
      <c r="C2236" s="98">
        <v>12</v>
      </c>
      <c r="D2236" s="98">
        <v>1850</v>
      </c>
      <c r="E2236" s="157">
        <v>41657.65625</v>
      </c>
      <c r="F2236" s="157">
        <v>41657.691666666666</v>
      </c>
      <c r="G2236" s="98">
        <v>285</v>
      </c>
      <c r="H2236" s="98">
        <v>330</v>
      </c>
      <c r="I2236" s="98">
        <v>300</v>
      </c>
      <c r="J2236" s="98" t="s">
        <v>2263</v>
      </c>
      <c r="K2236" s="98" t="s">
        <v>41</v>
      </c>
      <c r="L2236" s="105" t="str">
        <f t="shared" si="380"/>
        <v>Mill Creek</v>
      </c>
      <c r="M2236" s="105" t="str">
        <f t="shared" si="381"/>
        <v>Derate</v>
      </c>
      <c r="N2236" s="105" t="str">
        <f t="shared" si="382"/>
        <v>Coal</v>
      </c>
      <c r="O2236" s="105">
        <f>IFERROR(VLOOKUP(A2236,Lookup!$J$5:$P$19,7,FALSE),0)</f>
        <v>2</v>
      </c>
      <c r="P2236" s="159">
        <f t="shared" si="383"/>
        <v>2014</v>
      </c>
      <c r="Q2236" s="159">
        <f t="shared" si="384"/>
        <v>1</v>
      </c>
      <c r="R2236" s="160">
        <f t="shared" si="385"/>
        <v>0.84999999997671694</v>
      </c>
      <c r="S2236" s="158">
        <f t="shared" si="386"/>
        <v>0.11590909090591595</v>
      </c>
      <c r="T2236" s="161">
        <f t="shared" si="387"/>
        <v>34.772727271774784</v>
      </c>
      <c r="U2236" s="158">
        <f t="shared" si="389"/>
        <v>40.909090909090907</v>
      </c>
      <c r="V2236" s="160">
        <f t="shared" si="388"/>
        <v>41</v>
      </c>
    </row>
    <row r="2237" spans="1:22" x14ac:dyDescent="0.25">
      <c r="A2237" s="98" t="s">
        <v>23</v>
      </c>
      <c r="B2237" s="98" t="s">
        <v>17</v>
      </c>
      <c r="C2237" s="98">
        <v>13</v>
      </c>
      <c r="D2237" s="98">
        <v>1850</v>
      </c>
      <c r="E2237" s="157">
        <v>41657.691666666666</v>
      </c>
      <c r="F2237" s="157">
        <v>41657.777777777781</v>
      </c>
      <c r="G2237" s="98">
        <v>300</v>
      </c>
      <c r="H2237" s="98">
        <v>330</v>
      </c>
      <c r="I2237" s="98">
        <v>300</v>
      </c>
      <c r="J2237" s="98" t="s">
        <v>2263</v>
      </c>
      <c r="K2237" s="98" t="s">
        <v>41</v>
      </c>
      <c r="L2237" s="105" t="str">
        <f t="shared" si="380"/>
        <v>Mill Creek</v>
      </c>
      <c r="M2237" s="105" t="str">
        <f t="shared" si="381"/>
        <v>Derate</v>
      </c>
      <c r="N2237" s="105" t="str">
        <f t="shared" si="382"/>
        <v>Coal</v>
      </c>
      <c r="O2237" s="105">
        <f>IFERROR(VLOOKUP(A2237,Lookup!$J$5:$P$19,7,FALSE),0)</f>
        <v>2</v>
      </c>
      <c r="P2237" s="159">
        <f t="shared" si="383"/>
        <v>2014</v>
      </c>
      <c r="Q2237" s="159">
        <f t="shared" si="384"/>
        <v>1</v>
      </c>
      <c r="R2237" s="160">
        <f t="shared" si="385"/>
        <v>2.0666666667675599</v>
      </c>
      <c r="S2237" s="158">
        <f t="shared" si="386"/>
        <v>0.18787878788796</v>
      </c>
      <c r="T2237" s="161">
        <f t="shared" si="387"/>
        <v>56.363636366388</v>
      </c>
      <c r="U2237" s="158">
        <f t="shared" si="389"/>
        <v>27.272727272727273</v>
      </c>
      <c r="V2237" s="160">
        <f t="shared" si="388"/>
        <v>27</v>
      </c>
    </row>
    <row r="2238" spans="1:22" x14ac:dyDescent="0.25">
      <c r="A2238" s="98" t="s">
        <v>23</v>
      </c>
      <c r="B2238" s="98" t="s">
        <v>105</v>
      </c>
      <c r="C2238" s="98">
        <v>14</v>
      </c>
      <c r="D2238" s="98">
        <v>250</v>
      </c>
      <c r="E2238" s="157">
        <v>41659.922222222223</v>
      </c>
      <c r="F2238" s="157">
        <v>41660.180555555555</v>
      </c>
      <c r="G2238" s="98">
        <v>240</v>
      </c>
      <c r="H2238" s="98">
        <v>330</v>
      </c>
      <c r="I2238" s="98">
        <v>300</v>
      </c>
      <c r="J2238" s="98" t="s">
        <v>1978</v>
      </c>
      <c r="K2238" s="98" t="s">
        <v>70</v>
      </c>
      <c r="L2238" s="105" t="str">
        <f t="shared" si="380"/>
        <v>Mill Creek</v>
      </c>
      <c r="M2238" s="105" t="str">
        <f t="shared" si="381"/>
        <v>Derate</v>
      </c>
      <c r="N2238" s="105" t="str">
        <f t="shared" si="382"/>
        <v>Coal</v>
      </c>
      <c r="O2238" s="105">
        <f>IFERROR(VLOOKUP(A2238,Lookup!$J$5:$P$19,7,FALSE),0)</f>
        <v>2</v>
      </c>
      <c r="P2238" s="159">
        <f t="shared" si="383"/>
        <v>2014</v>
      </c>
      <c r="Q2238" s="159">
        <f t="shared" si="384"/>
        <v>1</v>
      </c>
      <c r="R2238" s="160">
        <f t="shared" si="385"/>
        <v>6.1999999999534339</v>
      </c>
      <c r="S2238" s="158">
        <f t="shared" si="386"/>
        <v>1.6909090908963911</v>
      </c>
      <c r="T2238" s="161">
        <f t="shared" si="387"/>
        <v>507.27272726891732</v>
      </c>
      <c r="U2238" s="158">
        <f t="shared" si="389"/>
        <v>81.818181818181813</v>
      </c>
      <c r="V2238" s="160">
        <f t="shared" si="388"/>
        <v>82</v>
      </c>
    </row>
    <row r="2239" spans="1:22" x14ac:dyDescent="0.25">
      <c r="A2239" s="98" t="s">
        <v>23</v>
      </c>
      <c r="B2239" s="98" t="s">
        <v>17</v>
      </c>
      <c r="C2239" s="98">
        <v>15</v>
      </c>
      <c r="D2239" s="98">
        <v>250</v>
      </c>
      <c r="E2239" s="157">
        <v>41663.120138888888</v>
      </c>
      <c r="F2239" s="157">
        <v>41663.130555555559</v>
      </c>
      <c r="G2239" s="98">
        <v>225</v>
      </c>
      <c r="H2239" s="98">
        <v>330</v>
      </c>
      <c r="I2239" s="98">
        <v>300</v>
      </c>
      <c r="J2239" s="98" t="s">
        <v>1978</v>
      </c>
      <c r="K2239" s="98" t="s">
        <v>1407</v>
      </c>
      <c r="L2239" s="105" t="str">
        <f t="shared" si="380"/>
        <v>Mill Creek</v>
      </c>
      <c r="M2239" s="105" t="str">
        <f t="shared" si="381"/>
        <v>Derate</v>
      </c>
      <c r="N2239" s="105" t="str">
        <f t="shared" si="382"/>
        <v>Coal</v>
      </c>
      <c r="O2239" s="105">
        <f>IFERROR(VLOOKUP(A2239,Lookup!$J$5:$P$19,7,FALSE),0)</f>
        <v>2</v>
      </c>
      <c r="P2239" s="159">
        <f t="shared" si="383"/>
        <v>2014</v>
      </c>
      <c r="Q2239" s="159">
        <f t="shared" si="384"/>
        <v>1</v>
      </c>
      <c r="R2239" s="160">
        <f t="shared" si="385"/>
        <v>0.25000000011641532</v>
      </c>
      <c r="S2239" s="158">
        <f t="shared" si="386"/>
        <v>7.9545454582495789E-2</v>
      </c>
      <c r="T2239" s="161">
        <f t="shared" si="387"/>
        <v>23.863636374748737</v>
      </c>
      <c r="U2239" s="158">
        <f t="shared" si="389"/>
        <v>95.454545454545453</v>
      </c>
      <c r="V2239" s="160">
        <f t="shared" si="388"/>
        <v>95</v>
      </c>
    </row>
    <row r="2240" spans="1:22" x14ac:dyDescent="0.25">
      <c r="A2240" s="98" t="s">
        <v>23</v>
      </c>
      <c r="B2240" s="98" t="s">
        <v>17</v>
      </c>
      <c r="C2240" s="98">
        <v>16</v>
      </c>
      <c r="D2240" s="98">
        <v>250</v>
      </c>
      <c r="E2240" s="157">
        <v>41663.130555555559</v>
      </c>
      <c r="F2240" s="157">
        <v>41663.15625</v>
      </c>
      <c r="G2240" s="98">
        <v>250</v>
      </c>
      <c r="H2240" s="98">
        <v>330</v>
      </c>
      <c r="I2240" s="98">
        <v>300</v>
      </c>
      <c r="J2240" s="98" t="s">
        <v>1978</v>
      </c>
      <c r="K2240" s="98" t="s">
        <v>1407</v>
      </c>
      <c r="L2240" s="105" t="str">
        <f t="shared" si="380"/>
        <v>Mill Creek</v>
      </c>
      <c r="M2240" s="105" t="str">
        <f t="shared" si="381"/>
        <v>Derate</v>
      </c>
      <c r="N2240" s="105" t="str">
        <f t="shared" si="382"/>
        <v>Coal</v>
      </c>
      <c r="O2240" s="105">
        <f>IFERROR(VLOOKUP(A2240,Lookup!$J$5:$P$19,7,FALSE),0)</f>
        <v>2</v>
      </c>
      <c r="P2240" s="159">
        <f t="shared" si="383"/>
        <v>2014</v>
      </c>
      <c r="Q2240" s="159">
        <f t="shared" si="384"/>
        <v>1</v>
      </c>
      <c r="R2240" s="160">
        <f t="shared" si="385"/>
        <v>0.61666666658129543</v>
      </c>
      <c r="S2240" s="158">
        <f t="shared" si="386"/>
        <v>0.14949494947425343</v>
      </c>
      <c r="T2240" s="161">
        <f t="shared" si="387"/>
        <v>44.848484842276029</v>
      </c>
      <c r="U2240" s="158">
        <f t="shared" si="389"/>
        <v>72.727272727272734</v>
      </c>
      <c r="V2240" s="160">
        <f t="shared" si="388"/>
        <v>73</v>
      </c>
    </row>
    <row r="2241" spans="1:22" x14ac:dyDescent="0.25">
      <c r="A2241" s="98" t="s">
        <v>23</v>
      </c>
      <c r="B2241" s="98" t="s">
        <v>17</v>
      </c>
      <c r="C2241" s="98">
        <v>17</v>
      </c>
      <c r="D2241" s="98">
        <v>250</v>
      </c>
      <c r="E2241" s="157">
        <v>41663.321527777778</v>
      </c>
      <c r="F2241" s="157">
        <v>41663.37777777778</v>
      </c>
      <c r="G2241" s="98">
        <v>240</v>
      </c>
      <c r="H2241" s="98">
        <v>330</v>
      </c>
      <c r="I2241" s="98">
        <v>300</v>
      </c>
      <c r="J2241" s="98" t="s">
        <v>1978</v>
      </c>
      <c r="K2241" s="98" t="s">
        <v>1407</v>
      </c>
      <c r="L2241" s="105" t="str">
        <f t="shared" si="380"/>
        <v>Mill Creek</v>
      </c>
      <c r="M2241" s="105" t="str">
        <f t="shared" si="381"/>
        <v>Derate</v>
      </c>
      <c r="N2241" s="105" t="str">
        <f t="shared" si="382"/>
        <v>Coal</v>
      </c>
      <c r="O2241" s="105">
        <f>IFERROR(VLOOKUP(A2241,Lookup!$J$5:$P$19,7,FALSE),0)</f>
        <v>2</v>
      </c>
      <c r="P2241" s="159">
        <f t="shared" si="383"/>
        <v>2014</v>
      </c>
      <c r="Q2241" s="159">
        <f t="shared" si="384"/>
        <v>1</v>
      </c>
      <c r="R2241" s="160">
        <f t="shared" si="385"/>
        <v>1.3500000000349246</v>
      </c>
      <c r="S2241" s="158">
        <f t="shared" si="386"/>
        <v>0.36818181819134305</v>
      </c>
      <c r="T2241" s="161">
        <f t="shared" si="387"/>
        <v>110.45454545740292</v>
      </c>
      <c r="U2241" s="158">
        <f t="shared" si="389"/>
        <v>81.818181818181813</v>
      </c>
      <c r="V2241" s="160">
        <f t="shared" si="388"/>
        <v>82</v>
      </c>
    </row>
    <row r="2242" spans="1:22" x14ac:dyDescent="0.25">
      <c r="A2242" s="98" t="s">
        <v>23</v>
      </c>
      <c r="B2242" s="98" t="s">
        <v>17</v>
      </c>
      <c r="C2242" s="98">
        <v>18</v>
      </c>
      <c r="D2242" s="98">
        <v>4261</v>
      </c>
      <c r="E2242" s="157">
        <v>41671.888888888891</v>
      </c>
      <c r="F2242" s="157">
        <v>41672.368055555555</v>
      </c>
      <c r="G2242" s="98">
        <v>120</v>
      </c>
      <c r="H2242" s="98">
        <v>330</v>
      </c>
      <c r="I2242" s="98">
        <v>300</v>
      </c>
      <c r="J2242" s="98" t="s">
        <v>1985</v>
      </c>
      <c r="K2242" s="98" t="s">
        <v>1408</v>
      </c>
      <c r="L2242" s="105" t="str">
        <f t="shared" si="380"/>
        <v>Mill Creek</v>
      </c>
      <c r="M2242" s="105" t="str">
        <f t="shared" si="381"/>
        <v>Derate</v>
      </c>
      <c r="N2242" s="105" t="str">
        <f t="shared" si="382"/>
        <v>Coal</v>
      </c>
      <c r="O2242" s="105">
        <f>IFERROR(VLOOKUP(A2242,Lookup!$J$5:$P$19,7,FALSE),0)</f>
        <v>2</v>
      </c>
      <c r="P2242" s="159">
        <f t="shared" si="383"/>
        <v>2014</v>
      </c>
      <c r="Q2242" s="159">
        <f t="shared" si="384"/>
        <v>2</v>
      </c>
      <c r="R2242" s="160">
        <f t="shared" si="385"/>
        <v>11.499999999941792</v>
      </c>
      <c r="S2242" s="158">
        <f t="shared" si="386"/>
        <v>7.3181818181447769</v>
      </c>
      <c r="T2242" s="161">
        <f t="shared" si="387"/>
        <v>2195.4545454434328</v>
      </c>
      <c r="U2242" s="158">
        <f t="shared" si="389"/>
        <v>190.90909090909091</v>
      </c>
      <c r="V2242" s="160">
        <f t="shared" si="388"/>
        <v>191</v>
      </c>
    </row>
    <row r="2243" spans="1:22" x14ac:dyDescent="0.25">
      <c r="A2243" s="98" t="s">
        <v>23</v>
      </c>
      <c r="B2243" s="98" t="s">
        <v>79</v>
      </c>
      <c r="C2243" s="98">
        <v>19</v>
      </c>
      <c r="D2243" s="98">
        <v>1160</v>
      </c>
      <c r="E2243" s="157">
        <v>41674.958333333336</v>
      </c>
      <c r="F2243" s="157">
        <v>41675.177083333336</v>
      </c>
      <c r="G2243" s="98">
        <v>0</v>
      </c>
      <c r="H2243" s="98">
        <v>330</v>
      </c>
      <c r="I2243" s="98">
        <v>300</v>
      </c>
      <c r="J2243" s="98" t="s">
        <v>2273</v>
      </c>
      <c r="K2243" s="98" t="s">
        <v>1409</v>
      </c>
      <c r="L2243" s="105" t="str">
        <f t="shared" si="380"/>
        <v>Mill Creek</v>
      </c>
      <c r="M2243" s="105" t="str">
        <f t="shared" si="381"/>
        <v>Other</v>
      </c>
      <c r="N2243" s="105" t="str">
        <f t="shared" si="382"/>
        <v>Coal</v>
      </c>
      <c r="O2243" s="105">
        <f>IFERROR(VLOOKUP(A2243,Lookup!$J$5:$P$19,7,FALSE),0)</f>
        <v>2</v>
      </c>
      <c r="P2243" s="159">
        <f t="shared" si="383"/>
        <v>2014</v>
      </c>
      <c r="Q2243" s="159">
        <f t="shared" si="384"/>
        <v>2</v>
      </c>
      <c r="R2243" s="160">
        <f t="shared" si="385"/>
        <v>5.25</v>
      </c>
      <c r="S2243" s="158">
        <f t="shared" si="386"/>
        <v>5.25</v>
      </c>
      <c r="T2243" s="161">
        <f t="shared" si="387"/>
        <v>1575</v>
      </c>
      <c r="U2243" s="158">
        <f t="shared" si="389"/>
        <v>300</v>
      </c>
      <c r="V2243" s="160">
        <f t="shared" si="388"/>
        <v>300</v>
      </c>
    </row>
    <row r="2244" spans="1:22" x14ac:dyDescent="0.25">
      <c r="A2244" s="98" t="s">
        <v>23</v>
      </c>
      <c r="B2244" s="98" t="s">
        <v>17</v>
      </c>
      <c r="C2244" s="98">
        <v>20</v>
      </c>
      <c r="D2244" s="98">
        <v>250</v>
      </c>
      <c r="E2244" s="157">
        <v>41675.311111111114</v>
      </c>
      <c r="F2244" s="157">
        <v>41675.395833333336</v>
      </c>
      <c r="G2244" s="98">
        <v>265</v>
      </c>
      <c r="H2244" s="98">
        <v>330</v>
      </c>
      <c r="I2244" s="98">
        <v>300</v>
      </c>
      <c r="J2244" s="98" t="s">
        <v>1978</v>
      </c>
      <c r="K2244" s="98" t="s">
        <v>89</v>
      </c>
      <c r="L2244" s="105" t="str">
        <f t="shared" si="380"/>
        <v>Mill Creek</v>
      </c>
      <c r="M2244" s="105" t="str">
        <f t="shared" si="381"/>
        <v>Derate</v>
      </c>
      <c r="N2244" s="105" t="str">
        <f t="shared" si="382"/>
        <v>Coal</v>
      </c>
      <c r="O2244" s="105">
        <f>IFERROR(VLOOKUP(A2244,Lookup!$J$5:$P$19,7,FALSE),0)</f>
        <v>2</v>
      </c>
      <c r="P2244" s="159">
        <f t="shared" si="383"/>
        <v>2014</v>
      </c>
      <c r="Q2244" s="159">
        <f t="shared" si="384"/>
        <v>2</v>
      </c>
      <c r="R2244" s="160">
        <f t="shared" si="385"/>
        <v>2.0333333333255723</v>
      </c>
      <c r="S2244" s="158">
        <f t="shared" si="386"/>
        <v>0.40050505050352181</v>
      </c>
      <c r="T2244" s="161">
        <f t="shared" si="387"/>
        <v>120.15151515105654</v>
      </c>
      <c r="U2244" s="158">
        <f t="shared" si="389"/>
        <v>59.090909090909093</v>
      </c>
      <c r="V2244" s="160">
        <f t="shared" si="388"/>
        <v>59</v>
      </c>
    </row>
    <row r="2245" spans="1:22" x14ac:dyDescent="0.25">
      <c r="A2245" s="98" t="s">
        <v>23</v>
      </c>
      <c r="B2245" s="98" t="s">
        <v>105</v>
      </c>
      <c r="C2245" s="98">
        <v>21</v>
      </c>
      <c r="D2245" s="98">
        <v>250</v>
      </c>
      <c r="E2245" s="157">
        <v>41676</v>
      </c>
      <c r="F2245" s="157">
        <v>41676.133333333331</v>
      </c>
      <c r="G2245" s="98">
        <v>240</v>
      </c>
      <c r="H2245" s="98">
        <v>330</v>
      </c>
      <c r="I2245" s="98">
        <v>300</v>
      </c>
      <c r="J2245" s="98" t="s">
        <v>1978</v>
      </c>
      <c r="K2245" s="98" t="s">
        <v>1410</v>
      </c>
      <c r="L2245" s="105" t="str">
        <f t="shared" si="380"/>
        <v>Mill Creek</v>
      </c>
      <c r="M2245" s="105" t="str">
        <f t="shared" si="381"/>
        <v>Derate</v>
      </c>
      <c r="N2245" s="105" t="str">
        <f t="shared" si="382"/>
        <v>Coal</v>
      </c>
      <c r="O2245" s="105">
        <f>IFERROR(VLOOKUP(A2245,Lookup!$J$5:$P$19,7,FALSE),0)</f>
        <v>2</v>
      </c>
      <c r="P2245" s="159">
        <f t="shared" si="383"/>
        <v>2014</v>
      </c>
      <c r="Q2245" s="159">
        <f t="shared" si="384"/>
        <v>2</v>
      </c>
      <c r="R2245" s="160">
        <f t="shared" si="385"/>
        <v>3.1999999999534339</v>
      </c>
      <c r="S2245" s="158">
        <f t="shared" si="386"/>
        <v>0.87272727271457284</v>
      </c>
      <c r="T2245" s="161">
        <f t="shared" si="387"/>
        <v>261.81818181437183</v>
      </c>
      <c r="U2245" s="158">
        <f t="shared" si="389"/>
        <v>81.818181818181813</v>
      </c>
      <c r="V2245" s="160">
        <f t="shared" si="388"/>
        <v>82</v>
      </c>
    </row>
    <row r="2246" spans="1:22" x14ac:dyDescent="0.25">
      <c r="A2246" s="98" t="s">
        <v>23</v>
      </c>
      <c r="B2246" s="98" t="s">
        <v>17</v>
      </c>
      <c r="C2246" s="98">
        <v>22</v>
      </c>
      <c r="D2246" s="98">
        <v>1160</v>
      </c>
      <c r="E2246" s="157">
        <v>41678.302083333336</v>
      </c>
      <c r="F2246" s="157">
        <v>41678.352083333331</v>
      </c>
      <c r="G2246" s="98">
        <v>300</v>
      </c>
      <c r="H2246" s="98">
        <v>330</v>
      </c>
      <c r="I2246" s="98">
        <v>300</v>
      </c>
      <c r="J2246" s="98" t="s">
        <v>2273</v>
      </c>
      <c r="K2246" s="98" t="s">
        <v>238</v>
      </c>
      <c r="L2246" s="105" t="str">
        <f t="shared" si="380"/>
        <v>Mill Creek</v>
      </c>
      <c r="M2246" s="105" t="str">
        <f t="shared" si="381"/>
        <v>Derate</v>
      </c>
      <c r="N2246" s="105" t="str">
        <f t="shared" si="382"/>
        <v>Coal</v>
      </c>
      <c r="O2246" s="105">
        <f>IFERROR(VLOOKUP(A2246,Lookup!$J$5:$P$19,7,FALSE),0)</f>
        <v>2</v>
      </c>
      <c r="P2246" s="159">
        <f t="shared" si="383"/>
        <v>2014</v>
      </c>
      <c r="Q2246" s="159">
        <f t="shared" si="384"/>
        <v>2</v>
      </c>
      <c r="R2246" s="160">
        <f t="shared" si="385"/>
        <v>1.1999999998952262</v>
      </c>
      <c r="S2246" s="158">
        <f t="shared" si="386"/>
        <v>0.1090909090813842</v>
      </c>
      <c r="T2246" s="161">
        <f t="shared" si="387"/>
        <v>32.727272724415265</v>
      </c>
      <c r="U2246" s="158">
        <f t="shared" si="389"/>
        <v>27.272727272727273</v>
      </c>
      <c r="V2246" s="160">
        <f t="shared" si="388"/>
        <v>27</v>
      </c>
    </row>
    <row r="2247" spans="1:22" x14ac:dyDescent="0.25">
      <c r="A2247" s="98" t="s">
        <v>23</v>
      </c>
      <c r="B2247" s="98" t="s">
        <v>17</v>
      </c>
      <c r="C2247" s="98">
        <v>23</v>
      </c>
      <c r="D2247" s="98">
        <v>1160</v>
      </c>
      <c r="E2247" s="157">
        <v>41678.352083333331</v>
      </c>
      <c r="F2247" s="157">
        <v>41678.628472222219</v>
      </c>
      <c r="G2247" s="98">
        <v>250</v>
      </c>
      <c r="H2247" s="98">
        <v>330</v>
      </c>
      <c r="I2247" s="98">
        <v>300</v>
      </c>
      <c r="J2247" s="98" t="s">
        <v>2273</v>
      </c>
      <c r="K2247" s="98" t="s">
        <v>238</v>
      </c>
      <c r="L2247" s="105" t="str">
        <f t="shared" si="380"/>
        <v>Mill Creek</v>
      </c>
      <c r="M2247" s="105" t="str">
        <f t="shared" si="381"/>
        <v>Derate</v>
      </c>
      <c r="N2247" s="105" t="str">
        <f t="shared" si="382"/>
        <v>Coal</v>
      </c>
      <c r="O2247" s="105">
        <f>IFERROR(VLOOKUP(A2247,Lookup!$J$5:$P$19,7,FALSE),0)</f>
        <v>2</v>
      </c>
      <c r="P2247" s="159">
        <f t="shared" si="383"/>
        <v>2014</v>
      </c>
      <c r="Q2247" s="159">
        <f t="shared" si="384"/>
        <v>2</v>
      </c>
      <c r="R2247" s="160">
        <f t="shared" si="385"/>
        <v>6.6333333333022892</v>
      </c>
      <c r="S2247" s="158">
        <f t="shared" si="386"/>
        <v>1.6080808080732822</v>
      </c>
      <c r="T2247" s="161">
        <f t="shared" si="387"/>
        <v>482.42424242198467</v>
      </c>
      <c r="U2247" s="158">
        <f t="shared" si="389"/>
        <v>72.727272727272734</v>
      </c>
      <c r="V2247" s="160">
        <f t="shared" si="388"/>
        <v>73</v>
      </c>
    </row>
    <row r="2248" spans="1:22" x14ac:dyDescent="0.25">
      <c r="A2248" s="98" t="s">
        <v>23</v>
      </c>
      <c r="B2248" s="98" t="s">
        <v>79</v>
      </c>
      <c r="C2248" s="98">
        <v>24</v>
      </c>
      <c r="D2248" s="98">
        <v>1160</v>
      </c>
      <c r="E2248" s="157">
        <v>41678.916666666664</v>
      </c>
      <c r="F2248" s="157">
        <v>41679.166666666664</v>
      </c>
      <c r="G2248" s="98">
        <v>0</v>
      </c>
      <c r="H2248" s="98">
        <v>330</v>
      </c>
      <c r="I2248" s="98">
        <v>300</v>
      </c>
      <c r="J2248" s="98" t="s">
        <v>2273</v>
      </c>
      <c r="K2248" s="98" t="s">
        <v>1411</v>
      </c>
      <c r="L2248" s="105" t="str">
        <f t="shared" si="380"/>
        <v>Mill Creek</v>
      </c>
      <c r="M2248" s="105" t="str">
        <f t="shared" si="381"/>
        <v>Other</v>
      </c>
      <c r="N2248" s="105" t="str">
        <f t="shared" si="382"/>
        <v>Coal</v>
      </c>
      <c r="O2248" s="105">
        <f>IFERROR(VLOOKUP(A2248,Lookup!$J$5:$P$19,7,FALSE),0)</f>
        <v>2</v>
      </c>
      <c r="P2248" s="159">
        <f t="shared" si="383"/>
        <v>2014</v>
      </c>
      <c r="Q2248" s="159">
        <f t="shared" si="384"/>
        <v>2</v>
      </c>
      <c r="R2248" s="160">
        <f t="shared" si="385"/>
        <v>6</v>
      </c>
      <c r="S2248" s="158">
        <f t="shared" si="386"/>
        <v>6</v>
      </c>
      <c r="T2248" s="161">
        <f t="shared" si="387"/>
        <v>1800</v>
      </c>
      <c r="U2248" s="158">
        <f t="shared" si="389"/>
        <v>300</v>
      </c>
      <c r="V2248" s="160">
        <f t="shared" si="388"/>
        <v>300</v>
      </c>
    </row>
    <row r="2249" spans="1:22" x14ac:dyDescent="0.25">
      <c r="A2249" s="98" t="s">
        <v>23</v>
      </c>
      <c r="B2249" s="98" t="s">
        <v>17</v>
      </c>
      <c r="C2249" s="98">
        <v>25</v>
      </c>
      <c r="D2249" s="98">
        <v>1488</v>
      </c>
      <c r="E2249" s="157">
        <v>41680.961805555555</v>
      </c>
      <c r="F2249" s="157">
        <v>41681.267361111109</v>
      </c>
      <c r="G2249" s="98">
        <v>323</v>
      </c>
      <c r="H2249" s="98">
        <v>330</v>
      </c>
      <c r="I2249" s="98">
        <v>300</v>
      </c>
      <c r="J2249" s="98" t="s">
        <v>2284</v>
      </c>
      <c r="K2249" s="98" t="s">
        <v>245</v>
      </c>
      <c r="L2249" s="105" t="str">
        <f t="shared" si="380"/>
        <v>Mill Creek</v>
      </c>
      <c r="M2249" s="105" t="str">
        <f t="shared" si="381"/>
        <v>Derate</v>
      </c>
      <c r="N2249" s="105" t="str">
        <f t="shared" si="382"/>
        <v>Coal</v>
      </c>
      <c r="O2249" s="105">
        <f>IFERROR(VLOOKUP(A2249,Lookup!$J$5:$P$19,7,FALSE),0)</f>
        <v>2</v>
      </c>
      <c r="P2249" s="159">
        <f t="shared" si="383"/>
        <v>2014</v>
      </c>
      <c r="Q2249" s="159">
        <f t="shared" si="384"/>
        <v>2</v>
      </c>
      <c r="R2249" s="160">
        <f t="shared" si="385"/>
        <v>7.3333333333139308</v>
      </c>
      <c r="S2249" s="158">
        <f t="shared" si="386"/>
        <v>0.155555555555144</v>
      </c>
      <c r="T2249" s="161">
        <f t="shared" si="387"/>
        <v>46.6666666665432</v>
      </c>
      <c r="U2249" s="158">
        <f t="shared" si="389"/>
        <v>6.3636363636363633</v>
      </c>
      <c r="V2249" s="160">
        <f t="shared" si="388"/>
        <v>6</v>
      </c>
    </row>
    <row r="2250" spans="1:22" x14ac:dyDescent="0.25">
      <c r="A2250" s="98" t="s">
        <v>23</v>
      </c>
      <c r="B2250" s="98" t="s">
        <v>17</v>
      </c>
      <c r="C2250" s="98">
        <v>26</v>
      </c>
      <c r="D2250" s="98">
        <v>1488</v>
      </c>
      <c r="E2250" s="157">
        <v>41681.267361111109</v>
      </c>
      <c r="F2250" s="157">
        <v>41681.416666666664</v>
      </c>
      <c r="G2250" s="98">
        <v>320</v>
      </c>
      <c r="H2250" s="98">
        <v>330</v>
      </c>
      <c r="I2250" s="98">
        <v>300</v>
      </c>
      <c r="J2250" s="98" t="s">
        <v>2284</v>
      </c>
      <c r="K2250" s="98" t="s">
        <v>245</v>
      </c>
      <c r="L2250" s="105" t="str">
        <f t="shared" si="380"/>
        <v>Mill Creek</v>
      </c>
      <c r="M2250" s="105" t="str">
        <f t="shared" si="381"/>
        <v>Derate</v>
      </c>
      <c r="N2250" s="105" t="str">
        <f t="shared" si="382"/>
        <v>Coal</v>
      </c>
      <c r="O2250" s="105">
        <f>IFERROR(VLOOKUP(A2250,Lookup!$J$5:$P$19,7,FALSE),0)</f>
        <v>2</v>
      </c>
      <c r="P2250" s="159">
        <f t="shared" si="383"/>
        <v>2014</v>
      </c>
      <c r="Q2250" s="159">
        <f t="shared" si="384"/>
        <v>2</v>
      </c>
      <c r="R2250" s="160">
        <f t="shared" si="385"/>
        <v>3.5833333333139308</v>
      </c>
      <c r="S2250" s="158">
        <f t="shared" si="386"/>
        <v>0.10858585858527063</v>
      </c>
      <c r="T2250" s="161">
        <f t="shared" si="387"/>
        <v>32.575757575581193</v>
      </c>
      <c r="U2250" s="158">
        <f t="shared" si="389"/>
        <v>9.0909090909090917</v>
      </c>
      <c r="V2250" s="160">
        <f t="shared" si="388"/>
        <v>9</v>
      </c>
    </row>
    <row r="2251" spans="1:22" x14ac:dyDescent="0.25">
      <c r="A2251" s="98" t="s">
        <v>23</v>
      </c>
      <c r="B2251" s="98" t="s">
        <v>17</v>
      </c>
      <c r="C2251" s="98">
        <v>27</v>
      </c>
      <c r="D2251" s="98">
        <v>1488</v>
      </c>
      <c r="E2251" s="157">
        <v>41681.416666666664</v>
      </c>
      <c r="F2251" s="157">
        <v>41682.4375</v>
      </c>
      <c r="G2251" s="98">
        <v>324</v>
      </c>
      <c r="H2251" s="98">
        <v>330</v>
      </c>
      <c r="I2251" s="98">
        <v>300</v>
      </c>
      <c r="J2251" s="98" t="s">
        <v>2284</v>
      </c>
      <c r="K2251" s="98" t="s">
        <v>1412</v>
      </c>
      <c r="L2251" s="105" t="str">
        <f t="shared" si="380"/>
        <v>Mill Creek</v>
      </c>
      <c r="M2251" s="105" t="str">
        <f t="shared" si="381"/>
        <v>Derate</v>
      </c>
      <c r="N2251" s="105" t="str">
        <f t="shared" si="382"/>
        <v>Coal</v>
      </c>
      <c r="O2251" s="105">
        <f>IFERROR(VLOOKUP(A2251,Lookup!$J$5:$P$19,7,FALSE),0)</f>
        <v>2</v>
      </c>
      <c r="P2251" s="159">
        <f t="shared" si="383"/>
        <v>2014</v>
      </c>
      <c r="Q2251" s="159">
        <f t="shared" si="384"/>
        <v>2</v>
      </c>
      <c r="R2251" s="160">
        <f t="shared" si="385"/>
        <v>24.500000000058208</v>
      </c>
      <c r="S2251" s="158">
        <f t="shared" si="386"/>
        <v>0.44545454545560376</v>
      </c>
      <c r="T2251" s="161">
        <f t="shared" si="387"/>
        <v>133.63636363668112</v>
      </c>
      <c r="U2251" s="158">
        <f t="shared" si="389"/>
        <v>5.4545454545454541</v>
      </c>
      <c r="V2251" s="160">
        <f t="shared" si="388"/>
        <v>5</v>
      </c>
    </row>
    <row r="2252" spans="1:22" x14ac:dyDescent="0.25">
      <c r="A2252" s="98" t="s">
        <v>23</v>
      </c>
      <c r="B2252" s="98" t="s">
        <v>79</v>
      </c>
      <c r="C2252" s="98">
        <v>28</v>
      </c>
      <c r="D2252" s="98">
        <v>8460</v>
      </c>
      <c r="E2252" s="157">
        <v>41681.53125</v>
      </c>
      <c r="F2252" s="157">
        <v>41681.666666666664</v>
      </c>
      <c r="G2252" s="98">
        <v>0</v>
      </c>
      <c r="H2252" s="98">
        <v>330</v>
      </c>
      <c r="I2252" s="98">
        <v>300</v>
      </c>
      <c r="J2252" s="98" t="s">
        <v>2651</v>
      </c>
      <c r="K2252" s="98" t="s">
        <v>1413</v>
      </c>
      <c r="L2252" s="105" t="str">
        <f t="shared" si="380"/>
        <v>Mill Creek</v>
      </c>
      <c r="M2252" s="105" t="str">
        <f t="shared" si="381"/>
        <v>Other</v>
      </c>
      <c r="N2252" s="105" t="str">
        <f t="shared" si="382"/>
        <v>Coal</v>
      </c>
      <c r="O2252" s="105">
        <f>IFERROR(VLOOKUP(A2252,Lookup!$J$5:$P$19,7,FALSE),0)</f>
        <v>2</v>
      </c>
      <c r="P2252" s="159">
        <f t="shared" si="383"/>
        <v>2014</v>
      </c>
      <c r="Q2252" s="159">
        <f t="shared" si="384"/>
        <v>2</v>
      </c>
      <c r="R2252" s="160">
        <f t="shared" si="385"/>
        <v>3.2499999999417923</v>
      </c>
      <c r="S2252" s="158">
        <f t="shared" si="386"/>
        <v>3.2499999999417923</v>
      </c>
      <c r="T2252" s="161">
        <f t="shared" si="387"/>
        <v>974.9999999825377</v>
      </c>
      <c r="U2252" s="158">
        <f t="shared" si="389"/>
        <v>300</v>
      </c>
      <c r="V2252" s="160">
        <f t="shared" si="388"/>
        <v>300</v>
      </c>
    </row>
    <row r="2253" spans="1:22" x14ac:dyDescent="0.25">
      <c r="A2253" s="98" t="s">
        <v>23</v>
      </c>
      <c r="B2253" s="98" t="s">
        <v>79</v>
      </c>
      <c r="C2253" s="98">
        <v>29</v>
      </c>
      <c r="D2253" s="98">
        <v>8460</v>
      </c>
      <c r="E2253" s="157">
        <v>41682.291666666664</v>
      </c>
      <c r="F2253" s="157">
        <v>41682.947916666664</v>
      </c>
      <c r="G2253" s="98">
        <v>0</v>
      </c>
      <c r="H2253" s="98">
        <v>330</v>
      </c>
      <c r="I2253" s="98">
        <v>300</v>
      </c>
      <c r="J2253" s="98" t="s">
        <v>2651</v>
      </c>
      <c r="K2253" s="98" t="s">
        <v>1413</v>
      </c>
      <c r="L2253" s="105" t="str">
        <f t="shared" si="380"/>
        <v>Mill Creek</v>
      </c>
      <c r="M2253" s="105" t="str">
        <f t="shared" si="381"/>
        <v>Other</v>
      </c>
      <c r="N2253" s="105" t="str">
        <f t="shared" si="382"/>
        <v>Coal</v>
      </c>
      <c r="O2253" s="105">
        <f>IFERROR(VLOOKUP(A2253,Lookup!$J$5:$P$19,7,FALSE),0)</f>
        <v>2</v>
      </c>
      <c r="P2253" s="159">
        <f t="shared" si="383"/>
        <v>2014</v>
      </c>
      <c r="Q2253" s="159">
        <f t="shared" si="384"/>
        <v>2</v>
      </c>
      <c r="R2253" s="160">
        <f t="shared" si="385"/>
        <v>15.75</v>
      </c>
      <c r="S2253" s="158">
        <f t="shared" si="386"/>
        <v>15.75</v>
      </c>
      <c r="T2253" s="161">
        <f t="shared" si="387"/>
        <v>4725</v>
      </c>
      <c r="U2253" s="158">
        <f t="shared" si="389"/>
        <v>300</v>
      </c>
      <c r="V2253" s="160">
        <f t="shared" si="388"/>
        <v>300</v>
      </c>
    </row>
    <row r="2254" spans="1:22" x14ac:dyDescent="0.25">
      <c r="A2254" s="98" t="s">
        <v>23</v>
      </c>
      <c r="B2254" s="98" t="s">
        <v>17</v>
      </c>
      <c r="C2254" s="98">
        <v>30</v>
      </c>
      <c r="D2254" s="98">
        <v>1488</v>
      </c>
      <c r="E2254" s="157">
        <v>41682.4375</v>
      </c>
      <c r="F2254" s="157">
        <v>41682.947916666664</v>
      </c>
      <c r="G2254" s="98">
        <v>320</v>
      </c>
      <c r="H2254" s="98">
        <v>330</v>
      </c>
      <c r="I2254" s="98">
        <v>300</v>
      </c>
      <c r="J2254" s="98" t="s">
        <v>2284</v>
      </c>
      <c r="K2254" s="98" t="s">
        <v>1414</v>
      </c>
      <c r="L2254" s="105" t="str">
        <f t="shared" si="380"/>
        <v>Mill Creek</v>
      </c>
      <c r="M2254" s="105" t="str">
        <f t="shared" si="381"/>
        <v>Derate</v>
      </c>
      <c r="N2254" s="105" t="str">
        <f t="shared" si="382"/>
        <v>Coal</v>
      </c>
      <c r="O2254" s="105">
        <f>IFERROR(VLOOKUP(A2254,Lookup!$J$5:$P$19,7,FALSE),0)</f>
        <v>2</v>
      </c>
      <c r="P2254" s="159">
        <f t="shared" si="383"/>
        <v>2014</v>
      </c>
      <c r="Q2254" s="159">
        <f t="shared" si="384"/>
        <v>2</v>
      </c>
      <c r="R2254" s="160">
        <f t="shared" si="385"/>
        <v>12.249999999941792</v>
      </c>
      <c r="S2254" s="158">
        <f t="shared" si="386"/>
        <v>0.37121212121035735</v>
      </c>
      <c r="T2254" s="161">
        <f t="shared" si="387"/>
        <v>111.3636363631072</v>
      </c>
      <c r="U2254" s="158">
        <f t="shared" si="389"/>
        <v>9.0909090909090917</v>
      </c>
      <c r="V2254" s="160">
        <f t="shared" si="388"/>
        <v>9</v>
      </c>
    </row>
    <row r="2255" spans="1:22" x14ac:dyDescent="0.25">
      <c r="A2255" s="98" t="s">
        <v>23</v>
      </c>
      <c r="B2255" s="98" t="s">
        <v>17</v>
      </c>
      <c r="C2255" s="98">
        <v>31</v>
      </c>
      <c r="D2255" s="98">
        <v>1488</v>
      </c>
      <c r="E2255" s="157">
        <v>41682.947916666664</v>
      </c>
      <c r="F2255" s="157">
        <v>41683.30972222222</v>
      </c>
      <c r="G2255" s="98">
        <v>310</v>
      </c>
      <c r="H2255" s="98">
        <v>330</v>
      </c>
      <c r="I2255" s="98">
        <v>300</v>
      </c>
      <c r="J2255" s="98" t="s">
        <v>2284</v>
      </c>
      <c r="K2255" s="98" t="s">
        <v>1412</v>
      </c>
      <c r="L2255" s="105" t="str">
        <f t="shared" si="380"/>
        <v>Mill Creek</v>
      </c>
      <c r="M2255" s="105" t="str">
        <f t="shared" si="381"/>
        <v>Derate</v>
      </c>
      <c r="N2255" s="105" t="str">
        <f t="shared" si="382"/>
        <v>Coal</v>
      </c>
      <c r="O2255" s="105">
        <f>IFERROR(VLOOKUP(A2255,Lookup!$J$5:$P$19,7,FALSE),0)</f>
        <v>2</v>
      </c>
      <c r="P2255" s="159">
        <f t="shared" si="383"/>
        <v>2014</v>
      </c>
      <c r="Q2255" s="159">
        <f t="shared" si="384"/>
        <v>2</v>
      </c>
      <c r="R2255" s="160">
        <f t="shared" si="385"/>
        <v>8.6833333333488554</v>
      </c>
      <c r="S2255" s="158">
        <f t="shared" si="386"/>
        <v>0.52626262626356701</v>
      </c>
      <c r="T2255" s="161">
        <f t="shared" si="387"/>
        <v>157.8787878790701</v>
      </c>
      <c r="U2255" s="158">
        <f t="shared" si="389"/>
        <v>18.181818181818183</v>
      </c>
      <c r="V2255" s="160">
        <f t="shared" si="388"/>
        <v>18</v>
      </c>
    </row>
    <row r="2256" spans="1:22" x14ac:dyDescent="0.25">
      <c r="A2256" s="98" t="s">
        <v>23</v>
      </c>
      <c r="B2256" s="98" t="s">
        <v>17</v>
      </c>
      <c r="C2256" s="98">
        <v>32</v>
      </c>
      <c r="D2256" s="98">
        <v>1488</v>
      </c>
      <c r="E2256" s="157">
        <v>41683.30972222222</v>
      </c>
      <c r="F2256" s="157">
        <v>41683.916666666664</v>
      </c>
      <c r="G2256" s="98">
        <v>324</v>
      </c>
      <c r="H2256" s="98">
        <v>330</v>
      </c>
      <c r="I2256" s="98">
        <v>300</v>
      </c>
      <c r="J2256" s="98" t="s">
        <v>2284</v>
      </c>
      <c r="K2256" s="98" t="s">
        <v>1412</v>
      </c>
      <c r="L2256" s="105" t="str">
        <f t="shared" si="380"/>
        <v>Mill Creek</v>
      </c>
      <c r="M2256" s="105" t="str">
        <f t="shared" si="381"/>
        <v>Derate</v>
      </c>
      <c r="N2256" s="105" t="str">
        <f t="shared" si="382"/>
        <v>Coal</v>
      </c>
      <c r="O2256" s="105">
        <f>IFERROR(VLOOKUP(A2256,Lookup!$J$5:$P$19,7,FALSE),0)</f>
        <v>2</v>
      </c>
      <c r="P2256" s="159">
        <f t="shared" si="383"/>
        <v>2014</v>
      </c>
      <c r="Q2256" s="159">
        <f t="shared" si="384"/>
        <v>2</v>
      </c>
      <c r="R2256" s="160">
        <f t="shared" si="385"/>
        <v>14.566666666651145</v>
      </c>
      <c r="S2256" s="158">
        <f t="shared" si="386"/>
        <v>0.26484848484820261</v>
      </c>
      <c r="T2256" s="161">
        <f t="shared" si="387"/>
        <v>79.454545454460785</v>
      </c>
      <c r="U2256" s="158">
        <f t="shared" si="389"/>
        <v>5.4545454545454541</v>
      </c>
      <c r="V2256" s="160">
        <f t="shared" si="388"/>
        <v>5</v>
      </c>
    </row>
    <row r="2257" spans="1:22" x14ac:dyDescent="0.25">
      <c r="A2257" s="98" t="s">
        <v>23</v>
      </c>
      <c r="B2257" s="98" t="s">
        <v>79</v>
      </c>
      <c r="C2257" s="98">
        <v>33</v>
      </c>
      <c r="D2257" s="98">
        <v>8460</v>
      </c>
      <c r="E2257" s="157">
        <v>41683.569444444445</v>
      </c>
      <c r="F2257" s="157">
        <v>41683.916666666664</v>
      </c>
      <c r="G2257" s="98">
        <v>0</v>
      </c>
      <c r="H2257" s="98">
        <v>330</v>
      </c>
      <c r="I2257" s="98">
        <v>300</v>
      </c>
      <c r="J2257" s="98" t="s">
        <v>2651</v>
      </c>
      <c r="K2257" s="98" t="s">
        <v>1413</v>
      </c>
      <c r="L2257" s="105" t="str">
        <f t="shared" si="380"/>
        <v>Mill Creek</v>
      </c>
      <c r="M2257" s="105" t="str">
        <f t="shared" si="381"/>
        <v>Other</v>
      </c>
      <c r="N2257" s="105" t="str">
        <f t="shared" si="382"/>
        <v>Coal</v>
      </c>
      <c r="O2257" s="105">
        <f>IFERROR(VLOOKUP(A2257,Lookup!$J$5:$P$19,7,FALSE),0)</f>
        <v>2</v>
      </c>
      <c r="P2257" s="159">
        <f t="shared" si="383"/>
        <v>2014</v>
      </c>
      <c r="Q2257" s="159">
        <f t="shared" si="384"/>
        <v>2</v>
      </c>
      <c r="R2257" s="160">
        <f t="shared" si="385"/>
        <v>8.3333333332557231</v>
      </c>
      <c r="S2257" s="158">
        <f t="shared" si="386"/>
        <v>8.3333333332557231</v>
      </c>
      <c r="T2257" s="161">
        <f t="shared" si="387"/>
        <v>2499.9999999767169</v>
      </c>
      <c r="U2257" s="158">
        <f t="shared" si="389"/>
        <v>300</v>
      </c>
      <c r="V2257" s="160">
        <f t="shared" si="388"/>
        <v>300</v>
      </c>
    </row>
    <row r="2258" spans="1:22" x14ac:dyDescent="0.25">
      <c r="A2258" s="98" t="s">
        <v>23</v>
      </c>
      <c r="B2258" s="98" t="s">
        <v>105</v>
      </c>
      <c r="C2258" s="98">
        <v>34</v>
      </c>
      <c r="D2258" s="98">
        <v>310</v>
      </c>
      <c r="E2258" s="157">
        <v>41683.916666666664</v>
      </c>
      <c r="F2258" s="157">
        <v>41684.125</v>
      </c>
      <c r="G2258" s="98">
        <v>240</v>
      </c>
      <c r="H2258" s="98">
        <v>330</v>
      </c>
      <c r="I2258" s="98">
        <v>300</v>
      </c>
      <c r="J2258" s="98" t="s">
        <v>1966</v>
      </c>
      <c r="K2258" s="98" t="s">
        <v>1404</v>
      </c>
      <c r="L2258" s="105" t="str">
        <f t="shared" si="380"/>
        <v>Mill Creek</v>
      </c>
      <c r="M2258" s="105" t="str">
        <f t="shared" si="381"/>
        <v>Derate</v>
      </c>
      <c r="N2258" s="105" t="str">
        <f t="shared" si="382"/>
        <v>Coal</v>
      </c>
      <c r="O2258" s="105">
        <f>IFERROR(VLOOKUP(A2258,Lookup!$J$5:$P$19,7,FALSE),0)</f>
        <v>2</v>
      </c>
      <c r="P2258" s="159">
        <f t="shared" si="383"/>
        <v>2014</v>
      </c>
      <c r="Q2258" s="159">
        <f t="shared" si="384"/>
        <v>2</v>
      </c>
      <c r="R2258" s="160">
        <f t="shared" si="385"/>
        <v>5.0000000000582077</v>
      </c>
      <c r="S2258" s="158">
        <f t="shared" si="386"/>
        <v>1.3636363636522384</v>
      </c>
      <c r="T2258" s="161">
        <f t="shared" si="387"/>
        <v>409.09090909567152</v>
      </c>
      <c r="U2258" s="158">
        <f t="shared" si="389"/>
        <v>81.818181818181813</v>
      </c>
      <c r="V2258" s="160">
        <f t="shared" si="388"/>
        <v>82</v>
      </c>
    </row>
    <row r="2259" spans="1:22" x14ac:dyDescent="0.25">
      <c r="A2259" s="98" t="s">
        <v>23</v>
      </c>
      <c r="B2259" s="98" t="s">
        <v>17</v>
      </c>
      <c r="C2259" s="98">
        <v>35</v>
      </c>
      <c r="D2259" s="98">
        <v>250</v>
      </c>
      <c r="E2259" s="157">
        <v>41684.125</v>
      </c>
      <c r="F2259" s="157">
        <v>41684.211805555555</v>
      </c>
      <c r="G2259" s="98">
        <v>240</v>
      </c>
      <c r="H2259" s="98">
        <v>330</v>
      </c>
      <c r="I2259" s="98">
        <v>300</v>
      </c>
      <c r="J2259" s="98" t="s">
        <v>1978</v>
      </c>
      <c r="K2259" s="98" t="s">
        <v>1415</v>
      </c>
      <c r="L2259" s="105" t="str">
        <f t="shared" si="380"/>
        <v>Mill Creek</v>
      </c>
      <c r="M2259" s="105" t="str">
        <f t="shared" si="381"/>
        <v>Derate</v>
      </c>
      <c r="N2259" s="105" t="str">
        <f t="shared" si="382"/>
        <v>Coal</v>
      </c>
      <c r="O2259" s="105">
        <f>IFERROR(VLOOKUP(A2259,Lookup!$J$5:$P$19,7,FALSE),0)</f>
        <v>2</v>
      </c>
      <c r="P2259" s="159">
        <f t="shared" si="383"/>
        <v>2014</v>
      </c>
      <c r="Q2259" s="159">
        <f t="shared" si="384"/>
        <v>2</v>
      </c>
      <c r="R2259" s="160">
        <f t="shared" si="385"/>
        <v>2.0833333333139308</v>
      </c>
      <c r="S2259" s="158">
        <f t="shared" si="386"/>
        <v>0.56818181817652658</v>
      </c>
      <c r="T2259" s="161">
        <f t="shared" si="387"/>
        <v>170.45454545295797</v>
      </c>
      <c r="U2259" s="158">
        <f t="shared" si="389"/>
        <v>81.818181818181813</v>
      </c>
      <c r="V2259" s="160">
        <f t="shared" si="388"/>
        <v>82</v>
      </c>
    </row>
    <row r="2260" spans="1:22" x14ac:dyDescent="0.25">
      <c r="A2260" s="98" t="s">
        <v>23</v>
      </c>
      <c r="B2260" s="98" t="s">
        <v>17</v>
      </c>
      <c r="C2260" s="98">
        <v>36</v>
      </c>
      <c r="D2260" s="98">
        <v>250</v>
      </c>
      <c r="E2260" s="157">
        <v>41684.211805555555</v>
      </c>
      <c r="F2260" s="157">
        <v>41684.284722222219</v>
      </c>
      <c r="G2260" s="98">
        <v>250</v>
      </c>
      <c r="H2260" s="98">
        <v>330</v>
      </c>
      <c r="I2260" s="98">
        <v>300</v>
      </c>
      <c r="J2260" s="98" t="s">
        <v>1978</v>
      </c>
      <c r="K2260" s="98" t="s">
        <v>1415</v>
      </c>
      <c r="L2260" s="105" t="str">
        <f t="shared" si="380"/>
        <v>Mill Creek</v>
      </c>
      <c r="M2260" s="105" t="str">
        <f t="shared" si="381"/>
        <v>Derate</v>
      </c>
      <c r="N2260" s="105" t="str">
        <f t="shared" si="382"/>
        <v>Coal</v>
      </c>
      <c r="O2260" s="105">
        <f>IFERROR(VLOOKUP(A2260,Lookup!$J$5:$P$19,7,FALSE),0)</f>
        <v>2</v>
      </c>
      <c r="P2260" s="159">
        <f t="shared" si="383"/>
        <v>2014</v>
      </c>
      <c r="Q2260" s="159">
        <f t="shared" si="384"/>
        <v>2</v>
      </c>
      <c r="R2260" s="160">
        <f t="shared" si="385"/>
        <v>1.7499999999417923</v>
      </c>
      <c r="S2260" s="158">
        <f t="shared" si="386"/>
        <v>0.42424242422831332</v>
      </c>
      <c r="T2260" s="161">
        <f t="shared" si="387"/>
        <v>127.27272726849399</v>
      </c>
      <c r="U2260" s="158">
        <f t="shared" si="389"/>
        <v>72.727272727272734</v>
      </c>
      <c r="V2260" s="160">
        <f t="shared" si="388"/>
        <v>73</v>
      </c>
    </row>
    <row r="2261" spans="1:22" x14ac:dyDescent="0.25">
      <c r="A2261" s="98" t="s">
        <v>23</v>
      </c>
      <c r="B2261" s="98" t="s">
        <v>17</v>
      </c>
      <c r="C2261" s="98">
        <v>37</v>
      </c>
      <c r="D2261" s="98">
        <v>250</v>
      </c>
      <c r="E2261" s="157">
        <v>41684.284722222219</v>
      </c>
      <c r="F2261" s="157">
        <v>41684.5</v>
      </c>
      <c r="G2261" s="98">
        <v>280</v>
      </c>
      <c r="H2261" s="98">
        <v>330</v>
      </c>
      <c r="I2261" s="98">
        <v>300</v>
      </c>
      <c r="J2261" s="98" t="s">
        <v>1978</v>
      </c>
      <c r="K2261" s="98" t="s">
        <v>1416</v>
      </c>
      <c r="L2261" s="105" t="str">
        <f t="shared" si="380"/>
        <v>Mill Creek</v>
      </c>
      <c r="M2261" s="105" t="str">
        <f t="shared" si="381"/>
        <v>Derate</v>
      </c>
      <c r="N2261" s="105" t="str">
        <f t="shared" si="382"/>
        <v>Coal</v>
      </c>
      <c r="O2261" s="105">
        <f>IFERROR(VLOOKUP(A2261,Lookup!$J$5:$P$19,7,FALSE),0)</f>
        <v>2</v>
      </c>
      <c r="P2261" s="159">
        <f t="shared" si="383"/>
        <v>2014</v>
      </c>
      <c r="Q2261" s="159">
        <f t="shared" si="384"/>
        <v>2</v>
      </c>
      <c r="R2261" s="160">
        <f t="shared" si="385"/>
        <v>5.1666666667442769</v>
      </c>
      <c r="S2261" s="158">
        <f t="shared" si="386"/>
        <v>0.78282828284004191</v>
      </c>
      <c r="T2261" s="161">
        <f t="shared" si="387"/>
        <v>234.84848485201258</v>
      </c>
      <c r="U2261" s="158">
        <f t="shared" si="389"/>
        <v>45.454545454545453</v>
      </c>
      <c r="V2261" s="160">
        <f t="shared" si="388"/>
        <v>45</v>
      </c>
    </row>
    <row r="2262" spans="1:22" x14ac:dyDescent="0.25">
      <c r="A2262" s="98" t="s">
        <v>23</v>
      </c>
      <c r="B2262" s="98" t="s">
        <v>17</v>
      </c>
      <c r="C2262" s="98">
        <v>38</v>
      </c>
      <c r="D2262" s="98">
        <v>1488</v>
      </c>
      <c r="E2262" s="157">
        <v>41685.287499999999</v>
      </c>
      <c r="F2262" s="157">
        <v>41686.263888888891</v>
      </c>
      <c r="G2262" s="98">
        <v>325</v>
      </c>
      <c r="H2262" s="98">
        <v>330</v>
      </c>
      <c r="I2262" s="98">
        <v>300</v>
      </c>
      <c r="J2262" s="98" t="s">
        <v>2284</v>
      </c>
      <c r="K2262" s="98" t="s">
        <v>1412</v>
      </c>
      <c r="L2262" s="105" t="str">
        <f t="shared" si="380"/>
        <v>Mill Creek</v>
      </c>
      <c r="M2262" s="105" t="str">
        <f t="shared" si="381"/>
        <v>Derate</v>
      </c>
      <c r="N2262" s="105" t="str">
        <f t="shared" si="382"/>
        <v>Coal</v>
      </c>
      <c r="O2262" s="105">
        <f>IFERROR(VLOOKUP(A2262,Lookup!$J$5:$P$19,7,FALSE),0)</f>
        <v>2</v>
      </c>
      <c r="P2262" s="159">
        <f t="shared" si="383"/>
        <v>2014</v>
      </c>
      <c r="Q2262" s="159">
        <f t="shared" si="384"/>
        <v>2</v>
      </c>
      <c r="R2262" s="160">
        <f t="shared" si="385"/>
        <v>23.433333333407063</v>
      </c>
      <c r="S2262" s="158">
        <f t="shared" si="386"/>
        <v>0.35505050505162217</v>
      </c>
      <c r="T2262" s="161">
        <f t="shared" si="387"/>
        <v>106.51515151548665</v>
      </c>
      <c r="U2262" s="158">
        <f t="shared" si="389"/>
        <v>4.5454545454545459</v>
      </c>
      <c r="V2262" s="160">
        <f t="shared" si="388"/>
        <v>5</v>
      </c>
    </row>
    <row r="2263" spans="1:22" x14ac:dyDescent="0.25">
      <c r="A2263" s="98" t="s">
        <v>23</v>
      </c>
      <c r="B2263" s="98" t="s">
        <v>17</v>
      </c>
      <c r="C2263" s="98">
        <v>39</v>
      </c>
      <c r="D2263" s="98">
        <v>1488</v>
      </c>
      <c r="E2263" s="157">
        <v>41686.263888888891</v>
      </c>
      <c r="F2263" s="157">
        <v>41687.375</v>
      </c>
      <c r="G2263" s="98">
        <v>320</v>
      </c>
      <c r="H2263" s="98">
        <v>330</v>
      </c>
      <c r="I2263" s="98">
        <v>300</v>
      </c>
      <c r="J2263" s="98" t="s">
        <v>2284</v>
      </c>
      <c r="K2263" s="98" t="s">
        <v>1412</v>
      </c>
      <c r="L2263" s="105" t="str">
        <f t="shared" si="380"/>
        <v>Mill Creek</v>
      </c>
      <c r="M2263" s="105" t="str">
        <f t="shared" si="381"/>
        <v>Derate</v>
      </c>
      <c r="N2263" s="105" t="str">
        <f t="shared" si="382"/>
        <v>Coal</v>
      </c>
      <c r="O2263" s="105">
        <f>IFERROR(VLOOKUP(A2263,Lookup!$J$5:$P$19,7,FALSE),0)</f>
        <v>2</v>
      </c>
      <c r="P2263" s="159">
        <f t="shared" si="383"/>
        <v>2014</v>
      </c>
      <c r="Q2263" s="159">
        <f t="shared" si="384"/>
        <v>2</v>
      </c>
      <c r="R2263" s="160">
        <f t="shared" si="385"/>
        <v>26.666666666627862</v>
      </c>
      <c r="S2263" s="158">
        <f t="shared" si="386"/>
        <v>0.80808080807963212</v>
      </c>
      <c r="T2263" s="161">
        <f t="shared" si="387"/>
        <v>242.42424242388964</v>
      </c>
      <c r="U2263" s="158">
        <f t="shared" si="389"/>
        <v>9.0909090909090917</v>
      </c>
      <c r="V2263" s="160">
        <f t="shared" si="388"/>
        <v>9</v>
      </c>
    </row>
    <row r="2264" spans="1:22" x14ac:dyDescent="0.25">
      <c r="A2264" s="98" t="s">
        <v>23</v>
      </c>
      <c r="B2264" s="98" t="s">
        <v>17</v>
      </c>
      <c r="C2264" s="98">
        <v>40</v>
      </c>
      <c r="D2264" s="98">
        <v>1488</v>
      </c>
      <c r="E2264" s="157">
        <v>41687.375</v>
      </c>
      <c r="F2264" s="157">
        <v>41688.93472222222</v>
      </c>
      <c r="G2264" s="98">
        <v>310</v>
      </c>
      <c r="H2264" s="98">
        <v>330</v>
      </c>
      <c r="I2264" s="98">
        <v>300</v>
      </c>
      <c r="J2264" s="98" t="s">
        <v>2284</v>
      </c>
      <c r="K2264" s="98" t="s">
        <v>1412</v>
      </c>
      <c r="L2264" s="105" t="str">
        <f t="shared" si="380"/>
        <v>Mill Creek</v>
      </c>
      <c r="M2264" s="105" t="str">
        <f t="shared" si="381"/>
        <v>Derate</v>
      </c>
      <c r="N2264" s="105" t="str">
        <f t="shared" si="382"/>
        <v>Coal</v>
      </c>
      <c r="O2264" s="105">
        <f>IFERROR(VLOOKUP(A2264,Lookup!$J$5:$P$19,7,FALSE),0)</f>
        <v>2</v>
      </c>
      <c r="P2264" s="159">
        <f t="shared" si="383"/>
        <v>2014</v>
      </c>
      <c r="Q2264" s="159">
        <f t="shared" si="384"/>
        <v>2</v>
      </c>
      <c r="R2264" s="160">
        <f t="shared" si="385"/>
        <v>37.433333333290648</v>
      </c>
      <c r="S2264" s="158">
        <f t="shared" si="386"/>
        <v>2.2686868686842816</v>
      </c>
      <c r="T2264" s="161">
        <f t="shared" si="387"/>
        <v>680.60606060528448</v>
      </c>
      <c r="U2264" s="158">
        <f t="shared" si="389"/>
        <v>18.181818181818183</v>
      </c>
      <c r="V2264" s="160">
        <f t="shared" si="388"/>
        <v>18</v>
      </c>
    </row>
    <row r="2265" spans="1:22" x14ac:dyDescent="0.25">
      <c r="A2265" s="98" t="s">
        <v>23</v>
      </c>
      <c r="B2265" s="98" t="s">
        <v>20</v>
      </c>
      <c r="C2265" s="98">
        <v>41</v>
      </c>
      <c r="D2265" s="98">
        <v>1488</v>
      </c>
      <c r="E2265" s="157">
        <v>41688.93472222222</v>
      </c>
      <c r="F2265" s="157">
        <v>41691.927777777775</v>
      </c>
      <c r="G2265" s="98">
        <v>0</v>
      </c>
      <c r="H2265" s="98">
        <v>330</v>
      </c>
      <c r="I2265" s="98">
        <v>300</v>
      </c>
      <c r="J2265" s="98" t="s">
        <v>2284</v>
      </c>
      <c r="K2265" s="98" t="s">
        <v>39</v>
      </c>
      <c r="L2265" s="105" t="str">
        <f t="shared" si="380"/>
        <v>Mill Creek</v>
      </c>
      <c r="M2265" s="105" t="str">
        <f t="shared" si="381"/>
        <v>Maintenance</v>
      </c>
      <c r="N2265" s="105" t="str">
        <f t="shared" si="382"/>
        <v>Coal</v>
      </c>
      <c r="O2265" s="105">
        <f>IFERROR(VLOOKUP(A2265,Lookup!$J$5:$P$19,7,FALSE),0)</f>
        <v>2</v>
      </c>
      <c r="P2265" s="159">
        <f t="shared" si="383"/>
        <v>2014</v>
      </c>
      <c r="Q2265" s="159">
        <f t="shared" si="384"/>
        <v>2</v>
      </c>
      <c r="R2265" s="160">
        <f t="shared" si="385"/>
        <v>71.833333333313931</v>
      </c>
      <c r="S2265" s="158">
        <f t="shared" si="386"/>
        <v>71.833333333313931</v>
      </c>
      <c r="T2265" s="161">
        <f t="shared" si="387"/>
        <v>21549.999999994179</v>
      </c>
      <c r="U2265" s="158">
        <f t="shared" si="389"/>
        <v>300</v>
      </c>
      <c r="V2265" s="160">
        <f t="shared" si="388"/>
        <v>300</v>
      </c>
    </row>
    <row r="2266" spans="1:22" x14ac:dyDescent="0.25">
      <c r="A2266" s="98" t="s">
        <v>23</v>
      </c>
      <c r="B2266" s="98" t="s">
        <v>18</v>
      </c>
      <c r="C2266" s="98">
        <v>42</v>
      </c>
      <c r="D2266" s="98">
        <v>4261</v>
      </c>
      <c r="E2266" s="157">
        <v>41691.927777777775</v>
      </c>
      <c r="F2266" s="157">
        <v>41692.748611111114</v>
      </c>
      <c r="G2266" s="98">
        <v>0</v>
      </c>
      <c r="H2266" s="98">
        <v>330</v>
      </c>
      <c r="I2266" s="98">
        <v>300</v>
      </c>
      <c r="J2266" s="98" t="s">
        <v>1985</v>
      </c>
      <c r="K2266" s="98" t="s">
        <v>1417</v>
      </c>
      <c r="L2266" s="105" t="str">
        <f t="shared" si="380"/>
        <v>Mill Creek</v>
      </c>
      <c r="M2266" s="105" t="str">
        <f t="shared" si="381"/>
        <v>Outage</v>
      </c>
      <c r="N2266" s="105" t="str">
        <f t="shared" si="382"/>
        <v>Coal</v>
      </c>
      <c r="O2266" s="105">
        <f>IFERROR(VLOOKUP(A2266,Lookup!$J$5:$P$19,7,FALSE),0)</f>
        <v>2</v>
      </c>
      <c r="P2266" s="159">
        <f t="shared" si="383"/>
        <v>2014</v>
      </c>
      <c r="Q2266" s="159">
        <f t="shared" si="384"/>
        <v>2</v>
      </c>
      <c r="R2266" s="160">
        <f t="shared" si="385"/>
        <v>19.700000000128057</v>
      </c>
      <c r="S2266" s="158">
        <f t="shared" si="386"/>
        <v>19.700000000128057</v>
      </c>
      <c r="T2266" s="161">
        <f t="shared" si="387"/>
        <v>5910.0000000384171</v>
      </c>
      <c r="U2266" s="158">
        <f t="shared" si="389"/>
        <v>300</v>
      </c>
      <c r="V2266" s="160">
        <f t="shared" si="388"/>
        <v>300</v>
      </c>
    </row>
    <row r="2267" spans="1:22" x14ac:dyDescent="0.25">
      <c r="A2267" s="98" t="s">
        <v>23</v>
      </c>
      <c r="B2267" s="98" t="s">
        <v>79</v>
      </c>
      <c r="C2267" s="98">
        <v>43</v>
      </c>
      <c r="D2267" s="98">
        <v>1850</v>
      </c>
      <c r="E2267" s="157">
        <v>41692.748611111114</v>
      </c>
      <c r="F2267" s="157">
        <v>41693.136111111111</v>
      </c>
      <c r="G2267" s="98">
        <v>0</v>
      </c>
      <c r="H2267" s="98">
        <v>330</v>
      </c>
      <c r="I2267" s="98">
        <v>300</v>
      </c>
      <c r="J2267" s="98" t="s">
        <v>2263</v>
      </c>
      <c r="K2267" s="98" t="s">
        <v>85</v>
      </c>
      <c r="L2267" s="105" t="str">
        <f t="shared" si="380"/>
        <v>Mill Creek</v>
      </c>
      <c r="M2267" s="105" t="str">
        <f t="shared" si="381"/>
        <v>Other</v>
      </c>
      <c r="N2267" s="105" t="str">
        <f t="shared" si="382"/>
        <v>Coal</v>
      </c>
      <c r="O2267" s="105">
        <f>IFERROR(VLOOKUP(A2267,Lookup!$J$5:$P$19,7,FALSE),0)</f>
        <v>2</v>
      </c>
      <c r="P2267" s="159">
        <f t="shared" si="383"/>
        <v>2014</v>
      </c>
      <c r="Q2267" s="159">
        <f t="shared" si="384"/>
        <v>2</v>
      </c>
      <c r="R2267" s="160">
        <f t="shared" si="385"/>
        <v>9.2999999999301508</v>
      </c>
      <c r="S2267" s="158">
        <f t="shared" si="386"/>
        <v>9.2999999999301508</v>
      </c>
      <c r="T2267" s="161">
        <f t="shared" si="387"/>
        <v>2789.9999999790452</v>
      </c>
      <c r="U2267" s="158">
        <f t="shared" si="389"/>
        <v>300</v>
      </c>
      <c r="V2267" s="160">
        <f t="shared" si="388"/>
        <v>300</v>
      </c>
    </row>
    <row r="2268" spans="1:22" x14ac:dyDescent="0.25">
      <c r="A2268" s="98" t="s">
        <v>23</v>
      </c>
      <c r="B2268" s="98" t="s">
        <v>17</v>
      </c>
      <c r="C2268" s="98">
        <v>44</v>
      </c>
      <c r="D2268" s="98">
        <v>1850</v>
      </c>
      <c r="E2268" s="157">
        <v>41693.136111111111</v>
      </c>
      <c r="F2268" s="157">
        <v>41693.174305555556</v>
      </c>
      <c r="G2268" s="98">
        <v>275</v>
      </c>
      <c r="H2268" s="98">
        <v>330</v>
      </c>
      <c r="I2268" s="98">
        <v>300</v>
      </c>
      <c r="J2268" s="98" t="s">
        <v>2263</v>
      </c>
      <c r="K2268" s="98" t="s">
        <v>41</v>
      </c>
      <c r="L2268" s="105" t="str">
        <f t="shared" si="380"/>
        <v>Mill Creek</v>
      </c>
      <c r="M2268" s="105" t="str">
        <f t="shared" si="381"/>
        <v>Derate</v>
      </c>
      <c r="N2268" s="105" t="str">
        <f t="shared" si="382"/>
        <v>Coal</v>
      </c>
      <c r="O2268" s="105">
        <f>IFERROR(VLOOKUP(A2268,Lookup!$J$5:$P$19,7,FALSE),0)</f>
        <v>2</v>
      </c>
      <c r="P2268" s="159">
        <f t="shared" si="383"/>
        <v>2014</v>
      </c>
      <c r="Q2268" s="159">
        <f t="shared" si="384"/>
        <v>2</v>
      </c>
      <c r="R2268" s="160">
        <f t="shared" si="385"/>
        <v>0.91666666668606922</v>
      </c>
      <c r="S2268" s="158">
        <f t="shared" si="386"/>
        <v>0.15277777778101154</v>
      </c>
      <c r="T2268" s="161">
        <f t="shared" si="387"/>
        <v>45.833333334303461</v>
      </c>
      <c r="U2268" s="158">
        <f t="shared" si="389"/>
        <v>50</v>
      </c>
      <c r="V2268" s="160">
        <f t="shared" si="388"/>
        <v>50</v>
      </c>
    </row>
    <row r="2269" spans="1:22" x14ac:dyDescent="0.25">
      <c r="A2269" s="98" t="s">
        <v>23</v>
      </c>
      <c r="B2269" s="98" t="s">
        <v>17</v>
      </c>
      <c r="C2269" s="98">
        <v>45</v>
      </c>
      <c r="D2269" s="98">
        <v>1850</v>
      </c>
      <c r="E2269" s="157">
        <v>41693.174305555556</v>
      </c>
      <c r="F2269" s="157">
        <v>41693.193749999999</v>
      </c>
      <c r="G2269" s="98">
        <v>285</v>
      </c>
      <c r="H2269" s="98">
        <v>330</v>
      </c>
      <c r="I2269" s="98">
        <v>300</v>
      </c>
      <c r="J2269" s="98" t="s">
        <v>2263</v>
      </c>
      <c r="K2269" s="98" t="s">
        <v>41</v>
      </c>
      <c r="L2269" s="105" t="str">
        <f t="shared" si="380"/>
        <v>Mill Creek</v>
      </c>
      <c r="M2269" s="105" t="str">
        <f t="shared" si="381"/>
        <v>Derate</v>
      </c>
      <c r="N2269" s="105" t="str">
        <f t="shared" si="382"/>
        <v>Coal</v>
      </c>
      <c r="O2269" s="105">
        <f>IFERROR(VLOOKUP(A2269,Lookup!$J$5:$P$19,7,FALSE),0)</f>
        <v>2</v>
      </c>
      <c r="P2269" s="159">
        <f t="shared" si="383"/>
        <v>2014</v>
      </c>
      <c r="Q2269" s="159">
        <f t="shared" si="384"/>
        <v>2</v>
      </c>
      <c r="R2269" s="160">
        <f t="shared" si="385"/>
        <v>0.46666666661622003</v>
      </c>
      <c r="S2269" s="158">
        <f t="shared" si="386"/>
        <v>6.3636363629484549E-2</v>
      </c>
      <c r="T2269" s="161">
        <f t="shared" si="387"/>
        <v>19.090909088845365</v>
      </c>
      <c r="U2269" s="158">
        <f t="shared" si="389"/>
        <v>40.909090909090907</v>
      </c>
      <c r="V2269" s="160">
        <f t="shared" si="388"/>
        <v>41</v>
      </c>
    </row>
    <row r="2270" spans="1:22" x14ac:dyDescent="0.25">
      <c r="A2270" s="98" t="s">
        <v>23</v>
      </c>
      <c r="B2270" s="98" t="s">
        <v>17</v>
      </c>
      <c r="C2270" s="98">
        <v>46</v>
      </c>
      <c r="D2270" s="98">
        <v>1850</v>
      </c>
      <c r="E2270" s="157">
        <v>41693.193749999999</v>
      </c>
      <c r="F2270" s="157">
        <v>41693.23333333333</v>
      </c>
      <c r="G2270" s="98">
        <v>295</v>
      </c>
      <c r="H2270" s="98">
        <v>330</v>
      </c>
      <c r="I2270" s="98">
        <v>300</v>
      </c>
      <c r="J2270" s="98" t="s">
        <v>2263</v>
      </c>
      <c r="K2270" s="98" t="s">
        <v>41</v>
      </c>
      <c r="L2270" s="105" t="str">
        <f t="shared" si="380"/>
        <v>Mill Creek</v>
      </c>
      <c r="M2270" s="105" t="str">
        <f t="shared" si="381"/>
        <v>Derate</v>
      </c>
      <c r="N2270" s="105" t="str">
        <f t="shared" si="382"/>
        <v>Coal</v>
      </c>
      <c r="O2270" s="105">
        <f>IFERROR(VLOOKUP(A2270,Lookup!$J$5:$P$19,7,FALSE),0)</f>
        <v>2</v>
      </c>
      <c r="P2270" s="159">
        <f t="shared" si="383"/>
        <v>2014</v>
      </c>
      <c r="Q2270" s="159">
        <f t="shared" si="384"/>
        <v>2</v>
      </c>
      <c r="R2270" s="160">
        <f t="shared" si="385"/>
        <v>0.94999999995343387</v>
      </c>
      <c r="S2270" s="158">
        <f t="shared" si="386"/>
        <v>0.10075757575263693</v>
      </c>
      <c r="T2270" s="161">
        <f t="shared" si="387"/>
        <v>30.227272725791078</v>
      </c>
      <c r="U2270" s="158">
        <f t="shared" si="389"/>
        <v>31.818181818181817</v>
      </c>
      <c r="V2270" s="160">
        <f t="shared" si="388"/>
        <v>32</v>
      </c>
    </row>
    <row r="2271" spans="1:22" x14ac:dyDescent="0.25">
      <c r="A2271" s="98" t="s">
        <v>23</v>
      </c>
      <c r="B2271" s="98" t="s">
        <v>79</v>
      </c>
      <c r="C2271" s="98">
        <v>47</v>
      </c>
      <c r="D2271" s="98">
        <v>4490</v>
      </c>
      <c r="E2271" s="157">
        <v>41697.291666666664</v>
      </c>
      <c r="F2271" s="157">
        <v>41697.554166666669</v>
      </c>
      <c r="G2271" s="98">
        <v>0</v>
      </c>
      <c r="H2271" s="98">
        <v>330</v>
      </c>
      <c r="I2271" s="98">
        <v>300</v>
      </c>
      <c r="J2271" s="98" t="s">
        <v>2084</v>
      </c>
      <c r="K2271" s="98" t="s">
        <v>1418</v>
      </c>
      <c r="L2271" s="105" t="str">
        <f t="shared" si="380"/>
        <v>Mill Creek</v>
      </c>
      <c r="M2271" s="105" t="str">
        <f t="shared" si="381"/>
        <v>Other</v>
      </c>
      <c r="N2271" s="105" t="str">
        <f t="shared" si="382"/>
        <v>Coal</v>
      </c>
      <c r="O2271" s="105">
        <f>IFERROR(VLOOKUP(A2271,Lookup!$J$5:$P$19,7,FALSE),0)</f>
        <v>2</v>
      </c>
      <c r="P2271" s="159">
        <f t="shared" si="383"/>
        <v>2014</v>
      </c>
      <c r="Q2271" s="159">
        <f t="shared" si="384"/>
        <v>2</v>
      </c>
      <c r="R2271" s="160">
        <f t="shared" si="385"/>
        <v>6.3000000001047738</v>
      </c>
      <c r="S2271" s="158">
        <f t="shared" si="386"/>
        <v>6.3000000001047738</v>
      </c>
      <c r="T2271" s="161">
        <f t="shared" si="387"/>
        <v>1890.0000000314321</v>
      </c>
      <c r="U2271" s="158">
        <f t="shared" si="389"/>
        <v>300</v>
      </c>
      <c r="V2271" s="160">
        <f t="shared" si="388"/>
        <v>300</v>
      </c>
    </row>
    <row r="2272" spans="1:22" x14ac:dyDescent="0.25">
      <c r="A2272" s="98" t="s">
        <v>23</v>
      </c>
      <c r="B2272" s="98" t="s">
        <v>105</v>
      </c>
      <c r="C2272" s="98">
        <v>48</v>
      </c>
      <c r="D2272" s="98">
        <v>310</v>
      </c>
      <c r="E2272" s="157">
        <v>41697.916666666664</v>
      </c>
      <c r="F2272" s="157">
        <v>41698.084722222222</v>
      </c>
      <c r="G2272" s="98">
        <v>240</v>
      </c>
      <c r="H2272" s="98">
        <v>330</v>
      </c>
      <c r="I2272" s="98">
        <v>300</v>
      </c>
      <c r="J2272" s="98" t="s">
        <v>1966</v>
      </c>
      <c r="K2272" s="98" t="s">
        <v>563</v>
      </c>
      <c r="L2272" s="105" t="str">
        <f t="shared" si="380"/>
        <v>Mill Creek</v>
      </c>
      <c r="M2272" s="105" t="str">
        <f t="shared" si="381"/>
        <v>Derate</v>
      </c>
      <c r="N2272" s="105" t="str">
        <f t="shared" si="382"/>
        <v>Coal</v>
      </c>
      <c r="O2272" s="105">
        <f>IFERROR(VLOOKUP(A2272,Lookup!$J$5:$P$19,7,FALSE),0)</f>
        <v>2</v>
      </c>
      <c r="P2272" s="159">
        <f t="shared" si="383"/>
        <v>2014</v>
      </c>
      <c r="Q2272" s="159">
        <f t="shared" si="384"/>
        <v>2</v>
      </c>
      <c r="R2272" s="160">
        <f t="shared" si="385"/>
        <v>4.03333333338378</v>
      </c>
      <c r="S2272" s="158">
        <f t="shared" si="386"/>
        <v>1.1000000000137582</v>
      </c>
      <c r="T2272" s="161">
        <f t="shared" si="387"/>
        <v>330.00000000412746</v>
      </c>
      <c r="U2272" s="158">
        <f t="shared" si="389"/>
        <v>81.818181818181813</v>
      </c>
      <c r="V2272" s="160">
        <f t="shared" si="388"/>
        <v>82</v>
      </c>
    </row>
    <row r="2273" spans="1:22" x14ac:dyDescent="0.25">
      <c r="A2273" s="98" t="s">
        <v>23</v>
      </c>
      <c r="B2273" s="98" t="s">
        <v>79</v>
      </c>
      <c r="C2273" s="98">
        <v>49</v>
      </c>
      <c r="D2273" s="98">
        <v>1160</v>
      </c>
      <c r="E2273" s="157">
        <v>41703.972222222219</v>
      </c>
      <c r="F2273" s="157">
        <v>41704.041666666664</v>
      </c>
      <c r="G2273" s="98">
        <v>0</v>
      </c>
      <c r="H2273" s="98">
        <v>330</v>
      </c>
      <c r="I2273" s="98">
        <v>300</v>
      </c>
      <c r="J2273" s="98" t="s">
        <v>2273</v>
      </c>
      <c r="K2273" s="98" t="s">
        <v>51</v>
      </c>
      <c r="L2273" s="105" t="str">
        <f t="shared" si="380"/>
        <v>Mill Creek</v>
      </c>
      <c r="M2273" s="105" t="str">
        <f t="shared" si="381"/>
        <v>Other</v>
      </c>
      <c r="N2273" s="105" t="str">
        <f t="shared" si="382"/>
        <v>Coal</v>
      </c>
      <c r="O2273" s="105">
        <f>IFERROR(VLOOKUP(A2273,Lookup!$J$5:$P$19,7,FALSE),0)</f>
        <v>2</v>
      </c>
      <c r="P2273" s="159">
        <f t="shared" si="383"/>
        <v>2014</v>
      </c>
      <c r="Q2273" s="159">
        <f t="shared" si="384"/>
        <v>3</v>
      </c>
      <c r="R2273" s="160">
        <f t="shared" si="385"/>
        <v>1.6666666666860692</v>
      </c>
      <c r="S2273" s="158">
        <f t="shared" si="386"/>
        <v>1.6666666666860692</v>
      </c>
      <c r="T2273" s="161">
        <f t="shared" si="387"/>
        <v>500.00000000582077</v>
      </c>
      <c r="U2273" s="158">
        <f t="shared" si="389"/>
        <v>300</v>
      </c>
      <c r="V2273" s="160">
        <f t="shared" si="388"/>
        <v>300</v>
      </c>
    </row>
    <row r="2274" spans="1:22" x14ac:dyDescent="0.25">
      <c r="A2274" s="98" t="s">
        <v>23</v>
      </c>
      <c r="B2274" s="98" t="s">
        <v>79</v>
      </c>
      <c r="C2274" s="98">
        <v>50</v>
      </c>
      <c r="D2274" s="98">
        <v>1160</v>
      </c>
      <c r="E2274" s="157">
        <v>41704.947916666664</v>
      </c>
      <c r="F2274" s="157">
        <v>41705.145833333336</v>
      </c>
      <c r="G2274" s="98">
        <v>0</v>
      </c>
      <c r="H2274" s="98">
        <v>330</v>
      </c>
      <c r="I2274" s="98">
        <v>300</v>
      </c>
      <c r="J2274" s="98" t="s">
        <v>2273</v>
      </c>
      <c r="K2274" s="98" t="s">
        <v>51</v>
      </c>
      <c r="L2274" s="105" t="str">
        <f t="shared" si="380"/>
        <v>Mill Creek</v>
      </c>
      <c r="M2274" s="105" t="str">
        <f t="shared" si="381"/>
        <v>Other</v>
      </c>
      <c r="N2274" s="105" t="str">
        <f t="shared" si="382"/>
        <v>Coal</v>
      </c>
      <c r="O2274" s="105">
        <f>IFERROR(VLOOKUP(A2274,Lookup!$J$5:$P$19,7,FALSE),0)</f>
        <v>2</v>
      </c>
      <c r="P2274" s="159">
        <f t="shared" si="383"/>
        <v>2014</v>
      </c>
      <c r="Q2274" s="159">
        <f t="shared" si="384"/>
        <v>3</v>
      </c>
      <c r="R2274" s="160">
        <f t="shared" si="385"/>
        <v>4.7500000001164153</v>
      </c>
      <c r="S2274" s="158">
        <f t="shared" si="386"/>
        <v>4.7500000001164153</v>
      </c>
      <c r="T2274" s="161">
        <f t="shared" si="387"/>
        <v>1425.0000000349246</v>
      </c>
      <c r="U2274" s="158">
        <f t="shared" si="389"/>
        <v>300</v>
      </c>
      <c r="V2274" s="160">
        <f t="shared" si="388"/>
        <v>300</v>
      </c>
    </row>
    <row r="2275" spans="1:22" x14ac:dyDescent="0.25">
      <c r="A2275" s="98" t="s">
        <v>23</v>
      </c>
      <c r="B2275" s="98" t="s">
        <v>79</v>
      </c>
      <c r="C2275" s="98">
        <v>51</v>
      </c>
      <c r="D2275" s="98">
        <v>1160</v>
      </c>
      <c r="E2275" s="157">
        <v>41705.572916666664</v>
      </c>
      <c r="F2275" s="157">
        <v>41705.736111111109</v>
      </c>
      <c r="G2275" s="98">
        <v>0</v>
      </c>
      <c r="H2275" s="98">
        <v>330</v>
      </c>
      <c r="I2275" s="98">
        <v>300</v>
      </c>
      <c r="J2275" s="98" t="s">
        <v>2273</v>
      </c>
      <c r="K2275" s="98" t="s">
        <v>51</v>
      </c>
      <c r="L2275" s="105" t="str">
        <f t="shared" si="380"/>
        <v>Mill Creek</v>
      </c>
      <c r="M2275" s="105" t="str">
        <f t="shared" si="381"/>
        <v>Other</v>
      </c>
      <c r="N2275" s="105" t="str">
        <f t="shared" si="382"/>
        <v>Coal</v>
      </c>
      <c r="O2275" s="105">
        <f>IFERROR(VLOOKUP(A2275,Lookup!$J$5:$P$19,7,FALSE),0)</f>
        <v>2</v>
      </c>
      <c r="P2275" s="159">
        <f t="shared" si="383"/>
        <v>2014</v>
      </c>
      <c r="Q2275" s="159">
        <f t="shared" si="384"/>
        <v>3</v>
      </c>
      <c r="R2275" s="160">
        <f t="shared" si="385"/>
        <v>3.9166666666860692</v>
      </c>
      <c r="S2275" s="158">
        <f t="shared" si="386"/>
        <v>3.9166666666860692</v>
      </c>
      <c r="T2275" s="161">
        <f t="shared" si="387"/>
        <v>1175.0000000058208</v>
      </c>
      <c r="U2275" s="158">
        <f t="shared" si="389"/>
        <v>300</v>
      </c>
      <c r="V2275" s="160">
        <f t="shared" si="388"/>
        <v>300</v>
      </c>
    </row>
    <row r="2276" spans="1:22" x14ac:dyDescent="0.25">
      <c r="A2276" s="98" t="s">
        <v>23</v>
      </c>
      <c r="B2276" s="98" t="s">
        <v>105</v>
      </c>
      <c r="C2276" s="98">
        <v>52</v>
      </c>
      <c r="D2276" s="98">
        <v>310</v>
      </c>
      <c r="E2276" s="157">
        <v>41709.895833333336</v>
      </c>
      <c r="F2276" s="157">
        <v>41710.152777777781</v>
      </c>
      <c r="G2276" s="98">
        <v>240</v>
      </c>
      <c r="H2276" s="98">
        <v>330</v>
      </c>
      <c r="I2276" s="98">
        <v>300</v>
      </c>
      <c r="J2276" s="98" t="s">
        <v>1966</v>
      </c>
      <c r="K2276" s="98" t="s">
        <v>1419</v>
      </c>
      <c r="L2276" s="105" t="str">
        <f t="shared" si="380"/>
        <v>Mill Creek</v>
      </c>
      <c r="M2276" s="105" t="str">
        <f t="shared" si="381"/>
        <v>Derate</v>
      </c>
      <c r="N2276" s="105" t="str">
        <f t="shared" si="382"/>
        <v>Coal</v>
      </c>
      <c r="O2276" s="105">
        <f>IFERROR(VLOOKUP(A2276,Lookup!$J$5:$P$19,7,FALSE),0)</f>
        <v>2</v>
      </c>
      <c r="P2276" s="159">
        <f t="shared" si="383"/>
        <v>2014</v>
      </c>
      <c r="Q2276" s="159">
        <f t="shared" si="384"/>
        <v>3</v>
      </c>
      <c r="R2276" s="160">
        <f t="shared" si="385"/>
        <v>6.1666666666860692</v>
      </c>
      <c r="S2276" s="158">
        <f t="shared" si="386"/>
        <v>1.6818181818234734</v>
      </c>
      <c r="T2276" s="161">
        <f t="shared" si="387"/>
        <v>504.54545454704203</v>
      </c>
      <c r="U2276" s="158">
        <f t="shared" si="389"/>
        <v>81.818181818181813</v>
      </c>
      <c r="V2276" s="160">
        <f t="shared" si="388"/>
        <v>82</v>
      </c>
    </row>
    <row r="2277" spans="1:22" x14ac:dyDescent="0.25">
      <c r="A2277" s="98" t="s">
        <v>23</v>
      </c>
      <c r="B2277" s="98" t="s">
        <v>79</v>
      </c>
      <c r="C2277" s="98">
        <v>53</v>
      </c>
      <c r="D2277" s="98">
        <v>1160</v>
      </c>
      <c r="E2277" s="157">
        <v>41714.020833333336</v>
      </c>
      <c r="F2277" s="157">
        <v>41714.236805555556</v>
      </c>
      <c r="G2277" s="98">
        <v>0</v>
      </c>
      <c r="H2277" s="98">
        <v>330</v>
      </c>
      <c r="I2277" s="98">
        <v>300</v>
      </c>
      <c r="J2277" s="98" t="s">
        <v>2273</v>
      </c>
      <c r="K2277" s="98" t="s">
        <v>1411</v>
      </c>
      <c r="L2277" s="105" t="str">
        <f t="shared" si="380"/>
        <v>Mill Creek</v>
      </c>
      <c r="M2277" s="105" t="str">
        <f t="shared" si="381"/>
        <v>Other</v>
      </c>
      <c r="N2277" s="105" t="str">
        <f t="shared" si="382"/>
        <v>Coal</v>
      </c>
      <c r="O2277" s="105">
        <f>IFERROR(VLOOKUP(A2277,Lookup!$J$5:$P$19,7,FALSE),0)</f>
        <v>2</v>
      </c>
      <c r="P2277" s="159">
        <f t="shared" si="383"/>
        <v>2014</v>
      </c>
      <c r="Q2277" s="159">
        <f t="shared" si="384"/>
        <v>3</v>
      </c>
      <c r="R2277" s="160">
        <f t="shared" si="385"/>
        <v>5.1833333332906477</v>
      </c>
      <c r="S2277" s="158">
        <f t="shared" si="386"/>
        <v>5.1833333332906477</v>
      </c>
      <c r="T2277" s="161">
        <f t="shared" si="387"/>
        <v>1554.9999999871943</v>
      </c>
      <c r="U2277" s="158">
        <f t="shared" si="389"/>
        <v>300</v>
      </c>
      <c r="V2277" s="160">
        <f t="shared" si="388"/>
        <v>300</v>
      </c>
    </row>
    <row r="2278" spans="1:22" x14ac:dyDescent="0.25">
      <c r="A2278" s="98" t="s">
        <v>23</v>
      </c>
      <c r="B2278" s="98" t="s">
        <v>105</v>
      </c>
      <c r="C2278" s="98">
        <v>54</v>
      </c>
      <c r="D2278" s="98">
        <v>250</v>
      </c>
      <c r="E2278" s="157">
        <v>41717.958333333336</v>
      </c>
      <c r="F2278" s="157">
        <v>41718.177083333336</v>
      </c>
      <c r="G2278" s="98">
        <v>240</v>
      </c>
      <c r="H2278" s="98">
        <v>330</v>
      </c>
      <c r="I2278" s="98">
        <v>300</v>
      </c>
      <c r="J2278" s="98" t="s">
        <v>1978</v>
      </c>
      <c r="K2278" s="98" t="s">
        <v>1420</v>
      </c>
      <c r="L2278" s="105" t="str">
        <f t="shared" si="380"/>
        <v>Mill Creek</v>
      </c>
      <c r="M2278" s="105" t="str">
        <f t="shared" si="381"/>
        <v>Derate</v>
      </c>
      <c r="N2278" s="105" t="str">
        <f t="shared" si="382"/>
        <v>Coal</v>
      </c>
      <c r="O2278" s="105">
        <f>IFERROR(VLOOKUP(A2278,Lookup!$J$5:$P$19,7,FALSE),0)</f>
        <v>2</v>
      </c>
      <c r="P2278" s="159">
        <f t="shared" si="383"/>
        <v>2014</v>
      </c>
      <c r="Q2278" s="159">
        <f t="shared" si="384"/>
        <v>3</v>
      </c>
      <c r="R2278" s="160">
        <f t="shared" si="385"/>
        <v>5.25</v>
      </c>
      <c r="S2278" s="158">
        <f t="shared" si="386"/>
        <v>1.4318181818181819</v>
      </c>
      <c r="T2278" s="161">
        <f t="shared" si="387"/>
        <v>429.54545454545456</v>
      </c>
      <c r="U2278" s="158">
        <f t="shared" si="389"/>
        <v>81.818181818181813</v>
      </c>
      <c r="V2278" s="160">
        <f t="shared" si="388"/>
        <v>82</v>
      </c>
    </row>
    <row r="2279" spans="1:22" x14ac:dyDescent="0.25">
      <c r="A2279" s="98" t="s">
        <v>23</v>
      </c>
      <c r="B2279" s="98" t="s">
        <v>17</v>
      </c>
      <c r="C2279" s="98">
        <v>55</v>
      </c>
      <c r="D2279" s="98">
        <v>360</v>
      </c>
      <c r="E2279" s="157">
        <v>41720.569444444445</v>
      </c>
      <c r="F2279" s="157">
        <v>41720.590277777781</v>
      </c>
      <c r="G2279" s="98">
        <v>240</v>
      </c>
      <c r="H2279" s="98">
        <v>330</v>
      </c>
      <c r="I2279" s="98">
        <v>300</v>
      </c>
      <c r="J2279" s="98" t="s">
        <v>229</v>
      </c>
      <c r="K2279" s="98" t="s">
        <v>1421</v>
      </c>
      <c r="L2279" s="105" t="str">
        <f t="shared" si="380"/>
        <v>Mill Creek</v>
      </c>
      <c r="M2279" s="105" t="str">
        <f t="shared" si="381"/>
        <v>Derate</v>
      </c>
      <c r="N2279" s="105" t="str">
        <f t="shared" si="382"/>
        <v>Coal</v>
      </c>
      <c r="O2279" s="105">
        <f>IFERROR(VLOOKUP(A2279,Lookup!$J$5:$P$19,7,FALSE),0)</f>
        <v>2</v>
      </c>
      <c r="P2279" s="159">
        <f t="shared" si="383"/>
        <v>2014</v>
      </c>
      <c r="Q2279" s="159">
        <f t="shared" si="384"/>
        <v>3</v>
      </c>
      <c r="R2279" s="160">
        <f t="shared" si="385"/>
        <v>0.50000000005820766</v>
      </c>
      <c r="S2279" s="158">
        <f t="shared" si="386"/>
        <v>0.13636363637951118</v>
      </c>
      <c r="T2279" s="161">
        <f t="shared" si="387"/>
        <v>40.909090913853355</v>
      </c>
      <c r="U2279" s="158">
        <f t="shared" si="389"/>
        <v>81.818181818181813</v>
      </c>
      <c r="V2279" s="160">
        <f t="shared" si="388"/>
        <v>82</v>
      </c>
    </row>
    <row r="2280" spans="1:22" x14ac:dyDescent="0.25">
      <c r="A2280" s="98" t="s">
        <v>23</v>
      </c>
      <c r="B2280" s="98" t="s">
        <v>105</v>
      </c>
      <c r="C2280" s="98">
        <v>56</v>
      </c>
      <c r="D2280" s="98">
        <v>1160</v>
      </c>
      <c r="E2280" s="157">
        <v>41730.996527777781</v>
      </c>
      <c r="F2280" s="157">
        <v>41731.131944444445</v>
      </c>
      <c r="G2280" s="98">
        <v>132</v>
      </c>
      <c r="H2280" s="98">
        <v>330</v>
      </c>
      <c r="I2280" s="98">
        <v>300</v>
      </c>
      <c r="J2280" s="98" t="s">
        <v>2273</v>
      </c>
      <c r="K2280" s="98" t="s">
        <v>1411</v>
      </c>
      <c r="L2280" s="105" t="str">
        <f t="shared" ref="L2280:L2343" si="390">IF(OR(A2280="BR1",A2280="BR2",A2280="BR3",A2280="BR5",A2280="BR6",A2280="BR7",A2280="BR8",A2280="BR9",A2280="BR10",A2280="BR11"),"Brown",IF(OR(A2280="CR4",A2280="CR5",A2280="CR6",A2280="CR11"),"Cane Run",IF(OR(A2280="GH1",A2280="GH2",A2280="GH3",A2280="GH4"),"Ghent",IF(OR(A2280="GR3",A2280="GR4"),"Green River",IF(OR(A2280="MC1",A2280="MC2",A2280="MC3",A2280="MC4"),"Mill Creek",IF(OR(A2280="TC1",A2280="TC2",A2280="TC5",A2280="TC6",A2280="TC7",A2280="TC8",A2280="TC9",A2280="TC10"),"Trimble",IF(A2280="TY3","Tyrone",IF(OR(A2280="HA1",A2280="HA2",A2280="HA3"),"Haeflin",IF(OR(A2280="PR11",A2280="PR12",A2280="PR13"),"Paddy's Run","Zorn")))))))))</f>
        <v>Mill Creek</v>
      </c>
      <c r="M2280" s="105" t="str">
        <f t="shared" ref="M2280:M2343" si="391">IF(OR(B2280="D1",B2280="D2",B2280="D3",B2280="D4",B2280="PD"),"Derate",IF(OR(B2280="SF",B2280="U1",B2280="U2",B2280="U3"),"Outage",IF(OR(B2280="ME",B2280="MO"),"Maintenance","Other")))</f>
        <v>Derate</v>
      </c>
      <c r="N2280" s="105" t="str">
        <f t="shared" ref="N2280:N2343" si="392">IF(OR(A2280="BR1",A2280="BR2",A2280="BR3",A2280="CR4",A2280="CR5",A2280="CR6",A2280="GH1",A2280="GH2",A2280="GH3",A2280="GH4",A2280="GR3",A2280="GR4",A2280="MC1",A2280="MC2",A2280="MC3",A2280="MC4",A2280="TC1",A2280="TC2",A2280="TY3"),"Coal","Gas")</f>
        <v>Coal</v>
      </c>
      <c r="O2280" s="105">
        <f>IFERROR(VLOOKUP(A2280,Lookup!$J$5:$P$19,7,FALSE),0)</f>
        <v>2</v>
      </c>
      <c r="P2280" s="159">
        <f t="shared" ref="P2280:P2343" si="393">YEAR(E2280)</f>
        <v>2014</v>
      </c>
      <c r="Q2280" s="159">
        <f t="shared" ref="Q2280:Q2343" si="394">MONTH(E2280)</f>
        <v>4</v>
      </c>
      <c r="R2280" s="160">
        <f t="shared" ref="R2280:R2343" si="395">(F2280-E2280)*24</f>
        <v>3.2499999999417923</v>
      </c>
      <c r="S2280" s="158">
        <f t="shared" ref="S2280:S2343" si="396">R2280*(H2280-G2280)/H2280</f>
        <v>1.9499999999650754</v>
      </c>
      <c r="T2280" s="161">
        <f t="shared" ref="T2280:T2343" si="397">S2280*I2280</f>
        <v>584.99999998952262</v>
      </c>
      <c r="U2280" s="158">
        <f t="shared" si="389"/>
        <v>180</v>
      </c>
      <c r="V2280" s="160">
        <f t="shared" ref="V2280:V2343" si="398">ROUND(U2280,0)</f>
        <v>180</v>
      </c>
    </row>
    <row r="2281" spans="1:22" x14ac:dyDescent="0.25">
      <c r="A2281" s="98" t="s">
        <v>23</v>
      </c>
      <c r="B2281" s="98" t="s">
        <v>17</v>
      </c>
      <c r="C2281" s="98">
        <v>57</v>
      </c>
      <c r="D2281" s="98">
        <v>1160</v>
      </c>
      <c r="E2281" s="157">
        <v>41732.006944444445</v>
      </c>
      <c r="F2281" s="157">
        <v>41732.15625</v>
      </c>
      <c r="G2281" s="98">
        <v>140</v>
      </c>
      <c r="H2281" s="98">
        <v>330</v>
      </c>
      <c r="I2281" s="98">
        <v>300</v>
      </c>
      <c r="J2281" s="98" t="s">
        <v>2273</v>
      </c>
      <c r="K2281" s="98" t="s">
        <v>51</v>
      </c>
      <c r="L2281" s="105" t="str">
        <f t="shared" si="390"/>
        <v>Mill Creek</v>
      </c>
      <c r="M2281" s="105" t="str">
        <f t="shared" si="391"/>
        <v>Derate</v>
      </c>
      <c r="N2281" s="105" t="str">
        <f t="shared" si="392"/>
        <v>Coal</v>
      </c>
      <c r="O2281" s="105">
        <f>IFERROR(VLOOKUP(A2281,Lookup!$J$5:$P$19,7,FALSE),0)</f>
        <v>2</v>
      </c>
      <c r="P2281" s="159">
        <f t="shared" si="393"/>
        <v>2014</v>
      </c>
      <c r="Q2281" s="159">
        <f t="shared" si="394"/>
        <v>4</v>
      </c>
      <c r="R2281" s="160">
        <f t="shared" si="395"/>
        <v>3.5833333333139308</v>
      </c>
      <c r="S2281" s="158">
        <f t="shared" si="396"/>
        <v>2.0631313131201421</v>
      </c>
      <c r="T2281" s="161">
        <f t="shared" si="397"/>
        <v>618.93939393604262</v>
      </c>
      <c r="U2281" s="158">
        <f t="shared" ref="U2281:U2344" si="399">IF(G2281&gt;0,MAX((H2281-G2281),0)*I2281/H2281,I2281)</f>
        <v>172.72727272727272</v>
      </c>
      <c r="V2281" s="160">
        <f t="shared" si="398"/>
        <v>173</v>
      </c>
    </row>
    <row r="2282" spans="1:22" x14ac:dyDescent="0.25">
      <c r="A2282" s="98" t="s">
        <v>23</v>
      </c>
      <c r="B2282" s="98" t="s">
        <v>17</v>
      </c>
      <c r="C2282" s="98">
        <v>58</v>
      </c>
      <c r="D2282" s="98">
        <v>360</v>
      </c>
      <c r="E2282" s="157">
        <v>41733.763888888891</v>
      </c>
      <c r="F2282" s="157">
        <v>41733.804166666669</v>
      </c>
      <c r="G2282" s="98">
        <v>240</v>
      </c>
      <c r="H2282" s="98">
        <v>330</v>
      </c>
      <c r="I2282" s="98">
        <v>300</v>
      </c>
      <c r="J2282" s="98" t="s">
        <v>229</v>
      </c>
      <c r="K2282" s="98" t="s">
        <v>1421</v>
      </c>
      <c r="L2282" s="105" t="str">
        <f t="shared" si="390"/>
        <v>Mill Creek</v>
      </c>
      <c r="M2282" s="105" t="str">
        <f t="shared" si="391"/>
        <v>Derate</v>
      </c>
      <c r="N2282" s="105" t="str">
        <f t="shared" si="392"/>
        <v>Coal</v>
      </c>
      <c r="O2282" s="105">
        <f>IFERROR(VLOOKUP(A2282,Lookup!$J$5:$P$19,7,FALSE),0)</f>
        <v>2</v>
      </c>
      <c r="P2282" s="159">
        <f t="shared" si="393"/>
        <v>2014</v>
      </c>
      <c r="Q2282" s="159">
        <f t="shared" si="394"/>
        <v>4</v>
      </c>
      <c r="R2282" s="160">
        <f t="shared" si="395"/>
        <v>0.96666666667442769</v>
      </c>
      <c r="S2282" s="158">
        <f t="shared" si="396"/>
        <v>0.26363636363848025</v>
      </c>
      <c r="T2282" s="161">
        <f t="shared" si="397"/>
        <v>79.090909091544077</v>
      </c>
      <c r="U2282" s="158">
        <f t="shared" si="399"/>
        <v>81.818181818181813</v>
      </c>
      <c r="V2282" s="160">
        <f t="shared" si="398"/>
        <v>82</v>
      </c>
    </row>
    <row r="2283" spans="1:22" x14ac:dyDescent="0.25">
      <c r="A2283" s="98" t="s">
        <v>23</v>
      </c>
      <c r="B2283" s="98" t="s">
        <v>17</v>
      </c>
      <c r="C2283" s="98">
        <v>59</v>
      </c>
      <c r="D2283" s="98">
        <v>250</v>
      </c>
      <c r="E2283" s="157">
        <v>41734.1875</v>
      </c>
      <c r="F2283" s="157">
        <v>41734.208333333336</v>
      </c>
      <c r="G2283" s="98">
        <v>240</v>
      </c>
      <c r="H2283" s="98">
        <v>330</v>
      </c>
      <c r="I2283" s="98">
        <v>300</v>
      </c>
      <c r="J2283" s="98" t="s">
        <v>1978</v>
      </c>
      <c r="K2283" s="98" t="s">
        <v>1422</v>
      </c>
      <c r="L2283" s="105" t="str">
        <f t="shared" si="390"/>
        <v>Mill Creek</v>
      </c>
      <c r="M2283" s="105" t="str">
        <f t="shared" si="391"/>
        <v>Derate</v>
      </c>
      <c r="N2283" s="105" t="str">
        <f t="shared" si="392"/>
        <v>Coal</v>
      </c>
      <c r="O2283" s="105">
        <f>IFERROR(VLOOKUP(A2283,Lookup!$J$5:$P$19,7,FALSE),0)</f>
        <v>2</v>
      </c>
      <c r="P2283" s="159">
        <f t="shared" si="393"/>
        <v>2014</v>
      </c>
      <c r="Q2283" s="159">
        <f t="shared" si="394"/>
        <v>4</v>
      </c>
      <c r="R2283" s="160">
        <f t="shared" si="395"/>
        <v>0.50000000005820766</v>
      </c>
      <c r="S2283" s="158">
        <f t="shared" si="396"/>
        <v>0.13636363637951118</v>
      </c>
      <c r="T2283" s="161">
        <f t="shared" si="397"/>
        <v>40.909090913853355</v>
      </c>
      <c r="U2283" s="158">
        <f t="shared" si="399"/>
        <v>81.818181818181813</v>
      </c>
      <c r="V2283" s="160">
        <f t="shared" si="398"/>
        <v>82</v>
      </c>
    </row>
    <row r="2284" spans="1:22" x14ac:dyDescent="0.25">
      <c r="A2284" s="98" t="s">
        <v>23</v>
      </c>
      <c r="B2284" s="98" t="s">
        <v>17</v>
      </c>
      <c r="C2284" s="98">
        <v>60</v>
      </c>
      <c r="D2284" s="98">
        <v>9270</v>
      </c>
      <c r="E2284" s="157">
        <v>41734.208333333336</v>
      </c>
      <c r="F2284" s="157">
        <v>41734.466666666667</v>
      </c>
      <c r="G2284" s="98">
        <v>150</v>
      </c>
      <c r="H2284" s="98">
        <v>330</v>
      </c>
      <c r="I2284" s="98">
        <v>300</v>
      </c>
      <c r="J2284" s="98" t="s">
        <v>2006</v>
      </c>
      <c r="K2284" s="98" t="s">
        <v>91</v>
      </c>
      <c r="L2284" s="105" t="str">
        <f t="shared" si="390"/>
        <v>Mill Creek</v>
      </c>
      <c r="M2284" s="105" t="str">
        <f t="shared" si="391"/>
        <v>Derate</v>
      </c>
      <c r="N2284" s="105" t="str">
        <f t="shared" si="392"/>
        <v>Coal</v>
      </c>
      <c r="O2284" s="105">
        <f>IFERROR(VLOOKUP(A2284,Lookup!$J$5:$P$19,7,FALSE),0)</f>
        <v>2</v>
      </c>
      <c r="P2284" s="159">
        <f t="shared" si="393"/>
        <v>2014</v>
      </c>
      <c r="Q2284" s="159">
        <f t="shared" si="394"/>
        <v>4</v>
      </c>
      <c r="R2284" s="160">
        <f t="shared" si="395"/>
        <v>6.1999999999534339</v>
      </c>
      <c r="S2284" s="158">
        <f t="shared" si="396"/>
        <v>3.3818181817927822</v>
      </c>
      <c r="T2284" s="161">
        <f t="shared" si="397"/>
        <v>1014.5454545378346</v>
      </c>
      <c r="U2284" s="158">
        <f t="shared" si="399"/>
        <v>163.63636363636363</v>
      </c>
      <c r="V2284" s="160">
        <f t="shared" si="398"/>
        <v>164</v>
      </c>
    </row>
    <row r="2285" spans="1:22" x14ac:dyDescent="0.25">
      <c r="A2285" s="98" t="s">
        <v>23</v>
      </c>
      <c r="B2285" s="98" t="s">
        <v>17</v>
      </c>
      <c r="C2285" s="98">
        <v>61</v>
      </c>
      <c r="D2285" s="98">
        <v>9270</v>
      </c>
      <c r="E2285" s="157">
        <v>41734.466666666667</v>
      </c>
      <c r="F2285" s="157">
        <v>41734.572222222225</v>
      </c>
      <c r="G2285" s="98">
        <v>280</v>
      </c>
      <c r="H2285" s="98">
        <v>330</v>
      </c>
      <c r="I2285" s="98">
        <v>300</v>
      </c>
      <c r="J2285" s="98" t="s">
        <v>2006</v>
      </c>
      <c r="K2285" s="98" t="s">
        <v>91</v>
      </c>
      <c r="L2285" s="105" t="str">
        <f t="shared" si="390"/>
        <v>Mill Creek</v>
      </c>
      <c r="M2285" s="105" t="str">
        <f t="shared" si="391"/>
        <v>Derate</v>
      </c>
      <c r="N2285" s="105" t="str">
        <f t="shared" si="392"/>
        <v>Coal</v>
      </c>
      <c r="O2285" s="105">
        <f>IFERROR(VLOOKUP(A2285,Lookup!$J$5:$P$19,7,FALSE),0)</f>
        <v>2</v>
      </c>
      <c r="P2285" s="159">
        <f t="shared" si="393"/>
        <v>2014</v>
      </c>
      <c r="Q2285" s="159">
        <f t="shared" si="394"/>
        <v>4</v>
      </c>
      <c r="R2285" s="160">
        <f t="shared" si="395"/>
        <v>2.53333333338378</v>
      </c>
      <c r="S2285" s="158">
        <f t="shared" si="396"/>
        <v>0.38383838384602725</v>
      </c>
      <c r="T2285" s="161">
        <f t="shared" si="397"/>
        <v>115.15151515380818</v>
      </c>
      <c r="U2285" s="158">
        <f t="shared" si="399"/>
        <v>45.454545454545453</v>
      </c>
      <c r="V2285" s="160">
        <f t="shared" si="398"/>
        <v>45</v>
      </c>
    </row>
    <row r="2286" spans="1:22" x14ac:dyDescent="0.25">
      <c r="A2286" s="98" t="s">
        <v>23</v>
      </c>
      <c r="B2286" s="98" t="s">
        <v>17</v>
      </c>
      <c r="C2286" s="98">
        <v>62</v>
      </c>
      <c r="D2286" s="98">
        <v>1850</v>
      </c>
      <c r="E2286" s="157">
        <v>41734.572222222225</v>
      </c>
      <c r="F2286" s="157">
        <v>41734.625</v>
      </c>
      <c r="G2286" s="98">
        <v>250</v>
      </c>
      <c r="H2286" s="98">
        <v>330</v>
      </c>
      <c r="I2286" s="98">
        <v>300</v>
      </c>
      <c r="J2286" s="98" t="s">
        <v>2263</v>
      </c>
      <c r="K2286" s="98" t="s">
        <v>41</v>
      </c>
      <c r="L2286" s="105" t="str">
        <f t="shared" si="390"/>
        <v>Mill Creek</v>
      </c>
      <c r="M2286" s="105" t="str">
        <f t="shared" si="391"/>
        <v>Derate</v>
      </c>
      <c r="N2286" s="105" t="str">
        <f t="shared" si="392"/>
        <v>Coal</v>
      </c>
      <c r="O2286" s="105">
        <f>IFERROR(VLOOKUP(A2286,Lookup!$J$5:$P$19,7,FALSE),0)</f>
        <v>2</v>
      </c>
      <c r="P2286" s="159">
        <f t="shared" si="393"/>
        <v>2014</v>
      </c>
      <c r="Q2286" s="159">
        <f t="shared" si="394"/>
        <v>4</v>
      </c>
      <c r="R2286" s="160">
        <f t="shared" si="395"/>
        <v>1.2666666666045785</v>
      </c>
      <c r="S2286" s="158">
        <f t="shared" si="396"/>
        <v>0.30707070705565537</v>
      </c>
      <c r="T2286" s="161">
        <f t="shared" si="397"/>
        <v>92.121212116696611</v>
      </c>
      <c r="U2286" s="158">
        <f t="shared" si="399"/>
        <v>72.727272727272734</v>
      </c>
      <c r="V2286" s="160">
        <f t="shared" si="398"/>
        <v>73</v>
      </c>
    </row>
    <row r="2287" spans="1:22" x14ac:dyDescent="0.25">
      <c r="A2287" s="98" t="s">
        <v>23</v>
      </c>
      <c r="B2287" s="98" t="s">
        <v>17</v>
      </c>
      <c r="C2287" s="98">
        <v>63</v>
      </c>
      <c r="D2287" s="98">
        <v>1850</v>
      </c>
      <c r="E2287" s="157">
        <v>41734.625</v>
      </c>
      <c r="F2287" s="157">
        <v>41736.3125</v>
      </c>
      <c r="G2287" s="98">
        <v>240</v>
      </c>
      <c r="H2287" s="98">
        <v>330</v>
      </c>
      <c r="I2287" s="98">
        <v>300</v>
      </c>
      <c r="J2287" s="98" t="s">
        <v>2263</v>
      </c>
      <c r="K2287" s="98" t="s">
        <v>41</v>
      </c>
      <c r="L2287" s="105" t="str">
        <f t="shared" si="390"/>
        <v>Mill Creek</v>
      </c>
      <c r="M2287" s="105" t="str">
        <f t="shared" si="391"/>
        <v>Derate</v>
      </c>
      <c r="N2287" s="105" t="str">
        <f t="shared" si="392"/>
        <v>Coal</v>
      </c>
      <c r="O2287" s="105">
        <f>IFERROR(VLOOKUP(A2287,Lookup!$J$5:$P$19,7,FALSE),0)</f>
        <v>2</v>
      </c>
      <c r="P2287" s="159">
        <f t="shared" si="393"/>
        <v>2014</v>
      </c>
      <c r="Q2287" s="159">
        <f t="shared" si="394"/>
        <v>4</v>
      </c>
      <c r="R2287" s="160">
        <f t="shared" si="395"/>
        <v>40.5</v>
      </c>
      <c r="S2287" s="158">
        <f t="shared" si="396"/>
        <v>11.045454545454545</v>
      </c>
      <c r="T2287" s="161">
        <f t="shared" si="397"/>
        <v>3313.6363636363635</v>
      </c>
      <c r="U2287" s="158">
        <f t="shared" si="399"/>
        <v>81.818181818181813</v>
      </c>
      <c r="V2287" s="160">
        <f t="shared" si="398"/>
        <v>82</v>
      </c>
    </row>
    <row r="2288" spans="1:22" x14ac:dyDescent="0.25">
      <c r="A2288" s="98" t="s">
        <v>23</v>
      </c>
      <c r="B2288" s="98" t="s">
        <v>17</v>
      </c>
      <c r="C2288" s="98">
        <v>64</v>
      </c>
      <c r="D2288" s="98">
        <v>250</v>
      </c>
      <c r="E2288" s="157">
        <v>41736.40347222222</v>
      </c>
      <c r="F2288" s="157">
        <v>41736.430555555555</v>
      </c>
      <c r="G2288" s="98">
        <v>255</v>
      </c>
      <c r="H2288" s="98">
        <v>330</v>
      </c>
      <c r="I2288" s="98">
        <v>300</v>
      </c>
      <c r="J2288" s="98" t="s">
        <v>1978</v>
      </c>
      <c r="K2288" s="98" t="s">
        <v>90</v>
      </c>
      <c r="L2288" s="105" t="str">
        <f t="shared" si="390"/>
        <v>Mill Creek</v>
      </c>
      <c r="M2288" s="105" t="str">
        <f t="shared" si="391"/>
        <v>Derate</v>
      </c>
      <c r="N2288" s="105" t="str">
        <f t="shared" si="392"/>
        <v>Coal</v>
      </c>
      <c r="O2288" s="105">
        <f>IFERROR(VLOOKUP(A2288,Lookup!$J$5:$P$19,7,FALSE),0)</f>
        <v>2</v>
      </c>
      <c r="P2288" s="159">
        <f t="shared" si="393"/>
        <v>2014</v>
      </c>
      <c r="Q2288" s="159">
        <f t="shared" si="394"/>
        <v>4</v>
      </c>
      <c r="R2288" s="160">
        <f t="shared" si="395"/>
        <v>0.65000000002328306</v>
      </c>
      <c r="S2288" s="158">
        <f t="shared" si="396"/>
        <v>0.14772727273256434</v>
      </c>
      <c r="T2288" s="161">
        <f t="shared" si="397"/>
        <v>44.3181818197693</v>
      </c>
      <c r="U2288" s="158">
        <f t="shared" si="399"/>
        <v>68.181818181818187</v>
      </c>
      <c r="V2288" s="160">
        <f t="shared" si="398"/>
        <v>68</v>
      </c>
    </row>
    <row r="2289" spans="1:22" x14ac:dyDescent="0.25">
      <c r="A2289" s="98" t="s">
        <v>23</v>
      </c>
      <c r="B2289" s="98" t="s">
        <v>17</v>
      </c>
      <c r="C2289" s="98">
        <v>65</v>
      </c>
      <c r="D2289" s="98">
        <v>250</v>
      </c>
      <c r="E2289" s="157">
        <v>41736.549305555556</v>
      </c>
      <c r="F2289" s="157">
        <v>41736.609722222223</v>
      </c>
      <c r="G2289" s="98">
        <v>255</v>
      </c>
      <c r="H2289" s="98">
        <v>330</v>
      </c>
      <c r="I2289" s="98">
        <v>300</v>
      </c>
      <c r="J2289" s="98" t="s">
        <v>1978</v>
      </c>
      <c r="K2289" s="98" t="s">
        <v>90</v>
      </c>
      <c r="L2289" s="105" t="str">
        <f t="shared" si="390"/>
        <v>Mill Creek</v>
      </c>
      <c r="M2289" s="105" t="str">
        <f t="shared" si="391"/>
        <v>Derate</v>
      </c>
      <c r="N2289" s="105" t="str">
        <f t="shared" si="392"/>
        <v>Coal</v>
      </c>
      <c r="O2289" s="105">
        <f>IFERROR(VLOOKUP(A2289,Lookup!$J$5:$P$19,7,FALSE),0)</f>
        <v>2</v>
      </c>
      <c r="P2289" s="159">
        <f t="shared" si="393"/>
        <v>2014</v>
      </c>
      <c r="Q2289" s="159">
        <f t="shared" si="394"/>
        <v>4</v>
      </c>
      <c r="R2289" s="160">
        <f t="shared" si="395"/>
        <v>1.4500000000116415</v>
      </c>
      <c r="S2289" s="158">
        <f t="shared" si="396"/>
        <v>0.32954545454810036</v>
      </c>
      <c r="T2289" s="161">
        <f t="shared" si="397"/>
        <v>98.863636364430107</v>
      </c>
      <c r="U2289" s="158">
        <f t="shared" si="399"/>
        <v>68.181818181818187</v>
      </c>
      <c r="V2289" s="160">
        <f t="shared" si="398"/>
        <v>68</v>
      </c>
    </row>
    <row r="2290" spans="1:22" x14ac:dyDescent="0.25">
      <c r="A2290" s="98" t="s">
        <v>23</v>
      </c>
      <c r="B2290" s="98" t="s">
        <v>17</v>
      </c>
      <c r="C2290" s="98">
        <v>66</v>
      </c>
      <c r="D2290" s="98">
        <v>250</v>
      </c>
      <c r="E2290" s="157">
        <v>41736.739583333336</v>
      </c>
      <c r="F2290" s="157">
        <v>41736.958333333336</v>
      </c>
      <c r="G2290" s="98">
        <v>165</v>
      </c>
      <c r="H2290" s="98">
        <v>330</v>
      </c>
      <c r="I2290" s="98">
        <v>300</v>
      </c>
      <c r="J2290" s="98" t="s">
        <v>1978</v>
      </c>
      <c r="K2290" s="98" t="s">
        <v>236</v>
      </c>
      <c r="L2290" s="105" t="str">
        <f t="shared" si="390"/>
        <v>Mill Creek</v>
      </c>
      <c r="M2290" s="105" t="str">
        <f t="shared" si="391"/>
        <v>Derate</v>
      </c>
      <c r="N2290" s="105" t="str">
        <f t="shared" si="392"/>
        <v>Coal</v>
      </c>
      <c r="O2290" s="105">
        <f>IFERROR(VLOOKUP(A2290,Lookup!$J$5:$P$19,7,FALSE),0)</f>
        <v>2</v>
      </c>
      <c r="P2290" s="159">
        <f t="shared" si="393"/>
        <v>2014</v>
      </c>
      <c r="Q2290" s="159">
        <f t="shared" si="394"/>
        <v>4</v>
      </c>
      <c r="R2290" s="160">
        <f t="shared" si="395"/>
        <v>5.25</v>
      </c>
      <c r="S2290" s="158">
        <f t="shared" si="396"/>
        <v>2.625</v>
      </c>
      <c r="T2290" s="161">
        <f t="shared" si="397"/>
        <v>787.5</v>
      </c>
      <c r="U2290" s="158">
        <f t="shared" si="399"/>
        <v>150</v>
      </c>
      <c r="V2290" s="160">
        <f t="shared" si="398"/>
        <v>150</v>
      </c>
    </row>
    <row r="2291" spans="1:22" x14ac:dyDescent="0.25">
      <c r="A2291" s="98" t="s">
        <v>23</v>
      </c>
      <c r="B2291" s="98" t="s">
        <v>17</v>
      </c>
      <c r="C2291" s="98">
        <v>67</v>
      </c>
      <c r="D2291" s="98">
        <v>9270</v>
      </c>
      <c r="E2291" s="157">
        <v>41736.958333333336</v>
      </c>
      <c r="F2291" s="157">
        <v>41737.048611111109</v>
      </c>
      <c r="G2291" s="98">
        <v>250</v>
      </c>
      <c r="H2291" s="98">
        <v>330</v>
      </c>
      <c r="I2291" s="98">
        <v>300</v>
      </c>
      <c r="J2291" s="98" t="s">
        <v>2006</v>
      </c>
      <c r="K2291" s="98" t="s">
        <v>91</v>
      </c>
      <c r="L2291" s="105" t="str">
        <f t="shared" si="390"/>
        <v>Mill Creek</v>
      </c>
      <c r="M2291" s="105" t="str">
        <f t="shared" si="391"/>
        <v>Derate</v>
      </c>
      <c r="N2291" s="105" t="str">
        <f t="shared" si="392"/>
        <v>Coal</v>
      </c>
      <c r="O2291" s="105">
        <f>IFERROR(VLOOKUP(A2291,Lookup!$J$5:$P$19,7,FALSE),0)</f>
        <v>2</v>
      </c>
      <c r="P2291" s="159">
        <f t="shared" si="393"/>
        <v>2014</v>
      </c>
      <c r="Q2291" s="159">
        <f t="shared" si="394"/>
        <v>4</v>
      </c>
      <c r="R2291" s="160">
        <f t="shared" si="395"/>
        <v>2.1666666665696539</v>
      </c>
      <c r="S2291" s="158">
        <f t="shared" si="396"/>
        <v>0.52525252522900701</v>
      </c>
      <c r="T2291" s="161">
        <f t="shared" si="397"/>
        <v>157.5757575687021</v>
      </c>
      <c r="U2291" s="158">
        <f t="shared" si="399"/>
        <v>72.727272727272734</v>
      </c>
      <c r="V2291" s="160">
        <f t="shared" si="398"/>
        <v>73</v>
      </c>
    </row>
    <row r="2292" spans="1:22" x14ac:dyDescent="0.25">
      <c r="A2292" s="98" t="s">
        <v>23</v>
      </c>
      <c r="B2292" s="98" t="s">
        <v>17</v>
      </c>
      <c r="C2292" s="98">
        <v>68</v>
      </c>
      <c r="D2292" s="98">
        <v>250</v>
      </c>
      <c r="E2292" s="157">
        <v>41737.048611111109</v>
      </c>
      <c r="F2292" s="157">
        <v>41737.09375</v>
      </c>
      <c r="G2292" s="98">
        <v>180</v>
      </c>
      <c r="H2292" s="98">
        <v>330</v>
      </c>
      <c r="I2292" s="98">
        <v>300</v>
      </c>
      <c r="J2292" s="98" t="s">
        <v>1978</v>
      </c>
      <c r="K2292" s="98" t="s">
        <v>90</v>
      </c>
      <c r="L2292" s="105" t="str">
        <f t="shared" si="390"/>
        <v>Mill Creek</v>
      </c>
      <c r="M2292" s="105" t="str">
        <f t="shared" si="391"/>
        <v>Derate</v>
      </c>
      <c r="N2292" s="105" t="str">
        <f t="shared" si="392"/>
        <v>Coal</v>
      </c>
      <c r="O2292" s="105">
        <f>IFERROR(VLOOKUP(A2292,Lookup!$J$5:$P$19,7,FALSE),0)</f>
        <v>2</v>
      </c>
      <c r="P2292" s="159">
        <f t="shared" si="393"/>
        <v>2014</v>
      </c>
      <c r="Q2292" s="159">
        <f t="shared" si="394"/>
        <v>4</v>
      </c>
      <c r="R2292" s="160">
        <f t="shared" si="395"/>
        <v>1.0833333333721384</v>
      </c>
      <c r="S2292" s="158">
        <f t="shared" si="396"/>
        <v>0.4924242424418811</v>
      </c>
      <c r="T2292" s="161">
        <f t="shared" si="397"/>
        <v>147.72727273256433</v>
      </c>
      <c r="U2292" s="158">
        <f t="shared" si="399"/>
        <v>136.36363636363637</v>
      </c>
      <c r="V2292" s="160">
        <f t="shared" si="398"/>
        <v>136</v>
      </c>
    </row>
    <row r="2293" spans="1:22" x14ac:dyDescent="0.25">
      <c r="A2293" s="98" t="s">
        <v>23</v>
      </c>
      <c r="B2293" s="98" t="s">
        <v>17</v>
      </c>
      <c r="C2293" s="98">
        <v>69</v>
      </c>
      <c r="D2293" s="98">
        <v>250</v>
      </c>
      <c r="E2293" s="157">
        <v>41737.09375</v>
      </c>
      <c r="F2293" s="157">
        <v>41737.161805555559</v>
      </c>
      <c r="G2293" s="98">
        <v>125</v>
      </c>
      <c r="H2293" s="98">
        <v>330</v>
      </c>
      <c r="I2293" s="98">
        <v>300</v>
      </c>
      <c r="J2293" s="98" t="s">
        <v>1978</v>
      </c>
      <c r="K2293" s="98" t="s">
        <v>1423</v>
      </c>
      <c r="L2293" s="105" t="str">
        <f t="shared" si="390"/>
        <v>Mill Creek</v>
      </c>
      <c r="M2293" s="105" t="str">
        <f t="shared" si="391"/>
        <v>Derate</v>
      </c>
      <c r="N2293" s="105" t="str">
        <f t="shared" si="392"/>
        <v>Coal</v>
      </c>
      <c r="O2293" s="105">
        <f>IFERROR(VLOOKUP(A2293,Lookup!$J$5:$P$19,7,FALSE),0)</f>
        <v>2</v>
      </c>
      <c r="P2293" s="159">
        <f t="shared" si="393"/>
        <v>2014</v>
      </c>
      <c r="Q2293" s="159">
        <f t="shared" si="394"/>
        <v>4</v>
      </c>
      <c r="R2293" s="160">
        <f t="shared" si="395"/>
        <v>1.6333333334187046</v>
      </c>
      <c r="S2293" s="158">
        <f t="shared" si="396"/>
        <v>1.0146464646994984</v>
      </c>
      <c r="T2293" s="161">
        <f t="shared" si="397"/>
        <v>304.39393940984951</v>
      </c>
      <c r="U2293" s="158">
        <f t="shared" si="399"/>
        <v>186.36363636363637</v>
      </c>
      <c r="V2293" s="160">
        <f t="shared" si="398"/>
        <v>186</v>
      </c>
    </row>
    <row r="2294" spans="1:22" x14ac:dyDescent="0.25">
      <c r="A2294" s="98" t="s">
        <v>23</v>
      </c>
      <c r="B2294" s="98" t="s">
        <v>15</v>
      </c>
      <c r="C2294" s="98">
        <v>70</v>
      </c>
      <c r="D2294" s="98">
        <v>9270</v>
      </c>
      <c r="E2294" s="157">
        <v>41737.161805555559</v>
      </c>
      <c r="F2294" s="157">
        <v>41737.284722222219</v>
      </c>
      <c r="G2294" s="98">
        <v>0</v>
      </c>
      <c r="H2294" s="98">
        <v>330</v>
      </c>
      <c r="I2294" s="98">
        <v>300</v>
      </c>
      <c r="J2294" s="98" t="s">
        <v>2006</v>
      </c>
      <c r="K2294" s="98" t="s">
        <v>1424</v>
      </c>
      <c r="L2294" s="105" t="str">
        <f t="shared" si="390"/>
        <v>Mill Creek</v>
      </c>
      <c r="M2294" s="105" t="str">
        <f t="shared" si="391"/>
        <v>Outage</v>
      </c>
      <c r="N2294" s="105" t="str">
        <f t="shared" si="392"/>
        <v>Coal</v>
      </c>
      <c r="O2294" s="105">
        <f>IFERROR(VLOOKUP(A2294,Lookup!$J$5:$P$19,7,FALSE),0)</f>
        <v>2</v>
      </c>
      <c r="P2294" s="159">
        <f t="shared" si="393"/>
        <v>2014</v>
      </c>
      <c r="Q2294" s="159">
        <f t="shared" si="394"/>
        <v>4</v>
      </c>
      <c r="R2294" s="160">
        <f t="shared" si="395"/>
        <v>2.9499999998370185</v>
      </c>
      <c r="S2294" s="158">
        <f t="shared" si="396"/>
        <v>2.9499999998370185</v>
      </c>
      <c r="T2294" s="161">
        <f t="shared" si="397"/>
        <v>884.99999995110556</v>
      </c>
      <c r="U2294" s="158">
        <f t="shared" si="399"/>
        <v>300</v>
      </c>
      <c r="V2294" s="160">
        <f t="shared" si="398"/>
        <v>300</v>
      </c>
    </row>
    <row r="2295" spans="1:22" x14ac:dyDescent="0.25">
      <c r="A2295" s="98" t="s">
        <v>23</v>
      </c>
      <c r="B2295" s="98" t="s">
        <v>79</v>
      </c>
      <c r="C2295" s="98">
        <v>71</v>
      </c>
      <c r="D2295" s="98">
        <v>1850</v>
      </c>
      <c r="E2295" s="157">
        <v>41737.284722222219</v>
      </c>
      <c r="F2295" s="157">
        <v>41737.461805555555</v>
      </c>
      <c r="G2295" s="98">
        <v>0</v>
      </c>
      <c r="H2295" s="98">
        <v>330</v>
      </c>
      <c r="I2295" s="98">
        <v>300</v>
      </c>
      <c r="J2295" s="98" t="s">
        <v>2263</v>
      </c>
      <c r="K2295" s="98" t="s">
        <v>87</v>
      </c>
      <c r="L2295" s="105" t="str">
        <f t="shared" si="390"/>
        <v>Mill Creek</v>
      </c>
      <c r="M2295" s="105" t="str">
        <f t="shared" si="391"/>
        <v>Other</v>
      </c>
      <c r="N2295" s="105" t="str">
        <f t="shared" si="392"/>
        <v>Coal</v>
      </c>
      <c r="O2295" s="105">
        <f>IFERROR(VLOOKUP(A2295,Lookup!$J$5:$P$19,7,FALSE),0)</f>
        <v>2</v>
      </c>
      <c r="P2295" s="159">
        <f t="shared" si="393"/>
        <v>2014</v>
      </c>
      <c r="Q2295" s="159">
        <f t="shared" si="394"/>
        <v>4</v>
      </c>
      <c r="R2295" s="160">
        <f t="shared" si="395"/>
        <v>4.2500000000582077</v>
      </c>
      <c r="S2295" s="158">
        <f t="shared" si="396"/>
        <v>4.2500000000582077</v>
      </c>
      <c r="T2295" s="161">
        <f t="shared" si="397"/>
        <v>1275.0000000174623</v>
      </c>
      <c r="U2295" s="158">
        <f t="shared" si="399"/>
        <v>300</v>
      </c>
      <c r="V2295" s="160">
        <f t="shared" si="398"/>
        <v>300</v>
      </c>
    </row>
    <row r="2296" spans="1:22" x14ac:dyDescent="0.25">
      <c r="A2296" s="98" t="s">
        <v>23</v>
      </c>
      <c r="B2296" s="98" t="s">
        <v>17</v>
      </c>
      <c r="C2296" s="98">
        <v>72</v>
      </c>
      <c r="D2296" s="98">
        <v>9270</v>
      </c>
      <c r="E2296" s="157">
        <v>41737.461805555555</v>
      </c>
      <c r="F2296" s="157">
        <v>41737.513888888891</v>
      </c>
      <c r="G2296" s="98">
        <v>160</v>
      </c>
      <c r="H2296" s="98">
        <v>330</v>
      </c>
      <c r="I2296" s="98">
        <v>300</v>
      </c>
      <c r="J2296" s="98" t="s">
        <v>2006</v>
      </c>
      <c r="K2296" s="98" t="s">
        <v>91</v>
      </c>
      <c r="L2296" s="105" t="str">
        <f t="shared" si="390"/>
        <v>Mill Creek</v>
      </c>
      <c r="M2296" s="105" t="str">
        <f t="shared" si="391"/>
        <v>Derate</v>
      </c>
      <c r="N2296" s="105" t="str">
        <f t="shared" si="392"/>
        <v>Coal</v>
      </c>
      <c r="O2296" s="105">
        <f>IFERROR(VLOOKUP(A2296,Lookup!$J$5:$P$19,7,FALSE),0)</f>
        <v>2</v>
      </c>
      <c r="P2296" s="159">
        <f t="shared" si="393"/>
        <v>2014</v>
      </c>
      <c r="Q2296" s="159">
        <f t="shared" si="394"/>
        <v>4</v>
      </c>
      <c r="R2296" s="160">
        <f t="shared" si="395"/>
        <v>1.2500000000582077</v>
      </c>
      <c r="S2296" s="158">
        <f t="shared" si="396"/>
        <v>0.64393939396937971</v>
      </c>
      <c r="T2296" s="161">
        <f t="shared" si="397"/>
        <v>193.18181819081391</v>
      </c>
      <c r="U2296" s="158">
        <f t="shared" si="399"/>
        <v>154.54545454545453</v>
      </c>
      <c r="V2296" s="160">
        <f t="shared" si="398"/>
        <v>155</v>
      </c>
    </row>
    <row r="2297" spans="1:22" x14ac:dyDescent="0.25">
      <c r="A2297" s="98" t="s">
        <v>23</v>
      </c>
      <c r="B2297" s="98" t="s">
        <v>17</v>
      </c>
      <c r="C2297" s="98">
        <v>73</v>
      </c>
      <c r="D2297" s="98">
        <v>250</v>
      </c>
      <c r="E2297" s="157">
        <v>41737.513888888891</v>
      </c>
      <c r="F2297" s="157">
        <v>41737.543749999997</v>
      </c>
      <c r="G2297" s="98">
        <v>130</v>
      </c>
      <c r="H2297" s="98">
        <v>330</v>
      </c>
      <c r="I2297" s="98">
        <v>300</v>
      </c>
      <c r="J2297" s="98" t="s">
        <v>1978</v>
      </c>
      <c r="K2297" s="98" t="s">
        <v>89</v>
      </c>
      <c r="L2297" s="105" t="str">
        <f t="shared" si="390"/>
        <v>Mill Creek</v>
      </c>
      <c r="M2297" s="105" t="str">
        <f t="shared" si="391"/>
        <v>Derate</v>
      </c>
      <c r="N2297" s="105" t="str">
        <f t="shared" si="392"/>
        <v>Coal</v>
      </c>
      <c r="O2297" s="105">
        <f>IFERROR(VLOOKUP(A2297,Lookup!$J$5:$P$19,7,FALSE),0)</f>
        <v>2</v>
      </c>
      <c r="P2297" s="159">
        <f t="shared" si="393"/>
        <v>2014</v>
      </c>
      <c r="Q2297" s="159">
        <f t="shared" si="394"/>
        <v>4</v>
      </c>
      <c r="R2297" s="160">
        <f t="shared" si="395"/>
        <v>0.71666666655801237</v>
      </c>
      <c r="S2297" s="158">
        <f t="shared" si="396"/>
        <v>0.43434343427758326</v>
      </c>
      <c r="T2297" s="161">
        <f t="shared" si="397"/>
        <v>130.30303028327498</v>
      </c>
      <c r="U2297" s="158">
        <f t="shared" si="399"/>
        <v>181.81818181818181</v>
      </c>
      <c r="V2297" s="160">
        <f t="shared" si="398"/>
        <v>182</v>
      </c>
    </row>
    <row r="2298" spans="1:22" x14ac:dyDescent="0.25">
      <c r="A2298" s="98" t="s">
        <v>23</v>
      </c>
      <c r="B2298" s="98" t="s">
        <v>17</v>
      </c>
      <c r="C2298" s="98">
        <v>74</v>
      </c>
      <c r="D2298" s="98">
        <v>9270</v>
      </c>
      <c r="E2298" s="157">
        <v>41737.543749999997</v>
      </c>
      <c r="F2298" s="157">
        <v>41737.604861111111</v>
      </c>
      <c r="G2298" s="98">
        <v>160</v>
      </c>
      <c r="H2298" s="98">
        <v>330</v>
      </c>
      <c r="I2298" s="98">
        <v>300</v>
      </c>
      <c r="J2298" s="98" t="s">
        <v>2006</v>
      </c>
      <c r="K2298" s="98" t="s">
        <v>91</v>
      </c>
      <c r="L2298" s="105" t="str">
        <f t="shared" si="390"/>
        <v>Mill Creek</v>
      </c>
      <c r="M2298" s="105" t="str">
        <f t="shared" si="391"/>
        <v>Derate</v>
      </c>
      <c r="N2298" s="105" t="str">
        <f t="shared" si="392"/>
        <v>Coal</v>
      </c>
      <c r="O2298" s="105">
        <f>IFERROR(VLOOKUP(A2298,Lookup!$J$5:$P$19,7,FALSE),0)</f>
        <v>2</v>
      </c>
      <c r="P2298" s="159">
        <f t="shared" si="393"/>
        <v>2014</v>
      </c>
      <c r="Q2298" s="159">
        <f t="shared" si="394"/>
        <v>4</v>
      </c>
      <c r="R2298" s="160">
        <f t="shared" si="395"/>
        <v>1.4666666667326353</v>
      </c>
      <c r="S2298" s="158">
        <f t="shared" si="396"/>
        <v>0.75555555558953946</v>
      </c>
      <c r="T2298" s="161">
        <f t="shared" si="397"/>
        <v>226.66666667686184</v>
      </c>
      <c r="U2298" s="158">
        <f t="shared" si="399"/>
        <v>154.54545454545453</v>
      </c>
      <c r="V2298" s="160">
        <f t="shared" si="398"/>
        <v>155</v>
      </c>
    </row>
    <row r="2299" spans="1:22" x14ac:dyDescent="0.25">
      <c r="A2299" s="98" t="s">
        <v>23</v>
      </c>
      <c r="B2299" s="98" t="s">
        <v>17</v>
      </c>
      <c r="C2299" s="98">
        <v>75</v>
      </c>
      <c r="D2299" s="98">
        <v>9270</v>
      </c>
      <c r="E2299" s="157">
        <v>41737.604861111111</v>
      </c>
      <c r="F2299" s="157">
        <v>41737.638888888891</v>
      </c>
      <c r="G2299" s="98">
        <v>210</v>
      </c>
      <c r="H2299" s="98">
        <v>330</v>
      </c>
      <c r="I2299" s="98">
        <v>300</v>
      </c>
      <c r="J2299" s="98" t="s">
        <v>2006</v>
      </c>
      <c r="K2299" s="98" t="s">
        <v>91</v>
      </c>
      <c r="L2299" s="105" t="str">
        <f t="shared" si="390"/>
        <v>Mill Creek</v>
      </c>
      <c r="M2299" s="105" t="str">
        <f t="shared" si="391"/>
        <v>Derate</v>
      </c>
      <c r="N2299" s="105" t="str">
        <f t="shared" si="392"/>
        <v>Coal</v>
      </c>
      <c r="O2299" s="105">
        <f>IFERROR(VLOOKUP(A2299,Lookup!$J$5:$P$19,7,FALSE),0)</f>
        <v>2</v>
      </c>
      <c r="P2299" s="159">
        <f t="shared" si="393"/>
        <v>2014</v>
      </c>
      <c r="Q2299" s="159">
        <f t="shared" si="394"/>
        <v>4</v>
      </c>
      <c r="R2299" s="160">
        <f t="shared" si="395"/>
        <v>0.81666666670935228</v>
      </c>
      <c r="S2299" s="158">
        <f t="shared" si="396"/>
        <v>0.29696969698521902</v>
      </c>
      <c r="T2299" s="161">
        <f t="shared" si="397"/>
        <v>89.090909095565706</v>
      </c>
      <c r="U2299" s="158">
        <f t="shared" si="399"/>
        <v>109.09090909090909</v>
      </c>
      <c r="V2299" s="160">
        <f t="shared" si="398"/>
        <v>109</v>
      </c>
    </row>
    <row r="2300" spans="1:22" x14ac:dyDescent="0.25">
      <c r="A2300" s="98" t="s">
        <v>23</v>
      </c>
      <c r="B2300" s="98" t="s">
        <v>17</v>
      </c>
      <c r="C2300" s="98">
        <v>76</v>
      </c>
      <c r="D2300" s="98">
        <v>9270</v>
      </c>
      <c r="E2300" s="157">
        <v>41737.638888888891</v>
      </c>
      <c r="F2300" s="157">
        <v>41737.715277777781</v>
      </c>
      <c r="G2300" s="98">
        <v>195</v>
      </c>
      <c r="H2300" s="98">
        <v>330</v>
      </c>
      <c r="I2300" s="98">
        <v>300</v>
      </c>
      <c r="J2300" s="98" t="s">
        <v>2006</v>
      </c>
      <c r="K2300" s="98" t="s">
        <v>91</v>
      </c>
      <c r="L2300" s="105" t="str">
        <f t="shared" si="390"/>
        <v>Mill Creek</v>
      </c>
      <c r="M2300" s="105" t="str">
        <f t="shared" si="391"/>
        <v>Derate</v>
      </c>
      <c r="N2300" s="105" t="str">
        <f t="shared" si="392"/>
        <v>Coal</v>
      </c>
      <c r="O2300" s="105">
        <f>IFERROR(VLOOKUP(A2300,Lookup!$J$5:$P$19,7,FALSE),0)</f>
        <v>2</v>
      </c>
      <c r="P2300" s="159">
        <f t="shared" si="393"/>
        <v>2014</v>
      </c>
      <c r="Q2300" s="159">
        <f t="shared" si="394"/>
        <v>4</v>
      </c>
      <c r="R2300" s="160">
        <f t="shared" si="395"/>
        <v>1.8333333333721384</v>
      </c>
      <c r="S2300" s="158">
        <f t="shared" si="396"/>
        <v>0.75000000001587486</v>
      </c>
      <c r="T2300" s="161">
        <f t="shared" si="397"/>
        <v>225.00000000476246</v>
      </c>
      <c r="U2300" s="158">
        <f t="shared" si="399"/>
        <v>122.72727272727273</v>
      </c>
      <c r="V2300" s="160">
        <f t="shared" si="398"/>
        <v>123</v>
      </c>
    </row>
    <row r="2301" spans="1:22" x14ac:dyDescent="0.25">
      <c r="A2301" s="98" t="s">
        <v>23</v>
      </c>
      <c r="B2301" s="98" t="s">
        <v>17</v>
      </c>
      <c r="C2301" s="98">
        <v>77</v>
      </c>
      <c r="D2301" s="98">
        <v>9270</v>
      </c>
      <c r="E2301" s="157">
        <v>41737.715277777781</v>
      </c>
      <c r="F2301" s="157">
        <v>41737.811805555553</v>
      </c>
      <c r="G2301" s="98">
        <v>280</v>
      </c>
      <c r="H2301" s="98">
        <v>330</v>
      </c>
      <c r="I2301" s="98">
        <v>300</v>
      </c>
      <c r="J2301" s="98" t="s">
        <v>2006</v>
      </c>
      <c r="K2301" s="98" t="s">
        <v>91</v>
      </c>
      <c r="L2301" s="105" t="str">
        <f t="shared" si="390"/>
        <v>Mill Creek</v>
      </c>
      <c r="M2301" s="105" t="str">
        <f t="shared" si="391"/>
        <v>Derate</v>
      </c>
      <c r="N2301" s="105" t="str">
        <f t="shared" si="392"/>
        <v>Coal</v>
      </c>
      <c r="O2301" s="105">
        <f>IFERROR(VLOOKUP(A2301,Lookup!$J$5:$P$19,7,FALSE),0)</f>
        <v>2</v>
      </c>
      <c r="P2301" s="159">
        <f t="shared" si="393"/>
        <v>2014</v>
      </c>
      <c r="Q2301" s="159">
        <f t="shared" si="394"/>
        <v>4</v>
      </c>
      <c r="R2301" s="160">
        <f t="shared" si="395"/>
        <v>2.3166666665347293</v>
      </c>
      <c r="S2301" s="158">
        <f t="shared" si="396"/>
        <v>0.35101010099011049</v>
      </c>
      <c r="T2301" s="161">
        <f t="shared" si="397"/>
        <v>105.30303029703315</v>
      </c>
      <c r="U2301" s="158">
        <f t="shared" si="399"/>
        <v>45.454545454545453</v>
      </c>
      <c r="V2301" s="160">
        <f t="shared" si="398"/>
        <v>45</v>
      </c>
    </row>
    <row r="2302" spans="1:22" x14ac:dyDescent="0.25">
      <c r="A2302" s="98" t="s">
        <v>23</v>
      </c>
      <c r="B2302" s="98" t="s">
        <v>17</v>
      </c>
      <c r="C2302" s="98">
        <v>78</v>
      </c>
      <c r="D2302" s="98">
        <v>250</v>
      </c>
      <c r="E2302" s="157">
        <v>41737.811805555553</v>
      </c>
      <c r="F2302" s="157">
        <v>41737.840277777781</v>
      </c>
      <c r="G2302" s="98">
        <v>220</v>
      </c>
      <c r="H2302" s="98">
        <v>330</v>
      </c>
      <c r="I2302" s="98">
        <v>300</v>
      </c>
      <c r="J2302" s="98" t="s">
        <v>1978</v>
      </c>
      <c r="K2302" s="98" t="s">
        <v>89</v>
      </c>
      <c r="L2302" s="105" t="str">
        <f t="shared" si="390"/>
        <v>Mill Creek</v>
      </c>
      <c r="M2302" s="105" t="str">
        <f t="shared" si="391"/>
        <v>Derate</v>
      </c>
      <c r="N2302" s="105" t="str">
        <f t="shared" si="392"/>
        <v>Coal</v>
      </c>
      <c r="O2302" s="105">
        <f>IFERROR(VLOOKUP(A2302,Lookup!$J$5:$P$19,7,FALSE),0)</f>
        <v>2</v>
      </c>
      <c r="P2302" s="159">
        <f t="shared" si="393"/>
        <v>2014</v>
      </c>
      <c r="Q2302" s="159">
        <f t="shared" si="394"/>
        <v>4</v>
      </c>
      <c r="R2302" s="160">
        <f t="shared" si="395"/>
        <v>0.6833333334652707</v>
      </c>
      <c r="S2302" s="158">
        <f t="shared" si="396"/>
        <v>0.2277777778217569</v>
      </c>
      <c r="T2302" s="161">
        <f t="shared" si="397"/>
        <v>68.33333334652707</v>
      </c>
      <c r="U2302" s="158">
        <f t="shared" si="399"/>
        <v>100</v>
      </c>
      <c r="V2302" s="160">
        <f t="shared" si="398"/>
        <v>100</v>
      </c>
    </row>
    <row r="2303" spans="1:22" x14ac:dyDescent="0.25">
      <c r="A2303" s="98" t="s">
        <v>23</v>
      </c>
      <c r="B2303" s="98" t="s">
        <v>17</v>
      </c>
      <c r="C2303" s="98">
        <v>79</v>
      </c>
      <c r="D2303" s="98">
        <v>250</v>
      </c>
      <c r="E2303" s="157">
        <v>41737.840277777781</v>
      </c>
      <c r="F2303" s="157">
        <v>41737.982638888891</v>
      </c>
      <c r="G2303" s="98">
        <v>175</v>
      </c>
      <c r="H2303" s="98">
        <v>330</v>
      </c>
      <c r="I2303" s="98">
        <v>300</v>
      </c>
      <c r="J2303" s="98" t="s">
        <v>1978</v>
      </c>
      <c r="K2303" s="98" t="s">
        <v>1425</v>
      </c>
      <c r="L2303" s="105" t="str">
        <f t="shared" si="390"/>
        <v>Mill Creek</v>
      </c>
      <c r="M2303" s="105" t="str">
        <f t="shared" si="391"/>
        <v>Derate</v>
      </c>
      <c r="N2303" s="105" t="str">
        <f t="shared" si="392"/>
        <v>Coal</v>
      </c>
      <c r="O2303" s="105">
        <f>IFERROR(VLOOKUP(A2303,Lookup!$J$5:$P$19,7,FALSE),0)</f>
        <v>2</v>
      </c>
      <c r="P2303" s="159">
        <f t="shared" si="393"/>
        <v>2014</v>
      </c>
      <c r="Q2303" s="159">
        <f t="shared" si="394"/>
        <v>4</v>
      </c>
      <c r="R2303" s="160">
        <f t="shared" si="395"/>
        <v>3.4166666666278616</v>
      </c>
      <c r="S2303" s="158">
        <f t="shared" si="396"/>
        <v>1.6047979797797531</v>
      </c>
      <c r="T2303" s="161">
        <f t="shared" si="397"/>
        <v>481.43939393392594</v>
      </c>
      <c r="U2303" s="158">
        <f t="shared" si="399"/>
        <v>140.90909090909091</v>
      </c>
      <c r="V2303" s="160">
        <f t="shared" si="398"/>
        <v>141</v>
      </c>
    </row>
    <row r="2304" spans="1:22" x14ac:dyDescent="0.25">
      <c r="A2304" s="98" t="s">
        <v>23</v>
      </c>
      <c r="B2304" s="98" t="s">
        <v>17</v>
      </c>
      <c r="C2304" s="98">
        <v>80</v>
      </c>
      <c r="D2304" s="98">
        <v>9270</v>
      </c>
      <c r="E2304" s="157">
        <v>41737.982638888891</v>
      </c>
      <c r="F2304" s="157">
        <v>41738.031944444447</v>
      </c>
      <c r="G2304" s="98">
        <v>290</v>
      </c>
      <c r="H2304" s="98">
        <v>330</v>
      </c>
      <c r="I2304" s="98">
        <v>300</v>
      </c>
      <c r="J2304" s="98" t="s">
        <v>2006</v>
      </c>
      <c r="K2304" s="98" t="s">
        <v>91</v>
      </c>
      <c r="L2304" s="105" t="str">
        <f t="shared" si="390"/>
        <v>Mill Creek</v>
      </c>
      <c r="M2304" s="105" t="str">
        <f t="shared" si="391"/>
        <v>Derate</v>
      </c>
      <c r="N2304" s="105" t="str">
        <f t="shared" si="392"/>
        <v>Coal</v>
      </c>
      <c r="O2304" s="105">
        <f>IFERROR(VLOOKUP(A2304,Lookup!$J$5:$P$19,7,FALSE),0)</f>
        <v>2</v>
      </c>
      <c r="P2304" s="159">
        <f t="shared" si="393"/>
        <v>2014</v>
      </c>
      <c r="Q2304" s="159">
        <f t="shared" si="394"/>
        <v>4</v>
      </c>
      <c r="R2304" s="160">
        <f t="shared" si="395"/>
        <v>1.1833333333488554</v>
      </c>
      <c r="S2304" s="158">
        <f t="shared" si="396"/>
        <v>0.14343434343622488</v>
      </c>
      <c r="T2304" s="161">
        <f t="shared" si="397"/>
        <v>43.030303030867465</v>
      </c>
      <c r="U2304" s="158">
        <f t="shared" si="399"/>
        <v>36.363636363636367</v>
      </c>
      <c r="V2304" s="160">
        <f t="shared" si="398"/>
        <v>36</v>
      </c>
    </row>
    <row r="2305" spans="1:22" x14ac:dyDescent="0.25">
      <c r="A2305" s="98" t="s">
        <v>23</v>
      </c>
      <c r="B2305" s="98" t="s">
        <v>17</v>
      </c>
      <c r="C2305" s="98">
        <v>81</v>
      </c>
      <c r="D2305" s="98">
        <v>250</v>
      </c>
      <c r="E2305" s="157">
        <v>41738.031944444447</v>
      </c>
      <c r="F2305" s="157">
        <v>41738.159722222219</v>
      </c>
      <c r="G2305" s="98">
        <v>220</v>
      </c>
      <c r="H2305" s="98">
        <v>330</v>
      </c>
      <c r="I2305" s="98">
        <v>300</v>
      </c>
      <c r="J2305" s="98" t="s">
        <v>1978</v>
      </c>
      <c r="K2305" s="98" t="s">
        <v>90</v>
      </c>
      <c r="L2305" s="105" t="str">
        <f t="shared" si="390"/>
        <v>Mill Creek</v>
      </c>
      <c r="M2305" s="105" t="str">
        <f t="shared" si="391"/>
        <v>Derate</v>
      </c>
      <c r="N2305" s="105" t="str">
        <f t="shared" si="392"/>
        <v>Coal</v>
      </c>
      <c r="O2305" s="105">
        <f>IFERROR(VLOOKUP(A2305,Lookup!$J$5:$P$19,7,FALSE),0)</f>
        <v>2</v>
      </c>
      <c r="P2305" s="159">
        <f t="shared" si="393"/>
        <v>2014</v>
      </c>
      <c r="Q2305" s="159">
        <f t="shared" si="394"/>
        <v>4</v>
      </c>
      <c r="R2305" s="160">
        <f t="shared" si="395"/>
        <v>3.0666666665347293</v>
      </c>
      <c r="S2305" s="158">
        <f t="shared" si="396"/>
        <v>1.0222222221782431</v>
      </c>
      <c r="T2305" s="161">
        <f t="shared" si="397"/>
        <v>306.66666665347293</v>
      </c>
      <c r="U2305" s="158">
        <f t="shared" si="399"/>
        <v>100</v>
      </c>
      <c r="V2305" s="160">
        <f t="shared" si="398"/>
        <v>100</v>
      </c>
    </row>
    <row r="2306" spans="1:22" x14ac:dyDescent="0.25">
      <c r="A2306" s="98" t="s">
        <v>23</v>
      </c>
      <c r="B2306" s="98" t="s">
        <v>17</v>
      </c>
      <c r="C2306" s="98">
        <v>82</v>
      </c>
      <c r="D2306" s="98">
        <v>9270</v>
      </c>
      <c r="E2306" s="157">
        <v>41738.159722222219</v>
      </c>
      <c r="F2306" s="157">
        <v>41738.197916666664</v>
      </c>
      <c r="G2306" s="98">
        <v>280</v>
      </c>
      <c r="H2306" s="98">
        <v>330</v>
      </c>
      <c r="I2306" s="98">
        <v>300</v>
      </c>
      <c r="J2306" s="98" t="s">
        <v>2006</v>
      </c>
      <c r="K2306" s="98" t="s">
        <v>91</v>
      </c>
      <c r="L2306" s="105" t="str">
        <f t="shared" si="390"/>
        <v>Mill Creek</v>
      </c>
      <c r="M2306" s="105" t="str">
        <f t="shared" si="391"/>
        <v>Derate</v>
      </c>
      <c r="N2306" s="105" t="str">
        <f t="shared" si="392"/>
        <v>Coal</v>
      </c>
      <c r="O2306" s="105">
        <f>IFERROR(VLOOKUP(A2306,Lookup!$J$5:$P$19,7,FALSE),0)</f>
        <v>2</v>
      </c>
      <c r="P2306" s="159">
        <f t="shared" si="393"/>
        <v>2014</v>
      </c>
      <c r="Q2306" s="159">
        <f t="shared" si="394"/>
        <v>4</v>
      </c>
      <c r="R2306" s="160">
        <f t="shared" si="395"/>
        <v>0.91666666668606922</v>
      </c>
      <c r="S2306" s="158">
        <f t="shared" si="396"/>
        <v>0.13888888889182868</v>
      </c>
      <c r="T2306" s="161">
        <f t="shared" si="397"/>
        <v>41.666666667548604</v>
      </c>
      <c r="U2306" s="158">
        <f t="shared" si="399"/>
        <v>45.454545454545453</v>
      </c>
      <c r="V2306" s="160">
        <f t="shared" si="398"/>
        <v>45</v>
      </c>
    </row>
    <row r="2307" spans="1:22" x14ac:dyDescent="0.25">
      <c r="A2307" s="98" t="s">
        <v>23</v>
      </c>
      <c r="B2307" s="98" t="s">
        <v>17</v>
      </c>
      <c r="C2307" s="98">
        <v>83</v>
      </c>
      <c r="D2307" s="98">
        <v>9270</v>
      </c>
      <c r="E2307" s="157">
        <v>41738.197916666664</v>
      </c>
      <c r="F2307" s="157">
        <v>41738.282638888886</v>
      </c>
      <c r="G2307" s="98">
        <v>160</v>
      </c>
      <c r="H2307" s="98">
        <v>330</v>
      </c>
      <c r="I2307" s="98">
        <v>300</v>
      </c>
      <c r="J2307" s="98" t="s">
        <v>2006</v>
      </c>
      <c r="K2307" s="98" t="s">
        <v>91</v>
      </c>
      <c r="L2307" s="105" t="str">
        <f t="shared" si="390"/>
        <v>Mill Creek</v>
      </c>
      <c r="M2307" s="105" t="str">
        <f t="shared" si="391"/>
        <v>Derate</v>
      </c>
      <c r="N2307" s="105" t="str">
        <f t="shared" si="392"/>
        <v>Coal</v>
      </c>
      <c r="O2307" s="105">
        <f>IFERROR(VLOOKUP(A2307,Lookup!$J$5:$P$19,7,FALSE),0)</f>
        <v>2</v>
      </c>
      <c r="P2307" s="159">
        <f t="shared" si="393"/>
        <v>2014</v>
      </c>
      <c r="Q2307" s="159">
        <f t="shared" si="394"/>
        <v>4</v>
      </c>
      <c r="R2307" s="160">
        <f t="shared" si="395"/>
        <v>2.0333333333255723</v>
      </c>
      <c r="S2307" s="158">
        <f t="shared" si="396"/>
        <v>1.0474747474707493</v>
      </c>
      <c r="T2307" s="161">
        <f t="shared" si="397"/>
        <v>314.2424242412248</v>
      </c>
      <c r="U2307" s="158">
        <f t="shared" si="399"/>
        <v>154.54545454545453</v>
      </c>
      <c r="V2307" s="160">
        <f t="shared" si="398"/>
        <v>155</v>
      </c>
    </row>
    <row r="2308" spans="1:22" x14ac:dyDescent="0.25">
      <c r="A2308" s="98" t="s">
        <v>23</v>
      </c>
      <c r="B2308" s="98" t="s">
        <v>17</v>
      </c>
      <c r="C2308" s="98">
        <v>84</v>
      </c>
      <c r="D2308" s="98">
        <v>9270</v>
      </c>
      <c r="E2308" s="157">
        <v>41738.282638888886</v>
      </c>
      <c r="F2308" s="157">
        <v>41739.166666666664</v>
      </c>
      <c r="G2308" s="98">
        <v>220</v>
      </c>
      <c r="H2308" s="98">
        <v>330</v>
      </c>
      <c r="I2308" s="98">
        <v>300</v>
      </c>
      <c r="J2308" s="98" t="s">
        <v>2006</v>
      </c>
      <c r="K2308" s="98" t="s">
        <v>91</v>
      </c>
      <c r="L2308" s="105" t="str">
        <f t="shared" si="390"/>
        <v>Mill Creek</v>
      </c>
      <c r="M2308" s="105" t="str">
        <f t="shared" si="391"/>
        <v>Derate</v>
      </c>
      <c r="N2308" s="105" t="str">
        <f t="shared" si="392"/>
        <v>Coal</v>
      </c>
      <c r="O2308" s="105">
        <f>IFERROR(VLOOKUP(A2308,Lookup!$J$5:$P$19,7,FALSE),0)</f>
        <v>2</v>
      </c>
      <c r="P2308" s="159">
        <f t="shared" si="393"/>
        <v>2014</v>
      </c>
      <c r="Q2308" s="159">
        <f t="shared" si="394"/>
        <v>4</v>
      </c>
      <c r="R2308" s="160">
        <f t="shared" si="395"/>
        <v>21.216666666674428</v>
      </c>
      <c r="S2308" s="158">
        <f t="shared" si="396"/>
        <v>7.0722222222248092</v>
      </c>
      <c r="T2308" s="161">
        <f t="shared" si="397"/>
        <v>2121.6666666674428</v>
      </c>
      <c r="U2308" s="158">
        <f t="shared" si="399"/>
        <v>100</v>
      </c>
      <c r="V2308" s="160">
        <f t="shared" si="398"/>
        <v>100</v>
      </c>
    </row>
    <row r="2309" spans="1:22" x14ac:dyDescent="0.25">
      <c r="A2309" s="98" t="s">
        <v>23</v>
      </c>
      <c r="B2309" s="98" t="s">
        <v>17</v>
      </c>
      <c r="C2309" s="98">
        <v>85</v>
      </c>
      <c r="D2309" s="98">
        <v>9270</v>
      </c>
      <c r="E2309" s="157">
        <v>41739.166666666664</v>
      </c>
      <c r="F2309" s="157">
        <v>41739.450694444444</v>
      </c>
      <c r="G2309" s="98">
        <v>290</v>
      </c>
      <c r="H2309" s="98">
        <v>330</v>
      </c>
      <c r="I2309" s="98">
        <v>300</v>
      </c>
      <c r="J2309" s="98" t="s">
        <v>2006</v>
      </c>
      <c r="K2309" s="98" t="s">
        <v>91</v>
      </c>
      <c r="L2309" s="105" t="str">
        <f t="shared" si="390"/>
        <v>Mill Creek</v>
      </c>
      <c r="M2309" s="105" t="str">
        <f t="shared" si="391"/>
        <v>Derate</v>
      </c>
      <c r="N2309" s="105" t="str">
        <f t="shared" si="392"/>
        <v>Coal</v>
      </c>
      <c r="O2309" s="105">
        <f>IFERROR(VLOOKUP(A2309,Lookup!$J$5:$P$19,7,FALSE),0)</f>
        <v>2</v>
      </c>
      <c r="P2309" s="159">
        <f t="shared" si="393"/>
        <v>2014</v>
      </c>
      <c r="Q2309" s="159">
        <f t="shared" si="394"/>
        <v>4</v>
      </c>
      <c r="R2309" s="160">
        <f t="shared" si="395"/>
        <v>6.8166666667093523</v>
      </c>
      <c r="S2309" s="158">
        <f t="shared" si="396"/>
        <v>0.82626262626780023</v>
      </c>
      <c r="T2309" s="161">
        <f t="shared" si="397"/>
        <v>247.87878788034007</v>
      </c>
      <c r="U2309" s="158">
        <f t="shared" si="399"/>
        <v>36.363636363636367</v>
      </c>
      <c r="V2309" s="160">
        <f t="shared" si="398"/>
        <v>36</v>
      </c>
    </row>
    <row r="2310" spans="1:22" x14ac:dyDescent="0.25">
      <c r="A2310" s="98" t="s">
        <v>23</v>
      </c>
      <c r="B2310" s="98" t="s">
        <v>17</v>
      </c>
      <c r="C2310" s="98">
        <v>86</v>
      </c>
      <c r="D2310" s="98">
        <v>1850</v>
      </c>
      <c r="E2310" s="157">
        <v>41739.986805555556</v>
      </c>
      <c r="F2310" s="157">
        <v>41740.291666666664</v>
      </c>
      <c r="G2310" s="98">
        <v>285</v>
      </c>
      <c r="H2310" s="98">
        <v>330</v>
      </c>
      <c r="I2310" s="98">
        <v>300</v>
      </c>
      <c r="J2310" s="98" t="s">
        <v>2263</v>
      </c>
      <c r="K2310" s="98" t="s">
        <v>41</v>
      </c>
      <c r="L2310" s="105" t="str">
        <f t="shared" si="390"/>
        <v>Mill Creek</v>
      </c>
      <c r="M2310" s="105" t="str">
        <f t="shared" si="391"/>
        <v>Derate</v>
      </c>
      <c r="N2310" s="105" t="str">
        <f t="shared" si="392"/>
        <v>Coal</v>
      </c>
      <c r="O2310" s="105">
        <f>IFERROR(VLOOKUP(A2310,Lookup!$J$5:$P$19,7,FALSE),0)</f>
        <v>2</v>
      </c>
      <c r="P2310" s="159">
        <f t="shared" si="393"/>
        <v>2014</v>
      </c>
      <c r="Q2310" s="159">
        <f t="shared" si="394"/>
        <v>4</v>
      </c>
      <c r="R2310" s="160">
        <f t="shared" si="395"/>
        <v>7.316666666592937</v>
      </c>
      <c r="S2310" s="158">
        <f t="shared" si="396"/>
        <v>0.99772727271721873</v>
      </c>
      <c r="T2310" s="161">
        <f t="shared" si="397"/>
        <v>299.31818181516564</v>
      </c>
      <c r="U2310" s="158">
        <f t="shared" si="399"/>
        <v>40.909090909090907</v>
      </c>
      <c r="V2310" s="160">
        <f t="shared" si="398"/>
        <v>41</v>
      </c>
    </row>
    <row r="2311" spans="1:22" x14ac:dyDescent="0.25">
      <c r="A2311" s="98" t="s">
        <v>23</v>
      </c>
      <c r="B2311" s="98" t="s">
        <v>38</v>
      </c>
      <c r="C2311" s="98">
        <v>87</v>
      </c>
      <c r="D2311" s="98">
        <v>1801</v>
      </c>
      <c r="E2311" s="157">
        <v>41741.496527777781</v>
      </c>
      <c r="F2311" s="157">
        <v>41748.443055555559</v>
      </c>
      <c r="G2311" s="98">
        <v>0</v>
      </c>
      <c r="H2311" s="98">
        <v>330</v>
      </c>
      <c r="I2311" s="98">
        <v>300</v>
      </c>
      <c r="J2311" s="98" t="s">
        <v>2021</v>
      </c>
      <c r="K2311" s="98" t="s">
        <v>56</v>
      </c>
      <c r="L2311" s="105" t="str">
        <f t="shared" si="390"/>
        <v>Mill Creek</v>
      </c>
      <c r="M2311" s="105" t="str">
        <f t="shared" si="391"/>
        <v>Other</v>
      </c>
      <c r="N2311" s="105" t="str">
        <f t="shared" si="392"/>
        <v>Coal</v>
      </c>
      <c r="O2311" s="105">
        <f>IFERROR(VLOOKUP(A2311,Lookup!$J$5:$P$19,7,FALSE),0)</f>
        <v>2</v>
      </c>
      <c r="P2311" s="159">
        <f t="shared" si="393"/>
        <v>2014</v>
      </c>
      <c r="Q2311" s="159">
        <f t="shared" si="394"/>
        <v>4</v>
      </c>
      <c r="R2311" s="160">
        <f t="shared" si="395"/>
        <v>166.71666666667443</v>
      </c>
      <c r="S2311" s="158">
        <f t="shared" si="396"/>
        <v>166.71666666667443</v>
      </c>
      <c r="T2311" s="161">
        <f t="shared" si="397"/>
        <v>50015.000000002328</v>
      </c>
      <c r="U2311" s="158">
        <f t="shared" si="399"/>
        <v>300</v>
      </c>
      <c r="V2311" s="160">
        <f t="shared" si="398"/>
        <v>300</v>
      </c>
    </row>
    <row r="2312" spans="1:22" x14ac:dyDescent="0.25">
      <c r="A2312" s="98" t="s">
        <v>23</v>
      </c>
      <c r="B2312" s="98" t="s">
        <v>79</v>
      </c>
      <c r="C2312" s="98">
        <v>88</v>
      </c>
      <c r="D2312" s="98">
        <v>1850</v>
      </c>
      <c r="E2312" s="157">
        <v>41748.443055555559</v>
      </c>
      <c r="F2312" s="157">
        <v>41748.614583333336</v>
      </c>
      <c r="G2312" s="98">
        <v>0</v>
      </c>
      <c r="H2312" s="98">
        <v>330</v>
      </c>
      <c r="I2312" s="98">
        <v>300</v>
      </c>
      <c r="J2312" s="98" t="s">
        <v>2263</v>
      </c>
      <c r="K2312" s="98" t="s">
        <v>88</v>
      </c>
      <c r="L2312" s="105" t="str">
        <f t="shared" si="390"/>
        <v>Mill Creek</v>
      </c>
      <c r="M2312" s="105" t="str">
        <f t="shared" si="391"/>
        <v>Other</v>
      </c>
      <c r="N2312" s="105" t="str">
        <f t="shared" si="392"/>
        <v>Coal</v>
      </c>
      <c r="O2312" s="105">
        <f>IFERROR(VLOOKUP(A2312,Lookup!$J$5:$P$19,7,FALSE),0)</f>
        <v>2</v>
      </c>
      <c r="P2312" s="159">
        <f t="shared" si="393"/>
        <v>2014</v>
      </c>
      <c r="Q2312" s="159">
        <f t="shared" si="394"/>
        <v>4</v>
      </c>
      <c r="R2312" s="160">
        <f t="shared" si="395"/>
        <v>4.1166666666395031</v>
      </c>
      <c r="S2312" s="158">
        <f t="shared" si="396"/>
        <v>4.1166666666395031</v>
      </c>
      <c r="T2312" s="161">
        <f t="shared" si="397"/>
        <v>1234.9999999918509</v>
      </c>
      <c r="U2312" s="158">
        <f t="shared" si="399"/>
        <v>300</v>
      </c>
      <c r="V2312" s="160">
        <f t="shared" si="398"/>
        <v>300</v>
      </c>
    </row>
    <row r="2313" spans="1:22" x14ac:dyDescent="0.25">
      <c r="A2313" s="98" t="s">
        <v>23</v>
      </c>
      <c r="B2313" s="98" t="s">
        <v>15</v>
      </c>
      <c r="C2313" s="98">
        <v>89</v>
      </c>
      <c r="D2313" s="98">
        <v>3662</v>
      </c>
      <c r="E2313" s="157">
        <v>41748.614583333336</v>
      </c>
      <c r="F2313" s="157">
        <v>41748.73541666667</v>
      </c>
      <c r="G2313" s="98">
        <v>0</v>
      </c>
      <c r="H2313" s="98">
        <v>330</v>
      </c>
      <c r="I2313" s="98">
        <v>300</v>
      </c>
      <c r="J2313" s="98" t="s">
        <v>2166</v>
      </c>
      <c r="K2313" s="98" t="s">
        <v>1426</v>
      </c>
      <c r="L2313" s="105" t="str">
        <f t="shared" si="390"/>
        <v>Mill Creek</v>
      </c>
      <c r="M2313" s="105" t="str">
        <f t="shared" si="391"/>
        <v>Outage</v>
      </c>
      <c r="N2313" s="105" t="str">
        <f t="shared" si="392"/>
        <v>Coal</v>
      </c>
      <c r="O2313" s="105">
        <f>IFERROR(VLOOKUP(A2313,Lookup!$J$5:$P$19,7,FALSE),0)</f>
        <v>2</v>
      </c>
      <c r="P2313" s="159">
        <f t="shared" si="393"/>
        <v>2014</v>
      </c>
      <c r="Q2313" s="159">
        <f t="shared" si="394"/>
        <v>4</v>
      </c>
      <c r="R2313" s="160">
        <f t="shared" si="395"/>
        <v>2.9000000000232831</v>
      </c>
      <c r="S2313" s="158">
        <f t="shared" si="396"/>
        <v>2.9000000000232831</v>
      </c>
      <c r="T2313" s="161">
        <f t="shared" si="397"/>
        <v>870.00000000698492</v>
      </c>
      <c r="U2313" s="158">
        <f t="shared" si="399"/>
        <v>300</v>
      </c>
      <c r="V2313" s="160">
        <f t="shared" si="398"/>
        <v>300</v>
      </c>
    </row>
    <row r="2314" spans="1:22" x14ac:dyDescent="0.25">
      <c r="A2314" s="98" t="s">
        <v>23</v>
      </c>
      <c r="B2314" s="98" t="s">
        <v>79</v>
      </c>
      <c r="C2314" s="98">
        <v>90</v>
      </c>
      <c r="D2314" s="98">
        <v>1850</v>
      </c>
      <c r="E2314" s="157">
        <v>41748.73541666667</v>
      </c>
      <c r="F2314" s="157">
        <v>41748.742361111108</v>
      </c>
      <c r="G2314" s="98">
        <v>0</v>
      </c>
      <c r="H2314" s="98">
        <v>330</v>
      </c>
      <c r="I2314" s="98">
        <v>300</v>
      </c>
      <c r="J2314" s="98" t="s">
        <v>2263</v>
      </c>
      <c r="K2314" s="98" t="s">
        <v>87</v>
      </c>
      <c r="L2314" s="105" t="str">
        <f t="shared" si="390"/>
        <v>Mill Creek</v>
      </c>
      <c r="M2314" s="105" t="str">
        <f t="shared" si="391"/>
        <v>Other</v>
      </c>
      <c r="N2314" s="105" t="str">
        <f t="shared" si="392"/>
        <v>Coal</v>
      </c>
      <c r="O2314" s="105">
        <f>IFERROR(VLOOKUP(A2314,Lookup!$J$5:$P$19,7,FALSE),0)</f>
        <v>2</v>
      </c>
      <c r="P2314" s="159">
        <f t="shared" si="393"/>
        <v>2014</v>
      </c>
      <c r="Q2314" s="159">
        <f t="shared" si="394"/>
        <v>4</v>
      </c>
      <c r="R2314" s="160">
        <f t="shared" si="395"/>
        <v>0.16666666651144624</v>
      </c>
      <c r="S2314" s="158">
        <f t="shared" si="396"/>
        <v>0.16666666651144624</v>
      </c>
      <c r="T2314" s="161">
        <f t="shared" si="397"/>
        <v>49.999999953433871</v>
      </c>
      <c r="U2314" s="158">
        <f t="shared" si="399"/>
        <v>300</v>
      </c>
      <c r="V2314" s="160">
        <f t="shared" si="398"/>
        <v>300</v>
      </c>
    </row>
    <row r="2315" spans="1:22" x14ac:dyDescent="0.25">
      <c r="A2315" s="98" t="s">
        <v>23</v>
      </c>
      <c r="B2315" s="98" t="s">
        <v>15</v>
      </c>
      <c r="C2315" s="98">
        <v>91</v>
      </c>
      <c r="D2315" s="98">
        <v>4309</v>
      </c>
      <c r="E2315" s="157">
        <v>41748.742361111108</v>
      </c>
      <c r="F2315" s="157">
        <v>41748.821527777778</v>
      </c>
      <c r="G2315" s="98">
        <v>0</v>
      </c>
      <c r="H2315" s="98">
        <v>330</v>
      </c>
      <c r="I2315" s="98">
        <v>300</v>
      </c>
      <c r="J2315" s="98" t="s">
        <v>2266</v>
      </c>
      <c r="K2315" s="98" t="s">
        <v>1427</v>
      </c>
      <c r="L2315" s="105" t="str">
        <f t="shared" si="390"/>
        <v>Mill Creek</v>
      </c>
      <c r="M2315" s="105" t="str">
        <f t="shared" si="391"/>
        <v>Outage</v>
      </c>
      <c r="N2315" s="105" t="str">
        <f t="shared" si="392"/>
        <v>Coal</v>
      </c>
      <c r="O2315" s="105">
        <f>IFERROR(VLOOKUP(A2315,Lookup!$J$5:$P$19,7,FALSE),0)</f>
        <v>2</v>
      </c>
      <c r="P2315" s="159">
        <f t="shared" si="393"/>
        <v>2014</v>
      </c>
      <c r="Q2315" s="159">
        <f t="shared" si="394"/>
        <v>4</v>
      </c>
      <c r="R2315" s="160">
        <f t="shared" si="395"/>
        <v>1.9000000000814907</v>
      </c>
      <c r="S2315" s="158">
        <f t="shared" si="396"/>
        <v>1.9000000000814907</v>
      </c>
      <c r="T2315" s="161">
        <f t="shared" si="397"/>
        <v>570.00000002444722</v>
      </c>
      <c r="U2315" s="158">
        <f t="shared" si="399"/>
        <v>300</v>
      </c>
      <c r="V2315" s="160">
        <f t="shared" si="398"/>
        <v>300</v>
      </c>
    </row>
    <row r="2316" spans="1:22" x14ac:dyDescent="0.25">
      <c r="A2316" s="98" t="s">
        <v>23</v>
      </c>
      <c r="B2316" s="98" t="s">
        <v>79</v>
      </c>
      <c r="C2316" s="98">
        <v>92</v>
      </c>
      <c r="D2316" s="98">
        <v>1850</v>
      </c>
      <c r="E2316" s="157">
        <v>41748.821527777778</v>
      </c>
      <c r="F2316" s="157">
        <v>41749.222222222219</v>
      </c>
      <c r="G2316" s="98">
        <v>0</v>
      </c>
      <c r="H2316" s="98">
        <v>330</v>
      </c>
      <c r="I2316" s="98">
        <v>300</v>
      </c>
      <c r="J2316" s="98" t="s">
        <v>2263</v>
      </c>
      <c r="K2316" s="98" t="s">
        <v>84</v>
      </c>
      <c r="L2316" s="105" t="str">
        <f t="shared" si="390"/>
        <v>Mill Creek</v>
      </c>
      <c r="M2316" s="105" t="str">
        <f t="shared" si="391"/>
        <v>Other</v>
      </c>
      <c r="N2316" s="105" t="str">
        <f t="shared" si="392"/>
        <v>Coal</v>
      </c>
      <c r="O2316" s="105">
        <f>IFERROR(VLOOKUP(A2316,Lookup!$J$5:$P$19,7,FALSE),0)</f>
        <v>2</v>
      </c>
      <c r="P2316" s="159">
        <f t="shared" si="393"/>
        <v>2014</v>
      </c>
      <c r="Q2316" s="159">
        <f t="shared" si="394"/>
        <v>4</v>
      </c>
      <c r="R2316" s="160">
        <f t="shared" si="395"/>
        <v>9.6166666665812954</v>
      </c>
      <c r="S2316" s="158">
        <f t="shared" si="396"/>
        <v>9.6166666665812954</v>
      </c>
      <c r="T2316" s="161">
        <f t="shared" si="397"/>
        <v>2884.9999999743886</v>
      </c>
      <c r="U2316" s="158">
        <f t="shared" si="399"/>
        <v>300</v>
      </c>
      <c r="V2316" s="160">
        <f t="shared" si="398"/>
        <v>300</v>
      </c>
    </row>
    <row r="2317" spans="1:22" x14ac:dyDescent="0.25">
      <c r="A2317" s="98" t="s">
        <v>23</v>
      </c>
      <c r="B2317" s="98" t="s">
        <v>105</v>
      </c>
      <c r="C2317" s="98">
        <v>93</v>
      </c>
      <c r="D2317" s="98">
        <v>310</v>
      </c>
      <c r="E2317" s="157">
        <v>41753.916666666664</v>
      </c>
      <c r="F2317" s="157">
        <v>41754.246527777781</v>
      </c>
      <c r="G2317" s="98">
        <v>240</v>
      </c>
      <c r="H2317" s="98">
        <v>330</v>
      </c>
      <c r="I2317" s="98">
        <v>300</v>
      </c>
      <c r="J2317" s="98" t="s">
        <v>1966</v>
      </c>
      <c r="K2317" s="98" t="s">
        <v>122</v>
      </c>
      <c r="L2317" s="105" t="str">
        <f t="shared" si="390"/>
        <v>Mill Creek</v>
      </c>
      <c r="M2317" s="105" t="str">
        <f t="shared" si="391"/>
        <v>Derate</v>
      </c>
      <c r="N2317" s="105" t="str">
        <f t="shared" si="392"/>
        <v>Coal</v>
      </c>
      <c r="O2317" s="105">
        <f>IFERROR(VLOOKUP(A2317,Lookup!$J$5:$P$19,7,FALSE),0)</f>
        <v>2</v>
      </c>
      <c r="P2317" s="159">
        <f t="shared" si="393"/>
        <v>2014</v>
      </c>
      <c r="Q2317" s="159">
        <f t="shared" si="394"/>
        <v>4</v>
      </c>
      <c r="R2317" s="160">
        <f t="shared" si="395"/>
        <v>7.9166666668024845</v>
      </c>
      <c r="S2317" s="158">
        <f t="shared" si="396"/>
        <v>2.1590909091279502</v>
      </c>
      <c r="T2317" s="161">
        <f t="shared" si="397"/>
        <v>647.72727273838507</v>
      </c>
      <c r="U2317" s="158">
        <f t="shared" si="399"/>
        <v>81.818181818181813</v>
      </c>
      <c r="V2317" s="160">
        <f t="shared" si="398"/>
        <v>82</v>
      </c>
    </row>
    <row r="2318" spans="1:22" x14ac:dyDescent="0.25">
      <c r="A2318" s="98" t="s">
        <v>23</v>
      </c>
      <c r="B2318" s="98" t="s">
        <v>105</v>
      </c>
      <c r="C2318" s="98">
        <v>94</v>
      </c>
      <c r="D2318" s="98">
        <v>310</v>
      </c>
      <c r="E2318" s="157">
        <v>41756.916666666664</v>
      </c>
      <c r="F2318" s="157">
        <v>41757.083333333336</v>
      </c>
      <c r="G2318" s="98">
        <v>240</v>
      </c>
      <c r="H2318" s="98">
        <v>330</v>
      </c>
      <c r="I2318" s="98">
        <v>300</v>
      </c>
      <c r="J2318" s="98" t="s">
        <v>1966</v>
      </c>
      <c r="K2318" s="98" t="s">
        <v>239</v>
      </c>
      <c r="L2318" s="105" t="str">
        <f t="shared" si="390"/>
        <v>Mill Creek</v>
      </c>
      <c r="M2318" s="105" t="str">
        <f t="shared" si="391"/>
        <v>Derate</v>
      </c>
      <c r="N2318" s="105" t="str">
        <f t="shared" si="392"/>
        <v>Coal</v>
      </c>
      <c r="O2318" s="105">
        <f>IFERROR(VLOOKUP(A2318,Lookup!$J$5:$P$19,7,FALSE),0)</f>
        <v>2</v>
      </c>
      <c r="P2318" s="159">
        <f t="shared" si="393"/>
        <v>2014</v>
      </c>
      <c r="Q2318" s="159">
        <f t="shared" si="394"/>
        <v>4</v>
      </c>
      <c r="R2318" s="160">
        <f t="shared" si="395"/>
        <v>4.0000000001164153</v>
      </c>
      <c r="S2318" s="158">
        <f t="shared" si="396"/>
        <v>1.0909090909408405</v>
      </c>
      <c r="T2318" s="161">
        <f t="shared" si="397"/>
        <v>327.27272728225216</v>
      </c>
      <c r="U2318" s="158">
        <f t="shared" si="399"/>
        <v>81.818181818181813</v>
      </c>
      <c r="V2318" s="160">
        <f t="shared" si="398"/>
        <v>82</v>
      </c>
    </row>
    <row r="2319" spans="1:22" x14ac:dyDescent="0.25">
      <c r="A2319" s="98" t="s">
        <v>23</v>
      </c>
      <c r="B2319" s="98" t="s">
        <v>17</v>
      </c>
      <c r="C2319" s="98">
        <v>95</v>
      </c>
      <c r="D2319" s="98">
        <v>310</v>
      </c>
      <c r="E2319" s="157">
        <v>41757.197916666664</v>
      </c>
      <c r="F2319" s="157">
        <v>41757.333333333336</v>
      </c>
      <c r="G2319" s="98">
        <v>230</v>
      </c>
      <c r="H2319" s="98">
        <v>330</v>
      </c>
      <c r="I2319" s="98">
        <v>300</v>
      </c>
      <c r="J2319" s="98" t="s">
        <v>1966</v>
      </c>
      <c r="K2319" s="98" t="s">
        <v>1428</v>
      </c>
      <c r="L2319" s="105" t="str">
        <f t="shared" si="390"/>
        <v>Mill Creek</v>
      </c>
      <c r="M2319" s="105" t="str">
        <f t="shared" si="391"/>
        <v>Derate</v>
      </c>
      <c r="N2319" s="105" t="str">
        <f t="shared" si="392"/>
        <v>Coal</v>
      </c>
      <c r="O2319" s="105">
        <f>IFERROR(VLOOKUP(A2319,Lookup!$J$5:$P$19,7,FALSE),0)</f>
        <v>2</v>
      </c>
      <c r="P2319" s="159">
        <f t="shared" si="393"/>
        <v>2014</v>
      </c>
      <c r="Q2319" s="159">
        <f t="shared" si="394"/>
        <v>4</v>
      </c>
      <c r="R2319" s="160">
        <f t="shared" si="395"/>
        <v>3.2500000001164153</v>
      </c>
      <c r="S2319" s="158">
        <f t="shared" si="396"/>
        <v>0.9848484848837622</v>
      </c>
      <c r="T2319" s="161">
        <f t="shared" si="397"/>
        <v>295.45454546512866</v>
      </c>
      <c r="U2319" s="158">
        <f t="shared" si="399"/>
        <v>90.909090909090907</v>
      </c>
      <c r="V2319" s="160">
        <f t="shared" si="398"/>
        <v>91</v>
      </c>
    </row>
    <row r="2320" spans="1:22" x14ac:dyDescent="0.25">
      <c r="A2320" s="98" t="s">
        <v>23</v>
      </c>
      <c r="B2320" s="98" t="s">
        <v>17</v>
      </c>
      <c r="C2320" s="98">
        <v>96</v>
      </c>
      <c r="D2320" s="98">
        <v>250</v>
      </c>
      <c r="E2320" s="157">
        <v>41757.864583333336</v>
      </c>
      <c r="F2320" s="157">
        <v>41758.013888888891</v>
      </c>
      <c r="G2320" s="98">
        <v>250</v>
      </c>
      <c r="H2320" s="98">
        <v>330</v>
      </c>
      <c r="I2320" s="98">
        <v>300</v>
      </c>
      <c r="J2320" s="98" t="s">
        <v>1978</v>
      </c>
      <c r="K2320" s="98" t="s">
        <v>1429</v>
      </c>
      <c r="L2320" s="105" t="str">
        <f t="shared" si="390"/>
        <v>Mill Creek</v>
      </c>
      <c r="M2320" s="105" t="str">
        <f t="shared" si="391"/>
        <v>Derate</v>
      </c>
      <c r="N2320" s="105" t="str">
        <f t="shared" si="392"/>
        <v>Coal</v>
      </c>
      <c r="O2320" s="105">
        <f>IFERROR(VLOOKUP(A2320,Lookup!$J$5:$P$19,7,FALSE),0)</f>
        <v>2</v>
      </c>
      <c r="P2320" s="159">
        <f t="shared" si="393"/>
        <v>2014</v>
      </c>
      <c r="Q2320" s="159">
        <f t="shared" si="394"/>
        <v>4</v>
      </c>
      <c r="R2320" s="160">
        <f t="shared" si="395"/>
        <v>3.5833333333139308</v>
      </c>
      <c r="S2320" s="158">
        <f t="shared" si="396"/>
        <v>0.86868686868216505</v>
      </c>
      <c r="T2320" s="161">
        <f t="shared" si="397"/>
        <v>260.60606060464954</v>
      </c>
      <c r="U2320" s="158">
        <f t="shared" si="399"/>
        <v>72.727272727272734</v>
      </c>
      <c r="V2320" s="160">
        <f t="shared" si="398"/>
        <v>73</v>
      </c>
    </row>
    <row r="2321" spans="1:22" x14ac:dyDescent="0.25">
      <c r="A2321" s="98" t="s">
        <v>23</v>
      </c>
      <c r="B2321" s="98" t="s">
        <v>105</v>
      </c>
      <c r="C2321" s="98">
        <v>97</v>
      </c>
      <c r="D2321" s="98">
        <v>310</v>
      </c>
      <c r="E2321" s="157">
        <v>41759.958333333336</v>
      </c>
      <c r="F2321" s="157">
        <v>41760.063888888886</v>
      </c>
      <c r="G2321" s="98">
        <v>240</v>
      </c>
      <c r="H2321" s="98">
        <v>330</v>
      </c>
      <c r="I2321" s="98">
        <v>300</v>
      </c>
      <c r="J2321" s="98" t="s">
        <v>1966</v>
      </c>
      <c r="K2321" s="98" t="s">
        <v>597</v>
      </c>
      <c r="L2321" s="105" t="str">
        <f t="shared" si="390"/>
        <v>Mill Creek</v>
      </c>
      <c r="M2321" s="105" t="str">
        <f t="shared" si="391"/>
        <v>Derate</v>
      </c>
      <c r="N2321" s="105" t="str">
        <f t="shared" si="392"/>
        <v>Coal</v>
      </c>
      <c r="O2321" s="105">
        <f>IFERROR(VLOOKUP(A2321,Lookup!$J$5:$P$19,7,FALSE),0)</f>
        <v>2</v>
      </c>
      <c r="P2321" s="159">
        <f t="shared" si="393"/>
        <v>2014</v>
      </c>
      <c r="Q2321" s="159">
        <f t="shared" si="394"/>
        <v>4</v>
      </c>
      <c r="R2321" s="160">
        <f t="shared" si="395"/>
        <v>2.533333333209157</v>
      </c>
      <c r="S2321" s="158">
        <f t="shared" si="396"/>
        <v>0.69090909087522467</v>
      </c>
      <c r="T2321" s="161">
        <f t="shared" si="397"/>
        <v>207.2727272625674</v>
      </c>
      <c r="U2321" s="158">
        <f t="shared" si="399"/>
        <v>81.818181818181813</v>
      </c>
      <c r="V2321" s="160">
        <f t="shared" si="398"/>
        <v>82</v>
      </c>
    </row>
    <row r="2322" spans="1:22" x14ac:dyDescent="0.25">
      <c r="A2322" s="98" t="s">
        <v>23</v>
      </c>
      <c r="B2322" s="98" t="s">
        <v>17</v>
      </c>
      <c r="C2322" s="98">
        <v>98</v>
      </c>
      <c r="D2322" s="98">
        <v>4266</v>
      </c>
      <c r="E2322" s="157">
        <v>41765.131944444445</v>
      </c>
      <c r="F2322" s="157">
        <v>41765.211805555555</v>
      </c>
      <c r="G2322" s="98">
        <v>135</v>
      </c>
      <c r="H2322" s="98">
        <v>330</v>
      </c>
      <c r="I2322" s="98">
        <v>300</v>
      </c>
      <c r="J2322" s="98" t="s">
        <v>1975</v>
      </c>
      <c r="K2322" s="98" t="s">
        <v>1430</v>
      </c>
      <c r="L2322" s="105" t="str">
        <f t="shared" si="390"/>
        <v>Mill Creek</v>
      </c>
      <c r="M2322" s="105" t="str">
        <f t="shared" si="391"/>
        <v>Derate</v>
      </c>
      <c r="N2322" s="105" t="str">
        <f t="shared" si="392"/>
        <v>Coal</v>
      </c>
      <c r="O2322" s="105">
        <f>IFERROR(VLOOKUP(A2322,Lookup!$J$5:$P$19,7,FALSE),0)</f>
        <v>2</v>
      </c>
      <c r="P2322" s="159">
        <f t="shared" si="393"/>
        <v>2014</v>
      </c>
      <c r="Q2322" s="159">
        <f t="shared" si="394"/>
        <v>5</v>
      </c>
      <c r="R2322" s="160">
        <f t="shared" si="395"/>
        <v>1.9166666666278616</v>
      </c>
      <c r="S2322" s="158">
        <f t="shared" si="396"/>
        <v>1.1325757575528272</v>
      </c>
      <c r="T2322" s="161">
        <f t="shared" si="397"/>
        <v>339.77272726584818</v>
      </c>
      <c r="U2322" s="158">
        <f t="shared" si="399"/>
        <v>177.27272727272728</v>
      </c>
      <c r="V2322" s="160">
        <f t="shared" si="398"/>
        <v>177</v>
      </c>
    </row>
    <row r="2323" spans="1:22" x14ac:dyDescent="0.25">
      <c r="A2323" s="98" t="s">
        <v>23</v>
      </c>
      <c r="B2323" s="98" t="s">
        <v>105</v>
      </c>
      <c r="C2323" s="98">
        <v>99</v>
      </c>
      <c r="D2323" s="98">
        <v>250</v>
      </c>
      <c r="E2323" s="157">
        <v>41771.936111111114</v>
      </c>
      <c r="F2323" s="157">
        <v>41772.170138888891</v>
      </c>
      <c r="G2323" s="98">
        <v>213</v>
      </c>
      <c r="H2323" s="98">
        <v>330</v>
      </c>
      <c r="I2323" s="98">
        <v>300</v>
      </c>
      <c r="J2323" s="98" t="s">
        <v>1978</v>
      </c>
      <c r="K2323" s="98" t="s">
        <v>1431</v>
      </c>
      <c r="L2323" s="105" t="str">
        <f t="shared" si="390"/>
        <v>Mill Creek</v>
      </c>
      <c r="M2323" s="105" t="str">
        <f t="shared" si="391"/>
        <v>Derate</v>
      </c>
      <c r="N2323" s="105" t="str">
        <f t="shared" si="392"/>
        <v>Coal</v>
      </c>
      <c r="O2323" s="105">
        <f>IFERROR(VLOOKUP(A2323,Lookup!$J$5:$P$19,7,FALSE),0)</f>
        <v>2</v>
      </c>
      <c r="P2323" s="159">
        <f t="shared" si="393"/>
        <v>2014</v>
      </c>
      <c r="Q2323" s="159">
        <f t="shared" si="394"/>
        <v>5</v>
      </c>
      <c r="R2323" s="160">
        <f t="shared" si="395"/>
        <v>5.6166666666395031</v>
      </c>
      <c r="S2323" s="158">
        <f t="shared" si="396"/>
        <v>1.9913636363540057</v>
      </c>
      <c r="T2323" s="161">
        <f t="shared" si="397"/>
        <v>597.40909090620175</v>
      </c>
      <c r="U2323" s="158">
        <f t="shared" si="399"/>
        <v>106.36363636363636</v>
      </c>
      <c r="V2323" s="160">
        <f t="shared" si="398"/>
        <v>106</v>
      </c>
    </row>
    <row r="2324" spans="1:22" x14ac:dyDescent="0.25">
      <c r="A2324" s="98" t="s">
        <v>23</v>
      </c>
      <c r="B2324" s="98" t="s">
        <v>20</v>
      </c>
      <c r="C2324" s="98">
        <v>100</v>
      </c>
      <c r="D2324" s="98">
        <v>3110</v>
      </c>
      <c r="E2324" s="162">
        <v>41782.944444444445</v>
      </c>
      <c r="F2324" s="157">
        <v>41783.915972222225</v>
      </c>
      <c r="G2324" s="98">
        <v>0</v>
      </c>
      <c r="H2324" s="98">
        <v>330</v>
      </c>
      <c r="I2324" s="98">
        <v>300</v>
      </c>
      <c r="J2324" s="98" t="s">
        <v>2119</v>
      </c>
      <c r="K2324" s="98" t="s">
        <v>31</v>
      </c>
      <c r="L2324" s="105" t="str">
        <f t="shared" si="390"/>
        <v>Mill Creek</v>
      </c>
      <c r="M2324" s="105" t="str">
        <f t="shared" si="391"/>
        <v>Maintenance</v>
      </c>
      <c r="N2324" s="105" t="str">
        <f t="shared" si="392"/>
        <v>Coal</v>
      </c>
      <c r="O2324" s="105">
        <f>IFERROR(VLOOKUP(A2324,Lookup!$J$5:$P$19,7,FALSE),0)</f>
        <v>2</v>
      </c>
      <c r="P2324" s="159">
        <f t="shared" si="393"/>
        <v>2014</v>
      </c>
      <c r="Q2324" s="159">
        <f t="shared" si="394"/>
        <v>5</v>
      </c>
      <c r="R2324" s="160">
        <f t="shared" si="395"/>
        <v>23.316666666709352</v>
      </c>
      <c r="S2324" s="158">
        <f t="shared" si="396"/>
        <v>23.316666666709352</v>
      </c>
      <c r="T2324" s="161">
        <f t="shared" si="397"/>
        <v>6995.0000000128057</v>
      </c>
      <c r="U2324" s="158">
        <f t="shared" si="399"/>
        <v>300</v>
      </c>
      <c r="V2324" s="160">
        <f t="shared" si="398"/>
        <v>300</v>
      </c>
    </row>
    <row r="2325" spans="1:22" x14ac:dyDescent="0.25">
      <c r="A2325" s="98" t="s">
        <v>23</v>
      </c>
      <c r="B2325" s="98" t="s">
        <v>79</v>
      </c>
      <c r="C2325" s="98">
        <v>101</v>
      </c>
      <c r="D2325" s="98">
        <v>1850</v>
      </c>
      <c r="E2325" s="157">
        <v>41783.915972222225</v>
      </c>
      <c r="F2325" s="157">
        <v>41783.9375</v>
      </c>
      <c r="G2325" s="98">
        <v>0</v>
      </c>
      <c r="H2325" s="98">
        <v>330</v>
      </c>
      <c r="I2325" s="98">
        <v>300</v>
      </c>
      <c r="J2325" s="98" t="s">
        <v>2263</v>
      </c>
      <c r="K2325" s="98" t="s">
        <v>86</v>
      </c>
      <c r="L2325" s="105" t="str">
        <f t="shared" si="390"/>
        <v>Mill Creek</v>
      </c>
      <c r="M2325" s="105" t="str">
        <f t="shared" si="391"/>
        <v>Other</v>
      </c>
      <c r="N2325" s="105" t="str">
        <f t="shared" si="392"/>
        <v>Coal</v>
      </c>
      <c r="O2325" s="105">
        <f>IFERROR(VLOOKUP(A2325,Lookup!$J$5:$P$19,7,FALSE),0)</f>
        <v>2</v>
      </c>
      <c r="P2325" s="159">
        <f t="shared" si="393"/>
        <v>2014</v>
      </c>
      <c r="Q2325" s="159">
        <f t="shared" si="394"/>
        <v>5</v>
      </c>
      <c r="R2325" s="160">
        <f t="shared" si="395"/>
        <v>0.5166666666045785</v>
      </c>
      <c r="S2325" s="158">
        <f t="shared" si="396"/>
        <v>0.5166666666045785</v>
      </c>
      <c r="T2325" s="161">
        <f t="shared" si="397"/>
        <v>154.99999998137355</v>
      </c>
      <c r="U2325" s="158">
        <f t="shared" si="399"/>
        <v>300</v>
      </c>
      <c r="V2325" s="160">
        <f t="shared" si="398"/>
        <v>300</v>
      </c>
    </row>
    <row r="2326" spans="1:22" x14ac:dyDescent="0.25">
      <c r="A2326" s="98" t="s">
        <v>23</v>
      </c>
      <c r="B2326" s="98" t="s">
        <v>15</v>
      </c>
      <c r="C2326" s="98">
        <v>102</v>
      </c>
      <c r="D2326" s="98">
        <v>800</v>
      </c>
      <c r="E2326" s="157">
        <v>41783.9375</v>
      </c>
      <c r="F2326" s="157">
        <v>41783.979166666664</v>
      </c>
      <c r="G2326" s="98">
        <v>0</v>
      </c>
      <c r="H2326" s="98">
        <v>330</v>
      </c>
      <c r="I2326" s="98">
        <v>300</v>
      </c>
      <c r="J2326" s="98" t="s">
        <v>2197</v>
      </c>
      <c r="K2326" s="98" t="s">
        <v>1432</v>
      </c>
      <c r="L2326" s="105" t="str">
        <f t="shared" si="390"/>
        <v>Mill Creek</v>
      </c>
      <c r="M2326" s="105" t="str">
        <f t="shared" si="391"/>
        <v>Outage</v>
      </c>
      <c r="N2326" s="105" t="str">
        <f t="shared" si="392"/>
        <v>Coal</v>
      </c>
      <c r="O2326" s="105">
        <f>IFERROR(VLOOKUP(A2326,Lookup!$J$5:$P$19,7,FALSE),0)</f>
        <v>2</v>
      </c>
      <c r="P2326" s="159">
        <f t="shared" si="393"/>
        <v>2014</v>
      </c>
      <c r="Q2326" s="159">
        <f t="shared" si="394"/>
        <v>5</v>
      </c>
      <c r="R2326" s="160">
        <f t="shared" si="395"/>
        <v>0.99999999994179234</v>
      </c>
      <c r="S2326" s="158">
        <f t="shared" si="396"/>
        <v>0.99999999994179234</v>
      </c>
      <c r="T2326" s="161">
        <f t="shared" si="397"/>
        <v>299.9999999825377</v>
      </c>
      <c r="U2326" s="158">
        <f t="shared" si="399"/>
        <v>300</v>
      </c>
      <c r="V2326" s="160">
        <f t="shared" si="398"/>
        <v>300</v>
      </c>
    </row>
    <row r="2327" spans="1:22" x14ac:dyDescent="0.25">
      <c r="A2327" s="98" t="s">
        <v>23</v>
      </c>
      <c r="B2327" s="98" t="s">
        <v>79</v>
      </c>
      <c r="C2327" s="98">
        <v>103</v>
      </c>
      <c r="D2327" s="98">
        <v>1850</v>
      </c>
      <c r="E2327" s="157">
        <v>41783.979166666664</v>
      </c>
      <c r="F2327" s="157">
        <v>41784.229166666664</v>
      </c>
      <c r="G2327" s="98">
        <v>0</v>
      </c>
      <c r="H2327" s="98">
        <v>330</v>
      </c>
      <c r="I2327" s="98">
        <v>300</v>
      </c>
      <c r="J2327" s="98" t="s">
        <v>2263</v>
      </c>
      <c r="K2327" s="98" t="s">
        <v>86</v>
      </c>
      <c r="L2327" s="105" t="str">
        <f t="shared" si="390"/>
        <v>Mill Creek</v>
      </c>
      <c r="M2327" s="105" t="str">
        <f t="shared" si="391"/>
        <v>Other</v>
      </c>
      <c r="N2327" s="105" t="str">
        <f t="shared" si="392"/>
        <v>Coal</v>
      </c>
      <c r="O2327" s="105">
        <f>IFERROR(VLOOKUP(A2327,Lookup!$J$5:$P$19,7,FALSE),0)</f>
        <v>2</v>
      </c>
      <c r="P2327" s="159">
        <f t="shared" si="393"/>
        <v>2014</v>
      </c>
      <c r="Q2327" s="159">
        <f t="shared" si="394"/>
        <v>5</v>
      </c>
      <c r="R2327" s="160">
        <f t="shared" si="395"/>
        <v>6</v>
      </c>
      <c r="S2327" s="158">
        <f t="shared" si="396"/>
        <v>6</v>
      </c>
      <c r="T2327" s="161">
        <f t="shared" si="397"/>
        <v>1800</v>
      </c>
      <c r="U2327" s="158">
        <f t="shared" si="399"/>
        <v>300</v>
      </c>
      <c r="V2327" s="160">
        <f t="shared" si="398"/>
        <v>300</v>
      </c>
    </row>
    <row r="2328" spans="1:22" x14ac:dyDescent="0.25">
      <c r="A2328" s="98" t="s">
        <v>23</v>
      </c>
      <c r="B2328" s="98" t="s">
        <v>17</v>
      </c>
      <c r="C2328" s="98">
        <v>104</v>
      </c>
      <c r="D2328" s="98">
        <v>1850</v>
      </c>
      <c r="E2328" s="157">
        <v>41784.229166666664</v>
      </c>
      <c r="F2328" s="157">
        <v>41784.298611111109</v>
      </c>
      <c r="G2328" s="98">
        <v>250</v>
      </c>
      <c r="H2328" s="98">
        <v>330</v>
      </c>
      <c r="I2328" s="98">
        <v>300</v>
      </c>
      <c r="J2328" s="98" t="s">
        <v>2263</v>
      </c>
      <c r="K2328" s="98" t="s">
        <v>41</v>
      </c>
      <c r="L2328" s="105" t="str">
        <f t="shared" si="390"/>
        <v>Mill Creek</v>
      </c>
      <c r="M2328" s="105" t="str">
        <f t="shared" si="391"/>
        <v>Derate</v>
      </c>
      <c r="N2328" s="105" t="str">
        <f t="shared" si="392"/>
        <v>Coal</v>
      </c>
      <c r="O2328" s="105">
        <f>IFERROR(VLOOKUP(A2328,Lookup!$J$5:$P$19,7,FALSE),0)</f>
        <v>2</v>
      </c>
      <c r="P2328" s="159">
        <f t="shared" si="393"/>
        <v>2014</v>
      </c>
      <c r="Q2328" s="159">
        <f t="shared" si="394"/>
        <v>5</v>
      </c>
      <c r="R2328" s="160">
        <f t="shared" si="395"/>
        <v>1.6666666666860692</v>
      </c>
      <c r="S2328" s="158">
        <f t="shared" si="396"/>
        <v>0.40404040404510772</v>
      </c>
      <c r="T2328" s="161">
        <f t="shared" si="397"/>
        <v>121.21212121353231</v>
      </c>
      <c r="U2328" s="158">
        <f t="shared" si="399"/>
        <v>72.727272727272734</v>
      </c>
      <c r="V2328" s="160">
        <f t="shared" si="398"/>
        <v>73</v>
      </c>
    </row>
    <row r="2329" spans="1:22" x14ac:dyDescent="0.25">
      <c r="A2329" s="98" t="s">
        <v>23</v>
      </c>
      <c r="B2329" s="98" t="s">
        <v>105</v>
      </c>
      <c r="C2329" s="98">
        <v>105</v>
      </c>
      <c r="D2329" s="98">
        <v>250</v>
      </c>
      <c r="E2329" s="157">
        <v>41786.958333333336</v>
      </c>
      <c r="F2329" s="157">
        <v>41787.166666666664</v>
      </c>
      <c r="G2329" s="98">
        <v>240</v>
      </c>
      <c r="H2329" s="98">
        <v>330</v>
      </c>
      <c r="I2329" s="98">
        <v>300</v>
      </c>
      <c r="J2329" s="98" t="s">
        <v>1978</v>
      </c>
      <c r="K2329" s="98" t="s">
        <v>1433</v>
      </c>
      <c r="L2329" s="105" t="str">
        <f t="shared" si="390"/>
        <v>Mill Creek</v>
      </c>
      <c r="M2329" s="105" t="str">
        <f t="shared" si="391"/>
        <v>Derate</v>
      </c>
      <c r="N2329" s="105" t="str">
        <f t="shared" si="392"/>
        <v>Coal</v>
      </c>
      <c r="O2329" s="105">
        <f>IFERROR(VLOOKUP(A2329,Lookup!$J$5:$P$19,7,FALSE),0)</f>
        <v>2</v>
      </c>
      <c r="P2329" s="159">
        <f t="shared" si="393"/>
        <v>2014</v>
      </c>
      <c r="Q2329" s="159">
        <f t="shared" si="394"/>
        <v>5</v>
      </c>
      <c r="R2329" s="160">
        <f t="shared" si="395"/>
        <v>4.9999999998835847</v>
      </c>
      <c r="S2329" s="158">
        <f t="shared" si="396"/>
        <v>1.363636363604614</v>
      </c>
      <c r="T2329" s="161">
        <f t="shared" si="397"/>
        <v>409.09090908138421</v>
      </c>
      <c r="U2329" s="158">
        <f t="shared" si="399"/>
        <v>81.818181818181813</v>
      </c>
      <c r="V2329" s="160">
        <f t="shared" si="398"/>
        <v>82</v>
      </c>
    </row>
    <row r="2330" spans="1:22" x14ac:dyDescent="0.25">
      <c r="A2330" s="98" t="s">
        <v>23</v>
      </c>
      <c r="B2330" s="98" t="s">
        <v>79</v>
      </c>
      <c r="C2330" s="98">
        <v>106</v>
      </c>
      <c r="D2330" s="98">
        <v>4842</v>
      </c>
      <c r="E2330" s="157">
        <v>41792.375</v>
      </c>
      <c r="F2330" s="157">
        <v>41792.464583333334</v>
      </c>
      <c r="G2330" s="98">
        <v>0</v>
      </c>
      <c r="H2330" s="98">
        <v>330</v>
      </c>
      <c r="I2330" s="98">
        <v>300</v>
      </c>
      <c r="J2330" s="98" t="s">
        <v>60</v>
      </c>
      <c r="K2330" s="98" t="s">
        <v>1434</v>
      </c>
      <c r="L2330" s="105" t="str">
        <f t="shared" si="390"/>
        <v>Mill Creek</v>
      </c>
      <c r="M2330" s="105" t="str">
        <f t="shared" si="391"/>
        <v>Other</v>
      </c>
      <c r="N2330" s="105" t="str">
        <f t="shared" si="392"/>
        <v>Coal</v>
      </c>
      <c r="O2330" s="105">
        <f>IFERROR(VLOOKUP(A2330,Lookup!$J$5:$P$19,7,FALSE),0)</f>
        <v>2</v>
      </c>
      <c r="P2330" s="159">
        <f t="shared" si="393"/>
        <v>2014</v>
      </c>
      <c r="Q2330" s="159">
        <f t="shared" si="394"/>
        <v>6</v>
      </c>
      <c r="R2330" s="160">
        <f t="shared" si="395"/>
        <v>2.1500000000232831</v>
      </c>
      <c r="S2330" s="158">
        <f t="shared" si="396"/>
        <v>2.1500000000232831</v>
      </c>
      <c r="T2330" s="161">
        <f t="shared" si="397"/>
        <v>645.00000000698492</v>
      </c>
      <c r="U2330" s="158">
        <f t="shared" si="399"/>
        <v>300</v>
      </c>
      <c r="V2330" s="160">
        <f t="shared" si="398"/>
        <v>300</v>
      </c>
    </row>
    <row r="2331" spans="1:22" x14ac:dyDescent="0.25">
      <c r="A2331" s="98" t="s">
        <v>23</v>
      </c>
      <c r="B2331" s="98" t="s">
        <v>17</v>
      </c>
      <c r="C2331" s="98">
        <v>107</v>
      </c>
      <c r="D2331" s="98">
        <v>8260</v>
      </c>
      <c r="E2331" s="157">
        <v>41796.522916666669</v>
      </c>
      <c r="F2331" s="157">
        <v>41797.293749999997</v>
      </c>
      <c r="G2331" s="98">
        <v>275</v>
      </c>
      <c r="H2331" s="98">
        <v>330</v>
      </c>
      <c r="I2331" s="98">
        <v>300</v>
      </c>
      <c r="J2331" s="98" t="s">
        <v>2248</v>
      </c>
      <c r="K2331" s="98" t="s">
        <v>1435</v>
      </c>
      <c r="L2331" s="105" t="str">
        <f t="shared" si="390"/>
        <v>Mill Creek</v>
      </c>
      <c r="M2331" s="105" t="str">
        <f t="shared" si="391"/>
        <v>Derate</v>
      </c>
      <c r="N2331" s="105" t="str">
        <f t="shared" si="392"/>
        <v>Coal</v>
      </c>
      <c r="O2331" s="105">
        <f>IFERROR(VLOOKUP(A2331,Lookup!$J$5:$P$19,7,FALSE),0)</f>
        <v>2</v>
      </c>
      <c r="P2331" s="159">
        <f t="shared" si="393"/>
        <v>2014</v>
      </c>
      <c r="Q2331" s="159">
        <f t="shared" si="394"/>
        <v>6</v>
      </c>
      <c r="R2331" s="160">
        <f t="shared" si="395"/>
        <v>18.499999999883585</v>
      </c>
      <c r="S2331" s="158">
        <f t="shared" si="396"/>
        <v>3.0833333333139308</v>
      </c>
      <c r="T2331" s="161">
        <f t="shared" si="397"/>
        <v>924.99999999417923</v>
      </c>
      <c r="U2331" s="158">
        <f t="shared" si="399"/>
        <v>50</v>
      </c>
      <c r="V2331" s="160">
        <f t="shared" si="398"/>
        <v>50</v>
      </c>
    </row>
    <row r="2332" spans="1:22" x14ac:dyDescent="0.25">
      <c r="A2332" s="98" t="s">
        <v>23</v>
      </c>
      <c r="B2332" s="98" t="s">
        <v>17</v>
      </c>
      <c r="C2332" s="98">
        <v>108</v>
      </c>
      <c r="D2332" s="98">
        <v>8280</v>
      </c>
      <c r="E2332" s="157">
        <v>41809.152777777781</v>
      </c>
      <c r="F2332" s="157">
        <v>41809.211805555555</v>
      </c>
      <c r="G2332" s="98">
        <v>125</v>
      </c>
      <c r="H2332" s="98">
        <v>330</v>
      </c>
      <c r="I2332" s="98">
        <v>300</v>
      </c>
      <c r="J2332" s="98" t="s">
        <v>2255</v>
      </c>
      <c r="K2332" s="98" t="s">
        <v>1436</v>
      </c>
      <c r="L2332" s="105" t="str">
        <f t="shared" si="390"/>
        <v>Mill Creek</v>
      </c>
      <c r="M2332" s="105" t="str">
        <f t="shared" si="391"/>
        <v>Derate</v>
      </c>
      <c r="N2332" s="105" t="str">
        <f t="shared" si="392"/>
        <v>Coal</v>
      </c>
      <c r="O2332" s="105">
        <f>IFERROR(VLOOKUP(A2332,Lookup!$J$5:$P$19,7,FALSE),0)</f>
        <v>2</v>
      </c>
      <c r="P2332" s="159">
        <f t="shared" si="393"/>
        <v>2014</v>
      </c>
      <c r="Q2332" s="159">
        <f t="shared" si="394"/>
        <v>6</v>
      </c>
      <c r="R2332" s="160">
        <f t="shared" si="395"/>
        <v>1.4166666665696539</v>
      </c>
      <c r="S2332" s="158">
        <f t="shared" si="396"/>
        <v>0.88005050499023951</v>
      </c>
      <c r="T2332" s="161">
        <f t="shared" si="397"/>
        <v>264.01515149707183</v>
      </c>
      <c r="U2332" s="158">
        <f t="shared" si="399"/>
        <v>186.36363636363637</v>
      </c>
      <c r="V2332" s="160">
        <f t="shared" si="398"/>
        <v>186</v>
      </c>
    </row>
    <row r="2333" spans="1:22" x14ac:dyDescent="0.25">
      <c r="A2333" s="98" t="s">
        <v>23</v>
      </c>
      <c r="B2333" s="98" t="s">
        <v>17</v>
      </c>
      <c r="C2333" s="98">
        <v>109</v>
      </c>
      <c r="D2333" s="98">
        <v>250</v>
      </c>
      <c r="E2333" s="157">
        <v>41809.993055555555</v>
      </c>
      <c r="F2333" s="157">
        <v>41810.038194444445</v>
      </c>
      <c r="G2333" s="98">
        <v>230</v>
      </c>
      <c r="H2333" s="98">
        <v>330</v>
      </c>
      <c r="I2333" s="98">
        <v>300</v>
      </c>
      <c r="J2333" s="98" t="s">
        <v>1978</v>
      </c>
      <c r="K2333" s="98" t="s">
        <v>1437</v>
      </c>
      <c r="L2333" s="105" t="str">
        <f t="shared" si="390"/>
        <v>Mill Creek</v>
      </c>
      <c r="M2333" s="105" t="str">
        <f t="shared" si="391"/>
        <v>Derate</v>
      </c>
      <c r="N2333" s="105" t="str">
        <f t="shared" si="392"/>
        <v>Coal</v>
      </c>
      <c r="O2333" s="105">
        <f>IFERROR(VLOOKUP(A2333,Lookup!$J$5:$P$19,7,FALSE),0)</f>
        <v>2</v>
      </c>
      <c r="P2333" s="159">
        <f t="shared" si="393"/>
        <v>2014</v>
      </c>
      <c r="Q2333" s="159">
        <f t="shared" si="394"/>
        <v>6</v>
      </c>
      <c r="R2333" s="160">
        <f t="shared" si="395"/>
        <v>1.0833333333721384</v>
      </c>
      <c r="S2333" s="158">
        <f t="shared" si="396"/>
        <v>0.32828282829458738</v>
      </c>
      <c r="T2333" s="161">
        <f t="shared" si="397"/>
        <v>98.484848488376215</v>
      </c>
      <c r="U2333" s="158">
        <f t="shared" si="399"/>
        <v>90.909090909090907</v>
      </c>
      <c r="V2333" s="160">
        <f t="shared" si="398"/>
        <v>91</v>
      </c>
    </row>
    <row r="2334" spans="1:22" x14ac:dyDescent="0.25">
      <c r="A2334" s="98" t="s">
        <v>23</v>
      </c>
      <c r="B2334" s="98" t="s">
        <v>17</v>
      </c>
      <c r="C2334" s="98">
        <v>110</v>
      </c>
      <c r="D2334" s="98">
        <v>4309</v>
      </c>
      <c r="E2334" s="157">
        <v>41810.038194444445</v>
      </c>
      <c r="F2334" s="157">
        <v>41810.086805555555</v>
      </c>
      <c r="G2334" s="98">
        <v>80</v>
      </c>
      <c r="H2334" s="98">
        <v>330</v>
      </c>
      <c r="I2334" s="98">
        <v>300</v>
      </c>
      <c r="J2334" s="98" t="s">
        <v>2266</v>
      </c>
      <c r="K2334" s="98" t="s">
        <v>1438</v>
      </c>
      <c r="L2334" s="105" t="str">
        <f t="shared" si="390"/>
        <v>Mill Creek</v>
      </c>
      <c r="M2334" s="105" t="str">
        <f t="shared" si="391"/>
        <v>Derate</v>
      </c>
      <c r="N2334" s="105" t="str">
        <f t="shared" si="392"/>
        <v>Coal</v>
      </c>
      <c r="O2334" s="105">
        <f>IFERROR(VLOOKUP(A2334,Lookup!$J$5:$P$19,7,FALSE),0)</f>
        <v>2</v>
      </c>
      <c r="P2334" s="159">
        <f t="shared" si="393"/>
        <v>2014</v>
      </c>
      <c r="Q2334" s="159">
        <f t="shared" si="394"/>
        <v>6</v>
      </c>
      <c r="R2334" s="160">
        <f t="shared" si="395"/>
        <v>1.1666666666278616</v>
      </c>
      <c r="S2334" s="158">
        <f t="shared" si="396"/>
        <v>0.88383838380898605</v>
      </c>
      <c r="T2334" s="161">
        <f t="shared" si="397"/>
        <v>265.15151514269581</v>
      </c>
      <c r="U2334" s="158">
        <f t="shared" si="399"/>
        <v>227.27272727272728</v>
      </c>
      <c r="V2334" s="160">
        <f t="shared" si="398"/>
        <v>227</v>
      </c>
    </row>
    <row r="2335" spans="1:22" x14ac:dyDescent="0.25">
      <c r="A2335" s="98" t="s">
        <v>23</v>
      </c>
      <c r="B2335" s="98" t="s">
        <v>17</v>
      </c>
      <c r="C2335" s="98">
        <v>111</v>
      </c>
      <c r="D2335" s="98">
        <v>250</v>
      </c>
      <c r="E2335" s="157">
        <v>41810.509027777778</v>
      </c>
      <c r="F2335" s="157">
        <v>41810.591666666667</v>
      </c>
      <c r="G2335" s="98">
        <v>250</v>
      </c>
      <c r="H2335" s="98">
        <v>330</v>
      </c>
      <c r="I2335" s="98">
        <v>300</v>
      </c>
      <c r="J2335" s="98" t="s">
        <v>1978</v>
      </c>
      <c r="K2335" s="98" t="s">
        <v>1439</v>
      </c>
      <c r="L2335" s="105" t="str">
        <f t="shared" si="390"/>
        <v>Mill Creek</v>
      </c>
      <c r="M2335" s="105" t="str">
        <f t="shared" si="391"/>
        <v>Derate</v>
      </c>
      <c r="N2335" s="105" t="str">
        <f t="shared" si="392"/>
        <v>Coal</v>
      </c>
      <c r="O2335" s="105">
        <f>IFERROR(VLOOKUP(A2335,Lookup!$J$5:$P$19,7,FALSE),0)</f>
        <v>2</v>
      </c>
      <c r="P2335" s="159">
        <f t="shared" si="393"/>
        <v>2014</v>
      </c>
      <c r="Q2335" s="159">
        <f t="shared" si="394"/>
        <v>6</v>
      </c>
      <c r="R2335" s="160">
        <f t="shared" si="395"/>
        <v>1.9833333333372138</v>
      </c>
      <c r="S2335" s="158">
        <f t="shared" si="396"/>
        <v>0.48080808080902154</v>
      </c>
      <c r="T2335" s="161">
        <f t="shared" si="397"/>
        <v>144.24242424270648</v>
      </c>
      <c r="U2335" s="158">
        <f t="shared" si="399"/>
        <v>72.727272727272734</v>
      </c>
      <c r="V2335" s="160">
        <f t="shared" si="398"/>
        <v>73</v>
      </c>
    </row>
    <row r="2336" spans="1:22" x14ac:dyDescent="0.25">
      <c r="A2336" s="98" t="s">
        <v>23</v>
      </c>
      <c r="B2336" s="98" t="s">
        <v>17</v>
      </c>
      <c r="C2336" s="98">
        <v>112</v>
      </c>
      <c r="D2336" s="98">
        <v>250</v>
      </c>
      <c r="E2336" s="157">
        <v>41810.627083333333</v>
      </c>
      <c r="F2336" s="157">
        <v>41810.817361111112</v>
      </c>
      <c r="G2336" s="98">
        <v>250</v>
      </c>
      <c r="H2336" s="98">
        <v>330</v>
      </c>
      <c r="I2336" s="98">
        <v>300</v>
      </c>
      <c r="J2336" s="98" t="s">
        <v>1978</v>
      </c>
      <c r="K2336" s="98" t="s">
        <v>1440</v>
      </c>
      <c r="L2336" s="105" t="str">
        <f t="shared" si="390"/>
        <v>Mill Creek</v>
      </c>
      <c r="M2336" s="105" t="str">
        <f t="shared" si="391"/>
        <v>Derate</v>
      </c>
      <c r="N2336" s="105" t="str">
        <f t="shared" si="392"/>
        <v>Coal</v>
      </c>
      <c r="O2336" s="105">
        <f>IFERROR(VLOOKUP(A2336,Lookup!$J$5:$P$19,7,FALSE),0)</f>
        <v>2</v>
      </c>
      <c r="P2336" s="159">
        <f t="shared" si="393"/>
        <v>2014</v>
      </c>
      <c r="Q2336" s="159">
        <f t="shared" si="394"/>
        <v>6</v>
      </c>
      <c r="R2336" s="160">
        <f t="shared" si="395"/>
        <v>4.5666666667093523</v>
      </c>
      <c r="S2336" s="158">
        <f t="shared" si="396"/>
        <v>1.107070707081055</v>
      </c>
      <c r="T2336" s="161">
        <f t="shared" si="397"/>
        <v>332.12121212431651</v>
      </c>
      <c r="U2336" s="158">
        <f t="shared" si="399"/>
        <v>72.727272727272734</v>
      </c>
      <c r="V2336" s="160">
        <f t="shared" si="398"/>
        <v>73</v>
      </c>
    </row>
    <row r="2337" spans="1:22" x14ac:dyDescent="0.25">
      <c r="A2337" s="98" t="s">
        <v>23</v>
      </c>
      <c r="B2337" s="98" t="s">
        <v>105</v>
      </c>
      <c r="C2337" s="98">
        <v>113</v>
      </c>
      <c r="D2337" s="98">
        <v>4260</v>
      </c>
      <c r="E2337" s="157">
        <v>41810.916666666664</v>
      </c>
      <c r="F2337" s="157">
        <v>41811.054861111108</v>
      </c>
      <c r="G2337" s="98">
        <v>200</v>
      </c>
      <c r="H2337" s="98">
        <v>330</v>
      </c>
      <c r="I2337" s="98">
        <v>300</v>
      </c>
      <c r="J2337" s="98" t="s">
        <v>1982</v>
      </c>
      <c r="K2337" s="98" t="s">
        <v>1441</v>
      </c>
      <c r="L2337" s="105" t="str">
        <f t="shared" si="390"/>
        <v>Mill Creek</v>
      </c>
      <c r="M2337" s="105" t="str">
        <f t="shared" si="391"/>
        <v>Derate</v>
      </c>
      <c r="N2337" s="105" t="str">
        <f t="shared" si="392"/>
        <v>Coal</v>
      </c>
      <c r="O2337" s="105">
        <f>IFERROR(VLOOKUP(A2337,Lookup!$J$5:$P$19,7,FALSE),0)</f>
        <v>2</v>
      </c>
      <c r="P2337" s="159">
        <f t="shared" si="393"/>
        <v>2014</v>
      </c>
      <c r="Q2337" s="159">
        <f t="shared" si="394"/>
        <v>6</v>
      </c>
      <c r="R2337" s="160">
        <f t="shared" si="395"/>
        <v>3.3166666666511446</v>
      </c>
      <c r="S2337" s="158">
        <f t="shared" si="396"/>
        <v>1.3065656565595418</v>
      </c>
      <c r="T2337" s="161">
        <f t="shared" si="397"/>
        <v>391.96969696786255</v>
      </c>
      <c r="U2337" s="158">
        <f t="shared" si="399"/>
        <v>118.18181818181819</v>
      </c>
      <c r="V2337" s="160">
        <f t="shared" si="398"/>
        <v>118</v>
      </c>
    </row>
    <row r="2338" spans="1:22" x14ac:dyDescent="0.25">
      <c r="A2338" s="98" t="s">
        <v>23</v>
      </c>
      <c r="B2338" s="98" t="s">
        <v>17</v>
      </c>
      <c r="C2338" s="98">
        <v>114</v>
      </c>
      <c r="D2338" s="98">
        <v>250</v>
      </c>
      <c r="E2338" s="157">
        <v>41811.621527777781</v>
      </c>
      <c r="F2338" s="157">
        <v>41811.692361111112</v>
      </c>
      <c r="G2338" s="98">
        <v>250</v>
      </c>
      <c r="H2338" s="98">
        <v>330</v>
      </c>
      <c r="I2338" s="98">
        <v>300</v>
      </c>
      <c r="J2338" s="98" t="s">
        <v>1978</v>
      </c>
      <c r="K2338" s="98" t="s">
        <v>1440</v>
      </c>
      <c r="L2338" s="105" t="str">
        <f t="shared" si="390"/>
        <v>Mill Creek</v>
      </c>
      <c r="M2338" s="105" t="str">
        <f t="shared" si="391"/>
        <v>Derate</v>
      </c>
      <c r="N2338" s="105" t="str">
        <f t="shared" si="392"/>
        <v>Coal</v>
      </c>
      <c r="O2338" s="105">
        <f>IFERROR(VLOOKUP(A2338,Lookup!$J$5:$P$19,7,FALSE),0)</f>
        <v>2</v>
      </c>
      <c r="P2338" s="159">
        <f t="shared" si="393"/>
        <v>2014</v>
      </c>
      <c r="Q2338" s="159">
        <f t="shared" si="394"/>
        <v>6</v>
      </c>
      <c r="R2338" s="160">
        <f t="shared" si="395"/>
        <v>1.6999999999534339</v>
      </c>
      <c r="S2338" s="158">
        <f t="shared" si="396"/>
        <v>0.41212121210992336</v>
      </c>
      <c r="T2338" s="161">
        <f t="shared" si="397"/>
        <v>123.63636363297701</v>
      </c>
      <c r="U2338" s="158">
        <f t="shared" si="399"/>
        <v>72.727272727272734</v>
      </c>
      <c r="V2338" s="160">
        <f t="shared" si="398"/>
        <v>73</v>
      </c>
    </row>
    <row r="2339" spans="1:22" x14ac:dyDescent="0.25">
      <c r="A2339" s="98" t="s">
        <v>23</v>
      </c>
      <c r="B2339" s="98" t="s">
        <v>17</v>
      </c>
      <c r="C2339" s="98">
        <v>115</v>
      </c>
      <c r="D2339" s="98">
        <v>250</v>
      </c>
      <c r="E2339" s="157">
        <v>41813.548611111109</v>
      </c>
      <c r="F2339" s="157">
        <v>41813.625</v>
      </c>
      <c r="G2339" s="98">
        <v>285</v>
      </c>
      <c r="H2339" s="98">
        <v>330</v>
      </c>
      <c r="I2339" s="98">
        <v>300</v>
      </c>
      <c r="J2339" s="98" t="s">
        <v>1978</v>
      </c>
      <c r="K2339" s="98" t="s">
        <v>1442</v>
      </c>
      <c r="L2339" s="105" t="str">
        <f t="shared" si="390"/>
        <v>Mill Creek</v>
      </c>
      <c r="M2339" s="105" t="str">
        <f t="shared" si="391"/>
        <v>Derate</v>
      </c>
      <c r="N2339" s="105" t="str">
        <f t="shared" si="392"/>
        <v>Coal</v>
      </c>
      <c r="O2339" s="105">
        <f>IFERROR(VLOOKUP(A2339,Lookup!$J$5:$P$19,7,FALSE),0)</f>
        <v>2</v>
      </c>
      <c r="P2339" s="159">
        <f t="shared" si="393"/>
        <v>2014</v>
      </c>
      <c r="Q2339" s="159">
        <f t="shared" si="394"/>
        <v>6</v>
      </c>
      <c r="R2339" s="160">
        <f t="shared" si="395"/>
        <v>1.8333333333721384</v>
      </c>
      <c r="S2339" s="158">
        <f t="shared" si="396"/>
        <v>0.2500000000052916</v>
      </c>
      <c r="T2339" s="161">
        <f t="shared" si="397"/>
        <v>75.00000000158748</v>
      </c>
      <c r="U2339" s="158">
        <f t="shared" si="399"/>
        <v>40.909090909090907</v>
      </c>
      <c r="V2339" s="160">
        <f t="shared" si="398"/>
        <v>41</v>
      </c>
    </row>
    <row r="2340" spans="1:22" x14ac:dyDescent="0.25">
      <c r="A2340" s="98" t="s">
        <v>23</v>
      </c>
      <c r="B2340" s="98" t="s">
        <v>79</v>
      </c>
      <c r="C2340" s="98">
        <v>116</v>
      </c>
      <c r="D2340" s="98">
        <v>8460</v>
      </c>
      <c r="E2340" s="157">
        <v>41813.666666666664</v>
      </c>
      <c r="F2340" s="157">
        <v>41813.958333333336</v>
      </c>
      <c r="G2340" s="98">
        <v>0</v>
      </c>
      <c r="H2340" s="98">
        <v>330</v>
      </c>
      <c r="I2340" s="98">
        <v>300</v>
      </c>
      <c r="J2340" s="98" t="s">
        <v>2651</v>
      </c>
      <c r="K2340" s="98" t="s">
        <v>1443</v>
      </c>
      <c r="L2340" s="105" t="str">
        <f t="shared" si="390"/>
        <v>Mill Creek</v>
      </c>
      <c r="M2340" s="105" t="str">
        <f t="shared" si="391"/>
        <v>Other</v>
      </c>
      <c r="N2340" s="105" t="str">
        <f t="shared" si="392"/>
        <v>Coal</v>
      </c>
      <c r="O2340" s="105">
        <f>IFERROR(VLOOKUP(A2340,Lookup!$J$5:$P$19,7,FALSE),0)</f>
        <v>2</v>
      </c>
      <c r="P2340" s="159">
        <f t="shared" si="393"/>
        <v>2014</v>
      </c>
      <c r="Q2340" s="159">
        <f t="shared" si="394"/>
        <v>6</v>
      </c>
      <c r="R2340" s="160">
        <f t="shared" si="395"/>
        <v>7.0000000001164153</v>
      </c>
      <c r="S2340" s="158">
        <f t="shared" si="396"/>
        <v>7.0000000001164153</v>
      </c>
      <c r="T2340" s="161">
        <f t="shared" si="397"/>
        <v>2100.0000000349246</v>
      </c>
      <c r="U2340" s="158">
        <f t="shared" si="399"/>
        <v>300</v>
      </c>
      <c r="V2340" s="160">
        <f t="shared" si="398"/>
        <v>300</v>
      </c>
    </row>
    <row r="2341" spans="1:22" x14ac:dyDescent="0.25">
      <c r="A2341" s="98" t="s">
        <v>23</v>
      </c>
      <c r="B2341" s="98" t="s">
        <v>105</v>
      </c>
      <c r="C2341" s="98">
        <v>117</v>
      </c>
      <c r="D2341" s="98">
        <v>310</v>
      </c>
      <c r="E2341" s="157">
        <v>41813.958333333336</v>
      </c>
      <c r="F2341" s="157">
        <v>41814.184027777781</v>
      </c>
      <c r="G2341" s="98">
        <v>240</v>
      </c>
      <c r="H2341" s="98">
        <v>330</v>
      </c>
      <c r="I2341" s="98">
        <v>300</v>
      </c>
      <c r="J2341" s="98" t="s">
        <v>1966</v>
      </c>
      <c r="K2341" s="98" t="s">
        <v>239</v>
      </c>
      <c r="L2341" s="105" t="str">
        <f t="shared" si="390"/>
        <v>Mill Creek</v>
      </c>
      <c r="M2341" s="105" t="str">
        <f t="shared" si="391"/>
        <v>Derate</v>
      </c>
      <c r="N2341" s="105" t="str">
        <f t="shared" si="392"/>
        <v>Coal</v>
      </c>
      <c r="O2341" s="105">
        <f>IFERROR(VLOOKUP(A2341,Lookup!$J$5:$P$19,7,FALSE),0)</f>
        <v>2</v>
      </c>
      <c r="P2341" s="159">
        <f t="shared" si="393"/>
        <v>2014</v>
      </c>
      <c r="Q2341" s="159">
        <f t="shared" si="394"/>
        <v>6</v>
      </c>
      <c r="R2341" s="160">
        <f t="shared" si="395"/>
        <v>5.4166666666860692</v>
      </c>
      <c r="S2341" s="158">
        <f t="shared" si="396"/>
        <v>1.4772727272780188</v>
      </c>
      <c r="T2341" s="161">
        <f t="shared" si="397"/>
        <v>443.18181818340565</v>
      </c>
      <c r="U2341" s="158">
        <f t="shared" si="399"/>
        <v>81.818181818181813</v>
      </c>
      <c r="V2341" s="160">
        <f t="shared" si="398"/>
        <v>82</v>
      </c>
    </row>
    <row r="2342" spans="1:22" x14ac:dyDescent="0.25">
      <c r="A2342" s="98" t="s">
        <v>23</v>
      </c>
      <c r="B2342" s="98" t="s">
        <v>79</v>
      </c>
      <c r="C2342" s="98">
        <v>118</v>
      </c>
      <c r="D2342" s="98">
        <v>8460</v>
      </c>
      <c r="E2342" s="157">
        <v>41814.333333333336</v>
      </c>
      <c r="F2342" s="157">
        <v>41814.635416666664</v>
      </c>
      <c r="G2342" s="98">
        <v>0</v>
      </c>
      <c r="H2342" s="98">
        <v>330</v>
      </c>
      <c r="I2342" s="98">
        <v>300</v>
      </c>
      <c r="J2342" s="98" t="s">
        <v>2651</v>
      </c>
      <c r="K2342" s="98" t="s">
        <v>1443</v>
      </c>
      <c r="L2342" s="105" t="str">
        <f t="shared" si="390"/>
        <v>Mill Creek</v>
      </c>
      <c r="M2342" s="105" t="str">
        <f t="shared" si="391"/>
        <v>Other</v>
      </c>
      <c r="N2342" s="105" t="str">
        <f t="shared" si="392"/>
        <v>Coal</v>
      </c>
      <c r="O2342" s="105">
        <f>IFERROR(VLOOKUP(A2342,Lookup!$J$5:$P$19,7,FALSE),0)</f>
        <v>2</v>
      </c>
      <c r="P2342" s="159">
        <f t="shared" si="393"/>
        <v>2014</v>
      </c>
      <c r="Q2342" s="159">
        <f t="shared" si="394"/>
        <v>6</v>
      </c>
      <c r="R2342" s="160">
        <f t="shared" si="395"/>
        <v>7.2499999998835847</v>
      </c>
      <c r="S2342" s="158">
        <f t="shared" si="396"/>
        <v>7.2499999998835847</v>
      </c>
      <c r="T2342" s="161">
        <f t="shared" si="397"/>
        <v>2174.9999999650754</v>
      </c>
      <c r="U2342" s="158">
        <f t="shared" si="399"/>
        <v>300</v>
      </c>
      <c r="V2342" s="160">
        <f t="shared" si="398"/>
        <v>300</v>
      </c>
    </row>
    <row r="2343" spans="1:22" x14ac:dyDescent="0.25">
      <c r="A2343" s="98" t="s">
        <v>23</v>
      </c>
      <c r="B2343" s="98" t="s">
        <v>105</v>
      </c>
      <c r="C2343" s="98">
        <v>119</v>
      </c>
      <c r="D2343" s="98">
        <v>310</v>
      </c>
      <c r="E2343" s="157">
        <v>41814.947916666664</v>
      </c>
      <c r="F2343" s="157">
        <v>41815.333333333336</v>
      </c>
      <c r="G2343" s="98">
        <v>235</v>
      </c>
      <c r="H2343" s="98">
        <v>330</v>
      </c>
      <c r="I2343" s="98">
        <v>300</v>
      </c>
      <c r="J2343" s="98" t="s">
        <v>1966</v>
      </c>
      <c r="K2343" s="98" t="s">
        <v>1444</v>
      </c>
      <c r="L2343" s="105" t="str">
        <f t="shared" si="390"/>
        <v>Mill Creek</v>
      </c>
      <c r="M2343" s="105" t="str">
        <f t="shared" si="391"/>
        <v>Derate</v>
      </c>
      <c r="N2343" s="105" t="str">
        <f t="shared" si="392"/>
        <v>Coal</v>
      </c>
      <c r="O2343" s="105">
        <f>IFERROR(VLOOKUP(A2343,Lookup!$J$5:$P$19,7,FALSE),0)</f>
        <v>2</v>
      </c>
      <c r="P2343" s="159">
        <f t="shared" si="393"/>
        <v>2014</v>
      </c>
      <c r="Q2343" s="159">
        <f t="shared" si="394"/>
        <v>6</v>
      </c>
      <c r="R2343" s="160">
        <f t="shared" si="395"/>
        <v>9.2500000001164153</v>
      </c>
      <c r="S2343" s="158">
        <f t="shared" si="396"/>
        <v>2.6628787879123013</v>
      </c>
      <c r="T2343" s="161">
        <f t="shared" si="397"/>
        <v>798.86363637369038</v>
      </c>
      <c r="U2343" s="158">
        <f t="shared" si="399"/>
        <v>86.36363636363636</v>
      </c>
      <c r="V2343" s="160">
        <f t="shared" si="398"/>
        <v>86</v>
      </c>
    </row>
    <row r="2344" spans="1:22" x14ac:dyDescent="0.25">
      <c r="A2344" s="98" t="s">
        <v>23</v>
      </c>
      <c r="B2344" s="98" t="s">
        <v>105</v>
      </c>
      <c r="C2344" s="98">
        <v>120</v>
      </c>
      <c r="D2344" s="98">
        <v>250</v>
      </c>
      <c r="E2344" s="157">
        <v>41815.920138888891</v>
      </c>
      <c r="F2344" s="157">
        <v>41816.145138888889</v>
      </c>
      <c r="G2344" s="98">
        <v>235</v>
      </c>
      <c r="H2344" s="98">
        <v>330</v>
      </c>
      <c r="I2344" s="98">
        <v>300</v>
      </c>
      <c r="J2344" s="98" t="s">
        <v>1978</v>
      </c>
      <c r="K2344" s="98" t="s">
        <v>1445</v>
      </c>
      <c r="L2344" s="105" t="str">
        <f t="shared" ref="L2344:L2407" si="400">IF(OR(A2344="BR1",A2344="BR2",A2344="BR3",A2344="BR5",A2344="BR6",A2344="BR7",A2344="BR8",A2344="BR9",A2344="BR10",A2344="BR11"),"Brown",IF(OR(A2344="CR4",A2344="CR5",A2344="CR6",A2344="CR11"),"Cane Run",IF(OR(A2344="GH1",A2344="GH2",A2344="GH3",A2344="GH4"),"Ghent",IF(OR(A2344="GR3",A2344="GR4"),"Green River",IF(OR(A2344="MC1",A2344="MC2",A2344="MC3",A2344="MC4"),"Mill Creek",IF(OR(A2344="TC1",A2344="TC2",A2344="TC5",A2344="TC6",A2344="TC7",A2344="TC8",A2344="TC9",A2344="TC10"),"Trimble",IF(A2344="TY3","Tyrone",IF(OR(A2344="HA1",A2344="HA2",A2344="HA3"),"Haeflin",IF(OR(A2344="PR11",A2344="PR12",A2344="PR13"),"Paddy's Run","Zorn")))))))))</f>
        <v>Mill Creek</v>
      </c>
      <c r="M2344" s="105" t="str">
        <f t="shared" ref="M2344:M2407" si="401">IF(OR(B2344="D1",B2344="D2",B2344="D3",B2344="D4",B2344="PD"),"Derate",IF(OR(B2344="SF",B2344="U1",B2344="U2",B2344="U3"),"Outage",IF(OR(B2344="ME",B2344="MO"),"Maintenance","Other")))</f>
        <v>Derate</v>
      </c>
      <c r="N2344" s="105" t="str">
        <f t="shared" ref="N2344:N2407" si="402">IF(OR(A2344="BR1",A2344="BR2",A2344="BR3",A2344="CR4",A2344="CR5",A2344="CR6",A2344="GH1",A2344="GH2",A2344="GH3",A2344="GH4",A2344="GR3",A2344="GR4",A2344="MC1",A2344="MC2",A2344="MC3",A2344="MC4",A2344="TC1",A2344="TC2",A2344="TY3"),"Coal","Gas")</f>
        <v>Coal</v>
      </c>
      <c r="O2344" s="105">
        <f>IFERROR(VLOOKUP(A2344,Lookup!$J$5:$P$19,7,FALSE),0)</f>
        <v>2</v>
      </c>
      <c r="P2344" s="159">
        <f t="shared" ref="P2344:P2407" si="403">YEAR(E2344)</f>
        <v>2014</v>
      </c>
      <c r="Q2344" s="159">
        <f t="shared" ref="Q2344:Q2407" si="404">MONTH(E2344)</f>
        <v>6</v>
      </c>
      <c r="R2344" s="160">
        <f t="shared" ref="R2344:R2407" si="405">(F2344-E2344)*24</f>
        <v>5.3999999999650754</v>
      </c>
      <c r="S2344" s="158">
        <f t="shared" ref="S2344:S2407" si="406">R2344*(H2344-G2344)/H2344</f>
        <v>1.5545454545354005</v>
      </c>
      <c r="T2344" s="161">
        <f t="shared" ref="T2344:T2407" si="407">S2344*I2344</f>
        <v>466.36363636062015</v>
      </c>
      <c r="U2344" s="158">
        <f t="shared" si="399"/>
        <v>86.36363636363636</v>
      </c>
      <c r="V2344" s="160">
        <f t="shared" ref="V2344:V2407" si="408">ROUND(U2344,0)</f>
        <v>86</v>
      </c>
    </row>
    <row r="2345" spans="1:22" x14ac:dyDescent="0.25">
      <c r="A2345" s="98" t="s">
        <v>23</v>
      </c>
      <c r="B2345" s="98" t="s">
        <v>15</v>
      </c>
      <c r="C2345" s="98">
        <v>121</v>
      </c>
      <c r="D2345" s="98">
        <v>800</v>
      </c>
      <c r="E2345" s="157">
        <v>41819.727777777778</v>
      </c>
      <c r="F2345" s="157">
        <v>41819.814583333333</v>
      </c>
      <c r="G2345" s="98">
        <v>0</v>
      </c>
      <c r="H2345" s="98">
        <v>330</v>
      </c>
      <c r="I2345" s="98">
        <v>300</v>
      </c>
      <c r="J2345" s="98" t="s">
        <v>2197</v>
      </c>
      <c r="K2345" s="98" t="s">
        <v>1446</v>
      </c>
      <c r="L2345" s="105" t="str">
        <f t="shared" si="400"/>
        <v>Mill Creek</v>
      </c>
      <c r="M2345" s="105" t="str">
        <f t="shared" si="401"/>
        <v>Outage</v>
      </c>
      <c r="N2345" s="105" t="str">
        <f t="shared" si="402"/>
        <v>Coal</v>
      </c>
      <c r="O2345" s="105">
        <f>IFERROR(VLOOKUP(A2345,Lookup!$J$5:$P$19,7,FALSE),0)</f>
        <v>2</v>
      </c>
      <c r="P2345" s="159">
        <f t="shared" si="403"/>
        <v>2014</v>
      </c>
      <c r="Q2345" s="159">
        <f t="shared" si="404"/>
        <v>6</v>
      </c>
      <c r="R2345" s="160">
        <f t="shared" si="405"/>
        <v>2.0833333333139308</v>
      </c>
      <c r="S2345" s="158">
        <f t="shared" si="406"/>
        <v>2.0833333333139308</v>
      </c>
      <c r="T2345" s="161">
        <f t="shared" si="407"/>
        <v>624.99999999417923</v>
      </c>
      <c r="U2345" s="158">
        <f t="shared" ref="U2345:U2408" si="409">IF(G2345&gt;0,MAX((H2345-G2345),0)*I2345/H2345,I2345)</f>
        <v>300</v>
      </c>
      <c r="V2345" s="160">
        <f t="shared" si="408"/>
        <v>300</v>
      </c>
    </row>
    <row r="2346" spans="1:22" x14ac:dyDescent="0.25">
      <c r="A2346" s="98" t="s">
        <v>23</v>
      </c>
      <c r="B2346" s="98" t="s">
        <v>79</v>
      </c>
      <c r="C2346" s="98">
        <v>122</v>
      </c>
      <c r="D2346" s="98">
        <v>1850</v>
      </c>
      <c r="E2346" s="157">
        <v>41819.814583333333</v>
      </c>
      <c r="F2346" s="157">
        <v>41819.981249999997</v>
      </c>
      <c r="G2346" s="98">
        <v>0</v>
      </c>
      <c r="H2346" s="98">
        <v>330</v>
      </c>
      <c r="I2346" s="98">
        <v>300</v>
      </c>
      <c r="J2346" s="98" t="s">
        <v>2263</v>
      </c>
      <c r="K2346" s="98" t="s">
        <v>87</v>
      </c>
      <c r="L2346" s="105" t="str">
        <f t="shared" si="400"/>
        <v>Mill Creek</v>
      </c>
      <c r="M2346" s="105" t="str">
        <f t="shared" si="401"/>
        <v>Other</v>
      </c>
      <c r="N2346" s="105" t="str">
        <f t="shared" si="402"/>
        <v>Coal</v>
      </c>
      <c r="O2346" s="105">
        <f>IFERROR(VLOOKUP(A2346,Lookup!$J$5:$P$19,7,FALSE),0)</f>
        <v>2</v>
      </c>
      <c r="P2346" s="159">
        <f t="shared" si="403"/>
        <v>2014</v>
      </c>
      <c r="Q2346" s="159">
        <f t="shared" si="404"/>
        <v>6</v>
      </c>
      <c r="R2346" s="160">
        <f t="shared" si="405"/>
        <v>3.9999999999417923</v>
      </c>
      <c r="S2346" s="158">
        <f t="shared" si="406"/>
        <v>3.9999999999417923</v>
      </c>
      <c r="T2346" s="161">
        <f t="shared" si="407"/>
        <v>1199.9999999825377</v>
      </c>
      <c r="U2346" s="158">
        <f t="shared" si="409"/>
        <v>300</v>
      </c>
      <c r="V2346" s="160">
        <f t="shared" si="408"/>
        <v>300</v>
      </c>
    </row>
    <row r="2347" spans="1:22" x14ac:dyDescent="0.25">
      <c r="A2347" s="98" t="s">
        <v>23</v>
      </c>
      <c r="B2347" s="98" t="s">
        <v>17</v>
      </c>
      <c r="C2347" s="98">
        <v>123</v>
      </c>
      <c r="D2347" s="98">
        <v>1850</v>
      </c>
      <c r="E2347" s="157">
        <v>41819.981249999997</v>
      </c>
      <c r="F2347" s="157">
        <v>41820.114583333336</v>
      </c>
      <c r="G2347" s="98">
        <v>148</v>
      </c>
      <c r="H2347" s="98">
        <v>330</v>
      </c>
      <c r="I2347" s="98">
        <v>300</v>
      </c>
      <c r="J2347" s="98" t="s">
        <v>2263</v>
      </c>
      <c r="K2347" s="98" t="s">
        <v>41</v>
      </c>
      <c r="L2347" s="105" t="str">
        <f t="shared" si="400"/>
        <v>Mill Creek</v>
      </c>
      <c r="M2347" s="105" t="str">
        <f t="shared" si="401"/>
        <v>Derate</v>
      </c>
      <c r="N2347" s="105" t="str">
        <f t="shared" si="402"/>
        <v>Coal</v>
      </c>
      <c r="O2347" s="105">
        <f>IFERROR(VLOOKUP(A2347,Lookup!$J$5:$P$19,7,FALSE),0)</f>
        <v>2</v>
      </c>
      <c r="P2347" s="159">
        <f t="shared" si="403"/>
        <v>2014</v>
      </c>
      <c r="Q2347" s="159">
        <f t="shared" si="404"/>
        <v>6</v>
      </c>
      <c r="R2347" s="160">
        <f t="shared" si="405"/>
        <v>3.2000000001280569</v>
      </c>
      <c r="S2347" s="158">
        <f t="shared" si="406"/>
        <v>1.7648484849191102</v>
      </c>
      <c r="T2347" s="161">
        <f t="shared" si="407"/>
        <v>529.45454547573308</v>
      </c>
      <c r="U2347" s="158">
        <f t="shared" si="409"/>
        <v>165.45454545454547</v>
      </c>
      <c r="V2347" s="160">
        <f t="shared" si="408"/>
        <v>165</v>
      </c>
    </row>
    <row r="2348" spans="1:22" x14ac:dyDescent="0.25">
      <c r="A2348" s="98" t="s">
        <v>23</v>
      </c>
      <c r="B2348" s="98" t="s">
        <v>17</v>
      </c>
      <c r="C2348" s="98">
        <v>124</v>
      </c>
      <c r="D2348" s="98">
        <v>1850</v>
      </c>
      <c r="E2348" s="157">
        <v>41820.114583333336</v>
      </c>
      <c r="F2348" s="157">
        <v>41820.155555555553</v>
      </c>
      <c r="G2348" s="98">
        <v>240</v>
      </c>
      <c r="H2348" s="98">
        <v>330</v>
      </c>
      <c r="I2348" s="98">
        <v>300</v>
      </c>
      <c r="J2348" s="98" t="s">
        <v>2263</v>
      </c>
      <c r="K2348" s="98" t="s">
        <v>41</v>
      </c>
      <c r="L2348" s="105" t="str">
        <f t="shared" si="400"/>
        <v>Mill Creek</v>
      </c>
      <c r="M2348" s="105" t="str">
        <f t="shared" si="401"/>
        <v>Derate</v>
      </c>
      <c r="N2348" s="105" t="str">
        <f t="shared" si="402"/>
        <v>Coal</v>
      </c>
      <c r="O2348" s="105">
        <f>IFERROR(VLOOKUP(A2348,Lookup!$J$5:$P$19,7,FALSE),0)</f>
        <v>2</v>
      </c>
      <c r="P2348" s="159">
        <f t="shared" si="403"/>
        <v>2014</v>
      </c>
      <c r="Q2348" s="159">
        <f t="shared" si="404"/>
        <v>6</v>
      </c>
      <c r="R2348" s="160">
        <f t="shared" si="405"/>
        <v>0.98333333322079852</v>
      </c>
      <c r="S2348" s="158">
        <f t="shared" si="406"/>
        <v>0.26818181815112685</v>
      </c>
      <c r="T2348" s="161">
        <f t="shared" si="407"/>
        <v>80.454545445338056</v>
      </c>
      <c r="U2348" s="158">
        <f t="shared" si="409"/>
        <v>81.818181818181813</v>
      </c>
      <c r="V2348" s="160">
        <f t="shared" si="408"/>
        <v>82</v>
      </c>
    </row>
    <row r="2349" spans="1:22" x14ac:dyDescent="0.25">
      <c r="A2349" s="98" t="s">
        <v>23</v>
      </c>
      <c r="B2349" s="98" t="s">
        <v>17</v>
      </c>
      <c r="C2349" s="98">
        <v>125</v>
      </c>
      <c r="D2349" s="98">
        <v>1850</v>
      </c>
      <c r="E2349" s="157">
        <v>41820.155555555553</v>
      </c>
      <c r="F2349" s="157">
        <v>41820.252083333333</v>
      </c>
      <c r="G2349" s="98">
        <v>290</v>
      </c>
      <c r="H2349" s="98">
        <v>330</v>
      </c>
      <c r="I2349" s="98">
        <v>300</v>
      </c>
      <c r="J2349" s="98" t="s">
        <v>2263</v>
      </c>
      <c r="K2349" s="98" t="s">
        <v>41</v>
      </c>
      <c r="L2349" s="105" t="str">
        <f t="shared" si="400"/>
        <v>Mill Creek</v>
      </c>
      <c r="M2349" s="105" t="str">
        <f t="shared" si="401"/>
        <v>Derate</v>
      </c>
      <c r="N2349" s="105" t="str">
        <f t="shared" si="402"/>
        <v>Coal</v>
      </c>
      <c r="O2349" s="105">
        <f>IFERROR(VLOOKUP(A2349,Lookup!$J$5:$P$19,7,FALSE),0)</f>
        <v>2</v>
      </c>
      <c r="P2349" s="159">
        <f t="shared" si="403"/>
        <v>2014</v>
      </c>
      <c r="Q2349" s="159">
        <f t="shared" si="404"/>
        <v>6</v>
      </c>
      <c r="R2349" s="160">
        <f t="shared" si="405"/>
        <v>2.3166666667093523</v>
      </c>
      <c r="S2349" s="158">
        <f t="shared" si="406"/>
        <v>0.28080808081325481</v>
      </c>
      <c r="T2349" s="161">
        <f t="shared" si="407"/>
        <v>84.242424243976444</v>
      </c>
      <c r="U2349" s="158">
        <f t="shared" si="409"/>
        <v>36.363636363636367</v>
      </c>
      <c r="V2349" s="160">
        <f t="shared" si="408"/>
        <v>36</v>
      </c>
    </row>
    <row r="2350" spans="1:22" x14ac:dyDescent="0.25">
      <c r="A2350" s="98" t="s">
        <v>23</v>
      </c>
      <c r="B2350" s="98" t="s">
        <v>79</v>
      </c>
      <c r="C2350" s="98">
        <v>126</v>
      </c>
      <c r="D2350" s="98">
        <v>1990</v>
      </c>
      <c r="E2350" s="157">
        <v>41822.350694444445</v>
      </c>
      <c r="F2350" s="157">
        <v>41822.45416666667</v>
      </c>
      <c r="G2350" s="98">
        <v>0</v>
      </c>
      <c r="H2350" s="98">
        <v>330</v>
      </c>
      <c r="I2350" s="98">
        <v>300</v>
      </c>
      <c r="J2350" s="98" t="s">
        <v>2114</v>
      </c>
      <c r="K2350" s="98" t="s">
        <v>2656</v>
      </c>
      <c r="L2350" s="105" t="str">
        <f t="shared" si="400"/>
        <v>Mill Creek</v>
      </c>
      <c r="M2350" s="105" t="str">
        <f t="shared" si="401"/>
        <v>Other</v>
      </c>
      <c r="N2350" s="105" t="str">
        <f t="shared" si="402"/>
        <v>Coal</v>
      </c>
      <c r="O2350" s="105">
        <f>IFERROR(VLOOKUP(A2350,Lookup!$J$5:$P$19,7,FALSE),0)</f>
        <v>2</v>
      </c>
      <c r="P2350" s="159">
        <f t="shared" si="403"/>
        <v>2014</v>
      </c>
      <c r="Q2350" s="159">
        <f t="shared" si="404"/>
        <v>7</v>
      </c>
      <c r="R2350" s="160">
        <f t="shared" si="405"/>
        <v>2.4833333333954215</v>
      </c>
      <c r="S2350" s="158">
        <f t="shared" si="406"/>
        <v>2.4833333333954215</v>
      </c>
      <c r="T2350" s="161">
        <f t="shared" si="407"/>
        <v>745.00000001862645</v>
      </c>
      <c r="U2350" s="158">
        <f t="shared" si="409"/>
        <v>300</v>
      </c>
      <c r="V2350" s="160">
        <f t="shared" si="408"/>
        <v>300</v>
      </c>
    </row>
    <row r="2351" spans="1:22" x14ac:dyDescent="0.25">
      <c r="A2351" s="98" t="s">
        <v>23</v>
      </c>
      <c r="B2351" s="98" t="s">
        <v>20</v>
      </c>
      <c r="C2351" s="98">
        <v>127</v>
      </c>
      <c r="D2351" s="98">
        <v>1180</v>
      </c>
      <c r="E2351" s="157">
        <v>41823.946527777778</v>
      </c>
      <c r="F2351" s="157">
        <v>41827.25</v>
      </c>
      <c r="G2351" s="98">
        <v>0</v>
      </c>
      <c r="H2351" s="98">
        <v>330</v>
      </c>
      <c r="I2351" s="98">
        <v>300</v>
      </c>
      <c r="J2351" s="98" t="s">
        <v>2657</v>
      </c>
      <c r="K2351" s="98" t="s">
        <v>2658</v>
      </c>
      <c r="L2351" s="105" t="str">
        <f t="shared" si="400"/>
        <v>Mill Creek</v>
      </c>
      <c r="M2351" s="105" t="str">
        <f t="shared" si="401"/>
        <v>Maintenance</v>
      </c>
      <c r="N2351" s="105" t="str">
        <f t="shared" si="402"/>
        <v>Coal</v>
      </c>
      <c r="O2351" s="105">
        <f>IFERROR(VLOOKUP(A2351,Lookup!$J$5:$P$19,7,FALSE),0)</f>
        <v>2</v>
      </c>
      <c r="P2351" s="159">
        <f t="shared" si="403"/>
        <v>2014</v>
      </c>
      <c r="Q2351" s="159">
        <f t="shared" si="404"/>
        <v>7</v>
      </c>
      <c r="R2351" s="160">
        <f t="shared" si="405"/>
        <v>79.283333333325572</v>
      </c>
      <c r="S2351" s="158">
        <f t="shared" si="406"/>
        <v>79.283333333325572</v>
      </c>
      <c r="T2351" s="161">
        <f t="shared" si="407"/>
        <v>23784.999999997672</v>
      </c>
      <c r="U2351" s="158">
        <f t="shared" si="409"/>
        <v>300</v>
      </c>
      <c r="V2351" s="160">
        <f t="shared" si="408"/>
        <v>300</v>
      </c>
    </row>
    <row r="2352" spans="1:22" x14ac:dyDescent="0.25">
      <c r="A2352" s="98" t="s">
        <v>23</v>
      </c>
      <c r="B2352" s="98" t="s">
        <v>83</v>
      </c>
      <c r="C2352" s="98">
        <v>128</v>
      </c>
      <c r="D2352" s="98">
        <v>1493</v>
      </c>
      <c r="E2352" s="157">
        <v>41827.25</v>
      </c>
      <c r="F2352" s="157">
        <v>41828.242361111108</v>
      </c>
      <c r="G2352" s="98">
        <v>0</v>
      </c>
      <c r="H2352" s="98">
        <v>330</v>
      </c>
      <c r="I2352" s="98">
        <v>300</v>
      </c>
      <c r="J2352" s="98" t="s">
        <v>2185</v>
      </c>
      <c r="K2352" s="98" t="s">
        <v>39</v>
      </c>
      <c r="L2352" s="105" t="str">
        <f t="shared" si="400"/>
        <v>Mill Creek</v>
      </c>
      <c r="M2352" s="105" t="str">
        <f t="shared" si="401"/>
        <v>Maintenance</v>
      </c>
      <c r="N2352" s="105" t="str">
        <f t="shared" si="402"/>
        <v>Coal</v>
      </c>
      <c r="O2352" s="105">
        <f>IFERROR(VLOOKUP(A2352,Lookup!$J$5:$P$19,7,FALSE),0)</f>
        <v>2</v>
      </c>
      <c r="P2352" s="159">
        <f t="shared" si="403"/>
        <v>2014</v>
      </c>
      <c r="Q2352" s="159">
        <f t="shared" si="404"/>
        <v>7</v>
      </c>
      <c r="R2352" s="160">
        <f t="shared" si="405"/>
        <v>23.816666666592937</v>
      </c>
      <c r="S2352" s="158">
        <f t="shared" si="406"/>
        <v>23.816666666592937</v>
      </c>
      <c r="T2352" s="161">
        <f t="shared" si="407"/>
        <v>7144.9999999778811</v>
      </c>
      <c r="U2352" s="158">
        <f t="shared" si="409"/>
        <v>300</v>
      </c>
      <c r="V2352" s="160">
        <f t="shared" si="408"/>
        <v>300</v>
      </c>
    </row>
    <row r="2353" spans="1:22" x14ac:dyDescent="0.25">
      <c r="A2353" s="98" t="s">
        <v>23</v>
      </c>
      <c r="B2353" s="98" t="s">
        <v>17</v>
      </c>
      <c r="C2353" s="98">
        <v>129</v>
      </c>
      <c r="D2353" s="98">
        <v>360</v>
      </c>
      <c r="E2353" s="157">
        <v>41829.845833333333</v>
      </c>
      <c r="F2353" s="157">
        <v>41829.895138888889</v>
      </c>
      <c r="G2353" s="98">
        <v>250</v>
      </c>
      <c r="H2353" s="98">
        <v>330</v>
      </c>
      <c r="I2353" s="98">
        <v>300</v>
      </c>
      <c r="J2353" s="98" t="s">
        <v>229</v>
      </c>
      <c r="K2353" s="98" t="s">
        <v>2659</v>
      </c>
      <c r="L2353" s="105" t="str">
        <f t="shared" si="400"/>
        <v>Mill Creek</v>
      </c>
      <c r="M2353" s="105" t="str">
        <f t="shared" si="401"/>
        <v>Derate</v>
      </c>
      <c r="N2353" s="105" t="str">
        <f t="shared" si="402"/>
        <v>Coal</v>
      </c>
      <c r="O2353" s="105">
        <f>IFERROR(VLOOKUP(A2353,Lookup!$J$5:$P$19,7,FALSE),0)</f>
        <v>2</v>
      </c>
      <c r="P2353" s="159">
        <f t="shared" si="403"/>
        <v>2014</v>
      </c>
      <c r="Q2353" s="159">
        <f t="shared" si="404"/>
        <v>7</v>
      </c>
      <c r="R2353" s="160">
        <f t="shared" si="405"/>
        <v>1.1833333333488554</v>
      </c>
      <c r="S2353" s="158">
        <f t="shared" si="406"/>
        <v>0.28686868687244976</v>
      </c>
      <c r="T2353" s="161">
        <f t="shared" si="407"/>
        <v>86.06060606173493</v>
      </c>
      <c r="U2353" s="158">
        <f t="shared" si="409"/>
        <v>72.727272727272734</v>
      </c>
      <c r="V2353" s="160">
        <f t="shared" si="408"/>
        <v>73</v>
      </c>
    </row>
    <row r="2354" spans="1:22" x14ac:dyDescent="0.25">
      <c r="A2354" s="98" t="s">
        <v>23</v>
      </c>
      <c r="B2354" s="98" t="s">
        <v>17</v>
      </c>
      <c r="C2354" s="98">
        <v>130</v>
      </c>
      <c r="D2354" s="98">
        <v>4261</v>
      </c>
      <c r="E2354" s="157">
        <v>41832.022916666669</v>
      </c>
      <c r="F2354" s="157">
        <v>41832.09375</v>
      </c>
      <c r="G2354" s="98">
        <v>260</v>
      </c>
      <c r="H2354" s="98">
        <v>330</v>
      </c>
      <c r="I2354" s="98">
        <v>300</v>
      </c>
      <c r="J2354" s="98" t="s">
        <v>1985</v>
      </c>
      <c r="K2354" s="98" t="s">
        <v>2660</v>
      </c>
      <c r="L2354" s="105" t="str">
        <f t="shared" si="400"/>
        <v>Mill Creek</v>
      </c>
      <c r="M2354" s="105" t="str">
        <f t="shared" si="401"/>
        <v>Derate</v>
      </c>
      <c r="N2354" s="105" t="str">
        <f t="shared" si="402"/>
        <v>Coal</v>
      </c>
      <c r="O2354" s="105">
        <f>IFERROR(VLOOKUP(A2354,Lookup!$J$5:$P$19,7,FALSE),0)</f>
        <v>2</v>
      </c>
      <c r="P2354" s="159">
        <f t="shared" si="403"/>
        <v>2014</v>
      </c>
      <c r="Q2354" s="159">
        <f t="shared" si="404"/>
        <v>7</v>
      </c>
      <c r="R2354" s="160">
        <f t="shared" si="405"/>
        <v>1.6999999999534339</v>
      </c>
      <c r="S2354" s="158">
        <f t="shared" si="406"/>
        <v>0.36060606059618294</v>
      </c>
      <c r="T2354" s="161">
        <f t="shared" si="407"/>
        <v>108.18181817885488</v>
      </c>
      <c r="U2354" s="158">
        <f t="shared" si="409"/>
        <v>63.636363636363633</v>
      </c>
      <c r="V2354" s="160">
        <f t="shared" si="408"/>
        <v>64</v>
      </c>
    </row>
    <row r="2355" spans="1:22" x14ac:dyDescent="0.25">
      <c r="A2355" s="98" t="s">
        <v>23</v>
      </c>
      <c r="B2355" s="98" t="s">
        <v>17</v>
      </c>
      <c r="C2355" s="98">
        <v>131</v>
      </c>
      <c r="D2355" s="98">
        <v>360</v>
      </c>
      <c r="E2355" s="157">
        <v>41837.651388888888</v>
      </c>
      <c r="F2355" s="157">
        <v>41837.670138888891</v>
      </c>
      <c r="G2355" s="98">
        <v>250</v>
      </c>
      <c r="H2355" s="98">
        <v>330</v>
      </c>
      <c r="I2355" s="98">
        <v>300</v>
      </c>
      <c r="J2355" s="98" t="s">
        <v>229</v>
      </c>
      <c r="K2355" s="98" t="s">
        <v>2659</v>
      </c>
      <c r="L2355" s="105" t="str">
        <f t="shared" si="400"/>
        <v>Mill Creek</v>
      </c>
      <c r="M2355" s="105" t="str">
        <f t="shared" si="401"/>
        <v>Derate</v>
      </c>
      <c r="N2355" s="105" t="str">
        <f t="shared" si="402"/>
        <v>Coal</v>
      </c>
      <c r="O2355" s="105">
        <f>IFERROR(VLOOKUP(A2355,Lookup!$J$5:$P$19,7,FALSE),0)</f>
        <v>2</v>
      </c>
      <c r="P2355" s="159">
        <f t="shared" si="403"/>
        <v>2014</v>
      </c>
      <c r="Q2355" s="159">
        <f t="shared" si="404"/>
        <v>7</v>
      </c>
      <c r="R2355" s="160">
        <f t="shared" si="405"/>
        <v>0.45000000006984919</v>
      </c>
      <c r="S2355" s="158">
        <f t="shared" si="406"/>
        <v>0.10909090910784223</v>
      </c>
      <c r="T2355" s="161">
        <f t="shared" si="407"/>
        <v>32.727272732352674</v>
      </c>
      <c r="U2355" s="158">
        <f t="shared" si="409"/>
        <v>72.727272727272734</v>
      </c>
      <c r="V2355" s="160">
        <f t="shared" si="408"/>
        <v>73</v>
      </c>
    </row>
    <row r="2356" spans="1:22" x14ac:dyDescent="0.25">
      <c r="A2356" s="98" t="s">
        <v>23</v>
      </c>
      <c r="B2356" s="98" t="s">
        <v>79</v>
      </c>
      <c r="C2356" s="98">
        <v>132</v>
      </c>
      <c r="D2356" s="98">
        <v>8460</v>
      </c>
      <c r="E2356" s="157">
        <v>41843.40625</v>
      </c>
      <c r="F2356" s="157">
        <v>41843.581944444442</v>
      </c>
      <c r="G2356" s="98">
        <v>0</v>
      </c>
      <c r="H2356" s="98">
        <v>330</v>
      </c>
      <c r="I2356" s="98">
        <v>300</v>
      </c>
      <c r="J2356" s="98" t="s">
        <v>2651</v>
      </c>
      <c r="K2356" s="98" t="s">
        <v>2661</v>
      </c>
      <c r="L2356" s="105" t="str">
        <f t="shared" si="400"/>
        <v>Mill Creek</v>
      </c>
      <c r="M2356" s="105" t="str">
        <f t="shared" si="401"/>
        <v>Other</v>
      </c>
      <c r="N2356" s="105" t="str">
        <f t="shared" si="402"/>
        <v>Coal</v>
      </c>
      <c r="O2356" s="105">
        <f>IFERROR(VLOOKUP(A2356,Lookup!$J$5:$P$19,7,FALSE),0)</f>
        <v>2</v>
      </c>
      <c r="P2356" s="159">
        <f t="shared" si="403"/>
        <v>2014</v>
      </c>
      <c r="Q2356" s="159">
        <f t="shared" si="404"/>
        <v>7</v>
      </c>
      <c r="R2356" s="160">
        <f t="shared" si="405"/>
        <v>4.21666666661622</v>
      </c>
      <c r="S2356" s="158">
        <f t="shared" si="406"/>
        <v>4.21666666661622</v>
      </c>
      <c r="T2356" s="161">
        <f t="shared" si="407"/>
        <v>1264.999999984866</v>
      </c>
      <c r="U2356" s="158">
        <f t="shared" si="409"/>
        <v>300</v>
      </c>
      <c r="V2356" s="160">
        <f t="shared" si="408"/>
        <v>300</v>
      </c>
    </row>
    <row r="2357" spans="1:22" x14ac:dyDescent="0.25">
      <c r="A2357" s="98" t="s">
        <v>23</v>
      </c>
      <c r="B2357" s="98" t="s">
        <v>17</v>
      </c>
      <c r="C2357" s="98">
        <v>133</v>
      </c>
      <c r="D2357" s="98">
        <v>250</v>
      </c>
      <c r="E2357" s="157">
        <v>41847.736111111109</v>
      </c>
      <c r="F2357" s="157">
        <v>41847.847222222219</v>
      </c>
      <c r="G2357" s="98">
        <v>298</v>
      </c>
      <c r="H2357" s="98">
        <v>330</v>
      </c>
      <c r="I2357" s="98">
        <v>300</v>
      </c>
      <c r="J2357" s="98" t="s">
        <v>1978</v>
      </c>
      <c r="K2357" s="98" t="s">
        <v>2662</v>
      </c>
      <c r="L2357" s="105" t="str">
        <f t="shared" si="400"/>
        <v>Mill Creek</v>
      </c>
      <c r="M2357" s="105" t="str">
        <f t="shared" si="401"/>
        <v>Derate</v>
      </c>
      <c r="N2357" s="105" t="str">
        <f t="shared" si="402"/>
        <v>Coal</v>
      </c>
      <c r="O2357" s="105">
        <f>IFERROR(VLOOKUP(A2357,Lookup!$J$5:$P$19,7,FALSE),0)</f>
        <v>2</v>
      </c>
      <c r="P2357" s="159">
        <f t="shared" si="403"/>
        <v>2014</v>
      </c>
      <c r="Q2357" s="159">
        <f t="shared" si="404"/>
        <v>7</v>
      </c>
      <c r="R2357" s="160">
        <f t="shared" si="405"/>
        <v>2.6666666666278616</v>
      </c>
      <c r="S2357" s="158">
        <f t="shared" si="406"/>
        <v>0.25858585858209565</v>
      </c>
      <c r="T2357" s="161">
        <f t="shared" si="407"/>
        <v>77.575757574628696</v>
      </c>
      <c r="U2357" s="158">
        <f t="shared" si="409"/>
        <v>29.09090909090909</v>
      </c>
      <c r="V2357" s="160">
        <f t="shared" si="408"/>
        <v>29</v>
      </c>
    </row>
    <row r="2358" spans="1:22" x14ac:dyDescent="0.25">
      <c r="A2358" s="98" t="s">
        <v>23</v>
      </c>
      <c r="B2358" s="98" t="s">
        <v>15</v>
      </c>
      <c r="C2358" s="98">
        <v>134</v>
      </c>
      <c r="D2358" s="98">
        <v>4499</v>
      </c>
      <c r="E2358" s="157">
        <v>41849.090277777781</v>
      </c>
      <c r="F2358" s="157">
        <v>41849.259027777778</v>
      </c>
      <c r="G2358" s="98">
        <v>0</v>
      </c>
      <c r="H2358" s="98">
        <v>330</v>
      </c>
      <c r="I2358" s="98">
        <v>300</v>
      </c>
      <c r="J2358" s="98" t="s">
        <v>2082</v>
      </c>
      <c r="K2358" s="98" t="s">
        <v>2663</v>
      </c>
      <c r="L2358" s="105" t="str">
        <f t="shared" si="400"/>
        <v>Mill Creek</v>
      </c>
      <c r="M2358" s="105" t="str">
        <f t="shared" si="401"/>
        <v>Outage</v>
      </c>
      <c r="N2358" s="105" t="str">
        <f t="shared" si="402"/>
        <v>Coal</v>
      </c>
      <c r="O2358" s="105">
        <f>IFERROR(VLOOKUP(A2358,Lookup!$J$5:$P$19,7,FALSE),0)</f>
        <v>2</v>
      </c>
      <c r="P2358" s="159">
        <f t="shared" si="403"/>
        <v>2014</v>
      </c>
      <c r="Q2358" s="159">
        <f t="shared" si="404"/>
        <v>7</v>
      </c>
      <c r="R2358" s="160">
        <f t="shared" si="405"/>
        <v>4.0499999999301508</v>
      </c>
      <c r="S2358" s="158">
        <f t="shared" si="406"/>
        <v>4.0499999999301508</v>
      </c>
      <c r="T2358" s="161">
        <f t="shared" si="407"/>
        <v>1214.9999999790452</v>
      </c>
      <c r="U2358" s="158">
        <f t="shared" si="409"/>
        <v>300</v>
      </c>
      <c r="V2358" s="160">
        <f t="shared" si="408"/>
        <v>300</v>
      </c>
    </row>
    <row r="2359" spans="1:22" x14ac:dyDescent="0.25">
      <c r="A2359" s="98" t="s">
        <v>23</v>
      </c>
      <c r="B2359" s="98" t="s">
        <v>79</v>
      </c>
      <c r="C2359" s="98">
        <v>135</v>
      </c>
      <c r="D2359" s="98">
        <v>1850</v>
      </c>
      <c r="E2359" s="157">
        <v>41849.259027777778</v>
      </c>
      <c r="F2359" s="157">
        <v>41849.423611111109</v>
      </c>
      <c r="G2359" s="98">
        <v>0</v>
      </c>
      <c r="H2359" s="98">
        <v>330</v>
      </c>
      <c r="I2359" s="98">
        <v>300</v>
      </c>
      <c r="J2359" s="98" t="s">
        <v>2263</v>
      </c>
      <c r="K2359" s="98" t="s">
        <v>87</v>
      </c>
      <c r="L2359" s="105" t="str">
        <f t="shared" si="400"/>
        <v>Mill Creek</v>
      </c>
      <c r="M2359" s="105" t="str">
        <f t="shared" si="401"/>
        <v>Other</v>
      </c>
      <c r="N2359" s="105" t="str">
        <f t="shared" si="402"/>
        <v>Coal</v>
      </c>
      <c r="O2359" s="105">
        <f>IFERROR(VLOOKUP(A2359,Lookup!$J$5:$P$19,7,FALSE),0)</f>
        <v>2</v>
      </c>
      <c r="P2359" s="159">
        <f t="shared" si="403"/>
        <v>2014</v>
      </c>
      <c r="Q2359" s="159">
        <f t="shared" si="404"/>
        <v>7</v>
      </c>
      <c r="R2359" s="160">
        <f t="shared" si="405"/>
        <v>3.9499999999534339</v>
      </c>
      <c r="S2359" s="158">
        <f t="shared" si="406"/>
        <v>3.9499999999534339</v>
      </c>
      <c r="T2359" s="161">
        <f t="shared" si="407"/>
        <v>1184.9999999860302</v>
      </c>
      <c r="U2359" s="158">
        <f t="shared" si="409"/>
        <v>300</v>
      </c>
      <c r="V2359" s="160">
        <f t="shared" si="408"/>
        <v>300</v>
      </c>
    </row>
    <row r="2360" spans="1:22" x14ac:dyDescent="0.25">
      <c r="A2360" s="98" t="s">
        <v>23</v>
      </c>
      <c r="B2360" s="98" t="s">
        <v>105</v>
      </c>
      <c r="C2360" s="98">
        <v>136</v>
      </c>
      <c r="D2360" s="98">
        <v>310</v>
      </c>
      <c r="E2360" s="157">
        <v>41850.958333333336</v>
      </c>
      <c r="F2360" s="157">
        <v>41851.159722222219</v>
      </c>
      <c r="G2360" s="98">
        <v>240</v>
      </c>
      <c r="H2360" s="98">
        <v>330</v>
      </c>
      <c r="I2360" s="98">
        <v>300</v>
      </c>
      <c r="J2360" s="98" t="s">
        <v>1966</v>
      </c>
      <c r="K2360" s="98" t="s">
        <v>240</v>
      </c>
      <c r="L2360" s="105" t="str">
        <f t="shared" si="400"/>
        <v>Mill Creek</v>
      </c>
      <c r="M2360" s="105" t="str">
        <f t="shared" si="401"/>
        <v>Derate</v>
      </c>
      <c r="N2360" s="105" t="str">
        <f t="shared" si="402"/>
        <v>Coal</v>
      </c>
      <c r="O2360" s="105">
        <f>IFERROR(VLOOKUP(A2360,Lookup!$J$5:$P$19,7,FALSE),0)</f>
        <v>2</v>
      </c>
      <c r="P2360" s="159">
        <f t="shared" si="403"/>
        <v>2014</v>
      </c>
      <c r="Q2360" s="159">
        <f t="shared" si="404"/>
        <v>7</v>
      </c>
      <c r="R2360" s="160">
        <f t="shared" si="405"/>
        <v>4.8333333331975155</v>
      </c>
      <c r="S2360" s="158">
        <f t="shared" si="406"/>
        <v>1.3181818181447769</v>
      </c>
      <c r="T2360" s="161">
        <f t="shared" si="407"/>
        <v>395.45454544343306</v>
      </c>
      <c r="U2360" s="158">
        <f t="shared" si="409"/>
        <v>81.818181818181813</v>
      </c>
      <c r="V2360" s="160">
        <f t="shared" si="408"/>
        <v>82</v>
      </c>
    </row>
    <row r="2361" spans="1:22" x14ac:dyDescent="0.25">
      <c r="A2361" s="98" t="s">
        <v>23</v>
      </c>
      <c r="B2361" s="98" t="s">
        <v>105</v>
      </c>
      <c r="C2361" s="98">
        <v>137</v>
      </c>
      <c r="D2361" s="98">
        <v>310</v>
      </c>
      <c r="E2361" s="157">
        <v>41851.916666666664</v>
      </c>
      <c r="F2361" s="157">
        <v>41852.142361111109</v>
      </c>
      <c r="G2361" s="98">
        <v>240</v>
      </c>
      <c r="H2361" s="98">
        <v>330</v>
      </c>
      <c r="I2361" s="98">
        <v>300</v>
      </c>
      <c r="J2361" s="98" t="s">
        <v>1966</v>
      </c>
      <c r="K2361" s="98" t="s">
        <v>2664</v>
      </c>
      <c r="L2361" s="105" t="str">
        <f t="shared" si="400"/>
        <v>Mill Creek</v>
      </c>
      <c r="M2361" s="105" t="str">
        <f t="shared" si="401"/>
        <v>Derate</v>
      </c>
      <c r="N2361" s="105" t="str">
        <f t="shared" si="402"/>
        <v>Coal</v>
      </c>
      <c r="O2361" s="105">
        <f>IFERROR(VLOOKUP(A2361,Lookup!$J$5:$P$19,7,FALSE),0)</f>
        <v>2</v>
      </c>
      <c r="P2361" s="159">
        <f t="shared" si="403"/>
        <v>2014</v>
      </c>
      <c r="Q2361" s="159">
        <f t="shared" si="404"/>
        <v>7</v>
      </c>
      <c r="R2361" s="160">
        <f t="shared" si="405"/>
        <v>5.4166666666860692</v>
      </c>
      <c r="S2361" s="158">
        <f t="shared" si="406"/>
        <v>1.4772727272780188</v>
      </c>
      <c r="T2361" s="161">
        <f t="shared" si="407"/>
        <v>443.18181818340565</v>
      </c>
      <c r="U2361" s="158">
        <f t="shared" si="409"/>
        <v>81.818181818181813</v>
      </c>
      <c r="V2361" s="160">
        <f t="shared" si="408"/>
        <v>82</v>
      </c>
    </row>
    <row r="2362" spans="1:22" x14ac:dyDescent="0.25">
      <c r="A2362" s="98" t="s">
        <v>23</v>
      </c>
      <c r="B2362" s="98" t="s">
        <v>79</v>
      </c>
      <c r="C2362" s="98">
        <v>138</v>
      </c>
      <c r="D2362" s="98">
        <v>4490</v>
      </c>
      <c r="E2362" s="157">
        <v>41858.40625</v>
      </c>
      <c r="F2362" s="157">
        <v>41858.729166666664</v>
      </c>
      <c r="G2362" s="98">
        <v>0</v>
      </c>
      <c r="H2362" s="98">
        <v>330</v>
      </c>
      <c r="I2362" s="98">
        <v>300</v>
      </c>
      <c r="J2362" s="98" t="s">
        <v>2084</v>
      </c>
      <c r="K2362" s="98" t="s">
        <v>2665</v>
      </c>
      <c r="L2362" s="105" t="str">
        <f t="shared" si="400"/>
        <v>Mill Creek</v>
      </c>
      <c r="M2362" s="105" t="str">
        <f t="shared" si="401"/>
        <v>Other</v>
      </c>
      <c r="N2362" s="105" t="str">
        <f t="shared" si="402"/>
        <v>Coal</v>
      </c>
      <c r="O2362" s="105">
        <f>IFERROR(VLOOKUP(A2362,Lookup!$J$5:$P$19,7,FALSE),0)</f>
        <v>2</v>
      </c>
      <c r="P2362" s="159">
        <f t="shared" si="403"/>
        <v>2014</v>
      </c>
      <c r="Q2362" s="159">
        <f t="shared" si="404"/>
        <v>8</v>
      </c>
      <c r="R2362" s="160">
        <f t="shared" si="405"/>
        <v>7.7499999999417923</v>
      </c>
      <c r="S2362" s="158">
        <f t="shared" si="406"/>
        <v>7.7499999999417923</v>
      </c>
      <c r="T2362" s="161">
        <f t="shared" si="407"/>
        <v>2324.9999999825377</v>
      </c>
      <c r="U2362" s="158">
        <f t="shared" si="409"/>
        <v>300</v>
      </c>
      <c r="V2362" s="160">
        <f t="shared" si="408"/>
        <v>300</v>
      </c>
    </row>
    <row r="2363" spans="1:22" x14ac:dyDescent="0.25">
      <c r="A2363" s="98" t="s">
        <v>23</v>
      </c>
      <c r="B2363" s="98" t="s">
        <v>79</v>
      </c>
      <c r="C2363" s="98">
        <v>139</v>
      </c>
      <c r="D2363" s="98">
        <v>4490</v>
      </c>
      <c r="E2363" s="157">
        <v>41859.208333333336</v>
      </c>
      <c r="F2363" s="157">
        <v>41859.31527777778</v>
      </c>
      <c r="G2363" s="98">
        <v>0</v>
      </c>
      <c r="H2363" s="98">
        <v>330</v>
      </c>
      <c r="I2363" s="98">
        <v>300</v>
      </c>
      <c r="J2363" s="98" t="s">
        <v>2084</v>
      </c>
      <c r="K2363" s="98" t="s">
        <v>2666</v>
      </c>
      <c r="L2363" s="105" t="str">
        <f t="shared" si="400"/>
        <v>Mill Creek</v>
      </c>
      <c r="M2363" s="105" t="str">
        <f t="shared" si="401"/>
        <v>Other</v>
      </c>
      <c r="N2363" s="105" t="str">
        <f t="shared" si="402"/>
        <v>Coal</v>
      </c>
      <c r="O2363" s="105">
        <f>IFERROR(VLOOKUP(A2363,Lookup!$J$5:$P$19,7,FALSE),0)</f>
        <v>2</v>
      </c>
      <c r="P2363" s="159">
        <f t="shared" si="403"/>
        <v>2014</v>
      </c>
      <c r="Q2363" s="159">
        <f t="shared" si="404"/>
        <v>8</v>
      </c>
      <c r="R2363" s="160">
        <f t="shared" si="405"/>
        <v>2.5666666666511446</v>
      </c>
      <c r="S2363" s="158">
        <f t="shared" si="406"/>
        <v>2.5666666666511446</v>
      </c>
      <c r="T2363" s="161">
        <f t="shared" si="407"/>
        <v>769.99999999534339</v>
      </c>
      <c r="U2363" s="158">
        <f t="shared" si="409"/>
        <v>300</v>
      </c>
      <c r="V2363" s="160">
        <f t="shared" si="408"/>
        <v>300</v>
      </c>
    </row>
    <row r="2364" spans="1:22" x14ac:dyDescent="0.25">
      <c r="A2364" s="98" t="s">
        <v>23</v>
      </c>
      <c r="B2364" s="98" t="s">
        <v>79</v>
      </c>
      <c r="C2364" s="98">
        <v>140</v>
      </c>
      <c r="D2364" s="98">
        <v>4490</v>
      </c>
      <c r="E2364" s="157">
        <v>41859.31527777778</v>
      </c>
      <c r="F2364" s="157">
        <v>41859.495833333334</v>
      </c>
      <c r="G2364" s="98">
        <v>0</v>
      </c>
      <c r="H2364" s="98">
        <v>330</v>
      </c>
      <c r="I2364" s="98">
        <v>300</v>
      </c>
      <c r="J2364" s="98" t="s">
        <v>2084</v>
      </c>
      <c r="K2364" s="98" t="s">
        <v>2667</v>
      </c>
      <c r="L2364" s="105" t="str">
        <f t="shared" si="400"/>
        <v>Mill Creek</v>
      </c>
      <c r="M2364" s="105" t="str">
        <f t="shared" si="401"/>
        <v>Other</v>
      </c>
      <c r="N2364" s="105" t="str">
        <f t="shared" si="402"/>
        <v>Coal</v>
      </c>
      <c r="O2364" s="105">
        <f>IFERROR(VLOOKUP(A2364,Lookup!$J$5:$P$19,7,FALSE),0)</f>
        <v>2</v>
      </c>
      <c r="P2364" s="159">
        <f t="shared" si="403"/>
        <v>2014</v>
      </c>
      <c r="Q2364" s="159">
        <f t="shared" si="404"/>
        <v>8</v>
      </c>
      <c r="R2364" s="160">
        <f t="shared" si="405"/>
        <v>4.3333333333139308</v>
      </c>
      <c r="S2364" s="158">
        <f t="shared" si="406"/>
        <v>4.3333333333139308</v>
      </c>
      <c r="T2364" s="161">
        <f t="shared" si="407"/>
        <v>1299.9999999941792</v>
      </c>
      <c r="U2364" s="158">
        <f t="shared" si="409"/>
        <v>300</v>
      </c>
      <c r="V2364" s="160">
        <f t="shared" si="408"/>
        <v>300</v>
      </c>
    </row>
    <row r="2365" spans="1:22" x14ac:dyDescent="0.25">
      <c r="A2365" s="98" t="s">
        <v>23</v>
      </c>
      <c r="B2365" s="98" t="s">
        <v>20</v>
      </c>
      <c r="C2365" s="98">
        <v>141</v>
      </c>
      <c r="D2365" s="98">
        <v>8650</v>
      </c>
      <c r="E2365" s="157">
        <v>41859.946527777778</v>
      </c>
      <c r="F2365" s="157">
        <v>41861.330555555556</v>
      </c>
      <c r="G2365" s="98">
        <v>0</v>
      </c>
      <c r="H2365" s="98">
        <v>330</v>
      </c>
      <c r="I2365" s="98">
        <v>300</v>
      </c>
      <c r="J2365" s="98" t="s">
        <v>2668</v>
      </c>
      <c r="K2365" s="98" t="s">
        <v>2669</v>
      </c>
      <c r="L2365" s="105" t="str">
        <f t="shared" si="400"/>
        <v>Mill Creek</v>
      </c>
      <c r="M2365" s="105" t="str">
        <f t="shared" si="401"/>
        <v>Maintenance</v>
      </c>
      <c r="N2365" s="105" t="str">
        <f t="shared" si="402"/>
        <v>Coal</v>
      </c>
      <c r="O2365" s="105">
        <f>IFERROR(VLOOKUP(A2365,Lookup!$J$5:$P$19,7,FALSE),0)</f>
        <v>2</v>
      </c>
      <c r="P2365" s="159">
        <f t="shared" si="403"/>
        <v>2014</v>
      </c>
      <c r="Q2365" s="159">
        <f t="shared" si="404"/>
        <v>8</v>
      </c>
      <c r="R2365" s="160">
        <f t="shared" si="405"/>
        <v>33.216666666674428</v>
      </c>
      <c r="S2365" s="158">
        <f t="shared" si="406"/>
        <v>33.216666666674428</v>
      </c>
      <c r="T2365" s="161">
        <f t="shared" si="407"/>
        <v>9965.0000000023283</v>
      </c>
      <c r="U2365" s="158">
        <f t="shared" si="409"/>
        <v>300</v>
      </c>
      <c r="V2365" s="160">
        <f t="shared" si="408"/>
        <v>300</v>
      </c>
    </row>
    <row r="2366" spans="1:22" x14ac:dyDescent="0.25">
      <c r="A2366" s="98" t="s">
        <v>23</v>
      </c>
      <c r="B2366" s="98" t="s">
        <v>79</v>
      </c>
      <c r="C2366" s="98">
        <v>142</v>
      </c>
      <c r="D2366" s="98">
        <v>1850</v>
      </c>
      <c r="E2366" s="157">
        <v>41861.330555555556</v>
      </c>
      <c r="F2366" s="157">
        <v>41861.604861111111</v>
      </c>
      <c r="G2366" s="98">
        <v>0</v>
      </c>
      <c r="H2366" s="98">
        <v>330</v>
      </c>
      <c r="I2366" s="98">
        <v>300</v>
      </c>
      <c r="J2366" s="98" t="s">
        <v>2263</v>
      </c>
      <c r="K2366" s="98" t="s">
        <v>86</v>
      </c>
      <c r="L2366" s="105" t="str">
        <f t="shared" si="400"/>
        <v>Mill Creek</v>
      </c>
      <c r="M2366" s="105" t="str">
        <f t="shared" si="401"/>
        <v>Other</v>
      </c>
      <c r="N2366" s="105" t="str">
        <f t="shared" si="402"/>
        <v>Coal</v>
      </c>
      <c r="O2366" s="105">
        <f>IFERROR(VLOOKUP(A2366,Lookup!$J$5:$P$19,7,FALSE),0)</f>
        <v>2</v>
      </c>
      <c r="P2366" s="159">
        <f t="shared" si="403"/>
        <v>2014</v>
      </c>
      <c r="Q2366" s="159">
        <f t="shared" si="404"/>
        <v>8</v>
      </c>
      <c r="R2366" s="160">
        <f t="shared" si="405"/>
        <v>6.5833333333139308</v>
      </c>
      <c r="S2366" s="158">
        <f t="shared" si="406"/>
        <v>6.5833333333139308</v>
      </c>
      <c r="T2366" s="161">
        <f t="shared" si="407"/>
        <v>1974.9999999941792</v>
      </c>
      <c r="U2366" s="158">
        <f t="shared" si="409"/>
        <v>300</v>
      </c>
      <c r="V2366" s="160">
        <f t="shared" si="408"/>
        <v>300</v>
      </c>
    </row>
    <row r="2367" spans="1:22" x14ac:dyDescent="0.25">
      <c r="A2367" s="98" t="s">
        <v>23</v>
      </c>
      <c r="B2367" s="98" t="s">
        <v>105</v>
      </c>
      <c r="C2367" s="98">
        <v>143</v>
      </c>
      <c r="D2367" s="98">
        <v>250</v>
      </c>
      <c r="E2367" s="157">
        <v>41862.916666666664</v>
      </c>
      <c r="F2367" s="157">
        <v>41863.063888888886</v>
      </c>
      <c r="G2367" s="98">
        <v>213</v>
      </c>
      <c r="H2367" s="98">
        <v>330</v>
      </c>
      <c r="I2367" s="98">
        <v>300</v>
      </c>
      <c r="J2367" s="98" t="s">
        <v>1978</v>
      </c>
      <c r="K2367" s="98" t="s">
        <v>2670</v>
      </c>
      <c r="L2367" s="105" t="str">
        <f t="shared" si="400"/>
        <v>Mill Creek</v>
      </c>
      <c r="M2367" s="105" t="str">
        <f t="shared" si="401"/>
        <v>Derate</v>
      </c>
      <c r="N2367" s="105" t="str">
        <f t="shared" si="402"/>
        <v>Coal</v>
      </c>
      <c r="O2367" s="105">
        <f>IFERROR(VLOOKUP(A2367,Lookup!$J$5:$P$19,7,FALSE),0)</f>
        <v>2</v>
      </c>
      <c r="P2367" s="159">
        <f t="shared" si="403"/>
        <v>2014</v>
      </c>
      <c r="Q2367" s="159">
        <f t="shared" si="404"/>
        <v>8</v>
      </c>
      <c r="R2367" s="160">
        <f t="shared" si="405"/>
        <v>3.5333333333255723</v>
      </c>
      <c r="S2367" s="158">
        <f t="shared" si="406"/>
        <v>1.2527272727245211</v>
      </c>
      <c r="T2367" s="161">
        <f t="shared" si="407"/>
        <v>375.81818181735633</v>
      </c>
      <c r="U2367" s="158">
        <f t="shared" si="409"/>
        <v>106.36363636363636</v>
      </c>
      <c r="V2367" s="160">
        <f t="shared" si="408"/>
        <v>106</v>
      </c>
    </row>
    <row r="2368" spans="1:22" x14ac:dyDescent="0.25">
      <c r="A2368" s="98" t="s">
        <v>23</v>
      </c>
      <c r="B2368" s="98" t="s">
        <v>79</v>
      </c>
      <c r="C2368" s="98">
        <v>144</v>
      </c>
      <c r="D2368" s="98">
        <v>4490</v>
      </c>
      <c r="E2368" s="157">
        <v>41863.333333333336</v>
      </c>
      <c r="F2368" s="157">
        <v>41863.520833333336</v>
      </c>
      <c r="G2368" s="98">
        <v>0</v>
      </c>
      <c r="H2368" s="98">
        <v>330</v>
      </c>
      <c r="I2368" s="98">
        <v>300</v>
      </c>
      <c r="J2368" s="98" t="s">
        <v>2084</v>
      </c>
      <c r="K2368" s="98" t="s">
        <v>1356</v>
      </c>
      <c r="L2368" s="105" t="str">
        <f t="shared" si="400"/>
        <v>Mill Creek</v>
      </c>
      <c r="M2368" s="105" t="str">
        <f t="shared" si="401"/>
        <v>Other</v>
      </c>
      <c r="N2368" s="105" t="str">
        <f t="shared" si="402"/>
        <v>Coal</v>
      </c>
      <c r="O2368" s="105">
        <f>IFERROR(VLOOKUP(A2368,Lookup!$J$5:$P$19,7,FALSE),0)</f>
        <v>2</v>
      </c>
      <c r="P2368" s="159">
        <f t="shared" si="403"/>
        <v>2014</v>
      </c>
      <c r="Q2368" s="159">
        <f t="shared" si="404"/>
        <v>8</v>
      </c>
      <c r="R2368" s="160">
        <f t="shared" si="405"/>
        <v>4.5</v>
      </c>
      <c r="S2368" s="158">
        <f t="shared" si="406"/>
        <v>4.5</v>
      </c>
      <c r="T2368" s="161">
        <f t="shared" si="407"/>
        <v>1350</v>
      </c>
      <c r="U2368" s="158">
        <f t="shared" si="409"/>
        <v>300</v>
      </c>
      <c r="V2368" s="160">
        <f t="shared" si="408"/>
        <v>300</v>
      </c>
    </row>
    <row r="2369" spans="1:22" x14ac:dyDescent="0.25">
      <c r="A2369" s="98" t="s">
        <v>23</v>
      </c>
      <c r="B2369" s="98" t="s">
        <v>15</v>
      </c>
      <c r="C2369" s="98">
        <v>145</v>
      </c>
      <c r="D2369" s="98">
        <v>800</v>
      </c>
      <c r="E2369" s="157">
        <v>41868.151388888888</v>
      </c>
      <c r="F2369" s="157">
        <v>41868.40625</v>
      </c>
      <c r="G2369" s="98">
        <v>0</v>
      </c>
      <c r="H2369" s="98">
        <v>330</v>
      </c>
      <c r="I2369" s="98">
        <v>300</v>
      </c>
      <c r="J2369" s="98" t="s">
        <v>2197</v>
      </c>
      <c r="K2369" s="98" t="s">
        <v>2671</v>
      </c>
      <c r="L2369" s="105" t="str">
        <f t="shared" si="400"/>
        <v>Mill Creek</v>
      </c>
      <c r="M2369" s="105" t="str">
        <f t="shared" si="401"/>
        <v>Outage</v>
      </c>
      <c r="N2369" s="105" t="str">
        <f t="shared" si="402"/>
        <v>Coal</v>
      </c>
      <c r="O2369" s="105">
        <f>IFERROR(VLOOKUP(A2369,Lookup!$J$5:$P$19,7,FALSE),0)</f>
        <v>2</v>
      </c>
      <c r="P2369" s="159">
        <f t="shared" si="403"/>
        <v>2014</v>
      </c>
      <c r="Q2369" s="159">
        <f t="shared" si="404"/>
        <v>8</v>
      </c>
      <c r="R2369" s="160">
        <f t="shared" si="405"/>
        <v>6.1166666666977108</v>
      </c>
      <c r="S2369" s="158">
        <f t="shared" si="406"/>
        <v>6.1166666666977108</v>
      </c>
      <c r="T2369" s="161">
        <f t="shared" si="407"/>
        <v>1835.0000000093132</v>
      </c>
      <c r="U2369" s="158">
        <f t="shared" si="409"/>
        <v>300</v>
      </c>
      <c r="V2369" s="160">
        <f t="shared" si="408"/>
        <v>300</v>
      </c>
    </row>
    <row r="2370" spans="1:22" x14ac:dyDescent="0.25">
      <c r="A2370" s="98" t="s">
        <v>23</v>
      </c>
      <c r="B2370" s="98" t="s">
        <v>79</v>
      </c>
      <c r="C2370" s="98">
        <v>146</v>
      </c>
      <c r="D2370" s="98">
        <v>1850</v>
      </c>
      <c r="E2370" s="157">
        <v>41868.40625</v>
      </c>
      <c r="F2370" s="157">
        <v>41868.592361111114</v>
      </c>
      <c r="G2370" s="98">
        <v>0</v>
      </c>
      <c r="H2370" s="98">
        <v>330</v>
      </c>
      <c r="I2370" s="98">
        <v>300</v>
      </c>
      <c r="J2370" s="98" t="s">
        <v>2263</v>
      </c>
      <c r="K2370" s="98" t="s">
        <v>86</v>
      </c>
      <c r="L2370" s="105" t="str">
        <f t="shared" si="400"/>
        <v>Mill Creek</v>
      </c>
      <c r="M2370" s="105" t="str">
        <f t="shared" si="401"/>
        <v>Other</v>
      </c>
      <c r="N2370" s="105" t="str">
        <f t="shared" si="402"/>
        <v>Coal</v>
      </c>
      <c r="O2370" s="105">
        <f>IFERROR(VLOOKUP(A2370,Lookup!$J$5:$P$19,7,FALSE),0)</f>
        <v>2</v>
      </c>
      <c r="P2370" s="159">
        <f t="shared" si="403"/>
        <v>2014</v>
      </c>
      <c r="Q2370" s="159">
        <f t="shared" si="404"/>
        <v>8</v>
      </c>
      <c r="R2370" s="160">
        <f t="shared" si="405"/>
        <v>4.4666666667326353</v>
      </c>
      <c r="S2370" s="158">
        <f t="shared" si="406"/>
        <v>4.4666666667326353</v>
      </c>
      <c r="T2370" s="161">
        <f t="shared" si="407"/>
        <v>1340.0000000197906</v>
      </c>
      <c r="U2370" s="158">
        <f t="shared" si="409"/>
        <v>300</v>
      </c>
      <c r="V2370" s="160">
        <f t="shared" si="408"/>
        <v>300</v>
      </c>
    </row>
    <row r="2371" spans="1:22" x14ac:dyDescent="0.25">
      <c r="A2371" s="98" t="s">
        <v>23</v>
      </c>
      <c r="B2371" s="98" t="s">
        <v>17</v>
      </c>
      <c r="C2371" s="98">
        <v>147</v>
      </c>
      <c r="D2371" s="98">
        <v>250</v>
      </c>
      <c r="E2371" s="157">
        <v>41869.836805555555</v>
      </c>
      <c r="F2371" s="157">
        <v>41869.854166666664</v>
      </c>
      <c r="G2371" s="98">
        <v>250</v>
      </c>
      <c r="H2371" s="98">
        <v>330</v>
      </c>
      <c r="I2371" s="98">
        <v>300</v>
      </c>
      <c r="J2371" s="98" t="s">
        <v>1978</v>
      </c>
      <c r="K2371" s="98" t="s">
        <v>2672</v>
      </c>
      <c r="L2371" s="105" t="str">
        <f t="shared" si="400"/>
        <v>Mill Creek</v>
      </c>
      <c r="M2371" s="105" t="str">
        <f t="shared" si="401"/>
        <v>Derate</v>
      </c>
      <c r="N2371" s="105" t="str">
        <f t="shared" si="402"/>
        <v>Coal</v>
      </c>
      <c r="O2371" s="105">
        <f>IFERROR(VLOOKUP(A2371,Lookup!$J$5:$P$19,7,FALSE),0)</f>
        <v>2</v>
      </c>
      <c r="P2371" s="159">
        <f t="shared" si="403"/>
        <v>2014</v>
      </c>
      <c r="Q2371" s="159">
        <f t="shared" si="404"/>
        <v>8</v>
      </c>
      <c r="R2371" s="160">
        <f t="shared" si="405"/>
        <v>0.41666666662786156</v>
      </c>
      <c r="S2371" s="158">
        <f t="shared" si="406"/>
        <v>0.10101010100069371</v>
      </c>
      <c r="T2371" s="161">
        <f t="shared" si="407"/>
        <v>30.303030300208114</v>
      </c>
      <c r="U2371" s="158">
        <f t="shared" si="409"/>
        <v>72.727272727272734</v>
      </c>
      <c r="V2371" s="160">
        <f t="shared" si="408"/>
        <v>73</v>
      </c>
    </row>
    <row r="2372" spans="1:22" x14ac:dyDescent="0.25">
      <c r="A2372" s="98" t="s">
        <v>23</v>
      </c>
      <c r="B2372" s="98" t="s">
        <v>105</v>
      </c>
      <c r="C2372" s="98">
        <v>148</v>
      </c>
      <c r="D2372" s="98">
        <v>310</v>
      </c>
      <c r="E2372" s="157">
        <v>41871.958333333336</v>
      </c>
      <c r="F2372" s="157">
        <v>41872.042361111111</v>
      </c>
      <c r="G2372" s="98">
        <v>240</v>
      </c>
      <c r="H2372" s="98">
        <v>330</v>
      </c>
      <c r="I2372" s="98">
        <v>300</v>
      </c>
      <c r="J2372" s="98" t="s">
        <v>1966</v>
      </c>
      <c r="K2372" s="98" t="s">
        <v>2673</v>
      </c>
      <c r="L2372" s="105" t="str">
        <f t="shared" si="400"/>
        <v>Mill Creek</v>
      </c>
      <c r="M2372" s="105" t="str">
        <f t="shared" si="401"/>
        <v>Derate</v>
      </c>
      <c r="N2372" s="105" t="str">
        <f t="shared" si="402"/>
        <v>Coal</v>
      </c>
      <c r="O2372" s="105">
        <f>IFERROR(VLOOKUP(A2372,Lookup!$J$5:$P$19,7,FALSE),0)</f>
        <v>2</v>
      </c>
      <c r="P2372" s="159">
        <f t="shared" si="403"/>
        <v>2014</v>
      </c>
      <c r="Q2372" s="159">
        <f t="shared" si="404"/>
        <v>8</v>
      </c>
      <c r="R2372" s="160">
        <f t="shared" si="405"/>
        <v>2.0166666666045785</v>
      </c>
      <c r="S2372" s="158">
        <f t="shared" si="406"/>
        <v>0.54999999998306681</v>
      </c>
      <c r="T2372" s="161">
        <f t="shared" si="407"/>
        <v>164.99999999492005</v>
      </c>
      <c r="U2372" s="158">
        <f t="shared" si="409"/>
        <v>81.818181818181813</v>
      </c>
      <c r="V2372" s="160">
        <f t="shared" si="408"/>
        <v>82</v>
      </c>
    </row>
    <row r="2373" spans="1:22" x14ac:dyDescent="0.25">
      <c r="A2373" s="98" t="s">
        <v>23</v>
      </c>
      <c r="B2373" s="98" t="s">
        <v>79</v>
      </c>
      <c r="C2373" s="98">
        <v>149</v>
      </c>
      <c r="D2373" s="98">
        <v>1160</v>
      </c>
      <c r="E2373" s="157">
        <v>41874.020833333336</v>
      </c>
      <c r="F2373" s="157">
        <v>41874.194444444445</v>
      </c>
      <c r="G2373" s="98">
        <v>0</v>
      </c>
      <c r="H2373" s="98">
        <v>330</v>
      </c>
      <c r="I2373" s="98">
        <v>300</v>
      </c>
      <c r="J2373" s="98" t="s">
        <v>2273</v>
      </c>
      <c r="K2373" s="98" t="s">
        <v>2674</v>
      </c>
      <c r="L2373" s="105" t="str">
        <f t="shared" si="400"/>
        <v>Mill Creek</v>
      </c>
      <c r="M2373" s="105" t="str">
        <f t="shared" si="401"/>
        <v>Other</v>
      </c>
      <c r="N2373" s="105" t="str">
        <f t="shared" si="402"/>
        <v>Coal</v>
      </c>
      <c r="O2373" s="105">
        <f>IFERROR(VLOOKUP(A2373,Lookup!$J$5:$P$19,7,FALSE),0)</f>
        <v>2</v>
      </c>
      <c r="P2373" s="159">
        <f t="shared" si="403"/>
        <v>2014</v>
      </c>
      <c r="Q2373" s="159">
        <f t="shared" si="404"/>
        <v>8</v>
      </c>
      <c r="R2373" s="160">
        <f t="shared" si="405"/>
        <v>4.1666666666278616</v>
      </c>
      <c r="S2373" s="158">
        <f t="shared" si="406"/>
        <v>4.1666666666278616</v>
      </c>
      <c r="T2373" s="161">
        <f t="shared" si="407"/>
        <v>1249.9999999883585</v>
      </c>
      <c r="U2373" s="158">
        <f t="shared" si="409"/>
        <v>300</v>
      </c>
      <c r="V2373" s="160">
        <f t="shared" si="408"/>
        <v>300</v>
      </c>
    </row>
    <row r="2374" spans="1:22" x14ac:dyDescent="0.25">
      <c r="A2374" s="98" t="s">
        <v>23</v>
      </c>
      <c r="B2374" s="98" t="s">
        <v>79</v>
      </c>
      <c r="C2374" s="98">
        <v>150</v>
      </c>
      <c r="D2374" s="98">
        <v>1160</v>
      </c>
      <c r="E2374" s="157">
        <v>41874.9375</v>
      </c>
      <c r="F2374" s="157">
        <v>41875.220833333333</v>
      </c>
      <c r="G2374" s="98">
        <v>0</v>
      </c>
      <c r="H2374" s="98">
        <v>330</v>
      </c>
      <c r="I2374" s="98">
        <v>300</v>
      </c>
      <c r="J2374" s="98" t="s">
        <v>2273</v>
      </c>
      <c r="K2374" s="98" t="s">
        <v>2674</v>
      </c>
      <c r="L2374" s="105" t="str">
        <f t="shared" si="400"/>
        <v>Mill Creek</v>
      </c>
      <c r="M2374" s="105" t="str">
        <f t="shared" si="401"/>
        <v>Other</v>
      </c>
      <c r="N2374" s="105" t="str">
        <f t="shared" si="402"/>
        <v>Coal</v>
      </c>
      <c r="O2374" s="105">
        <f>IFERROR(VLOOKUP(A2374,Lookup!$J$5:$P$19,7,FALSE),0)</f>
        <v>2</v>
      </c>
      <c r="P2374" s="159">
        <f t="shared" si="403"/>
        <v>2014</v>
      </c>
      <c r="Q2374" s="159">
        <f t="shared" si="404"/>
        <v>8</v>
      </c>
      <c r="R2374" s="160">
        <f t="shared" si="405"/>
        <v>6.7999999999883585</v>
      </c>
      <c r="S2374" s="158">
        <f t="shared" si="406"/>
        <v>6.7999999999883585</v>
      </c>
      <c r="T2374" s="161">
        <f t="shared" si="407"/>
        <v>2039.9999999965075</v>
      </c>
      <c r="U2374" s="158">
        <f t="shared" si="409"/>
        <v>300</v>
      </c>
      <c r="V2374" s="160">
        <f t="shared" si="408"/>
        <v>300</v>
      </c>
    </row>
    <row r="2375" spans="1:22" x14ac:dyDescent="0.25">
      <c r="A2375" s="98" t="s">
        <v>23</v>
      </c>
      <c r="B2375" s="98" t="s">
        <v>17</v>
      </c>
      <c r="C2375" s="98">
        <v>151</v>
      </c>
      <c r="D2375" s="98">
        <v>3210</v>
      </c>
      <c r="E2375" s="157">
        <v>41875.982638888891</v>
      </c>
      <c r="F2375" s="157">
        <v>41876.051388888889</v>
      </c>
      <c r="G2375" s="98">
        <v>160</v>
      </c>
      <c r="H2375" s="98">
        <v>330</v>
      </c>
      <c r="I2375" s="98">
        <v>300</v>
      </c>
      <c r="J2375" s="98" t="s">
        <v>2048</v>
      </c>
      <c r="K2375" s="98" t="s">
        <v>2675</v>
      </c>
      <c r="L2375" s="105" t="str">
        <f t="shared" si="400"/>
        <v>Mill Creek</v>
      </c>
      <c r="M2375" s="105" t="str">
        <f t="shared" si="401"/>
        <v>Derate</v>
      </c>
      <c r="N2375" s="105" t="str">
        <f t="shared" si="402"/>
        <v>Coal</v>
      </c>
      <c r="O2375" s="105">
        <f>IFERROR(VLOOKUP(A2375,Lookup!$J$5:$P$19,7,FALSE),0)</f>
        <v>2</v>
      </c>
      <c r="P2375" s="159">
        <f t="shared" si="403"/>
        <v>2014</v>
      </c>
      <c r="Q2375" s="159">
        <f t="shared" si="404"/>
        <v>8</v>
      </c>
      <c r="R2375" s="160">
        <f t="shared" si="405"/>
        <v>1.6499999999650754</v>
      </c>
      <c r="S2375" s="158">
        <f t="shared" si="406"/>
        <v>0.84999999998200859</v>
      </c>
      <c r="T2375" s="161">
        <f t="shared" si="407"/>
        <v>254.99999999460258</v>
      </c>
      <c r="U2375" s="158">
        <f t="shared" si="409"/>
        <v>154.54545454545453</v>
      </c>
      <c r="V2375" s="160">
        <f t="shared" si="408"/>
        <v>155</v>
      </c>
    </row>
    <row r="2376" spans="1:22" x14ac:dyDescent="0.25">
      <c r="A2376" s="98" t="s">
        <v>23</v>
      </c>
      <c r="B2376" s="98" t="s">
        <v>17</v>
      </c>
      <c r="C2376" s="98">
        <v>152</v>
      </c>
      <c r="D2376" s="98">
        <v>3211</v>
      </c>
      <c r="E2376" s="157">
        <v>41876.051388888889</v>
      </c>
      <c r="F2376" s="157">
        <v>41876.341666666667</v>
      </c>
      <c r="G2376" s="98">
        <v>260</v>
      </c>
      <c r="H2376" s="98">
        <v>330</v>
      </c>
      <c r="I2376" s="98">
        <v>300</v>
      </c>
      <c r="J2376" s="98" t="s">
        <v>2180</v>
      </c>
      <c r="K2376" s="98" t="s">
        <v>2676</v>
      </c>
      <c r="L2376" s="105" t="str">
        <f t="shared" si="400"/>
        <v>Mill Creek</v>
      </c>
      <c r="M2376" s="105" t="str">
        <f t="shared" si="401"/>
        <v>Derate</v>
      </c>
      <c r="N2376" s="105" t="str">
        <f t="shared" si="402"/>
        <v>Coal</v>
      </c>
      <c r="O2376" s="105">
        <f>IFERROR(VLOOKUP(A2376,Lookup!$J$5:$P$19,7,FALSE),0)</f>
        <v>2</v>
      </c>
      <c r="P2376" s="159">
        <f t="shared" si="403"/>
        <v>2014</v>
      </c>
      <c r="Q2376" s="159">
        <f t="shared" si="404"/>
        <v>8</v>
      </c>
      <c r="R2376" s="160">
        <f t="shared" si="405"/>
        <v>6.9666666666744277</v>
      </c>
      <c r="S2376" s="158">
        <f t="shared" si="406"/>
        <v>1.4777777777794241</v>
      </c>
      <c r="T2376" s="161">
        <f t="shared" si="407"/>
        <v>443.33333333382723</v>
      </c>
      <c r="U2376" s="158">
        <f t="shared" si="409"/>
        <v>63.636363636363633</v>
      </c>
      <c r="V2376" s="160">
        <f t="shared" si="408"/>
        <v>64</v>
      </c>
    </row>
    <row r="2377" spans="1:22" x14ac:dyDescent="0.25">
      <c r="A2377" s="98" t="s">
        <v>23</v>
      </c>
      <c r="B2377" s="98" t="s">
        <v>17</v>
      </c>
      <c r="C2377" s="98">
        <v>153</v>
      </c>
      <c r="D2377" s="98">
        <v>3211</v>
      </c>
      <c r="E2377" s="157">
        <v>41876.341666666667</v>
      </c>
      <c r="F2377" s="157">
        <v>41876.643750000003</v>
      </c>
      <c r="G2377" s="98">
        <v>290</v>
      </c>
      <c r="H2377" s="98">
        <v>330</v>
      </c>
      <c r="I2377" s="98">
        <v>300</v>
      </c>
      <c r="J2377" s="98" t="s">
        <v>2180</v>
      </c>
      <c r="K2377" s="98" t="s">
        <v>2676</v>
      </c>
      <c r="L2377" s="105" t="str">
        <f t="shared" si="400"/>
        <v>Mill Creek</v>
      </c>
      <c r="M2377" s="105" t="str">
        <f t="shared" si="401"/>
        <v>Derate</v>
      </c>
      <c r="N2377" s="105" t="str">
        <f t="shared" si="402"/>
        <v>Coal</v>
      </c>
      <c r="O2377" s="105">
        <f>IFERROR(VLOOKUP(A2377,Lookup!$J$5:$P$19,7,FALSE),0)</f>
        <v>2</v>
      </c>
      <c r="P2377" s="159">
        <f t="shared" si="403"/>
        <v>2014</v>
      </c>
      <c r="Q2377" s="159">
        <f t="shared" si="404"/>
        <v>8</v>
      </c>
      <c r="R2377" s="160">
        <f t="shared" si="405"/>
        <v>7.2500000000582077</v>
      </c>
      <c r="S2377" s="158">
        <f t="shared" si="406"/>
        <v>0.87878787879493425</v>
      </c>
      <c r="T2377" s="161">
        <f t="shared" si="407"/>
        <v>263.63636363848025</v>
      </c>
      <c r="U2377" s="158">
        <f t="shared" si="409"/>
        <v>36.363636363636367</v>
      </c>
      <c r="V2377" s="160">
        <f t="shared" si="408"/>
        <v>36</v>
      </c>
    </row>
    <row r="2378" spans="1:22" x14ac:dyDescent="0.25">
      <c r="A2378" s="98" t="s">
        <v>23</v>
      </c>
      <c r="B2378" s="98" t="s">
        <v>17</v>
      </c>
      <c r="C2378" s="98">
        <v>154</v>
      </c>
      <c r="D2378" s="98">
        <v>3149</v>
      </c>
      <c r="E2378" s="157">
        <v>41876.643750000003</v>
      </c>
      <c r="F2378" s="157">
        <v>41877.083333333336</v>
      </c>
      <c r="G2378" s="98">
        <v>280</v>
      </c>
      <c r="H2378" s="98">
        <v>330</v>
      </c>
      <c r="I2378" s="98">
        <v>300</v>
      </c>
      <c r="J2378" s="98" t="s">
        <v>2034</v>
      </c>
      <c r="K2378" s="98" t="s">
        <v>40</v>
      </c>
      <c r="L2378" s="105" t="str">
        <f t="shared" si="400"/>
        <v>Mill Creek</v>
      </c>
      <c r="M2378" s="105" t="str">
        <f t="shared" si="401"/>
        <v>Derate</v>
      </c>
      <c r="N2378" s="105" t="str">
        <f t="shared" si="402"/>
        <v>Coal</v>
      </c>
      <c r="O2378" s="105">
        <f>IFERROR(VLOOKUP(A2378,Lookup!$J$5:$P$19,7,FALSE),0)</f>
        <v>2</v>
      </c>
      <c r="P2378" s="159">
        <f t="shared" si="403"/>
        <v>2014</v>
      </c>
      <c r="Q2378" s="159">
        <f t="shared" si="404"/>
        <v>8</v>
      </c>
      <c r="R2378" s="160">
        <f t="shared" si="405"/>
        <v>10.549999999988358</v>
      </c>
      <c r="S2378" s="158">
        <f t="shared" si="406"/>
        <v>1.5984848484830847</v>
      </c>
      <c r="T2378" s="161">
        <f t="shared" si="407"/>
        <v>479.54545454492541</v>
      </c>
      <c r="U2378" s="158">
        <f t="shared" si="409"/>
        <v>45.454545454545453</v>
      </c>
      <c r="V2378" s="160">
        <f t="shared" si="408"/>
        <v>45</v>
      </c>
    </row>
    <row r="2379" spans="1:22" x14ac:dyDescent="0.25">
      <c r="A2379" s="98" t="s">
        <v>23</v>
      </c>
      <c r="B2379" s="98" t="s">
        <v>17</v>
      </c>
      <c r="C2379" s="98">
        <v>155</v>
      </c>
      <c r="D2379" s="98">
        <v>3149</v>
      </c>
      <c r="E2379" s="157">
        <v>41877.083333333336</v>
      </c>
      <c r="F2379" s="157">
        <v>41877.606249999997</v>
      </c>
      <c r="G2379" s="98">
        <v>291</v>
      </c>
      <c r="H2379" s="98">
        <v>330</v>
      </c>
      <c r="I2379" s="98">
        <v>300</v>
      </c>
      <c r="J2379" s="98" t="s">
        <v>2034</v>
      </c>
      <c r="K2379" s="98" t="s">
        <v>40</v>
      </c>
      <c r="L2379" s="105" t="str">
        <f t="shared" si="400"/>
        <v>Mill Creek</v>
      </c>
      <c r="M2379" s="105" t="str">
        <f t="shared" si="401"/>
        <v>Derate</v>
      </c>
      <c r="N2379" s="105" t="str">
        <f t="shared" si="402"/>
        <v>Coal</v>
      </c>
      <c r="O2379" s="105">
        <f>IFERROR(VLOOKUP(A2379,Lookup!$J$5:$P$19,7,FALSE),0)</f>
        <v>2</v>
      </c>
      <c r="P2379" s="159">
        <f t="shared" si="403"/>
        <v>2014</v>
      </c>
      <c r="Q2379" s="159">
        <f t="shared" si="404"/>
        <v>8</v>
      </c>
      <c r="R2379" s="160">
        <f t="shared" si="405"/>
        <v>12.549999999871943</v>
      </c>
      <c r="S2379" s="158">
        <f t="shared" si="406"/>
        <v>1.4831818181666843</v>
      </c>
      <c r="T2379" s="161">
        <f t="shared" si="407"/>
        <v>444.9545454500053</v>
      </c>
      <c r="U2379" s="158">
        <f t="shared" si="409"/>
        <v>35.454545454545453</v>
      </c>
      <c r="V2379" s="160">
        <f t="shared" si="408"/>
        <v>35</v>
      </c>
    </row>
    <row r="2380" spans="1:22" x14ac:dyDescent="0.25">
      <c r="A2380" s="98" t="s">
        <v>23</v>
      </c>
      <c r="B2380" s="98" t="s">
        <v>17</v>
      </c>
      <c r="C2380" s="98">
        <v>156</v>
      </c>
      <c r="D2380" s="98">
        <v>3149</v>
      </c>
      <c r="E2380" s="157">
        <v>41877.606249999997</v>
      </c>
      <c r="F2380" s="157">
        <v>41877.727083333331</v>
      </c>
      <c r="G2380" s="98">
        <v>280</v>
      </c>
      <c r="H2380" s="98">
        <v>330</v>
      </c>
      <c r="I2380" s="98">
        <v>300</v>
      </c>
      <c r="J2380" s="98" t="s">
        <v>2034</v>
      </c>
      <c r="K2380" s="98" t="s">
        <v>40</v>
      </c>
      <c r="L2380" s="105" t="str">
        <f t="shared" si="400"/>
        <v>Mill Creek</v>
      </c>
      <c r="M2380" s="105" t="str">
        <f t="shared" si="401"/>
        <v>Derate</v>
      </c>
      <c r="N2380" s="105" t="str">
        <f t="shared" si="402"/>
        <v>Coal</v>
      </c>
      <c r="O2380" s="105">
        <f>IFERROR(VLOOKUP(A2380,Lookup!$J$5:$P$19,7,FALSE),0)</f>
        <v>2</v>
      </c>
      <c r="P2380" s="159">
        <f t="shared" si="403"/>
        <v>2014</v>
      </c>
      <c r="Q2380" s="159">
        <f t="shared" si="404"/>
        <v>8</v>
      </c>
      <c r="R2380" s="160">
        <f t="shared" si="405"/>
        <v>2.9000000000232831</v>
      </c>
      <c r="S2380" s="158">
        <f t="shared" si="406"/>
        <v>0.43939393939746713</v>
      </c>
      <c r="T2380" s="161">
        <f t="shared" si="407"/>
        <v>131.81818181924012</v>
      </c>
      <c r="U2380" s="158">
        <f t="shared" si="409"/>
        <v>45.454545454545453</v>
      </c>
      <c r="V2380" s="160">
        <f t="shared" si="408"/>
        <v>45</v>
      </c>
    </row>
    <row r="2381" spans="1:22" x14ac:dyDescent="0.25">
      <c r="A2381" s="98" t="s">
        <v>23</v>
      </c>
      <c r="B2381" s="98" t="s">
        <v>17</v>
      </c>
      <c r="C2381" s="98">
        <v>157</v>
      </c>
      <c r="D2381" s="98">
        <v>3149</v>
      </c>
      <c r="E2381" s="157">
        <v>41877.727083333331</v>
      </c>
      <c r="F2381" s="157">
        <v>41877.758333333331</v>
      </c>
      <c r="G2381" s="98">
        <v>270</v>
      </c>
      <c r="H2381" s="98">
        <v>330</v>
      </c>
      <c r="I2381" s="98">
        <v>300</v>
      </c>
      <c r="J2381" s="98" t="s">
        <v>2034</v>
      </c>
      <c r="K2381" s="98" t="s">
        <v>40</v>
      </c>
      <c r="L2381" s="105" t="str">
        <f t="shared" si="400"/>
        <v>Mill Creek</v>
      </c>
      <c r="M2381" s="105" t="str">
        <f t="shared" si="401"/>
        <v>Derate</v>
      </c>
      <c r="N2381" s="105" t="str">
        <f t="shared" si="402"/>
        <v>Coal</v>
      </c>
      <c r="O2381" s="105">
        <f>IFERROR(VLOOKUP(A2381,Lookup!$J$5:$P$19,7,FALSE),0)</f>
        <v>2</v>
      </c>
      <c r="P2381" s="159">
        <f t="shared" si="403"/>
        <v>2014</v>
      </c>
      <c r="Q2381" s="159">
        <f t="shared" si="404"/>
        <v>8</v>
      </c>
      <c r="R2381" s="160">
        <f t="shared" si="405"/>
        <v>0.75</v>
      </c>
      <c r="S2381" s="158">
        <f t="shared" si="406"/>
        <v>0.13636363636363635</v>
      </c>
      <c r="T2381" s="161">
        <f t="shared" si="407"/>
        <v>40.909090909090907</v>
      </c>
      <c r="U2381" s="158">
        <f t="shared" si="409"/>
        <v>54.545454545454547</v>
      </c>
      <c r="V2381" s="160">
        <f t="shared" si="408"/>
        <v>55</v>
      </c>
    </row>
    <row r="2382" spans="1:22" x14ac:dyDescent="0.25">
      <c r="A2382" s="98" t="s">
        <v>23</v>
      </c>
      <c r="B2382" s="98" t="s">
        <v>17</v>
      </c>
      <c r="C2382" s="98">
        <v>158</v>
      </c>
      <c r="D2382" s="98">
        <v>3149</v>
      </c>
      <c r="E2382" s="157">
        <v>41877.758333333331</v>
      </c>
      <c r="F2382" s="157">
        <v>41877.854166666664</v>
      </c>
      <c r="G2382" s="98">
        <v>275</v>
      </c>
      <c r="H2382" s="98">
        <v>330</v>
      </c>
      <c r="I2382" s="98">
        <v>300</v>
      </c>
      <c r="J2382" s="98" t="s">
        <v>2034</v>
      </c>
      <c r="K2382" s="98" t="s">
        <v>40</v>
      </c>
      <c r="L2382" s="105" t="str">
        <f t="shared" si="400"/>
        <v>Mill Creek</v>
      </c>
      <c r="M2382" s="105" t="str">
        <f t="shared" si="401"/>
        <v>Derate</v>
      </c>
      <c r="N2382" s="105" t="str">
        <f t="shared" si="402"/>
        <v>Coal</v>
      </c>
      <c r="O2382" s="105">
        <f>IFERROR(VLOOKUP(A2382,Lookup!$J$5:$P$19,7,FALSE),0)</f>
        <v>2</v>
      </c>
      <c r="P2382" s="159">
        <f t="shared" si="403"/>
        <v>2014</v>
      </c>
      <c r="Q2382" s="159">
        <f t="shared" si="404"/>
        <v>8</v>
      </c>
      <c r="R2382" s="160">
        <f t="shared" si="405"/>
        <v>2.2999999999883585</v>
      </c>
      <c r="S2382" s="158">
        <f t="shared" si="406"/>
        <v>0.38333333333139308</v>
      </c>
      <c r="T2382" s="161">
        <f t="shared" si="407"/>
        <v>114.99999999941792</v>
      </c>
      <c r="U2382" s="158">
        <f t="shared" si="409"/>
        <v>50</v>
      </c>
      <c r="V2382" s="160">
        <f t="shared" si="408"/>
        <v>50</v>
      </c>
    </row>
    <row r="2383" spans="1:22" x14ac:dyDescent="0.25">
      <c r="A2383" s="98" t="s">
        <v>23</v>
      </c>
      <c r="B2383" s="98" t="s">
        <v>17</v>
      </c>
      <c r="C2383" s="98">
        <v>159</v>
      </c>
      <c r="D2383" s="98">
        <v>3149</v>
      </c>
      <c r="E2383" s="157">
        <v>41877.854166666664</v>
      </c>
      <c r="F2383" s="157">
        <v>41877.989583333336</v>
      </c>
      <c r="G2383" s="98">
        <v>280</v>
      </c>
      <c r="H2383" s="98">
        <v>330</v>
      </c>
      <c r="I2383" s="98">
        <v>300</v>
      </c>
      <c r="J2383" s="98" t="s">
        <v>2034</v>
      </c>
      <c r="K2383" s="98" t="s">
        <v>40</v>
      </c>
      <c r="L2383" s="105" t="str">
        <f t="shared" si="400"/>
        <v>Mill Creek</v>
      </c>
      <c r="M2383" s="105" t="str">
        <f t="shared" si="401"/>
        <v>Derate</v>
      </c>
      <c r="N2383" s="105" t="str">
        <f t="shared" si="402"/>
        <v>Coal</v>
      </c>
      <c r="O2383" s="105">
        <f>IFERROR(VLOOKUP(A2383,Lookup!$J$5:$P$19,7,FALSE),0)</f>
        <v>2</v>
      </c>
      <c r="P2383" s="159">
        <f t="shared" si="403"/>
        <v>2014</v>
      </c>
      <c r="Q2383" s="159">
        <f t="shared" si="404"/>
        <v>8</v>
      </c>
      <c r="R2383" s="160">
        <f t="shared" si="405"/>
        <v>3.2500000001164153</v>
      </c>
      <c r="S2383" s="158">
        <f t="shared" si="406"/>
        <v>0.4924242424418811</v>
      </c>
      <c r="T2383" s="161">
        <f t="shared" si="407"/>
        <v>147.72727273256433</v>
      </c>
      <c r="U2383" s="158">
        <f t="shared" si="409"/>
        <v>45.454545454545453</v>
      </c>
      <c r="V2383" s="160">
        <f t="shared" si="408"/>
        <v>45</v>
      </c>
    </row>
    <row r="2384" spans="1:22" x14ac:dyDescent="0.25">
      <c r="A2384" s="98" t="s">
        <v>23</v>
      </c>
      <c r="B2384" s="98" t="s">
        <v>17</v>
      </c>
      <c r="C2384" s="98">
        <v>160</v>
      </c>
      <c r="D2384" s="98">
        <v>3149</v>
      </c>
      <c r="E2384" s="157">
        <v>41877.989583333336</v>
      </c>
      <c r="F2384" s="157">
        <v>41878.442361111112</v>
      </c>
      <c r="G2384" s="98">
        <v>290</v>
      </c>
      <c r="H2384" s="98">
        <v>330</v>
      </c>
      <c r="I2384" s="98">
        <v>300</v>
      </c>
      <c r="J2384" s="98" t="s">
        <v>2034</v>
      </c>
      <c r="K2384" s="98" t="s">
        <v>40</v>
      </c>
      <c r="L2384" s="105" t="str">
        <f t="shared" si="400"/>
        <v>Mill Creek</v>
      </c>
      <c r="M2384" s="105" t="str">
        <f t="shared" si="401"/>
        <v>Derate</v>
      </c>
      <c r="N2384" s="105" t="str">
        <f t="shared" si="402"/>
        <v>Coal</v>
      </c>
      <c r="O2384" s="105">
        <f>IFERROR(VLOOKUP(A2384,Lookup!$J$5:$P$19,7,FALSE),0)</f>
        <v>2</v>
      </c>
      <c r="P2384" s="159">
        <f t="shared" si="403"/>
        <v>2014</v>
      </c>
      <c r="Q2384" s="159">
        <f t="shared" si="404"/>
        <v>8</v>
      </c>
      <c r="R2384" s="160">
        <f t="shared" si="405"/>
        <v>10.866666666639503</v>
      </c>
      <c r="S2384" s="158">
        <f t="shared" si="406"/>
        <v>1.3171717171684245</v>
      </c>
      <c r="T2384" s="161">
        <f t="shared" si="407"/>
        <v>395.15151515052736</v>
      </c>
      <c r="U2384" s="158">
        <f t="shared" si="409"/>
        <v>36.363636363636367</v>
      </c>
      <c r="V2384" s="160">
        <f t="shared" si="408"/>
        <v>36</v>
      </c>
    </row>
    <row r="2385" spans="1:22" x14ac:dyDescent="0.25">
      <c r="A2385" s="98" t="s">
        <v>23</v>
      </c>
      <c r="B2385" s="98" t="s">
        <v>17</v>
      </c>
      <c r="C2385" s="98">
        <v>161</v>
      </c>
      <c r="D2385" s="98">
        <v>3149</v>
      </c>
      <c r="E2385" s="157">
        <v>41878.442361111112</v>
      </c>
      <c r="F2385" s="157">
        <v>41878.501388888886</v>
      </c>
      <c r="G2385" s="98">
        <v>286</v>
      </c>
      <c r="H2385" s="98">
        <v>330</v>
      </c>
      <c r="I2385" s="98">
        <v>300</v>
      </c>
      <c r="J2385" s="98" t="s">
        <v>2034</v>
      </c>
      <c r="K2385" s="98" t="s">
        <v>40</v>
      </c>
      <c r="L2385" s="105" t="str">
        <f t="shared" si="400"/>
        <v>Mill Creek</v>
      </c>
      <c r="M2385" s="105" t="str">
        <f t="shared" si="401"/>
        <v>Derate</v>
      </c>
      <c r="N2385" s="105" t="str">
        <f t="shared" si="402"/>
        <v>Coal</v>
      </c>
      <c r="O2385" s="105">
        <f>IFERROR(VLOOKUP(A2385,Lookup!$J$5:$P$19,7,FALSE),0)</f>
        <v>2</v>
      </c>
      <c r="P2385" s="159">
        <f t="shared" si="403"/>
        <v>2014</v>
      </c>
      <c r="Q2385" s="159">
        <f t="shared" si="404"/>
        <v>8</v>
      </c>
      <c r="R2385" s="160">
        <f t="shared" si="405"/>
        <v>1.4166666665696539</v>
      </c>
      <c r="S2385" s="158">
        <f t="shared" si="406"/>
        <v>0.18888888887595384</v>
      </c>
      <c r="T2385" s="161">
        <f t="shared" si="407"/>
        <v>56.666666662786156</v>
      </c>
      <c r="U2385" s="158">
        <f t="shared" si="409"/>
        <v>40</v>
      </c>
      <c r="V2385" s="160">
        <f t="shared" si="408"/>
        <v>40</v>
      </c>
    </row>
    <row r="2386" spans="1:22" x14ac:dyDescent="0.25">
      <c r="A2386" s="98" t="s">
        <v>23</v>
      </c>
      <c r="B2386" s="98" t="s">
        <v>17</v>
      </c>
      <c r="C2386" s="98">
        <v>162</v>
      </c>
      <c r="D2386" s="98">
        <v>3149</v>
      </c>
      <c r="E2386" s="157">
        <v>41878.501388888886</v>
      </c>
      <c r="F2386" s="157">
        <v>41878.581250000003</v>
      </c>
      <c r="G2386" s="98">
        <v>280</v>
      </c>
      <c r="H2386" s="98">
        <v>330</v>
      </c>
      <c r="I2386" s="98">
        <v>300</v>
      </c>
      <c r="J2386" s="98" t="s">
        <v>2034</v>
      </c>
      <c r="K2386" s="98" t="s">
        <v>40</v>
      </c>
      <c r="L2386" s="105" t="str">
        <f t="shared" si="400"/>
        <v>Mill Creek</v>
      </c>
      <c r="M2386" s="105" t="str">
        <f t="shared" si="401"/>
        <v>Derate</v>
      </c>
      <c r="N2386" s="105" t="str">
        <f t="shared" si="402"/>
        <v>Coal</v>
      </c>
      <c r="O2386" s="105">
        <f>IFERROR(VLOOKUP(A2386,Lookup!$J$5:$P$19,7,FALSE),0)</f>
        <v>2</v>
      </c>
      <c r="P2386" s="159">
        <f t="shared" si="403"/>
        <v>2014</v>
      </c>
      <c r="Q2386" s="159">
        <f t="shared" si="404"/>
        <v>8</v>
      </c>
      <c r="R2386" s="160">
        <f t="shared" si="405"/>
        <v>1.9166666668024845</v>
      </c>
      <c r="S2386" s="158">
        <f t="shared" si="406"/>
        <v>0.29040404042461887</v>
      </c>
      <c r="T2386" s="161">
        <f t="shared" si="407"/>
        <v>87.121212127385661</v>
      </c>
      <c r="U2386" s="158">
        <f t="shared" si="409"/>
        <v>45.454545454545453</v>
      </c>
      <c r="V2386" s="160">
        <f t="shared" si="408"/>
        <v>45</v>
      </c>
    </row>
    <row r="2387" spans="1:22" x14ac:dyDescent="0.25">
      <c r="A2387" s="98" t="s">
        <v>23</v>
      </c>
      <c r="B2387" s="98" t="s">
        <v>17</v>
      </c>
      <c r="C2387" s="98">
        <v>163</v>
      </c>
      <c r="D2387" s="98">
        <v>3149</v>
      </c>
      <c r="E2387" s="157">
        <v>41878.581250000003</v>
      </c>
      <c r="F2387" s="157">
        <v>41878.875</v>
      </c>
      <c r="G2387" s="98">
        <v>275</v>
      </c>
      <c r="H2387" s="98">
        <v>330</v>
      </c>
      <c r="I2387" s="98">
        <v>300</v>
      </c>
      <c r="J2387" s="98" t="s">
        <v>2034</v>
      </c>
      <c r="K2387" s="98" t="s">
        <v>40</v>
      </c>
      <c r="L2387" s="105" t="str">
        <f t="shared" si="400"/>
        <v>Mill Creek</v>
      </c>
      <c r="M2387" s="105" t="str">
        <f t="shared" si="401"/>
        <v>Derate</v>
      </c>
      <c r="N2387" s="105" t="str">
        <f t="shared" si="402"/>
        <v>Coal</v>
      </c>
      <c r="O2387" s="105">
        <f>IFERROR(VLOOKUP(A2387,Lookup!$J$5:$P$19,7,FALSE),0)</f>
        <v>2</v>
      </c>
      <c r="P2387" s="159">
        <f t="shared" si="403"/>
        <v>2014</v>
      </c>
      <c r="Q2387" s="159">
        <f t="shared" si="404"/>
        <v>8</v>
      </c>
      <c r="R2387" s="160">
        <f t="shared" si="405"/>
        <v>7.0499999999301508</v>
      </c>
      <c r="S2387" s="158">
        <f t="shared" si="406"/>
        <v>1.1749999999883585</v>
      </c>
      <c r="T2387" s="161">
        <f t="shared" si="407"/>
        <v>352.49999999650754</v>
      </c>
      <c r="U2387" s="158">
        <f t="shared" si="409"/>
        <v>50</v>
      </c>
      <c r="V2387" s="160">
        <f t="shared" si="408"/>
        <v>50</v>
      </c>
    </row>
    <row r="2388" spans="1:22" x14ac:dyDescent="0.25">
      <c r="A2388" s="98" t="s">
        <v>23</v>
      </c>
      <c r="B2388" s="98" t="s">
        <v>105</v>
      </c>
      <c r="C2388" s="98">
        <v>164</v>
      </c>
      <c r="D2388" s="98">
        <v>310</v>
      </c>
      <c r="E2388" s="157">
        <v>41878.875</v>
      </c>
      <c r="F2388" s="157">
        <v>41879.149305555555</v>
      </c>
      <c r="G2388" s="98">
        <v>240</v>
      </c>
      <c r="H2388" s="98">
        <v>330</v>
      </c>
      <c r="I2388" s="98">
        <v>300</v>
      </c>
      <c r="J2388" s="98" t="s">
        <v>1966</v>
      </c>
      <c r="K2388" s="98" t="s">
        <v>118</v>
      </c>
      <c r="L2388" s="105" t="str">
        <f t="shared" si="400"/>
        <v>Mill Creek</v>
      </c>
      <c r="M2388" s="105" t="str">
        <f t="shared" si="401"/>
        <v>Derate</v>
      </c>
      <c r="N2388" s="105" t="str">
        <f t="shared" si="402"/>
        <v>Coal</v>
      </c>
      <c r="O2388" s="105">
        <f>IFERROR(VLOOKUP(A2388,Lookup!$J$5:$P$19,7,FALSE),0)</f>
        <v>2</v>
      </c>
      <c r="P2388" s="159">
        <f t="shared" si="403"/>
        <v>2014</v>
      </c>
      <c r="Q2388" s="159">
        <f t="shared" si="404"/>
        <v>8</v>
      </c>
      <c r="R2388" s="160">
        <f t="shared" si="405"/>
        <v>6.5833333333139308</v>
      </c>
      <c r="S2388" s="158">
        <f t="shared" si="406"/>
        <v>1.7954545454492539</v>
      </c>
      <c r="T2388" s="161">
        <f t="shared" si="407"/>
        <v>538.63636363477622</v>
      </c>
      <c r="U2388" s="158">
        <f t="shared" si="409"/>
        <v>81.818181818181813</v>
      </c>
      <c r="V2388" s="160">
        <f t="shared" si="408"/>
        <v>82</v>
      </c>
    </row>
    <row r="2389" spans="1:22" x14ac:dyDescent="0.25">
      <c r="A2389" s="98" t="s">
        <v>23</v>
      </c>
      <c r="B2389" s="98" t="s">
        <v>17</v>
      </c>
      <c r="C2389" s="98">
        <v>165</v>
      </c>
      <c r="D2389" s="98">
        <v>3149</v>
      </c>
      <c r="E2389" s="157">
        <v>41879.149305555555</v>
      </c>
      <c r="F2389" s="157">
        <v>41879.413888888892</v>
      </c>
      <c r="G2389" s="98">
        <v>275</v>
      </c>
      <c r="H2389" s="98">
        <v>330</v>
      </c>
      <c r="I2389" s="98">
        <v>300</v>
      </c>
      <c r="J2389" s="98" t="s">
        <v>2034</v>
      </c>
      <c r="K2389" s="98" t="s">
        <v>40</v>
      </c>
      <c r="L2389" s="105" t="str">
        <f t="shared" si="400"/>
        <v>Mill Creek</v>
      </c>
      <c r="M2389" s="105" t="str">
        <f t="shared" si="401"/>
        <v>Derate</v>
      </c>
      <c r="N2389" s="105" t="str">
        <f t="shared" si="402"/>
        <v>Coal</v>
      </c>
      <c r="O2389" s="105">
        <f>IFERROR(VLOOKUP(A2389,Lookup!$J$5:$P$19,7,FALSE),0)</f>
        <v>2</v>
      </c>
      <c r="P2389" s="159">
        <f t="shared" si="403"/>
        <v>2014</v>
      </c>
      <c r="Q2389" s="159">
        <f t="shared" si="404"/>
        <v>8</v>
      </c>
      <c r="R2389" s="160">
        <f t="shared" si="405"/>
        <v>6.3500000000931323</v>
      </c>
      <c r="S2389" s="158">
        <f t="shared" si="406"/>
        <v>1.0583333333488554</v>
      </c>
      <c r="T2389" s="161">
        <f t="shared" si="407"/>
        <v>317.50000000465661</v>
      </c>
      <c r="U2389" s="158">
        <f t="shared" si="409"/>
        <v>50</v>
      </c>
      <c r="V2389" s="160">
        <f t="shared" si="408"/>
        <v>50</v>
      </c>
    </row>
    <row r="2390" spans="1:22" x14ac:dyDescent="0.25">
      <c r="A2390" s="98" t="s">
        <v>23</v>
      </c>
      <c r="B2390" s="98" t="s">
        <v>17</v>
      </c>
      <c r="C2390" s="98">
        <v>166</v>
      </c>
      <c r="D2390" s="98">
        <v>3149</v>
      </c>
      <c r="E2390" s="157">
        <v>41879.413888888892</v>
      </c>
      <c r="F2390" s="157">
        <v>41879.646527777775</v>
      </c>
      <c r="G2390" s="98">
        <v>270</v>
      </c>
      <c r="H2390" s="98">
        <v>330</v>
      </c>
      <c r="I2390" s="98">
        <v>300</v>
      </c>
      <c r="J2390" s="98" t="s">
        <v>2034</v>
      </c>
      <c r="K2390" s="98" t="s">
        <v>40</v>
      </c>
      <c r="L2390" s="105" t="str">
        <f t="shared" si="400"/>
        <v>Mill Creek</v>
      </c>
      <c r="M2390" s="105" t="str">
        <f t="shared" si="401"/>
        <v>Derate</v>
      </c>
      <c r="N2390" s="105" t="str">
        <f t="shared" si="402"/>
        <v>Coal</v>
      </c>
      <c r="O2390" s="105">
        <f>IFERROR(VLOOKUP(A2390,Lookup!$J$5:$P$19,7,FALSE),0)</f>
        <v>2</v>
      </c>
      <c r="P2390" s="159">
        <f t="shared" si="403"/>
        <v>2014</v>
      </c>
      <c r="Q2390" s="159">
        <f t="shared" si="404"/>
        <v>8</v>
      </c>
      <c r="R2390" s="160">
        <f t="shared" si="405"/>
        <v>5.5833333331975155</v>
      </c>
      <c r="S2390" s="158">
        <f t="shared" si="406"/>
        <v>1.0151515151268209</v>
      </c>
      <c r="T2390" s="161">
        <f t="shared" si="407"/>
        <v>304.54545453804627</v>
      </c>
      <c r="U2390" s="158">
        <f t="shared" si="409"/>
        <v>54.545454545454547</v>
      </c>
      <c r="V2390" s="160">
        <f t="shared" si="408"/>
        <v>55</v>
      </c>
    </row>
    <row r="2391" spans="1:22" x14ac:dyDescent="0.25">
      <c r="A2391" s="98" t="s">
        <v>23</v>
      </c>
      <c r="B2391" s="98" t="s">
        <v>17</v>
      </c>
      <c r="C2391" s="98">
        <v>167</v>
      </c>
      <c r="D2391" s="98">
        <v>3149</v>
      </c>
      <c r="E2391" s="157">
        <v>41879.646527777775</v>
      </c>
      <c r="F2391" s="157">
        <v>41879.96597222222</v>
      </c>
      <c r="G2391" s="98">
        <v>265</v>
      </c>
      <c r="H2391" s="98">
        <v>330</v>
      </c>
      <c r="I2391" s="98">
        <v>300</v>
      </c>
      <c r="J2391" s="98" t="s">
        <v>2034</v>
      </c>
      <c r="K2391" s="98" t="s">
        <v>40</v>
      </c>
      <c r="L2391" s="105" t="str">
        <f t="shared" si="400"/>
        <v>Mill Creek</v>
      </c>
      <c r="M2391" s="105" t="str">
        <f t="shared" si="401"/>
        <v>Derate</v>
      </c>
      <c r="N2391" s="105" t="str">
        <f t="shared" si="402"/>
        <v>Coal</v>
      </c>
      <c r="O2391" s="105">
        <f>IFERROR(VLOOKUP(A2391,Lookup!$J$5:$P$19,7,FALSE),0)</f>
        <v>2</v>
      </c>
      <c r="P2391" s="159">
        <f t="shared" si="403"/>
        <v>2014</v>
      </c>
      <c r="Q2391" s="159">
        <f t="shared" si="404"/>
        <v>8</v>
      </c>
      <c r="R2391" s="160">
        <f t="shared" si="405"/>
        <v>7.6666666666860692</v>
      </c>
      <c r="S2391" s="158">
        <f t="shared" si="406"/>
        <v>1.5101010101048318</v>
      </c>
      <c r="T2391" s="161">
        <f t="shared" si="407"/>
        <v>453.03030303144953</v>
      </c>
      <c r="U2391" s="158">
        <f t="shared" si="409"/>
        <v>59.090909090909093</v>
      </c>
      <c r="V2391" s="160">
        <f t="shared" si="408"/>
        <v>59</v>
      </c>
    </row>
    <row r="2392" spans="1:22" x14ac:dyDescent="0.25">
      <c r="A2392" s="98" t="s">
        <v>23</v>
      </c>
      <c r="B2392" s="98" t="s">
        <v>17</v>
      </c>
      <c r="C2392" s="98">
        <v>168</v>
      </c>
      <c r="D2392" s="98">
        <v>3149</v>
      </c>
      <c r="E2392" s="157">
        <v>41879.96597222222</v>
      </c>
      <c r="F2392" s="157">
        <v>41880.520833333336</v>
      </c>
      <c r="G2392" s="98">
        <v>275</v>
      </c>
      <c r="H2392" s="98">
        <v>330</v>
      </c>
      <c r="I2392" s="98">
        <v>300</v>
      </c>
      <c r="J2392" s="98" t="s">
        <v>2034</v>
      </c>
      <c r="K2392" s="98" t="s">
        <v>40</v>
      </c>
      <c r="L2392" s="105" t="str">
        <f t="shared" si="400"/>
        <v>Mill Creek</v>
      </c>
      <c r="M2392" s="105" t="str">
        <f t="shared" si="401"/>
        <v>Derate</v>
      </c>
      <c r="N2392" s="105" t="str">
        <f t="shared" si="402"/>
        <v>Coal</v>
      </c>
      <c r="O2392" s="105">
        <f>IFERROR(VLOOKUP(A2392,Lookup!$J$5:$P$19,7,FALSE),0)</f>
        <v>2</v>
      </c>
      <c r="P2392" s="159">
        <f t="shared" si="403"/>
        <v>2014</v>
      </c>
      <c r="Q2392" s="159">
        <f t="shared" si="404"/>
        <v>8</v>
      </c>
      <c r="R2392" s="160">
        <f t="shared" si="405"/>
        <v>13.31666666676756</v>
      </c>
      <c r="S2392" s="158">
        <f t="shared" si="406"/>
        <v>2.21944444446126</v>
      </c>
      <c r="T2392" s="161">
        <f t="shared" si="407"/>
        <v>665.833333338378</v>
      </c>
      <c r="U2392" s="158">
        <f t="shared" si="409"/>
        <v>50</v>
      </c>
      <c r="V2392" s="160">
        <f t="shared" si="408"/>
        <v>50</v>
      </c>
    </row>
    <row r="2393" spans="1:22" x14ac:dyDescent="0.25">
      <c r="A2393" s="98" t="s">
        <v>23</v>
      </c>
      <c r="B2393" s="98" t="s">
        <v>105</v>
      </c>
      <c r="C2393" s="98">
        <v>169</v>
      </c>
      <c r="D2393" s="98">
        <v>3210</v>
      </c>
      <c r="E2393" s="157">
        <v>41880.041666666664</v>
      </c>
      <c r="F2393" s="157">
        <v>41880.101388888892</v>
      </c>
      <c r="G2393" s="98">
        <v>150</v>
      </c>
      <c r="H2393" s="98">
        <v>330</v>
      </c>
      <c r="I2393" s="98">
        <v>300</v>
      </c>
      <c r="J2393" s="98" t="s">
        <v>2048</v>
      </c>
      <c r="K2393" s="98" t="s">
        <v>2677</v>
      </c>
      <c r="L2393" s="105" t="str">
        <f t="shared" si="400"/>
        <v>Mill Creek</v>
      </c>
      <c r="M2393" s="105" t="str">
        <f t="shared" si="401"/>
        <v>Derate</v>
      </c>
      <c r="N2393" s="105" t="str">
        <f t="shared" si="402"/>
        <v>Coal</v>
      </c>
      <c r="O2393" s="105">
        <f>IFERROR(VLOOKUP(A2393,Lookup!$J$5:$P$19,7,FALSE),0)</f>
        <v>2</v>
      </c>
      <c r="P2393" s="159">
        <f t="shared" si="403"/>
        <v>2014</v>
      </c>
      <c r="Q2393" s="159">
        <f t="shared" si="404"/>
        <v>8</v>
      </c>
      <c r="R2393" s="160">
        <f t="shared" si="405"/>
        <v>1.4333333334652707</v>
      </c>
      <c r="S2393" s="158">
        <f t="shared" si="406"/>
        <v>0.78181818189014762</v>
      </c>
      <c r="T2393" s="161">
        <f t="shared" si="407"/>
        <v>234.54545456704429</v>
      </c>
      <c r="U2393" s="158">
        <f t="shared" si="409"/>
        <v>163.63636363636363</v>
      </c>
      <c r="V2393" s="160">
        <f t="shared" si="408"/>
        <v>164</v>
      </c>
    </row>
    <row r="2394" spans="1:22" x14ac:dyDescent="0.25">
      <c r="A2394" s="98" t="s">
        <v>23</v>
      </c>
      <c r="B2394" s="98" t="s">
        <v>17</v>
      </c>
      <c r="C2394" s="98">
        <v>170</v>
      </c>
      <c r="D2394" s="98">
        <v>3149</v>
      </c>
      <c r="E2394" s="157">
        <v>41880.520833333336</v>
      </c>
      <c r="F2394" s="157">
        <v>41880.923611111109</v>
      </c>
      <c r="G2394" s="98">
        <v>260</v>
      </c>
      <c r="H2394" s="98">
        <v>330</v>
      </c>
      <c r="I2394" s="98">
        <v>300</v>
      </c>
      <c r="J2394" s="98" t="s">
        <v>2034</v>
      </c>
      <c r="K2394" s="98" t="s">
        <v>40</v>
      </c>
      <c r="L2394" s="105" t="str">
        <f t="shared" si="400"/>
        <v>Mill Creek</v>
      </c>
      <c r="M2394" s="105" t="str">
        <f t="shared" si="401"/>
        <v>Derate</v>
      </c>
      <c r="N2394" s="105" t="str">
        <f t="shared" si="402"/>
        <v>Coal</v>
      </c>
      <c r="O2394" s="105">
        <f>IFERROR(VLOOKUP(A2394,Lookup!$J$5:$P$19,7,FALSE),0)</f>
        <v>2</v>
      </c>
      <c r="P2394" s="159">
        <f t="shared" si="403"/>
        <v>2014</v>
      </c>
      <c r="Q2394" s="159">
        <f t="shared" si="404"/>
        <v>8</v>
      </c>
      <c r="R2394" s="160">
        <f t="shared" si="405"/>
        <v>9.6666666665696539</v>
      </c>
      <c r="S2394" s="158">
        <f t="shared" si="406"/>
        <v>2.050505050484472</v>
      </c>
      <c r="T2394" s="161">
        <f t="shared" si="407"/>
        <v>615.15151514534159</v>
      </c>
      <c r="U2394" s="158">
        <f t="shared" si="409"/>
        <v>63.636363636363633</v>
      </c>
      <c r="V2394" s="160">
        <f t="shared" si="408"/>
        <v>64</v>
      </c>
    </row>
    <row r="2395" spans="1:22" x14ac:dyDescent="0.25">
      <c r="A2395" s="98" t="s">
        <v>23</v>
      </c>
      <c r="B2395" s="98" t="s">
        <v>17</v>
      </c>
      <c r="C2395" s="98">
        <v>171</v>
      </c>
      <c r="D2395" s="98">
        <v>3149</v>
      </c>
      <c r="E2395" s="157">
        <v>41880.923611111109</v>
      </c>
      <c r="F2395" s="157">
        <v>41881.431250000001</v>
      </c>
      <c r="G2395" s="98">
        <v>270</v>
      </c>
      <c r="H2395" s="98">
        <v>330</v>
      </c>
      <c r="I2395" s="98">
        <v>300</v>
      </c>
      <c r="J2395" s="98" t="s">
        <v>2034</v>
      </c>
      <c r="K2395" s="98" t="s">
        <v>40</v>
      </c>
      <c r="L2395" s="105" t="str">
        <f t="shared" si="400"/>
        <v>Mill Creek</v>
      </c>
      <c r="M2395" s="105" t="str">
        <f t="shared" si="401"/>
        <v>Derate</v>
      </c>
      <c r="N2395" s="105" t="str">
        <f t="shared" si="402"/>
        <v>Coal</v>
      </c>
      <c r="O2395" s="105">
        <f>IFERROR(VLOOKUP(A2395,Lookup!$J$5:$P$19,7,FALSE),0)</f>
        <v>2</v>
      </c>
      <c r="P2395" s="159">
        <f t="shared" si="403"/>
        <v>2014</v>
      </c>
      <c r="Q2395" s="159">
        <f t="shared" si="404"/>
        <v>8</v>
      </c>
      <c r="R2395" s="160">
        <f t="shared" si="405"/>
        <v>12.183333333407063</v>
      </c>
      <c r="S2395" s="158">
        <f t="shared" si="406"/>
        <v>2.2151515151649206</v>
      </c>
      <c r="T2395" s="161">
        <f t="shared" si="407"/>
        <v>664.54545454947618</v>
      </c>
      <c r="U2395" s="158">
        <f t="shared" si="409"/>
        <v>54.545454545454547</v>
      </c>
      <c r="V2395" s="160">
        <f t="shared" si="408"/>
        <v>55</v>
      </c>
    </row>
    <row r="2396" spans="1:22" x14ac:dyDescent="0.25">
      <c r="A2396" s="98" t="s">
        <v>23</v>
      </c>
      <c r="B2396" s="98" t="s">
        <v>17</v>
      </c>
      <c r="C2396" s="98">
        <v>172</v>
      </c>
      <c r="D2396" s="98">
        <v>3149</v>
      </c>
      <c r="E2396" s="157">
        <v>41881.431250000001</v>
      </c>
      <c r="F2396" s="157">
        <v>41881.517361111109</v>
      </c>
      <c r="G2396" s="98">
        <v>265</v>
      </c>
      <c r="H2396" s="98">
        <v>330</v>
      </c>
      <c r="I2396" s="98">
        <v>300</v>
      </c>
      <c r="J2396" s="98" t="s">
        <v>2034</v>
      </c>
      <c r="K2396" s="98" t="s">
        <v>40</v>
      </c>
      <c r="L2396" s="105" t="str">
        <f t="shared" si="400"/>
        <v>Mill Creek</v>
      </c>
      <c r="M2396" s="105" t="str">
        <f t="shared" si="401"/>
        <v>Derate</v>
      </c>
      <c r="N2396" s="105" t="str">
        <f t="shared" si="402"/>
        <v>Coal</v>
      </c>
      <c r="O2396" s="105">
        <f>IFERROR(VLOOKUP(A2396,Lookup!$J$5:$P$19,7,FALSE),0)</f>
        <v>2</v>
      </c>
      <c r="P2396" s="159">
        <f t="shared" si="403"/>
        <v>2014</v>
      </c>
      <c r="Q2396" s="159">
        <f t="shared" si="404"/>
        <v>8</v>
      </c>
      <c r="R2396" s="160">
        <f t="shared" si="405"/>
        <v>2.066666666592937</v>
      </c>
      <c r="S2396" s="158">
        <f t="shared" si="406"/>
        <v>0.40707070705618453</v>
      </c>
      <c r="T2396" s="161">
        <f t="shared" si="407"/>
        <v>122.12121211685536</v>
      </c>
      <c r="U2396" s="158">
        <f t="shared" si="409"/>
        <v>59.090909090909093</v>
      </c>
      <c r="V2396" s="160">
        <f t="shared" si="408"/>
        <v>59</v>
      </c>
    </row>
    <row r="2397" spans="1:22" x14ac:dyDescent="0.25">
      <c r="A2397" s="98" t="s">
        <v>23</v>
      </c>
      <c r="B2397" s="98" t="s">
        <v>17</v>
      </c>
      <c r="C2397" s="98">
        <v>173</v>
      </c>
      <c r="D2397" s="98">
        <v>3149</v>
      </c>
      <c r="E2397" s="157">
        <v>41881.517361111109</v>
      </c>
      <c r="F2397" s="157">
        <v>41882.020833333336</v>
      </c>
      <c r="G2397" s="98">
        <v>260</v>
      </c>
      <c r="H2397" s="98">
        <v>330</v>
      </c>
      <c r="I2397" s="98">
        <v>300</v>
      </c>
      <c r="J2397" s="98" t="s">
        <v>2034</v>
      </c>
      <c r="K2397" s="98" t="s">
        <v>40</v>
      </c>
      <c r="L2397" s="105" t="str">
        <f t="shared" si="400"/>
        <v>Mill Creek</v>
      </c>
      <c r="M2397" s="105" t="str">
        <f t="shared" si="401"/>
        <v>Derate</v>
      </c>
      <c r="N2397" s="105" t="str">
        <f t="shared" si="402"/>
        <v>Coal</v>
      </c>
      <c r="O2397" s="105">
        <f>IFERROR(VLOOKUP(A2397,Lookup!$J$5:$P$19,7,FALSE),0)</f>
        <v>2</v>
      </c>
      <c r="P2397" s="159">
        <f t="shared" si="403"/>
        <v>2014</v>
      </c>
      <c r="Q2397" s="159">
        <f t="shared" si="404"/>
        <v>8</v>
      </c>
      <c r="R2397" s="160">
        <f t="shared" si="405"/>
        <v>12.083333333430346</v>
      </c>
      <c r="S2397" s="158">
        <f t="shared" si="406"/>
        <v>2.5631313131518918</v>
      </c>
      <c r="T2397" s="161">
        <f t="shared" si="407"/>
        <v>768.93939394556753</v>
      </c>
      <c r="U2397" s="158">
        <f t="shared" si="409"/>
        <v>63.636363636363633</v>
      </c>
      <c r="V2397" s="160">
        <f t="shared" si="408"/>
        <v>64</v>
      </c>
    </row>
    <row r="2398" spans="1:22" x14ac:dyDescent="0.25">
      <c r="A2398" s="98" t="s">
        <v>23</v>
      </c>
      <c r="B2398" s="98" t="s">
        <v>105</v>
      </c>
      <c r="C2398" s="98">
        <v>174</v>
      </c>
      <c r="D2398" s="98">
        <v>250</v>
      </c>
      <c r="E2398" s="157">
        <v>41884.916666666664</v>
      </c>
      <c r="F2398" s="157">
        <v>41885.010416666664</v>
      </c>
      <c r="G2398" s="98">
        <v>240</v>
      </c>
      <c r="H2398" s="98">
        <v>330</v>
      </c>
      <c r="I2398" s="98">
        <v>300</v>
      </c>
      <c r="J2398" s="98" t="s">
        <v>1978</v>
      </c>
      <c r="K2398" s="98" t="s">
        <v>2678</v>
      </c>
      <c r="L2398" s="105" t="str">
        <f t="shared" si="400"/>
        <v>Mill Creek</v>
      </c>
      <c r="M2398" s="105" t="str">
        <f t="shared" si="401"/>
        <v>Derate</v>
      </c>
      <c r="N2398" s="105" t="str">
        <f t="shared" si="402"/>
        <v>Coal</v>
      </c>
      <c r="O2398" s="105">
        <f>IFERROR(VLOOKUP(A2398,Lookup!$J$5:$P$19,7,FALSE),0)</f>
        <v>2</v>
      </c>
      <c r="P2398" s="159">
        <f t="shared" si="403"/>
        <v>2014</v>
      </c>
      <c r="Q2398" s="159">
        <f t="shared" si="404"/>
        <v>9</v>
      </c>
      <c r="R2398" s="160">
        <f t="shared" si="405"/>
        <v>2.25</v>
      </c>
      <c r="S2398" s="158">
        <f t="shared" si="406"/>
        <v>0.61363636363636365</v>
      </c>
      <c r="T2398" s="161">
        <f t="shared" si="407"/>
        <v>184.09090909090909</v>
      </c>
      <c r="U2398" s="158">
        <f t="shared" si="409"/>
        <v>81.818181818181813</v>
      </c>
      <c r="V2398" s="160">
        <f t="shared" si="408"/>
        <v>82</v>
      </c>
    </row>
    <row r="2399" spans="1:22" x14ac:dyDescent="0.25">
      <c r="A2399" s="98" t="s">
        <v>23</v>
      </c>
      <c r="B2399" s="98" t="s">
        <v>17</v>
      </c>
      <c r="C2399" s="98">
        <v>175</v>
      </c>
      <c r="D2399" s="98">
        <v>310</v>
      </c>
      <c r="E2399" s="157">
        <v>41900.934027777781</v>
      </c>
      <c r="F2399" s="157">
        <v>41901.080555555556</v>
      </c>
      <c r="G2399" s="98">
        <v>240</v>
      </c>
      <c r="H2399" s="98">
        <v>330</v>
      </c>
      <c r="I2399" s="98">
        <v>300</v>
      </c>
      <c r="J2399" s="98" t="s">
        <v>1966</v>
      </c>
      <c r="K2399" s="98" t="s">
        <v>565</v>
      </c>
      <c r="L2399" s="105" t="str">
        <f t="shared" si="400"/>
        <v>Mill Creek</v>
      </c>
      <c r="M2399" s="105" t="str">
        <f t="shared" si="401"/>
        <v>Derate</v>
      </c>
      <c r="N2399" s="105" t="str">
        <f t="shared" si="402"/>
        <v>Coal</v>
      </c>
      <c r="O2399" s="105">
        <f>IFERROR(VLOOKUP(A2399,Lookup!$J$5:$P$19,7,FALSE),0)</f>
        <v>2</v>
      </c>
      <c r="P2399" s="159">
        <f t="shared" si="403"/>
        <v>2014</v>
      </c>
      <c r="Q2399" s="159">
        <f t="shared" si="404"/>
        <v>9</v>
      </c>
      <c r="R2399" s="160">
        <f t="shared" si="405"/>
        <v>3.5166666666045785</v>
      </c>
      <c r="S2399" s="158">
        <f t="shared" si="406"/>
        <v>0.95909090907397598</v>
      </c>
      <c r="T2399" s="161">
        <f t="shared" si="407"/>
        <v>287.72727272219282</v>
      </c>
      <c r="U2399" s="158">
        <f t="shared" si="409"/>
        <v>81.818181818181813</v>
      </c>
      <c r="V2399" s="160">
        <f t="shared" si="408"/>
        <v>82</v>
      </c>
    </row>
    <row r="2400" spans="1:22" x14ac:dyDescent="0.25">
      <c r="A2400" s="98" t="s">
        <v>23</v>
      </c>
      <c r="B2400" s="98" t="s">
        <v>17</v>
      </c>
      <c r="C2400" s="98">
        <v>176</v>
      </c>
      <c r="D2400" s="98">
        <v>310</v>
      </c>
      <c r="E2400" s="157">
        <v>41904.441666666666</v>
      </c>
      <c r="F2400" s="157">
        <v>41904.502083333333</v>
      </c>
      <c r="G2400" s="98">
        <v>300</v>
      </c>
      <c r="H2400" s="98">
        <v>330</v>
      </c>
      <c r="I2400" s="98">
        <v>300</v>
      </c>
      <c r="J2400" s="98" t="s">
        <v>1966</v>
      </c>
      <c r="K2400" s="98" t="s">
        <v>565</v>
      </c>
      <c r="L2400" s="105" t="str">
        <f t="shared" si="400"/>
        <v>Mill Creek</v>
      </c>
      <c r="M2400" s="105" t="str">
        <f t="shared" si="401"/>
        <v>Derate</v>
      </c>
      <c r="N2400" s="105" t="str">
        <f t="shared" si="402"/>
        <v>Coal</v>
      </c>
      <c r="O2400" s="105">
        <f>IFERROR(VLOOKUP(A2400,Lookup!$J$5:$P$19,7,FALSE),0)</f>
        <v>2</v>
      </c>
      <c r="P2400" s="159">
        <f t="shared" si="403"/>
        <v>2014</v>
      </c>
      <c r="Q2400" s="159">
        <f t="shared" si="404"/>
        <v>9</v>
      </c>
      <c r="R2400" s="160">
        <f t="shared" si="405"/>
        <v>1.4500000000116415</v>
      </c>
      <c r="S2400" s="158">
        <f t="shared" si="406"/>
        <v>0.13181818181924013</v>
      </c>
      <c r="T2400" s="161">
        <f t="shared" si="407"/>
        <v>39.545454545772039</v>
      </c>
      <c r="U2400" s="158">
        <f t="shared" si="409"/>
        <v>27.272727272727273</v>
      </c>
      <c r="V2400" s="160">
        <f t="shared" si="408"/>
        <v>27</v>
      </c>
    </row>
    <row r="2401" spans="1:22" x14ac:dyDescent="0.25">
      <c r="A2401" s="98" t="s">
        <v>23</v>
      </c>
      <c r="B2401" s="98" t="s">
        <v>17</v>
      </c>
      <c r="C2401" s="98">
        <v>177</v>
      </c>
      <c r="D2401" s="98">
        <v>310</v>
      </c>
      <c r="E2401" s="157">
        <v>41904.502083333333</v>
      </c>
      <c r="F2401" s="157">
        <v>41904.623611111114</v>
      </c>
      <c r="G2401" s="98">
        <v>250</v>
      </c>
      <c r="H2401" s="98">
        <v>330</v>
      </c>
      <c r="I2401" s="98">
        <v>300</v>
      </c>
      <c r="J2401" s="98" t="s">
        <v>1966</v>
      </c>
      <c r="K2401" s="98" t="s">
        <v>2679</v>
      </c>
      <c r="L2401" s="105" t="str">
        <f t="shared" si="400"/>
        <v>Mill Creek</v>
      </c>
      <c r="M2401" s="105" t="str">
        <f t="shared" si="401"/>
        <v>Derate</v>
      </c>
      <c r="N2401" s="105" t="str">
        <f t="shared" si="402"/>
        <v>Coal</v>
      </c>
      <c r="O2401" s="105">
        <f>IFERROR(VLOOKUP(A2401,Lookup!$J$5:$P$19,7,FALSE),0)</f>
        <v>2</v>
      </c>
      <c r="P2401" s="159">
        <f t="shared" si="403"/>
        <v>2014</v>
      </c>
      <c r="Q2401" s="159">
        <f t="shared" si="404"/>
        <v>9</v>
      </c>
      <c r="R2401" s="160">
        <f t="shared" si="405"/>
        <v>2.9166666667442769</v>
      </c>
      <c r="S2401" s="158">
        <f t="shared" si="406"/>
        <v>0.70707070708952169</v>
      </c>
      <c r="T2401" s="161">
        <f t="shared" si="407"/>
        <v>212.12121212685651</v>
      </c>
      <c r="U2401" s="158">
        <f t="shared" si="409"/>
        <v>72.727272727272734</v>
      </c>
      <c r="V2401" s="160">
        <f t="shared" si="408"/>
        <v>73</v>
      </c>
    </row>
    <row r="2402" spans="1:22" x14ac:dyDescent="0.25">
      <c r="A2402" s="98" t="s">
        <v>23</v>
      </c>
      <c r="B2402" s="98" t="s">
        <v>17</v>
      </c>
      <c r="C2402" s="98">
        <v>178</v>
      </c>
      <c r="D2402" s="98">
        <v>310</v>
      </c>
      <c r="E2402" s="157">
        <v>41905.04583333333</v>
      </c>
      <c r="F2402" s="157">
        <v>41905.122916666667</v>
      </c>
      <c r="G2402" s="98">
        <v>250</v>
      </c>
      <c r="H2402" s="98">
        <v>330</v>
      </c>
      <c r="I2402" s="98">
        <v>300</v>
      </c>
      <c r="J2402" s="98" t="s">
        <v>1966</v>
      </c>
      <c r="K2402" s="98" t="s">
        <v>1404</v>
      </c>
      <c r="L2402" s="105" t="str">
        <f t="shared" si="400"/>
        <v>Mill Creek</v>
      </c>
      <c r="M2402" s="105" t="str">
        <f t="shared" si="401"/>
        <v>Derate</v>
      </c>
      <c r="N2402" s="105" t="str">
        <f t="shared" si="402"/>
        <v>Coal</v>
      </c>
      <c r="O2402" s="105">
        <f>IFERROR(VLOOKUP(A2402,Lookup!$J$5:$P$19,7,FALSE),0)</f>
        <v>2</v>
      </c>
      <c r="P2402" s="159">
        <f t="shared" si="403"/>
        <v>2014</v>
      </c>
      <c r="Q2402" s="159">
        <f t="shared" si="404"/>
        <v>9</v>
      </c>
      <c r="R2402" s="160">
        <f t="shared" si="405"/>
        <v>1.8500000000931323</v>
      </c>
      <c r="S2402" s="158">
        <f t="shared" si="406"/>
        <v>0.44848484850742598</v>
      </c>
      <c r="T2402" s="161">
        <f t="shared" si="407"/>
        <v>134.5454545522278</v>
      </c>
      <c r="U2402" s="158">
        <f t="shared" si="409"/>
        <v>72.727272727272734</v>
      </c>
      <c r="V2402" s="160">
        <f t="shared" si="408"/>
        <v>73</v>
      </c>
    </row>
    <row r="2403" spans="1:22" x14ac:dyDescent="0.25">
      <c r="A2403" s="98" t="s">
        <v>23</v>
      </c>
      <c r="B2403" s="98" t="s">
        <v>105</v>
      </c>
      <c r="C2403" s="98">
        <v>179</v>
      </c>
      <c r="D2403" s="98">
        <v>250</v>
      </c>
      <c r="E2403" s="157">
        <v>41905.916666666664</v>
      </c>
      <c r="F2403" s="157">
        <v>41906.169444444444</v>
      </c>
      <c r="G2403" s="98">
        <v>250</v>
      </c>
      <c r="H2403" s="98">
        <v>330</v>
      </c>
      <c r="I2403" s="98">
        <v>300</v>
      </c>
      <c r="J2403" s="98" t="s">
        <v>1978</v>
      </c>
      <c r="K2403" s="98" t="s">
        <v>70</v>
      </c>
      <c r="L2403" s="105" t="str">
        <f t="shared" si="400"/>
        <v>Mill Creek</v>
      </c>
      <c r="M2403" s="105" t="str">
        <f t="shared" si="401"/>
        <v>Derate</v>
      </c>
      <c r="N2403" s="105" t="str">
        <f t="shared" si="402"/>
        <v>Coal</v>
      </c>
      <c r="O2403" s="105">
        <f>IFERROR(VLOOKUP(A2403,Lookup!$J$5:$P$19,7,FALSE),0)</f>
        <v>2</v>
      </c>
      <c r="P2403" s="159">
        <f t="shared" si="403"/>
        <v>2014</v>
      </c>
      <c r="Q2403" s="159">
        <f t="shared" si="404"/>
        <v>9</v>
      </c>
      <c r="R2403" s="160">
        <f t="shared" si="405"/>
        <v>6.0666666667093523</v>
      </c>
      <c r="S2403" s="158">
        <f t="shared" si="406"/>
        <v>1.4707070707174188</v>
      </c>
      <c r="T2403" s="161">
        <f t="shared" si="407"/>
        <v>441.21212121522564</v>
      </c>
      <c r="U2403" s="158">
        <f t="shared" si="409"/>
        <v>72.727272727272734</v>
      </c>
      <c r="V2403" s="160">
        <f t="shared" si="408"/>
        <v>73</v>
      </c>
    </row>
    <row r="2404" spans="1:22" x14ac:dyDescent="0.25">
      <c r="A2404" s="98" t="s">
        <v>23</v>
      </c>
      <c r="B2404" s="98" t="s">
        <v>105</v>
      </c>
      <c r="C2404" s="98">
        <v>180</v>
      </c>
      <c r="D2404" s="98">
        <v>250</v>
      </c>
      <c r="E2404" s="157">
        <v>41906.916666666664</v>
      </c>
      <c r="F2404" s="157">
        <v>41907.151388888888</v>
      </c>
      <c r="G2404" s="98">
        <v>250</v>
      </c>
      <c r="H2404" s="98">
        <v>330</v>
      </c>
      <c r="I2404" s="98">
        <v>300</v>
      </c>
      <c r="J2404" s="98" t="s">
        <v>1978</v>
      </c>
      <c r="K2404" s="98" t="s">
        <v>566</v>
      </c>
      <c r="L2404" s="105" t="str">
        <f t="shared" si="400"/>
        <v>Mill Creek</v>
      </c>
      <c r="M2404" s="105" t="str">
        <f t="shared" si="401"/>
        <v>Derate</v>
      </c>
      <c r="N2404" s="105" t="str">
        <f t="shared" si="402"/>
        <v>Coal</v>
      </c>
      <c r="O2404" s="105">
        <f>IFERROR(VLOOKUP(A2404,Lookup!$J$5:$P$19,7,FALSE),0)</f>
        <v>2</v>
      </c>
      <c r="P2404" s="159">
        <f t="shared" si="403"/>
        <v>2014</v>
      </c>
      <c r="Q2404" s="159">
        <f t="shared" si="404"/>
        <v>9</v>
      </c>
      <c r="R2404" s="160">
        <f t="shared" si="405"/>
        <v>5.6333333333604969</v>
      </c>
      <c r="S2404" s="158">
        <f t="shared" si="406"/>
        <v>1.3656565656631507</v>
      </c>
      <c r="T2404" s="161">
        <f t="shared" si="407"/>
        <v>409.69696969894522</v>
      </c>
      <c r="U2404" s="158">
        <f t="shared" si="409"/>
        <v>72.727272727272734</v>
      </c>
      <c r="V2404" s="160">
        <f t="shared" si="408"/>
        <v>73</v>
      </c>
    </row>
    <row r="2405" spans="1:22" x14ac:dyDescent="0.25">
      <c r="A2405" s="98" t="s">
        <v>23</v>
      </c>
      <c r="B2405" s="98" t="s">
        <v>105</v>
      </c>
      <c r="C2405" s="98">
        <v>181</v>
      </c>
      <c r="D2405" s="98">
        <v>250</v>
      </c>
      <c r="E2405" s="157">
        <v>41907.916666666664</v>
      </c>
      <c r="F2405" s="157">
        <v>41908.165972222225</v>
      </c>
      <c r="G2405" s="98">
        <v>240</v>
      </c>
      <c r="H2405" s="98">
        <v>330</v>
      </c>
      <c r="I2405" s="98">
        <v>300</v>
      </c>
      <c r="J2405" s="98" t="s">
        <v>1978</v>
      </c>
      <c r="K2405" s="98" t="s">
        <v>237</v>
      </c>
      <c r="L2405" s="105" t="str">
        <f t="shared" si="400"/>
        <v>Mill Creek</v>
      </c>
      <c r="M2405" s="105" t="str">
        <f t="shared" si="401"/>
        <v>Derate</v>
      </c>
      <c r="N2405" s="105" t="str">
        <f t="shared" si="402"/>
        <v>Coal</v>
      </c>
      <c r="O2405" s="105">
        <f>IFERROR(VLOOKUP(A2405,Lookup!$J$5:$P$19,7,FALSE),0)</f>
        <v>2</v>
      </c>
      <c r="P2405" s="159">
        <f t="shared" si="403"/>
        <v>2014</v>
      </c>
      <c r="Q2405" s="159">
        <f t="shared" si="404"/>
        <v>9</v>
      </c>
      <c r="R2405" s="160">
        <f t="shared" si="405"/>
        <v>5.9833333334536292</v>
      </c>
      <c r="S2405" s="158">
        <f t="shared" si="406"/>
        <v>1.6318181818509898</v>
      </c>
      <c r="T2405" s="161">
        <f t="shared" si="407"/>
        <v>489.54545455529694</v>
      </c>
      <c r="U2405" s="158">
        <f t="shared" si="409"/>
        <v>81.818181818181813</v>
      </c>
      <c r="V2405" s="160">
        <f t="shared" si="408"/>
        <v>82</v>
      </c>
    </row>
    <row r="2406" spans="1:22" x14ac:dyDescent="0.25">
      <c r="A2406" s="98" t="s">
        <v>23</v>
      </c>
      <c r="B2406" s="98" t="s">
        <v>105</v>
      </c>
      <c r="C2406" s="98">
        <v>182</v>
      </c>
      <c r="D2406" s="98">
        <v>310</v>
      </c>
      <c r="E2406" s="157">
        <v>41910.875</v>
      </c>
      <c r="F2406" s="157">
        <v>41911.142361111109</v>
      </c>
      <c r="G2406" s="98">
        <v>240</v>
      </c>
      <c r="H2406" s="98">
        <v>330</v>
      </c>
      <c r="I2406" s="98">
        <v>300</v>
      </c>
      <c r="J2406" s="98" t="s">
        <v>1966</v>
      </c>
      <c r="K2406" s="98" t="s">
        <v>68</v>
      </c>
      <c r="L2406" s="105" t="str">
        <f t="shared" si="400"/>
        <v>Mill Creek</v>
      </c>
      <c r="M2406" s="105" t="str">
        <f t="shared" si="401"/>
        <v>Derate</v>
      </c>
      <c r="N2406" s="105" t="str">
        <f t="shared" si="402"/>
        <v>Coal</v>
      </c>
      <c r="O2406" s="105">
        <f>IFERROR(VLOOKUP(A2406,Lookup!$J$5:$P$19,7,FALSE),0)</f>
        <v>2</v>
      </c>
      <c r="P2406" s="159">
        <f t="shared" si="403"/>
        <v>2014</v>
      </c>
      <c r="Q2406" s="159">
        <f t="shared" si="404"/>
        <v>9</v>
      </c>
      <c r="R2406" s="160">
        <f t="shared" si="405"/>
        <v>6.4166666666278616</v>
      </c>
      <c r="S2406" s="158">
        <f t="shared" si="406"/>
        <v>1.7499999999894167</v>
      </c>
      <c r="T2406" s="161">
        <f t="shared" si="407"/>
        <v>524.99999999682495</v>
      </c>
      <c r="U2406" s="158">
        <f t="shared" si="409"/>
        <v>81.818181818181813</v>
      </c>
      <c r="V2406" s="160">
        <f t="shared" si="408"/>
        <v>82</v>
      </c>
    </row>
    <row r="2407" spans="1:22" x14ac:dyDescent="0.25">
      <c r="A2407" s="98" t="s">
        <v>23</v>
      </c>
      <c r="B2407" s="98" t="s">
        <v>105</v>
      </c>
      <c r="C2407" s="98">
        <v>183</v>
      </c>
      <c r="D2407" s="98">
        <v>250</v>
      </c>
      <c r="E2407" s="157">
        <v>41911.916666666664</v>
      </c>
      <c r="F2407" s="157">
        <v>41912.242361111108</v>
      </c>
      <c r="G2407" s="98">
        <v>240</v>
      </c>
      <c r="H2407" s="98">
        <v>330</v>
      </c>
      <c r="I2407" s="98">
        <v>300</v>
      </c>
      <c r="J2407" s="98" t="s">
        <v>1978</v>
      </c>
      <c r="K2407" s="98" t="s">
        <v>2680</v>
      </c>
      <c r="L2407" s="105" t="str">
        <f t="shared" si="400"/>
        <v>Mill Creek</v>
      </c>
      <c r="M2407" s="105" t="str">
        <f t="shared" si="401"/>
        <v>Derate</v>
      </c>
      <c r="N2407" s="105" t="str">
        <f t="shared" si="402"/>
        <v>Coal</v>
      </c>
      <c r="O2407" s="105">
        <f>IFERROR(VLOOKUP(A2407,Lookup!$J$5:$P$19,7,FALSE),0)</f>
        <v>2</v>
      </c>
      <c r="P2407" s="159">
        <f t="shared" si="403"/>
        <v>2014</v>
      </c>
      <c r="Q2407" s="159">
        <f t="shared" si="404"/>
        <v>9</v>
      </c>
      <c r="R2407" s="160">
        <f t="shared" si="405"/>
        <v>7.8166666666511446</v>
      </c>
      <c r="S2407" s="158">
        <f t="shared" si="406"/>
        <v>2.1318181818139483</v>
      </c>
      <c r="T2407" s="161">
        <f t="shared" si="407"/>
        <v>639.54545454418451</v>
      </c>
      <c r="U2407" s="158">
        <f t="shared" si="409"/>
        <v>81.818181818181813</v>
      </c>
      <c r="V2407" s="160">
        <f t="shared" si="408"/>
        <v>82</v>
      </c>
    </row>
    <row r="2408" spans="1:22" x14ac:dyDescent="0.25">
      <c r="A2408" s="98" t="s">
        <v>23</v>
      </c>
      <c r="B2408" s="98" t="s">
        <v>17</v>
      </c>
      <c r="C2408" s="98">
        <v>184</v>
      </c>
      <c r="D2408" s="98">
        <v>1488</v>
      </c>
      <c r="E2408" s="157">
        <v>41921.961805555555</v>
      </c>
      <c r="F2408" s="157">
        <v>41922.020833333336</v>
      </c>
      <c r="G2408" s="98">
        <v>240</v>
      </c>
      <c r="H2408" s="98">
        <v>330</v>
      </c>
      <c r="I2408" s="98">
        <v>300</v>
      </c>
      <c r="J2408" s="98" t="s">
        <v>2284</v>
      </c>
      <c r="K2408" s="98" t="s">
        <v>2681</v>
      </c>
      <c r="L2408" s="105" t="str">
        <f t="shared" ref="L2408:L2471" si="410">IF(OR(A2408="BR1",A2408="BR2",A2408="BR3",A2408="BR5",A2408="BR6",A2408="BR7",A2408="BR8",A2408="BR9",A2408="BR10",A2408="BR11"),"Brown",IF(OR(A2408="CR4",A2408="CR5",A2408="CR6",A2408="CR11"),"Cane Run",IF(OR(A2408="GH1",A2408="GH2",A2408="GH3",A2408="GH4"),"Ghent",IF(OR(A2408="GR3",A2408="GR4"),"Green River",IF(OR(A2408="MC1",A2408="MC2",A2408="MC3",A2408="MC4"),"Mill Creek",IF(OR(A2408="TC1",A2408="TC2",A2408="TC5",A2408="TC6",A2408="TC7",A2408="TC8",A2408="TC9",A2408="TC10"),"Trimble",IF(A2408="TY3","Tyrone",IF(OR(A2408="HA1",A2408="HA2",A2408="HA3"),"Haeflin",IF(OR(A2408="PR11",A2408="PR12",A2408="PR13"),"Paddy's Run","Zorn")))))))))</f>
        <v>Mill Creek</v>
      </c>
      <c r="M2408" s="105" t="str">
        <f t="shared" ref="M2408:M2471" si="411">IF(OR(B2408="D1",B2408="D2",B2408="D3",B2408="D4",B2408="PD"),"Derate",IF(OR(B2408="SF",B2408="U1",B2408="U2",B2408="U3"),"Outage",IF(OR(B2408="ME",B2408="MO"),"Maintenance","Other")))</f>
        <v>Derate</v>
      </c>
      <c r="N2408" s="105" t="str">
        <f t="shared" ref="N2408:N2471" si="412">IF(OR(A2408="BR1",A2408="BR2",A2408="BR3",A2408="CR4",A2408="CR5",A2408="CR6",A2408="GH1",A2408="GH2",A2408="GH3",A2408="GH4",A2408="GR3",A2408="GR4",A2408="MC1",A2408="MC2",A2408="MC3",A2408="MC4",A2408="TC1",A2408="TC2",A2408="TY3"),"Coal","Gas")</f>
        <v>Coal</v>
      </c>
      <c r="O2408" s="105">
        <f>IFERROR(VLOOKUP(A2408,Lookup!$J$5:$P$19,7,FALSE),0)</f>
        <v>2</v>
      </c>
      <c r="P2408" s="159">
        <f t="shared" ref="P2408:P2471" si="413">YEAR(E2408)</f>
        <v>2014</v>
      </c>
      <c r="Q2408" s="159">
        <f t="shared" ref="Q2408:Q2471" si="414">MONTH(E2408)</f>
        <v>10</v>
      </c>
      <c r="R2408" s="160">
        <f t="shared" ref="R2408:R2471" si="415">(F2408-E2408)*24</f>
        <v>1.4166666667442769</v>
      </c>
      <c r="S2408" s="158">
        <f t="shared" ref="S2408:S2471" si="416">R2408*(H2408-G2408)/H2408</f>
        <v>0.38636363638480281</v>
      </c>
      <c r="T2408" s="161">
        <f t="shared" ref="T2408:T2471" si="417">S2408*I2408</f>
        <v>115.90909091544084</v>
      </c>
      <c r="U2408" s="158">
        <f t="shared" si="409"/>
        <v>81.818181818181813</v>
      </c>
      <c r="V2408" s="160">
        <f t="shared" ref="V2408:V2471" si="418">ROUND(U2408,0)</f>
        <v>82</v>
      </c>
    </row>
    <row r="2409" spans="1:22" x14ac:dyDescent="0.25">
      <c r="A2409" s="98" t="s">
        <v>23</v>
      </c>
      <c r="B2409" s="98" t="s">
        <v>17</v>
      </c>
      <c r="C2409" s="98">
        <v>185</v>
      </c>
      <c r="D2409" s="98">
        <v>1488</v>
      </c>
      <c r="E2409" s="157">
        <v>41922.020833333336</v>
      </c>
      <c r="F2409" s="157">
        <v>41922.142361111109</v>
      </c>
      <c r="G2409" s="98">
        <v>205</v>
      </c>
      <c r="H2409" s="98">
        <v>330</v>
      </c>
      <c r="I2409" s="98">
        <v>300</v>
      </c>
      <c r="J2409" s="98" t="s">
        <v>2284</v>
      </c>
      <c r="K2409" s="98" t="s">
        <v>2681</v>
      </c>
      <c r="L2409" s="105" t="str">
        <f t="shared" si="410"/>
        <v>Mill Creek</v>
      </c>
      <c r="M2409" s="105" t="str">
        <f t="shared" si="411"/>
        <v>Derate</v>
      </c>
      <c r="N2409" s="105" t="str">
        <f t="shared" si="412"/>
        <v>Coal</v>
      </c>
      <c r="O2409" s="105">
        <f>IFERROR(VLOOKUP(A2409,Lookup!$J$5:$P$19,7,FALSE),0)</f>
        <v>2</v>
      </c>
      <c r="P2409" s="159">
        <f t="shared" si="413"/>
        <v>2014</v>
      </c>
      <c r="Q2409" s="159">
        <f t="shared" si="414"/>
        <v>10</v>
      </c>
      <c r="R2409" s="160">
        <f t="shared" si="415"/>
        <v>2.9166666665696539</v>
      </c>
      <c r="S2409" s="158">
        <f t="shared" si="416"/>
        <v>1.1047979797612326</v>
      </c>
      <c r="T2409" s="161">
        <f t="shared" si="417"/>
        <v>331.43939392836978</v>
      </c>
      <c r="U2409" s="158">
        <f t="shared" ref="U2409:U2472" si="419">IF(G2409&gt;0,MAX((H2409-G2409),0)*I2409/H2409,I2409)</f>
        <v>113.63636363636364</v>
      </c>
      <c r="V2409" s="160">
        <f t="shared" si="418"/>
        <v>114</v>
      </c>
    </row>
    <row r="2410" spans="1:22" x14ac:dyDescent="0.25">
      <c r="A2410" s="98" t="s">
        <v>23</v>
      </c>
      <c r="B2410" s="98" t="s">
        <v>105</v>
      </c>
      <c r="C2410" s="98">
        <v>186</v>
      </c>
      <c r="D2410" s="98">
        <v>310</v>
      </c>
      <c r="E2410" s="157">
        <v>41931.875</v>
      </c>
      <c r="F2410" s="157">
        <v>41932.018750000003</v>
      </c>
      <c r="G2410" s="98">
        <v>240</v>
      </c>
      <c r="H2410" s="98">
        <v>330</v>
      </c>
      <c r="I2410" s="98">
        <v>300</v>
      </c>
      <c r="J2410" s="98" t="s">
        <v>1966</v>
      </c>
      <c r="K2410" s="98" t="s">
        <v>568</v>
      </c>
      <c r="L2410" s="105" t="str">
        <f t="shared" si="410"/>
        <v>Mill Creek</v>
      </c>
      <c r="M2410" s="105" t="str">
        <f t="shared" si="411"/>
        <v>Derate</v>
      </c>
      <c r="N2410" s="105" t="str">
        <f t="shared" si="412"/>
        <v>Coal</v>
      </c>
      <c r="O2410" s="105">
        <f>IFERROR(VLOOKUP(A2410,Lookup!$J$5:$P$19,7,FALSE),0)</f>
        <v>2</v>
      </c>
      <c r="P2410" s="159">
        <f t="shared" si="413"/>
        <v>2014</v>
      </c>
      <c r="Q2410" s="159">
        <f t="shared" si="414"/>
        <v>10</v>
      </c>
      <c r="R2410" s="160">
        <f t="shared" si="415"/>
        <v>3.4500000000698492</v>
      </c>
      <c r="S2410" s="158">
        <f t="shared" si="416"/>
        <v>0.94090909092814068</v>
      </c>
      <c r="T2410" s="161">
        <f t="shared" si="417"/>
        <v>282.27272727844218</v>
      </c>
      <c r="U2410" s="158">
        <f t="shared" si="419"/>
        <v>81.818181818181813</v>
      </c>
      <c r="V2410" s="160">
        <f t="shared" si="418"/>
        <v>82</v>
      </c>
    </row>
    <row r="2411" spans="1:22" x14ac:dyDescent="0.25">
      <c r="A2411" s="98" t="s">
        <v>23</v>
      </c>
      <c r="B2411" s="98" t="s">
        <v>17</v>
      </c>
      <c r="C2411" s="98">
        <v>187</v>
      </c>
      <c r="D2411" s="98">
        <v>1475</v>
      </c>
      <c r="E2411" s="157">
        <v>41938.368055555555</v>
      </c>
      <c r="F2411" s="157">
        <v>41938.430555555555</v>
      </c>
      <c r="G2411" s="98">
        <v>226</v>
      </c>
      <c r="H2411" s="98">
        <v>330</v>
      </c>
      <c r="I2411" s="98">
        <v>300</v>
      </c>
      <c r="J2411" s="98" t="s">
        <v>1989</v>
      </c>
      <c r="K2411" s="98" t="s">
        <v>2682</v>
      </c>
      <c r="L2411" s="105" t="str">
        <f t="shared" si="410"/>
        <v>Mill Creek</v>
      </c>
      <c r="M2411" s="105" t="str">
        <f t="shared" si="411"/>
        <v>Derate</v>
      </c>
      <c r="N2411" s="105" t="str">
        <f t="shared" si="412"/>
        <v>Coal</v>
      </c>
      <c r="O2411" s="105">
        <f>IFERROR(VLOOKUP(A2411,Lookup!$J$5:$P$19,7,FALSE),0)</f>
        <v>2</v>
      </c>
      <c r="P2411" s="159">
        <f t="shared" si="413"/>
        <v>2014</v>
      </c>
      <c r="Q2411" s="159">
        <f t="shared" si="414"/>
        <v>10</v>
      </c>
      <c r="R2411" s="160">
        <f t="shared" si="415"/>
        <v>1.5</v>
      </c>
      <c r="S2411" s="158">
        <f t="shared" si="416"/>
        <v>0.47272727272727272</v>
      </c>
      <c r="T2411" s="161">
        <f t="shared" si="417"/>
        <v>141.81818181818181</v>
      </c>
      <c r="U2411" s="158">
        <f t="shared" si="419"/>
        <v>94.545454545454547</v>
      </c>
      <c r="V2411" s="160">
        <f t="shared" si="418"/>
        <v>95</v>
      </c>
    </row>
    <row r="2412" spans="1:22" x14ac:dyDescent="0.25">
      <c r="A2412" s="98" t="s">
        <v>23</v>
      </c>
      <c r="B2412" s="98" t="s">
        <v>17</v>
      </c>
      <c r="C2412" s="98">
        <v>188</v>
      </c>
      <c r="D2412" s="98">
        <v>360</v>
      </c>
      <c r="E2412" s="157">
        <v>41939.246527777781</v>
      </c>
      <c r="F2412" s="157">
        <v>41939.282638888886</v>
      </c>
      <c r="G2412" s="98">
        <v>250</v>
      </c>
      <c r="H2412" s="98">
        <v>330</v>
      </c>
      <c r="I2412" s="98">
        <v>300</v>
      </c>
      <c r="J2412" s="98" t="s">
        <v>229</v>
      </c>
      <c r="K2412" s="98" t="s">
        <v>2683</v>
      </c>
      <c r="L2412" s="105" t="str">
        <f t="shared" si="410"/>
        <v>Mill Creek</v>
      </c>
      <c r="M2412" s="105" t="str">
        <f t="shared" si="411"/>
        <v>Derate</v>
      </c>
      <c r="N2412" s="105" t="str">
        <f t="shared" si="412"/>
        <v>Coal</v>
      </c>
      <c r="O2412" s="105">
        <f>IFERROR(VLOOKUP(A2412,Lookup!$J$5:$P$19,7,FALSE),0)</f>
        <v>2</v>
      </c>
      <c r="P2412" s="159">
        <f t="shared" si="413"/>
        <v>2014</v>
      </c>
      <c r="Q2412" s="159">
        <f t="shared" si="414"/>
        <v>10</v>
      </c>
      <c r="R2412" s="160">
        <f t="shared" si="415"/>
        <v>0.86666666652308777</v>
      </c>
      <c r="S2412" s="158">
        <f t="shared" si="416"/>
        <v>0.2101010100662031</v>
      </c>
      <c r="T2412" s="161">
        <f t="shared" si="417"/>
        <v>63.030303019860931</v>
      </c>
      <c r="U2412" s="158">
        <f t="shared" si="419"/>
        <v>72.727272727272734</v>
      </c>
      <c r="V2412" s="160">
        <f t="shared" si="418"/>
        <v>73</v>
      </c>
    </row>
    <row r="2413" spans="1:22" x14ac:dyDescent="0.25">
      <c r="A2413" s="98" t="s">
        <v>23</v>
      </c>
      <c r="B2413" s="98" t="s">
        <v>105</v>
      </c>
      <c r="C2413" s="98">
        <v>189</v>
      </c>
      <c r="D2413" s="98">
        <v>1475</v>
      </c>
      <c r="E2413" s="157">
        <v>41940.955555555556</v>
      </c>
      <c r="F2413" s="157">
        <v>41941.09375</v>
      </c>
      <c r="G2413" s="98">
        <v>135</v>
      </c>
      <c r="H2413" s="98">
        <v>330</v>
      </c>
      <c r="I2413" s="98">
        <v>300</v>
      </c>
      <c r="J2413" s="98" t="s">
        <v>1989</v>
      </c>
      <c r="K2413" s="98" t="s">
        <v>2684</v>
      </c>
      <c r="L2413" s="105" t="str">
        <f t="shared" si="410"/>
        <v>Mill Creek</v>
      </c>
      <c r="M2413" s="105" t="str">
        <f t="shared" si="411"/>
        <v>Derate</v>
      </c>
      <c r="N2413" s="105" t="str">
        <f t="shared" si="412"/>
        <v>Coal</v>
      </c>
      <c r="O2413" s="105">
        <f>IFERROR(VLOOKUP(A2413,Lookup!$J$5:$P$19,7,FALSE),0)</f>
        <v>2</v>
      </c>
      <c r="P2413" s="159">
        <f t="shared" si="413"/>
        <v>2014</v>
      </c>
      <c r="Q2413" s="159">
        <f t="shared" si="414"/>
        <v>10</v>
      </c>
      <c r="R2413" s="160">
        <f t="shared" si="415"/>
        <v>3.3166666666511446</v>
      </c>
      <c r="S2413" s="158">
        <f t="shared" si="416"/>
        <v>1.9598484848393127</v>
      </c>
      <c r="T2413" s="161">
        <f t="shared" si="417"/>
        <v>587.95454545179382</v>
      </c>
      <c r="U2413" s="158">
        <f t="shared" si="419"/>
        <v>177.27272727272728</v>
      </c>
      <c r="V2413" s="160">
        <f t="shared" si="418"/>
        <v>177</v>
      </c>
    </row>
    <row r="2414" spans="1:22" x14ac:dyDescent="0.25">
      <c r="A2414" s="98" t="s">
        <v>23</v>
      </c>
      <c r="B2414" s="98" t="s">
        <v>17</v>
      </c>
      <c r="C2414" s="98">
        <v>190</v>
      </c>
      <c r="D2414" s="98">
        <v>1475</v>
      </c>
      <c r="E2414" s="157">
        <v>41941.229166666664</v>
      </c>
      <c r="F2414" s="157">
        <v>41941.305555555555</v>
      </c>
      <c r="G2414" s="98">
        <v>250</v>
      </c>
      <c r="H2414" s="98">
        <v>330</v>
      </c>
      <c r="I2414" s="98">
        <v>300</v>
      </c>
      <c r="J2414" s="98" t="s">
        <v>1989</v>
      </c>
      <c r="K2414" s="98" t="s">
        <v>2685</v>
      </c>
      <c r="L2414" s="105" t="str">
        <f t="shared" si="410"/>
        <v>Mill Creek</v>
      </c>
      <c r="M2414" s="105" t="str">
        <f t="shared" si="411"/>
        <v>Derate</v>
      </c>
      <c r="N2414" s="105" t="str">
        <f t="shared" si="412"/>
        <v>Coal</v>
      </c>
      <c r="O2414" s="105">
        <f>IFERROR(VLOOKUP(A2414,Lookup!$J$5:$P$19,7,FALSE),0)</f>
        <v>2</v>
      </c>
      <c r="P2414" s="159">
        <f t="shared" si="413"/>
        <v>2014</v>
      </c>
      <c r="Q2414" s="159">
        <f t="shared" si="414"/>
        <v>10</v>
      </c>
      <c r="R2414" s="160">
        <f t="shared" si="415"/>
        <v>1.8333333333721384</v>
      </c>
      <c r="S2414" s="158">
        <f t="shared" si="416"/>
        <v>0.44444444445385173</v>
      </c>
      <c r="T2414" s="161">
        <f t="shared" si="417"/>
        <v>133.3333333361555</v>
      </c>
      <c r="U2414" s="158">
        <f t="shared" si="419"/>
        <v>72.727272727272734</v>
      </c>
      <c r="V2414" s="160">
        <f t="shared" si="418"/>
        <v>73</v>
      </c>
    </row>
    <row r="2415" spans="1:22" x14ac:dyDescent="0.25">
      <c r="A2415" s="98" t="s">
        <v>23</v>
      </c>
      <c r="B2415" s="98" t="s">
        <v>17</v>
      </c>
      <c r="C2415" s="98">
        <v>191</v>
      </c>
      <c r="D2415" s="98">
        <v>1475</v>
      </c>
      <c r="E2415" s="157">
        <v>41941.305555555555</v>
      </c>
      <c r="F2415" s="157">
        <v>41941.963194444441</v>
      </c>
      <c r="G2415" s="98">
        <v>320</v>
      </c>
      <c r="H2415" s="98">
        <v>330</v>
      </c>
      <c r="I2415" s="98">
        <v>300</v>
      </c>
      <c r="J2415" s="98" t="s">
        <v>1989</v>
      </c>
      <c r="K2415" s="98" t="s">
        <v>2686</v>
      </c>
      <c r="L2415" s="105" t="str">
        <f t="shared" si="410"/>
        <v>Mill Creek</v>
      </c>
      <c r="M2415" s="105" t="str">
        <f t="shared" si="411"/>
        <v>Derate</v>
      </c>
      <c r="N2415" s="105" t="str">
        <f t="shared" si="412"/>
        <v>Coal</v>
      </c>
      <c r="O2415" s="105">
        <f>IFERROR(VLOOKUP(A2415,Lookup!$J$5:$P$19,7,FALSE),0)</f>
        <v>2</v>
      </c>
      <c r="P2415" s="159">
        <f t="shared" si="413"/>
        <v>2014</v>
      </c>
      <c r="Q2415" s="159">
        <f t="shared" si="414"/>
        <v>10</v>
      </c>
      <c r="R2415" s="160">
        <f t="shared" si="415"/>
        <v>15.783333333267365</v>
      </c>
      <c r="S2415" s="158">
        <f t="shared" si="416"/>
        <v>0.47828282828082924</v>
      </c>
      <c r="T2415" s="161">
        <f t="shared" si="417"/>
        <v>143.48484848424877</v>
      </c>
      <c r="U2415" s="158">
        <f t="shared" si="419"/>
        <v>9.0909090909090917</v>
      </c>
      <c r="V2415" s="160">
        <f t="shared" si="418"/>
        <v>9</v>
      </c>
    </row>
    <row r="2416" spans="1:22" x14ac:dyDescent="0.25">
      <c r="A2416" s="98" t="s">
        <v>23</v>
      </c>
      <c r="B2416" s="98" t="s">
        <v>105</v>
      </c>
      <c r="C2416" s="98">
        <v>192</v>
      </c>
      <c r="D2416" s="98">
        <v>1475</v>
      </c>
      <c r="E2416" s="157">
        <v>41941.963194444441</v>
      </c>
      <c r="F2416" s="157">
        <v>41942.102083333331</v>
      </c>
      <c r="G2416" s="98">
        <v>135</v>
      </c>
      <c r="H2416" s="98">
        <v>330</v>
      </c>
      <c r="I2416" s="98">
        <v>300</v>
      </c>
      <c r="J2416" s="98" t="s">
        <v>1989</v>
      </c>
      <c r="K2416" s="98" t="s">
        <v>2687</v>
      </c>
      <c r="L2416" s="105" t="str">
        <f t="shared" si="410"/>
        <v>Mill Creek</v>
      </c>
      <c r="M2416" s="105" t="str">
        <f t="shared" si="411"/>
        <v>Derate</v>
      </c>
      <c r="N2416" s="105" t="str">
        <f t="shared" si="412"/>
        <v>Coal</v>
      </c>
      <c r="O2416" s="105">
        <f>IFERROR(VLOOKUP(A2416,Lookup!$J$5:$P$19,7,FALSE),0)</f>
        <v>2</v>
      </c>
      <c r="P2416" s="159">
        <f t="shared" si="413"/>
        <v>2014</v>
      </c>
      <c r="Q2416" s="159">
        <f t="shared" si="414"/>
        <v>10</v>
      </c>
      <c r="R2416" s="160">
        <f t="shared" si="415"/>
        <v>3.3333333333721384</v>
      </c>
      <c r="S2416" s="158">
        <f t="shared" si="416"/>
        <v>1.9696969697199</v>
      </c>
      <c r="T2416" s="161">
        <f t="shared" si="417"/>
        <v>590.90909091597007</v>
      </c>
      <c r="U2416" s="158">
        <f t="shared" si="419"/>
        <v>177.27272727272728</v>
      </c>
      <c r="V2416" s="160">
        <f t="shared" si="418"/>
        <v>177</v>
      </c>
    </row>
    <row r="2417" spans="1:22" x14ac:dyDescent="0.25">
      <c r="A2417" s="98" t="s">
        <v>23</v>
      </c>
      <c r="B2417" s="98" t="s">
        <v>17</v>
      </c>
      <c r="C2417" s="98">
        <v>193</v>
      </c>
      <c r="D2417" s="98">
        <v>1160</v>
      </c>
      <c r="E2417" s="157">
        <v>41942.745833333334</v>
      </c>
      <c r="F2417" s="157">
        <v>41942.806944444441</v>
      </c>
      <c r="G2417" s="98">
        <v>305</v>
      </c>
      <c r="H2417" s="98">
        <v>330</v>
      </c>
      <c r="I2417" s="98">
        <v>300</v>
      </c>
      <c r="J2417" s="98" t="s">
        <v>2273</v>
      </c>
      <c r="K2417" s="98" t="s">
        <v>2688</v>
      </c>
      <c r="L2417" s="105" t="str">
        <f t="shared" si="410"/>
        <v>Mill Creek</v>
      </c>
      <c r="M2417" s="105" t="str">
        <f t="shared" si="411"/>
        <v>Derate</v>
      </c>
      <c r="N2417" s="105" t="str">
        <f t="shared" si="412"/>
        <v>Coal</v>
      </c>
      <c r="O2417" s="105">
        <f>IFERROR(VLOOKUP(A2417,Lookup!$J$5:$P$19,7,FALSE),0)</f>
        <v>2</v>
      </c>
      <c r="P2417" s="159">
        <f t="shared" si="413"/>
        <v>2014</v>
      </c>
      <c r="Q2417" s="159">
        <f t="shared" si="414"/>
        <v>10</v>
      </c>
      <c r="R2417" s="160">
        <f t="shared" si="415"/>
        <v>1.4666666665580124</v>
      </c>
      <c r="S2417" s="158">
        <f t="shared" si="416"/>
        <v>0.11111111110287973</v>
      </c>
      <c r="T2417" s="161">
        <f t="shared" si="417"/>
        <v>33.333333330863923</v>
      </c>
      <c r="U2417" s="158">
        <f t="shared" si="419"/>
        <v>22.727272727272727</v>
      </c>
      <c r="V2417" s="160">
        <f t="shared" si="418"/>
        <v>23</v>
      </c>
    </row>
    <row r="2418" spans="1:22" x14ac:dyDescent="0.25">
      <c r="A2418" s="98" t="s">
        <v>23</v>
      </c>
      <c r="B2418" s="98" t="s">
        <v>17</v>
      </c>
      <c r="C2418" s="98">
        <v>194</v>
      </c>
      <c r="D2418" s="98">
        <v>1160</v>
      </c>
      <c r="E2418" s="157">
        <v>41942.806944444441</v>
      </c>
      <c r="F2418" s="157">
        <v>41942.837500000001</v>
      </c>
      <c r="G2418" s="98">
        <v>280</v>
      </c>
      <c r="H2418" s="98">
        <v>330</v>
      </c>
      <c r="I2418" s="98">
        <v>300</v>
      </c>
      <c r="J2418" s="98" t="s">
        <v>2273</v>
      </c>
      <c r="K2418" s="98" t="s">
        <v>2688</v>
      </c>
      <c r="L2418" s="105" t="str">
        <f t="shared" si="410"/>
        <v>Mill Creek</v>
      </c>
      <c r="M2418" s="105" t="str">
        <f t="shared" si="411"/>
        <v>Derate</v>
      </c>
      <c r="N2418" s="105" t="str">
        <f t="shared" si="412"/>
        <v>Coal</v>
      </c>
      <c r="O2418" s="105">
        <f>IFERROR(VLOOKUP(A2418,Lookup!$J$5:$P$19,7,FALSE),0)</f>
        <v>2</v>
      </c>
      <c r="P2418" s="159">
        <f t="shared" si="413"/>
        <v>2014</v>
      </c>
      <c r="Q2418" s="159">
        <f t="shared" si="414"/>
        <v>10</v>
      </c>
      <c r="R2418" s="160">
        <f t="shared" si="415"/>
        <v>0.73333333345362917</v>
      </c>
      <c r="S2418" s="158">
        <f t="shared" si="416"/>
        <v>0.11111111112933775</v>
      </c>
      <c r="T2418" s="161">
        <f t="shared" si="417"/>
        <v>33.333333338801324</v>
      </c>
      <c r="U2418" s="158">
        <f t="shared" si="419"/>
        <v>45.454545454545453</v>
      </c>
      <c r="V2418" s="160">
        <f t="shared" si="418"/>
        <v>45</v>
      </c>
    </row>
    <row r="2419" spans="1:22" x14ac:dyDescent="0.25">
      <c r="A2419" s="98" t="s">
        <v>23</v>
      </c>
      <c r="B2419" s="98" t="s">
        <v>79</v>
      </c>
      <c r="C2419" s="98">
        <v>195</v>
      </c>
      <c r="D2419" s="98">
        <v>1160</v>
      </c>
      <c r="E2419" s="157">
        <v>41942.837500000001</v>
      </c>
      <c r="F2419" s="157">
        <v>41942.958333333336</v>
      </c>
      <c r="G2419" s="98">
        <v>0</v>
      </c>
      <c r="H2419" s="98">
        <v>330</v>
      </c>
      <c r="I2419" s="98">
        <v>300</v>
      </c>
      <c r="J2419" s="98" t="s">
        <v>2273</v>
      </c>
      <c r="K2419" s="98" t="s">
        <v>2689</v>
      </c>
      <c r="L2419" s="105" t="str">
        <f t="shared" si="410"/>
        <v>Mill Creek</v>
      </c>
      <c r="M2419" s="105" t="str">
        <f t="shared" si="411"/>
        <v>Other</v>
      </c>
      <c r="N2419" s="105" t="str">
        <f t="shared" si="412"/>
        <v>Coal</v>
      </c>
      <c r="O2419" s="105">
        <f>IFERROR(VLOOKUP(A2419,Lookup!$J$5:$P$19,7,FALSE),0)</f>
        <v>2</v>
      </c>
      <c r="P2419" s="159">
        <f t="shared" si="413"/>
        <v>2014</v>
      </c>
      <c r="Q2419" s="159">
        <f t="shared" si="414"/>
        <v>10</v>
      </c>
      <c r="R2419" s="160">
        <f t="shared" si="415"/>
        <v>2.9000000000232831</v>
      </c>
      <c r="S2419" s="158">
        <f t="shared" si="416"/>
        <v>2.9000000000232831</v>
      </c>
      <c r="T2419" s="161">
        <f t="shared" si="417"/>
        <v>870.00000000698492</v>
      </c>
      <c r="U2419" s="158">
        <f t="shared" si="419"/>
        <v>300</v>
      </c>
      <c r="V2419" s="160">
        <f t="shared" si="418"/>
        <v>300</v>
      </c>
    </row>
    <row r="2420" spans="1:22" x14ac:dyDescent="0.25">
      <c r="A2420" s="98" t="s">
        <v>23</v>
      </c>
      <c r="B2420" s="98" t="s">
        <v>17</v>
      </c>
      <c r="C2420" s="98">
        <v>196</v>
      </c>
      <c r="D2420" s="98">
        <v>1160</v>
      </c>
      <c r="E2420" s="157">
        <v>41942.958333333336</v>
      </c>
      <c r="F2420" s="157">
        <v>41943.15</v>
      </c>
      <c r="G2420" s="98">
        <v>295</v>
      </c>
      <c r="H2420" s="98">
        <v>330</v>
      </c>
      <c r="I2420" s="98">
        <v>300</v>
      </c>
      <c r="J2420" s="98" t="s">
        <v>2273</v>
      </c>
      <c r="K2420" s="98" t="s">
        <v>2688</v>
      </c>
      <c r="L2420" s="105" t="str">
        <f t="shared" si="410"/>
        <v>Mill Creek</v>
      </c>
      <c r="M2420" s="105" t="str">
        <f t="shared" si="411"/>
        <v>Derate</v>
      </c>
      <c r="N2420" s="105" t="str">
        <f t="shared" si="412"/>
        <v>Coal</v>
      </c>
      <c r="O2420" s="105">
        <f>IFERROR(VLOOKUP(A2420,Lookup!$J$5:$P$19,7,FALSE),0)</f>
        <v>2</v>
      </c>
      <c r="P2420" s="159">
        <f t="shared" si="413"/>
        <v>2014</v>
      </c>
      <c r="Q2420" s="159">
        <f t="shared" si="414"/>
        <v>10</v>
      </c>
      <c r="R2420" s="160">
        <f t="shared" si="415"/>
        <v>4.5999999999767169</v>
      </c>
      <c r="S2420" s="158">
        <f t="shared" si="416"/>
        <v>0.48787878787631844</v>
      </c>
      <c r="T2420" s="161">
        <f t="shared" si="417"/>
        <v>146.36363636289553</v>
      </c>
      <c r="U2420" s="158">
        <f t="shared" si="419"/>
        <v>31.818181818181817</v>
      </c>
      <c r="V2420" s="160">
        <f t="shared" si="418"/>
        <v>32</v>
      </c>
    </row>
    <row r="2421" spans="1:22" x14ac:dyDescent="0.25">
      <c r="A2421" s="98" t="s">
        <v>23</v>
      </c>
      <c r="B2421" s="98" t="s">
        <v>17</v>
      </c>
      <c r="C2421" s="98">
        <v>197</v>
      </c>
      <c r="D2421" s="98">
        <v>1160</v>
      </c>
      <c r="E2421" s="157">
        <v>41943.222222222219</v>
      </c>
      <c r="F2421" s="157">
        <v>41943.244444444441</v>
      </c>
      <c r="G2421" s="98">
        <v>295</v>
      </c>
      <c r="H2421" s="98">
        <v>330</v>
      </c>
      <c r="I2421" s="98">
        <v>300</v>
      </c>
      <c r="J2421" s="98" t="s">
        <v>2273</v>
      </c>
      <c r="K2421" s="98" t="s">
        <v>51</v>
      </c>
      <c r="L2421" s="105" t="str">
        <f t="shared" si="410"/>
        <v>Mill Creek</v>
      </c>
      <c r="M2421" s="105" t="str">
        <f t="shared" si="411"/>
        <v>Derate</v>
      </c>
      <c r="N2421" s="105" t="str">
        <f t="shared" si="412"/>
        <v>Coal</v>
      </c>
      <c r="O2421" s="105">
        <f>IFERROR(VLOOKUP(A2421,Lookup!$J$5:$P$19,7,FALSE),0)</f>
        <v>2</v>
      </c>
      <c r="P2421" s="159">
        <f t="shared" si="413"/>
        <v>2014</v>
      </c>
      <c r="Q2421" s="159">
        <f t="shared" si="414"/>
        <v>10</v>
      </c>
      <c r="R2421" s="160">
        <f t="shared" si="415"/>
        <v>0.53333333332557231</v>
      </c>
      <c r="S2421" s="158">
        <f t="shared" si="416"/>
        <v>5.6565656564833429E-2</v>
      </c>
      <c r="T2421" s="161">
        <f t="shared" si="417"/>
        <v>16.96969696945003</v>
      </c>
      <c r="U2421" s="158">
        <f t="shared" si="419"/>
        <v>31.818181818181817</v>
      </c>
      <c r="V2421" s="160">
        <f t="shared" si="418"/>
        <v>32</v>
      </c>
    </row>
    <row r="2422" spans="1:22" x14ac:dyDescent="0.25">
      <c r="A2422" s="98" t="s">
        <v>23</v>
      </c>
      <c r="B2422" s="98" t="s">
        <v>17</v>
      </c>
      <c r="C2422" s="98">
        <v>198</v>
      </c>
      <c r="D2422" s="98">
        <v>1160</v>
      </c>
      <c r="E2422" s="157">
        <v>41943.244444444441</v>
      </c>
      <c r="F2422" s="157">
        <v>41943.352083333331</v>
      </c>
      <c r="G2422" s="98">
        <v>275</v>
      </c>
      <c r="H2422" s="98">
        <v>330</v>
      </c>
      <c r="I2422" s="98">
        <v>300</v>
      </c>
      <c r="J2422" s="98" t="s">
        <v>2273</v>
      </c>
      <c r="K2422" s="98" t="s">
        <v>51</v>
      </c>
      <c r="L2422" s="105" t="str">
        <f t="shared" si="410"/>
        <v>Mill Creek</v>
      </c>
      <c r="M2422" s="105" t="str">
        <f t="shared" si="411"/>
        <v>Derate</v>
      </c>
      <c r="N2422" s="105" t="str">
        <f t="shared" si="412"/>
        <v>Coal</v>
      </c>
      <c r="O2422" s="105">
        <f>IFERROR(VLOOKUP(A2422,Lookup!$J$5:$P$19,7,FALSE),0)</f>
        <v>2</v>
      </c>
      <c r="P2422" s="159">
        <f t="shared" si="413"/>
        <v>2014</v>
      </c>
      <c r="Q2422" s="159">
        <f t="shared" si="414"/>
        <v>10</v>
      </c>
      <c r="R2422" s="160">
        <f t="shared" si="415"/>
        <v>2.5833333333721384</v>
      </c>
      <c r="S2422" s="158">
        <f t="shared" si="416"/>
        <v>0.43055555556202307</v>
      </c>
      <c r="T2422" s="161">
        <f t="shared" si="417"/>
        <v>129.16666666860692</v>
      </c>
      <c r="U2422" s="158">
        <f t="shared" si="419"/>
        <v>50</v>
      </c>
      <c r="V2422" s="160">
        <f t="shared" si="418"/>
        <v>50</v>
      </c>
    </row>
    <row r="2423" spans="1:22" x14ac:dyDescent="0.25">
      <c r="A2423" s="98" t="s">
        <v>23</v>
      </c>
      <c r="B2423" s="98" t="s">
        <v>17</v>
      </c>
      <c r="C2423" s="98">
        <v>199</v>
      </c>
      <c r="D2423" s="98">
        <v>1160</v>
      </c>
      <c r="E2423" s="157">
        <v>41943.352083333331</v>
      </c>
      <c r="F2423" s="157">
        <v>41943.613194444442</v>
      </c>
      <c r="G2423" s="98">
        <v>250</v>
      </c>
      <c r="H2423" s="98">
        <v>330</v>
      </c>
      <c r="I2423" s="98">
        <v>300</v>
      </c>
      <c r="J2423" s="98" t="s">
        <v>2273</v>
      </c>
      <c r="K2423" s="98" t="s">
        <v>51</v>
      </c>
      <c r="L2423" s="105" t="str">
        <f t="shared" si="410"/>
        <v>Mill Creek</v>
      </c>
      <c r="M2423" s="105" t="str">
        <f t="shared" si="411"/>
        <v>Derate</v>
      </c>
      <c r="N2423" s="105" t="str">
        <f t="shared" si="412"/>
        <v>Coal</v>
      </c>
      <c r="O2423" s="105">
        <f>IFERROR(VLOOKUP(A2423,Lookup!$J$5:$P$19,7,FALSE),0)</f>
        <v>2</v>
      </c>
      <c r="P2423" s="159">
        <f t="shared" si="413"/>
        <v>2014</v>
      </c>
      <c r="Q2423" s="159">
        <f t="shared" si="414"/>
        <v>10</v>
      </c>
      <c r="R2423" s="160">
        <f t="shared" si="415"/>
        <v>6.2666666666627862</v>
      </c>
      <c r="S2423" s="158">
        <f t="shared" si="416"/>
        <v>1.5191919191909784</v>
      </c>
      <c r="T2423" s="161">
        <f t="shared" si="417"/>
        <v>455.75757575729352</v>
      </c>
      <c r="U2423" s="158">
        <f t="shared" si="419"/>
        <v>72.727272727272734</v>
      </c>
      <c r="V2423" s="160">
        <f t="shared" si="418"/>
        <v>73</v>
      </c>
    </row>
    <row r="2424" spans="1:22" x14ac:dyDescent="0.25">
      <c r="A2424" s="98" t="s">
        <v>23</v>
      </c>
      <c r="B2424" s="98" t="s">
        <v>17</v>
      </c>
      <c r="C2424" s="98">
        <v>200</v>
      </c>
      <c r="D2424" s="98">
        <v>4261</v>
      </c>
      <c r="E2424" s="157">
        <v>41944.001388888886</v>
      </c>
      <c r="F2424" s="157">
        <v>41944.063888888886</v>
      </c>
      <c r="G2424" s="98">
        <v>224</v>
      </c>
      <c r="H2424" s="98">
        <v>330</v>
      </c>
      <c r="I2424" s="98">
        <v>300</v>
      </c>
      <c r="J2424" s="98" t="s">
        <v>1985</v>
      </c>
      <c r="K2424" s="98" t="s">
        <v>2690</v>
      </c>
      <c r="L2424" s="105" t="str">
        <f t="shared" si="410"/>
        <v>Mill Creek</v>
      </c>
      <c r="M2424" s="105" t="str">
        <f t="shared" si="411"/>
        <v>Derate</v>
      </c>
      <c r="N2424" s="105" t="str">
        <f t="shared" si="412"/>
        <v>Coal</v>
      </c>
      <c r="O2424" s="105">
        <f>IFERROR(VLOOKUP(A2424,Lookup!$J$5:$P$19,7,FALSE),0)</f>
        <v>2</v>
      </c>
      <c r="P2424" s="159">
        <f t="shared" si="413"/>
        <v>2014</v>
      </c>
      <c r="Q2424" s="159">
        <f t="shared" si="414"/>
        <v>11</v>
      </c>
      <c r="R2424" s="160">
        <f t="shared" si="415"/>
        <v>1.5</v>
      </c>
      <c r="S2424" s="158">
        <f t="shared" si="416"/>
        <v>0.48181818181818181</v>
      </c>
      <c r="T2424" s="161">
        <f t="shared" si="417"/>
        <v>144.54545454545453</v>
      </c>
      <c r="U2424" s="158">
        <f t="shared" si="419"/>
        <v>96.36363636363636</v>
      </c>
      <c r="V2424" s="160">
        <f t="shared" si="418"/>
        <v>96</v>
      </c>
    </row>
    <row r="2425" spans="1:22" x14ac:dyDescent="0.25">
      <c r="A2425" s="98" t="s">
        <v>23</v>
      </c>
      <c r="B2425" s="98" t="s">
        <v>17</v>
      </c>
      <c r="C2425" s="98">
        <v>201</v>
      </c>
      <c r="D2425" s="98">
        <v>4261</v>
      </c>
      <c r="E2425" s="157">
        <v>41948.270833333336</v>
      </c>
      <c r="F2425" s="157">
        <v>41948.348611111112</v>
      </c>
      <c r="G2425" s="98">
        <v>194</v>
      </c>
      <c r="H2425" s="98">
        <v>330</v>
      </c>
      <c r="I2425" s="98">
        <v>300</v>
      </c>
      <c r="J2425" s="98" t="s">
        <v>1985</v>
      </c>
      <c r="K2425" s="98" t="s">
        <v>2691</v>
      </c>
      <c r="L2425" s="105" t="str">
        <f t="shared" si="410"/>
        <v>Mill Creek</v>
      </c>
      <c r="M2425" s="105" t="str">
        <f t="shared" si="411"/>
        <v>Derate</v>
      </c>
      <c r="N2425" s="105" t="str">
        <f t="shared" si="412"/>
        <v>Coal</v>
      </c>
      <c r="O2425" s="105">
        <f>IFERROR(VLOOKUP(A2425,Lookup!$J$5:$P$19,7,FALSE),0)</f>
        <v>2</v>
      </c>
      <c r="P2425" s="159">
        <f t="shared" si="413"/>
        <v>2014</v>
      </c>
      <c r="Q2425" s="159">
        <f t="shared" si="414"/>
        <v>11</v>
      </c>
      <c r="R2425" s="160">
        <f t="shared" si="415"/>
        <v>1.8666666666395031</v>
      </c>
      <c r="S2425" s="158">
        <f t="shared" si="416"/>
        <v>0.76929292928173465</v>
      </c>
      <c r="T2425" s="161">
        <f t="shared" si="417"/>
        <v>230.78787878452039</v>
      </c>
      <c r="U2425" s="158">
        <f t="shared" si="419"/>
        <v>123.63636363636364</v>
      </c>
      <c r="V2425" s="160">
        <f t="shared" si="418"/>
        <v>124</v>
      </c>
    </row>
    <row r="2426" spans="1:22" x14ac:dyDescent="0.25">
      <c r="A2426" s="98" t="s">
        <v>23</v>
      </c>
      <c r="B2426" s="98" t="s">
        <v>17</v>
      </c>
      <c r="C2426" s="98">
        <v>202</v>
      </c>
      <c r="D2426" s="98">
        <v>250</v>
      </c>
      <c r="E2426" s="157">
        <v>41948.555555555555</v>
      </c>
      <c r="F2426" s="157">
        <v>41948.730555555558</v>
      </c>
      <c r="G2426" s="98">
        <v>268</v>
      </c>
      <c r="H2426" s="98">
        <v>330</v>
      </c>
      <c r="I2426" s="98">
        <v>300</v>
      </c>
      <c r="J2426" s="98" t="s">
        <v>1978</v>
      </c>
      <c r="K2426" s="98" t="s">
        <v>2692</v>
      </c>
      <c r="L2426" s="105" t="str">
        <f t="shared" si="410"/>
        <v>Mill Creek</v>
      </c>
      <c r="M2426" s="105" t="str">
        <f t="shared" si="411"/>
        <v>Derate</v>
      </c>
      <c r="N2426" s="105" t="str">
        <f t="shared" si="412"/>
        <v>Coal</v>
      </c>
      <c r="O2426" s="105">
        <f>IFERROR(VLOOKUP(A2426,Lookup!$J$5:$P$19,7,FALSE),0)</f>
        <v>2</v>
      </c>
      <c r="P2426" s="159">
        <f t="shared" si="413"/>
        <v>2014</v>
      </c>
      <c r="Q2426" s="159">
        <f t="shared" si="414"/>
        <v>11</v>
      </c>
      <c r="R2426" s="160">
        <f t="shared" si="415"/>
        <v>4.2000000000698492</v>
      </c>
      <c r="S2426" s="158">
        <f t="shared" si="416"/>
        <v>0.78909090910403223</v>
      </c>
      <c r="T2426" s="161">
        <f t="shared" si="417"/>
        <v>236.72727273120967</v>
      </c>
      <c r="U2426" s="158">
        <f t="shared" si="419"/>
        <v>56.363636363636367</v>
      </c>
      <c r="V2426" s="160">
        <f t="shared" si="418"/>
        <v>56</v>
      </c>
    </row>
    <row r="2427" spans="1:22" x14ac:dyDescent="0.25">
      <c r="A2427" s="98" t="s">
        <v>23</v>
      </c>
      <c r="B2427" s="98" t="s">
        <v>105</v>
      </c>
      <c r="C2427" s="98">
        <v>203</v>
      </c>
      <c r="D2427" s="98">
        <v>310</v>
      </c>
      <c r="E2427" s="157">
        <v>41948.916666666664</v>
      </c>
      <c r="F2427" s="157">
        <v>41949.126388888886</v>
      </c>
      <c r="G2427" s="98">
        <v>250</v>
      </c>
      <c r="H2427" s="98">
        <v>330</v>
      </c>
      <c r="I2427" s="98">
        <v>300</v>
      </c>
      <c r="J2427" s="98" t="s">
        <v>1966</v>
      </c>
      <c r="K2427" s="98" t="s">
        <v>2693</v>
      </c>
      <c r="L2427" s="105" t="str">
        <f t="shared" si="410"/>
        <v>Mill Creek</v>
      </c>
      <c r="M2427" s="105" t="str">
        <f t="shared" si="411"/>
        <v>Derate</v>
      </c>
      <c r="N2427" s="105" t="str">
        <f t="shared" si="412"/>
        <v>Coal</v>
      </c>
      <c r="O2427" s="105">
        <f>IFERROR(VLOOKUP(A2427,Lookup!$J$5:$P$19,7,FALSE),0)</f>
        <v>2</v>
      </c>
      <c r="P2427" s="159">
        <f t="shared" si="413"/>
        <v>2014</v>
      </c>
      <c r="Q2427" s="159">
        <f t="shared" si="414"/>
        <v>11</v>
      </c>
      <c r="R2427" s="160">
        <f t="shared" si="415"/>
        <v>5.0333333333255723</v>
      </c>
      <c r="S2427" s="158">
        <f t="shared" si="416"/>
        <v>1.2202020202001387</v>
      </c>
      <c r="T2427" s="161">
        <f t="shared" si="417"/>
        <v>366.06060606004161</v>
      </c>
      <c r="U2427" s="158">
        <f t="shared" si="419"/>
        <v>72.727272727272734</v>
      </c>
      <c r="V2427" s="160">
        <f t="shared" si="418"/>
        <v>73</v>
      </c>
    </row>
    <row r="2428" spans="1:22" x14ac:dyDescent="0.25">
      <c r="A2428" s="98" t="s">
        <v>23</v>
      </c>
      <c r="B2428" s="98" t="s">
        <v>17</v>
      </c>
      <c r="C2428" s="98">
        <v>204</v>
      </c>
      <c r="D2428" s="98">
        <v>250</v>
      </c>
      <c r="E2428" s="157">
        <v>41949.405555555553</v>
      </c>
      <c r="F2428" s="157">
        <v>41949.470833333333</v>
      </c>
      <c r="G2428" s="98">
        <v>275</v>
      </c>
      <c r="H2428" s="98">
        <v>330</v>
      </c>
      <c r="I2428" s="98">
        <v>300</v>
      </c>
      <c r="J2428" s="98" t="s">
        <v>1978</v>
      </c>
      <c r="K2428" s="98" t="s">
        <v>2692</v>
      </c>
      <c r="L2428" s="105" t="str">
        <f t="shared" si="410"/>
        <v>Mill Creek</v>
      </c>
      <c r="M2428" s="105" t="str">
        <f t="shared" si="411"/>
        <v>Derate</v>
      </c>
      <c r="N2428" s="105" t="str">
        <f t="shared" si="412"/>
        <v>Coal</v>
      </c>
      <c r="O2428" s="105">
        <f>IFERROR(VLOOKUP(A2428,Lookup!$J$5:$P$19,7,FALSE),0)</f>
        <v>2</v>
      </c>
      <c r="P2428" s="159">
        <f t="shared" si="413"/>
        <v>2014</v>
      </c>
      <c r="Q2428" s="159">
        <f t="shared" si="414"/>
        <v>11</v>
      </c>
      <c r="R2428" s="160">
        <f t="shared" si="415"/>
        <v>1.5666666667093523</v>
      </c>
      <c r="S2428" s="158">
        <f t="shared" si="416"/>
        <v>0.26111111111822538</v>
      </c>
      <c r="T2428" s="161">
        <f t="shared" si="417"/>
        <v>78.333333335467614</v>
      </c>
      <c r="U2428" s="158">
        <f t="shared" si="419"/>
        <v>50</v>
      </c>
      <c r="V2428" s="160">
        <f t="shared" si="418"/>
        <v>50</v>
      </c>
    </row>
    <row r="2429" spans="1:22" x14ac:dyDescent="0.25">
      <c r="A2429" s="98" t="s">
        <v>23</v>
      </c>
      <c r="B2429" s="98" t="s">
        <v>17</v>
      </c>
      <c r="C2429" s="98">
        <v>205</v>
      </c>
      <c r="D2429" s="98">
        <v>1160</v>
      </c>
      <c r="E2429" s="157">
        <v>41962.306250000001</v>
      </c>
      <c r="F2429" s="157">
        <v>41962.522222222222</v>
      </c>
      <c r="G2429" s="98">
        <v>270</v>
      </c>
      <c r="H2429" s="98">
        <v>330</v>
      </c>
      <c r="I2429" s="98">
        <v>300</v>
      </c>
      <c r="J2429" s="98" t="s">
        <v>2273</v>
      </c>
      <c r="K2429" s="98" t="s">
        <v>238</v>
      </c>
      <c r="L2429" s="105" t="str">
        <f t="shared" si="410"/>
        <v>Mill Creek</v>
      </c>
      <c r="M2429" s="105" t="str">
        <f t="shared" si="411"/>
        <v>Derate</v>
      </c>
      <c r="N2429" s="105" t="str">
        <f t="shared" si="412"/>
        <v>Coal</v>
      </c>
      <c r="O2429" s="105">
        <f>IFERROR(VLOOKUP(A2429,Lookup!$J$5:$P$19,7,FALSE),0)</f>
        <v>2</v>
      </c>
      <c r="P2429" s="159">
        <f t="shared" si="413"/>
        <v>2014</v>
      </c>
      <c r="Q2429" s="159">
        <f t="shared" si="414"/>
        <v>11</v>
      </c>
      <c r="R2429" s="160">
        <f t="shared" si="415"/>
        <v>5.1833333332906477</v>
      </c>
      <c r="S2429" s="158">
        <f t="shared" si="416"/>
        <v>0.94242424241648137</v>
      </c>
      <c r="T2429" s="161">
        <f t="shared" si="417"/>
        <v>282.72727272494438</v>
      </c>
      <c r="U2429" s="158">
        <f t="shared" si="419"/>
        <v>54.545454545454547</v>
      </c>
      <c r="V2429" s="160">
        <f t="shared" si="418"/>
        <v>55</v>
      </c>
    </row>
    <row r="2430" spans="1:22" x14ac:dyDescent="0.25">
      <c r="A2430" s="98" t="s">
        <v>23</v>
      </c>
      <c r="B2430" s="98" t="s">
        <v>17</v>
      </c>
      <c r="C2430" s="98">
        <v>206</v>
      </c>
      <c r="D2430" s="98">
        <v>1160</v>
      </c>
      <c r="E2430" s="162">
        <v>41962.522222222222</v>
      </c>
      <c r="F2430" s="157">
        <v>41962.854166666664</v>
      </c>
      <c r="G2430" s="98">
        <v>240</v>
      </c>
      <c r="H2430" s="98">
        <v>330</v>
      </c>
      <c r="I2430" s="98">
        <v>300</v>
      </c>
      <c r="J2430" s="98" t="s">
        <v>2273</v>
      </c>
      <c r="K2430" s="98" t="s">
        <v>238</v>
      </c>
      <c r="L2430" s="105" t="str">
        <f t="shared" si="410"/>
        <v>Mill Creek</v>
      </c>
      <c r="M2430" s="105" t="str">
        <f t="shared" si="411"/>
        <v>Derate</v>
      </c>
      <c r="N2430" s="105" t="str">
        <f t="shared" si="412"/>
        <v>Coal</v>
      </c>
      <c r="O2430" s="105">
        <f>IFERROR(VLOOKUP(A2430,Lookup!$J$5:$P$19,7,FALSE),0)</f>
        <v>2</v>
      </c>
      <c r="P2430" s="159">
        <f t="shared" si="413"/>
        <v>2014</v>
      </c>
      <c r="Q2430" s="159">
        <f t="shared" si="414"/>
        <v>11</v>
      </c>
      <c r="R2430" s="160">
        <f t="shared" si="415"/>
        <v>7.96666666661622</v>
      </c>
      <c r="S2430" s="158">
        <f t="shared" si="416"/>
        <v>2.1727272727135145</v>
      </c>
      <c r="T2430" s="161">
        <f t="shared" si="417"/>
        <v>651.81818181405436</v>
      </c>
      <c r="U2430" s="158">
        <f t="shared" si="419"/>
        <v>81.818181818181813</v>
      </c>
      <c r="V2430" s="160">
        <f t="shared" si="418"/>
        <v>82</v>
      </c>
    </row>
    <row r="2431" spans="1:22" x14ac:dyDescent="0.25">
      <c r="A2431" s="98" t="s">
        <v>23</v>
      </c>
      <c r="B2431" s="98" t="s">
        <v>105</v>
      </c>
      <c r="C2431" s="98">
        <v>207</v>
      </c>
      <c r="D2431" s="98">
        <v>1160</v>
      </c>
      <c r="E2431" s="157">
        <v>41962.854166666664</v>
      </c>
      <c r="F2431" s="157">
        <v>41963.029861111114</v>
      </c>
      <c r="G2431" s="98">
        <v>150</v>
      </c>
      <c r="H2431" s="98">
        <v>330</v>
      </c>
      <c r="I2431" s="98">
        <v>300</v>
      </c>
      <c r="J2431" s="98" t="s">
        <v>2273</v>
      </c>
      <c r="K2431" s="98" t="s">
        <v>51</v>
      </c>
      <c r="L2431" s="105" t="str">
        <f t="shared" si="410"/>
        <v>Mill Creek</v>
      </c>
      <c r="M2431" s="105" t="str">
        <f t="shared" si="411"/>
        <v>Derate</v>
      </c>
      <c r="N2431" s="105" t="str">
        <f t="shared" si="412"/>
        <v>Coal</v>
      </c>
      <c r="O2431" s="105">
        <f>IFERROR(VLOOKUP(A2431,Lookup!$J$5:$P$19,7,FALSE),0)</f>
        <v>2</v>
      </c>
      <c r="P2431" s="159">
        <f t="shared" si="413"/>
        <v>2014</v>
      </c>
      <c r="Q2431" s="159">
        <f t="shared" si="414"/>
        <v>11</v>
      </c>
      <c r="R2431" s="160">
        <f t="shared" si="415"/>
        <v>4.216666666790843</v>
      </c>
      <c r="S2431" s="158">
        <f t="shared" si="416"/>
        <v>2.3000000000677328</v>
      </c>
      <c r="T2431" s="161">
        <f t="shared" si="417"/>
        <v>690.00000002031982</v>
      </c>
      <c r="U2431" s="158">
        <f t="shared" si="419"/>
        <v>163.63636363636363</v>
      </c>
      <c r="V2431" s="160">
        <f t="shared" si="418"/>
        <v>164</v>
      </c>
    </row>
    <row r="2432" spans="1:22" x14ac:dyDescent="0.25">
      <c r="A2432" s="98" t="s">
        <v>23</v>
      </c>
      <c r="B2432" s="98" t="s">
        <v>17</v>
      </c>
      <c r="C2432" s="98">
        <v>208</v>
      </c>
      <c r="D2432" s="98">
        <v>1160</v>
      </c>
      <c r="E2432" s="157">
        <v>41963.426388888889</v>
      </c>
      <c r="F2432" s="157">
        <v>41963.44027777778</v>
      </c>
      <c r="G2432" s="98">
        <v>300</v>
      </c>
      <c r="H2432" s="98">
        <v>330</v>
      </c>
      <c r="I2432" s="98">
        <v>300</v>
      </c>
      <c r="J2432" s="98" t="s">
        <v>2273</v>
      </c>
      <c r="K2432" s="98" t="s">
        <v>238</v>
      </c>
      <c r="L2432" s="105" t="str">
        <f t="shared" si="410"/>
        <v>Mill Creek</v>
      </c>
      <c r="M2432" s="105" t="str">
        <f t="shared" si="411"/>
        <v>Derate</v>
      </c>
      <c r="N2432" s="105" t="str">
        <f t="shared" si="412"/>
        <v>Coal</v>
      </c>
      <c r="O2432" s="105">
        <f>IFERROR(VLOOKUP(A2432,Lookup!$J$5:$P$19,7,FALSE),0)</f>
        <v>2</v>
      </c>
      <c r="P2432" s="159">
        <f t="shared" si="413"/>
        <v>2014</v>
      </c>
      <c r="Q2432" s="159">
        <f t="shared" si="414"/>
        <v>11</v>
      </c>
      <c r="R2432" s="160">
        <f t="shared" si="415"/>
        <v>0.33333333337213844</v>
      </c>
      <c r="S2432" s="158">
        <f t="shared" si="416"/>
        <v>3.0303030306558041E-2</v>
      </c>
      <c r="T2432" s="161">
        <f t="shared" si="417"/>
        <v>9.0909090919674131</v>
      </c>
      <c r="U2432" s="158">
        <f t="shared" si="419"/>
        <v>27.272727272727273</v>
      </c>
      <c r="V2432" s="160">
        <f t="shared" si="418"/>
        <v>27</v>
      </c>
    </row>
    <row r="2433" spans="1:22" x14ac:dyDescent="0.25">
      <c r="A2433" s="98" t="s">
        <v>23</v>
      </c>
      <c r="B2433" s="98" t="s">
        <v>17</v>
      </c>
      <c r="C2433" s="98">
        <v>209</v>
      </c>
      <c r="D2433" s="98">
        <v>1160</v>
      </c>
      <c r="E2433" s="157">
        <v>41963.44027777778</v>
      </c>
      <c r="F2433" s="157">
        <v>41963.458333333336</v>
      </c>
      <c r="G2433" s="98">
        <v>264</v>
      </c>
      <c r="H2433" s="98">
        <v>330</v>
      </c>
      <c r="I2433" s="98">
        <v>300</v>
      </c>
      <c r="J2433" s="98" t="s">
        <v>2273</v>
      </c>
      <c r="K2433" s="98" t="s">
        <v>238</v>
      </c>
      <c r="L2433" s="105" t="str">
        <f t="shared" si="410"/>
        <v>Mill Creek</v>
      </c>
      <c r="M2433" s="105" t="str">
        <f t="shared" si="411"/>
        <v>Derate</v>
      </c>
      <c r="N2433" s="105" t="str">
        <f t="shared" si="412"/>
        <v>Coal</v>
      </c>
      <c r="O2433" s="105">
        <f>IFERROR(VLOOKUP(A2433,Lookup!$J$5:$P$19,7,FALSE),0)</f>
        <v>2</v>
      </c>
      <c r="P2433" s="159">
        <f t="shared" si="413"/>
        <v>2014</v>
      </c>
      <c r="Q2433" s="159">
        <f t="shared" si="414"/>
        <v>11</v>
      </c>
      <c r="R2433" s="160">
        <f t="shared" si="415"/>
        <v>0.43333333334885538</v>
      </c>
      <c r="S2433" s="158">
        <f t="shared" si="416"/>
        <v>8.6666666669771075E-2</v>
      </c>
      <c r="T2433" s="161">
        <f t="shared" si="417"/>
        <v>26.000000000931323</v>
      </c>
      <c r="U2433" s="158">
        <f t="shared" si="419"/>
        <v>60</v>
      </c>
      <c r="V2433" s="160">
        <f t="shared" si="418"/>
        <v>60</v>
      </c>
    </row>
    <row r="2434" spans="1:22" x14ac:dyDescent="0.25">
      <c r="A2434" s="98" t="s">
        <v>23</v>
      </c>
      <c r="B2434" s="98" t="s">
        <v>79</v>
      </c>
      <c r="C2434" s="98">
        <v>210</v>
      </c>
      <c r="D2434" s="98">
        <v>1160</v>
      </c>
      <c r="E2434" s="157">
        <v>41963.458333333336</v>
      </c>
      <c r="F2434" s="157">
        <v>41963.740972222222</v>
      </c>
      <c r="G2434" s="98">
        <v>0</v>
      </c>
      <c r="H2434" s="98">
        <v>330</v>
      </c>
      <c r="I2434" s="98">
        <v>300</v>
      </c>
      <c r="J2434" s="98" t="s">
        <v>2273</v>
      </c>
      <c r="K2434" s="98" t="s">
        <v>51</v>
      </c>
      <c r="L2434" s="105" t="str">
        <f t="shared" si="410"/>
        <v>Mill Creek</v>
      </c>
      <c r="M2434" s="105" t="str">
        <f t="shared" si="411"/>
        <v>Other</v>
      </c>
      <c r="N2434" s="105" t="str">
        <f t="shared" si="412"/>
        <v>Coal</v>
      </c>
      <c r="O2434" s="105">
        <f>IFERROR(VLOOKUP(A2434,Lookup!$J$5:$P$19,7,FALSE),0)</f>
        <v>2</v>
      </c>
      <c r="P2434" s="159">
        <f t="shared" si="413"/>
        <v>2014</v>
      </c>
      <c r="Q2434" s="159">
        <f t="shared" si="414"/>
        <v>11</v>
      </c>
      <c r="R2434" s="160">
        <f t="shared" si="415"/>
        <v>6.7833333332673647</v>
      </c>
      <c r="S2434" s="158">
        <f t="shared" si="416"/>
        <v>6.7833333332673647</v>
      </c>
      <c r="T2434" s="161">
        <f t="shared" si="417"/>
        <v>2034.9999999802094</v>
      </c>
      <c r="U2434" s="158">
        <f t="shared" si="419"/>
        <v>300</v>
      </c>
      <c r="V2434" s="160">
        <f t="shared" si="418"/>
        <v>300</v>
      </c>
    </row>
    <row r="2435" spans="1:22" x14ac:dyDescent="0.25">
      <c r="A2435" s="98" t="s">
        <v>23</v>
      </c>
      <c r="B2435" s="98" t="s">
        <v>17</v>
      </c>
      <c r="C2435" s="98">
        <v>211</v>
      </c>
      <c r="D2435" s="98">
        <v>1160</v>
      </c>
      <c r="E2435" s="157">
        <v>41963.740972222222</v>
      </c>
      <c r="F2435" s="157">
        <v>41963.979166666664</v>
      </c>
      <c r="G2435" s="98">
        <v>266</v>
      </c>
      <c r="H2435" s="98">
        <v>330</v>
      </c>
      <c r="I2435" s="98">
        <v>300</v>
      </c>
      <c r="J2435" s="98" t="s">
        <v>2273</v>
      </c>
      <c r="K2435" s="98" t="s">
        <v>238</v>
      </c>
      <c r="L2435" s="105" t="str">
        <f t="shared" si="410"/>
        <v>Mill Creek</v>
      </c>
      <c r="M2435" s="105" t="str">
        <f t="shared" si="411"/>
        <v>Derate</v>
      </c>
      <c r="N2435" s="105" t="str">
        <f t="shared" si="412"/>
        <v>Coal</v>
      </c>
      <c r="O2435" s="105">
        <f>IFERROR(VLOOKUP(A2435,Lookup!$J$5:$P$19,7,FALSE),0)</f>
        <v>2</v>
      </c>
      <c r="P2435" s="159">
        <f t="shared" si="413"/>
        <v>2014</v>
      </c>
      <c r="Q2435" s="159">
        <f t="shared" si="414"/>
        <v>11</v>
      </c>
      <c r="R2435" s="160">
        <f t="shared" si="415"/>
        <v>5.71666666661622</v>
      </c>
      <c r="S2435" s="158">
        <f t="shared" si="416"/>
        <v>1.108686868677085</v>
      </c>
      <c r="T2435" s="161">
        <f t="shared" si="417"/>
        <v>332.60606060312551</v>
      </c>
      <c r="U2435" s="158">
        <f t="shared" si="419"/>
        <v>58.18181818181818</v>
      </c>
      <c r="V2435" s="160">
        <f t="shared" si="418"/>
        <v>58</v>
      </c>
    </row>
    <row r="2436" spans="1:22" x14ac:dyDescent="0.25">
      <c r="A2436" s="98" t="s">
        <v>23</v>
      </c>
      <c r="B2436" s="98" t="s">
        <v>17</v>
      </c>
      <c r="C2436" s="98">
        <v>212</v>
      </c>
      <c r="D2436" s="98">
        <v>1160</v>
      </c>
      <c r="E2436" s="162">
        <v>41963.979166666664</v>
      </c>
      <c r="F2436" s="157">
        <v>41964.253472222219</v>
      </c>
      <c r="G2436" s="98">
        <v>150</v>
      </c>
      <c r="H2436" s="98">
        <v>330</v>
      </c>
      <c r="I2436" s="98">
        <v>300</v>
      </c>
      <c r="J2436" s="98" t="s">
        <v>2273</v>
      </c>
      <c r="K2436" s="98" t="s">
        <v>238</v>
      </c>
      <c r="L2436" s="105" t="str">
        <f t="shared" si="410"/>
        <v>Mill Creek</v>
      </c>
      <c r="M2436" s="105" t="str">
        <f t="shared" si="411"/>
        <v>Derate</v>
      </c>
      <c r="N2436" s="105" t="str">
        <f t="shared" si="412"/>
        <v>Coal</v>
      </c>
      <c r="O2436" s="105">
        <f>IFERROR(VLOOKUP(A2436,Lookup!$J$5:$P$19,7,FALSE),0)</f>
        <v>2</v>
      </c>
      <c r="P2436" s="159">
        <f t="shared" si="413"/>
        <v>2014</v>
      </c>
      <c r="Q2436" s="159">
        <f t="shared" si="414"/>
        <v>11</v>
      </c>
      <c r="R2436" s="160">
        <f t="shared" si="415"/>
        <v>6.5833333333139308</v>
      </c>
      <c r="S2436" s="158">
        <f t="shared" si="416"/>
        <v>3.5909090908985077</v>
      </c>
      <c r="T2436" s="161">
        <f t="shared" si="417"/>
        <v>1077.2727272695524</v>
      </c>
      <c r="U2436" s="158">
        <f t="shared" si="419"/>
        <v>163.63636363636363</v>
      </c>
      <c r="V2436" s="160">
        <f t="shared" si="418"/>
        <v>164</v>
      </c>
    </row>
    <row r="2437" spans="1:22" x14ac:dyDescent="0.25">
      <c r="A2437" s="98" t="s">
        <v>23</v>
      </c>
      <c r="B2437" s="98" t="s">
        <v>17</v>
      </c>
      <c r="C2437" s="98">
        <v>213</v>
      </c>
      <c r="D2437" s="98">
        <v>1160</v>
      </c>
      <c r="E2437" s="157">
        <v>41964.253472222219</v>
      </c>
      <c r="F2437" s="157">
        <v>41964.520138888889</v>
      </c>
      <c r="G2437" s="98">
        <v>250</v>
      </c>
      <c r="H2437" s="98">
        <v>330</v>
      </c>
      <c r="I2437" s="98">
        <v>300</v>
      </c>
      <c r="J2437" s="98" t="s">
        <v>2273</v>
      </c>
      <c r="K2437" s="98" t="s">
        <v>238</v>
      </c>
      <c r="L2437" s="105" t="str">
        <f t="shared" si="410"/>
        <v>Mill Creek</v>
      </c>
      <c r="M2437" s="105" t="str">
        <f t="shared" si="411"/>
        <v>Derate</v>
      </c>
      <c r="N2437" s="105" t="str">
        <f t="shared" si="412"/>
        <v>Coal</v>
      </c>
      <c r="O2437" s="105">
        <f>IFERROR(VLOOKUP(A2437,Lookup!$J$5:$P$19,7,FALSE),0)</f>
        <v>2</v>
      </c>
      <c r="P2437" s="159">
        <f t="shared" si="413"/>
        <v>2014</v>
      </c>
      <c r="Q2437" s="159">
        <f t="shared" si="414"/>
        <v>11</v>
      </c>
      <c r="R2437" s="160">
        <f t="shared" si="415"/>
        <v>6.4000000000814907</v>
      </c>
      <c r="S2437" s="158">
        <f t="shared" si="416"/>
        <v>1.5515151515349068</v>
      </c>
      <c r="T2437" s="161">
        <f t="shared" si="417"/>
        <v>465.45454546047205</v>
      </c>
      <c r="U2437" s="158">
        <f t="shared" si="419"/>
        <v>72.727272727272734</v>
      </c>
      <c r="V2437" s="160">
        <f t="shared" si="418"/>
        <v>73</v>
      </c>
    </row>
    <row r="2438" spans="1:22" x14ac:dyDescent="0.25">
      <c r="A2438" s="98" t="s">
        <v>23</v>
      </c>
      <c r="B2438" s="98" t="s">
        <v>20</v>
      </c>
      <c r="C2438" s="98">
        <v>214</v>
      </c>
      <c r="D2438" s="98">
        <v>3344</v>
      </c>
      <c r="E2438" s="157">
        <v>41965.553472222222</v>
      </c>
      <c r="F2438" s="157">
        <v>41972.37777777778</v>
      </c>
      <c r="G2438" s="98">
        <v>0</v>
      </c>
      <c r="H2438" s="98">
        <v>330</v>
      </c>
      <c r="I2438" s="98">
        <v>300</v>
      </c>
      <c r="J2438" s="98" t="s">
        <v>2165</v>
      </c>
      <c r="K2438" s="98" t="s">
        <v>2694</v>
      </c>
      <c r="L2438" s="105" t="str">
        <f t="shared" si="410"/>
        <v>Mill Creek</v>
      </c>
      <c r="M2438" s="105" t="str">
        <f t="shared" si="411"/>
        <v>Maintenance</v>
      </c>
      <c r="N2438" s="105" t="str">
        <f t="shared" si="412"/>
        <v>Coal</v>
      </c>
      <c r="O2438" s="105">
        <f>IFERROR(VLOOKUP(A2438,Lookup!$J$5:$P$19,7,FALSE),0)</f>
        <v>2</v>
      </c>
      <c r="P2438" s="159">
        <f t="shared" si="413"/>
        <v>2014</v>
      </c>
      <c r="Q2438" s="159">
        <f t="shared" si="414"/>
        <v>11</v>
      </c>
      <c r="R2438" s="160">
        <f t="shared" si="415"/>
        <v>163.78333333338378</v>
      </c>
      <c r="S2438" s="158">
        <f t="shared" si="416"/>
        <v>163.78333333338378</v>
      </c>
      <c r="T2438" s="161">
        <f t="shared" si="417"/>
        <v>49135.000000015134</v>
      </c>
      <c r="U2438" s="158">
        <f t="shared" si="419"/>
        <v>300</v>
      </c>
      <c r="V2438" s="160">
        <f t="shared" si="418"/>
        <v>300</v>
      </c>
    </row>
    <row r="2439" spans="1:22" x14ac:dyDescent="0.25">
      <c r="A2439" s="98" t="s">
        <v>23</v>
      </c>
      <c r="B2439" s="98" t="s">
        <v>79</v>
      </c>
      <c r="C2439" s="98">
        <v>215</v>
      </c>
      <c r="D2439" s="98">
        <v>1850</v>
      </c>
      <c r="E2439" s="157">
        <v>41972.37777777778</v>
      </c>
      <c r="F2439" s="157">
        <v>41973.041666666664</v>
      </c>
      <c r="G2439" s="98">
        <v>0</v>
      </c>
      <c r="H2439" s="98">
        <v>330</v>
      </c>
      <c r="I2439" s="98">
        <v>300</v>
      </c>
      <c r="J2439" s="98" t="s">
        <v>2263</v>
      </c>
      <c r="K2439" s="98" t="s">
        <v>88</v>
      </c>
      <c r="L2439" s="105" t="str">
        <f t="shared" si="410"/>
        <v>Mill Creek</v>
      </c>
      <c r="M2439" s="105" t="str">
        <f t="shared" si="411"/>
        <v>Other</v>
      </c>
      <c r="N2439" s="105" t="str">
        <f t="shared" si="412"/>
        <v>Coal</v>
      </c>
      <c r="O2439" s="105">
        <f>IFERROR(VLOOKUP(A2439,Lookup!$J$5:$P$19,7,FALSE),0)</f>
        <v>2</v>
      </c>
      <c r="P2439" s="159">
        <f t="shared" si="413"/>
        <v>2014</v>
      </c>
      <c r="Q2439" s="159">
        <f t="shared" si="414"/>
        <v>11</v>
      </c>
      <c r="R2439" s="160">
        <f t="shared" si="415"/>
        <v>15.93333333323244</v>
      </c>
      <c r="S2439" s="158">
        <f t="shared" si="416"/>
        <v>15.93333333323244</v>
      </c>
      <c r="T2439" s="161">
        <f t="shared" si="417"/>
        <v>4779.999999969732</v>
      </c>
      <c r="U2439" s="158">
        <f t="shared" si="419"/>
        <v>300</v>
      </c>
      <c r="V2439" s="160">
        <f t="shared" si="418"/>
        <v>300</v>
      </c>
    </row>
    <row r="2440" spans="1:22" x14ac:dyDescent="0.25">
      <c r="A2440" s="98" t="s">
        <v>23</v>
      </c>
      <c r="B2440" s="98" t="s">
        <v>105</v>
      </c>
      <c r="C2440" s="98">
        <v>216</v>
      </c>
      <c r="D2440" s="98">
        <v>310</v>
      </c>
      <c r="E2440" s="157">
        <v>41977.958333333336</v>
      </c>
      <c r="F2440" s="157">
        <v>41978.177083333336</v>
      </c>
      <c r="G2440" s="98">
        <v>250</v>
      </c>
      <c r="H2440" s="98">
        <v>330</v>
      </c>
      <c r="I2440" s="98">
        <v>300</v>
      </c>
      <c r="J2440" s="98" t="s">
        <v>1966</v>
      </c>
      <c r="K2440" s="98" t="s">
        <v>2695</v>
      </c>
      <c r="L2440" s="105" t="str">
        <f t="shared" si="410"/>
        <v>Mill Creek</v>
      </c>
      <c r="M2440" s="105" t="str">
        <f t="shared" si="411"/>
        <v>Derate</v>
      </c>
      <c r="N2440" s="105" t="str">
        <f t="shared" si="412"/>
        <v>Coal</v>
      </c>
      <c r="O2440" s="105">
        <f>IFERROR(VLOOKUP(A2440,Lookup!$J$5:$P$19,7,FALSE),0)</f>
        <v>2</v>
      </c>
      <c r="P2440" s="159">
        <f t="shared" si="413"/>
        <v>2014</v>
      </c>
      <c r="Q2440" s="159">
        <f t="shared" si="414"/>
        <v>12</v>
      </c>
      <c r="R2440" s="160">
        <f t="shared" si="415"/>
        <v>5.25</v>
      </c>
      <c r="S2440" s="158">
        <f t="shared" si="416"/>
        <v>1.2727272727272727</v>
      </c>
      <c r="T2440" s="161">
        <f t="shared" si="417"/>
        <v>381.81818181818181</v>
      </c>
      <c r="U2440" s="158">
        <f t="shared" si="419"/>
        <v>72.727272727272734</v>
      </c>
      <c r="V2440" s="160">
        <f t="shared" si="418"/>
        <v>73</v>
      </c>
    </row>
    <row r="2441" spans="1:22" x14ac:dyDescent="0.25">
      <c r="A2441" s="98" t="s">
        <v>23</v>
      </c>
      <c r="B2441" s="98" t="s">
        <v>17</v>
      </c>
      <c r="C2441" s="98">
        <v>217</v>
      </c>
      <c r="D2441" s="98">
        <v>1850</v>
      </c>
      <c r="E2441" s="157">
        <v>41982.256944444445</v>
      </c>
      <c r="F2441" s="157">
        <v>41982.340277777781</v>
      </c>
      <c r="G2441" s="98">
        <v>300</v>
      </c>
      <c r="H2441" s="98">
        <v>330</v>
      </c>
      <c r="I2441" s="98">
        <v>300</v>
      </c>
      <c r="J2441" s="98" t="s">
        <v>2263</v>
      </c>
      <c r="K2441" s="98" t="s">
        <v>41</v>
      </c>
      <c r="L2441" s="105" t="str">
        <f t="shared" si="410"/>
        <v>Mill Creek</v>
      </c>
      <c r="M2441" s="105" t="str">
        <f t="shared" si="411"/>
        <v>Derate</v>
      </c>
      <c r="N2441" s="105" t="str">
        <f t="shared" si="412"/>
        <v>Coal</v>
      </c>
      <c r="O2441" s="105">
        <f>IFERROR(VLOOKUP(A2441,Lookup!$J$5:$P$19,7,FALSE),0)</f>
        <v>2</v>
      </c>
      <c r="P2441" s="159">
        <f t="shared" si="413"/>
        <v>2014</v>
      </c>
      <c r="Q2441" s="159">
        <f t="shared" si="414"/>
        <v>12</v>
      </c>
      <c r="R2441" s="160">
        <f t="shared" si="415"/>
        <v>2.0000000000582077</v>
      </c>
      <c r="S2441" s="158">
        <f t="shared" si="416"/>
        <v>0.18181818182347342</v>
      </c>
      <c r="T2441" s="161">
        <f t="shared" si="417"/>
        <v>54.545454547042027</v>
      </c>
      <c r="U2441" s="158">
        <f t="shared" si="419"/>
        <v>27.272727272727273</v>
      </c>
      <c r="V2441" s="160">
        <f t="shared" si="418"/>
        <v>27</v>
      </c>
    </row>
    <row r="2442" spans="1:22" x14ac:dyDescent="0.25">
      <c r="A2442" s="98" t="s">
        <v>23</v>
      </c>
      <c r="B2442" s="98" t="s">
        <v>17</v>
      </c>
      <c r="C2442" s="98">
        <v>218</v>
      </c>
      <c r="D2442" s="98">
        <v>1850</v>
      </c>
      <c r="E2442" s="157">
        <v>41982.340277777781</v>
      </c>
      <c r="F2442" s="157">
        <v>41982.666666666664</v>
      </c>
      <c r="G2442" s="98">
        <v>255</v>
      </c>
      <c r="H2442" s="98">
        <v>330</v>
      </c>
      <c r="I2442" s="98">
        <v>300</v>
      </c>
      <c r="J2442" s="98" t="s">
        <v>2263</v>
      </c>
      <c r="K2442" s="98" t="s">
        <v>41</v>
      </c>
      <c r="L2442" s="105" t="str">
        <f t="shared" si="410"/>
        <v>Mill Creek</v>
      </c>
      <c r="M2442" s="105" t="str">
        <f t="shared" si="411"/>
        <v>Derate</v>
      </c>
      <c r="N2442" s="105" t="str">
        <f t="shared" si="412"/>
        <v>Coal</v>
      </c>
      <c r="O2442" s="105">
        <f>IFERROR(VLOOKUP(A2442,Lookup!$J$5:$P$19,7,FALSE),0)</f>
        <v>2</v>
      </c>
      <c r="P2442" s="159">
        <f t="shared" si="413"/>
        <v>2014</v>
      </c>
      <c r="Q2442" s="159">
        <f t="shared" si="414"/>
        <v>12</v>
      </c>
      <c r="R2442" s="160">
        <f t="shared" si="415"/>
        <v>7.8333333331975155</v>
      </c>
      <c r="S2442" s="158">
        <f t="shared" si="416"/>
        <v>1.7803030302721625</v>
      </c>
      <c r="T2442" s="161">
        <f t="shared" si="417"/>
        <v>534.09090908164876</v>
      </c>
      <c r="U2442" s="158">
        <f t="shared" si="419"/>
        <v>68.181818181818187</v>
      </c>
      <c r="V2442" s="160">
        <f t="shared" si="418"/>
        <v>68</v>
      </c>
    </row>
    <row r="2443" spans="1:22" x14ac:dyDescent="0.25">
      <c r="A2443" s="98" t="s">
        <v>23</v>
      </c>
      <c r="B2443" s="98" t="s">
        <v>17</v>
      </c>
      <c r="C2443" s="98">
        <v>219</v>
      </c>
      <c r="D2443" s="98">
        <v>1850</v>
      </c>
      <c r="E2443" s="157">
        <v>41982.666666666664</v>
      </c>
      <c r="F2443" s="157">
        <v>41983.848611111112</v>
      </c>
      <c r="G2443" s="98">
        <v>280</v>
      </c>
      <c r="H2443" s="98">
        <v>330</v>
      </c>
      <c r="I2443" s="98">
        <v>300</v>
      </c>
      <c r="J2443" s="98" t="s">
        <v>2263</v>
      </c>
      <c r="K2443" s="98" t="s">
        <v>41</v>
      </c>
      <c r="L2443" s="105" t="str">
        <f t="shared" si="410"/>
        <v>Mill Creek</v>
      </c>
      <c r="M2443" s="105" t="str">
        <f t="shared" si="411"/>
        <v>Derate</v>
      </c>
      <c r="N2443" s="105" t="str">
        <f t="shared" si="412"/>
        <v>Coal</v>
      </c>
      <c r="O2443" s="105">
        <f>IFERROR(VLOOKUP(A2443,Lookup!$J$5:$P$19,7,FALSE),0)</f>
        <v>2</v>
      </c>
      <c r="P2443" s="159">
        <f t="shared" si="413"/>
        <v>2014</v>
      </c>
      <c r="Q2443" s="159">
        <f t="shared" si="414"/>
        <v>12</v>
      </c>
      <c r="R2443" s="160">
        <f t="shared" si="415"/>
        <v>28.366666666755918</v>
      </c>
      <c r="S2443" s="158">
        <f t="shared" si="416"/>
        <v>4.297979797993321</v>
      </c>
      <c r="T2443" s="161">
        <f t="shared" si="417"/>
        <v>1289.3939393979963</v>
      </c>
      <c r="U2443" s="158">
        <f t="shared" si="419"/>
        <v>45.454545454545453</v>
      </c>
      <c r="V2443" s="160">
        <f t="shared" si="418"/>
        <v>45</v>
      </c>
    </row>
    <row r="2444" spans="1:22" x14ac:dyDescent="0.25">
      <c r="A2444" s="98" t="s">
        <v>23</v>
      </c>
      <c r="B2444" s="98" t="s">
        <v>17</v>
      </c>
      <c r="C2444" s="98">
        <v>220</v>
      </c>
      <c r="D2444" s="98">
        <v>1850</v>
      </c>
      <c r="E2444" s="157">
        <v>41983.848611111112</v>
      </c>
      <c r="F2444" s="157">
        <v>41985.172222222223</v>
      </c>
      <c r="G2444" s="98">
        <v>236</v>
      </c>
      <c r="H2444" s="98">
        <v>330</v>
      </c>
      <c r="I2444" s="98">
        <v>300</v>
      </c>
      <c r="J2444" s="98" t="s">
        <v>2263</v>
      </c>
      <c r="K2444" s="98" t="s">
        <v>41</v>
      </c>
      <c r="L2444" s="105" t="str">
        <f t="shared" si="410"/>
        <v>Mill Creek</v>
      </c>
      <c r="M2444" s="105" t="str">
        <f t="shared" si="411"/>
        <v>Derate</v>
      </c>
      <c r="N2444" s="105" t="str">
        <f t="shared" si="412"/>
        <v>Coal</v>
      </c>
      <c r="O2444" s="105">
        <f>IFERROR(VLOOKUP(A2444,Lookup!$J$5:$P$19,7,FALSE),0)</f>
        <v>2</v>
      </c>
      <c r="P2444" s="159">
        <f t="shared" si="413"/>
        <v>2014</v>
      </c>
      <c r="Q2444" s="159">
        <f t="shared" si="414"/>
        <v>12</v>
      </c>
      <c r="R2444" s="160">
        <f t="shared" si="415"/>
        <v>31.766666666662786</v>
      </c>
      <c r="S2444" s="158">
        <f t="shared" si="416"/>
        <v>9.0486868686857633</v>
      </c>
      <c r="T2444" s="161">
        <f t="shared" si="417"/>
        <v>2714.606060605729</v>
      </c>
      <c r="U2444" s="158">
        <f t="shared" si="419"/>
        <v>85.454545454545453</v>
      </c>
      <c r="V2444" s="160">
        <f t="shared" si="418"/>
        <v>85</v>
      </c>
    </row>
    <row r="2445" spans="1:22" x14ac:dyDescent="0.25">
      <c r="A2445" s="98" t="s">
        <v>23</v>
      </c>
      <c r="B2445" s="98" t="s">
        <v>17</v>
      </c>
      <c r="C2445" s="98">
        <v>221</v>
      </c>
      <c r="D2445" s="98">
        <v>1850</v>
      </c>
      <c r="E2445" s="157">
        <v>41985.172222222223</v>
      </c>
      <c r="F2445" s="157">
        <v>41987.6875</v>
      </c>
      <c r="G2445" s="98">
        <v>230</v>
      </c>
      <c r="H2445" s="98">
        <v>330</v>
      </c>
      <c r="I2445" s="98">
        <v>300</v>
      </c>
      <c r="J2445" s="98" t="s">
        <v>2263</v>
      </c>
      <c r="K2445" s="98" t="s">
        <v>41</v>
      </c>
      <c r="L2445" s="105" t="str">
        <f t="shared" si="410"/>
        <v>Mill Creek</v>
      </c>
      <c r="M2445" s="105" t="str">
        <f t="shared" si="411"/>
        <v>Derate</v>
      </c>
      <c r="N2445" s="105" t="str">
        <f t="shared" si="412"/>
        <v>Coal</v>
      </c>
      <c r="O2445" s="105">
        <f>IFERROR(VLOOKUP(A2445,Lookup!$J$5:$P$19,7,FALSE),0)</f>
        <v>2</v>
      </c>
      <c r="P2445" s="159">
        <f t="shared" si="413"/>
        <v>2014</v>
      </c>
      <c r="Q2445" s="159">
        <f t="shared" si="414"/>
        <v>12</v>
      </c>
      <c r="R2445" s="160">
        <f t="shared" si="415"/>
        <v>60.366666666639503</v>
      </c>
      <c r="S2445" s="158">
        <f t="shared" si="416"/>
        <v>18.292929292921063</v>
      </c>
      <c r="T2445" s="161">
        <f t="shared" si="417"/>
        <v>5487.8787878763187</v>
      </c>
      <c r="U2445" s="158">
        <f t="shared" si="419"/>
        <v>90.909090909090907</v>
      </c>
      <c r="V2445" s="160">
        <f t="shared" si="418"/>
        <v>91</v>
      </c>
    </row>
    <row r="2446" spans="1:22" x14ac:dyDescent="0.25">
      <c r="A2446" s="98" t="s">
        <v>23</v>
      </c>
      <c r="B2446" s="98" t="s">
        <v>17</v>
      </c>
      <c r="C2446" s="98">
        <v>222</v>
      </c>
      <c r="D2446" s="98">
        <v>1850</v>
      </c>
      <c r="E2446" s="157">
        <v>41987.6875</v>
      </c>
      <c r="F2446" s="157">
        <v>41988.109722222223</v>
      </c>
      <c r="G2446" s="98">
        <v>280</v>
      </c>
      <c r="H2446" s="98">
        <v>330</v>
      </c>
      <c r="I2446" s="98">
        <v>300</v>
      </c>
      <c r="J2446" s="98" t="s">
        <v>2263</v>
      </c>
      <c r="K2446" s="98" t="s">
        <v>41</v>
      </c>
      <c r="L2446" s="105" t="str">
        <f t="shared" si="410"/>
        <v>Mill Creek</v>
      </c>
      <c r="M2446" s="105" t="str">
        <f t="shared" si="411"/>
        <v>Derate</v>
      </c>
      <c r="N2446" s="105" t="str">
        <f t="shared" si="412"/>
        <v>Coal</v>
      </c>
      <c r="O2446" s="105">
        <f>IFERROR(VLOOKUP(A2446,Lookup!$J$5:$P$19,7,FALSE),0)</f>
        <v>2</v>
      </c>
      <c r="P2446" s="159">
        <f t="shared" si="413"/>
        <v>2014</v>
      </c>
      <c r="Q2446" s="159">
        <f t="shared" si="414"/>
        <v>12</v>
      </c>
      <c r="R2446" s="160">
        <f t="shared" si="415"/>
        <v>10.133333333360497</v>
      </c>
      <c r="S2446" s="158">
        <f t="shared" si="416"/>
        <v>1.5353535353576511</v>
      </c>
      <c r="T2446" s="161">
        <f t="shared" si="417"/>
        <v>460.60606060729532</v>
      </c>
      <c r="U2446" s="158">
        <f t="shared" si="419"/>
        <v>45.454545454545453</v>
      </c>
      <c r="V2446" s="160">
        <f t="shared" si="418"/>
        <v>45</v>
      </c>
    </row>
    <row r="2447" spans="1:22" x14ac:dyDescent="0.25">
      <c r="A2447" s="98" t="s">
        <v>23</v>
      </c>
      <c r="B2447" s="98" t="s">
        <v>17</v>
      </c>
      <c r="C2447" s="98">
        <v>223</v>
      </c>
      <c r="D2447" s="98">
        <v>1850</v>
      </c>
      <c r="E2447" s="157">
        <v>41988.109722222223</v>
      </c>
      <c r="F2447" s="157">
        <v>41988.451388888891</v>
      </c>
      <c r="G2447" s="98">
        <v>295</v>
      </c>
      <c r="H2447" s="98">
        <v>330</v>
      </c>
      <c r="I2447" s="98">
        <v>300</v>
      </c>
      <c r="J2447" s="98" t="s">
        <v>2263</v>
      </c>
      <c r="K2447" s="98" t="s">
        <v>41</v>
      </c>
      <c r="L2447" s="105" t="str">
        <f t="shared" si="410"/>
        <v>Mill Creek</v>
      </c>
      <c r="M2447" s="105" t="str">
        <f t="shared" si="411"/>
        <v>Derate</v>
      </c>
      <c r="N2447" s="105" t="str">
        <f t="shared" si="412"/>
        <v>Coal</v>
      </c>
      <c r="O2447" s="105">
        <f>IFERROR(VLOOKUP(A2447,Lookup!$J$5:$P$19,7,FALSE),0)</f>
        <v>2</v>
      </c>
      <c r="P2447" s="159">
        <f t="shared" si="413"/>
        <v>2014</v>
      </c>
      <c r="Q2447" s="159">
        <f t="shared" si="414"/>
        <v>12</v>
      </c>
      <c r="R2447" s="160">
        <f t="shared" si="415"/>
        <v>8.2000000000116415</v>
      </c>
      <c r="S2447" s="158">
        <f t="shared" si="416"/>
        <v>0.86969696969820443</v>
      </c>
      <c r="T2447" s="161">
        <f t="shared" si="417"/>
        <v>260.90909090946133</v>
      </c>
      <c r="U2447" s="158">
        <f t="shared" si="419"/>
        <v>31.818181818181817</v>
      </c>
      <c r="V2447" s="160">
        <f t="shared" si="418"/>
        <v>32</v>
      </c>
    </row>
    <row r="2448" spans="1:22" x14ac:dyDescent="0.25">
      <c r="A2448" s="98" t="s">
        <v>23</v>
      </c>
      <c r="B2448" s="98" t="s">
        <v>17</v>
      </c>
      <c r="C2448" s="98">
        <v>224</v>
      </c>
      <c r="D2448" s="98">
        <v>1850</v>
      </c>
      <c r="E2448" s="157">
        <v>41988.451388888891</v>
      </c>
      <c r="F2448" s="157">
        <v>41991.368055555555</v>
      </c>
      <c r="G2448" s="98">
        <v>315</v>
      </c>
      <c r="H2448" s="98">
        <v>330</v>
      </c>
      <c r="I2448" s="98">
        <v>300</v>
      </c>
      <c r="J2448" s="98" t="s">
        <v>2263</v>
      </c>
      <c r="K2448" s="98" t="s">
        <v>41</v>
      </c>
      <c r="L2448" s="105" t="str">
        <f t="shared" si="410"/>
        <v>Mill Creek</v>
      </c>
      <c r="M2448" s="105" t="str">
        <f t="shared" si="411"/>
        <v>Derate</v>
      </c>
      <c r="N2448" s="105" t="str">
        <f t="shared" si="412"/>
        <v>Coal</v>
      </c>
      <c r="O2448" s="105">
        <f>IFERROR(VLOOKUP(A2448,Lookup!$J$5:$P$19,7,FALSE),0)</f>
        <v>2</v>
      </c>
      <c r="P2448" s="159">
        <f t="shared" si="413"/>
        <v>2014</v>
      </c>
      <c r="Q2448" s="159">
        <f t="shared" si="414"/>
        <v>12</v>
      </c>
      <c r="R2448" s="160">
        <f t="shared" si="415"/>
        <v>69.999999999941792</v>
      </c>
      <c r="S2448" s="158">
        <f t="shared" si="416"/>
        <v>3.1818181818155362</v>
      </c>
      <c r="T2448" s="161">
        <f t="shared" si="417"/>
        <v>954.54545454466086</v>
      </c>
      <c r="U2448" s="158">
        <f t="shared" si="419"/>
        <v>13.636363636363637</v>
      </c>
      <c r="V2448" s="160">
        <f t="shared" si="418"/>
        <v>14</v>
      </c>
    </row>
    <row r="2449" spans="1:22" x14ac:dyDescent="0.25">
      <c r="A2449" s="98" t="s">
        <v>23</v>
      </c>
      <c r="B2449" s="98" t="s">
        <v>17</v>
      </c>
      <c r="C2449" s="98">
        <v>225</v>
      </c>
      <c r="D2449" s="98">
        <v>1850</v>
      </c>
      <c r="E2449" s="157">
        <v>41991.368055555555</v>
      </c>
      <c r="F2449" s="157">
        <v>41991.430555555555</v>
      </c>
      <c r="G2449" s="98">
        <v>325</v>
      </c>
      <c r="H2449" s="98">
        <v>330</v>
      </c>
      <c r="I2449" s="98">
        <v>300</v>
      </c>
      <c r="J2449" s="98" t="s">
        <v>2263</v>
      </c>
      <c r="K2449" s="98" t="s">
        <v>41</v>
      </c>
      <c r="L2449" s="105" t="str">
        <f t="shared" si="410"/>
        <v>Mill Creek</v>
      </c>
      <c r="M2449" s="105" t="str">
        <f t="shared" si="411"/>
        <v>Derate</v>
      </c>
      <c r="N2449" s="105" t="str">
        <f t="shared" si="412"/>
        <v>Coal</v>
      </c>
      <c r="O2449" s="105">
        <f>IFERROR(VLOOKUP(A2449,Lookup!$J$5:$P$19,7,FALSE),0)</f>
        <v>2</v>
      </c>
      <c r="P2449" s="159">
        <f t="shared" si="413"/>
        <v>2014</v>
      </c>
      <c r="Q2449" s="159">
        <f t="shared" si="414"/>
        <v>12</v>
      </c>
      <c r="R2449" s="160">
        <f t="shared" si="415"/>
        <v>1.5</v>
      </c>
      <c r="S2449" s="158">
        <f t="shared" si="416"/>
        <v>2.2727272727272728E-2</v>
      </c>
      <c r="T2449" s="161">
        <f t="shared" si="417"/>
        <v>6.8181818181818183</v>
      </c>
      <c r="U2449" s="158">
        <f t="shared" si="419"/>
        <v>4.5454545454545459</v>
      </c>
      <c r="V2449" s="160">
        <f t="shared" si="418"/>
        <v>5</v>
      </c>
    </row>
    <row r="2450" spans="1:22" x14ac:dyDescent="0.25">
      <c r="A2450" s="98" t="s">
        <v>23</v>
      </c>
      <c r="B2450" s="98" t="s">
        <v>20</v>
      </c>
      <c r="C2450" s="98">
        <v>226</v>
      </c>
      <c r="D2450" s="98">
        <v>9720</v>
      </c>
      <c r="E2450" s="157">
        <v>41993.975694444445</v>
      </c>
      <c r="F2450" s="157">
        <v>41996.03402777778</v>
      </c>
      <c r="G2450" s="98">
        <v>0</v>
      </c>
      <c r="H2450" s="98">
        <v>330</v>
      </c>
      <c r="I2450" s="98">
        <v>300</v>
      </c>
      <c r="J2450" s="98" t="s">
        <v>2307</v>
      </c>
      <c r="K2450" s="98" t="s">
        <v>2696</v>
      </c>
      <c r="L2450" s="105" t="str">
        <f t="shared" si="410"/>
        <v>Mill Creek</v>
      </c>
      <c r="M2450" s="105" t="str">
        <f t="shared" si="411"/>
        <v>Maintenance</v>
      </c>
      <c r="N2450" s="105" t="str">
        <f t="shared" si="412"/>
        <v>Coal</v>
      </c>
      <c r="O2450" s="105">
        <f>IFERROR(VLOOKUP(A2450,Lookup!$J$5:$P$19,7,FALSE),0)</f>
        <v>2</v>
      </c>
      <c r="P2450" s="159">
        <f t="shared" si="413"/>
        <v>2014</v>
      </c>
      <c r="Q2450" s="159">
        <f t="shared" si="414"/>
        <v>12</v>
      </c>
      <c r="R2450" s="160">
        <f t="shared" si="415"/>
        <v>49.400000000023283</v>
      </c>
      <c r="S2450" s="158">
        <f t="shared" si="416"/>
        <v>49.400000000023283</v>
      </c>
      <c r="T2450" s="161">
        <f t="shared" si="417"/>
        <v>14820.000000006985</v>
      </c>
      <c r="U2450" s="158">
        <f t="shared" si="419"/>
        <v>300</v>
      </c>
      <c r="V2450" s="160">
        <f t="shared" si="418"/>
        <v>300</v>
      </c>
    </row>
    <row r="2451" spans="1:22" x14ac:dyDescent="0.25">
      <c r="A2451" s="98" t="s">
        <v>23</v>
      </c>
      <c r="B2451" s="98" t="s">
        <v>17</v>
      </c>
      <c r="C2451" s="98">
        <v>227</v>
      </c>
      <c r="D2451" s="98">
        <v>1850</v>
      </c>
      <c r="E2451" s="157">
        <v>41996.398611111108</v>
      </c>
      <c r="F2451" s="157">
        <v>41996.618750000001</v>
      </c>
      <c r="G2451" s="98">
        <v>268</v>
      </c>
      <c r="H2451" s="98">
        <v>330</v>
      </c>
      <c r="I2451" s="98">
        <v>300</v>
      </c>
      <c r="J2451" s="98" t="s">
        <v>2263</v>
      </c>
      <c r="K2451" s="98" t="s">
        <v>41</v>
      </c>
      <c r="L2451" s="105" t="str">
        <f t="shared" si="410"/>
        <v>Mill Creek</v>
      </c>
      <c r="M2451" s="105" t="str">
        <f t="shared" si="411"/>
        <v>Derate</v>
      </c>
      <c r="N2451" s="105" t="str">
        <f t="shared" si="412"/>
        <v>Coal</v>
      </c>
      <c r="O2451" s="105">
        <f>IFERROR(VLOOKUP(A2451,Lookup!$J$5:$P$19,7,FALSE),0)</f>
        <v>2</v>
      </c>
      <c r="P2451" s="159">
        <f t="shared" si="413"/>
        <v>2014</v>
      </c>
      <c r="Q2451" s="159">
        <f t="shared" si="414"/>
        <v>12</v>
      </c>
      <c r="R2451" s="160">
        <f t="shared" si="415"/>
        <v>5.2833333334419876</v>
      </c>
      <c r="S2451" s="158">
        <f t="shared" si="416"/>
        <v>0.99262626264667642</v>
      </c>
      <c r="T2451" s="161">
        <f t="shared" si="417"/>
        <v>297.78787879400295</v>
      </c>
      <c r="U2451" s="158">
        <f t="shared" si="419"/>
        <v>56.363636363636367</v>
      </c>
      <c r="V2451" s="160">
        <f t="shared" si="418"/>
        <v>56</v>
      </c>
    </row>
    <row r="2452" spans="1:22" x14ac:dyDescent="0.25">
      <c r="A2452" s="98" t="s">
        <v>23</v>
      </c>
      <c r="B2452" s="98" t="s">
        <v>17</v>
      </c>
      <c r="C2452" s="98">
        <v>228</v>
      </c>
      <c r="D2452" s="98">
        <v>1850</v>
      </c>
      <c r="E2452" s="157">
        <v>41996.618750000001</v>
      </c>
      <c r="F2452" s="157">
        <v>41997.036805555559</v>
      </c>
      <c r="G2452" s="98">
        <v>300</v>
      </c>
      <c r="H2452" s="98">
        <v>330</v>
      </c>
      <c r="I2452" s="98">
        <v>300</v>
      </c>
      <c r="J2452" s="98" t="s">
        <v>2263</v>
      </c>
      <c r="K2452" s="98" t="s">
        <v>41</v>
      </c>
      <c r="L2452" s="105" t="str">
        <f t="shared" si="410"/>
        <v>Mill Creek</v>
      </c>
      <c r="M2452" s="105" t="str">
        <f t="shared" si="411"/>
        <v>Derate</v>
      </c>
      <c r="N2452" s="105" t="str">
        <f t="shared" si="412"/>
        <v>Coal</v>
      </c>
      <c r="O2452" s="105">
        <f>IFERROR(VLOOKUP(A2452,Lookup!$J$5:$P$19,7,FALSE),0)</f>
        <v>2</v>
      </c>
      <c r="P2452" s="159">
        <f t="shared" si="413"/>
        <v>2014</v>
      </c>
      <c r="Q2452" s="159">
        <f t="shared" si="414"/>
        <v>12</v>
      </c>
      <c r="R2452" s="160">
        <f t="shared" si="415"/>
        <v>10.03333333338378</v>
      </c>
      <c r="S2452" s="158">
        <f t="shared" si="416"/>
        <v>0.91212121212579822</v>
      </c>
      <c r="T2452" s="161">
        <f t="shared" si="417"/>
        <v>273.63636363773946</v>
      </c>
      <c r="U2452" s="158">
        <f t="shared" si="419"/>
        <v>27.272727272727273</v>
      </c>
      <c r="V2452" s="160">
        <f t="shared" si="418"/>
        <v>27</v>
      </c>
    </row>
    <row r="2453" spans="1:22" x14ac:dyDescent="0.25">
      <c r="A2453" s="98" t="s">
        <v>23</v>
      </c>
      <c r="B2453" s="98" t="s">
        <v>20</v>
      </c>
      <c r="C2453" s="98">
        <v>1</v>
      </c>
      <c r="D2453" s="98">
        <v>3344</v>
      </c>
      <c r="E2453" s="157">
        <v>42018.990277777775</v>
      </c>
      <c r="F2453" s="157">
        <v>42020.967361111114</v>
      </c>
      <c r="G2453" s="98">
        <v>0</v>
      </c>
      <c r="H2453" s="98">
        <v>330</v>
      </c>
      <c r="I2453" s="98">
        <v>300</v>
      </c>
      <c r="J2453" s="98" t="s">
        <v>2165</v>
      </c>
      <c r="K2453" s="98" t="s">
        <v>2697</v>
      </c>
      <c r="L2453" s="105" t="str">
        <f t="shared" si="410"/>
        <v>Mill Creek</v>
      </c>
      <c r="M2453" s="105" t="str">
        <f t="shared" si="411"/>
        <v>Maintenance</v>
      </c>
      <c r="N2453" s="105" t="str">
        <f t="shared" si="412"/>
        <v>Coal</v>
      </c>
      <c r="O2453" s="105">
        <f>IFERROR(VLOOKUP(A2453,Lookup!$J$5:$P$19,7,FALSE),0)</f>
        <v>2</v>
      </c>
      <c r="P2453" s="159">
        <f t="shared" si="413"/>
        <v>2015</v>
      </c>
      <c r="Q2453" s="159">
        <f t="shared" si="414"/>
        <v>1</v>
      </c>
      <c r="R2453" s="160">
        <f t="shared" si="415"/>
        <v>47.450000000128057</v>
      </c>
      <c r="S2453" s="158">
        <f t="shared" si="416"/>
        <v>47.450000000128057</v>
      </c>
      <c r="T2453" s="161">
        <f t="shared" si="417"/>
        <v>14235.000000038417</v>
      </c>
      <c r="U2453" s="158">
        <f t="shared" si="419"/>
        <v>300</v>
      </c>
      <c r="V2453" s="160">
        <f t="shared" si="418"/>
        <v>300</v>
      </c>
    </row>
    <row r="2454" spans="1:22" x14ac:dyDescent="0.25">
      <c r="A2454" s="98" t="s">
        <v>23</v>
      </c>
      <c r="B2454" s="98" t="s">
        <v>79</v>
      </c>
      <c r="C2454" s="98">
        <v>2</v>
      </c>
      <c r="D2454" s="98">
        <v>1850</v>
      </c>
      <c r="E2454" s="157">
        <v>42020.967361111114</v>
      </c>
      <c r="F2454" s="157">
        <v>42021.272222222222</v>
      </c>
      <c r="G2454" s="98">
        <v>0</v>
      </c>
      <c r="H2454" s="98">
        <v>330</v>
      </c>
      <c r="I2454" s="98">
        <v>300</v>
      </c>
      <c r="J2454" s="98" t="s">
        <v>2263</v>
      </c>
      <c r="K2454" s="98" t="s">
        <v>86</v>
      </c>
      <c r="L2454" s="105" t="str">
        <f t="shared" si="410"/>
        <v>Mill Creek</v>
      </c>
      <c r="M2454" s="105" t="str">
        <f t="shared" si="411"/>
        <v>Other</v>
      </c>
      <c r="N2454" s="105" t="str">
        <f t="shared" si="412"/>
        <v>Coal</v>
      </c>
      <c r="O2454" s="105">
        <f>IFERROR(VLOOKUP(A2454,Lookup!$J$5:$P$19,7,FALSE),0)</f>
        <v>2</v>
      </c>
      <c r="P2454" s="159">
        <f t="shared" si="413"/>
        <v>2015</v>
      </c>
      <c r="Q2454" s="159">
        <f t="shared" si="414"/>
        <v>1</v>
      </c>
      <c r="R2454" s="160">
        <f t="shared" si="415"/>
        <v>7.316666666592937</v>
      </c>
      <c r="S2454" s="158">
        <f t="shared" si="416"/>
        <v>7.316666666592937</v>
      </c>
      <c r="T2454" s="161">
        <f t="shared" si="417"/>
        <v>2194.9999999778811</v>
      </c>
      <c r="U2454" s="158">
        <f t="shared" si="419"/>
        <v>300</v>
      </c>
      <c r="V2454" s="160">
        <f t="shared" si="418"/>
        <v>300</v>
      </c>
    </row>
    <row r="2455" spans="1:22" x14ac:dyDescent="0.25">
      <c r="A2455" s="98" t="s">
        <v>23</v>
      </c>
      <c r="B2455" s="98" t="s">
        <v>17</v>
      </c>
      <c r="C2455" s="98">
        <v>3</v>
      </c>
      <c r="D2455" s="98">
        <v>1850</v>
      </c>
      <c r="E2455" s="157">
        <v>42021.272222222222</v>
      </c>
      <c r="F2455" s="157">
        <v>42021.407638888886</v>
      </c>
      <c r="G2455" s="98">
        <v>265</v>
      </c>
      <c r="H2455" s="98">
        <v>330</v>
      </c>
      <c r="I2455" s="98">
        <v>300</v>
      </c>
      <c r="J2455" s="98" t="s">
        <v>2263</v>
      </c>
      <c r="K2455" s="98" t="s">
        <v>41</v>
      </c>
      <c r="L2455" s="105" t="str">
        <f t="shared" si="410"/>
        <v>Mill Creek</v>
      </c>
      <c r="M2455" s="105" t="str">
        <f t="shared" si="411"/>
        <v>Derate</v>
      </c>
      <c r="N2455" s="105" t="str">
        <f t="shared" si="412"/>
        <v>Coal</v>
      </c>
      <c r="O2455" s="105">
        <f>IFERROR(VLOOKUP(A2455,Lookup!$J$5:$P$19,7,FALSE),0)</f>
        <v>2</v>
      </c>
      <c r="P2455" s="159">
        <f t="shared" si="413"/>
        <v>2015</v>
      </c>
      <c r="Q2455" s="159">
        <f t="shared" si="414"/>
        <v>1</v>
      </c>
      <c r="R2455" s="160">
        <f t="shared" si="415"/>
        <v>3.2499999999417923</v>
      </c>
      <c r="S2455" s="158">
        <f t="shared" si="416"/>
        <v>0.64015151514004998</v>
      </c>
      <c r="T2455" s="161">
        <f t="shared" si="417"/>
        <v>192.04545454201499</v>
      </c>
      <c r="U2455" s="158">
        <f t="shared" si="419"/>
        <v>59.090909090909093</v>
      </c>
      <c r="V2455" s="160">
        <f t="shared" si="418"/>
        <v>59</v>
      </c>
    </row>
    <row r="2456" spans="1:22" x14ac:dyDescent="0.25">
      <c r="A2456" s="98" t="s">
        <v>23</v>
      </c>
      <c r="B2456" s="98" t="s">
        <v>79</v>
      </c>
      <c r="C2456" s="98">
        <v>4</v>
      </c>
      <c r="D2456" s="98">
        <v>9999</v>
      </c>
      <c r="E2456" s="157">
        <v>42037.282638888886</v>
      </c>
      <c r="F2456" s="157">
        <v>42037.54583333333</v>
      </c>
      <c r="G2456" s="98">
        <v>0</v>
      </c>
      <c r="H2456" s="98">
        <v>330</v>
      </c>
      <c r="I2456" s="98">
        <v>300</v>
      </c>
      <c r="J2456" s="98" t="s">
        <v>2261</v>
      </c>
      <c r="K2456" s="98" t="s">
        <v>2698</v>
      </c>
      <c r="L2456" s="105" t="str">
        <f t="shared" si="410"/>
        <v>Mill Creek</v>
      </c>
      <c r="M2456" s="105" t="str">
        <f t="shared" si="411"/>
        <v>Other</v>
      </c>
      <c r="N2456" s="105" t="str">
        <f t="shared" si="412"/>
        <v>Coal</v>
      </c>
      <c r="O2456" s="105">
        <f>IFERROR(VLOOKUP(A2456,Lookup!$J$5:$P$19,7,FALSE),0)</f>
        <v>2</v>
      </c>
      <c r="P2456" s="159">
        <f t="shared" si="413"/>
        <v>2015</v>
      </c>
      <c r="Q2456" s="159">
        <f t="shared" si="414"/>
        <v>2</v>
      </c>
      <c r="R2456" s="160">
        <f t="shared" si="415"/>
        <v>6.3166666666511446</v>
      </c>
      <c r="S2456" s="158">
        <f t="shared" si="416"/>
        <v>6.3166666666511446</v>
      </c>
      <c r="T2456" s="161">
        <f t="shared" si="417"/>
        <v>1894.9999999953434</v>
      </c>
      <c r="U2456" s="158">
        <f t="shared" si="419"/>
        <v>300</v>
      </c>
      <c r="V2456" s="160">
        <f t="shared" si="418"/>
        <v>300</v>
      </c>
    </row>
    <row r="2457" spans="1:22" x14ac:dyDescent="0.25">
      <c r="A2457" s="98" t="s">
        <v>23</v>
      </c>
      <c r="B2457" s="98" t="s">
        <v>20</v>
      </c>
      <c r="C2457" s="98">
        <v>5</v>
      </c>
      <c r="D2457" s="98">
        <v>3110</v>
      </c>
      <c r="E2457" s="157">
        <v>42042.022222222222</v>
      </c>
      <c r="F2457" s="157">
        <v>42043.427083333336</v>
      </c>
      <c r="G2457" s="98">
        <v>0</v>
      </c>
      <c r="H2457" s="98">
        <v>330</v>
      </c>
      <c r="I2457" s="98">
        <v>300</v>
      </c>
      <c r="J2457" s="98" t="s">
        <v>2119</v>
      </c>
      <c r="K2457" s="98" t="s">
        <v>42</v>
      </c>
      <c r="L2457" s="105" t="str">
        <f t="shared" si="410"/>
        <v>Mill Creek</v>
      </c>
      <c r="M2457" s="105" t="str">
        <f t="shared" si="411"/>
        <v>Maintenance</v>
      </c>
      <c r="N2457" s="105" t="str">
        <f t="shared" si="412"/>
        <v>Coal</v>
      </c>
      <c r="O2457" s="105">
        <f>IFERROR(VLOOKUP(A2457,Lookup!$J$5:$P$19,7,FALSE),0)</f>
        <v>2</v>
      </c>
      <c r="P2457" s="159">
        <f t="shared" si="413"/>
        <v>2015</v>
      </c>
      <c r="Q2457" s="159">
        <f t="shared" si="414"/>
        <v>2</v>
      </c>
      <c r="R2457" s="160">
        <f t="shared" si="415"/>
        <v>33.716666666732635</v>
      </c>
      <c r="S2457" s="158">
        <f t="shared" si="416"/>
        <v>33.716666666732635</v>
      </c>
      <c r="T2457" s="161">
        <f t="shared" si="417"/>
        <v>10115.000000019791</v>
      </c>
      <c r="U2457" s="158">
        <f t="shared" si="419"/>
        <v>300</v>
      </c>
      <c r="V2457" s="160">
        <f t="shared" si="418"/>
        <v>300</v>
      </c>
    </row>
    <row r="2458" spans="1:22" x14ac:dyDescent="0.25">
      <c r="A2458" s="98" t="s">
        <v>23</v>
      </c>
      <c r="B2458" s="98" t="s">
        <v>79</v>
      </c>
      <c r="C2458" s="98">
        <v>6</v>
      </c>
      <c r="D2458" s="98">
        <v>1850</v>
      </c>
      <c r="E2458" s="157">
        <v>42043.427083333336</v>
      </c>
      <c r="F2458" s="157">
        <v>42043.684027777781</v>
      </c>
      <c r="G2458" s="98">
        <v>0</v>
      </c>
      <c r="H2458" s="98">
        <v>330</v>
      </c>
      <c r="I2458" s="98">
        <v>300</v>
      </c>
      <c r="J2458" s="98" t="s">
        <v>2263</v>
      </c>
      <c r="K2458" s="98" t="s">
        <v>2699</v>
      </c>
      <c r="L2458" s="105" t="str">
        <f t="shared" si="410"/>
        <v>Mill Creek</v>
      </c>
      <c r="M2458" s="105" t="str">
        <f t="shared" si="411"/>
        <v>Other</v>
      </c>
      <c r="N2458" s="105" t="str">
        <f t="shared" si="412"/>
        <v>Coal</v>
      </c>
      <c r="O2458" s="105">
        <f>IFERROR(VLOOKUP(A2458,Lookup!$J$5:$P$19,7,FALSE),0)</f>
        <v>2</v>
      </c>
      <c r="P2458" s="159">
        <f t="shared" si="413"/>
        <v>2015</v>
      </c>
      <c r="Q2458" s="159">
        <f t="shared" si="414"/>
        <v>2</v>
      </c>
      <c r="R2458" s="160">
        <f t="shared" si="415"/>
        <v>6.1666666666860692</v>
      </c>
      <c r="S2458" s="158">
        <f t="shared" si="416"/>
        <v>6.1666666666860692</v>
      </c>
      <c r="T2458" s="161">
        <f t="shared" si="417"/>
        <v>1850.0000000058208</v>
      </c>
      <c r="U2458" s="158">
        <f t="shared" si="419"/>
        <v>300</v>
      </c>
      <c r="V2458" s="160">
        <f t="shared" si="418"/>
        <v>300</v>
      </c>
    </row>
    <row r="2459" spans="1:22" x14ac:dyDescent="0.25">
      <c r="A2459" s="98" t="s">
        <v>23</v>
      </c>
      <c r="B2459" s="98" t="s">
        <v>17</v>
      </c>
      <c r="C2459" s="98">
        <v>7</v>
      </c>
      <c r="D2459" s="98">
        <v>1850</v>
      </c>
      <c r="E2459" s="157">
        <v>42043.684027777781</v>
      </c>
      <c r="F2459" s="157">
        <v>42043.777083333334</v>
      </c>
      <c r="G2459" s="98">
        <v>234</v>
      </c>
      <c r="H2459" s="98">
        <v>330</v>
      </c>
      <c r="I2459" s="98">
        <v>300</v>
      </c>
      <c r="J2459" s="98" t="s">
        <v>2263</v>
      </c>
      <c r="K2459" s="98" t="s">
        <v>62</v>
      </c>
      <c r="L2459" s="105" t="str">
        <f t="shared" si="410"/>
        <v>Mill Creek</v>
      </c>
      <c r="M2459" s="105" t="str">
        <f t="shared" si="411"/>
        <v>Derate</v>
      </c>
      <c r="N2459" s="105" t="str">
        <f t="shared" si="412"/>
        <v>Coal</v>
      </c>
      <c r="O2459" s="105">
        <f>IFERROR(VLOOKUP(A2459,Lookup!$J$5:$P$19,7,FALSE),0)</f>
        <v>2</v>
      </c>
      <c r="P2459" s="159">
        <f t="shared" si="413"/>
        <v>2015</v>
      </c>
      <c r="Q2459" s="159">
        <f t="shared" si="414"/>
        <v>2</v>
      </c>
      <c r="R2459" s="160">
        <f t="shared" si="415"/>
        <v>2.2333333332790062</v>
      </c>
      <c r="S2459" s="158">
        <f t="shared" si="416"/>
        <v>0.64969696968116541</v>
      </c>
      <c r="T2459" s="161">
        <f t="shared" si="417"/>
        <v>194.90909090434963</v>
      </c>
      <c r="U2459" s="158">
        <f t="shared" si="419"/>
        <v>87.272727272727266</v>
      </c>
      <c r="V2459" s="160">
        <f t="shared" si="418"/>
        <v>87</v>
      </c>
    </row>
    <row r="2460" spans="1:22" x14ac:dyDescent="0.25">
      <c r="A2460" s="98" t="s">
        <v>23</v>
      </c>
      <c r="B2460" s="98" t="s">
        <v>17</v>
      </c>
      <c r="C2460" s="98">
        <v>8</v>
      </c>
      <c r="D2460" s="98">
        <v>1850</v>
      </c>
      <c r="E2460" s="157">
        <v>42043.777083333334</v>
      </c>
      <c r="F2460" s="157">
        <v>42043.958333333336</v>
      </c>
      <c r="G2460" s="98">
        <v>270</v>
      </c>
      <c r="H2460" s="98">
        <v>330</v>
      </c>
      <c r="I2460" s="98">
        <v>300</v>
      </c>
      <c r="J2460" s="98" t="s">
        <v>2263</v>
      </c>
      <c r="K2460" s="98" t="s">
        <v>62</v>
      </c>
      <c r="L2460" s="105" t="str">
        <f t="shared" si="410"/>
        <v>Mill Creek</v>
      </c>
      <c r="M2460" s="105" t="str">
        <f t="shared" si="411"/>
        <v>Derate</v>
      </c>
      <c r="N2460" s="105" t="str">
        <f t="shared" si="412"/>
        <v>Coal</v>
      </c>
      <c r="O2460" s="105">
        <f>IFERROR(VLOOKUP(A2460,Lookup!$J$5:$P$19,7,FALSE),0)</f>
        <v>2</v>
      </c>
      <c r="P2460" s="159">
        <f t="shared" si="413"/>
        <v>2015</v>
      </c>
      <c r="Q2460" s="159">
        <f t="shared" si="414"/>
        <v>2</v>
      </c>
      <c r="R2460" s="160">
        <f t="shared" si="415"/>
        <v>4.3500000000349246</v>
      </c>
      <c r="S2460" s="158">
        <f t="shared" si="416"/>
        <v>0.79090909091544082</v>
      </c>
      <c r="T2460" s="161">
        <f t="shared" si="417"/>
        <v>237.27272727463225</v>
      </c>
      <c r="U2460" s="158">
        <f t="shared" si="419"/>
        <v>54.545454545454547</v>
      </c>
      <c r="V2460" s="160">
        <f t="shared" si="418"/>
        <v>55</v>
      </c>
    </row>
    <row r="2461" spans="1:22" x14ac:dyDescent="0.25">
      <c r="A2461" s="98" t="s">
        <v>23</v>
      </c>
      <c r="B2461" s="98" t="s">
        <v>17</v>
      </c>
      <c r="C2461" s="98">
        <v>9</v>
      </c>
      <c r="D2461" s="98">
        <v>250</v>
      </c>
      <c r="E2461" s="157">
        <v>42045.14166666667</v>
      </c>
      <c r="F2461" s="157">
        <v>42045.211111111108</v>
      </c>
      <c r="G2461" s="98">
        <v>255</v>
      </c>
      <c r="H2461" s="98">
        <v>330</v>
      </c>
      <c r="I2461" s="98">
        <v>300</v>
      </c>
      <c r="J2461" s="98" t="s">
        <v>1978</v>
      </c>
      <c r="K2461" s="98" t="s">
        <v>2700</v>
      </c>
      <c r="L2461" s="105" t="str">
        <f t="shared" si="410"/>
        <v>Mill Creek</v>
      </c>
      <c r="M2461" s="105" t="str">
        <f t="shared" si="411"/>
        <v>Derate</v>
      </c>
      <c r="N2461" s="105" t="str">
        <f t="shared" si="412"/>
        <v>Coal</v>
      </c>
      <c r="O2461" s="105">
        <f>IFERROR(VLOOKUP(A2461,Lookup!$J$5:$P$19,7,FALSE),0)</f>
        <v>2</v>
      </c>
      <c r="P2461" s="159">
        <f t="shared" si="413"/>
        <v>2015</v>
      </c>
      <c r="Q2461" s="159">
        <f t="shared" si="414"/>
        <v>2</v>
      </c>
      <c r="R2461" s="160">
        <f t="shared" si="415"/>
        <v>1.6666666665114462</v>
      </c>
      <c r="S2461" s="158">
        <f t="shared" si="416"/>
        <v>0.37878787875260139</v>
      </c>
      <c r="T2461" s="161">
        <f t="shared" si="417"/>
        <v>113.63636362578042</v>
      </c>
      <c r="U2461" s="158">
        <f t="shared" si="419"/>
        <v>68.181818181818187</v>
      </c>
      <c r="V2461" s="160">
        <f t="shared" si="418"/>
        <v>68</v>
      </c>
    </row>
    <row r="2462" spans="1:22" x14ac:dyDescent="0.25">
      <c r="A2462" s="98" t="s">
        <v>23</v>
      </c>
      <c r="B2462" s="98" t="s">
        <v>17</v>
      </c>
      <c r="C2462" s="98">
        <v>10</v>
      </c>
      <c r="D2462" s="98">
        <v>8260</v>
      </c>
      <c r="E2462" s="157">
        <v>42056.840277777781</v>
      </c>
      <c r="F2462" s="157">
        <v>42056.902083333334</v>
      </c>
      <c r="G2462" s="98">
        <v>240</v>
      </c>
      <c r="H2462" s="98">
        <v>330</v>
      </c>
      <c r="I2462" s="98">
        <v>300</v>
      </c>
      <c r="J2462" s="98" t="s">
        <v>2248</v>
      </c>
      <c r="K2462" s="98" t="s">
        <v>2701</v>
      </c>
      <c r="L2462" s="105" t="str">
        <f t="shared" si="410"/>
        <v>Mill Creek</v>
      </c>
      <c r="M2462" s="105" t="str">
        <f t="shared" si="411"/>
        <v>Derate</v>
      </c>
      <c r="N2462" s="105" t="str">
        <f t="shared" si="412"/>
        <v>Coal</v>
      </c>
      <c r="O2462" s="105">
        <f>IFERROR(VLOOKUP(A2462,Lookup!$J$5:$P$19,7,FALSE),0)</f>
        <v>2</v>
      </c>
      <c r="P2462" s="159">
        <f t="shared" si="413"/>
        <v>2015</v>
      </c>
      <c r="Q2462" s="159">
        <f t="shared" si="414"/>
        <v>2</v>
      </c>
      <c r="R2462" s="160">
        <f t="shared" si="415"/>
        <v>1.4833333332790062</v>
      </c>
      <c r="S2462" s="158">
        <f t="shared" si="416"/>
        <v>0.40454545453063806</v>
      </c>
      <c r="T2462" s="161">
        <f t="shared" si="417"/>
        <v>121.36363635919142</v>
      </c>
      <c r="U2462" s="158">
        <f t="shared" si="419"/>
        <v>81.818181818181813</v>
      </c>
      <c r="V2462" s="160">
        <f t="shared" si="418"/>
        <v>82</v>
      </c>
    </row>
    <row r="2463" spans="1:22" x14ac:dyDescent="0.25">
      <c r="A2463" s="98" t="s">
        <v>23</v>
      </c>
      <c r="B2463" s="98" t="s">
        <v>79</v>
      </c>
      <c r="C2463" s="98">
        <v>11</v>
      </c>
      <c r="D2463" s="98">
        <v>9690</v>
      </c>
      <c r="E2463" s="157">
        <v>42060.375</v>
      </c>
      <c r="F2463" s="157">
        <v>42060.490972222222</v>
      </c>
      <c r="G2463" s="98">
        <v>0</v>
      </c>
      <c r="H2463" s="98">
        <v>330</v>
      </c>
      <c r="I2463" s="98">
        <v>300</v>
      </c>
      <c r="J2463" s="98" t="s">
        <v>2702</v>
      </c>
      <c r="K2463" s="98" t="s">
        <v>2703</v>
      </c>
      <c r="L2463" s="105" t="str">
        <f t="shared" si="410"/>
        <v>Mill Creek</v>
      </c>
      <c r="M2463" s="105" t="str">
        <f t="shared" si="411"/>
        <v>Other</v>
      </c>
      <c r="N2463" s="105" t="str">
        <f t="shared" si="412"/>
        <v>Coal</v>
      </c>
      <c r="O2463" s="105">
        <f>IFERROR(VLOOKUP(A2463,Lookup!$J$5:$P$19,7,FALSE),0)</f>
        <v>2</v>
      </c>
      <c r="P2463" s="159">
        <f t="shared" si="413"/>
        <v>2015</v>
      </c>
      <c r="Q2463" s="159">
        <f t="shared" si="414"/>
        <v>2</v>
      </c>
      <c r="R2463" s="160">
        <f t="shared" si="415"/>
        <v>2.7833333333255723</v>
      </c>
      <c r="S2463" s="158">
        <f t="shared" si="416"/>
        <v>2.7833333333255723</v>
      </c>
      <c r="T2463" s="161">
        <f t="shared" si="417"/>
        <v>834.99999999767169</v>
      </c>
      <c r="U2463" s="158">
        <f t="shared" si="419"/>
        <v>300</v>
      </c>
      <c r="V2463" s="160">
        <f t="shared" si="418"/>
        <v>300</v>
      </c>
    </row>
    <row r="2464" spans="1:22" x14ac:dyDescent="0.25">
      <c r="A2464" s="98" t="s">
        <v>23</v>
      </c>
      <c r="B2464" s="98" t="s">
        <v>17</v>
      </c>
      <c r="C2464" s="98">
        <v>12</v>
      </c>
      <c r="D2464" s="98">
        <v>8127</v>
      </c>
      <c r="E2464" s="157">
        <v>42064.469444444447</v>
      </c>
      <c r="F2464" s="157">
        <v>42064.587500000001</v>
      </c>
      <c r="G2464" s="98">
        <v>290</v>
      </c>
      <c r="H2464" s="98">
        <v>330</v>
      </c>
      <c r="I2464" s="98">
        <v>300</v>
      </c>
      <c r="J2464" s="98" t="s">
        <v>2258</v>
      </c>
      <c r="K2464" s="98" t="s">
        <v>2704</v>
      </c>
      <c r="L2464" s="105" t="str">
        <f t="shared" si="410"/>
        <v>Mill Creek</v>
      </c>
      <c r="M2464" s="105" t="str">
        <f t="shared" si="411"/>
        <v>Derate</v>
      </c>
      <c r="N2464" s="105" t="str">
        <f t="shared" si="412"/>
        <v>Coal</v>
      </c>
      <c r="O2464" s="105">
        <f>IFERROR(VLOOKUP(A2464,Lookup!$J$5:$P$19,7,FALSE),0)</f>
        <v>2</v>
      </c>
      <c r="P2464" s="159">
        <f t="shared" si="413"/>
        <v>2015</v>
      </c>
      <c r="Q2464" s="159">
        <f t="shared" si="414"/>
        <v>3</v>
      </c>
      <c r="R2464" s="160">
        <f t="shared" si="415"/>
        <v>2.8333333333139308</v>
      </c>
      <c r="S2464" s="158">
        <f t="shared" si="416"/>
        <v>0.34343434343199158</v>
      </c>
      <c r="T2464" s="161">
        <f t="shared" si="417"/>
        <v>103.03030302959748</v>
      </c>
      <c r="U2464" s="158">
        <f t="shared" si="419"/>
        <v>36.363636363636367</v>
      </c>
      <c r="V2464" s="160">
        <f t="shared" si="418"/>
        <v>36</v>
      </c>
    </row>
    <row r="2465" spans="1:22" x14ac:dyDescent="0.25">
      <c r="A2465" s="98" t="s">
        <v>23</v>
      </c>
      <c r="B2465" s="98" t="s">
        <v>17</v>
      </c>
      <c r="C2465" s="98">
        <v>13</v>
      </c>
      <c r="D2465" s="98">
        <v>8127</v>
      </c>
      <c r="E2465" s="157">
        <v>42065.359027777777</v>
      </c>
      <c r="F2465" s="157">
        <v>42065.374305555553</v>
      </c>
      <c r="G2465" s="98">
        <v>320</v>
      </c>
      <c r="H2465" s="98">
        <v>330</v>
      </c>
      <c r="I2465" s="98">
        <v>300</v>
      </c>
      <c r="J2465" s="98" t="s">
        <v>2258</v>
      </c>
      <c r="K2465" s="98" t="s">
        <v>2705</v>
      </c>
      <c r="L2465" s="105" t="str">
        <f t="shared" si="410"/>
        <v>Mill Creek</v>
      </c>
      <c r="M2465" s="105" t="str">
        <f t="shared" si="411"/>
        <v>Derate</v>
      </c>
      <c r="N2465" s="105" t="str">
        <f t="shared" si="412"/>
        <v>Coal</v>
      </c>
      <c r="O2465" s="105">
        <f>IFERROR(VLOOKUP(A2465,Lookup!$J$5:$P$19,7,FALSE),0)</f>
        <v>2</v>
      </c>
      <c r="P2465" s="159">
        <f t="shared" si="413"/>
        <v>2015</v>
      </c>
      <c r="Q2465" s="159">
        <f t="shared" si="414"/>
        <v>3</v>
      </c>
      <c r="R2465" s="160">
        <f t="shared" si="415"/>
        <v>0.36666666663950309</v>
      </c>
      <c r="S2465" s="158">
        <f t="shared" si="416"/>
        <v>1.1111111110287973E-2</v>
      </c>
      <c r="T2465" s="161">
        <f t="shared" si="417"/>
        <v>3.3333333330863919</v>
      </c>
      <c r="U2465" s="158">
        <f t="shared" si="419"/>
        <v>9.0909090909090917</v>
      </c>
      <c r="V2465" s="160">
        <f t="shared" si="418"/>
        <v>9</v>
      </c>
    </row>
    <row r="2466" spans="1:22" x14ac:dyDescent="0.25">
      <c r="A2466" s="98" t="s">
        <v>23</v>
      </c>
      <c r="B2466" s="98" t="s">
        <v>17</v>
      </c>
      <c r="C2466" s="98">
        <v>14</v>
      </c>
      <c r="D2466" s="98">
        <v>8127</v>
      </c>
      <c r="E2466" s="157">
        <v>42065.402083333334</v>
      </c>
      <c r="F2466" s="157">
        <v>42065.5</v>
      </c>
      <c r="G2466" s="98">
        <v>180</v>
      </c>
      <c r="H2466" s="98">
        <v>330</v>
      </c>
      <c r="I2466" s="98">
        <v>300</v>
      </c>
      <c r="J2466" s="98" t="s">
        <v>2258</v>
      </c>
      <c r="K2466" s="98" t="s">
        <v>2706</v>
      </c>
      <c r="L2466" s="105" t="str">
        <f t="shared" si="410"/>
        <v>Mill Creek</v>
      </c>
      <c r="M2466" s="105" t="str">
        <f t="shared" si="411"/>
        <v>Derate</v>
      </c>
      <c r="N2466" s="105" t="str">
        <f t="shared" si="412"/>
        <v>Coal</v>
      </c>
      <c r="O2466" s="105">
        <f>IFERROR(VLOOKUP(A2466,Lookup!$J$5:$P$19,7,FALSE),0)</f>
        <v>2</v>
      </c>
      <c r="P2466" s="159">
        <f t="shared" si="413"/>
        <v>2015</v>
      </c>
      <c r="Q2466" s="159">
        <f t="shared" si="414"/>
        <v>3</v>
      </c>
      <c r="R2466" s="160">
        <f t="shared" si="415"/>
        <v>2.3499999999767169</v>
      </c>
      <c r="S2466" s="158">
        <f t="shared" si="416"/>
        <v>1.068181818171235</v>
      </c>
      <c r="T2466" s="161">
        <f t="shared" si="417"/>
        <v>320.45454545137051</v>
      </c>
      <c r="U2466" s="158">
        <f t="shared" si="419"/>
        <v>136.36363636363637</v>
      </c>
      <c r="V2466" s="160">
        <f t="shared" si="418"/>
        <v>136</v>
      </c>
    </row>
    <row r="2467" spans="1:22" x14ac:dyDescent="0.25">
      <c r="A2467" s="98" t="s">
        <v>23</v>
      </c>
      <c r="B2467" s="98" t="s">
        <v>17</v>
      </c>
      <c r="C2467" s="98">
        <v>15</v>
      </c>
      <c r="D2467" s="98">
        <v>8127</v>
      </c>
      <c r="E2467" s="157">
        <v>42065.5</v>
      </c>
      <c r="F2467" s="157">
        <v>42066.916666666664</v>
      </c>
      <c r="G2467" s="98">
        <v>300</v>
      </c>
      <c r="H2467" s="98">
        <v>330</v>
      </c>
      <c r="I2467" s="98">
        <v>300</v>
      </c>
      <c r="J2467" s="98" t="s">
        <v>2258</v>
      </c>
      <c r="K2467" s="98" t="s">
        <v>2705</v>
      </c>
      <c r="L2467" s="105" t="str">
        <f t="shared" si="410"/>
        <v>Mill Creek</v>
      </c>
      <c r="M2467" s="105" t="str">
        <f t="shared" si="411"/>
        <v>Derate</v>
      </c>
      <c r="N2467" s="105" t="str">
        <f t="shared" si="412"/>
        <v>Coal</v>
      </c>
      <c r="O2467" s="105">
        <f>IFERROR(VLOOKUP(A2467,Lookup!$J$5:$P$19,7,FALSE),0)</f>
        <v>2</v>
      </c>
      <c r="P2467" s="159">
        <f t="shared" si="413"/>
        <v>2015</v>
      </c>
      <c r="Q2467" s="159">
        <f t="shared" si="414"/>
        <v>3</v>
      </c>
      <c r="R2467" s="160">
        <f t="shared" si="415"/>
        <v>33.999999999941792</v>
      </c>
      <c r="S2467" s="158">
        <f t="shared" si="416"/>
        <v>3.0909090909037995</v>
      </c>
      <c r="T2467" s="161">
        <f t="shared" si="417"/>
        <v>927.27272727113984</v>
      </c>
      <c r="U2467" s="158">
        <f t="shared" si="419"/>
        <v>27.272727272727273</v>
      </c>
      <c r="V2467" s="160">
        <f t="shared" si="418"/>
        <v>27</v>
      </c>
    </row>
    <row r="2468" spans="1:22" x14ac:dyDescent="0.25">
      <c r="A2468" s="98" t="s">
        <v>23</v>
      </c>
      <c r="B2468" s="98" t="s">
        <v>105</v>
      </c>
      <c r="C2468" s="98">
        <v>16</v>
      </c>
      <c r="D2468" s="98">
        <v>8280</v>
      </c>
      <c r="E2468" s="157">
        <v>42066.916666666664</v>
      </c>
      <c r="F2468" s="157">
        <v>42067.099305555559</v>
      </c>
      <c r="G2468" s="98">
        <v>150</v>
      </c>
      <c r="H2468" s="98">
        <v>330</v>
      </c>
      <c r="I2468" s="98">
        <v>300</v>
      </c>
      <c r="J2468" s="98" t="s">
        <v>2255</v>
      </c>
      <c r="K2468" s="98" t="s">
        <v>2707</v>
      </c>
      <c r="L2468" s="105" t="str">
        <f t="shared" si="410"/>
        <v>Mill Creek</v>
      </c>
      <c r="M2468" s="105" t="str">
        <f t="shared" si="411"/>
        <v>Derate</v>
      </c>
      <c r="N2468" s="105" t="str">
        <f t="shared" si="412"/>
        <v>Coal</v>
      </c>
      <c r="O2468" s="105">
        <f>IFERROR(VLOOKUP(A2468,Lookup!$J$5:$P$19,7,FALSE),0)</f>
        <v>2</v>
      </c>
      <c r="P2468" s="159">
        <f t="shared" si="413"/>
        <v>2015</v>
      </c>
      <c r="Q2468" s="159">
        <f t="shared" si="414"/>
        <v>3</v>
      </c>
      <c r="R2468" s="160">
        <f t="shared" si="415"/>
        <v>4.3833333334769122</v>
      </c>
      <c r="S2468" s="158">
        <f t="shared" si="416"/>
        <v>2.3909090909874067</v>
      </c>
      <c r="T2468" s="161">
        <f t="shared" si="417"/>
        <v>717.272727296222</v>
      </c>
      <c r="U2468" s="158">
        <f t="shared" si="419"/>
        <v>163.63636363636363</v>
      </c>
      <c r="V2468" s="160">
        <f t="shared" si="418"/>
        <v>164</v>
      </c>
    </row>
    <row r="2469" spans="1:22" x14ac:dyDescent="0.25">
      <c r="A2469" s="98" t="s">
        <v>23</v>
      </c>
      <c r="B2469" s="98" t="s">
        <v>17</v>
      </c>
      <c r="C2469" s="98">
        <v>17</v>
      </c>
      <c r="D2469" s="98">
        <v>8127</v>
      </c>
      <c r="E2469" s="157">
        <v>42067.099305555559</v>
      </c>
      <c r="F2469" s="157">
        <v>42067.98333333333</v>
      </c>
      <c r="G2469" s="98">
        <v>300</v>
      </c>
      <c r="H2469" s="98">
        <v>330</v>
      </c>
      <c r="I2469" s="98">
        <v>300</v>
      </c>
      <c r="J2469" s="98" t="s">
        <v>2258</v>
      </c>
      <c r="K2469" s="98" t="s">
        <v>2708</v>
      </c>
      <c r="L2469" s="105" t="str">
        <f t="shared" si="410"/>
        <v>Mill Creek</v>
      </c>
      <c r="M2469" s="105" t="str">
        <f t="shared" si="411"/>
        <v>Derate</v>
      </c>
      <c r="N2469" s="105" t="str">
        <f t="shared" si="412"/>
        <v>Coal</v>
      </c>
      <c r="O2469" s="105">
        <f>IFERROR(VLOOKUP(A2469,Lookup!$J$5:$P$19,7,FALSE),0)</f>
        <v>2</v>
      </c>
      <c r="P2469" s="159">
        <f t="shared" si="413"/>
        <v>2015</v>
      </c>
      <c r="Q2469" s="159">
        <f t="shared" si="414"/>
        <v>3</v>
      </c>
      <c r="R2469" s="160">
        <f t="shared" si="415"/>
        <v>21.216666666499805</v>
      </c>
      <c r="S2469" s="158">
        <f t="shared" si="416"/>
        <v>1.9287878787727095</v>
      </c>
      <c r="T2469" s="161">
        <f t="shared" si="417"/>
        <v>578.63636363181286</v>
      </c>
      <c r="U2469" s="158">
        <f t="shared" si="419"/>
        <v>27.272727272727273</v>
      </c>
      <c r="V2469" s="160">
        <f t="shared" si="418"/>
        <v>27</v>
      </c>
    </row>
    <row r="2470" spans="1:22" x14ac:dyDescent="0.25">
      <c r="A2470" s="98" t="s">
        <v>23</v>
      </c>
      <c r="B2470" s="98" t="s">
        <v>17</v>
      </c>
      <c r="C2470" s="98">
        <v>18</v>
      </c>
      <c r="D2470" s="98">
        <v>250</v>
      </c>
      <c r="E2470" s="157">
        <v>42067.98333333333</v>
      </c>
      <c r="F2470" s="157">
        <v>42068.790277777778</v>
      </c>
      <c r="G2470" s="98">
        <v>230</v>
      </c>
      <c r="H2470" s="98">
        <v>330</v>
      </c>
      <c r="I2470" s="98">
        <v>300</v>
      </c>
      <c r="J2470" s="98" t="s">
        <v>1978</v>
      </c>
      <c r="K2470" s="98" t="s">
        <v>91</v>
      </c>
      <c r="L2470" s="105" t="str">
        <f t="shared" si="410"/>
        <v>Mill Creek</v>
      </c>
      <c r="M2470" s="105" t="str">
        <f t="shared" si="411"/>
        <v>Derate</v>
      </c>
      <c r="N2470" s="105" t="str">
        <f t="shared" si="412"/>
        <v>Coal</v>
      </c>
      <c r="O2470" s="105">
        <f>IFERROR(VLOOKUP(A2470,Lookup!$J$5:$P$19,7,FALSE),0)</f>
        <v>2</v>
      </c>
      <c r="P2470" s="159">
        <f t="shared" si="413"/>
        <v>2015</v>
      </c>
      <c r="Q2470" s="159">
        <f t="shared" si="414"/>
        <v>3</v>
      </c>
      <c r="R2470" s="160">
        <f t="shared" si="415"/>
        <v>19.366666666755918</v>
      </c>
      <c r="S2470" s="158">
        <f t="shared" si="416"/>
        <v>5.8686868687139144</v>
      </c>
      <c r="T2470" s="161">
        <f t="shared" si="417"/>
        <v>1760.6060606141743</v>
      </c>
      <c r="U2470" s="158">
        <f t="shared" si="419"/>
        <v>90.909090909090907</v>
      </c>
      <c r="V2470" s="160">
        <f t="shared" si="418"/>
        <v>91</v>
      </c>
    </row>
    <row r="2471" spans="1:22" x14ac:dyDescent="0.25">
      <c r="A2471" s="98" t="s">
        <v>23</v>
      </c>
      <c r="B2471" s="98" t="s">
        <v>17</v>
      </c>
      <c r="C2471" s="98">
        <v>19</v>
      </c>
      <c r="D2471" s="98">
        <v>8127</v>
      </c>
      <c r="E2471" s="157">
        <v>42068.790277777778</v>
      </c>
      <c r="F2471" s="157">
        <v>42069.1875</v>
      </c>
      <c r="G2471" s="98">
        <v>230</v>
      </c>
      <c r="H2471" s="98">
        <v>330</v>
      </c>
      <c r="I2471" s="98">
        <v>300</v>
      </c>
      <c r="J2471" s="98" t="s">
        <v>2258</v>
      </c>
      <c r="K2471" s="98" t="s">
        <v>2706</v>
      </c>
      <c r="L2471" s="105" t="str">
        <f t="shared" si="410"/>
        <v>Mill Creek</v>
      </c>
      <c r="M2471" s="105" t="str">
        <f t="shared" si="411"/>
        <v>Derate</v>
      </c>
      <c r="N2471" s="105" t="str">
        <f t="shared" si="412"/>
        <v>Coal</v>
      </c>
      <c r="O2471" s="105">
        <f>IFERROR(VLOOKUP(A2471,Lookup!$J$5:$P$19,7,FALSE),0)</f>
        <v>2</v>
      </c>
      <c r="P2471" s="159">
        <f t="shared" si="413"/>
        <v>2015</v>
      </c>
      <c r="Q2471" s="159">
        <f t="shared" si="414"/>
        <v>3</v>
      </c>
      <c r="R2471" s="160">
        <f t="shared" si="415"/>
        <v>9.5333333333255723</v>
      </c>
      <c r="S2471" s="158">
        <f t="shared" si="416"/>
        <v>2.8888888888865369</v>
      </c>
      <c r="T2471" s="161">
        <f t="shared" si="417"/>
        <v>866.66666666596109</v>
      </c>
      <c r="U2471" s="158">
        <f t="shared" si="419"/>
        <v>90.909090909090907</v>
      </c>
      <c r="V2471" s="160">
        <f t="shared" si="418"/>
        <v>91</v>
      </c>
    </row>
    <row r="2472" spans="1:22" x14ac:dyDescent="0.25">
      <c r="A2472" s="98" t="s">
        <v>23</v>
      </c>
      <c r="B2472" s="98" t="s">
        <v>17</v>
      </c>
      <c r="C2472" s="98">
        <v>20</v>
      </c>
      <c r="D2472" s="98">
        <v>250</v>
      </c>
      <c r="E2472" s="157">
        <v>42069.1875</v>
      </c>
      <c r="F2472" s="157">
        <v>42070.338888888888</v>
      </c>
      <c r="G2472" s="98">
        <v>237</v>
      </c>
      <c r="H2472" s="98">
        <v>330</v>
      </c>
      <c r="I2472" s="98">
        <v>300</v>
      </c>
      <c r="J2472" s="98" t="s">
        <v>1978</v>
      </c>
      <c r="K2472" s="98" t="s">
        <v>91</v>
      </c>
      <c r="L2472" s="105" t="str">
        <f t="shared" ref="L2472:L2534" si="420">IF(OR(A2472="BR1",A2472="BR2",A2472="BR3",A2472="BR5",A2472="BR6",A2472="BR7",A2472="BR8",A2472="BR9",A2472="BR10",A2472="BR11"),"Brown",IF(OR(A2472="CR4",A2472="CR5",A2472="CR6",A2472="CR11"),"Cane Run",IF(OR(A2472="GH1",A2472="GH2",A2472="GH3",A2472="GH4"),"Ghent",IF(OR(A2472="GR3",A2472="GR4"),"Green River",IF(OR(A2472="MC1",A2472="MC2",A2472="MC3",A2472="MC4"),"Mill Creek",IF(OR(A2472="TC1",A2472="TC2",A2472="TC5",A2472="TC6",A2472="TC7",A2472="TC8",A2472="TC9",A2472="TC10"),"Trimble",IF(A2472="TY3","Tyrone",IF(OR(A2472="HA1",A2472="HA2",A2472="HA3"),"Haeflin",IF(OR(A2472="PR11",A2472="PR12",A2472="PR13"),"Paddy's Run","Zorn")))))))))</f>
        <v>Mill Creek</v>
      </c>
      <c r="M2472" s="105" t="str">
        <f t="shared" ref="M2472:M2534" si="421">IF(OR(B2472="D1",B2472="D2",B2472="D3",B2472="D4",B2472="PD"),"Derate",IF(OR(B2472="SF",B2472="U1",B2472="U2",B2472="U3"),"Outage",IF(OR(B2472="ME",B2472="MO"),"Maintenance","Other")))</f>
        <v>Derate</v>
      </c>
      <c r="N2472" s="105" t="str">
        <f t="shared" ref="N2472:N2534" si="422">IF(OR(A2472="BR1",A2472="BR2",A2472="BR3",A2472="CR4",A2472="CR5",A2472="CR6",A2472="GH1",A2472="GH2",A2472="GH3",A2472="GH4",A2472="GR3",A2472="GR4",A2472="MC1",A2472="MC2",A2472="MC3",A2472="MC4",A2472="TC1",A2472="TC2",A2472="TY3"),"Coal","Gas")</f>
        <v>Coal</v>
      </c>
      <c r="O2472" s="105">
        <f>IFERROR(VLOOKUP(A2472,Lookup!$J$5:$P$19,7,FALSE),0)</f>
        <v>2</v>
      </c>
      <c r="P2472" s="159">
        <f t="shared" ref="P2472:P2534" si="423">YEAR(E2472)</f>
        <v>2015</v>
      </c>
      <c r="Q2472" s="159">
        <f t="shared" ref="Q2472:Q2534" si="424">MONTH(E2472)</f>
        <v>3</v>
      </c>
      <c r="R2472" s="160">
        <f t="shared" ref="R2472:R2534" si="425">(F2472-E2472)*24</f>
        <v>27.633333333302289</v>
      </c>
      <c r="S2472" s="158">
        <f t="shared" ref="S2472:S2534" si="426">R2472*(H2472-G2472)/H2472</f>
        <v>7.7875757575670086</v>
      </c>
      <c r="T2472" s="161">
        <f t="shared" ref="T2472:T2534" si="427">S2472*I2472</f>
        <v>2336.2727272701027</v>
      </c>
      <c r="U2472" s="158">
        <f t="shared" si="419"/>
        <v>84.545454545454547</v>
      </c>
      <c r="V2472" s="160">
        <f t="shared" ref="V2472:V2534" si="428">ROUND(U2472,0)</f>
        <v>85</v>
      </c>
    </row>
    <row r="2473" spans="1:22" x14ac:dyDescent="0.25">
      <c r="A2473" s="98" t="s">
        <v>23</v>
      </c>
      <c r="B2473" s="98" t="s">
        <v>17</v>
      </c>
      <c r="C2473" s="98">
        <v>21</v>
      </c>
      <c r="D2473" s="98">
        <v>8127</v>
      </c>
      <c r="E2473" s="157">
        <v>42070.338888888888</v>
      </c>
      <c r="F2473" s="157">
        <v>42070.611805555556</v>
      </c>
      <c r="G2473" s="98">
        <v>260</v>
      </c>
      <c r="H2473" s="98">
        <v>330</v>
      </c>
      <c r="I2473" s="98">
        <v>300</v>
      </c>
      <c r="J2473" s="98" t="s">
        <v>2258</v>
      </c>
      <c r="K2473" s="98" t="s">
        <v>2706</v>
      </c>
      <c r="L2473" s="105" t="str">
        <f t="shared" si="420"/>
        <v>Mill Creek</v>
      </c>
      <c r="M2473" s="105" t="str">
        <f t="shared" si="421"/>
        <v>Derate</v>
      </c>
      <c r="N2473" s="105" t="str">
        <f t="shared" si="422"/>
        <v>Coal</v>
      </c>
      <c r="O2473" s="105">
        <f>IFERROR(VLOOKUP(A2473,Lookup!$J$5:$P$19,7,FALSE),0)</f>
        <v>2</v>
      </c>
      <c r="P2473" s="159">
        <f t="shared" si="423"/>
        <v>2015</v>
      </c>
      <c r="Q2473" s="159">
        <f t="shared" si="424"/>
        <v>3</v>
      </c>
      <c r="R2473" s="160">
        <f t="shared" si="425"/>
        <v>6.5500000000465661</v>
      </c>
      <c r="S2473" s="158">
        <f t="shared" si="426"/>
        <v>1.3893939394038171</v>
      </c>
      <c r="T2473" s="161">
        <f t="shared" si="427"/>
        <v>416.81818182114512</v>
      </c>
      <c r="U2473" s="158">
        <f t="shared" ref="U2473:U2535" si="429">IF(G2473&gt;0,MAX((H2473-G2473),0)*I2473/H2473,I2473)</f>
        <v>63.636363636363633</v>
      </c>
      <c r="V2473" s="160">
        <f t="shared" si="428"/>
        <v>64</v>
      </c>
    </row>
    <row r="2474" spans="1:22" x14ac:dyDescent="0.25">
      <c r="A2474" s="98" t="s">
        <v>23</v>
      </c>
      <c r="B2474" s="98" t="s">
        <v>17</v>
      </c>
      <c r="C2474" s="98">
        <v>22</v>
      </c>
      <c r="D2474" s="98">
        <v>250</v>
      </c>
      <c r="E2474" s="157">
        <v>42075.697916666664</v>
      </c>
      <c r="F2474" s="157">
        <v>42075.715277777781</v>
      </c>
      <c r="G2474" s="98">
        <v>230</v>
      </c>
      <c r="H2474" s="98">
        <v>330</v>
      </c>
      <c r="I2474" s="98">
        <v>300</v>
      </c>
      <c r="J2474" s="98" t="s">
        <v>1978</v>
      </c>
      <c r="K2474" s="98" t="s">
        <v>2709</v>
      </c>
      <c r="L2474" s="105" t="str">
        <f t="shared" si="420"/>
        <v>Mill Creek</v>
      </c>
      <c r="M2474" s="105" t="str">
        <f t="shared" si="421"/>
        <v>Derate</v>
      </c>
      <c r="N2474" s="105" t="str">
        <f t="shared" si="422"/>
        <v>Coal</v>
      </c>
      <c r="O2474" s="105">
        <f>IFERROR(VLOOKUP(A2474,Lookup!$J$5:$P$19,7,FALSE),0)</f>
        <v>2</v>
      </c>
      <c r="P2474" s="159">
        <f t="shared" si="423"/>
        <v>2015</v>
      </c>
      <c r="Q2474" s="159">
        <f t="shared" si="424"/>
        <v>3</v>
      </c>
      <c r="R2474" s="160">
        <f t="shared" si="425"/>
        <v>0.41666666680248454</v>
      </c>
      <c r="S2474" s="158">
        <f t="shared" si="426"/>
        <v>0.12626262630378318</v>
      </c>
      <c r="T2474" s="161">
        <f t="shared" si="427"/>
        <v>37.878787891134955</v>
      </c>
      <c r="U2474" s="158">
        <f t="shared" si="429"/>
        <v>90.909090909090907</v>
      </c>
      <c r="V2474" s="160">
        <f t="shared" si="428"/>
        <v>91</v>
      </c>
    </row>
    <row r="2475" spans="1:22" x14ac:dyDescent="0.25">
      <c r="A2475" s="98" t="s">
        <v>23</v>
      </c>
      <c r="B2475" s="98" t="s">
        <v>17</v>
      </c>
      <c r="C2475" s="98">
        <v>23</v>
      </c>
      <c r="D2475" s="98">
        <v>250</v>
      </c>
      <c r="E2475" s="157">
        <v>42075.715277777781</v>
      </c>
      <c r="F2475" s="157">
        <v>42075.958333333336</v>
      </c>
      <c r="G2475" s="98">
        <v>100</v>
      </c>
      <c r="H2475" s="98">
        <v>330</v>
      </c>
      <c r="I2475" s="98">
        <v>300</v>
      </c>
      <c r="J2475" s="98" t="s">
        <v>1978</v>
      </c>
      <c r="K2475" s="98" t="s">
        <v>2710</v>
      </c>
      <c r="L2475" s="105" t="str">
        <f t="shared" si="420"/>
        <v>Mill Creek</v>
      </c>
      <c r="M2475" s="105" t="str">
        <f t="shared" si="421"/>
        <v>Derate</v>
      </c>
      <c r="N2475" s="105" t="str">
        <f t="shared" si="422"/>
        <v>Coal</v>
      </c>
      <c r="O2475" s="105">
        <f>IFERROR(VLOOKUP(A2475,Lookup!$J$5:$P$19,7,FALSE),0)</f>
        <v>2</v>
      </c>
      <c r="P2475" s="159">
        <f t="shared" si="423"/>
        <v>2015</v>
      </c>
      <c r="Q2475" s="159">
        <f t="shared" si="424"/>
        <v>3</v>
      </c>
      <c r="R2475" s="160">
        <f t="shared" si="425"/>
        <v>5.8333333333139308</v>
      </c>
      <c r="S2475" s="158">
        <f t="shared" si="426"/>
        <v>4.0656565656430423</v>
      </c>
      <c r="T2475" s="161">
        <f t="shared" si="427"/>
        <v>1219.6969696929127</v>
      </c>
      <c r="U2475" s="158">
        <f t="shared" si="429"/>
        <v>209.09090909090909</v>
      </c>
      <c r="V2475" s="160">
        <f t="shared" si="428"/>
        <v>209</v>
      </c>
    </row>
    <row r="2476" spans="1:22" x14ac:dyDescent="0.25">
      <c r="A2476" s="98" t="s">
        <v>23</v>
      </c>
      <c r="B2476" s="98" t="s">
        <v>17</v>
      </c>
      <c r="C2476" s="98">
        <v>24</v>
      </c>
      <c r="D2476" s="98">
        <v>8125</v>
      </c>
      <c r="E2476" s="157">
        <v>42077.619444444441</v>
      </c>
      <c r="F2476" s="157">
        <v>42077.819444444445</v>
      </c>
      <c r="G2476" s="98">
        <v>270</v>
      </c>
      <c r="H2476" s="98">
        <v>330</v>
      </c>
      <c r="I2476" s="98">
        <v>300</v>
      </c>
      <c r="J2476" s="98" t="s">
        <v>2267</v>
      </c>
      <c r="K2476" s="98" t="s">
        <v>2711</v>
      </c>
      <c r="L2476" s="105" t="str">
        <f t="shared" si="420"/>
        <v>Mill Creek</v>
      </c>
      <c r="M2476" s="105" t="str">
        <f t="shared" si="421"/>
        <v>Derate</v>
      </c>
      <c r="N2476" s="105" t="str">
        <f t="shared" si="422"/>
        <v>Coal</v>
      </c>
      <c r="O2476" s="105">
        <f>IFERROR(VLOOKUP(A2476,Lookup!$J$5:$P$19,7,FALSE),0)</f>
        <v>2</v>
      </c>
      <c r="P2476" s="159">
        <f t="shared" si="423"/>
        <v>2015</v>
      </c>
      <c r="Q2476" s="159">
        <f t="shared" si="424"/>
        <v>3</v>
      </c>
      <c r="R2476" s="160">
        <f t="shared" si="425"/>
        <v>4.8000000001047738</v>
      </c>
      <c r="S2476" s="158">
        <f t="shared" si="426"/>
        <v>0.87272727274632256</v>
      </c>
      <c r="T2476" s="161">
        <f t="shared" si="427"/>
        <v>261.81818182389679</v>
      </c>
      <c r="U2476" s="158">
        <f t="shared" si="429"/>
        <v>54.545454545454547</v>
      </c>
      <c r="V2476" s="160">
        <f t="shared" si="428"/>
        <v>55</v>
      </c>
    </row>
    <row r="2477" spans="1:22" x14ac:dyDescent="0.25">
      <c r="A2477" s="98" t="s">
        <v>23</v>
      </c>
      <c r="B2477" s="98" t="s">
        <v>17</v>
      </c>
      <c r="C2477" s="98">
        <v>25</v>
      </c>
      <c r="D2477" s="98">
        <v>250</v>
      </c>
      <c r="E2477" s="157">
        <v>42077.947916666664</v>
      </c>
      <c r="F2477" s="157">
        <v>42078.01458333333</v>
      </c>
      <c r="G2477" s="98">
        <v>250</v>
      </c>
      <c r="H2477" s="98">
        <v>330</v>
      </c>
      <c r="I2477" s="98">
        <v>300</v>
      </c>
      <c r="J2477" s="98" t="s">
        <v>1978</v>
      </c>
      <c r="K2477" s="98" t="s">
        <v>2712</v>
      </c>
      <c r="L2477" s="105" t="str">
        <f t="shared" si="420"/>
        <v>Mill Creek</v>
      </c>
      <c r="M2477" s="105" t="str">
        <f t="shared" si="421"/>
        <v>Derate</v>
      </c>
      <c r="N2477" s="105" t="str">
        <f t="shared" si="422"/>
        <v>Coal</v>
      </c>
      <c r="O2477" s="105">
        <f>IFERROR(VLOOKUP(A2477,Lookup!$J$5:$P$19,7,FALSE),0)</f>
        <v>2</v>
      </c>
      <c r="P2477" s="159">
        <f t="shared" si="423"/>
        <v>2015</v>
      </c>
      <c r="Q2477" s="159">
        <f t="shared" si="424"/>
        <v>3</v>
      </c>
      <c r="R2477" s="160">
        <f t="shared" si="425"/>
        <v>1.5999999999767169</v>
      </c>
      <c r="S2477" s="158">
        <f t="shared" si="426"/>
        <v>0.3878787878731435</v>
      </c>
      <c r="T2477" s="161">
        <f t="shared" si="427"/>
        <v>116.36363636194305</v>
      </c>
      <c r="U2477" s="158">
        <f t="shared" si="429"/>
        <v>72.727272727272734</v>
      </c>
      <c r="V2477" s="160">
        <f t="shared" si="428"/>
        <v>73</v>
      </c>
    </row>
    <row r="2478" spans="1:22" x14ac:dyDescent="0.25">
      <c r="A2478" s="98" t="s">
        <v>23</v>
      </c>
      <c r="B2478" s="98" t="s">
        <v>17</v>
      </c>
      <c r="C2478" s="98">
        <v>26</v>
      </c>
      <c r="D2478" s="98">
        <v>8125</v>
      </c>
      <c r="E2478" s="157">
        <v>42078.121527777781</v>
      </c>
      <c r="F2478" s="157">
        <v>42078.611111111109</v>
      </c>
      <c r="G2478" s="98">
        <v>270</v>
      </c>
      <c r="H2478" s="98">
        <v>330</v>
      </c>
      <c r="I2478" s="98">
        <v>300</v>
      </c>
      <c r="J2478" s="98" t="s">
        <v>2267</v>
      </c>
      <c r="K2478" s="98" t="s">
        <v>2713</v>
      </c>
      <c r="L2478" s="105" t="str">
        <f t="shared" si="420"/>
        <v>Mill Creek</v>
      </c>
      <c r="M2478" s="105" t="str">
        <f t="shared" si="421"/>
        <v>Derate</v>
      </c>
      <c r="N2478" s="105" t="str">
        <f t="shared" si="422"/>
        <v>Coal</v>
      </c>
      <c r="O2478" s="105">
        <f>IFERROR(VLOOKUP(A2478,Lookup!$J$5:$P$19,7,FALSE),0)</f>
        <v>2</v>
      </c>
      <c r="P2478" s="159">
        <f t="shared" si="423"/>
        <v>2015</v>
      </c>
      <c r="Q2478" s="159">
        <f t="shared" si="424"/>
        <v>3</v>
      </c>
      <c r="R2478" s="160">
        <f t="shared" si="425"/>
        <v>11.749999999883585</v>
      </c>
      <c r="S2478" s="158">
        <f t="shared" si="426"/>
        <v>2.1363636363424701</v>
      </c>
      <c r="T2478" s="161">
        <f t="shared" si="427"/>
        <v>640.90909090274101</v>
      </c>
      <c r="U2478" s="158">
        <f t="shared" si="429"/>
        <v>54.545454545454547</v>
      </c>
      <c r="V2478" s="160">
        <f t="shared" si="428"/>
        <v>55</v>
      </c>
    </row>
    <row r="2479" spans="1:22" x14ac:dyDescent="0.25">
      <c r="A2479" s="98" t="s">
        <v>23</v>
      </c>
      <c r="B2479" s="98" t="s">
        <v>17</v>
      </c>
      <c r="C2479" s="98">
        <v>27</v>
      </c>
      <c r="D2479" s="98">
        <v>8125</v>
      </c>
      <c r="E2479" s="157">
        <v>42079.159722222219</v>
      </c>
      <c r="F2479" s="157">
        <v>42086.427777777775</v>
      </c>
      <c r="G2479" s="98">
        <v>270</v>
      </c>
      <c r="H2479" s="98">
        <v>330</v>
      </c>
      <c r="I2479" s="98">
        <v>300</v>
      </c>
      <c r="J2479" s="98" t="s">
        <v>2267</v>
      </c>
      <c r="K2479" s="98" t="s">
        <v>2714</v>
      </c>
      <c r="L2479" s="105" t="str">
        <f t="shared" si="420"/>
        <v>Mill Creek</v>
      </c>
      <c r="M2479" s="105" t="str">
        <f t="shared" si="421"/>
        <v>Derate</v>
      </c>
      <c r="N2479" s="105" t="str">
        <f t="shared" si="422"/>
        <v>Coal</v>
      </c>
      <c r="O2479" s="105">
        <f>IFERROR(VLOOKUP(A2479,Lookup!$J$5:$P$19,7,FALSE),0)</f>
        <v>2</v>
      </c>
      <c r="P2479" s="159">
        <f t="shared" si="423"/>
        <v>2015</v>
      </c>
      <c r="Q2479" s="159">
        <f t="shared" si="424"/>
        <v>3</v>
      </c>
      <c r="R2479" s="160">
        <f t="shared" si="425"/>
        <v>174.43333333334886</v>
      </c>
      <c r="S2479" s="158">
        <f t="shared" si="426"/>
        <v>31.715151515154336</v>
      </c>
      <c r="T2479" s="161">
        <f t="shared" si="427"/>
        <v>9514.5454545462999</v>
      </c>
      <c r="U2479" s="158">
        <f t="shared" si="429"/>
        <v>54.545454545454547</v>
      </c>
      <c r="V2479" s="160">
        <f t="shared" si="428"/>
        <v>55</v>
      </c>
    </row>
    <row r="2480" spans="1:22" x14ac:dyDescent="0.25">
      <c r="A2480" s="98" t="s">
        <v>23</v>
      </c>
      <c r="B2480" s="98" t="s">
        <v>38</v>
      </c>
      <c r="C2480" s="98">
        <v>28</v>
      </c>
      <c r="D2480" s="98">
        <v>8440</v>
      </c>
      <c r="E2480" s="157">
        <v>42086.427777777775</v>
      </c>
      <c r="F2480" s="157">
        <v>42142</v>
      </c>
      <c r="G2480" s="98">
        <v>0</v>
      </c>
      <c r="H2480" s="98">
        <v>330</v>
      </c>
      <c r="I2480" s="98">
        <v>300</v>
      </c>
      <c r="J2480" s="98" t="s">
        <v>2715</v>
      </c>
      <c r="K2480" s="98" t="s">
        <v>243</v>
      </c>
      <c r="L2480" s="105" t="str">
        <f t="shared" si="420"/>
        <v>Mill Creek</v>
      </c>
      <c r="M2480" s="105" t="str">
        <f t="shared" si="421"/>
        <v>Other</v>
      </c>
      <c r="N2480" s="105" t="str">
        <f t="shared" si="422"/>
        <v>Coal</v>
      </c>
      <c r="O2480" s="105">
        <f>IFERROR(VLOOKUP(A2480,Lookup!$J$5:$P$19,7,FALSE),0)</f>
        <v>2</v>
      </c>
      <c r="P2480" s="159">
        <f t="shared" si="423"/>
        <v>2015</v>
      </c>
      <c r="Q2480" s="159">
        <f t="shared" si="424"/>
        <v>3</v>
      </c>
      <c r="R2480" s="160">
        <f t="shared" si="425"/>
        <v>1333.7333333333954</v>
      </c>
      <c r="S2480" s="158">
        <f t="shared" si="426"/>
        <v>1333.7333333333954</v>
      </c>
      <c r="T2480" s="161">
        <f t="shared" si="427"/>
        <v>400120.00000001863</v>
      </c>
      <c r="U2480" s="158">
        <f t="shared" si="429"/>
        <v>300</v>
      </c>
      <c r="V2480" s="160">
        <f t="shared" si="428"/>
        <v>300</v>
      </c>
    </row>
    <row r="2481" spans="1:22" x14ac:dyDescent="0.25">
      <c r="A2481" s="98" t="s">
        <v>23</v>
      </c>
      <c r="B2481" s="98" t="s">
        <v>15</v>
      </c>
      <c r="C2481" s="98">
        <v>29</v>
      </c>
      <c r="D2481" s="98">
        <v>1488</v>
      </c>
      <c r="E2481" s="157">
        <v>42142</v>
      </c>
      <c r="F2481" s="157">
        <v>42147.315972222219</v>
      </c>
      <c r="G2481" s="98">
        <v>0</v>
      </c>
      <c r="H2481" s="98">
        <v>330</v>
      </c>
      <c r="I2481" s="98">
        <v>300</v>
      </c>
      <c r="J2481" s="98" t="s">
        <v>2284</v>
      </c>
      <c r="K2481" s="98" t="s">
        <v>2716</v>
      </c>
      <c r="L2481" s="105" t="str">
        <f t="shared" si="420"/>
        <v>Mill Creek</v>
      </c>
      <c r="M2481" s="105" t="str">
        <f t="shared" si="421"/>
        <v>Outage</v>
      </c>
      <c r="N2481" s="105" t="str">
        <f t="shared" si="422"/>
        <v>Coal</v>
      </c>
      <c r="O2481" s="105">
        <f>IFERROR(VLOOKUP(A2481,Lookup!$J$5:$P$19,7,FALSE),0)</f>
        <v>2</v>
      </c>
      <c r="P2481" s="159">
        <f t="shared" si="423"/>
        <v>2015</v>
      </c>
      <c r="Q2481" s="159">
        <f t="shared" si="424"/>
        <v>5</v>
      </c>
      <c r="R2481" s="160">
        <f t="shared" si="425"/>
        <v>127.58333333325572</v>
      </c>
      <c r="S2481" s="158">
        <f t="shared" si="426"/>
        <v>127.58333333325572</v>
      </c>
      <c r="T2481" s="161">
        <f t="shared" si="427"/>
        <v>38274.999999976717</v>
      </c>
      <c r="U2481" s="158">
        <f t="shared" si="429"/>
        <v>300</v>
      </c>
      <c r="V2481" s="160">
        <f t="shared" si="428"/>
        <v>300</v>
      </c>
    </row>
    <row r="2482" spans="1:22" x14ac:dyDescent="0.25">
      <c r="A2482" s="98" t="s">
        <v>23</v>
      </c>
      <c r="B2482" s="98" t="s">
        <v>79</v>
      </c>
      <c r="C2482" s="98">
        <v>30</v>
      </c>
      <c r="D2482" s="98">
        <v>1850</v>
      </c>
      <c r="E2482" s="157">
        <v>42147.315972222219</v>
      </c>
      <c r="F2482" s="157">
        <v>42148.688194444447</v>
      </c>
      <c r="G2482" s="98">
        <v>0</v>
      </c>
      <c r="H2482" s="98">
        <v>330</v>
      </c>
      <c r="I2482" s="98">
        <v>300</v>
      </c>
      <c r="J2482" s="98" t="s">
        <v>2263</v>
      </c>
      <c r="K2482" s="98" t="s">
        <v>2717</v>
      </c>
      <c r="L2482" s="105" t="str">
        <f t="shared" si="420"/>
        <v>Mill Creek</v>
      </c>
      <c r="M2482" s="105" t="str">
        <f t="shared" si="421"/>
        <v>Other</v>
      </c>
      <c r="N2482" s="105" t="str">
        <f t="shared" si="422"/>
        <v>Coal</v>
      </c>
      <c r="O2482" s="105">
        <f>IFERROR(VLOOKUP(A2482,Lookup!$J$5:$P$19,7,FALSE),0)</f>
        <v>2</v>
      </c>
      <c r="P2482" s="159">
        <f t="shared" si="423"/>
        <v>2015</v>
      </c>
      <c r="Q2482" s="159">
        <f t="shared" si="424"/>
        <v>5</v>
      </c>
      <c r="R2482" s="160">
        <f t="shared" si="425"/>
        <v>32.933333333465271</v>
      </c>
      <c r="S2482" s="158">
        <f t="shared" si="426"/>
        <v>32.933333333465271</v>
      </c>
      <c r="T2482" s="161">
        <f t="shared" si="427"/>
        <v>9880.0000000395812</v>
      </c>
      <c r="U2482" s="158">
        <f t="shared" si="429"/>
        <v>300</v>
      </c>
      <c r="V2482" s="160">
        <f t="shared" si="428"/>
        <v>300</v>
      </c>
    </row>
    <row r="2483" spans="1:22" x14ac:dyDescent="0.25">
      <c r="A2483" s="98" t="s">
        <v>23</v>
      </c>
      <c r="B2483" s="98" t="s">
        <v>15</v>
      </c>
      <c r="C2483" s="98">
        <v>31</v>
      </c>
      <c r="D2483" s="98">
        <v>4630</v>
      </c>
      <c r="E2483" s="157">
        <v>42148.688194444447</v>
      </c>
      <c r="F2483" s="157">
        <v>42148.979861111111</v>
      </c>
      <c r="G2483" s="98">
        <v>0</v>
      </c>
      <c r="H2483" s="98">
        <v>330</v>
      </c>
      <c r="I2483" s="98">
        <v>300</v>
      </c>
      <c r="J2483" s="98" t="s">
        <v>2654</v>
      </c>
      <c r="K2483" s="98" t="s">
        <v>2718</v>
      </c>
      <c r="L2483" s="105" t="str">
        <f t="shared" si="420"/>
        <v>Mill Creek</v>
      </c>
      <c r="M2483" s="105" t="str">
        <f t="shared" si="421"/>
        <v>Outage</v>
      </c>
      <c r="N2483" s="105" t="str">
        <f t="shared" si="422"/>
        <v>Coal</v>
      </c>
      <c r="O2483" s="105">
        <f>IFERROR(VLOOKUP(A2483,Lookup!$J$5:$P$19,7,FALSE),0)</f>
        <v>2</v>
      </c>
      <c r="P2483" s="159">
        <f t="shared" si="423"/>
        <v>2015</v>
      </c>
      <c r="Q2483" s="159">
        <f t="shared" si="424"/>
        <v>5</v>
      </c>
      <c r="R2483" s="160">
        <f t="shared" si="425"/>
        <v>6.9999999999417923</v>
      </c>
      <c r="S2483" s="158">
        <f t="shared" si="426"/>
        <v>6.9999999999417923</v>
      </c>
      <c r="T2483" s="161">
        <f t="shared" si="427"/>
        <v>2099.9999999825377</v>
      </c>
      <c r="U2483" s="158">
        <f t="shared" si="429"/>
        <v>300</v>
      </c>
      <c r="V2483" s="160">
        <f t="shared" si="428"/>
        <v>300</v>
      </c>
    </row>
    <row r="2484" spans="1:22" x14ac:dyDescent="0.25">
      <c r="A2484" s="98" t="s">
        <v>23</v>
      </c>
      <c r="B2484" s="98" t="s">
        <v>79</v>
      </c>
      <c r="C2484" s="98">
        <v>32</v>
      </c>
      <c r="D2484" s="98">
        <v>1850</v>
      </c>
      <c r="E2484" s="162">
        <v>42148.979861111111</v>
      </c>
      <c r="F2484" s="157">
        <v>42150.333333333336</v>
      </c>
      <c r="G2484" s="98">
        <v>0</v>
      </c>
      <c r="H2484" s="98">
        <v>330</v>
      </c>
      <c r="I2484" s="98">
        <v>300</v>
      </c>
      <c r="J2484" s="98" t="s">
        <v>2263</v>
      </c>
      <c r="K2484" s="98" t="s">
        <v>2719</v>
      </c>
      <c r="L2484" s="105" t="str">
        <f t="shared" si="420"/>
        <v>Mill Creek</v>
      </c>
      <c r="M2484" s="105" t="str">
        <f t="shared" si="421"/>
        <v>Other</v>
      </c>
      <c r="N2484" s="105" t="str">
        <f t="shared" si="422"/>
        <v>Coal</v>
      </c>
      <c r="O2484" s="105">
        <f>IFERROR(VLOOKUP(A2484,Lookup!$J$5:$P$19,7,FALSE),0)</f>
        <v>2</v>
      </c>
      <c r="P2484" s="159">
        <f t="shared" si="423"/>
        <v>2015</v>
      </c>
      <c r="Q2484" s="159">
        <f t="shared" si="424"/>
        <v>5</v>
      </c>
      <c r="R2484" s="160">
        <f t="shared" si="425"/>
        <v>32.483333333395422</v>
      </c>
      <c r="S2484" s="158">
        <f t="shared" si="426"/>
        <v>32.483333333395422</v>
      </c>
      <c r="T2484" s="161">
        <f t="shared" si="427"/>
        <v>9745.0000000186265</v>
      </c>
      <c r="U2484" s="158">
        <f t="shared" si="429"/>
        <v>300</v>
      </c>
      <c r="V2484" s="160">
        <f t="shared" si="428"/>
        <v>300</v>
      </c>
    </row>
    <row r="2485" spans="1:22" x14ac:dyDescent="0.25">
      <c r="A2485" s="98" t="s">
        <v>23</v>
      </c>
      <c r="B2485" s="98" t="s">
        <v>79</v>
      </c>
      <c r="C2485" s="98">
        <v>33</v>
      </c>
      <c r="D2485" s="98">
        <v>8650</v>
      </c>
      <c r="E2485" s="157">
        <v>42150.333333333336</v>
      </c>
      <c r="F2485" s="157">
        <v>42150.843055555553</v>
      </c>
      <c r="G2485" s="98">
        <v>0</v>
      </c>
      <c r="H2485" s="98">
        <v>330</v>
      </c>
      <c r="I2485" s="98">
        <v>300</v>
      </c>
      <c r="J2485" s="98" t="s">
        <v>2668</v>
      </c>
      <c r="K2485" s="98" t="s">
        <v>2720</v>
      </c>
      <c r="L2485" s="105" t="str">
        <f t="shared" si="420"/>
        <v>Mill Creek</v>
      </c>
      <c r="M2485" s="105" t="str">
        <f t="shared" si="421"/>
        <v>Other</v>
      </c>
      <c r="N2485" s="105" t="str">
        <f t="shared" si="422"/>
        <v>Coal</v>
      </c>
      <c r="O2485" s="105">
        <f>IFERROR(VLOOKUP(A2485,Lookup!$J$5:$P$19,7,FALSE),0)</f>
        <v>2</v>
      </c>
      <c r="P2485" s="159">
        <f t="shared" si="423"/>
        <v>2015</v>
      </c>
      <c r="Q2485" s="159">
        <f t="shared" si="424"/>
        <v>5</v>
      </c>
      <c r="R2485" s="160">
        <f t="shared" si="425"/>
        <v>12.233333333220799</v>
      </c>
      <c r="S2485" s="158">
        <f t="shared" si="426"/>
        <v>12.233333333220799</v>
      </c>
      <c r="T2485" s="161">
        <f t="shared" si="427"/>
        <v>3669.9999999662396</v>
      </c>
      <c r="U2485" s="158">
        <f t="shared" si="429"/>
        <v>300</v>
      </c>
      <c r="V2485" s="160">
        <f t="shared" si="428"/>
        <v>300</v>
      </c>
    </row>
    <row r="2486" spans="1:22" x14ac:dyDescent="0.25">
      <c r="A2486" s="98" t="s">
        <v>23</v>
      </c>
      <c r="B2486" s="98" t="s">
        <v>15</v>
      </c>
      <c r="C2486" s="98">
        <v>34</v>
      </c>
      <c r="D2486" s="98">
        <v>4630</v>
      </c>
      <c r="E2486" s="157">
        <v>42150.890277777777</v>
      </c>
      <c r="F2486" s="157">
        <v>42151.211111111108</v>
      </c>
      <c r="G2486" s="98">
        <v>0</v>
      </c>
      <c r="H2486" s="98">
        <v>330</v>
      </c>
      <c r="I2486" s="98">
        <v>300</v>
      </c>
      <c r="J2486" s="98" t="s">
        <v>2654</v>
      </c>
      <c r="K2486" s="98" t="s">
        <v>2721</v>
      </c>
      <c r="L2486" s="105" t="str">
        <f t="shared" si="420"/>
        <v>Mill Creek</v>
      </c>
      <c r="M2486" s="105" t="str">
        <f t="shared" si="421"/>
        <v>Outage</v>
      </c>
      <c r="N2486" s="105" t="str">
        <f t="shared" si="422"/>
        <v>Coal</v>
      </c>
      <c r="O2486" s="105">
        <f>IFERROR(VLOOKUP(A2486,Lookup!$J$5:$P$19,7,FALSE),0)</f>
        <v>2</v>
      </c>
      <c r="P2486" s="159">
        <f t="shared" si="423"/>
        <v>2015</v>
      </c>
      <c r="Q2486" s="159">
        <f t="shared" si="424"/>
        <v>5</v>
      </c>
      <c r="R2486" s="160">
        <f t="shared" si="425"/>
        <v>7.6999999999534339</v>
      </c>
      <c r="S2486" s="158">
        <f t="shared" si="426"/>
        <v>7.6999999999534339</v>
      </c>
      <c r="T2486" s="161">
        <f t="shared" si="427"/>
        <v>2309.9999999860302</v>
      </c>
      <c r="U2486" s="158">
        <f t="shared" si="429"/>
        <v>300</v>
      </c>
      <c r="V2486" s="160">
        <f t="shared" si="428"/>
        <v>300</v>
      </c>
    </row>
    <row r="2487" spans="1:22" x14ac:dyDescent="0.25">
      <c r="A2487" s="98" t="s">
        <v>23</v>
      </c>
      <c r="B2487" s="98" t="s">
        <v>79</v>
      </c>
      <c r="C2487" s="98">
        <v>35</v>
      </c>
      <c r="D2487" s="98">
        <v>1850</v>
      </c>
      <c r="E2487" s="157">
        <v>42151.211111111108</v>
      </c>
      <c r="F2487" s="157">
        <v>42151.473611111112</v>
      </c>
      <c r="G2487" s="98">
        <v>0</v>
      </c>
      <c r="H2487" s="98">
        <v>330</v>
      </c>
      <c r="I2487" s="98">
        <v>300</v>
      </c>
      <c r="J2487" s="98" t="s">
        <v>2263</v>
      </c>
      <c r="K2487" s="98" t="s">
        <v>2722</v>
      </c>
      <c r="L2487" s="105" t="str">
        <f t="shared" si="420"/>
        <v>Mill Creek</v>
      </c>
      <c r="M2487" s="105" t="str">
        <f t="shared" si="421"/>
        <v>Other</v>
      </c>
      <c r="N2487" s="105" t="str">
        <f t="shared" si="422"/>
        <v>Coal</v>
      </c>
      <c r="O2487" s="105">
        <f>IFERROR(VLOOKUP(A2487,Lookup!$J$5:$P$19,7,FALSE),0)</f>
        <v>2</v>
      </c>
      <c r="P2487" s="159">
        <f t="shared" si="423"/>
        <v>2015</v>
      </c>
      <c r="Q2487" s="159">
        <f t="shared" si="424"/>
        <v>5</v>
      </c>
      <c r="R2487" s="160">
        <f t="shared" si="425"/>
        <v>6.3000000001047738</v>
      </c>
      <c r="S2487" s="158">
        <f t="shared" si="426"/>
        <v>6.3000000001047738</v>
      </c>
      <c r="T2487" s="161">
        <f t="shared" si="427"/>
        <v>1890.0000000314321</v>
      </c>
      <c r="U2487" s="158">
        <f t="shared" si="429"/>
        <v>300</v>
      </c>
      <c r="V2487" s="160">
        <f t="shared" si="428"/>
        <v>300</v>
      </c>
    </row>
    <row r="2488" spans="1:22" x14ac:dyDescent="0.25">
      <c r="A2488" s="98" t="s">
        <v>23</v>
      </c>
      <c r="B2488" s="98" t="s">
        <v>17</v>
      </c>
      <c r="C2488" s="98">
        <v>36</v>
      </c>
      <c r="D2488" s="98">
        <v>1850</v>
      </c>
      <c r="E2488" s="157">
        <v>42151.473611111112</v>
      </c>
      <c r="F2488" s="157">
        <v>42151.574999999997</v>
      </c>
      <c r="G2488" s="98">
        <v>255</v>
      </c>
      <c r="H2488" s="98">
        <v>330</v>
      </c>
      <c r="I2488" s="98">
        <v>300</v>
      </c>
      <c r="J2488" s="98" t="s">
        <v>2263</v>
      </c>
      <c r="K2488" s="98" t="s">
        <v>41</v>
      </c>
      <c r="L2488" s="105" t="str">
        <f t="shared" si="420"/>
        <v>Mill Creek</v>
      </c>
      <c r="M2488" s="105" t="str">
        <f t="shared" si="421"/>
        <v>Derate</v>
      </c>
      <c r="N2488" s="105" t="str">
        <f t="shared" si="422"/>
        <v>Coal</v>
      </c>
      <c r="O2488" s="105">
        <f>IFERROR(VLOOKUP(A2488,Lookup!$J$5:$P$19,7,FALSE),0)</f>
        <v>2</v>
      </c>
      <c r="P2488" s="159">
        <f t="shared" si="423"/>
        <v>2015</v>
      </c>
      <c r="Q2488" s="159">
        <f t="shared" si="424"/>
        <v>5</v>
      </c>
      <c r="R2488" s="160">
        <f t="shared" si="425"/>
        <v>2.4333333332324401</v>
      </c>
      <c r="S2488" s="158">
        <f t="shared" si="426"/>
        <v>0.55303030300737277</v>
      </c>
      <c r="T2488" s="161">
        <f t="shared" si="427"/>
        <v>165.90909090221183</v>
      </c>
      <c r="U2488" s="158">
        <f t="shared" si="429"/>
        <v>68.181818181818187</v>
      </c>
      <c r="V2488" s="160">
        <f t="shared" si="428"/>
        <v>68</v>
      </c>
    </row>
    <row r="2489" spans="1:22" x14ac:dyDescent="0.25">
      <c r="A2489" s="98" t="s">
        <v>23</v>
      </c>
      <c r="B2489" s="98" t="s">
        <v>17</v>
      </c>
      <c r="C2489" s="98">
        <v>37</v>
      </c>
      <c r="D2489" s="98">
        <v>1850</v>
      </c>
      <c r="E2489" s="157">
        <v>42151.574999999997</v>
      </c>
      <c r="F2489" s="157">
        <v>42152.140277777777</v>
      </c>
      <c r="G2489" s="98">
        <v>292</v>
      </c>
      <c r="H2489" s="98">
        <v>330</v>
      </c>
      <c r="I2489" s="98">
        <v>300</v>
      </c>
      <c r="J2489" s="98" t="s">
        <v>2263</v>
      </c>
      <c r="K2489" s="98" t="s">
        <v>41</v>
      </c>
      <c r="L2489" s="105" t="str">
        <f t="shared" si="420"/>
        <v>Mill Creek</v>
      </c>
      <c r="M2489" s="105" t="str">
        <f t="shared" si="421"/>
        <v>Derate</v>
      </c>
      <c r="N2489" s="105" t="str">
        <f t="shared" si="422"/>
        <v>Coal</v>
      </c>
      <c r="O2489" s="105">
        <f>IFERROR(VLOOKUP(A2489,Lookup!$J$5:$P$19,7,FALSE),0)</f>
        <v>2</v>
      </c>
      <c r="P2489" s="159">
        <f t="shared" si="423"/>
        <v>2015</v>
      </c>
      <c r="Q2489" s="159">
        <f t="shared" si="424"/>
        <v>5</v>
      </c>
      <c r="R2489" s="160">
        <f t="shared" si="425"/>
        <v>13.566666666709352</v>
      </c>
      <c r="S2489" s="158">
        <f t="shared" si="426"/>
        <v>1.5622222222271376</v>
      </c>
      <c r="T2489" s="161">
        <f t="shared" si="427"/>
        <v>468.66666666814126</v>
      </c>
      <c r="U2489" s="158">
        <f t="shared" si="429"/>
        <v>34.545454545454547</v>
      </c>
      <c r="V2489" s="160">
        <f t="shared" si="428"/>
        <v>35</v>
      </c>
    </row>
    <row r="2490" spans="1:22" x14ac:dyDescent="0.25">
      <c r="A2490" s="98" t="s">
        <v>23</v>
      </c>
      <c r="B2490" s="98" t="s">
        <v>17</v>
      </c>
      <c r="C2490" s="98">
        <v>38</v>
      </c>
      <c r="D2490" s="98">
        <v>1850</v>
      </c>
      <c r="E2490" s="157">
        <v>42152.140277777777</v>
      </c>
      <c r="F2490" s="157">
        <v>42152.248611111114</v>
      </c>
      <c r="G2490" s="98">
        <v>303</v>
      </c>
      <c r="H2490" s="98">
        <v>330</v>
      </c>
      <c r="I2490" s="98">
        <v>300</v>
      </c>
      <c r="J2490" s="98" t="s">
        <v>2263</v>
      </c>
      <c r="K2490" s="98" t="s">
        <v>41</v>
      </c>
      <c r="L2490" s="105" t="str">
        <f t="shared" si="420"/>
        <v>Mill Creek</v>
      </c>
      <c r="M2490" s="105" t="str">
        <f t="shared" si="421"/>
        <v>Derate</v>
      </c>
      <c r="N2490" s="105" t="str">
        <f t="shared" si="422"/>
        <v>Coal</v>
      </c>
      <c r="O2490" s="105">
        <f>IFERROR(VLOOKUP(A2490,Lookup!$J$5:$P$19,7,FALSE),0)</f>
        <v>2</v>
      </c>
      <c r="P2490" s="159">
        <f t="shared" si="423"/>
        <v>2015</v>
      </c>
      <c r="Q2490" s="159">
        <f t="shared" si="424"/>
        <v>5</v>
      </c>
      <c r="R2490" s="160">
        <f t="shared" si="425"/>
        <v>2.6000000000931323</v>
      </c>
      <c r="S2490" s="158">
        <f t="shared" si="426"/>
        <v>0.21272727273489264</v>
      </c>
      <c r="T2490" s="161">
        <f t="shared" si="427"/>
        <v>63.818181820467792</v>
      </c>
      <c r="U2490" s="158">
        <f t="shared" si="429"/>
        <v>24.545454545454547</v>
      </c>
      <c r="V2490" s="160">
        <f t="shared" si="428"/>
        <v>25</v>
      </c>
    </row>
    <row r="2491" spans="1:22" x14ac:dyDescent="0.25">
      <c r="A2491" s="98" t="s">
        <v>23</v>
      </c>
      <c r="B2491" s="98" t="s">
        <v>79</v>
      </c>
      <c r="C2491" s="98">
        <v>39</v>
      </c>
      <c r="D2491" s="98">
        <v>8650</v>
      </c>
      <c r="E2491" s="157">
        <v>42152.333333333336</v>
      </c>
      <c r="F2491" s="157">
        <v>42152.804166666669</v>
      </c>
      <c r="G2491" s="98">
        <v>0</v>
      </c>
      <c r="H2491" s="98">
        <v>330</v>
      </c>
      <c r="I2491" s="98">
        <v>300</v>
      </c>
      <c r="J2491" s="98" t="s">
        <v>2668</v>
      </c>
      <c r="K2491" s="98" t="s">
        <v>2723</v>
      </c>
      <c r="L2491" s="105" t="str">
        <f t="shared" si="420"/>
        <v>Mill Creek</v>
      </c>
      <c r="M2491" s="105" t="str">
        <f t="shared" si="421"/>
        <v>Other</v>
      </c>
      <c r="N2491" s="105" t="str">
        <f t="shared" si="422"/>
        <v>Coal</v>
      </c>
      <c r="O2491" s="105">
        <f>IFERROR(VLOOKUP(A2491,Lookup!$J$5:$P$19,7,FALSE),0)</f>
        <v>2</v>
      </c>
      <c r="P2491" s="159">
        <f t="shared" si="423"/>
        <v>2015</v>
      </c>
      <c r="Q2491" s="159">
        <f t="shared" si="424"/>
        <v>5</v>
      </c>
      <c r="R2491" s="160">
        <f t="shared" si="425"/>
        <v>11.299999999988358</v>
      </c>
      <c r="S2491" s="158">
        <f t="shared" si="426"/>
        <v>11.299999999988358</v>
      </c>
      <c r="T2491" s="161">
        <f t="shared" si="427"/>
        <v>3389.9999999965075</v>
      </c>
      <c r="U2491" s="158">
        <f t="shared" si="429"/>
        <v>300</v>
      </c>
      <c r="V2491" s="160">
        <f t="shared" si="428"/>
        <v>300</v>
      </c>
    </row>
    <row r="2492" spans="1:22" x14ac:dyDescent="0.25">
      <c r="A2492" s="98" t="s">
        <v>23</v>
      </c>
      <c r="B2492" s="98" t="s">
        <v>105</v>
      </c>
      <c r="C2492" s="98">
        <v>40</v>
      </c>
      <c r="D2492" s="98">
        <v>310</v>
      </c>
      <c r="E2492" s="157">
        <v>42152.958333333336</v>
      </c>
      <c r="F2492" s="157">
        <v>42153.061805555553</v>
      </c>
      <c r="G2492" s="98">
        <v>240</v>
      </c>
      <c r="H2492" s="98">
        <v>330</v>
      </c>
      <c r="I2492" s="98">
        <v>300</v>
      </c>
      <c r="J2492" s="98" t="s">
        <v>1966</v>
      </c>
      <c r="K2492" s="98" t="s">
        <v>2724</v>
      </c>
      <c r="L2492" s="105" t="str">
        <f t="shared" si="420"/>
        <v>Mill Creek</v>
      </c>
      <c r="M2492" s="105" t="str">
        <f t="shared" si="421"/>
        <v>Derate</v>
      </c>
      <c r="N2492" s="105" t="str">
        <f t="shared" si="422"/>
        <v>Coal</v>
      </c>
      <c r="O2492" s="105">
        <f>IFERROR(VLOOKUP(A2492,Lookup!$J$5:$P$19,7,FALSE),0)</f>
        <v>2</v>
      </c>
      <c r="P2492" s="159">
        <f t="shared" si="423"/>
        <v>2015</v>
      </c>
      <c r="Q2492" s="159">
        <f t="shared" si="424"/>
        <v>5</v>
      </c>
      <c r="R2492" s="160">
        <f t="shared" si="425"/>
        <v>2.4833333332207985</v>
      </c>
      <c r="S2492" s="158">
        <f t="shared" si="426"/>
        <v>0.67727272724203591</v>
      </c>
      <c r="T2492" s="161">
        <f t="shared" si="427"/>
        <v>203.18181817261078</v>
      </c>
      <c r="U2492" s="158">
        <f t="shared" si="429"/>
        <v>81.818181818181813</v>
      </c>
      <c r="V2492" s="160">
        <f t="shared" si="428"/>
        <v>82</v>
      </c>
    </row>
    <row r="2493" spans="1:22" x14ac:dyDescent="0.25">
      <c r="A2493" s="98" t="s">
        <v>23</v>
      </c>
      <c r="B2493" s="98" t="s">
        <v>79</v>
      </c>
      <c r="C2493" s="98">
        <v>41</v>
      </c>
      <c r="D2493" s="98">
        <v>8650</v>
      </c>
      <c r="E2493" s="157">
        <v>42153.333333333336</v>
      </c>
      <c r="F2493" s="157">
        <v>42153.545138888891</v>
      </c>
      <c r="G2493" s="98">
        <v>0</v>
      </c>
      <c r="H2493" s="98">
        <v>330</v>
      </c>
      <c r="I2493" s="98">
        <v>300</v>
      </c>
      <c r="J2493" s="98" t="s">
        <v>2668</v>
      </c>
      <c r="K2493" s="98" t="s">
        <v>2723</v>
      </c>
      <c r="L2493" s="105" t="str">
        <f t="shared" si="420"/>
        <v>Mill Creek</v>
      </c>
      <c r="M2493" s="105" t="str">
        <f t="shared" si="421"/>
        <v>Other</v>
      </c>
      <c r="N2493" s="105" t="str">
        <f t="shared" si="422"/>
        <v>Coal</v>
      </c>
      <c r="O2493" s="105">
        <f>IFERROR(VLOOKUP(A2493,Lookup!$J$5:$P$19,7,FALSE),0)</f>
        <v>2</v>
      </c>
      <c r="P2493" s="159">
        <f t="shared" si="423"/>
        <v>2015</v>
      </c>
      <c r="Q2493" s="159">
        <f t="shared" si="424"/>
        <v>5</v>
      </c>
      <c r="R2493" s="160">
        <f t="shared" si="425"/>
        <v>5.0833333333139308</v>
      </c>
      <c r="S2493" s="158">
        <f t="shared" si="426"/>
        <v>5.0833333333139308</v>
      </c>
      <c r="T2493" s="161">
        <f t="shared" si="427"/>
        <v>1524.9999999941792</v>
      </c>
      <c r="U2493" s="158">
        <f t="shared" si="429"/>
        <v>300</v>
      </c>
      <c r="V2493" s="160">
        <f t="shared" si="428"/>
        <v>300</v>
      </c>
    </row>
    <row r="2494" spans="1:22" x14ac:dyDescent="0.25">
      <c r="A2494" s="98" t="s">
        <v>23</v>
      </c>
      <c r="B2494" s="98" t="s">
        <v>79</v>
      </c>
      <c r="C2494" s="98">
        <v>42</v>
      </c>
      <c r="D2494" s="98">
        <v>8650</v>
      </c>
      <c r="E2494" s="157">
        <v>42154.333333333336</v>
      </c>
      <c r="F2494" s="157">
        <v>42154.716666666667</v>
      </c>
      <c r="G2494" s="98">
        <v>0</v>
      </c>
      <c r="H2494" s="98">
        <v>330</v>
      </c>
      <c r="I2494" s="98">
        <v>300</v>
      </c>
      <c r="J2494" s="98" t="s">
        <v>2668</v>
      </c>
      <c r="K2494" s="98" t="s">
        <v>2723</v>
      </c>
      <c r="L2494" s="105" t="str">
        <f t="shared" si="420"/>
        <v>Mill Creek</v>
      </c>
      <c r="M2494" s="105" t="str">
        <f t="shared" si="421"/>
        <v>Other</v>
      </c>
      <c r="N2494" s="105" t="str">
        <f t="shared" si="422"/>
        <v>Coal</v>
      </c>
      <c r="O2494" s="105">
        <f>IFERROR(VLOOKUP(A2494,Lookup!$J$5:$P$19,7,FALSE),0)</f>
        <v>2</v>
      </c>
      <c r="P2494" s="159">
        <f t="shared" si="423"/>
        <v>2015</v>
      </c>
      <c r="Q2494" s="159">
        <f t="shared" si="424"/>
        <v>5</v>
      </c>
      <c r="R2494" s="160">
        <f t="shared" si="425"/>
        <v>9.1999999999534339</v>
      </c>
      <c r="S2494" s="158">
        <f t="shared" si="426"/>
        <v>9.1999999999534339</v>
      </c>
      <c r="T2494" s="161">
        <f t="shared" si="427"/>
        <v>2759.9999999860302</v>
      </c>
      <c r="U2494" s="158">
        <f t="shared" si="429"/>
        <v>300</v>
      </c>
      <c r="V2494" s="160">
        <f t="shared" si="428"/>
        <v>300</v>
      </c>
    </row>
    <row r="2495" spans="1:22" x14ac:dyDescent="0.25">
      <c r="A2495" s="98" t="s">
        <v>23</v>
      </c>
      <c r="B2495" s="98" t="s">
        <v>20</v>
      </c>
      <c r="C2495" s="98">
        <v>43</v>
      </c>
      <c r="D2495" s="98">
        <v>775</v>
      </c>
      <c r="E2495" s="157">
        <v>42157.410416666666</v>
      </c>
      <c r="F2495" s="157">
        <v>42158.198611111111</v>
      </c>
      <c r="G2495" s="98">
        <v>0</v>
      </c>
      <c r="H2495" s="98">
        <v>330</v>
      </c>
      <c r="I2495" s="98">
        <v>300</v>
      </c>
      <c r="J2495" s="98" t="s">
        <v>2499</v>
      </c>
      <c r="K2495" s="98" t="s">
        <v>2725</v>
      </c>
      <c r="L2495" s="105" t="str">
        <f t="shared" si="420"/>
        <v>Mill Creek</v>
      </c>
      <c r="M2495" s="105" t="str">
        <f t="shared" si="421"/>
        <v>Maintenance</v>
      </c>
      <c r="N2495" s="105" t="str">
        <f t="shared" si="422"/>
        <v>Coal</v>
      </c>
      <c r="O2495" s="105">
        <f>IFERROR(VLOOKUP(A2495,Lookup!$J$5:$P$19,7,FALSE),0)</f>
        <v>2</v>
      </c>
      <c r="P2495" s="159">
        <f t="shared" si="423"/>
        <v>2015</v>
      </c>
      <c r="Q2495" s="159">
        <f t="shared" si="424"/>
        <v>6</v>
      </c>
      <c r="R2495" s="160">
        <f t="shared" si="425"/>
        <v>18.916666666686069</v>
      </c>
      <c r="S2495" s="158">
        <f t="shared" si="426"/>
        <v>18.916666666686069</v>
      </c>
      <c r="T2495" s="161">
        <f t="shared" si="427"/>
        <v>5675.0000000058208</v>
      </c>
      <c r="U2495" s="158">
        <f t="shared" si="429"/>
        <v>300</v>
      </c>
      <c r="V2495" s="160">
        <f t="shared" si="428"/>
        <v>300</v>
      </c>
    </row>
    <row r="2496" spans="1:22" x14ac:dyDescent="0.25">
      <c r="A2496" s="98" t="s">
        <v>23</v>
      </c>
      <c r="B2496" s="98" t="s">
        <v>79</v>
      </c>
      <c r="C2496" s="98">
        <v>44</v>
      </c>
      <c r="D2496" s="98">
        <v>1850</v>
      </c>
      <c r="E2496" s="157">
        <v>42158.198611111111</v>
      </c>
      <c r="F2496" s="157">
        <v>42158.564583333333</v>
      </c>
      <c r="G2496" s="98">
        <v>0</v>
      </c>
      <c r="H2496" s="98">
        <v>330</v>
      </c>
      <c r="I2496" s="98">
        <v>300</v>
      </c>
      <c r="J2496" s="98" t="s">
        <v>2263</v>
      </c>
      <c r="K2496" s="98" t="s">
        <v>2726</v>
      </c>
      <c r="L2496" s="105" t="str">
        <f t="shared" si="420"/>
        <v>Mill Creek</v>
      </c>
      <c r="M2496" s="105" t="str">
        <f t="shared" si="421"/>
        <v>Other</v>
      </c>
      <c r="N2496" s="105" t="str">
        <f t="shared" si="422"/>
        <v>Coal</v>
      </c>
      <c r="O2496" s="105">
        <f>IFERROR(VLOOKUP(A2496,Lookup!$J$5:$P$19,7,FALSE),0)</f>
        <v>2</v>
      </c>
      <c r="P2496" s="159">
        <f t="shared" si="423"/>
        <v>2015</v>
      </c>
      <c r="Q2496" s="159">
        <f t="shared" si="424"/>
        <v>6</v>
      </c>
      <c r="R2496" s="160">
        <f t="shared" si="425"/>
        <v>8.7833333333255723</v>
      </c>
      <c r="S2496" s="158">
        <f t="shared" si="426"/>
        <v>8.7833333333255723</v>
      </c>
      <c r="T2496" s="161">
        <f t="shared" si="427"/>
        <v>2634.9999999976717</v>
      </c>
      <c r="U2496" s="158">
        <f t="shared" si="429"/>
        <v>300</v>
      </c>
      <c r="V2496" s="160">
        <f t="shared" si="428"/>
        <v>300</v>
      </c>
    </row>
    <row r="2497" spans="1:22" x14ac:dyDescent="0.25">
      <c r="A2497" s="98" t="s">
        <v>23</v>
      </c>
      <c r="B2497" s="98" t="s">
        <v>17</v>
      </c>
      <c r="C2497" s="98">
        <v>45</v>
      </c>
      <c r="D2497" s="98">
        <v>310</v>
      </c>
      <c r="E2497" s="157">
        <v>42158.798611111109</v>
      </c>
      <c r="F2497" s="157">
        <v>42159.032638888886</v>
      </c>
      <c r="G2497" s="98">
        <v>250</v>
      </c>
      <c r="H2497" s="98">
        <v>330</v>
      </c>
      <c r="I2497" s="98">
        <v>300</v>
      </c>
      <c r="J2497" s="98" t="s">
        <v>1966</v>
      </c>
      <c r="K2497" s="98" t="s">
        <v>2727</v>
      </c>
      <c r="L2497" s="105" t="str">
        <f t="shared" si="420"/>
        <v>Mill Creek</v>
      </c>
      <c r="M2497" s="105" t="str">
        <f t="shared" si="421"/>
        <v>Derate</v>
      </c>
      <c r="N2497" s="105" t="str">
        <f t="shared" si="422"/>
        <v>Coal</v>
      </c>
      <c r="O2497" s="105">
        <f>IFERROR(VLOOKUP(A2497,Lookup!$J$5:$P$19,7,FALSE),0)</f>
        <v>2</v>
      </c>
      <c r="P2497" s="159">
        <f t="shared" si="423"/>
        <v>2015</v>
      </c>
      <c r="Q2497" s="159">
        <f t="shared" si="424"/>
        <v>6</v>
      </c>
      <c r="R2497" s="160">
        <f t="shared" si="425"/>
        <v>5.6166666666395031</v>
      </c>
      <c r="S2497" s="158">
        <f t="shared" si="426"/>
        <v>1.3616161616095765</v>
      </c>
      <c r="T2497" s="161">
        <f t="shared" si="427"/>
        <v>408.48484848287296</v>
      </c>
      <c r="U2497" s="158">
        <f t="shared" si="429"/>
        <v>72.727272727272734</v>
      </c>
      <c r="V2497" s="160">
        <f t="shared" si="428"/>
        <v>73</v>
      </c>
    </row>
    <row r="2498" spans="1:22" x14ac:dyDescent="0.25">
      <c r="A2498" s="98" t="s">
        <v>23</v>
      </c>
      <c r="B2498" s="98" t="s">
        <v>79</v>
      </c>
      <c r="C2498" s="98">
        <v>46</v>
      </c>
      <c r="D2498" s="98">
        <v>1990</v>
      </c>
      <c r="E2498" s="157">
        <v>42159.340277777781</v>
      </c>
      <c r="F2498" s="157">
        <v>42159.821527777778</v>
      </c>
      <c r="G2498" s="98">
        <v>0</v>
      </c>
      <c r="H2498" s="98">
        <v>330</v>
      </c>
      <c r="I2498" s="98">
        <v>300</v>
      </c>
      <c r="J2498" s="98" t="s">
        <v>2114</v>
      </c>
      <c r="K2498" s="98" t="s">
        <v>2728</v>
      </c>
      <c r="L2498" s="105" t="str">
        <f t="shared" si="420"/>
        <v>Mill Creek</v>
      </c>
      <c r="M2498" s="105" t="str">
        <f t="shared" si="421"/>
        <v>Other</v>
      </c>
      <c r="N2498" s="105" t="str">
        <f t="shared" si="422"/>
        <v>Coal</v>
      </c>
      <c r="O2498" s="105">
        <f>IFERROR(VLOOKUP(A2498,Lookup!$J$5:$P$19,7,FALSE),0)</f>
        <v>2</v>
      </c>
      <c r="P2498" s="159">
        <f t="shared" si="423"/>
        <v>2015</v>
      </c>
      <c r="Q2498" s="159">
        <f t="shared" si="424"/>
        <v>6</v>
      </c>
      <c r="R2498" s="160">
        <f t="shared" si="425"/>
        <v>11.549999999930151</v>
      </c>
      <c r="S2498" s="158">
        <f t="shared" si="426"/>
        <v>11.549999999930151</v>
      </c>
      <c r="T2498" s="161">
        <f t="shared" si="427"/>
        <v>3464.9999999790452</v>
      </c>
      <c r="U2498" s="158">
        <f t="shared" si="429"/>
        <v>300</v>
      </c>
      <c r="V2498" s="160">
        <f t="shared" si="428"/>
        <v>300</v>
      </c>
    </row>
    <row r="2499" spans="1:22" x14ac:dyDescent="0.25">
      <c r="A2499" s="98" t="s">
        <v>23</v>
      </c>
      <c r="B2499" s="98" t="s">
        <v>79</v>
      </c>
      <c r="C2499" s="98">
        <v>47</v>
      </c>
      <c r="D2499" s="98">
        <v>8460</v>
      </c>
      <c r="E2499" s="157">
        <v>42160.29583333333</v>
      </c>
      <c r="F2499" s="157">
        <v>42160.643055555556</v>
      </c>
      <c r="G2499" s="98">
        <v>0</v>
      </c>
      <c r="H2499" s="98">
        <v>330</v>
      </c>
      <c r="I2499" s="98">
        <v>300</v>
      </c>
      <c r="J2499" s="98" t="s">
        <v>2651</v>
      </c>
      <c r="K2499" s="98" t="s">
        <v>2729</v>
      </c>
      <c r="L2499" s="105" t="str">
        <f t="shared" si="420"/>
        <v>Mill Creek</v>
      </c>
      <c r="M2499" s="105" t="str">
        <f t="shared" si="421"/>
        <v>Other</v>
      </c>
      <c r="N2499" s="105" t="str">
        <f t="shared" si="422"/>
        <v>Coal</v>
      </c>
      <c r="O2499" s="105">
        <f>IFERROR(VLOOKUP(A2499,Lookup!$J$5:$P$19,7,FALSE),0)</f>
        <v>2</v>
      </c>
      <c r="P2499" s="159">
        <f t="shared" si="423"/>
        <v>2015</v>
      </c>
      <c r="Q2499" s="159">
        <f t="shared" si="424"/>
        <v>6</v>
      </c>
      <c r="R2499" s="160">
        <f t="shared" si="425"/>
        <v>8.3333333334303461</v>
      </c>
      <c r="S2499" s="158">
        <f t="shared" si="426"/>
        <v>8.3333333334303461</v>
      </c>
      <c r="T2499" s="161">
        <f t="shared" si="427"/>
        <v>2500.0000000291038</v>
      </c>
      <c r="U2499" s="158">
        <f t="shared" si="429"/>
        <v>300</v>
      </c>
      <c r="V2499" s="160">
        <f t="shared" si="428"/>
        <v>300</v>
      </c>
    </row>
    <row r="2500" spans="1:22" x14ac:dyDescent="0.25">
      <c r="A2500" s="98" t="s">
        <v>23</v>
      </c>
      <c r="B2500" s="98" t="s">
        <v>79</v>
      </c>
      <c r="C2500" s="98">
        <v>48</v>
      </c>
      <c r="D2500" s="98">
        <v>8460</v>
      </c>
      <c r="E2500" s="157">
        <v>42161.487500000003</v>
      </c>
      <c r="F2500" s="157">
        <v>42161.517361111109</v>
      </c>
      <c r="G2500" s="98">
        <v>0</v>
      </c>
      <c r="H2500" s="98">
        <v>330</v>
      </c>
      <c r="I2500" s="98">
        <v>300</v>
      </c>
      <c r="J2500" s="98" t="s">
        <v>2651</v>
      </c>
      <c r="K2500" s="98" t="s">
        <v>422</v>
      </c>
      <c r="L2500" s="105" t="str">
        <f t="shared" si="420"/>
        <v>Mill Creek</v>
      </c>
      <c r="M2500" s="105" t="str">
        <f t="shared" si="421"/>
        <v>Other</v>
      </c>
      <c r="N2500" s="105" t="str">
        <f t="shared" si="422"/>
        <v>Coal</v>
      </c>
      <c r="O2500" s="105">
        <f>IFERROR(VLOOKUP(A2500,Lookup!$J$5:$P$19,7,FALSE),0)</f>
        <v>2</v>
      </c>
      <c r="P2500" s="159">
        <f t="shared" si="423"/>
        <v>2015</v>
      </c>
      <c r="Q2500" s="159">
        <f t="shared" si="424"/>
        <v>6</v>
      </c>
      <c r="R2500" s="160">
        <f t="shared" si="425"/>
        <v>0.71666666655801237</v>
      </c>
      <c r="S2500" s="158">
        <f t="shared" si="426"/>
        <v>0.71666666655801237</v>
      </c>
      <c r="T2500" s="161">
        <f t="shared" si="427"/>
        <v>214.99999996740371</v>
      </c>
      <c r="U2500" s="158">
        <f t="shared" si="429"/>
        <v>300</v>
      </c>
      <c r="V2500" s="160">
        <f t="shared" si="428"/>
        <v>300</v>
      </c>
    </row>
    <row r="2501" spans="1:22" x14ac:dyDescent="0.25">
      <c r="A2501" s="98" t="s">
        <v>23</v>
      </c>
      <c r="B2501" s="98" t="s">
        <v>17</v>
      </c>
      <c r="C2501" s="98">
        <v>49</v>
      </c>
      <c r="D2501" s="98">
        <v>310</v>
      </c>
      <c r="E2501" s="157">
        <v>42161.517361111109</v>
      </c>
      <c r="F2501" s="157">
        <v>42161.621527777781</v>
      </c>
      <c r="G2501" s="98">
        <v>245</v>
      </c>
      <c r="H2501" s="98">
        <v>330</v>
      </c>
      <c r="I2501" s="98">
        <v>300</v>
      </c>
      <c r="J2501" s="98" t="s">
        <v>1966</v>
      </c>
      <c r="K2501" s="98" t="s">
        <v>2730</v>
      </c>
      <c r="L2501" s="105" t="str">
        <f t="shared" si="420"/>
        <v>Mill Creek</v>
      </c>
      <c r="M2501" s="105" t="str">
        <f t="shared" si="421"/>
        <v>Derate</v>
      </c>
      <c r="N2501" s="105" t="str">
        <f t="shared" si="422"/>
        <v>Coal</v>
      </c>
      <c r="O2501" s="105">
        <f>IFERROR(VLOOKUP(A2501,Lookup!$J$5:$P$19,7,FALSE),0)</f>
        <v>2</v>
      </c>
      <c r="P2501" s="159">
        <f t="shared" si="423"/>
        <v>2015</v>
      </c>
      <c r="Q2501" s="159">
        <f t="shared" si="424"/>
        <v>6</v>
      </c>
      <c r="R2501" s="160">
        <f t="shared" si="425"/>
        <v>2.5000000001164153</v>
      </c>
      <c r="S2501" s="158">
        <f t="shared" si="426"/>
        <v>0.64393939396937971</v>
      </c>
      <c r="T2501" s="161">
        <f t="shared" si="427"/>
        <v>193.18181819081391</v>
      </c>
      <c r="U2501" s="158">
        <f t="shared" si="429"/>
        <v>77.272727272727266</v>
      </c>
      <c r="V2501" s="160">
        <f t="shared" si="428"/>
        <v>77</v>
      </c>
    </row>
    <row r="2502" spans="1:22" x14ac:dyDescent="0.25">
      <c r="A2502" s="98" t="s">
        <v>23</v>
      </c>
      <c r="B2502" s="98" t="s">
        <v>79</v>
      </c>
      <c r="C2502" s="98">
        <v>50</v>
      </c>
      <c r="D2502" s="98">
        <v>8460</v>
      </c>
      <c r="E2502" s="157">
        <v>42161.621527777781</v>
      </c>
      <c r="F2502" s="157">
        <v>42161.729166666664</v>
      </c>
      <c r="G2502" s="98">
        <v>0</v>
      </c>
      <c r="H2502" s="98">
        <v>330</v>
      </c>
      <c r="I2502" s="98">
        <v>300</v>
      </c>
      <c r="J2502" s="98" t="s">
        <v>2651</v>
      </c>
      <c r="K2502" s="98" t="s">
        <v>2729</v>
      </c>
      <c r="L2502" s="105" t="str">
        <f t="shared" si="420"/>
        <v>Mill Creek</v>
      </c>
      <c r="M2502" s="105" t="str">
        <f t="shared" si="421"/>
        <v>Other</v>
      </c>
      <c r="N2502" s="105" t="str">
        <f t="shared" si="422"/>
        <v>Coal</v>
      </c>
      <c r="O2502" s="105">
        <f>IFERROR(VLOOKUP(A2502,Lookup!$J$5:$P$19,7,FALSE),0)</f>
        <v>2</v>
      </c>
      <c r="P2502" s="159">
        <f t="shared" si="423"/>
        <v>2015</v>
      </c>
      <c r="Q2502" s="159">
        <f t="shared" si="424"/>
        <v>6</v>
      </c>
      <c r="R2502" s="160">
        <f t="shared" si="425"/>
        <v>2.5833333331975155</v>
      </c>
      <c r="S2502" s="158">
        <f t="shared" si="426"/>
        <v>2.5833333331975155</v>
      </c>
      <c r="T2502" s="161">
        <f t="shared" si="427"/>
        <v>774.99999995925464</v>
      </c>
      <c r="U2502" s="158">
        <f t="shared" si="429"/>
        <v>300</v>
      </c>
      <c r="V2502" s="160">
        <f t="shared" si="428"/>
        <v>300</v>
      </c>
    </row>
    <row r="2503" spans="1:22" x14ac:dyDescent="0.25">
      <c r="A2503" s="98" t="s">
        <v>23</v>
      </c>
      <c r="B2503" s="98" t="s">
        <v>17</v>
      </c>
      <c r="C2503" s="98">
        <v>51</v>
      </c>
      <c r="D2503" s="98">
        <v>4262</v>
      </c>
      <c r="E2503" s="157">
        <v>42161.770833333336</v>
      </c>
      <c r="F2503" s="157">
        <v>42161.892361111109</v>
      </c>
      <c r="G2503" s="98">
        <v>300</v>
      </c>
      <c r="H2503" s="98">
        <v>330</v>
      </c>
      <c r="I2503" s="98">
        <v>300</v>
      </c>
      <c r="J2503" s="98" t="s">
        <v>2003</v>
      </c>
      <c r="K2503" s="98" t="s">
        <v>2731</v>
      </c>
      <c r="L2503" s="105" t="str">
        <f t="shared" si="420"/>
        <v>Mill Creek</v>
      </c>
      <c r="M2503" s="105" t="str">
        <f t="shared" si="421"/>
        <v>Derate</v>
      </c>
      <c r="N2503" s="105" t="str">
        <f t="shared" si="422"/>
        <v>Coal</v>
      </c>
      <c r="O2503" s="105">
        <f>IFERROR(VLOOKUP(A2503,Lookup!$J$5:$P$19,7,FALSE),0)</f>
        <v>2</v>
      </c>
      <c r="P2503" s="159">
        <f t="shared" si="423"/>
        <v>2015</v>
      </c>
      <c r="Q2503" s="159">
        <f t="shared" si="424"/>
        <v>6</v>
      </c>
      <c r="R2503" s="160">
        <f t="shared" si="425"/>
        <v>2.9166666665696539</v>
      </c>
      <c r="S2503" s="158">
        <f t="shared" si="426"/>
        <v>0.2651515151426958</v>
      </c>
      <c r="T2503" s="161">
        <f t="shared" si="427"/>
        <v>79.545454542808741</v>
      </c>
      <c r="U2503" s="158">
        <f t="shared" si="429"/>
        <v>27.272727272727273</v>
      </c>
      <c r="V2503" s="160">
        <f t="shared" si="428"/>
        <v>27</v>
      </c>
    </row>
    <row r="2504" spans="1:22" x14ac:dyDescent="0.25">
      <c r="A2504" s="98" t="s">
        <v>23</v>
      </c>
      <c r="B2504" s="98" t="s">
        <v>79</v>
      </c>
      <c r="C2504" s="98">
        <v>52</v>
      </c>
      <c r="D2504" s="98">
        <v>8460</v>
      </c>
      <c r="E2504" s="157">
        <v>42162.354166666664</v>
      </c>
      <c r="F2504" s="157">
        <v>42162.724305555559</v>
      </c>
      <c r="G2504" s="98">
        <v>0</v>
      </c>
      <c r="H2504" s="98">
        <v>330</v>
      </c>
      <c r="I2504" s="98">
        <v>300</v>
      </c>
      <c r="J2504" s="98" t="s">
        <v>2651</v>
      </c>
      <c r="K2504" s="98" t="s">
        <v>2732</v>
      </c>
      <c r="L2504" s="105" t="str">
        <f t="shared" si="420"/>
        <v>Mill Creek</v>
      </c>
      <c r="M2504" s="105" t="str">
        <f t="shared" si="421"/>
        <v>Other</v>
      </c>
      <c r="N2504" s="105" t="str">
        <f t="shared" si="422"/>
        <v>Coal</v>
      </c>
      <c r="O2504" s="105">
        <f>IFERROR(VLOOKUP(A2504,Lookup!$J$5:$P$19,7,FALSE),0)</f>
        <v>2</v>
      </c>
      <c r="P2504" s="159">
        <f t="shared" si="423"/>
        <v>2015</v>
      </c>
      <c r="Q2504" s="159">
        <f t="shared" si="424"/>
        <v>6</v>
      </c>
      <c r="R2504" s="160">
        <f t="shared" si="425"/>
        <v>8.8833333334769122</v>
      </c>
      <c r="S2504" s="158">
        <f t="shared" si="426"/>
        <v>8.8833333334769122</v>
      </c>
      <c r="T2504" s="161">
        <f t="shared" si="427"/>
        <v>2665.0000000430737</v>
      </c>
      <c r="U2504" s="158">
        <f t="shared" si="429"/>
        <v>300</v>
      </c>
      <c r="V2504" s="160">
        <f t="shared" si="428"/>
        <v>300</v>
      </c>
    </row>
    <row r="2505" spans="1:22" x14ac:dyDescent="0.25">
      <c r="A2505" s="98" t="s">
        <v>23</v>
      </c>
      <c r="B2505" s="98" t="s">
        <v>15</v>
      </c>
      <c r="C2505" s="98">
        <v>53</v>
      </c>
      <c r="D2505" s="98">
        <v>800</v>
      </c>
      <c r="E2505" s="157">
        <v>42163.102777777778</v>
      </c>
      <c r="F2505" s="157">
        <v>42163.157638888886</v>
      </c>
      <c r="G2505" s="98">
        <v>0</v>
      </c>
      <c r="H2505" s="98">
        <v>330</v>
      </c>
      <c r="I2505" s="98">
        <v>300</v>
      </c>
      <c r="J2505" s="98" t="s">
        <v>2197</v>
      </c>
      <c r="K2505" s="98" t="s">
        <v>2733</v>
      </c>
      <c r="L2505" s="105" t="str">
        <f t="shared" si="420"/>
        <v>Mill Creek</v>
      </c>
      <c r="M2505" s="105" t="str">
        <f t="shared" si="421"/>
        <v>Outage</v>
      </c>
      <c r="N2505" s="105" t="str">
        <f t="shared" si="422"/>
        <v>Coal</v>
      </c>
      <c r="O2505" s="105">
        <f>IFERROR(VLOOKUP(A2505,Lookup!$J$5:$P$19,7,FALSE),0)</f>
        <v>2</v>
      </c>
      <c r="P2505" s="159">
        <f t="shared" si="423"/>
        <v>2015</v>
      </c>
      <c r="Q2505" s="159">
        <f t="shared" si="424"/>
        <v>6</v>
      </c>
      <c r="R2505" s="160">
        <f t="shared" si="425"/>
        <v>1.316666666592937</v>
      </c>
      <c r="S2505" s="158">
        <f t="shared" si="426"/>
        <v>1.316666666592937</v>
      </c>
      <c r="T2505" s="161">
        <f t="shared" si="427"/>
        <v>394.99999997788109</v>
      </c>
      <c r="U2505" s="158">
        <f t="shared" si="429"/>
        <v>300</v>
      </c>
      <c r="V2505" s="160">
        <f t="shared" si="428"/>
        <v>300</v>
      </c>
    </row>
    <row r="2506" spans="1:22" x14ac:dyDescent="0.25">
      <c r="A2506" s="98" t="s">
        <v>23</v>
      </c>
      <c r="B2506" s="98" t="s">
        <v>79</v>
      </c>
      <c r="C2506" s="98">
        <v>54</v>
      </c>
      <c r="D2506" s="98">
        <v>1850</v>
      </c>
      <c r="E2506" s="157">
        <v>42163.157638888886</v>
      </c>
      <c r="F2506" s="157">
        <v>42163.367361111108</v>
      </c>
      <c r="G2506" s="98">
        <v>0</v>
      </c>
      <c r="H2506" s="98">
        <v>330</v>
      </c>
      <c r="I2506" s="98">
        <v>300</v>
      </c>
      <c r="J2506" s="98" t="s">
        <v>2263</v>
      </c>
      <c r="K2506" s="98" t="s">
        <v>2734</v>
      </c>
      <c r="L2506" s="105" t="str">
        <f t="shared" si="420"/>
        <v>Mill Creek</v>
      </c>
      <c r="M2506" s="105" t="str">
        <f t="shared" si="421"/>
        <v>Other</v>
      </c>
      <c r="N2506" s="105" t="str">
        <f t="shared" si="422"/>
        <v>Coal</v>
      </c>
      <c r="O2506" s="105">
        <f>IFERROR(VLOOKUP(A2506,Lookup!$J$5:$P$19,7,FALSE),0)</f>
        <v>2</v>
      </c>
      <c r="P2506" s="159">
        <f t="shared" si="423"/>
        <v>2015</v>
      </c>
      <c r="Q2506" s="159">
        <f t="shared" si="424"/>
        <v>6</v>
      </c>
      <c r="R2506" s="160">
        <f t="shared" si="425"/>
        <v>5.0333333333255723</v>
      </c>
      <c r="S2506" s="158">
        <f t="shared" si="426"/>
        <v>5.0333333333255723</v>
      </c>
      <c r="T2506" s="161">
        <f t="shared" si="427"/>
        <v>1509.9999999976717</v>
      </c>
      <c r="U2506" s="158">
        <f t="shared" si="429"/>
        <v>300</v>
      </c>
      <c r="V2506" s="160">
        <f t="shared" si="428"/>
        <v>300</v>
      </c>
    </row>
    <row r="2507" spans="1:22" x14ac:dyDescent="0.25">
      <c r="A2507" s="98" t="s">
        <v>23</v>
      </c>
      <c r="B2507" s="98" t="s">
        <v>79</v>
      </c>
      <c r="C2507" s="98">
        <v>55</v>
      </c>
      <c r="D2507" s="98">
        <v>8460</v>
      </c>
      <c r="E2507" s="157">
        <v>42163.46875</v>
      </c>
      <c r="F2507" s="157">
        <v>42163.767361111109</v>
      </c>
      <c r="G2507" s="98">
        <v>0</v>
      </c>
      <c r="H2507" s="98">
        <v>330</v>
      </c>
      <c r="I2507" s="98">
        <v>300</v>
      </c>
      <c r="J2507" s="98" t="s">
        <v>2651</v>
      </c>
      <c r="K2507" s="98" t="s">
        <v>2735</v>
      </c>
      <c r="L2507" s="105" t="str">
        <f t="shared" si="420"/>
        <v>Mill Creek</v>
      </c>
      <c r="M2507" s="105" t="str">
        <f t="shared" si="421"/>
        <v>Other</v>
      </c>
      <c r="N2507" s="105" t="str">
        <f t="shared" si="422"/>
        <v>Coal</v>
      </c>
      <c r="O2507" s="105">
        <f>IFERROR(VLOOKUP(A2507,Lookup!$J$5:$P$19,7,FALSE),0)</f>
        <v>2</v>
      </c>
      <c r="P2507" s="159">
        <f t="shared" si="423"/>
        <v>2015</v>
      </c>
      <c r="Q2507" s="159">
        <f t="shared" si="424"/>
        <v>6</v>
      </c>
      <c r="R2507" s="160">
        <f t="shared" si="425"/>
        <v>7.1666666666278616</v>
      </c>
      <c r="S2507" s="158">
        <f t="shared" si="426"/>
        <v>7.1666666666278616</v>
      </c>
      <c r="T2507" s="161">
        <f t="shared" si="427"/>
        <v>2149.9999999883585</v>
      </c>
      <c r="U2507" s="158">
        <f t="shared" si="429"/>
        <v>300</v>
      </c>
      <c r="V2507" s="160">
        <f t="shared" si="428"/>
        <v>300</v>
      </c>
    </row>
    <row r="2508" spans="1:22" x14ac:dyDescent="0.25">
      <c r="A2508" s="98" t="s">
        <v>23</v>
      </c>
      <c r="B2508" s="98" t="s">
        <v>17</v>
      </c>
      <c r="C2508" s="98">
        <v>56</v>
      </c>
      <c r="D2508" s="98">
        <v>310</v>
      </c>
      <c r="E2508" s="157">
        <v>42163.815972222219</v>
      </c>
      <c r="F2508" s="157">
        <v>42163.958333333336</v>
      </c>
      <c r="G2508" s="98">
        <v>250</v>
      </c>
      <c r="H2508" s="98">
        <v>330</v>
      </c>
      <c r="I2508" s="98">
        <v>300</v>
      </c>
      <c r="J2508" s="98" t="s">
        <v>1966</v>
      </c>
      <c r="K2508" s="98" t="s">
        <v>2736</v>
      </c>
      <c r="L2508" s="105" t="str">
        <f t="shared" si="420"/>
        <v>Mill Creek</v>
      </c>
      <c r="M2508" s="105" t="str">
        <f t="shared" si="421"/>
        <v>Derate</v>
      </c>
      <c r="N2508" s="105" t="str">
        <f t="shared" si="422"/>
        <v>Coal</v>
      </c>
      <c r="O2508" s="105">
        <f>IFERROR(VLOOKUP(A2508,Lookup!$J$5:$P$19,7,FALSE),0)</f>
        <v>2</v>
      </c>
      <c r="P2508" s="159">
        <f t="shared" si="423"/>
        <v>2015</v>
      </c>
      <c r="Q2508" s="159">
        <f t="shared" si="424"/>
        <v>6</v>
      </c>
      <c r="R2508" s="160">
        <f t="shared" si="425"/>
        <v>3.4166666668024845</v>
      </c>
      <c r="S2508" s="158">
        <f t="shared" si="426"/>
        <v>0.82828282831575384</v>
      </c>
      <c r="T2508" s="161">
        <f t="shared" si="427"/>
        <v>248.48484849472615</v>
      </c>
      <c r="U2508" s="158">
        <f t="shared" si="429"/>
        <v>72.727272727272734</v>
      </c>
      <c r="V2508" s="160">
        <f t="shared" si="428"/>
        <v>73</v>
      </c>
    </row>
    <row r="2509" spans="1:22" x14ac:dyDescent="0.25">
      <c r="A2509" s="98" t="s">
        <v>23</v>
      </c>
      <c r="B2509" s="98" t="s">
        <v>79</v>
      </c>
      <c r="C2509" s="98">
        <v>57</v>
      </c>
      <c r="D2509" s="98">
        <v>8460</v>
      </c>
      <c r="E2509" s="157">
        <v>42164.5</v>
      </c>
      <c r="F2509" s="157">
        <v>42164.588888888888</v>
      </c>
      <c r="G2509" s="98">
        <v>0</v>
      </c>
      <c r="H2509" s="98">
        <v>330</v>
      </c>
      <c r="I2509" s="98">
        <v>300</v>
      </c>
      <c r="J2509" s="98" t="s">
        <v>2651</v>
      </c>
      <c r="K2509" s="98" t="s">
        <v>2735</v>
      </c>
      <c r="L2509" s="105" t="str">
        <f t="shared" si="420"/>
        <v>Mill Creek</v>
      </c>
      <c r="M2509" s="105" t="str">
        <f t="shared" si="421"/>
        <v>Other</v>
      </c>
      <c r="N2509" s="105" t="str">
        <f t="shared" si="422"/>
        <v>Coal</v>
      </c>
      <c r="O2509" s="105">
        <f>IFERROR(VLOOKUP(A2509,Lookup!$J$5:$P$19,7,FALSE),0)</f>
        <v>2</v>
      </c>
      <c r="P2509" s="159">
        <f t="shared" si="423"/>
        <v>2015</v>
      </c>
      <c r="Q2509" s="159">
        <f t="shared" si="424"/>
        <v>6</v>
      </c>
      <c r="R2509" s="160">
        <f t="shared" si="425"/>
        <v>2.1333333333022892</v>
      </c>
      <c r="S2509" s="158">
        <f t="shared" si="426"/>
        <v>2.1333333333022892</v>
      </c>
      <c r="T2509" s="161">
        <f t="shared" si="427"/>
        <v>639.99999999068677</v>
      </c>
      <c r="U2509" s="158">
        <f t="shared" si="429"/>
        <v>300</v>
      </c>
      <c r="V2509" s="160">
        <f t="shared" si="428"/>
        <v>300</v>
      </c>
    </row>
    <row r="2510" spans="1:22" x14ac:dyDescent="0.25">
      <c r="A2510" s="98" t="s">
        <v>23</v>
      </c>
      <c r="B2510" s="98" t="s">
        <v>105</v>
      </c>
      <c r="C2510" s="98">
        <v>58</v>
      </c>
      <c r="D2510" s="98">
        <v>310</v>
      </c>
      <c r="E2510" s="157">
        <v>42164.916666666664</v>
      </c>
      <c r="F2510" s="157">
        <v>42165.094444444447</v>
      </c>
      <c r="G2510" s="98">
        <v>250</v>
      </c>
      <c r="H2510" s="98">
        <v>330</v>
      </c>
      <c r="I2510" s="98">
        <v>300</v>
      </c>
      <c r="J2510" s="98" t="s">
        <v>1966</v>
      </c>
      <c r="K2510" s="98" t="s">
        <v>2737</v>
      </c>
      <c r="L2510" s="105" t="str">
        <f t="shared" si="420"/>
        <v>Mill Creek</v>
      </c>
      <c r="M2510" s="105" t="str">
        <f t="shared" si="421"/>
        <v>Derate</v>
      </c>
      <c r="N2510" s="105" t="str">
        <f t="shared" si="422"/>
        <v>Coal</v>
      </c>
      <c r="O2510" s="105">
        <f>IFERROR(VLOOKUP(A2510,Lookup!$J$5:$P$19,7,FALSE),0)</f>
        <v>2</v>
      </c>
      <c r="P2510" s="159">
        <f t="shared" si="423"/>
        <v>2015</v>
      </c>
      <c r="Q2510" s="159">
        <f t="shared" si="424"/>
        <v>6</v>
      </c>
      <c r="R2510" s="160">
        <f t="shared" si="425"/>
        <v>4.2666666667792015</v>
      </c>
      <c r="S2510" s="158">
        <f t="shared" si="426"/>
        <v>1.0343434343707154</v>
      </c>
      <c r="T2510" s="161">
        <f t="shared" si="427"/>
        <v>310.30303031121463</v>
      </c>
      <c r="U2510" s="158">
        <f t="shared" si="429"/>
        <v>72.727272727272734</v>
      </c>
      <c r="V2510" s="160">
        <f t="shared" si="428"/>
        <v>73</v>
      </c>
    </row>
    <row r="2511" spans="1:22" x14ac:dyDescent="0.25">
      <c r="A2511" s="98" t="s">
        <v>23</v>
      </c>
      <c r="B2511" s="98" t="s">
        <v>79</v>
      </c>
      <c r="C2511" s="98">
        <v>59</v>
      </c>
      <c r="D2511" s="98">
        <v>8460</v>
      </c>
      <c r="E2511" s="157">
        <v>42165.094444444447</v>
      </c>
      <c r="F2511" s="157">
        <v>42165.182638888888</v>
      </c>
      <c r="G2511" s="98">
        <v>0</v>
      </c>
      <c r="H2511" s="98">
        <v>330</v>
      </c>
      <c r="I2511" s="98">
        <v>300</v>
      </c>
      <c r="J2511" s="98" t="s">
        <v>2651</v>
      </c>
      <c r="K2511" s="98" t="s">
        <v>2738</v>
      </c>
      <c r="L2511" s="105" t="str">
        <f t="shared" si="420"/>
        <v>Mill Creek</v>
      </c>
      <c r="M2511" s="105" t="str">
        <f t="shared" si="421"/>
        <v>Other</v>
      </c>
      <c r="N2511" s="105" t="str">
        <f t="shared" si="422"/>
        <v>Coal</v>
      </c>
      <c r="O2511" s="105">
        <f>IFERROR(VLOOKUP(A2511,Lookup!$J$5:$P$19,7,FALSE),0)</f>
        <v>2</v>
      </c>
      <c r="P2511" s="159">
        <f t="shared" si="423"/>
        <v>2015</v>
      </c>
      <c r="Q2511" s="159">
        <f t="shared" si="424"/>
        <v>6</v>
      </c>
      <c r="R2511" s="160">
        <f t="shared" si="425"/>
        <v>2.1166666665812954</v>
      </c>
      <c r="S2511" s="158">
        <f t="shared" si="426"/>
        <v>2.1166666665812954</v>
      </c>
      <c r="T2511" s="161">
        <f t="shared" si="427"/>
        <v>634.99999997438863</v>
      </c>
      <c r="U2511" s="158">
        <f t="shared" si="429"/>
        <v>300</v>
      </c>
      <c r="V2511" s="160">
        <f t="shared" si="428"/>
        <v>300</v>
      </c>
    </row>
    <row r="2512" spans="1:22" x14ac:dyDescent="0.25">
      <c r="A2512" s="98" t="s">
        <v>23</v>
      </c>
      <c r="B2512" s="98" t="s">
        <v>79</v>
      </c>
      <c r="C2512" s="98">
        <v>60</v>
      </c>
      <c r="D2512" s="98">
        <v>8460</v>
      </c>
      <c r="E2512" s="157">
        <v>42165.182638888888</v>
      </c>
      <c r="F2512" s="157">
        <v>42165.229166666664</v>
      </c>
      <c r="G2512" s="98">
        <v>0</v>
      </c>
      <c r="H2512" s="98">
        <v>330</v>
      </c>
      <c r="I2512" s="98">
        <v>300</v>
      </c>
      <c r="J2512" s="98" t="s">
        <v>2651</v>
      </c>
      <c r="K2512" s="98" t="s">
        <v>2739</v>
      </c>
      <c r="L2512" s="105" t="str">
        <f t="shared" si="420"/>
        <v>Mill Creek</v>
      </c>
      <c r="M2512" s="105" t="str">
        <f t="shared" si="421"/>
        <v>Other</v>
      </c>
      <c r="N2512" s="105" t="str">
        <f t="shared" si="422"/>
        <v>Coal</v>
      </c>
      <c r="O2512" s="105">
        <f>IFERROR(VLOOKUP(A2512,Lookup!$J$5:$P$19,7,FALSE),0)</f>
        <v>2</v>
      </c>
      <c r="P2512" s="159">
        <f t="shared" si="423"/>
        <v>2015</v>
      </c>
      <c r="Q2512" s="159">
        <f t="shared" si="424"/>
        <v>6</v>
      </c>
      <c r="R2512" s="160">
        <f t="shared" si="425"/>
        <v>1.1166666666395031</v>
      </c>
      <c r="S2512" s="158">
        <f t="shared" si="426"/>
        <v>1.1166666666395031</v>
      </c>
      <c r="T2512" s="161">
        <f t="shared" si="427"/>
        <v>334.99999999185093</v>
      </c>
      <c r="U2512" s="158">
        <f t="shared" si="429"/>
        <v>300</v>
      </c>
      <c r="V2512" s="160">
        <f t="shared" si="428"/>
        <v>300</v>
      </c>
    </row>
    <row r="2513" spans="1:22" x14ac:dyDescent="0.25">
      <c r="A2513" s="98" t="s">
        <v>23</v>
      </c>
      <c r="B2513" s="98" t="s">
        <v>17</v>
      </c>
      <c r="C2513" s="98">
        <v>61</v>
      </c>
      <c r="D2513" s="98">
        <v>310</v>
      </c>
      <c r="E2513" s="157">
        <v>42165.229166666664</v>
      </c>
      <c r="F2513" s="157">
        <v>42165.256944444445</v>
      </c>
      <c r="G2513" s="98">
        <v>250</v>
      </c>
      <c r="H2513" s="98">
        <v>330</v>
      </c>
      <c r="I2513" s="98">
        <v>300</v>
      </c>
      <c r="J2513" s="98" t="s">
        <v>1966</v>
      </c>
      <c r="K2513" s="98" t="s">
        <v>2740</v>
      </c>
      <c r="L2513" s="105" t="str">
        <f t="shared" si="420"/>
        <v>Mill Creek</v>
      </c>
      <c r="M2513" s="105" t="str">
        <f t="shared" si="421"/>
        <v>Derate</v>
      </c>
      <c r="N2513" s="105" t="str">
        <f t="shared" si="422"/>
        <v>Coal</v>
      </c>
      <c r="O2513" s="105">
        <f>IFERROR(VLOOKUP(A2513,Lookup!$J$5:$P$19,7,FALSE),0)</f>
        <v>2</v>
      </c>
      <c r="P2513" s="159">
        <f t="shared" si="423"/>
        <v>2015</v>
      </c>
      <c r="Q2513" s="159">
        <f t="shared" si="424"/>
        <v>6</v>
      </c>
      <c r="R2513" s="160">
        <f t="shared" si="425"/>
        <v>0.66666666674427688</v>
      </c>
      <c r="S2513" s="158">
        <f t="shared" si="426"/>
        <v>0.16161616163497622</v>
      </c>
      <c r="T2513" s="161">
        <f t="shared" si="427"/>
        <v>48.484848490492865</v>
      </c>
      <c r="U2513" s="158">
        <f t="shared" si="429"/>
        <v>72.727272727272734</v>
      </c>
      <c r="V2513" s="160">
        <f t="shared" si="428"/>
        <v>73</v>
      </c>
    </row>
    <row r="2514" spans="1:22" x14ac:dyDescent="0.25">
      <c r="A2514" s="98" t="s">
        <v>23</v>
      </c>
      <c r="B2514" s="98" t="s">
        <v>17</v>
      </c>
      <c r="C2514" s="98">
        <v>62</v>
      </c>
      <c r="D2514" s="98">
        <v>310</v>
      </c>
      <c r="E2514" s="157">
        <v>42165.28402777778</v>
      </c>
      <c r="F2514" s="157">
        <v>42165.379861111112</v>
      </c>
      <c r="G2514" s="98">
        <v>270</v>
      </c>
      <c r="H2514" s="98">
        <v>330</v>
      </c>
      <c r="I2514" s="98">
        <v>300</v>
      </c>
      <c r="J2514" s="98" t="s">
        <v>1966</v>
      </c>
      <c r="K2514" s="98" t="s">
        <v>2727</v>
      </c>
      <c r="L2514" s="105" t="str">
        <f t="shared" si="420"/>
        <v>Mill Creek</v>
      </c>
      <c r="M2514" s="105" t="str">
        <f t="shared" si="421"/>
        <v>Derate</v>
      </c>
      <c r="N2514" s="105" t="str">
        <f t="shared" si="422"/>
        <v>Coal</v>
      </c>
      <c r="O2514" s="105">
        <f>IFERROR(VLOOKUP(A2514,Lookup!$J$5:$P$19,7,FALSE),0)</f>
        <v>2</v>
      </c>
      <c r="P2514" s="159">
        <f t="shared" si="423"/>
        <v>2015</v>
      </c>
      <c r="Q2514" s="159">
        <f t="shared" si="424"/>
        <v>6</v>
      </c>
      <c r="R2514" s="160">
        <f t="shared" si="425"/>
        <v>2.2999999999883585</v>
      </c>
      <c r="S2514" s="158">
        <f t="shared" si="426"/>
        <v>0.41818181817970151</v>
      </c>
      <c r="T2514" s="161">
        <f t="shared" si="427"/>
        <v>125.45454545391046</v>
      </c>
      <c r="U2514" s="158">
        <f t="shared" si="429"/>
        <v>54.545454545454547</v>
      </c>
      <c r="V2514" s="160">
        <f t="shared" si="428"/>
        <v>55</v>
      </c>
    </row>
    <row r="2515" spans="1:22" x14ac:dyDescent="0.25">
      <c r="A2515" s="98" t="s">
        <v>23</v>
      </c>
      <c r="B2515" s="98" t="s">
        <v>79</v>
      </c>
      <c r="C2515" s="98">
        <v>63</v>
      </c>
      <c r="D2515" s="98">
        <v>8460</v>
      </c>
      <c r="E2515" s="157">
        <v>42165.379861111112</v>
      </c>
      <c r="F2515" s="157">
        <v>42165.661805555559</v>
      </c>
      <c r="G2515" s="98">
        <v>0</v>
      </c>
      <c r="H2515" s="98">
        <v>330</v>
      </c>
      <c r="I2515" s="98">
        <v>300</v>
      </c>
      <c r="J2515" s="98" t="s">
        <v>2651</v>
      </c>
      <c r="K2515" s="98" t="s">
        <v>2735</v>
      </c>
      <c r="L2515" s="105" t="str">
        <f t="shared" si="420"/>
        <v>Mill Creek</v>
      </c>
      <c r="M2515" s="105" t="str">
        <f t="shared" si="421"/>
        <v>Other</v>
      </c>
      <c r="N2515" s="105" t="str">
        <f t="shared" si="422"/>
        <v>Coal</v>
      </c>
      <c r="O2515" s="105">
        <f>IFERROR(VLOOKUP(A2515,Lookup!$J$5:$P$19,7,FALSE),0)</f>
        <v>2</v>
      </c>
      <c r="P2515" s="159">
        <f t="shared" si="423"/>
        <v>2015</v>
      </c>
      <c r="Q2515" s="159">
        <f t="shared" si="424"/>
        <v>6</v>
      </c>
      <c r="R2515" s="160">
        <f t="shared" si="425"/>
        <v>6.7666666667209938</v>
      </c>
      <c r="S2515" s="158">
        <f t="shared" si="426"/>
        <v>6.7666666667209938</v>
      </c>
      <c r="T2515" s="161">
        <f t="shared" si="427"/>
        <v>2030.0000000162981</v>
      </c>
      <c r="U2515" s="158">
        <f t="shared" si="429"/>
        <v>300</v>
      </c>
      <c r="V2515" s="160">
        <f t="shared" si="428"/>
        <v>300</v>
      </c>
    </row>
    <row r="2516" spans="1:22" x14ac:dyDescent="0.25">
      <c r="A2516" s="98" t="s">
        <v>23</v>
      </c>
      <c r="B2516" s="98" t="s">
        <v>105</v>
      </c>
      <c r="C2516" s="98">
        <v>64</v>
      </c>
      <c r="D2516" s="98">
        <v>310</v>
      </c>
      <c r="E2516" s="157">
        <v>42165.973611111112</v>
      </c>
      <c r="F2516" s="157">
        <v>42166.073611111111</v>
      </c>
      <c r="G2516" s="98">
        <v>250</v>
      </c>
      <c r="H2516" s="98">
        <v>330</v>
      </c>
      <c r="I2516" s="98">
        <v>300</v>
      </c>
      <c r="J2516" s="98" t="s">
        <v>1966</v>
      </c>
      <c r="K2516" s="98" t="s">
        <v>2741</v>
      </c>
      <c r="L2516" s="105" t="str">
        <f t="shared" si="420"/>
        <v>Mill Creek</v>
      </c>
      <c r="M2516" s="105" t="str">
        <f t="shared" si="421"/>
        <v>Derate</v>
      </c>
      <c r="N2516" s="105" t="str">
        <f t="shared" si="422"/>
        <v>Coal</v>
      </c>
      <c r="O2516" s="105">
        <f>IFERROR(VLOOKUP(A2516,Lookup!$J$5:$P$19,7,FALSE),0)</f>
        <v>2</v>
      </c>
      <c r="P2516" s="159">
        <f t="shared" si="423"/>
        <v>2015</v>
      </c>
      <c r="Q2516" s="159">
        <f t="shared" si="424"/>
        <v>6</v>
      </c>
      <c r="R2516" s="160">
        <f t="shared" si="425"/>
        <v>2.3999999999650754</v>
      </c>
      <c r="S2516" s="158">
        <f t="shared" si="426"/>
        <v>0.58181818180971523</v>
      </c>
      <c r="T2516" s="161">
        <f t="shared" si="427"/>
        <v>174.54545454291457</v>
      </c>
      <c r="U2516" s="158">
        <f t="shared" si="429"/>
        <v>72.727272727272734</v>
      </c>
      <c r="V2516" s="160">
        <f t="shared" si="428"/>
        <v>73</v>
      </c>
    </row>
    <row r="2517" spans="1:22" x14ac:dyDescent="0.25">
      <c r="A2517" s="98" t="s">
        <v>23</v>
      </c>
      <c r="B2517" s="98" t="s">
        <v>79</v>
      </c>
      <c r="C2517" s="98">
        <v>65</v>
      </c>
      <c r="D2517" s="98">
        <v>8460</v>
      </c>
      <c r="E2517" s="157">
        <v>42166.073611111111</v>
      </c>
      <c r="F2517" s="157">
        <v>42166.177083333336</v>
      </c>
      <c r="G2517" s="98">
        <v>0</v>
      </c>
      <c r="H2517" s="98">
        <v>330</v>
      </c>
      <c r="I2517" s="98">
        <v>300</v>
      </c>
      <c r="J2517" s="98" t="s">
        <v>2651</v>
      </c>
      <c r="K2517" s="98" t="s">
        <v>2738</v>
      </c>
      <c r="L2517" s="105" t="str">
        <f t="shared" si="420"/>
        <v>Mill Creek</v>
      </c>
      <c r="M2517" s="105" t="str">
        <f t="shared" si="421"/>
        <v>Other</v>
      </c>
      <c r="N2517" s="105" t="str">
        <f t="shared" si="422"/>
        <v>Coal</v>
      </c>
      <c r="O2517" s="105">
        <f>IFERROR(VLOOKUP(A2517,Lookup!$J$5:$P$19,7,FALSE),0)</f>
        <v>2</v>
      </c>
      <c r="P2517" s="159">
        <f t="shared" si="423"/>
        <v>2015</v>
      </c>
      <c r="Q2517" s="159">
        <f t="shared" si="424"/>
        <v>6</v>
      </c>
      <c r="R2517" s="160">
        <f t="shared" si="425"/>
        <v>2.4833333333954215</v>
      </c>
      <c r="S2517" s="158">
        <f t="shared" si="426"/>
        <v>2.4833333333954215</v>
      </c>
      <c r="T2517" s="161">
        <f t="shared" si="427"/>
        <v>745.00000001862645</v>
      </c>
      <c r="U2517" s="158">
        <f t="shared" si="429"/>
        <v>300</v>
      </c>
      <c r="V2517" s="160">
        <f t="shared" si="428"/>
        <v>300</v>
      </c>
    </row>
    <row r="2518" spans="1:22" x14ac:dyDescent="0.25">
      <c r="A2518" s="98" t="s">
        <v>23</v>
      </c>
      <c r="B2518" s="98" t="s">
        <v>79</v>
      </c>
      <c r="C2518" s="98">
        <v>66</v>
      </c>
      <c r="D2518" s="98">
        <v>8460</v>
      </c>
      <c r="E2518" s="157">
        <v>42166.177083333336</v>
      </c>
      <c r="F2518" s="157">
        <v>42166.31527777778</v>
      </c>
      <c r="G2518" s="98">
        <v>0</v>
      </c>
      <c r="H2518" s="98">
        <v>330</v>
      </c>
      <c r="I2518" s="98">
        <v>300</v>
      </c>
      <c r="J2518" s="98" t="s">
        <v>2651</v>
      </c>
      <c r="K2518" s="98" t="s">
        <v>2739</v>
      </c>
      <c r="L2518" s="105" t="str">
        <f t="shared" si="420"/>
        <v>Mill Creek</v>
      </c>
      <c r="M2518" s="105" t="str">
        <f t="shared" si="421"/>
        <v>Other</v>
      </c>
      <c r="N2518" s="105" t="str">
        <f t="shared" si="422"/>
        <v>Coal</v>
      </c>
      <c r="O2518" s="105">
        <f>IFERROR(VLOOKUP(A2518,Lookup!$J$5:$P$19,7,FALSE),0)</f>
        <v>2</v>
      </c>
      <c r="P2518" s="159">
        <f t="shared" si="423"/>
        <v>2015</v>
      </c>
      <c r="Q2518" s="159">
        <f t="shared" si="424"/>
        <v>6</v>
      </c>
      <c r="R2518" s="160">
        <f t="shared" si="425"/>
        <v>3.3166666666511446</v>
      </c>
      <c r="S2518" s="158">
        <f t="shared" si="426"/>
        <v>3.3166666666511446</v>
      </c>
      <c r="T2518" s="161">
        <f t="shared" si="427"/>
        <v>994.99999999534339</v>
      </c>
      <c r="U2518" s="158">
        <f t="shared" si="429"/>
        <v>300</v>
      </c>
      <c r="V2518" s="160">
        <f t="shared" si="428"/>
        <v>300</v>
      </c>
    </row>
    <row r="2519" spans="1:22" x14ac:dyDescent="0.25">
      <c r="A2519" s="98" t="s">
        <v>23</v>
      </c>
      <c r="B2519" s="98" t="s">
        <v>105</v>
      </c>
      <c r="C2519" s="98">
        <v>67</v>
      </c>
      <c r="D2519" s="98">
        <v>310</v>
      </c>
      <c r="E2519" s="157">
        <v>42166.958333333336</v>
      </c>
      <c r="F2519" s="157">
        <v>42167.172222222223</v>
      </c>
      <c r="G2519" s="98">
        <v>250</v>
      </c>
      <c r="H2519" s="98">
        <v>330</v>
      </c>
      <c r="I2519" s="98">
        <v>300</v>
      </c>
      <c r="J2519" s="98" t="s">
        <v>1966</v>
      </c>
      <c r="K2519" s="98" t="s">
        <v>2742</v>
      </c>
      <c r="L2519" s="105" t="str">
        <f t="shared" si="420"/>
        <v>Mill Creek</v>
      </c>
      <c r="M2519" s="105" t="str">
        <f t="shared" si="421"/>
        <v>Derate</v>
      </c>
      <c r="N2519" s="105" t="str">
        <f t="shared" si="422"/>
        <v>Coal</v>
      </c>
      <c r="O2519" s="105">
        <f>IFERROR(VLOOKUP(A2519,Lookup!$J$5:$P$19,7,FALSE),0)</f>
        <v>2</v>
      </c>
      <c r="P2519" s="159">
        <f t="shared" si="423"/>
        <v>2015</v>
      </c>
      <c r="Q2519" s="159">
        <f t="shared" si="424"/>
        <v>6</v>
      </c>
      <c r="R2519" s="160">
        <f t="shared" si="425"/>
        <v>5.1333333333022892</v>
      </c>
      <c r="S2519" s="158">
        <f t="shared" si="426"/>
        <v>1.2444444444369187</v>
      </c>
      <c r="T2519" s="161">
        <f t="shared" si="427"/>
        <v>373.33333333107561</v>
      </c>
      <c r="U2519" s="158">
        <f t="shared" si="429"/>
        <v>72.727272727272734</v>
      </c>
      <c r="V2519" s="160">
        <f t="shared" si="428"/>
        <v>73</v>
      </c>
    </row>
    <row r="2520" spans="1:22" x14ac:dyDescent="0.25">
      <c r="A2520" s="98" t="s">
        <v>23</v>
      </c>
      <c r="B2520" s="98" t="s">
        <v>105</v>
      </c>
      <c r="C2520" s="98">
        <v>68</v>
      </c>
      <c r="D2520" s="98">
        <v>310</v>
      </c>
      <c r="E2520" s="157">
        <v>42170.958333333336</v>
      </c>
      <c r="F2520" s="157">
        <v>42171.193055555559</v>
      </c>
      <c r="G2520" s="98">
        <v>250</v>
      </c>
      <c r="H2520" s="98">
        <v>330</v>
      </c>
      <c r="I2520" s="98">
        <v>300</v>
      </c>
      <c r="J2520" s="98" t="s">
        <v>1966</v>
      </c>
      <c r="K2520" s="98" t="s">
        <v>2743</v>
      </c>
      <c r="L2520" s="105" t="str">
        <f t="shared" si="420"/>
        <v>Mill Creek</v>
      </c>
      <c r="M2520" s="105" t="str">
        <f t="shared" si="421"/>
        <v>Derate</v>
      </c>
      <c r="N2520" s="105" t="str">
        <f t="shared" si="422"/>
        <v>Coal</v>
      </c>
      <c r="O2520" s="105">
        <f>IFERROR(VLOOKUP(A2520,Lookup!$J$5:$P$19,7,FALSE),0)</f>
        <v>2</v>
      </c>
      <c r="P2520" s="159">
        <f t="shared" si="423"/>
        <v>2015</v>
      </c>
      <c r="Q2520" s="159">
        <f t="shared" si="424"/>
        <v>6</v>
      </c>
      <c r="R2520" s="160">
        <f t="shared" si="425"/>
        <v>5.6333333333604969</v>
      </c>
      <c r="S2520" s="158">
        <f t="shared" si="426"/>
        <v>1.3656565656631507</v>
      </c>
      <c r="T2520" s="161">
        <f t="shared" si="427"/>
        <v>409.69696969894522</v>
      </c>
      <c r="U2520" s="158">
        <f t="shared" si="429"/>
        <v>72.727272727272734</v>
      </c>
      <c r="V2520" s="160">
        <f t="shared" si="428"/>
        <v>73</v>
      </c>
    </row>
    <row r="2521" spans="1:22" x14ac:dyDescent="0.25">
      <c r="A2521" s="98" t="s">
        <v>23</v>
      </c>
      <c r="B2521" s="98" t="s">
        <v>105</v>
      </c>
      <c r="C2521" s="98">
        <v>69</v>
      </c>
      <c r="D2521" s="98">
        <v>310</v>
      </c>
      <c r="E2521" s="157">
        <v>42172.958333333336</v>
      </c>
      <c r="F2521" s="157">
        <v>42173.23333333333</v>
      </c>
      <c r="G2521" s="98">
        <v>240</v>
      </c>
      <c r="H2521" s="98">
        <v>330</v>
      </c>
      <c r="I2521" s="98">
        <v>300</v>
      </c>
      <c r="J2521" s="98" t="s">
        <v>1966</v>
      </c>
      <c r="K2521" s="98" t="s">
        <v>2744</v>
      </c>
      <c r="L2521" s="105" t="str">
        <f t="shared" si="420"/>
        <v>Mill Creek</v>
      </c>
      <c r="M2521" s="105" t="str">
        <f t="shared" si="421"/>
        <v>Derate</v>
      </c>
      <c r="N2521" s="105" t="str">
        <f t="shared" si="422"/>
        <v>Coal</v>
      </c>
      <c r="O2521" s="105">
        <f>IFERROR(VLOOKUP(A2521,Lookup!$J$5:$P$19,7,FALSE),0)</f>
        <v>2</v>
      </c>
      <c r="P2521" s="159">
        <f t="shared" si="423"/>
        <v>2015</v>
      </c>
      <c r="Q2521" s="159">
        <f t="shared" si="424"/>
        <v>6</v>
      </c>
      <c r="R2521" s="160">
        <f t="shared" si="425"/>
        <v>6.5999999998603016</v>
      </c>
      <c r="S2521" s="158">
        <f t="shared" si="426"/>
        <v>1.7999999999619005</v>
      </c>
      <c r="T2521" s="161">
        <f t="shared" si="427"/>
        <v>539.99999998857015</v>
      </c>
      <c r="U2521" s="158">
        <f t="shared" si="429"/>
        <v>81.818181818181813</v>
      </c>
      <c r="V2521" s="160">
        <f t="shared" si="428"/>
        <v>82</v>
      </c>
    </row>
    <row r="2522" spans="1:22" x14ac:dyDescent="0.25">
      <c r="A2522" s="98" t="s">
        <v>23</v>
      </c>
      <c r="B2522" s="98" t="s">
        <v>79</v>
      </c>
      <c r="C2522" s="98">
        <v>70</v>
      </c>
      <c r="D2522" s="98">
        <v>8650</v>
      </c>
      <c r="E2522" s="157">
        <v>42178.333333333336</v>
      </c>
      <c r="F2522" s="157">
        <v>42178.726388888892</v>
      </c>
      <c r="G2522" s="98">
        <v>0</v>
      </c>
      <c r="H2522" s="98">
        <v>330</v>
      </c>
      <c r="I2522" s="98">
        <v>300</v>
      </c>
      <c r="J2522" s="98" t="s">
        <v>2668</v>
      </c>
      <c r="K2522" s="98" t="s">
        <v>2729</v>
      </c>
      <c r="L2522" s="105" t="str">
        <f t="shared" si="420"/>
        <v>Mill Creek</v>
      </c>
      <c r="M2522" s="105" t="str">
        <f t="shared" si="421"/>
        <v>Other</v>
      </c>
      <c r="N2522" s="105" t="str">
        <f t="shared" si="422"/>
        <v>Coal</v>
      </c>
      <c r="O2522" s="105">
        <f>IFERROR(VLOOKUP(A2522,Lookup!$J$5:$P$19,7,FALSE),0)</f>
        <v>2</v>
      </c>
      <c r="P2522" s="159">
        <f t="shared" si="423"/>
        <v>2015</v>
      </c>
      <c r="Q2522" s="159">
        <f t="shared" si="424"/>
        <v>6</v>
      </c>
      <c r="R2522" s="160">
        <f t="shared" si="425"/>
        <v>9.4333333333488554</v>
      </c>
      <c r="S2522" s="158">
        <f t="shared" si="426"/>
        <v>9.4333333333488554</v>
      </c>
      <c r="T2522" s="161">
        <f t="shared" si="427"/>
        <v>2830.0000000046566</v>
      </c>
      <c r="U2522" s="158">
        <f t="shared" si="429"/>
        <v>300</v>
      </c>
      <c r="V2522" s="160">
        <f t="shared" si="428"/>
        <v>300</v>
      </c>
    </row>
    <row r="2523" spans="1:22" x14ac:dyDescent="0.25">
      <c r="A2523" s="98" t="s">
        <v>23</v>
      </c>
      <c r="B2523" s="98" t="s">
        <v>79</v>
      </c>
      <c r="C2523" s="98">
        <v>71</v>
      </c>
      <c r="D2523" s="98">
        <v>1160</v>
      </c>
      <c r="E2523" s="157">
        <v>42178.979166666664</v>
      </c>
      <c r="F2523" s="157">
        <v>42179.183333333334</v>
      </c>
      <c r="G2523" s="98">
        <v>0</v>
      </c>
      <c r="H2523" s="98">
        <v>330</v>
      </c>
      <c r="I2523" s="98">
        <v>300</v>
      </c>
      <c r="J2523" s="98" t="s">
        <v>2273</v>
      </c>
      <c r="K2523" s="98" t="s">
        <v>3507</v>
      </c>
      <c r="L2523" s="105" t="str">
        <f t="shared" si="420"/>
        <v>Mill Creek</v>
      </c>
      <c r="M2523" s="105" t="str">
        <f t="shared" si="421"/>
        <v>Other</v>
      </c>
      <c r="N2523" s="105" t="str">
        <f t="shared" si="422"/>
        <v>Coal</v>
      </c>
      <c r="O2523" s="105">
        <f>IFERROR(VLOOKUP(A2523,Lookup!$J$5:$P$19,7,FALSE),0)</f>
        <v>2</v>
      </c>
      <c r="P2523" s="159">
        <f t="shared" si="423"/>
        <v>2015</v>
      </c>
      <c r="Q2523" s="159">
        <f t="shared" si="424"/>
        <v>6</v>
      </c>
      <c r="R2523" s="160">
        <f t="shared" si="425"/>
        <v>4.9000000000814907</v>
      </c>
      <c r="S2523" s="158">
        <f t="shared" si="426"/>
        <v>4.9000000000814907</v>
      </c>
      <c r="T2523" s="161">
        <f t="shared" si="427"/>
        <v>1470.0000000244472</v>
      </c>
      <c r="U2523" s="158">
        <f t="shared" si="429"/>
        <v>300</v>
      </c>
      <c r="V2523" s="160">
        <f t="shared" si="428"/>
        <v>300</v>
      </c>
    </row>
    <row r="2524" spans="1:22" x14ac:dyDescent="0.25">
      <c r="A2524" s="98" t="s">
        <v>23</v>
      </c>
      <c r="B2524" s="98" t="s">
        <v>79</v>
      </c>
      <c r="C2524" s="98">
        <v>72</v>
      </c>
      <c r="D2524" s="98">
        <v>8460</v>
      </c>
      <c r="E2524" s="157">
        <v>42179.375</v>
      </c>
      <c r="F2524" s="157">
        <v>42179.724999999999</v>
      </c>
      <c r="G2524" s="98">
        <v>0</v>
      </c>
      <c r="H2524" s="98">
        <v>330</v>
      </c>
      <c r="I2524" s="98">
        <v>300</v>
      </c>
      <c r="J2524" s="98" t="s">
        <v>2651</v>
      </c>
      <c r="K2524" s="98" t="s">
        <v>422</v>
      </c>
      <c r="L2524" s="105" t="str">
        <f t="shared" si="420"/>
        <v>Mill Creek</v>
      </c>
      <c r="M2524" s="105" t="str">
        <f t="shared" si="421"/>
        <v>Other</v>
      </c>
      <c r="N2524" s="105" t="str">
        <f t="shared" si="422"/>
        <v>Coal</v>
      </c>
      <c r="O2524" s="105">
        <f>IFERROR(VLOOKUP(A2524,Lookup!$J$5:$P$19,7,FALSE),0)</f>
        <v>2</v>
      </c>
      <c r="P2524" s="159">
        <f t="shared" si="423"/>
        <v>2015</v>
      </c>
      <c r="Q2524" s="159">
        <f t="shared" si="424"/>
        <v>6</v>
      </c>
      <c r="R2524" s="160">
        <f t="shared" si="425"/>
        <v>8.3999999999650754</v>
      </c>
      <c r="S2524" s="158">
        <f t="shared" si="426"/>
        <v>8.3999999999650754</v>
      </c>
      <c r="T2524" s="161">
        <f t="shared" si="427"/>
        <v>2519.9999999895226</v>
      </c>
      <c r="U2524" s="158">
        <f t="shared" si="429"/>
        <v>300</v>
      </c>
      <c r="V2524" s="160">
        <f t="shared" si="428"/>
        <v>300</v>
      </c>
    </row>
    <row r="2525" spans="1:22" x14ac:dyDescent="0.25">
      <c r="A2525" s="98" t="s">
        <v>23</v>
      </c>
      <c r="B2525" s="98" t="s">
        <v>79</v>
      </c>
      <c r="C2525" s="98">
        <v>73</v>
      </c>
      <c r="D2525" s="98">
        <v>8650</v>
      </c>
      <c r="E2525" s="157">
        <v>42180.333333333336</v>
      </c>
      <c r="F2525" s="157">
        <v>42180.601388888892</v>
      </c>
      <c r="G2525" s="98">
        <v>0</v>
      </c>
      <c r="H2525" s="98">
        <v>330</v>
      </c>
      <c r="I2525" s="98">
        <v>300</v>
      </c>
      <c r="J2525" s="98" t="s">
        <v>2668</v>
      </c>
      <c r="K2525" s="98" t="s">
        <v>3508</v>
      </c>
      <c r="L2525" s="105" t="str">
        <f t="shared" si="420"/>
        <v>Mill Creek</v>
      </c>
      <c r="M2525" s="105" t="str">
        <f t="shared" si="421"/>
        <v>Other</v>
      </c>
      <c r="N2525" s="105" t="str">
        <f t="shared" si="422"/>
        <v>Coal</v>
      </c>
      <c r="O2525" s="105">
        <f>IFERROR(VLOOKUP(A2525,Lookup!$J$5:$P$19,7,FALSE),0)</f>
        <v>2</v>
      </c>
      <c r="P2525" s="159">
        <f t="shared" si="423"/>
        <v>2015</v>
      </c>
      <c r="Q2525" s="159">
        <f t="shared" si="424"/>
        <v>6</v>
      </c>
      <c r="R2525" s="160">
        <f t="shared" si="425"/>
        <v>6.4333333333488554</v>
      </c>
      <c r="S2525" s="158">
        <f t="shared" si="426"/>
        <v>6.4333333333488554</v>
      </c>
      <c r="T2525" s="161">
        <f t="shared" si="427"/>
        <v>1930.0000000046566</v>
      </c>
      <c r="U2525" s="158">
        <f t="shared" si="429"/>
        <v>300</v>
      </c>
      <c r="V2525" s="160">
        <f t="shared" si="428"/>
        <v>300</v>
      </c>
    </row>
    <row r="2526" spans="1:22" x14ac:dyDescent="0.25">
      <c r="A2526" s="98" t="s">
        <v>23</v>
      </c>
      <c r="B2526" s="98" t="s">
        <v>20</v>
      </c>
      <c r="C2526" s="98">
        <v>74</v>
      </c>
      <c r="D2526" s="98">
        <v>3110</v>
      </c>
      <c r="E2526" s="157">
        <v>42181.861805555556</v>
      </c>
      <c r="F2526" s="157">
        <v>42182.842361111114</v>
      </c>
      <c r="G2526" s="98">
        <v>0</v>
      </c>
      <c r="H2526" s="98">
        <v>330</v>
      </c>
      <c r="I2526" s="98">
        <v>300</v>
      </c>
      <c r="J2526" s="98" t="s">
        <v>2119</v>
      </c>
      <c r="K2526" s="98" t="s">
        <v>2856</v>
      </c>
      <c r="L2526" s="105" t="str">
        <f t="shared" si="420"/>
        <v>Mill Creek</v>
      </c>
      <c r="M2526" s="105" t="str">
        <f t="shared" si="421"/>
        <v>Maintenance</v>
      </c>
      <c r="N2526" s="105" t="str">
        <f t="shared" si="422"/>
        <v>Coal</v>
      </c>
      <c r="O2526" s="105">
        <f>IFERROR(VLOOKUP(A2526,Lookup!$J$5:$P$19,7,FALSE),0)</f>
        <v>2</v>
      </c>
      <c r="P2526" s="159">
        <f t="shared" si="423"/>
        <v>2015</v>
      </c>
      <c r="Q2526" s="159">
        <f t="shared" si="424"/>
        <v>6</v>
      </c>
      <c r="R2526" s="160">
        <f t="shared" si="425"/>
        <v>23.53333333338378</v>
      </c>
      <c r="S2526" s="158">
        <f t="shared" si="426"/>
        <v>23.53333333338378</v>
      </c>
      <c r="T2526" s="161">
        <f t="shared" si="427"/>
        <v>7060.000000015134</v>
      </c>
      <c r="U2526" s="158">
        <f t="shared" si="429"/>
        <v>300</v>
      </c>
      <c r="V2526" s="160">
        <f t="shared" si="428"/>
        <v>300</v>
      </c>
    </row>
    <row r="2527" spans="1:22" x14ac:dyDescent="0.25">
      <c r="A2527" s="98" t="s">
        <v>23</v>
      </c>
      <c r="B2527" s="98" t="s">
        <v>79</v>
      </c>
      <c r="C2527" s="98">
        <v>76</v>
      </c>
      <c r="D2527" s="98">
        <v>1850</v>
      </c>
      <c r="E2527" s="157">
        <v>42184.255555555559</v>
      </c>
      <c r="F2527" s="157">
        <v>42184.592361111114</v>
      </c>
      <c r="G2527" s="98">
        <v>0</v>
      </c>
      <c r="H2527" s="98">
        <v>330</v>
      </c>
      <c r="I2527" s="98">
        <v>300</v>
      </c>
      <c r="J2527" s="98" t="s">
        <v>2263</v>
      </c>
      <c r="K2527" s="98" t="s">
        <v>3509</v>
      </c>
      <c r="L2527" s="105" t="str">
        <f t="shared" si="420"/>
        <v>Mill Creek</v>
      </c>
      <c r="M2527" s="105" t="str">
        <f t="shared" si="421"/>
        <v>Other</v>
      </c>
      <c r="N2527" s="105" t="str">
        <f t="shared" si="422"/>
        <v>Coal</v>
      </c>
      <c r="O2527" s="105">
        <f>IFERROR(VLOOKUP(A2527,Lookup!$J$5:$P$19,7,FALSE),0)</f>
        <v>2</v>
      </c>
      <c r="P2527" s="159">
        <f t="shared" si="423"/>
        <v>2015</v>
      </c>
      <c r="Q2527" s="159">
        <f t="shared" si="424"/>
        <v>6</v>
      </c>
      <c r="R2527" s="160">
        <f t="shared" si="425"/>
        <v>8.0833333333139308</v>
      </c>
      <c r="S2527" s="158">
        <f t="shared" si="426"/>
        <v>8.0833333333139308</v>
      </c>
      <c r="T2527" s="161">
        <f t="shared" si="427"/>
        <v>2424.9999999941792</v>
      </c>
      <c r="U2527" s="158">
        <f t="shared" si="429"/>
        <v>300</v>
      </c>
      <c r="V2527" s="160">
        <f t="shared" si="428"/>
        <v>300</v>
      </c>
    </row>
    <row r="2528" spans="1:22" x14ac:dyDescent="0.25">
      <c r="A2528" s="98" t="s">
        <v>23</v>
      </c>
      <c r="B2528" s="98" t="s">
        <v>17</v>
      </c>
      <c r="C2528" s="98">
        <v>77</v>
      </c>
      <c r="D2528" s="98">
        <v>1850</v>
      </c>
      <c r="E2528" s="162">
        <v>42184.592361111114</v>
      </c>
      <c r="F2528" s="157">
        <v>42184.613888888889</v>
      </c>
      <c r="G2528" s="98">
        <v>309</v>
      </c>
      <c r="H2528" s="98">
        <v>330</v>
      </c>
      <c r="I2528" s="98">
        <v>300</v>
      </c>
      <c r="J2528" s="98" t="s">
        <v>2263</v>
      </c>
      <c r="K2528" s="98" t="s">
        <v>62</v>
      </c>
      <c r="L2528" s="105" t="str">
        <f t="shared" si="420"/>
        <v>Mill Creek</v>
      </c>
      <c r="M2528" s="105" t="str">
        <f t="shared" si="421"/>
        <v>Derate</v>
      </c>
      <c r="N2528" s="105" t="str">
        <f t="shared" si="422"/>
        <v>Coal</v>
      </c>
      <c r="O2528" s="105">
        <f>IFERROR(VLOOKUP(A2528,Lookup!$J$5:$P$19,7,FALSE),0)</f>
        <v>2</v>
      </c>
      <c r="P2528" s="159">
        <f t="shared" si="423"/>
        <v>2015</v>
      </c>
      <c r="Q2528" s="159">
        <f t="shared" si="424"/>
        <v>6</v>
      </c>
      <c r="R2528" s="160">
        <f t="shared" si="425"/>
        <v>0.5166666666045785</v>
      </c>
      <c r="S2528" s="158">
        <f t="shared" si="426"/>
        <v>3.2878787874836814E-2</v>
      </c>
      <c r="T2528" s="161">
        <f t="shared" si="427"/>
        <v>9.8636363624510448</v>
      </c>
      <c r="U2528" s="158">
        <f t="shared" si="429"/>
        <v>19.09090909090909</v>
      </c>
      <c r="V2528" s="160">
        <f t="shared" si="428"/>
        <v>19</v>
      </c>
    </row>
    <row r="2529" spans="1:22" x14ac:dyDescent="0.25">
      <c r="A2529" s="98" t="s">
        <v>23</v>
      </c>
      <c r="B2529" s="98" t="s">
        <v>17</v>
      </c>
      <c r="C2529" s="98">
        <v>78</v>
      </c>
      <c r="D2529" s="98">
        <v>1850</v>
      </c>
      <c r="E2529" s="157">
        <v>42184.613888888889</v>
      </c>
      <c r="F2529" s="157">
        <v>42184.658333333333</v>
      </c>
      <c r="G2529" s="98">
        <v>325</v>
      </c>
      <c r="H2529" s="98">
        <v>330</v>
      </c>
      <c r="I2529" s="98">
        <v>300</v>
      </c>
      <c r="J2529" s="98" t="s">
        <v>2263</v>
      </c>
      <c r="K2529" s="98" t="s">
        <v>62</v>
      </c>
      <c r="L2529" s="105" t="str">
        <f t="shared" si="420"/>
        <v>Mill Creek</v>
      </c>
      <c r="M2529" s="105" t="str">
        <f t="shared" si="421"/>
        <v>Derate</v>
      </c>
      <c r="N2529" s="105" t="str">
        <f t="shared" si="422"/>
        <v>Coal</v>
      </c>
      <c r="O2529" s="105">
        <f>IFERROR(VLOOKUP(A2529,Lookup!$J$5:$P$19,7,FALSE),0)</f>
        <v>2</v>
      </c>
      <c r="P2529" s="159">
        <f t="shared" si="423"/>
        <v>2015</v>
      </c>
      <c r="Q2529" s="159">
        <f t="shared" si="424"/>
        <v>6</v>
      </c>
      <c r="R2529" s="160">
        <f t="shared" si="425"/>
        <v>1.0666666666511446</v>
      </c>
      <c r="S2529" s="158">
        <f t="shared" si="426"/>
        <v>1.6161616161380978E-2</v>
      </c>
      <c r="T2529" s="161">
        <f t="shared" si="427"/>
        <v>4.8484848484142935</v>
      </c>
      <c r="U2529" s="158">
        <f t="shared" si="429"/>
        <v>4.5454545454545459</v>
      </c>
      <c r="V2529" s="160">
        <f t="shared" si="428"/>
        <v>5</v>
      </c>
    </row>
    <row r="2530" spans="1:22" x14ac:dyDescent="0.25">
      <c r="A2530" s="98" t="s">
        <v>23</v>
      </c>
      <c r="B2530" s="98" t="s">
        <v>79</v>
      </c>
      <c r="C2530" s="98">
        <v>79</v>
      </c>
      <c r="D2530" s="98">
        <v>1488</v>
      </c>
      <c r="E2530" s="157">
        <v>42193.5</v>
      </c>
      <c r="F2530" s="157">
        <v>42193.552083333336</v>
      </c>
      <c r="G2530" s="98">
        <v>0</v>
      </c>
      <c r="H2530" s="98">
        <v>330</v>
      </c>
      <c r="I2530" s="98">
        <v>300</v>
      </c>
      <c r="J2530" s="98" t="s">
        <v>2284</v>
      </c>
      <c r="K2530" s="98" t="s">
        <v>3510</v>
      </c>
      <c r="L2530" s="105" t="str">
        <f t="shared" si="420"/>
        <v>Mill Creek</v>
      </c>
      <c r="M2530" s="105" t="str">
        <f t="shared" si="421"/>
        <v>Other</v>
      </c>
      <c r="N2530" s="105" t="str">
        <f t="shared" si="422"/>
        <v>Coal</v>
      </c>
      <c r="O2530" s="105">
        <f>IFERROR(VLOOKUP(A2530,Lookup!$J$5:$P$19,7,FALSE),0)</f>
        <v>2</v>
      </c>
      <c r="P2530" s="159">
        <f t="shared" si="423"/>
        <v>2015</v>
      </c>
      <c r="Q2530" s="159">
        <f t="shared" si="424"/>
        <v>7</v>
      </c>
      <c r="R2530" s="160">
        <f t="shared" si="425"/>
        <v>1.2500000000582077</v>
      </c>
      <c r="S2530" s="158">
        <f t="shared" si="426"/>
        <v>1.2500000000582077</v>
      </c>
      <c r="T2530" s="161">
        <f t="shared" si="427"/>
        <v>375.0000000174623</v>
      </c>
      <c r="U2530" s="158">
        <f t="shared" si="429"/>
        <v>300</v>
      </c>
      <c r="V2530" s="160">
        <f t="shared" si="428"/>
        <v>300</v>
      </c>
    </row>
    <row r="2531" spans="1:22" x14ac:dyDescent="0.25">
      <c r="A2531" s="98" t="s">
        <v>23</v>
      </c>
      <c r="B2531" s="98" t="s">
        <v>79</v>
      </c>
      <c r="C2531" s="98">
        <v>80</v>
      </c>
      <c r="D2531" s="98">
        <v>9999</v>
      </c>
      <c r="E2531" s="157">
        <v>42194.340277777781</v>
      </c>
      <c r="F2531" s="157">
        <v>42194.60833333333</v>
      </c>
      <c r="G2531" s="98">
        <v>0</v>
      </c>
      <c r="H2531" s="98">
        <v>330</v>
      </c>
      <c r="I2531" s="98">
        <v>300</v>
      </c>
      <c r="J2531" s="98" t="s">
        <v>2261</v>
      </c>
      <c r="K2531" s="98" t="s">
        <v>3511</v>
      </c>
      <c r="L2531" s="105" t="str">
        <f t="shared" si="420"/>
        <v>Mill Creek</v>
      </c>
      <c r="M2531" s="105" t="str">
        <f t="shared" si="421"/>
        <v>Other</v>
      </c>
      <c r="N2531" s="105" t="str">
        <f t="shared" si="422"/>
        <v>Coal</v>
      </c>
      <c r="O2531" s="105">
        <f>IFERROR(VLOOKUP(A2531,Lookup!$J$5:$P$19,7,FALSE),0)</f>
        <v>2</v>
      </c>
      <c r="P2531" s="159">
        <f t="shared" si="423"/>
        <v>2015</v>
      </c>
      <c r="Q2531" s="159">
        <f t="shared" si="424"/>
        <v>7</v>
      </c>
      <c r="R2531" s="160">
        <f t="shared" si="425"/>
        <v>6.4333333331742324</v>
      </c>
      <c r="S2531" s="158">
        <f t="shared" si="426"/>
        <v>6.4333333331742324</v>
      </c>
      <c r="T2531" s="161">
        <f t="shared" si="427"/>
        <v>1929.9999999522697</v>
      </c>
      <c r="U2531" s="158">
        <f t="shared" si="429"/>
        <v>300</v>
      </c>
      <c r="V2531" s="160">
        <f t="shared" si="428"/>
        <v>300</v>
      </c>
    </row>
    <row r="2532" spans="1:22" x14ac:dyDescent="0.25">
      <c r="A2532" s="98" t="s">
        <v>23</v>
      </c>
      <c r="B2532" s="98" t="s">
        <v>105</v>
      </c>
      <c r="C2532" s="98">
        <v>81</v>
      </c>
      <c r="D2532" s="98">
        <v>310</v>
      </c>
      <c r="E2532" s="157">
        <v>42204.958333333336</v>
      </c>
      <c r="F2532" s="157">
        <v>42205.048611111109</v>
      </c>
      <c r="G2532" s="98">
        <v>250</v>
      </c>
      <c r="H2532" s="98">
        <v>330</v>
      </c>
      <c r="I2532" s="98">
        <v>300</v>
      </c>
      <c r="J2532" s="98" t="s">
        <v>1966</v>
      </c>
      <c r="K2532" s="98" t="s">
        <v>3512</v>
      </c>
      <c r="L2532" s="105" t="str">
        <f t="shared" si="420"/>
        <v>Mill Creek</v>
      </c>
      <c r="M2532" s="105" t="str">
        <f t="shared" si="421"/>
        <v>Derate</v>
      </c>
      <c r="N2532" s="105" t="str">
        <f t="shared" si="422"/>
        <v>Coal</v>
      </c>
      <c r="O2532" s="105">
        <f>IFERROR(VLOOKUP(A2532,Lookup!$J$5:$P$19,7,FALSE),0)</f>
        <v>2</v>
      </c>
      <c r="P2532" s="159">
        <f t="shared" si="423"/>
        <v>2015</v>
      </c>
      <c r="Q2532" s="159">
        <f t="shared" si="424"/>
        <v>7</v>
      </c>
      <c r="R2532" s="160">
        <f t="shared" si="425"/>
        <v>2.1666666665696539</v>
      </c>
      <c r="S2532" s="158">
        <f t="shared" si="426"/>
        <v>0.52525252522900701</v>
      </c>
      <c r="T2532" s="161">
        <f t="shared" si="427"/>
        <v>157.5757575687021</v>
      </c>
      <c r="U2532" s="158">
        <f t="shared" si="429"/>
        <v>72.727272727272734</v>
      </c>
      <c r="V2532" s="160">
        <f t="shared" si="428"/>
        <v>73</v>
      </c>
    </row>
    <row r="2533" spans="1:22" x14ac:dyDescent="0.25">
      <c r="A2533" s="98" t="s">
        <v>23</v>
      </c>
      <c r="B2533" s="98" t="s">
        <v>79</v>
      </c>
      <c r="C2533" s="98">
        <v>82</v>
      </c>
      <c r="D2533" s="98">
        <v>8460</v>
      </c>
      <c r="E2533" s="157">
        <v>42208.387499999997</v>
      </c>
      <c r="F2533" s="157">
        <v>42208.541666666664</v>
      </c>
      <c r="G2533" s="98">
        <v>0</v>
      </c>
      <c r="H2533" s="98">
        <v>330</v>
      </c>
      <c r="I2533" s="98">
        <v>300</v>
      </c>
      <c r="J2533" s="98" t="s">
        <v>2651</v>
      </c>
      <c r="K2533" s="98" t="s">
        <v>3513</v>
      </c>
      <c r="L2533" s="105" t="str">
        <f t="shared" si="420"/>
        <v>Mill Creek</v>
      </c>
      <c r="M2533" s="105" t="str">
        <f t="shared" si="421"/>
        <v>Other</v>
      </c>
      <c r="N2533" s="105" t="str">
        <f t="shared" si="422"/>
        <v>Coal</v>
      </c>
      <c r="O2533" s="105">
        <f>IFERROR(VLOOKUP(A2533,Lookup!$J$5:$P$19,7,FALSE),0)</f>
        <v>2</v>
      </c>
      <c r="P2533" s="159">
        <f t="shared" si="423"/>
        <v>2015</v>
      </c>
      <c r="Q2533" s="159">
        <f t="shared" si="424"/>
        <v>7</v>
      </c>
      <c r="R2533" s="160">
        <f t="shared" si="425"/>
        <v>3.7000000000116415</v>
      </c>
      <c r="S2533" s="158">
        <f t="shared" si="426"/>
        <v>3.7000000000116415</v>
      </c>
      <c r="T2533" s="161">
        <f t="shared" si="427"/>
        <v>1110.0000000034925</v>
      </c>
      <c r="U2533" s="158">
        <f t="shared" si="429"/>
        <v>300</v>
      </c>
      <c r="V2533" s="160">
        <f t="shared" si="428"/>
        <v>300</v>
      </c>
    </row>
    <row r="2534" spans="1:22" x14ac:dyDescent="0.25">
      <c r="A2534" s="98" t="s">
        <v>23</v>
      </c>
      <c r="B2534" s="98" t="s">
        <v>17</v>
      </c>
      <c r="C2534" s="98">
        <v>83</v>
      </c>
      <c r="D2534" s="98">
        <v>250</v>
      </c>
      <c r="E2534" s="157">
        <v>42212.116666666669</v>
      </c>
      <c r="F2534" s="157">
        <v>42212.132638888892</v>
      </c>
      <c r="G2534" s="98">
        <v>250</v>
      </c>
      <c r="H2534" s="98">
        <v>330</v>
      </c>
      <c r="I2534" s="98">
        <v>300</v>
      </c>
      <c r="J2534" s="98" t="s">
        <v>1978</v>
      </c>
      <c r="K2534" s="98" t="s">
        <v>3514</v>
      </c>
      <c r="L2534" s="105" t="str">
        <f t="shared" si="420"/>
        <v>Mill Creek</v>
      </c>
      <c r="M2534" s="105" t="str">
        <f t="shared" si="421"/>
        <v>Derate</v>
      </c>
      <c r="N2534" s="105" t="str">
        <f t="shared" si="422"/>
        <v>Coal</v>
      </c>
      <c r="O2534" s="105">
        <f>IFERROR(VLOOKUP(A2534,Lookup!$J$5:$P$19,7,FALSE),0)</f>
        <v>2</v>
      </c>
      <c r="P2534" s="159">
        <f t="shared" si="423"/>
        <v>2015</v>
      </c>
      <c r="Q2534" s="159">
        <f t="shared" si="424"/>
        <v>7</v>
      </c>
      <c r="R2534" s="160">
        <f t="shared" si="425"/>
        <v>0.38333333336049691</v>
      </c>
      <c r="S2534" s="158">
        <f t="shared" si="426"/>
        <v>9.2929292935878038E-2</v>
      </c>
      <c r="T2534" s="161">
        <f t="shared" si="427"/>
        <v>27.878787880763412</v>
      </c>
      <c r="U2534" s="158">
        <f t="shared" si="429"/>
        <v>72.727272727272734</v>
      </c>
      <c r="V2534" s="160">
        <f t="shared" si="428"/>
        <v>73</v>
      </c>
    </row>
    <row r="2535" spans="1:22" x14ac:dyDescent="0.25">
      <c r="A2535" s="98" t="s">
        <v>23</v>
      </c>
      <c r="B2535" s="98" t="s">
        <v>17</v>
      </c>
      <c r="C2535" s="98">
        <v>84</v>
      </c>
      <c r="D2535" s="98">
        <v>250</v>
      </c>
      <c r="E2535" s="157">
        <v>42214.725694444445</v>
      </c>
      <c r="F2535" s="157">
        <v>42214.755555555559</v>
      </c>
      <c r="G2535" s="98">
        <v>280</v>
      </c>
      <c r="H2535" s="98">
        <v>330</v>
      </c>
      <c r="I2535" s="98">
        <v>300</v>
      </c>
      <c r="J2535" s="98" t="s">
        <v>1978</v>
      </c>
      <c r="K2535" s="98" t="s">
        <v>3515</v>
      </c>
      <c r="L2535" s="105" t="str">
        <f t="shared" ref="L2535:L2598" si="430">IF(OR(A2535="BR1",A2535="BR2",A2535="BR3",A2535="BR5",A2535="BR6",A2535="BR7",A2535="BR8",A2535="BR9",A2535="BR10",A2535="BR11"),"Brown",IF(OR(A2535="CR4",A2535="CR5",A2535="CR6",A2535="CR11"),"Cane Run",IF(OR(A2535="GH1",A2535="GH2",A2535="GH3",A2535="GH4"),"Ghent",IF(OR(A2535="GR3",A2535="GR4"),"Green River",IF(OR(A2535="MC1",A2535="MC2",A2535="MC3",A2535="MC4"),"Mill Creek",IF(OR(A2535="TC1",A2535="TC2",A2535="TC5",A2535="TC6",A2535="TC7",A2535="TC8",A2535="TC9",A2535="TC10"),"Trimble",IF(A2535="TY3","Tyrone",IF(OR(A2535="HA1",A2535="HA2",A2535="HA3"),"Haeflin",IF(OR(A2535="PR11",A2535="PR12",A2535="PR13"),"Paddy's Run","Zorn")))))))))</f>
        <v>Mill Creek</v>
      </c>
      <c r="M2535" s="105" t="str">
        <f t="shared" ref="M2535:M2598" si="431">IF(OR(B2535="D1",B2535="D2",B2535="D3",B2535="D4",B2535="PD"),"Derate",IF(OR(B2535="SF",B2535="U1",B2535="U2",B2535="U3"),"Outage",IF(OR(B2535="ME",B2535="MO"),"Maintenance","Other")))</f>
        <v>Derate</v>
      </c>
      <c r="N2535" s="105" t="str">
        <f t="shared" ref="N2535:N2598" si="432">IF(OR(A2535="BR1",A2535="BR2",A2535="BR3",A2535="CR4",A2535="CR5",A2535="CR6",A2535="GH1",A2535="GH2",A2535="GH3",A2535="GH4",A2535="GR3",A2535="GR4",A2535="MC1",A2535="MC2",A2535="MC3",A2535="MC4",A2535="TC1",A2535="TC2",A2535="TY3"),"Coal","Gas")</f>
        <v>Coal</v>
      </c>
      <c r="O2535" s="105">
        <f>IFERROR(VLOOKUP(A2535,Lookup!$J$5:$P$19,7,FALSE),0)</f>
        <v>2</v>
      </c>
      <c r="P2535" s="159">
        <f t="shared" ref="P2535:P2598" si="433">YEAR(E2535)</f>
        <v>2015</v>
      </c>
      <c r="Q2535" s="159">
        <f t="shared" ref="Q2535:Q2598" si="434">MONTH(E2535)</f>
        <v>7</v>
      </c>
      <c r="R2535" s="160">
        <f t="shared" ref="R2535:R2598" si="435">(F2535-E2535)*24</f>
        <v>0.71666666673263535</v>
      </c>
      <c r="S2535" s="158">
        <f t="shared" ref="S2535:S2598" si="436">R2535*(H2535-G2535)/H2535</f>
        <v>0.10858585859585385</v>
      </c>
      <c r="T2535" s="161">
        <f t="shared" ref="T2535:T2598" si="437">S2535*I2535</f>
        <v>32.575757578756154</v>
      </c>
      <c r="U2535" s="158">
        <f t="shared" si="429"/>
        <v>45.454545454545453</v>
      </c>
      <c r="V2535" s="160">
        <f t="shared" ref="V2535:V2598" si="438">ROUND(U2535,0)</f>
        <v>45</v>
      </c>
    </row>
    <row r="2536" spans="1:22" x14ac:dyDescent="0.25">
      <c r="A2536" s="98" t="s">
        <v>23</v>
      </c>
      <c r="B2536" s="98" t="s">
        <v>17</v>
      </c>
      <c r="C2536" s="98">
        <v>85</v>
      </c>
      <c r="D2536" s="98">
        <v>250</v>
      </c>
      <c r="E2536" s="157">
        <v>42214.819444444445</v>
      </c>
      <c r="F2536" s="157">
        <v>42215.53125</v>
      </c>
      <c r="G2536" s="98">
        <v>280</v>
      </c>
      <c r="H2536" s="98">
        <v>330</v>
      </c>
      <c r="I2536" s="98">
        <v>300</v>
      </c>
      <c r="J2536" s="98" t="s">
        <v>1978</v>
      </c>
      <c r="K2536" s="98" t="s">
        <v>3515</v>
      </c>
      <c r="L2536" s="105" t="str">
        <f t="shared" si="430"/>
        <v>Mill Creek</v>
      </c>
      <c r="M2536" s="105" t="str">
        <f t="shared" si="431"/>
        <v>Derate</v>
      </c>
      <c r="N2536" s="105" t="str">
        <f t="shared" si="432"/>
        <v>Coal</v>
      </c>
      <c r="O2536" s="105">
        <f>IFERROR(VLOOKUP(A2536,Lookup!$J$5:$P$19,7,FALSE),0)</f>
        <v>2</v>
      </c>
      <c r="P2536" s="159">
        <f t="shared" si="433"/>
        <v>2015</v>
      </c>
      <c r="Q2536" s="159">
        <f t="shared" si="434"/>
        <v>7</v>
      </c>
      <c r="R2536" s="160">
        <f t="shared" si="435"/>
        <v>17.083333333313931</v>
      </c>
      <c r="S2536" s="158">
        <f t="shared" si="436"/>
        <v>2.5883838383808988</v>
      </c>
      <c r="T2536" s="161">
        <f t="shared" si="437"/>
        <v>776.51515151426963</v>
      </c>
      <c r="U2536" s="158">
        <f t="shared" ref="U2536:U2599" si="439">IF(G2536&gt;0,MAX((H2536-G2536),0)*I2536/H2536,I2536)</f>
        <v>45.454545454545453</v>
      </c>
      <c r="V2536" s="160">
        <f t="shared" si="438"/>
        <v>45</v>
      </c>
    </row>
    <row r="2537" spans="1:22" x14ac:dyDescent="0.25">
      <c r="A2537" s="98" t="s">
        <v>23</v>
      </c>
      <c r="B2537" s="98" t="s">
        <v>17</v>
      </c>
      <c r="C2537" s="98">
        <v>86</v>
      </c>
      <c r="D2537" s="98">
        <v>250</v>
      </c>
      <c r="E2537" s="157">
        <v>42215.55</v>
      </c>
      <c r="F2537" s="157">
        <v>42215.643055555556</v>
      </c>
      <c r="G2537" s="98">
        <v>280</v>
      </c>
      <c r="H2537" s="98">
        <v>330</v>
      </c>
      <c r="I2537" s="98">
        <v>300</v>
      </c>
      <c r="J2537" s="98" t="s">
        <v>1978</v>
      </c>
      <c r="K2537" s="98" t="s">
        <v>3516</v>
      </c>
      <c r="L2537" s="105" t="str">
        <f t="shared" si="430"/>
        <v>Mill Creek</v>
      </c>
      <c r="M2537" s="105" t="str">
        <f t="shared" si="431"/>
        <v>Derate</v>
      </c>
      <c r="N2537" s="105" t="str">
        <f t="shared" si="432"/>
        <v>Coal</v>
      </c>
      <c r="O2537" s="105">
        <f>IFERROR(VLOOKUP(A2537,Lookup!$J$5:$P$19,7,FALSE),0)</f>
        <v>2</v>
      </c>
      <c r="P2537" s="159">
        <f t="shared" si="433"/>
        <v>2015</v>
      </c>
      <c r="Q2537" s="159">
        <f t="shared" si="434"/>
        <v>7</v>
      </c>
      <c r="R2537" s="160">
        <f t="shared" si="435"/>
        <v>2.2333333332790062</v>
      </c>
      <c r="S2537" s="158">
        <f t="shared" si="436"/>
        <v>0.33838383837560698</v>
      </c>
      <c r="T2537" s="161">
        <f t="shared" si="437"/>
        <v>101.5151515126821</v>
      </c>
      <c r="U2537" s="158">
        <f t="shared" si="439"/>
        <v>45.454545454545453</v>
      </c>
      <c r="V2537" s="160">
        <f t="shared" si="438"/>
        <v>45</v>
      </c>
    </row>
    <row r="2538" spans="1:22" x14ac:dyDescent="0.25">
      <c r="A2538" s="98" t="s">
        <v>23</v>
      </c>
      <c r="B2538" s="98" t="s">
        <v>17</v>
      </c>
      <c r="C2538" s="98">
        <v>87</v>
      </c>
      <c r="D2538" s="98">
        <v>310</v>
      </c>
      <c r="E2538" s="157">
        <v>42221.277777777781</v>
      </c>
      <c r="F2538" s="157">
        <v>42221.34375</v>
      </c>
      <c r="G2538" s="98">
        <v>260</v>
      </c>
      <c r="H2538" s="98">
        <v>330</v>
      </c>
      <c r="I2538" s="98">
        <v>300</v>
      </c>
      <c r="J2538" s="98" t="s">
        <v>1966</v>
      </c>
      <c r="K2538" s="98" t="s">
        <v>3517</v>
      </c>
      <c r="L2538" s="105" t="str">
        <f t="shared" si="430"/>
        <v>Mill Creek</v>
      </c>
      <c r="M2538" s="105" t="str">
        <f t="shared" si="431"/>
        <v>Derate</v>
      </c>
      <c r="N2538" s="105" t="str">
        <f t="shared" si="432"/>
        <v>Coal</v>
      </c>
      <c r="O2538" s="105">
        <f>IFERROR(VLOOKUP(A2538,Lookup!$J$5:$P$19,7,FALSE),0)</f>
        <v>2</v>
      </c>
      <c r="P2538" s="159">
        <f t="shared" si="433"/>
        <v>2015</v>
      </c>
      <c r="Q2538" s="159">
        <f t="shared" si="434"/>
        <v>8</v>
      </c>
      <c r="R2538" s="160">
        <f t="shared" si="435"/>
        <v>1.5833333332557231</v>
      </c>
      <c r="S2538" s="158">
        <f t="shared" si="436"/>
        <v>0.33585858584212308</v>
      </c>
      <c r="T2538" s="161">
        <f t="shared" si="437"/>
        <v>100.75757575263692</v>
      </c>
      <c r="U2538" s="158">
        <f t="shared" si="439"/>
        <v>63.636363636363633</v>
      </c>
      <c r="V2538" s="160">
        <f t="shared" si="438"/>
        <v>64</v>
      </c>
    </row>
    <row r="2539" spans="1:22" x14ac:dyDescent="0.25">
      <c r="A2539" s="98" t="s">
        <v>23</v>
      </c>
      <c r="B2539" s="98" t="s">
        <v>79</v>
      </c>
      <c r="C2539" s="98">
        <v>88</v>
      </c>
      <c r="D2539" s="98">
        <v>3623</v>
      </c>
      <c r="E2539" s="157">
        <v>42226.416666666664</v>
      </c>
      <c r="F2539" s="157">
        <v>42226.520833333336</v>
      </c>
      <c r="G2539" s="98">
        <v>0</v>
      </c>
      <c r="H2539" s="98">
        <v>330</v>
      </c>
      <c r="I2539" s="98">
        <v>300</v>
      </c>
      <c r="J2539" s="98" t="s">
        <v>3311</v>
      </c>
      <c r="K2539" s="98" t="s">
        <v>1350</v>
      </c>
      <c r="L2539" s="105" t="str">
        <f t="shared" si="430"/>
        <v>Mill Creek</v>
      </c>
      <c r="M2539" s="105" t="str">
        <f t="shared" si="431"/>
        <v>Other</v>
      </c>
      <c r="N2539" s="105" t="str">
        <f t="shared" si="432"/>
        <v>Coal</v>
      </c>
      <c r="O2539" s="105">
        <f>IFERROR(VLOOKUP(A2539,Lookup!$J$5:$P$19,7,FALSE),0)</f>
        <v>2</v>
      </c>
      <c r="P2539" s="159">
        <f t="shared" si="433"/>
        <v>2015</v>
      </c>
      <c r="Q2539" s="159">
        <f t="shared" si="434"/>
        <v>8</v>
      </c>
      <c r="R2539" s="160">
        <f t="shared" si="435"/>
        <v>2.5000000001164153</v>
      </c>
      <c r="S2539" s="158">
        <f t="shared" si="436"/>
        <v>2.5000000001164153</v>
      </c>
      <c r="T2539" s="161">
        <f t="shared" si="437"/>
        <v>750.0000000349246</v>
      </c>
      <c r="U2539" s="158">
        <f t="shared" si="439"/>
        <v>300</v>
      </c>
      <c r="V2539" s="160">
        <f t="shared" si="438"/>
        <v>300</v>
      </c>
    </row>
    <row r="2540" spans="1:22" x14ac:dyDescent="0.25">
      <c r="A2540" s="98" t="s">
        <v>23</v>
      </c>
      <c r="B2540" s="98" t="s">
        <v>17</v>
      </c>
      <c r="C2540" s="98">
        <v>89</v>
      </c>
      <c r="D2540" s="98">
        <v>4263</v>
      </c>
      <c r="E2540" s="157">
        <v>42227.044444444444</v>
      </c>
      <c r="F2540" s="157">
        <v>42227.274305555555</v>
      </c>
      <c r="G2540" s="98">
        <v>200</v>
      </c>
      <c r="H2540" s="98">
        <v>330</v>
      </c>
      <c r="I2540" s="98">
        <v>300</v>
      </c>
      <c r="J2540" s="98" t="s">
        <v>2019</v>
      </c>
      <c r="K2540" s="98" t="s">
        <v>3518</v>
      </c>
      <c r="L2540" s="105" t="str">
        <f t="shared" si="430"/>
        <v>Mill Creek</v>
      </c>
      <c r="M2540" s="105" t="str">
        <f t="shared" si="431"/>
        <v>Derate</v>
      </c>
      <c r="N2540" s="105" t="str">
        <f t="shared" si="432"/>
        <v>Coal</v>
      </c>
      <c r="O2540" s="105">
        <f>IFERROR(VLOOKUP(A2540,Lookup!$J$5:$P$19,7,FALSE),0)</f>
        <v>2</v>
      </c>
      <c r="P2540" s="159">
        <f t="shared" si="433"/>
        <v>2015</v>
      </c>
      <c r="Q2540" s="159">
        <f t="shared" si="434"/>
        <v>8</v>
      </c>
      <c r="R2540" s="160">
        <f t="shared" si="435"/>
        <v>5.5166666666627862</v>
      </c>
      <c r="S2540" s="158">
        <f t="shared" si="436"/>
        <v>2.1732323232307946</v>
      </c>
      <c r="T2540" s="161">
        <f t="shared" si="437"/>
        <v>651.96969696923838</v>
      </c>
      <c r="U2540" s="158">
        <f t="shared" si="439"/>
        <v>118.18181818181819</v>
      </c>
      <c r="V2540" s="160">
        <f t="shared" si="438"/>
        <v>118</v>
      </c>
    </row>
    <row r="2541" spans="1:22" x14ac:dyDescent="0.25">
      <c r="A2541" s="98" t="s">
        <v>23</v>
      </c>
      <c r="B2541" s="98" t="s">
        <v>20</v>
      </c>
      <c r="C2541" s="98">
        <v>90</v>
      </c>
      <c r="D2541" s="98">
        <v>4263</v>
      </c>
      <c r="E2541" s="157">
        <v>42227.979861111111</v>
      </c>
      <c r="F2541" s="157">
        <v>42231.53125</v>
      </c>
      <c r="G2541" s="98">
        <v>0</v>
      </c>
      <c r="H2541" s="98">
        <v>330</v>
      </c>
      <c r="I2541" s="98">
        <v>300</v>
      </c>
      <c r="J2541" s="98" t="s">
        <v>2019</v>
      </c>
      <c r="K2541" s="98" t="s">
        <v>3519</v>
      </c>
      <c r="L2541" s="105" t="str">
        <f t="shared" si="430"/>
        <v>Mill Creek</v>
      </c>
      <c r="M2541" s="105" t="str">
        <f t="shared" si="431"/>
        <v>Maintenance</v>
      </c>
      <c r="N2541" s="105" t="str">
        <f t="shared" si="432"/>
        <v>Coal</v>
      </c>
      <c r="O2541" s="105">
        <f>IFERROR(VLOOKUP(A2541,Lookup!$J$5:$P$19,7,FALSE),0)</f>
        <v>2</v>
      </c>
      <c r="P2541" s="159">
        <f t="shared" si="433"/>
        <v>2015</v>
      </c>
      <c r="Q2541" s="159">
        <f t="shared" si="434"/>
        <v>8</v>
      </c>
      <c r="R2541" s="160">
        <f t="shared" si="435"/>
        <v>85.233333333337214</v>
      </c>
      <c r="S2541" s="158">
        <f t="shared" si="436"/>
        <v>85.233333333337214</v>
      </c>
      <c r="T2541" s="161">
        <f t="shared" si="437"/>
        <v>25570.000000001164</v>
      </c>
      <c r="U2541" s="158">
        <f t="shared" si="439"/>
        <v>300</v>
      </c>
      <c r="V2541" s="160">
        <f t="shared" si="438"/>
        <v>300</v>
      </c>
    </row>
    <row r="2542" spans="1:22" x14ac:dyDescent="0.25">
      <c r="A2542" s="98" t="s">
        <v>23</v>
      </c>
      <c r="B2542" s="98" t="s">
        <v>79</v>
      </c>
      <c r="C2542" s="98">
        <v>91</v>
      </c>
      <c r="D2542" s="98">
        <v>1850</v>
      </c>
      <c r="E2542" s="157">
        <v>42231.53125</v>
      </c>
      <c r="F2542" s="157">
        <v>42231.54583333333</v>
      </c>
      <c r="G2542" s="98">
        <v>0</v>
      </c>
      <c r="H2542" s="98">
        <v>330</v>
      </c>
      <c r="I2542" s="98">
        <v>300</v>
      </c>
      <c r="J2542" s="98" t="s">
        <v>2263</v>
      </c>
      <c r="K2542" s="98" t="s">
        <v>85</v>
      </c>
      <c r="L2542" s="105" t="str">
        <f t="shared" si="430"/>
        <v>Mill Creek</v>
      </c>
      <c r="M2542" s="105" t="str">
        <f t="shared" si="431"/>
        <v>Other</v>
      </c>
      <c r="N2542" s="105" t="str">
        <f t="shared" si="432"/>
        <v>Coal</v>
      </c>
      <c r="O2542" s="105">
        <f>IFERROR(VLOOKUP(A2542,Lookup!$J$5:$P$19,7,FALSE),0)</f>
        <v>2</v>
      </c>
      <c r="P2542" s="159">
        <f t="shared" si="433"/>
        <v>2015</v>
      </c>
      <c r="Q2542" s="159">
        <f t="shared" si="434"/>
        <v>8</v>
      </c>
      <c r="R2542" s="160">
        <f t="shared" si="435"/>
        <v>0.34999999991850927</v>
      </c>
      <c r="S2542" s="158">
        <f t="shared" si="436"/>
        <v>0.34999999991850927</v>
      </c>
      <c r="T2542" s="161">
        <f t="shared" si="437"/>
        <v>104.99999997555278</v>
      </c>
      <c r="U2542" s="158">
        <f t="shared" si="439"/>
        <v>300</v>
      </c>
      <c r="V2542" s="160">
        <f t="shared" si="438"/>
        <v>300</v>
      </c>
    </row>
    <row r="2543" spans="1:22" x14ac:dyDescent="0.25">
      <c r="A2543" s="98" t="s">
        <v>23</v>
      </c>
      <c r="B2543" s="98" t="s">
        <v>15</v>
      </c>
      <c r="C2543" s="98">
        <v>92</v>
      </c>
      <c r="D2543" s="98">
        <v>800</v>
      </c>
      <c r="E2543" s="157">
        <v>42231.54583333333</v>
      </c>
      <c r="F2543" s="157">
        <v>42231.582638888889</v>
      </c>
      <c r="G2543" s="98">
        <v>0</v>
      </c>
      <c r="H2543" s="98">
        <v>330</v>
      </c>
      <c r="I2543" s="98">
        <v>300</v>
      </c>
      <c r="J2543" s="98" t="s">
        <v>2197</v>
      </c>
      <c r="K2543" s="98" t="s">
        <v>45</v>
      </c>
      <c r="L2543" s="105" t="str">
        <f t="shared" si="430"/>
        <v>Mill Creek</v>
      </c>
      <c r="M2543" s="105" t="str">
        <f t="shared" si="431"/>
        <v>Outage</v>
      </c>
      <c r="N2543" s="105" t="str">
        <f t="shared" si="432"/>
        <v>Coal</v>
      </c>
      <c r="O2543" s="105">
        <f>IFERROR(VLOOKUP(A2543,Lookup!$J$5:$P$19,7,FALSE),0)</f>
        <v>2</v>
      </c>
      <c r="P2543" s="159">
        <f t="shared" si="433"/>
        <v>2015</v>
      </c>
      <c r="Q2543" s="159">
        <f t="shared" si="434"/>
        <v>8</v>
      </c>
      <c r="R2543" s="160">
        <f t="shared" si="435"/>
        <v>0.88333333341870457</v>
      </c>
      <c r="S2543" s="158">
        <f t="shared" si="436"/>
        <v>0.88333333341870457</v>
      </c>
      <c r="T2543" s="161">
        <f t="shared" si="437"/>
        <v>265.00000002561137</v>
      </c>
      <c r="U2543" s="158">
        <f t="shared" si="439"/>
        <v>300</v>
      </c>
      <c r="V2543" s="160">
        <f t="shared" si="438"/>
        <v>300</v>
      </c>
    </row>
    <row r="2544" spans="1:22" x14ac:dyDescent="0.25">
      <c r="A2544" s="98" t="s">
        <v>23</v>
      </c>
      <c r="B2544" s="98" t="s">
        <v>79</v>
      </c>
      <c r="C2544" s="98">
        <v>93</v>
      </c>
      <c r="D2544" s="98">
        <v>1850</v>
      </c>
      <c r="E2544" s="157">
        <v>42231.582638888889</v>
      </c>
      <c r="F2544" s="157">
        <v>42231.607638888891</v>
      </c>
      <c r="G2544" s="98">
        <v>0</v>
      </c>
      <c r="H2544" s="98">
        <v>330</v>
      </c>
      <c r="I2544" s="98">
        <v>300</v>
      </c>
      <c r="J2544" s="98" t="s">
        <v>2263</v>
      </c>
      <c r="K2544" s="98" t="s">
        <v>85</v>
      </c>
      <c r="L2544" s="105" t="str">
        <f t="shared" si="430"/>
        <v>Mill Creek</v>
      </c>
      <c r="M2544" s="105" t="str">
        <f t="shared" si="431"/>
        <v>Other</v>
      </c>
      <c r="N2544" s="105" t="str">
        <f t="shared" si="432"/>
        <v>Coal</v>
      </c>
      <c r="O2544" s="105">
        <f>IFERROR(VLOOKUP(A2544,Lookup!$J$5:$P$19,7,FALSE),0)</f>
        <v>2</v>
      </c>
      <c r="P2544" s="159">
        <f t="shared" si="433"/>
        <v>2015</v>
      </c>
      <c r="Q2544" s="159">
        <f t="shared" si="434"/>
        <v>8</v>
      </c>
      <c r="R2544" s="160">
        <f t="shared" si="435"/>
        <v>0.6000000000349246</v>
      </c>
      <c r="S2544" s="158">
        <f t="shared" si="436"/>
        <v>0.6000000000349246</v>
      </c>
      <c r="T2544" s="161">
        <f t="shared" si="437"/>
        <v>180.00000001047738</v>
      </c>
      <c r="U2544" s="158">
        <f t="shared" si="439"/>
        <v>300</v>
      </c>
      <c r="V2544" s="160">
        <f t="shared" si="438"/>
        <v>300</v>
      </c>
    </row>
    <row r="2545" spans="1:22" x14ac:dyDescent="0.25">
      <c r="A2545" s="98" t="s">
        <v>23</v>
      </c>
      <c r="B2545" s="98" t="s">
        <v>15</v>
      </c>
      <c r="C2545" s="98">
        <v>94</v>
      </c>
      <c r="D2545" s="98">
        <v>800</v>
      </c>
      <c r="E2545" s="157">
        <v>42231.607638888891</v>
      </c>
      <c r="F2545" s="157">
        <v>42231.634027777778</v>
      </c>
      <c r="G2545" s="98">
        <v>0</v>
      </c>
      <c r="H2545" s="98">
        <v>330</v>
      </c>
      <c r="I2545" s="98">
        <v>300</v>
      </c>
      <c r="J2545" s="98" t="s">
        <v>2197</v>
      </c>
      <c r="K2545" s="98" t="s">
        <v>45</v>
      </c>
      <c r="L2545" s="105" t="str">
        <f t="shared" si="430"/>
        <v>Mill Creek</v>
      </c>
      <c r="M2545" s="105" t="str">
        <f t="shared" si="431"/>
        <v>Outage</v>
      </c>
      <c r="N2545" s="105" t="str">
        <f t="shared" si="432"/>
        <v>Coal</v>
      </c>
      <c r="O2545" s="105">
        <f>IFERROR(VLOOKUP(A2545,Lookup!$J$5:$P$19,7,FALSE),0)</f>
        <v>2</v>
      </c>
      <c r="P2545" s="159">
        <f t="shared" si="433"/>
        <v>2015</v>
      </c>
      <c r="Q2545" s="159">
        <f t="shared" si="434"/>
        <v>8</v>
      </c>
      <c r="R2545" s="160">
        <f t="shared" si="435"/>
        <v>0.63333333330228925</v>
      </c>
      <c r="S2545" s="158">
        <f t="shared" si="436"/>
        <v>0.63333333330228925</v>
      </c>
      <c r="T2545" s="161">
        <f t="shared" si="437"/>
        <v>189.99999999068677</v>
      </c>
      <c r="U2545" s="158">
        <f t="shared" si="439"/>
        <v>300</v>
      </c>
      <c r="V2545" s="160">
        <f t="shared" si="438"/>
        <v>300</v>
      </c>
    </row>
    <row r="2546" spans="1:22" x14ac:dyDescent="0.25">
      <c r="A2546" s="98" t="s">
        <v>23</v>
      </c>
      <c r="B2546" s="98" t="s">
        <v>18</v>
      </c>
      <c r="C2546" s="98">
        <v>95</v>
      </c>
      <c r="D2546" s="98">
        <v>3644</v>
      </c>
      <c r="E2546" s="157">
        <v>42231.634027777778</v>
      </c>
      <c r="F2546" s="157">
        <v>42231.793055555558</v>
      </c>
      <c r="G2546" s="98">
        <v>0</v>
      </c>
      <c r="H2546" s="98">
        <v>330</v>
      </c>
      <c r="I2546" s="98">
        <v>300</v>
      </c>
      <c r="J2546" s="98" t="s">
        <v>2603</v>
      </c>
      <c r="K2546" s="98" t="s">
        <v>3520</v>
      </c>
      <c r="L2546" s="105" t="str">
        <f t="shared" si="430"/>
        <v>Mill Creek</v>
      </c>
      <c r="M2546" s="105" t="str">
        <f t="shared" si="431"/>
        <v>Outage</v>
      </c>
      <c r="N2546" s="105" t="str">
        <f t="shared" si="432"/>
        <v>Coal</v>
      </c>
      <c r="O2546" s="105">
        <f>IFERROR(VLOOKUP(A2546,Lookup!$J$5:$P$19,7,FALSE),0)</f>
        <v>2</v>
      </c>
      <c r="P2546" s="159">
        <f t="shared" si="433"/>
        <v>2015</v>
      </c>
      <c r="Q2546" s="159">
        <f t="shared" si="434"/>
        <v>8</v>
      </c>
      <c r="R2546" s="160">
        <f t="shared" si="435"/>
        <v>3.8166666667093523</v>
      </c>
      <c r="S2546" s="158">
        <f t="shared" si="436"/>
        <v>3.8166666667093523</v>
      </c>
      <c r="T2546" s="161">
        <f t="shared" si="437"/>
        <v>1145.0000000128057</v>
      </c>
      <c r="U2546" s="158">
        <f t="shared" si="439"/>
        <v>300</v>
      </c>
      <c r="V2546" s="160">
        <f t="shared" si="438"/>
        <v>300</v>
      </c>
    </row>
    <row r="2547" spans="1:22" x14ac:dyDescent="0.25">
      <c r="A2547" s="98" t="s">
        <v>23</v>
      </c>
      <c r="B2547" s="98" t="s">
        <v>79</v>
      </c>
      <c r="C2547" s="98">
        <v>96</v>
      </c>
      <c r="D2547" s="98">
        <v>1850</v>
      </c>
      <c r="E2547" s="157">
        <v>42231.793055555558</v>
      </c>
      <c r="F2547" s="157">
        <v>42232.3</v>
      </c>
      <c r="G2547" s="98">
        <v>0</v>
      </c>
      <c r="H2547" s="98">
        <v>330</v>
      </c>
      <c r="I2547" s="98">
        <v>300</v>
      </c>
      <c r="J2547" s="98" t="s">
        <v>2263</v>
      </c>
      <c r="K2547" s="98" t="s">
        <v>85</v>
      </c>
      <c r="L2547" s="105" t="str">
        <f t="shared" si="430"/>
        <v>Mill Creek</v>
      </c>
      <c r="M2547" s="105" t="str">
        <f t="shared" si="431"/>
        <v>Other</v>
      </c>
      <c r="N2547" s="105" t="str">
        <f t="shared" si="432"/>
        <v>Coal</v>
      </c>
      <c r="O2547" s="105">
        <f>IFERROR(VLOOKUP(A2547,Lookup!$J$5:$P$19,7,FALSE),0)</f>
        <v>2</v>
      </c>
      <c r="P2547" s="159">
        <f t="shared" si="433"/>
        <v>2015</v>
      </c>
      <c r="Q2547" s="159">
        <f t="shared" si="434"/>
        <v>8</v>
      </c>
      <c r="R2547" s="160">
        <f t="shared" si="435"/>
        <v>12.166666666686069</v>
      </c>
      <c r="S2547" s="158">
        <f t="shared" si="436"/>
        <v>12.166666666686069</v>
      </c>
      <c r="T2547" s="161">
        <f t="shared" si="437"/>
        <v>3650.0000000058208</v>
      </c>
      <c r="U2547" s="158">
        <f t="shared" si="439"/>
        <v>300</v>
      </c>
      <c r="V2547" s="160">
        <f t="shared" si="438"/>
        <v>300</v>
      </c>
    </row>
    <row r="2548" spans="1:22" x14ac:dyDescent="0.25">
      <c r="A2548" s="98" t="s">
        <v>23</v>
      </c>
      <c r="B2548" s="98" t="s">
        <v>15</v>
      </c>
      <c r="C2548" s="98">
        <v>97</v>
      </c>
      <c r="D2548" s="98">
        <v>800</v>
      </c>
      <c r="E2548" s="157">
        <v>42234.270833333336</v>
      </c>
      <c r="F2548" s="157">
        <v>42234.34097222222</v>
      </c>
      <c r="G2548" s="98">
        <v>0</v>
      </c>
      <c r="H2548" s="98">
        <v>330</v>
      </c>
      <c r="I2548" s="98">
        <v>300</v>
      </c>
      <c r="J2548" s="98" t="s">
        <v>2197</v>
      </c>
      <c r="K2548" s="98" t="s">
        <v>45</v>
      </c>
      <c r="L2548" s="105" t="str">
        <f t="shared" si="430"/>
        <v>Mill Creek</v>
      </c>
      <c r="M2548" s="105" t="str">
        <f t="shared" si="431"/>
        <v>Outage</v>
      </c>
      <c r="N2548" s="105" t="str">
        <f t="shared" si="432"/>
        <v>Coal</v>
      </c>
      <c r="O2548" s="105">
        <f>IFERROR(VLOOKUP(A2548,Lookup!$J$5:$P$19,7,FALSE),0)</f>
        <v>2</v>
      </c>
      <c r="P2548" s="159">
        <f t="shared" si="433"/>
        <v>2015</v>
      </c>
      <c r="Q2548" s="159">
        <f t="shared" si="434"/>
        <v>8</v>
      </c>
      <c r="R2548" s="160">
        <f t="shared" si="435"/>
        <v>1.6833333332324401</v>
      </c>
      <c r="S2548" s="158">
        <f t="shared" si="436"/>
        <v>1.6833333332324401</v>
      </c>
      <c r="T2548" s="161">
        <f t="shared" si="437"/>
        <v>504.99999996973202</v>
      </c>
      <c r="U2548" s="158">
        <f t="shared" si="439"/>
        <v>300</v>
      </c>
      <c r="V2548" s="160">
        <f t="shared" si="438"/>
        <v>300</v>
      </c>
    </row>
    <row r="2549" spans="1:22" x14ac:dyDescent="0.25">
      <c r="A2549" s="98" t="s">
        <v>23</v>
      </c>
      <c r="B2549" s="98" t="s">
        <v>79</v>
      </c>
      <c r="C2549" s="98">
        <v>98</v>
      </c>
      <c r="D2549" s="98">
        <v>1850</v>
      </c>
      <c r="E2549" s="157">
        <v>42234.34097222222</v>
      </c>
      <c r="F2549" s="157">
        <v>42234.518055555556</v>
      </c>
      <c r="G2549" s="98">
        <v>0</v>
      </c>
      <c r="H2549" s="98">
        <v>330</v>
      </c>
      <c r="I2549" s="98">
        <v>300</v>
      </c>
      <c r="J2549" s="98" t="s">
        <v>2263</v>
      </c>
      <c r="K2549" s="98" t="s">
        <v>87</v>
      </c>
      <c r="L2549" s="105" t="str">
        <f t="shared" si="430"/>
        <v>Mill Creek</v>
      </c>
      <c r="M2549" s="105" t="str">
        <f t="shared" si="431"/>
        <v>Other</v>
      </c>
      <c r="N2549" s="105" t="str">
        <f t="shared" si="432"/>
        <v>Coal</v>
      </c>
      <c r="O2549" s="105">
        <f>IFERROR(VLOOKUP(A2549,Lookup!$J$5:$P$19,7,FALSE),0)</f>
        <v>2</v>
      </c>
      <c r="P2549" s="159">
        <f t="shared" si="433"/>
        <v>2015</v>
      </c>
      <c r="Q2549" s="159">
        <f t="shared" si="434"/>
        <v>8</v>
      </c>
      <c r="R2549" s="160">
        <f t="shared" si="435"/>
        <v>4.2500000000582077</v>
      </c>
      <c r="S2549" s="158">
        <f t="shared" si="436"/>
        <v>4.2500000000582077</v>
      </c>
      <c r="T2549" s="161">
        <f t="shared" si="437"/>
        <v>1275.0000000174623</v>
      </c>
      <c r="U2549" s="158">
        <f t="shared" si="439"/>
        <v>300</v>
      </c>
      <c r="V2549" s="160">
        <f t="shared" si="438"/>
        <v>300</v>
      </c>
    </row>
    <row r="2550" spans="1:22" x14ac:dyDescent="0.25">
      <c r="A2550" s="98" t="s">
        <v>23</v>
      </c>
      <c r="B2550" s="98" t="s">
        <v>17</v>
      </c>
      <c r="C2550" s="98">
        <v>99</v>
      </c>
      <c r="D2550" s="98">
        <v>1850</v>
      </c>
      <c r="E2550" s="157">
        <v>42234.518055555556</v>
      </c>
      <c r="F2550" s="162">
        <v>42234.59097222222</v>
      </c>
      <c r="G2550" s="98">
        <v>226</v>
      </c>
      <c r="H2550" s="98">
        <v>330</v>
      </c>
      <c r="I2550" s="98">
        <v>300</v>
      </c>
      <c r="J2550" s="98" t="s">
        <v>2263</v>
      </c>
      <c r="K2550" s="98" t="s">
        <v>41</v>
      </c>
      <c r="L2550" s="105" t="str">
        <f t="shared" si="430"/>
        <v>Mill Creek</v>
      </c>
      <c r="M2550" s="105" t="str">
        <f t="shared" si="431"/>
        <v>Derate</v>
      </c>
      <c r="N2550" s="105" t="str">
        <f t="shared" si="432"/>
        <v>Coal</v>
      </c>
      <c r="O2550" s="105">
        <f>IFERROR(VLOOKUP(A2550,Lookup!$J$5:$P$19,7,FALSE),0)</f>
        <v>2</v>
      </c>
      <c r="P2550" s="159">
        <f t="shared" si="433"/>
        <v>2015</v>
      </c>
      <c r="Q2550" s="159">
        <f t="shared" si="434"/>
        <v>8</v>
      </c>
      <c r="R2550" s="160">
        <f t="shared" si="435"/>
        <v>1.7499999999417923</v>
      </c>
      <c r="S2550" s="158">
        <f t="shared" si="436"/>
        <v>0.5515151514968073</v>
      </c>
      <c r="T2550" s="161">
        <f t="shared" si="437"/>
        <v>165.4545454490422</v>
      </c>
      <c r="U2550" s="158">
        <f t="shared" si="439"/>
        <v>94.545454545454547</v>
      </c>
      <c r="V2550" s="160">
        <f t="shared" si="438"/>
        <v>95</v>
      </c>
    </row>
    <row r="2551" spans="1:22" x14ac:dyDescent="0.25">
      <c r="A2551" s="98" t="s">
        <v>23</v>
      </c>
      <c r="B2551" s="98" t="s">
        <v>17</v>
      </c>
      <c r="C2551" s="98">
        <v>100</v>
      </c>
      <c r="D2551" s="98">
        <v>1850</v>
      </c>
      <c r="E2551" s="162">
        <v>42234.59097222222</v>
      </c>
      <c r="F2551" s="157">
        <v>42234.642361111109</v>
      </c>
      <c r="G2551" s="98">
        <v>300</v>
      </c>
      <c r="H2551" s="98">
        <v>330</v>
      </c>
      <c r="I2551" s="98">
        <v>300</v>
      </c>
      <c r="J2551" s="98" t="s">
        <v>2263</v>
      </c>
      <c r="K2551" s="98" t="s">
        <v>41</v>
      </c>
      <c r="L2551" s="105" t="str">
        <f t="shared" si="430"/>
        <v>Mill Creek</v>
      </c>
      <c r="M2551" s="105" t="str">
        <f t="shared" si="431"/>
        <v>Derate</v>
      </c>
      <c r="N2551" s="105" t="str">
        <f t="shared" si="432"/>
        <v>Coal</v>
      </c>
      <c r="O2551" s="105">
        <f>IFERROR(VLOOKUP(A2551,Lookup!$J$5:$P$19,7,FALSE),0)</f>
        <v>2</v>
      </c>
      <c r="P2551" s="159">
        <f t="shared" si="433"/>
        <v>2015</v>
      </c>
      <c r="Q2551" s="159">
        <f t="shared" si="434"/>
        <v>8</v>
      </c>
      <c r="R2551" s="160">
        <f t="shared" si="435"/>
        <v>1.2333333333372138</v>
      </c>
      <c r="S2551" s="158">
        <f t="shared" si="436"/>
        <v>0.11212121212156489</v>
      </c>
      <c r="T2551" s="161">
        <f t="shared" si="437"/>
        <v>33.636363636469468</v>
      </c>
      <c r="U2551" s="158">
        <f t="shared" si="439"/>
        <v>27.272727272727273</v>
      </c>
      <c r="V2551" s="160">
        <f t="shared" si="438"/>
        <v>27</v>
      </c>
    </row>
    <row r="2552" spans="1:22" x14ac:dyDescent="0.25">
      <c r="A2552" s="98" t="s">
        <v>23</v>
      </c>
      <c r="B2552" s="98" t="s">
        <v>20</v>
      </c>
      <c r="C2552" s="98">
        <v>101</v>
      </c>
      <c r="D2552" s="98">
        <v>8160</v>
      </c>
      <c r="E2552" s="157">
        <v>42235.932638888888</v>
      </c>
      <c r="F2552" s="157">
        <v>42237.900694444441</v>
      </c>
      <c r="G2552" s="98">
        <v>0</v>
      </c>
      <c r="H2552" s="98">
        <v>330</v>
      </c>
      <c r="I2552" s="98">
        <v>300</v>
      </c>
      <c r="J2552" s="98" t="s">
        <v>2245</v>
      </c>
      <c r="K2552" s="98" t="s">
        <v>3521</v>
      </c>
      <c r="L2552" s="105" t="str">
        <f t="shared" si="430"/>
        <v>Mill Creek</v>
      </c>
      <c r="M2552" s="105" t="str">
        <f t="shared" si="431"/>
        <v>Maintenance</v>
      </c>
      <c r="N2552" s="105" t="str">
        <f t="shared" si="432"/>
        <v>Coal</v>
      </c>
      <c r="O2552" s="105">
        <f>IFERROR(VLOOKUP(A2552,Lookup!$J$5:$P$19,7,FALSE),0)</f>
        <v>2</v>
      </c>
      <c r="P2552" s="159">
        <f t="shared" si="433"/>
        <v>2015</v>
      </c>
      <c r="Q2552" s="159">
        <f t="shared" si="434"/>
        <v>8</v>
      </c>
      <c r="R2552" s="160">
        <f t="shared" si="435"/>
        <v>47.233333333279006</v>
      </c>
      <c r="S2552" s="158">
        <f t="shared" si="436"/>
        <v>47.233333333279006</v>
      </c>
      <c r="T2552" s="161">
        <f t="shared" si="437"/>
        <v>14169.999999983702</v>
      </c>
      <c r="U2552" s="158">
        <f t="shared" si="439"/>
        <v>300</v>
      </c>
      <c r="V2552" s="160">
        <f t="shared" si="438"/>
        <v>300</v>
      </c>
    </row>
    <row r="2553" spans="1:22" x14ac:dyDescent="0.25">
      <c r="A2553" s="98" t="s">
        <v>23</v>
      </c>
      <c r="B2553" s="98" t="s">
        <v>79</v>
      </c>
      <c r="C2553" s="98">
        <v>103</v>
      </c>
      <c r="D2553" s="98">
        <v>1850</v>
      </c>
      <c r="E2553" s="157">
        <v>42238.416666666664</v>
      </c>
      <c r="F2553" s="157">
        <v>42238.747916666667</v>
      </c>
      <c r="G2553" s="98">
        <v>0</v>
      </c>
      <c r="H2553" s="98">
        <v>330</v>
      </c>
      <c r="I2553" s="98">
        <v>300</v>
      </c>
      <c r="J2553" s="98" t="s">
        <v>2263</v>
      </c>
      <c r="K2553" s="98" t="s">
        <v>85</v>
      </c>
      <c r="L2553" s="105" t="str">
        <f t="shared" si="430"/>
        <v>Mill Creek</v>
      </c>
      <c r="M2553" s="105" t="str">
        <f t="shared" si="431"/>
        <v>Other</v>
      </c>
      <c r="N2553" s="105" t="str">
        <f t="shared" si="432"/>
        <v>Coal</v>
      </c>
      <c r="O2553" s="105">
        <f>IFERROR(VLOOKUP(A2553,Lookup!$J$5:$P$19,7,FALSE),0)</f>
        <v>2</v>
      </c>
      <c r="P2553" s="159">
        <f t="shared" si="433"/>
        <v>2015</v>
      </c>
      <c r="Q2553" s="159">
        <f t="shared" si="434"/>
        <v>8</v>
      </c>
      <c r="R2553" s="160">
        <f t="shared" si="435"/>
        <v>7.9500000000698492</v>
      </c>
      <c r="S2553" s="158">
        <f t="shared" si="436"/>
        <v>7.9500000000698492</v>
      </c>
      <c r="T2553" s="161">
        <f t="shared" si="437"/>
        <v>2385.0000000209548</v>
      </c>
      <c r="U2553" s="158">
        <f t="shared" si="439"/>
        <v>300</v>
      </c>
      <c r="V2553" s="160">
        <f t="shared" si="438"/>
        <v>300</v>
      </c>
    </row>
    <row r="2554" spans="1:22" x14ac:dyDescent="0.25">
      <c r="A2554" s="98" t="s">
        <v>23</v>
      </c>
      <c r="B2554" s="98" t="s">
        <v>79</v>
      </c>
      <c r="C2554" s="98">
        <v>104</v>
      </c>
      <c r="D2554" s="98">
        <v>310</v>
      </c>
      <c r="E2554" s="157">
        <v>42242.486111111109</v>
      </c>
      <c r="F2554" s="157">
        <v>42242.633333333331</v>
      </c>
      <c r="G2554" s="98">
        <v>0</v>
      </c>
      <c r="H2554" s="98">
        <v>330</v>
      </c>
      <c r="I2554" s="98">
        <v>300</v>
      </c>
      <c r="J2554" s="98" t="s">
        <v>1966</v>
      </c>
      <c r="K2554" s="98" t="s">
        <v>3522</v>
      </c>
      <c r="L2554" s="105" t="str">
        <f t="shared" si="430"/>
        <v>Mill Creek</v>
      </c>
      <c r="M2554" s="105" t="str">
        <f t="shared" si="431"/>
        <v>Other</v>
      </c>
      <c r="N2554" s="105" t="str">
        <f t="shared" si="432"/>
        <v>Coal</v>
      </c>
      <c r="O2554" s="105">
        <f>IFERROR(VLOOKUP(A2554,Lookup!$J$5:$P$19,7,FALSE),0)</f>
        <v>2</v>
      </c>
      <c r="P2554" s="159">
        <f t="shared" si="433"/>
        <v>2015</v>
      </c>
      <c r="Q2554" s="159">
        <f t="shared" si="434"/>
        <v>8</v>
      </c>
      <c r="R2554" s="160">
        <f t="shared" si="435"/>
        <v>3.5333333333255723</v>
      </c>
      <c r="S2554" s="158">
        <f t="shared" si="436"/>
        <v>3.5333333333255723</v>
      </c>
      <c r="T2554" s="161">
        <f t="shared" si="437"/>
        <v>1059.9999999976717</v>
      </c>
      <c r="U2554" s="158">
        <f t="shared" si="439"/>
        <v>300</v>
      </c>
      <c r="V2554" s="160">
        <f t="shared" si="438"/>
        <v>300</v>
      </c>
    </row>
    <row r="2555" spans="1:22" x14ac:dyDescent="0.25">
      <c r="A2555" s="98" t="s">
        <v>23</v>
      </c>
      <c r="B2555" s="98" t="s">
        <v>105</v>
      </c>
      <c r="C2555" s="98">
        <v>105</v>
      </c>
      <c r="D2555" s="98">
        <v>250</v>
      </c>
      <c r="E2555" s="157">
        <v>42246.916666666664</v>
      </c>
      <c r="F2555" s="157">
        <v>42247.174305555556</v>
      </c>
      <c r="G2555" s="98">
        <v>250</v>
      </c>
      <c r="H2555" s="98">
        <v>330</v>
      </c>
      <c r="I2555" s="98">
        <v>300</v>
      </c>
      <c r="J2555" s="98" t="s">
        <v>1978</v>
      </c>
      <c r="K2555" s="98" t="s">
        <v>3523</v>
      </c>
      <c r="L2555" s="105" t="str">
        <f t="shared" si="430"/>
        <v>Mill Creek</v>
      </c>
      <c r="M2555" s="105" t="str">
        <f t="shared" si="431"/>
        <v>Derate</v>
      </c>
      <c r="N2555" s="105" t="str">
        <f t="shared" si="432"/>
        <v>Coal</v>
      </c>
      <c r="O2555" s="105">
        <f>IFERROR(VLOOKUP(A2555,Lookup!$J$5:$P$19,7,FALSE),0)</f>
        <v>2</v>
      </c>
      <c r="P2555" s="159">
        <f t="shared" si="433"/>
        <v>2015</v>
      </c>
      <c r="Q2555" s="159">
        <f t="shared" si="434"/>
        <v>8</v>
      </c>
      <c r="R2555" s="160">
        <f t="shared" si="435"/>
        <v>6.183333333407063</v>
      </c>
      <c r="S2555" s="158">
        <f t="shared" si="436"/>
        <v>1.4989898990077728</v>
      </c>
      <c r="T2555" s="161">
        <f t="shared" si="437"/>
        <v>449.69696970233184</v>
      </c>
      <c r="U2555" s="158">
        <f t="shared" si="439"/>
        <v>72.727272727272734</v>
      </c>
      <c r="V2555" s="160">
        <f t="shared" si="438"/>
        <v>73</v>
      </c>
    </row>
    <row r="2556" spans="1:22" x14ac:dyDescent="0.25">
      <c r="A2556" s="98" t="s">
        <v>23</v>
      </c>
      <c r="B2556" s="98" t="s">
        <v>17</v>
      </c>
      <c r="C2556" s="98">
        <v>106</v>
      </c>
      <c r="D2556" s="98">
        <v>570</v>
      </c>
      <c r="E2556" s="157">
        <v>42264.329861111109</v>
      </c>
      <c r="F2556" s="157">
        <v>42264.446527777778</v>
      </c>
      <c r="G2556" s="98">
        <v>155</v>
      </c>
      <c r="H2556" s="98">
        <v>330</v>
      </c>
      <c r="I2556" s="98">
        <v>300</v>
      </c>
      <c r="J2556" s="98" t="s">
        <v>2747</v>
      </c>
      <c r="K2556" s="98" t="s">
        <v>3524</v>
      </c>
      <c r="L2556" s="105" t="str">
        <f t="shared" si="430"/>
        <v>Mill Creek</v>
      </c>
      <c r="M2556" s="105" t="str">
        <f t="shared" si="431"/>
        <v>Derate</v>
      </c>
      <c r="N2556" s="105" t="str">
        <f t="shared" si="432"/>
        <v>Coal</v>
      </c>
      <c r="O2556" s="105">
        <f>IFERROR(VLOOKUP(A2556,Lookup!$J$5:$P$19,7,FALSE),0)</f>
        <v>2</v>
      </c>
      <c r="P2556" s="159">
        <f t="shared" si="433"/>
        <v>2015</v>
      </c>
      <c r="Q2556" s="159">
        <f t="shared" si="434"/>
        <v>9</v>
      </c>
      <c r="R2556" s="160">
        <f t="shared" si="435"/>
        <v>2.8000000000465661</v>
      </c>
      <c r="S2556" s="158">
        <f t="shared" si="436"/>
        <v>1.4848484848731791</v>
      </c>
      <c r="T2556" s="161">
        <f t="shared" si="437"/>
        <v>445.45454546195373</v>
      </c>
      <c r="U2556" s="158">
        <f t="shared" si="439"/>
        <v>159.09090909090909</v>
      </c>
      <c r="V2556" s="160">
        <f t="shared" si="438"/>
        <v>159</v>
      </c>
    </row>
    <row r="2557" spans="1:22" x14ac:dyDescent="0.25">
      <c r="A2557" s="98" t="s">
        <v>23</v>
      </c>
      <c r="B2557" s="98" t="s">
        <v>79</v>
      </c>
      <c r="C2557" s="98">
        <v>107</v>
      </c>
      <c r="D2557" s="98">
        <v>8460</v>
      </c>
      <c r="E2557" s="157">
        <v>42269.4375</v>
      </c>
      <c r="F2557" s="157">
        <v>42269.8125</v>
      </c>
      <c r="G2557" s="98">
        <v>0</v>
      </c>
      <c r="H2557" s="98">
        <v>330</v>
      </c>
      <c r="I2557" s="98">
        <v>300</v>
      </c>
      <c r="J2557" s="98" t="s">
        <v>2651</v>
      </c>
      <c r="K2557" s="98" t="s">
        <v>3525</v>
      </c>
      <c r="L2557" s="105" t="str">
        <f t="shared" si="430"/>
        <v>Mill Creek</v>
      </c>
      <c r="M2557" s="105" t="str">
        <f t="shared" si="431"/>
        <v>Other</v>
      </c>
      <c r="N2557" s="105" t="str">
        <f t="shared" si="432"/>
        <v>Coal</v>
      </c>
      <c r="O2557" s="105">
        <f>IFERROR(VLOOKUP(A2557,Lookup!$J$5:$P$19,7,FALSE),0)</f>
        <v>2</v>
      </c>
      <c r="P2557" s="159">
        <f t="shared" si="433"/>
        <v>2015</v>
      </c>
      <c r="Q2557" s="159">
        <f t="shared" si="434"/>
        <v>9</v>
      </c>
      <c r="R2557" s="160">
        <f t="shared" si="435"/>
        <v>9</v>
      </c>
      <c r="S2557" s="158">
        <f t="shared" si="436"/>
        <v>9</v>
      </c>
      <c r="T2557" s="161">
        <f t="shared" si="437"/>
        <v>2700</v>
      </c>
      <c r="U2557" s="158">
        <f t="shared" si="439"/>
        <v>300</v>
      </c>
      <c r="V2557" s="160">
        <f t="shared" si="438"/>
        <v>300</v>
      </c>
    </row>
    <row r="2558" spans="1:22" x14ac:dyDescent="0.25">
      <c r="A2558" s="98" t="s">
        <v>23</v>
      </c>
      <c r="B2558" s="98" t="s">
        <v>79</v>
      </c>
      <c r="C2558" s="98">
        <v>108</v>
      </c>
      <c r="D2558" s="98">
        <v>8460</v>
      </c>
      <c r="E2558" s="157">
        <v>42270.375</v>
      </c>
      <c r="F2558" s="157">
        <v>42270.75</v>
      </c>
      <c r="G2558" s="98">
        <v>0</v>
      </c>
      <c r="H2558" s="98">
        <v>330</v>
      </c>
      <c r="I2558" s="98">
        <v>300</v>
      </c>
      <c r="J2558" s="98" t="s">
        <v>2651</v>
      </c>
      <c r="K2558" s="98" t="s">
        <v>3525</v>
      </c>
      <c r="L2558" s="105" t="str">
        <f t="shared" si="430"/>
        <v>Mill Creek</v>
      </c>
      <c r="M2558" s="105" t="str">
        <f t="shared" si="431"/>
        <v>Other</v>
      </c>
      <c r="N2558" s="105" t="str">
        <f t="shared" si="432"/>
        <v>Coal</v>
      </c>
      <c r="O2558" s="105">
        <f>IFERROR(VLOOKUP(A2558,Lookup!$J$5:$P$19,7,FALSE),0)</f>
        <v>2</v>
      </c>
      <c r="P2558" s="159">
        <f t="shared" si="433"/>
        <v>2015</v>
      </c>
      <c r="Q2558" s="159">
        <f t="shared" si="434"/>
        <v>9</v>
      </c>
      <c r="R2558" s="160">
        <f t="shared" si="435"/>
        <v>9</v>
      </c>
      <c r="S2558" s="158">
        <f t="shared" si="436"/>
        <v>9</v>
      </c>
      <c r="T2558" s="161">
        <f t="shared" si="437"/>
        <v>2700</v>
      </c>
      <c r="U2558" s="158">
        <f t="shared" si="439"/>
        <v>300</v>
      </c>
      <c r="V2558" s="160">
        <f t="shared" si="438"/>
        <v>300</v>
      </c>
    </row>
    <row r="2559" spans="1:22" x14ac:dyDescent="0.25">
      <c r="A2559" s="98" t="s">
        <v>23</v>
      </c>
      <c r="B2559" s="98" t="s">
        <v>79</v>
      </c>
      <c r="C2559" s="98">
        <v>109</v>
      </c>
      <c r="D2559" s="98">
        <v>8460</v>
      </c>
      <c r="E2559" s="157">
        <v>42271.458333333336</v>
      </c>
      <c r="F2559" s="157">
        <v>42271.75</v>
      </c>
      <c r="G2559" s="98">
        <v>0</v>
      </c>
      <c r="H2559" s="98">
        <v>330</v>
      </c>
      <c r="I2559" s="98">
        <v>300</v>
      </c>
      <c r="J2559" s="98" t="s">
        <v>2651</v>
      </c>
      <c r="K2559" s="98" t="s">
        <v>3525</v>
      </c>
      <c r="L2559" s="105" t="str">
        <f t="shared" si="430"/>
        <v>Mill Creek</v>
      </c>
      <c r="M2559" s="105" t="str">
        <f t="shared" si="431"/>
        <v>Other</v>
      </c>
      <c r="N2559" s="105" t="str">
        <f t="shared" si="432"/>
        <v>Coal</v>
      </c>
      <c r="O2559" s="105">
        <f>IFERROR(VLOOKUP(A2559,Lookup!$J$5:$P$19,7,FALSE),0)</f>
        <v>2</v>
      </c>
      <c r="P2559" s="159">
        <f t="shared" si="433"/>
        <v>2015</v>
      </c>
      <c r="Q2559" s="159">
        <f t="shared" si="434"/>
        <v>9</v>
      </c>
      <c r="R2559" s="160">
        <f t="shared" si="435"/>
        <v>6.9999999999417923</v>
      </c>
      <c r="S2559" s="158">
        <f t="shared" si="436"/>
        <v>6.9999999999417923</v>
      </c>
      <c r="T2559" s="161">
        <f t="shared" si="437"/>
        <v>2099.9999999825377</v>
      </c>
      <c r="U2559" s="158">
        <f t="shared" si="439"/>
        <v>300</v>
      </c>
      <c r="V2559" s="160">
        <f t="shared" si="438"/>
        <v>300</v>
      </c>
    </row>
    <row r="2560" spans="1:22" x14ac:dyDescent="0.25">
      <c r="A2560" s="98" t="s">
        <v>23</v>
      </c>
      <c r="B2560" s="98" t="s">
        <v>79</v>
      </c>
      <c r="C2560" s="98">
        <v>110</v>
      </c>
      <c r="D2560" s="98">
        <v>8460</v>
      </c>
      <c r="E2560" s="157">
        <v>42275.3125</v>
      </c>
      <c r="F2560" s="157">
        <v>42275.875</v>
      </c>
      <c r="G2560" s="98">
        <v>0</v>
      </c>
      <c r="H2560" s="98">
        <v>330</v>
      </c>
      <c r="I2560" s="98">
        <v>300</v>
      </c>
      <c r="J2560" s="98" t="s">
        <v>2651</v>
      </c>
      <c r="K2560" s="98" t="s">
        <v>3525</v>
      </c>
      <c r="L2560" s="105" t="str">
        <f t="shared" si="430"/>
        <v>Mill Creek</v>
      </c>
      <c r="M2560" s="105" t="str">
        <f t="shared" si="431"/>
        <v>Other</v>
      </c>
      <c r="N2560" s="105" t="str">
        <f t="shared" si="432"/>
        <v>Coal</v>
      </c>
      <c r="O2560" s="105">
        <f>IFERROR(VLOOKUP(A2560,Lookup!$J$5:$P$19,7,FALSE),0)</f>
        <v>2</v>
      </c>
      <c r="P2560" s="159">
        <f t="shared" si="433"/>
        <v>2015</v>
      </c>
      <c r="Q2560" s="159">
        <f t="shared" si="434"/>
        <v>9</v>
      </c>
      <c r="R2560" s="160">
        <f t="shared" si="435"/>
        <v>13.5</v>
      </c>
      <c r="S2560" s="158">
        <f t="shared" si="436"/>
        <v>13.5</v>
      </c>
      <c r="T2560" s="161">
        <f t="shared" si="437"/>
        <v>4050</v>
      </c>
      <c r="U2560" s="158">
        <f t="shared" si="439"/>
        <v>300</v>
      </c>
      <c r="V2560" s="160">
        <f t="shared" si="438"/>
        <v>300</v>
      </c>
    </row>
    <row r="2561" spans="1:22" x14ac:dyDescent="0.25">
      <c r="A2561" s="98" t="s">
        <v>23</v>
      </c>
      <c r="B2561" s="98" t="s">
        <v>79</v>
      </c>
      <c r="C2561" s="98">
        <v>111</v>
      </c>
      <c r="D2561" s="98">
        <v>8460</v>
      </c>
      <c r="E2561" s="157">
        <v>42276.375</v>
      </c>
      <c r="F2561" s="157">
        <v>42276.729166666664</v>
      </c>
      <c r="G2561" s="98">
        <v>0</v>
      </c>
      <c r="H2561" s="98">
        <v>330</v>
      </c>
      <c r="I2561" s="98">
        <v>300</v>
      </c>
      <c r="J2561" s="98" t="s">
        <v>2651</v>
      </c>
      <c r="K2561" s="98" t="s">
        <v>3525</v>
      </c>
      <c r="L2561" s="105" t="str">
        <f t="shared" si="430"/>
        <v>Mill Creek</v>
      </c>
      <c r="M2561" s="105" t="str">
        <f t="shared" si="431"/>
        <v>Other</v>
      </c>
      <c r="N2561" s="105" t="str">
        <f t="shared" si="432"/>
        <v>Coal</v>
      </c>
      <c r="O2561" s="105">
        <f>IFERROR(VLOOKUP(A2561,Lookup!$J$5:$P$19,7,FALSE),0)</f>
        <v>2</v>
      </c>
      <c r="P2561" s="159">
        <f t="shared" si="433"/>
        <v>2015</v>
      </c>
      <c r="Q2561" s="159">
        <f t="shared" si="434"/>
        <v>9</v>
      </c>
      <c r="R2561" s="160">
        <f t="shared" si="435"/>
        <v>8.4999999999417923</v>
      </c>
      <c r="S2561" s="158">
        <f t="shared" si="436"/>
        <v>8.4999999999417923</v>
      </c>
      <c r="T2561" s="161">
        <f t="shared" si="437"/>
        <v>2549.9999999825377</v>
      </c>
      <c r="U2561" s="158">
        <f t="shared" si="439"/>
        <v>300</v>
      </c>
      <c r="V2561" s="160">
        <f t="shared" si="438"/>
        <v>300</v>
      </c>
    </row>
    <row r="2562" spans="1:22" x14ac:dyDescent="0.25">
      <c r="A2562" s="98" t="s">
        <v>23</v>
      </c>
      <c r="B2562" s="98" t="s">
        <v>79</v>
      </c>
      <c r="C2562" s="98">
        <v>112</v>
      </c>
      <c r="D2562" s="98">
        <v>8460</v>
      </c>
      <c r="E2562" s="157">
        <v>42277.361111111109</v>
      </c>
      <c r="F2562" s="157">
        <v>42277.708333333336</v>
      </c>
      <c r="G2562" s="98">
        <v>0</v>
      </c>
      <c r="H2562" s="98">
        <v>330</v>
      </c>
      <c r="I2562" s="98">
        <v>300</v>
      </c>
      <c r="J2562" s="98" t="s">
        <v>2651</v>
      </c>
      <c r="K2562" s="98" t="s">
        <v>3525</v>
      </c>
      <c r="L2562" s="105" t="str">
        <f t="shared" si="430"/>
        <v>Mill Creek</v>
      </c>
      <c r="M2562" s="105" t="str">
        <f t="shared" si="431"/>
        <v>Other</v>
      </c>
      <c r="N2562" s="105" t="str">
        <f t="shared" si="432"/>
        <v>Coal</v>
      </c>
      <c r="O2562" s="105">
        <f>IFERROR(VLOOKUP(A2562,Lookup!$J$5:$P$19,7,FALSE),0)</f>
        <v>2</v>
      </c>
      <c r="P2562" s="159">
        <f t="shared" si="433"/>
        <v>2015</v>
      </c>
      <c r="Q2562" s="159">
        <f t="shared" si="434"/>
        <v>9</v>
      </c>
      <c r="R2562" s="160">
        <f t="shared" si="435"/>
        <v>8.3333333334303461</v>
      </c>
      <c r="S2562" s="158">
        <f t="shared" si="436"/>
        <v>8.3333333334303461</v>
      </c>
      <c r="T2562" s="161">
        <f t="shared" si="437"/>
        <v>2500.0000000291038</v>
      </c>
      <c r="U2562" s="158">
        <f t="shared" si="439"/>
        <v>300</v>
      </c>
      <c r="V2562" s="160">
        <f t="shared" si="438"/>
        <v>300</v>
      </c>
    </row>
    <row r="2563" spans="1:22" x14ac:dyDescent="0.25">
      <c r="A2563" s="98" t="s">
        <v>23</v>
      </c>
      <c r="B2563" s="98" t="s">
        <v>79</v>
      </c>
      <c r="C2563" s="98">
        <v>113</v>
      </c>
      <c r="D2563" s="98">
        <v>8460</v>
      </c>
      <c r="E2563" s="157">
        <v>42278.294444444444</v>
      </c>
      <c r="F2563" s="157">
        <v>42278.715277777781</v>
      </c>
      <c r="G2563" s="98">
        <v>0</v>
      </c>
      <c r="H2563" s="98">
        <v>330</v>
      </c>
      <c r="I2563" s="98">
        <v>300</v>
      </c>
      <c r="J2563" s="98" t="s">
        <v>2651</v>
      </c>
      <c r="K2563" s="98" t="s">
        <v>3525</v>
      </c>
      <c r="L2563" s="105" t="str">
        <f t="shared" si="430"/>
        <v>Mill Creek</v>
      </c>
      <c r="M2563" s="105" t="str">
        <f t="shared" si="431"/>
        <v>Other</v>
      </c>
      <c r="N2563" s="105" t="str">
        <f t="shared" si="432"/>
        <v>Coal</v>
      </c>
      <c r="O2563" s="105">
        <f>IFERROR(VLOOKUP(A2563,Lookup!$J$5:$P$19,7,FALSE),0)</f>
        <v>2</v>
      </c>
      <c r="P2563" s="159">
        <f t="shared" si="433"/>
        <v>2015</v>
      </c>
      <c r="Q2563" s="159">
        <f t="shared" si="434"/>
        <v>10</v>
      </c>
      <c r="R2563" s="160">
        <f t="shared" si="435"/>
        <v>10.100000000093132</v>
      </c>
      <c r="S2563" s="158">
        <f t="shared" si="436"/>
        <v>10.100000000093132</v>
      </c>
      <c r="T2563" s="161">
        <f t="shared" si="437"/>
        <v>3030.0000000279397</v>
      </c>
      <c r="U2563" s="158">
        <f t="shared" si="439"/>
        <v>300</v>
      </c>
      <c r="V2563" s="160">
        <f t="shared" si="438"/>
        <v>300</v>
      </c>
    </row>
    <row r="2564" spans="1:22" x14ac:dyDescent="0.25">
      <c r="A2564" s="98" t="s">
        <v>23</v>
      </c>
      <c r="B2564" s="98" t="s">
        <v>15</v>
      </c>
      <c r="C2564" s="98">
        <v>114</v>
      </c>
      <c r="D2564" s="98">
        <v>4750</v>
      </c>
      <c r="E2564" s="157">
        <v>42289.738194444442</v>
      </c>
      <c r="F2564" s="157">
        <v>42291.815972222219</v>
      </c>
      <c r="G2564" s="98">
        <v>0</v>
      </c>
      <c r="H2564" s="98">
        <v>330</v>
      </c>
      <c r="I2564" s="98">
        <v>300</v>
      </c>
      <c r="J2564" s="98" t="s">
        <v>2129</v>
      </c>
      <c r="K2564" s="98" t="s">
        <v>3526</v>
      </c>
      <c r="L2564" s="105" t="str">
        <f t="shared" si="430"/>
        <v>Mill Creek</v>
      </c>
      <c r="M2564" s="105" t="str">
        <f t="shared" si="431"/>
        <v>Outage</v>
      </c>
      <c r="N2564" s="105" t="str">
        <f t="shared" si="432"/>
        <v>Coal</v>
      </c>
      <c r="O2564" s="105">
        <f>IFERROR(VLOOKUP(A2564,Lookup!$J$5:$P$19,7,FALSE),0)</f>
        <v>2</v>
      </c>
      <c r="P2564" s="159">
        <f t="shared" si="433"/>
        <v>2015</v>
      </c>
      <c r="Q2564" s="159">
        <f t="shared" si="434"/>
        <v>10</v>
      </c>
      <c r="R2564" s="160">
        <f t="shared" si="435"/>
        <v>49.866666666639503</v>
      </c>
      <c r="S2564" s="158">
        <f t="shared" si="436"/>
        <v>49.866666666639503</v>
      </c>
      <c r="T2564" s="161">
        <f t="shared" si="437"/>
        <v>14959.999999991851</v>
      </c>
      <c r="U2564" s="158">
        <f t="shared" si="439"/>
        <v>300</v>
      </c>
      <c r="V2564" s="160">
        <f t="shared" si="438"/>
        <v>300</v>
      </c>
    </row>
    <row r="2565" spans="1:22" x14ac:dyDescent="0.25">
      <c r="A2565" s="98" t="s">
        <v>23</v>
      </c>
      <c r="B2565" s="98" t="s">
        <v>79</v>
      </c>
      <c r="C2565" s="98">
        <v>115</v>
      </c>
      <c r="D2565" s="98">
        <v>1850</v>
      </c>
      <c r="E2565" s="157">
        <v>42291.815972222219</v>
      </c>
      <c r="F2565" s="157">
        <v>42292.128472222219</v>
      </c>
      <c r="G2565" s="98">
        <v>0</v>
      </c>
      <c r="H2565" s="98">
        <v>330</v>
      </c>
      <c r="I2565" s="98">
        <v>300</v>
      </c>
      <c r="J2565" s="98" t="s">
        <v>2263</v>
      </c>
      <c r="K2565" s="98" t="s">
        <v>85</v>
      </c>
      <c r="L2565" s="105" t="str">
        <f t="shared" si="430"/>
        <v>Mill Creek</v>
      </c>
      <c r="M2565" s="105" t="str">
        <f t="shared" si="431"/>
        <v>Other</v>
      </c>
      <c r="N2565" s="105" t="str">
        <f t="shared" si="432"/>
        <v>Coal</v>
      </c>
      <c r="O2565" s="105">
        <f>IFERROR(VLOOKUP(A2565,Lookup!$J$5:$P$19,7,FALSE),0)</f>
        <v>2</v>
      </c>
      <c r="P2565" s="159">
        <f t="shared" si="433"/>
        <v>2015</v>
      </c>
      <c r="Q2565" s="159">
        <f t="shared" si="434"/>
        <v>10</v>
      </c>
      <c r="R2565" s="160">
        <f t="shared" si="435"/>
        <v>7.5</v>
      </c>
      <c r="S2565" s="158">
        <f t="shared" si="436"/>
        <v>7.5</v>
      </c>
      <c r="T2565" s="161">
        <f t="shared" si="437"/>
        <v>2250</v>
      </c>
      <c r="U2565" s="158">
        <f t="shared" si="439"/>
        <v>300</v>
      </c>
      <c r="V2565" s="160">
        <f t="shared" si="438"/>
        <v>300</v>
      </c>
    </row>
    <row r="2566" spans="1:22" x14ac:dyDescent="0.25">
      <c r="A2566" s="98" t="s">
        <v>23</v>
      </c>
      <c r="B2566" s="98" t="s">
        <v>105</v>
      </c>
      <c r="C2566" s="98">
        <v>116</v>
      </c>
      <c r="D2566" s="98">
        <v>250</v>
      </c>
      <c r="E2566" s="157">
        <v>42306.041666666664</v>
      </c>
      <c r="F2566" s="157">
        <v>42306.166666666664</v>
      </c>
      <c r="G2566" s="98">
        <v>250</v>
      </c>
      <c r="H2566" s="98">
        <v>330</v>
      </c>
      <c r="I2566" s="98">
        <v>300</v>
      </c>
      <c r="J2566" s="98" t="s">
        <v>1978</v>
      </c>
      <c r="K2566" s="98" t="s">
        <v>3527</v>
      </c>
      <c r="L2566" s="105" t="str">
        <f t="shared" si="430"/>
        <v>Mill Creek</v>
      </c>
      <c r="M2566" s="105" t="str">
        <f t="shared" si="431"/>
        <v>Derate</v>
      </c>
      <c r="N2566" s="105" t="str">
        <f t="shared" si="432"/>
        <v>Coal</v>
      </c>
      <c r="O2566" s="105">
        <f>IFERROR(VLOOKUP(A2566,Lookup!$J$5:$P$19,7,FALSE),0)</f>
        <v>2</v>
      </c>
      <c r="P2566" s="159">
        <f t="shared" si="433"/>
        <v>2015</v>
      </c>
      <c r="Q2566" s="159">
        <f t="shared" si="434"/>
        <v>10</v>
      </c>
      <c r="R2566" s="160">
        <f t="shared" si="435"/>
        <v>3</v>
      </c>
      <c r="S2566" s="158">
        <f t="shared" si="436"/>
        <v>0.72727272727272729</v>
      </c>
      <c r="T2566" s="161">
        <f t="shared" si="437"/>
        <v>218.18181818181819</v>
      </c>
      <c r="U2566" s="158">
        <f t="shared" si="439"/>
        <v>72.727272727272734</v>
      </c>
      <c r="V2566" s="160">
        <f t="shared" si="438"/>
        <v>73</v>
      </c>
    </row>
    <row r="2567" spans="1:22" x14ac:dyDescent="0.25">
      <c r="A2567" s="98" t="s">
        <v>23</v>
      </c>
      <c r="B2567" s="98" t="s">
        <v>17</v>
      </c>
      <c r="C2567" s="98">
        <v>117</v>
      </c>
      <c r="D2567" s="98">
        <v>310</v>
      </c>
      <c r="E2567" s="157">
        <v>42311.479166666664</v>
      </c>
      <c r="F2567" s="157">
        <v>42311.504166666666</v>
      </c>
      <c r="G2567" s="98">
        <v>210</v>
      </c>
      <c r="H2567" s="98">
        <v>330</v>
      </c>
      <c r="I2567" s="98">
        <v>300</v>
      </c>
      <c r="J2567" s="98" t="s">
        <v>1966</v>
      </c>
      <c r="K2567" s="98" t="s">
        <v>3528</v>
      </c>
      <c r="L2567" s="105" t="str">
        <f t="shared" si="430"/>
        <v>Mill Creek</v>
      </c>
      <c r="M2567" s="105" t="str">
        <f t="shared" si="431"/>
        <v>Derate</v>
      </c>
      <c r="N2567" s="105" t="str">
        <f t="shared" si="432"/>
        <v>Coal</v>
      </c>
      <c r="O2567" s="105">
        <f>IFERROR(VLOOKUP(A2567,Lookup!$J$5:$P$19,7,FALSE),0)</f>
        <v>2</v>
      </c>
      <c r="P2567" s="159">
        <f t="shared" si="433"/>
        <v>2015</v>
      </c>
      <c r="Q2567" s="159">
        <f t="shared" si="434"/>
        <v>11</v>
      </c>
      <c r="R2567" s="160">
        <f t="shared" si="435"/>
        <v>0.6000000000349246</v>
      </c>
      <c r="S2567" s="158">
        <f t="shared" si="436"/>
        <v>0.21818181819451804</v>
      </c>
      <c r="T2567" s="161">
        <f t="shared" si="437"/>
        <v>65.454545458355412</v>
      </c>
      <c r="U2567" s="158">
        <f t="shared" si="439"/>
        <v>109.09090909090909</v>
      </c>
      <c r="V2567" s="160">
        <f t="shared" si="438"/>
        <v>109</v>
      </c>
    </row>
    <row r="2568" spans="1:22" x14ac:dyDescent="0.25">
      <c r="A2568" s="98" t="s">
        <v>23</v>
      </c>
      <c r="B2568" s="98" t="s">
        <v>79</v>
      </c>
      <c r="C2568" s="98">
        <v>118</v>
      </c>
      <c r="D2568" s="98">
        <v>8460</v>
      </c>
      <c r="E2568" s="157">
        <v>42324.333333333336</v>
      </c>
      <c r="F2568" s="157">
        <v>42324.708333333336</v>
      </c>
      <c r="G2568" s="98">
        <v>0</v>
      </c>
      <c r="H2568" s="98">
        <v>330</v>
      </c>
      <c r="I2568" s="98">
        <v>300</v>
      </c>
      <c r="J2568" s="98" t="s">
        <v>2651</v>
      </c>
      <c r="K2568" s="98" t="s">
        <v>3529</v>
      </c>
      <c r="L2568" s="105" t="str">
        <f t="shared" si="430"/>
        <v>Mill Creek</v>
      </c>
      <c r="M2568" s="105" t="str">
        <f t="shared" si="431"/>
        <v>Other</v>
      </c>
      <c r="N2568" s="105" t="str">
        <f t="shared" si="432"/>
        <v>Coal</v>
      </c>
      <c r="O2568" s="105">
        <f>IFERROR(VLOOKUP(A2568,Lookup!$J$5:$P$19,7,FALSE),0)</f>
        <v>2</v>
      </c>
      <c r="P2568" s="159">
        <f t="shared" si="433"/>
        <v>2015</v>
      </c>
      <c r="Q2568" s="159">
        <f t="shared" si="434"/>
        <v>11</v>
      </c>
      <c r="R2568" s="160">
        <f t="shared" si="435"/>
        <v>9</v>
      </c>
      <c r="S2568" s="158">
        <f t="shared" si="436"/>
        <v>9</v>
      </c>
      <c r="T2568" s="161">
        <f t="shared" si="437"/>
        <v>2700</v>
      </c>
      <c r="U2568" s="158">
        <f t="shared" si="439"/>
        <v>300</v>
      </c>
      <c r="V2568" s="160">
        <f t="shared" si="438"/>
        <v>300</v>
      </c>
    </row>
    <row r="2569" spans="1:22" x14ac:dyDescent="0.25">
      <c r="A2569" s="98" t="s">
        <v>23</v>
      </c>
      <c r="B2569" s="98" t="s">
        <v>79</v>
      </c>
      <c r="C2569" s="98">
        <v>119</v>
      </c>
      <c r="D2569" s="98">
        <v>8460</v>
      </c>
      <c r="E2569" s="157">
        <v>42325.319444444445</v>
      </c>
      <c r="F2569" s="157">
        <v>42325.708333333336</v>
      </c>
      <c r="G2569" s="98">
        <v>0</v>
      </c>
      <c r="H2569" s="98">
        <v>330</v>
      </c>
      <c r="I2569" s="98">
        <v>300</v>
      </c>
      <c r="J2569" s="98" t="s">
        <v>2651</v>
      </c>
      <c r="K2569" s="98" t="s">
        <v>3529</v>
      </c>
      <c r="L2569" s="105" t="str">
        <f t="shared" si="430"/>
        <v>Mill Creek</v>
      </c>
      <c r="M2569" s="105" t="str">
        <f t="shared" si="431"/>
        <v>Other</v>
      </c>
      <c r="N2569" s="105" t="str">
        <f t="shared" si="432"/>
        <v>Coal</v>
      </c>
      <c r="O2569" s="105">
        <f>IFERROR(VLOOKUP(A2569,Lookup!$J$5:$P$19,7,FALSE),0)</f>
        <v>2</v>
      </c>
      <c r="P2569" s="159">
        <f t="shared" si="433"/>
        <v>2015</v>
      </c>
      <c r="Q2569" s="159">
        <f t="shared" si="434"/>
        <v>11</v>
      </c>
      <c r="R2569" s="160">
        <f t="shared" si="435"/>
        <v>9.3333333333721384</v>
      </c>
      <c r="S2569" s="158">
        <f t="shared" si="436"/>
        <v>9.3333333333721384</v>
      </c>
      <c r="T2569" s="161">
        <f t="shared" si="437"/>
        <v>2800.0000000116415</v>
      </c>
      <c r="U2569" s="158">
        <f t="shared" si="439"/>
        <v>300</v>
      </c>
      <c r="V2569" s="160">
        <f t="shared" si="438"/>
        <v>300</v>
      </c>
    </row>
    <row r="2570" spans="1:22" x14ac:dyDescent="0.25">
      <c r="A2570" s="98" t="s">
        <v>23</v>
      </c>
      <c r="B2570" s="98" t="s">
        <v>79</v>
      </c>
      <c r="C2570" s="98">
        <v>120</v>
      </c>
      <c r="D2570" s="98">
        <v>8460</v>
      </c>
      <c r="E2570" s="157">
        <v>42326.34375</v>
      </c>
      <c r="F2570" s="157">
        <v>42326.708333333336</v>
      </c>
      <c r="G2570" s="98">
        <v>0</v>
      </c>
      <c r="H2570" s="98">
        <v>330</v>
      </c>
      <c r="I2570" s="98">
        <v>300</v>
      </c>
      <c r="J2570" s="98" t="s">
        <v>2651</v>
      </c>
      <c r="K2570" s="98" t="s">
        <v>3529</v>
      </c>
      <c r="L2570" s="105" t="str">
        <f t="shared" si="430"/>
        <v>Mill Creek</v>
      </c>
      <c r="M2570" s="105" t="str">
        <f t="shared" si="431"/>
        <v>Other</v>
      </c>
      <c r="N2570" s="105" t="str">
        <f t="shared" si="432"/>
        <v>Coal</v>
      </c>
      <c r="O2570" s="105">
        <f>IFERROR(VLOOKUP(A2570,Lookup!$J$5:$P$19,7,FALSE),0)</f>
        <v>2</v>
      </c>
      <c r="P2570" s="159">
        <f t="shared" si="433"/>
        <v>2015</v>
      </c>
      <c r="Q2570" s="159">
        <f t="shared" si="434"/>
        <v>11</v>
      </c>
      <c r="R2570" s="160">
        <f t="shared" si="435"/>
        <v>8.7500000000582077</v>
      </c>
      <c r="S2570" s="158">
        <f t="shared" si="436"/>
        <v>8.7500000000582077</v>
      </c>
      <c r="T2570" s="161">
        <f t="shared" si="437"/>
        <v>2625.0000000174623</v>
      </c>
      <c r="U2570" s="158">
        <f t="shared" si="439"/>
        <v>300</v>
      </c>
      <c r="V2570" s="160">
        <f t="shared" si="438"/>
        <v>300</v>
      </c>
    </row>
    <row r="2571" spans="1:22" x14ac:dyDescent="0.25">
      <c r="A2571" s="98" t="s">
        <v>23</v>
      </c>
      <c r="B2571" s="98" t="s">
        <v>79</v>
      </c>
      <c r="C2571" s="98">
        <v>121</v>
      </c>
      <c r="D2571" s="98">
        <v>8460</v>
      </c>
      <c r="E2571" s="157">
        <v>42327.3125</v>
      </c>
      <c r="F2571" s="157">
        <v>42327.708333333336</v>
      </c>
      <c r="G2571" s="98">
        <v>0</v>
      </c>
      <c r="H2571" s="98">
        <v>330</v>
      </c>
      <c r="I2571" s="98">
        <v>300</v>
      </c>
      <c r="J2571" s="98" t="s">
        <v>2651</v>
      </c>
      <c r="K2571" s="98" t="s">
        <v>3529</v>
      </c>
      <c r="L2571" s="105" t="str">
        <f t="shared" si="430"/>
        <v>Mill Creek</v>
      </c>
      <c r="M2571" s="105" t="str">
        <f t="shared" si="431"/>
        <v>Other</v>
      </c>
      <c r="N2571" s="105" t="str">
        <f t="shared" si="432"/>
        <v>Coal</v>
      </c>
      <c r="O2571" s="105">
        <f>IFERROR(VLOOKUP(A2571,Lookup!$J$5:$P$19,7,FALSE),0)</f>
        <v>2</v>
      </c>
      <c r="P2571" s="159">
        <f t="shared" si="433"/>
        <v>2015</v>
      </c>
      <c r="Q2571" s="159">
        <f t="shared" si="434"/>
        <v>11</v>
      </c>
      <c r="R2571" s="160">
        <f t="shared" si="435"/>
        <v>9.5000000000582077</v>
      </c>
      <c r="S2571" s="158">
        <f t="shared" si="436"/>
        <v>9.5000000000582077</v>
      </c>
      <c r="T2571" s="161">
        <f t="shared" si="437"/>
        <v>2850.0000000174623</v>
      </c>
      <c r="U2571" s="158">
        <f t="shared" si="439"/>
        <v>300</v>
      </c>
      <c r="V2571" s="160">
        <f t="shared" si="438"/>
        <v>300</v>
      </c>
    </row>
    <row r="2572" spans="1:22" x14ac:dyDescent="0.25">
      <c r="A2572" s="98" t="s">
        <v>23</v>
      </c>
      <c r="B2572" s="98" t="s">
        <v>79</v>
      </c>
      <c r="C2572" s="98">
        <v>122</v>
      </c>
      <c r="D2572" s="98">
        <v>8460</v>
      </c>
      <c r="E2572" s="157">
        <v>42328.375</v>
      </c>
      <c r="F2572" s="157">
        <v>42328.791666666664</v>
      </c>
      <c r="G2572" s="98">
        <v>0</v>
      </c>
      <c r="H2572" s="98">
        <v>330</v>
      </c>
      <c r="I2572" s="98">
        <v>300</v>
      </c>
      <c r="J2572" s="98" t="s">
        <v>2651</v>
      </c>
      <c r="K2572" s="98" t="s">
        <v>3529</v>
      </c>
      <c r="L2572" s="105" t="str">
        <f t="shared" si="430"/>
        <v>Mill Creek</v>
      </c>
      <c r="M2572" s="105" t="str">
        <f t="shared" si="431"/>
        <v>Other</v>
      </c>
      <c r="N2572" s="105" t="str">
        <f t="shared" si="432"/>
        <v>Coal</v>
      </c>
      <c r="O2572" s="105">
        <f>IFERROR(VLOOKUP(A2572,Lookup!$J$5:$P$19,7,FALSE),0)</f>
        <v>2</v>
      </c>
      <c r="P2572" s="159">
        <f t="shared" si="433"/>
        <v>2015</v>
      </c>
      <c r="Q2572" s="159">
        <f t="shared" si="434"/>
        <v>11</v>
      </c>
      <c r="R2572" s="160">
        <f t="shared" si="435"/>
        <v>9.9999999999417923</v>
      </c>
      <c r="S2572" s="158">
        <f t="shared" si="436"/>
        <v>9.9999999999417923</v>
      </c>
      <c r="T2572" s="161">
        <f t="shared" si="437"/>
        <v>2999.9999999825377</v>
      </c>
      <c r="U2572" s="158">
        <f t="shared" si="439"/>
        <v>300</v>
      </c>
      <c r="V2572" s="160">
        <f t="shared" si="438"/>
        <v>300</v>
      </c>
    </row>
    <row r="2573" spans="1:22" x14ac:dyDescent="0.25">
      <c r="A2573" s="98" t="s">
        <v>23</v>
      </c>
      <c r="B2573" s="98" t="s">
        <v>79</v>
      </c>
      <c r="C2573" s="98">
        <v>123</v>
      </c>
      <c r="D2573" s="98">
        <v>8460</v>
      </c>
      <c r="E2573" s="157">
        <v>42329.333333333336</v>
      </c>
      <c r="F2573" s="157">
        <v>42329.803472222222</v>
      </c>
      <c r="G2573" s="98">
        <v>0</v>
      </c>
      <c r="H2573" s="98">
        <v>330</v>
      </c>
      <c r="I2573" s="98">
        <v>300</v>
      </c>
      <c r="J2573" s="98" t="s">
        <v>2651</v>
      </c>
      <c r="K2573" s="98" t="s">
        <v>3529</v>
      </c>
      <c r="L2573" s="105" t="str">
        <f t="shared" si="430"/>
        <v>Mill Creek</v>
      </c>
      <c r="M2573" s="105" t="str">
        <f t="shared" si="431"/>
        <v>Other</v>
      </c>
      <c r="N2573" s="105" t="str">
        <f t="shared" si="432"/>
        <v>Coal</v>
      </c>
      <c r="O2573" s="105">
        <f>IFERROR(VLOOKUP(A2573,Lookup!$J$5:$P$19,7,FALSE),0)</f>
        <v>2</v>
      </c>
      <c r="P2573" s="159">
        <f t="shared" si="433"/>
        <v>2015</v>
      </c>
      <c r="Q2573" s="159">
        <f t="shared" si="434"/>
        <v>11</v>
      </c>
      <c r="R2573" s="160">
        <f t="shared" si="435"/>
        <v>11.283333333267365</v>
      </c>
      <c r="S2573" s="158">
        <f t="shared" si="436"/>
        <v>11.283333333267365</v>
      </c>
      <c r="T2573" s="161">
        <f t="shared" si="437"/>
        <v>3384.9999999802094</v>
      </c>
      <c r="U2573" s="158">
        <f t="shared" si="439"/>
        <v>300</v>
      </c>
      <c r="V2573" s="160">
        <f t="shared" si="438"/>
        <v>300</v>
      </c>
    </row>
    <row r="2574" spans="1:22" x14ac:dyDescent="0.25">
      <c r="A2574" s="98" t="s">
        <v>23</v>
      </c>
      <c r="B2574" s="98" t="s">
        <v>17</v>
      </c>
      <c r="C2574" s="98">
        <v>124</v>
      </c>
      <c r="D2574" s="98">
        <v>30</v>
      </c>
      <c r="E2574" s="157">
        <v>42332.961805555555</v>
      </c>
      <c r="F2574" s="157">
        <v>42333.061111111114</v>
      </c>
      <c r="G2574" s="98">
        <v>125</v>
      </c>
      <c r="H2574" s="98">
        <v>330</v>
      </c>
      <c r="I2574" s="98">
        <v>300</v>
      </c>
      <c r="J2574" s="98" t="s">
        <v>2125</v>
      </c>
      <c r="K2574" s="98" t="s">
        <v>3530</v>
      </c>
      <c r="L2574" s="105" t="str">
        <f t="shared" si="430"/>
        <v>Mill Creek</v>
      </c>
      <c r="M2574" s="105" t="str">
        <f t="shared" si="431"/>
        <v>Derate</v>
      </c>
      <c r="N2574" s="105" t="str">
        <f t="shared" si="432"/>
        <v>Coal</v>
      </c>
      <c r="O2574" s="105">
        <f>IFERROR(VLOOKUP(A2574,Lookup!$J$5:$P$19,7,FALSE),0)</f>
        <v>2</v>
      </c>
      <c r="P2574" s="159">
        <f t="shared" si="433"/>
        <v>2015</v>
      </c>
      <c r="Q2574" s="159">
        <f t="shared" si="434"/>
        <v>11</v>
      </c>
      <c r="R2574" s="160">
        <f t="shared" si="435"/>
        <v>2.3833333334187046</v>
      </c>
      <c r="S2574" s="158">
        <f t="shared" si="436"/>
        <v>1.4805555556085892</v>
      </c>
      <c r="T2574" s="161">
        <f t="shared" si="437"/>
        <v>444.16666668257676</v>
      </c>
      <c r="U2574" s="158">
        <f t="shared" si="439"/>
        <v>186.36363636363637</v>
      </c>
      <c r="V2574" s="160">
        <f t="shared" si="438"/>
        <v>186</v>
      </c>
    </row>
    <row r="2575" spans="1:22" x14ac:dyDescent="0.25">
      <c r="A2575" s="98" t="s">
        <v>23</v>
      </c>
      <c r="B2575" s="98" t="s">
        <v>105</v>
      </c>
      <c r="C2575" s="98">
        <v>125</v>
      </c>
      <c r="D2575" s="98">
        <v>310</v>
      </c>
      <c r="E2575" s="157">
        <v>42334.046527777777</v>
      </c>
      <c r="F2575" s="157">
        <v>42334.126388888886</v>
      </c>
      <c r="G2575" s="98">
        <v>240</v>
      </c>
      <c r="H2575" s="98">
        <v>330</v>
      </c>
      <c r="I2575" s="98">
        <v>300</v>
      </c>
      <c r="J2575" s="98" t="s">
        <v>1966</v>
      </c>
      <c r="K2575" s="98" t="s">
        <v>3531</v>
      </c>
      <c r="L2575" s="105" t="str">
        <f t="shared" si="430"/>
        <v>Mill Creek</v>
      </c>
      <c r="M2575" s="105" t="str">
        <f t="shared" si="431"/>
        <v>Derate</v>
      </c>
      <c r="N2575" s="105" t="str">
        <f t="shared" si="432"/>
        <v>Coal</v>
      </c>
      <c r="O2575" s="105">
        <f>IFERROR(VLOOKUP(A2575,Lookup!$J$5:$P$19,7,FALSE),0)</f>
        <v>2</v>
      </c>
      <c r="P2575" s="159">
        <f t="shared" si="433"/>
        <v>2015</v>
      </c>
      <c r="Q2575" s="159">
        <f t="shared" si="434"/>
        <v>11</v>
      </c>
      <c r="R2575" s="160">
        <f t="shared" si="435"/>
        <v>1.9166666666278616</v>
      </c>
      <c r="S2575" s="158">
        <f t="shared" si="436"/>
        <v>0.52272727271668951</v>
      </c>
      <c r="T2575" s="161">
        <f t="shared" si="437"/>
        <v>156.81818181500685</v>
      </c>
      <c r="U2575" s="158">
        <f t="shared" si="439"/>
        <v>81.818181818181813</v>
      </c>
      <c r="V2575" s="160">
        <f t="shared" si="438"/>
        <v>82</v>
      </c>
    </row>
    <row r="2576" spans="1:22" x14ac:dyDescent="0.25">
      <c r="A2576" s="98" t="s">
        <v>23</v>
      </c>
      <c r="B2576" s="98" t="s">
        <v>79</v>
      </c>
      <c r="C2576" s="98">
        <v>126</v>
      </c>
      <c r="D2576" s="98">
        <v>3190</v>
      </c>
      <c r="E2576" s="157">
        <v>42352.958333333336</v>
      </c>
      <c r="F2576" s="157">
        <v>42353.160416666666</v>
      </c>
      <c r="G2576" s="98">
        <v>0</v>
      </c>
      <c r="H2576" s="98">
        <v>330</v>
      </c>
      <c r="I2576" s="98">
        <v>300</v>
      </c>
      <c r="J2576" s="98" t="s">
        <v>2644</v>
      </c>
      <c r="K2576" s="98" t="s">
        <v>3532</v>
      </c>
      <c r="L2576" s="105" t="str">
        <f t="shared" si="430"/>
        <v>Mill Creek</v>
      </c>
      <c r="M2576" s="105" t="str">
        <f t="shared" si="431"/>
        <v>Other</v>
      </c>
      <c r="N2576" s="105" t="str">
        <f t="shared" si="432"/>
        <v>Coal</v>
      </c>
      <c r="O2576" s="105">
        <f>IFERROR(VLOOKUP(A2576,Lookup!$J$5:$P$19,7,FALSE),0)</f>
        <v>2</v>
      </c>
      <c r="P2576" s="159">
        <f t="shared" si="433"/>
        <v>2015</v>
      </c>
      <c r="Q2576" s="159">
        <f t="shared" si="434"/>
        <v>12</v>
      </c>
      <c r="R2576" s="160">
        <f t="shared" si="435"/>
        <v>4.8499999999185093</v>
      </c>
      <c r="S2576" s="158">
        <f t="shared" si="436"/>
        <v>4.8499999999185093</v>
      </c>
      <c r="T2576" s="161">
        <f t="shared" si="437"/>
        <v>1454.9999999755528</v>
      </c>
      <c r="U2576" s="158">
        <f t="shared" si="439"/>
        <v>300</v>
      </c>
      <c r="V2576" s="160">
        <f t="shared" si="438"/>
        <v>300</v>
      </c>
    </row>
    <row r="2577" spans="1:22" x14ac:dyDescent="0.25">
      <c r="A2577" s="98" t="s">
        <v>23</v>
      </c>
      <c r="B2577" s="98" t="s">
        <v>20</v>
      </c>
      <c r="C2577" s="98">
        <v>127</v>
      </c>
      <c r="D2577" s="98">
        <v>8499</v>
      </c>
      <c r="E2577" s="157">
        <v>42357.527083333334</v>
      </c>
      <c r="F2577" s="157">
        <v>42361.513888888891</v>
      </c>
      <c r="G2577" s="98">
        <v>0</v>
      </c>
      <c r="H2577" s="98">
        <v>330</v>
      </c>
      <c r="I2577" s="98">
        <v>300</v>
      </c>
      <c r="J2577" s="98" t="s">
        <v>2265</v>
      </c>
      <c r="K2577" s="98" t="s">
        <v>3533</v>
      </c>
      <c r="L2577" s="105" t="str">
        <f t="shared" si="430"/>
        <v>Mill Creek</v>
      </c>
      <c r="M2577" s="105" t="str">
        <f t="shared" si="431"/>
        <v>Maintenance</v>
      </c>
      <c r="N2577" s="105" t="str">
        <f t="shared" si="432"/>
        <v>Coal</v>
      </c>
      <c r="O2577" s="105">
        <f>IFERROR(VLOOKUP(A2577,Lookup!$J$5:$P$19,7,FALSE),0)</f>
        <v>2</v>
      </c>
      <c r="P2577" s="159">
        <f t="shared" si="433"/>
        <v>2015</v>
      </c>
      <c r="Q2577" s="159">
        <f t="shared" si="434"/>
        <v>12</v>
      </c>
      <c r="R2577" s="160">
        <f t="shared" si="435"/>
        <v>95.683333333348855</v>
      </c>
      <c r="S2577" s="158">
        <f t="shared" si="436"/>
        <v>95.683333333348855</v>
      </c>
      <c r="T2577" s="161">
        <f t="shared" si="437"/>
        <v>28705.000000004657</v>
      </c>
      <c r="U2577" s="158">
        <f t="shared" si="439"/>
        <v>300</v>
      </c>
      <c r="V2577" s="160">
        <f t="shared" si="438"/>
        <v>300</v>
      </c>
    </row>
    <row r="2578" spans="1:22" x14ac:dyDescent="0.25">
      <c r="A2578" s="98" t="s">
        <v>23</v>
      </c>
      <c r="B2578" s="98" t="s">
        <v>17</v>
      </c>
      <c r="C2578" s="98">
        <v>128</v>
      </c>
      <c r="D2578" s="98">
        <v>1850</v>
      </c>
      <c r="E2578" s="157">
        <v>42361.9375</v>
      </c>
      <c r="F2578" s="157">
        <v>42362.077777777777</v>
      </c>
      <c r="G2578" s="98">
        <v>250</v>
      </c>
      <c r="H2578" s="98">
        <v>330</v>
      </c>
      <c r="I2578" s="98">
        <v>300</v>
      </c>
      <c r="J2578" s="98" t="s">
        <v>2263</v>
      </c>
      <c r="K2578" s="98" t="s">
        <v>41</v>
      </c>
      <c r="L2578" s="105" t="str">
        <f t="shared" si="430"/>
        <v>Mill Creek</v>
      </c>
      <c r="M2578" s="105" t="str">
        <f t="shared" si="431"/>
        <v>Derate</v>
      </c>
      <c r="N2578" s="105" t="str">
        <f t="shared" si="432"/>
        <v>Coal</v>
      </c>
      <c r="O2578" s="105">
        <f>IFERROR(VLOOKUP(A2578,Lookup!$J$5:$P$19,7,FALSE),0)</f>
        <v>2</v>
      </c>
      <c r="P2578" s="159">
        <f t="shared" si="433"/>
        <v>2015</v>
      </c>
      <c r="Q2578" s="159">
        <f t="shared" si="434"/>
        <v>12</v>
      </c>
      <c r="R2578" s="160">
        <f t="shared" si="435"/>
        <v>3.3666666666395031</v>
      </c>
      <c r="S2578" s="158">
        <f t="shared" si="436"/>
        <v>0.81616161615503102</v>
      </c>
      <c r="T2578" s="161">
        <f t="shared" si="437"/>
        <v>244.84848484650931</v>
      </c>
      <c r="U2578" s="158">
        <f t="shared" si="439"/>
        <v>72.727272727272734</v>
      </c>
      <c r="V2578" s="160">
        <f t="shared" si="438"/>
        <v>73</v>
      </c>
    </row>
    <row r="2579" spans="1:22" x14ac:dyDescent="0.25">
      <c r="A2579" s="98" t="s">
        <v>23</v>
      </c>
      <c r="B2579" s="98" t="s">
        <v>17</v>
      </c>
      <c r="C2579" s="98">
        <v>129</v>
      </c>
      <c r="D2579" s="98">
        <v>1850</v>
      </c>
      <c r="E2579" s="157">
        <v>42362.077777777777</v>
      </c>
      <c r="F2579" s="157">
        <v>42362.152777777781</v>
      </c>
      <c r="G2579" s="98">
        <v>290</v>
      </c>
      <c r="H2579" s="98">
        <v>330</v>
      </c>
      <c r="I2579" s="98">
        <v>300</v>
      </c>
      <c r="J2579" s="98" t="s">
        <v>2263</v>
      </c>
      <c r="K2579" s="98" t="s">
        <v>41</v>
      </c>
      <c r="L2579" s="105" t="str">
        <f t="shared" si="430"/>
        <v>Mill Creek</v>
      </c>
      <c r="M2579" s="105" t="str">
        <f t="shared" si="431"/>
        <v>Derate</v>
      </c>
      <c r="N2579" s="105" t="str">
        <f t="shared" si="432"/>
        <v>Coal</v>
      </c>
      <c r="O2579" s="105">
        <f>IFERROR(VLOOKUP(A2579,Lookup!$J$5:$P$19,7,FALSE),0)</f>
        <v>2</v>
      </c>
      <c r="P2579" s="159">
        <f t="shared" si="433"/>
        <v>2015</v>
      </c>
      <c r="Q2579" s="159">
        <f t="shared" si="434"/>
        <v>12</v>
      </c>
      <c r="R2579" s="160">
        <f t="shared" si="435"/>
        <v>1.8000000001047738</v>
      </c>
      <c r="S2579" s="158">
        <f t="shared" si="436"/>
        <v>0.21818181819451804</v>
      </c>
      <c r="T2579" s="161">
        <f t="shared" si="437"/>
        <v>65.454545458355412</v>
      </c>
      <c r="U2579" s="158">
        <f t="shared" si="439"/>
        <v>36.363636363636367</v>
      </c>
      <c r="V2579" s="160">
        <f t="shared" si="438"/>
        <v>36</v>
      </c>
    </row>
    <row r="2580" spans="1:22" x14ac:dyDescent="0.25">
      <c r="A2580" s="98" t="s">
        <v>23</v>
      </c>
      <c r="B2580" s="98" t="s">
        <v>17</v>
      </c>
      <c r="C2580" s="98">
        <v>130</v>
      </c>
      <c r="D2580" s="98">
        <v>1850</v>
      </c>
      <c r="E2580" s="157">
        <v>42362.152777777781</v>
      </c>
      <c r="F2580" s="157">
        <v>42362.190972222219</v>
      </c>
      <c r="G2580" s="98">
        <v>318</v>
      </c>
      <c r="H2580" s="98">
        <v>330</v>
      </c>
      <c r="I2580" s="98">
        <v>300</v>
      </c>
      <c r="J2580" s="98" t="s">
        <v>2263</v>
      </c>
      <c r="K2580" s="98" t="s">
        <v>3534</v>
      </c>
      <c r="L2580" s="105" t="str">
        <f t="shared" si="430"/>
        <v>Mill Creek</v>
      </c>
      <c r="M2580" s="105" t="str">
        <f t="shared" si="431"/>
        <v>Derate</v>
      </c>
      <c r="N2580" s="105" t="str">
        <f t="shared" si="432"/>
        <v>Coal</v>
      </c>
      <c r="O2580" s="105">
        <f>IFERROR(VLOOKUP(A2580,Lookup!$J$5:$P$19,7,FALSE),0)</f>
        <v>2</v>
      </c>
      <c r="P2580" s="159">
        <f t="shared" si="433"/>
        <v>2015</v>
      </c>
      <c r="Q2580" s="159">
        <f t="shared" si="434"/>
        <v>12</v>
      </c>
      <c r="R2580" s="160">
        <f t="shared" si="435"/>
        <v>0.91666666651144624</v>
      </c>
      <c r="S2580" s="158">
        <f t="shared" si="436"/>
        <v>3.3333333327688952E-2</v>
      </c>
      <c r="T2580" s="161">
        <f t="shared" si="437"/>
        <v>9.9999999983066861</v>
      </c>
      <c r="U2580" s="158">
        <f t="shared" si="439"/>
        <v>10.909090909090908</v>
      </c>
      <c r="V2580" s="160">
        <f t="shared" si="438"/>
        <v>11</v>
      </c>
    </row>
    <row r="2581" spans="1:22" x14ac:dyDescent="0.25">
      <c r="A2581" s="98" t="s">
        <v>23</v>
      </c>
      <c r="B2581" s="98" t="s">
        <v>79</v>
      </c>
      <c r="C2581" s="98">
        <v>131</v>
      </c>
      <c r="D2581" s="98">
        <v>8460</v>
      </c>
      <c r="E2581" s="157">
        <v>42366.333333333336</v>
      </c>
      <c r="F2581" s="157">
        <v>42366.691666666666</v>
      </c>
      <c r="G2581" s="98">
        <v>0</v>
      </c>
      <c r="H2581" s="98">
        <v>330</v>
      </c>
      <c r="I2581" s="98">
        <v>300</v>
      </c>
      <c r="J2581" s="98" t="s">
        <v>2651</v>
      </c>
      <c r="K2581" s="98" t="s">
        <v>3535</v>
      </c>
      <c r="L2581" s="105" t="str">
        <f t="shared" si="430"/>
        <v>Mill Creek</v>
      </c>
      <c r="M2581" s="105" t="str">
        <f t="shared" si="431"/>
        <v>Other</v>
      </c>
      <c r="N2581" s="105" t="str">
        <f t="shared" si="432"/>
        <v>Coal</v>
      </c>
      <c r="O2581" s="105">
        <f>IFERROR(VLOOKUP(A2581,Lookup!$J$5:$P$19,7,FALSE),0)</f>
        <v>2</v>
      </c>
      <c r="P2581" s="159">
        <f t="shared" si="433"/>
        <v>2015</v>
      </c>
      <c r="Q2581" s="159">
        <f t="shared" si="434"/>
        <v>12</v>
      </c>
      <c r="R2581" s="160">
        <f t="shared" si="435"/>
        <v>8.5999999999185093</v>
      </c>
      <c r="S2581" s="158">
        <f t="shared" si="436"/>
        <v>8.5999999999185093</v>
      </c>
      <c r="T2581" s="161">
        <f t="shared" si="437"/>
        <v>2579.9999999755528</v>
      </c>
      <c r="U2581" s="158">
        <f t="shared" si="439"/>
        <v>300</v>
      </c>
      <c r="V2581" s="160">
        <f t="shared" si="438"/>
        <v>300</v>
      </c>
    </row>
    <row r="2582" spans="1:22" x14ac:dyDescent="0.25">
      <c r="A2582" s="98" t="s">
        <v>23</v>
      </c>
      <c r="B2582" s="98" t="s">
        <v>17</v>
      </c>
      <c r="C2582" s="98">
        <v>132</v>
      </c>
      <c r="D2582" s="98">
        <v>250</v>
      </c>
      <c r="E2582" s="157">
        <v>42366.691666666666</v>
      </c>
      <c r="F2582" s="157">
        <v>42366.741666666669</v>
      </c>
      <c r="G2582" s="98">
        <v>232</v>
      </c>
      <c r="H2582" s="98">
        <v>330</v>
      </c>
      <c r="I2582" s="98">
        <v>300</v>
      </c>
      <c r="J2582" s="98" t="s">
        <v>1978</v>
      </c>
      <c r="K2582" s="98" t="s">
        <v>2974</v>
      </c>
      <c r="L2582" s="105" t="str">
        <f t="shared" si="430"/>
        <v>Mill Creek</v>
      </c>
      <c r="M2582" s="105" t="str">
        <f t="shared" si="431"/>
        <v>Derate</v>
      </c>
      <c r="N2582" s="105" t="str">
        <f t="shared" si="432"/>
        <v>Coal</v>
      </c>
      <c r="O2582" s="105">
        <f>IFERROR(VLOOKUP(A2582,Lookup!$J$5:$P$19,7,FALSE),0)</f>
        <v>2</v>
      </c>
      <c r="P2582" s="159">
        <f t="shared" si="433"/>
        <v>2015</v>
      </c>
      <c r="Q2582" s="159">
        <f t="shared" si="434"/>
        <v>12</v>
      </c>
      <c r="R2582" s="160">
        <f t="shared" si="435"/>
        <v>1.2000000000698492</v>
      </c>
      <c r="S2582" s="158">
        <f t="shared" si="436"/>
        <v>0.35636363638437946</v>
      </c>
      <c r="T2582" s="161">
        <f t="shared" si="437"/>
        <v>106.90909091531384</v>
      </c>
      <c r="U2582" s="158">
        <f t="shared" si="439"/>
        <v>89.090909090909093</v>
      </c>
      <c r="V2582" s="160">
        <f t="shared" si="438"/>
        <v>89</v>
      </c>
    </row>
    <row r="2583" spans="1:22" x14ac:dyDescent="0.25">
      <c r="A2583" s="98" t="s">
        <v>23</v>
      </c>
      <c r="B2583" s="98" t="s">
        <v>17</v>
      </c>
      <c r="C2583" s="98">
        <v>133</v>
      </c>
      <c r="D2583" s="98">
        <v>250</v>
      </c>
      <c r="E2583" s="157">
        <v>42366.868750000001</v>
      </c>
      <c r="F2583" s="157">
        <v>42366.913194444445</v>
      </c>
      <c r="G2583" s="98">
        <v>225</v>
      </c>
      <c r="H2583" s="98">
        <v>330</v>
      </c>
      <c r="I2583" s="98">
        <v>300</v>
      </c>
      <c r="J2583" s="98" t="s">
        <v>1978</v>
      </c>
      <c r="K2583" s="98" t="s">
        <v>2974</v>
      </c>
      <c r="L2583" s="105" t="str">
        <f t="shared" si="430"/>
        <v>Mill Creek</v>
      </c>
      <c r="M2583" s="105" t="str">
        <f t="shared" si="431"/>
        <v>Derate</v>
      </c>
      <c r="N2583" s="105" t="str">
        <f t="shared" si="432"/>
        <v>Coal</v>
      </c>
      <c r="O2583" s="105">
        <f>IFERROR(VLOOKUP(A2583,Lookup!$J$5:$P$19,7,FALSE),0)</f>
        <v>2</v>
      </c>
      <c r="P2583" s="159">
        <f t="shared" si="433"/>
        <v>2015</v>
      </c>
      <c r="Q2583" s="159">
        <f t="shared" si="434"/>
        <v>12</v>
      </c>
      <c r="R2583" s="160">
        <f t="shared" si="435"/>
        <v>1.0666666666511446</v>
      </c>
      <c r="S2583" s="158">
        <f t="shared" si="436"/>
        <v>0.33939393938900059</v>
      </c>
      <c r="T2583" s="161">
        <f t="shared" si="437"/>
        <v>101.81818181670018</v>
      </c>
      <c r="U2583" s="158">
        <f t="shared" si="439"/>
        <v>95.454545454545453</v>
      </c>
      <c r="V2583" s="160">
        <f t="shared" si="438"/>
        <v>95</v>
      </c>
    </row>
    <row r="2584" spans="1:22" x14ac:dyDescent="0.25">
      <c r="A2584" s="98" t="s">
        <v>23</v>
      </c>
      <c r="B2584" s="98" t="s">
        <v>15</v>
      </c>
      <c r="C2584" s="98">
        <v>134</v>
      </c>
      <c r="D2584" s="98">
        <v>800</v>
      </c>
      <c r="E2584" s="157">
        <v>42367.097916666666</v>
      </c>
      <c r="F2584" s="157">
        <v>42367.262499999997</v>
      </c>
      <c r="G2584" s="98">
        <v>0</v>
      </c>
      <c r="H2584" s="98">
        <v>330</v>
      </c>
      <c r="I2584" s="98">
        <v>300</v>
      </c>
      <c r="J2584" s="98" t="s">
        <v>2197</v>
      </c>
      <c r="K2584" s="98" t="s">
        <v>3536</v>
      </c>
      <c r="L2584" s="105" t="str">
        <f t="shared" si="430"/>
        <v>Mill Creek</v>
      </c>
      <c r="M2584" s="105" t="str">
        <f t="shared" si="431"/>
        <v>Outage</v>
      </c>
      <c r="N2584" s="105" t="str">
        <f t="shared" si="432"/>
        <v>Coal</v>
      </c>
      <c r="O2584" s="105">
        <f>IFERROR(VLOOKUP(A2584,Lookup!$J$5:$P$19,7,FALSE),0)</f>
        <v>2</v>
      </c>
      <c r="P2584" s="159">
        <f t="shared" si="433"/>
        <v>2015</v>
      </c>
      <c r="Q2584" s="159">
        <f t="shared" si="434"/>
        <v>12</v>
      </c>
      <c r="R2584" s="160">
        <f t="shared" si="435"/>
        <v>3.9499999999534339</v>
      </c>
      <c r="S2584" s="158">
        <f t="shared" si="436"/>
        <v>3.9499999999534339</v>
      </c>
      <c r="T2584" s="161">
        <f t="shared" si="437"/>
        <v>1184.9999999860302</v>
      </c>
      <c r="U2584" s="158">
        <f t="shared" si="439"/>
        <v>300</v>
      </c>
      <c r="V2584" s="160">
        <f t="shared" si="438"/>
        <v>300</v>
      </c>
    </row>
    <row r="2585" spans="1:22" x14ac:dyDescent="0.25">
      <c r="A2585" s="98" t="s">
        <v>23</v>
      </c>
      <c r="B2585" s="98" t="s">
        <v>79</v>
      </c>
      <c r="C2585" s="98">
        <v>135</v>
      </c>
      <c r="D2585" s="98">
        <v>1850</v>
      </c>
      <c r="E2585" s="157">
        <v>42367.262499999997</v>
      </c>
      <c r="F2585" s="157">
        <v>42367.443749999999</v>
      </c>
      <c r="G2585" s="98">
        <v>0</v>
      </c>
      <c r="H2585" s="98">
        <v>330</v>
      </c>
      <c r="I2585" s="98">
        <v>300</v>
      </c>
      <c r="J2585" s="98" t="s">
        <v>2263</v>
      </c>
      <c r="K2585" s="98" t="s">
        <v>2734</v>
      </c>
      <c r="L2585" s="105" t="str">
        <f t="shared" si="430"/>
        <v>Mill Creek</v>
      </c>
      <c r="M2585" s="105" t="str">
        <f t="shared" si="431"/>
        <v>Other</v>
      </c>
      <c r="N2585" s="105" t="str">
        <f t="shared" si="432"/>
        <v>Coal</v>
      </c>
      <c r="O2585" s="105">
        <f>IFERROR(VLOOKUP(A2585,Lookup!$J$5:$P$19,7,FALSE),0)</f>
        <v>2</v>
      </c>
      <c r="P2585" s="159">
        <f t="shared" si="433"/>
        <v>2015</v>
      </c>
      <c r="Q2585" s="159">
        <f t="shared" si="434"/>
        <v>12</v>
      </c>
      <c r="R2585" s="160">
        <f t="shared" si="435"/>
        <v>4.3500000000349246</v>
      </c>
      <c r="S2585" s="158">
        <f t="shared" si="436"/>
        <v>4.3500000000349246</v>
      </c>
      <c r="T2585" s="161">
        <f t="shared" si="437"/>
        <v>1305.0000000104774</v>
      </c>
      <c r="U2585" s="158">
        <f t="shared" si="439"/>
        <v>300</v>
      </c>
      <c r="V2585" s="160">
        <f t="shared" si="438"/>
        <v>300</v>
      </c>
    </row>
    <row r="2586" spans="1:22" x14ac:dyDescent="0.25">
      <c r="A2586" s="98" t="s">
        <v>23</v>
      </c>
      <c r="B2586" s="98" t="s">
        <v>17</v>
      </c>
      <c r="C2586" s="98">
        <v>136</v>
      </c>
      <c r="D2586" s="98">
        <v>250</v>
      </c>
      <c r="E2586" s="157">
        <v>42367.443749999999</v>
      </c>
      <c r="F2586" s="157">
        <v>42367.544444444444</v>
      </c>
      <c r="G2586" s="98">
        <v>239</v>
      </c>
      <c r="H2586" s="98">
        <v>330</v>
      </c>
      <c r="I2586" s="98">
        <v>300</v>
      </c>
      <c r="J2586" s="98" t="s">
        <v>1978</v>
      </c>
      <c r="K2586" s="98" t="s">
        <v>2974</v>
      </c>
      <c r="L2586" s="105" t="str">
        <f t="shared" si="430"/>
        <v>Mill Creek</v>
      </c>
      <c r="M2586" s="105" t="str">
        <f t="shared" si="431"/>
        <v>Derate</v>
      </c>
      <c r="N2586" s="105" t="str">
        <f t="shared" si="432"/>
        <v>Coal</v>
      </c>
      <c r="O2586" s="105">
        <f>IFERROR(VLOOKUP(A2586,Lookup!$J$5:$P$19,7,FALSE),0)</f>
        <v>2</v>
      </c>
      <c r="P2586" s="159">
        <f t="shared" si="433"/>
        <v>2015</v>
      </c>
      <c r="Q2586" s="159">
        <f t="shared" si="434"/>
        <v>12</v>
      </c>
      <c r="R2586" s="160">
        <f t="shared" si="435"/>
        <v>2.4166666666860692</v>
      </c>
      <c r="S2586" s="158">
        <f t="shared" si="436"/>
        <v>0.66641414141949185</v>
      </c>
      <c r="T2586" s="161">
        <f t="shared" si="437"/>
        <v>199.92424242584755</v>
      </c>
      <c r="U2586" s="158">
        <f t="shared" si="439"/>
        <v>82.727272727272734</v>
      </c>
      <c r="V2586" s="160">
        <f t="shared" si="438"/>
        <v>83</v>
      </c>
    </row>
    <row r="2587" spans="1:22" x14ac:dyDescent="0.25">
      <c r="A2587" s="98" t="s">
        <v>23</v>
      </c>
      <c r="B2587" s="98" t="s">
        <v>17</v>
      </c>
      <c r="C2587" s="98">
        <v>137</v>
      </c>
      <c r="D2587" s="98">
        <v>1850</v>
      </c>
      <c r="E2587" s="157">
        <v>42367.544444444444</v>
      </c>
      <c r="F2587" s="157">
        <v>42367.594444444447</v>
      </c>
      <c r="G2587" s="98">
        <v>290</v>
      </c>
      <c r="H2587" s="98">
        <v>330</v>
      </c>
      <c r="I2587" s="98">
        <v>300</v>
      </c>
      <c r="J2587" s="98" t="s">
        <v>2263</v>
      </c>
      <c r="K2587" s="98" t="s">
        <v>62</v>
      </c>
      <c r="L2587" s="105" t="str">
        <f t="shared" si="430"/>
        <v>Mill Creek</v>
      </c>
      <c r="M2587" s="105" t="str">
        <f t="shared" si="431"/>
        <v>Derate</v>
      </c>
      <c r="N2587" s="105" t="str">
        <f t="shared" si="432"/>
        <v>Coal</v>
      </c>
      <c r="O2587" s="105">
        <f>IFERROR(VLOOKUP(A2587,Lookup!$J$5:$P$19,7,FALSE),0)</f>
        <v>2</v>
      </c>
      <c r="P2587" s="159">
        <f t="shared" si="433"/>
        <v>2015</v>
      </c>
      <c r="Q2587" s="159">
        <f t="shared" si="434"/>
        <v>12</v>
      </c>
      <c r="R2587" s="160">
        <f t="shared" si="435"/>
        <v>1.2000000000698492</v>
      </c>
      <c r="S2587" s="158">
        <f t="shared" si="436"/>
        <v>0.14545454546301204</v>
      </c>
      <c r="T2587" s="161">
        <f t="shared" si="437"/>
        <v>43.63636363890361</v>
      </c>
      <c r="U2587" s="158">
        <f t="shared" si="439"/>
        <v>36.363636363636367</v>
      </c>
      <c r="V2587" s="160">
        <f t="shared" si="438"/>
        <v>36</v>
      </c>
    </row>
    <row r="2588" spans="1:22" x14ac:dyDescent="0.25">
      <c r="A2588" s="98" t="s">
        <v>23</v>
      </c>
      <c r="B2588" s="98" t="s">
        <v>17</v>
      </c>
      <c r="C2588" s="98">
        <v>138</v>
      </c>
      <c r="D2588" s="98">
        <v>250</v>
      </c>
      <c r="E2588" s="157">
        <v>42368.349305555559</v>
      </c>
      <c r="F2588" s="157">
        <v>42368.413888888892</v>
      </c>
      <c r="G2588" s="98">
        <v>235</v>
      </c>
      <c r="H2588" s="98">
        <v>330</v>
      </c>
      <c r="I2588" s="98">
        <v>300</v>
      </c>
      <c r="J2588" s="98" t="s">
        <v>1978</v>
      </c>
      <c r="K2588" s="98" t="s">
        <v>2974</v>
      </c>
      <c r="L2588" s="105" t="str">
        <f t="shared" si="430"/>
        <v>Mill Creek</v>
      </c>
      <c r="M2588" s="105" t="str">
        <f t="shared" si="431"/>
        <v>Derate</v>
      </c>
      <c r="N2588" s="105" t="str">
        <f t="shared" si="432"/>
        <v>Coal</v>
      </c>
      <c r="O2588" s="105">
        <f>IFERROR(VLOOKUP(A2588,Lookup!$J$5:$P$19,7,FALSE),0)</f>
        <v>2</v>
      </c>
      <c r="P2588" s="159">
        <f t="shared" si="433"/>
        <v>2015</v>
      </c>
      <c r="Q2588" s="159">
        <f t="shared" si="434"/>
        <v>12</v>
      </c>
      <c r="R2588" s="160">
        <f t="shared" si="435"/>
        <v>1.5499999999883585</v>
      </c>
      <c r="S2588" s="158">
        <f t="shared" si="436"/>
        <v>0.44621212120876985</v>
      </c>
      <c r="T2588" s="161">
        <f t="shared" si="437"/>
        <v>133.86363636263096</v>
      </c>
      <c r="U2588" s="158">
        <f t="shared" si="439"/>
        <v>86.36363636363636</v>
      </c>
      <c r="V2588" s="160">
        <f t="shared" si="438"/>
        <v>86</v>
      </c>
    </row>
    <row r="2589" spans="1:22" x14ac:dyDescent="0.25">
      <c r="A2589" s="98" t="s">
        <v>23</v>
      </c>
      <c r="B2589" s="98" t="s">
        <v>105</v>
      </c>
      <c r="C2589" s="98">
        <v>1</v>
      </c>
      <c r="D2589" s="98">
        <v>310</v>
      </c>
      <c r="E2589" s="157">
        <v>42373.958333333336</v>
      </c>
      <c r="F2589" s="157">
        <v>42374.070833333331</v>
      </c>
      <c r="G2589" s="98">
        <v>240</v>
      </c>
      <c r="H2589" s="98">
        <v>330</v>
      </c>
      <c r="I2589" s="98">
        <v>300</v>
      </c>
      <c r="J2589" s="98" t="s">
        <v>1966</v>
      </c>
      <c r="K2589" s="98" t="s">
        <v>3537</v>
      </c>
      <c r="L2589" s="105" t="str">
        <f t="shared" si="430"/>
        <v>Mill Creek</v>
      </c>
      <c r="M2589" s="105" t="str">
        <f t="shared" si="431"/>
        <v>Derate</v>
      </c>
      <c r="N2589" s="105" t="str">
        <f t="shared" si="432"/>
        <v>Coal</v>
      </c>
      <c r="O2589" s="105">
        <f>IFERROR(VLOOKUP(A2589,Lookup!$J$5:$P$19,7,FALSE),0)</f>
        <v>2</v>
      </c>
      <c r="P2589" s="159">
        <f t="shared" si="433"/>
        <v>2016</v>
      </c>
      <c r="Q2589" s="159">
        <f t="shared" si="434"/>
        <v>1</v>
      </c>
      <c r="R2589" s="160">
        <f t="shared" si="435"/>
        <v>2.6999999998952262</v>
      </c>
      <c r="S2589" s="158">
        <f t="shared" si="436"/>
        <v>0.73636363633506174</v>
      </c>
      <c r="T2589" s="161">
        <f t="shared" si="437"/>
        <v>220.90909090051852</v>
      </c>
      <c r="U2589" s="158">
        <f t="shared" si="439"/>
        <v>81.818181818181813</v>
      </c>
      <c r="V2589" s="160">
        <f t="shared" si="438"/>
        <v>82</v>
      </c>
    </row>
    <row r="2590" spans="1:22" x14ac:dyDescent="0.25">
      <c r="A2590" s="98" t="s">
        <v>23</v>
      </c>
      <c r="B2590" s="98" t="s">
        <v>17</v>
      </c>
      <c r="C2590" s="98">
        <v>2</v>
      </c>
      <c r="D2590" s="98">
        <v>550</v>
      </c>
      <c r="E2590" s="157">
        <v>42374.070833333331</v>
      </c>
      <c r="F2590" s="157">
        <v>42374.351388888892</v>
      </c>
      <c r="G2590" s="98">
        <v>195</v>
      </c>
      <c r="H2590" s="98">
        <v>330</v>
      </c>
      <c r="I2590" s="98">
        <v>300</v>
      </c>
      <c r="J2590" s="98" t="s">
        <v>2373</v>
      </c>
      <c r="K2590" s="98" t="s">
        <v>3538</v>
      </c>
      <c r="L2590" s="105" t="str">
        <f t="shared" si="430"/>
        <v>Mill Creek</v>
      </c>
      <c r="M2590" s="105" t="str">
        <f t="shared" si="431"/>
        <v>Derate</v>
      </c>
      <c r="N2590" s="105" t="str">
        <f t="shared" si="432"/>
        <v>Coal</v>
      </c>
      <c r="O2590" s="105">
        <f>IFERROR(VLOOKUP(A2590,Lookup!$J$5:$P$19,7,FALSE),0)</f>
        <v>2</v>
      </c>
      <c r="P2590" s="159">
        <f t="shared" si="433"/>
        <v>2016</v>
      </c>
      <c r="Q2590" s="159">
        <f t="shared" si="434"/>
        <v>1</v>
      </c>
      <c r="R2590" s="160">
        <f t="shared" si="435"/>
        <v>6.7333333334536292</v>
      </c>
      <c r="S2590" s="158">
        <f t="shared" si="436"/>
        <v>2.7545454545946666</v>
      </c>
      <c r="T2590" s="161">
        <f t="shared" si="437"/>
        <v>826.36363637839997</v>
      </c>
      <c r="U2590" s="158">
        <f t="shared" si="439"/>
        <v>122.72727272727273</v>
      </c>
      <c r="V2590" s="160">
        <f t="shared" si="438"/>
        <v>123</v>
      </c>
    </row>
    <row r="2591" spans="1:22" x14ac:dyDescent="0.25">
      <c r="A2591" s="98" t="s">
        <v>23</v>
      </c>
      <c r="B2591" s="98" t="s">
        <v>79</v>
      </c>
      <c r="C2591" s="98">
        <v>3</v>
      </c>
      <c r="D2591" s="98">
        <v>8700</v>
      </c>
      <c r="E2591" s="157">
        <v>42388.333333333336</v>
      </c>
      <c r="F2591" s="157">
        <v>42388.722222222219</v>
      </c>
      <c r="G2591" s="98">
        <v>0</v>
      </c>
      <c r="H2591" s="98">
        <v>330</v>
      </c>
      <c r="I2591" s="98">
        <v>300</v>
      </c>
      <c r="J2591" s="98" t="s">
        <v>1987</v>
      </c>
      <c r="K2591" s="98" t="s">
        <v>3539</v>
      </c>
      <c r="L2591" s="105" t="str">
        <f t="shared" si="430"/>
        <v>Mill Creek</v>
      </c>
      <c r="M2591" s="105" t="str">
        <f t="shared" si="431"/>
        <v>Other</v>
      </c>
      <c r="N2591" s="105" t="str">
        <f t="shared" si="432"/>
        <v>Coal</v>
      </c>
      <c r="O2591" s="105">
        <f>IFERROR(VLOOKUP(A2591,Lookup!$J$5:$P$19,7,FALSE),0)</f>
        <v>2</v>
      </c>
      <c r="P2591" s="159">
        <f t="shared" si="433"/>
        <v>2016</v>
      </c>
      <c r="Q2591" s="159">
        <f t="shared" si="434"/>
        <v>1</v>
      </c>
      <c r="R2591" s="160">
        <f t="shared" si="435"/>
        <v>9.3333333331975155</v>
      </c>
      <c r="S2591" s="158">
        <f t="shared" si="436"/>
        <v>9.3333333331975155</v>
      </c>
      <c r="T2591" s="161">
        <f t="shared" si="437"/>
        <v>2799.9999999592546</v>
      </c>
      <c r="U2591" s="158">
        <f t="shared" si="439"/>
        <v>300</v>
      </c>
      <c r="V2591" s="160">
        <f t="shared" si="438"/>
        <v>300</v>
      </c>
    </row>
    <row r="2592" spans="1:22" x14ac:dyDescent="0.25">
      <c r="A2592" s="98" t="s">
        <v>23</v>
      </c>
      <c r="B2592" s="98" t="s">
        <v>79</v>
      </c>
      <c r="C2592" s="98">
        <v>4</v>
      </c>
      <c r="D2592" s="98">
        <v>8700</v>
      </c>
      <c r="E2592" s="157">
        <v>42388.916666666664</v>
      </c>
      <c r="F2592" s="157">
        <v>42389.067361111112</v>
      </c>
      <c r="G2592" s="98">
        <v>0</v>
      </c>
      <c r="H2592" s="98">
        <v>330</v>
      </c>
      <c r="I2592" s="98">
        <v>300</v>
      </c>
      <c r="J2592" s="98" t="s">
        <v>1987</v>
      </c>
      <c r="K2592" s="98" t="s">
        <v>3540</v>
      </c>
      <c r="L2592" s="105" t="str">
        <f t="shared" si="430"/>
        <v>Mill Creek</v>
      </c>
      <c r="M2592" s="105" t="str">
        <f t="shared" si="431"/>
        <v>Other</v>
      </c>
      <c r="N2592" s="105" t="str">
        <f t="shared" si="432"/>
        <v>Coal</v>
      </c>
      <c r="O2592" s="105">
        <f>IFERROR(VLOOKUP(A2592,Lookup!$J$5:$P$19,7,FALSE),0)</f>
        <v>2</v>
      </c>
      <c r="P2592" s="159">
        <f t="shared" si="433"/>
        <v>2016</v>
      </c>
      <c r="Q2592" s="159">
        <f t="shared" si="434"/>
        <v>1</v>
      </c>
      <c r="R2592" s="160">
        <f t="shared" si="435"/>
        <v>3.6166666667559184</v>
      </c>
      <c r="S2592" s="158">
        <f t="shared" si="436"/>
        <v>3.6166666667559184</v>
      </c>
      <c r="T2592" s="161">
        <f t="shared" si="437"/>
        <v>1085.0000000267755</v>
      </c>
      <c r="U2592" s="158">
        <f t="shared" si="439"/>
        <v>300</v>
      </c>
      <c r="V2592" s="160">
        <f t="shared" si="438"/>
        <v>300</v>
      </c>
    </row>
    <row r="2593" spans="1:22" x14ac:dyDescent="0.25">
      <c r="A2593" s="98" t="s">
        <v>23</v>
      </c>
      <c r="B2593" s="98" t="s">
        <v>17</v>
      </c>
      <c r="C2593" s="98">
        <v>5</v>
      </c>
      <c r="D2593" s="98">
        <v>1450</v>
      </c>
      <c r="E2593" s="157">
        <v>42389.288194444445</v>
      </c>
      <c r="F2593" s="157">
        <v>42389.315972222219</v>
      </c>
      <c r="G2593" s="98">
        <v>240</v>
      </c>
      <c r="H2593" s="98">
        <v>330</v>
      </c>
      <c r="I2593" s="98">
        <v>300</v>
      </c>
      <c r="J2593" s="98" t="s">
        <v>2296</v>
      </c>
      <c r="K2593" s="98" t="s">
        <v>3541</v>
      </c>
      <c r="L2593" s="105" t="str">
        <f t="shared" si="430"/>
        <v>Mill Creek</v>
      </c>
      <c r="M2593" s="105" t="str">
        <f t="shared" si="431"/>
        <v>Derate</v>
      </c>
      <c r="N2593" s="105" t="str">
        <f t="shared" si="432"/>
        <v>Coal</v>
      </c>
      <c r="O2593" s="105">
        <f>IFERROR(VLOOKUP(A2593,Lookup!$J$5:$P$19,7,FALSE),0)</f>
        <v>2</v>
      </c>
      <c r="P2593" s="159">
        <f t="shared" si="433"/>
        <v>2016</v>
      </c>
      <c r="Q2593" s="159">
        <f t="shared" si="434"/>
        <v>1</v>
      </c>
      <c r="R2593" s="160">
        <f t="shared" si="435"/>
        <v>0.6666666665696539</v>
      </c>
      <c r="S2593" s="158">
        <f t="shared" si="436"/>
        <v>0.18181818179172379</v>
      </c>
      <c r="T2593" s="161">
        <f t="shared" si="437"/>
        <v>54.545454537517138</v>
      </c>
      <c r="U2593" s="158">
        <f t="shared" si="439"/>
        <v>81.818181818181813</v>
      </c>
      <c r="V2593" s="160">
        <f t="shared" si="438"/>
        <v>82</v>
      </c>
    </row>
    <row r="2594" spans="1:22" x14ac:dyDescent="0.25">
      <c r="A2594" s="98" t="s">
        <v>23</v>
      </c>
      <c r="B2594" s="98" t="s">
        <v>79</v>
      </c>
      <c r="C2594" s="98">
        <v>6</v>
      </c>
      <c r="D2594" s="98">
        <v>8700</v>
      </c>
      <c r="E2594" s="162">
        <v>42389.416666666664</v>
      </c>
      <c r="F2594" s="157">
        <v>42389.5625</v>
      </c>
      <c r="G2594" s="98">
        <v>0</v>
      </c>
      <c r="H2594" s="98">
        <v>330</v>
      </c>
      <c r="I2594" s="98">
        <v>300</v>
      </c>
      <c r="J2594" s="98" t="s">
        <v>1987</v>
      </c>
      <c r="K2594" s="98" t="s">
        <v>3542</v>
      </c>
      <c r="L2594" s="105" t="str">
        <f t="shared" si="430"/>
        <v>Mill Creek</v>
      </c>
      <c r="M2594" s="105" t="str">
        <f t="shared" si="431"/>
        <v>Other</v>
      </c>
      <c r="N2594" s="105" t="str">
        <f t="shared" si="432"/>
        <v>Coal</v>
      </c>
      <c r="O2594" s="105">
        <f>IFERROR(VLOOKUP(A2594,Lookup!$J$5:$P$19,7,FALSE),0)</f>
        <v>2</v>
      </c>
      <c r="P2594" s="159">
        <f t="shared" si="433"/>
        <v>2016</v>
      </c>
      <c r="Q2594" s="159">
        <f t="shared" si="434"/>
        <v>1</v>
      </c>
      <c r="R2594" s="160">
        <f t="shared" si="435"/>
        <v>3.5000000000582077</v>
      </c>
      <c r="S2594" s="158">
        <f t="shared" si="436"/>
        <v>3.5000000000582077</v>
      </c>
      <c r="T2594" s="161">
        <f t="shared" si="437"/>
        <v>1050.0000000174623</v>
      </c>
      <c r="U2594" s="158">
        <f t="shared" si="439"/>
        <v>300</v>
      </c>
      <c r="V2594" s="160">
        <f t="shared" si="438"/>
        <v>300</v>
      </c>
    </row>
    <row r="2595" spans="1:22" x14ac:dyDescent="0.25">
      <c r="A2595" s="98" t="s">
        <v>23</v>
      </c>
      <c r="B2595" s="98" t="s">
        <v>79</v>
      </c>
      <c r="C2595" s="98">
        <v>7</v>
      </c>
      <c r="D2595" s="98">
        <v>1599</v>
      </c>
      <c r="E2595" s="157">
        <v>42389.594444444447</v>
      </c>
      <c r="F2595" s="157">
        <v>42389.652777777781</v>
      </c>
      <c r="G2595" s="98">
        <v>0</v>
      </c>
      <c r="H2595" s="98">
        <v>330</v>
      </c>
      <c r="I2595" s="98">
        <v>300</v>
      </c>
      <c r="J2595" s="98" t="s">
        <v>2013</v>
      </c>
      <c r="K2595" s="98" t="s">
        <v>3543</v>
      </c>
      <c r="L2595" s="105" t="str">
        <f t="shared" si="430"/>
        <v>Mill Creek</v>
      </c>
      <c r="M2595" s="105" t="str">
        <f t="shared" si="431"/>
        <v>Other</v>
      </c>
      <c r="N2595" s="105" t="str">
        <f t="shared" si="432"/>
        <v>Coal</v>
      </c>
      <c r="O2595" s="105">
        <f>IFERROR(VLOOKUP(A2595,Lookup!$J$5:$P$19,7,FALSE),0)</f>
        <v>2</v>
      </c>
      <c r="P2595" s="159">
        <f t="shared" si="433"/>
        <v>2016</v>
      </c>
      <c r="Q2595" s="159">
        <f t="shared" si="434"/>
        <v>1</v>
      </c>
      <c r="R2595" s="160">
        <f t="shared" si="435"/>
        <v>1.4000000000232831</v>
      </c>
      <c r="S2595" s="158">
        <f t="shared" si="436"/>
        <v>1.4000000000232831</v>
      </c>
      <c r="T2595" s="161">
        <f t="shared" si="437"/>
        <v>420.00000000698492</v>
      </c>
      <c r="U2595" s="158">
        <f t="shared" si="439"/>
        <v>300</v>
      </c>
      <c r="V2595" s="160">
        <f t="shared" si="438"/>
        <v>300</v>
      </c>
    </row>
    <row r="2596" spans="1:22" x14ac:dyDescent="0.25">
      <c r="A2596" s="98" t="s">
        <v>23</v>
      </c>
      <c r="B2596" s="98" t="s">
        <v>105</v>
      </c>
      <c r="C2596" s="98">
        <v>8</v>
      </c>
      <c r="D2596" s="98">
        <v>250</v>
      </c>
      <c r="E2596" s="157">
        <v>42389.958333333336</v>
      </c>
      <c r="F2596" s="157">
        <v>42390.257638888892</v>
      </c>
      <c r="G2596" s="98">
        <v>240</v>
      </c>
      <c r="H2596" s="98">
        <v>330</v>
      </c>
      <c r="I2596" s="98">
        <v>300</v>
      </c>
      <c r="J2596" s="98" t="s">
        <v>1978</v>
      </c>
      <c r="K2596" s="98" t="s">
        <v>3544</v>
      </c>
      <c r="L2596" s="105" t="str">
        <f t="shared" si="430"/>
        <v>Mill Creek</v>
      </c>
      <c r="M2596" s="105" t="str">
        <f t="shared" si="431"/>
        <v>Derate</v>
      </c>
      <c r="N2596" s="105" t="str">
        <f t="shared" si="432"/>
        <v>Coal</v>
      </c>
      <c r="O2596" s="105">
        <f>IFERROR(VLOOKUP(A2596,Lookup!$J$5:$P$19,7,FALSE),0)</f>
        <v>2</v>
      </c>
      <c r="P2596" s="159">
        <f t="shared" si="433"/>
        <v>2016</v>
      </c>
      <c r="Q2596" s="159">
        <f t="shared" si="434"/>
        <v>1</v>
      </c>
      <c r="R2596" s="160">
        <f t="shared" si="435"/>
        <v>7.1833333333488554</v>
      </c>
      <c r="S2596" s="158">
        <f t="shared" si="436"/>
        <v>1.9590909090951423</v>
      </c>
      <c r="T2596" s="161">
        <f t="shared" si="437"/>
        <v>587.72727272854263</v>
      </c>
      <c r="U2596" s="158">
        <f t="shared" si="439"/>
        <v>81.818181818181813</v>
      </c>
      <c r="V2596" s="160">
        <f t="shared" si="438"/>
        <v>82</v>
      </c>
    </row>
    <row r="2597" spans="1:22" x14ac:dyDescent="0.25">
      <c r="A2597" s="98" t="s">
        <v>23</v>
      </c>
      <c r="B2597" s="98" t="s">
        <v>105</v>
      </c>
      <c r="C2597" s="98">
        <v>9</v>
      </c>
      <c r="D2597" s="98">
        <v>250</v>
      </c>
      <c r="E2597" s="157">
        <v>42390.958333333336</v>
      </c>
      <c r="F2597" s="157">
        <v>42391.193055555559</v>
      </c>
      <c r="G2597" s="98">
        <v>240</v>
      </c>
      <c r="H2597" s="98">
        <v>330</v>
      </c>
      <c r="I2597" s="98">
        <v>300</v>
      </c>
      <c r="J2597" s="98" t="s">
        <v>1978</v>
      </c>
      <c r="K2597" s="98" t="s">
        <v>3545</v>
      </c>
      <c r="L2597" s="105" t="str">
        <f t="shared" si="430"/>
        <v>Mill Creek</v>
      </c>
      <c r="M2597" s="105" t="str">
        <f t="shared" si="431"/>
        <v>Derate</v>
      </c>
      <c r="N2597" s="105" t="str">
        <f t="shared" si="432"/>
        <v>Coal</v>
      </c>
      <c r="O2597" s="105">
        <f>IFERROR(VLOOKUP(A2597,Lookup!$J$5:$P$19,7,FALSE),0)</f>
        <v>2</v>
      </c>
      <c r="P2597" s="159">
        <f t="shared" si="433"/>
        <v>2016</v>
      </c>
      <c r="Q2597" s="159">
        <f t="shared" si="434"/>
        <v>1</v>
      </c>
      <c r="R2597" s="160">
        <f t="shared" si="435"/>
        <v>5.6333333333604969</v>
      </c>
      <c r="S2597" s="158">
        <f t="shared" si="436"/>
        <v>1.5363636363710447</v>
      </c>
      <c r="T2597" s="161">
        <f t="shared" si="437"/>
        <v>460.9090909113134</v>
      </c>
      <c r="U2597" s="158">
        <f t="shared" si="439"/>
        <v>81.818181818181813</v>
      </c>
      <c r="V2597" s="160">
        <f t="shared" si="438"/>
        <v>82</v>
      </c>
    </row>
    <row r="2598" spans="1:22" x14ac:dyDescent="0.25">
      <c r="A2598" s="98" t="s">
        <v>23</v>
      </c>
      <c r="B2598" s="98" t="s">
        <v>17</v>
      </c>
      <c r="C2598" s="98">
        <v>10</v>
      </c>
      <c r="D2598" s="98">
        <v>250</v>
      </c>
      <c r="E2598" s="157">
        <v>42401.166666666664</v>
      </c>
      <c r="F2598" s="157">
        <v>42401.179166666669</v>
      </c>
      <c r="G2598" s="98">
        <v>120</v>
      </c>
      <c r="H2598" s="98">
        <v>330</v>
      </c>
      <c r="I2598" s="98">
        <v>300</v>
      </c>
      <c r="J2598" s="98" t="s">
        <v>1978</v>
      </c>
      <c r="K2598" s="98" t="s">
        <v>3546</v>
      </c>
      <c r="L2598" s="105" t="str">
        <f t="shared" si="430"/>
        <v>Mill Creek</v>
      </c>
      <c r="M2598" s="105" t="str">
        <f t="shared" si="431"/>
        <v>Derate</v>
      </c>
      <c r="N2598" s="105" t="str">
        <f t="shared" si="432"/>
        <v>Coal</v>
      </c>
      <c r="O2598" s="105">
        <f>IFERROR(VLOOKUP(A2598,Lookup!$J$5:$P$19,7,FALSE),0)</f>
        <v>2</v>
      </c>
      <c r="P2598" s="159">
        <f t="shared" si="433"/>
        <v>2016</v>
      </c>
      <c r="Q2598" s="159">
        <f t="shared" si="434"/>
        <v>2</v>
      </c>
      <c r="R2598" s="160">
        <f t="shared" si="435"/>
        <v>0.30000000010477379</v>
      </c>
      <c r="S2598" s="158">
        <f t="shared" si="436"/>
        <v>0.19090909097576514</v>
      </c>
      <c r="T2598" s="161">
        <f t="shared" si="437"/>
        <v>57.272727292729542</v>
      </c>
      <c r="U2598" s="158">
        <f t="shared" si="439"/>
        <v>190.90909090909091</v>
      </c>
      <c r="V2598" s="160">
        <f t="shared" si="438"/>
        <v>191</v>
      </c>
    </row>
    <row r="2599" spans="1:22" x14ac:dyDescent="0.25">
      <c r="A2599" s="98" t="s">
        <v>23</v>
      </c>
      <c r="B2599" s="98" t="s">
        <v>17</v>
      </c>
      <c r="C2599" s="98">
        <v>11</v>
      </c>
      <c r="D2599" s="98">
        <v>360</v>
      </c>
      <c r="E2599" s="157">
        <v>42402.316666666666</v>
      </c>
      <c r="F2599" s="157">
        <v>42402.369444444441</v>
      </c>
      <c r="G2599" s="98">
        <v>250</v>
      </c>
      <c r="H2599" s="98">
        <v>330</v>
      </c>
      <c r="I2599" s="98">
        <v>300</v>
      </c>
      <c r="J2599" s="98" t="s">
        <v>229</v>
      </c>
      <c r="K2599" s="98" t="s">
        <v>3547</v>
      </c>
      <c r="L2599" s="105" t="str">
        <f t="shared" ref="L2599:L2661" si="440">IF(OR(A2599="BR1",A2599="BR2",A2599="BR3",A2599="BR5",A2599="BR6",A2599="BR7",A2599="BR8",A2599="BR9",A2599="BR10",A2599="BR11"),"Brown",IF(OR(A2599="CR4",A2599="CR5",A2599="CR6",A2599="CR11"),"Cane Run",IF(OR(A2599="GH1",A2599="GH2",A2599="GH3",A2599="GH4"),"Ghent",IF(OR(A2599="GR3",A2599="GR4"),"Green River",IF(OR(A2599="MC1",A2599="MC2",A2599="MC3",A2599="MC4"),"Mill Creek",IF(OR(A2599="TC1",A2599="TC2",A2599="TC5",A2599="TC6",A2599="TC7",A2599="TC8",A2599="TC9",A2599="TC10"),"Trimble",IF(A2599="TY3","Tyrone",IF(OR(A2599="HA1",A2599="HA2",A2599="HA3"),"Haeflin",IF(OR(A2599="PR11",A2599="PR12",A2599="PR13"),"Paddy's Run","Zorn")))))))))</f>
        <v>Mill Creek</v>
      </c>
      <c r="M2599" s="105" t="str">
        <f t="shared" ref="M2599:M2661" si="441">IF(OR(B2599="D1",B2599="D2",B2599="D3",B2599="D4",B2599="PD"),"Derate",IF(OR(B2599="SF",B2599="U1",B2599="U2",B2599="U3"),"Outage",IF(OR(B2599="ME",B2599="MO"),"Maintenance","Other")))</f>
        <v>Derate</v>
      </c>
      <c r="N2599" s="105" t="str">
        <f t="shared" ref="N2599:N2661" si="442">IF(OR(A2599="BR1",A2599="BR2",A2599="BR3",A2599="CR4",A2599="CR5",A2599="CR6",A2599="GH1",A2599="GH2",A2599="GH3",A2599="GH4",A2599="GR3",A2599="GR4",A2599="MC1",A2599="MC2",A2599="MC3",A2599="MC4",A2599="TC1",A2599="TC2",A2599="TY3"),"Coal","Gas")</f>
        <v>Coal</v>
      </c>
      <c r="O2599" s="105">
        <f>IFERROR(VLOOKUP(A2599,Lookup!$J$5:$P$19,7,FALSE),0)</f>
        <v>2</v>
      </c>
      <c r="P2599" s="159">
        <f t="shared" ref="P2599:P2661" si="443">YEAR(E2599)</f>
        <v>2016</v>
      </c>
      <c r="Q2599" s="159">
        <f t="shared" ref="Q2599:Q2661" si="444">MONTH(E2599)</f>
        <v>2</v>
      </c>
      <c r="R2599" s="160">
        <f t="shared" ref="R2599:R2661" si="445">(F2599-E2599)*24</f>
        <v>1.2666666666045785</v>
      </c>
      <c r="S2599" s="158">
        <f t="shared" ref="S2599:S2661" si="446">R2599*(H2599-G2599)/H2599</f>
        <v>0.30707070705565537</v>
      </c>
      <c r="T2599" s="161">
        <f t="shared" ref="T2599:T2661" si="447">S2599*I2599</f>
        <v>92.121212116696611</v>
      </c>
      <c r="U2599" s="158">
        <f t="shared" si="439"/>
        <v>72.727272727272734</v>
      </c>
      <c r="V2599" s="160">
        <f t="shared" ref="V2599:V2661" si="448">ROUND(U2599,0)</f>
        <v>73</v>
      </c>
    </row>
    <row r="2600" spans="1:22" x14ac:dyDescent="0.25">
      <c r="A2600" s="98" t="s">
        <v>23</v>
      </c>
      <c r="B2600" s="98" t="s">
        <v>105</v>
      </c>
      <c r="C2600" s="98">
        <v>12</v>
      </c>
      <c r="D2600" s="98">
        <v>253</v>
      </c>
      <c r="E2600" s="157">
        <v>42402.958333333336</v>
      </c>
      <c r="F2600" s="157">
        <v>42403.103472222225</v>
      </c>
      <c r="G2600" s="98">
        <v>158</v>
      </c>
      <c r="H2600" s="98">
        <v>330</v>
      </c>
      <c r="I2600" s="98">
        <v>300</v>
      </c>
      <c r="J2600" s="98" t="s">
        <v>1999</v>
      </c>
      <c r="K2600" s="98" t="s">
        <v>3548</v>
      </c>
      <c r="L2600" s="105" t="str">
        <f t="shared" si="440"/>
        <v>Mill Creek</v>
      </c>
      <c r="M2600" s="105" t="str">
        <f t="shared" si="441"/>
        <v>Derate</v>
      </c>
      <c r="N2600" s="105" t="str">
        <f t="shared" si="442"/>
        <v>Coal</v>
      </c>
      <c r="O2600" s="105">
        <f>IFERROR(VLOOKUP(A2600,Lookup!$J$5:$P$19,7,FALSE),0)</f>
        <v>2</v>
      </c>
      <c r="P2600" s="159">
        <f t="shared" si="443"/>
        <v>2016</v>
      </c>
      <c r="Q2600" s="159">
        <f t="shared" si="444"/>
        <v>2</v>
      </c>
      <c r="R2600" s="160">
        <f t="shared" si="445"/>
        <v>3.4833333333372138</v>
      </c>
      <c r="S2600" s="158">
        <f t="shared" si="446"/>
        <v>1.8155555555575782</v>
      </c>
      <c r="T2600" s="161">
        <f t="shared" si="447"/>
        <v>544.66666666727349</v>
      </c>
      <c r="U2600" s="158">
        <f t="shared" ref="U2600:U2662" si="449">IF(G2600&gt;0,MAX((H2600-G2600),0)*I2600/H2600,I2600)</f>
        <v>156.36363636363637</v>
      </c>
      <c r="V2600" s="160">
        <f t="shared" si="448"/>
        <v>156</v>
      </c>
    </row>
    <row r="2601" spans="1:22" x14ac:dyDescent="0.25">
      <c r="A2601" s="98" t="s">
        <v>23</v>
      </c>
      <c r="B2601" s="98" t="s">
        <v>79</v>
      </c>
      <c r="C2601" s="98">
        <v>13</v>
      </c>
      <c r="D2601" s="98">
        <v>9999</v>
      </c>
      <c r="E2601" s="157">
        <v>42403.333333333336</v>
      </c>
      <c r="F2601" s="157">
        <v>42403.583333333336</v>
      </c>
      <c r="G2601" s="98">
        <v>0</v>
      </c>
      <c r="H2601" s="98">
        <v>330</v>
      </c>
      <c r="I2601" s="98">
        <v>300</v>
      </c>
      <c r="J2601" s="98" t="s">
        <v>2261</v>
      </c>
      <c r="K2601" s="98" t="s">
        <v>3549</v>
      </c>
      <c r="L2601" s="105" t="str">
        <f t="shared" si="440"/>
        <v>Mill Creek</v>
      </c>
      <c r="M2601" s="105" t="str">
        <f t="shared" si="441"/>
        <v>Other</v>
      </c>
      <c r="N2601" s="105" t="str">
        <f t="shared" si="442"/>
        <v>Coal</v>
      </c>
      <c r="O2601" s="105">
        <f>IFERROR(VLOOKUP(A2601,Lookup!$J$5:$P$19,7,FALSE),0)</f>
        <v>2</v>
      </c>
      <c r="P2601" s="159">
        <f t="shared" si="443"/>
        <v>2016</v>
      </c>
      <c r="Q2601" s="159">
        <f t="shared" si="444"/>
        <v>2</v>
      </c>
      <c r="R2601" s="160">
        <f t="shared" si="445"/>
        <v>6</v>
      </c>
      <c r="S2601" s="158">
        <f t="shared" si="446"/>
        <v>6</v>
      </c>
      <c r="T2601" s="161">
        <f t="shared" si="447"/>
        <v>1800</v>
      </c>
      <c r="U2601" s="158">
        <f t="shared" si="449"/>
        <v>300</v>
      </c>
      <c r="V2601" s="160">
        <f t="shared" si="448"/>
        <v>300</v>
      </c>
    </row>
    <row r="2602" spans="1:22" x14ac:dyDescent="0.25">
      <c r="A2602" s="98" t="s">
        <v>23</v>
      </c>
      <c r="B2602" s="98" t="s">
        <v>105</v>
      </c>
      <c r="C2602" s="98">
        <v>14</v>
      </c>
      <c r="D2602" s="98">
        <v>250</v>
      </c>
      <c r="E2602" s="157">
        <v>42403.958333333336</v>
      </c>
      <c r="F2602" s="157">
        <v>42404.308333333334</v>
      </c>
      <c r="G2602" s="98">
        <v>240</v>
      </c>
      <c r="H2602" s="98">
        <v>330</v>
      </c>
      <c r="I2602" s="98">
        <v>300</v>
      </c>
      <c r="J2602" s="98" t="s">
        <v>1978</v>
      </c>
      <c r="K2602" s="98" t="s">
        <v>3550</v>
      </c>
      <c r="L2602" s="105" t="str">
        <f t="shared" si="440"/>
        <v>Mill Creek</v>
      </c>
      <c r="M2602" s="105" t="str">
        <f t="shared" si="441"/>
        <v>Derate</v>
      </c>
      <c r="N2602" s="105" t="str">
        <f t="shared" si="442"/>
        <v>Coal</v>
      </c>
      <c r="O2602" s="105">
        <f>IFERROR(VLOOKUP(A2602,Lookup!$J$5:$P$19,7,FALSE),0)</f>
        <v>2</v>
      </c>
      <c r="P2602" s="159">
        <f t="shared" si="443"/>
        <v>2016</v>
      </c>
      <c r="Q2602" s="159">
        <f t="shared" si="444"/>
        <v>2</v>
      </c>
      <c r="R2602" s="160">
        <f t="shared" si="445"/>
        <v>8.3999999999650754</v>
      </c>
      <c r="S2602" s="158">
        <f t="shared" si="446"/>
        <v>2.2909090908995662</v>
      </c>
      <c r="T2602" s="161">
        <f t="shared" si="447"/>
        <v>687.27272726986985</v>
      </c>
      <c r="U2602" s="158">
        <f t="shared" si="449"/>
        <v>81.818181818181813</v>
      </c>
      <c r="V2602" s="160">
        <f t="shared" si="448"/>
        <v>82</v>
      </c>
    </row>
    <row r="2603" spans="1:22" x14ac:dyDescent="0.25">
      <c r="A2603" s="98" t="s">
        <v>23</v>
      </c>
      <c r="B2603" s="98" t="s">
        <v>17</v>
      </c>
      <c r="C2603" s="98">
        <v>15</v>
      </c>
      <c r="D2603" s="98">
        <v>250</v>
      </c>
      <c r="E2603" s="157">
        <v>42404.410416666666</v>
      </c>
      <c r="F2603" s="157">
        <v>42404.419444444444</v>
      </c>
      <c r="G2603" s="98">
        <v>270</v>
      </c>
      <c r="H2603" s="98">
        <v>330</v>
      </c>
      <c r="I2603" s="98">
        <v>300</v>
      </c>
      <c r="J2603" s="98" t="s">
        <v>1978</v>
      </c>
      <c r="K2603" s="98" t="s">
        <v>3551</v>
      </c>
      <c r="L2603" s="105" t="str">
        <f t="shared" si="440"/>
        <v>Mill Creek</v>
      </c>
      <c r="M2603" s="105" t="str">
        <f t="shared" si="441"/>
        <v>Derate</v>
      </c>
      <c r="N2603" s="105" t="str">
        <f t="shared" si="442"/>
        <v>Coal</v>
      </c>
      <c r="O2603" s="105">
        <f>IFERROR(VLOOKUP(A2603,Lookup!$J$5:$P$19,7,FALSE),0)</f>
        <v>2</v>
      </c>
      <c r="P2603" s="159">
        <f t="shared" si="443"/>
        <v>2016</v>
      </c>
      <c r="Q2603" s="159">
        <f t="shared" si="444"/>
        <v>2</v>
      </c>
      <c r="R2603" s="160">
        <f t="shared" si="445"/>
        <v>0.21666666667442769</v>
      </c>
      <c r="S2603" s="158">
        <f t="shared" si="446"/>
        <v>3.9393939395350491E-2</v>
      </c>
      <c r="T2603" s="161">
        <f t="shared" si="447"/>
        <v>11.818181818605147</v>
      </c>
      <c r="U2603" s="158">
        <f t="shared" si="449"/>
        <v>54.545454545454547</v>
      </c>
      <c r="V2603" s="160">
        <f t="shared" si="448"/>
        <v>55</v>
      </c>
    </row>
    <row r="2604" spans="1:22" x14ac:dyDescent="0.25">
      <c r="A2604" s="98" t="s">
        <v>23</v>
      </c>
      <c r="B2604" s="98" t="s">
        <v>17</v>
      </c>
      <c r="C2604" s="98">
        <v>16</v>
      </c>
      <c r="D2604" s="98">
        <v>1850</v>
      </c>
      <c r="E2604" s="157">
        <v>42404.541666666664</v>
      </c>
      <c r="F2604" s="157">
        <v>42404.824305555558</v>
      </c>
      <c r="G2604" s="98">
        <v>309</v>
      </c>
      <c r="H2604" s="98">
        <v>330</v>
      </c>
      <c r="I2604" s="98">
        <v>300</v>
      </c>
      <c r="J2604" s="98" t="s">
        <v>2263</v>
      </c>
      <c r="K2604" s="98" t="s">
        <v>62</v>
      </c>
      <c r="L2604" s="105" t="str">
        <f t="shared" si="440"/>
        <v>Mill Creek</v>
      </c>
      <c r="M2604" s="105" t="str">
        <f t="shared" si="441"/>
        <v>Derate</v>
      </c>
      <c r="N2604" s="105" t="str">
        <f t="shared" si="442"/>
        <v>Coal</v>
      </c>
      <c r="O2604" s="105">
        <f>IFERROR(VLOOKUP(A2604,Lookup!$J$5:$P$19,7,FALSE),0)</f>
        <v>2</v>
      </c>
      <c r="P2604" s="159">
        <f t="shared" si="443"/>
        <v>2016</v>
      </c>
      <c r="Q2604" s="159">
        <f t="shared" si="444"/>
        <v>2</v>
      </c>
      <c r="R2604" s="160">
        <f t="shared" si="445"/>
        <v>6.7833333334419876</v>
      </c>
      <c r="S2604" s="158">
        <f t="shared" si="446"/>
        <v>0.43166666667358106</v>
      </c>
      <c r="T2604" s="161">
        <f t="shared" si="447"/>
        <v>129.50000000207433</v>
      </c>
      <c r="U2604" s="158">
        <f t="shared" si="449"/>
        <v>19.09090909090909</v>
      </c>
      <c r="V2604" s="160">
        <f t="shared" si="448"/>
        <v>19</v>
      </c>
    </row>
    <row r="2605" spans="1:22" x14ac:dyDescent="0.25">
      <c r="A2605" s="98" t="s">
        <v>23</v>
      </c>
      <c r="B2605" s="98" t="s">
        <v>20</v>
      </c>
      <c r="C2605" s="98">
        <v>17</v>
      </c>
      <c r="D2605" s="98">
        <v>3110</v>
      </c>
      <c r="E2605" s="157">
        <v>42405.904166666667</v>
      </c>
      <c r="F2605" s="157">
        <v>42407.649305555555</v>
      </c>
      <c r="G2605" s="98">
        <v>0</v>
      </c>
      <c r="H2605" s="98">
        <v>330</v>
      </c>
      <c r="I2605" s="98">
        <v>300</v>
      </c>
      <c r="J2605" s="98" t="s">
        <v>2119</v>
      </c>
      <c r="K2605" s="98" t="s">
        <v>42</v>
      </c>
      <c r="L2605" s="105" t="str">
        <f t="shared" si="440"/>
        <v>Mill Creek</v>
      </c>
      <c r="M2605" s="105" t="str">
        <f t="shared" si="441"/>
        <v>Maintenance</v>
      </c>
      <c r="N2605" s="105" t="str">
        <f t="shared" si="442"/>
        <v>Coal</v>
      </c>
      <c r="O2605" s="105">
        <f>IFERROR(VLOOKUP(A2605,Lookup!$J$5:$P$19,7,FALSE),0)</f>
        <v>2</v>
      </c>
      <c r="P2605" s="159">
        <f t="shared" si="443"/>
        <v>2016</v>
      </c>
      <c r="Q2605" s="159">
        <f t="shared" si="444"/>
        <v>2</v>
      </c>
      <c r="R2605" s="160">
        <f t="shared" si="445"/>
        <v>41.883333333302289</v>
      </c>
      <c r="S2605" s="158">
        <f t="shared" si="446"/>
        <v>41.883333333302289</v>
      </c>
      <c r="T2605" s="161">
        <f t="shared" si="447"/>
        <v>12564.999999990687</v>
      </c>
      <c r="U2605" s="158">
        <f t="shared" si="449"/>
        <v>300</v>
      </c>
      <c r="V2605" s="160">
        <f t="shared" si="448"/>
        <v>300</v>
      </c>
    </row>
    <row r="2606" spans="1:22" x14ac:dyDescent="0.25">
      <c r="A2606" s="98" t="s">
        <v>23</v>
      </c>
      <c r="B2606" s="98" t="s">
        <v>79</v>
      </c>
      <c r="C2606" s="98">
        <v>18</v>
      </c>
      <c r="D2606" s="98">
        <v>1850</v>
      </c>
      <c r="E2606" s="157">
        <v>42407.649305555555</v>
      </c>
      <c r="F2606" s="157">
        <v>42407.899305555555</v>
      </c>
      <c r="G2606" s="98">
        <v>0</v>
      </c>
      <c r="H2606" s="98">
        <v>330</v>
      </c>
      <c r="I2606" s="98">
        <v>300</v>
      </c>
      <c r="J2606" s="98" t="s">
        <v>2263</v>
      </c>
      <c r="K2606" s="98" t="s">
        <v>3552</v>
      </c>
      <c r="L2606" s="105" t="str">
        <f t="shared" si="440"/>
        <v>Mill Creek</v>
      </c>
      <c r="M2606" s="105" t="str">
        <f t="shared" si="441"/>
        <v>Other</v>
      </c>
      <c r="N2606" s="105" t="str">
        <f t="shared" si="442"/>
        <v>Coal</v>
      </c>
      <c r="O2606" s="105">
        <f>IFERROR(VLOOKUP(A2606,Lookup!$J$5:$P$19,7,FALSE),0)</f>
        <v>2</v>
      </c>
      <c r="P2606" s="159">
        <f t="shared" si="443"/>
        <v>2016</v>
      </c>
      <c r="Q2606" s="159">
        <f t="shared" si="444"/>
        <v>2</v>
      </c>
      <c r="R2606" s="160">
        <f t="shared" si="445"/>
        <v>6</v>
      </c>
      <c r="S2606" s="158">
        <f t="shared" si="446"/>
        <v>6</v>
      </c>
      <c r="T2606" s="161">
        <f t="shared" si="447"/>
        <v>1800</v>
      </c>
      <c r="U2606" s="158">
        <f t="shared" si="449"/>
        <v>300</v>
      </c>
      <c r="V2606" s="160">
        <f t="shared" si="448"/>
        <v>300</v>
      </c>
    </row>
    <row r="2607" spans="1:22" x14ac:dyDescent="0.25">
      <c r="A2607" s="98" t="s">
        <v>23</v>
      </c>
      <c r="B2607" s="98" t="s">
        <v>17</v>
      </c>
      <c r="C2607" s="98">
        <v>19</v>
      </c>
      <c r="D2607" s="98">
        <v>1850</v>
      </c>
      <c r="E2607" s="157">
        <v>42407.899305555555</v>
      </c>
      <c r="F2607" s="157">
        <v>42407.999305555553</v>
      </c>
      <c r="G2607" s="98">
        <v>275</v>
      </c>
      <c r="H2607" s="98">
        <v>330</v>
      </c>
      <c r="I2607" s="98">
        <v>300</v>
      </c>
      <c r="J2607" s="98" t="s">
        <v>2263</v>
      </c>
      <c r="K2607" s="98" t="s">
        <v>62</v>
      </c>
      <c r="L2607" s="105" t="str">
        <f t="shared" si="440"/>
        <v>Mill Creek</v>
      </c>
      <c r="M2607" s="105" t="str">
        <f t="shared" si="441"/>
        <v>Derate</v>
      </c>
      <c r="N2607" s="105" t="str">
        <f t="shared" si="442"/>
        <v>Coal</v>
      </c>
      <c r="O2607" s="105">
        <f>IFERROR(VLOOKUP(A2607,Lookup!$J$5:$P$19,7,FALSE),0)</f>
        <v>2</v>
      </c>
      <c r="P2607" s="159">
        <f t="shared" si="443"/>
        <v>2016</v>
      </c>
      <c r="Q2607" s="159">
        <f t="shared" si="444"/>
        <v>2</v>
      </c>
      <c r="R2607" s="160">
        <f t="shared" si="445"/>
        <v>2.3999999999650754</v>
      </c>
      <c r="S2607" s="158">
        <f t="shared" si="446"/>
        <v>0.39999999999417923</v>
      </c>
      <c r="T2607" s="161">
        <f t="shared" si="447"/>
        <v>119.99999999825377</v>
      </c>
      <c r="U2607" s="158">
        <f t="shared" si="449"/>
        <v>50</v>
      </c>
      <c r="V2607" s="160">
        <f t="shared" si="448"/>
        <v>50</v>
      </c>
    </row>
    <row r="2608" spans="1:22" x14ac:dyDescent="0.25">
      <c r="A2608" s="98" t="s">
        <v>23</v>
      </c>
      <c r="B2608" s="98" t="s">
        <v>79</v>
      </c>
      <c r="C2608" s="98">
        <v>20</v>
      </c>
      <c r="D2608" s="98">
        <v>1990</v>
      </c>
      <c r="E2608" s="157">
        <v>42408.3125</v>
      </c>
      <c r="F2608" s="157">
        <v>42408.511111111111</v>
      </c>
      <c r="G2608" s="98">
        <v>0</v>
      </c>
      <c r="H2608" s="98">
        <v>330</v>
      </c>
      <c r="I2608" s="98">
        <v>300</v>
      </c>
      <c r="J2608" s="98" t="s">
        <v>2114</v>
      </c>
      <c r="K2608" s="98" t="s">
        <v>3553</v>
      </c>
      <c r="L2608" s="105" t="str">
        <f t="shared" si="440"/>
        <v>Mill Creek</v>
      </c>
      <c r="M2608" s="105" t="str">
        <f t="shared" si="441"/>
        <v>Other</v>
      </c>
      <c r="N2608" s="105" t="str">
        <f t="shared" si="442"/>
        <v>Coal</v>
      </c>
      <c r="O2608" s="105">
        <f>IFERROR(VLOOKUP(A2608,Lookup!$J$5:$P$19,7,FALSE),0)</f>
        <v>2</v>
      </c>
      <c r="P2608" s="159">
        <f t="shared" si="443"/>
        <v>2016</v>
      </c>
      <c r="Q2608" s="159">
        <f t="shared" si="444"/>
        <v>2</v>
      </c>
      <c r="R2608" s="160">
        <f t="shared" si="445"/>
        <v>4.7666666666627862</v>
      </c>
      <c r="S2608" s="158">
        <f t="shared" si="446"/>
        <v>4.7666666666627862</v>
      </c>
      <c r="T2608" s="161">
        <f t="shared" si="447"/>
        <v>1429.9999999988358</v>
      </c>
      <c r="U2608" s="158">
        <f t="shared" si="449"/>
        <v>300</v>
      </c>
      <c r="V2608" s="160">
        <f t="shared" si="448"/>
        <v>300</v>
      </c>
    </row>
    <row r="2609" spans="1:22" x14ac:dyDescent="0.25">
      <c r="A2609" s="98" t="s">
        <v>23</v>
      </c>
      <c r="B2609" s="98" t="s">
        <v>79</v>
      </c>
      <c r="C2609" s="98">
        <v>21</v>
      </c>
      <c r="D2609" s="98">
        <v>8700</v>
      </c>
      <c r="E2609" s="157">
        <v>42409.3125</v>
      </c>
      <c r="F2609" s="157">
        <v>42409.75</v>
      </c>
      <c r="G2609" s="98">
        <v>0</v>
      </c>
      <c r="H2609" s="98">
        <v>330</v>
      </c>
      <c r="I2609" s="98">
        <v>300</v>
      </c>
      <c r="J2609" s="98" t="s">
        <v>1987</v>
      </c>
      <c r="K2609" s="98" t="s">
        <v>3554</v>
      </c>
      <c r="L2609" s="105" t="str">
        <f t="shared" si="440"/>
        <v>Mill Creek</v>
      </c>
      <c r="M2609" s="105" t="str">
        <f t="shared" si="441"/>
        <v>Other</v>
      </c>
      <c r="N2609" s="105" t="str">
        <f t="shared" si="442"/>
        <v>Coal</v>
      </c>
      <c r="O2609" s="105">
        <f>IFERROR(VLOOKUP(A2609,Lookup!$J$5:$P$19,7,FALSE),0)</f>
        <v>2</v>
      </c>
      <c r="P2609" s="159">
        <f t="shared" si="443"/>
        <v>2016</v>
      </c>
      <c r="Q2609" s="159">
        <f t="shared" si="444"/>
        <v>2</v>
      </c>
      <c r="R2609" s="160">
        <f t="shared" si="445"/>
        <v>10.5</v>
      </c>
      <c r="S2609" s="158">
        <f t="shared" si="446"/>
        <v>10.5</v>
      </c>
      <c r="T2609" s="161">
        <f t="shared" si="447"/>
        <v>3150</v>
      </c>
      <c r="U2609" s="158">
        <f t="shared" si="449"/>
        <v>300</v>
      </c>
      <c r="V2609" s="160">
        <f t="shared" si="448"/>
        <v>300</v>
      </c>
    </row>
    <row r="2610" spans="1:22" x14ac:dyDescent="0.25">
      <c r="A2610" s="98" t="s">
        <v>23</v>
      </c>
      <c r="B2610" s="98" t="s">
        <v>17</v>
      </c>
      <c r="C2610" s="98">
        <v>22</v>
      </c>
      <c r="D2610" s="98">
        <v>1850</v>
      </c>
      <c r="E2610" s="157">
        <v>42421.723611111112</v>
      </c>
      <c r="F2610" s="157">
        <v>42422.231249999997</v>
      </c>
      <c r="G2610" s="98">
        <v>263</v>
      </c>
      <c r="H2610" s="98">
        <v>330</v>
      </c>
      <c r="I2610" s="98">
        <v>300</v>
      </c>
      <c r="J2610" s="98" t="s">
        <v>2263</v>
      </c>
      <c r="K2610" s="98" t="s">
        <v>62</v>
      </c>
      <c r="L2610" s="105" t="str">
        <f t="shared" si="440"/>
        <v>Mill Creek</v>
      </c>
      <c r="M2610" s="105" t="str">
        <f t="shared" si="441"/>
        <v>Derate</v>
      </c>
      <c r="N2610" s="105" t="str">
        <f t="shared" si="442"/>
        <v>Coal</v>
      </c>
      <c r="O2610" s="105">
        <f>IFERROR(VLOOKUP(A2610,Lookup!$J$5:$P$19,7,FALSE),0)</f>
        <v>2</v>
      </c>
      <c r="P2610" s="159">
        <f t="shared" si="443"/>
        <v>2016</v>
      </c>
      <c r="Q2610" s="159">
        <f t="shared" si="444"/>
        <v>2</v>
      </c>
      <c r="R2610" s="160">
        <f t="shared" si="445"/>
        <v>12.18333333323244</v>
      </c>
      <c r="S2610" s="158">
        <f t="shared" si="446"/>
        <v>2.4735858585653743</v>
      </c>
      <c r="T2610" s="161">
        <f t="shared" si="447"/>
        <v>742.07575756961228</v>
      </c>
      <c r="U2610" s="158">
        <f t="shared" si="449"/>
        <v>60.909090909090907</v>
      </c>
      <c r="V2610" s="160">
        <f t="shared" si="448"/>
        <v>61</v>
      </c>
    </row>
    <row r="2611" spans="1:22" x14ac:dyDescent="0.25">
      <c r="A2611" s="98" t="s">
        <v>23</v>
      </c>
      <c r="B2611" s="98" t="s">
        <v>17</v>
      </c>
      <c r="C2611" s="98">
        <v>23</v>
      </c>
      <c r="D2611" s="98">
        <v>1850</v>
      </c>
      <c r="E2611" s="157">
        <v>42422.231249999997</v>
      </c>
      <c r="F2611" s="157">
        <v>42422.277777777781</v>
      </c>
      <c r="G2611" s="98">
        <v>252</v>
      </c>
      <c r="H2611" s="98">
        <v>330</v>
      </c>
      <c r="I2611" s="98">
        <v>300</v>
      </c>
      <c r="J2611" s="98" t="s">
        <v>2263</v>
      </c>
      <c r="K2611" s="98" t="s">
        <v>62</v>
      </c>
      <c r="L2611" s="105" t="str">
        <f t="shared" si="440"/>
        <v>Mill Creek</v>
      </c>
      <c r="M2611" s="105" t="str">
        <f t="shared" si="441"/>
        <v>Derate</v>
      </c>
      <c r="N2611" s="105" t="str">
        <f t="shared" si="442"/>
        <v>Coal</v>
      </c>
      <c r="O2611" s="105">
        <f>IFERROR(VLOOKUP(A2611,Lookup!$J$5:$P$19,7,FALSE),0)</f>
        <v>2</v>
      </c>
      <c r="P2611" s="159">
        <f t="shared" si="443"/>
        <v>2016</v>
      </c>
      <c r="Q2611" s="159">
        <f t="shared" si="444"/>
        <v>2</v>
      </c>
      <c r="R2611" s="160">
        <f t="shared" si="445"/>
        <v>1.1166666668141261</v>
      </c>
      <c r="S2611" s="158">
        <f t="shared" si="446"/>
        <v>0.26393939397424798</v>
      </c>
      <c r="T2611" s="161">
        <f t="shared" si="447"/>
        <v>79.181818192274392</v>
      </c>
      <c r="U2611" s="158">
        <f t="shared" si="449"/>
        <v>70.909090909090907</v>
      </c>
      <c r="V2611" s="160">
        <f t="shared" si="448"/>
        <v>71</v>
      </c>
    </row>
    <row r="2612" spans="1:22" x14ac:dyDescent="0.25">
      <c r="A2612" s="98" t="s">
        <v>23</v>
      </c>
      <c r="B2612" s="98" t="s">
        <v>17</v>
      </c>
      <c r="C2612" s="98">
        <v>24</v>
      </c>
      <c r="D2612" s="98">
        <v>1850</v>
      </c>
      <c r="E2612" s="157">
        <v>42422.277777777781</v>
      </c>
      <c r="F2612" s="157">
        <v>42422.378472222219</v>
      </c>
      <c r="G2612" s="98">
        <v>247</v>
      </c>
      <c r="H2612" s="98">
        <v>330</v>
      </c>
      <c r="I2612" s="98">
        <v>300</v>
      </c>
      <c r="J2612" s="98" t="s">
        <v>2263</v>
      </c>
      <c r="K2612" s="98" t="s">
        <v>62</v>
      </c>
      <c r="L2612" s="105" t="str">
        <f t="shared" si="440"/>
        <v>Mill Creek</v>
      </c>
      <c r="M2612" s="105" t="str">
        <f t="shared" si="441"/>
        <v>Derate</v>
      </c>
      <c r="N2612" s="105" t="str">
        <f t="shared" si="442"/>
        <v>Coal</v>
      </c>
      <c r="O2612" s="105">
        <f>IFERROR(VLOOKUP(A2612,Lookup!$J$5:$P$19,7,FALSE),0)</f>
        <v>2</v>
      </c>
      <c r="P2612" s="159">
        <f t="shared" si="443"/>
        <v>2016</v>
      </c>
      <c r="Q2612" s="159">
        <f t="shared" si="444"/>
        <v>2</v>
      </c>
      <c r="R2612" s="160">
        <f t="shared" si="445"/>
        <v>2.4166666665114462</v>
      </c>
      <c r="S2612" s="158">
        <f t="shared" si="446"/>
        <v>0.6078282827892425</v>
      </c>
      <c r="T2612" s="161">
        <f t="shared" si="447"/>
        <v>182.34848483677274</v>
      </c>
      <c r="U2612" s="158">
        <f t="shared" si="449"/>
        <v>75.454545454545453</v>
      </c>
      <c r="V2612" s="160">
        <f t="shared" si="448"/>
        <v>75</v>
      </c>
    </row>
    <row r="2613" spans="1:22" x14ac:dyDescent="0.25">
      <c r="A2613" s="98" t="s">
        <v>23</v>
      </c>
      <c r="B2613" s="98" t="s">
        <v>20</v>
      </c>
      <c r="C2613" s="98">
        <v>25</v>
      </c>
      <c r="D2613" s="98">
        <v>3110</v>
      </c>
      <c r="E2613" s="157">
        <v>42422.378472222219</v>
      </c>
      <c r="F2613" s="157">
        <v>42423.386805555558</v>
      </c>
      <c r="G2613" s="98">
        <v>0</v>
      </c>
      <c r="H2613" s="98">
        <v>330</v>
      </c>
      <c r="I2613" s="98">
        <v>300</v>
      </c>
      <c r="J2613" s="98" t="s">
        <v>2119</v>
      </c>
      <c r="K2613" s="98" t="s">
        <v>42</v>
      </c>
      <c r="L2613" s="105" t="str">
        <f t="shared" si="440"/>
        <v>Mill Creek</v>
      </c>
      <c r="M2613" s="105" t="str">
        <f t="shared" si="441"/>
        <v>Maintenance</v>
      </c>
      <c r="N2613" s="105" t="str">
        <f t="shared" si="442"/>
        <v>Coal</v>
      </c>
      <c r="O2613" s="105">
        <f>IFERROR(VLOOKUP(A2613,Lookup!$J$5:$P$19,7,FALSE),0)</f>
        <v>2</v>
      </c>
      <c r="P2613" s="159">
        <f t="shared" si="443"/>
        <v>2016</v>
      </c>
      <c r="Q2613" s="159">
        <f t="shared" si="444"/>
        <v>2</v>
      </c>
      <c r="R2613" s="160">
        <f t="shared" si="445"/>
        <v>24.200000000128057</v>
      </c>
      <c r="S2613" s="158">
        <f t="shared" si="446"/>
        <v>24.200000000128057</v>
      </c>
      <c r="T2613" s="161">
        <f t="shared" si="447"/>
        <v>7260.0000000384171</v>
      </c>
      <c r="U2613" s="158">
        <f t="shared" si="449"/>
        <v>300</v>
      </c>
      <c r="V2613" s="160">
        <f t="shared" si="448"/>
        <v>300</v>
      </c>
    </row>
    <row r="2614" spans="1:22" x14ac:dyDescent="0.25">
      <c r="A2614" s="98" t="s">
        <v>23</v>
      </c>
      <c r="B2614" s="98" t="s">
        <v>79</v>
      </c>
      <c r="C2614" s="98">
        <v>26</v>
      </c>
      <c r="D2614" s="98">
        <v>1850</v>
      </c>
      <c r="E2614" s="157">
        <v>42423.386805555558</v>
      </c>
      <c r="F2614" s="157">
        <v>42423.636805555558</v>
      </c>
      <c r="G2614" s="98">
        <v>0</v>
      </c>
      <c r="H2614" s="98">
        <v>330</v>
      </c>
      <c r="I2614" s="98">
        <v>300</v>
      </c>
      <c r="J2614" s="98" t="s">
        <v>2263</v>
      </c>
      <c r="K2614" s="98" t="s">
        <v>3552</v>
      </c>
      <c r="L2614" s="105" t="str">
        <f t="shared" si="440"/>
        <v>Mill Creek</v>
      </c>
      <c r="M2614" s="105" t="str">
        <f t="shared" si="441"/>
        <v>Other</v>
      </c>
      <c r="N2614" s="105" t="str">
        <f t="shared" si="442"/>
        <v>Coal</v>
      </c>
      <c r="O2614" s="105">
        <f>IFERROR(VLOOKUP(A2614,Lookup!$J$5:$P$19,7,FALSE),0)</f>
        <v>2</v>
      </c>
      <c r="P2614" s="159">
        <f t="shared" si="443"/>
        <v>2016</v>
      </c>
      <c r="Q2614" s="159">
        <f t="shared" si="444"/>
        <v>2</v>
      </c>
      <c r="R2614" s="160">
        <f t="shared" si="445"/>
        <v>6</v>
      </c>
      <c r="S2614" s="158">
        <f t="shared" si="446"/>
        <v>6</v>
      </c>
      <c r="T2614" s="161">
        <f t="shared" si="447"/>
        <v>1800</v>
      </c>
      <c r="U2614" s="158">
        <f t="shared" si="449"/>
        <v>300</v>
      </c>
      <c r="V2614" s="160">
        <f t="shared" si="448"/>
        <v>300</v>
      </c>
    </row>
    <row r="2615" spans="1:22" x14ac:dyDescent="0.25">
      <c r="A2615" s="98" t="s">
        <v>23</v>
      </c>
      <c r="B2615" s="98" t="s">
        <v>17</v>
      </c>
      <c r="C2615" s="98">
        <v>27</v>
      </c>
      <c r="D2615" s="98">
        <v>1850</v>
      </c>
      <c r="E2615" s="157">
        <v>42423.636805555558</v>
      </c>
      <c r="F2615" s="157">
        <v>42423.672222222223</v>
      </c>
      <c r="G2615" s="98">
        <v>250</v>
      </c>
      <c r="H2615" s="98">
        <v>330</v>
      </c>
      <c r="I2615" s="98">
        <v>300</v>
      </c>
      <c r="J2615" s="98" t="s">
        <v>2263</v>
      </c>
      <c r="K2615" s="98" t="s">
        <v>62</v>
      </c>
      <c r="L2615" s="105" t="str">
        <f t="shared" si="440"/>
        <v>Mill Creek</v>
      </c>
      <c r="M2615" s="105" t="str">
        <f t="shared" si="441"/>
        <v>Derate</v>
      </c>
      <c r="N2615" s="105" t="str">
        <f t="shared" si="442"/>
        <v>Coal</v>
      </c>
      <c r="O2615" s="105">
        <f>IFERROR(VLOOKUP(A2615,Lookup!$J$5:$P$19,7,FALSE),0)</f>
        <v>2</v>
      </c>
      <c r="P2615" s="159">
        <f t="shared" si="443"/>
        <v>2016</v>
      </c>
      <c r="Q2615" s="159">
        <f t="shared" si="444"/>
        <v>2</v>
      </c>
      <c r="R2615" s="160">
        <f t="shared" si="445"/>
        <v>0.84999999997671694</v>
      </c>
      <c r="S2615" s="158">
        <f t="shared" si="446"/>
        <v>0.20606060605496168</v>
      </c>
      <c r="T2615" s="161">
        <f t="shared" si="447"/>
        <v>61.818181816488504</v>
      </c>
      <c r="U2615" s="158">
        <f t="shared" si="449"/>
        <v>72.727272727272734</v>
      </c>
      <c r="V2615" s="160">
        <f t="shared" si="448"/>
        <v>73</v>
      </c>
    </row>
    <row r="2616" spans="1:22" x14ac:dyDescent="0.25">
      <c r="A2616" s="98" t="s">
        <v>23</v>
      </c>
      <c r="B2616" s="98" t="s">
        <v>17</v>
      </c>
      <c r="C2616" s="98">
        <v>28</v>
      </c>
      <c r="D2616" s="98">
        <v>1850</v>
      </c>
      <c r="E2616" s="157">
        <v>42423.672222222223</v>
      </c>
      <c r="F2616" s="157">
        <v>42423.826388888891</v>
      </c>
      <c r="G2616" s="98">
        <v>280</v>
      </c>
      <c r="H2616" s="98">
        <v>330</v>
      </c>
      <c r="I2616" s="98">
        <v>300</v>
      </c>
      <c r="J2616" s="98" t="s">
        <v>2263</v>
      </c>
      <c r="K2616" s="98" t="s">
        <v>62</v>
      </c>
      <c r="L2616" s="105" t="str">
        <f t="shared" si="440"/>
        <v>Mill Creek</v>
      </c>
      <c r="M2616" s="105" t="str">
        <f t="shared" si="441"/>
        <v>Derate</v>
      </c>
      <c r="N2616" s="105" t="str">
        <f t="shared" si="442"/>
        <v>Coal</v>
      </c>
      <c r="O2616" s="105">
        <f>IFERROR(VLOOKUP(A2616,Lookup!$J$5:$P$19,7,FALSE),0)</f>
        <v>2</v>
      </c>
      <c r="P2616" s="159">
        <f t="shared" si="443"/>
        <v>2016</v>
      </c>
      <c r="Q2616" s="159">
        <f t="shared" si="444"/>
        <v>2</v>
      </c>
      <c r="R2616" s="160">
        <f t="shared" si="445"/>
        <v>3.7000000000116415</v>
      </c>
      <c r="S2616" s="158">
        <f t="shared" si="446"/>
        <v>0.56060606060782447</v>
      </c>
      <c r="T2616" s="161">
        <f t="shared" si="447"/>
        <v>168.18181818234734</v>
      </c>
      <c r="U2616" s="158">
        <f t="shared" si="449"/>
        <v>45.454545454545453</v>
      </c>
      <c r="V2616" s="160">
        <f t="shared" si="448"/>
        <v>45</v>
      </c>
    </row>
    <row r="2617" spans="1:22" x14ac:dyDescent="0.25">
      <c r="A2617" s="98" t="s">
        <v>23</v>
      </c>
      <c r="B2617" s="98" t="s">
        <v>17</v>
      </c>
      <c r="C2617" s="98">
        <v>29</v>
      </c>
      <c r="D2617" s="98">
        <v>360</v>
      </c>
      <c r="E2617" s="157">
        <v>42433.290277777778</v>
      </c>
      <c r="F2617" s="157">
        <v>42433.375</v>
      </c>
      <c r="G2617" s="98">
        <v>240</v>
      </c>
      <c r="H2617" s="98">
        <v>330</v>
      </c>
      <c r="I2617" s="98">
        <v>300</v>
      </c>
      <c r="J2617" s="98" t="s">
        <v>229</v>
      </c>
      <c r="K2617" s="98" t="s">
        <v>3555</v>
      </c>
      <c r="L2617" s="105" t="str">
        <f t="shared" si="440"/>
        <v>Mill Creek</v>
      </c>
      <c r="M2617" s="105" t="str">
        <f t="shared" si="441"/>
        <v>Derate</v>
      </c>
      <c r="N2617" s="105" t="str">
        <f t="shared" si="442"/>
        <v>Coal</v>
      </c>
      <c r="O2617" s="105">
        <f>IFERROR(VLOOKUP(A2617,Lookup!$J$5:$P$19,7,FALSE),0)</f>
        <v>2</v>
      </c>
      <c r="P2617" s="159">
        <f t="shared" si="443"/>
        <v>2016</v>
      </c>
      <c r="Q2617" s="159">
        <f t="shared" si="444"/>
        <v>3</v>
      </c>
      <c r="R2617" s="160">
        <f t="shared" si="445"/>
        <v>2.0333333333255723</v>
      </c>
      <c r="S2617" s="158">
        <f t="shared" si="446"/>
        <v>0.55454545454333792</v>
      </c>
      <c r="T2617" s="161">
        <f t="shared" si="447"/>
        <v>166.36363636300138</v>
      </c>
      <c r="U2617" s="158">
        <f t="shared" si="449"/>
        <v>81.818181818181813</v>
      </c>
      <c r="V2617" s="160">
        <f t="shared" si="448"/>
        <v>82</v>
      </c>
    </row>
    <row r="2618" spans="1:22" x14ac:dyDescent="0.25">
      <c r="A2618" s="98" t="s">
        <v>23</v>
      </c>
      <c r="B2618" s="98" t="s">
        <v>105</v>
      </c>
      <c r="C2618" s="98">
        <v>30</v>
      </c>
      <c r="D2618" s="98">
        <v>310</v>
      </c>
      <c r="E2618" s="157">
        <v>42436.958333333336</v>
      </c>
      <c r="F2618" s="157">
        <v>42437.197916666664</v>
      </c>
      <c r="G2618" s="98">
        <v>240</v>
      </c>
      <c r="H2618" s="98">
        <v>330</v>
      </c>
      <c r="I2618" s="98">
        <v>300</v>
      </c>
      <c r="J2618" s="98" t="s">
        <v>1966</v>
      </c>
      <c r="K2618" s="98" t="s">
        <v>3556</v>
      </c>
      <c r="L2618" s="105" t="str">
        <f t="shared" si="440"/>
        <v>Mill Creek</v>
      </c>
      <c r="M2618" s="105" t="str">
        <f t="shared" si="441"/>
        <v>Derate</v>
      </c>
      <c r="N2618" s="105" t="str">
        <f t="shared" si="442"/>
        <v>Coal</v>
      </c>
      <c r="O2618" s="105">
        <f>IFERROR(VLOOKUP(A2618,Lookup!$J$5:$P$19,7,FALSE),0)</f>
        <v>2</v>
      </c>
      <c r="P2618" s="159">
        <f t="shared" si="443"/>
        <v>2016</v>
      </c>
      <c r="Q2618" s="159">
        <f t="shared" si="444"/>
        <v>3</v>
      </c>
      <c r="R2618" s="160">
        <f t="shared" si="445"/>
        <v>5.7499999998835847</v>
      </c>
      <c r="S2618" s="158">
        <f t="shared" si="446"/>
        <v>1.5681818181500686</v>
      </c>
      <c r="T2618" s="161">
        <f t="shared" si="447"/>
        <v>470.45454544502059</v>
      </c>
      <c r="U2618" s="158">
        <f t="shared" si="449"/>
        <v>81.818181818181813</v>
      </c>
      <c r="V2618" s="160">
        <f t="shared" si="448"/>
        <v>82</v>
      </c>
    </row>
    <row r="2619" spans="1:22" x14ac:dyDescent="0.25">
      <c r="A2619" s="98" t="s">
        <v>23</v>
      </c>
      <c r="B2619" s="98" t="s">
        <v>105</v>
      </c>
      <c r="C2619" s="98">
        <v>31</v>
      </c>
      <c r="D2619" s="98">
        <v>310</v>
      </c>
      <c r="E2619" s="157">
        <v>42437.958333333336</v>
      </c>
      <c r="F2619" s="157">
        <v>42438.196527777778</v>
      </c>
      <c r="G2619" s="98">
        <v>250</v>
      </c>
      <c r="H2619" s="98">
        <v>330</v>
      </c>
      <c r="I2619" s="98">
        <v>300</v>
      </c>
      <c r="J2619" s="98" t="s">
        <v>1966</v>
      </c>
      <c r="K2619" s="98" t="s">
        <v>3557</v>
      </c>
      <c r="L2619" s="105" t="str">
        <f t="shared" si="440"/>
        <v>Mill Creek</v>
      </c>
      <c r="M2619" s="105" t="str">
        <f t="shared" si="441"/>
        <v>Derate</v>
      </c>
      <c r="N2619" s="105" t="str">
        <f t="shared" si="442"/>
        <v>Coal</v>
      </c>
      <c r="O2619" s="105">
        <f>IFERROR(VLOOKUP(A2619,Lookup!$J$5:$P$19,7,FALSE),0)</f>
        <v>2</v>
      </c>
      <c r="P2619" s="159">
        <f t="shared" si="443"/>
        <v>2016</v>
      </c>
      <c r="Q2619" s="159">
        <f t="shared" si="444"/>
        <v>3</v>
      </c>
      <c r="R2619" s="160">
        <f t="shared" si="445"/>
        <v>5.71666666661622</v>
      </c>
      <c r="S2619" s="158">
        <f t="shared" si="446"/>
        <v>1.3858585858463564</v>
      </c>
      <c r="T2619" s="161">
        <f t="shared" si="447"/>
        <v>415.75757575390691</v>
      </c>
      <c r="U2619" s="158">
        <f t="shared" si="449"/>
        <v>72.727272727272734</v>
      </c>
      <c r="V2619" s="160">
        <f t="shared" si="448"/>
        <v>73</v>
      </c>
    </row>
    <row r="2620" spans="1:22" x14ac:dyDescent="0.25">
      <c r="A2620" s="98" t="s">
        <v>23</v>
      </c>
      <c r="B2620" s="98" t="s">
        <v>105</v>
      </c>
      <c r="C2620" s="98">
        <v>32</v>
      </c>
      <c r="D2620" s="98">
        <v>310</v>
      </c>
      <c r="E2620" s="157">
        <v>42439.958333333336</v>
      </c>
      <c r="F2620" s="157">
        <v>42440.188194444447</v>
      </c>
      <c r="G2620" s="98">
        <v>240</v>
      </c>
      <c r="H2620" s="98">
        <v>330</v>
      </c>
      <c r="I2620" s="98">
        <v>300</v>
      </c>
      <c r="J2620" s="98" t="s">
        <v>1966</v>
      </c>
      <c r="K2620" s="98" t="s">
        <v>106</v>
      </c>
      <c r="L2620" s="105" t="str">
        <f t="shared" si="440"/>
        <v>Mill Creek</v>
      </c>
      <c r="M2620" s="105" t="str">
        <f t="shared" si="441"/>
        <v>Derate</v>
      </c>
      <c r="N2620" s="105" t="str">
        <f t="shared" si="442"/>
        <v>Coal</v>
      </c>
      <c r="O2620" s="105">
        <f>IFERROR(VLOOKUP(A2620,Lookup!$J$5:$P$19,7,FALSE),0)</f>
        <v>2</v>
      </c>
      <c r="P2620" s="159">
        <f t="shared" si="443"/>
        <v>2016</v>
      </c>
      <c r="Q2620" s="159">
        <f t="shared" si="444"/>
        <v>3</v>
      </c>
      <c r="R2620" s="160">
        <f t="shared" si="445"/>
        <v>5.5166666666627862</v>
      </c>
      <c r="S2620" s="158">
        <f t="shared" si="446"/>
        <v>1.5045454545443961</v>
      </c>
      <c r="T2620" s="161">
        <f t="shared" si="447"/>
        <v>451.36363636331885</v>
      </c>
      <c r="U2620" s="158">
        <f t="shared" si="449"/>
        <v>81.818181818181813</v>
      </c>
      <c r="V2620" s="160">
        <f t="shared" si="448"/>
        <v>82</v>
      </c>
    </row>
    <row r="2621" spans="1:22" x14ac:dyDescent="0.25">
      <c r="A2621" s="98" t="s">
        <v>23</v>
      </c>
      <c r="B2621" s="98" t="s">
        <v>38</v>
      </c>
      <c r="C2621" s="98">
        <v>33</v>
      </c>
      <c r="D2621" s="98">
        <v>3998</v>
      </c>
      <c r="E2621" s="157">
        <v>42449.890972222223</v>
      </c>
      <c r="F2621" s="157">
        <v>42458.454861111109</v>
      </c>
      <c r="G2621" s="98">
        <v>0</v>
      </c>
      <c r="H2621" s="98">
        <v>330</v>
      </c>
      <c r="I2621" s="98">
        <v>300</v>
      </c>
      <c r="J2621" s="98" t="s">
        <v>3558</v>
      </c>
      <c r="K2621" s="98" t="s">
        <v>2093</v>
      </c>
      <c r="L2621" s="105" t="str">
        <f t="shared" si="440"/>
        <v>Mill Creek</v>
      </c>
      <c r="M2621" s="105" t="str">
        <f t="shared" si="441"/>
        <v>Other</v>
      </c>
      <c r="N2621" s="105" t="str">
        <f t="shared" si="442"/>
        <v>Coal</v>
      </c>
      <c r="O2621" s="105">
        <f>IFERROR(VLOOKUP(A2621,Lookup!$J$5:$P$19,7,FALSE),0)</f>
        <v>2</v>
      </c>
      <c r="P2621" s="159">
        <f t="shared" si="443"/>
        <v>2016</v>
      </c>
      <c r="Q2621" s="159">
        <f t="shared" si="444"/>
        <v>3</v>
      </c>
      <c r="R2621" s="160">
        <f t="shared" si="445"/>
        <v>205.53333333326736</v>
      </c>
      <c r="S2621" s="158">
        <f t="shared" si="446"/>
        <v>205.53333333326736</v>
      </c>
      <c r="T2621" s="161">
        <f t="shared" si="447"/>
        <v>61659.999999980209</v>
      </c>
      <c r="U2621" s="158">
        <f t="shared" si="449"/>
        <v>300</v>
      </c>
      <c r="V2621" s="160">
        <f t="shared" si="448"/>
        <v>300</v>
      </c>
    </row>
    <row r="2622" spans="1:22" x14ac:dyDescent="0.25">
      <c r="A2622" s="98" t="s">
        <v>23</v>
      </c>
      <c r="B2622" s="98" t="s">
        <v>79</v>
      </c>
      <c r="C2622" s="98">
        <v>34</v>
      </c>
      <c r="D2622" s="98">
        <v>1850</v>
      </c>
      <c r="E2622" s="157">
        <v>42458.454861111109</v>
      </c>
      <c r="F2622" s="157">
        <v>42458.479861111111</v>
      </c>
      <c r="G2622" s="98">
        <v>0</v>
      </c>
      <c r="H2622" s="98">
        <v>330</v>
      </c>
      <c r="I2622" s="98">
        <v>300</v>
      </c>
      <c r="J2622" s="98" t="s">
        <v>2263</v>
      </c>
      <c r="K2622" s="98" t="s">
        <v>3559</v>
      </c>
      <c r="L2622" s="105" t="str">
        <f t="shared" si="440"/>
        <v>Mill Creek</v>
      </c>
      <c r="M2622" s="105" t="str">
        <f t="shared" si="441"/>
        <v>Other</v>
      </c>
      <c r="N2622" s="105" t="str">
        <f t="shared" si="442"/>
        <v>Coal</v>
      </c>
      <c r="O2622" s="105">
        <f>IFERROR(VLOOKUP(A2622,Lookup!$J$5:$P$19,7,FALSE),0)</f>
        <v>2</v>
      </c>
      <c r="P2622" s="159">
        <f t="shared" si="443"/>
        <v>2016</v>
      </c>
      <c r="Q2622" s="159">
        <f t="shared" si="444"/>
        <v>3</v>
      </c>
      <c r="R2622" s="160">
        <f t="shared" si="445"/>
        <v>0.6000000000349246</v>
      </c>
      <c r="S2622" s="158">
        <f t="shared" si="446"/>
        <v>0.6000000000349246</v>
      </c>
      <c r="T2622" s="161">
        <f t="shared" si="447"/>
        <v>180.00000001047738</v>
      </c>
      <c r="U2622" s="158">
        <f t="shared" si="449"/>
        <v>300</v>
      </c>
      <c r="V2622" s="160">
        <f t="shared" si="448"/>
        <v>300</v>
      </c>
    </row>
    <row r="2623" spans="1:22" x14ac:dyDescent="0.25">
      <c r="A2623" s="98" t="s">
        <v>23</v>
      </c>
      <c r="B2623" s="98" t="s">
        <v>15</v>
      </c>
      <c r="C2623" s="98">
        <v>35</v>
      </c>
      <c r="D2623" s="98">
        <v>800</v>
      </c>
      <c r="E2623" s="157">
        <v>42458.479861111111</v>
      </c>
      <c r="F2623" s="157">
        <v>42458.546527777777</v>
      </c>
      <c r="G2623" s="98">
        <v>0</v>
      </c>
      <c r="H2623" s="98">
        <v>330</v>
      </c>
      <c r="I2623" s="98">
        <v>300</v>
      </c>
      <c r="J2623" s="98" t="s">
        <v>2197</v>
      </c>
      <c r="K2623" s="98" t="s">
        <v>3536</v>
      </c>
      <c r="L2623" s="105" t="str">
        <f t="shared" si="440"/>
        <v>Mill Creek</v>
      </c>
      <c r="M2623" s="105" t="str">
        <f t="shared" si="441"/>
        <v>Outage</v>
      </c>
      <c r="N2623" s="105" t="str">
        <f t="shared" si="442"/>
        <v>Coal</v>
      </c>
      <c r="O2623" s="105">
        <f>IFERROR(VLOOKUP(A2623,Lookup!$J$5:$P$19,7,FALSE),0)</f>
        <v>2</v>
      </c>
      <c r="P2623" s="159">
        <f t="shared" si="443"/>
        <v>2016</v>
      </c>
      <c r="Q2623" s="159">
        <f t="shared" si="444"/>
        <v>3</v>
      </c>
      <c r="R2623" s="160">
        <f t="shared" si="445"/>
        <v>1.5999999999767169</v>
      </c>
      <c r="S2623" s="158">
        <f t="shared" si="446"/>
        <v>1.5999999999767169</v>
      </c>
      <c r="T2623" s="161">
        <f t="shared" si="447"/>
        <v>479.99999999301508</v>
      </c>
      <c r="U2623" s="158">
        <f t="shared" si="449"/>
        <v>300</v>
      </c>
      <c r="V2623" s="160">
        <f t="shared" si="448"/>
        <v>300</v>
      </c>
    </row>
    <row r="2624" spans="1:22" x14ac:dyDescent="0.25">
      <c r="A2624" s="98" t="s">
        <v>23</v>
      </c>
      <c r="B2624" s="98" t="s">
        <v>79</v>
      </c>
      <c r="C2624" s="98">
        <v>36</v>
      </c>
      <c r="D2624" s="98">
        <v>1850</v>
      </c>
      <c r="E2624" s="162">
        <v>42458.546527777777</v>
      </c>
      <c r="F2624" s="157">
        <v>42459.224305555559</v>
      </c>
      <c r="G2624" s="98">
        <v>0</v>
      </c>
      <c r="H2624" s="98">
        <v>330</v>
      </c>
      <c r="I2624" s="98">
        <v>300</v>
      </c>
      <c r="J2624" s="98" t="s">
        <v>2263</v>
      </c>
      <c r="K2624" s="98" t="s">
        <v>3560</v>
      </c>
      <c r="L2624" s="105" t="str">
        <f t="shared" si="440"/>
        <v>Mill Creek</v>
      </c>
      <c r="M2624" s="105" t="str">
        <f t="shared" si="441"/>
        <v>Other</v>
      </c>
      <c r="N2624" s="105" t="str">
        <f t="shared" si="442"/>
        <v>Coal</v>
      </c>
      <c r="O2624" s="105">
        <f>IFERROR(VLOOKUP(A2624,Lookup!$J$5:$P$19,7,FALSE),0)</f>
        <v>2</v>
      </c>
      <c r="P2624" s="159">
        <f t="shared" si="443"/>
        <v>2016</v>
      </c>
      <c r="Q2624" s="159">
        <f t="shared" si="444"/>
        <v>3</v>
      </c>
      <c r="R2624" s="160">
        <f t="shared" si="445"/>
        <v>16.266666666779201</v>
      </c>
      <c r="S2624" s="158">
        <f t="shared" si="446"/>
        <v>16.266666666779201</v>
      </c>
      <c r="T2624" s="161">
        <f t="shared" si="447"/>
        <v>4880.0000000337604</v>
      </c>
      <c r="U2624" s="158">
        <f t="shared" si="449"/>
        <v>300</v>
      </c>
      <c r="V2624" s="160">
        <f t="shared" si="448"/>
        <v>300</v>
      </c>
    </row>
    <row r="2625" spans="1:22" x14ac:dyDescent="0.25">
      <c r="A2625" s="98" t="s">
        <v>23</v>
      </c>
      <c r="B2625" s="98" t="s">
        <v>79</v>
      </c>
      <c r="C2625" s="98">
        <v>37</v>
      </c>
      <c r="D2625" s="98">
        <v>1990</v>
      </c>
      <c r="E2625" s="157">
        <v>42461.25</v>
      </c>
      <c r="F2625" s="157">
        <v>42461.875</v>
      </c>
      <c r="G2625" s="98">
        <v>0</v>
      </c>
      <c r="H2625" s="98">
        <v>330</v>
      </c>
      <c r="I2625" s="98">
        <v>300</v>
      </c>
      <c r="J2625" s="98" t="s">
        <v>2114</v>
      </c>
      <c r="K2625" s="98" t="s">
        <v>3561</v>
      </c>
      <c r="L2625" s="105" t="str">
        <f t="shared" si="440"/>
        <v>Mill Creek</v>
      </c>
      <c r="M2625" s="105" t="str">
        <f t="shared" si="441"/>
        <v>Other</v>
      </c>
      <c r="N2625" s="105" t="str">
        <f t="shared" si="442"/>
        <v>Coal</v>
      </c>
      <c r="O2625" s="105">
        <f>IFERROR(VLOOKUP(A2625,Lookup!$J$5:$P$19,7,FALSE),0)</f>
        <v>2</v>
      </c>
      <c r="P2625" s="159">
        <f t="shared" si="443"/>
        <v>2016</v>
      </c>
      <c r="Q2625" s="159">
        <f t="shared" si="444"/>
        <v>4</v>
      </c>
      <c r="R2625" s="160">
        <f t="shared" si="445"/>
        <v>15</v>
      </c>
      <c r="S2625" s="158">
        <f t="shared" si="446"/>
        <v>15</v>
      </c>
      <c r="T2625" s="161">
        <f t="shared" si="447"/>
        <v>4500</v>
      </c>
      <c r="U2625" s="158">
        <f t="shared" si="449"/>
        <v>300</v>
      </c>
      <c r="V2625" s="160">
        <f t="shared" si="448"/>
        <v>300</v>
      </c>
    </row>
    <row r="2626" spans="1:22" x14ac:dyDescent="0.25">
      <c r="A2626" s="98" t="s">
        <v>23</v>
      </c>
      <c r="B2626" s="98" t="s">
        <v>79</v>
      </c>
      <c r="C2626" s="98">
        <v>38</v>
      </c>
      <c r="D2626" s="98">
        <v>1710</v>
      </c>
      <c r="E2626" s="157">
        <v>42464.958333333336</v>
      </c>
      <c r="F2626" s="157">
        <v>42465.018750000003</v>
      </c>
      <c r="G2626" s="98">
        <v>0</v>
      </c>
      <c r="H2626" s="98">
        <v>330</v>
      </c>
      <c r="I2626" s="98">
        <v>300</v>
      </c>
      <c r="J2626" s="98" t="s">
        <v>2020</v>
      </c>
      <c r="K2626" s="98" t="s">
        <v>3562</v>
      </c>
      <c r="L2626" s="105" t="str">
        <f t="shared" si="440"/>
        <v>Mill Creek</v>
      </c>
      <c r="M2626" s="105" t="str">
        <f t="shared" si="441"/>
        <v>Other</v>
      </c>
      <c r="N2626" s="105" t="str">
        <f t="shared" si="442"/>
        <v>Coal</v>
      </c>
      <c r="O2626" s="105">
        <f>IFERROR(VLOOKUP(A2626,Lookup!$J$5:$P$19,7,FALSE),0)</f>
        <v>2</v>
      </c>
      <c r="P2626" s="159">
        <f t="shared" si="443"/>
        <v>2016</v>
      </c>
      <c r="Q2626" s="159">
        <f t="shared" si="444"/>
        <v>4</v>
      </c>
      <c r="R2626" s="160">
        <f t="shared" si="445"/>
        <v>1.4500000000116415</v>
      </c>
      <c r="S2626" s="158">
        <f t="shared" si="446"/>
        <v>1.4500000000116415</v>
      </c>
      <c r="T2626" s="161">
        <f t="shared" si="447"/>
        <v>435.00000000349246</v>
      </c>
      <c r="U2626" s="158">
        <f t="shared" si="449"/>
        <v>300</v>
      </c>
      <c r="V2626" s="160">
        <f t="shared" si="448"/>
        <v>300</v>
      </c>
    </row>
    <row r="2627" spans="1:22" x14ac:dyDescent="0.25">
      <c r="A2627" s="98" t="s">
        <v>23</v>
      </c>
      <c r="B2627" s="98" t="s">
        <v>79</v>
      </c>
      <c r="C2627" s="98">
        <v>39</v>
      </c>
      <c r="D2627" s="98">
        <v>1710</v>
      </c>
      <c r="E2627" s="157">
        <v>42465.958333333336</v>
      </c>
      <c r="F2627" s="157">
        <v>42466.127083333333</v>
      </c>
      <c r="G2627" s="98">
        <v>0</v>
      </c>
      <c r="H2627" s="98">
        <v>330</v>
      </c>
      <c r="I2627" s="98">
        <v>300</v>
      </c>
      <c r="J2627" s="98" t="s">
        <v>2020</v>
      </c>
      <c r="K2627" s="98" t="s">
        <v>3563</v>
      </c>
      <c r="L2627" s="105" t="str">
        <f t="shared" si="440"/>
        <v>Mill Creek</v>
      </c>
      <c r="M2627" s="105" t="str">
        <f t="shared" si="441"/>
        <v>Other</v>
      </c>
      <c r="N2627" s="105" t="str">
        <f t="shared" si="442"/>
        <v>Coal</v>
      </c>
      <c r="O2627" s="105">
        <f>IFERROR(VLOOKUP(A2627,Lookup!$J$5:$P$19,7,FALSE),0)</f>
        <v>2</v>
      </c>
      <c r="P2627" s="159">
        <f t="shared" si="443"/>
        <v>2016</v>
      </c>
      <c r="Q2627" s="159">
        <f t="shared" si="444"/>
        <v>4</v>
      </c>
      <c r="R2627" s="160">
        <f t="shared" si="445"/>
        <v>4.0499999999301508</v>
      </c>
      <c r="S2627" s="158">
        <f t="shared" si="446"/>
        <v>4.0499999999301508</v>
      </c>
      <c r="T2627" s="161">
        <f t="shared" si="447"/>
        <v>1214.9999999790452</v>
      </c>
      <c r="U2627" s="158">
        <f t="shared" si="449"/>
        <v>300</v>
      </c>
      <c r="V2627" s="160">
        <f t="shared" si="448"/>
        <v>300</v>
      </c>
    </row>
    <row r="2628" spans="1:22" x14ac:dyDescent="0.25">
      <c r="A2628" s="98" t="s">
        <v>23</v>
      </c>
      <c r="B2628" s="98" t="s">
        <v>79</v>
      </c>
      <c r="C2628" s="98">
        <v>40</v>
      </c>
      <c r="D2628" s="98">
        <v>1710</v>
      </c>
      <c r="E2628" s="157">
        <v>42472.4</v>
      </c>
      <c r="F2628" s="157">
        <v>42472.482638888891</v>
      </c>
      <c r="G2628" s="98">
        <v>0</v>
      </c>
      <c r="H2628" s="98">
        <v>330</v>
      </c>
      <c r="I2628" s="98">
        <v>300</v>
      </c>
      <c r="J2628" s="98" t="s">
        <v>2020</v>
      </c>
      <c r="K2628" s="98" t="s">
        <v>3564</v>
      </c>
      <c r="L2628" s="105" t="str">
        <f t="shared" si="440"/>
        <v>Mill Creek</v>
      </c>
      <c r="M2628" s="105" t="str">
        <f t="shared" si="441"/>
        <v>Other</v>
      </c>
      <c r="N2628" s="105" t="str">
        <f t="shared" si="442"/>
        <v>Coal</v>
      </c>
      <c r="O2628" s="105">
        <f>IFERROR(VLOOKUP(A2628,Lookup!$J$5:$P$19,7,FALSE),0)</f>
        <v>2</v>
      </c>
      <c r="P2628" s="159">
        <f t="shared" si="443"/>
        <v>2016</v>
      </c>
      <c r="Q2628" s="159">
        <f t="shared" si="444"/>
        <v>4</v>
      </c>
      <c r="R2628" s="160">
        <f t="shared" si="445"/>
        <v>1.9833333333372138</v>
      </c>
      <c r="S2628" s="158">
        <f t="shared" si="446"/>
        <v>1.9833333333372138</v>
      </c>
      <c r="T2628" s="161">
        <f t="shared" si="447"/>
        <v>595.00000000116415</v>
      </c>
      <c r="U2628" s="158">
        <f t="shared" si="449"/>
        <v>300</v>
      </c>
      <c r="V2628" s="160">
        <f t="shared" si="448"/>
        <v>300</v>
      </c>
    </row>
    <row r="2629" spans="1:22" x14ac:dyDescent="0.25">
      <c r="A2629" s="98" t="s">
        <v>23</v>
      </c>
      <c r="B2629" s="98" t="s">
        <v>79</v>
      </c>
      <c r="C2629" s="98">
        <v>41</v>
      </c>
      <c r="D2629" s="98">
        <v>1710</v>
      </c>
      <c r="E2629" s="157">
        <v>42472.572916666664</v>
      </c>
      <c r="F2629" s="157">
        <v>42472.65625</v>
      </c>
      <c r="G2629" s="98">
        <v>0</v>
      </c>
      <c r="H2629" s="98">
        <v>330</v>
      </c>
      <c r="I2629" s="98">
        <v>300</v>
      </c>
      <c r="J2629" s="98" t="s">
        <v>2020</v>
      </c>
      <c r="K2629" s="98" t="s">
        <v>3564</v>
      </c>
      <c r="L2629" s="105" t="str">
        <f t="shared" si="440"/>
        <v>Mill Creek</v>
      </c>
      <c r="M2629" s="105" t="str">
        <f t="shared" si="441"/>
        <v>Other</v>
      </c>
      <c r="N2629" s="105" t="str">
        <f t="shared" si="442"/>
        <v>Coal</v>
      </c>
      <c r="O2629" s="105">
        <f>IFERROR(VLOOKUP(A2629,Lookup!$J$5:$P$19,7,FALSE),0)</f>
        <v>2</v>
      </c>
      <c r="P2629" s="159">
        <f t="shared" si="443"/>
        <v>2016</v>
      </c>
      <c r="Q2629" s="159">
        <f t="shared" si="444"/>
        <v>4</v>
      </c>
      <c r="R2629" s="160">
        <f t="shared" si="445"/>
        <v>2.0000000000582077</v>
      </c>
      <c r="S2629" s="158">
        <f t="shared" si="446"/>
        <v>2.0000000000582077</v>
      </c>
      <c r="T2629" s="161">
        <f t="shared" si="447"/>
        <v>600.0000000174623</v>
      </c>
      <c r="U2629" s="158">
        <f t="shared" si="449"/>
        <v>300</v>
      </c>
      <c r="V2629" s="160">
        <f t="shared" si="448"/>
        <v>300</v>
      </c>
    </row>
    <row r="2630" spans="1:22" x14ac:dyDescent="0.25">
      <c r="A2630" s="98" t="s">
        <v>23</v>
      </c>
      <c r="B2630" s="98" t="s">
        <v>79</v>
      </c>
      <c r="C2630" s="98">
        <v>42</v>
      </c>
      <c r="D2630" s="98">
        <v>8460</v>
      </c>
      <c r="E2630" s="157">
        <v>42476.625</v>
      </c>
      <c r="F2630" s="157">
        <v>42476.75</v>
      </c>
      <c r="G2630" s="98">
        <v>0</v>
      </c>
      <c r="H2630" s="98">
        <v>330</v>
      </c>
      <c r="I2630" s="98">
        <v>300</v>
      </c>
      <c r="J2630" s="98" t="s">
        <v>2651</v>
      </c>
      <c r="K2630" s="98" t="s">
        <v>3565</v>
      </c>
      <c r="L2630" s="105" t="str">
        <f t="shared" si="440"/>
        <v>Mill Creek</v>
      </c>
      <c r="M2630" s="105" t="str">
        <f t="shared" si="441"/>
        <v>Other</v>
      </c>
      <c r="N2630" s="105" t="str">
        <f t="shared" si="442"/>
        <v>Coal</v>
      </c>
      <c r="O2630" s="105">
        <f>IFERROR(VLOOKUP(A2630,Lookup!$J$5:$P$19,7,FALSE),0)</f>
        <v>2</v>
      </c>
      <c r="P2630" s="159">
        <f t="shared" si="443"/>
        <v>2016</v>
      </c>
      <c r="Q2630" s="159">
        <f t="shared" si="444"/>
        <v>4</v>
      </c>
      <c r="R2630" s="160">
        <f t="shared" si="445"/>
        <v>3</v>
      </c>
      <c r="S2630" s="158">
        <f t="shared" si="446"/>
        <v>3</v>
      </c>
      <c r="T2630" s="161">
        <f t="shared" si="447"/>
        <v>900</v>
      </c>
      <c r="U2630" s="158">
        <f t="shared" si="449"/>
        <v>300</v>
      </c>
      <c r="V2630" s="160">
        <f t="shared" si="448"/>
        <v>300</v>
      </c>
    </row>
    <row r="2631" spans="1:22" x14ac:dyDescent="0.25">
      <c r="A2631" s="98" t="s">
        <v>23</v>
      </c>
      <c r="B2631" s="98" t="s">
        <v>79</v>
      </c>
      <c r="C2631" s="98">
        <v>43</v>
      </c>
      <c r="D2631" s="98">
        <v>1710</v>
      </c>
      <c r="E2631" s="157">
        <v>42481.958333333336</v>
      </c>
      <c r="F2631" s="157">
        <v>42482.004861111112</v>
      </c>
      <c r="G2631" s="98">
        <v>0</v>
      </c>
      <c r="H2631" s="98">
        <v>330</v>
      </c>
      <c r="I2631" s="98">
        <v>300</v>
      </c>
      <c r="J2631" s="98" t="s">
        <v>2020</v>
      </c>
      <c r="K2631" s="98" t="s">
        <v>3566</v>
      </c>
      <c r="L2631" s="105" t="str">
        <f t="shared" si="440"/>
        <v>Mill Creek</v>
      </c>
      <c r="M2631" s="105" t="str">
        <f t="shared" si="441"/>
        <v>Other</v>
      </c>
      <c r="N2631" s="105" t="str">
        <f t="shared" si="442"/>
        <v>Coal</v>
      </c>
      <c r="O2631" s="105">
        <f>IFERROR(VLOOKUP(A2631,Lookup!$J$5:$P$19,7,FALSE),0)</f>
        <v>2</v>
      </c>
      <c r="P2631" s="159">
        <f t="shared" si="443"/>
        <v>2016</v>
      </c>
      <c r="Q2631" s="159">
        <f t="shared" si="444"/>
        <v>4</v>
      </c>
      <c r="R2631" s="160">
        <f t="shared" si="445"/>
        <v>1.1166666666395031</v>
      </c>
      <c r="S2631" s="158">
        <f t="shared" si="446"/>
        <v>1.1166666666395031</v>
      </c>
      <c r="T2631" s="161">
        <f t="shared" si="447"/>
        <v>334.99999999185093</v>
      </c>
      <c r="U2631" s="158">
        <f t="shared" si="449"/>
        <v>300</v>
      </c>
      <c r="V2631" s="160">
        <f t="shared" si="448"/>
        <v>300</v>
      </c>
    </row>
    <row r="2632" spans="1:22" x14ac:dyDescent="0.25">
      <c r="A2632" s="98" t="s">
        <v>23</v>
      </c>
      <c r="B2632" s="98" t="s">
        <v>105</v>
      </c>
      <c r="C2632" s="98">
        <v>44</v>
      </c>
      <c r="D2632" s="98">
        <v>331</v>
      </c>
      <c r="E2632" s="157">
        <v>42485.878472222219</v>
      </c>
      <c r="F2632" s="157">
        <v>42486.206250000003</v>
      </c>
      <c r="G2632" s="98">
        <v>240</v>
      </c>
      <c r="H2632" s="98">
        <v>330</v>
      </c>
      <c r="I2632" s="98">
        <v>300</v>
      </c>
      <c r="J2632" s="98" t="s">
        <v>2101</v>
      </c>
      <c r="K2632" s="98" t="s">
        <v>3567</v>
      </c>
      <c r="L2632" s="105" t="str">
        <f t="shared" si="440"/>
        <v>Mill Creek</v>
      </c>
      <c r="M2632" s="105" t="str">
        <f t="shared" si="441"/>
        <v>Derate</v>
      </c>
      <c r="N2632" s="105" t="str">
        <f t="shared" si="442"/>
        <v>Coal</v>
      </c>
      <c r="O2632" s="105">
        <f>IFERROR(VLOOKUP(A2632,Lookup!$J$5:$P$19,7,FALSE),0)</f>
        <v>2</v>
      </c>
      <c r="P2632" s="159">
        <f t="shared" si="443"/>
        <v>2016</v>
      </c>
      <c r="Q2632" s="159">
        <f t="shared" si="444"/>
        <v>4</v>
      </c>
      <c r="R2632" s="160">
        <f t="shared" si="445"/>
        <v>7.8666666668141261</v>
      </c>
      <c r="S2632" s="158">
        <f t="shared" si="446"/>
        <v>2.1454545454947618</v>
      </c>
      <c r="T2632" s="161">
        <f t="shared" si="447"/>
        <v>643.63636364842853</v>
      </c>
      <c r="U2632" s="158">
        <f t="shared" si="449"/>
        <v>81.818181818181813</v>
      </c>
      <c r="V2632" s="160">
        <f t="shared" si="448"/>
        <v>82</v>
      </c>
    </row>
    <row r="2633" spans="1:22" x14ac:dyDescent="0.25">
      <c r="A2633" s="98" t="s">
        <v>23</v>
      </c>
      <c r="B2633" s="98" t="s">
        <v>17</v>
      </c>
      <c r="C2633" s="98">
        <v>45</v>
      </c>
      <c r="D2633" s="98">
        <v>320</v>
      </c>
      <c r="E2633" s="157">
        <v>42486.279166666667</v>
      </c>
      <c r="F2633" s="157">
        <v>42486.401388888888</v>
      </c>
      <c r="G2633" s="98">
        <v>250</v>
      </c>
      <c r="H2633" s="98">
        <v>330</v>
      </c>
      <c r="I2633" s="98">
        <v>300</v>
      </c>
      <c r="J2633" s="98" t="s">
        <v>1992</v>
      </c>
      <c r="K2633" s="98" t="s">
        <v>3568</v>
      </c>
      <c r="L2633" s="105" t="str">
        <f t="shared" si="440"/>
        <v>Mill Creek</v>
      </c>
      <c r="M2633" s="105" t="str">
        <f t="shared" si="441"/>
        <v>Derate</v>
      </c>
      <c r="N2633" s="105" t="str">
        <f t="shared" si="442"/>
        <v>Coal</v>
      </c>
      <c r="O2633" s="105">
        <f>IFERROR(VLOOKUP(A2633,Lookup!$J$5:$P$19,7,FALSE),0)</f>
        <v>2</v>
      </c>
      <c r="P2633" s="159">
        <f t="shared" si="443"/>
        <v>2016</v>
      </c>
      <c r="Q2633" s="159">
        <f t="shared" si="444"/>
        <v>4</v>
      </c>
      <c r="R2633" s="160">
        <f t="shared" si="445"/>
        <v>2.9333333332906477</v>
      </c>
      <c r="S2633" s="158">
        <f t="shared" si="446"/>
        <v>0.71111111110076308</v>
      </c>
      <c r="T2633" s="161">
        <f t="shared" si="447"/>
        <v>213.33333333022892</v>
      </c>
      <c r="U2633" s="158">
        <f t="shared" si="449"/>
        <v>72.727272727272734</v>
      </c>
      <c r="V2633" s="160">
        <f t="shared" si="448"/>
        <v>73</v>
      </c>
    </row>
    <row r="2634" spans="1:22" x14ac:dyDescent="0.25">
      <c r="A2634" s="98" t="s">
        <v>23</v>
      </c>
      <c r="B2634" s="98" t="s">
        <v>17</v>
      </c>
      <c r="C2634" s="98">
        <v>46</v>
      </c>
      <c r="D2634" s="98">
        <v>310</v>
      </c>
      <c r="E2634" s="157">
        <v>42486.428472222222</v>
      </c>
      <c r="F2634" s="157">
        <v>42486.533333333333</v>
      </c>
      <c r="G2634" s="98">
        <v>250</v>
      </c>
      <c r="H2634" s="98">
        <v>330</v>
      </c>
      <c r="I2634" s="98">
        <v>300</v>
      </c>
      <c r="J2634" s="98" t="s">
        <v>1966</v>
      </c>
      <c r="K2634" s="98" t="s">
        <v>3569</v>
      </c>
      <c r="L2634" s="105" t="str">
        <f t="shared" si="440"/>
        <v>Mill Creek</v>
      </c>
      <c r="M2634" s="105" t="str">
        <f t="shared" si="441"/>
        <v>Derate</v>
      </c>
      <c r="N2634" s="105" t="str">
        <f t="shared" si="442"/>
        <v>Coal</v>
      </c>
      <c r="O2634" s="105">
        <f>IFERROR(VLOOKUP(A2634,Lookup!$J$5:$P$19,7,FALSE),0)</f>
        <v>2</v>
      </c>
      <c r="P2634" s="159">
        <f t="shared" si="443"/>
        <v>2016</v>
      </c>
      <c r="Q2634" s="159">
        <f t="shared" si="444"/>
        <v>4</v>
      </c>
      <c r="R2634" s="160">
        <f t="shared" si="445"/>
        <v>2.5166666666627862</v>
      </c>
      <c r="S2634" s="158">
        <f t="shared" si="446"/>
        <v>0.61010101010006934</v>
      </c>
      <c r="T2634" s="161">
        <f t="shared" si="447"/>
        <v>183.0303030300208</v>
      </c>
      <c r="U2634" s="158">
        <f t="shared" si="449"/>
        <v>72.727272727272734</v>
      </c>
      <c r="V2634" s="160">
        <f t="shared" si="448"/>
        <v>73</v>
      </c>
    </row>
    <row r="2635" spans="1:22" x14ac:dyDescent="0.25">
      <c r="A2635" s="98" t="s">
        <v>23</v>
      </c>
      <c r="B2635" s="98" t="s">
        <v>105</v>
      </c>
      <c r="C2635" s="98">
        <v>47</v>
      </c>
      <c r="D2635" s="98">
        <v>740</v>
      </c>
      <c r="E2635" s="157">
        <v>42487.833333333336</v>
      </c>
      <c r="F2635" s="157">
        <v>42487.931944444441</v>
      </c>
      <c r="G2635" s="98">
        <v>180</v>
      </c>
      <c r="H2635" s="98">
        <v>330</v>
      </c>
      <c r="I2635" s="98">
        <v>300</v>
      </c>
      <c r="J2635" s="98" t="s">
        <v>2176</v>
      </c>
      <c r="K2635" s="98" t="s">
        <v>3570</v>
      </c>
      <c r="L2635" s="105" t="str">
        <f t="shared" si="440"/>
        <v>Mill Creek</v>
      </c>
      <c r="M2635" s="105" t="str">
        <f t="shared" si="441"/>
        <v>Derate</v>
      </c>
      <c r="N2635" s="105" t="str">
        <f t="shared" si="442"/>
        <v>Coal</v>
      </c>
      <c r="O2635" s="105">
        <f>IFERROR(VLOOKUP(A2635,Lookup!$J$5:$P$19,7,FALSE),0)</f>
        <v>2</v>
      </c>
      <c r="P2635" s="159">
        <f t="shared" si="443"/>
        <v>2016</v>
      </c>
      <c r="Q2635" s="159">
        <f t="shared" si="444"/>
        <v>4</v>
      </c>
      <c r="R2635" s="160">
        <f t="shared" si="445"/>
        <v>2.3666666665230878</v>
      </c>
      <c r="S2635" s="158">
        <f t="shared" si="446"/>
        <v>1.0757575756923126</v>
      </c>
      <c r="T2635" s="161">
        <f t="shared" si="447"/>
        <v>322.72727270769377</v>
      </c>
      <c r="U2635" s="158">
        <f t="shared" si="449"/>
        <v>136.36363636363637</v>
      </c>
      <c r="V2635" s="160">
        <f t="shared" si="448"/>
        <v>136</v>
      </c>
    </row>
    <row r="2636" spans="1:22" x14ac:dyDescent="0.25">
      <c r="A2636" s="98" t="s">
        <v>23</v>
      </c>
      <c r="B2636" s="98" t="s">
        <v>105</v>
      </c>
      <c r="C2636" s="98">
        <v>48</v>
      </c>
      <c r="D2636" s="98">
        <v>740</v>
      </c>
      <c r="E2636" s="157">
        <v>42495.875</v>
      </c>
      <c r="F2636" s="157">
        <v>42496.055555555555</v>
      </c>
      <c r="G2636" s="98">
        <v>130</v>
      </c>
      <c r="H2636" s="98">
        <v>330</v>
      </c>
      <c r="I2636" s="98">
        <v>300</v>
      </c>
      <c r="J2636" s="98" t="s">
        <v>2176</v>
      </c>
      <c r="K2636" s="98" t="s">
        <v>3571</v>
      </c>
      <c r="L2636" s="105" t="str">
        <f t="shared" si="440"/>
        <v>Mill Creek</v>
      </c>
      <c r="M2636" s="105" t="str">
        <f t="shared" si="441"/>
        <v>Derate</v>
      </c>
      <c r="N2636" s="105" t="str">
        <f t="shared" si="442"/>
        <v>Coal</v>
      </c>
      <c r="O2636" s="105">
        <f>IFERROR(VLOOKUP(A2636,Lookup!$J$5:$P$19,7,FALSE),0)</f>
        <v>2</v>
      </c>
      <c r="P2636" s="159">
        <f t="shared" si="443"/>
        <v>2016</v>
      </c>
      <c r="Q2636" s="159">
        <f t="shared" si="444"/>
        <v>5</v>
      </c>
      <c r="R2636" s="160">
        <f t="shared" si="445"/>
        <v>4.3333333333139308</v>
      </c>
      <c r="S2636" s="158">
        <f t="shared" si="446"/>
        <v>2.6262626262508673</v>
      </c>
      <c r="T2636" s="161">
        <f t="shared" si="447"/>
        <v>787.87878787526017</v>
      </c>
      <c r="U2636" s="158">
        <f t="shared" si="449"/>
        <v>181.81818181818181</v>
      </c>
      <c r="V2636" s="160">
        <f t="shared" si="448"/>
        <v>182</v>
      </c>
    </row>
    <row r="2637" spans="1:22" x14ac:dyDescent="0.25">
      <c r="A2637" s="98" t="s">
        <v>23</v>
      </c>
      <c r="B2637" s="98" t="s">
        <v>105</v>
      </c>
      <c r="C2637" s="98">
        <v>49</v>
      </c>
      <c r="D2637" s="98">
        <v>310</v>
      </c>
      <c r="E2637" s="157">
        <v>42498.916666666664</v>
      </c>
      <c r="F2637" s="157">
        <v>42499.218055555553</v>
      </c>
      <c r="G2637" s="98">
        <v>240</v>
      </c>
      <c r="H2637" s="98">
        <v>330</v>
      </c>
      <c r="I2637" s="98">
        <v>300</v>
      </c>
      <c r="J2637" s="98" t="s">
        <v>1966</v>
      </c>
      <c r="K2637" s="98" t="s">
        <v>3572</v>
      </c>
      <c r="L2637" s="105" t="str">
        <f t="shared" si="440"/>
        <v>Mill Creek</v>
      </c>
      <c r="M2637" s="105" t="str">
        <f t="shared" si="441"/>
        <v>Derate</v>
      </c>
      <c r="N2637" s="105" t="str">
        <f t="shared" si="442"/>
        <v>Coal</v>
      </c>
      <c r="O2637" s="105">
        <f>IFERROR(VLOOKUP(A2637,Lookup!$J$5:$P$19,7,FALSE),0)</f>
        <v>2</v>
      </c>
      <c r="P2637" s="159">
        <f t="shared" si="443"/>
        <v>2016</v>
      </c>
      <c r="Q2637" s="159">
        <f t="shared" si="444"/>
        <v>5</v>
      </c>
      <c r="R2637" s="160">
        <f t="shared" si="445"/>
        <v>7.2333333333372138</v>
      </c>
      <c r="S2637" s="158">
        <f t="shared" si="446"/>
        <v>1.9727272727283311</v>
      </c>
      <c r="T2637" s="161">
        <f t="shared" si="447"/>
        <v>591.8181818184994</v>
      </c>
      <c r="U2637" s="158">
        <f t="shared" si="449"/>
        <v>81.818181818181813</v>
      </c>
      <c r="V2637" s="160">
        <f t="shared" si="448"/>
        <v>82</v>
      </c>
    </row>
    <row r="2638" spans="1:22" x14ac:dyDescent="0.25">
      <c r="A2638" s="98" t="s">
        <v>23</v>
      </c>
      <c r="B2638" s="98" t="s">
        <v>105</v>
      </c>
      <c r="C2638" s="98">
        <v>50</v>
      </c>
      <c r="D2638" s="98">
        <v>250</v>
      </c>
      <c r="E2638" s="157">
        <v>42499.958333333336</v>
      </c>
      <c r="F2638" s="157">
        <v>42500.198611111111</v>
      </c>
      <c r="G2638" s="98">
        <v>240</v>
      </c>
      <c r="H2638" s="98">
        <v>330</v>
      </c>
      <c r="I2638" s="98">
        <v>300</v>
      </c>
      <c r="J2638" s="98" t="s">
        <v>1978</v>
      </c>
      <c r="K2638" s="98" t="s">
        <v>3573</v>
      </c>
      <c r="L2638" s="105" t="str">
        <f t="shared" si="440"/>
        <v>Mill Creek</v>
      </c>
      <c r="M2638" s="105" t="str">
        <f t="shared" si="441"/>
        <v>Derate</v>
      </c>
      <c r="N2638" s="105" t="str">
        <f t="shared" si="442"/>
        <v>Coal</v>
      </c>
      <c r="O2638" s="105">
        <f>IFERROR(VLOOKUP(A2638,Lookup!$J$5:$P$19,7,FALSE),0)</f>
        <v>2</v>
      </c>
      <c r="P2638" s="159">
        <f t="shared" si="443"/>
        <v>2016</v>
      </c>
      <c r="Q2638" s="159">
        <f t="shared" si="444"/>
        <v>5</v>
      </c>
      <c r="R2638" s="160">
        <f t="shared" si="445"/>
        <v>5.7666666666045785</v>
      </c>
      <c r="S2638" s="158">
        <f t="shared" si="446"/>
        <v>1.5727272727103396</v>
      </c>
      <c r="T2638" s="161">
        <f t="shared" si="447"/>
        <v>471.81818181310189</v>
      </c>
      <c r="U2638" s="158">
        <f t="shared" si="449"/>
        <v>81.818181818181813</v>
      </c>
      <c r="V2638" s="160">
        <f t="shared" si="448"/>
        <v>82</v>
      </c>
    </row>
    <row r="2639" spans="1:22" x14ac:dyDescent="0.25">
      <c r="A2639" s="98" t="s">
        <v>23</v>
      </c>
      <c r="B2639" s="98" t="s">
        <v>105</v>
      </c>
      <c r="C2639" s="98">
        <v>51</v>
      </c>
      <c r="D2639" s="98">
        <v>250</v>
      </c>
      <c r="E2639" s="157">
        <v>42500.958333333336</v>
      </c>
      <c r="F2639" s="157">
        <v>42501.158333333333</v>
      </c>
      <c r="G2639" s="98">
        <v>240</v>
      </c>
      <c r="H2639" s="98">
        <v>330</v>
      </c>
      <c r="I2639" s="98">
        <v>300</v>
      </c>
      <c r="J2639" s="98" t="s">
        <v>1978</v>
      </c>
      <c r="K2639" s="98" t="s">
        <v>3574</v>
      </c>
      <c r="L2639" s="105" t="str">
        <f t="shared" si="440"/>
        <v>Mill Creek</v>
      </c>
      <c r="M2639" s="105" t="str">
        <f t="shared" si="441"/>
        <v>Derate</v>
      </c>
      <c r="N2639" s="105" t="str">
        <f t="shared" si="442"/>
        <v>Coal</v>
      </c>
      <c r="O2639" s="105">
        <f>IFERROR(VLOOKUP(A2639,Lookup!$J$5:$P$19,7,FALSE),0)</f>
        <v>2</v>
      </c>
      <c r="P2639" s="159">
        <f t="shared" si="443"/>
        <v>2016</v>
      </c>
      <c r="Q2639" s="159">
        <f t="shared" si="444"/>
        <v>5</v>
      </c>
      <c r="R2639" s="160">
        <f t="shared" si="445"/>
        <v>4.7999999999301508</v>
      </c>
      <c r="S2639" s="158">
        <f t="shared" si="446"/>
        <v>1.3090909090718592</v>
      </c>
      <c r="T2639" s="161">
        <f t="shared" si="447"/>
        <v>392.72727272155777</v>
      </c>
      <c r="U2639" s="158">
        <f t="shared" si="449"/>
        <v>81.818181818181813</v>
      </c>
      <c r="V2639" s="160">
        <f t="shared" si="448"/>
        <v>82</v>
      </c>
    </row>
    <row r="2640" spans="1:22" x14ac:dyDescent="0.25">
      <c r="A2640" s="98" t="s">
        <v>23</v>
      </c>
      <c r="B2640" s="98" t="s">
        <v>105</v>
      </c>
      <c r="C2640" s="98">
        <v>52</v>
      </c>
      <c r="D2640" s="98">
        <v>253</v>
      </c>
      <c r="E2640" s="157">
        <v>42501.958333333336</v>
      </c>
      <c r="F2640" s="157">
        <v>42502.211805555555</v>
      </c>
      <c r="G2640" s="98">
        <v>240</v>
      </c>
      <c r="H2640" s="98">
        <v>330</v>
      </c>
      <c r="I2640" s="98">
        <v>300</v>
      </c>
      <c r="J2640" s="98" t="s">
        <v>1999</v>
      </c>
      <c r="K2640" s="98" t="s">
        <v>3575</v>
      </c>
      <c r="L2640" s="105" t="str">
        <f t="shared" si="440"/>
        <v>Mill Creek</v>
      </c>
      <c r="M2640" s="105" t="str">
        <f t="shared" si="441"/>
        <v>Derate</v>
      </c>
      <c r="N2640" s="105" t="str">
        <f t="shared" si="442"/>
        <v>Coal</v>
      </c>
      <c r="O2640" s="105">
        <f>IFERROR(VLOOKUP(A2640,Lookup!$J$5:$P$19,7,FALSE),0)</f>
        <v>2</v>
      </c>
      <c r="P2640" s="159">
        <f t="shared" si="443"/>
        <v>2016</v>
      </c>
      <c r="Q2640" s="159">
        <f t="shared" si="444"/>
        <v>5</v>
      </c>
      <c r="R2640" s="160">
        <f t="shared" si="445"/>
        <v>6.0833333332557231</v>
      </c>
      <c r="S2640" s="158">
        <f t="shared" si="446"/>
        <v>1.6590909090697428</v>
      </c>
      <c r="T2640" s="161">
        <f t="shared" si="447"/>
        <v>497.72727272092283</v>
      </c>
      <c r="U2640" s="158">
        <f t="shared" si="449"/>
        <v>81.818181818181813</v>
      </c>
      <c r="V2640" s="160">
        <f t="shared" si="448"/>
        <v>82</v>
      </c>
    </row>
    <row r="2641" spans="1:22" x14ac:dyDescent="0.25">
      <c r="A2641" s="98" t="s">
        <v>23</v>
      </c>
      <c r="B2641" s="98" t="s">
        <v>20</v>
      </c>
      <c r="C2641" s="98">
        <v>53</v>
      </c>
      <c r="D2641" s="98">
        <v>741</v>
      </c>
      <c r="E2641" s="157">
        <v>42503.981944444444</v>
      </c>
      <c r="F2641" s="157">
        <v>42504.543055555558</v>
      </c>
      <c r="G2641" s="98">
        <v>0</v>
      </c>
      <c r="H2641" s="98">
        <v>330</v>
      </c>
      <c r="I2641" s="98">
        <v>300</v>
      </c>
      <c r="J2641" s="98" t="s">
        <v>2161</v>
      </c>
      <c r="K2641" s="98" t="s">
        <v>3576</v>
      </c>
      <c r="L2641" s="105" t="str">
        <f t="shared" si="440"/>
        <v>Mill Creek</v>
      </c>
      <c r="M2641" s="105" t="str">
        <f t="shared" si="441"/>
        <v>Maintenance</v>
      </c>
      <c r="N2641" s="105" t="str">
        <f t="shared" si="442"/>
        <v>Coal</v>
      </c>
      <c r="O2641" s="105">
        <f>IFERROR(VLOOKUP(A2641,Lookup!$J$5:$P$19,7,FALSE),0)</f>
        <v>2</v>
      </c>
      <c r="P2641" s="159">
        <f t="shared" si="443"/>
        <v>2016</v>
      </c>
      <c r="Q2641" s="159">
        <f t="shared" si="444"/>
        <v>5</v>
      </c>
      <c r="R2641" s="160">
        <f t="shared" si="445"/>
        <v>13.466666666732635</v>
      </c>
      <c r="S2641" s="158">
        <f t="shared" si="446"/>
        <v>13.466666666732635</v>
      </c>
      <c r="T2641" s="161">
        <f t="shared" si="447"/>
        <v>4040.0000000197906</v>
      </c>
      <c r="U2641" s="158">
        <f t="shared" si="449"/>
        <v>300</v>
      </c>
      <c r="V2641" s="160">
        <f t="shared" si="448"/>
        <v>300</v>
      </c>
    </row>
    <row r="2642" spans="1:22" x14ac:dyDescent="0.25">
      <c r="A2642" s="98" t="s">
        <v>23</v>
      </c>
      <c r="B2642" s="98" t="s">
        <v>18</v>
      </c>
      <c r="C2642" s="98">
        <v>55</v>
      </c>
      <c r="D2642" s="98">
        <v>4263</v>
      </c>
      <c r="E2642" s="157">
        <v>42505.854166666664</v>
      </c>
      <c r="F2642" s="157">
        <v>42507.837500000001</v>
      </c>
      <c r="G2642" s="98">
        <v>0</v>
      </c>
      <c r="H2642" s="98">
        <v>330</v>
      </c>
      <c r="I2642" s="98">
        <v>300</v>
      </c>
      <c r="J2642" s="98" t="s">
        <v>2019</v>
      </c>
      <c r="K2642" s="98" t="s">
        <v>3577</v>
      </c>
      <c r="L2642" s="105" t="str">
        <f t="shared" si="440"/>
        <v>Mill Creek</v>
      </c>
      <c r="M2642" s="105" t="str">
        <f t="shared" si="441"/>
        <v>Outage</v>
      </c>
      <c r="N2642" s="105" t="str">
        <f t="shared" si="442"/>
        <v>Coal</v>
      </c>
      <c r="O2642" s="105">
        <f>IFERROR(VLOOKUP(A2642,Lookup!$J$5:$P$19,7,FALSE),0)</f>
        <v>2</v>
      </c>
      <c r="P2642" s="159">
        <f t="shared" si="443"/>
        <v>2016</v>
      </c>
      <c r="Q2642" s="159">
        <f t="shared" si="444"/>
        <v>5</v>
      </c>
      <c r="R2642" s="160">
        <f t="shared" si="445"/>
        <v>47.600000000093132</v>
      </c>
      <c r="S2642" s="158">
        <f t="shared" si="446"/>
        <v>47.600000000093132</v>
      </c>
      <c r="T2642" s="161">
        <f t="shared" si="447"/>
        <v>14280.00000002794</v>
      </c>
      <c r="U2642" s="158">
        <f t="shared" si="449"/>
        <v>300</v>
      </c>
      <c r="V2642" s="160">
        <f t="shared" si="448"/>
        <v>300</v>
      </c>
    </row>
    <row r="2643" spans="1:22" x14ac:dyDescent="0.25">
      <c r="A2643" s="98" t="s">
        <v>23</v>
      </c>
      <c r="B2643" s="98" t="s">
        <v>17</v>
      </c>
      <c r="C2643" s="98">
        <v>56</v>
      </c>
      <c r="D2643" s="98">
        <v>250</v>
      </c>
      <c r="E2643" s="157">
        <v>42508.138194444444</v>
      </c>
      <c r="F2643" s="157">
        <v>42508.253472222219</v>
      </c>
      <c r="G2643" s="98">
        <v>225</v>
      </c>
      <c r="H2643" s="98">
        <v>330</v>
      </c>
      <c r="I2643" s="98">
        <v>300</v>
      </c>
      <c r="J2643" s="98" t="s">
        <v>1978</v>
      </c>
      <c r="K2643" s="98" t="s">
        <v>3578</v>
      </c>
      <c r="L2643" s="105" t="str">
        <f t="shared" si="440"/>
        <v>Mill Creek</v>
      </c>
      <c r="M2643" s="105" t="str">
        <f t="shared" si="441"/>
        <v>Derate</v>
      </c>
      <c r="N2643" s="105" t="str">
        <f t="shared" si="442"/>
        <v>Coal</v>
      </c>
      <c r="O2643" s="105">
        <f>IFERROR(VLOOKUP(A2643,Lookup!$J$5:$P$19,7,FALSE),0)</f>
        <v>2</v>
      </c>
      <c r="P2643" s="159">
        <f t="shared" si="443"/>
        <v>2016</v>
      </c>
      <c r="Q2643" s="159">
        <f t="shared" si="444"/>
        <v>5</v>
      </c>
      <c r="R2643" s="160">
        <f t="shared" si="445"/>
        <v>2.7666666666045785</v>
      </c>
      <c r="S2643" s="158">
        <f t="shared" si="446"/>
        <v>0.88030303028327495</v>
      </c>
      <c r="T2643" s="161">
        <f t="shared" si="447"/>
        <v>264.09090908498246</v>
      </c>
      <c r="U2643" s="158">
        <f t="shared" si="449"/>
        <v>95.454545454545453</v>
      </c>
      <c r="V2643" s="160">
        <f t="shared" si="448"/>
        <v>95</v>
      </c>
    </row>
    <row r="2644" spans="1:22" x14ac:dyDescent="0.25">
      <c r="A2644" s="98" t="s">
        <v>23</v>
      </c>
      <c r="B2644" s="98" t="s">
        <v>17</v>
      </c>
      <c r="C2644" s="98">
        <v>57</v>
      </c>
      <c r="D2644" s="98">
        <v>250</v>
      </c>
      <c r="E2644" s="157">
        <v>42508.253472222219</v>
      </c>
      <c r="F2644" s="157">
        <v>42508.607638888891</v>
      </c>
      <c r="G2644" s="98">
        <v>255</v>
      </c>
      <c r="H2644" s="98">
        <v>330</v>
      </c>
      <c r="I2644" s="98">
        <v>300</v>
      </c>
      <c r="J2644" s="98" t="s">
        <v>1978</v>
      </c>
      <c r="K2644" s="98" t="s">
        <v>3578</v>
      </c>
      <c r="L2644" s="105" t="str">
        <f t="shared" si="440"/>
        <v>Mill Creek</v>
      </c>
      <c r="M2644" s="105" t="str">
        <f t="shared" si="441"/>
        <v>Derate</v>
      </c>
      <c r="N2644" s="105" t="str">
        <f t="shared" si="442"/>
        <v>Coal</v>
      </c>
      <c r="O2644" s="105">
        <f>IFERROR(VLOOKUP(A2644,Lookup!$J$5:$P$19,7,FALSE),0)</f>
        <v>2</v>
      </c>
      <c r="P2644" s="159">
        <f t="shared" si="443"/>
        <v>2016</v>
      </c>
      <c r="Q2644" s="159">
        <f t="shared" si="444"/>
        <v>5</v>
      </c>
      <c r="R2644" s="160">
        <f t="shared" si="445"/>
        <v>8.5000000001164153</v>
      </c>
      <c r="S2644" s="158">
        <f t="shared" si="446"/>
        <v>1.9318181818446398</v>
      </c>
      <c r="T2644" s="161">
        <f t="shared" si="447"/>
        <v>579.54545455339189</v>
      </c>
      <c r="U2644" s="158">
        <f t="shared" si="449"/>
        <v>68.181818181818187</v>
      </c>
      <c r="V2644" s="160">
        <f t="shared" si="448"/>
        <v>68</v>
      </c>
    </row>
    <row r="2645" spans="1:22" x14ac:dyDescent="0.25">
      <c r="A2645" s="98" t="s">
        <v>23</v>
      </c>
      <c r="B2645" s="98" t="s">
        <v>17</v>
      </c>
      <c r="C2645" s="98">
        <v>58</v>
      </c>
      <c r="D2645" s="98">
        <v>250</v>
      </c>
      <c r="E2645" s="157">
        <v>42508.791666666664</v>
      </c>
      <c r="F2645" s="157">
        <v>42508.856944444444</v>
      </c>
      <c r="G2645" s="98">
        <v>255</v>
      </c>
      <c r="H2645" s="98">
        <v>330</v>
      </c>
      <c r="I2645" s="98">
        <v>300</v>
      </c>
      <c r="J2645" s="98" t="s">
        <v>1978</v>
      </c>
      <c r="K2645" s="98" t="s">
        <v>3578</v>
      </c>
      <c r="L2645" s="105" t="str">
        <f t="shared" si="440"/>
        <v>Mill Creek</v>
      </c>
      <c r="M2645" s="105" t="str">
        <f t="shared" si="441"/>
        <v>Derate</v>
      </c>
      <c r="N2645" s="105" t="str">
        <f t="shared" si="442"/>
        <v>Coal</v>
      </c>
      <c r="O2645" s="105">
        <f>IFERROR(VLOOKUP(A2645,Lookup!$J$5:$P$19,7,FALSE),0)</f>
        <v>2</v>
      </c>
      <c r="P2645" s="159">
        <f t="shared" si="443"/>
        <v>2016</v>
      </c>
      <c r="Q2645" s="159">
        <f t="shared" si="444"/>
        <v>5</v>
      </c>
      <c r="R2645" s="160">
        <f t="shared" si="445"/>
        <v>1.5666666667093523</v>
      </c>
      <c r="S2645" s="158">
        <f t="shared" si="446"/>
        <v>0.35606060607030732</v>
      </c>
      <c r="T2645" s="161">
        <f t="shared" si="447"/>
        <v>106.8181818210922</v>
      </c>
      <c r="U2645" s="158">
        <f t="shared" si="449"/>
        <v>68.181818181818187</v>
      </c>
      <c r="V2645" s="160">
        <f t="shared" si="448"/>
        <v>68</v>
      </c>
    </row>
    <row r="2646" spans="1:22" x14ac:dyDescent="0.25">
      <c r="A2646" s="98" t="s">
        <v>23</v>
      </c>
      <c r="B2646" s="98" t="s">
        <v>17</v>
      </c>
      <c r="C2646" s="98">
        <v>59</v>
      </c>
      <c r="D2646" s="98">
        <v>8199</v>
      </c>
      <c r="E2646" s="157">
        <v>42520.665277777778</v>
      </c>
      <c r="F2646" s="157">
        <v>42520.693055555559</v>
      </c>
      <c r="G2646" s="98">
        <v>280</v>
      </c>
      <c r="H2646" s="98">
        <v>330</v>
      </c>
      <c r="I2646" s="98">
        <v>300</v>
      </c>
      <c r="J2646" s="98" t="s">
        <v>2264</v>
      </c>
      <c r="K2646" s="98" t="s">
        <v>3579</v>
      </c>
      <c r="L2646" s="105" t="str">
        <f t="shared" si="440"/>
        <v>Mill Creek</v>
      </c>
      <c r="M2646" s="105" t="str">
        <f t="shared" si="441"/>
        <v>Derate</v>
      </c>
      <c r="N2646" s="105" t="str">
        <f t="shared" si="442"/>
        <v>Coal</v>
      </c>
      <c r="O2646" s="105">
        <f>IFERROR(VLOOKUP(A2646,Lookup!$J$5:$P$19,7,FALSE),0)</f>
        <v>2</v>
      </c>
      <c r="P2646" s="159">
        <f t="shared" si="443"/>
        <v>2016</v>
      </c>
      <c r="Q2646" s="159">
        <f t="shared" si="444"/>
        <v>5</v>
      </c>
      <c r="R2646" s="160">
        <f t="shared" si="445"/>
        <v>0.66666666674427688</v>
      </c>
      <c r="S2646" s="158">
        <f t="shared" si="446"/>
        <v>0.10101010102186013</v>
      </c>
      <c r="T2646" s="161">
        <f t="shared" si="447"/>
        <v>30.303030306558039</v>
      </c>
      <c r="U2646" s="158">
        <f t="shared" si="449"/>
        <v>45.454545454545453</v>
      </c>
      <c r="V2646" s="160">
        <f t="shared" si="448"/>
        <v>45</v>
      </c>
    </row>
    <row r="2647" spans="1:22" x14ac:dyDescent="0.25">
      <c r="A2647" s="98" t="s">
        <v>23</v>
      </c>
      <c r="B2647" s="98" t="s">
        <v>17</v>
      </c>
      <c r="C2647" s="98">
        <v>60</v>
      </c>
      <c r="D2647" s="98">
        <v>8199</v>
      </c>
      <c r="E2647" s="157">
        <v>42520.693055555559</v>
      </c>
      <c r="F2647" s="157">
        <v>42520.838888888888</v>
      </c>
      <c r="G2647" s="98">
        <v>250</v>
      </c>
      <c r="H2647" s="98">
        <v>330</v>
      </c>
      <c r="I2647" s="98">
        <v>300</v>
      </c>
      <c r="J2647" s="98" t="s">
        <v>2264</v>
      </c>
      <c r="K2647" s="98" t="s">
        <v>3579</v>
      </c>
      <c r="L2647" s="105" t="str">
        <f t="shared" si="440"/>
        <v>Mill Creek</v>
      </c>
      <c r="M2647" s="105" t="str">
        <f t="shared" si="441"/>
        <v>Derate</v>
      </c>
      <c r="N2647" s="105" t="str">
        <f t="shared" si="442"/>
        <v>Coal</v>
      </c>
      <c r="O2647" s="105">
        <f>IFERROR(VLOOKUP(A2647,Lookup!$J$5:$P$19,7,FALSE),0)</f>
        <v>2</v>
      </c>
      <c r="P2647" s="159">
        <f t="shared" si="443"/>
        <v>2016</v>
      </c>
      <c r="Q2647" s="159">
        <f t="shared" si="444"/>
        <v>5</v>
      </c>
      <c r="R2647" s="160">
        <f t="shared" si="445"/>
        <v>3.4999999998835847</v>
      </c>
      <c r="S2647" s="158">
        <f t="shared" si="446"/>
        <v>0.84848484845662664</v>
      </c>
      <c r="T2647" s="161">
        <f t="shared" si="447"/>
        <v>254.54545453698799</v>
      </c>
      <c r="U2647" s="158">
        <f t="shared" si="449"/>
        <v>72.727272727272734</v>
      </c>
      <c r="V2647" s="160">
        <f t="shared" si="448"/>
        <v>73</v>
      </c>
    </row>
    <row r="2648" spans="1:22" x14ac:dyDescent="0.25">
      <c r="A2648" s="98" t="s">
        <v>23</v>
      </c>
      <c r="B2648" s="98" t="s">
        <v>17</v>
      </c>
      <c r="C2648" s="98">
        <v>61</v>
      </c>
      <c r="D2648" s="98">
        <v>1488</v>
      </c>
      <c r="E2648" s="157">
        <v>42525.576388888891</v>
      </c>
      <c r="F2648" s="157">
        <v>42526.041666666664</v>
      </c>
      <c r="G2648" s="98">
        <v>250</v>
      </c>
      <c r="H2648" s="98">
        <v>330</v>
      </c>
      <c r="I2648" s="98">
        <v>300</v>
      </c>
      <c r="J2648" s="98" t="s">
        <v>2284</v>
      </c>
      <c r="K2648" s="98" t="s">
        <v>3580</v>
      </c>
      <c r="L2648" s="105" t="str">
        <f t="shared" si="440"/>
        <v>Mill Creek</v>
      </c>
      <c r="M2648" s="105" t="str">
        <f t="shared" si="441"/>
        <v>Derate</v>
      </c>
      <c r="N2648" s="105" t="str">
        <f t="shared" si="442"/>
        <v>Coal</v>
      </c>
      <c r="O2648" s="105">
        <f>IFERROR(VLOOKUP(A2648,Lookup!$J$5:$P$19,7,FALSE),0)</f>
        <v>2</v>
      </c>
      <c r="P2648" s="159">
        <f t="shared" si="443"/>
        <v>2016</v>
      </c>
      <c r="Q2648" s="159">
        <f t="shared" si="444"/>
        <v>6</v>
      </c>
      <c r="R2648" s="160">
        <f t="shared" si="445"/>
        <v>11.166666666569654</v>
      </c>
      <c r="S2648" s="158">
        <f t="shared" si="446"/>
        <v>2.7070707070471887</v>
      </c>
      <c r="T2648" s="161">
        <f t="shared" si="447"/>
        <v>812.12121211415661</v>
      </c>
      <c r="U2648" s="158">
        <f t="shared" si="449"/>
        <v>72.727272727272734</v>
      </c>
      <c r="V2648" s="160">
        <f t="shared" si="448"/>
        <v>73</v>
      </c>
    </row>
    <row r="2649" spans="1:22" x14ac:dyDescent="0.25">
      <c r="A2649" s="98" t="s">
        <v>23</v>
      </c>
      <c r="B2649" s="98" t="s">
        <v>17</v>
      </c>
      <c r="C2649" s="98">
        <v>62</v>
      </c>
      <c r="D2649" s="98">
        <v>1488</v>
      </c>
      <c r="E2649" s="157">
        <v>42526.041666666664</v>
      </c>
      <c r="F2649" s="157">
        <v>42526.155555555553</v>
      </c>
      <c r="G2649" s="98">
        <v>135</v>
      </c>
      <c r="H2649" s="98">
        <v>330</v>
      </c>
      <c r="I2649" s="98">
        <v>300</v>
      </c>
      <c r="J2649" s="98" t="s">
        <v>2284</v>
      </c>
      <c r="K2649" s="98" t="s">
        <v>3580</v>
      </c>
      <c r="L2649" s="105" t="str">
        <f t="shared" si="440"/>
        <v>Mill Creek</v>
      </c>
      <c r="M2649" s="105" t="str">
        <f t="shared" si="441"/>
        <v>Derate</v>
      </c>
      <c r="N2649" s="105" t="str">
        <f t="shared" si="442"/>
        <v>Coal</v>
      </c>
      <c r="O2649" s="105">
        <f>IFERROR(VLOOKUP(A2649,Lookup!$J$5:$P$19,7,FALSE),0)</f>
        <v>2</v>
      </c>
      <c r="P2649" s="159">
        <f t="shared" si="443"/>
        <v>2016</v>
      </c>
      <c r="Q2649" s="159">
        <f t="shared" si="444"/>
        <v>6</v>
      </c>
      <c r="R2649" s="160">
        <f t="shared" si="445"/>
        <v>2.7333333333372138</v>
      </c>
      <c r="S2649" s="158">
        <f t="shared" si="446"/>
        <v>1.6151515151538083</v>
      </c>
      <c r="T2649" s="161">
        <f t="shared" si="447"/>
        <v>484.54545454614248</v>
      </c>
      <c r="U2649" s="158">
        <f t="shared" si="449"/>
        <v>177.27272727272728</v>
      </c>
      <c r="V2649" s="160">
        <f t="shared" si="448"/>
        <v>177</v>
      </c>
    </row>
    <row r="2650" spans="1:22" x14ac:dyDescent="0.25">
      <c r="A2650" s="98" t="s">
        <v>23</v>
      </c>
      <c r="B2650" s="98" t="s">
        <v>79</v>
      </c>
      <c r="C2650" s="98">
        <v>63</v>
      </c>
      <c r="D2650" s="98">
        <v>8010</v>
      </c>
      <c r="E2650" s="157">
        <v>42536.034722222219</v>
      </c>
      <c r="F2650" s="157">
        <v>42536.195833333331</v>
      </c>
      <c r="G2650" s="98">
        <v>0</v>
      </c>
      <c r="H2650" s="98">
        <v>330</v>
      </c>
      <c r="I2650" s="98">
        <v>300</v>
      </c>
      <c r="J2650" s="98" t="s">
        <v>3581</v>
      </c>
      <c r="K2650" s="98" t="s">
        <v>3582</v>
      </c>
      <c r="L2650" s="105" t="str">
        <f t="shared" si="440"/>
        <v>Mill Creek</v>
      </c>
      <c r="M2650" s="105" t="str">
        <f t="shared" si="441"/>
        <v>Other</v>
      </c>
      <c r="N2650" s="105" t="str">
        <f t="shared" si="442"/>
        <v>Coal</v>
      </c>
      <c r="O2650" s="105">
        <f>IFERROR(VLOOKUP(A2650,Lookup!$J$5:$P$19,7,FALSE),0)</f>
        <v>2</v>
      </c>
      <c r="P2650" s="159">
        <f t="shared" si="443"/>
        <v>2016</v>
      </c>
      <c r="Q2650" s="159">
        <f t="shared" si="444"/>
        <v>6</v>
      </c>
      <c r="R2650" s="160">
        <f t="shared" si="445"/>
        <v>3.8666666666977108</v>
      </c>
      <c r="S2650" s="158">
        <f t="shared" si="446"/>
        <v>3.8666666666977108</v>
      </c>
      <c r="T2650" s="161">
        <f t="shared" si="447"/>
        <v>1160.0000000093132</v>
      </c>
      <c r="U2650" s="158">
        <f t="shared" si="449"/>
        <v>300</v>
      </c>
      <c r="V2650" s="160">
        <f t="shared" si="448"/>
        <v>300</v>
      </c>
    </row>
    <row r="2651" spans="1:22" x14ac:dyDescent="0.25">
      <c r="A2651" s="98" t="s">
        <v>23</v>
      </c>
      <c r="B2651" s="98" t="s">
        <v>105</v>
      </c>
      <c r="C2651" s="98">
        <v>64</v>
      </c>
      <c r="D2651" s="98">
        <v>310</v>
      </c>
      <c r="E2651" s="157">
        <v>42550</v>
      </c>
      <c r="F2651" s="157">
        <v>42550.205555555556</v>
      </c>
      <c r="G2651" s="98">
        <v>250</v>
      </c>
      <c r="H2651" s="98">
        <v>330</v>
      </c>
      <c r="I2651" s="98">
        <v>300</v>
      </c>
      <c r="J2651" s="98" t="s">
        <v>1966</v>
      </c>
      <c r="K2651" s="98" t="s">
        <v>119</v>
      </c>
      <c r="L2651" s="105" t="str">
        <f t="shared" si="440"/>
        <v>Mill Creek</v>
      </c>
      <c r="M2651" s="105" t="str">
        <f t="shared" si="441"/>
        <v>Derate</v>
      </c>
      <c r="N2651" s="105" t="str">
        <f t="shared" si="442"/>
        <v>Coal</v>
      </c>
      <c r="O2651" s="105">
        <f>IFERROR(VLOOKUP(A2651,Lookup!$J$5:$P$19,7,FALSE),0)</f>
        <v>2</v>
      </c>
      <c r="P2651" s="159">
        <f t="shared" si="443"/>
        <v>2016</v>
      </c>
      <c r="Q2651" s="159">
        <f t="shared" si="444"/>
        <v>6</v>
      </c>
      <c r="R2651" s="160">
        <f t="shared" si="445"/>
        <v>4.9333333333488554</v>
      </c>
      <c r="S2651" s="158">
        <f t="shared" si="446"/>
        <v>1.1959595959633589</v>
      </c>
      <c r="T2651" s="161">
        <f t="shared" si="447"/>
        <v>358.78787878900766</v>
      </c>
      <c r="U2651" s="158">
        <f t="shared" si="449"/>
        <v>72.727272727272734</v>
      </c>
      <c r="V2651" s="160">
        <f t="shared" si="448"/>
        <v>73</v>
      </c>
    </row>
    <row r="2652" spans="1:22" x14ac:dyDescent="0.25">
      <c r="A2652" s="98" t="s">
        <v>23</v>
      </c>
      <c r="B2652" s="98" t="s">
        <v>105</v>
      </c>
      <c r="C2652" s="98">
        <v>65</v>
      </c>
      <c r="D2652" s="98">
        <v>270</v>
      </c>
      <c r="E2652" s="157">
        <v>42550.958333333336</v>
      </c>
      <c r="F2652" s="157">
        <v>42551.222222222219</v>
      </c>
      <c r="G2652" s="98">
        <v>250</v>
      </c>
      <c r="H2652" s="98">
        <v>330</v>
      </c>
      <c r="I2652" s="98">
        <v>300</v>
      </c>
      <c r="J2652" s="98" t="s">
        <v>2031</v>
      </c>
      <c r="K2652" s="98" t="s">
        <v>3583</v>
      </c>
      <c r="L2652" s="105" t="str">
        <f t="shared" si="440"/>
        <v>Mill Creek</v>
      </c>
      <c r="M2652" s="105" t="str">
        <f t="shared" si="441"/>
        <v>Derate</v>
      </c>
      <c r="N2652" s="105" t="str">
        <f t="shared" si="442"/>
        <v>Coal</v>
      </c>
      <c r="O2652" s="105">
        <f>IFERROR(VLOOKUP(A2652,Lookup!$J$5:$P$19,7,FALSE),0)</f>
        <v>2</v>
      </c>
      <c r="P2652" s="159">
        <f t="shared" si="443"/>
        <v>2016</v>
      </c>
      <c r="Q2652" s="159">
        <f t="shared" si="444"/>
        <v>6</v>
      </c>
      <c r="R2652" s="160">
        <f t="shared" si="445"/>
        <v>6.3333333331975155</v>
      </c>
      <c r="S2652" s="158">
        <f t="shared" si="446"/>
        <v>1.5353535353206098</v>
      </c>
      <c r="T2652" s="161">
        <f t="shared" si="447"/>
        <v>460.60606059618294</v>
      </c>
      <c r="U2652" s="158">
        <f t="shared" si="449"/>
        <v>72.727272727272734</v>
      </c>
      <c r="V2652" s="160">
        <f t="shared" si="448"/>
        <v>73</v>
      </c>
    </row>
    <row r="2653" spans="1:22" x14ac:dyDescent="0.25">
      <c r="A2653" s="98" t="s">
        <v>23</v>
      </c>
      <c r="B2653" s="98" t="s">
        <v>20</v>
      </c>
      <c r="C2653" s="98">
        <v>66</v>
      </c>
      <c r="D2653" s="98">
        <v>3110</v>
      </c>
      <c r="E2653" s="157">
        <v>42551.929861111108</v>
      </c>
      <c r="F2653" s="157">
        <v>42553</v>
      </c>
      <c r="G2653" s="98">
        <v>0</v>
      </c>
      <c r="H2653" s="98">
        <v>330</v>
      </c>
      <c r="I2653" s="98">
        <v>300</v>
      </c>
      <c r="J2653" s="98" t="s">
        <v>2119</v>
      </c>
      <c r="K2653" s="98" t="s">
        <v>4209</v>
      </c>
      <c r="L2653" s="105" t="str">
        <f t="shared" si="440"/>
        <v>Mill Creek</v>
      </c>
      <c r="M2653" s="105" t="str">
        <f t="shared" si="441"/>
        <v>Maintenance</v>
      </c>
      <c r="N2653" s="105" t="str">
        <f t="shared" si="442"/>
        <v>Coal</v>
      </c>
      <c r="O2653" s="105">
        <f>IFERROR(VLOOKUP(A2653,Lookup!$J$5:$P$19,7,FALSE),0)</f>
        <v>2</v>
      </c>
      <c r="P2653" s="159">
        <f t="shared" si="443"/>
        <v>2016</v>
      </c>
      <c r="Q2653" s="159">
        <f t="shared" si="444"/>
        <v>6</v>
      </c>
      <c r="R2653" s="160">
        <f t="shared" si="445"/>
        <v>25.683333333407063</v>
      </c>
      <c r="S2653" s="158">
        <f t="shared" si="446"/>
        <v>25.683333333407063</v>
      </c>
      <c r="T2653" s="161">
        <f t="shared" si="447"/>
        <v>7705.0000000221189</v>
      </c>
      <c r="U2653" s="158">
        <f t="shared" si="449"/>
        <v>300</v>
      </c>
      <c r="V2653" s="160">
        <f t="shared" si="448"/>
        <v>300</v>
      </c>
    </row>
    <row r="2654" spans="1:22" x14ac:dyDescent="0.25">
      <c r="A2654" s="98" t="s">
        <v>23</v>
      </c>
      <c r="B2654" s="98" t="s">
        <v>20</v>
      </c>
      <c r="C2654" s="98">
        <v>67</v>
      </c>
      <c r="D2654" s="98">
        <v>1060</v>
      </c>
      <c r="E2654" s="157">
        <v>42553</v>
      </c>
      <c r="F2654" s="157">
        <v>42554.387499999997</v>
      </c>
      <c r="G2654" s="98">
        <v>0</v>
      </c>
      <c r="H2654" s="98">
        <v>330</v>
      </c>
      <c r="I2654" s="98">
        <v>300</v>
      </c>
      <c r="J2654" s="98" t="s">
        <v>2179</v>
      </c>
      <c r="K2654" s="98" t="s">
        <v>4210</v>
      </c>
      <c r="L2654" s="105" t="str">
        <f t="shared" si="440"/>
        <v>Mill Creek</v>
      </c>
      <c r="M2654" s="105" t="str">
        <f t="shared" si="441"/>
        <v>Maintenance</v>
      </c>
      <c r="N2654" s="105" t="str">
        <f t="shared" si="442"/>
        <v>Coal</v>
      </c>
      <c r="O2654" s="105">
        <f>IFERROR(VLOOKUP(A2654,Lookup!$J$5:$P$19,7,FALSE),0)</f>
        <v>2</v>
      </c>
      <c r="P2654" s="159">
        <f t="shared" si="443"/>
        <v>2016</v>
      </c>
      <c r="Q2654" s="159">
        <f t="shared" si="444"/>
        <v>7</v>
      </c>
      <c r="R2654" s="160">
        <f t="shared" si="445"/>
        <v>33.299999999930151</v>
      </c>
      <c r="S2654" s="158">
        <f t="shared" si="446"/>
        <v>33.299999999930151</v>
      </c>
      <c r="T2654" s="161">
        <f t="shared" si="447"/>
        <v>9989.9999999790452</v>
      </c>
      <c r="U2654" s="158">
        <f t="shared" si="449"/>
        <v>300</v>
      </c>
      <c r="V2654" s="160">
        <f t="shared" si="448"/>
        <v>300</v>
      </c>
    </row>
    <row r="2655" spans="1:22" x14ac:dyDescent="0.25">
      <c r="A2655" s="98" t="s">
        <v>23</v>
      </c>
      <c r="B2655" s="98" t="s">
        <v>17</v>
      </c>
      <c r="C2655" s="98">
        <v>68</v>
      </c>
      <c r="D2655" s="98">
        <v>1850</v>
      </c>
      <c r="E2655" s="157">
        <v>42554.731944444444</v>
      </c>
      <c r="F2655" s="157">
        <v>42554.802777777775</v>
      </c>
      <c r="G2655" s="98">
        <v>302</v>
      </c>
      <c r="H2655" s="98">
        <v>330</v>
      </c>
      <c r="I2655" s="98">
        <v>300</v>
      </c>
      <c r="J2655" s="98" t="s">
        <v>2263</v>
      </c>
      <c r="K2655" s="98" t="s">
        <v>4211</v>
      </c>
      <c r="L2655" s="105" t="str">
        <f t="shared" si="440"/>
        <v>Mill Creek</v>
      </c>
      <c r="M2655" s="105" t="str">
        <f t="shared" si="441"/>
        <v>Derate</v>
      </c>
      <c r="N2655" s="105" t="str">
        <f t="shared" si="442"/>
        <v>Coal</v>
      </c>
      <c r="O2655" s="105">
        <f>IFERROR(VLOOKUP(A2655,Lookup!$J$5:$P$19,7,FALSE),0)</f>
        <v>2</v>
      </c>
      <c r="P2655" s="159">
        <f t="shared" si="443"/>
        <v>2016</v>
      </c>
      <c r="Q2655" s="159">
        <f t="shared" si="444"/>
        <v>7</v>
      </c>
      <c r="R2655" s="160">
        <f t="shared" si="445"/>
        <v>1.6999999999534339</v>
      </c>
      <c r="S2655" s="158">
        <f t="shared" si="446"/>
        <v>0.14424242423847317</v>
      </c>
      <c r="T2655" s="161">
        <f t="shared" si="447"/>
        <v>43.272727271541953</v>
      </c>
      <c r="U2655" s="158">
        <f t="shared" si="449"/>
        <v>25.454545454545453</v>
      </c>
      <c r="V2655" s="160">
        <f t="shared" si="448"/>
        <v>25</v>
      </c>
    </row>
    <row r="2656" spans="1:22" x14ac:dyDescent="0.25">
      <c r="A2656" s="98" t="s">
        <v>23</v>
      </c>
      <c r="B2656" s="98" t="s">
        <v>20</v>
      </c>
      <c r="C2656" s="98">
        <v>69</v>
      </c>
      <c r="D2656" s="98">
        <v>1070</v>
      </c>
      <c r="E2656" s="157">
        <v>42566.972916666666</v>
      </c>
      <c r="F2656" s="157">
        <v>42569.270138888889</v>
      </c>
      <c r="G2656" s="98">
        <v>0</v>
      </c>
      <c r="H2656" s="98">
        <v>330</v>
      </c>
      <c r="I2656" s="98">
        <v>300</v>
      </c>
      <c r="J2656" s="98" t="s">
        <v>2168</v>
      </c>
      <c r="K2656" s="98" t="s">
        <v>4212</v>
      </c>
      <c r="L2656" s="105" t="str">
        <f t="shared" si="440"/>
        <v>Mill Creek</v>
      </c>
      <c r="M2656" s="105" t="str">
        <f t="shared" si="441"/>
        <v>Maintenance</v>
      </c>
      <c r="N2656" s="105" t="str">
        <f t="shared" si="442"/>
        <v>Coal</v>
      </c>
      <c r="O2656" s="105">
        <f>IFERROR(VLOOKUP(A2656,Lookup!$J$5:$P$19,7,FALSE),0)</f>
        <v>2</v>
      </c>
      <c r="P2656" s="159">
        <f t="shared" si="443"/>
        <v>2016</v>
      </c>
      <c r="Q2656" s="159">
        <f t="shared" si="444"/>
        <v>7</v>
      </c>
      <c r="R2656" s="160">
        <f t="shared" si="445"/>
        <v>55.133333333360497</v>
      </c>
      <c r="S2656" s="158">
        <f t="shared" si="446"/>
        <v>55.133333333360497</v>
      </c>
      <c r="T2656" s="161">
        <f t="shared" si="447"/>
        <v>16540.000000008149</v>
      </c>
      <c r="U2656" s="158">
        <f t="shared" si="449"/>
        <v>300</v>
      </c>
      <c r="V2656" s="160">
        <f t="shared" si="448"/>
        <v>300</v>
      </c>
    </row>
    <row r="2657" spans="1:22" x14ac:dyDescent="0.25">
      <c r="A2657" s="98" t="s">
        <v>23</v>
      </c>
      <c r="B2657" s="98" t="s">
        <v>79</v>
      </c>
      <c r="C2657" s="98">
        <v>70</v>
      </c>
      <c r="D2657" s="98">
        <v>1999</v>
      </c>
      <c r="E2657" s="157">
        <v>42578.958333333336</v>
      </c>
      <c r="F2657" s="157">
        <v>42579.097222222219</v>
      </c>
      <c r="G2657" s="98">
        <v>0</v>
      </c>
      <c r="H2657" s="98">
        <v>330</v>
      </c>
      <c r="I2657" s="98">
        <v>300</v>
      </c>
      <c r="J2657" s="98" t="s">
        <v>2108</v>
      </c>
      <c r="K2657" s="98" t="s">
        <v>4213</v>
      </c>
      <c r="L2657" s="105" t="str">
        <f t="shared" si="440"/>
        <v>Mill Creek</v>
      </c>
      <c r="M2657" s="105" t="str">
        <f t="shared" si="441"/>
        <v>Other</v>
      </c>
      <c r="N2657" s="105" t="str">
        <f t="shared" si="442"/>
        <v>Coal</v>
      </c>
      <c r="O2657" s="105">
        <f>IFERROR(VLOOKUP(A2657,Lookup!$J$5:$P$19,7,FALSE),0)</f>
        <v>2</v>
      </c>
      <c r="P2657" s="159">
        <f t="shared" si="443"/>
        <v>2016</v>
      </c>
      <c r="Q2657" s="159">
        <f t="shared" si="444"/>
        <v>7</v>
      </c>
      <c r="R2657" s="160">
        <f t="shared" si="445"/>
        <v>3.3333333331975155</v>
      </c>
      <c r="S2657" s="158">
        <f t="shared" si="446"/>
        <v>3.3333333331975155</v>
      </c>
      <c r="T2657" s="161">
        <f t="shared" si="447"/>
        <v>999.99999995925464</v>
      </c>
      <c r="U2657" s="158">
        <f t="shared" si="449"/>
        <v>300</v>
      </c>
      <c r="V2657" s="160">
        <f t="shared" si="448"/>
        <v>300</v>
      </c>
    </row>
    <row r="2658" spans="1:22" x14ac:dyDescent="0.25">
      <c r="A2658" s="98" t="s">
        <v>23</v>
      </c>
      <c r="B2658" s="98" t="s">
        <v>20</v>
      </c>
      <c r="C2658" s="98">
        <v>71</v>
      </c>
      <c r="D2658" s="98">
        <v>4293</v>
      </c>
      <c r="E2658" s="157">
        <v>42580.913194444445</v>
      </c>
      <c r="F2658" s="157">
        <v>42581.138888888891</v>
      </c>
      <c r="G2658" s="98">
        <v>0</v>
      </c>
      <c r="H2658" s="98">
        <v>330</v>
      </c>
      <c r="I2658" s="98">
        <v>300</v>
      </c>
      <c r="J2658" s="98" t="s">
        <v>2011</v>
      </c>
      <c r="K2658" s="98" t="s">
        <v>4214</v>
      </c>
      <c r="L2658" s="105" t="str">
        <f t="shared" si="440"/>
        <v>Mill Creek</v>
      </c>
      <c r="M2658" s="105" t="str">
        <f t="shared" si="441"/>
        <v>Maintenance</v>
      </c>
      <c r="N2658" s="105" t="str">
        <f t="shared" si="442"/>
        <v>Coal</v>
      </c>
      <c r="O2658" s="105">
        <f>IFERROR(VLOOKUP(A2658,Lookup!$J$5:$P$19,7,FALSE),0)</f>
        <v>2</v>
      </c>
      <c r="P2658" s="159">
        <f t="shared" si="443"/>
        <v>2016</v>
      </c>
      <c r="Q2658" s="159">
        <f t="shared" si="444"/>
        <v>7</v>
      </c>
      <c r="R2658" s="160">
        <f t="shared" si="445"/>
        <v>5.4166666666860692</v>
      </c>
      <c r="S2658" s="158">
        <f t="shared" si="446"/>
        <v>5.4166666666860692</v>
      </c>
      <c r="T2658" s="161">
        <f t="shared" si="447"/>
        <v>1625.0000000058208</v>
      </c>
      <c r="U2658" s="158">
        <f t="shared" si="449"/>
        <v>300</v>
      </c>
      <c r="V2658" s="160">
        <f t="shared" si="448"/>
        <v>300</v>
      </c>
    </row>
    <row r="2659" spans="1:22" x14ac:dyDescent="0.25">
      <c r="A2659" s="98" t="s">
        <v>23</v>
      </c>
      <c r="B2659" s="98" t="s">
        <v>17</v>
      </c>
      <c r="C2659" s="98">
        <v>72</v>
      </c>
      <c r="D2659" s="98">
        <v>310</v>
      </c>
      <c r="E2659" s="157">
        <v>42591.557638888888</v>
      </c>
      <c r="F2659" s="157">
        <v>42591.626388888886</v>
      </c>
      <c r="G2659" s="98">
        <v>250</v>
      </c>
      <c r="H2659" s="98">
        <v>330</v>
      </c>
      <c r="I2659" s="98">
        <v>300</v>
      </c>
      <c r="J2659" s="98" t="s">
        <v>1966</v>
      </c>
      <c r="K2659" s="98" t="s">
        <v>4215</v>
      </c>
      <c r="L2659" s="105" t="str">
        <f t="shared" si="440"/>
        <v>Mill Creek</v>
      </c>
      <c r="M2659" s="105" t="str">
        <f t="shared" si="441"/>
        <v>Derate</v>
      </c>
      <c r="N2659" s="105" t="str">
        <f t="shared" si="442"/>
        <v>Coal</v>
      </c>
      <c r="O2659" s="105">
        <f>IFERROR(VLOOKUP(A2659,Lookup!$J$5:$P$19,7,FALSE),0)</f>
        <v>2</v>
      </c>
      <c r="P2659" s="159">
        <f t="shared" si="443"/>
        <v>2016</v>
      </c>
      <c r="Q2659" s="159">
        <f t="shared" si="444"/>
        <v>8</v>
      </c>
      <c r="R2659" s="160">
        <f t="shared" si="445"/>
        <v>1.6499999999650754</v>
      </c>
      <c r="S2659" s="158">
        <f t="shared" si="446"/>
        <v>0.39999999999153341</v>
      </c>
      <c r="T2659" s="161">
        <f t="shared" si="447"/>
        <v>119.99999999746002</v>
      </c>
      <c r="U2659" s="158">
        <f t="shared" si="449"/>
        <v>72.727272727272734</v>
      </c>
      <c r="V2659" s="160">
        <f t="shared" si="448"/>
        <v>73</v>
      </c>
    </row>
    <row r="2660" spans="1:22" x14ac:dyDescent="0.25">
      <c r="A2660" s="98" t="s">
        <v>23</v>
      </c>
      <c r="B2660" s="98" t="s">
        <v>17</v>
      </c>
      <c r="C2660" s="98">
        <v>73</v>
      </c>
      <c r="D2660" s="98">
        <v>250</v>
      </c>
      <c r="E2660" s="157">
        <v>42597.443749999999</v>
      </c>
      <c r="F2660" s="157">
        <v>42597.463888888888</v>
      </c>
      <c r="G2660" s="98">
        <v>250</v>
      </c>
      <c r="H2660" s="98">
        <v>330</v>
      </c>
      <c r="I2660" s="98">
        <v>300</v>
      </c>
      <c r="J2660" s="98" t="s">
        <v>1978</v>
      </c>
      <c r="K2660" s="98" t="s">
        <v>4216</v>
      </c>
      <c r="L2660" s="105" t="str">
        <f t="shared" si="440"/>
        <v>Mill Creek</v>
      </c>
      <c r="M2660" s="105" t="str">
        <f t="shared" si="441"/>
        <v>Derate</v>
      </c>
      <c r="N2660" s="105" t="str">
        <f t="shared" si="442"/>
        <v>Coal</v>
      </c>
      <c r="O2660" s="105">
        <f>IFERROR(VLOOKUP(A2660,Lookup!$J$5:$P$19,7,FALSE),0)</f>
        <v>2</v>
      </c>
      <c r="P2660" s="159">
        <f t="shared" si="443"/>
        <v>2016</v>
      </c>
      <c r="Q2660" s="159">
        <f t="shared" si="444"/>
        <v>8</v>
      </c>
      <c r="R2660" s="160">
        <f t="shared" si="445"/>
        <v>0.48333333333721384</v>
      </c>
      <c r="S2660" s="158">
        <f t="shared" si="446"/>
        <v>0.1171717171726579</v>
      </c>
      <c r="T2660" s="161">
        <f t="shared" si="447"/>
        <v>35.151515151797369</v>
      </c>
      <c r="U2660" s="158">
        <f t="shared" si="449"/>
        <v>72.727272727272734</v>
      </c>
      <c r="V2660" s="160">
        <f t="shared" si="448"/>
        <v>73</v>
      </c>
    </row>
    <row r="2661" spans="1:22" x14ac:dyDescent="0.25">
      <c r="A2661" s="98" t="s">
        <v>23</v>
      </c>
      <c r="B2661" s="98" t="s">
        <v>105</v>
      </c>
      <c r="C2661" s="98">
        <v>74</v>
      </c>
      <c r="D2661" s="98">
        <v>310</v>
      </c>
      <c r="E2661" s="157">
        <v>42597.958333333336</v>
      </c>
      <c r="F2661" s="157">
        <v>42598.179166666669</v>
      </c>
      <c r="G2661" s="98">
        <v>250</v>
      </c>
      <c r="H2661" s="98">
        <v>330</v>
      </c>
      <c r="I2661" s="98">
        <v>300</v>
      </c>
      <c r="J2661" s="98" t="s">
        <v>1966</v>
      </c>
      <c r="K2661" s="98" t="s">
        <v>4217</v>
      </c>
      <c r="L2661" s="105" t="str">
        <f t="shared" si="440"/>
        <v>Mill Creek</v>
      </c>
      <c r="M2661" s="105" t="str">
        <f t="shared" si="441"/>
        <v>Derate</v>
      </c>
      <c r="N2661" s="105" t="str">
        <f t="shared" si="442"/>
        <v>Coal</v>
      </c>
      <c r="O2661" s="105">
        <f>IFERROR(VLOOKUP(A2661,Lookup!$J$5:$P$19,7,FALSE),0)</f>
        <v>2</v>
      </c>
      <c r="P2661" s="159">
        <f t="shared" si="443"/>
        <v>2016</v>
      </c>
      <c r="Q2661" s="159">
        <f t="shared" si="444"/>
        <v>8</v>
      </c>
      <c r="R2661" s="160">
        <f t="shared" si="445"/>
        <v>5.2999999999883585</v>
      </c>
      <c r="S2661" s="158">
        <f t="shared" si="446"/>
        <v>1.2848484848456627</v>
      </c>
      <c r="T2661" s="161">
        <f t="shared" si="447"/>
        <v>385.45454545369881</v>
      </c>
      <c r="U2661" s="158">
        <f t="shared" si="449"/>
        <v>72.727272727272734</v>
      </c>
      <c r="V2661" s="160">
        <f t="shared" si="448"/>
        <v>73</v>
      </c>
    </row>
    <row r="2662" spans="1:22" x14ac:dyDescent="0.25">
      <c r="A2662" s="98" t="s">
        <v>23</v>
      </c>
      <c r="B2662" s="98" t="s">
        <v>79</v>
      </c>
      <c r="C2662" s="98">
        <v>75</v>
      </c>
      <c r="D2662" s="98">
        <v>4490</v>
      </c>
      <c r="E2662" s="157">
        <v>42598.875</v>
      </c>
      <c r="F2662" s="157">
        <v>42598.958333333336</v>
      </c>
      <c r="G2662" s="98">
        <v>0</v>
      </c>
      <c r="H2662" s="98">
        <v>330</v>
      </c>
      <c r="I2662" s="98">
        <v>300</v>
      </c>
      <c r="J2662" s="98" t="s">
        <v>2084</v>
      </c>
      <c r="K2662" s="98" t="s">
        <v>4218</v>
      </c>
      <c r="L2662" s="105" t="str">
        <f t="shared" ref="L2662:L2725" si="450">IF(OR(A2662="BR1",A2662="BR2",A2662="BR3",A2662="BR5",A2662="BR6",A2662="BR7",A2662="BR8",A2662="BR9",A2662="BR10",A2662="BR11"),"Brown",IF(OR(A2662="CR4",A2662="CR5",A2662="CR6",A2662="CR11"),"Cane Run",IF(OR(A2662="GH1",A2662="GH2",A2662="GH3",A2662="GH4"),"Ghent",IF(OR(A2662="GR3",A2662="GR4"),"Green River",IF(OR(A2662="MC1",A2662="MC2",A2662="MC3",A2662="MC4"),"Mill Creek",IF(OR(A2662="TC1",A2662="TC2",A2662="TC5",A2662="TC6",A2662="TC7",A2662="TC8",A2662="TC9",A2662="TC10"),"Trimble",IF(A2662="TY3","Tyrone",IF(OR(A2662="HA1",A2662="HA2",A2662="HA3"),"Haeflin",IF(OR(A2662="PR11",A2662="PR12",A2662="PR13"),"Paddy's Run","Zorn")))))))))</f>
        <v>Mill Creek</v>
      </c>
      <c r="M2662" s="105" t="str">
        <f t="shared" ref="M2662:M2725" si="451">IF(OR(B2662="D1",B2662="D2",B2662="D3",B2662="D4",B2662="PD"),"Derate",IF(OR(B2662="SF",B2662="U1",B2662="U2",B2662="U3"),"Outage",IF(OR(B2662="ME",B2662="MO"),"Maintenance","Other")))</f>
        <v>Other</v>
      </c>
      <c r="N2662" s="105" t="str">
        <f t="shared" ref="N2662:N2725" si="452">IF(OR(A2662="BR1",A2662="BR2",A2662="BR3",A2662="CR4",A2662="CR5",A2662="CR6",A2662="GH1",A2662="GH2",A2662="GH3",A2662="GH4",A2662="GR3",A2662="GR4",A2662="MC1",A2662="MC2",A2662="MC3",A2662="MC4",A2662="TC1",A2662="TC2",A2662="TY3"),"Coal","Gas")</f>
        <v>Coal</v>
      </c>
      <c r="O2662" s="105">
        <f>IFERROR(VLOOKUP(A2662,Lookup!$J$5:$P$19,7,FALSE),0)</f>
        <v>2</v>
      </c>
      <c r="P2662" s="159">
        <f t="shared" ref="P2662:P2725" si="453">YEAR(E2662)</f>
        <v>2016</v>
      </c>
      <c r="Q2662" s="159">
        <f t="shared" ref="Q2662:Q2725" si="454">MONTH(E2662)</f>
        <v>8</v>
      </c>
      <c r="R2662" s="160">
        <f t="shared" ref="R2662:R2725" si="455">(F2662-E2662)*24</f>
        <v>2.0000000000582077</v>
      </c>
      <c r="S2662" s="158">
        <f t="shared" ref="S2662:S2725" si="456">R2662*(H2662-G2662)/H2662</f>
        <v>2.0000000000582077</v>
      </c>
      <c r="T2662" s="161">
        <f t="shared" ref="T2662:T2725" si="457">S2662*I2662</f>
        <v>600.0000000174623</v>
      </c>
      <c r="U2662" s="158">
        <f t="shared" si="449"/>
        <v>300</v>
      </c>
      <c r="V2662" s="160">
        <f t="shared" ref="V2662:V2725" si="458">ROUND(U2662,0)</f>
        <v>300</v>
      </c>
    </row>
    <row r="2663" spans="1:22" x14ac:dyDescent="0.25">
      <c r="A2663" s="98" t="s">
        <v>23</v>
      </c>
      <c r="B2663" s="98" t="s">
        <v>105</v>
      </c>
      <c r="C2663" s="98">
        <v>76</v>
      </c>
      <c r="D2663" s="98">
        <v>344</v>
      </c>
      <c r="E2663" s="157">
        <v>42598.958333333336</v>
      </c>
      <c r="F2663" s="157">
        <v>42599.041666666664</v>
      </c>
      <c r="G2663" s="98">
        <v>250</v>
      </c>
      <c r="H2663" s="98">
        <v>330</v>
      </c>
      <c r="I2663" s="98">
        <v>300</v>
      </c>
      <c r="J2663" s="98" t="s">
        <v>1968</v>
      </c>
      <c r="K2663" s="98" t="s">
        <v>4219</v>
      </c>
      <c r="L2663" s="105" t="str">
        <f t="shared" si="450"/>
        <v>Mill Creek</v>
      </c>
      <c r="M2663" s="105" t="str">
        <f t="shared" si="451"/>
        <v>Derate</v>
      </c>
      <c r="N2663" s="105" t="str">
        <f t="shared" si="452"/>
        <v>Coal</v>
      </c>
      <c r="O2663" s="105">
        <f>IFERROR(VLOOKUP(A2663,Lookup!$J$5:$P$19,7,FALSE),0)</f>
        <v>2</v>
      </c>
      <c r="P2663" s="159">
        <f t="shared" si="453"/>
        <v>2016</v>
      </c>
      <c r="Q2663" s="159">
        <f t="shared" si="454"/>
        <v>8</v>
      </c>
      <c r="R2663" s="160">
        <f t="shared" si="455"/>
        <v>1.9999999998835847</v>
      </c>
      <c r="S2663" s="158">
        <f t="shared" si="456"/>
        <v>0.48484848482026294</v>
      </c>
      <c r="T2663" s="161">
        <f t="shared" si="457"/>
        <v>145.45454544607887</v>
      </c>
      <c r="U2663" s="158">
        <f t="shared" ref="U2663:U2726" si="459">IF(G2663&gt;0,MAX((H2663-G2663),0)*I2663/H2663,I2663)</f>
        <v>72.727272727272734</v>
      </c>
      <c r="V2663" s="160">
        <f t="shared" si="458"/>
        <v>73</v>
      </c>
    </row>
    <row r="2664" spans="1:22" x14ac:dyDescent="0.25">
      <c r="A2664" s="98" t="s">
        <v>23</v>
      </c>
      <c r="B2664" s="98" t="s">
        <v>105</v>
      </c>
      <c r="C2664" s="98">
        <v>77</v>
      </c>
      <c r="D2664" s="98">
        <v>344</v>
      </c>
      <c r="E2664" s="157">
        <v>42599.041666666664</v>
      </c>
      <c r="F2664" s="157">
        <v>42599.201388888891</v>
      </c>
      <c r="G2664" s="98">
        <v>250</v>
      </c>
      <c r="H2664" s="98">
        <v>330</v>
      </c>
      <c r="I2664" s="98">
        <v>300</v>
      </c>
      <c r="J2664" s="98" t="s">
        <v>1968</v>
      </c>
      <c r="K2664" s="98" t="s">
        <v>4219</v>
      </c>
      <c r="L2664" s="105" t="str">
        <f t="shared" si="450"/>
        <v>Mill Creek</v>
      </c>
      <c r="M2664" s="105" t="str">
        <f t="shared" si="451"/>
        <v>Derate</v>
      </c>
      <c r="N2664" s="105" t="str">
        <f t="shared" si="452"/>
        <v>Coal</v>
      </c>
      <c r="O2664" s="105">
        <f>IFERROR(VLOOKUP(A2664,Lookup!$J$5:$P$19,7,FALSE),0)</f>
        <v>2</v>
      </c>
      <c r="P2664" s="159">
        <f t="shared" si="453"/>
        <v>2016</v>
      </c>
      <c r="Q2664" s="159">
        <f t="shared" si="454"/>
        <v>8</v>
      </c>
      <c r="R2664" s="160">
        <f t="shared" si="455"/>
        <v>3.8333333334303461</v>
      </c>
      <c r="S2664" s="158">
        <f t="shared" si="456"/>
        <v>0.92929292931644758</v>
      </c>
      <c r="T2664" s="161">
        <f t="shared" si="457"/>
        <v>278.78787879493427</v>
      </c>
      <c r="U2664" s="158">
        <f t="shared" si="459"/>
        <v>72.727272727272734</v>
      </c>
      <c r="V2664" s="160">
        <f t="shared" si="458"/>
        <v>73</v>
      </c>
    </row>
    <row r="2665" spans="1:22" x14ac:dyDescent="0.25">
      <c r="A2665" s="98" t="s">
        <v>23</v>
      </c>
      <c r="B2665" s="98" t="s">
        <v>105</v>
      </c>
      <c r="C2665" s="98">
        <v>78</v>
      </c>
      <c r="D2665" s="98">
        <v>344</v>
      </c>
      <c r="E2665" s="157">
        <v>42599.958333333336</v>
      </c>
      <c r="F2665" s="157">
        <v>42600.20416666667</v>
      </c>
      <c r="G2665" s="98">
        <v>250</v>
      </c>
      <c r="H2665" s="98">
        <v>330</v>
      </c>
      <c r="I2665" s="98">
        <v>300</v>
      </c>
      <c r="J2665" s="98" t="s">
        <v>1968</v>
      </c>
      <c r="K2665" s="98" t="s">
        <v>4220</v>
      </c>
      <c r="L2665" s="105" t="str">
        <f t="shared" si="450"/>
        <v>Mill Creek</v>
      </c>
      <c r="M2665" s="105" t="str">
        <f t="shared" si="451"/>
        <v>Derate</v>
      </c>
      <c r="N2665" s="105" t="str">
        <f t="shared" si="452"/>
        <v>Coal</v>
      </c>
      <c r="O2665" s="105">
        <f>IFERROR(VLOOKUP(A2665,Lookup!$J$5:$P$19,7,FALSE),0)</f>
        <v>2</v>
      </c>
      <c r="P2665" s="159">
        <f t="shared" si="453"/>
        <v>2016</v>
      </c>
      <c r="Q2665" s="159">
        <f t="shared" si="454"/>
        <v>8</v>
      </c>
      <c r="R2665" s="160">
        <f t="shared" si="455"/>
        <v>5.9000000000232831</v>
      </c>
      <c r="S2665" s="158">
        <f t="shared" si="456"/>
        <v>1.4303030303086748</v>
      </c>
      <c r="T2665" s="161">
        <f t="shared" si="457"/>
        <v>429.09090909260243</v>
      </c>
      <c r="U2665" s="158">
        <f t="shared" si="459"/>
        <v>72.727272727272734</v>
      </c>
      <c r="V2665" s="160">
        <f t="shared" si="458"/>
        <v>73</v>
      </c>
    </row>
    <row r="2666" spans="1:22" x14ac:dyDescent="0.25">
      <c r="A2666" s="98" t="s">
        <v>23</v>
      </c>
      <c r="B2666" s="98" t="s">
        <v>17</v>
      </c>
      <c r="C2666" s="98">
        <v>79</v>
      </c>
      <c r="D2666" s="98">
        <v>3415</v>
      </c>
      <c r="E2666" s="157">
        <v>42603.961805555555</v>
      </c>
      <c r="F2666" s="157">
        <v>42604.086805555555</v>
      </c>
      <c r="G2666" s="98">
        <v>190</v>
      </c>
      <c r="H2666" s="98">
        <v>330</v>
      </c>
      <c r="I2666" s="98">
        <v>300</v>
      </c>
      <c r="J2666" s="98" t="s">
        <v>2109</v>
      </c>
      <c r="K2666" s="98" t="s">
        <v>4221</v>
      </c>
      <c r="L2666" s="105" t="str">
        <f t="shared" si="450"/>
        <v>Mill Creek</v>
      </c>
      <c r="M2666" s="105" t="str">
        <f t="shared" si="451"/>
        <v>Derate</v>
      </c>
      <c r="N2666" s="105" t="str">
        <f t="shared" si="452"/>
        <v>Coal</v>
      </c>
      <c r="O2666" s="105">
        <f>IFERROR(VLOOKUP(A2666,Lookup!$J$5:$P$19,7,FALSE),0)</f>
        <v>2</v>
      </c>
      <c r="P2666" s="159">
        <f t="shared" si="453"/>
        <v>2016</v>
      </c>
      <c r="Q2666" s="159">
        <f t="shared" si="454"/>
        <v>8</v>
      </c>
      <c r="R2666" s="160">
        <f t="shared" si="455"/>
        <v>3</v>
      </c>
      <c r="S2666" s="158">
        <f t="shared" si="456"/>
        <v>1.2727272727272727</v>
      </c>
      <c r="T2666" s="161">
        <f t="shared" si="457"/>
        <v>381.81818181818181</v>
      </c>
      <c r="U2666" s="158">
        <f t="shared" si="459"/>
        <v>127.27272727272727</v>
      </c>
      <c r="V2666" s="160">
        <f t="shared" si="458"/>
        <v>127</v>
      </c>
    </row>
    <row r="2667" spans="1:22" x14ac:dyDescent="0.25">
      <c r="A2667" s="98" t="s">
        <v>23</v>
      </c>
      <c r="B2667" s="98" t="s">
        <v>17</v>
      </c>
      <c r="C2667" s="98">
        <v>80</v>
      </c>
      <c r="D2667" s="98">
        <v>3661</v>
      </c>
      <c r="E2667" s="157">
        <v>42604.086805555555</v>
      </c>
      <c r="F2667" s="157">
        <v>42604.300694444442</v>
      </c>
      <c r="G2667" s="98">
        <v>120</v>
      </c>
      <c r="H2667" s="98">
        <v>330</v>
      </c>
      <c r="I2667" s="98">
        <v>300</v>
      </c>
      <c r="J2667" s="98" t="s">
        <v>2170</v>
      </c>
      <c r="K2667" s="98" t="s">
        <v>4222</v>
      </c>
      <c r="L2667" s="105" t="str">
        <f t="shared" si="450"/>
        <v>Mill Creek</v>
      </c>
      <c r="M2667" s="105" t="str">
        <f t="shared" si="451"/>
        <v>Derate</v>
      </c>
      <c r="N2667" s="105" t="str">
        <f t="shared" si="452"/>
        <v>Coal</v>
      </c>
      <c r="O2667" s="105">
        <f>IFERROR(VLOOKUP(A2667,Lookup!$J$5:$P$19,7,FALSE),0)</f>
        <v>2</v>
      </c>
      <c r="P2667" s="159">
        <f t="shared" si="453"/>
        <v>2016</v>
      </c>
      <c r="Q2667" s="159">
        <f t="shared" si="454"/>
        <v>8</v>
      </c>
      <c r="R2667" s="160">
        <f t="shared" si="455"/>
        <v>5.1333333333022892</v>
      </c>
      <c r="S2667" s="158">
        <f t="shared" si="456"/>
        <v>3.2666666666469113</v>
      </c>
      <c r="T2667" s="161">
        <f t="shared" si="457"/>
        <v>979.99999999407339</v>
      </c>
      <c r="U2667" s="158">
        <f t="shared" si="459"/>
        <v>190.90909090909091</v>
      </c>
      <c r="V2667" s="160">
        <f t="shared" si="458"/>
        <v>191</v>
      </c>
    </row>
    <row r="2668" spans="1:22" x14ac:dyDescent="0.25">
      <c r="A2668" s="98" t="s">
        <v>23</v>
      </c>
      <c r="B2668" s="98" t="s">
        <v>17</v>
      </c>
      <c r="C2668" s="98">
        <v>81</v>
      </c>
      <c r="D2668" s="98">
        <v>3410</v>
      </c>
      <c r="E2668" s="157">
        <v>42604.300694444442</v>
      </c>
      <c r="F2668" s="157">
        <v>42604.440972222219</v>
      </c>
      <c r="G2668" s="98">
        <v>230</v>
      </c>
      <c r="H2668" s="98">
        <v>330</v>
      </c>
      <c r="I2668" s="98">
        <v>300</v>
      </c>
      <c r="J2668" s="98" t="s">
        <v>1983</v>
      </c>
      <c r="K2668" s="98" t="s">
        <v>4223</v>
      </c>
      <c r="L2668" s="105" t="str">
        <f t="shared" si="450"/>
        <v>Mill Creek</v>
      </c>
      <c r="M2668" s="105" t="str">
        <f t="shared" si="451"/>
        <v>Derate</v>
      </c>
      <c r="N2668" s="105" t="str">
        <f t="shared" si="452"/>
        <v>Coal</v>
      </c>
      <c r="O2668" s="105">
        <f>IFERROR(VLOOKUP(A2668,Lookup!$J$5:$P$19,7,FALSE),0)</f>
        <v>2</v>
      </c>
      <c r="P2668" s="159">
        <f t="shared" si="453"/>
        <v>2016</v>
      </c>
      <c r="Q2668" s="159">
        <f t="shared" si="454"/>
        <v>8</v>
      </c>
      <c r="R2668" s="160">
        <f t="shared" si="455"/>
        <v>3.3666666666395031</v>
      </c>
      <c r="S2668" s="158">
        <f t="shared" si="456"/>
        <v>1.0202020201937889</v>
      </c>
      <c r="T2668" s="161">
        <f t="shared" si="457"/>
        <v>306.06060605813667</v>
      </c>
      <c r="U2668" s="158">
        <f t="shared" si="459"/>
        <v>90.909090909090907</v>
      </c>
      <c r="V2668" s="160">
        <f t="shared" si="458"/>
        <v>91</v>
      </c>
    </row>
    <row r="2669" spans="1:22" x14ac:dyDescent="0.25">
      <c r="A2669" s="98" t="s">
        <v>23</v>
      </c>
      <c r="B2669" s="98" t="s">
        <v>17</v>
      </c>
      <c r="C2669" s="98">
        <v>82</v>
      </c>
      <c r="D2669" s="98">
        <v>3410</v>
      </c>
      <c r="E2669" s="157">
        <v>42604.440972222219</v>
      </c>
      <c r="F2669" s="157">
        <v>42604.46875</v>
      </c>
      <c r="G2669" s="98">
        <v>240</v>
      </c>
      <c r="H2669" s="98">
        <v>330</v>
      </c>
      <c r="I2669" s="98">
        <v>300</v>
      </c>
      <c r="J2669" s="98" t="s">
        <v>1983</v>
      </c>
      <c r="K2669" s="98" t="s">
        <v>4223</v>
      </c>
      <c r="L2669" s="105" t="str">
        <f t="shared" si="450"/>
        <v>Mill Creek</v>
      </c>
      <c r="M2669" s="105" t="str">
        <f t="shared" si="451"/>
        <v>Derate</v>
      </c>
      <c r="N2669" s="105" t="str">
        <f t="shared" si="452"/>
        <v>Coal</v>
      </c>
      <c r="O2669" s="105">
        <f>IFERROR(VLOOKUP(A2669,Lookup!$J$5:$P$19,7,FALSE),0)</f>
        <v>2</v>
      </c>
      <c r="P2669" s="159">
        <f t="shared" si="453"/>
        <v>2016</v>
      </c>
      <c r="Q2669" s="159">
        <f t="shared" si="454"/>
        <v>8</v>
      </c>
      <c r="R2669" s="160">
        <f t="shared" si="455"/>
        <v>0.66666666674427688</v>
      </c>
      <c r="S2669" s="158">
        <f t="shared" si="456"/>
        <v>0.18181818183934825</v>
      </c>
      <c r="T2669" s="161">
        <f t="shared" si="457"/>
        <v>54.545454551804475</v>
      </c>
      <c r="U2669" s="158">
        <f t="shared" si="459"/>
        <v>81.818181818181813</v>
      </c>
      <c r="V2669" s="160">
        <f t="shared" si="458"/>
        <v>82</v>
      </c>
    </row>
    <row r="2670" spans="1:22" x14ac:dyDescent="0.25">
      <c r="A2670" s="98" t="s">
        <v>23</v>
      </c>
      <c r="B2670" s="98" t="s">
        <v>17</v>
      </c>
      <c r="C2670" s="98">
        <v>83</v>
      </c>
      <c r="D2670" s="98">
        <v>3230</v>
      </c>
      <c r="E2670" s="157">
        <v>42604.46875</v>
      </c>
      <c r="F2670" s="157">
        <v>42604.484027777777</v>
      </c>
      <c r="G2670" s="98">
        <v>260</v>
      </c>
      <c r="H2670" s="98">
        <v>330</v>
      </c>
      <c r="I2670" s="98">
        <v>300</v>
      </c>
      <c r="J2670" s="98" t="s">
        <v>2256</v>
      </c>
      <c r="K2670" s="98" t="s">
        <v>4224</v>
      </c>
      <c r="L2670" s="105" t="str">
        <f t="shared" si="450"/>
        <v>Mill Creek</v>
      </c>
      <c r="M2670" s="105" t="str">
        <f t="shared" si="451"/>
        <v>Derate</v>
      </c>
      <c r="N2670" s="105" t="str">
        <f t="shared" si="452"/>
        <v>Coal</v>
      </c>
      <c r="O2670" s="105">
        <f>IFERROR(VLOOKUP(A2670,Lookup!$J$5:$P$19,7,FALSE),0)</f>
        <v>2</v>
      </c>
      <c r="P2670" s="159">
        <f t="shared" si="453"/>
        <v>2016</v>
      </c>
      <c r="Q2670" s="159">
        <f t="shared" si="454"/>
        <v>8</v>
      </c>
      <c r="R2670" s="160">
        <f t="shared" si="455"/>
        <v>0.36666666663950309</v>
      </c>
      <c r="S2670" s="158">
        <f t="shared" si="456"/>
        <v>7.7777777772015805E-2</v>
      </c>
      <c r="T2670" s="161">
        <f t="shared" si="457"/>
        <v>23.333333331604742</v>
      </c>
      <c r="U2670" s="158">
        <f t="shared" si="459"/>
        <v>63.636363636363633</v>
      </c>
      <c r="V2670" s="160">
        <f t="shared" si="458"/>
        <v>64</v>
      </c>
    </row>
    <row r="2671" spans="1:22" x14ac:dyDescent="0.25">
      <c r="A2671" s="98" t="s">
        <v>23</v>
      </c>
      <c r="B2671" s="98" t="s">
        <v>17</v>
      </c>
      <c r="C2671" s="98">
        <v>84</v>
      </c>
      <c r="D2671" s="98">
        <v>3230</v>
      </c>
      <c r="E2671" s="157">
        <v>42604.484027777777</v>
      </c>
      <c r="F2671" s="157">
        <v>42604.961805555555</v>
      </c>
      <c r="G2671" s="98">
        <v>250</v>
      </c>
      <c r="H2671" s="98">
        <v>330</v>
      </c>
      <c r="I2671" s="98">
        <v>300</v>
      </c>
      <c r="J2671" s="98" t="s">
        <v>2256</v>
      </c>
      <c r="K2671" s="98" t="s">
        <v>4224</v>
      </c>
      <c r="L2671" s="105" t="str">
        <f t="shared" si="450"/>
        <v>Mill Creek</v>
      </c>
      <c r="M2671" s="105" t="str">
        <f t="shared" si="451"/>
        <v>Derate</v>
      </c>
      <c r="N2671" s="105" t="str">
        <f t="shared" si="452"/>
        <v>Coal</v>
      </c>
      <c r="O2671" s="105">
        <f>IFERROR(VLOOKUP(A2671,Lookup!$J$5:$P$19,7,FALSE),0)</f>
        <v>2</v>
      </c>
      <c r="P2671" s="159">
        <f t="shared" si="453"/>
        <v>2016</v>
      </c>
      <c r="Q2671" s="159">
        <f t="shared" si="454"/>
        <v>8</v>
      </c>
      <c r="R2671" s="160">
        <f t="shared" si="455"/>
        <v>11.466666666674428</v>
      </c>
      <c r="S2671" s="158">
        <f t="shared" si="456"/>
        <v>2.7797979797998611</v>
      </c>
      <c r="T2671" s="161">
        <f t="shared" si="457"/>
        <v>833.93939393995834</v>
      </c>
      <c r="U2671" s="158">
        <f t="shared" si="459"/>
        <v>72.727272727272734</v>
      </c>
      <c r="V2671" s="160">
        <f t="shared" si="458"/>
        <v>73</v>
      </c>
    </row>
    <row r="2672" spans="1:22" x14ac:dyDescent="0.25">
      <c r="A2672" s="98" t="s">
        <v>23</v>
      </c>
      <c r="B2672" s="98" t="s">
        <v>105</v>
      </c>
      <c r="C2672" s="98">
        <v>85</v>
      </c>
      <c r="D2672" s="98">
        <v>310</v>
      </c>
      <c r="E2672" s="157">
        <v>42604.961805555555</v>
      </c>
      <c r="F2672" s="157">
        <v>42605.17291666667</v>
      </c>
      <c r="G2672" s="98">
        <v>240</v>
      </c>
      <c r="H2672" s="98">
        <v>330</v>
      </c>
      <c r="I2672" s="98">
        <v>300</v>
      </c>
      <c r="J2672" s="98" t="s">
        <v>1966</v>
      </c>
      <c r="K2672" s="98" t="s">
        <v>4225</v>
      </c>
      <c r="L2672" s="105" t="str">
        <f t="shared" si="450"/>
        <v>Mill Creek</v>
      </c>
      <c r="M2672" s="105" t="str">
        <f t="shared" si="451"/>
        <v>Derate</v>
      </c>
      <c r="N2672" s="105" t="str">
        <f t="shared" si="452"/>
        <v>Coal</v>
      </c>
      <c r="O2672" s="105">
        <f>IFERROR(VLOOKUP(A2672,Lookup!$J$5:$P$19,7,FALSE),0)</f>
        <v>2</v>
      </c>
      <c r="P2672" s="159">
        <f t="shared" si="453"/>
        <v>2016</v>
      </c>
      <c r="Q2672" s="159">
        <f t="shared" si="454"/>
        <v>8</v>
      </c>
      <c r="R2672" s="160">
        <f t="shared" si="455"/>
        <v>5.0666666667675599</v>
      </c>
      <c r="S2672" s="158">
        <f t="shared" si="456"/>
        <v>1.3818181818456983</v>
      </c>
      <c r="T2672" s="161">
        <f t="shared" si="457"/>
        <v>414.54545455370948</v>
      </c>
      <c r="U2672" s="158">
        <f t="shared" si="459"/>
        <v>81.818181818181813</v>
      </c>
      <c r="V2672" s="160">
        <f t="shared" si="458"/>
        <v>82</v>
      </c>
    </row>
    <row r="2673" spans="1:22" x14ac:dyDescent="0.25">
      <c r="A2673" s="98" t="s">
        <v>23</v>
      </c>
      <c r="B2673" s="98" t="s">
        <v>105</v>
      </c>
      <c r="C2673" s="98">
        <v>86</v>
      </c>
      <c r="D2673" s="98">
        <v>310</v>
      </c>
      <c r="E2673" s="157">
        <v>42606.958333333336</v>
      </c>
      <c r="F2673" s="157">
        <v>42607.155555555553</v>
      </c>
      <c r="G2673" s="98">
        <v>240</v>
      </c>
      <c r="H2673" s="98">
        <v>330</v>
      </c>
      <c r="I2673" s="98">
        <v>300</v>
      </c>
      <c r="J2673" s="98" t="s">
        <v>1966</v>
      </c>
      <c r="K2673" s="98" t="s">
        <v>4226</v>
      </c>
      <c r="L2673" s="105" t="str">
        <f t="shared" si="450"/>
        <v>Mill Creek</v>
      </c>
      <c r="M2673" s="105" t="str">
        <f t="shared" si="451"/>
        <v>Derate</v>
      </c>
      <c r="N2673" s="105" t="str">
        <f t="shared" si="452"/>
        <v>Coal</v>
      </c>
      <c r="O2673" s="105">
        <f>IFERROR(VLOOKUP(A2673,Lookup!$J$5:$P$19,7,FALSE),0)</f>
        <v>2</v>
      </c>
      <c r="P2673" s="159">
        <f t="shared" si="453"/>
        <v>2016</v>
      </c>
      <c r="Q2673" s="159">
        <f t="shared" si="454"/>
        <v>8</v>
      </c>
      <c r="R2673" s="160">
        <f t="shared" si="455"/>
        <v>4.7333333332207985</v>
      </c>
      <c r="S2673" s="158">
        <f t="shared" si="456"/>
        <v>1.2909090908783996</v>
      </c>
      <c r="T2673" s="161">
        <f t="shared" si="457"/>
        <v>387.27272726351987</v>
      </c>
      <c r="U2673" s="158">
        <f t="shared" si="459"/>
        <v>81.818181818181813</v>
      </c>
      <c r="V2673" s="160">
        <f t="shared" si="458"/>
        <v>82</v>
      </c>
    </row>
    <row r="2674" spans="1:22" x14ac:dyDescent="0.25">
      <c r="A2674" s="98" t="s">
        <v>23</v>
      </c>
      <c r="B2674" s="98" t="s">
        <v>20</v>
      </c>
      <c r="C2674" s="98">
        <v>87</v>
      </c>
      <c r="D2674" s="98">
        <v>1000</v>
      </c>
      <c r="E2674" s="157">
        <v>42630.054166666669</v>
      </c>
      <c r="F2674" s="157">
        <v>42632.198611111111</v>
      </c>
      <c r="G2674" s="98">
        <v>0</v>
      </c>
      <c r="H2674" s="98">
        <v>330</v>
      </c>
      <c r="I2674" s="98">
        <v>300</v>
      </c>
      <c r="J2674" s="98" t="s">
        <v>2002</v>
      </c>
      <c r="K2674" s="98" t="s">
        <v>4227</v>
      </c>
      <c r="L2674" s="105" t="str">
        <f t="shared" si="450"/>
        <v>Mill Creek</v>
      </c>
      <c r="M2674" s="105" t="str">
        <f t="shared" si="451"/>
        <v>Maintenance</v>
      </c>
      <c r="N2674" s="105" t="str">
        <f t="shared" si="452"/>
        <v>Coal</v>
      </c>
      <c r="O2674" s="105">
        <f>IFERROR(VLOOKUP(A2674,Lookup!$J$5:$P$19,7,FALSE),0)</f>
        <v>2</v>
      </c>
      <c r="P2674" s="159">
        <f t="shared" si="453"/>
        <v>2016</v>
      </c>
      <c r="Q2674" s="159">
        <f t="shared" si="454"/>
        <v>9</v>
      </c>
      <c r="R2674" s="160">
        <f t="shared" si="455"/>
        <v>51.46666666661622</v>
      </c>
      <c r="S2674" s="158">
        <f t="shared" si="456"/>
        <v>51.46666666661622</v>
      </c>
      <c r="T2674" s="161">
        <f t="shared" si="457"/>
        <v>15439.999999984866</v>
      </c>
      <c r="U2674" s="158">
        <f t="shared" si="459"/>
        <v>300</v>
      </c>
      <c r="V2674" s="160">
        <f t="shared" si="458"/>
        <v>300</v>
      </c>
    </row>
    <row r="2675" spans="1:22" x14ac:dyDescent="0.25">
      <c r="A2675" s="98" t="s">
        <v>23</v>
      </c>
      <c r="B2675" s="98" t="s">
        <v>105</v>
      </c>
      <c r="C2675" s="98">
        <v>88</v>
      </c>
      <c r="D2675" s="98">
        <v>250</v>
      </c>
      <c r="E2675" s="157">
        <v>42642.958333333336</v>
      </c>
      <c r="F2675" s="157">
        <v>42643.215277777781</v>
      </c>
      <c r="G2675" s="98">
        <v>240</v>
      </c>
      <c r="H2675" s="98">
        <v>330</v>
      </c>
      <c r="I2675" s="98">
        <v>300</v>
      </c>
      <c r="J2675" s="98" t="s">
        <v>1978</v>
      </c>
      <c r="K2675" s="98" t="s">
        <v>4228</v>
      </c>
      <c r="L2675" s="105" t="str">
        <f t="shared" si="450"/>
        <v>Mill Creek</v>
      </c>
      <c r="M2675" s="105" t="str">
        <f t="shared" si="451"/>
        <v>Derate</v>
      </c>
      <c r="N2675" s="105" t="str">
        <f t="shared" si="452"/>
        <v>Coal</v>
      </c>
      <c r="O2675" s="105">
        <f>IFERROR(VLOOKUP(A2675,Lookup!$J$5:$P$19,7,FALSE),0)</f>
        <v>2</v>
      </c>
      <c r="P2675" s="159">
        <f t="shared" si="453"/>
        <v>2016</v>
      </c>
      <c r="Q2675" s="159">
        <f t="shared" si="454"/>
        <v>9</v>
      </c>
      <c r="R2675" s="160">
        <f t="shared" si="455"/>
        <v>6.1666666666860692</v>
      </c>
      <c r="S2675" s="158">
        <f t="shared" si="456"/>
        <v>1.6818181818234734</v>
      </c>
      <c r="T2675" s="161">
        <f t="shared" si="457"/>
        <v>504.54545454704203</v>
      </c>
      <c r="U2675" s="158">
        <f t="shared" si="459"/>
        <v>81.818181818181813</v>
      </c>
      <c r="V2675" s="160">
        <f t="shared" si="458"/>
        <v>82</v>
      </c>
    </row>
    <row r="2676" spans="1:22" x14ac:dyDescent="0.25">
      <c r="A2676" s="98" t="s">
        <v>23</v>
      </c>
      <c r="B2676" s="98" t="s">
        <v>17</v>
      </c>
      <c r="C2676" s="98">
        <v>89</v>
      </c>
      <c r="D2676" s="98">
        <v>3110</v>
      </c>
      <c r="E2676" s="157">
        <v>42649.53402777778</v>
      </c>
      <c r="F2676" s="157">
        <v>42649.643055555556</v>
      </c>
      <c r="G2676" s="98">
        <v>285</v>
      </c>
      <c r="H2676" s="98">
        <v>330</v>
      </c>
      <c r="I2676" s="98">
        <v>300</v>
      </c>
      <c r="J2676" s="98" t="s">
        <v>2119</v>
      </c>
      <c r="K2676" s="98" t="s">
        <v>4229</v>
      </c>
      <c r="L2676" s="105" t="str">
        <f t="shared" si="450"/>
        <v>Mill Creek</v>
      </c>
      <c r="M2676" s="105" t="str">
        <f t="shared" si="451"/>
        <v>Derate</v>
      </c>
      <c r="N2676" s="105" t="str">
        <f t="shared" si="452"/>
        <v>Coal</v>
      </c>
      <c r="O2676" s="105">
        <f>IFERROR(VLOOKUP(A2676,Lookup!$J$5:$P$19,7,FALSE),0)</f>
        <v>2</v>
      </c>
      <c r="P2676" s="159">
        <f t="shared" si="453"/>
        <v>2016</v>
      </c>
      <c r="Q2676" s="159">
        <f t="shared" si="454"/>
        <v>10</v>
      </c>
      <c r="R2676" s="160">
        <f t="shared" si="455"/>
        <v>2.6166666666395031</v>
      </c>
      <c r="S2676" s="158">
        <f t="shared" si="456"/>
        <v>0.35681818181447772</v>
      </c>
      <c r="T2676" s="161">
        <f t="shared" si="457"/>
        <v>107.04545454434331</v>
      </c>
      <c r="U2676" s="158">
        <f t="shared" si="459"/>
        <v>40.909090909090907</v>
      </c>
      <c r="V2676" s="160">
        <f t="shared" si="458"/>
        <v>41</v>
      </c>
    </row>
    <row r="2677" spans="1:22" x14ac:dyDescent="0.25">
      <c r="A2677" s="98" t="s">
        <v>23</v>
      </c>
      <c r="B2677" s="98" t="s">
        <v>15</v>
      </c>
      <c r="C2677" s="98">
        <v>90</v>
      </c>
      <c r="D2677" s="98">
        <v>3110</v>
      </c>
      <c r="E2677" s="157">
        <v>42649.643055555556</v>
      </c>
      <c r="F2677" s="157">
        <v>42650.300694444442</v>
      </c>
      <c r="G2677" s="98">
        <v>0</v>
      </c>
      <c r="H2677" s="98">
        <v>330</v>
      </c>
      <c r="I2677" s="98">
        <v>300</v>
      </c>
      <c r="J2677" s="98" t="s">
        <v>2119</v>
      </c>
      <c r="K2677" s="98" t="s">
        <v>31</v>
      </c>
      <c r="L2677" s="105" t="str">
        <f t="shared" si="450"/>
        <v>Mill Creek</v>
      </c>
      <c r="M2677" s="105" t="str">
        <f t="shared" si="451"/>
        <v>Outage</v>
      </c>
      <c r="N2677" s="105" t="str">
        <f t="shared" si="452"/>
        <v>Coal</v>
      </c>
      <c r="O2677" s="105">
        <f>IFERROR(VLOOKUP(A2677,Lookup!$J$5:$P$19,7,FALSE),0)</f>
        <v>2</v>
      </c>
      <c r="P2677" s="159">
        <f t="shared" si="453"/>
        <v>2016</v>
      </c>
      <c r="Q2677" s="159">
        <f t="shared" si="454"/>
        <v>10</v>
      </c>
      <c r="R2677" s="160">
        <f t="shared" si="455"/>
        <v>15.783333333267365</v>
      </c>
      <c r="S2677" s="158">
        <f t="shared" si="456"/>
        <v>15.783333333267365</v>
      </c>
      <c r="T2677" s="161">
        <f t="shared" si="457"/>
        <v>4734.9999999802094</v>
      </c>
      <c r="U2677" s="158">
        <f t="shared" si="459"/>
        <v>300</v>
      </c>
      <c r="V2677" s="160">
        <f t="shared" si="458"/>
        <v>300</v>
      </c>
    </row>
    <row r="2678" spans="1:22" x14ac:dyDescent="0.25">
      <c r="A2678" s="98" t="s">
        <v>23</v>
      </c>
      <c r="B2678" s="98" t="s">
        <v>17</v>
      </c>
      <c r="C2678" s="98">
        <v>91</v>
      </c>
      <c r="D2678" s="98">
        <v>3110</v>
      </c>
      <c r="E2678" s="157">
        <v>42650.621527777781</v>
      </c>
      <c r="F2678" s="157">
        <v>42650.649305555555</v>
      </c>
      <c r="G2678" s="98">
        <v>280</v>
      </c>
      <c r="H2678" s="98">
        <v>330</v>
      </c>
      <c r="I2678" s="98">
        <v>300</v>
      </c>
      <c r="J2678" s="98" t="s">
        <v>2119</v>
      </c>
      <c r="K2678" s="98" t="s">
        <v>4230</v>
      </c>
      <c r="L2678" s="105" t="str">
        <f t="shared" si="450"/>
        <v>Mill Creek</v>
      </c>
      <c r="M2678" s="105" t="str">
        <f t="shared" si="451"/>
        <v>Derate</v>
      </c>
      <c r="N2678" s="105" t="str">
        <f t="shared" si="452"/>
        <v>Coal</v>
      </c>
      <c r="O2678" s="105">
        <f>IFERROR(VLOOKUP(A2678,Lookup!$J$5:$P$19,7,FALSE),0)</f>
        <v>2</v>
      </c>
      <c r="P2678" s="159">
        <f t="shared" si="453"/>
        <v>2016</v>
      </c>
      <c r="Q2678" s="159">
        <f t="shared" si="454"/>
        <v>10</v>
      </c>
      <c r="R2678" s="160">
        <f t="shared" si="455"/>
        <v>0.6666666665696539</v>
      </c>
      <c r="S2678" s="158">
        <f t="shared" si="456"/>
        <v>0.1010101009954021</v>
      </c>
      <c r="T2678" s="161">
        <f t="shared" si="457"/>
        <v>30.30303029862063</v>
      </c>
      <c r="U2678" s="158">
        <f t="shared" si="459"/>
        <v>45.454545454545453</v>
      </c>
      <c r="V2678" s="160">
        <f t="shared" si="458"/>
        <v>45</v>
      </c>
    </row>
    <row r="2679" spans="1:22" x14ac:dyDescent="0.25">
      <c r="A2679" s="98" t="s">
        <v>23</v>
      </c>
      <c r="B2679" s="98" t="s">
        <v>105</v>
      </c>
      <c r="C2679" s="98">
        <v>93</v>
      </c>
      <c r="D2679" s="98">
        <v>250</v>
      </c>
      <c r="E2679" s="157">
        <v>42653.958333333336</v>
      </c>
      <c r="F2679" s="157">
        <v>42654.045138888891</v>
      </c>
      <c r="G2679" s="98">
        <v>240</v>
      </c>
      <c r="H2679" s="98">
        <v>330</v>
      </c>
      <c r="I2679" s="98">
        <v>300</v>
      </c>
      <c r="J2679" s="98" t="s">
        <v>1978</v>
      </c>
      <c r="K2679" s="98" t="s">
        <v>4231</v>
      </c>
      <c r="L2679" s="105" t="str">
        <f t="shared" si="450"/>
        <v>Mill Creek</v>
      </c>
      <c r="M2679" s="105" t="str">
        <f t="shared" si="451"/>
        <v>Derate</v>
      </c>
      <c r="N2679" s="105" t="str">
        <f t="shared" si="452"/>
        <v>Coal</v>
      </c>
      <c r="O2679" s="105">
        <f>IFERROR(VLOOKUP(A2679,Lookup!$J$5:$P$19,7,FALSE),0)</f>
        <v>2</v>
      </c>
      <c r="P2679" s="159">
        <f t="shared" si="453"/>
        <v>2016</v>
      </c>
      <c r="Q2679" s="159">
        <f t="shared" si="454"/>
        <v>10</v>
      </c>
      <c r="R2679" s="160">
        <f t="shared" si="455"/>
        <v>2.0833333333139308</v>
      </c>
      <c r="S2679" s="158">
        <f t="shared" si="456"/>
        <v>0.56818181817652658</v>
      </c>
      <c r="T2679" s="161">
        <f t="shared" si="457"/>
        <v>170.45454545295797</v>
      </c>
      <c r="U2679" s="158">
        <f t="shared" si="459"/>
        <v>81.818181818181813</v>
      </c>
      <c r="V2679" s="160">
        <f t="shared" si="458"/>
        <v>82</v>
      </c>
    </row>
    <row r="2680" spans="1:22" x14ac:dyDescent="0.25">
      <c r="A2680" s="98" t="s">
        <v>23</v>
      </c>
      <c r="B2680" s="98" t="s">
        <v>105</v>
      </c>
      <c r="C2680" s="98">
        <v>94</v>
      </c>
      <c r="D2680" s="98">
        <v>250</v>
      </c>
      <c r="E2680" s="157">
        <v>42655.958333333336</v>
      </c>
      <c r="F2680" s="157">
        <v>42656.134722222225</v>
      </c>
      <c r="G2680" s="98">
        <v>240</v>
      </c>
      <c r="H2680" s="98">
        <v>330</v>
      </c>
      <c r="I2680" s="98">
        <v>300</v>
      </c>
      <c r="J2680" s="98" t="s">
        <v>1978</v>
      </c>
      <c r="K2680" s="98" t="s">
        <v>4231</v>
      </c>
      <c r="L2680" s="105" t="str">
        <f t="shared" si="450"/>
        <v>Mill Creek</v>
      </c>
      <c r="M2680" s="105" t="str">
        <f t="shared" si="451"/>
        <v>Derate</v>
      </c>
      <c r="N2680" s="105" t="str">
        <f t="shared" si="452"/>
        <v>Coal</v>
      </c>
      <c r="O2680" s="105">
        <f>IFERROR(VLOOKUP(A2680,Lookup!$J$5:$P$19,7,FALSE),0)</f>
        <v>2</v>
      </c>
      <c r="P2680" s="159">
        <f t="shared" si="453"/>
        <v>2016</v>
      </c>
      <c r="Q2680" s="159">
        <f t="shared" si="454"/>
        <v>10</v>
      </c>
      <c r="R2680" s="160">
        <f t="shared" si="455"/>
        <v>4.2333333333372138</v>
      </c>
      <c r="S2680" s="158">
        <f t="shared" si="456"/>
        <v>1.1545454545465128</v>
      </c>
      <c r="T2680" s="161">
        <f t="shared" si="457"/>
        <v>346.36363636395384</v>
      </c>
      <c r="U2680" s="158">
        <f t="shared" si="459"/>
        <v>81.818181818181813</v>
      </c>
      <c r="V2680" s="160">
        <f t="shared" si="458"/>
        <v>82</v>
      </c>
    </row>
    <row r="2681" spans="1:22" x14ac:dyDescent="0.25">
      <c r="A2681" s="98" t="s">
        <v>23</v>
      </c>
      <c r="B2681" s="98" t="s">
        <v>17</v>
      </c>
      <c r="C2681" s="98">
        <v>95</v>
      </c>
      <c r="D2681" s="98">
        <v>331</v>
      </c>
      <c r="E2681" s="157">
        <v>42662.979166666664</v>
      </c>
      <c r="F2681" s="157">
        <v>42663.066666666666</v>
      </c>
      <c r="G2681" s="98">
        <v>240</v>
      </c>
      <c r="H2681" s="98">
        <v>330</v>
      </c>
      <c r="I2681" s="98">
        <v>300</v>
      </c>
      <c r="J2681" s="98" t="s">
        <v>2101</v>
      </c>
      <c r="K2681" s="98" t="s">
        <v>4232</v>
      </c>
      <c r="L2681" s="105" t="str">
        <f t="shared" si="450"/>
        <v>Mill Creek</v>
      </c>
      <c r="M2681" s="105" t="str">
        <f t="shared" si="451"/>
        <v>Derate</v>
      </c>
      <c r="N2681" s="105" t="str">
        <f t="shared" si="452"/>
        <v>Coal</v>
      </c>
      <c r="O2681" s="105">
        <f>IFERROR(VLOOKUP(A2681,Lookup!$J$5:$P$19,7,FALSE),0)</f>
        <v>2</v>
      </c>
      <c r="P2681" s="159">
        <f t="shared" si="453"/>
        <v>2016</v>
      </c>
      <c r="Q2681" s="159">
        <f t="shared" si="454"/>
        <v>10</v>
      </c>
      <c r="R2681" s="160">
        <f t="shared" si="455"/>
        <v>2.1000000000349246</v>
      </c>
      <c r="S2681" s="158">
        <f t="shared" si="456"/>
        <v>0.57272727273679758</v>
      </c>
      <c r="T2681" s="161">
        <f t="shared" si="457"/>
        <v>171.81818182103927</v>
      </c>
      <c r="U2681" s="158">
        <f t="shared" si="459"/>
        <v>81.818181818181813</v>
      </c>
      <c r="V2681" s="160">
        <f t="shared" si="458"/>
        <v>82</v>
      </c>
    </row>
    <row r="2682" spans="1:22" x14ac:dyDescent="0.25">
      <c r="A2682" s="98" t="s">
        <v>23</v>
      </c>
      <c r="B2682" s="98" t="s">
        <v>105</v>
      </c>
      <c r="C2682" s="98">
        <v>96</v>
      </c>
      <c r="D2682" s="98">
        <v>253</v>
      </c>
      <c r="E2682" s="157">
        <v>42682.958333333336</v>
      </c>
      <c r="F2682" s="157">
        <v>42683.178472222222</v>
      </c>
      <c r="G2682" s="98">
        <v>240</v>
      </c>
      <c r="H2682" s="98">
        <v>330</v>
      </c>
      <c r="I2682" s="98">
        <v>300</v>
      </c>
      <c r="J2682" s="98" t="s">
        <v>1999</v>
      </c>
      <c r="K2682" s="98" t="s">
        <v>4233</v>
      </c>
      <c r="L2682" s="105" t="str">
        <f t="shared" si="450"/>
        <v>Mill Creek</v>
      </c>
      <c r="M2682" s="105" t="str">
        <f t="shared" si="451"/>
        <v>Derate</v>
      </c>
      <c r="N2682" s="105" t="str">
        <f t="shared" si="452"/>
        <v>Coal</v>
      </c>
      <c r="O2682" s="105">
        <f>IFERROR(VLOOKUP(A2682,Lookup!$J$5:$P$19,7,FALSE),0)</f>
        <v>2</v>
      </c>
      <c r="P2682" s="159">
        <f t="shared" si="453"/>
        <v>2016</v>
      </c>
      <c r="Q2682" s="159">
        <f t="shared" si="454"/>
        <v>11</v>
      </c>
      <c r="R2682" s="160">
        <f t="shared" si="455"/>
        <v>5.2833333332673647</v>
      </c>
      <c r="S2682" s="158">
        <f t="shared" si="456"/>
        <v>1.4409090908910995</v>
      </c>
      <c r="T2682" s="161">
        <f t="shared" si="457"/>
        <v>432.27272726732986</v>
      </c>
      <c r="U2682" s="158">
        <f t="shared" si="459"/>
        <v>81.818181818181813</v>
      </c>
      <c r="V2682" s="160">
        <f t="shared" si="458"/>
        <v>82</v>
      </c>
    </row>
    <row r="2683" spans="1:22" x14ac:dyDescent="0.25">
      <c r="A2683" s="98" t="s">
        <v>23</v>
      </c>
      <c r="B2683" s="98" t="s">
        <v>105</v>
      </c>
      <c r="C2683" s="98">
        <v>97</v>
      </c>
      <c r="D2683" s="98">
        <v>250</v>
      </c>
      <c r="E2683" s="157">
        <v>42689.958333333336</v>
      </c>
      <c r="F2683" s="157">
        <v>42690.256249999999</v>
      </c>
      <c r="G2683" s="98">
        <v>240</v>
      </c>
      <c r="H2683" s="98">
        <v>330</v>
      </c>
      <c r="I2683" s="98">
        <v>300</v>
      </c>
      <c r="J2683" s="98" t="s">
        <v>1978</v>
      </c>
      <c r="K2683" s="98" t="s">
        <v>4234</v>
      </c>
      <c r="L2683" s="105" t="str">
        <f t="shared" si="450"/>
        <v>Mill Creek</v>
      </c>
      <c r="M2683" s="105" t="str">
        <f t="shared" si="451"/>
        <v>Derate</v>
      </c>
      <c r="N2683" s="105" t="str">
        <f t="shared" si="452"/>
        <v>Coal</v>
      </c>
      <c r="O2683" s="105">
        <f>IFERROR(VLOOKUP(A2683,Lookup!$J$5:$P$19,7,FALSE),0)</f>
        <v>2</v>
      </c>
      <c r="P2683" s="159">
        <f t="shared" si="453"/>
        <v>2016</v>
      </c>
      <c r="Q2683" s="159">
        <f t="shared" si="454"/>
        <v>11</v>
      </c>
      <c r="R2683" s="160">
        <f t="shared" si="455"/>
        <v>7.1499999999068677</v>
      </c>
      <c r="S2683" s="158">
        <f t="shared" si="456"/>
        <v>1.9499999999746003</v>
      </c>
      <c r="T2683" s="161">
        <f t="shared" si="457"/>
        <v>584.99999999238003</v>
      </c>
      <c r="U2683" s="158">
        <f t="shared" si="459"/>
        <v>81.818181818181813</v>
      </c>
      <c r="V2683" s="160">
        <f t="shared" si="458"/>
        <v>82</v>
      </c>
    </row>
    <row r="2684" spans="1:22" x14ac:dyDescent="0.25">
      <c r="A2684" s="98" t="s">
        <v>23</v>
      </c>
      <c r="B2684" s="98" t="s">
        <v>105</v>
      </c>
      <c r="C2684" s="98">
        <v>98</v>
      </c>
      <c r="D2684" s="98">
        <v>250</v>
      </c>
      <c r="E2684" s="157">
        <v>42690.916666666664</v>
      </c>
      <c r="F2684" s="157">
        <v>42691.207638888889</v>
      </c>
      <c r="G2684" s="98">
        <v>240</v>
      </c>
      <c r="H2684" s="98">
        <v>330</v>
      </c>
      <c r="I2684" s="98">
        <v>300</v>
      </c>
      <c r="J2684" s="98" t="s">
        <v>1978</v>
      </c>
      <c r="K2684" s="98" t="s">
        <v>4235</v>
      </c>
      <c r="L2684" s="105" t="str">
        <f t="shared" si="450"/>
        <v>Mill Creek</v>
      </c>
      <c r="M2684" s="105" t="str">
        <f t="shared" si="451"/>
        <v>Derate</v>
      </c>
      <c r="N2684" s="105" t="str">
        <f t="shared" si="452"/>
        <v>Coal</v>
      </c>
      <c r="O2684" s="105">
        <f>IFERROR(VLOOKUP(A2684,Lookup!$J$5:$P$19,7,FALSE),0)</f>
        <v>2</v>
      </c>
      <c r="P2684" s="159">
        <f t="shared" si="453"/>
        <v>2016</v>
      </c>
      <c r="Q2684" s="159">
        <f t="shared" si="454"/>
        <v>11</v>
      </c>
      <c r="R2684" s="160">
        <f t="shared" si="455"/>
        <v>6.9833333333954215</v>
      </c>
      <c r="S2684" s="158">
        <f t="shared" si="456"/>
        <v>1.9045454545623877</v>
      </c>
      <c r="T2684" s="161">
        <f t="shared" si="457"/>
        <v>571.36363636871624</v>
      </c>
      <c r="U2684" s="158">
        <f t="shared" si="459"/>
        <v>81.818181818181813</v>
      </c>
      <c r="V2684" s="160">
        <f t="shared" si="458"/>
        <v>82</v>
      </c>
    </row>
    <row r="2685" spans="1:22" x14ac:dyDescent="0.25">
      <c r="A2685" s="98" t="s">
        <v>23</v>
      </c>
      <c r="B2685" s="98" t="s">
        <v>79</v>
      </c>
      <c r="C2685" s="98">
        <v>99</v>
      </c>
      <c r="D2685" s="98">
        <v>920</v>
      </c>
      <c r="E2685" s="157">
        <v>42695.920138888891</v>
      </c>
      <c r="F2685" s="157">
        <v>42696.196527777778</v>
      </c>
      <c r="G2685" s="98">
        <v>0</v>
      </c>
      <c r="H2685" s="98">
        <v>330</v>
      </c>
      <c r="I2685" s="98">
        <v>300</v>
      </c>
      <c r="J2685" s="98" t="s">
        <v>1974</v>
      </c>
      <c r="K2685" s="98" t="s">
        <v>4236</v>
      </c>
      <c r="L2685" s="105" t="str">
        <f t="shared" si="450"/>
        <v>Mill Creek</v>
      </c>
      <c r="M2685" s="105" t="str">
        <f t="shared" si="451"/>
        <v>Other</v>
      </c>
      <c r="N2685" s="105" t="str">
        <f t="shared" si="452"/>
        <v>Coal</v>
      </c>
      <c r="O2685" s="105">
        <f>IFERROR(VLOOKUP(A2685,Lookup!$J$5:$P$19,7,FALSE),0)</f>
        <v>2</v>
      </c>
      <c r="P2685" s="159">
        <f t="shared" si="453"/>
        <v>2016</v>
      </c>
      <c r="Q2685" s="159">
        <f t="shared" si="454"/>
        <v>11</v>
      </c>
      <c r="R2685" s="160">
        <f t="shared" si="455"/>
        <v>6.6333333333022892</v>
      </c>
      <c r="S2685" s="158">
        <f t="shared" si="456"/>
        <v>6.6333333333022892</v>
      </c>
      <c r="T2685" s="161">
        <f t="shared" si="457"/>
        <v>1989.9999999906868</v>
      </c>
      <c r="U2685" s="158">
        <f t="shared" si="459"/>
        <v>300</v>
      </c>
      <c r="V2685" s="160">
        <f t="shared" si="458"/>
        <v>300</v>
      </c>
    </row>
    <row r="2686" spans="1:22" x14ac:dyDescent="0.25">
      <c r="A2686" s="98" t="s">
        <v>23</v>
      </c>
      <c r="B2686" s="98" t="s">
        <v>79</v>
      </c>
      <c r="C2686" s="98">
        <v>100</v>
      </c>
      <c r="D2686" s="98">
        <v>920</v>
      </c>
      <c r="E2686" s="157">
        <v>42696.9375</v>
      </c>
      <c r="F2686" s="157">
        <v>42697.166666666664</v>
      </c>
      <c r="G2686" s="98">
        <v>0</v>
      </c>
      <c r="H2686" s="98">
        <v>330</v>
      </c>
      <c r="I2686" s="98">
        <v>300</v>
      </c>
      <c r="J2686" s="98" t="s">
        <v>1974</v>
      </c>
      <c r="K2686" s="98" t="s">
        <v>4236</v>
      </c>
      <c r="L2686" s="105" t="str">
        <f t="shared" si="450"/>
        <v>Mill Creek</v>
      </c>
      <c r="M2686" s="105" t="str">
        <f t="shared" si="451"/>
        <v>Other</v>
      </c>
      <c r="N2686" s="105" t="str">
        <f t="shared" si="452"/>
        <v>Coal</v>
      </c>
      <c r="O2686" s="105">
        <f>IFERROR(VLOOKUP(A2686,Lookup!$J$5:$P$19,7,FALSE),0)</f>
        <v>2</v>
      </c>
      <c r="P2686" s="159">
        <f t="shared" si="453"/>
        <v>2016</v>
      </c>
      <c r="Q2686" s="159">
        <f t="shared" si="454"/>
        <v>11</v>
      </c>
      <c r="R2686" s="160">
        <f t="shared" si="455"/>
        <v>5.4999999999417923</v>
      </c>
      <c r="S2686" s="158">
        <f t="shared" si="456"/>
        <v>5.4999999999417923</v>
      </c>
      <c r="T2686" s="161">
        <f t="shared" si="457"/>
        <v>1649.9999999825377</v>
      </c>
      <c r="U2686" s="158">
        <f t="shared" si="459"/>
        <v>300</v>
      </c>
      <c r="V2686" s="160">
        <f t="shared" si="458"/>
        <v>300</v>
      </c>
    </row>
    <row r="2687" spans="1:22" x14ac:dyDescent="0.25">
      <c r="A2687" s="98" t="s">
        <v>23</v>
      </c>
      <c r="B2687" s="98" t="s">
        <v>17</v>
      </c>
      <c r="C2687" s="98">
        <v>101</v>
      </c>
      <c r="D2687" s="98">
        <v>250</v>
      </c>
      <c r="E2687" s="157">
        <v>42697.293055555558</v>
      </c>
      <c r="F2687" s="157">
        <v>42697.809027777781</v>
      </c>
      <c r="G2687" s="98">
        <v>240</v>
      </c>
      <c r="H2687" s="98">
        <v>330</v>
      </c>
      <c r="I2687" s="98">
        <v>300</v>
      </c>
      <c r="J2687" s="98" t="s">
        <v>1978</v>
      </c>
      <c r="K2687" s="98" t="s">
        <v>4237</v>
      </c>
      <c r="L2687" s="105" t="str">
        <f t="shared" si="450"/>
        <v>Mill Creek</v>
      </c>
      <c r="M2687" s="105" t="str">
        <f t="shared" si="451"/>
        <v>Derate</v>
      </c>
      <c r="N2687" s="105" t="str">
        <f t="shared" si="452"/>
        <v>Coal</v>
      </c>
      <c r="O2687" s="105">
        <f>IFERROR(VLOOKUP(A2687,Lookup!$J$5:$P$19,7,FALSE),0)</f>
        <v>2</v>
      </c>
      <c r="P2687" s="159">
        <f t="shared" si="453"/>
        <v>2016</v>
      </c>
      <c r="Q2687" s="159">
        <f t="shared" si="454"/>
        <v>11</v>
      </c>
      <c r="R2687" s="160">
        <f t="shared" si="455"/>
        <v>12.383333333360497</v>
      </c>
      <c r="S2687" s="158">
        <f t="shared" si="456"/>
        <v>3.3772727272801357</v>
      </c>
      <c r="T2687" s="161">
        <f t="shared" si="457"/>
        <v>1013.1818181840407</v>
      </c>
      <c r="U2687" s="158">
        <f t="shared" si="459"/>
        <v>81.818181818181813</v>
      </c>
      <c r="V2687" s="160">
        <f t="shared" si="458"/>
        <v>82</v>
      </c>
    </row>
    <row r="2688" spans="1:22" x14ac:dyDescent="0.25">
      <c r="A2688" s="98" t="s">
        <v>23</v>
      </c>
      <c r="B2688" s="98" t="s">
        <v>105</v>
      </c>
      <c r="C2688" s="98">
        <v>102</v>
      </c>
      <c r="D2688" s="98">
        <v>250</v>
      </c>
      <c r="E2688" s="157">
        <v>42700.511805555558</v>
      </c>
      <c r="F2688" s="157">
        <v>42700.5625</v>
      </c>
      <c r="G2688" s="98">
        <v>250</v>
      </c>
      <c r="H2688" s="98">
        <v>330</v>
      </c>
      <c r="I2688" s="98">
        <v>300</v>
      </c>
      <c r="J2688" s="98" t="s">
        <v>1978</v>
      </c>
      <c r="K2688" s="98" t="s">
        <v>4238</v>
      </c>
      <c r="L2688" s="105" t="str">
        <f t="shared" si="450"/>
        <v>Mill Creek</v>
      </c>
      <c r="M2688" s="105" t="str">
        <f t="shared" si="451"/>
        <v>Derate</v>
      </c>
      <c r="N2688" s="105" t="str">
        <f t="shared" si="452"/>
        <v>Coal</v>
      </c>
      <c r="O2688" s="105">
        <f>IFERROR(VLOOKUP(A2688,Lookup!$J$5:$P$19,7,FALSE),0)</f>
        <v>2</v>
      </c>
      <c r="P2688" s="159">
        <f t="shared" si="453"/>
        <v>2016</v>
      </c>
      <c r="Q2688" s="159">
        <f t="shared" si="454"/>
        <v>11</v>
      </c>
      <c r="R2688" s="160">
        <f t="shared" si="455"/>
        <v>1.21666666661622</v>
      </c>
      <c r="S2688" s="158">
        <f t="shared" si="456"/>
        <v>0.29494949493726547</v>
      </c>
      <c r="T2688" s="161">
        <f t="shared" si="457"/>
        <v>88.48484848117964</v>
      </c>
      <c r="U2688" s="158">
        <f t="shared" si="459"/>
        <v>72.727272727272734</v>
      </c>
      <c r="V2688" s="160">
        <f t="shared" si="458"/>
        <v>73</v>
      </c>
    </row>
    <row r="2689" spans="1:22" x14ac:dyDescent="0.25">
      <c r="A2689" s="98" t="s">
        <v>23</v>
      </c>
      <c r="B2689" s="98" t="s">
        <v>105</v>
      </c>
      <c r="C2689" s="98">
        <v>103</v>
      </c>
      <c r="D2689" s="98">
        <v>250</v>
      </c>
      <c r="E2689" s="157">
        <v>42703.9375</v>
      </c>
      <c r="F2689" s="157">
        <v>42704.213194444441</v>
      </c>
      <c r="G2689" s="98">
        <v>240</v>
      </c>
      <c r="H2689" s="98">
        <v>330</v>
      </c>
      <c r="I2689" s="98">
        <v>300</v>
      </c>
      <c r="J2689" s="98" t="s">
        <v>1978</v>
      </c>
      <c r="K2689" s="98" t="s">
        <v>4239</v>
      </c>
      <c r="L2689" s="105" t="str">
        <f t="shared" si="450"/>
        <v>Mill Creek</v>
      </c>
      <c r="M2689" s="105" t="str">
        <f t="shared" si="451"/>
        <v>Derate</v>
      </c>
      <c r="N2689" s="105" t="str">
        <f t="shared" si="452"/>
        <v>Coal</v>
      </c>
      <c r="O2689" s="105">
        <f>IFERROR(VLOOKUP(A2689,Lookup!$J$5:$P$19,7,FALSE),0)</f>
        <v>2</v>
      </c>
      <c r="P2689" s="159">
        <f t="shared" si="453"/>
        <v>2016</v>
      </c>
      <c r="Q2689" s="159">
        <f t="shared" si="454"/>
        <v>11</v>
      </c>
      <c r="R2689" s="160">
        <f t="shared" si="455"/>
        <v>6.6166666665812954</v>
      </c>
      <c r="S2689" s="158">
        <f t="shared" si="456"/>
        <v>1.8045454545221715</v>
      </c>
      <c r="T2689" s="161">
        <f t="shared" si="457"/>
        <v>541.36363635665145</v>
      </c>
      <c r="U2689" s="158">
        <f t="shared" si="459"/>
        <v>81.818181818181813</v>
      </c>
      <c r="V2689" s="160">
        <f t="shared" si="458"/>
        <v>82</v>
      </c>
    </row>
    <row r="2690" spans="1:22" x14ac:dyDescent="0.25">
      <c r="A2690" s="98" t="s">
        <v>23</v>
      </c>
      <c r="B2690" s="98" t="s">
        <v>105</v>
      </c>
      <c r="C2690" s="98">
        <v>104</v>
      </c>
      <c r="D2690" s="98">
        <v>338</v>
      </c>
      <c r="E2690" s="157">
        <v>42704.9375</v>
      </c>
      <c r="F2690" s="157">
        <v>42705.213888888888</v>
      </c>
      <c r="G2690" s="98">
        <v>240</v>
      </c>
      <c r="H2690" s="98">
        <v>330</v>
      </c>
      <c r="I2690" s="98">
        <v>300</v>
      </c>
      <c r="J2690" s="98" t="s">
        <v>1979</v>
      </c>
      <c r="K2690" s="98" t="s">
        <v>4240</v>
      </c>
      <c r="L2690" s="105" t="str">
        <f t="shared" si="450"/>
        <v>Mill Creek</v>
      </c>
      <c r="M2690" s="105" t="str">
        <f t="shared" si="451"/>
        <v>Derate</v>
      </c>
      <c r="N2690" s="105" t="str">
        <f t="shared" si="452"/>
        <v>Coal</v>
      </c>
      <c r="O2690" s="105">
        <f>IFERROR(VLOOKUP(A2690,Lookup!$J$5:$P$19,7,FALSE),0)</f>
        <v>2</v>
      </c>
      <c r="P2690" s="159">
        <f t="shared" si="453"/>
        <v>2016</v>
      </c>
      <c r="Q2690" s="159">
        <f t="shared" si="454"/>
        <v>11</v>
      </c>
      <c r="R2690" s="160">
        <f t="shared" si="455"/>
        <v>6.6333333333022892</v>
      </c>
      <c r="S2690" s="158">
        <f t="shared" si="456"/>
        <v>1.8090909090824425</v>
      </c>
      <c r="T2690" s="161">
        <f t="shared" si="457"/>
        <v>542.72727272473276</v>
      </c>
      <c r="U2690" s="158">
        <f t="shared" si="459"/>
        <v>81.818181818181813</v>
      </c>
      <c r="V2690" s="160">
        <f t="shared" si="458"/>
        <v>82</v>
      </c>
    </row>
    <row r="2691" spans="1:22" x14ac:dyDescent="0.25">
      <c r="A2691" s="98" t="s">
        <v>23</v>
      </c>
      <c r="B2691" s="98" t="s">
        <v>105</v>
      </c>
      <c r="C2691" s="98">
        <v>105</v>
      </c>
      <c r="D2691" s="98">
        <v>250</v>
      </c>
      <c r="E2691" s="157">
        <v>42705.9375</v>
      </c>
      <c r="F2691" s="157">
        <v>42706.218055555553</v>
      </c>
      <c r="G2691" s="98">
        <v>240</v>
      </c>
      <c r="H2691" s="98">
        <v>330</v>
      </c>
      <c r="I2691" s="98">
        <v>300</v>
      </c>
      <c r="J2691" s="98" t="s">
        <v>1978</v>
      </c>
      <c r="K2691" s="98" t="s">
        <v>119</v>
      </c>
      <c r="L2691" s="105" t="str">
        <f t="shared" si="450"/>
        <v>Mill Creek</v>
      </c>
      <c r="M2691" s="105" t="str">
        <f t="shared" si="451"/>
        <v>Derate</v>
      </c>
      <c r="N2691" s="105" t="str">
        <f t="shared" si="452"/>
        <v>Coal</v>
      </c>
      <c r="O2691" s="105">
        <f>IFERROR(VLOOKUP(A2691,Lookup!$J$5:$P$19,7,FALSE),0)</f>
        <v>2</v>
      </c>
      <c r="P2691" s="159">
        <f t="shared" si="453"/>
        <v>2016</v>
      </c>
      <c r="Q2691" s="159">
        <f t="shared" si="454"/>
        <v>12</v>
      </c>
      <c r="R2691" s="160">
        <f t="shared" si="455"/>
        <v>6.7333333332790062</v>
      </c>
      <c r="S2691" s="158">
        <f t="shared" si="456"/>
        <v>1.8363636363488198</v>
      </c>
      <c r="T2691" s="161">
        <f t="shared" si="457"/>
        <v>550.90909090464595</v>
      </c>
      <c r="U2691" s="158">
        <f t="shared" si="459"/>
        <v>81.818181818181813</v>
      </c>
      <c r="V2691" s="160">
        <f t="shared" si="458"/>
        <v>82</v>
      </c>
    </row>
    <row r="2692" spans="1:22" x14ac:dyDescent="0.25">
      <c r="A2692" s="98" t="s">
        <v>23</v>
      </c>
      <c r="B2692" s="98" t="s">
        <v>105</v>
      </c>
      <c r="C2692" s="98">
        <v>106</v>
      </c>
      <c r="D2692" s="98">
        <v>310</v>
      </c>
      <c r="E2692" s="157">
        <v>42709.9375</v>
      </c>
      <c r="F2692" s="157">
        <v>42710.174305555556</v>
      </c>
      <c r="G2692" s="98">
        <v>240</v>
      </c>
      <c r="H2692" s="98">
        <v>330</v>
      </c>
      <c r="I2692" s="98">
        <v>300</v>
      </c>
      <c r="J2692" s="98" t="s">
        <v>1966</v>
      </c>
      <c r="K2692" s="98" t="s">
        <v>4226</v>
      </c>
      <c r="L2692" s="105" t="str">
        <f t="shared" si="450"/>
        <v>Mill Creek</v>
      </c>
      <c r="M2692" s="105" t="str">
        <f t="shared" si="451"/>
        <v>Derate</v>
      </c>
      <c r="N2692" s="105" t="str">
        <f t="shared" si="452"/>
        <v>Coal</v>
      </c>
      <c r="O2692" s="105">
        <f>IFERROR(VLOOKUP(A2692,Lookup!$J$5:$P$19,7,FALSE),0)</f>
        <v>2</v>
      </c>
      <c r="P2692" s="159">
        <f t="shared" si="453"/>
        <v>2016</v>
      </c>
      <c r="Q2692" s="159">
        <f t="shared" si="454"/>
        <v>12</v>
      </c>
      <c r="R2692" s="160">
        <f t="shared" si="455"/>
        <v>5.6833333333488554</v>
      </c>
      <c r="S2692" s="158">
        <f t="shared" si="456"/>
        <v>1.5500000000042333</v>
      </c>
      <c r="T2692" s="161">
        <f t="shared" si="457"/>
        <v>465.00000000127</v>
      </c>
      <c r="U2692" s="158">
        <f t="shared" si="459"/>
        <v>81.818181818181813</v>
      </c>
      <c r="V2692" s="160">
        <f t="shared" si="458"/>
        <v>82</v>
      </c>
    </row>
    <row r="2693" spans="1:22" x14ac:dyDescent="0.25">
      <c r="A2693" s="98" t="s">
        <v>23</v>
      </c>
      <c r="B2693" s="98" t="s">
        <v>17</v>
      </c>
      <c r="C2693" s="98">
        <v>107</v>
      </c>
      <c r="D2693" s="98">
        <v>250</v>
      </c>
      <c r="E2693" s="157">
        <v>42713.240972222222</v>
      </c>
      <c r="F2693" s="157">
        <v>42713.473611111112</v>
      </c>
      <c r="G2693" s="98">
        <v>240</v>
      </c>
      <c r="H2693" s="98">
        <v>330</v>
      </c>
      <c r="I2693" s="98">
        <v>300</v>
      </c>
      <c r="J2693" s="98" t="s">
        <v>1978</v>
      </c>
      <c r="K2693" s="98" t="s">
        <v>4241</v>
      </c>
      <c r="L2693" s="105" t="str">
        <f t="shared" si="450"/>
        <v>Mill Creek</v>
      </c>
      <c r="M2693" s="105" t="str">
        <f t="shared" si="451"/>
        <v>Derate</v>
      </c>
      <c r="N2693" s="105" t="str">
        <f t="shared" si="452"/>
        <v>Coal</v>
      </c>
      <c r="O2693" s="105">
        <f>IFERROR(VLOOKUP(A2693,Lookup!$J$5:$P$19,7,FALSE),0)</f>
        <v>2</v>
      </c>
      <c r="P2693" s="159">
        <f t="shared" si="453"/>
        <v>2016</v>
      </c>
      <c r="Q2693" s="159">
        <f t="shared" si="454"/>
        <v>12</v>
      </c>
      <c r="R2693" s="160">
        <f t="shared" si="455"/>
        <v>5.5833333333721384</v>
      </c>
      <c r="S2693" s="158">
        <f t="shared" si="456"/>
        <v>1.522727272737856</v>
      </c>
      <c r="T2693" s="161">
        <f t="shared" si="457"/>
        <v>456.8181818213568</v>
      </c>
      <c r="U2693" s="158">
        <f t="shared" si="459"/>
        <v>81.818181818181813</v>
      </c>
      <c r="V2693" s="160">
        <f t="shared" si="458"/>
        <v>82</v>
      </c>
    </row>
    <row r="2694" spans="1:22" x14ac:dyDescent="0.25">
      <c r="A2694" s="98" t="s">
        <v>23</v>
      </c>
      <c r="B2694" s="98" t="s">
        <v>105</v>
      </c>
      <c r="C2694" s="98">
        <v>108</v>
      </c>
      <c r="D2694" s="98">
        <v>310</v>
      </c>
      <c r="E2694" s="157">
        <v>42716.964583333334</v>
      </c>
      <c r="F2694" s="157">
        <v>42717.03125</v>
      </c>
      <c r="G2694" s="98">
        <v>240</v>
      </c>
      <c r="H2694" s="98">
        <v>330</v>
      </c>
      <c r="I2694" s="98">
        <v>300</v>
      </c>
      <c r="J2694" s="98" t="s">
        <v>1966</v>
      </c>
      <c r="K2694" s="98" t="s">
        <v>4242</v>
      </c>
      <c r="L2694" s="105" t="str">
        <f t="shared" si="450"/>
        <v>Mill Creek</v>
      </c>
      <c r="M2694" s="105" t="str">
        <f t="shared" si="451"/>
        <v>Derate</v>
      </c>
      <c r="N2694" s="105" t="str">
        <f t="shared" si="452"/>
        <v>Coal</v>
      </c>
      <c r="O2694" s="105">
        <f>IFERROR(VLOOKUP(A2694,Lookup!$J$5:$P$19,7,FALSE),0)</f>
        <v>2</v>
      </c>
      <c r="P2694" s="159">
        <f t="shared" si="453"/>
        <v>2016</v>
      </c>
      <c r="Q2694" s="159">
        <f t="shared" si="454"/>
        <v>12</v>
      </c>
      <c r="R2694" s="160">
        <f t="shared" si="455"/>
        <v>1.5999999999767169</v>
      </c>
      <c r="S2694" s="158">
        <f t="shared" si="456"/>
        <v>0.43636363635728642</v>
      </c>
      <c r="T2694" s="161">
        <f t="shared" si="457"/>
        <v>130.90909090718591</v>
      </c>
      <c r="U2694" s="158">
        <f t="shared" si="459"/>
        <v>81.818181818181813</v>
      </c>
      <c r="V2694" s="160">
        <f t="shared" si="458"/>
        <v>82</v>
      </c>
    </row>
    <row r="2695" spans="1:22" x14ac:dyDescent="0.25">
      <c r="A2695" s="98" t="s">
        <v>23</v>
      </c>
      <c r="B2695" s="98" t="s">
        <v>17</v>
      </c>
      <c r="C2695" s="98">
        <v>109</v>
      </c>
      <c r="D2695" s="98">
        <v>250</v>
      </c>
      <c r="E2695" s="157">
        <v>42719.589583333334</v>
      </c>
      <c r="F2695" s="157">
        <v>42719.660416666666</v>
      </c>
      <c r="G2695" s="98">
        <v>250</v>
      </c>
      <c r="H2695" s="98">
        <v>330</v>
      </c>
      <c r="I2695" s="98">
        <v>300</v>
      </c>
      <c r="J2695" s="98" t="s">
        <v>1978</v>
      </c>
      <c r="K2695" s="98" t="s">
        <v>4241</v>
      </c>
      <c r="L2695" s="105" t="str">
        <f t="shared" si="450"/>
        <v>Mill Creek</v>
      </c>
      <c r="M2695" s="105" t="str">
        <f t="shared" si="451"/>
        <v>Derate</v>
      </c>
      <c r="N2695" s="105" t="str">
        <f t="shared" si="452"/>
        <v>Coal</v>
      </c>
      <c r="O2695" s="105">
        <f>IFERROR(VLOOKUP(A2695,Lookup!$J$5:$P$19,7,FALSE),0)</f>
        <v>2</v>
      </c>
      <c r="P2695" s="159">
        <f t="shared" si="453"/>
        <v>2016</v>
      </c>
      <c r="Q2695" s="159">
        <f t="shared" si="454"/>
        <v>12</v>
      </c>
      <c r="R2695" s="160">
        <f t="shared" si="455"/>
        <v>1.6999999999534339</v>
      </c>
      <c r="S2695" s="158">
        <f t="shared" si="456"/>
        <v>0.41212121210992336</v>
      </c>
      <c r="T2695" s="161">
        <f t="shared" si="457"/>
        <v>123.63636363297701</v>
      </c>
      <c r="U2695" s="158">
        <f t="shared" si="459"/>
        <v>72.727272727272734</v>
      </c>
      <c r="V2695" s="160">
        <f t="shared" si="458"/>
        <v>73</v>
      </c>
    </row>
    <row r="2696" spans="1:22" x14ac:dyDescent="0.25">
      <c r="A2696" s="98" t="s">
        <v>23</v>
      </c>
      <c r="B2696" s="98" t="s">
        <v>79</v>
      </c>
      <c r="C2696" s="98">
        <v>110</v>
      </c>
      <c r="D2696" s="98">
        <v>1190</v>
      </c>
      <c r="E2696" s="157">
        <v>42720.958333333336</v>
      </c>
      <c r="F2696" s="157">
        <v>42721.5</v>
      </c>
      <c r="G2696" s="98">
        <v>0</v>
      </c>
      <c r="H2696" s="98">
        <v>330</v>
      </c>
      <c r="I2696" s="98">
        <v>300</v>
      </c>
      <c r="J2696" s="98" t="s">
        <v>2007</v>
      </c>
      <c r="K2696" s="98" t="s">
        <v>4236</v>
      </c>
      <c r="L2696" s="105" t="str">
        <f t="shared" si="450"/>
        <v>Mill Creek</v>
      </c>
      <c r="M2696" s="105" t="str">
        <f t="shared" si="451"/>
        <v>Other</v>
      </c>
      <c r="N2696" s="105" t="str">
        <f t="shared" si="452"/>
        <v>Coal</v>
      </c>
      <c r="O2696" s="105">
        <f>IFERROR(VLOOKUP(A2696,Lookup!$J$5:$P$19,7,FALSE),0)</f>
        <v>2</v>
      </c>
      <c r="P2696" s="159">
        <f t="shared" si="453"/>
        <v>2016</v>
      </c>
      <c r="Q2696" s="159">
        <f t="shared" si="454"/>
        <v>12</v>
      </c>
      <c r="R2696" s="160">
        <f t="shared" si="455"/>
        <v>12.999999999941792</v>
      </c>
      <c r="S2696" s="158">
        <f t="shared" si="456"/>
        <v>12.999999999941792</v>
      </c>
      <c r="T2696" s="161">
        <f t="shared" si="457"/>
        <v>3899.9999999825377</v>
      </c>
      <c r="U2696" s="158">
        <f t="shared" si="459"/>
        <v>300</v>
      </c>
      <c r="V2696" s="160">
        <f t="shared" si="458"/>
        <v>300</v>
      </c>
    </row>
    <row r="2697" spans="1:22" x14ac:dyDescent="0.25">
      <c r="A2697" s="98" t="s">
        <v>23</v>
      </c>
      <c r="B2697" s="98" t="s">
        <v>17</v>
      </c>
      <c r="C2697" s="98">
        <v>111</v>
      </c>
      <c r="D2697" s="98">
        <v>3111</v>
      </c>
      <c r="E2697" s="157">
        <v>42722.67083333333</v>
      </c>
      <c r="F2697" s="157">
        <v>42723.811111111114</v>
      </c>
      <c r="G2697" s="98">
        <v>270</v>
      </c>
      <c r="H2697" s="98">
        <v>330</v>
      </c>
      <c r="I2697" s="98">
        <v>300</v>
      </c>
      <c r="J2697" s="98" t="s">
        <v>4243</v>
      </c>
      <c r="K2697" s="98" t="s">
        <v>4244</v>
      </c>
      <c r="L2697" s="105" t="str">
        <f t="shared" si="450"/>
        <v>Mill Creek</v>
      </c>
      <c r="M2697" s="105" t="str">
        <f t="shared" si="451"/>
        <v>Derate</v>
      </c>
      <c r="N2697" s="105" t="str">
        <f t="shared" si="452"/>
        <v>Coal</v>
      </c>
      <c r="O2697" s="105">
        <f>IFERROR(VLOOKUP(A2697,Lookup!$J$5:$P$19,7,FALSE),0)</f>
        <v>2</v>
      </c>
      <c r="P2697" s="159">
        <f t="shared" si="453"/>
        <v>2016</v>
      </c>
      <c r="Q2697" s="159">
        <f t="shared" si="454"/>
        <v>12</v>
      </c>
      <c r="R2697" s="160">
        <f t="shared" si="455"/>
        <v>27.366666666814126</v>
      </c>
      <c r="S2697" s="158">
        <f t="shared" si="456"/>
        <v>4.9757575757843862</v>
      </c>
      <c r="T2697" s="161">
        <f t="shared" si="457"/>
        <v>1492.7272727353159</v>
      </c>
      <c r="U2697" s="158">
        <f t="shared" si="459"/>
        <v>54.545454545454547</v>
      </c>
      <c r="V2697" s="160">
        <f t="shared" si="458"/>
        <v>55</v>
      </c>
    </row>
    <row r="2698" spans="1:22" x14ac:dyDescent="0.25">
      <c r="A2698" s="98" t="s">
        <v>23</v>
      </c>
      <c r="B2698" s="98" t="s">
        <v>17</v>
      </c>
      <c r="C2698" s="98">
        <v>112</v>
      </c>
      <c r="D2698" s="98">
        <v>250</v>
      </c>
      <c r="E2698" s="157">
        <v>42723.811111111114</v>
      </c>
      <c r="F2698" s="157">
        <v>42723.875</v>
      </c>
      <c r="G2698" s="98">
        <v>250</v>
      </c>
      <c r="H2698" s="98">
        <v>330</v>
      </c>
      <c r="I2698" s="98">
        <v>300</v>
      </c>
      <c r="J2698" s="98" t="s">
        <v>1978</v>
      </c>
      <c r="K2698" s="98" t="s">
        <v>4245</v>
      </c>
      <c r="L2698" s="105" t="str">
        <f t="shared" si="450"/>
        <v>Mill Creek</v>
      </c>
      <c r="M2698" s="105" t="str">
        <f t="shared" si="451"/>
        <v>Derate</v>
      </c>
      <c r="N2698" s="105" t="str">
        <f t="shared" si="452"/>
        <v>Coal</v>
      </c>
      <c r="O2698" s="105">
        <f>IFERROR(VLOOKUP(A2698,Lookup!$J$5:$P$19,7,FALSE),0)</f>
        <v>2</v>
      </c>
      <c r="P2698" s="159">
        <f t="shared" si="453"/>
        <v>2016</v>
      </c>
      <c r="Q2698" s="159">
        <f t="shared" si="454"/>
        <v>12</v>
      </c>
      <c r="R2698" s="160">
        <f t="shared" si="455"/>
        <v>1.5333333332673647</v>
      </c>
      <c r="S2698" s="158">
        <f t="shared" si="456"/>
        <v>0.37171717170117929</v>
      </c>
      <c r="T2698" s="161">
        <f t="shared" si="457"/>
        <v>111.51515151035379</v>
      </c>
      <c r="U2698" s="158">
        <f t="shared" si="459"/>
        <v>72.727272727272734</v>
      </c>
      <c r="V2698" s="160">
        <f t="shared" si="458"/>
        <v>73</v>
      </c>
    </row>
    <row r="2699" spans="1:22" x14ac:dyDescent="0.25">
      <c r="A2699" s="98" t="s">
        <v>23</v>
      </c>
      <c r="B2699" s="98" t="s">
        <v>17</v>
      </c>
      <c r="C2699" s="98">
        <v>113</v>
      </c>
      <c r="D2699" s="98">
        <v>3111</v>
      </c>
      <c r="E2699" s="157">
        <v>42723.875</v>
      </c>
      <c r="F2699" s="157">
        <v>42723.958333333336</v>
      </c>
      <c r="G2699" s="98">
        <v>270</v>
      </c>
      <c r="H2699" s="98">
        <v>330</v>
      </c>
      <c r="I2699" s="98">
        <v>300</v>
      </c>
      <c r="J2699" s="98" t="s">
        <v>4243</v>
      </c>
      <c r="K2699" s="98" t="s">
        <v>4246</v>
      </c>
      <c r="L2699" s="105" t="str">
        <f t="shared" si="450"/>
        <v>Mill Creek</v>
      </c>
      <c r="M2699" s="105" t="str">
        <f t="shared" si="451"/>
        <v>Derate</v>
      </c>
      <c r="N2699" s="105" t="str">
        <f t="shared" si="452"/>
        <v>Coal</v>
      </c>
      <c r="O2699" s="105">
        <f>IFERROR(VLOOKUP(A2699,Lookup!$J$5:$P$19,7,FALSE),0)</f>
        <v>2</v>
      </c>
      <c r="P2699" s="159">
        <f t="shared" si="453"/>
        <v>2016</v>
      </c>
      <c r="Q2699" s="159">
        <f t="shared" si="454"/>
        <v>12</v>
      </c>
      <c r="R2699" s="160">
        <f t="shared" si="455"/>
        <v>2.0000000000582077</v>
      </c>
      <c r="S2699" s="158">
        <f t="shared" si="456"/>
        <v>0.36363636364694685</v>
      </c>
      <c r="T2699" s="161">
        <f t="shared" si="457"/>
        <v>109.09090909408405</v>
      </c>
      <c r="U2699" s="158">
        <f t="shared" si="459"/>
        <v>54.545454545454547</v>
      </c>
      <c r="V2699" s="160">
        <f t="shared" si="458"/>
        <v>55</v>
      </c>
    </row>
    <row r="2700" spans="1:22" x14ac:dyDescent="0.25">
      <c r="A2700" s="98" t="s">
        <v>23</v>
      </c>
      <c r="B2700" s="98" t="s">
        <v>105</v>
      </c>
      <c r="C2700" s="98">
        <v>114</v>
      </c>
      <c r="D2700" s="98">
        <v>250</v>
      </c>
      <c r="E2700" s="157">
        <v>42723.958333333336</v>
      </c>
      <c r="F2700" s="157">
        <v>42724.204861111109</v>
      </c>
      <c r="G2700" s="98">
        <v>270</v>
      </c>
      <c r="H2700" s="98">
        <v>330</v>
      </c>
      <c r="I2700" s="98">
        <v>300</v>
      </c>
      <c r="J2700" s="98" t="s">
        <v>1978</v>
      </c>
      <c r="K2700" s="98" t="s">
        <v>4231</v>
      </c>
      <c r="L2700" s="105" t="str">
        <f t="shared" si="450"/>
        <v>Mill Creek</v>
      </c>
      <c r="M2700" s="105" t="str">
        <f t="shared" si="451"/>
        <v>Derate</v>
      </c>
      <c r="N2700" s="105" t="str">
        <f t="shared" si="452"/>
        <v>Coal</v>
      </c>
      <c r="O2700" s="105">
        <f>IFERROR(VLOOKUP(A2700,Lookup!$J$5:$P$19,7,FALSE),0)</f>
        <v>2</v>
      </c>
      <c r="P2700" s="159">
        <f t="shared" si="453"/>
        <v>2016</v>
      </c>
      <c r="Q2700" s="159">
        <f t="shared" si="454"/>
        <v>12</v>
      </c>
      <c r="R2700" s="160">
        <f t="shared" si="455"/>
        <v>5.9166666665696539</v>
      </c>
      <c r="S2700" s="158">
        <f t="shared" si="456"/>
        <v>1.0757575757399371</v>
      </c>
      <c r="T2700" s="161">
        <f t="shared" si="457"/>
        <v>322.72727272198114</v>
      </c>
      <c r="U2700" s="158">
        <f t="shared" si="459"/>
        <v>54.545454545454547</v>
      </c>
      <c r="V2700" s="160">
        <f t="shared" si="458"/>
        <v>55</v>
      </c>
    </row>
    <row r="2701" spans="1:22" x14ac:dyDescent="0.25">
      <c r="A2701" s="98" t="s">
        <v>23</v>
      </c>
      <c r="B2701" s="98" t="s">
        <v>17</v>
      </c>
      <c r="C2701" s="98">
        <v>115</v>
      </c>
      <c r="D2701" s="98">
        <v>3111</v>
      </c>
      <c r="E2701" s="157">
        <v>42724.204861111109</v>
      </c>
      <c r="F2701" s="157">
        <v>42725.601388888892</v>
      </c>
      <c r="G2701" s="98">
        <v>270</v>
      </c>
      <c r="H2701" s="98">
        <v>330</v>
      </c>
      <c r="I2701" s="98">
        <v>300</v>
      </c>
      <c r="J2701" s="98" t="s">
        <v>4243</v>
      </c>
      <c r="K2701" s="98" t="s">
        <v>4246</v>
      </c>
      <c r="L2701" s="105" t="str">
        <f t="shared" si="450"/>
        <v>Mill Creek</v>
      </c>
      <c r="M2701" s="105" t="str">
        <f t="shared" si="451"/>
        <v>Derate</v>
      </c>
      <c r="N2701" s="105" t="str">
        <f t="shared" si="452"/>
        <v>Coal</v>
      </c>
      <c r="O2701" s="105">
        <f>IFERROR(VLOOKUP(A2701,Lookup!$J$5:$P$19,7,FALSE),0)</f>
        <v>2</v>
      </c>
      <c r="P2701" s="159">
        <f t="shared" si="453"/>
        <v>2016</v>
      </c>
      <c r="Q2701" s="159">
        <f t="shared" si="454"/>
        <v>12</v>
      </c>
      <c r="R2701" s="160">
        <f t="shared" si="455"/>
        <v>33.516666666779201</v>
      </c>
      <c r="S2701" s="158">
        <f t="shared" si="456"/>
        <v>6.0939393939598547</v>
      </c>
      <c r="T2701" s="161">
        <f t="shared" si="457"/>
        <v>1828.1818181879564</v>
      </c>
      <c r="U2701" s="158">
        <f t="shared" si="459"/>
        <v>54.545454545454547</v>
      </c>
      <c r="V2701" s="160">
        <f t="shared" si="458"/>
        <v>55</v>
      </c>
    </row>
    <row r="2702" spans="1:22" x14ac:dyDescent="0.25">
      <c r="A2702" s="98" t="s">
        <v>23</v>
      </c>
      <c r="B2702" s="98" t="s">
        <v>20</v>
      </c>
      <c r="C2702" s="98">
        <v>116</v>
      </c>
      <c r="D2702" s="98">
        <v>3111</v>
      </c>
      <c r="E2702" s="157">
        <v>42725.601388888892</v>
      </c>
      <c r="F2702" s="157">
        <v>42725.853472222225</v>
      </c>
      <c r="G2702" s="98">
        <v>0</v>
      </c>
      <c r="H2702" s="98">
        <v>330</v>
      </c>
      <c r="I2702" s="98">
        <v>300</v>
      </c>
      <c r="J2702" s="98" t="s">
        <v>4243</v>
      </c>
      <c r="K2702" s="98" t="s">
        <v>4247</v>
      </c>
      <c r="L2702" s="105" t="str">
        <f t="shared" si="450"/>
        <v>Mill Creek</v>
      </c>
      <c r="M2702" s="105" t="str">
        <f t="shared" si="451"/>
        <v>Maintenance</v>
      </c>
      <c r="N2702" s="105" t="str">
        <f t="shared" si="452"/>
        <v>Coal</v>
      </c>
      <c r="O2702" s="105">
        <f>IFERROR(VLOOKUP(A2702,Lookup!$J$5:$P$19,7,FALSE),0)</f>
        <v>2</v>
      </c>
      <c r="P2702" s="159">
        <f t="shared" si="453"/>
        <v>2016</v>
      </c>
      <c r="Q2702" s="159">
        <f t="shared" si="454"/>
        <v>12</v>
      </c>
      <c r="R2702" s="160">
        <f t="shared" si="455"/>
        <v>6.0499999999883585</v>
      </c>
      <c r="S2702" s="158">
        <f t="shared" si="456"/>
        <v>6.0499999999883585</v>
      </c>
      <c r="T2702" s="161">
        <f t="shared" si="457"/>
        <v>1814.9999999965075</v>
      </c>
      <c r="U2702" s="158">
        <f t="shared" si="459"/>
        <v>300</v>
      </c>
      <c r="V2702" s="160">
        <f t="shared" si="458"/>
        <v>300</v>
      </c>
    </row>
    <row r="2703" spans="1:22" x14ac:dyDescent="0.25">
      <c r="A2703" s="98" t="s">
        <v>23</v>
      </c>
      <c r="B2703" s="98" t="s">
        <v>17</v>
      </c>
      <c r="C2703" s="98">
        <v>117</v>
      </c>
      <c r="D2703" s="98">
        <v>250</v>
      </c>
      <c r="E2703" s="157">
        <v>42731.45</v>
      </c>
      <c r="F2703" s="157">
        <v>42731.61041666667</v>
      </c>
      <c r="G2703" s="98">
        <v>245</v>
      </c>
      <c r="H2703" s="98">
        <v>330</v>
      </c>
      <c r="I2703" s="98">
        <v>300</v>
      </c>
      <c r="J2703" s="98" t="s">
        <v>1978</v>
      </c>
      <c r="K2703" s="98" t="s">
        <v>4248</v>
      </c>
      <c r="L2703" s="105" t="str">
        <f t="shared" si="450"/>
        <v>Mill Creek</v>
      </c>
      <c r="M2703" s="105" t="str">
        <f t="shared" si="451"/>
        <v>Derate</v>
      </c>
      <c r="N2703" s="105" t="str">
        <f t="shared" si="452"/>
        <v>Coal</v>
      </c>
      <c r="O2703" s="105">
        <f>IFERROR(VLOOKUP(A2703,Lookup!$J$5:$P$19,7,FALSE),0)</f>
        <v>2</v>
      </c>
      <c r="P2703" s="159">
        <f t="shared" si="453"/>
        <v>2016</v>
      </c>
      <c r="Q2703" s="159">
        <f t="shared" si="454"/>
        <v>12</v>
      </c>
      <c r="R2703" s="160">
        <f t="shared" si="455"/>
        <v>3.8500000001513399</v>
      </c>
      <c r="S2703" s="158">
        <f t="shared" si="456"/>
        <v>0.99166666670564818</v>
      </c>
      <c r="T2703" s="161">
        <f t="shared" si="457"/>
        <v>297.50000001169445</v>
      </c>
      <c r="U2703" s="158">
        <f t="shared" si="459"/>
        <v>77.272727272727266</v>
      </c>
      <c r="V2703" s="160">
        <f t="shared" si="458"/>
        <v>77</v>
      </c>
    </row>
    <row r="2704" spans="1:22" x14ac:dyDescent="0.25">
      <c r="A2704" s="98" t="s">
        <v>23</v>
      </c>
      <c r="B2704" s="98" t="s">
        <v>17</v>
      </c>
      <c r="C2704" s="98">
        <v>118</v>
      </c>
      <c r="D2704" s="98">
        <v>280</v>
      </c>
      <c r="E2704" s="157">
        <v>42731.658333333333</v>
      </c>
      <c r="F2704" s="157">
        <v>42736</v>
      </c>
      <c r="G2704" s="98">
        <v>245</v>
      </c>
      <c r="H2704" s="98">
        <v>330</v>
      </c>
      <c r="I2704" s="98">
        <v>300</v>
      </c>
      <c r="J2704" s="98" t="s">
        <v>1988</v>
      </c>
      <c r="K2704" s="98" t="s">
        <v>4249</v>
      </c>
      <c r="L2704" s="105" t="str">
        <f t="shared" si="450"/>
        <v>Mill Creek</v>
      </c>
      <c r="M2704" s="105" t="str">
        <f t="shared" si="451"/>
        <v>Derate</v>
      </c>
      <c r="N2704" s="105" t="str">
        <f t="shared" si="452"/>
        <v>Coal</v>
      </c>
      <c r="O2704" s="105">
        <f>IFERROR(VLOOKUP(A2704,Lookup!$J$5:$P$19,7,FALSE),0)</f>
        <v>2</v>
      </c>
      <c r="P2704" s="159">
        <f t="shared" si="453"/>
        <v>2016</v>
      </c>
      <c r="Q2704" s="159">
        <f t="shared" si="454"/>
        <v>12</v>
      </c>
      <c r="R2704" s="160">
        <f t="shared" si="455"/>
        <v>104.20000000001164</v>
      </c>
      <c r="S2704" s="158">
        <f t="shared" si="456"/>
        <v>26.839393939396938</v>
      </c>
      <c r="T2704" s="161">
        <f t="shared" si="457"/>
        <v>8051.8181818190815</v>
      </c>
      <c r="U2704" s="158">
        <f t="shared" si="459"/>
        <v>77.272727272727266</v>
      </c>
      <c r="V2704" s="160">
        <f t="shared" si="458"/>
        <v>77</v>
      </c>
    </row>
    <row r="2705" spans="1:22" x14ac:dyDescent="0.25">
      <c r="A2705" s="98" t="s">
        <v>23</v>
      </c>
      <c r="B2705" s="98" t="s">
        <v>17</v>
      </c>
      <c r="C2705" s="98">
        <v>1</v>
      </c>
      <c r="D2705" s="98">
        <v>280</v>
      </c>
      <c r="E2705" s="157">
        <v>42736</v>
      </c>
      <c r="F2705" s="157">
        <v>42738.045138888891</v>
      </c>
      <c r="G2705" s="98">
        <v>245</v>
      </c>
      <c r="H2705" s="98">
        <v>330</v>
      </c>
      <c r="I2705" s="98">
        <v>300</v>
      </c>
      <c r="J2705" s="98" t="s">
        <v>1988</v>
      </c>
      <c r="K2705" s="98" t="s">
        <v>4250</v>
      </c>
      <c r="L2705" s="105" t="str">
        <f t="shared" si="450"/>
        <v>Mill Creek</v>
      </c>
      <c r="M2705" s="105" t="str">
        <f t="shared" si="451"/>
        <v>Derate</v>
      </c>
      <c r="N2705" s="105" t="str">
        <f t="shared" si="452"/>
        <v>Coal</v>
      </c>
      <c r="O2705" s="105">
        <f>IFERROR(VLOOKUP(A2705,Lookup!$J$5:$P$19,7,FALSE),0)</f>
        <v>2</v>
      </c>
      <c r="P2705" s="159">
        <f t="shared" si="453"/>
        <v>2017</v>
      </c>
      <c r="Q2705" s="159">
        <f t="shared" si="454"/>
        <v>1</v>
      </c>
      <c r="R2705" s="160">
        <f t="shared" si="455"/>
        <v>49.083333333372138</v>
      </c>
      <c r="S2705" s="158">
        <f t="shared" si="456"/>
        <v>12.642676767686764</v>
      </c>
      <c r="T2705" s="161">
        <f t="shared" si="457"/>
        <v>3792.8030303060291</v>
      </c>
      <c r="U2705" s="158">
        <f t="shared" si="459"/>
        <v>77.272727272727266</v>
      </c>
      <c r="V2705" s="160">
        <f t="shared" si="458"/>
        <v>77</v>
      </c>
    </row>
    <row r="2706" spans="1:22" x14ac:dyDescent="0.25">
      <c r="A2706" s="98" t="s">
        <v>23</v>
      </c>
      <c r="B2706" s="98" t="s">
        <v>17</v>
      </c>
      <c r="C2706" s="98">
        <v>2</v>
      </c>
      <c r="D2706" s="98">
        <v>280</v>
      </c>
      <c r="E2706" s="157">
        <v>42738.045138888891</v>
      </c>
      <c r="F2706" s="157">
        <v>42738.205555555556</v>
      </c>
      <c r="G2706" s="98">
        <v>175</v>
      </c>
      <c r="H2706" s="98">
        <v>330</v>
      </c>
      <c r="I2706" s="98">
        <v>300</v>
      </c>
      <c r="J2706" s="98" t="s">
        <v>1988</v>
      </c>
      <c r="K2706" s="98" t="s">
        <v>4251</v>
      </c>
      <c r="L2706" s="105" t="str">
        <f t="shared" si="450"/>
        <v>Mill Creek</v>
      </c>
      <c r="M2706" s="105" t="str">
        <f t="shared" si="451"/>
        <v>Derate</v>
      </c>
      <c r="N2706" s="105" t="str">
        <f t="shared" si="452"/>
        <v>Coal</v>
      </c>
      <c r="O2706" s="105">
        <f>IFERROR(VLOOKUP(A2706,Lookup!$J$5:$P$19,7,FALSE),0)</f>
        <v>2</v>
      </c>
      <c r="P2706" s="159">
        <f t="shared" si="453"/>
        <v>2017</v>
      </c>
      <c r="Q2706" s="159">
        <f t="shared" si="454"/>
        <v>1</v>
      </c>
      <c r="R2706" s="160">
        <f t="shared" si="455"/>
        <v>3.8499999999767169</v>
      </c>
      <c r="S2706" s="158">
        <f t="shared" si="456"/>
        <v>1.8083333333223974</v>
      </c>
      <c r="T2706" s="161">
        <f t="shared" si="457"/>
        <v>542.49999999671923</v>
      </c>
      <c r="U2706" s="158">
        <f t="shared" si="459"/>
        <v>140.90909090909091</v>
      </c>
      <c r="V2706" s="160">
        <f t="shared" si="458"/>
        <v>141</v>
      </c>
    </row>
    <row r="2707" spans="1:22" x14ac:dyDescent="0.25">
      <c r="A2707" s="98" t="s">
        <v>23</v>
      </c>
      <c r="B2707" s="98" t="s">
        <v>17</v>
      </c>
      <c r="C2707" s="98">
        <v>3</v>
      </c>
      <c r="D2707" s="98">
        <v>280</v>
      </c>
      <c r="E2707" s="157">
        <v>42738.205555555556</v>
      </c>
      <c r="F2707" s="157">
        <v>42742.035416666666</v>
      </c>
      <c r="G2707" s="98">
        <v>245</v>
      </c>
      <c r="H2707" s="98">
        <v>330</v>
      </c>
      <c r="I2707" s="98">
        <v>300</v>
      </c>
      <c r="J2707" s="98" t="s">
        <v>1988</v>
      </c>
      <c r="K2707" s="98" t="s">
        <v>4252</v>
      </c>
      <c r="L2707" s="105" t="str">
        <f t="shared" si="450"/>
        <v>Mill Creek</v>
      </c>
      <c r="M2707" s="105" t="str">
        <f t="shared" si="451"/>
        <v>Derate</v>
      </c>
      <c r="N2707" s="105" t="str">
        <f t="shared" si="452"/>
        <v>Coal</v>
      </c>
      <c r="O2707" s="105">
        <f>IFERROR(VLOOKUP(A2707,Lookup!$J$5:$P$19,7,FALSE),0)</f>
        <v>2</v>
      </c>
      <c r="P2707" s="159">
        <f t="shared" si="453"/>
        <v>2017</v>
      </c>
      <c r="Q2707" s="159">
        <f t="shared" si="454"/>
        <v>1</v>
      </c>
      <c r="R2707" s="160">
        <f t="shared" si="455"/>
        <v>91.916666666627862</v>
      </c>
      <c r="S2707" s="158">
        <f t="shared" si="456"/>
        <v>23.675505050495055</v>
      </c>
      <c r="T2707" s="161">
        <f t="shared" si="457"/>
        <v>7102.6515151485164</v>
      </c>
      <c r="U2707" s="158">
        <f t="shared" si="459"/>
        <v>77.272727272727266</v>
      </c>
      <c r="V2707" s="160">
        <f t="shared" si="458"/>
        <v>77</v>
      </c>
    </row>
    <row r="2708" spans="1:22" x14ac:dyDescent="0.25">
      <c r="A2708" s="98" t="s">
        <v>23</v>
      </c>
      <c r="B2708" s="98" t="s">
        <v>79</v>
      </c>
      <c r="C2708" s="98">
        <v>4</v>
      </c>
      <c r="D2708" s="98">
        <v>1100</v>
      </c>
      <c r="E2708" s="157">
        <v>42743.534722222219</v>
      </c>
      <c r="F2708" s="157">
        <v>42743.691666666666</v>
      </c>
      <c r="G2708" s="98">
        <v>0</v>
      </c>
      <c r="H2708" s="98">
        <v>330</v>
      </c>
      <c r="I2708" s="98">
        <v>300</v>
      </c>
      <c r="J2708" s="98" t="s">
        <v>2038</v>
      </c>
      <c r="K2708" s="98" t="s">
        <v>4236</v>
      </c>
      <c r="L2708" s="105" t="str">
        <f t="shared" si="450"/>
        <v>Mill Creek</v>
      </c>
      <c r="M2708" s="105" t="str">
        <f t="shared" si="451"/>
        <v>Other</v>
      </c>
      <c r="N2708" s="105" t="str">
        <f t="shared" si="452"/>
        <v>Coal</v>
      </c>
      <c r="O2708" s="105">
        <f>IFERROR(VLOOKUP(A2708,Lookup!$J$5:$P$19,7,FALSE),0)</f>
        <v>2</v>
      </c>
      <c r="P2708" s="159">
        <f t="shared" si="453"/>
        <v>2017</v>
      </c>
      <c r="Q2708" s="159">
        <f t="shared" si="454"/>
        <v>1</v>
      </c>
      <c r="R2708" s="160">
        <f t="shared" si="455"/>
        <v>3.7666666667209938</v>
      </c>
      <c r="S2708" s="158">
        <f t="shared" si="456"/>
        <v>3.7666666667209938</v>
      </c>
      <c r="T2708" s="161">
        <f t="shared" si="457"/>
        <v>1130.0000000162981</v>
      </c>
      <c r="U2708" s="158">
        <f t="shared" si="459"/>
        <v>300</v>
      </c>
      <c r="V2708" s="160">
        <f t="shared" si="458"/>
        <v>300</v>
      </c>
    </row>
    <row r="2709" spans="1:22" x14ac:dyDescent="0.25">
      <c r="A2709" s="98" t="s">
        <v>23</v>
      </c>
      <c r="B2709" s="98" t="s">
        <v>79</v>
      </c>
      <c r="C2709" s="98">
        <v>5</v>
      </c>
      <c r="D2709" s="98">
        <v>1160</v>
      </c>
      <c r="E2709" s="157">
        <v>42745</v>
      </c>
      <c r="F2709" s="157">
        <v>42745.239583333336</v>
      </c>
      <c r="G2709" s="98">
        <v>0</v>
      </c>
      <c r="H2709" s="98">
        <v>330</v>
      </c>
      <c r="I2709" s="98">
        <v>300</v>
      </c>
      <c r="J2709" s="98" t="s">
        <v>2273</v>
      </c>
      <c r="K2709" s="98" t="s">
        <v>4236</v>
      </c>
      <c r="L2709" s="105" t="str">
        <f t="shared" si="450"/>
        <v>Mill Creek</v>
      </c>
      <c r="M2709" s="105" t="str">
        <f t="shared" si="451"/>
        <v>Other</v>
      </c>
      <c r="N2709" s="105" t="str">
        <f t="shared" si="452"/>
        <v>Coal</v>
      </c>
      <c r="O2709" s="105">
        <f>IFERROR(VLOOKUP(A2709,Lookup!$J$5:$P$19,7,FALSE),0)</f>
        <v>2</v>
      </c>
      <c r="P2709" s="159">
        <f t="shared" si="453"/>
        <v>2017</v>
      </c>
      <c r="Q2709" s="159">
        <f t="shared" si="454"/>
        <v>1</v>
      </c>
      <c r="R2709" s="160">
        <f t="shared" si="455"/>
        <v>5.7500000000582077</v>
      </c>
      <c r="S2709" s="158">
        <f t="shared" si="456"/>
        <v>5.7500000000582077</v>
      </c>
      <c r="T2709" s="161">
        <f t="shared" si="457"/>
        <v>1725.0000000174623</v>
      </c>
      <c r="U2709" s="158">
        <f t="shared" si="459"/>
        <v>300</v>
      </c>
      <c r="V2709" s="160">
        <f t="shared" si="458"/>
        <v>300</v>
      </c>
    </row>
    <row r="2710" spans="1:22" x14ac:dyDescent="0.25">
      <c r="A2710" s="98" t="s">
        <v>23</v>
      </c>
      <c r="B2710" s="98" t="s">
        <v>17</v>
      </c>
      <c r="C2710" s="98">
        <v>6</v>
      </c>
      <c r="D2710" s="98">
        <v>1160</v>
      </c>
      <c r="E2710" s="157">
        <v>42745.788888888892</v>
      </c>
      <c r="F2710" s="157">
        <v>42746.388888888891</v>
      </c>
      <c r="G2710" s="98">
        <v>130</v>
      </c>
      <c r="H2710" s="98">
        <v>330</v>
      </c>
      <c r="I2710" s="98">
        <v>300</v>
      </c>
      <c r="J2710" s="98" t="s">
        <v>2273</v>
      </c>
      <c r="K2710" s="98" t="s">
        <v>4236</v>
      </c>
      <c r="L2710" s="105" t="str">
        <f t="shared" si="450"/>
        <v>Mill Creek</v>
      </c>
      <c r="M2710" s="105" t="str">
        <f t="shared" si="451"/>
        <v>Derate</v>
      </c>
      <c r="N2710" s="105" t="str">
        <f t="shared" si="452"/>
        <v>Coal</v>
      </c>
      <c r="O2710" s="105">
        <f>IFERROR(VLOOKUP(A2710,Lookup!$J$5:$P$19,7,FALSE),0)</f>
        <v>2</v>
      </c>
      <c r="P2710" s="159">
        <f t="shared" si="453"/>
        <v>2017</v>
      </c>
      <c r="Q2710" s="159">
        <f t="shared" si="454"/>
        <v>1</v>
      </c>
      <c r="R2710" s="160">
        <f t="shared" si="455"/>
        <v>14.399999999965075</v>
      </c>
      <c r="S2710" s="158">
        <f t="shared" si="456"/>
        <v>8.7272727272515613</v>
      </c>
      <c r="T2710" s="161">
        <f t="shared" si="457"/>
        <v>2618.1818181754684</v>
      </c>
      <c r="U2710" s="158">
        <f t="shared" si="459"/>
        <v>181.81818181818181</v>
      </c>
      <c r="V2710" s="160">
        <f t="shared" si="458"/>
        <v>182</v>
      </c>
    </row>
    <row r="2711" spans="1:22" x14ac:dyDescent="0.25">
      <c r="A2711" s="98" t="s">
        <v>23</v>
      </c>
      <c r="B2711" s="98" t="s">
        <v>15</v>
      </c>
      <c r="C2711" s="98">
        <v>7</v>
      </c>
      <c r="D2711" s="98">
        <v>1160</v>
      </c>
      <c r="E2711" s="157">
        <v>42746.388888888891</v>
      </c>
      <c r="F2711" s="157">
        <v>42748.838194444441</v>
      </c>
      <c r="G2711" s="98">
        <v>0</v>
      </c>
      <c r="H2711" s="98">
        <v>330</v>
      </c>
      <c r="I2711" s="98">
        <v>300</v>
      </c>
      <c r="J2711" s="98" t="s">
        <v>2273</v>
      </c>
      <c r="K2711" s="98" t="s">
        <v>4236</v>
      </c>
      <c r="L2711" s="105" t="str">
        <f t="shared" si="450"/>
        <v>Mill Creek</v>
      </c>
      <c r="M2711" s="105" t="str">
        <f t="shared" si="451"/>
        <v>Outage</v>
      </c>
      <c r="N2711" s="105" t="str">
        <f t="shared" si="452"/>
        <v>Coal</v>
      </c>
      <c r="O2711" s="105">
        <f>IFERROR(VLOOKUP(A2711,Lookup!$J$5:$P$19,7,FALSE),0)</f>
        <v>2</v>
      </c>
      <c r="P2711" s="159">
        <f t="shared" si="453"/>
        <v>2017</v>
      </c>
      <c r="Q2711" s="159">
        <f t="shared" si="454"/>
        <v>1</v>
      </c>
      <c r="R2711" s="160">
        <f t="shared" si="455"/>
        <v>58.783333333209157</v>
      </c>
      <c r="S2711" s="158">
        <f t="shared" si="456"/>
        <v>58.783333333209157</v>
      </c>
      <c r="T2711" s="161">
        <f t="shared" si="457"/>
        <v>17634.999999962747</v>
      </c>
      <c r="U2711" s="158">
        <f t="shared" si="459"/>
        <v>300</v>
      </c>
      <c r="V2711" s="160">
        <f t="shared" si="458"/>
        <v>300</v>
      </c>
    </row>
    <row r="2712" spans="1:22" x14ac:dyDescent="0.25">
      <c r="A2712" s="98" t="s">
        <v>23</v>
      </c>
      <c r="B2712" s="98" t="s">
        <v>79</v>
      </c>
      <c r="C2712" s="98">
        <v>8</v>
      </c>
      <c r="D2712" s="98">
        <v>1850</v>
      </c>
      <c r="E2712" s="157">
        <v>42748.838194444441</v>
      </c>
      <c r="F2712" s="157">
        <v>42749.188888888886</v>
      </c>
      <c r="G2712" s="98">
        <v>0</v>
      </c>
      <c r="H2712" s="98">
        <v>330</v>
      </c>
      <c r="I2712" s="98">
        <v>300</v>
      </c>
      <c r="J2712" s="98" t="s">
        <v>2263</v>
      </c>
      <c r="K2712" s="98" t="s">
        <v>4253</v>
      </c>
      <c r="L2712" s="105" t="str">
        <f t="shared" si="450"/>
        <v>Mill Creek</v>
      </c>
      <c r="M2712" s="105" t="str">
        <f t="shared" si="451"/>
        <v>Other</v>
      </c>
      <c r="N2712" s="105" t="str">
        <f t="shared" si="452"/>
        <v>Coal</v>
      </c>
      <c r="O2712" s="105">
        <f>IFERROR(VLOOKUP(A2712,Lookup!$J$5:$P$19,7,FALSE),0)</f>
        <v>2</v>
      </c>
      <c r="P2712" s="159">
        <f t="shared" si="453"/>
        <v>2017</v>
      </c>
      <c r="Q2712" s="159">
        <f t="shared" si="454"/>
        <v>1</v>
      </c>
      <c r="R2712" s="160">
        <f t="shared" si="455"/>
        <v>8.4166666666860692</v>
      </c>
      <c r="S2712" s="158">
        <f t="shared" si="456"/>
        <v>8.4166666666860692</v>
      </c>
      <c r="T2712" s="161">
        <f t="shared" si="457"/>
        <v>2525.0000000058208</v>
      </c>
      <c r="U2712" s="158">
        <f t="shared" si="459"/>
        <v>300</v>
      </c>
      <c r="V2712" s="160">
        <f t="shared" si="458"/>
        <v>300</v>
      </c>
    </row>
    <row r="2713" spans="1:22" x14ac:dyDescent="0.25">
      <c r="A2713" s="98" t="s">
        <v>23</v>
      </c>
      <c r="B2713" s="98" t="s">
        <v>17</v>
      </c>
      <c r="C2713" s="98">
        <v>9</v>
      </c>
      <c r="D2713" s="98">
        <v>1850</v>
      </c>
      <c r="E2713" s="157">
        <v>42749.188888888886</v>
      </c>
      <c r="F2713" s="157">
        <v>42749.202777777777</v>
      </c>
      <c r="G2713" s="98">
        <v>261</v>
      </c>
      <c r="H2713" s="98">
        <v>330</v>
      </c>
      <c r="I2713" s="98">
        <v>300</v>
      </c>
      <c r="J2713" s="98" t="s">
        <v>2263</v>
      </c>
      <c r="K2713" s="98" t="s">
        <v>62</v>
      </c>
      <c r="L2713" s="105" t="str">
        <f t="shared" si="450"/>
        <v>Mill Creek</v>
      </c>
      <c r="M2713" s="105" t="str">
        <f t="shared" si="451"/>
        <v>Derate</v>
      </c>
      <c r="N2713" s="105" t="str">
        <f t="shared" si="452"/>
        <v>Coal</v>
      </c>
      <c r="O2713" s="105">
        <f>IFERROR(VLOOKUP(A2713,Lookup!$J$5:$P$19,7,FALSE),0)</f>
        <v>2</v>
      </c>
      <c r="P2713" s="159">
        <f t="shared" si="453"/>
        <v>2017</v>
      </c>
      <c r="Q2713" s="159">
        <f t="shared" si="454"/>
        <v>1</v>
      </c>
      <c r="R2713" s="160">
        <f t="shared" si="455"/>
        <v>0.33333333337213844</v>
      </c>
      <c r="S2713" s="158">
        <f t="shared" si="456"/>
        <v>6.9696969705083489E-2</v>
      </c>
      <c r="T2713" s="161">
        <f t="shared" si="457"/>
        <v>20.909090911525048</v>
      </c>
      <c r="U2713" s="158">
        <f t="shared" si="459"/>
        <v>62.727272727272727</v>
      </c>
      <c r="V2713" s="160">
        <f t="shared" si="458"/>
        <v>63</v>
      </c>
    </row>
    <row r="2714" spans="1:22" x14ac:dyDescent="0.25">
      <c r="A2714" s="98" t="s">
        <v>23</v>
      </c>
      <c r="B2714" s="98" t="s">
        <v>17</v>
      </c>
      <c r="C2714" s="98">
        <v>10</v>
      </c>
      <c r="D2714" s="98">
        <v>1850</v>
      </c>
      <c r="E2714" s="157">
        <v>42749.202777777777</v>
      </c>
      <c r="F2714" s="157">
        <v>42749.395833333336</v>
      </c>
      <c r="G2714" s="98">
        <v>275</v>
      </c>
      <c r="H2714" s="98">
        <v>330</v>
      </c>
      <c r="I2714" s="98">
        <v>300</v>
      </c>
      <c r="J2714" s="98" t="s">
        <v>2263</v>
      </c>
      <c r="K2714" s="98" t="s">
        <v>62</v>
      </c>
      <c r="L2714" s="105" t="str">
        <f t="shared" si="450"/>
        <v>Mill Creek</v>
      </c>
      <c r="M2714" s="105" t="str">
        <f t="shared" si="451"/>
        <v>Derate</v>
      </c>
      <c r="N2714" s="105" t="str">
        <f t="shared" si="452"/>
        <v>Coal</v>
      </c>
      <c r="O2714" s="105">
        <f>IFERROR(VLOOKUP(A2714,Lookup!$J$5:$P$19,7,FALSE),0)</f>
        <v>2</v>
      </c>
      <c r="P2714" s="159">
        <f t="shared" si="453"/>
        <v>2017</v>
      </c>
      <c r="Q2714" s="159">
        <f t="shared" si="454"/>
        <v>1</v>
      </c>
      <c r="R2714" s="160">
        <f t="shared" si="455"/>
        <v>4.6333333334187046</v>
      </c>
      <c r="S2714" s="158">
        <f t="shared" si="456"/>
        <v>0.77222222223645076</v>
      </c>
      <c r="T2714" s="161">
        <f t="shared" si="457"/>
        <v>231.66666667093523</v>
      </c>
      <c r="U2714" s="158">
        <f t="shared" si="459"/>
        <v>50</v>
      </c>
      <c r="V2714" s="160">
        <f t="shared" si="458"/>
        <v>50</v>
      </c>
    </row>
    <row r="2715" spans="1:22" x14ac:dyDescent="0.25">
      <c r="A2715" s="98" t="s">
        <v>23</v>
      </c>
      <c r="B2715" s="98" t="s">
        <v>79</v>
      </c>
      <c r="C2715" s="98">
        <v>11</v>
      </c>
      <c r="D2715" s="98">
        <v>8460</v>
      </c>
      <c r="E2715" s="157">
        <v>42753.944444444445</v>
      </c>
      <c r="F2715" s="157">
        <v>42754.065972222219</v>
      </c>
      <c r="G2715" s="98">
        <v>0</v>
      </c>
      <c r="H2715" s="98">
        <v>330</v>
      </c>
      <c r="I2715" s="98">
        <v>300</v>
      </c>
      <c r="J2715" s="98" t="s">
        <v>2651</v>
      </c>
      <c r="K2715" s="98" t="s">
        <v>4254</v>
      </c>
      <c r="L2715" s="105" t="str">
        <f t="shared" si="450"/>
        <v>Mill Creek</v>
      </c>
      <c r="M2715" s="105" t="str">
        <f t="shared" si="451"/>
        <v>Other</v>
      </c>
      <c r="N2715" s="105" t="str">
        <f t="shared" si="452"/>
        <v>Coal</v>
      </c>
      <c r="O2715" s="105">
        <f>IFERROR(VLOOKUP(A2715,Lookup!$J$5:$P$19,7,FALSE),0)</f>
        <v>2</v>
      </c>
      <c r="P2715" s="159">
        <f t="shared" si="453"/>
        <v>2017</v>
      </c>
      <c r="Q2715" s="159">
        <f t="shared" si="454"/>
        <v>1</v>
      </c>
      <c r="R2715" s="160">
        <f t="shared" si="455"/>
        <v>2.9166666665696539</v>
      </c>
      <c r="S2715" s="158">
        <f t="shared" si="456"/>
        <v>2.9166666665696539</v>
      </c>
      <c r="T2715" s="161">
        <f t="shared" si="457"/>
        <v>874.99999997089617</v>
      </c>
      <c r="U2715" s="158">
        <f t="shared" si="459"/>
        <v>300</v>
      </c>
      <c r="V2715" s="160">
        <f t="shared" si="458"/>
        <v>300</v>
      </c>
    </row>
    <row r="2716" spans="1:22" x14ac:dyDescent="0.25">
      <c r="A2716" s="98" t="s">
        <v>23</v>
      </c>
      <c r="B2716" s="98" t="s">
        <v>105</v>
      </c>
      <c r="C2716" s="98">
        <v>12</v>
      </c>
      <c r="D2716" s="98">
        <v>310</v>
      </c>
      <c r="E2716" s="157">
        <v>42759.958333333336</v>
      </c>
      <c r="F2716" s="157">
        <v>42760.201388888891</v>
      </c>
      <c r="G2716" s="98">
        <v>240</v>
      </c>
      <c r="H2716" s="98">
        <v>330</v>
      </c>
      <c r="I2716" s="98">
        <v>300</v>
      </c>
      <c r="J2716" s="98" t="s">
        <v>1966</v>
      </c>
      <c r="K2716" s="98" t="s">
        <v>4255</v>
      </c>
      <c r="L2716" s="105" t="str">
        <f t="shared" si="450"/>
        <v>Mill Creek</v>
      </c>
      <c r="M2716" s="105" t="str">
        <f t="shared" si="451"/>
        <v>Derate</v>
      </c>
      <c r="N2716" s="105" t="str">
        <f t="shared" si="452"/>
        <v>Coal</v>
      </c>
      <c r="O2716" s="105">
        <f>IFERROR(VLOOKUP(A2716,Lookup!$J$5:$P$19,7,FALSE),0)</f>
        <v>2</v>
      </c>
      <c r="P2716" s="159">
        <f t="shared" si="453"/>
        <v>2017</v>
      </c>
      <c r="Q2716" s="159">
        <f t="shared" si="454"/>
        <v>1</v>
      </c>
      <c r="R2716" s="160">
        <f t="shared" si="455"/>
        <v>5.8333333333139308</v>
      </c>
      <c r="S2716" s="158">
        <f t="shared" si="456"/>
        <v>1.5909090909037993</v>
      </c>
      <c r="T2716" s="161">
        <f t="shared" si="457"/>
        <v>477.27272727113979</v>
      </c>
      <c r="U2716" s="158">
        <f t="shared" si="459"/>
        <v>81.818181818181813</v>
      </c>
      <c r="V2716" s="160">
        <f t="shared" si="458"/>
        <v>82</v>
      </c>
    </row>
    <row r="2717" spans="1:22" x14ac:dyDescent="0.25">
      <c r="A2717" s="98" t="s">
        <v>23</v>
      </c>
      <c r="B2717" s="98" t="s">
        <v>105</v>
      </c>
      <c r="C2717" s="98">
        <v>13</v>
      </c>
      <c r="D2717" s="98">
        <v>310</v>
      </c>
      <c r="E2717" s="157">
        <v>42760.958333333336</v>
      </c>
      <c r="F2717" s="157">
        <v>42761.063194444447</v>
      </c>
      <c r="G2717" s="98">
        <v>240</v>
      </c>
      <c r="H2717" s="98">
        <v>330</v>
      </c>
      <c r="I2717" s="98">
        <v>300</v>
      </c>
      <c r="J2717" s="98" t="s">
        <v>1966</v>
      </c>
      <c r="K2717" s="98" t="s">
        <v>4255</v>
      </c>
      <c r="L2717" s="105" t="str">
        <f t="shared" si="450"/>
        <v>Mill Creek</v>
      </c>
      <c r="M2717" s="105" t="str">
        <f t="shared" si="451"/>
        <v>Derate</v>
      </c>
      <c r="N2717" s="105" t="str">
        <f t="shared" si="452"/>
        <v>Coal</v>
      </c>
      <c r="O2717" s="105">
        <f>IFERROR(VLOOKUP(A2717,Lookup!$J$5:$P$19,7,FALSE),0)</f>
        <v>2</v>
      </c>
      <c r="P2717" s="159">
        <f t="shared" si="453"/>
        <v>2017</v>
      </c>
      <c r="Q2717" s="159">
        <f t="shared" si="454"/>
        <v>1</v>
      </c>
      <c r="R2717" s="160">
        <f t="shared" si="455"/>
        <v>2.5166666666627862</v>
      </c>
      <c r="S2717" s="158">
        <f t="shared" si="456"/>
        <v>0.68636363636257802</v>
      </c>
      <c r="T2717" s="161">
        <f t="shared" si="457"/>
        <v>205.90909090877341</v>
      </c>
      <c r="U2717" s="158">
        <f t="shared" si="459"/>
        <v>81.818181818181813</v>
      </c>
      <c r="V2717" s="160">
        <f t="shared" si="458"/>
        <v>82</v>
      </c>
    </row>
    <row r="2718" spans="1:22" x14ac:dyDescent="0.25">
      <c r="A2718" s="98" t="s">
        <v>23</v>
      </c>
      <c r="B2718" s="98" t="s">
        <v>105</v>
      </c>
      <c r="C2718" s="98">
        <v>14</v>
      </c>
      <c r="D2718" s="98">
        <v>310</v>
      </c>
      <c r="E2718" s="157">
        <v>42761.958333333336</v>
      </c>
      <c r="F2718" s="157">
        <v>42762.165277777778</v>
      </c>
      <c r="G2718" s="98">
        <v>245</v>
      </c>
      <c r="H2718" s="98">
        <v>330</v>
      </c>
      <c r="I2718" s="98">
        <v>300</v>
      </c>
      <c r="J2718" s="98" t="s">
        <v>1966</v>
      </c>
      <c r="K2718" s="98" t="s">
        <v>2724</v>
      </c>
      <c r="L2718" s="105" t="str">
        <f t="shared" si="450"/>
        <v>Mill Creek</v>
      </c>
      <c r="M2718" s="105" t="str">
        <f t="shared" si="451"/>
        <v>Derate</v>
      </c>
      <c r="N2718" s="105" t="str">
        <f t="shared" si="452"/>
        <v>Coal</v>
      </c>
      <c r="O2718" s="105">
        <f>IFERROR(VLOOKUP(A2718,Lookup!$J$5:$P$19,7,FALSE),0)</f>
        <v>2</v>
      </c>
      <c r="P2718" s="159">
        <f t="shared" si="453"/>
        <v>2017</v>
      </c>
      <c r="Q2718" s="159">
        <f t="shared" si="454"/>
        <v>1</v>
      </c>
      <c r="R2718" s="160">
        <f t="shared" si="455"/>
        <v>4.96666666661622</v>
      </c>
      <c r="S2718" s="158">
        <f t="shared" si="456"/>
        <v>1.2792929292799355</v>
      </c>
      <c r="T2718" s="161">
        <f t="shared" si="457"/>
        <v>383.78787878398066</v>
      </c>
      <c r="U2718" s="158">
        <f t="shared" si="459"/>
        <v>77.272727272727266</v>
      </c>
      <c r="V2718" s="160">
        <f t="shared" si="458"/>
        <v>77</v>
      </c>
    </row>
    <row r="2719" spans="1:22" x14ac:dyDescent="0.25">
      <c r="A2719" s="98" t="s">
        <v>23</v>
      </c>
      <c r="B2719" s="98" t="s">
        <v>17</v>
      </c>
      <c r="C2719" s="98">
        <v>15</v>
      </c>
      <c r="D2719" s="98">
        <v>360</v>
      </c>
      <c r="E2719" s="157">
        <v>42762.165277777778</v>
      </c>
      <c r="F2719" s="157">
        <v>42762.202777777777</v>
      </c>
      <c r="G2719" s="98">
        <v>176</v>
      </c>
      <c r="H2719" s="98">
        <v>330</v>
      </c>
      <c r="I2719" s="98">
        <v>300</v>
      </c>
      <c r="J2719" s="98" t="s">
        <v>229</v>
      </c>
      <c r="K2719" s="98" t="s">
        <v>4256</v>
      </c>
      <c r="L2719" s="105" t="str">
        <f t="shared" si="450"/>
        <v>Mill Creek</v>
      </c>
      <c r="M2719" s="105" t="str">
        <f t="shared" si="451"/>
        <v>Derate</v>
      </c>
      <c r="N2719" s="105" t="str">
        <f t="shared" si="452"/>
        <v>Coal</v>
      </c>
      <c r="O2719" s="105">
        <f>IFERROR(VLOOKUP(A2719,Lookup!$J$5:$P$19,7,FALSE),0)</f>
        <v>2</v>
      </c>
      <c r="P2719" s="159">
        <f t="shared" si="453"/>
        <v>2017</v>
      </c>
      <c r="Q2719" s="159">
        <f t="shared" si="454"/>
        <v>1</v>
      </c>
      <c r="R2719" s="160">
        <f t="shared" si="455"/>
        <v>0.8999999999650754</v>
      </c>
      <c r="S2719" s="158">
        <f t="shared" si="456"/>
        <v>0.41999999998370185</v>
      </c>
      <c r="T2719" s="161">
        <f t="shared" si="457"/>
        <v>125.99999999511056</v>
      </c>
      <c r="U2719" s="158">
        <f t="shared" si="459"/>
        <v>140</v>
      </c>
      <c r="V2719" s="160">
        <f t="shared" si="458"/>
        <v>140</v>
      </c>
    </row>
    <row r="2720" spans="1:22" x14ac:dyDescent="0.25">
      <c r="A2720" s="98" t="s">
        <v>23</v>
      </c>
      <c r="B2720" s="98" t="s">
        <v>17</v>
      </c>
      <c r="C2720" s="98">
        <v>16</v>
      </c>
      <c r="D2720" s="98">
        <v>360</v>
      </c>
      <c r="E2720" s="157">
        <v>42762.202777777777</v>
      </c>
      <c r="F2720" s="157">
        <v>42762.368750000001</v>
      </c>
      <c r="G2720" s="98">
        <v>250</v>
      </c>
      <c r="H2720" s="98">
        <v>330</v>
      </c>
      <c r="I2720" s="98">
        <v>300</v>
      </c>
      <c r="J2720" s="98" t="s">
        <v>229</v>
      </c>
      <c r="K2720" s="98" t="s">
        <v>4256</v>
      </c>
      <c r="L2720" s="105" t="str">
        <f t="shared" si="450"/>
        <v>Mill Creek</v>
      </c>
      <c r="M2720" s="105" t="str">
        <f t="shared" si="451"/>
        <v>Derate</v>
      </c>
      <c r="N2720" s="105" t="str">
        <f t="shared" si="452"/>
        <v>Coal</v>
      </c>
      <c r="O2720" s="105">
        <f>IFERROR(VLOOKUP(A2720,Lookup!$J$5:$P$19,7,FALSE),0)</f>
        <v>2</v>
      </c>
      <c r="P2720" s="159">
        <f t="shared" si="453"/>
        <v>2017</v>
      </c>
      <c r="Q2720" s="159">
        <f t="shared" si="454"/>
        <v>1</v>
      </c>
      <c r="R2720" s="160">
        <f t="shared" si="455"/>
        <v>3.9833333333954215</v>
      </c>
      <c r="S2720" s="158">
        <f t="shared" si="456"/>
        <v>0.96565656567161728</v>
      </c>
      <c r="T2720" s="161">
        <f t="shared" si="457"/>
        <v>289.69696970148516</v>
      </c>
      <c r="U2720" s="158">
        <f t="shared" si="459"/>
        <v>72.727272727272734</v>
      </c>
      <c r="V2720" s="160">
        <f t="shared" si="458"/>
        <v>73</v>
      </c>
    </row>
    <row r="2721" spans="1:22" x14ac:dyDescent="0.25">
      <c r="A2721" s="98" t="s">
        <v>23</v>
      </c>
      <c r="B2721" s="98" t="s">
        <v>105</v>
      </c>
      <c r="C2721" s="98">
        <v>17</v>
      </c>
      <c r="D2721" s="98">
        <v>310</v>
      </c>
      <c r="E2721" s="157">
        <v>42765.958333333336</v>
      </c>
      <c r="F2721" s="157">
        <v>42766.1875</v>
      </c>
      <c r="G2721" s="98">
        <v>240</v>
      </c>
      <c r="H2721" s="98">
        <v>330</v>
      </c>
      <c r="I2721" s="98">
        <v>300</v>
      </c>
      <c r="J2721" s="98" t="s">
        <v>1966</v>
      </c>
      <c r="K2721" s="98" t="s">
        <v>4226</v>
      </c>
      <c r="L2721" s="105" t="str">
        <f t="shared" si="450"/>
        <v>Mill Creek</v>
      </c>
      <c r="M2721" s="105" t="str">
        <f t="shared" si="451"/>
        <v>Derate</v>
      </c>
      <c r="N2721" s="105" t="str">
        <f t="shared" si="452"/>
        <v>Coal</v>
      </c>
      <c r="O2721" s="105">
        <f>IFERROR(VLOOKUP(A2721,Lookup!$J$5:$P$19,7,FALSE),0)</f>
        <v>2</v>
      </c>
      <c r="P2721" s="159">
        <f t="shared" si="453"/>
        <v>2017</v>
      </c>
      <c r="Q2721" s="159">
        <f t="shared" si="454"/>
        <v>1</v>
      </c>
      <c r="R2721" s="160">
        <f t="shared" si="455"/>
        <v>5.4999999999417923</v>
      </c>
      <c r="S2721" s="158">
        <f t="shared" si="456"/>
        <v>1.4999999999841251</v>
      </c>
      <c r="T2721" s="161">
        <f t="shared" si="457"/>
        <v>449.99999999523754</v>
      </c>
      <c r="U2721" s="158">
        <f t="shared" si="459"/>
        <v>81.818181818181813</v>
      </c>
      <c r="V2721" s="160">
        <f t="shared" si="458"/>
        <v>82</v>
      </c>
    </row>
    <row r="2722" spans="1:22" x14ac:dyDescent="0.25">
      <c r="A2722" s="98" t="s">
        <v>23</v>
      </c>
      <c r="B2722" s="98" t="s">
        <v>105</v>
      </c>
      <c r="C2722" s="98">
        <v>18</v>
      </c>
      <c r="D2722" s="98">
        <v>310</v>
      </c>
      <c r="E2722" s="157">
        <v>42766.958333333336</v>
      </c>
      <c r="F2722" s="157">
        <v>42767.186111111114</v>
      </c>
      <c r="G2722" s="98">
        <v>240</v>
      </c>
      <c r="H2722" s="98">
        <v>330</v>
      </c>
      <c r="I2722" s="98">
        <v>300</v>
      </c>
      <c r="J2722" s="98" t="s">
        <v>1966</v>
      </c>
      <c r="K2722" s="98" t="s">
        <v>4257</v>
      </c>
      <c r="L2722" s="105" t="str">
        <f t="shared" si="450"/>
        <v>Mill Creek</v>
      </c>
      <c r="M2722" s="105" t="str">
        <f t="shared" si="451"/>
        <v>Derate</v>
      </c>
      <c r="N2722" s="105" t="str">
        <f t="shared" si="452"/>
        <v>Coal</v>
      </c>
      <c r="O2722" s="105">
        <f>IFERROR(VLOOKUP(A2722,Lookup!$J$5:$P$19,7,FALSE),0)</f>
        <v>2</v>
      </c>
      <c r="P2722" s="159">
        <f t="shared" si="453"/>
        <v>2017</v>
      </c>
      <c r="Q2722" s="159">
        <f t="shared" si="454"/>
        <v>1</v>
      </c>
      <c r="R2722" s="160">
        <f t="shared" si="455"/>
        <v>5.4666666666744277</v>
      </c>
      <c r="S2722" s="158">
        <f t="shared" si="456"/>
        <v>1.4909090909112075</v>
      </c>
      <c r="T2722" s="161">
        <f t="shared" si="457"/>
        <v>447.27272727336225</v>
      </c>
      <c r="U2722" s="158">
        <f t="shared" si="459"/>
        <v>81.818181818181813</v>
      </c>
      <c r="V2722" s="160">
        <f t="shared" si="458"/>
        <v>82</v>
      </c>
    </row>
    <row r="2723" spans="1:22" x14ac:dyDescent="0.25">
      <c r="A2723" s="98" t="s">
        <v>23</v>
      </c>
      <c r="B2723" s="98" t="s">
        <v>20</v>
      </c>
      <c r="C2723" s="98">
        <v>19</v>
      </c>
      <c r="D2723" s="98">
        <v>4293</v>
      </c>
      <c r="E2723" s="157">
        <v>42769.48333333333</v>
      </c>
      <c r="F2723" s="157">
        <v>42770.17083333333</v>
      </c>
      <c r="G2723" s="98">
        <v>0</v>
      </c>
      <c r="H2723" s="98">
        <v>330</v>
      </c>
      <c r="I2723" s="98">
        <v>300</v>
      </c>
      <c r="J2723" s="98" t="s">
        <v>2011</v>
      </c>
      <c r="K2723" s="98" t="s">
        <v>4258</v>
      </c>
      <c r="L2723" s="105" t="str">
        <f t="shared" si="450"/>
        <v>Mill Creek</v>
      </c>
      <c r="M2723" s="105" t="str">
        <f t="shared" si="451"/>
        <v>Maintenance</v>
      </c>
      <c r="N2723" s="105" t="str">
        <f t="shared" si="452"/>
        <v>Coal</v>
      </c>
      <c r="O2723" s="105">
        <f>IFERROR(VLOOKUP(A2723,Lookup!$J$5:$P$19,7,FALSE),0)</f>
        <v>2</v>
      </c>
      <c r="P2723" s="159">
        <f t="shared" si="453"/>
        <v>2017</v>
      </c>
      <c r="Q2723" s="159">
        <f t="shared" si="454"/>
        <v>2</v>
      </c>
      <c r="R2723" s="160">
        <f t="shared" si="455"/>
        <v>16.5</v>
      </c>
      <c r="S2723" s="158">
        <f t="shared" si="456"/>
        <v>16.5</v>
      </c>
      <c r="T2723" s="161">
        <f t="shared" si="457"/>
        <v>4950</v>
      </c>
      <c r="U2723" s="158">
        <f t="shared" si="459"/>
        <v>300</v>
      </c>
      <c r="V2723" s="160">
        <f t="shared" si="458"/>
        <v>300</v>
      </c>
    </row>
    <row r="2724" spans="1:22" x14ac:dyDescent="0.25">
      <c r="A2724" s="98" t="s">
        <v>23</v>
      </c>
      <c r="B2724" s="98" t="s">
        <v>105</v>
      </c>
      <c r="C2724" s="98">
        <v>20</v>
      </c>
      <c r="D2724" s="98">
        <v>310</v>
      </c>
      <c r="E2724" s="157">
        <v>42788.975694444445</v>
      </c>
      <c r="F2724" s="157">
        <v>42789.186805555553</v>
      </c>
      <c r="G2724" s="98">
        <v>240</v>
      </c>
      <c r="H2724" s="98">
        <v>330</v>
      </c>
      <c r="I2724" s="98">
        <v>300</v>
      </c>
      <c r="J2724" s="98" t="s">
        <v>1966</v>
      </c>
      <c r="K2724" s="98" t="s">
        <v>2724</v>
      </c>
      <c r="L2724" s="105" t="str">
        <f t="shared" si="450"/>
        <v>Mill Creek</v>
      </c>
      <c r="M2724" s="105" t="str">
        <f t="shared" si="451"/>
        <v>Derate</v>
      </c>
      <c r="N2724" s="105" t="str">
        <f t="shared" si="452"/>
        <v>Coal</v>
      </c>
      <c r="O2724" s="105">
        <f>IFERROR(VLOOKUP(A2724,Lookup!$J$5:$P$19,7,FALSE),0)</f>
        <v>2</v>
      </c>
      <c r="P2724" s="159">
        <f t="shared" si="453"/>
        <v>2017</v>
      </c>
      <c r="Q2724" s="159">
        <f t="shared" si="454"/>
        <v>2</v>
      </c>
      <c r="R2724" s="160">
        <f t="shared" si="455"/>
        <v>5.066666666592937</v>
      </c>
      <c r="S2724" s="158">
        <f t="shared" si="456"/>
        <v>1.3818181817980737</v>
      </c>
      <c r="T2724" s="161">
        <f t="shared" si="457"/>
        <v>414.54545453942211</v>
      </c>
      <c r="U2724" s="158">
        <f t="shared" si="459"/>
        <v>81.818181818181813</v>
      </c>
      <c r="V2724" s="160">
        <f t="shared" si="458"/>
        <v>82</v>
      </c>
    </row>
    <row r="2725" spans="1:22" x14ac:dyDescent="0.25">
      <c r="A2725" s="98" t="s">
        <v>23</v>
      </c>
      <c r="B2725" s="98" t="s">
        <v>105</v>
      </c>
      <c r="C2725" s="98">
        <v>21</v>
      </c>
      <c r="D2725" s="98">
        <v>310</v>
      </c>
      <c r="E2725" s="157">
        <v>42789.958333333336</v>
      </c>
      <c r="F2725" s="157">
        <v>42790.186111111114</v>
      </c>
      <c r="G2725" s="98">
        <v>240</v>
      </c>
      <c r="H2725" s="98">
        <v>330</v>
      </c>
      <c r="I2725" s="98">
        <v>300</v>
      </c>
      <c r="J2725" s="98" t="s">
        <v>1966</v>
      </c>
      <c r="K2725" s="98" t="s">
        <v>4259</v>
      </c>
      <c r="L2725" s="105" t="str">
        <f t="shared" si="450"/>
        <v>Mill Creek</v>
      </c>
      <c r="M2725" s="105" t="str">
        <f t="shared" si="451"/>
        <v>Derate</v>
      </c>
      <c r="N2725" s="105" t="str">
        <f t="shared" si="452"/>
        <v>Coal</v>
      </c>
      <c r="O2725" s="105">
        <f>IFERROR(VLOOKUP(A2725,Lookup!$J$5:$P$19,7,FALSE),0)</f>
        <v>2</v>
      </c>
      <c r="P2725" s="159">
        <f t="shared" si="453"/>
        <v>2017</v>
      </c>
      <c r="Q2725" s="159">
        <f t="shared" si="454"/>
        <v>2</v>
      </c>
      <c r="R2725" s="160">
        <f t="shared" si="455"/>
        <v>5.4666666666744277</v>
      </c>
      <c r="S2725" s="158">
        <f t="shared" si="456"/>
        <v>1.4909090909112075</v>
      </c>
      <c r="T2725" s="161">
        <f t="shared" si="457"/>
        <v>447.27272727336225</v>
      </c>
      <c r="U2725" s="158">
        <f t="shared" si="459"/>
        <v>81.818181818181813</v>
      </c>
      <c r="V2725" s="160">
        <f t="shared" si="458"/>
        <v>82</v>
      </c>
    </row>
    <row r="2726" spans="1:22" x14ac:dyDescent="0.25">
      <c r="A2726" s="98" t="s">
        <v>23</v>
      </c>
      <c r="B2726" s="98" t="s">
        <v>17</v>
      </c>
      <c r="C2726" s="98">
        <v>22</v>
      </c>
      <c r="D2726" s="98">
        <v>1493</v>
      </c>
      <c r="E2726" s="157">
        <v>42790.710416666669</v>
      </c>
      <c r="F2726" s="157">
        <v>42790.954861111109</v>
      </c>
      <c r="G2726" s="98">
        <v>250</v>
      </c>
      <c r="H2726" s="98">
        <v>330</v>
      </c>
      <c r="I2726" s="98">
        <v>300</v>
      </c>
      <c r="J2726" s="98" t="s">
        <v>2185</v>
      </c>
      <c r="K2726" s="98" t="s">
        <v>4260</v>
      </c>
      <c r="L2726" s="105" t="str">
        <f t="shared" ref="L2726:L2789" si="460">IF(OR(A2726="BR1",A2726="BR2",A2726="BR3",A2726="BR5",A2726="BR6",A2726="BR7",A2726="BR8",A2726="BR9",A2726="BR10",A2726="BR11"),"Brown",IF(OR(A2726="CR4",A2726="CR5",A2726="CR6",A2726="CR11"),"Cane Run",IF(OR(A2726="GH1",A2726="GH2",A2726="GH3",A2726="GH4"),"Ghent",IF(OR(A2726="GR3",A2726="GR4"),"Green River",IF(OR(A2726="MC1",A2726="MC2",A2726="MC3",A2726="MC4"),"Mill Creek",IF(OR(A2726="TC1",A2726="TC2",A2726="TC5",A2726="TC6",A2726="TC7",A2726="TC8",A2726="TC9",A2726="TC10"),"Trimble",IF(A2726="TY3","Tyrone",IF(OR(A2726="HA1",A2726="HA2",A2726="HA3"),"Haeflin",IF(OR(A2726="PR11",A2726="PR12",A2726="PR13"),"Paddy's Run","Zorn")))))))))</f>
        <v>Mill Creek</v>
      </c>
      <c r="M2726" s="105" t="str">
        <f t="shared" ref="M2726:M2789" si="461">IF(OR(B2726="D1",B2726="D2",B2726="D3",B2726="D4",B2726="PD"),"Derate",IF(OR(B2726="SF",B2726="U1",B2726="U2",B2726="U3"),"Outage",IF(OR(B2726="ME",B2726="MO"),"Maintenance","Other")))</f>
        <v>Derate</v>
      </c>
      <c r="N2726" s="105" t="str">
        <f t="shared" ref="N2726:N2789" si="462">IF(OR(A2726="BR1",A2726="BR2",A2726="BR3",A2726="CR4",A2726="CR5",A2726="CR6",A2726="GH1",A2726="GH2",A2726="GH3",A2726="GH4",A2726="GR3",A2726="GR4",A2726="MC1",A2726="MC2",A2726="MC3",A2726="MC4",A2726="TC1",A2726="TC2",A2726="TY3"),"Coal","Gas")</f>
        <v>Coal</v>
      </c>
      <c r="O2726" s="105">
        <f>IFERROR(VLOOKUP(A2726,Lookup!$J$5:$P$19,7,FALSE),0)</f>
        <v>2</v>
      </c>
      <c r="P2726" s="159">
        <f t="shared" ref="P2726:P2789" si="463">YEAR(E2726)</f>
        <v>2017</v>
      </c>
      <c r="Q2726" s="159">
        <f t="shared" ref="Q2726:Q2789" si="464">MONTH(E2726)</f>
        <v>2</v>
      </c>
      <c r="R2726" s="160">
        <f t="shared" ref="R2726:R2789" si="465">(F2726-E2726)*24</f>
        <v>5.8666666665812954</v>
      </c>
      <c r="S2726" s="158">
        <f t="shared" ref="S2726:S2789" si="466">R2726*(H2726-G2726)/H2726</f>
        <v>1.4222222222015262</v>
      </c>
      <c r="T2726" s="161">
        <f t="shared" ref="T2726:T2789" si="467">S2726*I2726</f>
        <v>426.66666666045785</v>
      </c>
      <c r="U2726" s="158">
        <f t="shared" si="459"/>
        <v>72.727272727272734</v>
      </c>
      <c r="V2726" s="160">
        <f t="shared" ref="V2726:V2789" si="468">ROUND(U2726,0)</f>
        <v>73</v>
      </c>
    </row>
    <row r="2727" spans="1:22" x14ac:dyDescent="0.25">
      <c r="A2727" s="98" t="s">
        <v>23</v>
      </c>
      <c r="B2727" s="98" t="s">
        <v>17</v>
      </c>
      <c r="C2727" s="98">
        <v>23</v>
      </c>
      <c r="D2727" s="98">
        <v>1493</v>
      </c>
      <c r="E2727" s="157">
        <v>42790.954861111109</v>
      </c>
      <c r="F2727" s="157">
        <v>42793.677083333336</v>
      </c>
      <c r="G2727" s="98">
        <v>240</v>
      </c>
      <c r="H2727" s="98">
        <v>330</v>
      </c>
      <c r="I2727" s="98">
        <v>300</v>
      </c>
      <c r="J2727" s="98" t="s">
        <v>2185</v>
      </c>
      <c r="K2727" s="98" t="s">
        <v>4261</v>
      </c>
      <c r="L2727" s="105" t="str">
        <f t="shared" si="460"/>
        <v>Mill Creek</v>
      </c>
      <c r="M2727" s="105" t="str">
        <f t="shared" si="461"/>
        <v>Derate</v>
      </c>
      <c r="N2727" s="105" t="str">
        <f t="shared" si="462"/>
        <v>Coal</v>
      </c>
      <c r="O2727" s="105">
        <f>IFERROR(VLOOKUP(A2727,Lookup!$J$5:$P$19,7,FALSE),0)</f>
        <v>2</v>
      </c>
      <c r="P2727" s="159">
        <f t="shared" si="463"/>
        <v>2017</v>
      </c>
      <c r="Q2727" s="159">
        <f t="shared" si="464"/>
        <v>2</v>
      </c>
      <c r="R2727" s="160">
        <f t="shared" si="465"/>
        <v>65.333333333430346</v>
      </c>
      <c r="S2727" s="158">
        <f t="shared" si="466"/>
        <v>17.818181818208277</v>
      </c>
      <c r="T2727" s="161">
        <f t="shared" si="467"/>
        <v>5345.4545454624831</v>
      </c>
      <c r="U2727" s="158">
        <f t="shared" ref="U2727:U2790" si="469">IF(G2727&gt;0,MAX((H2727-G2727),0)*I2727/H2727,I2727)</f>
        <v>81.818181818181813</v>
      </c>
      <c r="V2727" s="160">
        <f t="shared" si="468"/>
        <v>82</v>
      </c>
    </row>
    <row r="2728" spans="1:22" x14ac:dyDescent="0.25">
      <c r="A2728" s="98" t="s">
        <v>23</v>
      </c>
      <c r="B2728" s="98" t="s">
        <v>15</v>
      </c>
      <c r="C2728" s="98">
        <v>24</v>
      </c>
      <c r="D2728" s="98">
        <v>1455</v>
      </c>
      <c r="E2728" s="157">
        <v>42793.677083333336</v>
      </c>
      <c r="F2728" s="157">
        <v>42793.901388888888</v>
      </c>
      <c r="G2728" s="98">
        <v>0</v>
      </c>
      <c r="H2728" s="98">
        <v>330</v>
      </c>
      <c r="I2728" s="98">
        <v>300</v>
      </c>
      <c r="J2728" s="98" t="s">
        <v>1990</v>
      </c>
      <c r="K2728" s="98" t="s">
        <v>4262</v>
      </c>
      <c r="L2728" s="105" t="str">
        <f t="shared" si="460"/>
        <v>Mill Creek</v>
      </c>
      <c r="M2728" s="105" t="str">
        <f t="shared" si="461"/>
        <v>Outage</v>
      </c>
      <c r="N2728" s="105" t="str">
        <f t="shared" si="462"/>
        <v>Coal</v>
      </c>
      <c r="O2728" s="105">
        <f>IFERROR(VLOOKUP(A2728,Lookup!$J$5:$P$19,7,FALSE),0)</f>
        <v>2</v>
      </c>
      <c r="P2728" s="159">
        <f t="shared" si="463"/>
        <v>2017</v>
      </c>
      <c r="Q2728" s="159">
        <f t="shared" si="464"/>
        <v>2</v>
      </c>
      <c r="R2728" s="160">
        <f t="shared" si="465"/>
        <v>5.3833333332440816</v>
      </c>
      <c r="S2728" s="158">
        <f t="shared" si="466"/>
        <v>5.3833333332440816</v>
      </c>
      <c r="T2728" s="161">
        <f t="shared" si="467"/>
        <v>1614.9999999732245</v>
      </c>
      <c r="U2728" s="158">
        <f t="shared" si="469"/>
        <v>300</v>
      </c>
      <c r="V2728" s="160">
        <f t="shared" si="468"/>
        <v>300</v>
      </c>
    </row>
    <row r="2729" spans="1:22" x14ac:dyDescent="0.25">
      <c r="A2729" s="98" t="s">
        <v>23</v>
      </c>
      <c r="B2729" s="98" t="s">
        <v>17</v>
      </c>
      <c r="C2729" s="98">
        <v>25</v>
      </c>
      <c r="D2729" s="98">
        <v>1493</v>
      </c>
      <c r="E2729" s="162">
        <v>42794.087500000001</v>
      </c>
      <c r="F2729" s="157">
        <v>42794.181944444441</v>
      </c>
      <c r="G2729" s="98">
        <v>240</v>
      </c>
      <c r="H2729" s="98">
        <v>330</v>
      </c>
      <c r="I2729" s="98">
        <v>300</v>
      </c>
      <c r="J2729" s="98" t="s">
        <v>2185</v>
      </c>
      <c r="K2729" s="98" t="s">
        <v>4263</v>
      </c>
      <c r="L2729" s="105" t="str">
        <f t="shared" si="460"/>
        <v>Mill Creek</v>
      </c>
      <c r="M2729" s="105" t="str">
        <f t="shared" si="461"/>
        <v>Derate</v>
      </c>
      <c r="N2729" s="105" t="str">
        <f t="shared" si="462"/>
        <v>Coal</v>
      </c>
      <c r="O2729" s="105">
        <f>IFERROR(VLOOKUP(A2729,Lookup!$J$5:$P$19,7,FALSE),0)</f>
        <v>2</v>
      </c>
      <c r="P2729" s="159">
        <f t="shared" si="463"/>
        <v>2017</v>
      </c>
      <c r="Q2729" s="159">
        <f t="shared" si="464"/>
        <v>2</v>
      </c>
      <c r="R2729" s="160">
        <f t="shared" si="465"/>
        <v>2.2666666665463708</v>
      </c>
      <c r="S2729" s="158">
        <f t="shared" si="466"/>
        <v>0.61818181814901019</v>
      </c>
      <c r="T2729" s="161">
        <f t="shared" si="467"/>
        <v>185.45454544470306</v>
      </c>
      <c r="U2729" s="158">
        <f t="shared" si="469"/>
        <v>81.818181818181813</v>
      </c>
      <c r="V2729" s="160">
        <f t="shared" si="468"/>
        <v>82</v>
      </c>
    </row>
    <row r="2730" spans="1:22" x14ac:dyDescent="0.25">
      <c r="A2730" s="98" t="s">
        <v>23</v>
      </c>
      <c r="B2730" s="98" t="s">
        <v>17</v>
      </c>
      <c r="C2730" s="98">
        <v>26</v>
      </c>
      <c r="D2730" s="98">
        <v>1493</v>
      </c>
      <c r="E2730" s="157">
        <v>42794.181944444441</v>
      </c>
      <c r="F2730" s="157">
        <v>42794.902777777781</v>
      </c>
      <c r="G2730" s="98">
        <v>230</v>
      </c>
      <c r="H2730" s="98">
        <v>330</v>
      </c>
      <c r="I2730" s="98">
        <v>300</v>
      </c>
      <c r="J2730" s="98" t="s">
        <v>2185</v>
      </c>
      <c r="K2730" s="98" t="s">
        <v>4260</v>
      </c>
      <c r="L2730" s="105" t="str">
        <f t="shared" si="460"/>
        <v>Mill Creek</v>
      </c>
      <c r="M2730" s="105" t="str">
        <f t="shared" si="461"/>
        <v>Derate</v>
      </c>
      <c r="N2730" s="105" t="str">
        <f t="shared" si="462"/>
        <v>Coal</v>
      </c>
      <c r="O2730" s="105">
        <f>IFERROR(VLOOKUP(A2730,Lookup!$J$5:$P$19,7,FALSE),0)</f>
        <v>2</v>
      </c>
      <c r="P2730" s="159">
        <f t="shared" si="463"/>
        <v>2017</v>
      </c>
      <c r="Q2730" s="159">
        <f t="shared" si="464"/>
        <v>2</v>
      </c>
      <c r="R2730" s="160">
        <f t="shared" si="465"/>
        <v>17.300000000162981</v>
      </c>
      <c r="S2730" s="158">
        <f t="shared" si="466"/>
        <v>5.2424242424736311</v>
      </c>
      <c r="T2730" s="161">
        <f t="shared" si="467"/>
        <v>1572.7272727420893</v>
      </c>
      <c r="U2730" s="158">
        <f t="shared" si="469"/>
        <v>90.909090909090907</v>
      </c>
      <c r="V2730" s="160">
        <f t="shared" si="468"/>
        <v>91</v>
      </c>
    </row>
    <row r="2731" spans="1:22" x14ac:dyDescent="0.25">
      <c r="A2731" s="98" t="s">
        <v>23</v>
      </c>
      <c r="B2731" s="98" t="s">
        <v>20</v>
      </c>
      <c r="C2731" s="98">
        <v>27</v>
      </c>
      <c r="D2731" s="98">
        <v>1493</v>
      </c>
      <c r="E2731" s="157">
        <v>42794.902777777781</v>
      </c>
      <c r="F2731" s="157">
        <v>42797.816666666666</v>
      </c>
      <c r="G2731" s="98">
        <v>0</v>
      </c>
      <c r="H2731" s="98">
        <v>330</v>
      </c>
      <c r="I2731" s="98">
        <v>300</v>
      </c>
      <c r="J2731" s="98" t="s">
        <v>2185</v>
      </c>
      <c r="K2731" s="98" t="s">
        <v>4264</v>
      </c>
      <c r="L2731" s="105" t="str">
        <f t="shared" si="460"/>
        <v>Mill Creek</v>
      </c>
      <c r="M2731" s="105" t="str">
        <f t="shared" si="461"/>
        <v>Maintenance</v>
      </c>
      <c r="N2731" s="105" t="str">
        <f t="shared" si="462"/>
        <v>Coal</v>
      </c>
      <c r="O2731" s="105">
        <f>IFERROR(VLOOKUP(A2731,Lookup!$J$5:$P$19,7,FALSE),0)</f>
        <v>2</v>
      </c>
      <c r="P2731" s="159">
        <f t="shared" si="463"/>
        <v>2017</v>
      </c>
      <c r="Q2731" s="159">
        <f t="shared" si="464"/>
        <v>2</v>
      </c>
      <c r="R2731" s="160">
        <f t="shared" si="465"/>
        <v>69.93333333323244</v>
      </c>
      <c r="S2731" s="158">
        <f t="shared" si="466"/>
        <v>69.93333333323244</v>
      </c>
      <c r="T2731" s="161">
        <f t="shared" si="467"/>
        <v>20979.999999969732</v>
      </c>
      <c r="U2731" s="158">
        <f t="shared" si="469"/>
        <v>300</v>
      </c>
      <c r="V2731" s="160">
        <f t="shared" si="468"/>
        <v>300</v>
      </c>
    </row>
    <row r="2732" spans="1:22" x14ac:dyDescent="0.25">
      <c r="A2732" s="98" t="s">
        <v>23</v>
      </c>
      <c r="B2732" s="98" t="s">
        <v>79</v>
      </c>
      <c r="C2732" s="98">
        <v>28</v>
      </c>
      <c r="D2732" s="98">
        <v>9999</v>
      </c>
      <c r="E2732" s="157">
        <v>42801.333333333336</v>
      </c>
      <c r="F2732" s="157">
        <v>42801.515972222223</v>
      </c>
      <c r="G2732" s="98">
        <v>0</v>
      </c>
      <c r="H2732" s="98">
        <v>330</v>
      </c>
      <c r="I2732" s="98">
        <v>300</v>
      </c>
      <c r="J2732" s="98" t="s">
        <v>2261</v>
      </c>
      <c r="K2732" s="98" t="s">
        <v>2703</v>
      </c>
      <c r="L2732" s="105" t="str">
        <f t="shared" si="460"/>
        <v>Mill Creek</v>
      </c>
      <c r="M2732" s="105" t="str">
        <f t="shared" si="461"/>
        <v>Other</v>
      </c>
      <c r="N2732" s="105" t="str">
        <f t="shared" si="462"/>
        <v>Coal</v>
      </c>
      <c r="O2732" s="105">
        <f>IFERROR(VLOOKUP(A2732,Lookup!$J$5:$P$19,7,FALSE),0)</f>
        <v>2</v>
      </c>
      <c r="P2732" s="159">
        <f t="shared" si="463"/>
        <v>2017</v>
      </c>
      <c r="Q2732" s="159">
        <f t="shared" si="464"/>
        <v>3</v>
      </c>
      <c r="R2732" s="160">
        <f t="shared" si="465"/>
        <v>4.3833333333022892</v>
      </c>
      <c r="S2732" s="158">
        <f t="shared" si="466"/>
        <v>4.3833333333022892</v>
      </c>
      <c r="T2732" s="161">
        <f t="shared" si="467"/>
        <v>1314.9999999906868</v>
      </c>
      <c r="U2732" s="158">
        <f t="shared" si="469"/>
        <v>300</v>
      </c>
      <c r="V2732" s="160">
        <f t="shared" si="468"/>
        <v>300</v>
      </c>
    </row>
    <row r="2733" spans="1:22" x14ac:dyDescent="0.25">
      <c r="A2733" s="98" t="s">
        <v>23</v>
      </c>
      <c r="B2733" s="98" t="s">
        <v>105</v>
      </c>
      <c r="C2733" s="98">
        <v>29</v>
      </c>
      <c r="D2733" s="98">
        <v>310</v>
      </c>
      <c r="E2733" s="157">
        <v>42817.916666666664</v>
      </c>
      <c r="F2733" s="157">
        <v>42817.934027777781</v>
      </c>
      <c r="G2733" s="98">
        <v>240</v>
      </c>
      <c r="H2733" s="98">
        <v>330</v>
      </c>
      <c r="I2733" s="98">
        <v>300</v>
      </c>
      <c r="J2733" s="98" t="s">
        <v>1966</v>
      </c>
      <c r="K2733" s="98" t="s">
        <v>4265</v>
      </c>
      <c r="L2733" s="105" t="str">
        <f t="shared" si="460"/>
        <v>Mill Creek</v>
      </c>
      <c r="M2733" s="105" t="str">
        <f t="shared" si="461"/>
        <v>Derate</v>
      </c>
      <c r="N2733" s="105" t="str">
        <f t="shared" si="462"/>
        <v>Coal</v>
      </c>
      <c r="O2733" s="105">
        <f>IFERROR(VLOOKUP(A2733,Lookup!$J$5:$P$19,7,FALSE),0)</f>
        <v>2</v>
      </c>
      <c r="P2733" s="159">
        <f t="shared" si="463"/>
        <v>2017</v>
      </c>
      <c r="Q2733" s="159">
        <f t="shared" si="464"/>
        <v>3</v>
      </c>
      <c r="R2733" s="160">
        <f t="shared" si="465"/>
        <v>0.41666666680248454</v>
      </c>
      <c r="S2733" s="158">
        <f t="shared" si="466"/>
        <v>0.11363636367340488</v>
      </c>
      <c r="T2733" s="161">
        <f t="shared" si="467"/>
        <v>34.090909102021463</v>
      </c>
      <c r="U2733" s="158">
        <f t="shared" si="469"/>
        <v>81.818181818181813</v>
      </c>
      <c r="V2733" s="160">
        <f t="shared" si="468"/>
        <v>82</v>
      </c>
    </row>
    <row r="2734" spans="1:22" x14ac:dyDescent="0.25">
      <c r="A2734" s="98" t="s">
        <v>23</v>
      </c>
      <c r="B2734" s="98" t="s">
        <v>105</v>
      </c>
      <c r="C2734" s="98">
        <v>30</v>
      </c>
      <c r="D2734" s="98">
        <v>740</v>
      </c>
      <c r="E2734" s="157">
        <v>42817.934027777781</v>
      </c>
      <c r="F2734" s="157">
        <v>42818.063194444447</v>
      </c>
      <c r="G2734" s="98">
        <v>150</v>
      </c>
      <c r="H2734" s="98">
        <v>330</v>
      </c>
      <c r="I2734" s="98">
        <v>300</v>
      </c>
      <c r="J2734" s="98" t="s">
        <v>2176</v>
      </c>
      <c r="K2734" s="98" t="s">
        <v>4266</v>
      </c>
      <c r="L2734" s="105" t="str">
        <f t="shared" si="460"/>
        <v>Mill Creek</v>
      </c>
      <c r="M2734" s="105" t="str">
        <f t="shared" si="461"/>
        <v>Derate</v>
      </c>
      <c r="N2734" s="105" t="str">
        <f t="shared" si="462"/>
        <v>Coal</v>
      </c>
      <c r="O2734" s="105">
        <f>IFERROR(VLOOKUP(A2734,Lookup!$J$5:$P$19,7,FALSE),0)</f>
        <v>2</v>
      </c>
      <c r="P2734" s="159">
        <f t="shared" si="463"/>
        <v>2017</v>
      </c>
      <c r="Q2734" s="159">
        <f t="shared" si="464"/>
        <v>3</v>
      </c>
      <c r="R2734" s="160">
        <f t="shared" si="465"/>
        <v>3.0999999999767169</v>
      </c>
      <c r="S2734" s="158">
        <f t="shared" si="466"/>
        <v>1.6909090908963911</v>
      </c>
      <c r="T2734" s="161">
        <f t="shared" si="467"/>
        <v>507.27272726891732</v>
      </c>
      <c r="U2734" s="158">
        <f t="shared" si="469"/>
        <v>163.63636363636363</v>
      </c>
      <c r="V2734" s="160">
        <f t="shared" si="468"/>
        <v>164</v>
      </c>
    </row>
    <row r="2735" spans="1:22" x14ac:dyDescent="0.25">
      <c r="A2735" s="98" t="s">
        <v>23</v>
      </c>
      <c r="B2735" s="98" t="s">
        <v>105</v>
      </c>
      <c r="C2735" s="98">
        <v>31</v>
      </c>
      <c r="D2735" s="98">
        <v>310</v>
      </c>
      <c r="E2735" s="157">
        <v>42818.063194444447</v>
      </c>
      <c r="F2735" s="157">
        <v>42818.166666666664</v>
      </c>
      <c r="G2735" s="98">
        <v>240</v>
      </c>
      <c r="H2735" s="98">
        <v>330</v>
      </c>
      <c r="I2735" s="98">
        <v>300</v>
      </c>
      <c r="J2735" s="98" t="s">
        <v>1966</v>
      </c>
      <c r="K2735" s="98" t="s">
        <v>4265</v>
      </c>
      <c r="L2735" s="105" t="str">
        <f t="shared" si="460"/>
        <v>Mill Creek</v>
      </c>
      <c r="M2735" s="105" t="str">
        <f t="shared" si="461"/>
        <v>Derate</v>
      </c>
      <c r="N2735" s="105" t="str">
        <f t="shared" si="462"/>
        <v>Coal</v>
      </c>
      <c r="O2735" s="105">
        <f>IFERROR(VLOOKUP(A2735,Lookup!$J$5:$P$19,7,FALSE),0)</f>
        <v>2</v>
      </c>
      <c r="P2735" s="159">
        <f t="shared" si="463"/>
        <v>2017</v>
      </c>
      <c r="Q2735" s="159">
        <f t="shared" si="464"/>
        <v>3</v>
      </c>
      <c r="R2735" s="160">
        <f t="shared" si="465"/>
        <v>2.4833333332207985</v>
      </c>
      <c r="S2735" s="158">
        <f t="shared" si="466"/>
        <v>0.67727272724203591</v>
      </c>
      <c r="T2735" s="161">
        <f t="shared" si="467"/>
        <v>203.18181817261078</v>
      </c>
      <c r="U2735" s="158">
        <f t="shared" si="469"/>
        <v>81.818181818181813</v>
      </c>
      <c r="V2735" s="160">
        <f t="shared" si="468"/>
        <v>82</v>
      </c>
    </row>
    <row r="2736" spans="1:22" x14ac:dyDescent="0.25">
      <c r="A2736" s="98" t="s">
        <v>23</v>
      </c>
      <c r="B2736" s="98" t="s">
        <v>17</v>
      </c>
      <c r="C2736" s="98">
        <v>33</v>
      </c>
      <c r="D2736" s="98">
        <v>270</v>
      </c>
      <c r="E2736" s="157">
        <v>42818.195833333331</v>
      </c>
      <c r="F2736" s="157">
        <v>42818.2</v>
      </c>
      <c r="G2736" s="98">
        <v>250</v>
      </c>
      <c r="H2736" s="98">
        <v>330</v>
      </c>
      <c r="I2736" s="98">
        <v>300</v>
      </c>
      <c r="J2736" s="98" t="s">
        <v>2031</v>
      </c>
      <c r="K2736" s="98" t="s">
        <v>4267</v>
      </c>
      <c r="L2736" s="105" t="str">
        <f t="shared" si="460"/>
        <v>Mill Creek</v>
      </c>
      <c r="M2736" s="105" t="str">
        <f t="shared" si="461"/>
        <v>Derate</v>
      </c>
      <c r="N2736" s="105" t="str">
        <f t="shared" si="462"/>
        <v>Coal</v>
      </c>
      <c r="O2736" s="105">
        <f>IFERROR(VLOOKUP(A2736,Lookup!$J$5:$P$19,7,FALSE),0)</f>
        <v>2</v>
      </c>
      <c r="P2736" s="159">
        <f t="shared" si="463"/>
        <v>2017</v>
      </c>
      <c r="Q2736" s="159">
        <f t="shared" si="464"/>
        <v>3</v>
      </c>
      <c r="R2736" s="160">
        <f t="shared" si="465"/>
        <v>9.9999999976716936E-2</v>
      </c>
      <c r="S2736" s="158">
        <f t="shared" si="466"/>
        <v>2.4242424236779862E-2</v>
      </c>
      <c r="T2736" s="161">
        <f t="shared" si="467"/>
        <v>7.2727272710339586</v>
      </c>
      <c r="U2736" s="158">
        <f t="shared" si="469"/>
        <v>72.727272727272734</v>
      </c>
      <c r="V2736" s="160">
        <f t="shared" si="468"/>
        <v>73</v>
      </c>
    </row>
    <row r="2737" spans="1:22" x14ac:dyDescent="0.25">
      <c r="A2737" s="98" t="s">
        <v>23</v>
      </c>
      <c r="B2737" s="98" t="s">
        <v>38</v>
      </c>
      <c r="C2737" s="98">
        <v>34</v>
      </c>
      <c r="D2737" s="98">
        <v>4402</v>
      </c>
      <c r="E2737" s="157">
        <v>42826.025000000001</v>
      </c>
      <c r="F2737" s="157">
        <v>42856</v>
      </c>
      <c r="G2737" s="98">
        <v>0</v>
      </c>
      <c r="H2737" s="98">
        <v>330</v>
      </c>
      <c r="I2737" s="98">
        <v>300</v>
      </c>
      <c r="J2737" s="98" t="s">
        <v>2146</v>
      </c>
      <c r="K2737" s="98" t="s">
        <v>4268</v>
      </c>
      <c r="L2737" s="105" t="str">
        <f t="shared" si="460"/>
        <v>Mill Creek</v>
      </c>
      <c r="M2737" s="105" t="str">
        <f t="shared" si="461"/>
        <v>Other</v>
      </c>
      <c r="N2737" s="105" t="str">
        <f t="shared" si="462"/>
        <v>Coal</v>
      </c>
      <c r="O2737" s="105">
        <f>IFERROR(VLOOKUP(A2737,Lookup!$J$5:$P$19,7,FALSE),0)</f>
        <v>2</v>
      </c>
      <c r="P2737" s="159">
        <f t="shared" si="463"/>
        <v>2017</v>
      </c>
      <c r="Q2737" s="159">
        <f t="shared" si="464"/>
        <v>4</v>
      </c>
      <c r="R2737" s="160">
        <f t="shared" si="465"/>
        <v>719.39999999996508</v>
      </c>
      <c r="S2737" s="158">
        <f t="shared" si="466"/>
        <v>719.39999999996508</v>
      </c>
      <c r="T2737" s="161">
        <f t="shared" si="467"/>
        <v>215819.99999998952</v>
      </c>
      <c r="U2737" s="158">
        <f t="shared" si="469"/>
        <v>300</v>
      </c>
      <c r="V2737" s="160">
        <f t="shared" si="468"/>
        <v>300</v>
      </c>
    </row>
    <row r="2738" spans="1:22" x14ac:dyDescent="0.25">
      <c r="A2738" s="98" t="s">
        <v>23</v>
      </c>
      <c r="B2738" s="98" t="s">
        <v>121</v>
      </c>
      <c r="C2738" s="98">
        <v>40</v>
      </c>
      <c r="D2738" s="98">
        <v>4402</v>
      </c>
      <c r="E2738" s="157">
        <v>42856</v>
      </c>
      <c r="F2738" s="157">
        <v>42856.308333333334</v>
      </c>
      <c r="G2738" s="98">
        <v>0</v>
      </c>
      <c r="H2738" s="98">
        <v>330</v>
      </c>
      <c r="I2738" s="98">
        <v>300</v>
      </c>
      <c r="J2738" s="98" t="s">
        <v>2146</v>
      </c>
      <c r="K2738" s="98" t="s">
        <v>4269</v>
      </c>
      <c r="L2738" s="105" t="str">
        <f t="shared" si="460"/>
        <v>Mill Creek</v>
      </c>
      <c r="M2738" s="105" t="str">
        <f t="shared" si="461"/>
        <v>Other</v>
      </c>
      <c r="N2738" s="105" t="str">
        <f t="shared" si="462"/>
        <v>Coal</v>
      </c>
      <c r="O2738" s="105">
        <f>IFERROR(VLOOKUP(A2738,Lookup!$J$5:$P$19,7,FALSE),0)</f>
        <v>2</v>
      </c>
      <c r="P2738" s="159">
        <f t="shared" si="463"/>
        <v>2017</v>
      </c>
      <c r="Q2738" s="159">
        <f t="shared" si="464"/>
        <v>5</v>
      </c>
      <c r="R2738" s="160">
        <f t="shared" si="465"/>
        <v>7.4000000000232831</v>
      </c>
      <c r="S2738" s="158">
        <f t="shared" si="466"/>
        <v>7.4000000000232831</v>
      </c>
      <c r="T2738" s="161">
        <f t="shared" si="467"/>
        <v>2220.0000000069849</v>
      </c>
      <c r="U2738" s="158">
        <f t="shared" si="469"/>
        <v>300</v>
      </c>
      <c r="V2738" s="160">
        <f t="shared" si="468"/>
        <v>300</v>
      </c>
    </row>
    <row r="2739" spans="1:22" x14ac:dyDescent="0.25">
      <c r="A2739" s="98" t="s">
        <v>23</v>
      </c>
      <c r="B2739" s="98" t="s">
        <v>15</v>
      </c>
      <c r="C2739" s="98">
        <v>35</v>
      </c>
      <c r="D2739" s="98">
        <v>800</v>
      </c>
      <c r="E2739" s="157">
        <v>42856.320138888892</v>
      </c>
      <c r="F2739" s="157">
        <v>42856.457638888889</v>
      </c>
      <c r="G2739" s="98">
        <v>0</v>
      </c>
      <c r="H2739" s="98">
        <v>330</v>
      </c>
      <c r="I2739" s="98">
        <v>300</v>
      </c>
      <c r="J2739" s="98" t="s">
        <v>2197</v>
      </c>
      <c r="K2739" s="98" t="s">
        <v>4270</v>
      </c>
      <c r="L2739" s="105" t="str">
        <f t="shared" si="460"/>
        <v>Mill Creek</v>
      </c>
      <c r="M2739" s="105" t="str">
        <f t="shared" si="461"/>
        <v>Outage</v>
      </c>
      <c r="N2739" s="105" t="str">
        <f t="shared" si="462"/>
        <v>Coal</v>
      </c>
      <c r="O2739" s="105">
        <f>IFERROR(VLOOKUP(A2739,Lookup!$J$5:$P$19,7,FALSE),0)</f>
        <v>2</v>
      </c>
      <c r="P2739" s="159">
        <f t="shared" si="463"/>
        <v>2017</v>
      </c>
      <c r="Q2739" s="159">
        <f t="shared" si="464"/>
        <v>5</v>
      </c>
      <c r="R2739" s="160">
        <f t="shared" si="465"/>
        <v>3.2999999999301508</v>
      </c>
      <c r="S2739" s="158">
        <f t="shared" si="466"/>
        <v>3.2999999999301508</v>
      </c>
      <c r="T2739" s="161">
        <f t="shared" si="467"/>
        <v>989.99999997904524</v>
      </c>
      <c r="U2739" s="158">
        <f t="shared" si="469"/>
        <v>300</v>
      </c>
      <c r="V2739" s="160">
        <f t="shared" si="468"/>
        <v>300</v>
      </c>
    </row>
    <row r="2740" spans="1:22" x14ac:dyDescent="0.25">
      <c r="A2740" s="98" t="s">
        <v>23</v>
      </c>
      <c r="B2740" s="98" t="s">
        <v>17</v>
      </c>
      <c r="C2740" s="98">
        <v>36</v>
      </c>
      <c r="D2740" s="98">
        <v>8650</v>
      </c>
      <c r="E2740" s="157">
        <v>42857.388194444444</v>
      </c>
      <c r="F2740" s="157">
        <v>42857.588888888888</v>
      </c>
      <c r="G2740" s="98">
        <v>300</v>
      </c>
      <c r="H2740" s="98">
        <v>330</v>
      </c>
      <c r="I2740" s="98">
        <v>300</v>
      </c>
      <c r="J2740" s="98" t="s">
        <v>2668</v>
      </c>
      <c r="K2740" s="98" t="s">
        <v>4271</v>
      </c>
      <c r="L2740" s="105" t="str">
        <f t="shared" si="460"/>
        <v>Mill Creek</v>
      </c>
      <c r="M2740" s="105" t="str">
        <f t="shared" si="461"/>
        <v>Derate</v>
      </c>
      <c r="N2740" s="105" t="str">
        <f t="shared" si="462"/>
        <v>Coal</v>
      </c>
      <c r="O2740" s="105">
        <f>IFERROR(VLOOKUP(A2740,Lookup!$J$5:$P$19,7,FALSE),0)</f>
        <v>2</v>
      </c>
      <c r="P2740" s="159">
        <f t="shared" si="463"/>
        <v>2017</v>
      </c>
      <c r="Q2740" s="159">
        <f t="shared" si="464"/>
        <v>5</v>
      </c>
      <c r="R2740" s="160">
        <f t="shared" si="465"/>
        <v>4.8166666666511446</v>
      </c>
      <c r="S2740" s="158">
        <f t="shared" si="466"/>
        <v>0.43787878787737677</v>
      </c>
      <c r="T2740" s="161">
        <f t="shared" si="467"/>
        <v>131.36363636321303</v>
      </c>
      <c r="U2740" s="158">
        <f t="shared" si="469"/>
        <v>27.272727272727273</v>
      </c>
      <c r="V2740" s="160">
        <f t="shared" si="468"/>
        <v>27</v>
      </c>
    </row>
    <row r="2741" spans="1:22" x14ac:dyDescent="0.25">
      <c r="A2741" s="98" t="s">
        <v>23</v>
      </c>
      <c r="B2741" s="98" t="s">
        <v>17</v>
      </c>
      <c r="C2741" s="98">
        <v>37</v>
      </c>
      <c r="D2741" s="98">
        <v>250</v>
      </c>
      <c r="E2741" s="157">
        <v>42857.588888888888</v>
      </c>
      <c r="F2741" s="157">
        <v>42857.767361111109</v>
      </c>
      <c r="G2741" s="98">
        <v>235</v>
      </c>
      <c r="H2741" s="98">
        <v>330</v>
      </c>
      <c r="I2741" s="98">
        <v>300</v>
      </c>
      <c r="J2741" s="98" t="s">
        <v>1978</v>
      </c>
      <c r="K2741" s="98" t="s">
        <v>4272</v>
      </c>
      <c r="L2741" s="105" t="str">
        <f t="shared" si="460"/>
        <v>Mill Creek</v>
      </c>
      <c r="M2741" s="105" t="str">
        <f t="shared" si="461"/>
        <v>Derate</v>
      </c>
      <c r="N2741" s="105" t="str">
        <f t="shared" si="462"/>
        <v>Coal</v>
      </c>
      <c r="O2741" s="105">
        <f>IFERROR(VLOOKUP(A2741,Lookup!$J$5:$P$19,7,FALSE),0)</f>
        <v>2</v>
      </c>
      <c r="P2741" s="159">
        <f t="shared" si="463"/>
        <v>2017</v>
      </c>
      <c r="Q2741" s="159">
        <f t="shared" si="464"/>
        <v>5</v>
      </c>
      <c r="R2741" s="160">
        <f t="shared" si="465"/>
        <v>4.2833333333255723</v>
      </c>
      <c r="S2741" s="158">
        <f t="shared" si="466"/>
        <v>1.2330808080785738</v>
      </c>
      <c r="T2741" s="161">
        <f t="shared" si="467"/>
        <v>369.92424242357214</v>
      </c>
      <c r="U2741" s="158">
        <f t="shared" si="469"/>
        <v>86.36363636363636</v>
      </c>
      <c r="V2741" s="160">
        <f t="shared" si="468"/>
        <v>86</v>
      </c>
    </row>
    <row r="2742" spans="1:22" x14ac:dyDescent="0.25">
      <c r="A2742" s="98" t="s">
        <v>23</v>
      </c>
      <c r="B2742" s="98" t="s">
        <v>15</v>
      </c>
      <c r="C2742" s="98">
        <v>38</v>
      </c>
      <c r="D2742" s="98">
        <v>770</v>
      </c>
      <c r="E2742" s="157">
        <v>42860.447916666664</v>
      </c>
      <c r="F2742" s="157">
        <v>42860.497916666667</v>
      </c>
      <c r="G2742" s="98">
        <v>0</v>
      </c>
      <c r="H2742" s="98">
        <v>330</v>
      </c>
      <c r="I2742" s="98">
        <v>300</v>
      </c>
      <c r="J2742" s="98" t="s">
        <v>2186</v>
      </c>
      <c r="K2742" s="98" t="s">
        <v>4273</v>
      </c>
      <c r="L2742" s="105" t="str">
        <f t="shared" si="460"/>
        <v>Mill Creek</v>
      </c>
      <c r="M2742" s="105" t="str">
        <f t="shared" si="461"/>
        <v>Outage</v>
      </c>
      <c r="N2742" s="105" t="str">
        <f t="shared" si="462"/>
        <v>Coal</v>
      </c>
      <c r="O2742" s="105">
        <f>IFERROR(VLOOKUP(A2742,Lookup!$J$5:$P$19,7,FALSE),0)</f>
        <v>2</v>
      </c>
      <c r="P2742" s="159">
        <f t="shared" si="463"/>
        <v>2017</v>
      </c>
      <c r="Q2742" s="159">
        <f t="shared" si="464"/>
        <v>5</v>
      </c>
      <c r="R2742" s="160">
        <f t="shared" si="465"/>
        <v>1.2000000000698492</v>
      </c>
      <c r="S2742" s="158">
        <f t="shared" si="466"/>
        <v>1.2000000000698492</v>
      </c>
      <c r="T2742" s="161">
        <f t="shared" si="467"/>
        <v>360.00000002095476</v>
      </c>
      <c r="U2742" s="158">
        <f t="shared" si="469"/>
        <v>300</v>
      </c>
      <c r="V2742" s="160">
        <f t="shared" si="468"/>
        <v>300</v>
      </c>
    </row>
    <row r="2743" spans="1:22" x14ac:dyDescent="0.25">
      <c r="A2743" s="98" t="s">
        <v>23</v>
      </c>
      <c r="B2743" s="98" t="s">
        <v>17</v>
      </c>
      <c r="C2743" s="98">
        <v>39</v>
      </c>
      <c r="D2743" s="98">
        <v>1850</v>
      </c>
      <c r="E2743" s="157">
        <v>42860.679861111108</v>
      </c>
      <c r="F2743" s="157">
        <v>42860.722222222219</v>
      </c>
      <c r="G2743" s="98">
        <v>250</v>
      </c>
      <c r="H2743" s="98">
        <v>330</v>
      </c>
      <c r="I2743" s="98">
        <v>300</v>
      </c>
      <c r="J2743" s="98" t="s">
        <v>2263</v>
      </c>
      <c r="K2743" s="98" t="s">
        <v>4274</v>
      </c>
      <c r="L2743" s="105" t="str">
        <f t="shared" si="460"/>
        <v>Mill Creek</v>
      </c>
      <c r="M2743" s="105" t="str">
        <f t="shared" si="461"/>
        <v>Derate</v>
      </c>
      <c r="N2743" s="105" t="str">
        <f t="shared" si="462"/>
        <v>Coal</v>
      </c>
      <c r="O2743" s="105">
        <f>IFERROR(VLOOKUP(A2743,Lookup!$J$5:$P$19,7,FALSE),0)</f>
        <v>2</v>
      </c>
      <c r="P2743" s="159">
        <f t="shared" si="463"/>
        <v>2017</v>
      </c>
      <c r="Q2743" s="159">
        <f t="shared" si="464"/>
        <v>5</v>
      </c>
      <c r="R2743" s="160">
        <f t="shared" si="465"/>
        <v>1.0166666666627862</v>
      </c>
      <c r="S2743" s="158">
        <f t="shared" si="466"/>
        <v>0.24646464646370572</v>
      </c>
      <c r="T2743" s="161">
        <f t="shared" si="467"/>
        <v>73.93939393911171</v>
      </c>
      <c r="U2743" s="158">
        <f t="shared" si="469"/>
        <v>72.727272727272734</v>
      </c>
      <c r="V2743" s="160">
        <f t="shared" si="468"/>
        <v>73</v>
      </c>
    </row>
    <row r="2744" spans="1:22" x14ac:dyDescent="0.25">
      <c r="A2744" s="98" t="s">
        <v>23</v>
      </c>
      <c r="B2744" s="98" t="s">
        <v>105</v>
      </c>
      <c r="C2744" s="98">
        <v>41</v>
      </c>
      <c r="D2744" s="98">
        <v>310</v>
      </c>
      <c r="E2744" s="157">
        <v>42866.916666666664</v>
      </c>
      <c r="F2744" s="157">
        <v>42867.167361111111</v>
      </c>
      <c r="G2744" s="98">
        <v>240</v>
      </c>
      <c r="H2744" s="98">
        <v>330</v>
      </c>
      <c r="I2744" s="98">
        <v>300</v>
      </c>
      <c r="J2744" s="98" t="s">
        <v>1966</v>
      </c>
      <c r="K2744" s="98" t="s">
        <v>4275</v>
      </c>
      <c r="L2744" s="105" t="str">
        <f t="shared" si="460"/>
        <v>Mill Creek</v>
      </c>
      <c r="M2744" s="105" t="str">
        <f t="shared" si="461"/>
        <v>Derate</v>
      </c>
      <c r="N2744" s="105" t="str">
        <f t="shared" si="462"/>
        <v>Coal</v>
      </c>
      <c r="O2744" s="105">
        <f>IFERROR(VLOOKUP(A2744,Lookup!$J$5:$P$19,7,FALSE),0)</f>
        <v>2</v>
      </c>
      <c r="P2744" s="159">
        <f t="shared" si="463"/>
        <v>2017</v>
      </c>
      <c r="Q2744" s="159">
        <f t="shared" si="464"/>
        <v>5</v>
      </c>
      <c r="R2744" s="160">
        <f t="shared" si="465"/>
        <v>6.0166666667209938</v>
      </c>
      <c r="S2744" s="158">
        <f t="shared" si="466"/>
        <v>1.6409090909239075</v>
      </c>
      <c r="T2744" s="161">
        <f t="shared" si="467"/>
        <v>492.27272727717224</v>
      </c>
      <c r="U2744" s="158">
        <f t="shared" si="469"/>
        <v>81.818181818181813</v>
      </c>
      <c r="V2744" s="160">
        <f t="shared" si="468"/>
        <v>82</v>
      </c>
    </row>
    <row r="2745" spans="1:22" x14ac:dyDescent="0.25">
      <c r="A2745" s="98" t="s">
        <v>23</v>
      </c>
      <c r="B2745" s="98" t="s">
        <v>105</v>
      </c>
      <c r="C2745" s="98">
        <v>43</v>
      </c>
      <c r="D2745" s="98">
        <v>310</v>
      </c>
      <c r="E2745" s="157">
        <v>42901.958333333336</v>
      </c>
      <c r="F2745" s="157">
        <v>42902.175694444442</v>
      </c>
      <c r="G2745" s="98">
        <v>250</v>
      </c>
      <c r="H2745" s="98">
        <v>330</v>
      </c>
      <c r="I2745" s="98">
        <v>300</v>
      </c>
      <c r="J2745" s="98" t="s">
        <v>1966</v>
      </c>
      <c r="K2745" s="98" t="s">
        <v>2740</v>
      </c>
      <c r="L2745" s="105" t="str">
        <f t="shared" si="460"/>
        <v>Mill Creek</v>
      </c>
      <c r="M2745" s="105" t="str">
        <f t="shared" si="461"/>
        <v>Derate</v>
      </c>
      <c r="N2745" s="105" t="str">
        <f t="shared" si="462"/>
        <v>Coal</v>
      </c>
      <c r="O2745" s="105">
        <f>IFERROR(VLOOKUP(A2745,Lookup!$J$5:$P$19,7,FALSE),0)</f>
        <v>2</v>
      </c>
      <c r="P2745" s="159">
        <f t="shared" si="463"/>
        <v>2017</v>
      </c>
      <c r="Q2745" s="159">
        <f t="shared" si="464"/>
        <v>6</v>
      </c>
      <c r="R2745" s="160">
        <f t="shared" si="465"/>
        <v>5.2166666665580124</v>
      </c>
      <c r="S2745" s="158">
        <f t="shared" si="466"/>
        <v>1.2646464646201243</v>
      </c>
      <c r="T2745" s="161">
        <f t="shared" si="467"/>
        <v>379.39393938603729</v>
      </c>
      <c r="U2745" s="158">
        <f t="shared" si="469"/>
        <v>72.727272727272734</v>
      </c>
      <c r="V2745" s="160">
        <f t="shared" si="468"/>
        <v>73</v>
      </c>
    </row>
    <row r="2746" spans="1:22" x14ac:dyDescent="0.25">
      <c r="A2746" s="98" t="s">
        <v>23</v>
      </c>
      <c r="B2746" s="98" t="s">
        <v>105</v>
      </c>
      <c r="C2746" s="98">
        <v>44</v>
      </c>
      <c r="D2746" s="98">
        <v>310</v>
      </c>
      <c r="E2746" s="157">
        <v>42905.958333333336</v>
      </c>
      <c r="F2746" s="157">
        <v>42906.166666666664</v>
      </c>
      <c r="G2746" s="98">
        <v>240</v>
      </c>
      <c r="H2746" s="98">
        <v>330</v>
      </c>
      <c r="I2746" s="98">
        <v>300</v>
      </c>
      <c r="J2746" s="98" t="s">
        <v>1966</v>
      </c>
      <c r="K2746" s="98" t="s">
        <v>4276</v>
      </c>
      <c r="L2746" s="105" t="str">
        <f t="shared" si="460"/>
        <v>Mill Creek</v>
      </c>
      <c r="M2746" s="105" t="str">
        <f t="shared" si="461"/>
        <v>Derate</v>
      </c>
      <c r="N2746" s="105" t="str">
        <f t="shared" si="462"/>
        <v>Coal</v>
      </c>
      <c r="O2746" s="105">
        <f>IFERROR(VLOOKUP(A2746,Lookup!$J$5:$P$19,7,FALSE),0)</f>
        <v>2</v>
      </c>
      <c r="P2746" s="159">
        <f t="shared" si="463"/>
        <v>2017</v>
      </c>
      <c r="Q2746" s="159">
        <f t="shared" si="464"/>
        <v>6</v>
      </c>
      <c r="R2746" s="160">
        <f t="shared" si="465"/>
        <v>4.9999999998835847</v>
      </c>
      <c r="S2746" s="158">
        <f t="shared" si="466"/>
        <v>1.363636363604614</v>
      </c>
      <c r="T2746" s="161">
        <f t="shared" si="467"/>
        <v>409.09090908138421</v>
      </c>
      <c r="U2746" s="158">
        <f t="shared" si="469"/>
        <v>81.818181818181813</v>
      </c>
      <c r="V2746" s="160">
        <f t="shared" si="468"/>
        <v>82</v>
      </c>
    </row>
    <row r="2747" spans="1:22" x14ac:dyDescent="0.25">
      <c r="A2747" s="98" t="s">
        <v>23</v>
      </c>
      <c r="B2747" s="98" t="s">
        <v>105</v>
      </c>
      <c r="C2747" s="98">
        <v>46</v>
      </c>
      <c r="D2747" s="98">
        <v>310</v>
      </c>
      <c r="E2747" s="157">
        <v>42906.958333333336</v>
      </c>
      <c r="F2747" s="157">
        <v>42907.172222222223</v>
      </c>
      <c r="G2747" s="98">
        <v>240</v>
      </c>
      <c r="H2747" s="98">
        <v>330</v>
      </c>
      <c r="I2747" s="98">
        <v>300</v>
      </c>
      <c r="J2747" s="98" t="s">
        <v>1966</v>
      </c>
      <c r="K2747" s="98" t="s">
        <v>4275</v>
      </c>
      <c r="L2747" s="105" t="str">
        <f t="shared" si="460"/>
        <v>Mill Creek</v>
      </c>
      <c r="M2747" s="105" t="str">
        <f t="shared" si="461"/>
        <v>Derate</v>
      </c>
      <c r="N2747" s="105" t="str">
        <f t="shared" si="462"/>
        <v>Coal</v>
      </c>
      <c r="O2747" s="105">
        <f>IFERROR(VLOOKUP(A2747,Lookup!$J$5:$P$19,7,FALSE),0)</f>
        <v>2</v>
      </c>
      <c r="P2747" s="159">
        <f t="shared" si="463"/>
        <v>2017</v>
      </c>
      <c r="Q2747" s="159">
        <f t="shared" si="464"/>
        <v>6</v>
      </c>
      <c r="R2747" s="160">
        <f t="shared" si="465"/>
        <v>5.1333333333022892</v>
      </c>
      <c r="S2747" s="158">
        <f t="shared" si="466"/>
        <v>1.3999999999915334</v>
      </c>
      <c r="T2747" s="161">
        <f t="shared" si="467"/>
        <v>419.99999999746001</v>
      </c>
      <c r="U2747" s="158">
        <f t="shared" si="469"/>
        <v>81.818181818181813</v>
      </c>
      <c r="V2747" s="160">
        <f t="shared" si="468"/>
        <v>82</v>
      </c>
    </row>
    <row r="2748" spans="1:22" x14ac:dyDescent="0.25">
      <c r="A2748" s="98" t="s">
        <v>23</v>
      </c>
      <c r="B2748" s="98" t="s">
        <v>105</v>
      </c>
      <c r="C2748" s="98">
        <v>47</v>
      </c>
      <c r="D2748" s="98">
        <v>310</v>
      </c>
      <c r="E2748" s="157">
        <v>42907.958333333336</v>
      </c>
      <c r="F2748" s="157">
        <v>42908.156944444447</v>
      </c>
      <c r="G2748" s="98">
        <v>240</v>
      </c>
      <c r="H2748" s="98">
        <v>330</v>
      </c>
      <c r="I2748" s="98">
        <v>300</v>
      </c>
      <c r="J2748" s="98" t="s">
        <v>1966</v>
      </c>
      <c r="K2748" s="98" t="s">
        <v>119</v>
      </c>
      <c r="L2748" s="105" t="str">
        <f t="shared" si="460"/>
        <v>Mill Creek</v>
      </c>
      <c r="M2748" s="105" t="str">
        <f t="shared" si="461"/>
        <v>Derate</v>
      </c>
      <c r="N2748" s="105" t="str">
        <f t="shared" si="462"/>
        <v>Coal</v>
      </c>
      <c r="O2748" s="105">
        <f>IFERROR(VLOOKUP(A2748,Lookup!$J$5:$P$19,7,FALSE),0)</f>
        <v>2</v>
      </c>
      <c r="P2748" s="159">
        <f t="shared" si="463"/>
        <v>2017</v>
      </c>
      <c r="Q2748" s="159">
        <f t="shared" si="464"/>
        <v>6</v>
      </c>
      <c r="R2748" s="160">
        <f t="shared" si="465"/>
        <v>4.7666666666627862</v>
      </c>
      <c r="S2748" s="158">
        <f t="shared" si="466"/>
        <v>1.2999999999989418</v>
      </c>
      <c r="T2748" s="161">
        <f t="shared" si="467"/>
        <v>389.99999999968253</v>
      </c>
      <c r="U2748" s="158">
        <f t="shared" si="469"/>
        <v>81.818181818181813</v>
      </c>
      <c r="V2748" s="160">
        <f t="shared" si="468"/>
        <v>82</v>
      </c>
    </row>
    <row r="2749" spans="1:22" x14ac:dyDescent="0.25">
      <c r="A2749" s="98" t="s">
        <v>23</v>
      </c>
      <c r="B2749" s="98" t="s">
        <v>105</v>
      </c>
      <c r="C2749" s="98">
        <v>48</v>
      </c>
      <c r="D2749" s="98">
        <v>310</v>
      </c>
      <c r="E2749" s="157">
        <v>42922.958333333336</v>
      </c>
      <c r="F2749" s="157">
        <v>42923.166666666664</v>
      </c>
      <c r="G2749" s="98">
        <v>240</v>
      </c>
      <c r="H2749" s="98">
        <v>330</v>
      </c>
      <c r="I2749" s="98">
        <v>300</v>
      </c>
      <c r="J2749" s="98" t="s">
        <v>1966</v>
      </c>
      <c r="K2749" s="98" t="s">
        <v>4276</v>
      </c>
      <c r="L2749" s="105" t="str">
        <f t="shared" si="460"/>
        <v>Mill Creek</v>
      </c>
      <c r="M2749" s="105" t="str">
        <f t="shared" si="461"/>
        <v>Derate</v>
      </c>
      <c r="N2749" s="105" t="str">
        <f t="shared" si="462"/>
        <v>Coal</v>
      </c>
      <c r="O2749" s="105">
        <f>IFERROR(VLOOKUP(A2749,Lookup!$J$5:$P$19,7,FALSE),0)</f>
        <v>2</v>
      </c>
      <c r="P2749" s="159">
        <f t="shared" si="463"/>
        <v>2017</v>
      </c>
      <c r="Q2749" s="159">
        <f t="shared" si="464"/>
        <v>7</v>
      </c>
      <c r="R2749" s="160">
        <f t="shared" si="465"/>
        <v>4.9999999998835847</v>
      </c>
      <c r="S2749" s="158">
        <f t="shared" si="466"/>
        <v>1.363636363604614</v>
      </c>
      <c r="T2749" s="161">
        <f t="shared" si="467"/>
        <v>409.09090908138421</v>
      </c>
      <c r="U2749" s="158">
        <f t="shared" si="469"/>
        <v>81.818181818181813</v>
      </c>
      <c r="V2749" s="160">
        <f t="shared" si="468"/>
        <v>82</v>
      </c>
    </row>
    <row r="2750" spans="1:22" x14ac:dyDescent="0.25">
      <c r="A2750" s="98" t="s">
        <v>23</v>
      </c>
      <c r="B2750" s="98" t="s">
        <v>17</v>
      </c>
      <c r="C2750" s="98">
        <v>49</v>
      </c>
      <c r="D2750" s="98">
        <v>9930</v>
      </c>
      <c r="E2750" s="157">
        <v>42925.322222222225</v>
      </c>
      <c r="F2750" s="157">
        <v>42925.356249999997</v>
      </c>
      <c r="G2750" s="98">
        <v>65</v>
      </c>
      <c r="H2750" s="98">
        <v>330</v>
      </c>
      <c r="I2750" s="98">
        <v>300</v>
      </c>
      <c r="J2750" s="98" t="s">
        <v>2639</v>
      </c>
      <c r="K2750" s="98" t="s">
        <v>4760</v>
      </c>
      <c r="L2750" s="105" t="str">
        <f t="shared" si="460"/>
        <v>Mill Creek</v>
      </c>
      <c r="M2750" s="105" t="str">
        <f t="shared" si="461"/>
        <v>Derate</v>
      </c>
      <c r="N2750" s="105" t="str">
        <f t="shared" si="462"/>
        <v>Coal</v>
      </c>
      <c r="O2750" s="105">
        <f>IFERROR(VLOOKUP(A2750,Lookup!$J$5:$P$19,7,FALSE),0)</f>
        <v>2</v>
      </c>
      <c r="P2750" s="159">
        <f t="shared" si="463"/>
        <v>2017</v>
      </c>
      <c r="Q2750" s="159">
        <f t="shared" si="464"/>
        <v>7</v>
      </c>
      <c r="R2750" s="160">
        <f t="shared" si="465"/>
        <v>0.8166666665347293</v>
      </c>
      <c r="S2750" s="158">
        <f t="shared" si="466"/>
        <v>0.65580808070213115</v>
      </c>
      <c r="T2750" s="161">
        <f t="shared" si="467"/>
        <v>196.74242421063934</v>
      </c>
      <c r="U2750" s="158">
        <f t="shared" si="469"/>
        <v>240.90909090909091</v>
      </c>
      <c r="V2750" s="160">
        <f t="shared" si="468"/>
        <v>241</v>
      </c>
    </row>
    <row r="2751" spans="1:22" x14ac:dyDescent="0.25">
      <c r="A2751" s="98" t="s">
        <v>23</v>
      </c>
      <c r="B2751" s="98" t="s">
        <v>17</v>
      </c>
      <c r="C2751" s="98">
        <v>50</v>
      </c>
      <c r="D2751" s="98">
        <v>95</v>
      </c>
      <c r="E2751" s="157">
        <v>42925.356249999997</v>
      </c>
      <c r="F2751" s="157">
        <v>42925.438888888886</v>
      </c>
      <c r="G2751" s="98">
        <v>250</v>
      </c>
      <c r="H2751" s="98">
        <v>330</v>
      </c>
      <c r="I2751" s="98">
        <v>300</v>
      </c>
      <c r="J2751" s="98" t="s">
        <v>1998</v>
      </c>
      <c r="K2751" s="98" t="s">
        <v>4761</v>
      </c>
      <c r="L2751" s="105" t="str">
        <f t="shared" si="460"/>
        <v>Mill Creek</v>
      </c>
      <c r="M2751" s="105" t="str">
        <f t="shared" si="461"/>
        <v>Derate</v>
      </c>
      <c r="N2751" s="105" t="str">
        <f t="shared" si="462"/>
        <v>Coal</v>
      </c>
      <c r="O2751" s="105">
        <f>IFERROR(VLOOKUP(A2751,Lookup!$J$5:$P$19,7,FALSE),0)</f>
        <v>2</v>
      </c>
      <c r="P2751" s="159">
        <f t="shared" si="463"/>
        <v>2017</v>
      </c>
      <c r="Q2751" s="159">
        <f t="shared" si="464"/>
        <v>7</v>
      </c>
      <c r="R2751" s="160">
        <f t="shared" si="465"/>
        <v>1.9833333333372138</v>
      </c>
      <c r="S2751" s="158">
        <f t="shared" si="466"/>
        <v>0.48080808080902154</v>
      </c>
      <c r="T2751" s="161">
        <f t="shared" si="467"/>
        <v>144.24242424270648</v>
      </c>
      <c r="U2751" s="158">
        <f t="shared" si="469"/>
        <v>72.727272727272734</v>
      </c>
      <c r="V2751" s="160">
        <f t="shared" si="468"/>
        <v>73</v>
      </c>
    </row>
    <row r="2752" spans="1:22" x14ac:dyDescent="0.25">
      <c r="A2752" s="98" t="s">
        <v>23</v>
      </c>
      <c r="B2752" s="98" t="s">
        <v>105</v>
      </c>
      <c r="C2752" s="98">
        <v>51</v>
      </c>
      <c r="D2752" s="98">
        <v>310</v>
      </c>
      <c r="E2752" s="157">
        <v>42942.958333333336</v>
      </c>
      <c r="F2752" s="157">
        <v>42943.168749999997</v>
      </c>
      <c r="G2752" s="98">
        <v>250</v>
      </c>
      <c r="H2752" s="98">
        <v>330</v>
      </c>
      <c r="I2752" s="98">
        <v>300</v>
      </c>
      <c r="J2752" s="98" t="s">
        <v>1966</v>
      </c>
      <c r="K2752" s="98" t="s">
        <v>2740</v>
      </c>
      <c r="L2752" s="105" t="str">
        <f t="shared" si="460"/>
        <v>Mill Creek</v>
      </c>
      <c r="M2752" s="105" t="str">
        <f t="shared" si="461"/>
        <v>Derate</v>
      </c>
      <c r="N2752" s="105" t="str">
        <f t="shared" si="462"/>
        <v>Coal</v>
      </c>
      <c r="O2752" s="105">
        <f>IFERROR(VLOOKUP(A2752,Lookup!$J$5:$P$19,7,FALSE),0)</f>
        <v>2</v>
      </c>
      <c r="P2752" s="159">
        <f t="shared" si="463"/>
        <v>2017</v>
      </c>
      <c r="Q2752" s="159">
        <f t="shared" si="464"/>
        <v>7</v>
      </c>
      <c r="R2752" s="160">
        <f t="shared" si="465"/>
        <v>5.0499999998719431</v>
      </c>
      <c r="S2752" s="158">
        <f t="shared" si="466"/>
        <v>1.2242424242113801</v>
      </c>
      <c r="T2752" s="161">
        <f t="shared" si="467"/>
        <v>367.27272726341403</v>
      </c>
      <c r="U2752" s="158">
        <f t="shared" si="469"/>
        <v>72.727272727272734</v>
      </c>
      <c r="V2752" s="160">
        <f t="shared" si="468"/>
        <v>73</v>
      </c>
    </row>
    <row r="2753" spans="1:22" x14ac:dyDescent="0.25">
      <c r="A2753" s="98" t="s">
        <v>23</v>
      </c>
      <c r="B2753" s="98" t="s">
        <v>105</v>
      </c>
      <c r="C2753" s="98">
        <v>52</v>
      </c>
      <c r="D2753" s="98">
        <v>310</v>
      </c>
      <c r="E2753" s="157">
        <v>42943.958333333336</v>
      </c>
      <c r="F2753" s="157">
        <v>42944.165277777778</v>
      </c>
      <c r="G2753" s="98">
        <v>250</v>
      </c>
      <c r="H2753" s="98">
        <v>330</v>
      </c>
      <c r="I2753" s="98">
        <v>300</v>
      </c>
      <c r="J2753" s="98" t="s">
        <v>1966</v>
      </c>
      <c r="K2753" s="98" t="s">
        <v>4275</v>
      </c>
      <c r="L2753" s="105" t="str">
        <f t="shared" si="460"/>
        <v>Mill Creek</v>
      </c>
      <c r="M2753" s="105" t="str">
        <f t="shared" si="461"/>
        <v>Derate</v>
      </c>
      <c r="N2753" s="105" t="str">
        <f t="shared" si="462"/>
        <v>Coal</v>
      </c>
      <c r="O2753" s="105">
        <f>IFERROR(VLOOKUP(A2753,Lookup!$J$5:$P$19,7,FALSE),0)</f>
        <v>2</v>
      </c>
      <c r="P2753" s="159">
        <f t="shared" si="463"/>
        <v>2017</v>
      </c>
      <c r="Q2753" s="159">
        <f t="shared" si="464"/>
        <v>7</v>
      </c>
      <c r="R2753" s="160">
        <f t="shared" si="465"/>
        <v>4.96666666661622</v>
      </c>
      <c r="S2753" s="158">
        <f t="shared" si="466"/>
        <v>1.2040404040281745</v>
      </c>
      <c r="T2753" s="161">
        <f t="shared" si="467"/>
        <v>361.21212120845234</v>
      </c>
      <c r="U2753" s="158">
        <f t="shared" si="469"/>
        <v>72.727272727272734</v>
      </c>
      <c r="V2753" s="160">
        <f t="shared" si="468"/>
        <v>73</v>
      </c>
    </row>
    <row r="2754" spans="1:22" x14ac:dyDescent="0.25">
      <c r="A2754" s="98" t="s">
        <v>23</v>
      </c>
      <c r="B2754" s="98" t="s">
        <v>105</v>
      </c>
      <c r="C2754" s="98">
        <v>53</v>
      </c>
      <c r="D2754" s="98">
        <v>8620</v>
      </c>
      <c r="E2754" s="157">
        <v>42944.916666666664</v>
      </c>
      <c r="F2754" s="157">
        <v>42945.024305555555</v>
      </c>
      <c r="G2754" s="98">
        <v>125</v>
      </c>
      <c r="H2754" s="98">
        <v>330</v>
      </c>
      <c r="I2754" s="98">
        <v>300</v>
      </c>
      <c r="J2754" s="98" t="s">
        <v>4762</v>
      </c>
      <c r="K2754" s="98" t="s">
        <v>4763</v>
      </c>
      <c r="L2754" s="105" t="str">
        <f t="shared" si="460"/>
        <v>Mill Creek</v>
      </c>
      <c r="M2754" s="105" t="str">
        <f t="shared" si="461"/>
        <v>Derate</v>
      </c>
      <c r="N2754" s="105" t="str">
        <f t="shared" si="462"/>
        <v>Coal</v>
      </c>
      <c r="O2754" s="105">
        <f>IFERROR(VLOOKUP(A2754,Lookup!$J$5:$P$19,7,FALSE),0)</f>
        <v>2</v>
      </c>
      <c r="P2754" s="159">
        <f t="shared" si="463"/>
        <v>2017</v>
      </c>
      <c r="Q2754" s="159">
        <f t="shared" si="464"/>
        <v>7</v>
      </c>
      <c r="R2754" s="160">
        <f t="shared" si="465"/>
        <v>2.5833333333721384</v>
      </c>
      <c r="S2754" s="158">
        <f t="shared" si="466"/>
        <v>1.6047979798220859</v>
      </c>
      <c r="T2754" s="161">
        <f t="shared" si="467"/>
        <v>481.43939394662578</v>
      </c>
      <c r="U2754" s="158">
        <f t="shared" si="469"/>
        <v>186.36363636363637</v>
      </c>
      <c r="V2754" s="160">
        <f t="shared" si="468"/>
        <v>186</v>
      </c>
    </row>
    <row r="2755" spans="1:22" x14ac:dyDescent="0.25">
      <c r="A2755" s="98" t="s">
        <v>23</v>
      </c>
      <c r="B2755" s="98" t="s">
        <v>17</v>
      </c>
      <c r="C2755" s="98">
        <v>54</v>
      </c>
      <c r="D2755" s="98">
        <v>250</v>
      </c>
      <c r="E2755" s="157">
        <v>42956.241666666669</v>
      </c>
      <c r="F2755" s="157">
        <v>42956.322916666664</v>
      </c>
      <c r="G2755" s="98">
        <v>50</v>
      </c>
      <c r="H2755" s="98">
        <v>330</v>
      </c>
      <c r="I2755" s="98">
        <v>300</v>
      </c>
      <c r="J2755" s="98" t="s">
        <v>1978</v>
      </c>
      <c r="K2755" s="98" t="s">
        <v>4764</v>
      </c>
      <c r="L2755" s="105" t="str">
        <f t="shared" si="460"/>
        <v>Mill Creek</v>
      </c>
      <c r="M2755" s="105" t="str">
        <f t="shared" si="461"/>
        <v>Derate</v>
      </c>
      <c r="N2755" s="105" t="str">
        <f t="shared" si="462"/>
        <v>Coal</v>
      </c>
      <c r="O2755" s="105">
        <f>IFERROR(VLOOKUP(A2755,Lookup!$J$5:$P$19,7,FALSE),0)</f>
        <v>2</v>
      </c>
      <c r="P2755" s="159">
        <f t="shared" si="463"/>
        <v>2017</v>
      </c>
      <c r="Q2755" s="159">
        <f t="shared" si="464"/>
        <v>8</v>
      </c>
      <c r="R2755" s="160">
        <f t="shared" si="465"/>
        <v>1.9499999998952262</v>
      </c>
      <c r="S2755" s="158">
        <f t="shared" si="466"/>
        <v>1.6545454544565557</v>
      </c>
      <c r="T2755" s="161">
        <f t="shared" si="467"/>
        <v>496.36363633696669</v>
      </c>
      <c r="U2755" s="158">
        <f t="shared" si="469"/>
        <v>254.54545454545453</v>
      </c>
      <c r="V2755" s="160">
        <f t="shared" si="468"/>
        <v>255</v>
      </c>
    </row>
    <row r="2756" spans="1:22" x14ac:dyDescent="0.25">
      <c r="A2756" s="98" t="s">
        <v>23</v>
      </c>
      <c r="B2756" s="98" t="s">
        <v>17</v>
      </c>
      <c r="C2756" s="98">
        <v>55</v>
      </c>
      <c r="D2756" s="98">
        <v>250</v>
      </c>
      <c r="E2756" s="157">
        <v>42956.322916666664</v>
      </c>
      <c r="F2756" s="157">
        <v>42956.351388888892</v>
      </c>
      <c r="G2756" s="98">
        <v>250</v>
      </c>
      <c r="H2756" s="98">
        <v>330</v>
      </c>
      <c r="I2756" s="98">
        <v>300</v>
      </c>
      <c r="J2756" s="98" t="s">
        <v>1978</v>
      </c>
      <c r="K2756" s="98" t="s">
        <v>4765</v>
      </c>
      <c r="L2756" s="105" t="str">
        <f t="shared" si="460"/>
        <v>Mill Creek</v>
      </c>
      <c r="M2756" s="105" t="str">
        <f t="shared" si="461"/>
        <v>Derate</v>
      </c>
      <c r="N2756" s="105" t="str">
        <f t="shared" si="462"/>
        <v>Coal</v>
      </c>
      <c r="O2756" s="105">
        <f>IFERROR(VLOOKUP(A2756,Lookup!$J$5:$P$19,7,FALSE),0)</f>
        <v>2</v>
      </c>
      <c r="P2756" s="159">
        <f t="shared" si="463"/>
        <v>2017</v>
      </c>
      <c r="Q2756" s="159">
        <f t="shared" si="464"/>
        <v>8</v>
      </c>
      <c r="R2756" s="160">
        <f t="shared" si="465"/>
        <v>0.6833333334652707</v>
      </c>
      <c r="S2756" s="158">
        <f t="shared" si="466"/>
        <v>0.16565656568855047</v>
      </c>
      <c r="T2756" s="161">
        <f t="shared" si="467"/>
        <v>49.696969706565142</v>
      </c>
      <c r="U2756" s="158">
        <f t="shared" si="469"/>
        <v>72.727272727272734</v>
      </c>
      <c r="V2756" s="160">
        <f t="shared" si="468"/>
        <v>73</v>
      </c>
    </row>
    <row r="2757" spans="1:22" x14ac:dyDescent="0.25">
      <c r="A2757" s="98" t="s">
        <v>23</v>
      </c>
      <c r="B2757" s="98" t="s">
        <v>105</v>
      </c>
      <c r="C2757" s="98">
        <v>56</v>
      </c>
      <c r="D2757" s="98">
        <v>310</v>
      </c>
      <c r="E2757" s="157">
        <v>42956.958333333336</v>
      </c>
      <c r="F2757" s="157">
        <v>42957.165972222225</v>
      </c>
      <c r="G2757" s="98">
        <v>240</v>
      </c>
      <c r="H2757" s="98">
        <v>330</v>
      </c>
      <c r="I2757" s="98">
        <v>300</v>
      </c>
      <c r="J2757" s="98" t="s">
        <v>1966</v>
      </c>
      <c r="K2757" s="98" t="s">
        <v>4276</v>
      </c>
      <c r="L2757" s="105" t="str">
        <f t="shared" si="460"/>
        <v>Mill Creek</v>
      </c>
      <c r="M2757" s="105" t="str">
        <f t="shared" si="461"/>
        <v>Derate</v>
      </c>
      <c r="N2757" s="105" t="str">
        <f t="shared" si="462"/>
        <v>Coal</v>
      </c>
      <c r="O2757" s="105">
        <f>IFERROR(VLOOKUP(A2757,Lookup!$J$5:$P$19,7,FALSE),0)</f>
        <v>2</v>
      </c>
      <c r="P2757" s="159">
        <f t="shared" si="463"/>
        <v>2017</v>
      </c>
      <c r="Q2757" s="159">
        <f t="shared" si="464"/>
        <v>8</v>
      </c>
      <c r="R2757" s="160">
        <f t="shared" si="465"/>
        <v>4.9833333333372138</v>
      </c>
      <c r="S2757" s="158">
        <f t="shared" si="466"/>
        <v>1.3590909090919674</v>
      </c>
      <c r="T2757" s="161">
        <f t="shared" si="467"/>
        <v>407.72727272759022</v>
      </c>
      <c r="U2757" s="158">
        <f t="shared" si="469"/>
        <v>81.818181818181813</v>
      </c>
      <c r="V2757" s="160">
        <f t="shared" si="468"/>
        <v>82</v>
      </c>
    </row>
    <row r="2758" spans="1:22" x14ac:dyDescent="0.25">
      <c r="A2758" s="98" t="s">
        <v>23</v>
      </c>
      <c r="B2758" s="98" t="s">
        <v>105</v>
      </c>
      <c r="C2758" s="98">
        <v>57</v>
      </c>
      <c r="D2758" s="98">
        <v>310</v>
      </c>
      <c r="E2758" s="157">
        <v>42957.916666666664</v>
      </c>
      <c r="F2758" s="157">
        <v>42958.166666666664</v>
      </c>
      <c r="G2758" s="98">
        <v>240</v>
      </c>
      <c r="H2758" s="98">
        <v>330</v>
      </c>
      <c r="I2758" s="98">
        <v>300</v>
      </c>
      <c r="J2758" s="98" t="s">
        <v>1966</v>
      </c>
      <c r="K2758" s="98" t="s">
        <v>119</v>
      </c>
      <c r="L2758" s="105" t="str">
        <f t="shared" si="460"/>
        <v>Mill Creek</v>
      </c>
      <c r="M2758" s="105" t="str">
        <f t="shared" si="461"/>
        <v>Derate</v>
      </c>
      <c r="N2758" s="105" t="str">
        <f t="shared" si="462"/>
        <v>Coal</v>
      </c>
      <c r="O2758" s="105">
        <f>IFERROR(VLOOKUP(A2758,Lookup!$J$5:$P$19,7,FALSE),0)</f>
        <v>2</v>
      </c>
      <c r="P2758" s="159">
        <f t="shared" si="463"/>
        <v>2017</v>
      </c>
      <c r="Q2758" s="159">
        <f t="shared" si="464"/>
        <v>8</v>
      </c>
      <c r="R2758" s="160">
        <f t="shared" si="465"/>
        <v>6</v>
      </c>
      <c r="S2758" s="158">
        <f t="shared" si="466"/>
        <v>1.6363636363636365</v>
      </c>
      <c r="T2758" s="161">
        <f t="shared" si="467"/>
        <v>490.90909090909093</v>
      </c>
      <c r="U2758" s="158">
        <f t="shared" si="469"/>
        <v>81.818181818181813</v>
      </c>
      <c r="V2758" s="160">
        <f t="shared" si="468"/>
        <v>82</v>
      </c>
    </row>
    <row r="2759" spans="1:22" x14ac:dyDescent="0.25">
      <c r="A2759" s="98" t="s">
        <v>23</v>
      </c>
      <c r="B2759" s="98" t="s">
        <v>105</v>
      </c>
      <c r="C2759" s="98">
        <v>58</v>
      </c>
      <c r="D2759" s="98">
        <v>310</v>
      </c>
      <c r="E2759" s="157">
        <v>42964.90625</v>
      </c>
      <c r="F2759" s="157">
        <v>42964.979166666664</v>
      </c>
      <c r="G2759" s="98">
        <v>240</v>
      </c>
      <c r="H2759" s="98">
        <v>330</v>
      </c>
      <c r="I2759" s="98">
        <v>300</v>
      </c>
      <c r="J2759" s="98" t="s">
        <v>1966</v>
      </c>
      <c r="K2759" s="98" t="s">
        <v>119</v>
      </c>
      <c r="L2759" s="105" t="str">
        <f t="shared" si="460"/>
        <v>Mill Creek</v>
      </c>
      <c r="M2759" s="105" t="str">
        <f t="shared" si="461"/>
        <v>Derate</v>
      </c>
      <c r="N2759" s="105" t="str">
        <f t="shared" si="462"/>
        <v>Coal</v>
      </c>
      <c r="O2759" s="105">
        <f>IFERROR(VLOOKUP(A2759,Lookup!$J$5:$P$19,7,FALSE),0)</f>
        <v>2</v>
      </c>
      <c r="P2759" s="159">
        <f t="shared" si="463"/>
        <v>2017</v>
      </c>
      <c r="Q2759" s="159">
        <f t="shared" si="464"/>
        <v>8</v>
      </c>
      <c r="R2759" s="160">
        <f t="shared" si="465"/>
        <v>1.7499999999417923</v>
      </c>
      <c r="S2759" s="158">
        <f t="shared" si="466"/>
        <v>0.47727272725685244</v>
      </c>
      <c r="T2759" s="161">
        <f t="shared" si="467"/>
        <v>143.18181817705573</v>
      </c>
      <c r="U2759" s="158">
        <f t="shared" si="469"/>
        <v>81.818181818181813</v>
      </c>
      <c r="V2759" s="160">
        <f t="shared" si="468"/>
        <v>82</v>
      </c>
    </row>
    <row r="2760" spans="1:22" x14ac:dyDescent="0.25">
      <c r="A2760" s="98" t="s">
        <v>23</v>
      </c>
      <c r="B2760" s="98" t="s">
        <v>105</v>
      </c>
      <c r="C2760" s="98">
        <v>59</v>
      </c>
      <c r="D2760" s="98">
        <v>310</v>
      </c>
      <c r="E2760" s="157">
        <v>42964.979166666664</v>
      </c>
      <c r="F2760" s="157">
        <v>42965.143055555556</v>
      </c>
      <c r="G2760" s="98">
        <v>240</v>
      </c>
      <c r="H2760" s="98">
        <v>330</v>
      </c>
      <c r="I2760" s="98">
        <v>300</v>
      </c>
      <c r="J2760" s="98" t="s">
        <v>1966</v>
      </c>
      <c r="K2760" s="98" t="s">
        <v>4766</v>
      </c>
      <c r="L2760" s="105" t="str">
        <f t="shared" si="460"/>
        <v>Mill Creek</v>
      </c>
      <c r="M2760" s="105" t="str">
        <f t="shared" si="461"/>
        <v>Derate</v>
      </c>
      <c r="N2760" s="105" t="str">
        <f t="shared" si="462"/>
        <v>Coal</v>
      </c>
      <c r="O2760" s="105">
        <f>IFERROR(VLOOKUP(A2760,Lookup!$J$5:$P$19,7,FALSE),0)</f>
        <v>2</v>
      </c>
      <c r="P2760" s="159">
        <f t="shared" si="463"/>
        <v>2017</v>
      </c>
      <c r="Q2760" s="159">
        <f t="shared" si="464"/>
        <v>8</v>
      </c>
      <c r="R2760" s="160">
        <f t="shared" si="465"/>
        <v>3.933333333407063</v>
      </c>
      <c r="S2760" s="158">
        <f t="shared" si="466"/>
        <v>1.0727272727473809</v>
      </c>
      <c r="T2760" s="161">
        <f t="shared" si="467"/>
        <v>321.81818182421426</v>
      </c>
      <c r="U2760" s="158">
        <f t="shared" si="469"/>
        <v>81.818181818181813</v>
      </c>
      <c r="V2760" s="160">
        <f t="shared" si="468"/>
        <v>82</v>
      </c>
    </row>
    <row r="2761" spans="1:22" x14ac:dyDescent="0.25">
      <c r="A2761" s="98" t="s">
        <v>23</v>
      </c>
      <c r="B2761" s="98" t="s">
        <v>79</v>
      </c>
      <c r="C2761" s="98">
        <v>60</v>
      </c>
      <c r="D2761" s="98">
        <v>9997</v>
      </c>
      <c r="E2761" s="157">
        <v>42967.03402777778</v>
      </c>
      <c r="F2761" s="157">
        <v>42968.118055555555</v>
      </c>
      <c r="G2761" s="98">
        <v>0</v>
      </c>
      <c r="H2761" s="98">
        <v>330</v>
      </c>
      <c r="I2761" s="98">
        <v>300</v>
      </c>
      <c r="J2761" s="98" t="s">
        <v>2270</v>
      </c>
      <c r="K2761" s="98" t="s">
        <v>4767</v>
      </c>
      <c r="L2761" s="105" t="str">
        <f t="shared" si="460"/>
        <v>Mill Creek</v>
      </c>
      <c r="M2761" s="105" t="str">
        <f t="shared" si="461"/>
        <v>Other</v>
      </c>
      <c r="N2761" s="105" t="str">
        <f t="shared" si="462"/>
        <v>Coal</v>
      </c>
      <c r="O2761" s="105">
        <f>IFERROR(VLOOKUP(A2761,Lookup!$J$5:$P$19,7,FALSE),0)</f>
        <v>2</v>
      </c>
      <c r="P2761" s="159">
        <f t="shared" si="463"/>
        <v>2017</v>
      </c>
      <c r="Q2761" s="159">
        <f t="shared" si="464"/>
        <v>8</v>
      </c>
      <c r="R2761" s="160">
        <f t="shared" si="465"/>
        <v>26.016666666604578</v>
      </c>
      <c r="S2761" s="158">
        <f t="shared" si="466"/>
        <v>26.016666666604578</v>
      </c>
      <c r="T2761" s="161">
        <f t="shared" si="467"/>
        <v>7804.9999999813735</v>
      </c>
      <c r="U2761" s="158">
        <f t="shared" si="469"/>
        <v>300</v>
      </c>
      <c r="V2761" s="160">
        <f t="shared" si="468"/>
        <v>300</v>
      </c>
    </row>
    <row r="2762" spans="1:22" x14ac:dyDescent="0.25">
      <c r="A2762" s="98" t="s">
        <v>23</v>
      </c>
      <c r="B2762" s="98" t="s">
        <v>17</v>
      </c>
      <c r="C2762" s="98">
        <v>61</v>
      </c>
      <c r="D2762" s="98">
        <v>250</v>
      </c>
      <c r="E2762" s="157">
        <v>42967.443055555559</v>
      </c>
      <c r="F2762" s="157">
        <v>42967.486111111109</v>
      </c>
      <c r="G2762" s="98">
        <v>240</v>
      </c>
      <c r="H2762" s="98">
        <v>330</v>
      </c>
      <c r="I2762" s="98">
        <v>300</v>
      </c>
      <c r="J2762" s="98" t="s">
        <v>1978</v>
      </c>
      <c r="K2762" s="98" t="s">
        <v>4768</v>
      </c>
      <c r="L2762" s="105" t="str">
        <f t="shared" si="460"/>
        <v>Mill Creek</v>
      </c>
      <c r="M2762" s="105" t="str">
        <f t="shared" si="461"/>
        <v>Derate</v>
      </c>
      <c r="N2762" s="105" t="str">
        <f t="shared" si="462"/>
        <v>Coal</v>
      </c>
      <c r="O2762" s="105">
        <f>IFERROR(VLOOKUP(A2762,Lookup!$J$5:$P$19,7,FALSE),0)</f>
        <v>2</v>
      </c>
      <c r="P2762" s="159">
        <f t="shared" si="463"/>
        <v>2017</v>
      </c>
      <c r="Q2762" s="159">
        <f t="shared" si="464"/>
        <v>8</v>
      </c>
      <c r="R2762" s="160">
        <f t="shared" si="465"/>
        <v>1.033333333209157</v>
      </c>
      <c r="S2762" s="158">
        <f t="shared" si="466"/>
        <v>0.28181818178431556</v>
      </c>
      <c r="T2762" s="161">
        <f t="shared" si="467"/>
        <v>84.545454535294667</v>
      </c>
      <c r="U2762" s="158">
        <f t="shared" si="469"/>
        <v>81.818181818181813</v>
      </c>
      <c r="V2762" s="160">
        <f t="shared" si="468"/>
        <v>82</v>
      </c>
    </row>
    <row r="2763" spans="1:22" x14ac:dyDescent="0.25">
      <c r="A2763" s="98" t="s">
        <v>23</v>
      </c>
      <c r="B2763" s="98" t="s">
        <v>17</v>
      </c>
      <c r="C2763" s="98">
        <v>62</v>
      </c>
      <c r="D2763" s="98">
        <v>250</v>
      </c>
      <c r="E2763" s="157">
        <v>42967.980555555558</v>
      </c>
      <c r="F2763" s="157">
        <v>42968.131944444445</v>
      </c>
      <c r="G2763" s="98">
        <v>245</v>
      </c>
      <c r="H2763" s="98">
        <v>330</v>
      </c>
      <c r="I2763" s="98">
        <v>300</v>
      </c>
      <c r="J2763" s="98" t="s">
        <v>1978</v>
      </c>
      <c r="K2763" s="98" t="s">
        <v>4769</v>
      </c>
      <c r="L2763" s="105" t="str">
        <f t="shared" si="460"/>
        <v>Mill Creek</v>
      </c>
      <c r="M2763" s="105" t="str">
        <f t="shared" si="461"/>
        <v>Derate</v>
      </c>
      <c r="N2763" s="105" t="str">
        <f t="shared" si="462"/>
        <v>Coal</v>
      </c>
      <c r="O2763" s="105">
        <f>IFERROR(VLOOKUP(A2763,Lookup!$J$5:$P$19,7,FALSE),0)</f>
        <v>2</v>
      </c>
      <c r="P2763" s="159">
        <f t="shared" si="463"/>
        <v>2017</v>
      </c>
      <c r="Q2763" s="159">
        <f t="shared" si="464"/>
        <v>8</v>
      </c>
      <c r="R2763" s="160">
        <f t="shared" si="465"/>
        <v>3.6333333333022892</v>
      </c>
      <c r="S2763" s="158">
        <f t="shared" si="466"/>
        <v>0.93585858585058967</v>
      </c>
      <c r="T2763" s="161">
        <f t="shared" si="467"/>
        <v>280.7575757551769</v>
      </c>
      <c r="U2763" s="158">
        <f t="shared" si="469"/>
        <v>77.272727272727266</v>
      </c>
      <c r="V2763" s="160">
        <f t="shared" si="468"/>
        <v>77</v>
      </c>
    </row>
    <row r="2764" spans="1:22" x14ac:dyDescent="0.25">
      <c r="A2764" s="98" t="s">
        <v>23</v>
      </c>
      <c r="B2764" s="98" t="s">
        <v>105</v>
      </c>
      <c r="C2764" s="98">
        <v>63</v>
      </c>
      <c r="D2764" s="98">
        <v>310</v>
      </c>
      <c r="E2764" s="157">
        <v>42971.916666666664</v>
      </c>
      <c r="F2764" s="157">
        <v>42972.07708333333</v>
      </c>
      <c r="G2764" s="98">
        <v>240</v>
      </c>
      <c r="H2764" s="98">
        <v>330</v>
      </c>
      <c r="I2764" s="98">
        <v>300</v>
      </c>
      <c r="J2764" s="98" t="s">
        <v>1966</v>
      </c>
      <c r="K2764" s="98" t="s">
        <v>119</v>
      </c>
      <c r="L2764" s="105" t="str">
        <f t="shared" si="460"/>
        <v>Mill Creek</v>
      </c>
      <c r="M2764" s="105" t="str">
        <f t="shared" si="461"/>
        <v>Derate</v>
      </c>
      <c r="N2764" s="105" t="str">
        <f t="shared" si="462"/>
        <v>Coal</v>
      </c>
      <c r="O2764" s="105">
        <f>IFERROR(VLOOKUP(A2764,Lookup!$J$5:$P$19,7,FALSE),0)</f>
        <v>2</v>
      </c>
      <c r="P2764" s="159">
        <f t="shared" si="463"/>
        <v>2017</v>
      </c>
      <c r="Q2764" s="159">
        <f t="shared" si="464"/>
        <v>8</v>
      </c>
      <c r="R2764" s="160">
        <f t="shared" si="465"/>
        <v>3.8499999999767169</v>
      </c>
      <c r="S2764" s="158">
        <f t="shared" si="466"/>
        <v>1.04999999999365</v>
      </c>
      <c r="T2764" s="161">
        <f t="shared" si="467"/>
        <v>314.99999999809501</v>
      </c>
      <c r="U2764" s="158">
        <f t="shared" si="469"/>
        <v>81.818181818181813</v>
      </c>
      <c r="V2764" s="160">
        <f t="shared" si="468"/>
        <v>82</v>
      </c>
    </row>
    <row r="2765" spans="1:22" x14ac:dyDescent="0.25">
      <c r="A2765" s="98" t="s">
        <v>23</v>
      </c>
      <c r="B2765" s="98" t="s">
        <v>105</v>
      </c>
      <c r="C2765" s="98">
        <v>64</v>
      </c>
      <c r="D2765" s="98">
        <v>310</v>
      </c>
      <c r="E2765" s="157">
        <v>42974.916666666664</v>
      </c>
      <c r="F2765" s="157">
        <v>42975.104861111111</v>
      </c>
      <c r="G2765" s="98">
        <v>240</v>
      </c>
      <c r="H2765" s="98">
        <v>330</v>
      </c>
      <c r="I2765" s="98">
        <v>300</v>
      </c>
      <c r="J2765" s="98" t="s">
        <v>1966</v>
      </c>
      <c r="K2765" s="98" t="s">
        <v>4275</v>
      </c>
      <c r="L2765" s="105" t="str">
        <f t="shared" si="460"/>
        <v>Mill Creek</v>
      </c>
      <c r="M2765" s="105" t="str">
        <f t="shared" si="461"/>
        <v>Derate</v>
      </c>
      <c r="N2765" s="105" t="str">
        <f t="shared" si="462"/>
        <v>Coal</v>
      </c>
      <c r="O2765" s="105">
        <f>IFERROR(VLOOKUP(A2765,Lookup!$J$5:$P$19,7,FALSE),0)</f>
        <v>2</v>
      </c>
      <c r="P2765" s="159">
        <f t="shared" si="463"/>
        <v>2017</v>
      </c>
      <c r="Q2765" s="159">
        <f t="shared" si="464"/>
        <v>8</v>
      </c>
      <c r="R2765" s="160">
        <f t="shared" si="465"/>
        <v>4.5166666667209938</v>
      </c>
      <c r="S2765" s="158">
        <f t="shared" si="466"/>
        <v>1.2318181818329983</v>
      </c>
      <c r="T2765" s="161">
        <f t="shared" si="467"/>
        <v>369.54545454989949</v>
      </c>
      <c r="U2765" s="158">
        <f t="shared" si="469"/>
        <v>81.818181818181813</v>
      </c>
      <c r="V2765" s="160">
        <f t="shared" si="468"/>
        <v>82</v>
      </c>
    </row>
    <row r="2766" spans="1:22" x14ac:dyDescent="0.25">
      <c r="A2766" s="98" t="s">
        <v>23</v>
      </c>
      <c r="B2766" s="98" t="s">
        <v>105</v>
      </c>
      <c r="C2766" s="98">
        <v>65</v>
      </c>
      <c r="D2766" s="98">
        <v>310</v>
      </c>
      <c r="E2766" s="157">
        <v>42975.916666666664</v>
      </c>
      <c r="F2766" s="157">
        <v>42976.080555555556</v>
      </c>
      <c r="G2766" s="98">
        <v>240</v>
      </c>
      <c r="H2766" s="98">
        <v>330</v>
      </c>
      <c r="I2766" s="98">
        <v>300</v>
      </c>
      <c r="J2766" s="98" t="s">
        <v>1966</v>
      </c>
      <c r="K2766" s="98" t="s">
        <v>2740</v>
      </c>
      <c r="L2766" s="105" t="str">
        <f t="shared" si="460"/>
        <v>Mill Creek</v>
      </c>
      <c r="M2766" s="105" t="str">
        <f t="shared" si="461"/>
        <v>Derate</v>
      </c>
      <c r="N2766" s="105" t="str">
        <f t="shared" si="462"/>
        <v>Coal</v>
      </c>
      <c r="O2766" s="105">
        <f>IFERROR(VLOOKUP(A2766,Lookup!$J$5:$P$19,7,FALSE),0)</f>
        <v>2</v>
      </c>
      <c r="P2766" s="159">
        <f t="shared" si="463"/>
        <v>2017</v>
      </c>
      <c r="Q2766" s="159">
        <f t="shared" si="464"/>
        <v>8</v>
      </c>
      <c r="R2766" s="160">
        <f t="shared" si="465"/>
        <v>3.933333333407063</v>
      </c>
      <c r="S2766" s="158">
        <f t="shared" si="466"/>
        <v>1.0727272727473809</v>
      </c>
      <c r="T2766" s="161">
        <f t="shared" si="467"/>
        <v>321.81818182421426</v>
      </c>
      <c r="U2766" s="158">
        <f t="shared" si="469"/>
        <v>81.818181818181813</v>
      </c>
      <c r="V2766" s="160">
        <f t="shared" si="468"/>
        <v>82</v>
      </c>
    </row>
    <row r="2767" spans="1:22" x14ac:dyDescent="0.25">
      <c r="A2767" s="98" t="s">
        <v>23</v>
      </c>
      <c r="B2767" s="98" t="s">
        <v>15</v>
      </c>
      <c r="C2767" s="98">
        <v>66</v>
      </c>
      <c r="D2767" s="98">
        <v>4460</v>
      </c>
      <c r="E2767" s="157">
        <v>42980.015972222223</v>
      </c>
      <c r="F2767" s="157">
        <v>42980.094444444447</v>
      </c>
      <c r="G2767" s="98">
        <v>0</v>
      </c>
      <c r="H2767" s="98">
        <v>330</v>
      </c>
      <c r="I2767" s="98">
        <v>300</v>
      </c>
      <c r="J2767" s="98" t="s">
        <v>2556</v>
      </c>
      <c r="K2767" s="98" t="s">
        <v>4770</v>
      </c>
      <c r="L2767" s="105" t="str">
        <f t="shared" si="460"/>
        <v>Mill Creek</v>
      </c>
      <c r="M2767" s="105" t="str">
        <f t="shared" si="461"/>
        <v>Outage</v>
      </c>
      <c r="N2767" s="105" t="str">
        <f t="shared" si="462"/>
        <v>Coal</v>
      </c>
      <c r="O2767" s="105">
        <f>IFERROR(VLOOKUP(A2767,Lookup!$J$5:$P$19,7,FALSE),0)</f>
        <v>2</v>
      </c>
      <c r="P2767" s="159">
        <f t="shared" si="463"/>
        <v>2017</v>
      </c>
      <c r="Q2767" s="159">
        <f t="shared" si="464"/>
        <v>9</v>
      </c>
      <c r="R2767" s="160">
        <f t="shared" si="465"/>
        <v>1.8833333333604969</v>
      </c>
      <c r="S2767" s="158">
        <f t="shared" si="466"/>
        <v>1.8833333333604969</v>
      </c>
      <c r="T2767" s="161">
        <f t="shared" si="467"/>
        <v>565.00000000814907</v>
      </c>
      <c r="U2767" s="158">
        <f t="shared" si="469"/>
        <v>300</v>
      </c>
      <c r="V2767" s="160">
        <f t="shared" si="468"/>
        <v>300</v>
      </c>
    </row>
    <row r="2768" spans="1:22" x14ac:dyDescent="0.25">
      <c r="A2768" s="98" t="s">
        <v>23</v>
      </c>
      <c r="B2768" s="98" t="s">
        <v>105</v>
      </c>
      <c r="C2768" s="98">
        <v>67</v>
      </c>
      <c r="D2768" s="98">
        <v>310</v>
      </c>
      <c r="E2768" s="157">
        <v>42984.916666666664</v>
      </c>
      <c r="F2768" s="157">
        <v>42985.124305555553</v>
      </c>
      <c r="G2768" s="98">
        <v>240</v>
      </c>
      <c r="H2768" s="98">
        <v>330</v>
      </c>
      <c r="I2768" s="98">
        <v>300</v>
      </c>
      <c r="J2768" s="98" t="s">
        <v>1966</v>
      </c>
      <c r="K2768" s="98" t="s">
        <v>4276</v>
      </c>
      <c r="L2768" s="105" t="str">
        <f t="shared" si="460"/>
        <v>Mill Creek</v>
      </c>
      <c r="M2768" s="105" t="str">
        <f t="shared" si="461"/>
        <v>Derate</v>
      </c>
      <c r="N2768" s="105" t="str">
        <f t="shared" si="462"/>
        <v>Coal</v>
      </c>
      <c r="O2768" s="105">
        <f>IFERROR(VLOOKUP(A2768,Lookup!$J$5:$P$19,7,FALSE),0)</f>
        <v>2</v>
      </c>
      <c r="P2768" s="159">
        <f t="shared" si="463"/>
        <v>2017</v>
      </c>
      <c r="Q2768" s="159">
        <f t="shared" si="464"/>
        <v>9</v>
      </c>
      <c r="R2768" s="160">
        <f t="shared" si="465"/>
        <v>4.9833333333372138</v>
      </c>
      <c r="S2768" s="158">
        <f t="shared" si="466"/>
        <v>1.3590909090919674</v>
      </c>
      <c r="T2768" s="161">
        <f t="shared" si="467"/>
        <v>407.72727272759022</v>
      </c>
      <c r="U2768" s="158">
        <f t="shared" si="469"/>
        <v>81.818181818181813</v>
      </c>
      <c r="V2768" s="160">
        <f t="shared" si="468"/>
        <v>82</v>
      </c>
    </row>
    <row r="2769" spans="1:22" x14ac:dyDescent="0.25">
      <c r="A2769" s="98" t="s">
        <v>23</v>
      </c>
      <c r="B2769" s="98" t="s">
        <v>17</v>
      </c>
      <c r="C2769" s="98">
        <v>68</v>
      </c>
      <c r="D2769" s="98">
        <v>3415</v>
      </c>
      <c r="E2769" s="157">
        <v>42990.305555555555</v>
      </c>
      <c r="F2769" s="157">
        <v>42990.499305555553</v>
      </c>
      <c r="G2769" s="98">
        <v>200</v>
      </c>
      <c r="H2769" s="98">
        <v>330</v>
      </c>
      <c r="I2769" s="98">
        <v>300</v>
      </c>
      <c r="J2769" s="98" t="s">
        <v>2109</v>
      </c>
      <c r="K2769" s="98" t="s">
        <v>4771</v>
      </c>
      <c r="L2769" s="105" t="str">
        <f t="shared" si="460"/>
        <v>Mill Creek</v>
      </c>
      <c r="M2769" s="105" t="str">
        <f t="shared" si="461"/>
        <v>Derate</v>
      </c>
      <c r="N2769" s="105" t="str">
        <f t="shared" si="462"/>
        <v>Coal</v>
      </c>
      <c r="O2769" s="105">
        <f>IFERROR(VLOOKUP(A2769,Lookup!$J$5:$P$19,7,FALSE),0)</f>
        <v>2</v>
      </c>
      <c r="P2769" s="159">
        <f t="shared" si="463"/>
        <v>2017</v>
      </c>
      <c r="Q2769" s="159">
        <f t="shared" si="464"/>
        <v>9</v>
      </c>
      <c r="R2769" s="160">
        <f t="shared" si="465"/>
        <v>4.6499999999650754</v>
      </c>
      <c r="S2769" s="158">
        <f t="shared" si="466"/>
        <v>1.8318181818044237</v>
      </c>
      <c r="T2769" s="161">
        <f t="shared" si="467"/>
        <v>549.5454545413271</v>
      </c>
      <c r="U2769" s="158">
        <f t="shared" si="469"/>
        <v>118.18181818181819</v>
      </c>
      <c r="V2769" s="160">
        <f t="shared" si="468"/>
        <v>118</v>
      </c>
    </row>
    <row r="2770" spans="1:22" x14ac:dyDescent="0.25">
      <c r="A2770" s="98" t="s">
        <v>23</v>
      </c>
      <c r="B2770" s="98" t="s">
        <v>105</v>
      </c>
      <c r="C2770" s="98">
        <v>69</v>
      </c>
      <c r="D2770" s="98">
        <v>310</v>
      </c>
      <c r="E2770" s="157">
        <v>42990.958333333336</v>
      </c>
      <c r="F2770" s="157">
        <v>42991.166666666664</v>
      </c>
      <c r="G2770" s="98">
        <v>240</v>
      </c>
      <c r="H2770" s="98">
        <v>330</v>
      </c>
      <c r="I2770" s="98">
        <v>300</v>
      </c>
      <c r="J2770" s="98" t="s">
        <v>1966</v>
      </c>
      <c r="K2770" s="98" t="s">
        <v>2740</v>
      </c>
      <c r="L2770" s="105" t="str">
        <f t="shared" si="460"/>
        <v>Mill Creek</v>
      </c>
      <c r="M2770" s="105" t="str">
        <f t="shared" si="461"/>
        <v>Derate</v>
      </c>
      <c r="N2770" s="105" t="str">
        <f t="shared" si="462"/>
        <v>Coal</v>
      </c>
      <c r="O2770" s="105">
        <f>IFERROR(VLOOKUP(A2770,Lookup!$J$5:$P$19,7,FALSE),0)</f>
        <v>2</v>
      </c>
      <c r="P2770" s="159">
        <f t="shared" si="463"/>
        <v>2017</v>
      </c>
      <c r="Q2770" s="159">
        <f t="shared" si="464"/>
        <v>9</v>
      </c>
      <c r="R2770" s="160">
        <f t="shared" si="465"/>
        <v>4.9999999998835847</v>
      </c>
      <c r="S2770" s="158">
        <f t="shared" si="466"/>
        <v>1.363636363604614</v>
      </c>
      <c r="T2770" s="161">
        <f t="shared" si="467"/>
        <v>409.09090908138421</v>
      </c>
      <c r="U2770" s="158">
        <f t="shared" si="469"/>
        <v>81.818181818181813</v>
      </c>
      <c r="V2770" s="160">
        <f t="shared" si="468"/>
        <v>82</v>
      </c>
    </row>
    <row r="2771" spans="1:22" x14ac:dyDescent="0.25">
      <c r="A2771" s="98" t="s">
        <v>23</v>
      </c>
      <c r="B2771" s="98" t="s">
        <v>17</v>
      </c>
      <c r="C2771" s="98">
        <v>71</v>
      </c>
      <c r="D2771" s="98">
        <v>250</v>
      </c>
      <c r="E2771" s="157">
        <v>42996.852777777778</v>
      </c>
      <c r="F2771" s="157">
        <v>42996.857638888891</v>
      </c>
      <c r="G2771" s="98">
        <v>240</v>
      </c>
      <c r="H2771" s="98">
        <v>330</v>
      </c>
      <c r="I2771" s="98">
        <v>300</v>
      </c>
      <c r="J2771" s="98" t="s">
        <v>1978</v>
      </c>
      <c r="K2771" s="98" t="s">
        <v>4772</v>
      </c>
      <c r="L2771" s="105" t="str">
        <f t="shared" si="460"/>
        <v>Mill Creek</v>
      </c>
      <c r="M2771" s="105" t="str">
        <f t="shared" si="461"/>
        <v>Derate</v>
      </c>
      <c r="N2771" s="105" t="str">
        <f t="shared" si="462"/>
        <v>Coal</v>
      </c>
      <c r="O2771" s="105">
        <f>IFERROR(VLOOKUP(A2771,Lookup!$J$5:$P$19,7,FALSE),0)</f>
        <v>2</v>
      </c>
      <c r="P2771" s="159">
        <f t="shared" si="463"/>
        <v>2017</v>
      </c>
      <c r="Q2771" s="159">
        <f t="shared" si="464"/>
        <v>9</v>
      </c>
      <c r="R2771" s="160">
        <f t="shared" si="465"/>
        <v>0.11666666669771075</v>
      </c>
      <c r="S2771" s="158">
        <f t="shared" si="466"/>
        <v>3.181818182664839E-2</v>
      </c>
      <c r="T2771" s="161">
        <f t="shared" si="467"/>
        <v>9.5454545479945168</v>
      </c>
      <c r="U2771" s="158">
        <f t="shared" si="469"/>
        <v>81.818181818181813</v>
      </c>
      <c r="V2771" s="160">
        <f t="shared" si="468"/>
        <v>82</v>
      </c>
    </row>
    <row r="2772" spans="1:22" x14ac:dyDescent="0.25">
      <c r="A2772" s="98" t="s">
        <v>23</v>
      </c>
      <c r="B2772" s="98" t="s">
        <v>105</v>
      </c>
      <c r="C2772" s="98">
        <v>72</v>
      </c>
      <c r="D2772" s="98">
        <v>1990</v>
      </c>
      <c r="E2772" s="157">
        <v>42997.958333333336</v>
      </c>
      <c r="F2772" s="157">
        <v>42997.996527777781</v>
      </c>
      <c r="G2772" s="98">
        <v>240</v>
      </c>
      <c r="H2772" s="98">
        <v>330</v>
      </c>
      <c r="I2772" s="98">
        <v>300</v>
      </c>
      <c r="J2772" s="98" t="s">
        <v>2114</v>
      </c>
      <c r="K2772" s="98" t="s">
        <v>4773</v>
      </c>
      <c r="L2772" s="105" t="str">
        <f t="shared" si="460"/>
        <v>Mill Creek</v>
      </c>
      <c r="M2772" s="105" t="str">
        <f t="shared" si="461"/>
        <v>Derate</v>
      </c>
      <c r="N2772" s="105" t="str">
        <f t="shared" si="462"/>
        <v>Coal</v>
      </c>
      <c r="O2772" s="105">
        <f>IFERROR(VLOOKUP(A2772,Lookup!$J$5:$P$19,7,FALSE),0)</f>
        <v>2</v>
      </c>
      <c r="P2772" s="159">
        <f t="shared" si="463"/>
        <v>2017</v>
      </c>
      <c r="Q2772" s="159">
        <f t="shared" si="464"/>
        <v>9</v>
      </c>
      <c r="R2772" s="160">
        <f t="shared" si="465"/>
        <v>0.91666666668606922</v>
      </c>
      <c r="S2772" s="158">
        <f t="shared" si="466"/>
        <v>0.2500000000052916</v>
      </c>
      <c r="T2772" s="161">
        <f t="shared" si="467"/>
        <v>75.00000000158748</v>
      </c>
      <c r="U2772" s="158">
        <f t="shared" si="469"/>
        <v>81.818181818181813</v>
      </c>
      <c r="V2772" s="160">
        <f t="shared" si="468"/>
        <v>82</v>
      </c>
    </row>
    <row r="2773" spans="1:22" x14ac:dyDescent="0.25">
      <c r="A2773" s="98" t="s">
        <v>23</v>
      </c>
      <c r="B2773" s="98" t="s">
        <v>105</v>
      </c>
      <c r="C2773" s="98">
        <v>73</v>
      </c>
      <c r="D2773" s="98">
        <v>310</v>
      </c>
      <c r="E2773" s="157">
        <v>43003.916666666664</v>
      </c>
      <c r="F2773" s="157">
        <v>43004.147916666669</v>
      </c>
      <c r="G2773" s="98">
        <v>245</v>
      </c>
      <c r="H2773" s="98">
        <v>330</v>
      </c>
      <c r="I2773" s="98">
        <v>300</v>
      </c>
      <c r="J2773" s="98" t="s">
        <v>1966</v>
      </c>
      <c r="K2773" s="98" t="s">
        <v>4276</v>
      </c>
      <c r="L2773" s="105" t="str">
        <f t="shared" si="460"/>
        <v>Mill Creek</v>
      </c>
      <c r="M2773" s="105" t="str">
        <f t="shared" si="461"/>
        <v>Derate</v>
      </c>
      <c r="N2773" s="105" t="str">
        <f t="shared" si="462"/>
        <v>Coal</v>
      </c>
      <c r="O2773" s="105">
        <f>IFERROR(VLOOKUP(A2773,Lookup!$J$5:$P$19,7,FALSE),0)</f>
        <v>2</v>
      </c>
      <c r="P2773" s="159">
        <f t="shared" si="463"/>
        <v>2017</v>
      </c>
      <c r="Q2773" s="159">
        <f t="shared" si="464"/>
        <v>9</v>
      </c>
      <c r="R2773" s="160">
        <f t="shared" si="465"/>
        <v>5.5500000001047738</v>
      </c>
      <c r="S2773" s="158">
        <f t="shared" si="466"/>
        <v>1.4295454545724418</v>
      </c>
      <c r="T2773" s="161">
        <f t="shared" si="467"/>
        <v>428.86363637173253</v>
      </c>
      <c r="U2773" s="158">
        <f t="shared" si="469"/>
        <v>77.272727272727266</v>
      </c>
      <c r="V2773" s="160">
        <f t="shared" si="468"/>
        <v>77</v>
      </c>
    </row>
    <row r="2774" spans="1:22" x14ac:dyDescent="0.25">
      <c r="A2774" s="98" t="s">
        <v>23</v>
      </c>
      <c r="B2774" s="98" t="s">
        <v>17</v>
      </c>
      <c r="C2774" s="98">
        <v>74</v>
      </c>
      <c r="D2774" s="98">
        <v>312</v>
      </c>
      <c r="E2774" s="157">
        <v>43017.415277777778</v>
      </c>
      <c r="F2774" s="157">
        <v>43017.560416666667</v>
      </c>
      <c r="G2774" s="98">
        <v>250</v>
      </c>
      <c r="H2774" s="98">
        <v>330</v>
      </c>
      <c r="I2774" s="98">
        <v>300</v>
      </c>
      <c r="J2774" s="98" t="s">
        <v>2169</v>
      </c>
      <c r="K2774" s="98" t="s">
        <v>4774</v>
      </c>
      <c r="L2774" s="105" t="str">
        <f t="shared" si="460"/>
        <v>Mill Creek</v>
      </c>
      <c r="M2774" s="105" t="str">
        <f t="shared" si="461"/>
        <v>Derate</v>
      </c>
      <c r="N2774" s="105" t="str">
        <f t="shared" si="462"/>
        <v>Coal</v>
      </c>
      <c r="O2774" s="105">
        <f>IFERROR(VLOOKUP(A2774,Lookup!$J$5:$P$19,7,FALSE),0)</f>
        <v>2</v>
      </c>
      <c r="P2774" s="159">
        <f t="shared" si="463"/>
        <v>2017</v>
      </c>
      <c r="Q2774" s="159">
        <f t="shared" si="464"/>
        <v>10</v>
      </c>
      <c r="R2774" s="160">
        <f t="shared" si="465"/>
        <v>3.4833333333372138</v>
      </c>
      <c r="S2774" s="158">
        <f t="shared" si="466"/>
        <v>0.84444444444538513</v>
      </c>
      <c r="T2774" s="161">
        <f t="shared" si="467"/>
        <v>253.33333333361554</v>
      </c>
      <c r="U2774" s="158">
        <f t="shared" si="469"/>
        <v>72.727272727272734</v>
      </c>
      <c r="V2774" s="160">
        <f t="shared" si="468"/>
        <v>73</v>
      </c>
    </row>
    <row r="2775" spans="1:22" x14ac:dyDescent="0.25">
      <c r="A2775" s="98" t="s">
        <v>23</v>
      </c>
      <c r="B2775" s="98" t="s">
        <v>17</v>
      </c>
      <c r="C2775" s="98">
        <v>75</v>
      </c>
      <c r="D2775" s="98">
        <v>312</v>
      </c>
      <c r="E2775" s="157">
        <v>43017.752083333333</v>
      </c>
      <c r="F2775" s="157">
        <v>43018.240972222222</v>
      </c>
      <c r="G2775" s="98">
        <v>250</v>
      </c>
      <c r="H2775" s="98">
        <v>330</v>
      </c>
      <c r="I2775" s="98">
        <v>300</v>
      </c>
      <c r="J2775" s="98" t="s">
        <v>2169</v>
      </c>
      <c r="K2775" s="98" t="s">
        <v>4775</v>
      </c>
      <c r="L2775" s="105" t="str">
        <f t="shared" si="460"/>
        <v>Mill Creek</v>
      </c>
      <c r="M2775" s="105" t="str">
        <f t="shared" si="461"/>
        <v>Derate</v>
      </c>
      <c r="N2775" s="105" t="str">
        <f t="shared" si="462"/>
        <v>Coal</v>
      </c>
      <c r="O2775" s="105">
        <f>IFERROR(VLOOKUP(A2775,Lookup!$J$5:$P$19,7,FALSE),0)</f>
        <v>2</v>
      </c>
      <c r="P2775" s="159">
        <f t="shared" si="463"/>
        <v>2017</v>
      </c>
      <c r="Q2775" s="159">
        <f t="shared" si="464"/>
        <v>10</v>
      </c>
      <c r="R2775" s="160">
        <f t="shared" si="465"/>
        <v>11.733333333337214</v>
      </c>
      <c r="S2775" s="158">
        <f t="shared" si="466"/>
        <v>2.8444444444453851</v>
      </c>
      <c r="T2775" s="161">
        <f t="shared" si="467"/>
        <v>853.33333333361554</v>
      </c>
      <c r="U2775" s="158">
        <f t="shared" si="469"/>
        <v>72.727272727272734</v>
      </c>
      <c r="V2775" s="160">
        <f t="shared" si="468"/>
        <v>73</v>
      </c>
    </row>
    <row r="2776" spans="1:22" x14ac:dyDescent="0.25">
      <c r="A2776" s="98" t="s">
        <v>23</v>
      </c>
      <c r="B2776" s="98" t="s">
        <v>105</v>
      </c>
      <c r="C2776" s="98">
        <v>76</v>
      </c>
      <c r="D2776" s="98">
        <v>310</v>
      </c>
      <c r="E2776" s="157">
        <v>43018.987500000003</v>
      </c>
      <c r="F2776" s="157">
        <v>43019.166666666664</v>
      </c>
      <c r="G2776" s="98">
        <v>250</v>
      </c>
      <c r="H2776" s="98">
        <v>330</v>
      </c>
      <c r="I2776" s="98">
        <v>300</v>
      </c>
      <c r="J2776" s="98" t="s">
        <v>1966</v>
      </c>
      <c r="K2776" s="98" t="s">
        <v>4776</v>
      </c>
      <c r="L2776" s="105" t="str">
        <f t="shared" si="460"/>
        <v>Mill Creek</v>
      </c>
      <c r="M2776" s="105" t="str">
        <f t="shared" si="461"/>
        <v>Derate</v>
      </c>
      <c r="N2776" s="105" t="str">
        <f t="shared" si="462"/>
        <v>Coal</v>
      </c>
      <c r="O2776" s="105">
        <f>IFERROR(VLOOKUP(A2776,Lookup!$J$5:$P$19,7,FALSE),0)</f>
        <v>2</v>
      </c>
      <c r="P2776" s="159">
        <f t="shared" si="463"/>
        <v>2017</v>
      </c>
      <c r="Q2776" s="159">
        <f t="shared" si="464"/>
        <v>10</v>
      </c>
      <c r="R2776" s="160">
        <f t="shared" si="465"/>
        <v>4.2999999998719431</v>
      </c>
      <c r="S2776" s="158">
        <f t="shared" si="466"/>
        <v>1.0424242423931984</v>
      </c>
      <c r="T2776" s="161">
        <f t="shared" si="467"/>
        <v>312.72727271795952</v>
      </c>
      <c r="U2776" s="158">
        <f t="shared" si="469"/>
        <v>72.727272727272734</v>
      </c>
      <c r="V2776" s="160">
        <f t="shared" si="468"/>
        <v>73</v>
      </c>
    </row>
    <row r="2777" spans="1:22" x14ac:dyDescent="0.25">
      <c r="A2777" s="98" t="s">
        <v>23</v>
      </c>
      <c r="B2777" s="98" t="s">
        <v>105</v>
      </c>
      <c r="C2777" s="98">
        <v>78</v>
      </c>
      <c r="D2777" s="98">
        <v>310</v>
      </c>
      <c r="E2777" s="157">
        <v>43024.958333333336</v>
      </c>
      <c r="F2777" s="157">
        <v>43025.148611111108</v>
      </c>
      <c r="G2777" s="98">
        <v>240</v>
      </c>
      <c r="H2777" s="98">
        <v>330</v>
      </c>
      <c r="I2777" s="98">
        <v>300</v>
      </c>
      <c r="J2777" s="98" t="s">
        <v>1966</v>
      </c>
      <c r="K2777" s="98" t="s">
        <v>119</v>
      </c>
      <c r="L2777" s="105" t="str">
        <f t="shared" si="460"/>
        <v>Mill Creek</v>
      </c>
      <c r="M2777" s="105" t="str">
        <f t="shared" si="461"/>
        <v>Derate</v>
      </c>
      <c r="N2777" s="105" t="str">
        <f t="shared" si="462"/>
        <v>Coal</v>
      </c>
      <c r="O2777" s="105">
        <f>IFERROR(VLOOKUP(A2777,Lookup!$J$5:$P$19,7,FALSE),0)</f>
        <v>2</v>
      </c>
      <c r="P2777" s="159">
        <f t="shared" si="463"/>
        <v>2017</v>
      </c>
      <c r="Q2777" s="159">
        <f t="shared" si="464"/>
        <v>10</v>
      </c>
      <c r="R2777" s="160">
        <f t="shared" si="465"/>
        <v>4.5666666665347293</v>
      </c>
      <c r="S2777" s="158">
        <f t="shared" si="466"/>
        <v>1.2454545454185626</v>
      </c>
      <c r="T2777" s="161">
        <f t="shared" si="467"/>
        <v>373.63636362556878</v>
      </c>
      <c r="U2777" s="158">
        <f t="shared" si="469"/>
        <v>81.818181818181813</v>
      </c>
      <c r="V2777" s="160">
        <f t="shared" si="468"/>
        <v>82</v>
      </c>
    </row>
    <row r="2778" spans="1:22" x14ac:dyDescent="0.25">
      <c r="A2778" s="98" t="s">
        <v>23</v>
      </c>
      <c r="B2778" s="98" t="s">
        <v>105</v>
      </c>
      <c r="C2778" s="98">
        <v>79</v>
      </c>
      <c r="D2778" s="98">
        <v>310</v>
      </c>
      <c r="E2778" s="157">
        <v>43025.916666666664</v>
      </c>
      <c r="F2778" s="157">
        <v>43026.166666666664</v>
      </c>
      <c r="G2778" s="98">
        <v>250</v>
      </c>
      <c r="H2778" s="98">
        <v>330</v>
      </c>
      <c r="I2778" s="98">
        <v>300</v>
      </c>
      <c r="J2778" s="98" t="s">
        <v>1966</v>
      </c>
      <c r="K2778" s="98" t="s">
        <v>4275</v>
      </c>
      <c r="L2778" s="105" t="str">
        <f t="shared" si="460"/>
        <v>Mill Creek</v>
      </c>
      <c r="M2778" s="105" t="str">
        <f t="shared" si="461"/>
        <v>Derate</v>
      </c>
      <c r="N2778" s="105" t="str">
        <f t="shared" si="462"/>
        <v>Coal</v>
      </c>
      <c r="O2778" s="105">
        <f>IFERROR(VLOOKUP(A2778,Lookup!$J$5:$P$19,7,FALSE),0)</f>
        <v>2</v>
      </c>
      <c r="P2778" s="159">
        <f t="shared" si="463"/>
        <v>2017</v>
      </c>
      <c r="Q2778" s="159">
        <f t="shared" si="464"/>
        <v>10</v>
      </c>
      <c r="R2778" s="160">
        <f t="shared" si="465"/>
        <v>6</v>
      </c>
      <c r="S2778" s="158">
        <f t="shared" si="466"/>
        <v>1.4545454545454546</v>
      </c>
      <c r="T2778" s="161">
        <f t="shared" si="467"/>
        <v>436.36363636363637</v>
      </c>
      <c r="U2778" s="158">
        <f t="shared" si="469"/>
        <v>72.727272727272734</v>
      </c>
      <c r="V2778" s="160">
        <f t="shared" si="468"/>
        <v>73</v>
      </c>
    </row>
    <row r="2779" spans="1:22" x14ac:dyDescent="0.25">
      <c r="A2779" s="98" t="s">
        <v>23</v>
      </c>
      <c r="B2779" s="98" t="s">
        <v>105</v>
      </c>
      <c r="C2779" s="98">
        <v>81</v>
      </c>
      <c r="D2779" s="98">
        <v>310</v>
      </c>
      <c r="E2779" s="157">
        <v>43026.916666666664</v>
      </c>
      <c r="F2779" s="157">
        <v>43027.161805555559</v>
      </c>
      <c r="G2779" s="98">
        <v>250</v>
      </c>
      <c r="H2779" s="98">
        <v>330</v>
      </c>
      <c r="I2779" s="98">
        <v>300</v>
      </c>
      <c r="J2779" s="98" t="s">
        <v>1966</v>
      </c>
      <c r="K2779" s="98" t="s">
        <v>2740</v>
      </c>
      <c r="L2779" s="105" t="str">
        <f t="shared" si="460"/>
        <v>Mill Creek</v>
      </c>
      <c r="M2779" s="105" t="str">
        <f t="shared" si="461"/>
        <v>Derate</v>
      </c>
      <c r="N2779" s="105" t="str">
        <f t="shared" si="462"/>
        <v>Coal</v>
      </c>
      <c r="O2779" s="105">
        <f>IFERROR(VLOOKUP(A2779,Lookup!$J$5:$P$19,7,FALSE),0)</f>
        <v>2</v>
      </c>
      <c r="P2779" s="159">
        <f t="shared" si="463"/>
        <v>2017</v>
      </c>
      <c r="Q2779" s="159">
        <f t="shared" si="464"/>
        <v>10</v>
      </c>
      <c r="R2779" s="160">
        <f t="shared" si="465"/>
        <v>5.8833333334769122</v>
      </c>
      <c r="S2779" s="158">
        <f t="shared" si="466"/>
        <v>1.4262626262974332</v>
      </c>
      <c r="T2779" s="161">
        <f t="shared" si="467"/>
        <v>427.87878788922995</v>
      </c>
      <c r="U2779" s="158">
        <f t="shared" si="469"/>
        <v>72.727272727272734</v>
      </c>
      <c r="V2779" s="160">
        <f t="shared" si="468"/>
        <v>73</v>
      </c>
    </row>
    <row r="2780" spans="1:22" x14ac:dyDescent="0.25">
      <c r="A2780" s="98" t="s">
        <v>23</v>
      </c>
      <c r="B2780" s="98" t="s">
        <v>105</v>
      </c>
      <c r="C2780" s="98">
        <v>82</v>
      </c>
      <c r="D2780" s="98">
        <v>310</v>
      </c>
      <c r="E2780" s="157">
        <v>43027.916666666664</v>
      </c>
      <c r="F2780" s="157">
        <v>43028.13958333333</v>
      </c>
      <c r="G2780" s="98">
        <v>250</v>
      </c>
      <c r="H2780" s="98">
        <v>330</v>
      </c>
      <c r="I2780" s="98">
        <v>300</v>
      </c>
      <c r="J2780" s="98" t="s">
        <v>1966</v>
      </c>
      <c r="K2780" s="98" t="s">
        <v>4276</v>
      </c>
      <c r="L2780" s="105" t="str">
        <f t="shared" si="460"/>
        <v>Mill Creek</v>
      </c>
      <c r="M2780" s="105" t="str">
        <f t="shared" si="461"/>
        <v>Derate</v>
      </c>
      <c r="N2780" s="105" t="str">
        <f t="shared" si="462"/>
        <v>Coal</v>
      </c>
      <c r="O2780" s="105">
        <f>IFERROR(VLOOKUP(A2780,Lookup!$J$5:$P$19,7,FALSE),0)</f>
        <v>2</v>
      </c>
      <c r="P2780" s="159">
        <f t="shared" si="463"/>
        <v>2017</v>
      </c>
      <c r="Q2780" s="159">
        <f t="shared" si="464"/>
        <v>10</v>
      </c>
      <c r="R2780" s="160">
        <f t="shared" si="465"/>
        <v>5.3499999999767169</v>
      </c>
      <c r="S2780" s="158">
        <f t="shared" si="466"/>
        <v>1.2969696969640525</v>
      </c>
      <c r="T2780" s="161">
        <f t="shared" si="467"/>
        <v>389.09090908921576</v>
      </c>
      <c r="U2780" s="158">
        <f t="shared" si="469"/>
        <v>72.727272727272734</v>
      </c>
      <c r="V2780" s="160">
        <f t="shared" si="468"/>
        <v>73</v>
      </c>
    </row>
    <row r="2781" spans="1:22" x14ac:dyDescent="0.25">
      <c r="A2781" s="98" t="s">
        <v>23</v>
      </c>
      <c r="B2781" s="98" t="s">
        <v>105</v>
      </c>
      <c r="C2781" s="98">
        <v>83</v>
      </c>
      <c r="D2781" s="98">
        <v>310</v>
      </c>
      <c r="E2781" s="157">
        <v>43044.916666666664</v>
      </c>
      <c r="F2781" s="157">
        <v>43045.159722222219</v>
      </c>
      <c r="G2781" s="98">
        <v>235</v>
      </c>
      <c r="H2781" s="98">
        <v>330</v>
      </c>
      <c r="I2781" s="98">
        <v>300</v>
      </c>
      <c r="J2781" s="98" t="s">
        <v>1966</v>
      </c>
      <c r="K2781" s="98" t="s">
        <v>119</v>
      </c>
      <c r="L2781" s="105" t="str">
        <f t="shared" si="460"/>
        <v>Mill Creek</v>
      </c>
      <c r="M2781" s="105" t="str">
        <f t="shared" si="461"/>
        <v>Derate</v>
      </c>
      <c r="N2781" s="105" t="str">
        <f t="shared" si="462"/>
        <v>Coal</v>
      </c>
      <c r="O2781" s="105">
        <f>IFERROR(VLOOKUP(A2781,Lookup!$J$5:$P$19,7,FALSE),0)</f>
        <v>2</v>
      </c>
      <c r="P2781" s="159">
        <f t="shared" si="463"/>
        <v>2017</v>
      </c>
      <c r="Q2781" s="159">
        <f t="shared" si="464"/>
        <v>11</v>
      </c>
      <c r="R2781" s="160">
        <f t="shared" si="465"/>
        <v>5.8333333333139308</v>
      </c>
      <c r="S2781" s="158">
        <f t="shared" si="466"/>
        <v>1.6792929292873437</v>
      </c>
      <c r="T2781" s="161">
        <f t="shared" si="467"/>
        <v>503.78787878620312</v>
      </c>
      <c r="U2781" s="158">
        <f t="shared" si="469"/>
        <v>86.36363636363636</v>
      </c>
      <c r="V2781" s="160">
        <f t="shared" si="468"/>
        <v>86</v>
      </c>
    </row>
    <row r="2782" spans="1:22" x14ac:dyDescent="0.25">
      <c r="A2782" s="98" t="s">
        <v>23</v>
      </c>
      <c r="B2782" s="98" t="s">
        <v>79</v>
      </c>
      <c r="C2782" s="98">
        <v>84</v>
      </c>
      <c r="D2782" s="98">
        <v>3415</v>
      </c>
      <c r="E2782" s="157">
        <v>43046</v>
      </c>
      <c r="F2782" s="157">
        <v>43046.117361111108</v>
      </c>
      <c r="G2782" s="98">
        <v>0</v>
      </c>
      <c r="H2782" s="98">
        <v>330</v>
      </c>
      <c r="I2782" s="98">
        <v>300</v>
      </c>
      <c r="J2782" s="98" t="s">
        <v>2109</v>
      </c>
      <c r="K2782" s="98" t="s">
        <v>4777</v>
      </c>
      <c r="L2782" s="105" t="str">
        <f t="shared" si="460"/>
        <v>Mill Creek</v>
      </c>
      <c r="M2782" s="105" t="str">
        <f t="shared" si="461"/>
        <v>Other</v>
      </c>
      <c r="N2782" s="105" t="str">
        <f t="shared" si="462"/>
        <v>Coal</v>
      </c>
      <c r="O2782" s="105">
        <f>IFERROR(VLOOKUP(A2782,Lookup!$J$5:$P$19,7,FALSE),0)</f>
        <v>2</v>
      </c>
      <c r="P2782" s="159">
        <f t="shared" si="463"/>
        <v>2017</v>
      </c>
      <c r="Q2782" s="159">
        <f t="shared" si="464"/>
        <v>11</v>
      </c>
      <c r="R2782" s="160">
        <f t="shared" si="465"/>
        <v>2.816666666592937</v>
      </c>
      <c r="S2782" s="158">
        <f t="shared" si="466"/>
        <v>2.816666666592937</v>
      </c>
      <c r="T2782" s="161">
        <f t="shared" si="467"/>
        <v>844.99999997788109</v>
      </c>
      <c r="U2782" s="158">
        <f t="shared" si="469"/>
        <v>300</v>
      </c>
      <c r="V2782" s="160">
        <f t="shared" si="468"/>
        <v>300</v>
      </c>
    </row>
    <row r="2783" spans="1:22" x14ac:dyDescent="0.25">
      <c r="A2783" s="98" t="s">
        <v>23</v>
      </c>
      <c r="B2783" s="98" t="s">
        <v>79</v>
      </c>
      <c r="C2783" s="98">
        <v>85</v>
      </c>
      <c r="D2783" s="98">
        <v>1190</v>
      </c>
      <c r="E2783" s="157">
        <v>43047.456250000003</v>
      </c>
      <c r="F2783" s="157">
        <v>43047.683333333334</v>
      </c>
      <c r="G2783" s="98">
        <v>0</v>
      </c>
      <c r="H2783" s="98">
        <v>330</v>
      </c>
      <c r="I2783" s="98">
        <v>300</v>
      </c>
      <c r="J2783" s="98" t="s">
        <v>2007</v>
      </c>
      <c r="K2783" s="98" t="s">
        <v>4778</v>
      </c>
      <c r="L2783" s="105" t="str">
        <f t="shared" si="460"/>
        <v>Mill Creek</v>
      </c>
      <c r="M2783" s="105" t="str">
        <f t="shared" si="461"/>
        <v>Other</v>
      </c>
      <c r="N2783" s="105" t="str">
        <f t="shared" si="462"/>
        <v>Coal</v>
      </c>
      <c r="O2783" s="105">
        <f>IFERROR(VLOOKUP(A2783,Lookup!$J$5:$P$19,7,FALSE),0)</f>
        <v>2</v>
      </c>
      <c r="P2783" s="159">
        <f t="shared" si="463"/>
        <v>2017</v>
      </c>
      <c r="Q2783" s="159">
        <f t="shared" si="464"/>
        <v>11</v>
      </c>
      <c r="R2783" s="160">
        <f t="shared" si="465"/>
        <v>5.4499999999534339</v>
      </c>
      <c r="S2783" s="158">
        <f t="shared" si="466"/>
        <v>5.4499999999534339</v>
      </c>
      <c r="T2783" s="161">
        <f t="shared" si="467"/>
        <v>1634.9999999860302</v>
      </c>
      <c r="U2783" s="158">
        <f t="shared" si="469"/>
        <v>300</v>
      </c>
      <c r="V2783" s="160">
        <f t="shared" si="468"/>
        <v>300</v>
      </c>
    </row>
    <row r="2784" spans="1:22" x14ac:dyDescent="0.25">
      <c r="A2784" s="98" t="s">
        <v>23</v>
      </c>
      <c r="B2784" s="98" t="s">
        <v>79</v>
      </c>
      <c r="C2784" s="98">
        <v>86</v>
      </c>
      <c r="D2784" s="98">
        <v>1190</v>
      </c>
      <c r="E2784" s="157">
        <v>43048.628472222219</v>
      </c>
      <c r="F2784" s="157">
        <v>43048.714583333334</v>
      </c>
      <c r="G2784" s="98">
        <v>0</v>
      </c>
      <c r="H2784" s="98">
        <v>330</v>
      </c>
      <c r="I2784" s="98">
        <v>300</v>
      </c>
      <c r="J2784" s="98" t="s">
        <v>2007</v>
      </c>
      <c r="K2784" s="98" t="s">
        <v>4236</v>
      </c>
      <c r="L2784" s="105" t="str">
        <f t="shared" si="460"/>
        <v>Mill Creek</v>
      </c>
      <c r="M2784" s="105" t="str">
        <f t="shared" si="461"/>
        <v>Other</v>
      </c>
      <c r="N2784" s="105" t="str">
        <f t="shared" si="462"/>
        <v>Coal</v>
      </c>
      <c r="O2784" s="105">
        <f>IFERROR(VLOOKUP(A2784,Lookup!$J$5:$P$19,7,FALSE),0)</f>
        <v>2</v>
      </c>
      <c r="P2784" s="159">
        <f t="shared" si="463"/>
        <v>2017</v>
      </c>
      <c r="Q2784" s="159">
        <f t="shared" si="464"/>
        <v>11</v>
      </c>
      <c r="R2784" s="160">
        <f t="shared" si="465"/>
        <v>2.0666666667675599</v>
      </c>
      <c r="S2784" s="158">
        <f t="shared" si="466"/>
        <v>2.0666666667675599</v>
      </c>
      <c r="T2784" s="161">
        <f t="shared" si="467"/>
        <v>620.00000003026798</v>
      </c>
      <c r="U2784" s="158">
        <f t="shared" si="469"/>
        <v>300</v>
      </c>
      <c r="V2784" s="160">
        <f t="shared" si="468"/>
        <v>300</v>
      </c>
    </row>
    <row r="2785" spans="1:22" x14ac:dyDescent="0.25">
      <c r="A2785" s="98" t="s">
        <v>23</v>
      </c>
      <c r="B2785" s="98" t="s">
        <v>79</v>
      </c>
      <c r="C2785" s="98">
        <v>87</v>
      </c>
      <c r="D2785" s="98">
        <v>1190</v>
      </c>
      <c r="E2785" s="157">
        <v>43051.96875</v>
      </c>
      <c r="F2785" s="157">
        <v>43052.197916666664</v>
      </c>
      <c r="G2785" s="98">
        <v>0</v>
      </c>
      <c r="H2785" s="98">
        <v>330</v>
      </c>
      <c r="I2785" s="98">
        <v>300</v>
      </c>
      <c r="J2785" s="98" t="s">
        <v>2007</v>
      </c>
      <c r="K2785" s="98" t="s">
        <v>4236</v>
      </c>
      <c r="L2785" s="105" t="str">
        <f t="shared" si="460"/>
        <v>Mill Creek</v>
      </c>
      <c r="M2785" s="105" t="str">
        <f t="shared" si="461"/>
        <v>Other</v>
      </c>
      <c r="N2785" s="105" t="str">
        <f t="shared" si="462"/>
        <v>Coal</v>
      </c>
      <c r="O2785" s="105">
        <f>IFERROR(VLOOKUP(A2785,Lookup!$J$5:$P$19,7,FALSE),0)</f>
        <v>2</v>
      </c>
      <c r="P2785" s="159">
        <f t="shared" si="463"/>
        <v>2017</v>
      </c>
      <c r="Q2785" s="159">
        <f t="shared" si="464"/>
        <v>11</v>
      </c>
      <c r="R2785" s="160">
        <f t="shared" si="465"/>
        <v>5.4999999999417923</v>
      </c>
      <c r="S2785" s="158">
        <f t="shared" si="466"/>
        <v>5.4999999999417923</v>
      </c>
      <c r="T2785" s="161">
        <f t="shared" si="467"/>
        <v>1649.9999999825377</v>
      </c>
      <c r="U2785" s="158">
        <f t="shared" si="469"/>
        <v>300</v>
      </c>
      <c r="V2785" s="160">
        <f t="shared" si="468"/>
        <v>300</v>
      </c>
    </row>
    <row r="2786" spans="1:22" x14ac:dyDescent="0.25">
      <c r="A2786" s="98" t="s">
        <v>23</v>
      </c>
      <c r="B2786" s="98" t="s">
        <v>79</v>
      </c>
      <c r="C2786" s="98">
        <v>88</v>
      </c>
      <c r="D2786" s="98">
        <v>1190</v>
      </c>
      <c r="E2786" s="157">
        <v>43053</v>
      </c>
      <c r="F2786" s="157">
        <v>43053.225694444445</v>
      </c>
      <c r="G2786" s="98">
        <v>0</v>
      </c>
      <c r="H2786" s="98">
        <v>330</v>
      </c>
      <c r="I2786" s="98">
        <v>300</v>
      </c>
      <c r="J2786" s="98" t="s">
        <v>2007</v>
      </c>
      <c r="K2786" s="98" t="s">
        <v>4236</v>
      </c>
      <c r="L2786" s="105" t="str">
        <f t="shared" si="460"/>
        <v>Mill Creek</v>
      </c>
      <c r="M2786" s="105" t="str">
        <f t="shared" si="461"/>
        <v>Other</v>
      </c>
      <c r="N2786" s="105" t="str">
        <f t="shared" si="462"/>
        <v>Coal</v>
      </c>
      <c r="O2786" s="105">
        <f>IFERROR(VLOOKUP(A2786,Lookup!$J$5:$P$19,7,FALSE),0)</f>
        <v>2</v>
      </c>
      <c r="P2786" s="159">
        <f t="shared" si="463"/>
        <v>2017</v>
      </c>
      <c r="Q2786" s="159">
        <f t="shared" si="464"/>
        <v>11</v>
      </c>
      <c r="R2786" s="160">
        <f t="shared" si="465"/>
        <v>5.4166666666860692</v>
      </c>
      <c r="S2786" s="158">
        <f t="shared" si="466"/>
        <v>5.4166666666860692</v>
      </c>
      <c r="T2786" s="161">
        <f t="shared" si="467"/>
        <v>1625.0000000058208</v>
      </c>
      <c r="U2786" s="158">
        <f t="shared" si="469"/>
        <v>300</v>
      </c>
      <c r="V2786" s="160">
        <f t="shared" si="468"/>
        <v>300</v>
      </c>
    </row>
    <row r="2787" spans="1:22" x14ac:dyDescent="0.25">
      <c r="A2787" s="98" t="s">
        <v>23</v>
      </c>
      <c r="B2787" s="98" t="s">
        <v>17</v>
      </c>
      <c r="C2787" s="98">
        <v>89</v>
      </c>
      <c r="D2787" s="98">
        <v>1190</v>
      </c>
      <c r="E2787" s="157">
        <v>43054.863194444442</v>
      </c>
      <c r="F2787" s="157">
        <v>43055.022916666669</v>
      </c>
      <c r="G2787" s="98">
        <v>140</v>
      </c>
      <c r="H2787" s="98">
        <v>330</v>
      </c>
      <c r="I2787" s="98">
        <v>300</v>
      </c>
      <c r="J2787" s="98" t="s">
        <v>2007</v>
      </c>
      <c r="K2787" s="98" t="s">
        <v>4236</v>
      </c>
      <c r="L2787" s="105" t="str">
        <f t="shared" si="460"/>
        <v>Mill Creek</v>
      </c>
      <c r="M2787" s="105" t="str">
        <f t="shared" si="461"/>
        <v>Derate</v>
      </c>
      <c r="N2787" s="105" t="str">
        <f t="shared" si="462"/>
        <v>Coal</v>
      </c>
      <c r="O2787" s="105">
        <f>IFERROR(VLOOKUP(A2787,Lookup!$J$5:$P$19,7,FALSE),0)</f>
        <v>2</v>
      </c>
      <c r="P2787" s="159">
        <f t="shared" si="463"/>
        <v>2017</v>
      </c>
      <c r="Q2787" s="159">
        <f t="shared" si="464"/>
        <v>11</v>
      </c>
      <c r="R2787" s="160">
        <f t="shared" si="465"/>
        <v>3.8333333334303461</v>
      </c>
      <c r="S2787" s="158">
        <f t="shared" si="466"/>
        <v>2.2070707071265629</v>
      </c>
      <c r="T2787" s="161">
        <f t="shared" si="467"/>
        <v>662.12121213796888</v>
      </c>
      <c r="U2787" s="158">
        <f t="shared" si="469"/>
        <v>172.72727272727272</v>
      </c>
      <c r="V2787" s="160">
        <f t="shared" si="468"/>
        <v>173</v>
      </c>
    </row>
    <row r="2788" spans="1:22" x14ac:dyDescent="0.25">
      <c r="A2788" s="98" t="s">
        <v>23</v>
      </c>
      <c r="B2788" s="98" t="s">
        <v>17</v>
      </c>
      <c r="C2788" s="98">
        <v>90</v>
      </c>
      <c r="D2788" s="98">
        <v>1493</v>
      </c>
      <c r="E2788" s="157">
        <v>43058.495138888888</v>
      </c>
      <c r="F2788" s="157">
        <v>43062.060416666667</v>
      </c>
      <c r="G2788" s="98">
        <v>310</v>
      </c>
      <c r="H2788" s="98">
        <v>330</v>
      </c>
      <c r="I2788" s="98">
        <v>300</v>
      </c>
      <c r="J2788" s="98" t="s">
        <v>2185</v>
      </c>
      <c r="K2788" s="98" t="s">
        <v>4779</v>
      </c>
      <c r="L2788" s="105" t="str">
        <f t="shared" si="460"/>
        <v>Mill Creek</v>
      </c>
      <c r="M2788" s="105" t="str">
        <f t="shared" si="461"/>
        <v>Derate</v>
      </c>
      <c r="N2788" s="105" t="str">
        <f t="shared" si="462"/>
        <v>Coal</v>
      </c>
      <c r="O2788" s="105">
        <f>IFERROR(VLOOKUP(A2788,Lookup!$J$5:$P$19,7,FALSE),0)</f>
        <v>2</v>
      </c>
      <c r="P2788" s="159">
        <f t="shared" si="463"/>
        <v>2017</v>
      </c>
      <c r="Q2788" s="159">
        <f t="shared" si="464"/>
        <v>11</v>
      </c>
      <c r="R2788" s="160">
        <f t="shared" si="465"/>
        <v>85.566666666709352</v>
      </c>
      <c r="S2788" s="158">
        <f t="shared" si="466"/>
        <v>5.1858585858611725</v>
      </c>
      <c r="T2788" s="161">
        <f t="shared" si="467"/>
        <v>1555.7575757583518</v>
      </c>
      <c r="U2788" s="158">
        <f t="shared" si="469"/>
        <v>18.181818181818183</v>
      </c>
      <c r="V2788" s="160">
        <f t="shared" si="468"/>
        <v>18</v>
      </c>
    </row>
    <row r="2789" spans="1:22" x14ac:dyDescent="0.25">
      <c r="A2789" s="98" t="s">
        <v>23</v>
      </c>
      <c r="B2789" s="98" t="s">
        <v>20</v>
      </c>
      <c r="C2789" s="98">
        <v>91</v>
      </c>
      <c r="D2789" s="98">
        <v>1493</v>
      </c>
      <c r="E2789" s="157">
        <v>43062.060416666667</v>
      </c>
      <c r="F2789" s="157">
        <v>43065.31527777778</v>
      </c>
      <c r="G2789" s="98">
        <v>0</v>
      </c>
      <c r="H2789" s="98">
        <v>330</v>
      </c>
      <c r="I2789" s="98">
        <v>300</v>
      </c>
      <c r="J2789" s="98" t="s">
        <v>2185</v>
      </c>
      <c r="K2789" s="98" t="s">
        <v>4264</v>
      </c>
      <c r="L2789" s="105" t="str">
        <f t="shared" si="460"/>
        <v>Mill Creek</v>
      </c>
      <c r="M2789" s="105" t="str">
        <f t="shared" si="461"/>
        <v>Maintenance</v>
      </c>
      <c r="N2789" s="105" t="str">
        <f t="shared" si="462"/>
        <v>Coal</v>
      </c>
      <c r="O2789" s="105">
        <f>IFERROR(VLOOKUP(A2789,Lookup!$J$5:$P$19,7,FALSE),0)</f>
        <v>2</v>
      </c>
      <c r="P2789" s="159">
        <f t="shared" si="463"/>
        <v>2017</v>
      </c>
      <c r="Q2789" s="159">
        <f t="shared" si="464"/>
        <v>11</v>
      </c>
      <c r="R2789" s="160">
        <f t="shared" si="465"/>
        <v>78.116666666697711</v>
      </c>
      <c r="S2789" s="158">
        <f t="shared" si="466"/>
        <v>78.116666666697711</v>
      </c>
      <c r="T2789" s="161">
        <f t="shared" si="467"/>
        <v>23435.000000009313</v>
      </c>
      <c r="U2789" s="158">
        <f t="shared" si="469"/>
        <v>300</v>
      </c>
      <c r="V2789" s="160">
        <f t="shared" si="468"/>
        <v>300</v>
      </c>
    </row>
    <row r="2790" spans="1:22" x14ac:dyDescent="0.25">
      <c r="A2790" s="98" t="s">
        <v>23</v>
      </c>
      <c r="B2790" s="98" t="s">
        <v>20</v>
      </c>
      <c r="C2790" s="98">
        <v>92</v>
      </c>
      <c r="D2790" s="98">
        <v>1000</v>
      </c>
      <c r="E2790" s="157">
        <v>43067.48333333333</v>
      </c>
      <c r="F2790" s="157">
        <v>43068.341666666667</v>
      </c>
      <c r="G2790" s="98">
        <v>0</v>
      </c>
      <c r="H2790" s="98">
        <v>330</v>
      </c>
      <c r="I2790" s="98">
        <v>300</v>
      </c>
      <c r="J2790" s="98" t="s">
        <v>2002</v>
      </c>
      <c r="K2790" s="98" t="s">
        <v>4780</v>
      </c>
      <c r="L2790" s="105" t="str">
        <f t="shared" ref="L2790:L2853" si="470">IF(OR(A2790="BR1",A2790="BR2",A2790="BR3",A2790="BR5",A2790="BR6",A2790="BR7",A2790="BR8",A2790="BR9",A2790="BR10",A2790="BR11"),"Brown",IF(OR(A2790="CR4",A2790="CR5",A2790="CR6",A2790="CR11"),"Cane Run",IF(OR(A2790="GH1",A2790="GH2",A2790="GH3",A2790="GH4"),"Ghent",IF(OR(A2790="GR3",A2790="GR4"),"Green River",IF(OR(A2790="MC1",A2790="MC2",A2790="MC3",A2790="MC4"),"Mill Creek",IF(OR(A2790="TC1",A2790="TC2",A2790="TC5",A2790="TC6",A2790="TC7",A2790="TC8",A2790="TC9",A2790="TC10"),"Trimble",IF(A2790="TY3","Tyrone",IF(OR(A2790="HA1",A2790="HA2",A2790="HA3"),"Haeflin",IF(OR(A2790="PR11",A2790="PR12",A2790="PR13"),"Paddy's Run","Zorn")))))))))</f>
        <v>Mill Creek</v>
      </c>
      <c r="M2790" s="105" t="str">
        <f t="shared" ref="M2790:M2853" si="471">IF(OR(B2790="D1",B2790="D2",B2790="D3",B2790="D4",B2790="PD"),"Derate",IF(OR(B2790="SF",B2790="U1",B2790="U2",B2790="U3"),"Outage",IF(OR(B2790="ME",B2790="MO"),"Maintenance","Other")))</f>
        <v>Maintenance</v>
      </c>
      <c r="N2790" s="105" t="str">
        <f t="shared" ref="N2790:N2853" si="472">IF(OR(A2790="BR1",A2790="BR2",A2790="BR3",A2790="CR4",A2790="CR5",A2790="CR6",A2790="GH1",A2790="GH2",A2790="GH3",A2790="GH4",A2790="GR3",A2790="GR4",A2790="MC1",A2790="MC2",A2790="MC3",A2790="MC4",A2790="TC1",A2790="TC2",A2790="TY3"),"Coal","Gas")</f>
        <v>Coal</v>
      </c>
      <c r="O2790" s="105">
        <f>IFERROR(VLOOKUP(A2790,Lookup!$J$5:$P$19,7,FALSE),0)</f>
        <v>2</v>
      </c>
      <c r="P2790" s="159">
        <f t="shared" ref="P2790:P2853" si="473">YEAR(E2790)</f>
        <v>2017</v>
      </c>
      <c r="Q2790" s="159">
        <f t="shared" ref="Q2790:Q2853" si="474">MONTH(E2790)</f>
        <v>11</v>
      </c>
      <c r="R2790" s="160">
        <f t="shared" ref="R2790:R2853" si="475">(F2790-E2790)*24</f>
        <v>20.600000000093132</v>
      </c>
      <c r="S2790" s="158">
        <f t="shared" ref="S2790:S2853" si="476">R2790*(H2790-G2790)/H2790</f>
        <v>20.600000000093132</v>
      </c>
      <c r="T2790" s="161">
        <f t="shared" ref="T2790:T2853" si="477">S2790*I2790</f>
        <v>6180.0000000279397</v>
      </c>
      <c r="U2790" s="158">
        <f t="shared" si="469"/>
        <v>300</v>
      </c>
      <c r="V2790" s="160">
        <f t="shared" ref="V2790:V2853" si="478">ROUND(U2790,0)</f>
        <v>300</v>
      </c>
    </row>
    <row r="2791" spans="1:22" x14ac:dyDescent="0.25">
      <c r="A2791" s="98" t="s">
        <v>23</v>
      </c>
      <c r="B2791" s="98" t="s">
        <v>79</v>
      </c>
      <c r="C2791" s="98">
        <v>93</v>
      </c>
      <c r="D2791" s="98">
        <v>250</v>
      </c>
      <c r="E2791" s="157">
        <v>43069.875</v>
      </c>
      <c r="F2791" s="157">
        <v>43070.125</v>
      </c>
      <c r="G2791" s="98">
        <v>0</v>
      </c>
      <c r="H2791" s="98">
        <v>330</v>
      </c>
      <c r="I2791" s="98">
        <v>300</v>
      </c>
      <c r="J2791" s="98" t="s">
        <v>1978</v>
      </c>
      <c r="K2791" s="98" t="s">
        <v>4781</v>
      </c>
      <c r="L2791" s="105" t="str">
        <f t="shared" si="470"/>
        <v>Mill Creek</v>
      </c>
      <c r="M2791" s="105" t="str">
        <f t="shared" si="471"/>
        <v>Other</v>
      </c>
      <c r="N2791" s="105" t="str">
        <f t="shared" si="472"/>
        <v>Coal</v>
      </c>
      <c r="O2791" s="105">
        <f>IFERROR(VLOOKUP(A2791,Lookup!$J$5:$P$19,7,FALSE),0)</f>
        <v>2</v>
      </c>
      <c r="P2791" s="159">
        <f t="shared" si="473"/>
        <v>2017</v>
      </c>
      <c r="Q2791" s="159">
        <f t="shared" si="474"/>
        <v>11</v>
      </c>
      <c r="R2791" s="160">
        <f t="shared" si="475"/>
        <v>6</v>
      </c>
      <c r="S2791" s="158">
        <f t="shared" si="476"/>
        <v>6</v>
      </c>
      <c r="T2791" s="161">
        <f t="shared" si="477"/>
        <v>1800</v>
      </c>
      <c r="U2791" s="158">
        <f t="shared" ref="U2791:U2854" si="479">IF(G2791&gt;0,MAX((H2791-G2791),0)*I2791/H2791,I2791)</f>
        <v>300</v>
      </c>
      <c r="V2791" s="160">
        <f t="shared" si="478"/>
        <v>300</v>
      </c>
    </row>
    <row r="2792" spans="1:22" x14ac:dyDescent="0.25">
      <c r="A2792" s="98" t="s">
        <v>23</v>
      </c>
      <c r="B2792" s="98" t="s">
        <v>79</v>
      </c>
      <c r="C2792" s="98">
        <v>94</v>
      </c>
      <c r="D2792" s="98">
        <v>4842</v>
      </c>
      <c r="E2792" s="157">
        <v>43074.420138888891</v>
      </c>
      <c r="F2792" s="157">
        <v>43074.496527777781</v>
      </c>
      <c r="G2792" s="98">
        <v>0</v>
      </c>
      <c r="H2792" s="98">
        <v>330</v>
      </c>
      <c r="I2792" s="98">
        <v>300</v>
      </c>
      <c r="J2792" s="98" t="s">
        <v>60</v>
      </c>
      <c r="K2792" s="98" t="s">
        <v>4782</v>
      </c>
      <c r="L2792" s="105" t="str">
        <f t="shared" si="470"/>
        <v>Mill Creek</v>
      </c>
      <c r="M2792" s="105" t="str">
        <f t="shared" si="471"/>
        <v>Other</v>
      </c>
      <c r="N2792" s="105" t="str">
        <f t="shared" si="472"/>
        <v>Coal</v>
      </c>
      <c r="O2792" s="105">
        <f>IFERROR(VLOOKUP(A2792,Lookup!$J$5:$P$19,7,FALSE),0)</f>
        <v>2</v>
      </c>
      <c r="P2792" s="159">
        <f t="shared" si="473"/>
        <v>2017</v>
      </c>
      <c r="Q2792" s="159">
        <f t="shared" si="474"/>
        <v>12</v>
      </c>
      <c r="R2792" s="160">
        <f t="shared" si="475"/>
        <v>1.8333333333721384</v>
      </c>
      <c r="S2792" s="158">
        <f t="shared" si="476"/>
        <v>1.8333333333721384</v>
      </c>
      <c r="T2792" s="161">
        <f t="shared" si="477"/>
        <v>550.00000001164153</v>
      </c>
      <c r="U2792" s="158">
        <f t="shared" si="479"/>
        <v>300</v>
      </c>
      <c r="V2792" s="160">
        <f t="shared" si="478"/>
        <v>300</v>
      </c>
    </row>
    <row r="2793" spans="1:22" x14ac:dyDescent="0.25">
      <c r="A2793" s="98" t="s">
        <v>23</v>
      </c>
      <c r="B2793" s="98" t="s">
        <v>79</v>
      </c>
      <c r="C2793" s="98">
        <v>95</v>
      </c>
      <c r="D2793" s="98">
        <v>8460</v>
      </c>
      <c r="E2793" s="157">
        <v>43079.958333333336</v>
      </c>
      <c r="F2793" s="157">
        <v>43080.21875</v>
      </c>
      <c r="G2793" s="98">
        <v>0</v>
      </c>
      <c r="H2793" s="98">
        <v>330</v>
      </c>
      <c r="I2793" s="98">
        <v>300</v>
      </c>
      <c r="J2793" s="98" t="s">
        <v>2651</v>
      </c>
      <c r="K2793" s="98" t="s">
        <v>3525</v>
      </c>
      <c r="L2793" s="105" t="str">
        <f t="shared" si="470"/>
        <v>Mill Creek</v>
      </c>
      <c r="M2793" s="105" t="str">
        <f t="shared" si="471"/>
        <v>Other</v>
      </c>
      <c r="N2793" s="105" t="str">
        <f t="shared" si="472"/>
        <v>Coal</v>
      </c>
      <c r="O2793" s="105">
        <f>IFERROR(VLOOKUP(A2793,Lookup!$J$5:$P$19,7,FALSE),0)</f>
        <v>2</v>
      </c>
      <c r="P2793" s="159">
        <f t="shared" si="473"/>
        <v>2017</v>
      </c>
      <c r="Q2793" s="159">
        <f t="shared" si="474"/>
        <v>12</v>
      </c>
      <c r="R2793" s="160">
        <f t="shared" si="475"/>
        <v>6.2499999999417923</v>
      </c>
      <c r="S2793" s="158">
        <f t="shared" si="476"/>
        <v>6.2499999999417923</v>
      </c>
      <c r="T2793" s="161">
        <f t="shared" si="477"/>
        <v>1874.9999999825377</v>
      </c>
      <c r="U2793" s="158">
        <f t="shared" si="479"/>
        <v>300</v>
      </c>
      <c r="V2793" s="160">
        <f t="shared" si="478"/>
        <v>300</v>
      </c>
    </row>
    <row r="2794" spans="1:22" x14ac:dyDescent="0.25">
      <c r="A2794" s="98" t="s">
        <v>23</v>
      </c>
      <c r="B2794" s="98" t="s">
        <v>17</v>
      </c>
      <c r="C2794" s="98">
        <v>96</v>
      </c>
      <c r="D2794" s="98">
        <v>250</v>
      </c>
      <c r="E2794" s="157">
        <v>43082.076388888891</v>
      </c>
      <c r="F2794" s="157">
        <v>43082.104166666664</v>
      </c>
      <c r="G2794" s="98">
        <v>240</v>
      </c>
      <c r="H2794" s="98">
        <v>330</v>
      </c>
      <c r="I2794" s="98">
        <v>300</v>
      </c>
      <c r="J2794" s="98" t="s">
        <v>1978</v>
      </c>
      <c r="K2794" s="98" t="s">
        <v>4783</v>
      </c>
      <c r="L2794" s="105" t="str">
        <f t="shared" si="470"/>
        <v>Mill Creek</v>
      </c>
      <c r="M2794" s="105" t="str">
        <f t="shared" si="471"/>
        <v>Derate</v>
      </c>
      <c r="N2794" s="105" t="str">
        <f t="shared" si="472"/>
        <v>Coal</v>
      </c>
      <c r="O2794" s="105">
        <f>IFERROR(VLOOKUP(A2794,Lookup!$J$5:$P$19,7,FALSE),0)</f>
        <v>2</v>
      </c>
      <c r="P2794" s="159">
        <f t="shared" si="473"/>
        <v>2017</v>
      </c>
      <c r="Q2794" s="159">
        <f t="shared" si="474"/>
        <v>12</v>
      </c>
      <c r="R2794" s="160">
        <f t="shared" si="475"/>
        <v>0.6666666665696539</v>
      </c>
      <c r="S2794" s="158">
        <f t="shared" si="476"/>
        <v>0.18181818179172379</v>
      </c>
      <c r="T2794" s="161">
        <f t="shared" si="477"/>
        <v>54.545454537517138</v>
      </c>
      <c r="U2794" s="158">
        <f t="shared" si="479"/>
        <v>81.818181818181813</v>
      </c>
      <c r="V2794" s="160">
        <f t="shared" si="478"/>
        <v>82</v>
      </c>
    </row>
    <row r="2795" spans="1:22" x14ac:dyDescent="0.25">
      <c r="A2795" s="98" t="s">
        <v>23</v>
      </c>
      <c r="B2795" s="98" t="s">
        <v>105</v>
      </c>
      <c r="C2795" s="98">
        <v>97</v>
      </c>
      <c r="D2795" s="98">
        <v>310</v>
      </c>
      <c r="E2795" s="157">
        <v>43082.104166666664</v>
      </c>
      <c r="F2795" s="157">
        <v>43082.194444444445</v>
      </c>
      <c r="G2795" s="98">
        <v>240</v>
      </c>
      <c r="H2795" s="98">
        <v>330</v>
      </c>
      <c r="I2795" s="98">
        <v>300</v>
      </c>
      <c r="J2795" s="98" t="s">
        <v>1966</v>
      </c>
      <c r="K2795" s="98" t="s">
        <v>4275</v>
      </c>
      <c r="L2795" s="105" t="str">
        <f t="shared" si="470"/>
        <v>Mill Creek</v>
      </c>
      <c r="M2795" s="105" t="str">
        <f t="shared" si="471"/>
        <v>Derate</v>
      </c>
      <c r="N2795" s="105" t="str">
        <f t="shared" si="472"/>
        <v>Coal</v>
      </c>
      <c r="O2795" s="105">
        <f>IFERROR(VLOOKUP(A2795,Lookup!$J$5:$P$19,7,FALSE),0)</f>
        <v>2</v>
      </c>
      <c r="P2795" s="159">
        <f t="shared" si="473"/>
        <v>2017</v>
      </c>
      <c r="Q2795" s="159">
        <f t="shared" si="474"/>
        <v>12</v>
      </c>
      <c r="R2795" s="160">
        <f t="shared" si="475"/>
        <v>2.1666666667442769</v>
      </c>
      <c r="S2795" s="158">
        <f t="shared" si="476"/>
        <v>0.59090909093025734</v>
      </c>
      <c r="T2795" s="161">
        <f t="shared" si="477"/>
        <v>177.2727272790772</v>
      </c>
      <c r="U2795" s="158">
        <f t="shared" si="479"/>
        <v>81.818181818181813</v>
      </c>
      <c r="V2795" s="160">
        <f t="shared" si="478"/>
        <v>82</v>
      </c>
    </row>
    <row r="2796" spans="1:22" x14ac:dyDescent="0.25">
      <c r="A2796" s="98" t="s">
        <v>23</v>
      </c>
      <c r="B2796" s="98" t="s">
        <v>105</v>
      </c>
      <c r="C2796" s="98">
        <v>98</v>
      </c>
      <c r="D2796" s="98">
        <v>310</v>
      </c>
      <c r="E2796" s="157">
        <v>43082.916666666664</v>
      </c>
      <c r="F2796" s="157">
        <v>43082.958333333336</v>
      </c>
      <c r="G2796" s="98">
        <v>240</v>
      </c>
      <c r="H2796" s="98">
        <v>330</v>
      </c>
      <c r="I2796" s="98">
        <v>300</v>
      </c>
      <c r="J2796" s="98" t="s">
        <v>1966</v>
      </c>
      <c r="K2796" s="98" t="s">
        <v>119</v>
      </c>
      <c r="L2796" s="105" t="str">
        <f t="shared" si="470"/>
        <v>Mill Creek</v>
      </c>
      <c r="M2796" s="105" t="str">
        <f t="shared" si="471"/>
        <v>Derate</v>
      </c>
      <c r="N2796" s="105" t="str">
        <f t="shared" si="472"/>
        <v>Coal</v>
      </c>
      <c r="O2796" s="105">
        <f>IFERROR(VLOOKUP(A2796,Lookup!$J$5:$P$19,7,FALSE),0)</f>
        <v>2</v>
      </c>
      <c r="P2796" s="159">
        <f t="shared" si="473"/>
        <v>2017</v>
      </c>
      <c r="Q2796" s="159">
        <f t="shared" si="474"/>
        <v>12</v>
      </c>
      <c r="R2796" s="160">
        <f t="shared" si="475"/>
        <v>1.0000000001164153</v>
      </c>
      <c r="S2796" s="158">
        <f t="shared" si="476"/>
        <v>0.27272727275902237</v>
      </c>
      <c r="T2796" s="161">
        <f t="shared" si="477"/>
        <v>81.818181827706709</v>
      </c>
      <c r="U2796" s="158">
        <f t="shared" si="479"/>
        <v>81.818181818181813</v>
      </c>
      <c r="V2796" s="160">
        <f t="shared" si="478"/>
        <v>82</v>
      </c>
    </row>
    <row r="2797" spans="1:22" x14ac:dyDescent="0.25">
      <c r="A2797" s="98" t="s">
        <v>23</v>
      </c>
      <c r="B2797" s="98" t="s">
        <v>79</v>
      </c>
      <c r="C2797" s="98">
        <v>99</v>
      </c>
      <c r="D2797" s="98">
        <v>8460</v>
      </c>
      <c r="E2797" s="157">
        <v>43082.958333333336</v>
      </c>
      <c r="F2797" s="157">
        <v>43083.152777777781</v>
      </c>
      <c r="G2797" s="98">
        <v>0</v>
      </c>
      <c r="H2797" s="98">
        <v>330</v>
      </c>
      <c r="I2797" s="98">
        <v>300</v>
      </c>
      <c r="J2797" s="98" t="s">
        <v>2651</v>
      </c>
      <c r="K2797" s="98" t="s">
        <v>3525</v>
      </c>
      <c r="L2797" s="105" t="str">
        <f t="shared" si="470"/>
        <v>Mill Creek</v>
      </c>
      <c r="M2797" s="105" t="str">
        <f t="shared" si="471"/>
        <v>Other</v>
      </c>
      <c r="N2797" s="105" t="str">
        <f t="shared" si="472"/>
        <v>Coal</v>
      </c>
      <c r="O2797" s="105">
        <f>IFERROR(VLOOKUP(A2797,Lookup!$J$5:$P$19,7,FALSE),0)</f>
        <v>2</v>
      </c>
      <c r="P2797" s="159">
        <f t="shared" si="473"/>
        <v>2017</v>
      </c>
      <c r="Q2797" s="159">
        <f t="shared" si="474"/>
        <v>12</v>
      </c>
      <c r="R2797" s="160">
        <f t="shared" si="475"/>
        <v>4.6666666666860692</v>
      </c>
      <c r="S2797" s="158">
        <f t="shared" si="476"/>
        <v>4.6666666666860692</v>
      </c>
      <c r="T2797" s="161">
        <f t="shared" si="477"/>
        <v>1400.0000000058208</v>
      </c>
      <c r="U2797" s="158">
        <f t="shared" si="479"/>
        <v>300</v>
      </c>
      <c r="V2797" s="160">
        <f t="shared" si="478"/>
        <v>300</v>
      </c>
    </row>
    <row r="2798" spans="1:22" x14ac:dyDescent="0.25">
      <c r="A2798" s="98" t="s">
        <v>23</v>
      </c>
      <c r="B2798" s="98" t="s">
        <v>105</v>
      </c>
      <c r="C2798" s="98">
        <v>100</v>
      </c>
      <c r="D2798" s="98">
        <v>310</v>
      </c>
      <c r="E2798" s="157">
        <v>43083.958333333336</v>
      </c>
      <c r="F2798" s="157">
        <v>43084.166666666664</v>
      </c>
      <c r="G2798" s="98">
        <v>240</v>
      </c>
      <c r="H2798" s="98">
        <v>330</v>
      </c>
      <c r="I2798" s="98">
        <v>300</v>
      </c>
      <c r="J2798" s="98" t="s">
        <v>1966</v>
      </c>
      <c r="K2798" s="98" t="s">
        <v>119</v>
      </c>
      <c r="L2798" s="105" t="str">
        <f t="shared" si="470"/>
        <v>Mill Creek</v>
      </c>
      <c r="M2798" s="105" t="str">
        <f t="shared" si="471"/>
        <v>Derate</v>
      </c>
      <c r="N2798" s="105" t="str">
        <f t="shared" si="472"/>
        <v>Coal</v>
      </c>
      <c r="O2798" s="105">
        <f>IFERROR(VLOOKUP(A2798,Lookup!$J$5:$P$19,7,FALSE),0)</f>
        <v>2</v>
      </c>
      <c r="P2798" s="159">
        <f t="shared" si="473"/>
        <v>2017</v>
      </c>
      <c r="Q2798" s="159">
        <f t="shared" si="474"/>
        <v>12</v>
      </c>
      <c r="R2798" s="160">
        <f t="shared" si="475"/>
        <v>4.9999999998835847</v>
      </c>
      <c r="S2798" s="158">
        <f t="shared" si="476"/>
        <v>1.363636363604614</v>
      </c>
      <c r="T2798" s="161">
        <f t="shared" si="477"/>
        <v>409.09090908138421</v>
      </c>
      <c r="U2798" s="158">
        <f t="shared" si="479"/>
        <v>81.818181818181813</v>
      </c>
      <c r="V2798" s="160">
        <f t="shared" si="478"/>
        <v>82</v>
      </c>
    </row>
    <row r="2799" spans="1:22" x14ac:dyDescent="0.25">
      <c r="A2799" s="98" t="s">
        <v>23</v>
      </c>
      <c r="B2799" s="98" t="s">
        <v>105</v>
      </c>
      <c r="C2799" s="98">
        <v>102</v>
      </c>
      <c r="D2799" s="98">
        <v>310</v>
      </c>
      <c r="E2799" s="157">
        <v>43087.916666666664</v>
      </c>
      <c r="F2799" s="157">
        <v>43088.09097222222</v>
      </c>
      <c r="G2799" s="98">
        <v>240</v>
      </c>
      <c r="H2799" s="98">
        <v>330</v>
      </c>
      <c r="I2799" s="98">
        <v>300</v>
      </c>
      <c r="J2799" s="98" t="s">
        <v>1966</v>
      </c>
      <c r="K2799" s="98" t="s">
        <v>4275</v>
      </c>
      <c r="L2799" s="105" t="str">
        <f t="shared" si="470"/>
        <v>Mill Creek</v>
      </c>
      <c r="M2799" s="105" t="str">
        <f t="shared" si="471"/>
        <v>Derate</v>
      </c>
      <c r="N2799" s="105" t="str">
        <f t="shared" si="472"/>
        <v>Coal</v>
      </c>
      <c r="O2799" s="105">
        <f>IFERROR(VLOOKUP(A2799,Lookup!$J$5:$P$19,7,FALSE),0)</f>
        <v>2</v>
      </c>
      <c r="P2799" s="159">
        <f t="shared" si="473"/>
        <v>2017</v>
      </c>
      <c r="Q2799" s="159">
        <f t="shared" si="474"/>
        <v>12</v>
      </c>
      <c r="R2799" s="160">
        <f t="shared" si="475"/>
        <v>4.1833333333488554</v>
      </c>
      <c r="S2799" s="158">
        <f t="shared" si="476"/>
        <v>1.1409090909133242</v>
      </c>
      <c r="T2799" s="161">
        <f t="shared" si="477"/>
        <v>342.27272727399725</v>
      </c>
      <c r="U2799" s="158">
        <f t="shared" si="479"/>
        <v>81.818181818181813</v>
      </c>
      <c r="V2799" s="160">
        <f t="shared" si="478"/>
        <v>82</v>
      </c>
    </row>
    <row r="2800" spans="1:22" x14ac:dyDescent="0.25">
      <c r="A2800" s="98" t="s">
        <v>23</v>
      </c>
      <c r="B2800" s="98" t="s">
        <v>17</v>
      </c>
      <c r="C2800" s="98">
        <v>103</v>
      </c>
      <c r="D2800" s="98">
        <v>250</v>
      </c>
      <c r="E2800" s="157">
        <v>43095.55</v>
      </c>
      <c r="F2800" s="157">
        <v>43095.601388888892</v>
      </c>
      <c r="G2800" s="98">
        <v>235</v>
      </c>
      <c r="H2800" s="98">
        <v>330</v>
      </c>
      <c r="I2800" s="98">
        <v>300</v>
      </c>
      <c r="J2800" s="98" t="s">
        <v>1978</v>
      </c>
      <c r="K2800" s="98" t="s">
        <v>4784</v>
      </c>
      <c r="L2800" s="105" t="str">
        <f t="shared" si="470"/>
        <v>Mill Creek</v>
      </c>
      <c r="M2800" s="105" t="str">
        <f t="shared" si="471"/>
        <v>Derate</v>
      </c>
      <c r="N2800" s="105" t="str">
        <f t="shared" si="472"/>
        <v>Coal</v>
      </c>
      <c r="O2800" s="105">
        <f>IFERROR(VLOOKUP(A2800,Lookup!$J$5:$P$19,7,FALSE),0)</f>
        <v>2</v>
      </c>
      <c r="P2800" s="159">
        <f t="shared" si="473"/>
        <v>2017</v>
      </c>
      <c r="Q2800" s="159">
        <f t="shared" si="474"/>
        <v>12</v>
      </c>
      <c r="R2800" s="160">
        <f t="shared" si="475"/>
        <v>1.2333333333372138</v>
      </c>
      <c r="S2800" s="158">
        <f t="shared" si="476"/>
        <v>0.35505050505162217</v>
      </c>
      <c r="T2800" s="161">
        <f t="shared" si="477"/>
        <v>106.51515151548665</v>
      </c>
      <c r="U2800" s="158">
        <f t="shared" si="479"/>
        <v>86.36363636363636</v>
      </c>
      <c r="V2800" s="160">
        <f t="shared" si="478"/>
        <v>86</v>
      </c>
    </row>
    <row r="2801" spans="1:22" x14ac:dyDescent="0.25">
      <c r="A2801" s="98" t="s">
        <v>23</v>
      </c>
      <c r="B2801" s="98" t="s">
        <v>79</v>
      </c>
      <c r="C2801" s="98">
        <v>1</v>
      </c>
      <c r="D2801" s="98">
        <v>8020</v>
      </c>
      <c r="E2801" s="157">
        <v>43101.480555555558</v>
      </c>
      <c r="F2801" s="157">
        <v>43102.274305555555</v>
      </c>
      <c r="G2801" s="98">
        <v>0</v>
      </c>
      <c r="H2801" s="98">
        <v>330</v>
      </c>
      <c r="I2801" s="98">
        <v>300</v>
      </c>
      <c r="J2801" s="98" t="s">
        <v>2653</v>
      </c>
      <c r="K2801" s="98" t="s">
        <v>4785</v>
      </c>
      <c r="L2801" s="105" t="str">
        <f t="shared" si="470"/>
        <v>Mill Creek</v>
      </c>
      <c r="M2801" s="105" t="str">
        <f t="shared" si="471"/>
        <v>Other</v>
      </c>
      <c r="N2801" s="105" t="str">
        <f t="shared" si="472"/>
        <v>Coal</v>
      </c>
      <c r="O2801" s="105">
        <f>IFERROR(VLOOKUP(A2801,Lookup!$J$5:$P$19,7,FALSE),0)</f>
        <v>2</v>
      </c>
      <c r="P2801" s="159">
        <f t="shared" si="473"/>
        <v>2018</v>
      </c>
      <c r="Q2801" s="159">
        <f t="shared" si="474"/>
        <v>1</v>
      </c>
      <c r="R2801" s="160">
        <f t="shared" si="475"/>
        <v>19.049999999930151</v>
      </c>
      <c r="S2801" s="158">
        <f t="shared" si="476"/>
        <v>19.049999999930151</v>
      </c>
      <c r="T2801" s="161">
        <f t="shared" si="477"/>
        <v>5714.9999999790452</v>
      </c>
      <c r="U2801" s="158">
        <f t="shared" si="479"/>
        <v>300</v>
      </c>
      <c r="V2801" s="160">
        <f t="shared" si="478"/>
        <v>300</v>
      </c>
    </row>
    <row r="2802" spans="1:22" x14ac:dyDescent="0.25">
      <c r="A2802" s="98" t="s">
        <v>23</v>
      </c>
      <c r="B2802" s="98" t="s">
        <v>17</v>
      </c>
      <c r="C2802" s="98">
        <v>2</v>
      </c>
      <c r="D2802" s="98">
        <v>310</v>
      </c>
      <c r="E2802" s="157">
        <v>43118.095833333333</v>
      </c>
      <c r="F2802" s="157">
        <v>43118.238194444442</v>
      </c>
      <c r="G2802" s="98">
        <v>250</v>
      </c>
      <c r="H2802" s="98">
        <v>330</v>
      </c>
      <c r="I2802" s="98">
        <v>300</v>
      </c>
      <c r="J2802" s="98" t="s">
        <v>1966</v>
      </c>
      <c r="K2802" s="98" t="s">
        <v>4786</v>
      </c>
      <c r="L2802" s="105" t="str">
        <f t="shared" si="470"/>
        <v>Mill Creek</v>
      </c>
      <c r="M2802" s="105" t="str">
        <f t="shared" si="471"/>
        <v>Derate</v>
      </c>
      <c r="N2802" s="105" t="str">
        <f t="shared" si="472"/>
        <v>Coal</v>
      </c>
      <c r="O2802" s="105">
        <f>IFERROR(VLOOKUP(A2802,Lookup!$J$5:$P$19,7,FALSE),0)</f>
        <v>2</v>
      </c>
      <c r="P2802" s="159">
        <f t="shared" si="473"/>
        <v>2018</v>
      </c>
      <c r="Q2802" s="159">
        <f t="shared" si="474"/>
        <v>1</v>
      </c>
      <c r="R2802" s="160">
        <f t="shared" si="475"/>
        <v>3.4166666666278616</v>
      </c>
      <c r="S2802" s="158">
        <f t="shared" si="476"/>
        <v>0.82828282827342103</v>
      </c>
      <c r="T2802" s="161">
        <f t="shared" si="477"/>
        <v>248.48484848202631</v>
      </c>
      <c r="U2802" s="158">
        <f t="shared" si="479"/>
        <v>72.727272727272734</v>
      </c>
      <c r="V2802" s="160">
        <f t="shared" si="478"/>
        <v>73</v>
      </c>
    </row>
    <row r="2803" spans="1:22" x14ac:dyDescent="0.25">
      <c r="A2803" s="98" t="s">
        <v>23</v>
      </c>
      <c r="B2803" s="98" t="s">
        <v>105</v>
      </c>
      <c r="C2803" s="98">
        <v>3</v>
      </c>
      <c r="D2803" s="98">
        <v>310</v>
      </c>
      <c r="E2803" s="157">
        <v>43129.92291666667</v>
      </c>
      <c r="F2803" s="157">
        <v>43130.140277777777</v>
      </c>
      <c r="G2803" s="98">
        <v>240</v>
      </c>
      <c r="H2803" s="98">
        <v>330</v>
      </c>
      <c r="I2803" s="98">
        <v>300</v>
      </c>
      <c r="J2803" s="98" t="s">
        <v>1966</v>
      </c>
      <c r="K2803" s="98" t="s">
        <v>4276</v>
      </c>
      <c r="L2803" s="105" t="str">
        <f t="shared" si="470"/>
        <v>Mill Creek</v>
      </c>
      <c r="M2803" s="105" t="str">
        <f t="shared" si="471"/>
        <v>Derate</v>
      </c>
      <c r="N2803" s="105" t="str">
        <f t="shared" si="472"/>
        <v>Coal</v>
      </c>
      <c r="O2803" s="105">
        <f>IFERROR(VLOOKUP(A2803,Lookup!$J$5:$P$19,7,FALSE),0)</f>
        <v>2</v>
      </c>
      <c r="P2803" s="159">
        <f t="shared" si="473"/>
        <v>2018</v>
      </c>
      <c r="Q2803" s="159">
        <f t="shared" si="474"/>
        <v>1</v>
      </c>
      <c r="R2803" s="160">
        <f t="shared" si="475"/>
        <v>5.2166666665580124</v>
      </c>
      <c r="S2803" s="158">
        <f t="shared" si="476"/>
        <v>1.4227272726976397</v>
      </c>
      <c r="T2803" s="161">
        <f t="shared" si="477"/>
        <v>426.8181818092919</v>
      </c>
      <c r="U2803" s="158">
        <f t="shared" si="479"/>
        <v>81.818181818181813</v>
      </c>
      <c r="V2803" s="160">
        <f t="shared" si="478"/>
        <v>82</v>
      </c>
    </row>
    <row r="2804" spans="1:22" x14ac:dyDescent="0.25">
      <c r="A2804" s="98" t="s">
        <v>23</v>
      </c>
      <c r="B2804" s="98" t="s">
        <v>79</v>
      </c>
      <c r="C2804" s="98">
        <v>4</v>
      </c>
      <c r="D2804" s="98">
        <v>360</v>
      </c>
      <c r="E2804" s="157">
        <v>43139</v>
      </c>
      <c r="F2804" s="157">
        <v>43139.026388888888</v>
      </c>
      <c r="G2804" s="98">
        <v>0</v>
      </c>
      <c r="H2804" s="98">
        <v>330</v>
      </c>
      <c r="I2804" s="98">
        <v>300</v>
      </c>
      <c r="J2804" s="98" t="s">
        <v>229</v>
      </c>
      <c r="K2804" s="98" t="s">
        <v>4787</v>
      </c>
      <c r="L2804" s="105" t="str">
        <f t="shared" si="470"/>
        <v>Mill Creek</v>
      </c>
      <c r="M2804" s="105" t="str">
        <f t="shared" si="471"/>
        <v>Other</v>
      </c>
      <c r="N2804" s="105" t="str">
        <f t="shared" si="472"/>
        <v>Coal</v>
      </c>
      <c r="O2804" s="105">
        <f>IFERROR(VLOOKUP(A2804,Lookup!$J$5:$P$19,7,FALSE),0)</f>
        <v>2</v>
      </c>
      <c r="P2804" s="159">
        <f t="shared" si="473"/>
        <v>2018</v>
      </c>
      <c r="Q2804" s="159">
        <f t="shared" si="474"/>
        <v>2</v>
      </c>
      <c r="R2804" s="160">
        <f t="shared" si="475"/>
        <v>0.63333333330228925</v>
      </c>
      <c r="S2804" s="158">
        <f t="shared" si="476"/>
        <v>0.63333333330228925</v>
      </c>
      <c r="T2804" s="161">
        <f t="shared" si="477"/>
        <v>189.99999999068677</v>
      </c>
      <c r="U2804" s="158">
        <f t="shared" si="479"/>
        <v>300</v>
      </c>
      <c r="V2804" s="160">
        <f t="shared" si="478"/>
        <v>300</v>
      </c>
    </row>
    <row r="2805" spans="1:22" x14ac:dyDescent="0.25">
      <c r="A2805" s="98" t="s">
        <v>23</v>
      </c>
      <c r="B2805" s="98" t="s">
        <v>105</v>
      </c>
      <c r="C2805" s="98">
        <v>5</v>
      </c>
      <c r="D2805" s="98">
        <v>310</v>
      </c>
      <c r="E2805" s="157">
        <v>43153.020138888889</v>
      </c>
      <c r="F2805" s="157">
        <v>43153.036805555559</v>
      </c>
      <c r="G2805" s="98">
        <v>240</v>
      </c>
      <c r="H2805" s="98">
        <v>330</v>
      </c>
      <c r="I2805" s="98">
        <v>300</v>
      </c>
      <c r="J2805" s="98" t="s">
        <v>1966</v>
      </c>
      <c r="K2805" s="98" t="s">
        <v>119</v>
      </c>
      <c r="L2805" s="105" t="str">
        <f t="shared" si="470"/>
        <v>Mill Creek</v>
      </c>
      <c r="M2805" s="105" t="str">
        <f t="shared" si="471"/>
        <v>Derate</v>
      </c>
      <c r="N2805" s="105" t="str">
        <f t="shared" si="472"/>
        <v>Coal</v>
      </c>
      <c r="O2805" s="105">
        <f>IFERROR(VLOOKUP(A2805,Lookup!$J$5:$P$19,7,FALSE),0)</f>
        <v>2</v>
      </c>
      <c r="P2805" s="159">
        <f t="shared" si="473"/>
        <v>2018</v>
      </c>
      <c r="Q2805" s="159">
        <f t="shared" si="474"/>
        <v>2</v>
      </c>
      <c r="R2805" s="160">
        <f t="shared" si="475"/>
        <v>0.40000000008149073</v>
      </c>
      <c r="S2805" s="158">
        <f t="shared" si="476"/>
        <v>0.10909090911313384</v>
      </c>
      <c r="T2805" s="161">
        <f t="shared" si="477"/>
        <v>32.727272733940154</v>
      </c>
      <c r="U2805" s="158">
        <f t="shared" si="479"/>
        <v>81.818181818181813</v>
      </c>
      <c r="V2805" s="160">
        <f t="shared" si="478"/>
        <v>82</v>
      </c>
    </row>
    <row r="2806" spans="1:22" x14ac:dyDescent="0.25">
      <c r="A2806" s="98" t="s">
        <v>23</v>
      </c>
      <c r="B2806" s="98" t="s">
        <v>17</v>
      </c>
      <c r="C2806" s="98">
        <v>6</v>
      </c>
      <c r="D2806" s="98">
        <v>250</v>
      </c>
      <c r="E2806" s="157">
        <v>43156.066666666666</v>
      </c>
      <c r="F2806" s="157">
        <v>43156.152083333334</v>
      </c>
      <c r="G2806" s="98">
        <v>245</v>
      </c>
      <c r="H2806" s="98">
        <v>330</v>
      </c>
      <c r="I2806" s="98">
        <v>300</v>
      </c>
      <c r="J2806" s="98" t="s">
        <v>1978</v>
      </c>
      <c r="K2806" s="98" t="s">
        <v>4788</v>
      </c>
      <c r="L2806" s="105" t="str">
        <f t="shared" si="470"/>
        <v>Mill Creek</v>
      </c>
      <c r="M2806" s="105" t="str">
        <f t="shared" si="471"/>
        <v>Derate</v>
      </c>
      <c r="N2806" s="105" t="str">
        <f t="shared" si="472"/>
        <v>Coal</v>
      </c>
      <c r="O2806" s="105">
        <f>IFERROR(VLOOKUP(A2806,Lookup!$J$5:$P$19,7,FALSE),0)</f>
        <v>2</v>
      </c>
      <c r="P2806" s="159">
        <f t="shared" si="473"/>
        <v>2018</v>
      </c>
      <c r="Q2806" s="159">
        <f t="shared" si="474"/>
        <v>2</v>
      </c>
      <c r="R2806" s="160">
        <f t="shared" si="475"/>
        <v>2.0500000000465661</v>
      </c>
      <c r="S2806" s="158">
        <f t="shared" si="476"/>
        <v>0.52803030304229737</v>
      </c>
      <c r="T2806" s="161">
        <f t="shared" si="477"/>
        <v>158.40909091268921</v>
      </c>
      <c r="U2806" s="158">
        <f t="shared" si="479"/>
        <v>77.272727272727266</v>
      </c>
      <c r="V2806" s="160">
        <f t="shared" si="478"/>
        <v>77</v>
      </c>
    </row>
    <row r="2807" spans="1:22" x14ac:dyDescent="0.25">
      <c r="A2807" s="98" t="s">
        <v>23</v>
      </c>
      <c r="B2807" s="98" t="s">
        <v>17</v>
      </c>
      <c r="C2807" s="98">
        <v>7</v>
      </c>
      <c r="D2807" s="98">
        <v>250</v>
      </c>
      <c r="E2807" s="157">
        <v>43156.211111111108</v>
      </c>
      <c r="F2807" s="157">
        <v>43156.279166666667</v>
      </c>
      <c r="G2807" s="98">
        <v>245</v>
      </c>
      <c r="H2807" s="98">
        <v>330</v>
      </c>
      <c r="I2807" s="98">
        <v>300</v>
      </c>
      <c r="J2807" s="98" t="s">
        <v>1978</v>
      </c>
      <c r="K2807" s="98" t="s">
        <v>4789</v>
      </c>
      <c r="L2807" s="105" t="str">
        <f t="shared" si="470"/>
        <v>Mill Creek</v>
      </c>
      <c r="M2807" s="105" t="str">
        <f t="shared" si="471"/>
        <v>Derate</v>
      </c>
      <c r="N2807" s="105" t="str">
        <f t="shared" si="472"/>
        <v>Coal</v>
      </c>
      <c r="O2807" s="105">
        <f>IFERROR(VLOOKUP(A2807,Lookup!$J$5:$P$19,7,FALSE),0)</f>
        <v>2</v>
      </c>
      <c r="P2807" s="159">
        <f t="shared" si="473"/>
        <v>2018</v>
      </c>
      <c r="Q2807" s="159">
        <f t="shared" si="474"/>
        <v>2</v>
      </c>
      <c r="R2807" s="160">
        <f t="shared" si="475"/>
        <v>1.6333333334187046</v>
      </c>
      <c r="S2807" s="158">
        <f t="shared" si="476"/>
        <v>0.42070707072906027</v>
      </c>
      <c r="T2807" s="161">
        <f t="shared" si="477"/>
        <v>126.21212121871808</v>
      </c>
      <c r="U2807" s="158">
        <f t="shared" si="479"/>
        <v>77.272727272727266</v>
      </c>
      <c r="V2807" s="160">
        <f t="shared" si="478"/>
        <v>77</v>
      </c>
    </row>
    <row r="2808" spans="1:22" x14ac:dyDescent="0.25">
      <c r="A2808" s="98" t="s">
        <v>23</v>
      </c>
      <c r="B2808" s="98" t="s">
        <v>17</v>
      </c>
      <c r="C2808" s="98">
        <v>8</v>
      </c>
      <c r="D2808" s="98">
        <v>253</v>
      </c>
      <c r="E2808" s="157">
        <v>43163.990972222222</v>
      </c>
      <c r="F2808" s="157">
        <v>43164.019444444442</v>
      </c>
      <c r="G2808" s="98">
        <v>250</v>
      </c>
      <c r="H2808" s="98">
        <v>330</v>
      </c>
      <c r="I2808" s="98">
        <v>300</v>
      </c>
      <c r="J2808" s="98" t="s">
        <v>1999</v>
      </c>
      <c r="K2808" s="98" t="s">
        <v>4790</v>
      </c>
      <c r="L2808" s="105" t="str">
        <f t="shared" si="470"/>
        <v>Mill Creek</v>
      </c>
      <c r="M2808" s="105" t="str">
        <f t="shared" si="471"/>
        <v>Derate</v>
      </c>
      <c r="N2808" s="105" t="str">
        <f t="shared" si="472"/>
        <v>Coal</v>
      </c>
      <c r="O2808" s="105">
        <f>IFERROR(VLOOKUP(A2808,Lookup!$J$5:$P$19,7,FALSE),0)</f>
        <v>2</v>
      </c>
      <c r="P2808" s="159">
        <f t="shared" si="473"/>
        <v>2018</v>
      </c>
      <c r="Q2808" s="159">
        <f t="shared" si="474"/>
        <v>3</v>
      </c>
      <c r="R2808" s="160">
        <f t="shared" si="475"/>
        <v>0.68333333329064772</v>
      </c>
      <c r="S2808" s="158">
        <f t="shared" si="476"/>
        <v>0.16565656564621764</v>
      </c>
      <c r="T2808" s="161">
        <f t="shared" si="477"/>
        <v>49.696969693865292</v>
      </c>
      <c r="U2808" s="158">
        <f t="shared" si="479"/>
        <v>72.727272727272734</v>
      </c>
      <c r="V2808" s="160">
        <f t="shared" si="478"/>
        <v>73</v>
      </c>
    </row>
    <row r="2809" spans="1:22" x14ac:dyDescent="0.25">
      <c r="A2809" s="98" t="s">
        <v>23</v>
      </c>
      <c r="B2809" s="98" t="s">
        <v>38</v>
      </c>
      <c r="C2809" s="98">
        <v>9</v>
      </c>
      <c r="D2809" s="98">
        <v>8450</v>
      </c>
      <c r="E2809" s="157">
        <v>43168.901388888888</v>
      </c>
      <c r="F2809" s="157">
        <v>43185</v>
      </c>
      <c r="G2809" s="98">
        <v>0</v>
      </c>
      <c r="H2809" s="98">
        <v>330</v>
      </c>
      <c r="I2809" s="98">
        <v>300</v>
      </c>
      <c r="J2809" s="98" t="s">
        <v>2033</v>
      </c>
      <c r="K2809" s="98" t="s">
        <v>4791</v>
      </c>
      <c r="L2809" s="105" t="str">
        <f t="shared" si="470"/>
        <v>Mill Creek</v>
      </c>
      <c r="M2809" s="105" t="str">
        <f t="shared" si="471"/>
        <v>Other</v>
      </c>
      <c r="N2809" s="105" t="str">
        <f t="shared" si="472"/>
        <v>Coal</v>
      </c>
      <c r="O2809" s="105">
        <f>IFERROR(VLOOKUP(A2809,Lookup!$J$5:$P$19,7,FALSE),0)</f>
        <v>2</v>
      </c>
      <c r="P2809" s="159">
        <f t="shared" si="473"/>
        <v>2018</v>
      </c>
      <c r="Q2809" s="159">
        <f t="shared" si="474"/>
        <v>3</v>
      </c>
      <c r="R2809" s="160">
        <f t="shared" si="475"/>
        <v>386.36666666669771</v>
      </c>
      <c r="S2809" s="158">
        <f t="shared" si="476"/>
        <v>386.36666666669771</v>
      </c>
      <c r="T2809" s="161">
        <f t="shared" si="477"/>
        <v>115910.00000000931</v>
      </c>
      <c r="U2809" s="158">
        <f t="shared" si="479"/>
        <v>300</v>
      </c>
      <c r="V2809" s="160">
        <f t="shared" si="478"/>
        <v>300</v>
      </c>
    </row>
    <row r="2810" spans="1:22" x14ac:dyDescent="0.25">
      <c r="A2810" s="98" t="s">
        <v>23</v>
      </c>
      <c r="B2810" s="98" t="s">
        <v>121</v>
      </c>
      <c r="C2810" s="98">
        <v>10</v>
      </c>
      <c r="D2810" s="98">
        <v>8450</v>
      </c>
      <c r="E2810" s="157">
        <v>43185</v>
      </c>
      <c r="F2810" s="157">
        <v>43185.45208333333</v>
      </c>
      <c r="G2810" s="98">
        <v>0</v>
      </c>
      <c r="H2810" s="98">
        <v>330</v>
      </c>
      <c r="I2810" s="98">
        <v>300</v>
      </c>
      <c r="J2810" s="98" t="s">
        <v>2033</v>
      </c>
      <c r="K2810" s="98" t="s">
        <v>4792</v>
      </c>
      <c r="L2810" s="105" t="str">
        <f t="shared" si="470"/>
        <v>Mill Creek</v>
      </c>
      <c r="M2810" s="105" t="str">
        <f t="shared" si="471"/>
        <v>Other</v>
      </c>
      <c r="N2810" s="105" t="str">
        <f t="shared" si="472"/>
        <v>Coal</v>
      </c>
      <c r="O2810" s="105">
        <f>IFERROR(VLOOKUP(A2810,Lookup!$J$5:$P$19,7,FALSE),0)</f>
        <v>2</v>
      </c>
      <c r="P2810" s="159">
        <f t="shared" si="473"/>
        <v>2018</v>
      </c>
      <c r="Q2810" s="159">
        <f t="shared" si="474"/>
        <v>3</v>
      </c>
      <c r="R2810" s="160">
        <f t="shared" si="475"/>
        <v>10.849999999918509</v>
      </c>
      <c r="S2810" s="158">
        <f t="shared" si="476"/>
        <v>10.849999999918509</v>
      </c>
      <c r="T2810" s="161">
        <f t="shared" si="477"/>
        <v>3254.9999999755528</v>
      </c>
      <c r="U2810" s="158">
        <f t="shared" si="479"/>
        <v>300</v>
      </c>
      <c r="V2810" s="160">
        <f t="shared" si="478"/>
        <v>300</v>
      </c>
    </row>
    <row r="2811" spans="1:22" x14ac:dyDescent="0.25">
      <c r="A2811" s="98" t="s">
        <v>23</v>
      </c>
      <c r="B2811" s="98" t="s">
        <v>15</v>
      </c>
      <c r="C2811" s="98">
        <v>11</v>
      </c>
      <c r="D2811" s="98">
        <v>3344</v>
      </c>
      <c r="E2811" s="157">
        <v>43185.536805555559</v>
      </c>
      <c r="F2811" s="157">
        <v>43185.741666666669</v>
      </c>
      <c r="G2811" s="98">
        <v>0</v>
      </c>
      <c r="H2811" s="98">
        <v>330</v>
      </c>
      <c r="I2811" s="98">
        <v>300</v>
      </c>
      <c r="J2811" s="98" t="s">
        <v>2165</v>
      </c>
      <c r="K2811" s="98" t="s">
        <v>4793</v>
      </c>
      <c r="L2811" s="105" t="str">
        <f t="shared" si="470"/>
        <v>Mill Creek</v>
      </c>
      <c r="M2811" s="105" t="str">
        <f t="shared" si="471"/>
        <v>Outage</v>
      </c>
      <c r="N2811" s="105" t="str">
        <f t="shared" si="472"/>
        <v>Coal</v>
      </c>
      <c r="O2811" s="105">
        <f>IFERROR(VLOOKUP(A2811,Lookup!$J$5:$P$19,7,FALSE),0)</f>
        <v>2</v>
      </c>
      <c r="P2811" s="159">
        <f t="shared" si="473"/>
        <v>2018</v>
      </c>
      <c r="Q2811" s="159">
        <f t="shared" si="474"/>
        <v>3</v>
      </c>
      <c r="R2811" s="160">
        <f t="shared" si="475"/>
        <v>4.9166666666278616</v>
      </c>
      <c r="S2811" s="158">
        <f t="shared" si="476"/>
        <v>4.9166666666278616</v>
      </c>
      <c r="T2811" s="161">
        <f t="shared" si="477"/>
        <v>1474.9999999883585</v>
      </c>
      <c r="U2811" s="158">
        <f t="shared" si="479"/>
        <v>300</v>
      </c>
      <c r="V2811" s="160">
        <f t="shared" si="478"/>
        <v>300</v>
      </c>
    </row>
    <row r="2812" spans="1:22" x14ac:dyDescent="0.25">
      <c r="A2812" s="98" t="s">
        <v>23</v>
      </c>
      <c r="B2812" s="98" t="s">
        <v>17</v>
      </c>
      <c r="C2812" s="98">
        <v>12</v>
      </c>
      <c r="D2812" s="98">
        <v>250</v>
      </c>
      <c r="E2812" s="157">
        <v>43192.782638888886</v>
      </c>
      <c r="F2812" s="157">
        <v>43192.925000000003</v>
      </c>
      <c r="G2812" s="98">
        <v>250</v>
      </c>
      <c r="H2812" s="98">
        <v>330</v>
      </c>
      <c r="I2812" s="98">
        <v>300</v>
      </c>
      <c r="J2812" s="98" t="s">
        <v>1978</v>
      </c>
      <c r="K2812" s="98" t="s">
        <v>4794</v>
      </c>
      <c r="L2812" s="105" t="str">
        <f t="shared" si="470"/>
        <v>Mill Creek</v>
      </c>
      <c r="M2812" s="105" t="str">
        <f t="shared" si="471"/>
        <v>Derate</v>
      </c>
      <c r="N2812" s="105" t="str">
        <f t="shared" si="472"/>
        <v>Coal</v>
      </c>
      <c r="O2812" s="105">
        <f>IFERROR(VLOOKUP(A2812,Lookup!$J$5:$P$19,7,FALSE),0)</f>
        <v>2</v>
      </c>
      <c r="P2812" s="159">
        <f t="shared" si="473"/>
        <v>2018</v>
      </c>
      <c r="Q2812" s="159">
        <f t="shared" si="474"/>
        <v>4</v>
      </c>
      <c r="R2812" s="160">
        <f t="shared" si="475"/>
        <v>3.4166666668024845</v>
      </c>
      <c r="S2812" s="158">
        <f t="shared" si="476"/>
        <v>0.82828282831575384</v>
      </c>
      <c r="T2812" s="161">
        <f t="shared" si="477"/>
        <v>248.48484849472615</v>
      </c>
      <c r="U2812" s="158">
        <f t="shared" si="479"/>
        <v>72.727272727272734</v>
      </c>
      <c r="V2812" s="160">
        <f t="shared" si="478"/>
        <v>73</v>
      </c>
    </row>
    <row r="2813" spans="1:22" x14ac:dyDescent="0.25">
      <c r="A2813" s="98" t="s">
        <v>23</v>
      </c>
      <c r="B2813" s="98" t="s">
        <v>105</v>
      </c>
      <c r="C2813" s="98">
        <v>13</v>
      </c>
      <c r="D2813" s="98">
        <v>310</v>
      </c>
      <c r="E2813" s="157">
        <v>43192.94027777778</v>
      </c>
      <c r="F2813" s="157">
        <v>43193.06527777778</v>
      </c>
      <c r="G2813" s="98">
        <v>250</v>
      </c>
      <c r="H2813" s="98">
        <v>330</v>
      </c>
      <c r="I2813" s="98">
        <v>300</v>
      </c>
      <c r="J2813" s="98" t="s">
        <v>1966</v>
      </c>
      <c r="K2813" s="98" t="s">
        <v>2740</v>
      </c>
      <c r="L2813" s="105" t="str">
        <f t="shared" si="470"/>
        <v>Mill Creek</v>
      </c>
      <c r="M2813" s="105" t="str">
        <f t="shared" si="471"/>
        <v>Derate</v>
      </c>
      <c r="N2813" s="105" t="str">
        <f t="shared" si="472"/>
        <v>Coal</v>
      </c>
      <c r="O2813" s="105">
        <f>IFERROR(VLOOKUP(A2813,Lookup!$J$5:$P$19,7,FALSE),0)</f>
        <v>2</v>
      </c>
      <c r="P2813" s="159">
        <f t="shared" si="473"/>
        <v>2018</v>
      </c>
      <c r="Q2813" s="159">
        <f t="shared" si="474"/>
        <v>4</v>
      </c>
      <c r="R2813" s="160">
        <f t="shared" si="475"/>
        <v>3</v>
      </c>
      <c r="S2813" s="158">
        <f t="shared" si="476"/>
        <v>0.72727272727272729</v>
      </c>
      <c r="T2813" s="161">
        <f t="shared" si="477"/>
        <v>218.18181818181819</v>
      </c>
      <c r="U2813" s="158">
        <f t="shared" si="479"/>
        <v>72.727272727272734</v>
      </c>
      <c r="V2813" s="160">
        <f t="shared" si="478"/>
        <v>73</v>
      </c>
    </row>
    <row r="2814" spans="1:22" x14ac:dyDescent="0.25">
      <c r="A2814" s="98" t="s">
        <v>23</v>
      </c>
      <c r="B2814" s="98" t="s">
        <v>105</v>
      </c>
      <c r="C2814" s="98">
        <v>14</v>
      </c>
      <c r="D2814" s="98">
        <v>310</v>
      </c>
      <c r="E2814" s="157">
        <v>43201.875</v>
      </c>
      <c r="F2814" s="157">
        <v>43202.210416666669</v>
      </c>
      <c r="G2814" s="98">
        <v>250</v>
      </c>
      <c r="H2814" s="98">
        <v>330</v>
      </c>
      <c r="I2814" s="98">
        <v>300</v>
      </c>
      <c r="J2814" s="98" t="s">
        <v>1966</v>
      </c>
      <c r="K2814" s="98" t="s">
        <v>4275</v>
      </c>
      <c r="L2814" s="105" t="str">
        <f t="shared" si="470"/>
        <v>Mill Creek</v>
      </c>
      <c r="M2814" s="105" t="str">
        <f t="shared" si="471"/>
        <v>Derate</v>
      </c>
      <c r="N2814" s="105" t="str">
        <f t="shared" si="472"/>
        <v>Coal</v>
      </c>
      <c r="O2814" s="105">
        <f>IFERROR(VLOOKUP(A2814,Lookup!$J$5:$P$19,7,FALSE),0)</f>
        <v>2</v>
      </c>
      <c r="P2814" s="159">
        <f t="shared" si="473"/>
        <v>2018</v>
      </c>
      <c r="Q2814" s="159">
        <f t="shared" si="474"/>
        <v>4</v>
      </c>
      <c r="R2814" s="160">
        <f t="shared" si="475"/>
        <v>8.0500000000465661</v>
      </c>
      <c r="S2814" s="158">
        <f t="shared" si="476"/>
        <v>1.9515151515264402</v>
      </c>
      <c r="T2814" s="161">
        <f t="shared" si="477"/>
        <v>585.454545457932</v>
      </c>
      <c r="U2814" s="158">
        <f t="shared" si="479"/>
        <v>72.727272727272734</v>
      </c>
      <c r="V2814" s="160">
        <f t="shared" si="478"/>
        <v>73</v>
      </c>
    </row>
    <row r="2815" spans="1:22" x14ac:dyDescent="0.25">
      <c r="A2815" s="98" t="s">
        <v>23</v>
      </c>
      <c r="B2815" s="98" t="s">
        <v>105</v>
      </c>
      <c r="C2815" s="98">
        <v>15</v>
      </c>
      <c r="D2815" s="98">
        <v>255</v>
      </c>
      <c r="E2815" s="157">
        <v>43216.916666666664</v>
      </c>
      <c r="F2815" s="157">
        <v>43217.121527777781</v>
      </c>
      <c r="G2815" s="98">
        <v>250</v>
      </c>
      <c r="H2815" s="98">
        <v>330</v>
      </c>
      <c r="I2815" s="98">
        <v>300</v>
      </c>
      <c r="J2815" s="98" t="s">
        <v>2124</v>
      </c>
      <c r="K2815" s="98" t="s">
        <v>4795</v>
      </c>
      <c r="L2815" s="105" t="str">
        <f t="shared" si="470"/>
        <v>Mill Creek</v>
      </c>
      <c r="M2815" s="105" t="str">
        <f t="shared" si="471"/>
        <v>Derate</v>
      </c>
      <c r="N2815" s="105" t="str">
        <f t="shared" si="472"/>
        <v>Coal</v>
      </c>
      <c r="O2815" s="105">
        <f>IFERROR(VLOOKUP(A2815,Lookup!$J$5:$P$19,7,FALSE),0)</f>
        <v>2</v>
      </c>
      <c r="P2815" s="159">
        <f t="shared" si="473"/>
        <v>2018</v>
      </c>
      <c r="Q2815" s="159">
        <f t="shared" si="474"/>
        <v>4</v>
      </c>
      <c r="R2815" s="160">
        <f t="shared" si="475"/>
        <v>4.9166666668024845</v>
      </c>
      <c r="S2815" s="158">
        <f t="shared" si="476"/>
        <v>1.1919191919521175</v>
      </c>
      <c r="T2815" s="161">
        <f t="shared" si="477"/>
        <v>357.57575758563524</v>
      </c>
      <c r="U2815" s="158">
        <f t="shared" si="479"/>
        <v>72.727272727272734</v>
      </c>
      <c r="V2815" s="160">
        <f t="shared" si="478"/>
        <v>73</v>
      </c>
    </row>
    <row r="2816" spans="1:22" x14ac:dyDescent="0.25">
      <c r="A2816" s="98" t="s">
        <v>23</v>
      </c>
      <c r="B2816" s="98" t="s">
        <v>105</v>
      </c>
      <c r="C2816" s="98">
        <v>16</v>
      </c>
      <c r="D2816" s="98">
        <v>255</v>
      </c>
      <c r="E2816" s="157">
        <v>43217.930555555555</v>
      </c>
      <c r="F2816" s="157">
        <v>43218.03402777778</v>
      </c>
      <c r="G2816" s="98">
        <v>240</v>
      </c>
      <c r="H2816" s="98">
        <v>330</v>
      </c>
      <c r="I2816" s="98">
        <v>300</v>
      </c>
      <c r="J2816" s="98" t="s">
        <v>2124</v>
      </c>
      <c r="K2816" s="98" t="s">
        <v>4796</v>
      </c>
      <c r="L2816" s="105" t="str">
        <f t="shared" si="470"/>
        <v>Mill Creek</v>
      </c>
      <c r="M2816" s="105" t="str">
        <f t="shared" si="471"/>
        <v>Derate</v>
      </c>
      <c r="N2816" s="105" t="str">
        <f t="shared" si="472"/>
        <v>Coal</v>
      </c>
      <c r="O2816" s="105">
        <f>IFERROR(VLOOKUP(A2816,Lookup!$J$5:$P$19,7,FALSE),0)</f>
        <v>2</v>
      </c>
      <c r="P2816" s="159">
        <f t="shared" si="473"/>
        <v>2018</v>
      </c>
      <c r="Q2816" s="159">
        <f t="shared" si="474"/>
        <v>4</v>
      </c>
      <c r="R2816" s="160">
        <f t="shared" si="475"/>
        <v>2.4833333333954215</v>
      </c>
      <c r="S2816" s="158">
        <f t="shared" si="476"/>
        <v>0.67727272728966037</v>
      </c>
      <c r="T2816" s="161">
        <f t="shared" si="477"/>
        <v>203.18181818689811</v>
      </c>
      <c r="U2816" s="158">
        <f t="shared" si="479"/>
        <v>81.818181818181813</v>
      </c>
      <c r="V2816" s="160">
        <f t="shared" si="478"/>
        <v>82</v>
      </c>
    </row>
    <row r="2817" spans="1:22" x14ac:dyDescent="0.25">
      <c r="A2817" s="98" t="s">
        <v>23</v>
      </c>
      <c r="B2817" s="98" t="s">
        <v>105</v>
      </c>
      <c r="C2817" s="98">
        <v>17</v>
      </c>
      <c r="D2817" s="98">
        <v>255</v>
      </c>
      <c r="E2817" s="157">
        <v>43218.940972222219</v>
      </c>
      <c r="F2817" s="157">
        <v>43219.04583333333</v>
      </c>
      <c r="G2817" s="98">
        <v>240</v>
      </c>
      <c r="H2817" s="98">
        <v>330</v>
      </c>
      <c r="I2817" s="98">
        <v>300</v>
      </c>
      <c r="J2817" s="98" t="s">
        <v>2124</v>
      </c>
      <c r="K2817" s="98" t="s">
        <v>4797</v>
      </c>
      <c r="L2817" s="105" t="str">
        <f t="shared" si="470"/>
        <v>Mill Creek</v>
      </c>
      <c r="M2817" s="105" t="str">
        <f t="shared" si="471"/>
        <v>Derate</v>
      </c>
      <c r="N2817" s="105" t="str">
        <f t="shared" si="472"/>
        <v>Coal</v>
      </c>
      <c r="O2817" s="105">
        <f>IFERROR(VLOOKUP(A2817,Lookup!$J$5:$P$19,7,FALSE),0)</f>
        <v>2</v>
      </c>
      <c r="P2817" s="159">
        <f t="shared" si="473"/>
        <v>2018</v>
      </c>
      <c r="Q2817" s="159">
        <f t="shared" si="474"/>
        <v>4</v>
      </c>
      <c r="R2817" s="160">
        <f t="shared" si="475"/>
        <v>2.5166666666627862</v>
      </c>
      <c r="S2817" s="158">
        <f t="shared" si="476"/>
        <v>0.68636363636257802</v>
      </c>
      <c r="T2817" s="161">
        <f t="shared" si="477"/>
        <v>205.90909090877341</v>
      </c>
      <c r="U2817" s="158">
        <f t="shared" si="479"/>
        <v>81.818181818181813</v>
      </c>
      <c r="V2817" s="160">
        <f t="shared" si="478"/>
        <v>82</v>
      </c>
    </row>
    <row r="2818" spans="1:22" x14ac:dyDescent="0.25">
      <c r="A2818" s="98" t="s">
        <v>23</v>
      </c>
      <c r="B2818" s="98" t="s">
        <v>105</v>
      </c>
      <c r="C2818" s="98">
        <v>18</v>
      </c>
      <c r="D2818" s="98">
        <v>255</v>
      </c>
      <c r="E2818" s="157">
        <v>43219.934027777781</v>
      </c>
      <c r="F2818" s="157">
        <v>43220.040277777778</v>
      </c>
      <c r="G2818" s="98">
        <v>240</v>
      </c>
      <c r="H2818" s="98">
        <v>330</v>
      </c>
      <c r="I2818" s="98">
        <v>300</v>
      </c>
      <c r="J2818" s="98" t="s">
        <v>2124</v>
      </c>
      <c r="K2818" s="98" t="s">
        <v>4798</v>
      </c>
      <c r="L2818" s="105" t="str">
        <f t="shared" si="470"/>
        <v>Mill Creek</v>
      </c>
      <c r="M2818" s="105" t="str">
        <f t="shared" si="471"/>
        <v>Derate</v>
      </c>
      <c r="N2818" s="105" t="str">
        <f t="shared" si="472"/>
        <v>Coal</v>
      </c>
      <c r="O2818" s="105">
        <f>IFERROR(VLOOKUP(A2818,Lookup!$J$5:$P$19,7,FALSE),0)</f>
        <v>2</v>
      </c>
      <c r="P2818" s="159">
        <f t="shared" si="473"/>
        <v>2018</v>
      </c>
      <c r="Q2818" s="159">
        <f t="shared" si="474"/>
        <v>4</v>
      </c>
      <c r="R2818" s="160">
        <f t="shared" si="475"/>
        <v>2.5499999999301508</v>
      </c>
      <c r="S2818" s="158">
        <f t="shared" si="476"/>
        <v>0.69545454543549567</v>
      </c>
      <c r="T2818" s="161">
        <f t="shared" si="477"/>
        <v>208.6363636306487</v>
      </c>
      <c r="U2818" s="158">
        <f t="shared" si="479"/>
        <v>81.818181818181813</v>
      </c>
      <c r="V2818" s="160">
        <f t="shared" si="478"/>
        <v>82</v>
      </c>
    </row>
    <row r="2819" spans="1:22" x14ac:dyDescent="0.25">
      <c r="A2819" s="98" t="s">
        <v>35</v>
      </c>
      <c r="B2819" s="98" t="s">
        <v>20</v>
      </c>
      <c r="C2819" s="98">
        <v>1</v>
      </c>
      <c r="D2819" s="98">
        <v>1060</v>
      </c>
      <c r="E2819" s="157">
        <v>41279.084722222222</v>
      </c>
      <c r="F2819" s="157">
        <v>41280.449305555558</v>
      </c>
      <c r="G2819" s="98">
        <v>0</v>
      </c>
      <c r="H2819" s="98">
        <v>330</v>
      </c>
      <c r="I2819" s="98">
        <v>296</v>
      </c>
      <c r="J2819" s="98" t="s">
        <v>2179</v>
      </c>
      <c r="K2819" s="98" t="s">
        <v>620</v>
      </c>
      <c r="L2819" s="105" t="str">
        <f t="shared" si="470"/>
        <v>Mill Creek</v>
      </c>
      <c r="M2819" s="105" t="str">
        <f t="shared" si="471"/>
        <v>Maintenance</v>
      </c>
      <c r="N2819" s="105" t="str">
        <f t="shared" si="472"/>
        <v>Coal</v>
      </c>
      <c r="O2819" s="105">
        <f>IFERROR(VLOOKUP(A2819,Lookup!$J$5:$P$19,7,FALSE),0)</f>
        <v>2</v>
      </c>
      <c r="P2819" s="159">
        <f t="shared" si="473"/>
        <v>2013</v>
      </c>
      <c r="Q2819" s="159">
        <f t="shared" si="474"/>
        <v>1</v>
      </c>
      <c r="R2819" s="160">
        <f t="shared" si="475"/>
        <v>32.750000000058208</v>
      </c>
      <c r="S2819" s="158">
        <f t="shared" si="476"/>
        <v>32.750000000058208</v>
      </c>
      <c r="T2819" s="161">
        <f t="shared" si="477"/>
        <v>9694.0000000172295</v>
      </c>
      <c r="U2819" s="158">
        <f t="shared" si="479"/>
        <v>296</v>
      </c>
      <c r="V2819" s="160">
        <f t="shared" si="478"/>
        <v>296</v>
      </c>
    </row>
    <row r="2820" spans="1:22" x14ac:dyDescent="0.25">
      <c r="A2820" s="98" t="s">
        <v>35</v>
      </c>
      <c r="B2820" s="98" t="s">
        <v>79</v>
      </c>
      <c r="C2820" s="98">
        <v>2</v>
      </c>
      <c r="D2820" s="98">
        <v>1850</v>
      </c>
      <c r="E2820" s="157">
        <v>41280.449305555558</v>
      </c>
      <c r="F2820" s="157">
        <v>41280.84375</v>
      </c>
      <c r="G2820" s="98">
        <v>0</v>
      </c>
      <c r="H2820" s="98">
        <v>330</v>
      </c>
      <c r="I2820" s="98">
        <v>296</v>
      </c>
      <c r="J2820" s="98" t="s">
        <v>2263</v>
      </c>
      <c r="K2820" s="98" t="s">
        <v>86</v>
      </c>
      <c r="L2820" s="105" t="str">
        <f t="shared" si="470"/>
        <v>Mill Creek</v>
      </c>
      <c r="M2820" s="105" t="str">
        <f t="shared" si="471"/>
        <v>Other</v>
      </c>
      <c r="N2820" s="105" t="str">
        <f t="shared" si="472"/>
        <v>Coal</v>
      </c>
      <c r="O2820" s="105">
        <f>IFERROR(VLOOKUP(A2820,Lookup!$J$5:$P$19,7,FALSE),0)</f>
        <v>2</v>
      </c>
      <c r="P2820" s="159">
        <f t="shared" si="473"/>
        <v>2013</v>
      </c>
      <c r="Q2820" s="159">
        <f t="shared" si="474"/>
        <v>1</v>
      </c>
      <c r="R2820" s="160">
        <f t="shared" si="475"/>
        <v>9.46666666661622</v>
      </c>
      <c r="S2820" s="158">
        <f t="shared" si="476"/>
        <v>9.46666666661622</v>
      </c>
      <c r="T2820" s="161">
        <f t="shared" si="477"/>
        <v>2802.1333333184011</v>
      </c>
      <c r="U2820" s="158">
        <f t="shared" si="479"/>
        <v>296</v>
      </c>
      <c r="V2820" s="160">
        <f t="shared" si="478"/>
        <v>296</v>
      </c>
    </row>
    <row r="2821" spans="1:22" x14ac:dyDescent="0.25">
      <c r="A2821" s="98" t="s">
        <v>35</v>
      </c>
      <c r="B2821" s="98" t="s">
        <v>105</v>
      </c>
      <c r="C2821" s="98">
        <v>3</v>
      </c>
      <c r="D2821" s="98">
        <v>250</v>
      </c>
      <c r="E2821" s="157">
        <v>41281.979166666664</v>
      </c>
      <c r="F2821" s="157">
        <v>41282.17291666667</v>
      </c>
      <c r="G2821" s="98">
        <v>235</v>
      </c>
      <c r="H2821" s="98">
        <v>330</v>
      </c>
      <c r="I2821" s="98">
        <v>296</v>
      </c>
      <c r="J2821" s="98" t="s">
        <v>1978</v>
      </c>
      <c r="K2821" s="98" t="s">
        <v>621</v>
      </c>
      <c r="L2821" s="105" t="str">
        <f t="shared" si="470"/>
        <v>Mill Creek</v>
      </c>
      <c r="M2821" s="105" t="str">
        <f t="shared" si="471"/>
        <v>Derate</v>
      </c>
      <c r="N2821" s="105" t="str">
        <f t="shared" si="472"/>
        <v>Coal</v>
      </c>
      <c r="O2821" s="105">
        <f>IFERROR(VLOOKUP(A2821,Lookup!$J$5:$P$19,7,FALSE),0)</f>
        <v>2</v>
      </c>
      <c r="P2821" s="159">
        <f t="shared" si="473"/>
        <v>2013</v>
      </c>
      <c r="Q2821" s="159">
        <f t="shared" si="474"/>
        <v>1</v>
      </c>
      <c r="R2821" s="160">
        <f t="shared" si="475"/>
        <v>4.6500000001396984</v>
      </c>
      <c r="S2821" s="158">
        <f t="shared" si="476"/>
        <v>1.3386363636765799</v>
      </c>
      <c r="T2821" s="161">
        <f t="shared" si="477"/>
        <v>396.23636364826763</v>
      </c>
      <c r="U2821" s="158">
        <f t="shared" si="479"/>
        <v>85.212121212121218</v>
      </c>
      <c r="V2821" s="160">
        <f t="shared" si="478"/>
        <v>85</v>
      </c>
    </row>
    <row r="2822" spans="1:22" x14ac:dyDescent="0.25">
      <c r="A2822" s="98" t="s">
        <v>35</v>
      </c>
      <c r="B2822" s="98" t="s">
        <v>17</v>
      </c>
      <c r="C2822" s="98">
        <v>4</v>
      </c>
      <c r="D2822" s="98">
        <v>3661</v>
      </c>
      <c r="E2822" s="157">
        <v>41282.59375</v>
      </c>
      <c r="F2822" s="157">
        <v>41282.648611111108</v>
      </c>
      <c r="G2822" s="98">
        <v>180</v>
      </c>
      <c r="H2822" s="98">
        <v>330</v>
      </c>
      <c r="I2822" s="98">
        <v>296</v>
      </c>
      <c r="J2822" s="98" t="s">
        <v>2170</v>
      </c>
      <c r="K2822" s="98" t="s">
        <v>622</v>
      </c>
      <c r="L2822" s="105" t="str">
        <f t="shared" si="470"/>
        <v>Mill Creek</v>
      </c>
      <c r="M2822" s="105" t="str">
        <f t="shared" si="471"/>
        <v>Derate</v>
      </c>
      <c r="N2822" s="105" t="str">
        <f t="shared" si="472"/>
        <v>Coal</v>
      </c>
      <c r="O2822" s="105">
        <f>IFERROR(VLOOKUP(A2822,Lookup!$J$5:$P$19,7,FALSE),0)</f>
        <v>2</v>
      </c>
      <c r="P2822" s="159">
        <f t="shared" si="473"/>
        <v>2013</v>
      </c>
      <c r="Q2822" s="159">
        <f t="shared" si="474"/>
        <v>1</v>
      </c>
      <c r="R2822" s="160">
        <f t="shared" si="475"/>
        <v>1.316666666592937</v>
      </c>
      <c r="S2822" s="158">
        <f t="shared" si="476"/>
        <v>0.59848484845133498</v>
      </c>
      <c r="T2822" s="161">
        <f t="shared" si="477"/>
        <v>177.15151514159516</v>
      </c>
      <c r="U2822" s="158">
        <f t="shared" si="479"/>
        <v>134.54545454545453</v>
      </c>
      <c r="V2822" s="160">
        <f t="shared" si="478"/>
        <v>135</v>
      </c>
    </row>
    <row r="2823" spans="1:22" x14ac:dyDescent="0.25">
      <c r="A2823" s="98" t="s">
        <v>35</v>
      </c>
      <c r="B2823" s="98" t="s">
        <v>17</v>
      </c>
      <c r="C2823" s="98">
        <v>5</v>
      </c>
      <c r="D2823" s="98">
        <v>3661</v>
      </c>
      <c r="E2823" s="157">
        <v>41282.648611111108</v>
      </c>
      <c r="F2823" s="157">
        <v>41282.688888888886</v>
      </c>
      <c r="G2823" s="98">
        <v>240</v>
      </c>
      <c r="H2823" s="98">
        <v>330</v>
      </c>
      <c r="I2823" s="98">
        <v>296</v>
      </c>
      <c r="J2823" s="98" t="s">
        <v>2170</v>
      </c>
      <c r="K2823" s="98" t="s">
        <v>622</v>
      </c>
      <c r="L2823" s="105" t="str">
        <f t="shared" si="470"/>
        <v>Mill Creek</v>
      </c>
      <c r="M2823" s="105" t="str">
        <f t="shared" si="471"/>
        <v>Derate</v>
      </c>
      <c r="N2823" s="105" t="str">
        <f t="shared" si="472"/>
        <v>Coal</v>
      </c>
      <c r="O2823" s="105">
        <f>IFERROR(VLOOKUP(A2823,Lookup!$J$5:$P$19,7,FALSE),0)</f>
        <v>2</v>
      </c>
      <c r="P2823" s="159">
        <f t="shared" si="473"/>
        <v>2013</v>
      </c>
      <c r="Q2823" s="159">
        <f t="shared" si="474"/>
        <v>1</v>
      </c>
      <c r="R2823" s="160">
        <f t="shared" si="475"/>
        <v>0.96666666667442769</v>
      </c>
      <c r="S2823" s="158">
        <f t="shared" si="476"/>
        <v>0.26363636363848025</v>
      </c>
      <c r="T2823" s="161">
        <f t="shared" si="477"/>
        <v>78.03636363699016</v>
      </c>
      <c r="U2823" s="158">
        <f t="shared" si="479"/>
        <v>80.727272727272734</v>
      </c>
      <c r="V2823" s="160">
        <f t="shared" si="478"/>
        <v>81</v>
      </c>
    </row>
    <row r="2824" spans="1:22" x14ac:dyDescent="0.25">
      <c r="A2824" s="98" t="s">
        <v>35</v>
      </c>
      <c r="B2824" s="98" t="s">
        <v>105</v>
      </c>
      <c r="C2824" s="98">
        <v>6</v>
      </c>
      <c r="D2824" s="98">
        <v>250</v>
      </c>
      <c r="E2824" s="157">
        <v>41282.958333333336</v>
      </c>
      <c r="F2824" s="157">
        <v>41283.188194444447</v>
      </c>
      <c r="G2824" s="98">
        <v>235</v>
      </c>
      <c r="H2824" s="98">
        <v>330</v>
      </c>
      <c r="I2824" s="98">
        <v>296</v>
      </c>
      <c r="J2824" s="98" t="s">
        <v>1978</v>
      </c>
      <c r="K2824" s="98" t="s">
        <v>623</v>
      </c>
      <c r="L2824" s="105" t="str">
        <f t="shared" si="470"/>
        <v>Mill Creek</v>
      </c>
      <c r="M2824" s="105" t="str">
        <f t="shared" si="471"/>
        <v>Derate</v>
      </c>
      <c r="N2824" s="105" t="str">
        <f t="shared" si="472"/>
        <v>Coal</v>
      </c>
      <c r="O2824" s="105">
        <f>IFERROR(VLOOKUP(A2824,Lookup!$J$5:$P$19,7,FALSE),0)</f>
        <v>2</v>
      </c>
      <c r="P2824" s="159">
        <f t="shared" si="473"/>
        <v>2013</v>
      </c>
      <c r="Q2824" s="159">
        <f t="shared" si="474"/>
        <v>1</v>
      </c>
      <c r="R2824" s="160">
        <f t="shared" si="475"/>
        <v>5.5166666666627862</v>
      </c>
      <c r="S2824" s="158">
        <f t="shared" si="476"/>
        <v>1.588131313130196</v>
      </c>
      <c r="T2824" s="161">
        <f t="shared" si="477"/>
        <v>470.08686868653803</v>
      </c>
      <c r="U2824" s="158">
        <f t="shared" si="479"/>
        <v>85.212121212121218</v>
      </c>
      <c r="V2824" s="160">
        <f t="shared" si="478"/>
        <v>85</v>
      </c>
    </row>
    <row r="2825" spans="1:22" x14ac:dyDescent="0.25">
      <c r="A2825" s="98" t="s">
        <v>35</v>
      </c>
      <c r="B2825" s="98" t="s">
        <v>105</v>
      </c>
      <c r="C2825" s="98">
        <v>7</v>
      </c>
      <c r="D2825" s="98">
        <v>250</v>
      </c>
      <c r="E2825" s="157">
        <v>41283.986111111109</v>
      </c>
      <c r="F2825" s="157">
        <v>41284.111805555556</v>
      </c>
      <c r="G2825" s="98">
        <v>240</v>
      </c>
      <c r="H2825" s="98">
        <v>330</v>
      </c>
      <c r="I2825" s="98">
        <v>296</v>
      </c>
      <c r="J2825" s="98" t="s">
        <v>1978</v>
      </c>
      <c r="K2825" s="98" t="s">
        <v>624</v>
      </c>
      <c r="L2825" s="105" t="str">
        <f t="shared" si="470"/>
        <v>Mill Creek</v>
      </c>
      <c r="M2825" s="105" t="str">
        <f t="shared" si="471"/>
        <v>Derate</v>
      </c>
      <c r="N2825" s="105" t="str">
        <f t="shared" si="472"/>
        <v>Coal</v>
      </c>
      <c r="O2825" s="105">
        <f>IFERROR(VLOOKUP(A2825,Lookup!$J$5:$P$19,7,FALSE),0)</f>
        <v>2</v>
      </c>
      <c r="P2825" s="159">
        <f t="shared" si="473"/>
        <v>2013</v>
      </c>
      <c r="Q2825" s="159">
        <f t="shared" si="474"/>
        <v>1</v>
      </c>
      <c r="R2825" s="160">
        <f t="shared" si="475"/>
        <v>3.0166666667209938</v>
      </c>
      <c r="S2825" s="158">
        <f t="shared" si="476"/>
        <v>0.82272727274208923</v>
      </c>
      <c r="T2825" s="161">
        <f t="shared" si="477"/>
        <v>243.5272727316584</v>
      </c>
      <c r="U2825" s="158">
        <f t="shared" si="479"/>
        <v>80.727272727272734</v>
      </c>
      <c r="V2825" s="160">
        <f t="shared" si="478"/>
        <v>81</v>
      </c>
    </row>
    <row r="2826" spans="1:22" x14ac:dyDescent="0.25">
      <c r="A2826" s="98" t="s">
        <v>35</v>
      </c>
      <c r="B2826" s="98" t="s">
        <v>105</v>
      </c>
      <c r="C2826" s="98">
        <v>8</v>
      </c>
      <c r="D2826" s="98">
        <v>250</v>
      </c>
      <c r="E2826" s="157">
        <v>41284.958333333336</v>
      </c>
      <c r="F2826" s="157">
        <v>41285.193055555559</v>
      </c>
      <c r="G2826" s="98">
        <v>240</v>
      </c>
      <c r="H2826" s="98">
        <v>330</v>
      </c>
      <c r="I2826" s="98">
        <v>296</v>
      </c>
      <c r="J2826" s="98" t="s">
        <v>1978</v>
      </c>
      <c r="K2826" s="98" t="s">
        <v>625</v>
      </c>
      <c r="L2826" s="105" t="str">
        <f t="shared" si="470"/>
        <v>Mill Creek</v>
      </c>
      <c r="M2826" s="105" t="str">
        <f t="shared" si="471"/>
        <v>Derate</v>
      </c>
      <c r="N2826" s="105" t="str">
        <f t="shared" si="472"/>
        <v>Coal</v>
      </c>
      <c r="O2826" s="105">
        <f>IFERROR(VLOOKUP(A2826,Lookup!$J$5:$P$19,7,FALSE),0)</f>
        <v>2</v>
      </c>
      <c r="P2826" s="159">
        <f t="shared" si="473"/>
        <v>2013</v>
      </c>
      <c r="Q2826" s="159">
        <f t="shared" si="474"/>
        <v>1</v>
      </c>
      <c r="R2826" s="160">
        <f t="shared" si="475"/>
        <v>5.6333333333604969</v>
      </c>
      <c r="S2826" s="158">
        <f t="shared" si="476"/>
        <v>1.5363636363710447</v>
      </c>
      <c r="T2826" s="161">
        <f t="shared" si="477"/>
        <v>454.7636363658292</v>
      </c>
      <c r="U2826" s="158">
        <f t="shared" si="479"/>
        <v>80.727272727272734</v>
      </c>
      <c r="V2826" s="160">
        <f t="shared" si="478"/>
        <v>81</v>
      </c>
    </row>
    <row r="2827" spans="1:22" x14ac:dyDescent="0.25">
      <c r="A2827" s="98" t="s">
        <v>35</v>
      </c>
      <c r="B2827" s="98" t="s">
        <v>105</v>
      </c>
      <c r="C2827" s="98">
        <v>9</v>
      </c>
      <c r="D2827" s="98">
        <v>250</v>
      </c>
      <c r="E2827" s="157">
        <v>41287.958333333336</v>
      </c>
      <c r="F2827" s="157">
        <v>41288.065972222219</v>
      </c>
      <c r="G2827" s="98">
        <v>240</v>
      </c>
      <c r="H2827" s="98">
        <v>330</v>
      </c>
      <c r="I2827" s="98">
        <v>296</v>
      </c>
      <c r="J2827" s="98" t="s">
        <v>1978</v>
      </c>
      <c r="K2827" s="98" t="s">
        <v>626</v>
      </c>
      <c r="L2827" s="105" t="str">
        <f t="shared" si="470"/>
        <v>Mill Creek</v>
      </c>
      <c r="M2827" s="105" t="str">
        <f t="shared" si="471"/>
        <v>Derate</v>
      </c>
      <c r="N2827" s="105" t="str">
        <f t="shared" si="472"/>
        <v>Coal</v>
      </c>
      <c r="O2827" s="105">
        <f>IFERROR(VLOOKUP(A2827,Lookup!$J$5:$P$19,7,FALSE),0)</f>
        <v>2</v>
      </c>
      <c r="P2827" s="159">
        <f t="shared" si="473"/>
        <v>2013</v>
      </c>
      <c r="Q2827" s="159">
        <f t="shared" si="474"/>
        <v>1</v>
      </c>
      <c r="R2827" s="160">
        <f t="shared" si="475"/>
        <v>2.5833333331975155</v>
      </c>
      <c r="S2827" s="158">
        <f t="shared" si="476"/>
        <v>0.70454545450841333</v>
      </c>
      <c r="T2827" s="161">
        <f t="shared" si="477"/>
        <v>208.54545453449035</v>
      </c>
      <c r="U2827" s="158">
        <f t="shared" si="479"/>
        <v>80.727272727272734</v>
      </c>
      <c r="V2827" s="160">
        <f t="shared" si="478"/>
        <v>81</v>
      </c>
    </row>
    <row r="2828" spans="1:22" x14ac:dyDescent="0.25">
      <c r="A2828" s="98" t="s">
        <v>35</v>
      </c>
      <c r="B2828" s="98" t="s">
        <v>17</v>
      </c>
      <c r="C2828" s="98">
        <v>10</v>
      </c>
      <c r="D2828" s="98">
        <v>9270</v>
      </c>
      <c r="E2828" s="157">
        <v>41288.065972222219</v>
      </c>
      <c r="F2828" s="157">
        <v>41288.131944444445</v>
      </c>
      <c r="G2828" s="98">
        <v>120</v>
      </c>
      <c r="H2828" s="98">
        <v>330</v>
      </c>
      <c r="I2828" s="98">
        <v>296</v>
      </c>
      <c r="J2828" s="98" t="s">
        <v>2006</v>
      </c>
      <c r="K2828" s="98" t="s">
        <v>46</v>
      </c>
      <c r="L2828" s="105" t="str">
        <f t="shared" si="470"/>
        <v>Mill Creek</v>
      </c>
      <c r="M2828" s="105" t="str">
        <f t="shared" si="471"/>
        <v>Derate</v>
      </c>
      <c r="N2828" s="105" t="str">
        <f t="shared" si="472"/>
        <v>Coal</v>
      </c>
      <c r="O2828" s="105">
        <f>IFERROR(VLOOKUP(A2828,Lookup!$J$5:$P$19,7,FALSE),0)</f>
        <v>2</v>
      </c>
      <c r="P2828" s="159">
        <f t="shared" si="473"/>
        <v>2013</v>
      </c>
      <c r="Q2828" s="159">
        <f t="shared" si="474"/>
        <v>1</v>
      </c>
      <c r="R2828" s="160">
        <f t="shared" si="475"/>
        <v>1.5833333334303461</v>
      </c>
      <c r="S2828" s="158">
        <f t="shared" si="476"/>
        <v>1.0075757576374931</v>
      </c>
      <c r="T2828" s="161">
        <f t="shared" si="477"/>
        <v>298.24242426069793</v>
      </c>
      <c r="U2828" s="158">
        <f t="shared" si="479"/>
        <v>188.36363636363637</v>
      </c>
      <c r="V2828" s="160">
        <f t="shared" si="478"/>
        <v>188</v>
      </c>
    </row>
    <row r="2829" spans="1:22" x14ac:dyDescent="0.25">
      <c r="A2829" s="98" t="s">
        <v>35</v>
      </c>
      <c r="B2829" s="98" t="s">
        <v>17</v>
      </c>
      <c r="C2829" s="98">
        <v>11</v>
      </c>
      <c r="D2829" s="98">
        <v>9270</v>
      </c>
      <c r="E2829" s="157">
        <v>41288.131944444445</v>
      </c>
      <c r="F2829" s="157">
        <v>41288.253472222219</v>
      </c>
      <c r="G2829" s="98">
        <v>185</v>
      </c>
      <c r="H2829" s="98">
        <v>330</v>
      </c>
      <c r="I2829" s="98">
        <v>296</v>
      </c>
      <c r="J2829" s="98" t="s">
        <v>2006</v>
      </c>
      <c r="K2829" s="98" t="s">
        <v>46</v>
      </c>
      <c r="L2829" s="105" t="str">
        <f t="shared" si="470"/>
        <v>Mill Creek</v>
      </c>
      <c r="M2829" s="105" t="str">
        <f t="shared" si="471"/>
        <v>Derate</v>
      </c>
      <c r="N2829" s="105" t="str">
        <f t="shared" si="472"/>
        <v>Coal</v>
      </c>
      <c r="O2829" s="105">
        <f>IFERROR(VLOOKUP(A2829,Lookup!$J$5:$P$19,7,FALSE),0)</f>
        <v>2</v>
      </c>
      <c r="P2829" s="159">
        <f t="shared" si="473"/>
        <v>2013</v>
      </c>
      <c r="Q2829" s="159">
        <f t="shared" si="474"/>
        <v>1</v>
      </c>
      <c r="R2829" s="160">
        <f t="shared" si="475"/>
        <v>2.9166666665696539</v>
      </c>
      <c r="S2829" s="158">
        <f t="shared" si="476"/>
        <v>1.2815656565230298</v>
      </c>
      <c r="T2829" s="161">
        <f t="shared" si="477"/>
        <v>379.34343433081682</v>
      </c>
      <c r="U2829" s="158">
        <f t="shared" si="479"/>
        <v>130.06060606060606</v>
      </c>
      <c r="V2829" s="160">
        <f t="shared" si="478"/>
        <v>130</v>
      </c>
    </row>
    <row r="2830" spans="1:22" x14ac:dyDescent="0.25">
      <c r="A2830" s="98" t="s">
        <v>35</v>
      </c>
      <c r="B2830" s="98" t="s">
        <v>17</v>
      </c>
      <c r="C2830" s="98">
        <v>12</v>
      </c>
      <c r="D2830" s="98">
        <v>9270</v>
      </c>
      <c r="E2830" s="157">
        <v>41288.253472222219</v>
      </c>
      <c r="F2830" s="157">
        <v>41289.9</v>
      </c>
      <c r="G2830" s="98">
        <v>184</v>
      </c>
      <c r="H2830" s="98">
        <v>330</v>
      </c>
      <c r="I2830" s="98">
        <v>296</v>
      </c>
      <c r="J2830" s="98" t="s">
        <v>2006</v>
      </c>
      <c r="K2830" s="98" t="s">
        <v>46</v>
      </c>
      <c r="L2830" s="105" t="str">
        <f t="shared" si="470"/>
        <v>Mill Creek</v>
      </c>
      <c r="M2830" s="105" t="str">
        <f t="shared" si="471"/>
        <v>Derate</v>
      </c>
      <c r="N2830" s="105" t="str">
        <f t="shared" si="472"/>
        <v>Coal</v>
      </c>
      <c r="O2830" s="105">
        <f>IFERROR(VLOOKUP(A2830,Lookup!$J$5:$P$19,7,FALSE),0)</f>
        <v>2</v>
      </c>
      <c r="P2830" s="159">
        <f t="shared" si="473"/>
        <v>2013</v>
      </c>
      <c r="Q2830" s="159">
        <f t="shared" si="474"/>
        <v>1</v>
      </c>
      <c r="R2830" s="160">
        <f t="shared" si="475"/>
        <v>39.516666666779201</v>
      </c>
      <c r="S2830" s="158">
        <f t="shared" si="476"/>
        <v>17.483131313181101</v>
      </c>
      <c r="T2830" s="161">
        <f t="shared" si="477"/>
        <v>5175.0068687016055</v>
      </c>
      <c r="U2830" s="158">
        <f t="shared" si="479"/>
        <v>130.95757575757577</v>
      </c>
      <c r="V2830" s="160">
        <f t="shared" si="478"/>
        <v>131</v>
      </c>
    </row>
    <row r="2831" spans="1:22" x14ac:dyDescent="0.25">
      <c r="A2831" s="98" t="s">
        <v>35</v>
      </c>
      <c r="B2831" s="98" t="s">
        <v>15</v>
      </c>
      <c r="C2831" s="98">
        <v>13</v>
      </c>
      <c r="D2831" s="98">
        <v>3235</v>
      </c>
      <c r="E2831" s="157">
        <v>41289.9</v>
      </c>
      <c r="F2831" s="157">
        <v>41291.109027777777</v>
      </c>
      <c r="G2831" s="98">
        <v>0</v>
      </c>
      <c r="H2831" s="98">
        <v>330</v>
      </c>
      <c r="I2831" s="98">
        <v>296</v>
      </c>
      <c r="J2831" s="98" t="s">
        <v>2745</v>
      </c>
      <c r="K2831" s="98" t="s">
        <v>627</v>
      </c>
      <c r="L2831" s="105" t="str">
        <f t="shared" si="470"/>
        <v>Mill Creek</v>
      </c>
      <c r="M2831" s="105" t="str">
        <f t="shared" si="471"/>
        <v>Outage</v>
      </c>
      <c r="N2831" s="105" t="str">
        <f t="shared" si="472"/>
        <v>Coal</v>
      </c>
      <c r="O2831" s="105">
        <f>IFERROR(VLOOKUP(A2831,Lookup!$J$5:$P$19,7,FALSE),0)</f>
        <v>2</v>
      </c>
      <c r="P2831" s="159">
        <f t="shared" si="473"/>
        <v>2013</v>
      </c>
      <c r="Q2831" s="159">
        <f t="shared" si="474"/>
        <v>1</v>
      </c>
      <c r="R2831" s="160">
        <f t="shared" si="475"/>
        <v>29.016666666604578</v>
      </c>
      <c r="S2831" s="158">
        <f t="shared" si="476"/>
        <v>29.016666666604578</v>
      </c>
      <c r="T2831" s="161">
        <f t="shared" si="477"/>
        <v>8588.9333333149552</v>
      </c>
      <c r="U2831" s="158">
        <f t="shared" si="479"/>
        <v>296</v>
      </c>
      <c r="V2831" s="160">
        <f t="shared" si="478"/>
        <v>296</v>
      </c>
    </row>
    <row r="2832" spans="1:22" x14ac:dyDescent="0.25">
      <c r="A2832" s="98" t="s">
        <v>35</v>
      </c>
      <c r="B2832" s="98" t="s">
        <v>79</v>
      </c>
      <c r="C2832" s="98">
        <v>14</v>
      </c>
      <c r="D2832" s="98">
        <v>1850</v>
      </c>
      <c r="E2832" s="157">
        <v>41291.109027777777</v>
      </c>
      <c r="F2832" s="157">
        <v>41291.361111111109</v>
      </c>
      <c r="G2832" s="98">
        <v>0</v>
      </c>
      <c r="H2832" s="98">
        <v>330</v>
      </c>
      <c r="I2832" s="98">
        <v>296</v>
      </c>
      <c r="J2832" s="98" t="s">
        <v>2263</v>
      </c>
      <c r="K2832" s="98" t="s">
        <v>86</v>
      </c>
      <c r="L2832" s="105" t="str">
        <f t="shared" si="470"/>
        <v>Mill Creek</v>
      </c>
      <c r="M2832" s="105" t="str">
        <f t="shared" si="471"/>
        <v>Other</v>
      </c>
      <c r="N2832" s="105" t="str">
        <f t="shared" si="472"/>
        <v>Coal</v>
      </c>
      <c r="O2832" s="105">
        <f>IFERROR(VLOOKUP(A2832,Lookup!$J$5:$P$19,7,FALSE),0)</f>
        <v>2</v>
      </c>
      <c r="P2832" s="159">
        <f t="shared" si="473"/>
        <v>2013</v>
      </c>
      <c r="Q2832" s="159">
        <f t="shared" si="474"/>
        <v>1</v>
      </c>
      <c r="R2832" s="160">
        <f t="shared" si="475"/>
        <v>6.0499999999883585</v>
      </c>
      <c r="S2832" s="158">
        <f t="shared" si="476"/>
        <v>6.0499999999883585</v>
      </c>
      <c r="T2832" s="161">
        <f t="shared" si="477"/>
        <v>1790.7999999965541</v>
      </c>
      <c r="U2832" s="158">
        <f t="shared" si="479"/>
        <v>296</v>
      </c>
      <c r="V2832" s="160">
        <f t="shared" si="478"/>
        <v>296</v>
      </c>
    </row>
    <row r="2833" spans="1:22" x14ac:dyDescent="0.25">
      <c r="A2833" s="98" t="s">
        <v>35</v>
      </c>
      <c r="B2833" s="98" t="s">
        <v>17</v>
      </c>
      <c r="C2833" s="98">
        <v>15</v>
      </c>
      <c r="D2833" s="98">
        <v>9270</v>
      </c>
      <c r="E2833" s="157">
        <v>41291.361111111109</v>
      </c>
      <c r="F2833" s="157">
        <v>41291.536805555559</v>
      </c>
      <c r="G2833" s="98">
        <v>200</v>
      </c>
      <c r="H2833" s="98">
        <v>330</v>
      </c>
      <c r="I2833" s="98">
        <v>296</v>
      </c>
      <c r="J2833" s="98" t="s">
        <v>2006</v>
      </c>
      <c r="K2833" s="98" t="s">
        <v>46</v>
      </c>
      <c r="L2833" s="105" t="str">
        <f t="shared" si="470"/>
        <v>Mill Creek</v>
      </c>
      <c r="M2833" s="105" t="str">
        <f t="shared" si="471"/>
        <v>Derate</v>
      </c>
      <c r="N2833" s="105" t="str">
        <f t="shared" si="472"/>
        <v>Coal</v>
      </c>
      <c r="O2833" s="105">
        <f>IFERROR(VLOOKUP(A2833,Lookup!$J$5:$P$19,7,FALSE),0)</f>
        <v>2</v>
      </c>
      <c r="P2833" s="159">
        <f t="shared" si="473"/>
        <v>2013</v>
      </c>
      <c r="Q2833" s="159">
        <f t="shared" si="474"/>
        <v>1</v>
      </c>
      <c r="R2833" s="160">
        <f t="shared" si="475"/>
        <v>4.216666666790843</v>
      </c>
      <c r="S2833" s="158">
        <f t="shared" si="476"/>
        <v>1.661111111160029</v>
      </c>
      <c r="T2833" s="161">
        <f t="shared" si="477"/>
        <v>491.68888890336859</v>
      </c>
      <c r="U2833" s="158">
        <f t="shared" si="479"/>
        <v>116.60606060606061</v>
      </c>
      <c r="V2833" s="160">
        <f t="shared" si="478"/>
        <v>117</v>
      </c>
    </row>
    <row r="2834" spans="1:22" x14ac:dyDescent="0.25">
      <c r="A2834" s="98" t="s">
        <v>35</v>
      </c>
      <c r="B2834" s="98" t="s">
        <v>17</v>
      </c>
      <c r="C2834" s="98">
        <v>16</v>
      </c>
      <c r="D2834" s="98">
        <v>9270</v>
      </c>
      <c r="E2834" s="157">
        <v>41291.615972222222</v>
      </c>
      <c r="F2834" s="157">
        <v>41291.631944444445</v>
      </c>
      <c r="G2834" s="98">
        <v>250</v>
      </c>
      <c r="H2834" s="98">
        <v>330</v>
      </c>
      <c r="I2834" s="98">
        <v>296</v>
      </c>
      <c r="J2834" s="98" t="s">
        <v>2006</v>
      </c>
      <c r="K2834" s="98" t="s">
        <v>628</v>
      </c>
      <c r="L2834" s="105" t="str">
        <f t="shared" si="470"/>
        <v>Mill Creek</v>
      </c>
      <c r="M2834" s="105" t="str">
        <f t="shared" si="471"/>
        <v>Derate</v>
      </c>
      <c r="N2834" s="105" t="str">
        <f t="shared" si="472"/>
        <v>Coal</v>
      </c>
      <c r="O2834" s="105">
        <f>IFERROR(VLOOKUP(A2834,Lookup!$J$5:$P$19,7,FALSE),0)</f>
        <v>2</v>
      </c>
      <c r="P2834" s="159">
        <f t="shared" si="473"/>
        <v>2013</v>
      </c>
      <c r="Q2834" s="159">
        <f t="shared" si="474"/>
        <v>1</v>
      </c>
      <c r="R2834" s="160">
        <f t="shared" si="475"/>
        <v>0.38333333336049691</v>
      </c>
      <c r="S2834" s="158">
        <f t="shared" si="476"/>
        <v>9.2929292935878038E-2</v>
      </c>
      <c r="T2834" s="161">
        <f t="shared" si="477"/>
        <v>27.507070709019899</v>
      </c>
      <c r="U2834" s="158">
        <f t="shared" si="479"/>
        <v>71.757575757575751</v>
      </c>
      <c r="V2834" s="160">
        <f t="shared" si="478"/>
        <v>72</v>
      </c>
    </row>
    <row r="2835" spans="1:22" x14ac:dyDescent="0.25">
      <c r="A2835" s="98" t="s">
        <v>35</v>
      </c>
      <c r="B2835" s="98" t="s">
        <v>17</v>
      </c>
      <c r="C2835" s="98">
        <v>17</v>
      </c>
      <c r="D2835" s="98">
        <v>250</v>
      </c>
      <c r="E2835" s="162">
        <v>41292.194444444445</v>
      </c>
      <c r="F2835" s="157">
        <v>41292.36041666667</v>
      </c>
      <c r="G2835" s="98">
        <v>240</v>
      </c>
      <c r="H2835" s="98">
        <v>330</v>
      </c>
      <c r="I2835" s="98">
        <v>296</v>
      </c>
      <c r="J2835" s="98" t="s">
        <v>1978</v>
      </c>
      <c r="K2835" s="98" t="s">
        <v>629</v>
      </c>
      <c r="L2835" s="105" t="str">
        <f t="shared" si="470"/>
        <v>Mill Creek</v>
      </c>
      <c r="M2835" s="105" t="str">
        <f t="shared" si="471"/>
        <v>Derate</v>
      </c>
      <c r="N2835" s="105" t="str">
        <f t="shared" si="472"/>
        <v>Coal</v>
      </c>
      <c r="O2835" s="105">
        <f>IFERROR(VLOOKUP(A2835,Lookup!$J$5:$P$19,7,FALSE),0)</f>
        <v>2</v>
      </c>
      <c r="P2835" s="159">
        <f t="shared" si="473"/>
        <v>2013</v>
      </c>
      <c r="Q2835" s="159">
        <f t="shared" si="474"/>
        <v>1</v>
      </c>
      <c r="R2835" s="160">
        <f t="shared" si="475"/>
        <v>3.9833333333954215</v>
      </c>
      <c r="S2835" s="158">
        <f t="shared" si="476"/>
        <v>1.0863636363805695</v>
      </c>
      <c r="T2835" s="161">
        <f t="shared" si="477"/>
        <v>321.56363636864859</v>
      </c>
      <c r="U2835" s="158">
        <f t="shared" si="479"/>
        <v>80.727272727272734</v>
      </c>
      <c r="V2835" s="160">
        <f t="shared" si="478"/>
        <v>81</v>
      </c>
    </row>
    <row r="2836" spans="1:22" x14ac:dyDescent="0.25">
      <c r="A2836" s="98" t="s">
        <v>35</v>
      </c>
      <c r="B2836" s="98" t="s">
        <v>17</v>
      </c>
      <c r="C2836" s="98">
        <v>18</v>
      </c>
      <c r="D2836" s="98">
        <v>4261</v>
      </c>
      <c r="E2836" s="157">
        <v>41296.790277777778</v>
      </c>
      <c r="F2836" s="157">
        <v>41296.833333333336</v>
      </c>
      <c r="G2836" s="98">
        <v>300</v>
      </c>
      <c r="H2836" s="98">
        <v>330</v>
      </c>
      <c r="I2836" s="98">
        <v>296</v>
      </c>
      <c r="J2836" s="98" t="s">
        <v>1985</v>
      </c>
      <c r="K2836" s="98" t="s">
        <v>630</v>
      </c>
      <c r="L2836" s="105" t="str">
        <f t="shared" si="470"/>
        <v>Mill Creek</v>
      </c>
      <c r="M2836" s="105" t="str">
        <f t="shared" si="471"/>
        <v>Derate</v>
      </c>
      <c r="N2836" s="105" t="str">
        <f t="shared" si="472"/>
        <v>Coal</v>
      </c>
      <c r="O2836" s="105">
        <f>IFERROR(VLOOKUP(A2836,Lookup!$J$5:$P$19,7,FALSE),0)</f>
        <v>2</v>
      </c>
      <c r="P2836" s="159">
        <f t="shared" si="473"/>
        <v>2013</v>
      </c>
      <c r="Q2836" s="159">
        <f t="shared" si="474"/>
        <v>1</v>
      </c>
      <c r="R2836" s="160">
        <f t="shared" si="475"/>
        <v>1.03333333338378</v>
      </c>
      <c r="S2836" s="158">
        <f t="shared" si="476"/>
        <v>9.3939393943980001E-2</v>
      </c>
      <c r="T2836" s="161">
        <f t="shared" si="477"/>
        <v>27.806060607418079</v>
      </c>
      <c r="U2836" s="158">
        <f t="shared" si="479"/>
        <v>26.90909090909091</v>
      </c>
      <c r="V2836" s="160">
        <f t="shared" si="478"/>
        <v>27</v>
      </c>
    </row>
    <row r="2837" spans="1:22" x14ac:dyDescent="0.25">
      <c r="A2837" s="98" t="s">
        <v>35</v>
      </c>
      <c r="B2837" s="98" t="s">
        <v>17</v>
      </c>
      <c r="C2837" s="98">
        <v>19</v>
      </c>
      <c r="D2837" s="98">
        <v>4261</v>
      </c>
      <c r="E2837" s="157">
        <v>41296.833333333336</v>
      </c>
      <c r="F2837" s="157">
        <v>41297.0625</v>
      </c>
      <c r="G2837" s="98">
        <v>225</v>
      </c>
      <c r="H2837" s="98">
        <v>330</v>
      </c>
      <c r="I2837" s="98">
        <v>296</v>
      </c>
      <c r="J2837" s="98" t="s">
        <v>1985</v>
      </c>
      <c r="K2837" s="98" t="s">
        <v>631</v>
      </c>
      <c r="L2837" s="105" t="str">
        <f t="shared" si="470"/>
        <v>Mill Creek</v>
      </c>
      <c r="M2837" s="105" t="str">
        <f t="shared" si="471"/>
        <v>Derate</v>
      </c>
      <c r="N2837" s="105" t="str">
        <f t="shared" si="472"/>
        <v>Coal</v>
      </c>
      <c r="O2837" s="105">
        <f>IFERROR(VLOOKUP(A2837,Lookup!$J$5:$P$19,7,FALSE),0)</f>
        <v>2</v>
      </c>
      <c r="P2837" s="159">
        <f t="shared" si="473"/>
        <v>2013</v>
      </c>
      <c r="Q2837" s="159">
        <f t="shared" si="474"/>
        <v>1</v>
      </c>
      <c r="R2837" s="160">
        <f t="shared" si="475"/>
        <v>5.4999999999417923</v>
      </c>
      <c r="S2837" s="158">
        <f t="shared" si="476"/>
        <v>1.7499999999814795</v>
      </c>
      <c r="T2837" s="161">
        <f t="shared" si="477"/>
        <v>517.99999999451791</v>
      </c>
      <c r="U2837" s="158">
        <f t="shared" si="479"/>
        <v>94.181818181818187</v>
      </c>
      <c r="V2837" s="160">
        <f t="shared" si="478"/>
        <v>94</v>
      </c>
    </row>
    <row r="2838" spans="1:22" x14ac:dyDescent="0.25">
      <c r="A2838" s="98" t="s">
        <v>35</v>
      </c>
      <c r="B2838" s="98" t="s">
        <v>105</v>
      </c>
      <c r="C2838" s="98">
        <v>20</v>
      </c>
      <c r="D2838" s="98">
        <v>310</v>
      </c>
      <c r="E2838" s="157">
        <v>41301.916666666664</v>
      </c>
      <c r="F2838" s="157">
        <v>41302.22152777778</v>
      </c>
      <c r="G2838" s="98">
        <v>230</v>
      </c>
      <c r="H2838" s="98">
        <v>330</v>
      </c>
      <c r="I2838" s="98">
        <v>296</v>
      </c>
      <c r="J2838" s="98" t="s">
        <v>1966</v>
      </c>
      <c r="K2838" s="98" t="s">
        <v>632</v>
      </c>
      <c r="L2838" s="105" t="str">
        <f t="shared" si="470"/>
        <v>Mill Creek</v>
      </c>
      <c r="M2838" s="105" t="str">
        <f t="shared" si="471"/>
        <v>Derate</v>
      </c>
      <c r="N2838" s="105" t="str">
        <f t="shared" si="472"/>
        <v>Coal</v>
      </c>
      <c r="O2838" s="105">
        <f>IFERROR(VLOOKUP(A2838,Lookup!$J$5:$P$19,7,FALSE),0)</f>
        <v>2</v>
      </c>
      <c r="P2838" s="159">
        <f t="shared" si="473"/>
        <v>2013</v>
      </c>
      <c r="Q2838" s="159">
        <f t="shared" si="474"/>
        <v>1</v>
      </c>
      <c r="R2838" s="160">
        <f t="shared" si="475"/>
        <v>7.3166666667675599</v>
      </c>
      <c r="S2838" s="158">
        <f t="shared" si="476"/>
        <v>2.2171717172022909</v>
      </c>
      <c r="T2838" s="161">
        <f t="shared" si="477"/>
        <v>656.2828282918781</v>
      </c>
      <c r="U2838" s="158">
        <f t="shared" si="479"/>
        <v>89.696969696969703</v>
      </c>
      <c r="V2838" s="160">
        <f t="shared" si="478"/>
        <v>90</v>
      </c>
    </row>
    <row r="2839" spans="1:22" x14ac:dyDescent="0.25">
      <c r="A2839" s="98" t="s">
        <v>35</v>
      </c>
      <c r="B2839" s="98" t="s">
        <v>79</v>
      </c>
      <c r="C2839" s="98">
        <v>21</v>
      </c>
      <c r="D2839" s="98">
        <v>1160</v>
      </c>
      <c r="E2839" s="157">
        <v>41310.923611111109</v>
      </c>
      <c r="F2839" s="157">
        <v>41311.140277777777</v>
      </c>
      <c r="G2839" s="98">
        <v>0</v>
      </c>
      <c r="H2839" s="98">
        <v>330</v>
      </c>
      <c r="I2839" s="98">
        <v>296</v>
      </c>
      <c r="J2839" s="98" t="s">
        <v>2273</v>
      </c>
      <c r="K2839" s="98" t="s">
        <v>51</v>
      </c>
      <c r="L2839" s="105" t="str">
        <f t="shared" si="470"/>
        <v>Mill Creek</v>
      </c>
      <c r="M2839" s="105" t="str">
        <f t="shared" si="471"/>
        <v>Other</v>
      </c>
      <c r="N2839" s="105" t="str">
        <f t="shared" si="472"/>
        <v>Coal</v>
      </c>
      <c r="O2839" s="105">
        <f>IFERROR(VLOOKUP(A2839,Lookup!$J$5:$P$19,7,FALSE),0)</f>
        <v>2</v>
      </c>
      <c r="P2839" s="159">
        <f t="shared" si="473"/>
        <v>2013</v>
      </c>
      <c r="Q2839" s="159">
        <f t="shared" si="474"/>
        <v>2</v>
      </c>
      <c r="R2839" s="160">
        <f t="shared" si="475"/>
        <v>5.2000000000116415</v>
      </c>
      <c r="S2839" s="158">
        <f t="shared" si="476"/>
        <v>5.2000000000116415</v>
      </c>
      <c r="T2839" s="161">
        <f t="shared" si="477"/>
        <v>1539.2000000034459</v>
      </c>
      <c r="U2839" s="158">
        <f t="shared" si="479"/>
        <v>296</v>
      </c>
      <c r="V2839" s="160">
        <f t="shared" si="478"/>
        <v>296</v>
      </c>
    </row>
    <row r="2840" spans="1:22" x14ac:dyDescent="0.25">
      <c r="A2840" s="98" t="s">
        <v>35</v>
      </c>
      <c r="B2840" s="98" t="s">
        <v>79</v>
      </c>
      <c r="C2840" s="98">
        <v>22</v>
      </c>
      <c r="D2840" s="98">
        <v>1160</v>
      </c>
      <c r="E2840" s="157">
        <v>41311.926388888889</v>
      </c>
      <c r="F2840" s="157">
        <v>41312.191666666666</v>
      </c>
      <c r="G2840" s="98">
        <v>0</v>
      </c>
      <c r="H2840" s="98">
        <v>330</v>
      </c>
      <c r="I2840" s="98">
        <v>296</v>
      </c>
      <c r="J2840" s="98" t="s">
        <v>2273</v>
      </c>
      <c r="K2840" s="98" t="s">
        <v>51</v>
      </c>
      <c r="L2840" s="105" t="str">
        <f t="shared" si="470"/>
        <v>Mill Creek</v>
      </c>
      <c r="M2840" s="105" t="str">
        <f t="shared" si="471"/>
        <v>Other</v>
      </c>
      <c r="N2840" s="105" t="str">
        <f t="shared" si="472"/>
        <v>Coal</v>
      </c>
      <c r="O2840" s="105">
        <f>IFERROR(VLOOKUP(A2840,Lookup!$J$5:$P$19,7,FALSE),0)</f>
        <v>2</v>
      </c>
      <c r="P2840" s="159">
        <f t="shared" si="473"/>
        <v>2013</v>
      </c>
      <c r="Q2840" s="159">
        <f t="shared" si="474"/>
        <v>2</v>
      </c>
      <c r="R2840" s="160">
        <f t="shared" si="475"/>
        <v>6.3666666666395031</v>
      </c>
      <c r="S2840" s="158">
        <f t="shared" si="476"/>
        <v>6.3666666666395031</v>
      </c>
      <c r="T2840" s="161">
        <f t="shared" si="477"/>
        <v>1884.5333333252929</v>
      </c>
      <c r="U2840" s="158">
        <f t="shared" si="479"/>
        <v>296</v>
      </c>
      <c r="V2840" s="160">
        <f t="shared" si="478"/>
        <v>296</v>
      </c>
    </row>
    <row r="2841" spans="1:22" x14ac:dyDescent="0.25">
      <c r="A2841" s="98" t="s">
        <v>35</v>
      </c>
      <c r="B2841" s="98" t="s">
        <v>17</v>
      </c>
      <c r="C2841" s="98">
        <v>23</v>
      </c>
      <c r="D2841" s="98">
        <v>310</v>
      </c>
      <c r="E2841" s="157">
        <v>41312.555555555555</v>
      </c>
      <c r="F2841" s="157">
        <v>41312.694444444445</v>
      </c>
      <c r="G2841" s="98">
        <v>240</v>
      </c>
      <c r="H2841" s="98">
        <v>330</v>
      </c>
      <c r="I2841" s="98">
        <v>296</v>
      </c>
      <c r="J2841" s="98" t="s">
        <v>1966</v>
      </c>
      <c r="K2841" s="98" t="s">
        <v>633</v>
      </c>
      <c r="L2841" s="105" t="str">
        <f t="shared" si="470"/>
        <v>Mill Creek</v>
      </c>
      <c r="M2841" s="105" t="str">
        <f t="shared" si="471"/>
        <v>Derate</v>
      </c>
      <c r="N2841" s="105" t="str">
        <f t="shared" si="472"/>
        <v>Coal</v>
      </c>
      <c r="O2841" s="105">
        <f>IFERROR(VLOOKUP(A2841,Lookup!$J$5:$P$19,7,FALSE),0)</f>
        <v>2</v>
      </c>
      <c r="P2841" s="159">
        <f t="shared" si="473"/>
        <v>2013</v>
      </c>
      <c r="Q2841" s="159">
        <f t="shared" si="474"/>
        <v>2</v>
      </c>
      <c r="R2841" s="160">
        <f t="shared" si="475"/>
        <v>3.3333333333721384</v>
      </c>
      <c r="S2841" s="158">
        <f t="shared" si="476"/>
        <v>0.90909090910149226</v>
      </c>
      <c r="T2841" s="161">
        <f t="shared" si="477"/>
        <v>269.09090909404171</v>
      </c>
      <c r="U2841" s="158">
        <f t="shared" si="479"/>
        <v>80.727272727272734</v>
      </c>
      <c r="V2841" s="160">
        <f t="shared" si="478"/>
        <v>81</v>
      </c>
    </row>
    <row r="2842" spans="1:22" x14ac:dyDescent="0.25">
      <c r="A2842" s="98" t="s">
        <v>35</v>
      </c>
      <c r="B2842" s="98" t="s">
        <v>79</v>
      </c>
      <c r="C2842" s="98">
        <v>24</v>
      </c>
      <c r="D2842" s="98">
        <v>310</v>
      </c>
      <c r="E2842" s="157">
        <v>41317</v>
      </c>
      <c r="F2842" s="157">
        <v>41317.027083333334</v>
      </c>
      <c r="G2842" s="98">
        <v>0</v>
      </c>
      <c r="H2842" s="98">
        <v>330</v>
      </c>
      <c r="I2842" s="98">
        <v>296</v>
      </c>
      <c r="J2842" s="98" t="s">
        <v>1966</v>
      </c>
      <c r="K2842" s="98" t="s">
        <v>634</v>
      </c>
      <c r="L2842" s="105" t="str">
        <f t="shared" si="470"/>
        <v>Mill Creek</v>
      </c>
      <c r="M2842" s="105" t="str">
        <f t="shared" si="471"/>
        <v>Other</v>
      </c>
      <c r="N2842" s="105" t="str">
        <f t="shared" si="472"/>
        <v>Coal</v>
      </c>
      <c r="O2842" s="105">
        <f>IFERROR(VLOOKUP(A2842,Lookup!$J$5:$P$19,7,FALSE),0)</f>
        <v>2</v>
      </c>
      <c r="P2842" s="159">
        <f t="shared" si="473"/>
        <v>2013</v>
      </c>
      <c r="Q2842" s="159">
        <f t="shared" si="474"/>
        <v>2</v>
      </c>
      <c r="R2842" s="160">
        <f t="shared" si="475"/>
        <v>0.65000000002328306</v>
      </c>
      <c r="S2842" s="158">
        <f t="shared" si="476"/>
        <v>0.65000000002328306</v>
      </c>
      <c r="T2842" s="161">
        <f t="shared" si="477"/>
        <v>192.40000000689179</v>
      </c>
      <c r="U2842" s="158">
        <f t="shared" si="479"/>
        <v>296</v>
      </c>
      <c r="V2842" s="160">
        <f t="shared" si="478"/>
        <v>296</v>
      </c>
    </row>
    <row r="2843" spans="1:22" x14ac:dyDescent="0.25">
      <c r="A2843" s="98" t="s">
        <v>35</v>
      </c>
      <c r="B2843" s="98" t="s">
        <v>105</v>
      </c>
      <c r="C2843" s="98">
        <v>25</v>
      </c>
      <c r="D2843" s="98">
        <v>310</v>
      </c>
      <c r="E2843" s="157">
        <v>41318.939583333333</v>
      </c>
      <c r="F2843" s="157">
        <v>41319.085416666669</v>
      </c>
      <c r="G2843" s="98">
        <v>240</v>
      </c>
      <c r="H2843" s="98">
        <v>330</v>
      </c>
      <c r="I2843" s="98">
        <v>296</v>
      </c>
      <c r="J2843" s="98" t="s">
        <v>1966</v>
      </c>
      <c r="K2843" s="98" t="s">
        <v>635</v>
      </c>
      <c r="L2843" s="105" t="str">
        <f t="shared" si="470"/>
        <v>Mill Creek</v>
      </c>
      <c r="M2843" s="105" t="str">
        <f t="shared" si="471"/>
        <v>Derate</v>
      </c>
      <c r="N2843" s="105" t="str">
        <f t="shared" si="472"/>
        <v>Coal</v>
      </c>
      <c r="O2843" s="105">
        <f>IFERROR(VLOOKUP(A2843,Lookup!$J$5:$P$19,7,FALSE),0)</f>
        <v>2</v>
      </c>
      <c r="P2843" s="159">
        <f t="shared" si="473"/>
        <v>2013</v>
      </c>
      <c r="Q2843" s="159">
        <f t="shared" si="474"/>
        <v>2</v>
      </c>
      <c r="R2843" s="160">
        <f t="shared" si="475"/>
        <v>3.5000000000582077</v>
      </c>
      <c r="S2843" s="158">
        <f t="shared" si="476"/>
        <v>0.95454545456132933</v>
      </c>
      <c r="T2843" s="161">
        <f t="shared" si="477"/>
        <v>282.54545455015347</v>
      </c>
      <c r="U2843" s="158">
        <f t="shared" si="479"/>
        <v>80.727272727272734</v>
      </c>
      <c r="V2843" s="160">
        <f t="shared" si="478"/>
        <v>81</v>
      </c>
    </row>
    <row r="2844" spans="1:22" x14ac:dyDescent="0.25">
      <c r="A2844" s="98" t="s">
        <v>35</v>
      </c>
      <c r="B2844" s="98" t="s">
        <v>105</v>
      </c>
      <c r="C2844" s="98">
        <v>26</v>
      </c>
      <c r="D2844" s="98">
        <v>310</v>
      </c>
      <c r="E2844" s="157">
        <v>41322.930555555555</v>
      </c>
      <c r="F2844" s="157">
        <v>41323.130555555559</v>
      </c>
      <c r="G2844" s="98">
        <v>230</v>
      </c>
      <c r="H2844" s="98">
        <v>330</v>
      </c>
      <c r="I2844" s="98">
        <v>296</v>
      </c>
      <c r="J2844" s="98" t="s">
        <v>1966</v>
      </c>
      <c r="K2844" s="98" t="s">
        <v>636</v>
      </c>
      <c r="L2844" s="105" t="str">
        <f t="shared" si="470"/>
        <v>Mill Creek</v>
      </c>
      <c r="M2844" s="105" t="str">
        <f t="shared" si="471"/>
        <v>Derate</v>
      </c>
      <c r="N2844" s="105" t="str">
        <f t="shared" si="472"/>
        <v>Coal</v>
      </c>
      <c r="O2844" s="105">
        <f>IFERROR(VLOOKUP(A2844,Lookup!$J$5:$P$19,7,FALSE),0)</f>
        <v>2</v>
      </c>
      <c r="P2844" s="159">
        <f t="shared" si="473"/>
        <v>2013</v>
      </c>
      <c r="Q2844" s="159">
        <f t="shared" si="474"/>
        <v>2</v>
      </c>
      <c r="R2844" s="160">
        <f t="shared" si="475"/>
        <v>4.8000000001047738</v>
      </c>
      <c r="S2844" s="158">
        <f t="shared" si="476"/>
        <v>1.4545454545772041</v>
      </c>
      <c r="T2844" s="161">
        <f t="shared" si="477"/>
        <v>430.54545455485243</v>
      </c>
      <c r="U2844" s="158">
        <f t="shared" si="479"/>
        <v>89.696969696969703</v>
      </c>
      <c r="V2844" s="160">
        <f t="shared" si="478"/>
        <v>90</v>
      </c>
    </row>
    <row r="2845" spans="1:22" x14ac:dyDescent="0.25">
      <c r="A2845" s="98" t="s">
        <v>35</v>
      </c>
      <c r="B2845" s="98" t="s">
        <v>17</v>
      </c>
      <c r="C2845" s="98">
        <v>27</v>
      </c>
      <c r="D2845" s="98">
        <v>310</v>
      </c>
      <c r="E2845" s="157">
        <v>41323.190972222219</v>
      </c>
      <c r="F2845" s="157">
        <v>41323.219444444447</v>
      </c>
      <c r="G2845" s="98">
        <v>245</v>
      </c>
      <c r="H2845" s="98">
        <v>330</v>
      </c>
      <c r="I2845" s="98">
        <v>296</v>
      </c>
      <c r="J2845" s="98" t="s">
        <v>1966</v>
      </c>
      <c r="K2845" s="98" t="s">
        <v>637</v>
      </c>
      <c r="L2845" s="105" t="str">
        <f t="shared" si="470"/>
        <v>Mill Creek</v>
      </c>
      <c r="M2845" s="105" t="str">
        <f t="shared" si="471"/>
        <v>Derate</v>
      </c>
      <c r="N2845" s="105" t="str">
        <f t="shared" si="472"/>
        <v>Coal</v>
      </c>
      <c r="O2845" s="105">
        <f>IFERROR(VLOOKUP(A2845,Lookup!$J$5:$P$19,7,FALSE),0)</f>
        <v>2</v>
      </c>
      <c r="P2845" s="159">
        <f t="shared" si="473"/>
        <v>2013</v>
      </c>
      <c r="Q2845" s="159">
        <f t="shared" si="474"/>
        <v>2</v>
      </c>
      <c r="R2845" s="160">
        <f t="shared" si="475"/>
        <v>0.6833333334652707</v>
      </c>
      <c r="S2845" s="158">
        <f t="shared" si="476"/>
        <v>0.17601010104408488</v>
      </c>
      <c r="T2845" s="161">
        <f t="shared" si="477"/>
        <v>52.098989909049124</v>
      </c>
      <c r="U2845" s="158">
        <f t="shared" si="479"/>
        <v>76.242424242424249</v>
      </c>
      <c r="V2845" s="160">
        <f t="shared" si="478"/>
        <v>76</v>
      </c>
    </row>
    <row r="2846" spans="1:22" x14ac:dyDescent="0.25">
      <c r="A2846" s="98" t="s">
        <v>35</v>
      </c>
      <c r="B2846" s="98" t="s">
        <v>79</v>
      </c>
      <c r="C2846" s="98">
        <v>28</v>
      </c>
      <c r="D2846" s="98">
        <v>740</v>
      </c>
      <c r="E2846" s="157">
        <v>41329.333333333336</v>
      </c>
      <c r="F2846" s="157">
        <v>41329.5</v>
      </c>
      <c r="G2846" s="98">
        <v>0</v>
      </c>
      <c r="H2846" s="98">
        <v>330</v>
      </c>
      <c r="I2846" s="98">
        <v>296</v>
      </c>
      <c r="J2846" s="98" t="s">
        <v>2176</v>
      </c>
      <c r="K2846" s="98" t="s">
        <v>638</v>
      </c>
      <c r="L2846" s="105" t="str">
        <f t="shared" si="470"/>
        <v>Mill Creek</v>
      </c>
      <c r="M2846" s="105" t="str">
        <f t="shared" si="471"/>
        <v>Other</v>
      </c>
      <c r="N2846" s="105" t="str">
        <f t="shared" si="472"/>
        <v>Coal</v>
      </c>
      <c r="O2846" s="105">
        <f>IFERROR(VLOOKUP(A2846,Lookup!$J$5:$P$19,7,FALSE),0)</f>
        <v>2</v>
      </c>
      <c r="P2846" s="159">
        <f t="shared" si="473"/>
        <v>2013</v>
      </c>
      <c r="Q2846" s="159">
        <f t="shared" si="474"/>
        <v>2</v>
      </c>
      <c r="R2846" s="160">
        <f t="shared" si="475"/>
        <v>3.9999999999417923</v>
      </c>
      <c r="S2846" s="158">
        <f t="shared" si="476"/>
        <v>3.9999999999417923</v>
      </c>
      <c r="T2846" s="161">
        <f t="shared" si="477"/>
        <v>1183.9999999827705</v>
      </c>
      <c r="U2846" s="158">
        <f t="shared" si="479"/>
        <v>296</v>
      </c>
      <c r="V2846" s="160">
        <f t="shared" si="478"/>
        <v>296</v>
      </c>
    </row>
    <row r="2847" spans="1:22" x14ac:dyDescent="0.25">
      <c r="A2847" s="98" t="s">
        <v>35</v>
      </c>
      <c r="B2847" s="98" t="s">
        <v>15</v>
      </c>
      <c r="C2847" s="98">
        <v>29</v>
      </c>
      <c r="D2847" s="98">
        <v>740</v>
      </c>
      <c r="E2847" s="157">
        <v>41342.175694444442</v>
      </c>
      <c r="F2847" s="157">
        <v>41342.234722222223</v>
      </c>
      <c r="G2847" s="98">
        <v>0</v>
      </c>
      <c r="H2847" s="98">
        <v>330</v>
      </c>
      <c r="I2847" s="98">
        <v>296</v>
      </c>
      <c r="J2847" s="98" t="s">
        <v>2176</v>
      </c>
      <c r="K2847" s="98" t="s">
        <v>639</v>
      </c>
      <c r="L2847" s="105" t="str">
        <f t="shared" si="470"/>
        <v>Mill Creek</v>
      </c>
      <c r="M2847" s="105" t="str">
        <f t="shared" si="471"/>
        <v>Outage</v>
      </c>
      <c r="N2847" s="105" t="str">
        <f t="shared" si="472"/>
        <v>Coal</v>
      </c>
      <c r="O2847" s="105">
        <f>IFERROR(VLOOKUP(A2847,Lookup!$J$5:$P$19,7,FALSE),0)</f>
        <v>2</v>
      </c>
      <c r="P2847" s="159">
        <f t="shared" si="473"/>
        <v>2013</v>
      </c>
      <c r="Q2847" s="159">
        <f t="shared" si="474"/>
        <v>3</v>
      </c>
      <c r="R2847" s="160">
        <f t="shared" si="475"/>
        <v>1.4166666667442769</v>
      </c>
      <c r="S2847" s="158">
        <f t="shared" si="476"/>
        <v>1.4166666667442769</v>
      </c>
      <c r="T2847" s="161">
        <f t="shared" si="477"/>
        <v>419.33333335630596</v>
      </c>
      <c r="U2847" s="158">
        <f t="shared" si="479"/>
        <v>296</v>
      </c>
      <c r="V2847" s="160">
        <f t="shared" si="478"/>
        <v>296</v>
      </c>
    </row>
    <row r="2848" spans="1:22" x14ac:dyDescent="0.25">
      <c r="A2848" s="98" t="s">
        <v>35</v>
      </c>
      <c r="B2848" s="98" t="s">
        <v>79</v>
      </c>
      <c r="C2848" s="98">
        <v>30</v>
      </c>
      <c r="D2848" s="98">
        <v>1850</v>
      </c>
      <c r="E2848" s="157">
        <v>41342.234722222223</v>
      </c>
      <c r="F2848" s="157">
        <v>41342.401388888888</v>
      </c>
      <c r="G2848" s="98">
        <v>0</v>
      </c>
      <c r="H2848" s="98">
        <v>330</v>
      </c>
      <c r="I2848" s="98">
        <v>296</v>
      </c>
      <c r="J2848" s="98" t="s">
        <v>2263</v>
      </c>
      <c r="K2848" s="98" t="s">
        <v>87</v>
      </c>
      <c r="L2848" s="105" t="str">
        <f t="shared" si="470"/>
        <v>Mill Creek</v>
      </c>
      <c r="M2848" s="105" t="str">
        <f t="shared" si="471"/>
        <v>Other</v>
      </c>
      <c r="N2848" s="105" t="str">
        <f t="shared" si="472"/>
        <v>Coal</v>
      </c>
      <c r="O2848" s="105">
        <f>IFERROR(VLOOKUP(A2848,Lookup!$J$5:$P$19,7,FALSE),0)</f>
        <v>2</v>
      </c>
      <c r="P2848" s="159">
        <f t="shared" si="473"/>
        <v>2013</v>
      </c>
      <c r="Q2848" s="159">
        <f t="shared" si="474"/>
        <v>3</v>
      </c>
      <c r="R2848" s="160">
        <f t="shared" si="475"/>
        <v>3.9999999999417923</v>
      </c>
      <c r="S2848" s="158">
        <f t="shared" si="476"/>
        <v>3.9999999999417923</v>
      </c>
      <c r="T2848" s="161">
        <f t="shared" si="477"/>
        <v>1183.9999999827705</v>
      </c>
      <c r="U2848" s="158">
        <f t="shared" si="479"/>
        <v>296</v>
      </c>
      <c r="V2848" s="160">
        <f t="shared" si="478"/>
        <v>296</v>
      </c>
    </row>
    <row r="2849" spans="1:22" x14ac:dyDescent="0.25">
      <c r="A2849" s="98" t="s">
        <v>35</v>
      </c>
      <c r="B2849" s="98" t="s">
        <v>17</v>
      </c>
      <c r="C2849" s="98">
        <v>31</v>
      </c>
      <c r="D2849" s="98">
        <v>1850</v>
      </c>
      <c r="E2849" s="157">
        <v>41342.401388888888</v>
      </c>
      <c r="F2849" s="157">
        <v>41342.486111111109</v>
      </c>
      <c r="G2849" s="98">
        <v>320</v>
      </c>
      <c r="H2849" s="98">
        <v>330</v>
      </c>
      <c r="I2849" s="98">
        <v>296</v>
      </c>
      <c r="J2849" s="98" t="s">
        <v>2263</v>
      </c>
      <c r="K2849" s="98" t="s">
        <v>41</v>
      </c>
      <c r="L2849" s="105" t="str">
        <f t="shared" si="470"/>
        <v>Mill Creek</v>
      </c>
      <c r="M2849" s="105" t="str">
        <f t="shared" si="471"/>
        <v>Derate</v>
      </c>
      <c r="N2849" s="105" t="str">
        <f t="shared" si="472"/>
        <v>Coal</v>
      </c>
      <c r="O2849" s="105">
        <f>IFERROR(VLOOKUP(A2849,Lookup!$J$5:$P$19,7,FALSE),0)</f>
        <v>2</v>
      </c>
      <c r="P2849" s="159">
        <f t="shared" si="473"/>
        <v>2013</v>
      </c>
      <c r="Q2849" s="159">
        <f t="shared" si="474"/>
        <v>3</v>
      </c>
      <c r="R2849" s="160">
        <f t="shared" si="475"/>
        <v>2.0333333333255723</v>
      </c>
      <c r="S2849" s="158">
        <f t="shared" si="476"/>
        <v>6.1616161615926431E-2</v>
      </c>
      <c r="T2849" s="161">
        <f t="shared" si="477"/>
        <v>18.238383838314224</v>
      </c>
      <c r="U2849" s="158">
        <f t="shared" si="479"/>
        <v>8.9696969696969688</v>
      </c>
      <c r="V2849" s="160">
        <f t="shared" si="478"/>
        <v>9</v>
      </c>
    </row>
    <row r="2850" spans="1:22" x14ac:dyDescent="0.25">
      <c r="A2850" s="98" t="s">
        <v>35</v>
      </c>
      <c r="B2850" s="98" t="s">
        <v>105</v>
      </c>
      <c r="C2850" s="98">
        <v>32</v>
      </c>
      <c r="D2850" s="98">
        <v>310</v>
      </c>
      <c r="E2850" s="157">
        <v>41344.958333333336</v>
      </c>
      <c r="F2850" s="157">
        <v>41345.05972222222</v>
      </c>
      <c r="G2850" s="98">
        <v>235</v>
      </c>
      <c r="H2850" s="98">
        <v>330</v>
      </c>
      <c r="I2850" s="98">
        <v>296</v>
      </c>
      <c r="J2850" s="98" t="s">
        <v>1966</v>
      </c>
      <c r="K2850" s="98" t="s">
        <v>617</v>
      </c>
      <c r="L2850" s="105" t="str">
        <f t="shared" si="470"/>
        <v>Mill Creek</v>
      </c>
      <c r="M2850" s="105" t="str">
        <f t="shared" si="471"/>
        <v>Derate</v>
      </c>
      <c r="N2850" s="105" t="str">
        <f t="shared" si="472"/>
        <v>Coal</v>
      </c>
      <c r="O2850" s="105">
        <f>IFERROR(VLOOKUP(A2850,Lookup!$J$5:$P$19,7,FALSE),0)</f>
        <v>2</v>
      </c>
      <c r="P2850" s="159">
        <f t="shared" si="473"/>
        <v>2013</v>
      </c>
      <c r="Q2850" s="159">
        <f t="shared" si="474"/>
        <v>3</v>
      </c>
      <c r="R2850" s="160">
        <f t="shared" si="475"/>
        <v>2.4333333332324401</v>
      </c>
      <c r="S2850" s="158">
        <f t="shared" si="476"/>
        <v>0.70050505047600542</v>
      </c>
      <c r="T2850" s="161">
        <f t="shared" si="477"/>
        <v>207.34949494089761</v>
      </c>
      <c r="U2850" s="158">
        <f t="shared" si="479"/>
        <v>85.212121212121218</v>
      </c>
      <c r="V2850" s="160">
        <f t="shared" si="478"/>
        <v>85</v>
      </c>
    </row>
    <row r="2851" spans="1:22" x14ac:dyDescent="0.25">
      <c r="A2851" s="98" t="s">
        <v>35</v>
      </c>
      <c r="B2851" s="98" t="s">
        <v>105</v>
      </c>
      <c r="C2851" s="98">
        <v>33</v>
      </c>
      <c r="D2851" s="98">
        <v>310</v>
      </c>
      <c r="E2851" s="157">
        <v>41345.958333333336</v>
      </c>
      <c r="F2851" s="157">
        <v>41346.145833333336</v>
      </c>
      <c r="G2851" s="98">
        <v>235</v>
      </c>
      <c r="H2851" s="98">
        <v>330</v>
      </c>
      <c r="I2851" s="98">
        <v>296</v>
      </c>
      <c r="J2851" s="98" t="s">
        <v>1966</v>
      </c>
      <c r="K2851" s="98" t="s">
        <v>640</v>
      </c>
      <c r="L2851" s="105" t="str">
        <f t="shared" si="470"/>
        <v>Mill Creek</v>
      </c>
      <c r="M2851" s="105" t="str">
        <f t="shared" si="471"/>
        <v>Derate</v>
      </c>
      <c r="N2851" s="105" t="str">
        <f t="shared" si="472"/>
        <v>Coal</v>
      </c>
      <c r="O2851" s="105">
        <f>IFERROR(VLOOKUP(A2851,Lookup!$J$5:$P$19,7,FALSE),0)</f>
        <v>2</v>
      </c>
      <c r="P2851" s="159">
        <f t="shared" si="473"/>
        <v>2013</v>
      </c>
      <c r="Q2851" s="159">
        <f t="shared" si="474"/>
        <v>3</v>
      </c>
      <c r="R2851" s="160">
        <f t="shared" si="475"/>
        <v>4.5</v>
      </c>
      <c r="S2851" s="158">
        <f t="shared" si="476"/>
        <v>1.2954545454545454</v>
      </c>
      <c r="T2851" s="161">
        <f t="shared" si="477"/>
        <v>383.45454545454544</v>
      </c>
      <c r="U2851" s="158">
        <f t="shared" si="479"/>
        <v>85.212121212121218</v>
      </c>
      <c r="V2851" s="160">
        <f t="shared" si="478"/>
        <v>85</v>
      </c>
    </row>
    <row r="2852" spans="1:22" x14ac:dyDescent="0.25">
      <c r="A2852" s="98" t="s">
        <v>35</v>
      </c>
      <c r="B2852" s="98" t="s">
        <v>17</v>
      </c>
      <c r="C2852" s="98">
        <v>34</v>
      </c>
      <c r="D2852" s="98">
        <v>9270</v>
      </c>
      <c r="E2852" s="157">
        <v>41351.53125</v>
      </c>
      <c r="F2852" s="157">
        <v>41351.586805555555</v>
      </c>
      <c r="G2852" s="98">
        <v>285</v>
      </c>
      <c r="H2852" s="98">
        <v>330</v>
      </c>
      <c r="I2852" s="98">
        <v>296</v>
      </c>
      <c r="J2852" s="98" t="s">
        <v>2006</v>
      </c>
      <c r="K2852" s="98" t="s">
        <v>92</v>
      </c>
      <c r="L2852" s="105" t="str">
        <f t="shared" si="470"/>
        <v>Mill Creek</v>
      </c>
      <c r="M2852" s="105" t="str">
        <f t="shared" si="471"/>
        <v>Derate</v>
      </c>
      <c r="N2852" s="105" t="str">
        <f t="shared" si="472"/>
        <v>Coal</v>
      </c>
      <c r="O2852" s="105">
        <f>IFERROR(VLOOKUP(A2852,Lookup!$J$5:$P$19,7,FALSE),0)</f>
        <v>2</v>
      </c>
      <c r="P2852" s="159">
        <f t="shared" si="473"/>
        <v>2013</v>
      </c>
      <c r="Q2852" s="159">
        <f t="shared" si="474"/>
        <v>3</v>
      </c>
      <c r="R2852" s="160">
        <f t="shared" si="475"/>
        <v>1.3333333333139308</v>
      </c>
      <c r="S2852" s="158">
        <f t="shared" si="476"/>
        <v>0.18181818181553602</v>
      </c>
      <c r="T2852" s="161">
        <f t="shared" si="477"/>
        <v>53.81818181739866</v>
      </c>
      <c r="U2852" s="158">
        <f t="shared" si="479"/>
        <v>40.363636363636367</v>
      </c>
      <c r="V2852" s="160">
        <f t="shared" si="478"/>
        <v>40</v>
      </c>
    </row>
    <row r="2853" spans="1:22" x14ac:dyDescent="0.25">
      <c r="A2853" s="98" t="s">
        <v>35</v>
      </c>
      <c r="B2853" s="98" t="s">
        <v>17</v>
      </c>
      <c r="C2853" s="98">
        <v>35</v>
      </c>
      <c r="D2853" s="98">
        <v>9270</v>
      </c>
      <c r="E2853" s="157">
        <v>41351.631944444445</v>
      </c>
      <c r="F2853" s="157">
        <v>41351.708333333336</v>
      </c>
      <c r="G2853" s="98">
        <v>255</v>
      </c>
      <c r="H2853" s="98">
        <v>330</v>
      </c>
      <c r="I2853" s="98">
        <v>296</v>
      </c>
      <c r="J2853" s="98" t="s">
        <v>2006</v>
      </c>
      <c r="K2853" s="98" t="s">
        <v>92</v>
      </c>
      <c r="L2853" s="105" t="str">
        <f t="shared" si="470"/>
        <v>Mill Creek</v>
      </c>
      <c r="M2853" s="105" t="str">
        <f t="shared" si="471"/>
        <v>Derate</v>
      </c>
      <c r="N2853" s="105" t="str">
        <f t="shared" si="472"/>
        <v>Coal</v>
      </c>
      <c r="O2853" s="105">
        <f>IFERROR(VLOOKUP(A2853,Lookup!$J$5:$P$19,7,FALSE),0)</f>
        <v>2</v>
      </c>
      <c r="P2853" s="159">
        <f t="shared" si="473"/>
        <v>2013</v>
      </c>
      <c r="Q2853" s="159">
        <f t="shared" si="474"/>
        <v>3</v>
      </c>
      <c r="R2853" s="160">
        <f t="shared" si="475"/>
        <v>1.8333333333721384</v>
      </c>
      <c r="S2853" s="158">
        <f t="shared" si="476"/>
        <v>0.41666666667548602</v>
      </c>
      <c r="T2853" s="161">
        <f t="shared" si="477"/>
        <v>123.33333333594386</v>
      </c>
      <c r="U2853" s="158">
        <f t="shared" si="479"/>
        <v>67.272727272727266</v>
      </c>
      <c r="V2853" s="160">
        <f t="shared" si="478"/>
        <v>67</v>
      </c>
    </row>
    <row r="2854" spans="1:22" x14ac:dyDescent="0.25">
      <c r="A2854" s="98" t="s">
        <v>35</v>
      </c>
      <c r="B2854" s="98" t="s">
        <v>105</v>
      </c>
      <c r="C2854" s="98">
        <v>36</v>
      </c>
      <c r="D2854" s="98">
        <v>310</v>
      </c>
      <c r="E2854" s="157">
        <v>41351.943749999999</v>
      </c>
      <c r="F2854" s="157">
        <v>41352.13958333333</v>
      </c>
      <c r="G2854" s="98">
        <v>235</v>
      </c>
      <c r="H2854" s="98">
        <v>330</v>
      </c>
      <c r="I2854" s="98">
        <v>296</v>
      </c>
      <c r="J2854" s="98" t="s">
        <v>1966</v>
      </c>
      <c r="K2854" s="98" t="s">
        <v>616</v>
      </c>
      <c r="L2854" s="105" t="str">
        <f t="shared" ref="L2854:L2917" si="480">IF(OR(A2854="BR1",A2854="BR2",A2854="BR3",A2854="BR5",A2854="BR6",A2854="BR7",A2854="BR8",A2854="BR9",A2854="BR10",A2854="BR11"),"Brown",IF(OR(A2854="CR4",A2854="CR5",A2854="CR6",A2854="CR11"),"Cane Run",IF(OR(A2854="GH1",A2854="GH2",A2854="GH3",A2854="GH4"),"Ghent",IF(OR(A2854="GR3",A2854="GR4"),"Green River",IF(OR(A2854="MC1",A2854="MC2",A2854="MC3",A2854="MC4"),"Mill Creek",IF(OR(A2854="TC1",A2854="TC2",A2854="TC5",A2854="TC6",A2854="TC7",A2854="TC8",A2854="TC9",A2854="TC10"),"Trimble",IF(A2854="TY3","Tyrone",IF(OR(A2854="HA1",A2854="HA2",A2854="HA3"),"Haeflin",IF(OR(A2854="PR11",A2854="PR12",A2854="PR13"),"Paddy's Run","Zorn")))))))))</f>
        <v>Mill Creek</v>
      </c>
      <c r="M2854" s="105" t="str">
        <f t="shared" ref="M2854:M2917" si="481">IF(OR(B2854="D1",B2854="D2",B2854="D3",B2854="D4",B2854="PD"),"Derate",IF(OR(B2854="SF",B2854="U1",B2854="U2",B2854="U3"),"Outage",IF(OR(B2854="ME",B2854="MO"),"Maintenance","Other")))</f>
        <v>Derate</v>
      </c>
      <c r="N2854" s="105" t="str">
        <f t="shared" ref="N2854:N2917" si="482">IF(OR(A2854="BR1",A2854="BR2",A2854="BR3",A2854="CR4",A2854="CR5",A2854="CR6",A2854="GH1",A2854="GH2",A2854="GH3",A2854="GH4",A2854="GR3",A2854="GR4",A2854="MC1",A2854="MC2",A2854="MC3",A2854="MC4",A2854="TC1",A2854="TC2",A2854="TY3"),"Coal","Gas")</f>
        <v>Coal</v>
      </c>
      <c r="O2854" s="105">
        <f>IFERROR(VLOOKUP(A2854,Lookup!$J$5:$P$19,7,FALSE),0)</f>
        <v>2</v>
      </c>
      <c r="P2854" s="159">
        <f t="shared" ref="P2854:P2917" si="483">YEAR(E2854)</f>
        <v>2013</v>
      </c>
      <c r="Q2854" s="159">
        <f t="shared" ref="Q2854:Q2917" si="484">MONTH(E2854)</f>
        <v>3</v>
      </c>
      <c r="R2854" s="160">
        <f t="shared" ref="R2854:R2917" si="485">(F2854-E2854)*24</f>
        <v>4.6999999999534339</v>
      </c>
      <c r="S2854" s="158">
        <f t="shared" ref="S2854:S2917" si="486">R2854*(H2854-G2854)/H2854</f>
        <v>1.3530303030168975</v>
      </c>
      <c r="T2854" s="161">
        <f t="shared" ref="T2854:T2917" si="487">S2854*I2854</f>
        <v>400.49696969300169</v>
      </c>
      <c r="U2854" s="158">
        <f t="shared" si="479"/>
        <v>85.212121212121218</v>
      </c>
      <c r="V2854" s="160">
        <f t="shared" ref="V2854:V2917" si="488">ROUND(U2854,0)</f>
        <v>85</v>
      </c>
    </row>
    <row r="2855" spans="1:22" x14ac:dyDescent="0.25">
      <c r="A2855" s="98" t="s">
        <v>35</v>
      </c>
      <c r="B2855" s="98" t="s">
        <v>105</v>
      </c>
      <c r="C2855" s="98">
        <v>37</v>
      </c>
      <c r="D2855" s="98">
        <v>310</v>
      </c>
      <c r="E2855" s="157">
        <v>41352.916666666664</v>
      </c>
      <c r="F2855" s="157">
        <v>41353.087500000001</v>
      </c>
      <c r="G2855" s="98">
        <v>235</v>
      </c>
      <c r="H2855" s="98">
        <v>330</v>
      </c>
      <c r="I2855" s="98">
        <v>296</v>
      </c>
      <c r="J2855" s="98" t="s">
        <v>1966</v>
      </c>
      <c r="K2855" s="98" t="s">
        <v>632</v>
      </c>
      <c r="L2855" s="105" t="str">
        <f t="shared" si="480"/>
        <v>Mill Creek</v>
      </c>
      <c r="M2855" s="105" t="str">
        <f t="shared" si="481"/>
        <v>Derate</v>
      </c>
      <c r="N2855" s="105" t="str">
        <f t="shared" si="482"/>
        <v>Coal</v>
      </c>
      <c r="O2855" s="105">
        <f>IFERROR(VLOOKUP(A2855,Lookup!$J$5:$P$19,7,FALSE),0)</f>
        <v>2</v>
      </c>
      <c r="P2855" s="159">
        <f t="shared" si="483"/>
        <v>2013</v>
      </c>
      <c r="Q2855" s="159">
        <f t="shared" si="484"/>
        <v>3</v>
      </c>
      <c r="R2855" s="160">
        <f t="shared" si="485"/>
        <v>4.1000000000931323</v>
      </c>
      <c r="S2855" s="158">
        <f t="shared" si="486"/>
        <v>1.1803030303298412</v>
      </c>
      <c r="T2855" s="161">
        <f t="shared" si="487"/>
        <v>349.369696977633</v>
      </c>
      <c r="U2855" s="158">
        <f t="shared" ref="U2855:U2918" si="489">IF(G2855&gt;0,MAX((H2855-G2855),0)*I2855/H2855,I2855)</f>
        <v>85.212121212121218</v>
      </c>
      <c r="V2855" s="160">
        <f t="shared" si="488"/>
        <v>85</v>
      </c>
    </row>
    <row r="2856" spans="1:22" x14ac:dyDescent="0.25">
      <c r="A2856" s="98" t="s">
        <v>35</v>
      </c>
      <c r="B2856" s="98" t="s">
        <v>20</v>
      </c>
      <c r="C2856" s="98">
        <v>38</v>
      </c>
      <c r="D2856" s="98">
        <v>3344</v>
      </c>
      <c r="E2856" s="157">
        <v>41369.424305555556</v>
      </c>
      <c r="F2856" s="157">
        <v>41370.033333333333</v>
      </c>
      <c r="G2856" s="98">
        <v>0</v>
      </c>
      <c r="H2856" s="98">
        <v>330</v>
      </c>
      <c r="I2856" s="98">
        <v>296</v>
      </c>
      <c r="J2856" s="98" t="s">
        <v>2165</v>
      </c>
      <c r="K2856" s="98" t="s">
        <v>641</v>
      </c>
      <c r="L2856" s="105" t="str">
        <f t="shared" si="480"/>
        <v>Mill Creek</v>
      </c>
      <c r="M2856" s="105" t="str">
        <f t="shared" si="481"/>
        <v>Maintenance</v>
      </c>
      <c r="N2856" s="105" t="str">
        <f t="shared" si="482"/>
        <v>Coal</v>
      </c>
      <c r="O2856" s="105">
        <f>IFERROR(VLOOKUP(A2856,Lookup!$J$5:$P$19,7,FALSE),0)</f>
        <v>2</v>
      </c>
      <c r="P2856" s="159">
        <f t="shared" si="483"/>
        <v>2013</v>
      </c>
      <c r="Q2856" s="159">
        <f t="shared" si="484"/>
        <v>4</v>
      </c>
      <c r="R2856" s="160">
        <f t="shared" si="485"/>
        <v>14.616666666639503</v>
      </c>
      <c r="S2856" s="158">
        <f t="shared" si="486"/>
        <v>14.616666666639503</v>
      </c>
      <c r="T2856" s="161">
        <f t="shared" si="487"/>
        <v>4326.5333333252929</v>
      </c>
      <c r="U2856" s="158">
        <f t="shared" si="489"/>
        <v>296</v>
      </c>
      <c r="V2856" s="160">
        <f t="shared" si="488"/>
        <v>296</v>
      </c>
    </row>
    <row r="2857" spans="1:22" x14ac:dyDescent="0.25">
      <c r="A2857" s="98" t="s">
        <v>35</v>
      </c>
      <c r="B2857" s="98" t="s">
        <v>79</v>
      </c>
      <c r="C2857" s="98">
        <v>39</v>
      </c>
      <c r="D2857" s="98">
        <v>1850</v>
      </c>
      <c r="E2857" s="157">
        <v>41370.033333333333</v>
      </c>
      <c r="F2857" s="157">
        <v>41370.315972222219</v>
      </c>
      <c r="G2857" s="98">
        <v>0</v>
      </c>
      <c r="H2857" s="98">
        <v>330</v>
      </c>
      <c r="I2857" s="98">
        <v>296</v>
      </c>
      <c r="J2857" s="98" t="s">
        <v>2263</v>
      </c>
      <c r="K2857" s="98" t="s">
        <v>86</v>
      </c>
      <c r="L2857" s="105" t="str">
        <f t="shared" si="480"/>
        <v>Mill Creek</v>
      </c>
      <c r="M2857" s="105" t="str">
        <f t="shared" si="481"/>
        <v>Other</v>
      </c>
      <c r="N2857" s="105" t="str">
        <f t="shared" si="482"/>
        <v>Coal</v>
      </c>
      <c r="O2857" s="105">
        <f>IFERROR(VLOOKUP(A2857,Lookup!$J$5:$P$19,7,FALSE),0)</f>
        <v>2</v>
      </c>
      <c r="P2857" s="159">
        <f t="shared" si="483"/>
        <v>2013</v>
      </c>
      <c r="Q2857" s="159">
        <f t="shared" si="484"/>
        <v>4</v>
      </c>
      <c r="R2857" s="160">
        <f t="shared" si="485"/>
        <v>6.7833333332673647</v>
      </c>
      <c r="S2857" s="158">
        <f t="shared" si="486"/>
        <v>6.7833333332673647</v>
      </c>
      <c r="T2857" s="161">
        <f t="shared" si="487"/>
        <v>2007.8666666471399</v>
      </c>
      <c r="U2857" s="158">
        <f t="shared" si="489"/>
        <v>296</v>
      </c>
      <c r="V2857" s="160">
        <f t="shared" si="488"/>
        <v>296</v>
      </c>
    </row>
    <row r="2858" spans="1:22" x14ac:dyDescent="0.25">
      <c r="A2858" s="98" t="s">
        <v>35</v>
      </c>
      <c r="B2858" s="98" t="s">
        <v>105</v>
      </c>
      <c r="C2858" s="98">
        <v>40</v>
      </c>
      <c r="D2858" s="98">
        <v>310</v>
      </c>
      <c r="E2858" s="157">
        <v>41389.916666666664</v>
      </c>
      <c r="F2858" s="157">
        <v>41390.104166666664</v>
      </c>
      <c r="G2858" s="98">
        <v>220</v>
      </c>
      <c r="H2858" s="98">
        <v>330</v>
      </c>
      <c r="I2858" s="98">
        <v>296</v>
      </c>
      <c r="J2858" s="98" t="s">
        <v>1966</v>
      </c>
      <c r="K2858" s="98" t="s">
        <v>642</v>
      </c>
      <c r="L2858" s="105" t="str">
        <f t="shared" si="480"/>
        <v>Mill Creek</v>
      </c>
      <c r="M2858" s="105" t="str">
        <f t="shared" si="481"/>
        <v>Derate</v>
      </c>
      <c r="N2858" s="105" t="str">
        <f t="shared" si="482"/>
        <v>Coal</v>
      </c>
      <c r="O2858" s="105">
        <f>IFERROR(VLOOKUP(A2858,Lookup!$J$5:$P$19,7,FALSE),0)</f>
        <v>2</v>
      </c>
      <c r="P2858" s="159">
        <f t="shared" si="483"/>
        <v>2013</v>
      </c>
      <c r="Q2858" s="159">
        <f t="shared" si="484"/>
        <v>4</v>
      </c>
      <c r="R2858" s="160">
        <f t="shared" si="485"/>
        <v>4.5</v>
      </c>
      <c r="S2858" s="158">
        <f t="shared" si="486"/>
        <v>1.5</v>
      </c>
      <c r="T2858" s="161">
        <f t="shared" si="487"/>
        <v>444</v>
      </c>
      <c r="U2858" s="158">
        <f t="shared" si="489"/>
        <v>98.666666666666671</v>
      </c>
      <c r="V2858" s="160">
        <f t="shared" si="488"/>
        <v>99</v>
      </c>
    </row>
    <row r="2859" spans="1:22" x14ac:dyDescent="0.25">
      <c r="A2859" s="98" t="s">
        <v>35</v>
      </c>
      <c r="B2859" s="98" t="s">
        <v>15</v>
      </c>
      <c r="C2859" s="98">
        <v>41</v>
      </c>
      <c r="D2859" s="98">
        <v>3344</v>
      </c>
      <c r="E2859" s="157">
        <v>41391.478472222225</v>
      </c>
      <c r="F2859" s="157">
        <v>41391.956250000003</v>
      </c>
      <c r="G2859" s="98">
        <v>0</v>
      </c>
      <c r="H2859" s="98">
        <v>330</v>
      </c>
      <c r="I2859" s="98">
        <v>296</v>
      </c>
      <c r="J2859" s="98" t="s">
        <v>2165</v>
      </c>
      <c r="K2859" s="98" t="s">
        <v>643</v>
      </c>
      <c r="L2859" s="105" t="str">
        <f t="shared" si="480"/>
        <v>Mill Creek</v>
      </c>
      <c r="M2859" s="105" t="str">
        <f t="shared" si="481"/>
        <v>Outage</v>
      </c>
      <c r="N2859" s="105" t="str">
        <f t="shared" si="482"/>
        <v>Coal</v>
      </c>
      <c r="O2859" s="105">
        <f>IFERROR(VLOOKUP(A2859,Lookup!$J$5:$P$19,7,FALSE),0)</f>
        <v>2</v>
      </c>
      <c r="P2859" s="159">
        <f t="shared" si="483"/>
        <v>2013</v>
      </c>
      <c r="Q2859" s="159">
        <f t="shared" si="484"/>
        <v>4</v>
      </c>
      <c r="R2859" s="160">
        <f t="shared" si="485"/>
        <v>11.466666666674428</v>
      </c>
      <c r="S2859" s="158">
        <f t="shared" si="486"/>
        <v>11.466666666674428</v>
      </c>
      <c r="T2859" s="161">
        <f t="shared" si="487"/>
        <v>3394.1333333356306</v>
      </c>
      <c r="U2859" s="158">
        <f t="shared" si="489"/>
        <v>296</v>
      </c>
      <c r="V2859" s="160">
        <f t="shared" si="488"/>
        <v>296</v>
      </c>
    </row>
    <row r="2860" spans="1:22" x14ac:dyDescent="0.25">
      <c r="A2860" s="98" t="s">
        <v>35</v>
      </c>
      <c r="B2860" s="98" t="s">
        <v>38</v>
      </c>
      <c r="C2860" s="98">
        <v>42</v>
      </c>
      <c r="D2860" s="98">
        <v>1801</v>
      </c>
      <c r="E2860" s="157">
        <v>41391.956250000003</v>
      </c>
      <c r="F2860" s="157">
        <v>41394.613194444442</v>
      </c>
      <c r="G2860" s="98">
        <v>0</v>
      </c>
      <c r="H2860" s="98">
        <v>330</v>
      </c>
      <c r="I2860" s="98">
        <v>296</v>
      </c>
      <c r="J2860" s="98" t="s">
        <v>2021</v>
      </c>
      <c r="K2860" s="98" t="s">
        <v>94</v>
      </c>
      <c r="L2860" s="105" t="str">
        <f t="shared" si="480"/>
        <v>Mill Creek</v>
      </c>
      <c r="M2860" s="105" t="str">
        <f t="shared" si="481"/>
        <v>Other</v>
      </c>
      <c r="N2860" s="105" t="str">
        <f t="shared" si="482"/>
        <v>Coal</v>
      </c>
      <c r="O2860" s="105">
        <f>IFERROR(VLOOKUP(A2860,Lookup!$J$5:$P$19,7,FALSE),0)</f>
        <v>2</v>
      </c>
      <c r="P2860" s="159">
        <f t="shared" si="483"/>
        <v>2013</v>
      </c>
      <c r="Q2860" s="159">
        <f t="shared" si="484"/>
        <v>4</v>
      </c>
      <c r="R2860" s="160">
        <f t="shared" si="485"/>
        <v>63.766666666546371</v>
      </c>
      <c r="S2860" s="158">
        <f t="shared" si="486"/>
        <v>63.766666666546371</v>
      </c>
      <c r="T2860" s="161">
        <f t="shared" si="487"/>
        <v>18874.933333297726</v>
      </c>
      <c r="U2860" s="158">
        <f t="shared" si="489"/>
        <v>296</v>
      </c>
      <c r="V2860" s="160">
        <f t="shared" si="488"/>
        <v>296</v>
      </c>
    </row>
    <row r="2861" spans="1:22" x14ac:dyDescent="0.25">
      <c r="A2861" s="98" t="s">
        <v>35</v>
      </c>
      <c r="B2861" s="98" t="s">
        <v>79</v>
      </c>
      <c r="C2861" s="98">
        <v>43</v>
      </c>
      <c r="D2861" s="98">
        <v>1850</v>
      </c>
      <c r="E2861" s="157">
        <v>41394.613194444442</v>
      </c>
      <c r="F2861" s="157">
        <v>41394.946527777778</v>
      </c>
      <c r="G2861" s="98">
        <v>0</v>
      </c>
      <c r="H2861" s="98">
        <v>330</v>
      </c>
      <c r="I2861" s="98">
        <v>296</v>
      </c>
      <c r="J2861" s="98" t="s">
        <v>2263</v>
      </c>
      <c r="K2861" s="98" t="s">
        <v>85</v>
      </c>
      <c r="L2861" s="105" t="str">
        <f t="shared" si="480"/>
        <v>Mill Creek</v>
      </c>
      <c r="M2861" s="105" t="str">
        <f t="shared" si="481"/>
        <v>Other</v>
      </c>
      <c r="N2861" s="105" t="str">
        <f t="shared" si="482"/>
        <v>Coal</v>
      </c>
      <c r="O2861" s="105">
        <f>IFERROR(VLOOKUP(A2861,Lookup!$J$5:$P$19,7,FALSE),0)</f>
        <v>2</v>
      </c>
      <c r="P2861" s="159">
        <f t="shared" si="483"/>
        <v>2013</v>
      </c>
      <c r="Q2861" s="159">
        <f t="shared" si="484"/>
        <v>4</v>
      </c>
      <c r="R2861" s="160">
        <f t="shared" si="485"/>
        <v>8.0000000000582077</v>
      </c>
      <c r="S2861" s="158">
        <f t="shared" si="486"/>
        <v>8.0000000000582077</v>
      </c>
      <c r="T2861" s="161">
        <f t="shared" si="487"/>
        <v>2368.0000000172295</v>
      </c>
      <c r="U2861" s="158">
        <f t="shared" si="489"/>
        <v>296</v>
      </c>
      <c r="V2861" s="160">
        <f t="shared" si="488"/>
        <v>296</v>
      </c>
    </row>
    <row r="2862" spans="1:22" x14ac:dyDescent="0.25">
      <c r="A2862" s="98" t="s">
        <v>35</v>
      </c>
      <c r="B2862" s="98" t="s">
        <v>17</v>
      </c>
      <c r="C2862" s="98">
        <v>44</v>
      </c>
      <c r="D2862" s="98">
        <v>590</v>
      </c>
      <c r="E2862" s="157">
        <v>41394.946527777778</v>
      </c>
      <c r="F2862" s="157">
        <v>41394.989583333336</v>
      </c>
      <c r="G2862" s="98">
        <v>260</v>
      </c>
      <c r="H2862" s="98">
        <v>330</v>
      </c>
      <c r="I2862" s="98">
        <v>296</v>
      </c>
      <c r="J2862" s="98" t="s">
        <v>2116</v>
      </c>
      <c r="K2862" s="98" t="s">
        <v>644</v>
      </c>
      <c r="L2862" s="105" t="str">
        <f t="shared" si="480"/>
        <v>Mill Creek</v>
      </c>
      <c r="M2862" s="105" t="str">
        <f t="shared" si="481"/>
        <v>Derate</v>
      </c>
      <c r="N2862" s="105" t="str">
        <f t="shared" si="482"/>
        <v>Coal</v>
      </c>
      <c r="O2862" s="105">
        <f>IFERROR(VLOOKUP(A2862,Lookup!$J$5:$P$19,7,FALSE),0)</f>
        <v>2</v>
      </c>
      <c r="P2862" s="159">
        <f t="shared" si="483"/>
        <v>2013</v>
      </c>
      <c r="Q2862" s="159">
        <f t="shared" si="484"/>
        <v>4</v>
      </c>
      <c r="R2862" s="160">
        <f t="shared" si="485"/>
        <v>1.03333333338378</v>
      </c>
      <c r="S2862" s="158">
        <f t="shared" si="486"/>
        <v>0.21919191920261999</v>
      </c>
      <c r="T2862" s="161">
        <f t="shared" si="487"/>
        <v>64.880808083975523</v>
      </c>
      <c r="U2862" s="158">
        <f t="shared" si="489"/>
        <v>62.787878787878789</v>
      </c>
      <c r="V2862" s="160">
        <f t="shared" si="488"/>
        <v>63</v>
      </c>
    </row>
    <row r="2863" spans="1:22" x14ac:dyDescent="0.25">
      <c r="A2863" s="98" t="s">
        <v>35</v>
      </c>
      <c r="B2863" s="98" t="s">
        <v>17</v>
      </c>
      <c r="C2863" s="98">
        <v>45</v>
      </c>
      <c r="D2863" s="98">
        <v>590</v>
      </c>
      <c r="E2863" s="157">
        <v>41394.989583333336</v>
      </c>
      <c r="F2863" s="157">
        <v>41395.1875</v>
      </c>
      <c r="G2863" s="98">
        <v>220</v>
      </c>
      <c r="H2863" s="98">
        <v>330</v>
      </c>
      <c r="I2863" s="98">
        <v>296</v>
      </c>
      <c r="J2863" s="98" t="s">
        <v>2116</v>
      </c>
      <c r="K2863" s="98" t="s">
        <v>644</v>
      </c>
      <c r="L2863" s="105" t="str">
        <f t="shared" si="480"/>
        <v>Mill Creek</v>
      </c>
      <c r="M2863" s="105" t="str">
        <f t="shared" si="481"/>
        <v>Derate</v>
      </c>
      <c r="N2863" s="105" t="str">
        <f t="shared" si="482"/>
        <v>Coal</v>
      </c>
      <c r="O2863" s="105">
        <f>IFERROR(VLOOKUP(A2863,Lookup!$J$5:$P$19,7,FALSE),0)</f>
        <v>2</v>
      </c>
      <c r="P2863" s="159">
        <f t="shared" si="483"/>
        <v>2013</v>
      </c>
      <c r="Q2863" s="159">
        <f t="shared" si="484"/>
        <v>4</v>
      </c>
      <c r="R2863" s="160">
        <f t="shared" si="485"/>
        <v>4.7499999999417923</v>
      </c>
      <c r="S2863" s="158">
        <f t="shared" si="486"/>
        <v>1.5833333333139308</v>
      </c>
      <c r="T2863" s="161">
        <f t="shared" si="487"/>
        <v>468.66666666092351</v>
      </c>
      <c r="U2863" s="158">
        <f t="shared" si="489"/>
        <v>98.666666666666671</v>
      </c>
      <c r="V2863" s="160">
        <f t="shared" si="488"/>
        <v>99</v>
      </c>
    </row>
    <row r="2864" spans="1:22" x14ac:dyDescent="0.25">
      <c r="A2864" s="98" t="s">
        <v>35</v>
      </c>
      <c r="B2864" s="98" t="s">
        <v>17</v>
      </c>
      <c r="C2864" s="98">
        <v>46</v>
      </c>
      <c r="D2864" s="98">
        <v>310</v>
      </c>
      <c r="E2864" s="157">
        <v>41396.999305555553</v>
      </c>
      <c r="F2864" s="157">
        <v>41397.376388888886</v>
      </c>
      <c r="G2864" s="98">
        <v>240</v>
      </c>
      <c r="H2864" s="98">
        <v>330</v>
      </c>
      <c r="I2864" s="98">
        <v>296</v>
      </c>
      <c r="J2864" s="98" t="s">
        <v>1966</v>
      </c>
      <c r="K2864" s="98" t="s">
        <v>645</v>
      </c>
      <c r="L2864" s="105" t="str">
        <f t="shared" si="480"/>
        <v>Mill Creek</v>
      </c>
      <c r="M2864" s="105" t="str">
        <f t="shared" si="481"/>
        <v>Derate</v>
      </c>
      <c r="N2864" s="105" t="str">
        <f t="shared" si="482"/>
        <v>Coal</v>
      </c>
      <c r="O2864" s="105">
        <f>IFERROR(VLOOKUP(A2864,Lookup!$J$5:$P$19,7,FALSE),0)</f>
        <v>2</v>
      </c>
      <c r="P2864" s="159">
        <f t="shared" si="483"/>
        <v>2013</v>
      </c>
      <c r="Q2864" s="159">
        <f t="shared" si="484"/>
        <v>5</v>
      </c>
      <c r="R2864" s="160">
        <f t="shared" si="485"/>
        <v>9.0499999999883585</v>
      </c>
      <c r="S2864" s="158">
        <f t="shared" si="486"/>
        <v>2.468181818178643</v>
      </c>
      <c r="T2864" s="161">
        <f t="shared" si="487"/>
        <v>730.58181818087837</v>
      </c>
      <c r="U2864" s="158">
        <f t="shared" si="489"/>
        <v>80.727272727272734</v>
      </c>
      <c r="V2864" s="160">
        <f t="shared" si="488"/>
        <v>81</v>
      </c>
    </row>
    <row r="2865" spans="1:22" x14ac:dyDescent="0.25">
      <c r="A2865" s="98" t="s">
        <v>35</v>
      </c>
      <c r="B2865" s="98" t="s">
        <v>15</v>
      </c>
      <c r="C2865" s="98">
        <v>47</v>
      </c>
      <c r="D2865" s="98">
        <v>1050</v>
      </c>
      <c r="E2865" s="157">
        <v>41401.473611111112</v>
      </c>
      <c r="F2865" s="157">
        <v>41402.287499999999</v>
      </c>
      <c r="G2865" s="98">
        <v>0</v>
      </c>
      <c r="H2865" s="98">
        <v>330</v>
      </c>
      <c r="I2865" s="98">
        <v>296</v>
      </c>
      <c r="J2865" s="98" t="s">
        <v>2112</v>
      </c>
      <c r="K2865" s="98" t="s">
        <v>646</v>
      </c>
      <c r="L2865" s="105" t="str">
        <f t="shared" si="480"/>
        <v>Mill Creek</v>
      </c>
      <c r="M2865" s="105" t="str">
        <f t="shared" si="481"/>
        <v>Outage</v>
      </c>
      <c r="N2865" s="105" t="str">
        <f t="shared" si="482"/>
        <v>Coal</v>
      </c>
      <c r="O2865" s="105">
        <f>IFERROR(VLOOKUP(A2865,Lookup!$J$5:$P$19,7,FALSE),0)</f>
        <v>2</v>
      </c>
      <c r="P2865" s="159">
        <f t="shared" si="483"/>
        <v>2013</v>
      </c>
      <c r="Q2865" s="159">
        <f t="shared" si="484"/>
        <v>5</v>
      </c>
      <c r="R2865" s="160">
        <f t="shared" si="485"/>
        <v>19.533333333267365</v>
      </c>
      <c r="S2865" s="158">
        <f t="shared" si="486"/>
        <v>19.533333333267365</v>
      </c>
      <c r="T2865" s="161">
        <f t="shared" si="487"/>
        <v>5781.8666666471399</v>
      </c>
      <c r="U2865" s="158">
        <f t="shared" si="489"/>
        <v>296</v>
      </c>
      <c r="V2865" s="160">
        <f t="shared" si="488"/>
        <v>296</v>
      </c>
    </row>
    <row r="2866" spans="1:22" x14ac:dyDescent="0.25">
      <c r="A2866" s="98" t="s">
        <v>35</v>
      </c>
      <c r="B2866" s="98" t="s">
        <v>79</v>
      </c>
      <c r="C2866" s="98">
        <v>48</v>
      </c>
      <c r="D2866" s="98">
        <v>1850</v>
      </c>
      <c r="E2866" s="157">
        <v>41402.287499999999</v>
      </c>
      <c r="F2866" s="157">
        <v>41402.526388888888</v>
      </c>
      <c r="G2866" s="98">
        <v>0</v>
      </c>
      <c r="H2866" s="98">
        <v>330</v>
      </c>
      <c r="I2866" s="98">
        <v>296</v>
      </c>
      <c r="J2866" s="98" t="s">
        <v>2263</v>
      </c>
      <c r="K2866" s="98" t="s">
        <v>86</v>
      </c>
      <c r="L2866" s="105" t="str">
        <f t="shared" si="480"/>
        <v>Mill Creek</v>
      </c>
      <c r="M2866" s="105" t="str">
        <f t="shared" si="481"/>
        <v>Other</v>
      </c>
      <c r="N2866" s="105" t="str">
        <f t="shared" si="482"/>
        <v>Coal</v>
      </c>
      <c r="O2866" s="105">
        <f>IFERROR(VLOOKUP(A2866,Lookup!$J$5:$P$19,7,FALSE),0)</f>
        <v>2</v>
      </c>
      <c r="P2866" s="159">
        <f t="shared" si="483"/>
        <v>2013</v>
      </c>
      <c r="Q2866" s="159">
        <f t="shared" si="484"/>
        <v>5</v>
      </c>
      <c r="R2866" s="160">
        <f t="shared" si="485"/>
        <v>5.7333333333372138</v>
      </c>
      <c r="S2866" s="158">
        <f t="shared" si="486"/>
        <v>5.7333333333372138</v>
      </c>
      <c r="T2866" s="161">
        <f t="shared" si="487"/>
        <v>1697.0666666678153</v>
      </c>
      <c r="U2866" s="158">
        <f t="shared" si="489"/>
        <v>296</v>
      </c>
      <c r="V2866" s="160">
        <f t="shared" si="488"/>
        <v>296</v>
      </c>
    </row>
    <row r="2867" spans="1:22" x14ac:dyDescent="0.25">
      <c r="A2867" s="98" t="s">
        <v>35</v>
      </c>
      <c r="B2867" s="98" t="s">
        <v>17</v>
      </c>
      <c r="C2867" s="98">
        <v>49</v>
      </c>
      <c r="D2867" s="98">
        <v>3410</v>
      </c>
      <c r="E2867" s="157">
        <v>41420.349305555559</v>
      </c>
      <c r="F2867" s="157">
        <v>41420.397222222222</v>
      </c>
      <c r="G2867" s="98">
        <v>206</v>
      </c>
      <c r="H2867" s="98">
        <v>330</v>
      </c>
      <c r="I2867" s="98">
        <v>296</v>
      </c>
      <c r="J2867" s="98" t="s">
        <v>1983</v>
      </c>
      <c r="K2867" s="98" t="s">
        <v>647</v>
      </c>
      <c r="L2867" s="105" t="str">
        <f t="shared" si="480"/>
        <v>Mill Creek</v>
      </c>
      <c r="M2867" s="105" t="str">
        <f t="shared" si="481"/>
        <v>Derate</v>
      </c>
      <c r="N2867" s="105" t="str">
        <f t="shared" si="482"/>
        <v>Coal</v>
      </c>
      <c r="O2867" s="105">
        <f>IFERROR(VLOOKUP(A2867,Lookup!$J$5:$P$19,7,FALSE),0)</f>
        <v>2</v>
      </c>
      <c r="P2867" s="159">
        <f t="shared" si="483"/>
        <v>2013</v>
      </c>
      <c r="Q2867" s="159">
        <f t="shared" si="484"/>
        <v>5</v>
      </c>
      <c r="R2867" s="160">
        <f t="shared" si="485"/>
        <v>1.1499999999068677</v>
      </c>
      <c r="S2867" s="158">
        <f t="shared" si="486"/>
        <v>0.43212121208621695</v>
      </c>
      <c r="T2867" s="161">
        <f t="shared" si="487"/>
        <v>127.90787877752022</v>
      </c>
      <c r="U2867" s="158">
        <f t="shared" si="489"/>
        <v>111.22424242424242</v>
      </c>
      <c r="V2867" s="160">
        <f t="shared" si="488"/>
        <v>111</v>
      </c>
    </row>
    <row r="2868" spans="1:22" x14ac:dyDescent="0.25">
      <c r="A2868" s="98" t="s">
        <v>35</v>
      </c>
      <c r="B2868" s="98" t="s">
        <v>105</v>
      </c>
      <c r="C2868" s="98">
        <v>50</v>
      </c>
      <c r="D2868" s="98">
        <v>310</v>
      </c>
      <c r="E2868" s="157">
        <v>41421.875</v>
      </c>
      <c r="F2868" s="157">
        <v>41422.006944444445</v>
      </c>
      <c r="G2868" s="98">
        <v>240</v>
      </c>
      <c r="H2868" s="98">
        <v>330</v>
      </c>
      <c r="I2868" s="98">
        <v>296</v>
      </c>
      <c r="J2868" s="98" t="s">
        <v>1966</v>
      </c>
      <c r="K2868" s="98" t="s">
        <v>619</v>
      </c>
      <c r="L2868" s="105" t="str">
        <f t="shared" si="480"/>
        <v>Mill Creek</v>
      </c>
      <c r="M2868" s="105" t="str">
        <f t="shared" si="481"/>
        <v>Derate</v>
      </c>
      <c r="N2868" s="105" t="str">
        <f t="shared" si="482"/>
        <v>Coal</v>
      </c>
      <c r="O2868" s="105">
        <f>IFERROR(VLOOKUP(A2868,Lookup!$J$5:$P$19,7,FALSE),0)</f>
        <v>2</v>
      </c>
      <c r="P2868" s="159">
        <f t="shared" si="483"/>
        <v>2013</v>
      </c>
      <c r="Q2868" s="159">
        <f t="shared" si="484"/>
        <v>5</v>
      </c>
      <c r="R2868" s="160">
        <f t="shared" si="485"/>
        <v>3.1666666666860692</v>
      </c>
      <c r="S2868" s="158">
        <f t="shared" si="486"/>
        <v>0.86363636364165519</v>
      </c>
      <c r="T2868" s="161">
        <f t="shared" si="487"/>
        <v>255.63636363792995</v>
      </c>
      <c r="U2868" s="158">
        <f t="shared" si="489"/>
        <v>80.727272727272734</v>
      </c>
      <c r="V2868" s="160">
        <f t="shared" si="488"/>
        <v>81</v>
      </c>
    </row>
    <row r="2869" spans="1:22" x14ac:dyDescent="0.25">
      <c r="A2869" s="98" t="s">
        <v>35</v>
      </c>
      <c r="B2869" s="98" t="s">
        <v>105</v>
      </c>
      <c r="C2869" s="98">
        <v>51</v>
      </c>
      <c r="D2869" s="98">
        <v>310</v>
      </c>
      <c r="E2869" s="157">
        <v>41424.958333333336</v>
      </c>
      <c r="F2869" s="157">
        <v>41425.056250000001</v>
      </c>
      <c r="G2869" s="98">
        <v>240</v>
      </c>
      <c r="H2869" s="98">
        <v>330</v>
      </c>
      <c r="I2869" s="98">
        <v>296</v>
      </c>
      <c r="J2869" s="98" t="s">
        <v>1966</v>
      </c>
      <c r="K2869" s="98" t="s">
        <v>123</v>
      </c>
      <c r="L2869" s="105" t="str">
        <f t="shared" si="480"/>
        <v>Mill Creek</v>
      </c>
      <c r="M2869" s="105" t="str">
        <f t="shared" si="481"/>
        <v>Derate</v>
      </c>
      <c r="N2869" s="105" t="str">
        <f t="shared" si="482"/>
        <v>Coal</v>
      </c>
      <c r="O2869" s="105">
        <f>IFERROR(VLOOKUP(A2869,Lookup!$J$5:$P$19,7,FALSE),0)</f>
        <v>2</v>
      </c>
      <c r="P2869" s="159">
        <f t="shared" si="483"/>
        <v>2013</v>
      </c>
      <c r="Q2869" s="159">
        <f t="shared" si="484"/>
        <v>5</v>
      </c>
      <c r="R2869" s="160">
        <f t="shared" si="485"/>
        <v>2.3499999999767169</v>
      </c>
      <c r="S2869" s="158">
        <f t="shared" si="486"/>
        <v>0.64090909090274095</v>
      </c>
      <c r="T2869" s="161">
        <f t="shared" si="487"/>
        <v>189.70909090721133</v>
      </c>
      <c r="U2869" s="158">
        <f t="shared" si="489"/>
        <v>80.727272727272734</v>
      </c>
      <c r="V2869" s="160">
        <f t="shared" si="488"/>
        <v>81</v>
      </c>
    </row>
    <row r="2870" spans="1:22" x14ac:dyDescent="0.25">
      <c r="A2870" s="98" t="s">
        <v>35</v>
      </c>
      <c r="B2870" s="98" t="s">
        <v>17</v>
      </c>
      <c r="C2870" s="98">
        <v>52</v>
      </c>
      <c r="D2870" s="98">
        <v>300</v>
      </c>
      <c r="E2870" s="157">
        <v>41427.006249999999</v>
      </c>
      <c r="F2870" s="157">
        <v>41427.037499999999</v>
      </c>
      <c r="G2870" s="98">
        <v>240</v>
      </c>
      <c r="H2870" s="98">
        <v>330</v>
      </c>
      <c r="I2870" s="98">
        <v>296</v>
      </c>
      <c r="J2870" s="98" t="s">
        <v>1977</v>
      </c>
      <c r="K2870" s="98" t="s">
        <v>648</v>
      </c>
      <c r="L2870" s="105" t="str">
        <f t="shared" si="480"/>
        <v>Mill Creek</v>
      </c>
      <c r="M2870" s="105" t="str">
        <f t="shared" si="481"/>
        <v>Derate</v>
      </c>
      <c r="N2870" s="105" t="str">
        <f t="shared" si="482"/>
        <v>Coal</v>
      </c>
      <c r="O2870" s="105">
        <f>IFERROR(VLOOKUP(A2870,Lookup!$J$5:$P$19,7,FALSE),0)</f>
        <v>2</v>
      </c>
      <c r="P2870" s="159">
        <f t="shared" si="483"/>
        <v>2013</v>
      </c>
      <c r="Q2870" s="159">
        <f t="shared" si="484"/>
        <v>6</v>
      </c>
      <c r="R2870" s="160">
        <f t="shared" si="485"/>
        <v>0.75</v>
      </c>
      <c r="S2870" s="158">
        <f t="shared" si="486"/>
        <v>0.20454545454545456</v>
      </c>
      <c r="T2870" s="161">
        <f t="shared" si="487"/>
        <v>60.545454545454547</v>
      </c>
      <c r="U2870" s="158">
        <f t="shared" si="489"/>
        <v>80.727272727272734</v>
      </c>
      <c r="V2870" s="160">
        <f t="shared" si="488"/>
        <v>81</v>
      </c>
    </row>
    <row r="2871" spans="1:22" x14ac:dyDescent="0.25">
      <c r="A2871" s="98" t="s">
        <v>35</v>
      </c>
      <c r="B2871" s="98" t="s">
        <v>105</v>
      </c>
      <c r="C2871" s="98">
        <v>53</v>
      </c>
      <c r="D2871" s="98">
        <v>200</v>
      </c>
      <c r="E2871" s="157">
        <v>41435.958333333336</v>
      </c>
      <c r="F2871" s="157">
        <v>41436.177083333336</v>
      </c>
      <c r="G2871" s="98">
        <v>240</v>
      </c>
      <c r="H2871" s="98">
        <v>330</v>
      </c>
      <c r="I2871" s="98">
        <v>296</v>
      </c>
      <c r="J2871" s="98" t="s">
        <v>2253</v>
      </c>
      <c r="K2871" s="98" t="s">
        <v>649</v>
      </c>
      <c r="L2871" s="105" t="str">
        <f t="shared" si="480"/>
        <v>Mill Creek</v>
      </c>
      <c r="M2871" s="105" t="str">
        <f t="shared" si="481"/>
        <v>Derate</v>
      </c>
      <c r="N2871" s="105" t="str">
        <f t="shared" si="482"/>
        <v>Coal</v>
      </c>
      <c r="O2871" s="105">
        <f>IFERROR(VLOOKUP(A2871,Lookup!$J$5:$P$19,7,FALSE),0)</f>
        <v>2</v>
      </c>
      <c r="P2871" s="159">
        <f t="shared" si="483"/>
        <v>2013</v>
      </c>
      <c r="Q2871" s="159">
        <f t="shared" si="484"/>
        <v>6</v>
      </c>
      <c r="R2871" s="160">
        <f t="shared" si="485"/>
        <v>5.25</v>
      </c>
      <c r="S2871" s="158">
        <f t="shared" si="486"/>
        <v>1.4318181818181819</v>
      </c>
      <c r="T2871" s="161">
        <f t="shared" si="487"/>
        <v>423.81818181818181</v>
      </c>
      <c r="U2871" s="158">
        <f t="shared" si="489"/>
        <v>80.727272727272734</v>
      </c>
      <c r="V2871" s="160">
        <f t="shared" si="488"/>
        <v>81</v>
      </c>
    </row>
    <row r="2872" spans="1:22" x14ac:dyDescent="0.25">
      <c r="A2872" s="98" t="s">
        <v>35</v>
      </c>
      <c r="B2872" s="98" t="s">
        <v>15</v>
      </c>
      <c r="C2872" s="98">
        <v>54</v>
      </c>
      <c r="D2872" s="98">
        <v>9320</v>
      </c>
      <c r="E2872" s="157">
        <v>41451.86041666667</v>
      </c>
      <c r="F2872" s="157">
        <v>41452.932638888888</v>
      </c>
      <c r="G2872" s="98">
        <v>0</v>
      </c>
      <c r="H2872" s="98">
        <v>330</v>
      </c>
      <c r="I2872" s="98">
        <v>296</v>
      </c>
      <c r="J2872" s="98" t="s">
        <v>2646</v>
      </c>
      <c r="K2872" s="98" t="s">
        <v>650</v>
      </c>
      <c r="L2872" s="105" t="str">
        <f t="shared" si="480"/>
        <v>Mill Creek</v>
      </c>
      <c r="M2872" s="105" t="str">
        <f t="shared" si="481"/>
        <v>Outage</v>
      </c>
      <c r="N2872" s="105" t="str">
        <f t="shared" si="482"/>
        <v>Coal</v>
      </c>
      <c r="O2872" s="105">
        <f>IFERROR(VLOOKUP(A2872,Lookup!$J$5:$P$19,7,FALSE),0)</f>
        <v>2</v>
      </c>
      <c r="P2872" s="159">
        <f t="shared" si="483"/>
        <v>2013</v>
      </c>
      <c r="Q2872" s="159">
        <f t="shared" si="484"/>
        <v>6</v>
      </c>
      <c r="R2872" s="160">
        <f t="shared" si="485"/>
        <v>25.733333333220799</v>
      </c>
      <c r="S2872" s="158">
        <f t="shared" si="486"/>
        <v>25.733333333220799</v>
      </c>
      <c r="T2872" s="161">
        <f t="shared" si="487"/>
        <v>7617.0666666333564</v>
      </c>
      <c r="U2872" s="158">
        <f t="shared" si="489"/>
        <v>296</v>
      </c>
      <c r="V2872" s="160">
        <f t="shared" si="488"/>
        <v>296</v>
      </c>
    </row>
    <row r="2873" spans="1:22" x14ac:dyDescent="0.25">
      <c r="A2873" s="98" t="s">
        <v>35</v>
      </c>
      <c r="B2873" s="98" t="s">
        <v>79</v>
      </c>
      <c r="C2873" s="98">
        <v>55</v>
      </c>
      <c r="D2873" s="98">
        <v>1850</v>
      </c>
      <c r="E2873" s="157">
        <v>41452.932638888888</v>
      </c>
      <c r="F2873" s="157">
        <v>41453.215277777781</v>
      </c>
      <c r="G2873" s="98">
        <v>0</v>
      </c>
      <c r="H2873" s="98">
        <v>330</v>
      </c>
      <c r="I2873" s="98">
        <v>296</v>
      </c>
      <c r="J2873" s="98" t="s">
        <v>2263</v>
      </c>
      <c r="K2873" s="98" t="s">
        <v>86</v>
      </c>
      <c r="L2873" s="105" t="str">
        <f t="shared" si="480"/>
        <v>Mill Creek</v>
      </c>
      <c r="M2873" s="105" t="str">
        <f t="shared" si="481"/>
        <v>Other</v>
      </c>
      <c r="N2873" s="105" t="str">
        <f t="shared" si="482"/>
        <v>Coal</v>
      </c>
      <c r="O2873" s="105">
        <f>IFERROR(VLOOKUP(A2873,Lookup!$J$5:$P$19,7,FALSE),0)</f>
        <v>2</v>
      </c>
      <c r="P2873" s="159">
        <f t="shared" si="483"/>
        <v>2013</v>
      </c>
      <c r="Q2873" s="159">
        <f t="shared" si="484"/>
        <v>6</v>
      </c>
      <c r="R2873" s="160">
        <f t="shared" si="485"/>
        <v>6.7833333334419876</v>
      </c>
      <c r="S2873" s="158">
        <f t="shared" si="486"/>
        <v>6.7833333334419876</v>
      </c>
      <c r="T2873" s="161">
        <f t="shared" si="487"/>
        <v>2007.8666666988283</v>
      </c>
      <c r="U2873" s="158">
        <f t="shared" si="489"/>
        <v>296</v>
      </c>
      <c r="V2873" s="160">
        <f t="shared" si="488"/>
        <v>296</v>
      </c>
    </row>
    <row r="2874" spans="1:22" x14ac:dyDescent="0.25">
      <c r="A2874" s="98" t="s">
        <v>35</v>
      </c>
      <c r="B2874" s="98" t="s">
        <v>17</v>
      </c>
      <c r="C2874" s="98">
        <v>56</v>
      </c>
      <c r="D2874" s="98">
        <v>1850</v>
      </c>
      <c r="E2874" s="157">
        <v>41453.215277777781</v>
      </c>
      <c r="F2874" s="157">
        <v>41453.246527777781</v>
      </c>
      <c r="G2874" s="98">
        <v>256</v>
      </c>
      <c r="H2874" s="98">
        <v>330</v>
      </c>
      <c r="I2874" s="98">
        <v>296</v>
      </c>
      <c r="J2874" s="98" t="s">
        <v>2263</v>
      </c>
      <c r="K2874" s="98" t="s">
        <v>41</v>
      </c>
      <c r="L2874" s="105" t="str">
        <f t="shared" si="480"/>
        <v>Mill Creek</v>
      </c>
      <c r="M2874" s="105" t="str">
        <f t="shared" si="481"/>
        <v>Derate</v>
      </c>
      <c r="N2874" s="105" t="str">
        <f t="shared" si="482"/>
        <v>Coal</v>
      </c>
      <c r="O2874" s="105">
        <f>IFERROR(VLOOKUP(A2874,Lookup!$J$5:$P$19,7,FALSE),0)</f>
        <v>2</v>
      </c>
      <c r="P2874" s="159">
        <f t="shared" si="483"/>
        <v>2013</v>
      </c>
      <c r="Q2874" s="159">
        <f t="shared" si="484"/>
        <v>6</v>
      </c>
      <c r="R2874" s="160">
        <f t="shared" si="485"/>
        <v>0.75</v>
      </c>
      <c r="S2874" s="158">
        <f t="shared" si="486"/>
        <v>0.16818181818181818</v>
      </c>
      <c r="T2874" s="161">
        <f t="shared" si="487"/>
        <v>49.781818181818181</v>
      </c>
      <c r="U2874" s="158">
        <f t="shared" si="489"/>
        <v>66.375757575757575</v>
      </c>
      <c r="V2874" s="160">
        <f t="shared" si="488"/>
        <v>66</v>
      </c>
    </row>
    <row r="2875" spans="1:22" x14ac:dyDescent="0.25">
      <c r="A2875" s="98" t="s">
        <v>35</v>
      </c>
      <c r="B2875" s="98" t="s">
        <v>17</v>
      </c>
      <c r="C2875" s="98">
        <v>57</v>
      </c>
      <c r="D2875" s="98">
        <v>1850</v>
      </c>
      <c r="E2875" s="157">
        <v>41453.246527777781</v>
      </c>
      <c r="F2875" s="157">
        <v>41453.279166666667</v>
      </c>
      <c r="G2875" s="98">
        <v>321</v>
      </c>
      <c r="H2875" s="98">
        <v>330</v>
      </c>
      <c r="I2875" s="98">
        <v>296</v>
      </c>
      <c r="J2875" s="98" t="s">
        <v>2263</v>
      </c>
      <c r="K2875" s="98" t="s">
        <v>41</v>
      </c>
      <c r="L2875" s="105" t="str">
        <f t="shared" si="480"/>
        <v>Mill Creek</v>
      </c>
      <c r="M2875" s="105" t="str">
        <f t="shared" si="481"/>
        <v>Derate</v>
      </c>
      <c r="N2875" s="105" t="str">
        <f t="shared" si="482"/>
        <v>Coal</v>
      </c>
      <c r="O2875" s="105">
        <f>IFERROR(VLOOKUP(A2875,Lookup!$J$5:$P$19,7,FALSE),0)</f>
        <v>2</v>
      </c>
      <c r="P2875" s="159">
        <f t="shared" si="483"/>
        <v>2013</v>
      </c>
      <c r="Q2875" s="159">
        <f t="shared" si="484"/>
        <v>6</v>
      </c>
      <c r="R2875" s="160">
        <f t="shared" si="485"/>
        <v>0.78333333326736465</v>
      </c>
      <c r="S2875" s="158">
        <f t="shared" si="486"/>
        <v>2.1363636361837218E-2</v>
      </c>
      <c r="T2875" s="161">
        <f t="shared" si="487"/>
        <v>6.3236363631038168</v>
      </c>
      <c r="U2875" s="158">
        <f t="shared" si="489"/>
        <v>8.0727272727272723</v>
      </c>
      <c r="V2875" s="160">
        <f t="shared" si="488"/>
        <v>8</v>
      </c>
    </row>
    <row r="2876" spans="1:22" x14ac:dyDescent="0.25">
      <c r="A2876" s="98" t="s">
        <v>35</v>
      </c>
      <c r="B2876" s="98" t="s">
        <v>17</v>
      </c>
      <c r="C2876" s="98">
        <v>58</v>
      </c>
      <c r="D2876" s="98">
        <v>100</v>
      </c>
      <c r="E2876" s="157">
        <v>41455.454861111109</v>
      </c>
      <c r="F2876" s="157">
        <v>41455.577777777777</v>
      </c>
      <c r="G2876" s="98">
        <v>255</v>
      </c>
      <c r="H2876" s="98">
        <v>330</v>
      </c>
      <c r="I2876" s="98">
        <v>296</v>
      </c>
      <c r="J2876" s="98" t="s">
        <v>2283</v>
      </c>
      <c r="K2876" s="98" t="s">
        <v>651</v>
      </c>
      <c r="L2876" s="105" t="str">
        <f t="shared" si="480"/>
        <v>Mill Creek</v>
      </c>
      <c r="M2876" s="105" t="str">
        <f t="shared" si="481"/>
        <v>Derate</v>
      </c>
      <c r="N2876" s="105" t="str">
        <f t="shared" si="482"/>
        <v>Coal</v>
      </c>
      <c r="O2876" s="105">
        <f>IFERROR(VLOOKUP(A2876,Lookup!$J$5:$P$19,7,FALSE),0)</f>
        <v>2</v>
      </c>
      <c r="P2876" s="159">
        <f t="shared" si="483"/>
        <v>2013</v>
      </c>
      <c r="Q2876" s="159">
        <f t="shared" si="484"/>
        <v>6</v>
      </c>
      <c r="R2876" s="160">
        <f t="shared" si="485"/>
        <v>2.9500000000116415</v>
      </c>
      <c r="S2876" s="158">
        <f t="shared" si="486"/>
        <v>0.6704545454571913</v>
      </c>
      <c r="T2876" s="161">
        <f t="shared" si="487"/>
        <v>198.45454545532863</v>
      </c>
      <c r="U2876" s="158">
        <f t="shared" si="489"/>
        <v>67.272727272727266</v>
      </c>
      <c r="V2876" s="160">
        <f t="shared" si="488"/>
        <v>67</v>
      </c>
    </row>
    <row r="2877" spans="1:22" x14ac:dyDescent="0.25">
      <c r="A2877" s="98" t="s">
        <v>35</v>
      </c>
      <c r="B2877" s="98" t="s">
        <v>105</v>
      </c>
      <c r="C2877" s="98">
        <v>59</v>
      </c>
      <c r="D2877" s="98">
        <v>310</v>
      </c>
      <c r="E2877" s="157">
        <v>41455.958333333336</v>
      </c>
      <c r="F2877" s="157">
        <v>41456.143055555556</v>
      </c>
      <c r="G2877" s="98">
        <v>230</v>
      </c>
      <c r="H2877" s="98">
        <v>330</v>
      </c>
      <c r="I2877" s="98">
        <v>296</v>
      </c>
      <c r="J2877" s="98" t="s">
        <v>1966</v>
      </c>
      <c r="K2877" s="98" t="s">
        <v>652</v>
      </c>
      <c r="L2877" s="105" t="str">
        <f t="shared" si="480"/>
        <v>Mill Creek</v>
      </c>
      <c r="M2877" s="105" t="str">
        <f t="shared" si="481"/>
        <v>Derate</v>
      </c>
      <c r="N2877" s="105" t="str">
        <f t="shared" si="482"/>
        <v>Coal</v>
      </c>
      <c r="O2877" s="105">
        <f>IFERROR(VLOOKUP(A2877,Lookup!$J$5:$P$19,7,FALSE),0)</f>
        <v>2</v>
      </c>
      <c r="P2877" s="159">
        <f t="shared" si="483"/>
        <v>2013</v>
      </c>
      <c r="Q2877" s="159">
        <f t="shared" si="484"/>
        <v>6</v>
      </c>
      <c r="R2877" s="160">
        <f t="shared" si="485"/>
        <v>4.4333333332906477</v>
      </c>
      <c r="S2877" s="158">
        <f t="shared" si="486"/>
        <v>1.3434343434214084</v>
      </c>
      <c r="T2877" s="161">
        <f t="shared" si="487"/>
        <v>397.6565656527369</v>
      </c>
      <c r="U2877" s="158">
        <f t="shared" si="489"/>
        <v>89.696969696969703</v>
      </c>
      <c r="V2877" s="160">
        <f t="shared" si="488"/>
        <v>90</v>
      </c>
    </row>
    <row r="2878" spans="1:22" x14ac:dyDescent="0.25">
      <c r="A2878" s="98" t="s">
        <v>35</v>
      </c>
      <c r="B2878" s="98" t="s">
        <v>105</v>
      </c>
      <c r="C2878" s="98">
        <v>60</v>
      </c>
      <c r="D2878" s="98">
        <v>250</v>
      </c>
      <c r="E2878" s="157">
        <v>41457.958333333336</v>
      </c>
      <c r="F2878" s="157">
        <v>41458.159722222219</v>
      </c>
      <c r="G2878" s="98">
        <v>250</v>
      </c>
      <c r="H2878" s="98">
        <v>330</v>
      </c>
      <c r="I2878" s="98">
        <v>296</v>
      </c>
      <c r="J2878" s="98" t="s">
        <v>1978</v>
      </c>
      <c r="K2878" s="98" t="s">
        <v>626</v>
      </c>
      <c r="L2878" s="105" t="str">
        <f t="shared" si="480"/>
        <v>Mill Creek</v>
      </c>
      <c r="M2878" s="105" t="str">
        <f t="shared" si="481"/>
        <v>Derate</v>
      </c>
      <c r="N2878" s="105" t="str">
        <f t="shared" si="482"/>
        <v>Coal</v>
      </c>
      <c r="O2878" s="105">
        <f>IFERROR(VLOOKUP(A2878,Lookup!$J$5:$P$19,7,FALSE),0)</f>
        <v>2</v>
      </c>
      <c r="P2878" s="159">
        <f t="shared" si="483"/>
        <v>2013</v>
      </c>
      <c r="Q2878" s="159">
        <f t="shared" si="484"/>
        <v>7</v>
      </c>
      <c r="R2878" s="160">
        <f t="shared" si="485"/>
        <v>4.8333333331975155</v>
      </c>
      <c r="S2878" s="158">
        <f t="shared" si="486"/>
        <v>1.1717171716842463</v>
      </c>
      <c r="T2878" s="161">
        <f t="shared" si="487"/>
        <v>346.82828281853688</v>
      </c>
      <c r="U2878" s="158">
        <f t="shared" si="489"/>
        <v>71.757575757575751</v>
      </c>
      <c r="V2878" s="160">
        <f t="shared" si="488"/>
        <v>72</v>
      </c>
    </row>
    <row r="2879" spans="1:22" x14ac:dyDescent="0.25">
      <c r="A2879" s="98" t="s">
        <v>35</v>
      </c>
      <c r="B2879" s="98" t="s">
        <v>17</v>
      </c>
      <c r="C2879" s="98">
        <v>61</v>
      </c>
      <c r="D2879" s="98">
        <v>1080</v>
      </c>
      <c r="E2879" s="157">
        <v>41459.395833333336</v>
      </c>
      <c r="F2879" s="157">
        <v>41459.443055555559</v>
      </c>
      <c r="G2879" s="98">
        <v>215</v>
      </c>
      <c r="H2879" s="98">
        <v>330</v>
      </c>
      <c r="I2879" s="98">
        <v>296</v>
      </c>
      <c r="J2879" s="98" t="s">
        <v>1991</v>
      </c>
      <c r="K2879" s="98" t="s">
        <v>59</v>
      </c>
      <c r="L2879" s="105" t="str">
        <f t="shared" si="480"/>
        <v>Mill Creek</v>
      </c>
      <c r="M2879" s="105" t="str">
        <f t="shared" si="481"/>
        <v>Derate</v>
      </c>
      <c r="N2879" s="105" t="str">
        <f t="shared" si="482"/>
        <v>Coal</v>
      </c>
      <c r="O2879" s="105">
        <f>IFERROR(VLOOKUP(A2879,Lookup!$J$5:$P$19,7,FALSE),0)</f>
        <v>2</v>
      </c>
      <c r="P2879" s="159">
        <f t="shared" si="483"/>
        <v>2013</v>
      </c>
      <c r="Q2879" s="159">
        <f t="shared" si="484"/>
        <v>7</v>
      </c>
      <c r="R2879" s="160">
        <f t="shared" si="485"/>
        <v>1.1333333333604969</v>
      </c>
      <c r="S2879" s="158">
        <f t="shared" si="486"/>
        <v>0.39494949495896103</v>
      </c>
      <c r="T2879" s="161">
        <f t="shared" si="487"/>
        <v>116.90505050785247</v>
      </c>
      <c r="U2879" s="158">
        <f t="shared" si="489"/>
        <v>103.15151515151516</v>
      </c>
      <c r="V2879" s="160">
        <f t="shared" si="488"/>
        <v>103</v>
      </c>
    </row>
    <row r="2880" spans="1:22" x14ac:dyDescent="0.25">
      <c r="A2880" s="98" t="s">
        <v>35</v>
      </c>
      <c r="B2880" s="98" t="s">
        <v>33</v>
      </c>
      <c r="C2880" s="98">
        <v>62</v>
      </c>
      <c r="D2880" s="98">
        <v>1080</v>
      </c>
      <c r="E2880" s="157">
        <v>41459.443055555559</v>
      </c>
      <c r="F2880" s="157">
        <v>41460.359722222223</v>
      </c>
      <c r="G2880" s="98">
        <v>0</v>
      </c>
      <c r="H2880" s="98">
        <v>330</v>
      </c>
      <c r="I2880" s="98">
        <v>296</v>
      </c>
      <c r="J2880" s="98" t="s">
        <v>1991</v>
      </c>
      <c r="K2880" s="98" t="s">
        <v>653</v>
      </c>
      <c r="L2880" s="105" t="str">
        <f t="shared" si="480"/>
        <v>Mill Creek</v>
      </c>
      <c r="M2880" s="105" t="str">
        <f t="shared" si="481"/>
        <v>Outage</v>
      </c>
      <c r="N2880" s="105" t="str">
        <f t="shared" si="482"/>
        <v>Coal</v>
      </c>
      <c r="O2880" s="105">
        <f>IFERROR(VLOOKUP(A2880,Lookup!$J$5:$P$19,7,FALSE),0)</f>
        <v>2</v>
      </c>
      <c r="P2880" s="159">
        <f t="shared" si="483"/>
        <v>2013</v>
      </c>
      <c r="Q2880" s="159">
        <f t="shared" si="484"/>
        <v>7</v>
      </c>
      <c r="R2880" s="160">
        <f t="shared" si="485"/>
        <v>21.999999999941792</v>
      </c>
      <c r="S2880" s="158">
        <f t="shared" si="486"/>
        <v>21.999999999941792</v>
      </c>
      <c r="T2880" s="161">
        <f t="shared" si="487"/>
        <v>6511.9999999827705</v>
      </c>
      <c r="U2880" s="158">
        <f t="shared" si="489"/>
        <v>296</v>
      </c>
      <c r="V2880" s="160">
        <f t="shared" si="488"/>
        <v>296</v>
      </c>
    </row>
    <row r="2881" spans="1:22" x14ac:dyDescent="0.25">
      <c r="A2881" s="98" t="s">
        <v>35</v>
      </c>
      <c r="B2881" s="98" t="s">
        <v>79</v>
      </c>
      <c r="C2881" s="98">
        <v>63</v>
      </c>
      <c r="D2881" s="98">
        <v>1850</v>
      </c>
      <c r="E2881" s="157">
        <v>41460.359722222223</v>
      </c>
      <c r="F2881" s="157">
        <v>41460.625</v>
      </c>
      <c r="G2881" s="98">
        <v>0</v>
      </c>
      <c r="H2881" s="98">
        <v>330</v>
      </c>
      <c r="I2881" s="98">
        <v>296</v>
      </c>
      <c r="J2881" s="98" t="s">
        <v>2263</v>
      </c>
      <c r="K2881" s="98" t="s">
        <v>86</v>
      </c>
      <c r="L2881" s="105" t="str">
        <f t="shared" si="480"/>
        <v>Mill Creek</v>
      </c>
      <c r="M2881" s="105" t="str">
        <f t="shared" si="481"/>
        <v>Other</v>
      </c>
      <c r="N2881" s="105" t="str">
        <f t="shared" si="482"/>
        <v>Coal</v>
      </c>
      <c r="O2881" s="105">
        <f>IFERROR(VLOOKUP(A2881,Lookup!$J$5:$P$19,7,FALSE),0)</f>
        <v>2</v>
      </c>
      <c r="P2881" s="159">
        <f t="shared" si="483"/>
        <v>2013</v>
      </c>
      <c r="Q2881" s="159">
        <f t="shared" si="484"/>
        <v>7</v>
      </c>
      <c r="R2881" s="160">
        <f t="shared" si="485"/>
        <v>6.3666666666395031</v>
      </c>
      <c r="S2881" s="158">
        <f t="shared" si="486"/>
        <v>6.3666666666395031</v>
      </c>
      <c r="T2881" s="161">
        <f t="shared" si="487"/>
        <v>1884.5333333252929</v>
      </c>
      <c r="U2881" s="158">
        <f t="shared" si="489"/>
        <v>296</v>
      </c>
      <c r="V2881" s="160">
        <f t="shared" si="488"/>
        <v>296</v>
      </c>
    </row>
    <row r="2882" spans="1:22" x14ac:dyDescent="0.25">
      <c r="A2882" s="98" t="s">
        <v>35</v>
      </c>
      <c r="B2882" s="98" t="s">
        <v>17</v>
      </c>
      <c r="C2882" s="98">
        <v>64</v>
      </c>
      <c r="D2882" s="98">
        <v>1850</v>
      </c>
      <c r="E2882" s="157">
        <v>41460.625</v>
      </c>
      <c r="F2882" s="157">
        <v>41460.809027777781</v>
      </c>
      <c r="G2882" s="98">
        <v>264</v>
      </c>
      <c r="H2882" s="98">
        <v>330</v>
      </c>
      <c r="I2882" s="98">
        <v>296</v>
      </c>
      <c r="J2882" s="98" t="s">
        <v>2263</v>
      </c>
      <c r="K2882" s="98" t="s">
        <v>41</v>
      </c>
      <c r="L2882" s="105" t="str">
        <f t="shared" si="480"/>
        <v>Mill Creek</v>
      </c>
      <c r="M2882" s="105" t="str">
        <f t="shared" si="481"/>
        <v>Derate</v>
      </c>
      <c r="N2882" s="105" t="str">
        <f t="shared" si="482"/>
        <v>Coal</v>
      </c>
      <c r="O2882" s="105">
        <f>IFERROR(VLOOKUP(A2882,Lookup!$J$5:$P$19,7,FALSE),0)</f>
        <v>2</v>
      </c>
      <c r="P2882" s="159">
        <f t="shared" si="483"/>
        <v>2013</v>
      </c>
      <c r="Q2882" s="159">
        <f t="shared" si="484"/>
        <v>7</v>
      </c>
      <c r="R2882" s="160">
        <f t="shared" si="485"/>
        <v>4.4166666667442769</v>
      </c>
      <c r="S2882" s="158">
        <f t="shared" si="486"/>
        <v>0.88333333334885533</v>
      </c>
      <c r="T2882" s="161">
        <f t="shared" si="487"/>
        <v>261.46666667126118</v>
      </c>
      <c r="U2882" s="158">
        <f t="shared" si="489"/>
        <v>59.2</v>
      </c>
      <c r="V2882" s="160">
        <f t="shared" si="488"/>
        <v>59</v>
      </c>
    </row>
    <row r="2883" spans="1:22" x14ac:dyDescent="0.25">
      <c r="A2883" s="98" t="s">
        <v>35</v>
      </c>
      <c r="B2883" s="98" t="s">
        <v>105</v>
      </c>
      <c r="C2883" s="98">
        <v>65</v>
      </c>
      <c r="D2883" s="98">
        <v>570</v>
      </c>
      <c r="E2883" s="157">
        <v>41465.958333333336</v>
      </c>
      <c r="F2883" s="157">
        <v>41466.033333333333</v>
      </c>
      <c r="G2883" s="98">
        <v>140</v>
      </c>
      <c r="H2883" s="98">
        <v>330</v>
      </c>
      <c r="I2883" s="98">
        <v>296</v>
      </c>
      <c r="J2883" s="98" t="s">
        <v>2747</v>
      </c>
      <c r="K2883" s="98" t="s">
        <v>654</v>
      </c>
      <c r="L2883" s="105" t="str">
        <f t="shared" si="480"/>
        <v>Mill Creek</v>
      </c>
      <c r="M2883" s="105" t="str">
        <f t="shared" si="481"/>
        <v>Derate</v>
      </c>
      <c r="N2883" s="105" t="str">
        <f t="shared" si="482"/>
        <v>Coal</v>
      </c>
      <c r="O2883" s="105">
        <f>IFERROR(VLOOKUP(A2883,Lookup!$J$5:$P$19,7,FALSE),0)</f>
        <v>2</v>
      </c>
      <c r="P2883" s="159">
        <f t="shared" si="483"/>
        <v>2013</v>
      </c>
      <c r="Q2883" s="159">
        <f t="shared" si="484"/>
        <v>7</v>
      </c>
      <c r="R2883" s="160">
        <f t="shared" si="485"/>
        <v>1.7999999999301508</v>
      </c>
      <c r="S2883" s="158">
        <f t="shared" si="486"/>
        <v>1.0363636363234201</v>
      </c>
      <c r="T2883" s="161">
        <f t="shared" si="487"/>
        <v>306.76363635173237</v>
      </c>
      <c r="U2883" s="158">
        <f t="shared" si="489"/>
        <v>170.42424242424244</v>
      </c>
      <c r="V2883" s="160">
        <f t="shared" si="488"/>
        <v>170</v>
      </c>
    </row>
    <row r="2884" spans="1:22" x14ac:dyDescent="0.25">
      <c r="A2884" s="98" t="s">
        <v>35</v>
      </c>
      <c r="B2884" s="98" t="s">
        <v>79</v>
      </c>
      <c r="C2884" s="98">
        <v>66</v>
      </c>
      <c r="D2884" s="98">
        <v>310</v>
      </c>
      <c r="E2884" s="157">
        <v>41476.916666666664</v>
      </c>
      <c r="F2884" s="157">
        <v>41477.134722222225</v>
      </c>
      <c r="G2884" s="98">
        <v>0</v>
      </c>
      <c r="H2884" s="98">
        <v>330</v>
      </c>
      <c r="I2884" s="98">
        <v>296</v>
      </c>
      <c r="J2884" s="98" t="s">
        <v>1966</v>
      </c>
      <c r="K2884" s="98" t="s">
        <v>1447</v>
      </c>
      <c r="L2884" s="105" t="str">
        <f t="shared" si="480"/>
        <v>Mill Creek</v>
      </c>
      <c r="M2884" s="105" t="str">
        <f t="shared" si="481"/>
        <v>Other</v>
      </c>
      <c r="N2884" s="105" t="str">
        <f t="shared" si="482"/>
        <v>Coal</v>
      </c>
      <c r="O2884" s="105">
        <f>IFERROR(VLOOKUP(A2884,Lookup!$J$5:$P$19,7,FALSE),0)</f>
        <v>2</v>
      </c>
      <c r="P2884" s="159">
        <f t="shared" si="483"/>
        <v>2013</v>
      </c>
      <c r="Q2884" s="159">
        <f t="shared" si="484"/>
        <v>7</v>
      </c>
      <c r="R2884" s="160">
        <f t="shared" si="485"/>
        <v>5.2333333334536292</v>
      </c>
      <c r="S2884" s="158">
        <f t="shared" si="486"/>
        <v>5.2333333334536292</v>
      </c>
      <c r="T2884" s="161">
        <f t="shared" si="487"/>
        <v>1549.0666667022742</v>
      </c>
      <c r="U2884" s="158">
        <f t="shared" si="489"/>
        <v>296</v>
      </c>
      <c r="V2884" s="160">
        <f t="shared" si="488"/>
        <v>296</v>
      </c>
    </row>
    <row r="2885" spans="1:22" x14ac:dyDescent="0.25">
      <c r="A2885" s="98" t="s">
        <v>35</v>
      </c>
      <c r="B2885" s="98" t="s">
        <v>20</v>
      </c>
      <c r="C2885" s="98">
        <v>67</v>
      </c>
      <c r="D2885" s="98">
        <v>8260</v>
      </c>
      <c r="E2885" s="157">
        <v>41480.347222222219</v>
      </c>
      <c r="F2885" s="157">
        <v>41482.105555555558</v>
      </c>
      <c r="G2885" s="98">
        <v>0</v>
      </c>
      <c r="H2885" s="98">
        <v>330</v>
      </c>
      <c r="I2885" s="98">
        <v>296</v>
      </c>
      <c r="J2885" s="98" t="s">
        <v>2248</v>
      </c>
      <c r="K2885" s="98" t="s">
        <v>1448</v>
      </c>
      <c r="L2885" s="105" t="str">
        <f t="shared" si="480"/>
        <v>Mill Creek</v>
      </c>
      <c r="M2885" s="105" t="str">
        <f t="shared" si="481"/>
        <v>Maintenance</v>
      </c>
      <c r="N2885" s="105" t="str">
        <f t="shared" si="482"/>
        <v>Coal</v>
      </c>
      <c r="O2885" s="105">
        <f>IFERROR(VLOOKUP(A2885,Lookup!$J$5:$P$19,7,FALSE),0)</f>
        <v>2</v>
      </c>
      <c r="P2885" s="159">
        <f t="shared" si="483"/>
        <v>2013</v>
      </c>
      <c r="Q2885" s="159">
        <f t="shared" si="484"/>
        <v>7</v>
      </c>
      <c r="R2885" s="160">
        <f t="shared" si="485"/>
        <v>42.200000000128057</v>
      </c>
      <c r="S2885" s="158">
        <f t="shared" si="486"/>
        <v>42.200000000128057</v>
      </c>
      <c r="T2885" s="161">
        <f t="shared" si="487"/>
        <v>12491.200000037905</v>
      </c>
      <c r="U2885" s="158">
        <f t="shared" si="489"/>
        <v>296</v>
      </c>
      <c r="V2885" s="160">
        <f t="shared" si="488"/>
        <v>296</v>
      </c>
    </row>
    <row r="2886" spans="1:22" x14ac:dyDescent="0.25">
      <c r="A2886" s="98" t="s">
        <v>35</v>
      </c>
      <c r="B2886" s="98" t="s">
        <v>79</v>
      </c>
      <c r="C2886" s="98">
        <v>68</v>
      </c>
      <c r="D2886" s="98">
        <v>1850</v>
      </c>
      <c r="E2886" s="157">
        <v>41482.105555555558</v>
      </c>
      <c r="F2886" s="157">
        <v>41482.476388888892</v>
      </c>
      <c r="G2886" s="98">
        <v>0</v>
      </c>
      <c r="H2886" s="98">
        <v>330</v>
      </c>
      <c r="I2886" s="98">
        <v>296</v>
      </c>
      <c r="J2886" s="98" t="s">
        <v>2263</v>
      </c>
      <c r="K2886" s="98" t="s">
        <v>86</v>
      </c>
      <c r="L2886" s="105" t="str">
        <f t="shared" si="480"/>
        <v>Mill Creek</v>
      </c>
      <c r="M2886" s="105" t="str">
        <f t="shared" si="481"/>
        <v>Other</v>
      </c>
      <c r="N2886" s="105" t="str">
        <f t="shared" si="482"/>
        <v>Coal</v>
      </c>
      <c r="O2886" s="105">
        <f>IFERROR(VLOOKUP(A2886,Lookup!$J$5:$P$19,7,FALSE),0)</f>
        <v>2</v>
      </c>
      <c r="P2886" s="159">
        <f t="shared" si="483"/>
        <v>2013</v>
      </c>
      <c r="Q2886" s="159">
        <f t="shared" si="484"/>
        <v>7</v>
      </c>
      <c r="R2886" s="160">
        <f t="shared" si="485"/>
        <v>8.9000000000232831</v>
      </c>
      <c r="S2886" s="158">
        <f t="shared" si="486"/>
        <v>8.9000000000232831</v>
      </c>
      <c r="T2886" s="161">
        <f t="shared" si="487"/>
        <v>2634.4000000068918</v>
      </c>
      <c r="U2886" s="158">
        <f t="shared" si="489"/>
        <v>296</v>
      </c>
      <c r="V2886" s="160">
        <f t="shared" si="488"/>
        <v>296</v>
      </c>
    </row>
    <row r="2887" spans="1:22" x14ac:dyDescent="0.25">
      <c r="A2887" s="98" t="s">
        <v>35</v>
      </c>
      <c r="B2887" s="98" t="s">
        <v>17</v>
      </c>
      <c r="C2887" s="98">
        <v>69</v>
      </c>
      <c r="D2887" s="98">
        <v>310</v>
      </c>
      <c r="E2887" s="157">
        <v>41483.941666666666</v>
      </c>
      <c r="F2887" s="157">
        <v>41484</v>
      </c>
      <c r="G2887" s="98">
        <v>245</v>
      </c>
      <c r="H2887" s="98">
        <v>330</v>
      </c>
      <c r="I2887" s="98">
        <v>296</v>
      </c>
      <c r="J2887" s="98" t="s">
        <v>1966</v>
      </c>
      <c r="K2887" s="98" t="s">
        <v>619</v>
      </c>
      <c r="L2887" s="105" t="str">
        <f t="shared" si="480"/>
        <v>Mill Creek</v>
      </c>
      <c r="M2887" s="105" t="str">
        <f t="shared" si="481"/>
        <v>Derate</v>
      </c>
      <c r="N2887" s="105" t="str">
        <f t="shared" si="482"/>
        <v>Coal</v>
      </c>
      <c r="O2887" s="105">
        <f>IFERROR(VLOOKUP(A2887,Lookup!$J$5:$P$19,7,FALSE),0)</f>
        <v>2</v>
      </c>
      <c r="P2887" s="159">
        <f t="shared" si="483"/>
        <v>2013</v>
      </c>
      <c r="Q2887" s="159">
        <f t="shared" si="484"/>
        <v>7</v>
      </c>
      <c r="R2887" s="160">
        <f t="shared" si="485"/>
        <v>1.4000000000232831</v>
      </c>
      <c r="S2887" s="158">
        <f t="shared" si="486"/>
        <v>0.36060606061205774</v>
      </c>
      <c r="T2887" s="161">
        <f t="shared" si="487"/>
        <v>106.7393939411691</v>
      </c>
      <c r="U2887" s="158">
        <f t="shared" si="489"/>
        <v>76.242424242424249</v>
      </c>
      <c r="V2887" s="160">
        <f t="shared" si="488"/>
        <v>76</v>
      </c>
    </row>
    <row r="2888" spans="1:22" x14ac:dyDescent="0.25">
      <c r="A2888" s="98" t="s">
        <v>35</v>
      </c>
      <c r="B2888" s="98" t="s">
        <v>105</v>
      </c>
      <c r="C2888" s="98">
        <v>70</v>
      </c>
      <c r="D2888" s="98">
        <v>310</v>
      </c>
      <c r="E2888" s="157">
        <v>41484.958333333336</v>
      </c>
      <c r="F2888" s="157">
        <v>41485.083333333336</v>
      </c>
      <c r="G2888" s="98">
        <v>240</v>
      </c>
      <c r="H2888" s="98">
        <v>330</v>
      </c>
      <c r="I2888" s="98">
        <v>296</v>
      </c>
      <c r="J2888" s="98" t="s">
        <v>1966</v>
      </c>
      <c r="K2888" s="98" t="s">
        <v>1449</v>
      </c>
      <c r="L2888" s="105" t="str">
        <f t="shared" si="480"/>
        <v>Mill Creek</v>
      </c>
      <c r="M2888" s="105" t="str">
        <f t="shared" si="481"/>
        <v>Derate</v>
      </c>
      <c r="N2888" s="105" t="str">
        <f t="shared" si="482"/>
        <v>Coal</v>
      </c>
      <c r="O2888" s="105">
        <f>IFERROR(VLOOKUP(A2888,Lookup!$J$5:$P$19,7,FALSE),0)</f>
        <v>2</v>
      </c>
      <c r="P2888" s="159">
        <f t="shared" si="483"/>
        <v>2013</v>
      </c>
      <c r="Q2888" s="159">
        <f t="shared" si="484"/>
        <v>7</v>
      </c>
      <c r="R2888" s="160">
        <f t="shared" si="485"/>
        <v>3</v>
      </c>
      <c r="S2888" s="158">
        <f t="shared" si="486"/>
        <v>0.81818181818181823</v>
      </c>
      <c r="T2888" s="161">
        <f t="shared" si="487"/>
        <v>242.18181818181819</v>
      </c>
      <c r="U2888" s="158">
        <f t="shared" si="489"/>
        <v>80.727272727272734</v>
      </c>
      <c r="V2888" s="160">
        <f t="shared" si="488"/>
        <v>81</v>
      </c>
    </row>
    <row r="2889" spans="1:22" x14ac:dyDescent="0.25">
      <c r="A2889" s="98" t="s">
        <v>35</v>
      </c>
      <c r="B2889" s="98" t="s">
        <v>79</v>
      </c>
      <c r="C2889" s="98">
        <v>71</v>
      </c>
      <c r="D2889" s="98">
        <v>9999</v>
      </c>
      <c r="E2889" s="157">
        <v>41485.375</v>
      </c>
      <c r="F2889" s="157">
        <v>41485.547222222223</v>
      </c>
      <c r="G2889" s="98">
        <v>0</v>
      </c>
      <c r="H2889" s="98">
        <v>330</v>
      </c>
      <c r="I2889" s="98">
        <v>296</v>
      </c>
      <c r="J2889" s="98" t="s">
        <v>2261</v>
      </c>
      <c r="K2889" s="98" t="s">
        <v>1356</v>
      </c>
      <c r="L2889" s="105" t="str">
        <f t="shared" si="480"/>
        <v>Mill Creek</v>
      </c>
      <c r="M2889" s="105" t="str">
        <f t="shared" si="481"/>
        <v>Other</v>
      </c>
      <c r="N2889" s="105" t="str">
        <f t="shared" si="482"/>
        <v>Coal</v>
      </c>
      <c r="O2889" s="105">
        <f>IFERROR(VLOOKUP(A2889,Lookup!$J$5:$P$19,7,FALSE),0)</f>
        <v>2</v>
      </c>
      <c r="P2889" s="159">
        <f t="shared" si="483"/>
        <v>2013</v>
      </c>
      <c r="Q2889" s="159">
        <f t="shared" si="484"/>
        <v>7</v>
      </c>
      <c r="R2889" s="160">
        <f t="shared" si="485"/>
        <v>4.1333333333604969</v>
      </c>
      <c r="S2889" s="158">
        <f t="shared" si="486"/>
        <v>4.1333333333604969</v>
      </c>
      <c r="T2889" s="161">
        <f t="shared" si="487"/>
        <v>1223.4666666747071</v>
      </c>
      <c r="U2889" s="158">
        <f t="shared" si="489"/>
        <v>296</v>
      </c>
      <c r="V2889" s="160">
        <f t="shared" si="488"/>
        <v>296</v>
      </c>
    </row>
    <row r="2890" spans="1:22" x14ac:dyDescent="0.25">
      <c r="A2890" s="98" t="s">
        <v>35</v>
      </c>
      <c r="B2890" s="98" t="s">
        <v>105</v>
      </c>
      <c r="C2890" s="98">
        <v>72</v>
      </c>
      <c r="D2890" s="98">
        <v>310</v>
      </c>
      <c r="E2890" s="157">
        <v>41485.916666666664</v>
      </c>
      <c r="F2890" s="157">
        <v>41486.131249999999</v>
      </c>
      <c r="G2890" s="98">
        <v>250</v>
      </c>
      <c r="H2890" s="98">
        <v>330</v>
      </c>
      <c r="I2890" s="98">
        <v>296</v>
      </c>
      <c r="J2890" s="98" t="s">
        <v>1966</v>
      </c>
      <c r="K2890" s="98" t="s">
        <v>1450</v>
      </c>
      <c r="L2890" s="105" t="str">
        <f t="shared" si="480"/>
        <v>Mill Creek</v>
      </c>
      <c r="M2890" s="105" t="str">
        <f t="shared" si="481"/>
        <v>Derate</v>
      </c>
      <c r="N2890" s="105" t="str">
        <f t="shared" si="482"/>
        <v>Coal</v>
      </c>
      <c r="O2890" s="105">
        <f>IFERROR(VLOOKUP(A2890,Lookup!$J$5:$P$19,7,FALSE),0)</f>
        <v>2</v>
      </c>
      <c r="P2890" s="159">
        <f t="shared" si="483"/>
        <v>2013</v>
      </c>
      <c r="Q2890" s="159">
        <f t="shared" si="484"/>
        <v>7</v>
      </c>
      <c r="R2890" s="160">
        <f t="shared" si="485"/>
        <v>5.1500000000232831</v>
      </c>
      <c r="S2890" s="158">
        <f t="shared" si="486"/>
        <v>1.2484848484904929</v>
      </c>
      <c r="T2890" s="161">
        <f t="shared" si="487"/>
        <v>369.5515151531859</v>
      </c>
      <c r="U2890" s="158">
        <f t="shared" si="489"/>
        <v>71.757575757575751</v>
      </c>
      <c r="V2890" s="160">
        <f t="shared" si="488"/>
        <v>72</v>
      </c>
    </row>
    <row r="2891" spans="1:22" x14ac:dyDescent="0.25">
      <c r="A2891" s="98" t="s">
        <v>35</v>
      </c>
      <c r="B2891" s="98" t="s">
        <v>105</v>
      </c>
      <c r="C2891" s="98">
        <v>73</v>
      </c>
      <c r="D2891" s="98">
        <v>310</v>
      </c>
      <c r="E2891" s="157">
        <v>41486.916666666664</v>
      </c>
      <c r="F2891" s="157">
        <v>41487.114583333336</v>
      </c>
      <c r="G2891" s="98">
        <v>250</v>
      </c>
      <c r="H2891" s="98">
        <v>330</v>
      </c>
      <c r="I2891" s="98">
        <v>296</v>
      </c>
      <c r="J2891" s="98" t="s">
        <v>1966</v>
      </c>
      <c r="K2891" s="98" t="s">
        <v>1451</v>
      </c>
      <c r="L2891" s="105" t="str">
        <f t="shared" si="480"/>
        <v>Mill Creek</v>
      </c>
      <c r="M2891" s="105" t="str">
        <f t="shared" si="481"/>
        <v>Derate</v>
      </c>
      <c r="N2891" s="105" t="str">
        <f t="shared" si="482"/>
        <v>Coal</v>
      </c>
      <c r="O2891" s="105">
        <f>IFERROR(VLOOKUP(A2891,Lookup!$J$5:$P$19,7,FALSE),0)</f>
        <v>2</v>
      </c>
      <c r="P2891" s="159">
        <f t="shared" si="483"/>
        <v>2013</v>
      </c>
      <c r="Q2891" s="159">
        <f t="shared" si="484"/>
        <v>7</v>
      </c>
      <c r="R2891" s="160">
        <f t="shared" si="485"/>
        <v>4.7500000001164153</v>
      </c>
      <c r="S2891" s="158">
        <f t="shared" si="486"/>
        <v>1.1515151515433735</v>
      </c>
      <c r="T2891" s="161">
        <f t="shared" si="487"/>
        <v>340.84848485683852</v>
      </c>
      <c r="U2891" s="158">
        <f t="shared" si="489"/>
        <v>71.757575757575751</v>
      </c>
      <c r="V2891" s="160">
        <f t="shared" si="488"/>
        <v>72</v>
      </c>
    </row>
    <row r="2892" spans="1:22" x14ac:dyDescent="0.25">
      <c r="A2892" s="98" t="s">
        <v>35</v>
      </c>
      <c r="B2892" s="98" t="s">
        <v>105</v>
      </c>
      <c r="C2892" s="98">
        <v>74</v>
      </c>
      <c r="D2892" s="98">
        <v>310</v>
      </c>
      <c r="E2892" s="157">
        <v>41487.916666666664</v>
      </c>
      <c r="F2892" s="157">
        <v>41488.11041666667</v>
      </c>
      <c r="G2892" s="98">
        <v>250</v>
      </c>
      <c r="H2892" s="98">
        <v>330</v>
      </c>
      <c r="I2892" s="98">
        <v>296</v>
      </c>
      <c r="J2892" s="98" t="s">
        <v>1966</v>
      </c>
      <c r="K2892" s="98" t="s">
        <v>120</v>
      </c>
      <c r="L2892" s="105" t="str">
        <f t="shared" si="480"/>
        <v>Mill Creek</v>
      </c>
      <c r="M2892" s="105" t="str">
        <f t="shared" si="481"/>
        <v>Derate</v>
      </c>
      <c r="N2892" s="105" t="str">
        <f t="shared" si="482"/>
        <v>Coal</v>
      </c>
      <c r="O2892" s="105">
        <f>IFERROR(VLOOKUP(A2892,Lookup!$J$5:$P$19,7,FALSE),0)</f>
        <v>2</v>
      </c>
      <c r="P2892" s="159">
        <f t="shared" si="483"/>
        <v>2013</v>
      </c>
      <c r="Q2892" s="159">
        <f t="shared" si="484"/>
        <v>8</v>
      </c>
      <c r="R2892" s="160">
        <f t="shared" si="485"/>
        <v>4.6500000001396984</v>
      </c>
      <c r="S2892" s="158">
        <f t="shared" si="486"/>
        <v>1.1272727273065934</v>
      </c>
      <c r="T2892" s="161">
        <f t="shared" si="487"/>
        <v>333.67272728275168</v>
      </c>
      <c r="U2892" s="158">
        <f t="shared" si="489"/>
        <v>71.757575757575751</v>
      </c>
      <c r="V2892" s="160">
        <f t="shared" si="488"/>
        <v>72</v>
      </c>
    </row>
    <row r="2893" spans="1:22" x14ac:dyDescent="0.25">
      <c r="A2893" s="98" t="s">
        <v>35</v>
      </c>
      <c r="B2893" s="98" t="s">
        <v>17</v>
      </c>
      <c r="C2893" s="98">
        <v>75</v>
      </c>
      <c r="D2893" s="98">
        <v>30</v>
      </c>
      <c r="E2893" s="157">
        <v>41501.59375</v>
      </c>
      <c r="F2893" s="157">
        <v>41501.731944444444</v>
      </c>
      <c r="G2893" s="98">
        <v>230</v>
      </c>
      <c r="H2893" s="98">
        <v>330</v>
      </c>
      <c r="I2893" s="98">
        <v>296</v>
      </c>
      <c r="J2893" s="98" t="s">
        <v>2125</v>
      </c>
      <c r="K2893" s="98" t="s">
        <v>1359</v>
      </c>
      <c r="L2893" s="105" t="str">
        <f t="shared" si="480"/>
        <v>Mill Creek</v>
      </c>
      <c r="M2893" s="105" t="str">
        <f t="shared" si="481"/>
        <v>Derate</v>
      </c>
      <c r="N2893" s="105" t="str">
        <f t="shared" si="482"/>
        <v>Coal</v>
      </c>
      <c r="O2893" s="105">
        <f>IFERROR(VLOOKUP(A2893,Lookup!$J$5:$P$19,7,FALSE),0)</f>
        <v>2</v>
      </c>
      <c r="P2893" s="159">
        <f t="shared" si="483"/>
        <v>2013</v>
      </c>
      <c r="Q2893" s="159">
        <f t="shared" si="484"/>
        <v>8</v>
      </c>
      <c r="R2893" s="160">
        <f t="shared" si="485"/>
        <v>3.3166666666511446</v>
      </c>
      <c r="S2893" s="158">
        <f t="shared" si="486"/>
        <v>1.0050505050458014</v>
      </c>
      <c r="T2893" s="161">
        <f t="shared" si="487"/>
        <v>297.49494949355721</v>
      </c>
      <c r="U2893" s="158">
        <f t="shared" si="489"/>
        <v>89.696969696969703</v>
      </c>
      <c r="V2893" s="160">
        <f t="shared" si="488"/>
        <v>90</v>
      </c>
    </row>
    <row r="2894" spans="1:22" x14ac:dyDescent="0.25">
      <c r="A2894" s="98" t="s">
        <v>35</v>
      </c>
      <c r="B2894" s="98" t="s">
        <v>105</v>
      </c>
      <c r="C2894" s="98">
        <v>76</v>
      </c>
      <c r="D2894" s="98">
        <v>310</v>
      </c>
      <c r="E2894" s="157">
        <v>41501.864583333336</v>
      </c>
      <c r="F2894" s="157">
        <v>41501.996527777781</v>
      </c>
      <c r="G2894" s="98">
        <v>250</v>
      </c>
      <c r="H2894" s="98">
        <v>330</v>
      </c>
      <c r="I2894" s="98">
        <v>296</v>
      </c>
      <c r="J2894" s="98" t="s">
        <v>1966</v>
      </c>
      <c r="K2894" s="98" t="s">
        <v>1452</v>
      </c>
      <c r="L2894" s="105" t="str">
        <f t="shared" si="480"/>
        <v>Mill Creek</v>
      </c>
      <c r="M2894" s="105" t="str">
        <f t="shared" si="481"/>
        <v>Derate</v>
      </c>
      <c r="N2894" s="105" t="str">
        <f t="shared" si="482"/>
        <v>Coal</v>
      </c>
      <c r="O2894" s="105">
        <f>IFERROR(VLOOKUP(A2894,Lookup!$J$5:$P$19,7,FALSE),0)</f>
        <v>2</v>
      </c>
      <c r="P2894" s="159">
        <f t="shared" si="483"/>
        <v>2013</v>
      </c>
      <c r="Q2894" s="159">
        <f t="shared" si="484"/>
        <v>8</v>
      </c>
      <c r="R2894" s="160">
        <f t="shared" si="485"/>
        <v>3.1666666666860692</v>
      </c>
      <c r="S2894" s="158">
        <f t="shared" si="486"/>
        <v>0.76767676768147131</v>
      </c>
      <c r="T2894" s="161">
        <f t="shared" si="487"/>
        <v>227.2323232337155</v>
      </c>
      <c r="U2894" s="158">
        <f t="shared" si="489"/>
        <v>71.757575757575751</v>
      </c>
      <c r="V2894" s="160">
        <f t="shared" si="488"/>
        <v>72</v>
      </c>
    </row>
    <row r="2895" spans="1:22" x14ac:dyDescent="0.25">
      <c r="A2895" s="98" t="s">
        <v>35</v>
      </c>
      <c r="B2895" s="98" t="s">
        <v>17</v>
      </c>
      <c r="C2895" s="98">
        <v>77</v>
      </c>
      <c r="D2895" s="98">
        <v>310</v>
      </c>
      <c r="E2895" s="157">
        <v>41506.038194444445</v>
      </c>
      <c r="F2895" s="157">
        <v>41506.097222222219</v>
      </c>
      <c r="G2895" s="98">
        <v>250</v>
      </c>
      <c r="H2895" s="98">
        <v>330</v>
      </c>
      <c r="I2895" s="98">
        <v>296</v>
      </c>
      <c r="J2895" s="98" t="s">
        <v>1966</v>
      </c>
      <c r="K2895" s="98" t="s">
        <v>1453</v>
      </c>
      <c r="L2895" s="105" t="str">
        <f t="shared" si="480"/>
        <v>Mill Creek</v>
      </c>
      <c r="M2895" s="105" t="str">
        <f t="shared" si="481"/>
        <v>Derate</v>
      </c>
      <c r="N2895" s="105" t="str">
        <f t="shared" si="482"/>
        <v>Coal</v>
      </c>
      <c r="O2895" s="105">
        <f>IFERROR(VLOOKUP(A2895,Lookup!$J$5:$P$19,7,FALSE),0)</f>
        <v>2</v>
      </c>
      <c r="P2895" s="159">
        <f t="shared" si="483"/>
        <v>2013</v>
      </c>
      <c r="Q2895" s="159">
        <f t="shared" si="484"/>
        <v>8</v>
      </c>
      <c r="R2895" s="160">
        <f t="shared" si="485"/>
        <v>1.4166666665696539</v>
      </c>
      <c r="S2895" s="158">
        <f t="shared" si="486"/>
        <v>0.34343434341082518</v>
      </c>
      <c r="T2895" s="161">
        <f t="shared" si="487"/>
        <v>101.65656564960426</v>
      </c>
      <c r="U2895" s="158">
        <f t="shared" si="489"/>
        <v>71.757575757575751</v>
      </c>
      <c r="V2895" s="160">
        <f t="shared" si="488"/>
        <v>72</v>
      </c>
    </row>
    <row r="2896" spans="1:22" x14ac:dyDescent="0.25">
      <c r="A2896" s="98" t="s">
        <v>35</v>
      </c>
      <c r="B2896" s="98" t="s">
        <v>105</v>
      </c>
      <c r="C2896" s="98">
        <v>78</v>
      </c>
      <c r="D2896" s="98">
        <v>310</v>
      </c>
      <c r="E2896" s="157">
        <v>41513.958333333336</v>
      </c>
      <c r="F2896" s="157">
        <v>41514.15625</v>
      </c>
      <c r="G2896" s="98">
        <v>250</v>
      </c>
      <c r="H2896" s="98">
        <v>330</v>
      </c>
      <c r="I2896" s="98">
        <v>296</v>
      </c>
      <c r="J2896" s="98" t="s">
        <v>1966</v>
      </c>
      <c r="K2896" s="98" t="s">
        <v>1454</v>
      </c>
      <c r="L2896" s="105" t="str">
        <f t="shared" si="480"/>
        <v>Mill Creek</v>
      </c>
      <c r="M2896" s="105" t="str">
        <f t="shared" si="481"/>
        <v>Derate</v>
      </c>
      <c r="N2896" s="105" t="str">
        <f t="shared" si="482"/>
        <v>Coal</v>
      </c>
      <c r="O2896" s="105">
        <f>IFERROR(VLOOKUP(A2896,Lookup!$J$5:$P$19,7,FALSE),0)</f>
        <v>2</v>
      </c>
      <c r="P2896" s="159">
        <f t="shared" si="483"/>
        <v>2013</v>
      </c>
      <c r="Q2896" s="159">
        <f t="shared" si="484"/>
        <v>8</v>
      </c>
      <c r="R2896" s="160">
        <f t="shared" si="485"/>
        <v>4.7499999999417923</v>
      </c>
      <c r="S2896" s="158">
        <f t="shared" si="486"/>
        <v>1.1515151515010407</v>
      </c>
      <c r="T2896" s="161">
        <f t="shared" si="487"/>
        <v>340.84848484430802</v>
      </c>
      <c r="U2896" s="158">
        <f t="shared" si="489"/>
        <v>71.757575757575751</v>
      </c>
      <c r="V2896" s="160">
        <f t="shared" si="488"/>
        <v>72</v>
      </c>
    </row>
    <row r="2897" spans="1:22" x14ac:dyDescent="0.25">
      <c r="A2897" s="98" t="s">
        <v>35</v>
      </c>
      <c r="B2897" s="98" t="s">
        <v>105</v>
      </c>
      <c r="C2897" s="98">
        <v>79</v>
      </c>
      <c r="D2897" s="98">
        <v>310</v>
      </c>
      <c r="E2897" s="157">
        <v>41514.958333333336</v>
      </c>
      <c r="F2897" s="157">
        <v>41515.159722222219</v>
      </c>
      <c r="G2897" s="98">
        <v>250</v>
      </c>
      <c r="H2897" s="98">
        <v>330</v>
      </c>
      <c r="I2897" s="98">
        <v>296</v>
      </c>
      <c r="J2897" s="98" t="s">
        <v>1966</v>
      </c>
      <c r="K2897" s="98" t="s">
        <v>1455</v>
      </c>
      <c r="L2897" s="105" t="str">
        <f t="shared" si="480"/>
        <v>Mill Creek</v>
      </c>
      <c r="M2897" s="105" t="str">
        <f t="shared" si="481"/>
        <v>Derate</v>
      </c>
      <c r="N2897" s="105" t="str">
        <f t="shared" si="482"/>
        <v>Coal</v>
      </c>
      <c r="O2897" s="105">
        <f>IFERROR(VLOOKUP(A2897,Lookup!$J$5:$P$19,7,FALSE),0)</f>
        <v>2</v>
      </c>
      <c r="P2897" s="159">
        <f t="shared" si="483"/>
        <v>2013</v>
      </c>
      <c r="Q2897" s="159">
        <f t="shared" si="484"/>
        <v>8</v>
      </c>
      <c r="R2897" s="160">
        <f t="shared" si="485"/>
        <v>4.8333333331975155</v>
      </c>
      <c r="S2897" s="158">
        <f t="shared" si="486"/>
        <v>1.1717171716842463</v>
      </c>
      <c r="T2897" s="161">
        <f t="shared" si="487"/>
        <v>346.82828281853688</v>
      </c>
      <c r="U2897" s="158">
        <f t="shared" si="489"/>
        <v>71.757575757575751</v>
      </c>
      <c r="V2897" s="160">
        <f t="shared" si="488"/>
        <v>72</v>
      </c>
    </row>
    <row r="2898" spans="1:22" x14ac:dyDescent="0.25">
      <c r="A2898" s="98" t="s">
        <v>35</v>
      </c>
      <c r="B2898" s="98" t="s">
        <v>17</v>
      </c>
      <c r="C2898" s="98">
        <v>80</v>
      </c>
      <c r="D2898" s="98">
        <v>870</v>
      </c>
      <c r="E2898" s="157">
        <v>41516.254166666666</v>
      </c>
      <c r="F2898" s="157">
        <v>41516.286805555559</v>
      </c>
      <c r="G2898" s="98">
        <v>235</v>
      </c>
      <c r="H2898" s="98">
        <v>330</v>
      </c>
      <c r="I2898" s="98">
        <v>296</v>
      </c>
      <c r="J2898" s="98" t="s">
        <v>2275</v>
      </c>
      <c r="K2898" s="98" t="s">
        <v>1456</v>
      </c>
      <c r="L2898" s="105" t="str">
        <f t="shared" si="480"/>
        <v>Mill Creek</v>
      </c>
      <c r="M2898" s="105" t="str">
        <f t="shared" si="481"/>
        <v>Derate</v>
      </c>
      <c r="N2898" s="105" t="str">
        <f t="shared" si="482"/>
        <v>Coal</v>
      </c>
      <c r="O2898" s="105">
        <f>IFERROR(VLOOKUP(A2898,Lookup!$J$5:$P$19,7,FALSE),0)</f>
        <v>2</v>
      </c>
      <c r="P2898" s="159">
        <f t="shared" si="483"/>
        <v>2013</v>
      </c>
      <c r="Q2898" s="159">
        <f t="shared" si="484"/>
        <v>8</v>
      </c>
      <c r="R2898" s="160">
        <f t="shared" si="485"/>
        <v>0.78333333344198763</v>
      </c>
      <c r="S2898" s="158">
        <f t="shared" si="486"/>
        <v>0.22550505053632977</v>
      </c>
      <c r="T2898" s="161">
        <f t="shared" si="487"/>
        <v>66.749494958753615</v>
      </c>
      <c r="U2898" s="158">
        <f t="shared" si="489"/>
        <v>85.212121212121218</v>
      </c>
      <c r="V2898" s="160">
        <f t="shared" si="488"/>
        <v>85</v>
      </c>
    </row>
    <row r="2899" spans="1:22" x14ac:dyDescent="0.25">
      <c r="A2899" s="98" t="s">
        <v>35</v>
      </c>
      <c r="B2899" s="98" t="s">
        <v>17</v>
      </c>
      <c r="C2899" s="98">
        <v>81</v>
      </c>
      <c r="D2899" s="98">
        <v>250</v>
      </c>
      <c r="E2899" s="157">
        <v>41520.802777777775</v>
      </c>
      <c r="F2899" s="157">
        <v>41520.828472222223</v>
      </c>
      <c r="G2899" s="98">
        <v>300</v>
      </c>
      <c r="H2899" s="98">
        <v>330</v>
      </c>
      <c r="I2899" s="98">
        <v>296</v>
      </c>
      <c r="J2899" s="98" t="s">
        <v>1978</v>
      </c>
      <c r="K2899" s="98" t="s">
        <v>1457</v>
      </c>
      <c r="L2899" s="105" t="str">
        <f t="shared" si="480"/>
        <v>Mill Creek</v>
      </c>
      <c r="M2899" s="105" t="str">
        <f t="shared" si="481"/>
        <v>Derate</v>
      </c>
      <c r="N2899" s="105" t="str">
        <f t="shared" si="482"/>
        <v>Coal</v>
      </c>
      <c r="O2899" s="105">
        <f>IFERROR(VLOOKUP(A2899,Lookup!$J$5:$P$19,7,FALSE),0)</f>
        <v>2</v>
      </c>
      <c r="P2899" s="159">
        <f t="shared" si="483"/>
        <v>2013</v>
      </c>
      <c r="Q2899" s="159">
        <f t="shared" si="484"/>
        <v>9</v>
      </c>
      <c r="R2899" s="160">
        <f t="shared" si="485"/>
        <v>0.61666666675591841</v>
      </c>
      <c r="S2899" s="158">
        <f t="shared" si="486"/>
        <v>5.6060606068719855E-2</v>
      </c>
      <c r="T2899" s="161">
        <f t="shared" si="487"/>
        <v>16.593939396341078</v>
      </c>
      <c r="U2899" s="158">
        <f t="shared" si="489"/>
        <v>26.90909090909091</v>
      </c>
      <c r="V2899" s="160">
        <f t="shared" si="488"/>
        <v>27</v>
      </c>
    </row>
    <row r="2900" spans="1:22" x14ac:dyDescent="0.25">
      <c r="A2900" s="98" t="s">
        <v>35</v>
      </c>
      <c r="B2900" s="98" t="s">
        <v>105</v>
      </c>
      <c r="C2900" s="98">
        <v>82</v>
      </c>
      <c r="D2900" s="98">
        <v>310</v>
      </c>
      <c r="E2900" s="157">
        <v>41520.916666666664</v>
      </c>
      <c r="F2900" s="157">
        <v>41520.98541666667</v>
      </c>
      <c r="G2900" s="98">
        <v>250</v>
      </c>
      <c r="H2900" s="98">
        <v>330</v>
      </c>
      <c r="I2900" s="98">
        <v>296</v>
      </c>
      <c r="J2900" s="98" t="s">
        <v>1966</v>
      </c>
      <c r="K2900" s="98" t="s">
        <v>1454</v>
      </c>
      <c r="L2900" s="105" t="str">
        <f t="shared" si="480"/>
        <v>Mill Creek</v>
      </c>
      <c r="M2900" s="105" t="str">
        <f t="shared" si="481"/>
        <v>Derate</v>
      </c>
      <c r="N2900" s="105" t="str">
        <f t="shared" si="482"/>
        <v>Coal</v>
      </c>
      <c r="O2900" s="105">
        <f>IFERROR(VLOOKUP(A2900,Lookup!$J$5:$P$19,7,FALSE),0)</f>
        <v>2</v>
      </c>
      <c r="P2900" s="159">
        <f t="shared" si="483"/>
        <v>2013</v>
      </c>
      <c r="Q2900" s="159">
        <f t="shared" si="484"/>
        <v>9</v>
      </c>
      <c r="R2900" s="160">
        <f t="shared" si="485"/>
        <v>1.6500000001396984</v>
      </c>
      <c r="S2900" s="158">
        <f t="shared" si="486"/>
        <v>0.40000000003386627</v>
      </c>
      <c r="T2900" s="161">
        <f t="shared" si="487"/>
        <v>118.40000001002441</v>
      </c>
      <c r="U2900" s="158">
        <f t="shared" si="489"/>
        <v>71.757575757575751</v>
      </c>
      <c r="V2900" s="160">
        <f t="shared" si="488"/>
        <v>72</v>
      </c>
    </row>
    <row r="2901" spans="1:22" x14ac:dyDescent="0.25">
      <c r="A2901" s="98" t="s">
        <v>35</v>
      </c>
      <c r="B2901" s="98" t="s">
        <v>105</v>
      </c>
      <c r="C2901" s="98">
        <v>83</v>
      </c>
      <c r="D2901" s="98">
        <v>310</v>
      </c>
      <c r="E2901" s="157">
        <v>41521.916666666664</v>
      </c>
      <c r="F2901" s="157">
        <v>41522.040972222225</v>
      </c>
      <c r="G2901" s="98">
        <v>250</v>
      </c>
      <c r="H2901" s="98">
        <v>330</v>
      </c>
      <c r="I2901" s="98">
        <v>296</v>
      </c>
      <c r="J2901" s="98" t="s">
        <v>1966</v>
      </c>
      <c r="K2901" s="98" t="s">
        <v>1458</v>
      </c>
      <c r="L2901" s="105" t="str">
        <f t="shared" si="480"/>
        <v>Mill Creek</v>
      </c>
      <c r="M2901" s="105" t="str">
        <f t="shared" si="481"/>
        <v>Derate</v>
      </c>
      <c r="N2901" s="105" t="str">
        <f t="shared" si="482"/>
        <v>Coal</v>
      </c>
      <c r="O2901" s="105">
        <f>IFERROR(VLOOKUP(A2901,Lookup!$J$5:$P$19,7,FALSE),0)</f>
        <v>2</v>
      </c>
      <c r="P2901" s="159">
        <f t="shared" si="483"/>
        <v>2013</v>
      </c>
      <c r="Q2901" s="159">
        <f t="shared" si="484"/>
        <v>9</v>
      </c>
      <c r="R2901" s="160">
        <f t="shared" si="485"/>
        <v>2.9833333334536292</v>
      </c>
      <c r="S2901" s="158">
        <f t="shared" si="486"/>
        <v>0.7232323232614859</v>
      </c>
      <c r="T2901" s="161">
        <f t="shared" si="487"/>
        <v>214.07676768539983</v>
      </c>
      <c r="U2901" s="158">
        <f t="shared" si="489"/>
        <v>71.757575757575751</v>
      </c>
      <c r="V2901" s="160">
        <f t="shared" si="488"/>
        <v>72</v>
      </c>
    </row>
    <row r="2902" spans="1:22" x14ac:dyDescent="0.25">
      <c r="A2902" s="98" t="s">
        <v>35</v>
      </c>
      <c r="B2902" s="98" t="s">
        <v>20</v>
      </c>
      <c r="C2902" s="98">
        <v>84</v>
      </c>
      <c r="D2902" s="98">
        <v>8100</v>
      </c>
      <c r="E2902" s="157">
        <v>41522.868055555555</v>
      </c>
      <c r="F2902" s="157">
        <v>41526.088194444441</v>
      </c>
      <c r="G2902" s="98">
        <v>0</v>
      </c>
      <c r="H2902" s="98">
        <v>330</v>
      </c>
      <c r="I2902" s="98">
        <v>296</v>
      </c>
      <c r="J2902" s="98" t="s">
        <v>2260</v>
      </c>
      <c r="K2902" s="98" t="s">
        <v>1459</v>
      </c>
      <c r="L2902" s="105" t="str">
        <f t="shared" si="480"/>
        <v>Mill Creek</v>
      </c>
      <c r="M2902" s="105" t="str">
        <f t="shared" si="481"/>
        <v>Maintenance</v>
      </c>
      <c r="N2902" s="105" t="str">
        <f t="shared" si="482"/>
        <v>Coal</v>
      </c>
      <c r="O2902" s="105">
        <f>IFERROR(VLOOKUP(A2902,Lookup!$J$5:$P$19,7,FALSE),0)</f>
        <v>2</v>
      </c>
      <c r="P2902" s="159">
        <f t="shared" si="483"/>
        <v>2013</v>
      </c>
      <c r="Q2902" s="159">
        <f t="shared" si="484"/>
        <v>9</v>
      </c>
      <c r="R2902" s="160">
        <f t="shared" si="485"/>
        <v>77.283333333267365</v>
      </c>
      <c r="S2902" s="158">
        <f t="shared" si="486"/>
        <v>77.283333333267365</v>
      </c>
      <c r="T2902" s="161">
        <f t="shared" si="487"/>
        <v>22875.86666664714</v>
      </c>
      <c r="U2902" s="158">
        <f t="shared" si="489"/>
        <v>296</v>
      </c>
      <c r="V2902" s="160">
        <f t="shared" si="488"/>
        <v>296</v>
      </c>
    </row>
    <row r="2903" spans="1:22" x14ac:dyDescent="0.25">
      <c r="A2903" s="98" t="s">
        <v>35</v>
      </c>
      <c r="B2903" s="98" t="s">
        <v>79</v>
      </c>
      <c r="C2903" s="98">
        <v>85</v>
      </c>
      <c r="D2903" s="98">
        <v>1850</v>
      </c>
      <c r="E2903" s="157">
        <v>41526.088194444441</v>
      </c>
      <c r="F2903" s="157">
        <v>41526.503472222219</v>
      </c>
      <c r="G2903" s="98">
        <v>0</v>
      </c>
      <c r="H2903" s="98">
        <v>330</v>
      </c>
      <c r="I2903" s="98">
        <v>296</v>
      </c>
      <c r="J2903" s="98" t="s">
        <v>2263</v>
      </c>
      <c r="K2903" s="98" t="s">
        <v>85</v>
      </c>
      <c r="L2903" s="105" t="str">
        <f t="shared" si="480"/>
        <v>Mill Creek</v>
      </c>
      <c r="M2903" s="105" t="str">
        <f t="shared" si="481"/>
        <v>Other</v>
      </c>
      <c r="N2903" s="105" t="str">
        <f t="shared" si="482"/>
        <v>Coal</v>
      </c>
      <c r="O2903" s="105">
        <f>IFERROR(VLOOKUP(A2903,Lookup!$J$5:$P$19,7,FALSE),0)</f>
        <v>2</v>
      </c>
      <c r="P2903" s="159">
        <f t="shared" si="483"/>
        <v>2013</v>
      </c>
      <c r="Q2903" s="159">
        <f t="shared" si="484"/>
        <v>9</v>
      </c>
      <c r="R2903" s="160">
        <f t="shared" si="485"/>
        <v>9.9666666666744277</v>
      </c>
      <c r="S2903" s="158">
        <f t="shared" si="486"/>
        <v>9.9666666666744277</v>
      </c>
      <c r="T2903" s="161">
        <f t="shared" si="487"/>
        <v>2950.1333333356306</v>
      </c>
      <c r="U2903" s="158">
        <f t="shared" si="489"/>
        <v>296</v>
      </c>
      <c r="V2903" s="160">
        <f t="shared" si="488"/>
        <v>296</v>
      </c>
    </row>
    <row r="2904" spans="1:22" x14ac:dyDescent="0.25">
      <c r="A2904" s="98" t="s">
        <v>35</v>
      </c>
      <c r="B2904" s="98" t="s">
        <v>17</v>
      </c>
      <c r="C2904" s="98">
        <v>86</v>
      </c>
      <c r="D2904" s="98">
        <v>800</v>
      </c>
      <c r="E2904" s="157">
        <v>41526.53125</v>
      </c>
      <c r="F2904" s="157">
        <v>41526.569444444445</v>
      </c>
      <c r="G2904" s="98">
        <v>240</v>
      </c>
      <c r="H2904" s="98">
        <v>330</v>
      </c>
      <c r="I2904" s="98">
        <v>296</v>
      </c>
      <c r="J2904" s="98" t="s">
        <v>2197</v>
      </c>
      <c r="K2904" s="98" t="s">
        <v>1460</v>
      </c>
      <c r="L2904" s="105" t="str">
        <f t="shared" si="480"/>
        <v>Mill Creek</v>
      </c>
      <c r="M2904" s="105" t="str">
        <f t="shared" si="481"/>
        <v>Derate</v>
      </c>
      <c r="N2904" s="105" t="str">
        <f t="shared" si="482"/>
        <v>Coal</v>
      </c>
      <c r="O2904" s="105">
        <f>IFERROR(VLOOKUP(A2904,Lookup!$J$5:$P$19,7,FALSE),0)</f>
        <v>2</v>
      </c>
      <c r="P2904" s="159">
        <f t="shared" si="483"/>
        <v>2013</v>
      </c>
      <c r="Q2904" s="159">
        <f t="shared" si="484"/>
        <v>9</v>
      </c>
      <c r="R2904" s="160">
        <f t="shared" si="485"/>
        <v>0.91666666668606922</v>
      </c>
      <c r="S2904" s="158">
        <f t="shared" si="486"/>
        <v>0.2500000000052916</v>
      </c>
      <c r="T2904" s="161">
        <f t="shared" si="487"/>
        <v>74.00000000156632</v>
      </c>
      <c r="U2904" s="158">
        <f t="shared" si="489"/>
        <v>80.727272727272734</v>
      </c>
      <c r="V2904" s="160">
        <f t="shared" si="488"/>
        <v>81</v>
      </c>
    </row>
    <row r="2905" spans="1:22" x14ac:dyDescent="0.25">
      <c r="A2905" s="98" t="s">
        <v>35</v>
      </c>
      <c r="B2905" s="98" t="s">
        <v>17</v>
      </c>
      <c r="C2905" s="98">
        <v>87</v>
      </c>
      <c r="D2905" s="98">
        <v>1000</v>
      </c>
      <c r="E2905" s="157">
        <v>41526.576388888891</v>
      </c>
      <c r="F2905" s="157">
        <v>41526.628472222219</v>
      </c>
      <c r="G2905" s="98">
        <v>150</v>
      </c>
      <c r="H2905" s="98">
        <v>330</v>
      </c>
      <c r="I2905" s="98">
        <v>296</v>
      </c>
      <c r="J2905" s="98" t="s">
        <v>2002</v>
      </c>
      <c r="K2905" s="98" t="s">
        <v>1461</v>
      </c>
      <c r="L2905" s="105" t="str">
        <f t="shared" si="480"/>
        <v>Mill Creek</v>
      </c>
      <c r="M2905" s="105" t="str">
        <f t="shared" si="481"/>
        <v>Derate</v>
      </c>
      <c r="N2905" s="105" t="str">
        <f t="shared" si="482"/>
        <v>Coal</v>
      </c>
      <c r="O2905" s="105">
        <f>IFERROR(VLOOKUP(A2905,Lookup!$J$5:$P$19,7,FALSE),0)</f>
        <v>2</v>
      </c>
      <c r="P2905" s="159">
        <f t="shared" si="483"/>
        <v>2013</v>
      </c>
      <c r="Q2905" s="159">
        <f t="shared" si="484"/>
        <v>9</v>
      </c>
      <c r="R2905" s="160">
        <f t="shared" si="485"/>
        <v>1.2499999998835847</v>
      </c>
      <c r="S2905" s="158">
        <f t="shared" si="486"/>
        <v>0.68181818175468256</v>
      </c>
      <c r="T2905" s="161">
        <f t="shared" si="487"/>
        <v>201.81818179938602</v>
      </c>
      <c r="U2905" s="158">
        <f t="shared" si="489"/>
        <v>161.45454545454547</v>
      </c>
      <c r="V2905" s="160">
        <f t="shared" si="488"/>
        <v>161</v>
      </c>
    </row>
    <row r="2906" spans="1:22" x14ac:dyDescent="0.25">
      <c r="A2906" s="98" t="s">
        <v>35</v>
      </c>
      <c r="B2906" s="98" t="s">
        <v>33</v>
      </c>
      <c r="C2906" s="98">
        <v>88</v>
      </c>
      <c r="D2906" s="98">
        <v>1000</v>
      </c>
      <c r="E2906" s="157">
        <v>41526.628472222219</v>
      </c>
      <c r="F2906" s="157">
        <v>41528.021527777775</v>
      </c>
      <c r="G2906" s="98">
        <v>0</v>
      </c>
      <c r="H2906" s="98">
        <v>330</v>
      </c>
      <c r="I2906" s="98">
        <v>296</v>
      </c>
      <c r="J2906" s="98" t="s">
        <v>2002</v>
      </c>
      <c r="K2906" s="98" t="s">
        <v>71</v>
      </c>
      <c r="L2906" s="105" t="str">
        <f t="shared" si="480"/>
        <v>Mill Creek</v>
      </c>
      <c r="M2906" s="105" t="str">
        <f t="shared" si="481"/>
        <v>Outage</v>
      </c>
      <c r="N2906" s="105" t="str">
        <f t="shared" si="482"/>
        <v>Coal</v>
      </c>
      <c r="O2906" s="105">
        <f>IFERROR(VLOOKUP(A2906,Lookup!$J$5:$P$19,7,FALSE),0)</f>
        <v>2</v>
      </c>
      <c r="P2906" s="159">
        <f t="shared" si="483"/>
        <v>2013</v>
      </c>
      <c r="Q2906" s="159">
        <f t="shared" si="484"/>
        <v>9</v>
      </c>
      <c r="R2906" s="160">
        <f t="shared" si="485"/>
        <v>33.433333333348855</v>
      </c>
      <c r="S2906" s="158">
        <f t="shared" si="486"/>
        <v>33.433333333348855</v>
      </c>
      <c r="T2906" s="161">
        <f t="shared" si="487"/>
        <v>9896.2666666712612</v>
      </c>
      <c r="U2906" s="158">
        <f t="shared" si="489"/>
        <v>296</v>
      </c>
      <c r="V2906" s="160">
        <f t="shared" si="488"/>
        <v>296</v>
      </c>
    </row>
    <row r="2907" spans="1:22" x14ac:dyDescent="0.25">
      <c r="A2907" s="98" t="s">
        <v>35</v>
      </c>
      <c r="B2907" s="98" t="s">
        <v>79</v>
      </c>
      <c r="C2907" s="98">
        <v>89</v>
      </c>
      <c r="D2907" s="98">
        <v>1850</v>
      </c>
      <c r="E2907" s="157">
        <v>41528.021527777775</v>
      </c>
      <c r="F2907" s="157">
        <v>41528.279166666667</v>
      </c>
      <c r="G2907" s="98">
        <v>0</v>
      </c>
      <c r="H2907" s="98">
        <v>330</v>
      </c>
      <c r="I2907" s="98">
        <v>296</v>
      </c>
      <c r="J2907" s="98" t="s">
        <v>2263</v>
      </c>
      <c r="K2907" s="98" t="s">
        <v>86</v>
      </c>
      <c r="L2907" s="105" t="str">
        <f t="shared" si="480"/>
        <v>Mill Creek</v>
      </c>
      <c r="M2907" s="105" t="str">
        <f t="shared" si="481"/>
        <v>Other</v>
      </c>
      <c r="N2907" s="105" t="str">
        <f t="shared" si="482"/>
        <v>Coal</v>
      </c>
      <c r="O2907" s="105">
        <f>IFERROR(VLOOKUP(A2907,Lookup!$J$5:$P$19,7,FALSE),0)</f>
        <v>2</v>
      </c>
      <c r="P2907" s="159">
        <f t="shared" si="483"/>
        <v>2013</v>
      </c>
      <c r="Q2907" s="159">
        <f t="shared" si="484"/>
        <v>9</v>
      </c>
      <c r="R2907" s="160">
        <f t="shared" si="485"/>
        <v>6.183333333407063</v>
      </c>
      <c r="S2907" s="158">
        <f t="shared" si="486"/>
        <v>6.183333333407063</v>
      </c>
      <c r="T2907" s="161">
        <f t="shared" si="487"/>
        <v>1830.2666666884907</v>
      </c>
      <c r="U2907" s="158">
        <f t="shared" si="489"/>
        <v>296</v>
      </c>
      <c r="V2907" s="160">
        <f t="shared" si="488"/>
        <v>296</v>
      </c>
    </row>
    <row r="2908" spans="1:22" x14ac:dyDescent="0.25">
      <c r="A2908" s="98" t="s">
        <v>35</v>
      </c>
      <c r="B2908" s="98" t="s">
        <v>105</v>
      </c>
      <c r="C2908" s="98">
        <v>90</v>
      </c>
      <c r="D2908" s="98">
        <v>310</v>
      </c>
      <c r="E2908" s="157">
        <v>41536.958333333336</v>
      </c>
      <c r="F2908" s="162">
        <v>41537.013888888891</v>
      </c>
      <c r="G2908" s="98">
        <v>250</v>
      </c>
      <c r="H2908" s="98">
        <v>330</v>
      </c>
      <c r="I2908" s="98">
        <v>296</v>
      </c>
      <c r="J2908" s="98" t="s">
        <v>1966</v>
      </c>
      <c r="K2908" s="98" t="s">
        <v>1462</v>
      </c>
      <c r="L2908" s="105" t="str">
        <f t="shared" si="480"/>
        <v>Mill Creek</v>
      </c>
      <c r="M2908" s="105" t="str">
        <f t="shared" si="481"/>
        <v>Derate</v>
      </c>
      <c r="N2908" s="105" t="str">
        <f t="shared" si="482"/>
        <v>Coal</v>
      </c>
      <c r="O2908" s="105">
        <f>IFERROR(VLOOKUP(A2908,Lookup!$J$5:$P$19,7,FALSE),0)</f>
        <v>2</v>
      </c>
      <c r="P2908" s="159">
        <f t="shared" si="483"/>
        <v>2013</v>
      </c>
      <c r="Q2908" s="159">
        <f t="shared" si="484"/>
        <v>9</v>
      </c>
      <c r="R2908" s="160">
        <f t="shared" si="485"/>
        <v>1.3333333333139308</v>
      </c>
      <c r="S2908" s="158">
        <f t="shared" si="486"/>
        <v>0.32323232322761958</v>
      </c>
      <c r="T2908" s="161">
        <f t="shared" si="487"/>
        <v>95.676767675375402</v>
      </c>
      <c r="U2908" s="158">
        <f t="shared" si="489"/>
        <v>71.757575757575751</v>
      </c>
      <c r="V2908" s="160">
        <f t="shared" si="488"/>
        <v>72</v>
      </c>
    </row>
    <row r="2909" spans="1:22" x14ac:dyDescent="0.25">
      <c r="A2909" s="98" t="s">
        <v>35</v>
      </c>
      <c r="B2909" s="98" t="s">
        <v>105</v>
      </c>
      <c r="C2909" s="98">
        <v>91</v>
      </c>
      <c r="D2909" s="98">
        <v>250</v>
      </c>
      <c r="E2909" s="162">
        <v>41539.916666666664</v>
      </c>
      <c r="F2909" s="157">
        <v>41540.140972222223</v>
      </c>
      <c r="G2909" s="98">
        <v>250</v>
      </c>
      <c r="H2909" s="98">
        <v>330</v>
      </c>
      <c r="I2909" s="98">
        <v>296</v>
      </c>
      <c r="J2909" s="98" t="s">
        <v>1978</v>
      </c>
      <c r="K2909" s="98" t="s">
        <v>623</v>
      </c>
      <c r="L2909" s="105" t="str">
        <f t="shared" si="480"/>
        <v>Mill Creek</v>
      </c>
      <c r="M2909" s="105" t="str">
        <f t="shared" si="481"/>
        <v>Derate</v>
      </c>
      <c r="N2909" s="105" t="str">
        <f t="shared" si="482"/>
        <v>Coal</v>
      </c>
      <c r="O2909" s="105">
        <f>IFERROR(VLOOKUP(A2909,Lookup!$J$5:$P$19,7,FALSE),0)</f>
        <v>2</v>
      </c>
      <c r="P2909" s="159">
        <f t="shared" si="483"/>
        <v>2013</v>
      </c>
      <c r="Q2909" s="159">
        <f t="shared" si="484"/>
        <v>9</v>
      </c>
      <c r="R2909" s="160">
        <f t="shared" si="485"/>
        <v>5.3833333334187046</v>
      </c>
      <c r="S2909" s="158">
        <f t="shared" si="486"/>
        <v>1.3050505050712011</v>
      </c>
      <c r="T2909" s="161">
        <f t="shared" si="487"/>
        <v>386.29494950107551</v>
      </c>
      <c r="U2909" s="158">
        <f t="shared" si="489"/>
        <v>71.757575757575751</v>
      </c>
      <c r="V2909" s="160">
        <f t="shared" si="488"/>
        <v>72</v>
      </c>
    </row>
    <row r="2910" spans="1:22" x14ac:dyDescent="0.25">
      <c r="A2910" s="98" t="s">
        <v>35</v>
      </c>
      <c r="B2910" s="98" t="s">
        <v>105</v>
      </c>
      <c r="C2910" s="98">
        <v>92</v>
      </c>
      <c r="D2910" s="98">
        <v>250</v>
      </c>
      <c r="E2910" s="157">
        <v>41540.916666666664</v>
      </c>
      <c r="F2910" s="157">
        <v>41541.130555555559</v>
      </c>
      <c r="G2910" s="98">
        <v>250</v>
      </c>
      <c r="H2910" s="98">
        <v>330</v>
      </c>
      <c r="I2910" s="98">
        <v>296</v>
      </c>
      <c r="J2910" s="98" t="s">
        <v>1978</v>
      </c>
      <c r="K2910" s="98" t="s">
        <v>111</v>
      </c>
      <c r="L2910" s="105" t="str">
        <f t="shared" si="480"/>
        <v>Mill Creek</v>
      </c>
      <c r="M2910" s="105" t="str">
        <f t="shared" si="481"/>
        <v>Derate</v>
      </c>
      <c r="N2910" s="105" t="str">
        <f t="shared" si="482"/>
        <v>Coal</v>
      </c>
      <c r="O2910" s="105">
        <f>IFERROR(VLOOKUP(A2910,Lookup!$J$5:$P$19,7,FALSE),0)</f>
        <v>2</v>
      </c>
      <c r="P2910" s="159">
        <f t="shared" si="483"/>
        <v>2013</v>
      </c>
      <c r="Q2910" s="159">
        <f t="shared" si="484"/>
        <v>9</v>
      </c>
      <c r="R2910" s="160">
        <f t="shared" si="485"/>
        <v>5.1333333334769122</v>
      </c>
      <c r="S2910" s="158">
        <f t="shared" si="486"/>
        <v>1.2444444444792515</v>
      </c>
      <c r="T2910" s="161">
        <f t="shared" si="487"/>
        <v>368.35555556585842</v>
      </c>
      <c r="U2910" s="158">
        <f t="shared" si="489"/>
        <v>71.757575757575751</v>
      </c>
      <c r="V2910" s="160">
        <f t="shared" si="488"/>
        <v>72</v>
      </c>
    </row>
    <row r="2911" spans="1:22" x14ac:dyDescent="0.25">
      <c r="A2911" s="98" t="s">
        <v>35</v>
      </c>
      <c r="B2911" s="98" t="s">
        <v>17</v>
      </c>
      <c r="C2911" s="98">
        <v>93</v>
      </c>
      <c r="D2911" s="98">
        <v>1799</v>
      </c>
      <c r="E2911" s="157">
        <v>41547.216666666667</v>
      </c>
      <c r="F2911" s="157">
        <v>41547.243750000001</v>
      </c>
      <c r="G2911" s="98">
        <v>234</v>
      </c>
      <c r="H2911" s="98">
        <v>330</v>
      </c>
      <c r="I2911" s="98">
        <v>296</v>
      </c>
      <c r="J2911" s="98" t="s">
        <v>2000</v>
      </c>
      <c r="K2911" s="98" t="s">
        <v>1463</v>
      </c>
      <c r="L2911" s="105" t="str">
        <f t="shared" si="480"/>
        <v>Mill Creek</v>
      </c>
      <c r="M2911" s="105" t="str">
        <f t="shared" si="481"/>
        <v>Derate</v>
      </c>
      <c r="N2911" s="105" t="str">
        <f t="shared" si="482"/>
        <v>Coal</v>
      </c>
      <c r="O2911" s="105">
        <f>IFERROR(VLOOKUP(A2911,Lookup!$J$5:$P$19,7,FALSE),0)</f>
        <v>2</v>
      </c>
      <c r="P2911" s="159">
        <f t="shared" si="483"/>
        <v>2013</v>
      </c>
      <c r="Q2911" s="159">
        <f t="shared" si="484"/>
        <v>9</v>
      </c>
      <c r="R2911" s="160">
        <f t="shared" si="485"/>
        <v>0.65000000002328306</v>
      </c>
      <c r="S2911" s="158">
        <f t="shared" si="486"/>
        <v>0.18909090909768234</v>
      </c>
      <c r="T2911" s="161">
        <f t="shared" si="487"/>
        <v>55.970909092913971</v>
      </c>
      <c r="U2911" s="158">
        <f t="shared" si="489"/>
        <v>86.109090909090909</v>
      </c>
      <c r="V2911" s="160">
        <f t="shared" si="488"/>
        <v>86</v>
      </c>
    </row>
    <row r="2912" spans="1:22" x14ac:dyDescent="0.25">
      <c r="A2912" s="98" t="s">
        <v>35</v>
      </c>
      <c r="B2912" s="98" t="s">
        <v>105</v>
      </c>
      <c r="C2912" s="98">
        <v>94</v>
      </c>
      <c r="D2912" s="98">
        <v>310</v>
      </c>
      <c r="E2912" s="157">
        <v>41547.916666666664</v>
      </c>
      <c r="F2912" s="157">
        <v>41548.206250000003</v>
      </c>
      <c r="G2912" s="98">
        <v>250</v>
      </c>
      <c r="H2912" s="98">
        <v>330</v>
      </c>
      <c r="I2912" s="98">
        <v>296</v>
      </c>
      <c r="J2912" s="98" t="s">
        <v>1966</v>
      </c>
      <c r="K2912" s="98" t="s">
        <v>615</v>
      </c>
      <c r="L2912" s="105" t="str">
        <f t="shared" si="480"/>
        <v>Mill Creek</v>
      </c>
      <c r="M2912" s="105" t="str">
        <f t="shared" si="481"/>
        <v>Derate</v>
      </c>
      <c r="N2912" s="105" t="str">
        <f t="shared" si="482"/>
        <v>Coal</v>
      </c>
      <c r="O2912" s="105">
        <f>IFERROR(VLOOKUP(A2912,Lookup!$J$5:$P$19,7,FALSE),0)</f>
        <v>2</v>
      </c>
      <c r="P2912" s="159">
        <f t="shared" si="483"/>
        <v>2013</v>
      </c>
      <c r="Q2912" s="159">
        <f t="shared" si="484"/>
        <v>9</v>
      </c>
      <c r="R2912" s="160">
        <f t="shared" si="485"/>
        <v>6.9500000001280569</v>
      </c>
      <c r="S2912" s="158">
        <f t="shared" si="486"/>
        <v>1.6848484848795289</v>
      </c>
      <c r="T2912" s="161">
        <f t="shared" si="487"/>
        <v>498.71515152434057</v>
      </c>
      <c r="U2912" s="158">
        <f t="shared" si="489"/>
        <v>71.757575757575751</v>
      </c>
      <c r="V2912" s="160">
        <f t="shared" si="488"/>
        <v>72</v>
      </c>
    </row>
    <row r="2913" spans="1:22" x14ac:dyDescent="0.25">
      <c r="A2913" s="98" t="s">
        <v>35</v>
      </c>
      <c r="B2913" s="98" t="s">
        <v>105</v>
      </c>
      <c r="C2913" s="98">
        <v>95</v>
      </c>
      <c r="D2913" s="98">
        <v>250</v>
      </c>
      <c r="E2913" s="157">
        <v>41548.958333333336</v>
      </c>
      <c r="F2913" s="157">
        <v>41549.170138888891</v>
      </c>
      <c r="G2913" s="98">
        <v>250</v>
      </c>
      <c r="H2913" s="98">
        <v>330</v>
      </c>
      <c r="I2913" s="98">
        <v>296</v>
      </c>
      <c r="J2913" s="98" t="s">
        <v>1978</v>
      </c>
      <c r="K2913" s="98" t="s">
        <v>1464</v>
      </c>
      <c r="L2913" s="105" t="str">
        <f t="shared" si="480"/>
        <v>Mill Creek</v>
      </c>
      <c r="M2913" s="105" t="str">
        <f t="shared" si="481"/>
        <v>Derate</v>
      </c>
      <c r="N2913" s="105" t="str">
        <f t="shared" si="482"/>
        <v>Coal</v>
      </c>
      <c r="O2913" s="105">
        <f>IFERROR(VLOOKUP(A2913,Lookup!$J$5:$P$19,7,FALSE),0)</f>
        <v>2</v>
      </c>
      <c r="P2913" s="159">
        <f t="shared" si="483"/>
        <v>2013</v>
      </c>
      <c r="Q2913" s="159">
        <f t="shared" si="484"/>
        <v>10</v>
      </c>
      <c r="R2913" s="160">
        <f t="shared" si="485"/>
        <v>5.0833333333139308</v>
      </c>
      <c r="S2913" s="158">
        <f t="shared" si="486"/>
        <v>1.2323232323185287</v>
      </c>
      <c r="T2913" s="161">
        <f t="shared" si="487"/>
        <v>364.76767676628447</v>
      </c>
      <c r="U2913" s="158">
        <f t="shared" si="489"/>
        <v>71.757575757575751</v>
      </c>
      <c r="V2913" s="160">
        <f t="shared" si="488"/>
        <v>72</v>
      </c>
    </row>
    <row r="2914" spans="1:22" x14ac:dyDescent="0.25">
      <c r="A2914" s="98" t="s">
        <v>35</v>
      </c>
      <c r="B2914" s="98" t="s">
        <v>15</v>
      </c>
      <c r="C2914" s="98">
        <v>96</v>
      </c>
      <c r="D2914" s="98">
        <v>3110</v>
      </c>
      <c r="E2914" s="157">
        <v>41551.730555555558</v>
      </c>
      <c r="F2914" s="157">
        <v>41553.018055555556</v>
      </c>
      <c r="G2914" s="98">
        <v>0</v>
      </c>
      <c r="H2914" s="98">
        <v>330</v>
      </c>
      <c r="I2914" s="98">
        <v>296</v>
      </c>
      <c r="J2914" s="98" t="s">
        <v>2119</v>
      </c>
      <c r="K2914" s="98" t="s">
        <v>31</v>
      </c>
      <c r="L2914" s="105" t="str">
        <f t="shared" si="480"/>
        <v>Mill Creek</v>
      </c>
      <c r="M2914" s="105" t="str">
        <f t="shared" si="481"/>
        <v>Outage</v>
      </c>
      <c r="N2914" s="105" t="str">
        <f t="shared" si="482"/>
        <v>Coal</v>
      </c>
      <c r="O2914" s="105">
        <f>IFERROR(VLOOKUP(A2914,Lookup!$J$5:$P$19,7,FALSE),0)</f>
        <v>2</v>
      </c>
      <c r="P2914" s="159">
        <f t="shared" si="483"/>
        <v>2013</v>
      </c>
      <c r="Q2914" s="159">
        <f t="shared" si="484"/>
        <v>10</v>
      </c>
      <c r="R2914" s="160">
        <f t="shared" si="485"/>
        <v>30.899999999965075</v>
      </c>
      <c r="S2914" s="158">
        <f t="shared" si="486"/>
        <v>30.899999999965075</v>
      </c>
      <c r="T2914" s="161">
        <f t="shared" si="487"/>
        <v>9146.3999999896623</v>
      </c>
      <c r="U2914" s="158">
        <f t="shared" si="489"/>
        <v>296</v>
      </c>
      <c r="V2914" s="160">
        <f t="shared" si="488"/>
        <v>296</v>
      </c>
    </row>
    <row r="2915" spans="1:22" x14ac:dyDescent="0.25">
      <c r="A2915" s="98" t="s">
        <v>35</v>
      </c>
      <c r="B2915" s="98" t="s">
        <v>79</v>
      </c>
      <c r="C2915" s="98">
        <v>97</v>
      </c>
      <c r="D2915" s="98">
        <v>1850</v>
      </c>
      <c r="E2915" s="157">
        <v>41553.018055555556</v>
      </c>
      <c r="F2915" s="157">
        <v>41553.520833333336</v>
      </c>
      <c r="G2915" s="98">
        <v>0</v>
      </c>
      <c r="H2915" s="98">
        <v>330</v>
      </c>
      <c r="I2915" s="98">
        <v>296</v>
      </c>
      <c r="J2915" s="98" t="s">
        <v>2263</v>
      </c>
      <c r="K2915" s="98" t="s">
        <v>86</v>
      </c>
      <c r="L2915" s="105" t="str">
        <f t="shared" si="480"/>
        <v>Mill Creek</v>
      </c>
      <c r="M2915" s="105" t="str">
        <f t="shared" si="481"/>
        <v>Other</v>
      </c>
      <c r="N2915" s="105" t="str">
        <f t="shared" si="482"/>
        <v>Coal</v>
      </c>
      <c r="O2915" s="105">
        <f>IFERROR(VLOOKUP(A2915,Lookup!$J$5:$P$19,7,FALSE),0)</f>
        <v>2</v>
      </c>
      <c r="P2915" s="159">
        <f t="shared" si="483"/>
        <v>2013</v>
      </c>
      <c r="Q2915" s="159">
        <f t="shared" si="484"/>
        <v>10</v>
      </c>
      <c r="R2915" s="160">
        <f t="shared" si="485"/>
        <v>12.066666666709352</v>
      </c>
      <c r="S2915" s="158">
        <f t="shared" si="486"/>
        <v>12.066666666709352</v>
      </c>
      <c r="T2915" s="161">
        <f t="shared" si="487"/>
        <v>3571.7333333459683</v>
      </c>
      <c r="U2915" s="158">
        <f t="shared" si="489"/>
        <v>296</v>
      </c>
      <c r="V2915" s="160">
        <f t="shared" si="488"/>
        <v>296</v>
      </c>
    </row>
    <row r="2916" spans="1:22" x14ac:dyDescent="0.25">
      <c r="A2916" s="98" t="s">
        <v>35</v>
      </c>
      <c r="B2916" s="98" t="s">
        <v>17</v>
      </c>
      <c r="C2916" s="98">
        <v>98</v>
      </c>
      <c r="D2916" s="98">
        <v>1850</v>
      </c>
      <c r="E2916" s="157">
        <v>41553.520833333336</v>
      </c>
      <c r="F2916" s="157">
        <v>41553.708333333336</v>
      </c>
      <c r="G2916" s="98">
        <v>200</v>
      </c>
      <c r="H2916" s="98">
        <v>330</v>
      </c>
      <c r="I2916" s="98">
        <v>296</v>
      </c>
      <c r="J2916" s="98" t="s">
        <v>2263</v>
      </c>
      <c r="K2916" s="98" t="s">
        <v>41</v>
      </c>
      <c r="L2916" s="105" t="str">
        <f t="shared" si="480"/>
        <v>Mill Creek</v>
      </c>
      <c r="M2916" s="105" t="str">
        <f t="shared" si="481"/>
        <v>Derate</v>
      </c>
      <c r="N2916" s="105" t="str">
        <f t="shared" si="482"/>
        <v>Coal</v>
      </c>
      <c r="O2916" s="105">
        <f>IFERROR(VLOOKUP(A2916,Lookup!$J$5:$P$19,7,FALSE),0)</f>
        <v>2</v>
      </c>
      <c r="P2916" s="159">
        <f t="shared" si="483"/>
        <v>2013</v>
      </c>
      <c r="Q2916" s="159">
        <f t="shared" si="484"/>
        <v>10</v>
      </c>
      <c r="R2916" s="160">
        <f t="shared" si="485"/>
        <v>4.5</v>
      </c>
      <c r="S2916" s="158">
        <f t="shared" si="486"/>
        <v>1.7727272727272727</v>
      </c>
      <c r="T2916" s="161">
        <f t="shared" si="487"/>
        <v>524.72727272727275</v>
      </c>
      <c r="U2916" s="158">
        <f t="shared" si="489"/>
        <v>116.60606060606061</v>
      </c>
      <c r="V2916" s="160">
        <f t="shared" si="488"/>
        <v>117</v>
      </c>
    </row>
    <row r="2917" spans="1:22" x14ac:dyDescent="0.25">
      <c r="A2917" s="98" t="s">
        <v>35</v>
      </c>
      <c r="B2917" s="98" t="s">
        <v>17</v>
      </c>
      <c r="C2917" s="98">
        <v>99</v>
      </c>
      <c r="D2917" s="98">
        <v>1850</v>
      </c>
      <c r="E2917" s="157">
        <v>41553.708333333336</v>
      </c>
      <c r="F2917" s="157">
        <v>41554.209722222222</v>
      </c>
      <c r="G2917" s="98">
        <v>230</v>
      </c>
      <c r="H2917" s="98">
        <v>330</v>
      </c>
      <c r="I2917" s="98">
        <v>296</v>
      </c>
      <c r="J2917" s="98" t="s">
        <v>2263</v>
      </c>
      <c r="K2917" s="98" t="s">
        <v>41</v>
      </c>
      <c r="L2917" s="105" t="str">
        <f t="shared" si="480"/>
        <v>Mill Creek</v>
      </c>
      <c r="M2917" s="105" t="str">
        <f t="shared" si="481"/>
        <v>Derate</v>
      </c>
      <c r="N2917" s="105" t="str">
        <f t="shared" si="482"/>
        <v>Coal</v>
      </c>
      <c r="O2917" s="105">
        <f>IFERROR(VLOOKUP(A2917,Lookup!$J$5:$P$19,7,FALSE),0)</f>
        <v>2</v>
      </c>
      <c r="P2917" s="159">
        <f t="shared" si="483"/>
        <v>2013</v>
      </c>
      <c r="Q2917" s="159">
        <f t="shared" si="484"/>
        <v>10</v>
      </c>
      <c r="R2917" s="160">
        <f t="shared" si="485"/>
        <v>12.033333333267365</v>
      </c>
      <c r="S2917" s="158">
        <f t="shared" si="486"/>
        <v>3.646464646444656</v>
      </c>
      <c r="T2917" s="161">
        <f t="shared" si="487"/>
        <v>1079.3535353476182</v>
      </c>
      <c r="U2917" s="158">
        <f t="shared" si="489"/>
        <v>89.696969696969703</v>
      </c>
      <c r="V2917" s="160">
        <f t="shared" si="488"/>
        <v>90</v>
      </c>
    </row>
    <row r="2918" spans="1:22" x14ac:dyDescent="0.25">
      <c r="A2918" s="98" t="s">
        <v>35</v>
      </c>
      <c r="B2918" s="98" t="s">
        <v>17</v>
      </c>
      <c r="C2918" s="98">
        <v>100</v>
      </c>
      <c r="D2918" s="98">
        <v>1850</v>
      </c>
      <c r="E2918" s="157">
        <v>41554.209722222222</v>
      </c>
      <c r="F2918" s="157">
        <v>41554.320833333331</v>
      </c>
      <c r="G2918" s="98">
        <v>213</v>
      </c>
      <c r="H2918" s="98">
        <v>330</v>
      </c>
      <c r="I2918" s="98">
        <v>296</v>
      </c>
      <c r="J2918" s="98" t="s">
        <v>2263</v>
      </c>
      <c r="K2918" s="98" t="s">
        <v>41</v>
      </c>
      <c r="L2918" s="105" t="str">
        <f t="shared" ref="L2918:L2981" si="490">IF(OR(A2918="BR1",A2918="BR2",A2918="BR3",A2918="BR5",A2918="BR6",A2918="BR7",A2918="BR8",A2918="BR9",A2918="BR10",A2918="BR11"),"Brown",IF(OR(A2918="CR4",A2918="CR5",A2918="CR6",A2918="CR11"),"Cane Run",IF(OR(A2918="GH1",A2918="GH2",A2918="GH3",A2918="GH4"),"Ghent",IF(OR(A2918="GR3",A2918="GR4"),"Green River",IF(OR(A2918="MC1",A2918="MC2",A2918="MC3",A2918="MC4"),"Mill Creek",IF(OR(A2918="TC1",A2918="TC2",A2918="TC5",A2918="TC6",A2918="TC7",A2918="TC8",A2918="TC9",A2918="TC10"),"Trimble",IF(A2918="TY3","Tyrone",IF(OR(A2918="HA1",A2918="HA2",A2918="HA3"),"Haeflin",IF(OR(A2918="PR11",A2918="PR12",A2918="PR13"),"Paddy's Run","Zorn")))))))))</f>
        <v>Mill Creek</v>
      </c>
      <c r="M2918" s="105" t="str">
        <f t="shared" ref="M2918:M2981" si="491">IF(OR(B2918="D1",B2918="D2",B2918="D3",B2918="D4",B2918="PD"),"Derate",IF(OR(B2918="SF",B2918="U1",B2918="U2",B2918="U3"),"Outage",IF(OR(B2918="ME",B2918="MO"),"Maintenance","Other")))</f>
        <v>Derate</v>
      </c>
      <c r="N2918" s="105" t="str">
        <f t="shared" ref="N2918:N2981" si="492">IF(OR(A2918="BR1",A2918="BR2",A2918="BR3",A2918="CR4",A2918="CR5",A2918="CR6",A2918="GH1",A2918="GH2",A2918="GH3",A2918="GH4",A2918="GR3",A2918="GR4",A2918="MC1",A2918="MC2",A2918="MC3",A2918="MC4",A2918="TC1",A2918="TC2",A2918="TY3"),"Coal","Gas")</f>
        <v>Coal</v>
      </c>
      <c r="O2918" s="105">
        <f>IFERROR(VLOOKUP(A2918,Lookup!$J$5:$P$19,7,FALSE),0)</f>
        <v>2</v>
      </c>
      <c r="P2918" s="159">
        <f t="shared" ref="P2918:P2981" si="493">YEAR(E2918)</f>
        <v>2013</v>
      </c>
      <c r="Q2918" s="159">
        <f t="shared" ref="Q2918:Q2981" si="494">MONTH(E2918)</f>
        <v>10</v>
      </c>
      <c r="R2918" s="160">
        <f t="shared" ref="R2918:R2981" si="495">(F2918-E2918)*24</f>
        <v>2.6666666666278616</v>
      </c>
      <c r="S2918" s="158">
        <f t="shared" ref="S2918:S2981" si="496">R2918*(H2918-G2918)/H2918</f>
        <v>0.94545454544078733</v>
      </c>
      <c r="T2918" s="161">
        <f t="shared" ref="T2918:T2981" si="497">S2918*I2918</f>
        <v>279.85454545047304</v>
      </c>
      <c r="U2918" s="158">
        <f t="shared" si="489"/>
        <v>104.94545454545455</v>
      </c>
      <c r="V2918" s="160">
        <f t="shared" ref="V2918:V2981" si="498">ROUND(U2918,0)</f>
        <v>105</v>
      </c>
    </row>
    <row r="2919" spans="1:22" x14ac:dyDescent="0.25">
      <c r="A2919" s="98" t="s">
        <v>35</v>
      </c>
      <c r="B2919" s="98" t="s">
        <v>17</v>
      </c>
      <c r="C2919" s="98">
        <v>101</v>
      </c>
      <c r="D2919" s="98">
        <v>1850</v>
      </c>
      <c r="E2919" s="157">
        <v>41554.320833333331</v>
      </c>
      <c r="F2919" s="157">
        <v>41554.423611111109</v>
      </c>
      <c r="G2919" s="98">
        <v>235</v>
      </c>
      <c r="H2919" s="98">
        <v>330</v>
      </c>
      <c r="I2919" s="98">
        <v>296</v>
      </c>
      <c r="J2919" s="98" t="s">
        <v>2263</v>
      </c>
      <c r="K2919" s="98" t="s">
        <v>41</v>
      </c>
      <c r="L2919" s="105" t="str">
        <f t="shared" si="490"/>
        <v>Mill Creek</v>
      </c>
      <c r="M2919" s="105" t="str">
        <f t="shared" si="491"/>
        <v>Derate</v>
      </c>
      <c r="N2919" s="105" t="str">
        <f t="shared" si="492"/>
        <v>Coal</v>
      </c>
      <c r="O2919" s="105">
        <f>IFERROR(VLOOKUP(A2919,Lookup!$J$5:$P$19,7,FALSE),0)</f>
        <v>2</v>
      </c>
      <c r="P2919" s="159">
        <f t="shared" si="493"/>
        <v>2013</v>
      </c>
      <c r="Q2919" s="159">
        <f t="shared" si="494"/>
        <v>10</v>
      </c>
      <c r="R2919" s="160">
        <f t="shared" si="495"/>
        <v>2.4666666666744277</v>
      </c>
      <c r="S2919" s="158">
        <f t="shared" si="496"/>
        <v>0.71010101010324433</v>
      </c>
      <c r="T2919" s="161">
        <f t="shared" si="497"/>
        <v>210.18989899056032</v>
      </c>
      <c r="U2919" s="158">
        <f t="shared" ref="U2919:U2982" si="499">IF(G2919&gt;0,MAX((H2919-G2919),0)*I2919/H2919,I2919)</f>
        <v>85.212121212121218</v>
      </c>
      <c r="V2919" s="160">
        <f t="shared" si="498"/>
        <v>85</v>
      </c>
    </row>
    <row r="2920" spans="1:22" x14ac:dyDescent="0.25">
      <c r="A2920" s="98" t="s">
        <v>35</v>
      </c>
      <c r="B2920" s="98" t="s">
        <v>17</v>
      </c>
      <c r="C2920" s="98">
        <v>102</v>
      </c>
      <c r="D2920" s="98">
        <v>1850</v>
      </c>
      <c r="E2920" s="157">
        <v>41554.423611111109</v>
      </c>
      <c r="F2920" s="157">
        <v>41555.095833333333</v>
      </c>
      <c r="G2920" s="98">
        <v>240</v>
      </c>
      <c r="H2920" s="98">
        <v>330</v>
      </c>
      <c r="I2920" s="98">
        <v>296</v>
      </c>
      <c r="J2920" s="98" t="s">
        <v>2263</v>
      </c>
      <c r="K2920" s="98" t="s">
        <v>41</v>
      </c>
      <c r="L2920" s="105" t="str">
        <f t="shared" si="490"/>
        <v>Mill Creek</v>
      </c>
      <c r="M2920" s="105" t="str">
        <f t="shared" si="491"/>
        <v>Derate</v>
      </c>
      <c r="N2920" s="105" t="str">
        <f t="shared" si="492"/>
        <v>Coal</v>
      </c>
      <c r="O2920" s="105">
        <f>IFERROR(VLOOKUP(A2920,Lookup!$J$5:$P$19,7,FALSE),0)</f>
        <v>2</v>
      </c>
      <c r="P2920" s="159">
        <f t="shared" si="493"/>
        <v>2013</v>
      </c>
      <c r="Q2920" s="159">
        <f t="shared" si="494"/>
        <v>10</v>
      </c>
      <c r="R2920" s="160">
        <f t="shared" si="495"/>
        <v>16.133333333360497</v>
      </c>
      <c r="S2920" s="158">
        <f t="shared" si="496"/>
        <v>4.4000000000074087</v>
      </c>
      <c r="T2920" s="161">
        <f t="shared" si="497"/>
        <v>1302.4000000021929</v>
      </c>
      <c r="U2920" s="158">
        <f t="shared" si="499"/>
        <v>80.727272727272734</v>
      </c>
      <c r="V2920" s="160">
        <f t="shared" si="498"/>
        <v>81</v>
      </c>
    </row>
    <row r="2921" spans="1:22" x14ac:dyDescent="0.25">
      <c r="A2921" s="98" t="s">
        <v>35</v>
      </c>
      <c r="B2921" s="98" t="s">
        <v>17</v>
      </c>
      <c r="C2921" s="98">
        <v>103</v>
      </c>
      <c r="D2921" s="98">
        <v>1850</v>
      </c>
      <c r="E2921" s="157">
        <v>41555.095833333333</v>
      </c>
      <c r="F2921" s="157">
        <v>41555.218055555553</v>
      </c>
      <c r="G2921" s="98">
        <v>220</v>
      </c>
      <c r="H2921" s="98">
        <v>330</v>
      </c>
      <c r="I2921" s="98">
        <v>296</v>
      </c>
      <c r="J2921" s="98" t="s">
        <v>2263</v>
      </c>
      <c r="K2921" s="98" t="s">
        <v>41</v>
      </c>
      <c r="L2921" s="105" t="str">
        <f t="shared" si="490"/>
        <v>Mill Creek</v>
      </c>
      <c r="M2921" s="105" t="str">
        <f t="shared" si="491"/>
        <v>Derate</v>
      </c>
      <c r="N2921" s="105" t="str">
        <f t="shared" si="492"/>
        <v>Coal</v>
      </c>
      <c r="O2921" s="105">
        <f>IFERROR(VLOOKUP(A2921,Lookup!$J$5:$P$19,7,FALSE),0)</f>
        <v>2</v>
      </c>
      <c r="P2921" s="159">
        <f t="shared" si="493"/>
        <v>2013</v>
      </c>
      <c r="Q2921" s="159">
        <f t="shared" si="494"/>
        <v>10</v>
      </c>
      <c r="R2921" s="160">
        <f t="shared" si="495"/>
        <v>2.9333333332906477</v>
      </c>
      <c r="S2921" s="158">
        <f t="shared" si="496"/>
        <v>0.97777777776354924</v>
      </c>
      <c r="T2921" s="161">
        <f t="shared" si="497"/>
        <v>289.42222221801057</v>
      </c>
      <c r="U2921" s="158">
        <f t="shared" si="499"/>
        <v>98.666666666666671</v>
      </c>
      <c r="V2921" s="160">
        <f t="shared" si="498"/>
        <v>99</v>
      </c>
    </row>
    <row r="2922" spans="1:22" x14ac:dyDescent="0.25">
      <c r="A2922" s="98" t="s">
        <v>35</v>
      </c>
      <c r="B2922" s="98" t="s">
        <v>17</v>
      </c>
      <c r="C2922" s="98">
        <v>104</v>
      </c>
      <c r="D2922" s="98">
        <v>1850</v>
      </c>
      <c r="E2922" s="157">
        <v>41555.218055555553</v>
      </c>
      <c r="F2922" s="157">
        <v>41555.260416666664</v>
      </c>
      <c r="G2922" s="98">
        <v>230</v>
      </c>
      <c r="H2922" s="98">
        <v>330</v>
      </c>
      <c r="I2922" s="98">
        <v>296</v>
      </c>
      <c r="J2922" s="98" t="s">
        <v>2263</v>
      </c>
      <c r="K2922" s="98" t="s">
        <v>41</v>
      </c>
      <c r="L2922" s="105" t="str">
        <f t="shared" si="490"/>
        <v>Mill Creek</v>
      </c>
      <c r="M2922" s="105" t="str">
        <f t="shared" si="491"/>
        <v>Derate</v>
      </c>
      <c r="N2922" s="105" t="str">
        <f t="shared" si="492"/>
        <v>Coal</v>
      </c>
      <c r="O2922" s="105">
        <f>IFERROR(VLOOKUP(A2922,Lookup!$J$5:$P$19,7,FALSE),0)</f>
        <v>2</v>
      </c>
      <c r="P2922" s="159">
        <f t="shared" si="493"/>
        <v>2013</v>
      </c>
      <c r="Q2922" s="159">
        <f t="shared" si="494"/>
        <v>10</v>
      </c>
      <c r="R2922" s="160">
        <f t="shared" si="495"/>
        <v>1.0166666666627862</v>
      </c>
      <c r="S2922" s="158">
        <f t="shared" si="496"/>
        <v>0.30808080807963217</v>
      </c>
      <c r="T2922" s="161">
        <f t="shared" si="497"/>
        <v>91.191919191571117</v>
      </c>
      <c r="U2922" s="158">
        <f t="shared" si="499"/>
        <v>89.696969696969703</v>
      </c>
      <c r="V2922" s="160">
        <f t="shared" si="498"/>
        <v>90</v>
      </c>
    </row>
    <row r="2923" spans="1:22" x14ac:dyDescent="0.25">
      <c r="A2923" s="98" t="s">
        <v>35</v>
      </c>
      <c r="B2923" s="98" t="s">
        <v>17</v>
      </c>
      <c r="C2923" s="98">
        <v>105</v>
      </c>
      <c r="D2923" s="98">
        <v>1850</v>
      </c>
      <c r="E2923" s="157">
        <v>41555.260416666664</v>
      </c>
      <c r="F2923" s="157">
        <v>41555.307638888888</v>
      </c>
      <c r="G2923" s="98">
        <v>250</v>
      </c>
      <c r="H2923" s="98">
        <v>330</v>
      </c>
      <c r="I2923" s="98">
        <v>296</v>
      </c>
      <c r="J2923" s="98" t="s">
        <v>2263</v>
      </c>
      <c r="K2923" s="98" t="s">
        <v>41</v>
      </c>
      <c r="L2923" s="105" t="str">
        <f t="shared" si="490"/>
        <v>Mill Creek</v>
      </c>
      <c r="M2923" s="105" t="str">
        <f t="shared" si="491"/>
        <v>Derate</v>
      </c>
      <c r="N2923" s="105" t="str">
        <f t="shared" si="492"/>
        <v>Coal</v>
      </c>
      <c r="O2923" s="105">
        <f>IFERROR(VLOOKUP(A2923,Lookup!$J$5:$P$19,7,FALSE),0)</f>
        <v>2</v>
      </c>
      <c r="P2923" s="159">
        <f t="shared" si="493"/>
        <v>2013</v>
      </c>
      <c r="Q2923" s="159">
        <f t="shared" si="494"/>
        <v>10</v>
      </c>
      <c r="R2923" s="160">
        <f t="shared" si="495"/>
        <v>1.1333333333604969</v>
      </c>
      <c r="S2923" s="158">
        <f t="shared" si="496"/>
        <v>0.27474747475405986</v>
      </c>
      <c r="T2923" s="161">
        <f t="shared" si="497"/>
        <v>81.325252527201712</v>
      </c>
      <c r="U2923" s="158">
        <f t="shared" si="499"/>
        <v>71.757575757575751</v>
      </c>
      <c r="V2923" s="160">
        <f t="shared" si="498"/>
        <v>72</v>
      </c>
    </row>
    <row r="2924" spans="1:22" x14ac:dyDescent="0.25">
      <c r="A2924" s="98" t="s">
        <v>35</v>
      </c>
      <c r="B2924" s="98" t="s">
        <v>17</v>
      </c>
      <c r="C2924" s="98">
        <v>106</v>
      </c>
      <c r="D2924" s="98">
        <v>1850</v>
      </c>
      <c r="E2924" s="157">
        <v>41555.307638888888</v>
      </c>
      <c r="F2924" s="157">
        <v>41556.21875</v>
      </c>
      <c r="G2924" s="98">
        <v>251</v>
      </c>
      <c r="H2924" s="98">
        <v>330</v>
      </c>
      <c r="I2924" s="98">
        <v>296</v>
      </c>
      <c r="J2924" s="98" t="s">
        <v>2263</v>
      </c>
      <c r="K2924" s="98" t="s">
        <v>1465</v>
      </c>
      <c r="L2924" s="105" t="str">
        <f t="shared" si="490"/>
        <v>Mill Creek</v>
      </c>
      <c r="M2924" s="105" t="str">
        <f t="shared" si="491"/>
        <v>Derate</v>
      </c>
      <c r="N2924" s="105" t="str">
        <f t="shared" si="492"/>
        <v>Coal</v>
      </c>
      <c r="O2924" s="105">
        <f>IFERROR(VLOOKUP(A2924,Lookup!$J$5:$P$19,7,FALSE),0)</f>
        <v>2</v>
      </c>
      <c r="P2924" s="159">
        <f t="shared" si="493"/>
        <v>2013</v>
      </c>
      <c r="Q2924" s="159">
        <f t="shared" si="494"/>
        <v>10</v>
      </c>
      <c r="R2924" s="160">
        <f t="shared" si="495"/>
        <v>21.866666666697711</v>
      </c>
      <c r="S2924" s="158">
        <f t="shared" si="496"/>
        <v>5.2347474747549061</v>
      </c>
      <c r="T2924" s="161">
        <f t="shared" si="497"/>
        <v>1549.4852525274523</v>
      </c>
      <c r="U2924" s="158">
        <f t="shared" si="499"/>
        <v>70.860606060606059</v>
      </c>
      <c r="V2924" s="160">
        <f t="shared" si="498"/>
        <v>71</v>
      </c>
    </row>
    <row r="2925" spans="1:22" x14ac:dyDescent="0.25">
      <c r="A2925" s="98" t="s">
        <v>35</v>
      </c>
      <c r="B2925" s="98" t="s">
        <v>17</v>
      </c>
      <c r="C2925" s="98">
        <v>107</v>
      </c>
      <c r="D2925" s="98">
        <v>1850</v>
      </c>
      <c r="E2925" s="157">
        <v>41556.21875</v>
      </c>
      <c r="F2925" s="157">
        <v>41557.208333333336</v>
      </c>
      <c r="G2925" s="98">
        <v>285</v>
      </c>
      <c r="H2925" s="98">
        <v>330</v>
      </c>
      <c r="I2925" s="98">
        <v>296</v>
      </c>
      <c r="J2925" s="98" t="s">
        <v>2263</v>
      </c>
      <c r="K2925" s="98" t="s">
        <v>1465</v>
      </c>
      <c r="L2925" s="105" t="str">
        <f t="shared" si="490"/>
        <v>Mill Creek</v>
      </c>
      <c r="M2925" s="105" t="str">
        <f t="shared" si="491"/>
        <v>Derate</v>
      </c>
      <c r="N2925" s="105" t="str">
        <f t="shared" si="492"/>
        <v>Coal</v>
      </c>
      <c r="O2925" s="105">
        <f>IFERROR(VLOOKUP(A2925,Lookup!$J$5:$P$19,7,FALSE),0)</f>
        <v>2</v>
      </c>
      <c r="P2925" s="159">
        <f t="shared" si="493"/>
        <v>2013</v>
      </c>
      <c r="Q2925" s="159">
        <f t="shared" si="494"/>
        <v>10</v>
      </c>
      <c r="R2925" s="160">
        <f t="shared" si="495"/>
        <v>23.750000000058208</v>
      </c>
      <c r="S2925" s="158">
        <f t="shared" si="496"/>
        <v>3.238636363644301</v>
      </c>
      <c r="T2925" s="161">
        <f t="shared" si="497"/>
        <v>958.63636363871308</v>
      </c>
      <c r="U2925" s="158">
        <f t="shared" si="499"/>
        <v>40.363636363636367</v>
      </c>
      <c r="V2925" s="160">
        <f t="shared" si="498"/>
        <v>40</v>
      </c>
    </row>
    <row r="2926" spans="1:22" x14ac:dyDescent="0.25">
      <c r="A2926" s="98" t="s">
        <v>35</v>
      </c>
      <c r="B2926" s="98" t="s">
        <v>17</v>
      </c>
      <c r="C2926" s="98">
        <v>108</v>
      </c>
      <c r="D2926" s="98">
        <v>1850</v>
      </c>
      <c r="E2926" s="157">
        <v>41557.208333333336</v>
      </c>
      <c r="F2926" s="157">
        <v>41557.353472222225</v>
      </c>
      <c r="G2926" s="98">
        <v>290</v>
      </c>
      <c r="H2926" s="98">
        <v>330</v>
      </c>
      <c r="I2926" s="98">
        <v>296</v>
      </c>
      <c r="J2926" s="98" t="s">
        <v>2263</v>
      </c>
      <c r="K2926" s="98" t="s">
        <v>41</v>
      </c>
      <c r="L2926" s="105" t="str">
        <f t="shared" si="490"/>
        <v>Mill Creek</v>
      </c>
      <c r="M2926" s="105" t="str">
        <f t="shared" si="491"/>
        <v>Derate</v>
      </c>
      <c r="N2926" s="105" t="str">
        <f t="shared" si="492"/>
        <v>Coal</v>
      </c>
      <c r="O2926" s="105">
        <f>IFERROR(VLOOKUP(A2926,Lookup!$J$5:$P$19,7,FALSE),0)</f>
        <v>2</v>
      </c>
      <c r="P2926" s="159">
        <f t="shared" si="493"/>
        <v>2013</v>
      </c>
      <c r="Q2926" s="159">
        <f t="shared" si="494"/>
        <v>10</v>
      </c>
      <c r="R2926" s="160">
        <f t="shared" si="495"/>
        <v>3.4833333333372138</v>
      </c>
      <c r="S2926" s="158">
        <f t="shared" si="496"/>
        <v>0.42222222222269257</v>
      </c>
      <c r="T2926" s="161">
        <f t="shared" si="497"/>
        <v>124.977777777917</v>
      </c>
      <c r="U2926" s="158">
        <f t="shared" si="499"/>
        <v>35.878787878787875</v>
      </c>
      <c r="V2926" s="160">
        <f t="shared" si="498"/>
        <v>36</v>
      </c>
    </row>
    <row r="2927" spans="1:22" x14ac:dyDescent="0.25">
      <c r="A2927" s="98" t="s">
        <v>35</v>
      </c>
      <c r="B2927" s="98" t="s">
        <v>17</v>
      </c>
      <c r="C2927" s="98">
        <v>109</v>
      </c>
      <c r="D2927" s="98">
        <v>1850</v>
      </c>
      <c r="E2927" s="157">
        <v>41557.474305555559</v>
      </c>
      <c r="F2927" s="157">
        <v>41557.538888888892</v>
      </c>
      <c r="G2927" s="98">
        <v>301</v>
      </c>
      <c r="H2927" s="98">
        <v>330</v>
      </c>
      <c r="I2927" s="98">
        <v>296</v>
      </c>
      <c r="J2927" s="98" t="s">
        <v>2263</v>
      </c>
      <c r="K2927" s="98" t="s">
        <v>41</v>
      </c>
      <c r="L2927" s="105" t="str">
        <f t="shared" si="490"/>
        <v>Mill Creek</v>
      </c>
      <c r="M2927" s="105" t="str">
        <f t="shared" si="491"/>
        <v>Derate</v>
      </c>
      <c r="N2927" s="105" t="str">
        <f t="shared" si="492"/>
        <v>Coal</v>
      </c>
      <c r="O2927" s="105">
        <f>IFERROR(VLOOKUP(A2927,Lookup!$J$5:$P$19,7,FALSE),0)</f>
        <v>2</v>
      </c>
      <c r="P2927" s="159">
        <f t="shared" si="493"/>
        <v>2013</v>
      </c>
      <c r="Q2927" s="159">
        <f t="shared" si="494"/>
        <v>10</v>
      </c>
      <c r="R2927" s="160">
        <f t="shared" si="495"/>
        <v>1.5499999999883585</v>
      </c>
      <c r="S2927" s="158">
        <f t="shared" si="496"/>
        <v>0.13621212121109816</v>
      </c>
      <c r="T2927" s="161">
        <f t="shared" si="497"/>
        <v>40.318787878485054</v>
      </c>
      <c r="U2927" s="158">
        <f t="shared" si="499"/>
        <v>26.012121212121212</v>
      </c>
      <c r="V2927" s="160">
        <f t="shared" si="498"/>
        <v>26</v>
      </c>
    </row>
    <row r="2928" spans="1:22" x14ac:dyDescent="0.25">
      <c r="A2928" s="98" t="s">
        <v>35</v>
      </c>
      <c r="B2928" s="98" t="s">
        <v>17</v>
      </c>
      <c r="C2928" s="98">
        <v>110</v>
      </c>
      <c r="D2928" s="98">
        <v>1850</v>
      </c>
      <c r="E2928" s="157">
        <v>41557.538888888892</v>
      </c>
      <c r="F2928" s="157">
        <v>41557.555555555555</v>
      </c>
      <c r="G2928" s="98">
        <v>275</v>
      </c>
      <c r="H2928" s="98">
        <v>330</v>
      </c>
      <c r="I2928" s="98">
        <v>296</v>
      </c>
      <c r="J2928" s="98" t="s">
        <v>2263</v>
      </c>
      <c r="K2928" s="98" t="s">
        <v>41</v>
      </c>
      <c r="L2928" s="105" t="str">
        <f t="shared" si="490"/>
        <v>Mill Creek</v>
      </c>
      <c r="M2928" s="105" t="str">
        <f t="shared" si="491"/>
        <v>Derate</v>
      </c>
      <c r="N2928" s="105" t="str">
        <f t="shared" si="492"/>
        <v>Coal</v>
      </c>
      <c r="O2928" s="105">
        <f>IFERROR(VLOOKUP(A2928,Lookup!$J$5:$P$19,7,FALSE),0)</f>
        <v>2</v>
      </c>
      <c r="P2928" s="159">
        <f t="shared" si="493"/>
        <v>2013</v>
      </c>
      <c r="Q2928" s="159">
        <f t="shared" si="494"/>
        <v>10</v>
      </c>
      <c r="R2928" s="160">
        <f t="shared" si="495"/>
        <v>0.39999999990686774</v>
      </c>
      <c r="S2928" s="158">
        <f t="shared" si="496"/>
        <v>6.6666666651144624E-2</v>
      </c>
      <c r="T2928" s="161">
        <f t="shared" si="497"/>
        <v>19.733333328738809</v>
      </c>
      <c r="U2928" s="158">
        <f t="shared" si="499"/>
        <v>49.333333333333336</v>
      </c>
      <c r="V2928" s="160">
        <f t="shared" si="498"/>
        <v>49</v>
      </c>
    </row>
    <row r="2929" spans="1:22" x14ac:dyDescent="0.25">
      <c r="A2929" s="98" t="s">
        <v>35</v>
      </c>
      <c r="B2929" s="98" t="s">
        <v>17</v>
      </c>
      <c r="C2929" s="98">
        <v>111</v>
      </c>
      <c r="D2929" s="98">
        <v>1850</v>
      </c>
      <c r="E2929" s="157">
        <v>41557.555555555555</v>
      </c>
      <c r="F2929" s="157">
        <v>41558.131944444445</v>
      </c>
      <c r="G2929" s="98">
        <v>270</v>
      </c>
      <c r="H2929" s="98">
        <v>330</v>
      </c>
      <c r="I2929" s="98">
        <v>296</v>
      </c>
      <c r="J2929" s="98" t="s">
        <v>2263</v>
      </c>
      <c r="K2929" s="98" t="s">
        <v>41</v>
      </c>
      <c r="L2929" s="105" t="str">
        <f t="shared" si="490"/>
        <v>Mill Creek</v>
      </c>
      <c r="M2929" s="105" t="str">
        <f t="shared" si="491"/>
        <v>Derate</v>
      </c>
      <c r="N2929" s="105" t="str">
        <f t="shared" si="492"/>
        <v>Coal</v>
      </c>
      <c r="O2929" s="105">
        <f>IFERROR(VLOOKUP(A2929,Lookup!$J$5:$P$19,7,FALSE),0)</f>
        <v>2</v>
      </c>
      <c r="P2929" s="159">
        <f t="shared" si="493"/>
        <v>2013</v>
      </c>
      <c r="Q2929" s="159">
        <f t="shared" si="494"/>
        <v>10</v>
      </c>
      <c r="R2929" s="160">
        <f t="shared" si="495"/>
        <v>13.833333333372138</v>
      </c>
      <c r="S2929" s="158">
        <f t="shared" si="496"/>
        <v>2.5151515151585708</v>
      </c>
      <c r="T2929" s="161">
        <f t="shared" si="497"/>
        <v>744.48484848693693</v>
      </c>
      <c r="U2929" s="158">
        <f t="shared" si="499"/>
        <v>53.81818181818182</v>
      </c>
      <c r="V2929" s="160">
        <f t="shared" si="498"/>
        <v>54</v>
      </c>
    </row>
    <row r="2930" spans="1:22" x14ac:dyDescent="0.25">
      <c r="A2930" s="98" t="s">
        <v>35</v>
      </c>
      <c r="B2930" s="98" t="s">
        <v>17</v>
      </c>
      <c r="C2930" s="98">
        <v>112</v>
      </c>
      <c r="D2930" s="98">
        <v>1850</v>
      </c>
      <c r="E2930" s="157">
        <v>41558.131944444445</v>
      </c>
      <c r="F2930" s="157">
        <v>41558.414583333331</v>
      </c>
      <c r="G2930" s="98">
        <v>310</v>
      </c>
      <c r="H2930" s="98">
        <v>330</v>
      </c>
      <c r="I2930" s="98">
        <v>296</v>
      </c>
      <c r="J2930" s="98" t="s">
        <v>2263</v>
      </c>
      <c r="K2930" s="98" t="s">
        <v>41</v>
      </c>
      <c r="L2930" s="105" t="str">
        <f t="shared" si="490"/>
        <v>Mill Creek</v>
      </c>
      <c r="M2930" s="105" t="str">
        <f t="shared" si="491"/>
        <v>Derate</v>
      </c>
      <c r="N2930" s="105" t="str">
        <f t="shared" si="492"/>
        <v>Coal</v>
      </c>
      <c r="O2930" s="105">
        <f>IFERROR(VLOOKUP(A2930,Lookup!$J$5:$P$19,7,FALSE),0)</f>
        <v>2</v>
      </c>
      <c r="P2930" s="159">
        <f t="shared" si="493"/>
        <v>2013</v>
      </c>
      <c r="Q2930" s="159">
        <f t="shared" si="494"/>
        <v>10</v>
      </c>
      <c r="R2930" s="160">
        <f t="shared" si="495"/>
        <v>6.7833333332673647</v>
      </c>
      <c r="S2930" s="158">
        <f t="shared" si="496"/>
        <v>0.41111111110711301</v>
      </c>
      <c r="T2930" s="161">
        <f t="shared" si="497"/>
        <v>121.68888888770545</v>
      </c>
      <c r="U2930" s="158">
        <f t="shared" si="499"/>
        <v>17.939393939393938</v>
      </c>
      <c r="V2930" s="160">
        <f t="shared" si="498"/>
        <v>18</v>
      </c>
    </row>
    <row r="2931" spans="1:22" x14ac:dyDescent="0.25">
      <c r="A2931" s="98" t="s">
        <v>35</v>
      </c>
      <c r="B2931" s="98" t="s">
        <v>20</v>
      </c>
      <c r="C2931" s="98">
        <v>113</v>
      </c>
      <c r="D2931" s="98">
        <v>1000</v>
      </c>
      <c r="E2931" s="157">
        <v>41560.440972222219</v>
      </c>
      <c r="F2931" s="157">
        <v>41562.206250000003</v>
      </c>
      <c r="G2931" s="98">
        <v>0</v>
      </c>
      <c r="H2931" s="98">
        <v>330</v>
      </c>
      <c r="I2931" s="98">
        <v>296</v>
      </c>
      <c r="J2931" s="98" t="s">
        <v>2002</v>
      </c>
      <c r="K2931" s="98" t="s">
        <v>71</v>
      </c>
      <c r="L2931" s="105" t="str">
        <f t="shared" si="490"/>
        <v>Mill Creek</v>
      </c>
      <c r="M2931" s="105" t="str">
        <f t="shared" si="491"/>
        <v>Maintenance</v>
      </c>
      <c r="N2931" s="105" t="str">
        <f t="shared" si="492"/>
        <v>Coal</v>
      </c>
      <c r="O2931" s="105">
        <f>IFERROR(VLOOKUP(A2931,Lookup!$J$5:$P$19,7,FALSE),0)</f>
        <v>2</v>
      </c>
      <c r="P2931" s="159">
        <f t="shared" si="493"/>
        <v>2013</v>
      </c>
      <c r="Q2931" s="159">
        <f t="shared" si="494"/>
        <v>10</v>
      </c>
      <c r="R2931" s="160">
        <f t="shared" si="495"/>
        <v>42.366666666814126</v>
      </c>
      <c r="S2931" s="158">
        <f t="shared" si="496"/>
        <v>42.366666666814126</v>
      </c>
      <c r="T2931" s="161">
        <f t="shared" si="497"/>
        <v>12540.533333376981</v>
      </c>
      <c r="U2931" s="158">
        <f t="shared" si="499"/>
        <v>296</v>
      </c>
      <c r="V2931" s="160">
        <f t="shared" si="498"/>
        <v>296</v>
      </c>
    </row>
    <row r="2932" spans="1:22" x14ac:dyDescent="0.25">
      <c r="A2932" s="98" t="s">
        <v>35</v>
      </c>
      <c r="B2932" s="98" t="s">
        <v>79</v>
      </c>
      <c r="C2932" s="98">
        <v>114</v>
      </c>
      <c r="D2932" s="98">
        <v>1850</v>
      </c>
      <c r="E2932" s="157">
        <v>41561.206250000003</v>
      </c>
      <c r="F2932" s="157">
        <v>41562.541666666664</v>
      </c>
      <c r="G2932" s="98">
        <v>0</v>
      </c>
      <c r="H2932" s="98">
        <v>330</v>
      </c>
      <c r="I2932" s="98">
        <v>296</v>
      </c>
      <c r="J2932" s="98" t="s">
        <v>2263</v>
      </c>
      <c r="K2932" s="98" t="s">
        <v>86</v>
      </c>
      <c r="L2932" s="105" t="str">
        <f t="shared" si="490"/>
        <v>Mill Creek</v>
      </c>
      <c r="M2932" s="105" t="str">
        <f t="shared" si="491"/>
        <v>Other</v>
      </c>
      <c r="N2932" s="105" t="str">
        <f t="shared" si="492"/>
        <v>Coal</v>
      </c>
      <c r="O2932" s="105">
        <f>IFERROR(VLOOKUP(A2932,Lookup!$J$5:$P$19,7,FALSE),0)</f>
        <v>2</v>
      </c>
      <c r="P2932" s="159">
        <f t="shared" si="493"/>
        <v>2013</v>
      </c>
      <c r="Q2932" s="159">
        <f t="shared" si="494"/>
        <v>10</v>
      </c>
      <c r="R2932" s="160">
        <f t="shared" si="495"/>
        <v>32.049999999871943</v>
      </c>
      <c r="S2932" s="158">
        <f t="shared" si="496"/>
        <v>32.049999999871943</v>
      </c>
      <c r="T2932" s="161">
        <f t="shared" si="497"/>
        <v>9486.7999999620952</v>
      </c>
      <c r="U2932" s="158">
        <f t="shared" si="499"/>
        <v>296</v>
      </c>
      <c r="V2932" s="160">
        <f t="shared" si="498"/>
        <v>296</v>
      </c>
    </row>
    <row r="2933" spans="1:22" x14ac:dyDescent="0.25">
      <c r="A2933" s="98" t="s">
        <v>35</v>
      </c>
      <c r="B2933" s="98" t="s">
        <v>17</v>
      </c>
      <c r="C2933" s="98">
        <v>115</v>
      </c>
      <c r="D2933" s="98">
        <v>1850</v>
      </c>
      <c r="E2933" s="157">
        <v>41562.541666666664</v>
      </c>
      <c r="F2933" s="157">
        <v>41562.625</v>
      </c>
      <c r="G2933" s="98">
        <v>205</v>
      </c>
      <c r="H2933" s="98">
        <v>330</v>
      </c>
      <c r="I2933" s="98">
        <v>296</v>
      </c>
      <c r="J2933" s="98" t="s">
        <v>2263</v>
      </c>
      <c r="K2933" s="98" t="s">
        <v>41</v>
      </c>
      <c r="L2933" s="105" t="str">
        <f t="shared" si="490"/>
        <v>Mill Creek</v>
      </c>
      <c r="M2933" s="105" t="str">
        <f t="shared" si="491"/>
        <v>Derate</v>
      </c>
      <c r="N2933" s="105" t="str">
        <f t="shared" si="492"/>
        <v>Coal</v>
      </c>
      <c r="O2933" s="105">
        <f>IFERROR(VLOOKUP(A2933,Lookup!$J$5:$P$19,7,FALSE),0)</f>
        <v>2</v>
      </c>
      <c r="P2933" s="159">
        <f t="shared" si="493"/>
        <v>2013</v>
      </c>
      <c r="Q2933" s="159">
        <f t="shared" si="494"/>
        <v>10</v>
      </c>
      <c r="R2933" s="160">
        <f t="shared" si="495"/>
        <v>2.0000000000582077</v>
      </c>
      <c r="S2933" s="158">
        <f t="shared" si="496"/>
        <v>0.75757575759780593</v>
      </c>
      <c r="T2933" s="161">
        <f t="shared" si="497"/>
        <v>224.24242424895056</v>
      </c>
      <c r="U2933" s="158">
        <f t="shared" si="499"/>
        <v>112.12121212121212</v>
      </c>
      <c r="V2933" s="160">
        <f t="shared" si="498"/>
        <v>112</v>
      </c>
    </row>
    <row r="2934" spans="1:22" x14ac:dyDescent="0.25">
      <c r="A2934" s="98" t="s">
        <v>35</v>
      </c>
      <c r="B2934" s="98" t="s">
        <v>17</v>
      </c>
      <c r="C2934" s="98">
        <v>116</v>
      </c>
      <c r="D2934" s="98">
        <v>1850</v>
      </c>
      <c r="E2934" s="157">
        <v>41562.625</v>
      </c>
      <c r="F2934" s="157">
        <v>41563.130555555559</v>
      </c>
      <c r="G2934" s="98">
        <v>300</v>
      </c>
      <c r="H2934" s="98">
        <v>330</v>
      </c>
      <c r="I2934" s="98">
        <v>296</v>
      </c>
      <c r="J2934" s="98" t="s">
        <v>2263</v>
      </c>
      <c r="K2934" s="98" t="s">
        <v>41</v>
      </c>
      <c r="L2934" s="105" t="str">
        <f t="shared" si="490"/>
        <v>Mill Creek</v>
      </c>
      <c r="M2934" s="105" t="str">
        <f t="shared" si="491"/>
        <v>Derate</v>
      </c>
      <c r="N2934" s="105" t="str">
        <f t="shared" si="492"/>
        <v>Coal</v>
      </c>
      <c r="O2934" s="105">
        <f>IFERROR(VLOOKUP(A2934,Lookup!$J$5:$P$19,7,FALSE),0)</f>
        <v>2</v>
      </c>
      <c r="P2934" s="159">
        <f t="shared" si="493"/>
        <v>2013</v>
      </c>
      <c r="Q2934" s="159">
        <f t="shared" si="494"/>
        <v>10</v>
      </c>
      <c r="R2934" s="160">
        <f t="shared" si="495"/>
        <v>12.133333333418705</v>
      </c>
      <c r="S2934" s="158">
        <f t="shared" si="496"/>
        <v>1.1030303030380642</v>
      </c>
      <c r="T2934" s="161">
        <f t="shared" si="497"/>
        <v>326.49696969926697</v>
      </c>
      <c r="U2934" s="158">
        <f t="shared" si="499"/>
        <v>26.90909090909091</v>
      </c>
      <c r="V2934" s="160">
        <f t="shared" si="498"/>
        <v>27</v>
      </c>
    </row>
    <row r="2935" spans="1:22" x14ac:dyDescent="0.25">
      <c r="A2935" s="98" t="s">
        <v>35</v>
      </c>
      <c r="B2935" s="98" t="s">
        <v>17</v>
      </c>
      <c r="C2935" s="98">
        <v>117</v>
      </c>
      <c r="D2935" s="98">
        <v>1850</v>
      </c>
      <c r="E2935" s="157">
        <v>41563.361111111109</v>
      </c>
      <c r="F2935" s="157">
        <v>41563.745138888888</v>
      </c>
      <c r="G2935" s="98">
        <v>315</v>
      </c>
      <c r="H2935" s="98">
        <v>330</v>
      </c>
      <c r="I2935" s="98">
        <v>296</v>
      </c>
      <c r="J2935" s="98" t="s">
        <v>2263</v>
      </c>
      <c r="K2935" s="98" t="s">
        <v>41</v>
      </c>
      <c r="L2935" s="105" t="str">
        <f t="shared" si="490"/>
        <v>Mill Creek</v>
      </c>
      <c r="M2935" s="105" t="str">
        <f t="shared" si="491"/>
        <v>Derate</v>
      </c>
      <c r="N2935" s="105" t="str">
        <f t="shared" si="492"/>
        <v>Coal</v>
      </c>
      <c r="O2935" s="105">
        <f>IFERROR(VLOOKUP(A2935,Lookup!$J$5:$P$19,7,FALSE),0)</f>
        <v>2</v>
      </c>
      <c r="P2935" s="159">
        <f t="shared" si="493"/>
        <v>2013</v>
      </c>
      <c r="Q2935" s="159">
        <f t="shared" si="494"/>
        <v>10</v>
      </c>
      <c r="R2935" s="160">
        <f t="shared" si="495"/>
        <v>9.2166666666744277</v>
      </c>
      <c r="S2935" s="158">
        <f t="shared" si="496"/>
        <v>0.41893939393974672</v>
      </c>
      <c r="T2935" s="161">
        <f t="shared" si="497"/>
        <v>124.00606060616502</v>
      </c>
      <c r="U2935" s="158">
        <f t="shared" si="499"/>
        <v>13.454545454545455</v>
      </c>
      <c r="V2935" s="160">
        <f t="shared" si="498"/>
        <v>13</v>
      </c>
    </row>
    <row r="2936" spans="1:22" x14ac:dyDescent="0.25">
      <c r="A2936" s="98" t="s">
        <v>35</v>
      </c>
      <c r="B2936" s="98" t="s">
        <v>17</v>
      </c>
      <c r="C2936" s="98">
        <v>118</v>
      </c>
      <c r="D2936" s="98">
        <v>250</v>
      </c>
      <c r="E2936" s="157">
        <v>41564.319444444445</v>
      </c>
      <c r="F2936" s="157">
        <v>41564.336805555555</v>
      </c>
      <c r="G2936" s="98">
        <v>240</v>
      </c>
      <c r="H2936" s="98">
        <v>330</v>
      </c>
      <c r="I2936" s="98">
        <v>296</v>
      </c>
      <c r="J2936" s="98" t="s">
        <v>1978</v>
      </c>
      <c r="K2936" s="98" t="s">
        <v>1466</v>
      </c>
      <c r="L2936" s="105" t="str">
        <f t="shared" si="490"/>
        <v>Mill Creek</v>
      </c>
      <c r="M2936" s="105" t="str">
        <f t="shared" si="491"/>
        <v>Derate</v>
      </c>
      <c r="N2936" s="105" t="str">
        <f t="shared" si="492"/>
        <v>Coal</v>
      </c>
      <c r="O2936" s="105">
        <f>IFERROR(VLOOKUP(A2936,Lookup!$J$5:$P$19,7,FALSE),0)</f>
        <v>2</v>
      </c>
      <c r="P2936" s="159">
        <f t="shared" si="493"/>
        <v>2013</v>
      </c>
      <c r="Q2936" s="159">
        <f t="shared" si="494"/>
        <v>10</v>
      </c>
      <c r="R2936" s="160">
        <f t="shared" si="495"/>
        <v>0.41666666662786156</v>
      </c>
      <c r="S2936" s="158">
        <f t="shared" si="496"/>
        <v>0.11363636362578043</v>
      </c>
      <c r="T2936" s="161">
        <f t="shared" si="497"/>
        <v>33.636363633231007</v>
      </c>
      <c r="U2936" s="158">
        <f t="shared" si="499"/>
        <v>80.727272727272734</v>
      </c>
      <c r="V2936" s="160">
        <f t="shared" si="498"/>
        <v>81</v>
      </c>
    </row>
    <row r="2937" spans="1:22" x14ac:dyDescent="0.25">
      <c r="A2937" s="98" t="s">
        <v>35</v>
      </c>
      <c r="B2937" s="98" t="s">
        <v>17</v>
      </c>
      <c r="C2937" s="98">
        <v>119</v>
      </c>
      <c r="D2937" s="98">
        <v>1850</v>
      </c>
      <c r="E2937" s="157">
        <v>41564.364583333336</v>
      </c>
      <c r="F2937" s="157">
        <v>41564.944444444445</v>
      </c>
      <c r="G2937" s="98">
        <v>300</v>
      </c>
      <c r="H2937" s="98">
        <v>330</v>
      </c>
      <c r="I2937" s="98">
        <v>296</v>
      </c>
      <c r="J2937" s="98" t="s">
        <v>2263</v>
      </c>
      <c r="K2937" s="98" t="s">
        <v>41</v>
      </c>
      <c r="L2937" s="105" t="str">
        <f t="shared" si="490"/>
        <v>Mill Creek</v>
      </c>
      <c r="M2937" s="105" t="str">
        <f t="shared" si="491"/>
        <v>Derate</v>
      </c>
      <c r="N2937" s="105" t="str">
        <f t="shared" si="492"/>
        <v>Coal</v>
      </c>
      <c r="O2937" s="105">
        <f>IFERROR(VLOOKUP(A2937,Lookup!$J$5:$P$19,7,FALSE),0)</f>
        <v>2</v>
      </c>
      <c r="P2937" s="159">
        <f t="shared" si="493"/>
        <v>2013</v>
      </c>
      <c r="Q2937" s="159">
        <f t="shared" si="494"/>
        <v>10</v>
      </c>
      <c r="R2937" s="160">
        <f t="shared" si="495"/>
        <v>13.916666666627862</v>
      </c>
      <c r="S2937" s="158">
        <f t="shared" si="496"/>
        <v>1.2651515151479875</v>
      </c>
      <c r="T2937" s="161">
        <f t="shared" si="497"/>
        <v>374.48484848380429</v>
      </c>
      <c r="U2937" s="158">
        <f t="shared" si="499"/>
        <v>26.90909090909091</v>
      </c>
      <c r="V2937" s="160">
        <f t="shared" si="498"/>
        <v>27</v>
      </c>
    </row>
    <row r="2938" spans="1:22" x14ac:dyDescent="0.25">
      <c r="A2938" s="98" t="s">
        <v>35</v>
      </c>
      <c r="B2938" s="98" t="s">
        <v>17</v>
      </c>
      <c r="C2938" s="98">
        <v>120</v>
      </c>
      <c r="D2938" s="98">
        <v>1850</v>
      </c>
      <c r="E2938" s="157">
        <v>41564.944444444445</v>
      </c>
      <c r="F2938" s="157">
        <v>41565.288888888892</v>
      </c>
      <c r="G2938" s="98">
        <v>317</v>
      </c>
      <c r="H2938" s="98">
        <v>330</v>
      </c>
      <c r="I2938" s="98">
        <v>296</v>
      </c>
      <c r="J2938" s="98" t="s">
        <v>2263</v>
      </c>
      <c r="K2938" s="98" t="s">
        <v>41</v>
      </c>
      <c r="L2938" s="105" t="str">
        <f t="shared" si="490"/>
        <v>Mill Creek</v>
      </c>
      <c r="M2938" s="105" t="str">
        <f t="shared" si="491"/>
        <v>Derate</v>
      </c>
      <c r="N2938" s="105" t="str">
        <f t="shared" si="492"/>
        <v>Coal</v>
      </c>
      <c r="O2938" s="105">
        <f>IFERROR(VLOOKUP(A2938,Lookup!$J$5:$P$19,7,FALSE),0)</f>
        <v>2</v>
      </c>
      <c r="P2938" s="159">
        <f t="shared" si="493"/>
        <v>2013</v>
      </c>
      <c r="Q2938" s="159">
        <f t="shared" si="494"/>
        <v>10</v>
      </c>
      <c r="R2938" s="160">
        <f t="shared" si="495"/>
        <v>8.2666666667209938</v>
      </c>
      <c r="S2938" s="158">
        <f t="shared" si="496"/>
        <v>0.32565656565870582</v>
      </c>
      <c r="T2938" s="161">
        <f t="shared" si="497"/>
        <v>96.394343434976918</v>
      </c>
      <c r="U2938" s="158">
        <f t="shared" si="499"/>
        <v>11.66060606060606</v>
      </c>
      <c r="V2938" s="160">
        <f t="shared" si="498"/>
        <v>12</v>
      </c>
    </row>
    <row r="2939" spans="1:22" x14ac:dyDescent="0.25">
      <c r="A2939" s="98" t="s">
        <v>35</v>
      </c>
      <c r="B2939" s="98" t="s">
        <v>17</v>
      </c>
      <c r="C2939" s="98">
        <v>121</v>
      </c>
      <c r="D2939" s="98">
        <v>1850</v>
      </c>
      <c r="E2939" s="157">
        <v>41565.440972222219</v>
      </c>
      <c r="F2939" s="157">
        <v>41565.533333333333</v>
      </c>
      <c r="G2939" s="98">
        <v>315</v>
      </c>
      <c r="H2939" s="98">
        <v>330</v>
      </c>
      <c r="I2939" s="98">
        <v>296</v>
      </c>
      <c r="J2939" s="98" t="s">
        <v>2263</v>
      </c>
      <c r="K2939" s="98" t="s">
        <v>41</v>
      </c>
      <c r="L2939" s="105" t="str">
        <f t="shared" si="490"/>
        <v>Mill Creek</v>
      </c>
      <c r="M2939" s="105" t="str">
        <f t="shared" si="491"/>
        <v>Derate</v>
      </c>
      <c r="N2939" s="105" t="str">
        <f t="shared" si="492"/>
        <v>Coal</v>
      </c>
      <c r="O2939" s="105">
        <f>IFERROR(VLOOKUP(A2939,Lookup!$J$5:$P$19,7,FALSE),0)</f>
        <v>2</v>
      </c>
      <c r="P2939" s="159">
        <f t="shared" si="493"/>
        <v>2013</v>
      </c>
      <c r="Q2939" s="159">
        <f t="shared" si="494"/>
        <v>10</v>
      </c>
      <c r="R2939" s="160">
        <f t="shared" si="495"/>
        <v>2.2166666667326353</v>
      </c>
      <c r="S2939" s="158">
        <f t="shared" si="496"/>
        <v>0.10075757576057433</v>
      </c>
      <c r="T2939" s="161">
        <f t="shared" si="497"/>
        <v>29.824242425130002</v>
      </c>
      <c r="U2939" s="158">
        <f t="shared" si="499"/>
        <v>13.454545454545455</v>
      </c>
      <c r="V2939" s="160">
        <f t="shared" si="498"/>
        <v>13</v>
      </c>
    </row>
    <row r="2940" spans="1:22" x14ac:dyDescent="0.25">
      <c r="A2940" s="98" t="s">
        <v>35</v>
      </c>
      <c r="B2940" s="98" t="s">
        <v>20</v>
      </c>
      <c r="C2940" s="98">
        <v>122</v>
      </c>
      <c r="D2940" s="98">
        <v>4619</v>
      </c>
      <c r="E2940" s="157">
        <v>41566.574305555558</v>
      </c>
      <c r="F2940" s="157">
        <v>41569.270138888889</v>
      </c>
      <c r="G2940" s="98">
        <v>0</v>
      </c>
      <c r="H2940" s="98">
        <v>330</v>
      </c>
      <c r="I2940" s="98">
        <v>296</v>
      </c>
      <c r="J2940" s="98" t="s">
        <v>2086</v>
      </c>
      <c r="K2940" s="98" t="s">
        <v>1467</v>
      </c>
      <c r="L2940" s="105" t="str">
        <f t="shared" si="490"/>
        <v>Mill Creek</v>
      </c>
      <c r="M2940" s="105" t="str">
        <f t="shared" si="491"/>
        <v>Maintenance</v>
      </c>
      <c r="N2940" s="105" t="str">
        <f t="shared" si="492"/>
        <v>Coal</v>
      </c>
      <c r="O2940" s="105">
        <f>IFERROR(VLOOKUP(A2940,Lookup!$J$5:$P$19,7,FALSE),0)</f>
        <v>2</v>
      </c>
      <c r="P2940" s="159">
        <f t="shared" si="493"/>
        <v>2013</v>
      </c>
      <c r="Q2940" s="159">
        <f t="shared" si="494"/>
        <v>10</v>
      </c>
      <c r="R2940" s="160">
        <f t="shared" si="495"/>
        <v>64.699999999953434</v>
      </c>
      <c r="S2940" s="158">
        <f t="shared" si="496"/>
        <v>64.699999999953434</v>
      </c>
      <c r="T2940" s="161">
        <f t="shared" si="497"/>
        <v>19151.199999986216</v>
      </c>
      <c r="U2940" s="158">
        <f t="shared" si="499"/>
        <v>296</v>
      </c>
      <c r="V2940" s="160">
        <f t="shared" si="498"/>
        <v>296</v>
      </c>
    </row>
    <row r="2941" spans="1:22" x14ac:dyDescent="0.25">
      <c r="A2941" s="98" t="s">
        <v>35</v>
      </c>
      <c r="B2941" s="98" t="s">
        <v>79</v>
      </c>
      <c r="C2941" s="98">
        <v>123</v>
      </c>
      <c r="D2941" s="98">
        <v>1850</v>
      </c>
      <c r="E2941" s="157">
        <v>41569.270138888889</v>
      </c>
      <c r="F2941" s="157">
        <v>41569.618055555555</v>
      </c>
      <c r="G2941" s="98">
        <v>0</v>
      </c>
      <c r="H2941" s="98">
        <v>330</v>
      </c>
      <c r="I2941" s="98">
        <v>296</v>
      </c>
      <c r="J2941" s="98" t="s">
        <v>2263</v>
      </c>
      <c r="K2941" s="98" t="s">
        <v>85</v>
      </c>
      <c r="L2941" s="105" t="str">
        <f t="shared" si="490"/>
        <v>Mill Creek</v>
      </c>
      <c r="M2941" s="105" t="str">
        <f t="shared" si="491"/>
        <v>Other</v>
      </c>
      <c r="N2941" s="105" t="str">
        <f t="shared" si="492"/>
        <v>Coal</v>
      </c>
      <c r="O2941" s="105">
        <f>IFERROR(VLOOKUP(A2941,Lookup!$J$5:$P$19,7,FALSE),0)</f>
        <v>2</v>
      </c>
      <c r="P2941" s="159">
        <f t="shared" si="493"/>
        <v>2013</v>
      </c>
      <c r="Q2941" s="159">
        <f t="shared" si="494"/>
        <v>10</v>
      </c>
      <c r="R2941" s="160">
        <f t="shared" si="495"/>
        <v>8.3499999999767169</v>
      </c>
      <c r="S2941" s="158">
        <f t="shared" si="496"/>
        <v>8.3499999999767169</v>
      </c>
      <c r="T2941" s="161">
        <f t="shared" si="497"/>
        <v>2471.5999999931082</v>
      </c>
      <c r="U2941" s="158">
        <f t="shared" si="499"/>
        <v>296</v>
      </c>
      <c r="V2941" s="160">
        <f t="shared" si="498"/>
        <v>296</v>
      </c>
    </row>
    <row r="2942" spans="1:22" x14ac:dyDescent="0.25">
      <c r="A2942" s="98" t="s">
        <v>35</v>
      </c>
      <c r="B2942" s="98" t="s">
        <v>17</v>
      </c>
      <c r="C2942" s="98">
        <v>124</v>
      </c>
      <c r="D2942" s="98">
        <v>1850</v>
      </c>
      <c r="E2942" s="157">
        <v>41569.618055555555</v>
      </c>
      <c r="F2942" s="157">
        <v>41569.815972222219</v>
      </c>
      <c r="G2942" s="98">
        <v>260</v>
      </c>
      <c r="H2942" s="98">
        <v>330</v>
      </c>
      <c r="I2942" s="98">
        <v>296</v>
      </c>
      <c r="J2942" s="98" t="s">
        <v>2263</v>
      </c>
      <c r="K2942" s="98" t="s">
        <v>41</v>
      </c>
      <c r="L2942" s="105" t="str">
        <f t="shared" si="490"/>
        <v>Mill Creek</v>
      </c>
      <c r="M2942" s="105" t="str">
        <f t="shared" si="491"/>
        <v>Derate</v>
      </c>
      <c r="N2942" s="105" t="str">
        <f t="shared" si="492"/>
        <v>Coal</v>
      </c>
      <c r="O2942" s="105">
        <f>IFERROR(VLOOKUP(A2942,Lookup!$J$5:$P$19,7,FALSE),0)</f>
        <v>2</v>
      </c>
      <c r="P2942" s="159">
        <f t="shared" si="493"/>
        <v>2013</v>
      </c>
      <c r="Q2942" s="159">
        <f t="shared" si="494"/>
        <v>10</v>
      </c>
      <c r="R2942" s="160">
        <f t="shared" si="495"/>
        <v>4.7499999999417923</v>
      </c>
      <c r="S2942" s="158">
        <f t="shared" si="496"/>
        <v>1.0075757575634106</v>
      </c>
      <c r="T2942" s="161">
        <f t="shared" si="497"/>
        <v>298.2424242387695</v>
      </c>
      <c r="U2942" s="158">
        <f t="shared" si="499"/>
        <v>62.787878787878789</v>
      </c>
      <c r="V2942" s="160">
        <f t="shared" si="498"/>
        <v>63</v>
      </c>
    </row>
    <row r="2943" spans="1:22" x14ac:dyDescent="0.25">
      <c r="A2943" s="98" t="s">
        <v>35</v>
      </c>
      <c r="B2943" s="98" t="s">
        <v>17</v>
      </c>
      <c r="C2943" s="98">
        <v>125</v>
      </c>
      <c r="D2943" s="98">
        <v>1850</v>
      </c>
      <c r="E2943" s="157">
        <v>41569.815972222219</v>
      </c>
      <c r="F2943" s="157">
        <v>41570.029166666667</v>
      </c>
      <c r="G2943" s="98">
        <v>295</v>
      </c>
      <c r="H2943" s="98">
        <v>330</v>
      </c>
      <c r="I2943" s="98">
        <v>296</v>
      </c>
      <c r="J2943" s="98" t="s">
        <v>2263</v>
      </c>
      <c r="K2943" s="98" t="s">
        <v>41</v>
      </c>
      <c r="L2943" s="105" t="str">
        <f t="shared" si="490"/>
        <v>Mill Creek</v>
      </c>
      <c r="M2943" s="105" t="str">
        <f t="shared" si="491"/>
        <v>Derate</v>
      </c>
      <c r="N2943" s="105" t="str">
        <f t="shared" si="492"/>
        <v>Coal</v>
      </c>
      <c r="O2943" s="105">
        <f>IFERROR(VLOOKUP(A2943,Lookup!$J$5:$P$19,7,FALSE),0)</f>
        <v>2</v>
      </c>
      <c r="P2943" s="159">
        <f t="shared" si="493"/>
        <v>2013</v>
      </c>
      <c r="Q2943" s="159">
        <f t="shared" si="494"/>
        <v>10</v>
      </c>
      <c r="R2943" s="160">
        <f t="shared" si="495"/>
        <v>5.1166666667559184</v>
      </c>
      <c r="S2943" s="158">
        <f t="shared" si="496"/>
        <v>0.54267676768623374</v>
      </c>
      <c r="T2943" s="161">
        <f t="shared" si="497"/>
        <v>160.6323232351252</v>
      </c>
      <c r="U2943" s="158">
        <f t="shared" si="499"/>
        <v>31.393939393939394</v>
      </c>
      <c r="V2943" s="160">
        <f t="shared" si="498"/>
        <v>31</v>
      </c>
    </row>
    <row r="2944" spans="1:22" x14ac:dyDescent="0.25">
      <c r="A2944" s="98" t="s">
        <v>35</v>
      </c>
      <c r="B2944" s="98" t="s">
        <v>17</v>
      </c>
      <c r="C2944" s="98">
        <v>126</v>
      </c>
      <c r="D2944" s="98">
        <v>1850</v>
      </c>
      <c r="E2944" s="157">
        <v>41570.029166666667</v>
      </c>
      <c r="F2944" s="157">
        <v>41570.268750000003</v>
      </c>
      <c r="G2944" s="98">
        <v>320</v>
      </c>
      <c r="H2944" s="98">
        <v>330</v>
      </c>
      <c r="I2944" s="98">
        <v>296</v>
      </c>
      <c r="J2944" s="98" t="s">
        <v>2263</v>
      </c>
      <c r="K2944" s="98" t="s">
        <v>41</v>
      </c>
      <c r="L2944" s="105" t="str">
        <f t="shared" si="490"/>
        <v>Mill Creek</v>
      </c>
      <c r="M2944" s="105" t="str">
        <f t="shared" si="491"/>
        <v>Derate</v>
      </c>
      <c r="N2944" s="105" t="str">
        <f t="shared" si="492"/>
        <v>Coal</v>
      </c>
      <c r="O2944" s="105">
        <f>IFERROR(VLOOKUP(A2944,Lookup!$J$5:$P$19,7,FALSE),0)</f>
        <v>2</v>
      </c>
      <c r="P2944" s="159">
        <f t="shared" si="493"/>
        <v>2013</v>
      </c>
      <c r="Q2944" s="159">
        <f t="shared" si="494"/>
        <v>10</v>
      </c>
      <c r="R2944" s="160">
        <f t="shared" si="495"/>
        <v>5.7500000000582077</v>
      </c>
      <c r="S2944" s="158">
        <f t="shared" si="496"/>
        <v>0.17424242424418812</v>
      </c>
      <c r="T2944" s="161">
        <f t="shared" si="497"/>
        <v>51.575757576279685</v>
      </c>
      <c r="U2944" s="158">
        <f t="shared" si="499"/>
        <v>8.9696969696969688</v>
      </c>
      <c r="V2944" s="160">
        <f t="shared" si="498"/>
        <v>9</v>
      </c>
    </row>
    <row r="2945" spans="1:22" x14ac:dyDescent="0.25">
      <c r="A2945" s="98" t="s">
        <v>35</v>
      </c>
      <c r="B2945" s="98" t="s">
        <v>17</v>
      </c>
      <c r="C2945" s="98">
        <v>127</v>
      </c>
      <c r="D2945" s="98">
        <v>1850</v>
      </c>
      <c r="E2945" s="157">
        <v>41570.333333333336</v>
      </c>
      <c r="F2945" s="157">
        <v>41570.712500000001</v>
      </c>
      <c r="G2945" s="98">
        <v>270</v>
      </c>
      <c r="H2945" s="98">
        <v>330</v>
      </c>
      <c r="I2945" s="98">
        <v>296</v>
      </c>
      <c r="J2945" s="98" t="s">
        <v>2263</v>
      </c>
      <c r="K2945" s="98" t="s">
        <v>41</v>
      </c>
      <c r="L2945" s="105" t="str">
        <f t="shared" si="490"/>
        <v>Mill Creek</v>
      </c>
      <c r="M2945" s="105" t="str">
        <f t="shared" si="491"/>
        <v>Derate</v>
      </c>
      <c r="N2945" s="105" t="str">
        <f t="shared" si="492"/>
        <v>Coal</v>
      </c>
      <c r="O2945" s="105">
        <f>IFERROR(VLOOKUP(A2945,Lookup!$J$5:$P$19,7,FALSE),0)</f>
        <v>2</v>
      </c>
      <c r="P2945" s="159">
        <f t="shared" si="493"/>
        <v>2013</v>
      </c>
      <c r="Q2945" s="159">
        <f t="shared" si="494"/>
        <v>10</v>
      </c>
      <c r="R2945" s="160">
        <f t="shared" si="495"/>
        <v>9.0999999999767169</v>
      </c>
      <c r="S2945" s="158">
        <f t="shared" si="496"/>
        <v>1.6545454545412213</v>
      </c>
      <c r="T2945" s="161">
        <f t="shared" si="497"/>
        <v>489.74545454420149</v>
      </c>
      <c r="U2945" s="158">
        <f t="shared" si="499"/>
        <v>53.81818181818182</v>
      </c>
      <c r="V2945" s="160">
        <f t="shared" si="498"/>
        <v>54</v>
      </c>
    </row>
    <row r="2946" spans="1:22" x14ac:dyDescent="0.25">
      <c r="A2946" s="98" t="s">
        <v>35</v>
      </c>
      <c r="B2946" s="98" t="s">
        <v>17</v>
      </c>
      <c r="C2946" s="98">
        <v>128</v>
      </c>
      <c r="D2946" s="98">
        <v>1850</v>
      </c>
      <c r="E2946" s="157">
        <v>41570.712500000001</v>
      </c>
      <c r="F2946" s="157">
        <v>41570.912499999999</v>
      </c>
      <c r="G2946" s="98">
        <v>300</v>
      </c>
      <c r="H2946" s="98">
        <v>330</v>
      </c>
      <c r="I2946" s="98">
        <v>296</v>
      </c>
      <c r="J2946" s="98" t="s">
        <v>2263</v>
      </c>
      <c r="K2946" s="98" t="s">
        <v>41</v>
      </c>
      <c r="L2946" s="105" t="str">
        <f t="shared" si="490"/>
        <v>Mill Creek</v>
      </c>
      <c r="M2946" s="105" t="str">
        <f t="shared" si="491"/>
        <v>Derate</v>
      </c>
      <c r="N2946" s="105" t="str">
        <f t="shared" si="492"/>
        <v>Coal</v>
      </c>
      <c r="O2946" s="105">
        <f>IFERROR(VLOOKUP(A2946,Lookup!$J$5:$P$19,7,FALSE),0)</f>
        <v>2</v>
      </c>
      <c r="P2946" s="159">
        <f t="shared" si="493"/>
        <v>2013</v>
      </c>
      <c r="Q2946" s="159">
        <f t="shared" si="494"/>
        <v>10</v>
      </c>
      <c r="R2946" s="160">
        <f t="shared" si="495"/>
        <v>4.7999999999301508</v>
      </c>
      <c r="S2946" s="158">
        <f t="shared" si="496"/>
        <v>0.43636363635728642</v>
      </c>
      <c r="T2946" s="161">
        <f t="shared" si="497"/>
        <v>129.16363636175677</v>
      </c>
      <c r="U2946" s="158">
        <f t="shared" si="499"/>
        <v>26.90909090909091</v>
      </c>
      <c r="V2946" s="160">
        <f t="shared" si="498"/>
        <v>27</v>
      </c>
    </row>
    <row r="2947" spans="1:22" x14ac:dyDescent="0.25">
      <c r="A2947" s="98" t="s">
        <v>35</v>
      </c>
      <c r="B2947" s="98" t="s">
        <v>17</v>
      </c>
      <c r="C2947" s="98">
        <v>129</v>
      </c>
      <c r="D2947" s="98">
        <v>1850</v>
      </c>
      <c r="E2947" s="157">
        <v>41570.912499999999</v>
      </c>
      <c r="F2947" s="157">
        <v>41571.15902777778</v>
      </c>
      <c r="G2947" s="98">
        <v>315</v>
      </c>
      <c r="H2947" s="98">
        <v>330</v>
      </c>
      <c r="I2947" s="98">
        <v>296</v>
      </c>
      <c r="J2947" s="98" t="s">
        <v>2263</v>
      </c>
      <c r="K2947" s="98" t="s">
        <v>41</v>
      </c>
      <c r="L2947" s="105" t="str">
        <f t="shared" si="490"/>
        <v>Mill Creek</v>
      </c>
      <c r="M2947" s="105" t="str">
        <f t="shared" si="491"/>
        <v>Derate</v>
      </c>
      <c r="N2947" s="105" t="str">
        <f t="shared" si="492"/>
        <v>Coal</v>
      </c>
      <c r="O2947" s="105">
        <f>IFERROR(VLOOKUP(A2947,Lookup!$J$5:$P$19,7,FALSE),0)</f>
        <v>2</v>
      </c>
      <c r="P2947" s="159">
        <f t="shared" si="493"/>
        <v>2013</v>
      </c>
      <c r="Q2947" s="159">
        <f t="shared" si="494"/>
        <v>10</v>
      </c>
      <c r="R2947" s="160">
        <f t="shared" si="495"/>
        <v>5.9166666667442769</v>
      </c>
      <c r="S2947" s="158">
        <f t="shared" si="496"/>
        <v>0.26893939394292166</v>
      </c>
      <c r="T2947" s="161">
        <f t="shared" si="497"/>
        <v>79.606060607104808</v>
      </c>
      <c r="U2947" s="158">
        <f t="shared" si="499"/>
        <v>13.454545454545455</v>
      </c>
      <c r="V2947" s="160">
        <f t="shared" si="498"/>
        <v>13</v>
      </c>
    </row>
    <row r="2948" spans="1:22" x14ac:dyDescent="0.25">
      <c r="A2948" s="98" t="s">
        <v>35</v>
      </c>
      <c r="B2948" s="98" t="s">
        <v>105</v>
      </c>
      <c r="C2948" s="98">
        <v>130</v>
      </c>
      <c r="D2948" s="98">
        <v>310</v>
      </c>
      <c r="E2948" s="157">
        <v>41571.916666666664</v>
      </c>
      <c r="F2948" s="157">
        <v>41572.071527777778</v>
      </c>
      <c r="G2948" s="98">
        <v>250</v>
      </c>
      <c r="H2948" s="98">
        <v>330</v>
      </c>
      <c r="I2948" s="98">
        <v>296</v>
      </c>
      <c r="J2948" s="98" t="s">
        <v>1966</v>
      </c>
      <c r="K2948" s="98" t="s">
        <v>619</v>
      </c>
      <c r="L2948" s="105" t="str">
        <f t="shared" si="490"/>
        <v>Mill Creek</v>
      </c>
      <c r="M2948" s="105" t="str">
        <f t="shared" si="491"/>
        <v>Derate</v>
      </c>
      <c r="N2948" s="105" t="str">
        <f t="shared" si="492"/>
        <v>Coal</v>
      </c>
      <c r="O2948" s="105">
        <f>IFERROR(VLOOKUP(A2948,Lookup!$J$5:$P$19,7,FALSE),0)</f>
        <v>2</v>
      </c>
      <c r="P2948" s="159">
        <f t="shared" si="493"/>
        <v>2013</v>
      </c>
      <c r="Q2948" s="159">
        <f t="shared" si="494"/>
        <v>10</v>
      </c>
      <c r="R2948" s="160">
        <f t="shared" si="495"/>
        <v>3.7166666667326353</v>
      </c>
      <c r="S2948" s="158">
        <f t="shared" si="496"/>
        <v>0.90101010102609347</v>
      </c>
      <c r="T2948" s="161">
        <f t="shared" si="497"/>
        <v>266.69898990372366</v>
      </c>
      <c r="U2948" s="158">
        <f t="shared" si="499"/>
        <v>71.757575757575751</v>
      </c>
      <c r="V2948" s="160">
        <f t="shared" si="498"/>
        <v>72</v>
      </c>
    </row>
    <row r="2949" spans="1:22" x14ac:dyDescent="0.25">
      <c r="A2949" s="98" t="s">
        <v>35</v>
      </c>
      <c r="B2949" s="98" t="s">
        <v>105</v>
      </c>
      <c r="C2949" s="98">
        <v>131</v>
      </c>
      <c r="D2949" s="98">
        <v>310</v>
      </c>
      <c r="E2949" s="157">
        <v>41574.833333333336</v>
      </c>
      <c r="F2949" s="157">
        <v>41575.121527777781</v>
      </c>
      <c r="G2949" s="98">
        <v>250</v>
      </c>
      <c r="H2949" s="98">
        <v>330</v>
      </c>
      <c r="I2949" s="98">
        <v>296</v>
      </c>
      <c r="J2949" s="98" t="s">
        <v>1966</v>
      </c>
      <c r="K2949" s="98" t="s">
        <v>1468</v>
      </c>
      <c r="L2949" s="105" t="str">
        <f t="shared" si="490"/>
        <v>Mill Creek</v>
      </c>
      <c r="M2949" s="105" t="str">
        <f t="shared" si="491"/>
        <v>Derate</v>
      </c>
      <c r="N2949" s="105" t="str">
        <f t="shared" si="492"/>
        <v>Coal</v>
      </c>
      <c r="O2949" s="105">
        <f>IFERROR(VLOOKUP(A2949,Lookup!$J$5:$P$19,7,FALSE),0)</f>
        <v>2</v>
      </c>
      <c r="P2949" s="159">
        <f t="shared" si="493"/>
        <v>2013</v>
      </c>
      <c r="Q2949" s="159">
        <f t="shared" si="494"/>
        <v>10</v>
      </c>
      <c r="R2949" s="160">
        <f t="shared" si="495"/>
        <v>6.9166666666860692</v>
      </c>
      <c r="S2949" s="158">
        <f t="shared" si="496"/>
        <v>1.6767676767723805</v>
      </c>
      <c r="T2949" s="161">
        <f t="shared" si="497"/>
        <v>496.3232323246246</v>
      </c>
      <c r="U2949" s="158">
        <f t="shared" si="499"/>
        <v>71.757575757575751</v>
      </c>
      <c r="V2949" s="160">
        <f t="shared" si="498"/>
        <v>72</v>
      </c>
    </row>
    <row r="2950" spans="1:22" x14ac:dyDescent="0.25">
      <c r="A2950" s="98" t="s">
        <v>35</v>
      </c>
      <c r="B2950" s="98" t="s">
        <v>17</v>
      </c>
      <c r="C2950" s="98">
        <v>132</v>
      </c>
      <c r="D2950" s="98">
        <v>310</v>
      </c>
      <c r="E2950" s="157">
        <v>41576.92083333333</v>
      </c>
      <c r="F2950" s="157">
        <v>41576.979861111111</v>
      </c>
      <c r="G2950" s="98">
        <v>245</v>
      </c>
      <c r="H2950" s="98">
        <v>330</v>
      </c>
      <c r="I2950" s="98">
        <v>296</v>
      </c>
      <c r="J2950" s="98" t="s">
        <v>1966</v>
      </c>
      <c r="K2950" s="98" t="s">
        <v>1469</v>
      </c>
      <c r="L2950" s="105" t="str">
        <f t="shared" si="490"/>
        <v>Mill Creek</v>
      </c>
      <c r="M2950" s="105" t="str">
        <f t="shared" si="491"/>
        <v>Derate</v>
      </c>
      <c r="N2950" s="105" t="str">
        <f t="shared" si="492"/>
        <v>Coal</v>
      </c>
      <c r="O2950" s="105">
        <f>IFERROR(VLOOKUP(A2950,Lookup!$J$5:$P$19,7,FALSE),0)</f>
        <v>2</v>
      </c>
      <c r="P2950" s="159">
        <f t="shared" si="493"/>
        <v>2013</v>
      </c>
      <c r="Q2950" s="159">
        <f t="shared" si="494"/>
        <v>10</v>
      </c>
      <c r="R2950" s="160">
        <f t="shared" si="495"/>
        <v>1.4166666667442769</v>
      </c>
      <c r="S2950" s="158">
        <f t="shared" si="496"/>
        <v>0.3648989899189804</v>
      </c>
      <c r="T2950" s="161">
        <f t="shared" si="497"/>
        <v>108.0101010160182</v>
      </c>
      <c r="U2950" s="158">
        <f t="shared" si="499"/>
        <v>76.242424242424249</v>
      </c>
      <c r="V2950" s="160">
        <f t="shared" si="498"/>
        <v>76</v>
      </c>
    </row>
    <row r="2951" spans="1:22" x14ac:dyDescent="0.25">
      <c r="A2951" s="98" t="s">
        <v>35</v>
      </c>
      <c r="B2951" s="98" t="s">
        <v>79</v>
      </c>
      <c r="C2951" s="98">
        <v>133</v>
      </c>
      <c r="D2951" s="98">
        <v>8460</v>
      </c>
      <c r="E2951" s="157">
        <v>41589.5</v>
      </c>
      <c r="F2951" s="157">
        <v>41589.746527777781</v>
      </c>
      <c r="G2951" s="98">
        <v>0</v>
      </c>
      <c r="H2951" s="98">
        <v>330</v>
      </c>
      <c r="I2951" s="98">
        <v>296</v>
      </c>
      <c r="J2951" s="98" t="s">
        <v>2651</v>
      </c>
      <c r="K2951" s="98" t="s">
        <v>1379</v>
      </c>
      <c r="L2951" s="105" t="str">
        <f t="shared" si="490"/>
        <v>Mill Creek</v>
      </c>
      <c r="M2951" s="105" t="str">
        <f t="shared" si="491"/>
        <v>Other</v>
      </c>
      <c r="N2951" s="105" t="str">
        <f t="shared" si="492"/>
        <v>Coal</v>
      </c>
      <c r="O2951" s="105">
        <f>IFERROR(VLOOKUP(A2951,Lookup!$J$5:$P$19,7,FALSE),0)</f>
        <v>2</v>
      </c>
      <c r="P2951" s="159">
        <f t="shared" si="493"/>
        <v>2013</v>
      </c>
      <c r="Q2951" s="159">
        <f t="shared" si="494"/>
        <v>11</v>
      </c>
      <c r="R2951" s="160">
        <f t="shared" si="495"/>
        <v>5.9166666667442769</v>
      </c>
      <c r="S2951" s="158">
        <f t="shared" si="496"/>
        <v>5.9166666667442769</v>
      </c>
      <c r="T2951" s="161">
        <f t="shared" si="497"/>
        <v>1751.333333356306</v>
      </c>
      <c r="U2951" s="158">
        <f t="shared" si="499"/>
        <v>296</v>
      </c>
      <c r="V2951" s="160">
        <f t="shared" si="498"/>
        <v>296</v>
      </c>
    </row>
    <row r="2952" spans="1:22" x14ac:dyDescent="0.25">
      <c r="A2952" s="98" t="s">
        <v>35</v>
      </c>
      <c r="B2952" s="98" t="s">
        <v>79</v>
      </c>
      <c r="C2952" s="98">
        <v>134</v>
      </c>
      <c r="D2952" s="98">
        <v>8460</v>
      </c>
      <c r="E2952" s="157">
        <v>41590.579861111109</v>
      </c>
      <c r="F2952" s="157">
        <v>41590.958333333336</v>
      </c>
      <c r="G2952" s="98">
        <v>0</v>
      </c>
      <c r="H2952" s="98">
        <v>330</v>
      </c>
      <c r="I2952" s="98">
        <v>296</v>
      </c>
      <c r="J2952" s="98" t="s">
        <v>2651</v>
      </c>
      <c r="K2952" s="98" t="s">
        <v>1379</v>
      </c>
      <c r="L2952" s="105" t="str">
        <f t="shared" si="490"/>
        <v>Mill Creek</v>
      </c>
      <c r="M2952" s="105" t="str">
        <f t="shared" si="491"/>
        <v>Other</v>
      </c>
      <c r="N2952" s="105" t="str">
        <f t="shared" si="492"/>
        <v>Coal</v>
      </c>
      <c r="O2952" s="105">
        <f>IFERROR(VLOOKUP(A2952,Lookup!$J$5:$P$19,7,FALSE),0)</f>
        <v>2</v>
      </c>
      <c r="P2952" s="159">
        <f t="shared" si="493"/>
        <v>2013</v>
      </c>
      <c r="Q2952" s="159">
        <f t="shared" si="494"/>
        <v>11</v>
      </c>
      <c r="R2952" s="160">
        <f t="shared" si="495"/>
        <v>9.0833333334303461</v>
      </c>
      <c r="S2952" s="158">
        <f t="shared" si="496"/>
        <v>9.0833333334303461</v>
      </c>
      <c r="T2952" s="161">
        <f t="shared" si="497"/>
        <v>2688.6666666953824</v>
      </c>
      <c r="U2952" s="158">
        <f t="shared" si="499"/>
        <v>296</v>
      </c>
      <c r="V2952" s="160">
        <f t="shared" si="498"/>
        <v>296</v>
      </c>
    </row>
    <row r="2953" spans="1:22" x14ac:dyDescent="0.25">
      <c r="A2953" s="98" t="s">
        <v>35</v>
      </c>
      <c r="B2953" s="98" t="s">
        <v>79</v>
      </c>
      <c r="C2953" s="98">
        <v>135</v>
      </c>
      <c r="D2953" s="98">
        <v>8460</v>
      </c>
      <c r="E2953" s="157">
        <v>41591.041666666664</v>
      </c>
      <c r="F2953" s="157">
        <v>41591.176388888889</v>
      </c>
      <c r="G2953" s="98">
        <v>0</v>
      </c>
      <c r="H2953" s="98">
        <v>330</v>
      </c>
      <c r="I2953" s="98">
        <v>296</v>
      </c>
      <c r="J2953" s="98" t="s">
        <v>2651</v>
      </c>
      <c r="K2953" s="98" t="s">
        <v>1470</v>
      </c>
      <c r="L2953" s="105" t="str">
        <f t="shared" si="490"/>
        <v>Mill Creek</v>
      </c>
      <c r="M2953" s="105" t="str">
        <f t="shared" si="491"/>
        <v>Other</v>
      </c>
      <c r="N2953" s="105" t="str">
        <f t="shared" si="492"/>
        <v>Coal</v>
      </c>
      <c r="O2953" s="105">
        <f>IFERROR(VLOOKUP(A2953,Lookup!$J$5:$P$19,7,FALSE),0)</f>
        <v>2</v>
      </c>
      <c r="P2953" s="159">
        <f t="shared" si="493"/>
        <v>2013</v>
      </c>
      <c r="Q2953" s="159">
        <f t="shared" si="494"/>
        <v>11</v>
      </c>
      <c r="R2953" s="160">
        <f t="shared" si="495"/>
        <v>3.2333333333954215</v>
      </c>
      <c r="S2953" s="158">
        <f t="shared" si="496"/>
        <v>3.2333333333954215</v>
      </c>
      <c r="T2953" s="161">
        <f t="shared" si="497"/>
        <v>957.06666668504477</v>
      </c>
      <c r="U2953" s="158">
        <f t="shared" si="499"/>
        <v>296</v>
      </c>
      <c r="V2953" s="160">
        <f t="shared" si="498"/>
        <v>296</v>
      </c>
    </row>
    <row r="2954" spans="1:22" x14ac:dyDescent="0.25">
      <c r="A2954" s="98" t="s">
        <v>35</v>
      </c>
      <c r="B2954" s="98" t="s">
        <v>79</v>
      </c>
      <c r="C2954" s="98">
        <v>136</v>
      </c>
      <c r="D2954" s="98">
        <v>8460</v>
      </c>
      <c r="E2954" s="157">
        <v>41591.336805555555</v>
      </c>
      <c r="F2954" s="157">
        <v>41591.561111111114</v>
      </c>
      <c r="G2954" s="98">
        <v>0</v>
      </c>
      <c r="H2954" s="98">
        <v>330</v>
      </c>
      <c r="I2954" s="98">
        <v>296</v>
      </c>
      <c r="J2954" s="98" t="s">
        <v>2651</v>
      </c>
      <c r="K2954" s="98" t="s">
        <v>1379</v>
      </c>
      <c r="L2954" s="105" t="str">
        <f t="shared" si="490"/>
        <v>Mill Creek</v>
      </c>
      <c r="M2954" s="105" t="str">
        <f t="shared" si="491"/>
        <v>Other</v>
      </c>
      <c r="N2954" s="105" t="str">
        <f t="shared" si="492"/>
        <v>Coal</v>
      </c>
      <c r="O2954" s="105">
        <f>IFERROR(VLOOKUP(A2954,Lookup!$J$5:$P$19,7,FALSE),0)</f>
        <v>2</v>
      </c>
      <c r="P2954" s="159">
        <f t="shared" si="493"/>
        <v>2013</v>
      </c>
      <c r="Q2954" s="159">
        <f t="shared" si="494"/>
        <v>11</v>
      </c>
      <c r="R2954" s="160">
        <f t="shared" si="495"/>
        <v>5.3833333334187046</v>
      </c>
      <c r="S2954" s="158">
        <f t="shared" si="496"/>
        <v>5.3833333334187046</v>
      </c>
      <c r="T2954" s="161">
        <f t="shared" si="497"/>
        <v>1593.4666666919366</v>
      </c>
      <c r="U2954" s="158">
        <f t="shared" si="499"/>
        <v>296</v>
      </c>
      <c r="V2954" s="160">
        <f t="shared" si="498"/>
        <v>296</v>
      </c>
    </row>
    <row r="2955" spans="1:22" x14ac:dyDescent="0.25">
      <c r="A2955" s="98" t="s">
        <v>35</v>
      </c>
      <c r="B2955" s="98" t="s">
        <v>20</v>
      </c>
      <c r="C2955" s="98">
        <v>137</v>
      </c>
      <c r="D2955" s="98">
        <v>3344</v>
      </c>
      <c r="E2955" s="157">
        <v>41600.465277777781</v>
      </c>
      <c r="F2955" s="157">
        <v>41602.496527777781</v>
      </c>
      <c r="G2955" s="98">
        <v>0</v>
      </c>
      <c r="H2955" s="98">
        <v>330</v>
      </c>
      <c r="I2955" s="98">
        <v>296</v>
      </c>
      <c r="J2955" s="98" t="s">
        <v>2165</v>
      </c>
      <c r="K2955" s="98" t="s">
        <v>1471</v>
      </c>
      <c r="L2955" s="105" t="str">
        <f t="shared" si="490"/>
        <v>Mill Creek</v>
      </c>
      <c r="M2955" s="105" t="str">
        <f t="shared" si="491"/>
        <v>Maintenance</v>
      </c>
      <c r="N2955" s="105" t="str">
        <f t="shared" si="492"/>
        <v>Coal</v>
      </c>
      <c r="O2955" s="105">
        <f>IFERROR(VLOOKUP(A2955,Lookup!$J$5:$P$19,7,FALSE),0)</f>
        <v>2</v>
      </c>
      <c r="P2955" s="159">
        <f t="shared" si="493"/>
        <v>2013</v>
      </c>
      <c r="Q2955" s="159">
        <f t="shared" si="494"/>
        <v>11</v>
      </c>
      <c r="R2955" s="160">
        <f t="shared" si="495"/>
        <v>48.75</v>
      </c>
      <c r="S2955" s="158">
        <f t="shared" si="496"/>
        <v>48.75</v>
      </c>
      <c r="T2955" s="161">
        <f t="shared" si="497"/>
        <v>14430</v>
      </c>
      <c r="U2955" s="158">
        <f t="shared" si="499"/>
        <v>296</v>
      </c>
      <c r="V2955" s="160">
        <f t="shared" si="498"/>
        <v>296</v>
      </c>
    </row>
    <row r="2956" spans="1:22" x14ac:dyDescent="0.25">
      <c r="A2956" s="98" t="s">
        <v>35</v>
      </c>
      <c r="B2956" s="98" t="s">
        <v>79</v>
      </c>
      <c r="C2956" s="98">
        <v>138</v>
      </c>
      <c r="D2956" s="98">
        <v>1850</v>
      </c>
      <c r="E2956" s="157">
        <v>41602.496527777781</v>
      </c>
      <c r="F2956" s="157">
        <v>41602.611805555556</v>
      </c>
      <c r="G2956" s="98">
        <v>0</v>
      </c>
      <c r="H2956" s="98">
        <v>330</v>
      </c>
      <c r="I2956" s="98">
        <v>296</v>
      </c>
      <c r="J2956" s="98" t="s">
        <v>2263</v>
      </c>
      <c r="K2956" s="98" t="s">
        <v>85</v>
      </c>
      <c r="L2956" s="105" t="str">
        <f t="shared" si="490"/>
        <v>Mill Creek</v>
      </c>
      <c r="M2956" s="105" t="str">
        <f t="shared" si="491"/>
        <v>Other</v>
      </c>
      <c r="N2956" s="105" t="str">
        <f t="shared" si="492"/>
        <v>Coal</v>
      </c>
      <c r="O2956" s="105">
        <f>IFERROR(VLOOKUP(A2956,Lookup!$J$5:$P$19,7,FALSE),0)</f>
        <v>2</v>
      </c>
      <c r="P2956" s="159">
        <f t="shared" si="493"/>
        <v>2013</v>
      </c>
      <c r="Q2956" s="159">
        <f t="shared" si="494"/>
        <v>11</v>
      </c>
      <c r="R2956" s="160">
        <f t="shared" si="495"/>
        <v>2.7666666666045785</v>
      </c>
      <c r="S2956" s="158">
        <f t="shared" si="496"/>
        <v>2.7666666666045785</v>
      </c>
      <c r="T2956" s="161">
        <f t="shared" si="497"/>
        <v>818.93333331495523</v>
      </c>
      <c r="U2956" s="158">
        <f t="shared" si="499"/>
        <v>296</v>
      </c>
      <c r="V2956" s="160">
        <f t="shared" si="498"/>
        <v>296</v>
      </c>
    </row>
    <row r="2957" spans="1:22" x14ac:dyDescent="0.25">
      <c r="A2957" s="98" t="s">
        <v>35</v>
      </c>
      <c r="B2957" s="98" t="s">
        <v>15</v>
      </c>
      <c r="C2957" s="98">
        <v>139</v>
      </c>
      <c r="D2957" s="98">
        <v>400</v>
      </c>
      <c r="E2957" s="157">
        <v>41602.611805555556</v>
      </c>
      <c r="F2957" s="157">
        <v>41606.005555555559</v>
      </c>
      <c r="G2957" s="98">
        <v>0</v>
      </c>
      <c r="H2957" s="98">
        <v>330</v>
      </c>
      <c r="I2957" s="98">
        <v>296</v>
      </c>
      <c r="J2957" s="98" t="s">
        <v>2128</v>
      </c>
      <c r="K2957" s="98" t="s">
        <v>1472</v>
      </c>
      <c r="L2957" s="105" t="str">
        <f t="shared" si="490"/>
        <v>Mill Creek</v>
      </c>
      <c r="M2957" s="105" t="str">
        <f t="shared" si="491"/>
        <v>Outage</v>
      </c>
      <c r="N2957" s="105" t="str">
        <f t="shared" si="492"/>
        <v>Coal</v>
      </c>
      <c r="O2957" s="105">
        <f>IFERROR(VLOOKUP(A2957,Lookup!$J$5:$P$19,7,FALSE),0)</f>
        <v>2</v>
      </c>
      <c r="P2957" s="159">
        <f t="shared" si="493"/>
        <v>2013</v>
      </c>
      <c r="Q2957" s="159">
        <f t="shared" si="494"/>
        <v>11</v>
      </c>
      <c r="R2957" s="160">
        <f t="shared" si="495"/>
        <v>81.450000000069849</v>
      </c>
      <c r="S2957" s="158">
        <f t="shared" si="496"/>
        <v>81.450000000069849</v>
      </c>
      <c r="T2957" s="161">
        <f t="shared" si="497"/>
        <v>24109.200000020675</v>
      </c>
      <c r="U2957" s="158">
        <f t="shared" si="499"/>
        <v>296</v>
      </c>
      <c r="V2957" s="160">
        <f t="shared" si="498"/>
        <v>296</v>
      </c>
    </row>
    <row r="2958" spans="1:22" x14ac:dyDescent="0.25">
      <c r="A2958" s="98" t="s">
        <v>35</v>
      </c>
      <c r="B2958" s="98" t="s">
        <v>79</v>
      </c>
      <c r="C2958" s="98">
        <v>140</v>
      </c>
      <c r="D2958" s="98">
        <v>1850</v>
      </c>
      <c r="E2958" s="157">
        <v>41606.005555555559</v>
      </c>
      <c r="F2958" s="157">
        <v>41606.368055555555</v>
      </c>
      <c r="G2958" s="98">
        <v>0</v>
      </c>
      <c r="H2958" s="98">
        <v>330</v>
      </c>
      <c r="I2958" s="98">
        <v>296</v>
      </c>
      <c r="J2958" s="98" t="s">
        <v>2263</v>
      </c>
      <c r="K2958" s="98" t="s">
        <v>85</v>
      </c>
      <c r="L2958" s="105" t="str">
        <f t="shared" si="490"/>
        <v>Mill Creek</v>
      </c>
      <c r="M2958" s="105" t="str">
        <f t="shared" si="491"/>
        <v>Other</v>
      </c>
      <c r="N2958" s="105" t="str">
        <f t="shared" si="492"/>
        <v>Coal</v>
      </c>
      <c r="O2958" s="105">
        <f>IFERROR(VLOOKUP(A2958,Lookup!$J$5:$P$19,7,FALSE),0)</f>
        <v>2</v>
      </c>
      <c r="P2958" s="159">
        <f t="shared" si="493"/>
        <v>2013</v>
      </c>
      <c r="Q2958" s="159">
        <f t="shared" si="494"/>
        <v>11</v>
      </c>
      <c r="R2958" s="160">
        <f t="shared" si="495"/>
        <v>8.6999999998952262</v>
      </c>
      <c r="S2958" s="158">
        <f t="shared" si="496"/>
        <v>8.6999999998952262</v>
      </c>
      <c r="T2958" s="161">
        <f t="shared" si="497"/>
        <v>2575.199999968987</v>
      </c>
      <c r="U2958" s="158">
        <f t="shared" si="499"/>
        <v>296</v>
      </c>
      <c r="V2958" s="160">
        <f t="shared" si="498"/>
        <v>296</v>
      </c>
    </row>
    <row r="2959" spans="1:22" x14ac:dyDescent="0.25">
      <c r="A2959" s="98" t="s">
        <v>35</v>
      </c>
      <c r="B2959" s="98" t="s">
        <v>17</v>
      </c>
      <c r="C2959" s="98">
        <v>141</v>
      </c>
      <c r="D2959" s="98">
        <v>1850</v>
      </c>
      <c r="E2959" s="157">
        <v>41606.368055555555</v>
      </c>
      <c r="F2959" s="157">
        <v>41606.638888888891</v>
      </c>
      <c r="G2959" s="98">
        <v>148</v>
      </c>
      <c r="H2959" s="98">
        <v>330</v>
      </c>
      <c r="I2959" s="98">
        <v>296</v>
      </c>
      <c r="J2959" s="98" t="s">
        <v>2263</v>
      </c>
      <c r="K2959" s="98" t="s">
        <v>41</v>
      </c>
      <c r="L2959" s="105" t="str">
        <f t="shared" si="490"/>
        <v>Mill Creek</v>
      </c>
      <c r="M2959" s="105" t="str">
        <f t="shared" si="491"/>
        <v>Derate</v>
      </c>
      <c r="N2959" s="105" t="str">
        <f t="shared" si="492"/>
        <v>Coal</v>
      </c>
      <c r="O2959" s="105">
        <f>IFERROR(VLOOKUP(A2959,Lookup!$J$5:$P$19,7,FALSE),0)</f>
        <v>2</v>
      </c>
      <c r="P2959" s="159">
        <f t="shared" si="493"/>
        <v>2013</v>
      </c>
      <c r="Q2959" s="159">
        <f t="shared" si="494"/>
        <v>11</v>
      </c>
      <c r="R2959" s="160">
        <f t="shared" si="495"/>
        <v>6.5000000000582077</v>
      </c>
      <c r="S2959" s="158">
        <f t="shared" si="496"/>
        <v>3.5848484848805873</v>
      </c>
      <c r="T2959" s="161">
        <f t="shared" si="497"/>
        <v>1061.1151515246538</v>
      </c>
      <c r="U2959" s="158">
        <f t="shared" si="499"/>
        <v>163.24848484848485</v>
      </c>
      <c r="V2959" s="160">
        <f t="shared" si="498"/>
        <v>163</v>
      </c>
    </row>
    <row r="2960" spans="1:22" x14ac:dyDescent="0.25">
      <c r="A2960" s="98" t="s">
        <v>35</v>
      </c>
      <c r="B2960" s="98" t="s">
        <v>17</v>
      </c>
      <c r="C2960" s="98">
        <v>142</v>
      </c>
      <c r="D2960" s="98">
        <v>1850</v>
      </c>
      <c r="E2960" s="157">
        <v>41606.638888888891</v>
      </c>
      <c r="F2960" s="157">
        <v>41608.279166666667</v>
      </c>
      <c r="G2960" s="98">
        <v>175</v>
      </c>
      <c r="H2960" s="98">
        <v>330</v>
      </c>
      <c r="I2960" s="98">
        <v>296</v>
      </c>
      <c r="J2960" s="98" t="s">
        <v>2263</v>
      </c>
      <c r="K2960" s="98" t="s">
        <v>41</v>
      </c>
      <c r="L2960" s="105" t="str">
        <f t="shared" si="490"/>
        <v>Mill Creek</v>
      </c>
      <c r="M2960" s="105" t="str">
        <f t="shared" si="491"/>
        <v>Derate</v>
      </c>
      <c r="N2960" s="105" t="str">
        <f t="shared" si="492"/>
        <v>Coal</v>
      </c>
      <c r="O2960" s="105">
        <f>IFERROR(VLOOKUP(A2960,Lookup!$J$5:$P$19,7,FALSE),0)</f>
        <v>2</v>
      </c>
      <c r="P2960" s="159">
        <f t="shared" si="493"/>
        <v>2013</v>
      </c>
      <c r="Q2960" s="159">
        <f t="shared" si="494"/>
        <v>11</v>
      </c>
      <c r="R2960" s="160">
        <f t="shared" si="495"/>
        <v>39.366666666639503</v>
      </c>
      <c r="S2960" s="158">
        <f t="shared" si="496"/>
        <v>18.490404040391283</v>
      </c>
      <c r="T2960" s="161">
        <f t="shared" si="497"/>
        <v>5473.1595959558199</v>
      </c>
      <c r="U2960" s="158">
        <f t="shared" si="499"/>
        <v>139.03030303030303</v>
      </c>
      <c r="V2960" s="160">
        <f t="shared" si="498"/>
        <v>139</v>
      </c>
    </row>
    <row r="2961" spans="1:22" x14ac:dyDescent="0.25">
      <c r="A2961" s="98" t="s">
        <v>35</v>
      </c>
      <c r="B2961" s="98" t="s">
        <v>17</v>
      </c>
      <c r="C2961" s="98">
        <v>143</v>
      </c>
      <c r="D2961" s="98">
        <v>1850</v>
      </c>
      <c r="E2961" s="157">
        <v>41608.279166666667</v>
      </c>
      <c r="F2961" s="157">
        <v>41609.584722222222</v>
      </c>
      <c r="G2961" s="98">
        <v>155</v>
      </c>
      <c r="H2961" s="98">
        <v>330</v>
      </c>
      <c r="I2961" s="98">
        <v>296</v>
      </c>
      <c r="J2961" s="98" t="s">
        <v>2263</v>
      </c>
      <c r="K2961" s="98" t="s">
        <v>41</v>
      </c>
      <c r="L2961" s="105" t="str">
        <f t="shared" si="490"/>
        <v>Mill Creek</v>
      </c>
      <c r="M2961" s="105" t="str">
        <f t="shared" si="491"/>
        <v>Derate</v>
      </c>
      <c r="N2961" s="105" t="str">
        <f t="shared" si="492"/>
        <v>Coal</v>
      </c>
      <c r="O2961" s="105">
        <f>IFERROR(VLOOKUP(A2961,Lookup!$J$5:$P$19,7,FALSE),0)</f>
        <v>2</v>
      </c>
      <c r="P2961" s="159">
        <f t="shared" si="493"/>
        <v>2013</v>
      </c>
      <c r="Q2961" s="159">
        <f t="shared" si="494"/>
        <v>11</v>
      </c>
      <c r="R2961" s="160">
        <f t="shared" si="495"/>
        <v>31.333333333313931</v>
      </c>
      <c r="S2961" s="158">
        <f t="shared" si="496"/>
        <v>16.616161616151327</v>
      </c>
      <c r="T2961" s="161">
        <f t="shared" si="497"/>
        <v>4918.3838383807924</v>
      </c>
      <c r="U2961" s="158">
        <f t="shared" si="499"/>
        <v>156.96969696969697</v>
      </c>
      <c r="V2961" s="160">
        <f t="shared" si="498"/>
        <v>157</v>
      </c>
    </row>
    <row r="2962" spans="1:22" x14ac:dyDescent="0.25">
      <c r="A2962" s="98" t="s">
        <v>35</v>
      </c>
      <c r="B2962" s="98" t="s">
        <v>17</v>
      </c>
      <c r="C2962" s="98">
        <v>144</v>
      </c>
      <c r="D2962" s="98">
        <v>1850</v>
      </c>
      <c r="E2962" s="157">
        <v>41609.584722222222</v>
      </c>
      <c r="F2962" s="157">
        <v>41610.161805555559</v>
      </c>
      <c r="G2962" s="98">
        <v>190</v>
      </c>
      <c r="H2962" s="98">
        <v>330</v>
      </c>
      <c r="I2962" s="98">
        <v>296</v>
      </c>
      <c r="J2962" s="98" t="s">
        <v>2263</v>
      </c>
      <c r="K2962" s="98" t="s">
        <v>41</v>
      </c>
      <c r="L2962" s="105" t="str">
        <f t="shared" si="490"/>
        <v>Mill Creek</v>
      </c>
      <c r="M2962" s="105" t="str">
        <f t="shared" si="491"/>
        <v>Derate</v>
      </c>
      <c r="N2962" s="105" t="str">
        <f t="shared" si="492"/>
        <v>Coal</v>
      </c>
      <c r="O2962" s="105">
        <f>IFERROR(VLOOKUP(A2962,Lookup!$J$5:$P$19,7,FALSE),0)</f>
        <v>2</v>
      </c>
      <c r="P2962" s="159">
        <f t="shared" si="493"/>
        <v>2013</v>
      </c>
      <c r="Q2962" s="159">
        <f t="shared" si="494"/>
        <v>12</v>
      </c>
      <c r="R2962" s="160">
        <f t="shared" si="495"/>
        <v>13.850000000093132</v>
      </c>
      <c r="S2962" s="158">
        <f t="shared" si="496"/>
        <v>5.8757575757970866</v>
      </c>
      <c r="T2962" s="161">
        <f t="shared" si="497"/>
        <v>1739.2242424359376</v>
      </c>
      <c r="U2962" s="158">
        <f t="shared" si="499"/>
        <v>125.57575757575758</v>
      </c>
      <c r="V2962" s="160">
        <f t="shared" si="498"/>
        <v>126</v>
      </c>
    </row>
    <row r="2963" spans="1:22" x14ac:dyDescent="0.25">
      <c r="A2963" s="98" t="s">
        <v>35</v>
      </c>
      <c r="B2963" s="98" t="s">
        <v>17</v>
      </c>
      <c r="C2963" s="98">
        <v>145</v>
      </c>
      <c r="D2963" s="98">
        <v>1850</v>
      </c>
      <c r="E2963" s="157">
        <v>41610.161805555559</v>
      </c>
      <c r="F2963" s="157">
        <v>41610.384722222225</v>
      </c>
      <c r="G2963" s="98">
        <v>213</v>
      </c>
      <c r="H2963" s="98">
        <v>330</v>
      </c>
      <c r="I2963" s="98">
        <v>296</v>
      </c>
      <c r="J2963" s="98" t="s">
        <v>2263</v>
      </c>
      <c r="K2963" s="98" t="s">
        <v>41</v>
      </c>
      <c r="L2963" s="105" t="str">
        <f t="shared" si="490"/>
        <v>Mill Creek</v>
      </c>
      <c r="M2963" s="105" t="str">
        <f t="shared" si="491"/>
        <v>Derate</v>
      </c>
      <c r="N2963" s="105" t="str">
        <f t="shared" si="492"/>
        <v>Coal</v>
      </c>
      <c r="O2963" s="105">
        <f>IFERROR(VLOOKUP(A2963,Lookup!$J$5:$P$19,7,FALSE),0)</f>
        <v>2</v>
      </c>
      <c r="P2963" s="159">
        <f t="shared" si="493"/>
        <v>2013</v>
      </c>
      <c r="Q2963" s="159">
        <f t="shared" si="494"/>
        <v>12</v>
      </c>
      <c r="R2963" s="160">
        <f t="shared" si="495"/>
        <v>5.3499999999767169</v>
      </c>
      <c r="S2963" s="158">
        <f t="shared" si="496"/>
        <v>1.896818181809927</v>
      </c>
      <c r="T2963" s="161">
        <f t="shared" si="497"/>
        <v>561.45818181573839</v>
      </c>
      <c r="U2963" s="158">
        <f t="shared" si="499"/>
        <v>104.94545454545455</v>
      </c>
      <c r="V2963" s="160">
        <f t="shared" si="498"/>
        <v>105</v>
      </c>
    </row>
    <row r="2964" spans="1:22" x14ac:dyDescent="0.25">
      <c r="A2964" s="98" t="s">
        <v>35</v>
      </c>
      <c r="B2964" s="98" t="s">
        <v>17</v>
      </c>
      <c r="C2964" s="98">
        <v>146</v>
      </c>
      <c r="D2964" s="98">
        <v>1850</v>
      </c>
      <c r="E2964" s="157">
        <v>41610.384722222225</v>
      </c>
      <c r="F2964" s="157">
        <v>41610.958333333336</v>
      </c>
      <c r="G2964" s="98">
        <v>175</v>
      </c>
      <c r="H2964" s="98">
        <v>330</v>
      </c>
      <c r="I2964" s="98">
        <v>296</v>
      </c>
      <c r="J2964" s="98" t="s">
        <v>2263</v>
      </c>
      <c r="K2964" s="98" t="s">
        <v>41</v>
      </c>
      <c r="L2964" s="105" t="str">
        <f t="shared" si="490"/>
        <v>Mill Creek</v>
      </c>
      <c r="M2964" s="105" t="str">
        <f t="shared" si="491"/>
        <v>Derate</v>
      </c>
      <c r="N2964" s="105" t="str">
        <f t="shared" si="492"/>
        <v>Coal</v>
      </c>
      <c r="O2964" s="105">
        <f>IFERROR(VLOOKUP(A2964,Lookup!$J$5:$P$19,7,FALSE),0)</f>
        <v>2</v>
      </c>
      <c r="P2964" s="159">
        <f t="shared" si="493"/>
        <v>2013</v>
      </c>
      <c r="Q2964" s="159">
        <f t="shared" si="494"/>
        <v>12</v>
      </c>
      <c r="R2964" s="160">
        <f t="shared" si="495"/>
        <v>13.766666666662786</v>
      </c>
      <c r="S2964" s="158">
        <f t="shared" si="496"/>
        <v>6.4661616161597939</v>
      </c>
      <c r="T2964" s="161">
        <f t="shared" si="497"/>
        <v>1913.9838383832989</v>
      </c>
      <c r="U2964" s="158">
        <f t="shared" si="499"/>
        <v>139.03030303030303</v>
      </c>
      <c r="V2964" s="160">
        <f t="shared" si="498"/>
        <v>139</v>
      </c>
    </row>
    <row r="2965" spans="1:22" x14ac:dyDescent="0.25">
      <c r="A2965" s="98" t="s">
        <v>35</v>
      </c>
      <c r="B2965" s="98" t="s">
        <v>17</v>
      </c>
      <c r="C2965" s="98">
        <v>147</v>
      </c>
      <c r="D2965" s="98">
        <v>1850</v>
      </c>
      <c r="E2965" s="157">
        <v>41610.958333333336</v>
      </c>
      <c r="F2965" s="157">
        <v>41611.333333333336</v>
      </c>
      <c r="G2965" s="98">
        <v>218</v>
      </c>
      <c r="H2965" s="98">
        <v>330</v>
      </c>
      <c r="I2965" s="98">
        <v>296</v>
      </c>
      <c r="J2965" s="98" t="s">
        <v>2263</v>
      </c>
      <c r="K2965" s="98" t="s">
        <v>41</v>
      </c>
      <c r="L2965" s="105" t="str">
        <f t="shared" si="490"/>
        <v>Mill Creek</v>
      </c>
      <c r="M2965" s="105" t="str">
        <f t="shared" si="491"/>
        <v>Derate</v>
      </c>
      <c r="N2965" s="105" t="str">
        <f t="shared" si="492"/>
        <v>Coal</v>
      </c>
      <c r="O2965" s="105">
        <f>IFERROR(VLOOKUP(A2965,Lookup!$J$5:$P$19,7,FALSE),0)</f>
        <v>2</v>
      </c>
      <c r="P2965" s="159">
        <f t="shared" si="493"/>
        <v>2013</v>
      </c>
      <c r="Q2965" s="159">
        <f t="shared" si="494"/>
        <v>12</v>
      </c>
      <c r="R2965" s="160">
        <f t="shared" si="495"/>
        <v>9</v>
      </c>
      <c r="S2965" s="158">
        <f t="shared" si="496"/>
        <v>3.0545454545454547</v>
      </c>
      <c r="T2965" s="161">
        <f t="shared" si="497"/>
        <v>904.14545454545464</v>
      </c>
      <c r="U2965" s="158">
        <f t="shared" si="499"/>
        <v>100.46060606060605</v>
      </c>
      <c r="V2965" s="160">
        <f t="shared" si="498"/>
        <v>100</v>
      </c>
    </row>
    <row r="2966" spans="1:22" x14ac:dyDescent="0.25">
      <c r="A2966" s="98" t="s">
        <v>35</v>
      </c>
      <c r="B2966" s="98" t="s">
        <v>17</v>
      </c>
      <c r="C2966" s="98">
        <v>148</v>
      </c>
      <c r="D2966" s="98">
        <v>1850</v>
      </c>
      <c r="E2966" s="157">
        <v>41611.333333333336</v>
      </c>
      <c r="F2966" s="157">
        <v>41611.513888888891</v>
      </c>
      <c r="G2966" s="98">
        <v>245</v>
      </c>
      <c r="H2966" s="98">
        <v>330</v>
      </c>
      <c r="I2966" s="98">
        <v>296</v>
      </c>
      <c r="J2966" s="98" t="s">
        <v>2263</v>
      </c>
      <c r="K2966" s="98" t="s">
        <v>41</v>
      </c>
      <c r="L2966" s="105" t="str">
        <f t="shared" si="490"/>
        <v>Mill Creek</v>
      </c>
      <c r="M2966" s="105" t="str">
        <f t="shared" si="491"/>
        <v>Derate</v>
      </c>
      <c r="N2966" s="105" t="str">
        <f t="shared" si="492"/>
        <v>Coal</v>
      </c>
      <c r="O2966" s="105">
        <f>IFERROR(VLOOKUP(A2966,Lookup!$J$5:$P$19,7,FALSE),0)</f>
        <v>2</v>
      </c>
      <c r="P2966" s="159">
        <f t="shared" si="493"/>
        <v>2013</v>
      </c>
      <c r="Q2966" s="159">
        <f t="shared" si="494"/>
        <v>12</v>
      </c>
      <c r="R2966" s="160">
        <f t="shared" si="495"/>
        <v>4.3333333333139308</v>
      </c>
      <c r="S2966" s="158">
        <f t="shared" si="496"/>
        <v>1.1161616161566186</v>
      </c>
      <c r="T2966" s="161">
        <f t="shared" si="497"/>
        <v>330.3838383823591</v>
      </c>
      <c r="U2966" s="158">
        <f t="shared" si="499"/>
        <v>76.242424242424249</v>
      </c>
      <c r="V2966" s="160">
        <f t="shared" si="498"/>
        <v>76</v>
      </c>
    </row>
    <row r="2967" spans="1:22" x14ac:dyDescent="0.25">
      <c r="A2967" s="98" t="s">
        <v>35</v>
      </c>
      <c r="B2967" s="98" t="s">
        <v>17</v>
      </c>
      <c r="C2967" s="98">
        <v>149</v>
      </c>
      <c r="D2967" s="98">
        <v>1850</v>
      </c>
      <c r="E2967" s="157">
        <v>41611.513888888891</v>
      </c>
      <c r="F2967" s="157">
        <v>41612.350694444445</v>
      </c>
      <c r="G2967" s="98">
        <v>222</v>
      </c>
      <c r="H2967" s="98">
        <v>330</v>
      </c>
      <c r="I2967" s="98">
        <v>296</v>
      </c>
      <c r="J2967" s="98" t="s">
        <v>2263</v>
      </c>
      <c r="K2967" s="98" t="s">
        <v>41</v>
      </c>
      <c r="L2967" s="105" t="str">
        <f t="shared" si="490"/>
        <v>Mill Creek</v>
      </c>
      <c r="M2967" s="105" t="str">
        <f t="shared" si="491"/>
        <v>Derate</v>
      </c>
      <c r="N2967" s="105" t="str">
        <f t="shared" si="492"/>
        <v>Coal</v>
      </c>
      <c r="O2967" s="105">
        <f>IFERROR(VLOOKUP(A2967,Lookup!$J$5:$P$19,7,FALSE),0)</f>
        <v>2</v>
      </c>
      <c r="P2967" s="159">
        <f t="shared" si="493"/>
        <v>2013</v>
      </c>
      <c r="Q2967" s="159">
        <f t="shared" si="494"/>
        <v>12</v>
      </c>
      <c r="R2967" s="160">
        <f t="shared" si="495"/>
        <v>20.083333333313931</v>
      </c>
      <c r="S2967" s="158">
        <f t="shared" si="496"/>
        <v>6.5727272727209227</v>
      </c>
      <c r="T2967" s="161">
        <f t="shared" si="497"/>
        <v>1945.5272727253932</v>
      </c>
      <c r="U2967" s="158">
        <f t="shared" si="499"/>
        <v>96.872727272727275</v>
      </c>
      <c r="V2967" s="160">
        <f t="shared" si="498"/>
        <v>97</v>
      </c>
    </row>
    <row r="2968" spans="1:22" x14ac:dyDescent="0.25">
      <c r="A2968" s="98" t="s">
        <v>35</v>
      </c>
      <c r="B2968" s="98" t="s">
        <v>17</v>
      </c>
      <c r="C2968" s="98">
        <v>150</v>
      </c>
      <c r="D2968" s="98">
        <v>1850</v>
      </c>
      <c r="E2968" s="157">
        <v>41612.350694444445</v>
      </c>
      <c r="F2968" s="157">
        <v>41612.434027777781</v>
      </c>
      <c r="G2968" s="98">
        <v>233</v>
      </c>
      <c r="H2968" s="98">
        <v>330</v>
      </c>
      <c r="I2968" s="98">
        <v>296</v>
      </c>
      <c r="J2968" s="98" t="s">
        <v>2263</v>
      </c>
      <c r="K2968" s="98" t="s">
        <v>41</v>
      </c>
      <c r="L2968" s="105" t="str">
        <f t="shared" si="490"/>
        <v>Mill Creek</v>
      </c>
      <c r="M2968" s="105" t="str">
        <f t="shared" si="491"/>
        <v>Derate</v>
      </c>
      <c r="N2968" s="105" t="str">
        <f t="shared" si="492"/>
        <v>Coal</v>
      </c>
      <c r="O2968" s="105">
        <f>IFERROR(VLOOKUP(A2968,Lookup!$J$5:$P$19,7,FALSE),0)</f>
        <v>2</v>
      </c>
      <c r="P2968" s="159">
        <f t="shared" si="493"/>
        <v>2013</v>
      </c>
      <c r="Q2968" s="159">
        <f t="shared" si="494"/>
        <v>12</v>
      </c>
      <c r="R2968" s="160">
        <f t="shared" si="495"/>
        <v>2.0000000000582077</v>
      </c>
      <c r="S2968" s="158">
        <f t="shared" si="496"/>
        <v>0.58787878789589743</v>
      </c>
      <c r="T2968" s="161">
        <f t="shared" si="497"/>
        <v>174.01212121718564</v>
      </c>
      <c r="U2968" s="158">
        <f t="shared" si="499"/>
        <v>87.006060606060601</v>
      </c>
      <c r="V2968" s="160">
        <f t="shared" si="498"/>
        <v>87</v>
      </c>
    </row>
    <row r="2969" spans="1:22" x14ac:dyDescent="0.25">
      <c r="A2969" s="98" t="s">
        <v>35</v>
      </c>
      <c r="B2969" s="98" t="s">
        <v>17</v>
      </c>
      <c r="C2969" s="98">
        <v>151</v>
      </c>
      <c r="D2969" s="98">
        <v>1850</v>
      </c>
      <c r="E2969" s="157">
        <v>41612.434027777781</v>
      </c>
      <c r="F2969" s="157">
        <v>41613.192361111112</v>
      </c>
      <c r="G2969" s="98">
        <v>236</v>
      </c>
      <c r="H2969" s="98">
        <v>330</v>
      </c>
      <c r="I2969" s="98">
        <v>296</v>
      </c>
      <c r="J2969" s="98" t="s">
        <v>2263</v>
      </c>
      <c r="K2969" s="98" t="s">
        <v>41</v>
      </c>
      <c r="L2969" s="105" t="str">
        <f t="shared" si="490"/>
        <v>Mill Creek</v>
      </c>
      <c r="M2969" s="105" t="str">
        <f t="shared" si="491"/>
        <v>Derate</v>
      </c>
      <c r="N2969" s="105" t="str">
        <f t="shared" si="492"/>
        <v>Coal</v>
      </c>
      <c r="O2969" s="105">
        <f>IFERROR(VLOOKUP(A2969,Lookup!$J$5:$P$19,7,FALSE),0)</f>
        <v>2</v>
      </c>
      <c r="P2969" s="159">
        <f t="shared" si="493"/>
        <v>2013</v>
      </c>
      <c r="Q2969" s="159">
        <f t="shared" si="494"/>
        <v>12</v>
      </c>
      <c r="R2969" s="160">
        <f t="shared" si="495"/>
        <v>18.199999999953434</v>
      </c>
      <c r="S2969" s="158">
        <f t="shared" si="496"/>
        <v>5.1842424242291596</v>
      </c>
      <c r="T2969" s="161">
        <f t="shared" si="497"/>
        <v>1534.5357575718313</v>
      </c>
      <c r="U2969" s="158">
        <f t="shared" si="499"/>
        <v>84.315151515151513</v>
      </c>
      <c r="V2969" s="160">
        <f t="shared" si="498"/>
        <v>84</v>
      </c>
    </row>
    <row r="2970" spans="1:22" x14ac:dyDescent="0.25">
      <c r="A2970" s="98" t="s">
        <v>35</v>
      </c>
      <c r="B2970" s="98" t="s">
        <v>17</v>
      </c>
      <c r="C2970" s="98">
        <v>152</v>
      </c>
      <c r="D2970" s="98">
        <v>1850</v>
      </c>
      <c r="E2970" s="157">
        <v>41613.192361111112</v>
      </c>
      <c r="F2970" s="157">
        <v>41614.307638888888</v>
      </c>
      <c r="G2970" s="98">
        <v>247</v>
      </c>
      <c r="H2970" s="98">
        <v>330</v>
      </c>
      <c r="I2970" s="98">
        <v>296</v>
      </c>
      <c r="J2970" s="98" t="s">
        <v>2263</v>
      </c>
      <c r="K2970" s="98" t="s">
        <v>41</v>
      </c>
      <c r="L2970" s="105" t="str">
        <f t="shared" si="490"/>
        <v>Mill Creek</v>
      </c>
      <c r="M2970" s="105" t="str">
        <f t="shared" si="491"/>
        <v>Derate</v>
      </c>
      <c r="N2970" s="105" t="str">
        <f t="shared" si="492"/>
        <v>Coal</v>
      </c>
      <c r="O2970" s="105">
        <f>IFERROR(VLOOKUP(A2970,Lookup!$J$5:$P$19,7,FALSE),0)</f>
        <v>2</v>
      </c>
      <c r="P2970" s="159">
        <f t="shared" si="493"/>
        <v>2013</v>
      </c>
      <c r="Q2970" s="159">
        <f t="shared" si="494"/>
        <v>12</v>
      </c>
      <c r="R2970" s="160">
        <f t="shared" si="495"/>
        <v>26.766666666604578</v>
      </c>
      <c r="S2970" s="158">
        <f t="shared" si="496"/>
        <v>6.7322222222066062</v>
      </c>
      <c r="T2970" s="161">
        <f t="shared" si="497"/>
        <v>1992.7377777731554</v>
      </c>
      <c r="U2970" s="158">
        <f t="shared" si="499"/>
        <v>74.448484848484853</v>
      </c>
      <c r="V2970" s="160">
        <f t="shared" si="498"/>
        <v>74</v>
      </c>
    </row>
    <row r="2971" spans="1:22" x14ac:dyDescent="0.25">
      <c r="A2971" s="98" t="s">
        <v>35</v>
      </c>
      <c r="B2971" s="98" t="s">
        <v>17</v>
      </c>
      <c r="C2971" s="98">
        <v>153</v>
      </c>
      <c r="D2971" s="98">
        <v>1850</v>
      </c>
      <c r="E2971" s="157">
        <v>41614.307638888888</v>
      </c>
      <c r="F2971" s="157">
        <v>41614.878472222219</v>
      </c>
      <c r="G2971" s="98">
        <v>230</v>
      </c>
      <c r="H2971" s="98">
        <v>330</v>
      </c>
      <c r="I2971" s="98">
        <v>296</v>
      </c>
      <c r="J2971" s="98" t="s">
        <v>2263</v>
      </c>
      <c r="K2971" s="98" t="s">
        <v>41</v>
      </c>
      <c r="L2971" s="105" t="str">
        <f t="shared" si="490"/>
        <v>Mill Creek</v>
      </c>
      <c r="M2971" s="105" t="str">
        <f t="shared" si="491"/>
        <v>Derate</v>
      </c>
      <c r="N2971" s="105" t="str">
        <f t="shared" si="492"/>
        <v>Coal</v>
      </c>
      <c r="O2971" s="105">
        <f>IFERROR(VLOOKUP(A2971,Lookup!$J$5:$P$19,7,FALSE),0)</f>
        <v>2</v>
      </c>
      <c r="P2971" s="159">
        <f t="shared" si="493"/>
        <v>2013</v>
      </c>
      <c r="Q2971" s="159">
        <f t="shared" si="494"/>
        <v>12</v>
      </c>
      <c r="R2971" s="160">
        <f t="shared" si="495"/>
        <v>13.699999999953434</v>
      </c>
      <c r="S2971" s="158">
        <f t="shared" si="496"/>
        <v>4.1515151515010409</v>
      </c>
      <c r="T2971" s="161">
        <f t="shared" si="497"/>
        <v>1228.8484848443081</v>
      </c>
      <c r="U2971" s="158">
        <f t="shared" si="499"/>
        <v>89.696969696969703</v>
      </c>
      <c r="V2971" s="160">
        <f t="shared" si="498"/>
        <v>90</v>
      </c>
    </row>
    <row r="2972" spans="1:22" x14ac:dyDescent="0.25">
      <c r="A2972" s="98" t="s">
        <v>35</v>
      </c>
      <c r="B2972" s="98" t="s">
        <v>17</v>
      </c>
      <c r="C2972" s="98">
        <v>154</v>
      </c>
      <c r="D2972" s="98">
        <v>1850</v>
      </c>
      <c r="E2972" s="157">
        <v>41614.878472222219</v>
      </c>
      <c r="F2972" s="157">
        <v>41616.100694444445</v>
      </c>
      <c r="G2972" s="98">
        <v>250</v>
      </c>
      <c r="H2972" s="98">
        <v>330</v>
      </c>
      <c r="I2972" s="98">
        <v>296</v>
      </c>
      <c r="J2972" s="98" t="s">
        <v>2263</v>
      </c>
      <c r="K2972" s="98" t="s">
        <v>41</v>
      </c>
      <c r="L2972" s="105" t="str">
        <f t="shared" si="490"/>
        <v>Mill Creek</v>
      </c>
      <c r="M2972" s="105" t="str">
        <f t="shared" si="491"/>
        <v>Derate</v>
      </c>
      <c r="N2972" s="105" t="str">
        <f t="shared" si="492"/>
        <v>Coal</v>
      </c>
      <c r="O2972" s="105">
        <f>IFERROR(VLOOKUP(A2972,Lookup!$J$5:$P$19,7,FALSE),0)</f>
        <v>2</v>
      </c>
      <c r="P2972" s="159">
        <f t="shared" si="493"/>
        <v>2013</v>
      </c>
      <c r="Q2972" s="159">
        <f t="shared" si="494"/>
        <v>12</v>
      </c>
      <c r="R2972" s="160">
        <f t="shared" si="495"/>
        <v>29.333333333430346</v>
      </c>
      <c r="S2972" s="158">
        <f t="shared" si="496"/>
        <v>7.1111111111346297</v>
      </c>
      <c r="T2972" s="161">
        <f t="shared" si="497"/>
        <v>2104.8888888958504</v>
      </c>
      <c r="U2972" s="158">
        <f t="shared" si="499"/>
        <v>71.757575757575751</v>
      </c>
      <c r="V2972" s="160">
        <f t="shared" si="498"/>
        <v>72</v>
      </c>
    </row>
    <row r="2973" spans="1:22" x14ac:dyDescent="0.25">
      <c r="A2973" s="98" t="s">
        <v>35</v>
      </c>
      <c r="B2973" s="98" t="s">
        <v>17</v>
      </c>
      <c r="C2973" s="98">
        <v>155</v>
      </c>
      <c r="D2973" s="98">
        <v>1850</v>
      </c>
      <c r="E2973" s="157">
        <v>41616.100694444445</v>
      </c>
      <c r="F2973" s="157">
        <v>41617.163194444445</v>
      </c>
      <c r="G2973" s="98">
        <v>240</v>
      </c>
      <c r="H2973" s="98">
        <v>330</v>
      </c>
      <c r="I2973" s="98">
        <v>296</v>
      </c>
      <c r="J2973" s="98" t="s">
        <v>2263</v>
      </c>
      <c r="K2973" s="98" t="s">
        <v>41</v>
      </c>
      <c r="L2973" s="105" t="str">
        <f t="shared" si="490"/>
        <v>Mill Creek</v>
      </c>
      <c r="M2973" s="105" t="str">
        <f t="shared" si="491"/>
        <v>Derate</v>
      </c>
      <c r="N2973" s="105" t="str">
        <f t="shared" si="492"/>
        <v>Coal</v>
      </c>
      <c r="O2973" s="105">
        <f>IFERROR(VLOOKUP(A2973,Lookup!$J$5:$P$19,7,FALSE),0)</f>
        <v>2</v>
      </c>
      <c r="P2973" s="159">
        <f t="shared" si="493"/>
        <v>2013</v>
      </c>
      <c r="Q2973" s="159">
        <f t="shared" si="494"/>
        <v>12</v>
      </c>
      <c r="R2973" s="160">
        <f t="shared" si="495"/>
        <v>25.5</v>
      </c>
      <c r="S2973" s="158">
        <f t="shared" si="496"/>
        <v>6.9545454545454541</v>
      </c>
      <c r="T2973" s="161">
        <f t="shared" si="497"/>
        <v>2058.5454545454545</v>
      </c>
      <c r="U2973" s="158">
        <f t="shared" si="499"/>
        <v>80.727272727272734</v>
      </c>
      <c r="V2973" s="160">
        <f t="shared" si="498"/>
        <v>81</v>
      </c>
    </row>
    <row r="2974" spans="1:22" x14ac:dyDescent="0.25">
      <c r="A2974" s="98" t="s">
        <v>35</v>
      </c>
      <c r="B2974" s="98" t="s">
        <v>17</v>
      </c>
      <c r="C2974" s="98">
        <v>156</v>
      </c>
      <c r="D2974" s="98">
        <v>1850</v>
      </c>
      <c r="E2974" s="157">
        <v>41617.163194444445</v>
      </c>
      <c r="F2974" s="157">
        <v>41617.757638888892</v>
      </c>
      <c r="G2974" s="98">
        <v>254</v>
      </c>
      <c r="H2974" s="98">
        <v>330</v>
      </c>
      <c r="I2974" s="98">
        <v>296</v>
      </c>
      <c r="J2974" s="98" t="s">
        <v>2263</v>
      </c>
      <c r="K2974" s="98" t="s">
        <v>41</v>
      </c>
      <c r="L2974" s="105" t="str">
        <f t="shared" si="490"/>
        <v>Mill Creek</v>
      </c>
      <c r="M2974" s="105" t="str">
        <f t="shared" si="491"/>
        <v>Derate</v>
      </c>
      <c r="N2974" s="105" t="str">
        <f t="shared" si="492"/>
        <v>Coal</v>
      </c>
      <c r="O2974" s="105">
        <f>IFERROR(VLOOKUP(A2974,Lookup!$J$5:$P$19,7,FALSE),0)</f>
        <v>2</v>
      </c>
      <c r="P2974" s="159">
        <f t="shared" si="493"/>
        <v>2013</v>
      </c>
      <c r="Q2974" s="159">
        <f t="shared" si="494"/>
        <v>12</v>
      </c>
      <c r="R2974" s="160">
        <f t="shared" si="495"/>
        <v>14.266666666720994</v>
      </c>
      <c r="S2974" s="158">
        <f t="shared" si="496"/>
        <v>3.2856565656690773</v>
      </c>
      <c r="T2974" s="161">
        <f t="shared" si="497"/>
        <v>972.55434343804689</v>
      </c>
      <c r="U2974" s="158">
        <f t="shared" si="499"/>
        <v>68.169696969696972</v>
      </c>
      <c r="V2974" s="160">
        <f t="shared" si="498"/>
        <v>68</v>
      </c>
    </row>
    <row r="2975" spans="1:22" x14ac:dyDescent="0.25">
      <c r="A2975" s="98" t="s">
        <v>35</v>
      </c>
      <c r="B2975" s="98" t="s">
        <v>17</v>
      </c>
      <c r="C2975" s="98">
        <v>157</v>
      </c>
      <c r="D2975" s="98">
        <v>1850</v>
      </c>
      <c r="E2975" s="157">
        <v>41617.757638888892</v>
      </c>
      <c r="F2975" s="157">
        <v>41618.129861111112</v>
      </c>
      <c r="G2975" s="98">
        <v>269</v>
      </c>
      <c r="H2975" s="98">
        <v>330</v>
      </c>
      <c r="I2975" s="98">
        <v>296</v>
      </c>
      <c r="J2975" s="98" t="s">
        <v>2263</v>
      </c>
      <c r="K2975" s="98" t="s">
        <v>41</v>
      </c>
      <c r="L2975" s="105" t="str">
        <f t="shared" si="490"/>
        <v>Mill Creek</v>
      </c>
      <c r="M2975" s="105" t="str">
        <f t="shared" si="491"/>
        <v>Derate</v>
      </c>
      <c r="N2975" s="105" t="str">
        <f t="shared" si="492"/>
        <v>Coal</v>
      </c>
      <c r="O2975" s="105">
        <f>IFERROR(VLOOKUP(A2975,Lookup!$J$5:$P$19,7,FALSE),0)</f>
        <v>2</v>
      </c>
      <c r="P2975" s="159">
        <f t="shared" si="493"/>
        <v>2013</v>
      </c>
      <c r="Q2975" s="159">
        <f t="shared" si="494"/>
        <v>12</v>
      </c>
      <c r="R2975" s="160">
        <f t="shared" si="495"/>
        <v>8.9333333332906477</v>
      </c>
      <c r="S2975" s="158">
        <f t="shared" si="496"/>
        <v>1.6513131313052409</v>
      </c>
      <c r="T2975" s="161">
        <f t="shared" si="497"/>
        <v>488.78868686635133</v>
      </c>
      <c r="U2975" s="158">
        <f t="shared" si="499"/>
        <v>54.715151515151518</v>
      </c>
      <c r="V2975" s="160">
        <f t="shared" si="498"/>
        <v>55</v>
      </c>
    </row>
    <row r="2976" spans="1:22" x14ac:dyDescent="0.25">
      <c r="A2976" s="98" t="s">
        <v>35</v>
      </c>
      <c r="B2976" s="98" t="s">
        <v>105</v>
      </c>
      <c r="C2976" s="98">
        <v>158</v>
      </c>
      <c r="D2976" s="98">
        <v>360</v>
      </c>
      <c r="E2976" s="157">
        <v>41617.958333333336</v>
      </c>
      <c r="F2976" s="157">
        <v>41617.986111111109</v>
      </c>
      <c r="G2976" s="98">
        <v>220</v>
      </c>
      <c r="H2976" s="98">
        <v>330</v>
      </c>
      <c r="I2976" s="98">
        <v>296</v>
      </c>
      <c r="J2976" s="98" t="s">
        <v>229</v>
      </c>
      <c r="K2976" s="98" t="s">
        <v>1473</v>
      </c>
      <c r="L2976" s="105" t="str">
        <f t="shared" si="490"/>
        <v>Mill Creek</v>
      </c>
      <c r="M2976" s="105" t="str">
        <f t="shared" si="491"/>
        <v>Derate</v>
      </c>
      <c r="N2976" s="105" t="str">
        <f t="shared" si="492"/>
        <v>Coal</v>
      </c>
      <c r="O2976" s="105">
        <f>IFERROR(VLOOKUP(A2976,Lookup!$J$5:$P$19,7,FALSE),0)</f>
        <v>2</v>
      </c>
      <c r="P2976" s="159">
        <f t="shared" si="493"/>
        <v>2013</v>
      </c>
      <c r="Q2976" s="159">
        <f t="shared" si="494"/>
        <v>12</v>
      </c>
      <c r="R2976" s="160">
        <f t="shared" si="495"/>
        <v>0.6666666665696539</v>
      </c>
      <c r="S2976" s="158">
        <f t="shared" si="496"/>
        <v>0.22222222218988463</v>
      </c>
      <c r="T2976" s="161">
        <f t="shared" si="497"/>
        <v>65.777777768205851</v>
      </c>
      <c r="U2976" s="158">
        <f t="shared" si="499"/>
        <v>98.666666666666671</v>
      </c>
      <c r="V2976" s="160">
        <f t="shared" si="498"/>
        <v>99</v>
      </c>
    </row>
    <row r="2977" spans="1:22" x14ac:dyDescent="0.25">
      <c r="A2977" s="98" t="s">
        <v>35</v>
      </c>
      <c r="B2977" s="98" t="s">
        <v>17</v>
      </c>
      <c r="C2977" s="98">
        <v>159</v>
      </c>
      <c r="D2977" s="98">
        <v>1850</v>
      </c>
      <c r="E2977" s="157">
        <v>41618.129861111112</v>
      </c>
      <c r="F2977" s="157">
        <v>41618.259722222225</v>
      </c>
      <c r="G2977" s="98">
        <v>221</v>
      </c>
      <c r="H2977" s="98">
        <v>330</v>
      </c>
      <c r="I2977" s="98">
        <v>296</v>
      </c>
      <c r="J2977" s="98" t="s">
        <v>2263</v>
      </c>
      <c r="K2977" s="98" t="s">
        <v>41</v>
      </c>
      <c r="L2977" s="105" t="str">
        <f t="shared" si="490"/>
        <v>Mill Creek</v>
      </c>
      <c r="M2977" s="105" t="str">
        <f t="shared" si="491"/>
        <v>Derate</v>
      </c>
      <c r="N2977" s="105" t="str">
        <f t="shared" si="492"/>
        <v>Coal</v>
      </c>
      <c r="O2977" s="105">
        <f>IFERROR(VLOOKUP(A2977,Lookup!$J$5:$P$19,7,FALSE),0)</f>
        <v>2</v>
      </c>
      <c r="P2977" s="159">
        <f t="shared" si="493"/>
        <v>2013</v>
      </c>
      <c r="Q2977" s="159">
        <f t="shared" si="494"/>
        <v>12</v>
      </c>
      <c r="R2977" s="160">
        <f t="shared" si="495"/>
        <v>3.1166666666977108</v>
      </c>
      <c r="S2977" s="158">
        <f t="shared" si="496"/>
        <v>1.0294444444546984</v>
      </c>
      <c r="T2977" s="161">
        <f t="shared" si="497"/>
        <v>304.71555555859072</v>
      </c>
      <c r="U2977" s="158">
        <f t="shared" si="499"/>
        <v>97.769696969696966</v>
      </c>
      <c r="V2977" s="160">
        <f t="shared" si="498"/>
        <v>98</v>
      </c>
    </row>
    <row r="2978" spans="1:22" x14ac:dyDescent="0.25">
      <c r="A2978" s="98" t="s">
        <v>35</v>
      </c>
      <c r="B2978" s="98" t="s">
        <v>17</v>
      </c>
      <c r="C2978" s="98">
        <v>160</v>
      </c>
      <c r="D2978" s="98">
        <v>1850</v>
      </c>
      <c r="E2978" s="157">
        <v>41618.259722222225</v>
      </c>
      <c r="F2978" s="157">
        <v>41618.6875</v>
      </c>
      <c r="G2978" s="98">
        <v>256</v>
      </c>
      <c r="H2978" s="98">
        <v>330</v>
      </c>
      <c r="I2978" s="98">
        <v>296</v>
      </c>
      <c r="J2978" s="98" t="s">
        <v>2263</v>
      </c>
      <c r="K2978" s="98" t="s">
        <v>41</v>
      </c>
      <c r="L2978" s="105" t="str">
        <f t="shared" si="490"/>
        <v>Mill Creek</v>
      </c>
      <c r="M2978" s="105" t="str">
        <f t="shared" si="491"/>
        <v>Derate</v>
      </c>
      <c r="N2978" s="105" t="str">
        <f t="shared" si="492"/>
        <v>Coal</v>
      </c>
      <c r="O2978" s="105">
        <f>IFERROR(VLOOKUP(A2978,Lookup!$J$5:$P$19,7,FALSE),0)</f>
        <v>2</v>
      </c>
      <c r="P2978" s="159">
        <f t="shared" si="493"/>
        <v>2013</v>
      </c>
      <c r="Q2978" s="159">
        <f t="shared" si="494"/>
        <v>12</v>
      </c>
      <c r="R2978" s="160">
        <f t="shared" si="495"/>
        <v>10.266666666604578</v>
      </c>
      <c r="S2978" s="158">
        <f t="shared" si="496"/>
        <v>2.3022222222082993</v>
      </c>
      <c r="T2978" s="161">
        <f t="shared" si="497"/>
        <v>681.45777777365663</v>
      </c>
      <c r="U2978" s="158">
        <f t="shared" si="499"/>
        <v>66.375757575757575</v>
      </c>
      <c r="V2978" s="160">
        <f t="shared" si="498"/>
        <v>66</v>
      </c>
    </row>
    <row r="2979" spans="1:22" x14ac:dyDescent="0.25">
      <c r="A2979" s="98" t="s">
        <v>35</v>
      </c>
      <c r="B2979" s="98" t="s">
        <v>17</v>
      </c>
      <c r="C2979" s="98">
        <v>161</v>
      </c>
      <c r="D2979" s="98">
        <v>1850</v>
      </c>
      <c r="E2979" s="157">
        <v>41618.6875</v>
      </c>
      <c r="F2979" s="157">
        <v>41619.455555555556</v>
      </c>
      <c r="G2979" s="98">
        <v>272</v>
      </c>
      <c r="H2979" s="98">
        <v>330</v>
      </c>
      <c r="I2979" s="98">
        <v>296</v>
      </c>
      <c r="J2979" s="98" t="s">
        <v>2263</v>
      </c>
      <c r="K2979" s="98" t="s">
        <v>41</v>
      </c>
      <c r="L2979" s="105" t="str">
        <f t="shared" si="490"/>
        <v>Mill Creek</v>
      </c>
      <c r="M2979" s="105" t="str">
        <f t="shared" si="491"/>
        <v>Derate</v>
      </c>
      <c r="N2979" s="105" t="str">
        <f t="shared" si="492"/>
        <v>Coal</v>
      </c>
      <c r="O2979" s="105">
        <f>IFERROR(VLOOKUP(A2979,Lookup!$J$5:$P$19,7,FALSE),0)</f>
        <v>2</v>
      </c>
      <c r="P2979" s="159">
        <f t="shared" si="493"/>
        <v>2013</v>
      </c>
      <c r="Q2979" s="159">
        <f t="shared" si="494"/>
        <v>12</v>
      </c>
      <c r="R2979" s="160">
        <f t="shared" si="495"/>
        <v>18.433333333348855</v>
      </c>
      <c r="S2979" s="158">
        <f t="shared" si="496"/>
        <v>3.2397979798007079</v>
      </c>
      <c r="T2979" s="161">
        <f t="shared" si="497"/>
        <v>958.98020202100952</v>
      </c>
      <c r="U2979" s="158">
        <f t="shared" si="499"/>
        <v>52.024242424242424</v>
      </c>
      <c r="V2979" s="160">
        <f t="shared" si="498"/>
        <v>52</v>
      </c>
    </row>
    <row r="2980" spans="1:22" x14ac:dyDescent="0.25">
      <c r="A2980" s="98" t="s">
        <v>35</v>
      </c>
      <c r="B2980" s="98" t="s">
        <v>17</v>
      </c>
      <c r="C2980" s="98">
        <v>162</v>
      </c>
      <c r="D2980" s="98">
        <v>1850</v>
      </c>
      <c r="E2980" s="157">
        <v>41619.455555555556</v>
      </c>
      <c r="F2980" s="157">
        <v>41619.772916666669</v>
      </c>
      <c r="G2980" s="98">
        <v>290</v>
      </c>
      <c r="H2980" s="98">
        <v>330</v>
      </c>
      <c r="I2980" s="98">
        <v>296</v>
      </c>
      <c r="J2980" s="98" t="s">
        <v>2263</v>
      </c>
      <c r="K2980" s="98" t="s">
        <v>41</v>
      </c>
      <c r="L2980" s="105" t="str">
        <f t="shared" si="490"/>
        <v>Mill Creek</v>
      </c>
      <c r="M2980" s="105" t="str">
        <f t="shared" si="491"/>
        <v>Derate</v>
      </c>
      <c r="N2980" s="105" t="str">
        <f t="shared" si="492"/>
        <v>Coal</v>
      </c>
      <c r="O2980" s="105">
        <f>IFERROR(VLOOKUP(A2980,Lookup!$J$5:$P$19,7,FALSE),0)</f>
        <v>2</v>
      </c>
      <c r="P2980" s="159">
        <f t="shared" si="493"/>
        <v>2013</v>
      </c>
      <c r="Q2980" s="159">
        <f t="shared" si="494"/>
        <v>12</v>
      </c>
      <c r="R2980" s="160">
        <f t="shared" si="495"/>
        <v>7.6166666666977108</v>
      </c>
      <c r="S2980" s="158">
        <f t="shared" si="496"/>
        <v>0.92323232323608617</v>
      </c>
      <c r="T2980" s="161">
        <f t="shared" si="497"/>
        <v>273.27676767788148</v>
      </c>
      <c r="U2980" s="158">
        <f t="shared" si="499"/>
        <v>35.878787878787875</v>
      </c>
      <c r="V2980" s="160">
        <f t="shared" si="498"/>
        <v>36</v>
      </c>
    </row>
    <row r="2981" spans="1:22" x14ac:dyDescent="0.25">
      <c r="A2981" s="98" t="s">
        <v>35</v>
      </c>
      <c r="B2981" s="98" t="s">
        <v>17</v>
      </c>
      <c r="C2981" s="98">
        <v>163</v>
      </c>
      <c r="D2981" s="98">
        <v>1850</v>
      </c>
      <c r="E2981" s="157">
        <v>41619.772916666669</v>
      </c>
      <c r="F2981" s="157">
        <v>41621.000694444447</v>
      </c>
      <c r="G2981" s="98">
        <v>270</v>
      </c>
      <c r="H2981" s="98">
        <v>330</v>
      </c>
      <c r="I2981" s="98">
        <v>296</v>
      </c>
      <c r="J2981" s="98" t="s">
        <v>2263</v>
      </c>
      <c r="K2981" s="98" t="s">
        <v>41</v>
      </c>
      <c r="L2981" s="105" t="str">
        <f t="shared" si="490"/>
        <v>Mill Creek</v>
      </c>
      <c r="M2981" s="105" t="str">
        <f t="shared" si="491"/>
        <v>Derate</v>
      </c>
      <c r="N2981" s="105" t="str">
        <f t="shared" si="492"/>
        <v>Coal</v>
      </c>
      <c r="O2981" s="105">
        <f>IFERROR(VLOOKUP(A2981,Lookup!$J$5:$P$19,7,FALSE),0)</f>
        <v>2</v>
      </c>
      <c r="P2981" s="159">
        <f t="shared" si="493"/>
        <v>2013</v>
      </c>
      <c r="Q2981" s="159">
        <f t="shared" si="494"/>
        <v>12</v>
      </c>
      <c r="R2981" s="160">
        <f t="shared" si="495"/>
        <v>29.466666666674428</v>
      </c>
      <c r="S2981" s="158">
        <f t="shared" si="496"/>
        <v>5.3575757575771688</v>
      </c>
      <c r="T2981" s="161">
        <f t="shared" si="497"/>
        <v>1585.8424242428418</v>
      </c>
      <c r="U2981" s="158">
        <f t="shared" si="499"/>
        <v>53.81818181818182</v>
      </c>
      <c r="V2981" s="160">
        <f t="shared" si="498"/>
        <v>54</v>
      </c>
    </row>
    <row r="2982" spans="1:22" x14ac:dyDescent="0.25">
      <c r="A2982" s="98" t="s">
        <v>35</v>
      </c>
      <c r="B2982" s="98" t="s">
        <v>17</v>
      </c>
      <c r="C2982" s="98">
        <v>164</v>
      </c>
      <c r="D2982" s="98">
        <v>1850</v>
      </c>
      <c r="E2982" s="157">
        <v>41621.000694444447</v>
      </c>
      <c r="F2982" s="157">
        <v>41621.243055555555</v>
      </c>
      <c r="G2982" s="98">
        <v>190</v>
      </c>
      <c r="H2982" s="98">
        <v>330</v>
      </c>
      <c r="I2982" s="98">
        <v>296</v>
      </c>
      <c r="J2982" s="98" t="s">
        <v>2263</v>
      </c>
      <c r="K2982" s="98" t="s">
        <v>41</v>
      </c>
      <c r="L2982" s="105" t="str">
        <f t="shared" ref="L2982:L3045" si="500">IF(OR(A2982="BR1",A2982="BR2",A2982="BR3",A2982="BR5",A2982="BR6",A2982="BR7",A2982="BR8",A2982="BR9",A2982="BR10",A2982="BR11"),"Brown",IF(OR(A2982="CR4",A2982="CR5",A2982="CR6",A2982="CR11"),"Cane Run",IF(OR(A2982="GH1",A2982="GH2",A2982="GH3",A2982="GH4"),"Ghent",IF(OR(A2982="GR3",A2982="GR4"),"Green River",IF(OR(A2982="MC1",A2982="MC2",A2982="MC3",A2982="MC4"),"Mill Creek",IF(OR(A2982="TC1",A2982="TC2",A2982="TC5",A2982="TC6",A2982="TC7",A2982="TC8",A2982="TC9",A2982="TC10"),"Trimble",IF(A2982="TY3","Tyrone",IF(OR(A2982="HA1",A2982="HA2",A2982="HA3"),"Haeflin",IF(OR(A2982="PR11",A2982="PR12",A2982="PR13"),"Paddy's Run","Zorn")))))))))</f>
        <v>Mill Creek</v>
      </c>
      <c r="M2982" s="105" t="str">
        <f t="shared" ref="M2982:M3045" si="501">IF(OR(B2982="D1",B2982="D2",B2982="D3",B2982="D4",B2982="PD"),"Derate",IF(OR(B2982="SF",B2982="U1",B2982="U2",B2982="U3"),"Outage",IF(OR(B2982="ME",B2982="MO"),"Maintenance","Other")))</f>
        <v>Derate</v>
      </c>
      <c r="N2982" s="105" t="str">
        <f t="shared" ref="N2982:N3045" si="502">IF(OR(A2982="BR1",A2982="BR2",A2982="BR3",A2982="CR4",A2982="CR5",A2982="CR6",A2982="GH1",A2982="GH2",A2982="GH3",A2982="GH4",A2982="GR3",A2982="GR4",A2982="MC1",A2982="MC2",A2982="MC3",A2982="MC4",A2982="TC1",A2982="TC2",A2982="TY3"),"Coal","Gas")</f>
        <v>Coal</v>
      </c>
      <c r="O2982" s="105">
        <f>IFERROR(VLOOKUP(A2982,Lookup!$J$5:$P$19,7,FALSE),0)</f>
        <v>2</v>
      </c>
      <c r="P2982" s="159">
        <f t="shared" ref="P2982:P3045" si="503">YEAR(E2982)</f>
        <v>2013</v>
      </c>
      <c r="Q2982" s="159">
        <f t="shared" ref="Q2982:Q3045" si="504">MONTH(E2982)</f>
        <v>12</v>
      </c>
      <c r="R2982" s="160">
        <f t="shared" ref="R2982:R3045" si="505">(F2982-E2982)*24</f>
        <v>5.816666666592937</v>
      </c>
      <c r="S2982" s="158">
        <f t="shared" ref="S2982:S3045" si="506">R2982*(H2982-G2982)/H2982</f>
        <v>2.4676767676454885</v>
      </c>
      <c r="T2982" s="161">
        <f t="shared" ref="T2982:T3045" si="507">S2982*I2982</f>
        <v>730.4323232230646</v>
      </c>
      <c r="U2982" s="158">
        <f t="shared" si="499"/>
        <v>125.57575757575758</v>
      </c>
      <c r="V2982" s="160">
        <f t="shared" ref="V2982:V3045" si="508">ROUND(U2982,0)</f>
        <v>126</v>
      </c>
    </row>
    <row r="2983" spans="1:22" x14ac:dyDescent="0.25">
      <c r="A2983" s="98" t="s">
        <v>35</v>
      </c>
      <c r="B2983" s="98" t="s">
        <v>17</v>
      </c>
      <c r="C2983" s="98">
        <v>165</v>
      </c>
      <c r="D2983" s="98">
        <v>1850</v>
      </c>
      <c r="E2983" s="157">
        <v>41621.243055555555</v>
      </c>
      <c r="F2983" s="157">
        <v>41621.5</v>
      </c>
      <c r="G2983" s="98">
        <v>260</v>
      </c>
      <c r="H2983" s="98">
        <v>330</v>
      </c>
      <c r="I2983" s="98">
        <v>296</v>
      </c>
      <c r="J2983" s="98" t="s">
        <v>2263</v>
      </c>
      <c r="K2983" s="98" t="s">
        <v>41</v>
      </c>
      <c r="L2983" s="105" t="str">
        <f t="shared" si="500"/>
        <v>Mill Creek</v>
      </c>
      <c r="M2983" s="105" t="str">
        <f t="shared" si="501"/>
        <v>Derate</v>
      </c>
      <c r="N2983" s="105" t="str">
        <f t="shared" si="502"/>
        <v>Coal</v>
      </c>
      <c r="O2983" s="105">
        <f>IFERROR(VLOOKUP(A2983,Lookup!$J$5:$P$19,7,FALSE),0)</f>
        <v>2</v>
      </c>
      <c r="P2983" s="159">
        <f t="shared" si="503"/>
        <v>2013</v>
      </c>
      <c r="Q2983" s="159">
        <f t="shared" si="504"/>
        <v>12</v>
      </c>
      <c r="R2983" s="160">
        <f t="shared" si="505"/>
        <v>6.1666666666860692</v>
      </c>
      <c r="S2983" s="158">
        <f t="shared" si="506"/>
        <v>1.3080808080849238</v>
      </c>
      <c r="T2983" s="161">
        <f t="shared" si="507"/>
        <v>387.19191919313744</v>
      </c>
      <c r="U2983" s="158">
        <f t="shared" ref="U2983:U3046" si="509">IF(G2983&gt;0,MAX((H2983-G2983),0)*I2983/H2983,I2983)</f>
        <v>62.787878787878789</v>
      </c>
      <c r="V2983" s="160">
        <f t="shared" si="508"/>
        <v>63</v>
      </c>
    </row>
    <row r="2984" spans="1:22" x14ac:dyDescent="0.25">
      <c r="A2984" s="98" t="s">
        <v>35</v>
      </c>
      <c r="B2984" s="98" t="s">
        <v>17</v>
      </c>
      <c r="C2984" s="98">
        <v>166</v>
      </c>
      <c r="D2984" s="98">
        <v>1850</v>
      </c>
      <c r="E2984" s="157">
        <v>41621.5</v>
      </c>
      <c r="F2984" s="157">
        <v>41622.675000000003</v>
      </c>
      <c r="G2984" s="98">
        <v>285</v>
      </c>
      <c r="H2984" s="98">
        <v>330</v>
      </c>
      <c r="I2984" s="98">
        <v>296</v>
      </c>
      <c r="J2984" s="98" t="s">
        <v>2263</v>
      </c>
      <c r="K2984" s="98" t="s">
        <v>41</v>
      </c>
      <c r="L2984" s="105" t="str">
        <f t="shared" si="500"/>
        <v>Mill Creek</v>
      </c>
      <c r="M2984" s="105" t="str">
        <f t="shared" si="501"/>
        <v>Derate</v>
      </c>
      <c r="N2984" s="105" t="str">
        <f t="shared" si="502"/>
        <v>Coal</v>
      </c>
      <c r="O2984" s="105">
        <f>IFERROR(VLOOKUP(A2984,Lookup!$J$5:$P$19,7,FALSE),0)</f>
        <v>2</v>
      </c>
      <c r="P2984" s="159">
        <f t="shared" si="503"/>
        <v>2013</v>
      </c>
      <c r="Q2984" s="159">
        <f t="shared" si="504"/>
        <v>12</v>
      </c>
      <c r="R2984" s="160">
        <f t="shared" si="505"/>
        <v>28.200000000069849</v>
      </c>
      <c r="S2984" s="158">
        <f t="shared" si="506"/>
        <v>3.8454545454640705</v>
      </c>
      <c r="T2984" s="161">
        <f t="shared" si="507"/>
        <v>1138.2545454573649</v>
      </c>
      <c r="U2984" s="158">
        <f t="shared" si="509"/>
        <v>40.363636363636367</v>
      </c>
      <c r="V2984" s="160">
        <f t="shared" si="508"/>
        <v>40</v>
      </c>
    </row>
    <row r="2985" spans="1:22" x14ac:dyDescent="0.25">
      <c r="A2985" s="98" t="s">
        <v>35</v>
      </c>
      <c r="B2985" s="98" t="s">
        <v>17</v>
      </c>
      <c r="C2985" s="98">
        <v>167</v>
      </c>
      <c r="D2985" s="98">
        <v>1850</v>
      </c>
      <c r="E2985" s="157">
        <v>41622.675000000003</v>
      </c>
      <c r="F2985" s="157">
        <v>41624.947916666664</v>
      </c>
      <c r="G2985" s="98">
        <v>280</v>
      </c>
      <c r="H2985" s="98">
        <v>330</v>
      </c>
      <c r="I2985" s="98">
        <v>296</v>
      </c>
      <c r="J2985" s="98" t="s">
        <v>2263</v>
      </c>
      <c r="K2985" s="98" t="s">
        <v>41</v>
      </c>
      <c r="L2985" s="105" t="str">
        <f t="shared" si="500"/>
        <v>Mill Creek</v>
      </c>
      <c r="M2985" s="105" t="str">
        <f t="shared" si="501"/>
        <v>Derate</v>
      </c>
      <c r="N2985" s="105" t="str">
        <f t="shared" si="502"/>
        <v>Coal</v>
      </c>
      <c r="O2985" s="105">
        <f>IFERROR(VLOOKUP(A2985,Lookup!$J$5:$P$19,7,FALSE),0)</f>
        <v>2</v>
      </c>
      <c r="P2985" s="159">
        <f t="shared" si="503"/>
        <v>2013</v>
      </c>
      <c r="Q2985" s="159">
        <f t="shared" si="504"/>
        <v>12</v>
      </c>
      <c r="R2985" s="160">
        <f t="shared" si="505"/>
        <v>54.549999999871943</v>
      </c>
      <c r="S2985" s="158">
        <f t="shared" si="506"/>
        <v>8.2651515151321124</v>
      </c>
      <c r="T2985" s="161">
        <f t="shared" si="507"/>
        <v>2446.4848484791055</v>
      </c>
      <c r="U2985" s="158">
        <f t="shared" si="509"/>
        <v>44.848484848484851</v>
      </c>
      <c r="V2985" s="160">
        <f t="shared" si="508"/>
        <v>45</v>
      </c>
    </row>
    <row r="2986" spans="1:22" x14ac:dyDescent="0.25">
      <c r="A2986" s="98" t="s">
        <v>35</v>
      </c>
      <c r="B2986" s="98" t="s">
        <v>17</v>
      </c>
      <c r="C2986" s="98">
        <v>168</v>
      </c>
      <c r="D2986" s="98">
        <v>1850</v>
      </c>
      <c r="E2986" s="157">
        <v>41624.947916666664</v>
      </c>
      <c r="F2986" s="157">
        <v>41625.083333333336</v>
      </c>
      <c r="G2986" s="98">
        <v>310</v>
      </c>
      <c r="H2986" s="98">
        <v>330</v>
      </c>
      <c r="I2986" s="98">
        <v>296</v>
      </c>
      <c r="J2986" s="98" t="s">
        <v>2263</v>
      </c>
      <c r="K2986" s="98" t="s">
        <v>41</v>
      </c>
      <c r="L2986" s="105" t="str">
        <f t="shared" si="500"/>
        <v>Mill Creek</v>
      </c>
      <c r="M2986" s="105" t="str">
        <f t="shared" si="501"/>
        <v>Derate</v>
      </c>
      <c r="N2986" s="105" t="str">
        <f t="shared" si="502"/>
        <v>Coal</v>
      </c>
      <c r="O2986" s="105">
        <f>IFERROR(VLOOKUP(A2986,Lookup!$J$5:$P$19,7,FALSE),0)</f>
        <v>2</v>
      </c>
      <c r="P2986" s="159">
        <f t="shared" si="503"/>
        <v>2013</v>
      </c>
      <c r="Q2986" s="159">
        <f t="shared" si="504"/>
        <v>12</v>
      </c>
      <c r="R2986" s="160">
        <f t="shared" si="505"/>
        <v>3.2500000001164153</v>
      </c>
      <c r="S2986" s="158">
        <f t="shared" si="506"/>
        <v>0.19696969697675246</v>
      </c>
      <c r="T2986" s="161">
        <f t="shared" si="507"/>
        <v>58.303030305118725</v>
      </c>
      <c r="U2986" s="158">
        <f t="shared" si="509"/>
        <v>17.939393939393938</v>
      </c>
      <c r="V2986" s="160">
        <f t="shared" si="508"/>
        <v>18</v>
      </c>
    </row>
    <row r="2987" spans="1:22" x14ac:dyDescent="0.25">
      <c r="A2987" s="98" t="s">
        <v>35</v>
      </c>
      <c r="B2987" s="98" t="s">
        <v>17</v>
      </c>
      <c r="C2987" s="98">
        <v>169</v>
      </c>
      <c r="D2987" s="98">
        <v>1850</v>
      </c>
      <c r="E2987" s="157">
        <v>41625.083333333336</v>
      </c>
      <c r="F2987" s="157">
        <v>41626.137499999997</v>
      </c>
      <c r="G2987" s="98">
        <v>265</v>
      </c>
      <c r="H2987" s="98">
        <v>330</v>
      </c>
      <c r="I2987" s="98">
        <v>296</v>
      </c>
      <c r="J2987" s="98" t="s">
        <v>2263</v>
      </c>
      <c r="K2987" s="98" t="s">
        <v>41</v>
      </c>
      <c r="L2987" s="105" t="str">
        <f t="shared" si="500"/>
        <v>Mill Creek</v>
      </c>
      <c r="M2987" s="105" t="str">
        <f t="shared" si="501"/>
        <v>Derate</v>
      </c>
      <c r="N2987" s="105" t="str">
        <f t="shared" si="502"/>
        <v>Coal</v>
      </c>
      <c r="O2987" s="105">
        <f>IFERROR(VLOOKUP(A2987,Lookup!$J$5:$P$19,7,FALSE),0)</f>
        <v>2</v>
      </c>
      <c r="P2987" s="159">
        <f t="shared" si="503"/>
        <v>2013</v>
      </c>
      <c r="Q2987" s="159">
        <f t="shared" si="504"/>
        <v>12</v>
      </c>
      <c r="R2987" s="160">
        <f t="shared" si="505"/>
        <v>25.299999999871943</v>
      </c>
      <c r="S2987" s="158">
        <f t="shared" si="506"/>
        <v>4.98333333330811</v>
      </c>
      <c r="T2987" s="161">
        <f t="shared" si="507"/>
        <v>1475.0666666592006</v>
      </c>
      <c r="U2987" s="158">
        <f t="shared" si="509"/>
        <v>58.303030303030305</v>
      </c>
      <c r="V2987" s="160">
        <f t="shared" si="508"/>
        <v>58</v>
      </c>
    </row>
    <row r="2988" spans="1:22" x14ac:dyDescent="0.25">
      <c r="A2988" s="98" t="s">
        <v>35</v>
      </c>
      <c r="B2988" s="98" t="s">
        <v>17</v>
      </c>
      <c r="C2988" s="98">
        <v>170</v>
      </c>
      <c r="D2988" s="98">
        <v>1850</v>
      </c>
      <c r="E2988" s="157">
        <v>41626.137499999997</v>
      </c>
      <c r="F2988" s="157">
        <v>41627.290972222225</v>
      </c>
      <c r="G2988" s="98">
        <v>255</v>
      </c>
      <c r="H2988" s="98">
        <v>330</v>
      </c>
      <c r="I2988" s="98">
        <v>296</v>
      </c>
      <c r="J2988" s="98" t="s">
        <v>2263</v>
      </c>
      <c r="K2988" s="98" t="s">
        <v>41</v>
      </c>
      <c r="L2988" s="105" t="str">
        <f t="shared" si="500"/>
        <v>Mill Creek</v>
      </c>
      <c r="M2988" s="105" t="str">
        <f t="shared" si="501"/>
        <v>Derate</v>
      </c>
      <c r="N2988" s="105" t="str">
        <f t="shared" si="502"/>
        <v>Coal</v>
      </c>
      <c r="O2988" s="105">
        <f>IFERROR(VLOOKUP(A2988,Lookup!$J$5:$P$19,7,FALSE),0)</f>
        <v>2</v>
      </c>
      <c r="P2988" s="159">
        <f t="shared" si="503"/>
        <v>2013</v>
      </c>
      <c r="Q2988" s="159">
        <f t="shared" si="504"/>
        <v>12</v>
      </c>
      <c r="R2988" s="160">
        <f t="shared" si="505"/>
        <v>27.683333333465271</v>
      </c>
      <c r="S2988" s="158">
        <f t="shared" si="506"/>
        <v>6.2916666666966528</v>
      </c>
      <c r="T2988" s="161">
        <f t="shared" si="507"/>
        <v>1862.3333333422092</v>
      </c>
      <c r="U2988" s="158">
        <f t="shared" si="509"/>
        <v>67.272727272727266</v>
      </c>
      <c r="V2988" s="160">
        <f t="shared" si="508"/>
        <v>67</v>
      </c>
    </row>
    <row r="2989" spans="1:22" x14ac:dyDescent="0.25">
      <c r="A2989" s="98" t="s">
        <v>35</v>
      </c>
      <c r="B2989" s="98" t="s">
        <v>17</v>
      </c>
      <c r="C2989" s="98">
        <v>171</v>
      </c>
      <c r="D2989" s="98">
        <v>1850</v>
      </c>
      <c r="E2989" s="157">
        <v>41627.290972222225</v>
      </c>
      <c r="F2989" s="157">
        <v>41631.341666666667</v>
      </c>
      <c r="G2989" s="98">
        <v>290</v>
      </c>
      <c r="H2989" s="98">
        <v>330</v>
      </c>
      <c r="I2989" s="98">
        <v>296</v>
      </c>
      <c r="J2989" s="98" t="s">
        <v>2263</v>
      </c>
      <c r="K2989" s="98" t="s">
        <v>41</v>
      </c>
      <c r="L2989" s="105" t="str">
        <f t="shared" si="500"/>
        <v>Mill Creek</v>
      </c>
      <c r="M2989" s="105" t="str">
        <f t="shared" si="501"/>
        <v>Derate</v>
      </c>
      <c r="N2989" s="105" t="str">
        <f t="shared" si="502"/>
        <v>Coal</v>
      </c>
      <c r="O2989" s="105">
        <f>IFERROR(VLOOKUP(A2989,Lookup!$J$5:$P$19,7,FALSE),0)</f>
        <v>2</v>
      </c>
      <c r="P2989" s="159">
        <f t="shared" si="503"/>
        <v>2013</v>
      </c>
      <c r="Q2989" s="159">
        <f t="shared" si="504"/>
        <v>12</v>
      </c>
      <c r="R2989" s="160">
        <f t="shared" si="505"/>
        <v>97.21666666661622</v>
      </c>
      <c r="S2989" s="158">
        <f t="shared" si="506"/>
        <v>11.783838383832268</v>
      </c>
      <c r="T2989" s="161">
        <f t="shared" si="507"/>
        <v>3488.0161616143514</v>
      </c>
      <c r="U2989" s="158">
        <f t="shared" si="509"/>
        <v>35.878787878787875</v>
      </c>
      <c r="V2989" s="160">
        <f t="shared" si="508"/>
        <v>36</v>
      </c>
    </row>
    <row r="2990" spans="1:22" x14ac:dyDescent="0.25">
      <c r="A2990" s="98" t="s">
        <v>35</v>
      </c>
      <c r="B2990" s="98" t="s">
        <v>17</v>
      </c>
      <c r="C2990" s="98">
        <v>172</v>
      </c>
      <c r="D2990" s="98">
        <v>1850</v>
      </c>
      <c r="E2990" s="157">
        <v>41631.341666666667</v>
      </c>
      <c r="F2990" s="157">
        <v>41631.541666666664</v>
      </c>
      <c r="G2990" s="98">
        <v>235</v>
      </c>
      <c r="H2990" s="98">
        <v>330</v>
      </c>
      <c r="I2990" s="98">
        <v>296</v>
      </c>
      <c r="J2990" s="98" t="s">
        <v>2263</v>
      </c>
      <c r="K2990" s="98" t="s">
        <v>41</v>
      </c>
      <c r="L2990" s="105" t="str">
        <f t="shared" si="500"/>
        <v>Mill Creek</v>
      </c>
      <c r="M2990" s="105" t="str">
        <f t="shared" si="501"/>
        <v>Derate</v>
      </c>
      <c r="N2990" s="105" t="str">
        <f t="shared" si="502"/>
        <v>Coal</v>
      </c>
      <c r="O2990" s="105">
        <f>IFERROR(VLOOKUP(A2990,Lookup!$J$5:$P$19,7,FALSE),0)</f>
        <v>2</v>
      </c>
      <c r="P2990" s="159">
        <f t="shared" si="503"/>
        <v>2013</v>
      </c>
      <c r="Q2990" s="159">
        <f t="shared" si="504"/>
        <v>12</v>
      </c>
      <c r="R2990" s="160">
        <f t="shared" si="505"/>
        <v>4.7999999999301508</v>
      </c>
      <c r="S2990" s="158">
        <f t="shared" si="506"/>
        <v>1.3818181817980737</v>
      </c>
      <c r="T2990" s="161">
        <f t="shared" si="507"/>
        <v>409.01818181222984</v>
      </c>
      <c r="U2990" s="158">
        <f t="shared" si="509"/>
        <v>85.212121212121218</v>
      </c>
      <c r="V2990" s="160">
        <f t="shared" si="508"/>
        <v>85</v>
      </c>
    </row>
    <row r="2991" spans="1:22" x14ac:dyDescent="0.25">
      <c r="A2991" s="98" t="s">
        <v>35</v>
      </c>
      <c r="B2991" s="98" t="s">
        <v>17</v>
      </c>
      <c r="C2991" s="98">
        <v>173</v>
      </c>
      <c r="D2991" s="98">
        <v>250</v>
      </c>
      <c r="E2991" s="157">
        <v>41631.541666666664</v>
      </c>
      <c r="F2991" s="157">
        <v>41631.631944444445</v>
      </c>
      <c r="G2991" s="98">
        <v>170</v>
      </c>
      <c r="H2991" s="98">
        <v>330</v>
      </c>
      <c r="I2991" s="98">
        <v>296</v>
      </c>
      <c r="J2991" s="98" t="s">
        <v>1978</v>
      </c>
      <c r="K2991" s="98" t="s">
        <v>1474</v>
      </c>
      <c r="L2991" s="105" t="str">
        <f t="shared" si="500"/>
        <v>Mill Creek</v>
      </c>
      <c r="M2991" s="105" t="str">
        <f t="shared" si="501"/>
        <v>Derate</v>
      </c>
      <c r="N2991" s="105" t="str">
        <f t="shared" si="502"/>
        <v>Coal</v>
      </c>
      <c r="O2991" s="105">
        <f>IFERROR(VLOOKUP(A2991,Lookup!$J$5:$P$19,7,FALSE),0)</f>
        <v>2</v>
      </c>
      <c r="P2991" s="159">
        <f t="shared" si="503"/>
        <v>2013</v>
      </c>
      <c r="Q2991" s="159">
        <f t="shared" si="504"/>
        <v>12</v>
      </c>
      <c r="R2991" s="160">
        <f t="shared" si="505"/>
        <v>2.1666666667442769</v>
      </c>
      <c r="S2991" s="158">
        <f t="shared" si="506"/>
        <v>1.0505050505426796</v>
      </c>
      <c r="T2991" s="161">
        <f t="shared" si="507"/>
        <v>310.94949496063316</v>
      </c>
      <c r="U2991" s="158">
        <f t="shared" si="509"/>
        <v>143.5151515151515</v>
      </c>
      <c r="V2991" s="160">
        <f t="shared" si="508"/>
        <v>144</v>
      </c>
    </row>
    <row r="2992" spans="1:22" x14ac:dyDescent="0.25">
      <c r="A2992" s="98" t="s">
        <v>35</v>
      </c>
      <c r="B2992" s="98" t="s">
        <v>17</v>
      </c>
      <c r="C2992" s="98">
        <v>174</v>
      </c>
      <c r="D2992" s="98">
        <v>250</v>
      </c>
      <c r="E2992" s="157">
        <v>41631.631944444445</v>
      </c>
      <c r="F2992" s="157">
        <v>41631.6875</v>
      </c>
      <c r="G2992" s="98">
        <v>80</v>
      </c>
      <c r="H2992" s="98">
        <v>330</v>
      </c>
      <c r="I2992" s="98">
        <v>296</v>
      </c>
      <c r="J2992" s="98" t="s">
        <v>1978</v>
      </c>
      <c r="K2992" s="98" t="s">
        <v>1475</v>
      </c>
      <c r="L2992" s="105" t="str">
        <f t="shared" si="500"/>
        <v>Mill Creek</v>
      </c>
      <c r="M2992" s="105" t="str">
        <f t="shared" si="501"/>
        <v>Derate</v>
      </c>
      <c r="N2992" s="105" t="str">
        <f t="shared" si="502"/>
        <v>Coal</v>
      </c>
      <c r="O2992" s="105">
        <f>IFERROR(VLOOKUP(A2992,Lookup!$J$5:$P$19,7,FALSE),0)</f>
        <v>2</v>
      </c>
      <c r="P2992" s="159">
        <f t="shared" si="503"/>
        <v>2013</v>
      </c>
      <c r="Q2992" s="159">
        <f t="shared" si="504"/>
        <v>12</v>
      </c>
      <c r="R2992" s="160">
        <f t="shared" si="505"/>
        <v>1.3333333333139308</v>
      </c>
      <c r="S2992" s="158">
        <f t="shared" si="506"/>
        <v>1.0101010100863113</v>
      </c>
      <c r="T2992" s="161">
        <f t="shared" si="507"/>
        <v>298.98989898554811</v>
      </c>
      <c r="U2992" s="158">
        <f t="shared" si="509"/>
        <v>224.24242424242425</v>
      </c>
      <c r="V2992" s="160">
        <f t="shared" si="508"/>
        <v>224</v>
      </c>
    </row>
    <row r="2993" spans="1:22" x14ac:dyDescent="0.25">
      <c r="A2993" s="98" t="s">
        <v>35</v>
      </c>
      <c r="B2993" s="98" t="s">
        <v>17</v>
      </c>
      <c r="C2993" s="98">
        <v>175</v>
      </c>
      <c r="D2993" s="98">
        <v>250</v>
      </c>
      <c r="E2993" s="157">
        <v>41631.6875</v>
      </c>
      <c r="F2993" s="157">
        <v>41631.931944444441</v>
      </c>
      <c r="G2993" s="98">
        <v>160</v>
      </c>
      <c r="H2993" s="98">
        <v>330</v>
      </c>
      <c r="I2993" s="98">
        <v>296</v>
      </c>
      <c r="J2993" s="98" t="s">
        <v>1978</v>
      </c>
      <c r="K2993" s="98" t="s">
        <v>1476</v>
      </c>
      <c r="L2993" s="105" t="str">
        <f t="shared" si="500"/>
        <v>Mill Creek</v>
      </c>
      <c r="M2993" s="105" t="str">
        <f t="shared" si="501"/>
        <v>Derate</v>
      </c>
      <c r="N2993" s="105" t="str">
        <f t="shared" si="502"/>
        <v>Coal</v>
      </c>
      <c r="O2993" s="105">
        <f>IFERROR(VLOOKUP(A2993,Lookup!$J$5:$P$19,7,FALSE),0)</f>
        <v>2</v>
      </c>
      <c r="P2993" s="159">
        <f t="shared" si="503"/>
        <v>2013</v>
      </c>
      <c r="Q2993" s="159">
        <f t="shared" si="504"/>
        <v>12</v>
      </c>
      <c r="R2993" s="160">
        <f t="shared" si="505"/>
        <v>5.8666666665812954</v>
      </c>
      <c r="S2993" s="158">
        <f t="shared" si="506"/>
        <v>3.0222222221782431</v>
      </c>
      <c r="T2993" s="161">
        <f t="shared" si="507"/>
        <v>894.57777776475996</v>
      </c>
      <c r="U2993" s="158">
        <f t="shared" si="509"/>
        <v>152.4848484848485</v>
      </c>
      <c r="V2993" s="160">
        <f t="shared" si="508"/>
        <v>152</v>
      </c>
    </row>
    <row r="2994" spans="1:22" x14ac:dyDescent="0.25">
      <c r="A2994" s="98" t="s">
        <v>35</v>
      </c>
      <c r="B2994" s="98" t="s">
        <v>20</v>
      </c>
      <c r="C2994" s="98">
        <v>176</v>
      </c>
      <c r="D2994" s="98">
        <v>1850</v>
      </c>
      <c r="E2994" s="157">
        <v>41631.931944444441</v>
      </c>
      <c r="F2994" s="157">
        <v>41634.090277777781</v>
      </c>
      <c r="G2994" s="98">
        <v>0</v>
      </c>
      <c r="H2994" s="98">
        <v>330</v>
      </c>
      <c r="I2994" s="98">
        <v>296</v>
      </c>
      <c r="J2994" s="98" t="s">
        <v>2263</v>
      </c>
      <c r="K2994" s="98" t="s">
        <v>1477</v>
      </c>
      <c r="L2994" s="105" t="str">
        <f t="shared" si="500"/>
        <v>Mill Creek</v>
      </c>
      <c r="M2994" s="105" t="str">
        <f t="shared" si="501"/>
        <v>Maintenance</v>
      </c>
      <c r="N2994" s="105" t="str">
        <f t="shared" si="502"/>
        <v>Coal</v>
      </c>
      <c r="O2994" s="105">
        <f>IFERROR(VLOOKUP(A2994,Lookup!$J$5:$P$19,7,FALSE),0)</f>
        <v>2</v>
      </c>
      <c r="P2994" s="159">
        <f t="shared" si="503"/>
        <v>2013</v>
      </c>
      <c r="Q2994" s="159">
        <f t="shared" si="504"/>
        <v>12</v>
      </c>
      <c r="R2994" s="160">
        <f t="shared" si="505"/>
        <v>51.800000000162981</v>
      </c>
      <c r="S2994" s="158">
        <f t="shared" si="506"/>
        <v>51.800000000162981</v>
      </c>
      <c r="T2994" s="161">
        <f t="shared" si="507"/>
        <v>15332.800000048243</v>
      </c>
      <c r="U2994" s="158">
        <f t="shared" si="509"/>
        <v>296</v>
      </c>
      <c r="V2994" s="160">
        <f t="shared" si="508"/>
        <v>296</v>
      </c>
    </row>
    <row r="2995" spans="1:22" x14ac:dyDescent="0.25">
      <c r="A2995" s="98" t="s">
        <v>35</v>
      </c>
      <c r="B2995" s="98" t="s">
        <v>17</v>
      </c>
      <c r="C2995" s="98">
        <v>177</v>
      </c>
      <c r="D2995" s="98">
        <v>1850</v>
      </c>
      <c r="E2995" s="157">
        <v>41634.435416666667</v>
      </c>
      <c r="F2995" s="157">
        <v>41634.666666666664</v>
      </c>
      <c r="G2995" s="98">
        <v>166</v>
      </c>
      <c r="H2995" s="98">
        <v>330</v>
      </c>
      <c r="I2995" s="98">
        <v>296</v>
      </c>
      <c r="J2995" s="98" t="s">
        <v>2263</v>
      </c>
      <c r="K2995" s="98" t="s">
        <v>41</v>
      </c>
      <c r="L2995" s="105" t="str">
        <f t="shared" si="500"/>
        <v>Mill Creek</v>
      </c>
      <c r="M2995" s="105" t="str">
        <f t="shared" si="501"/>
        <v>Derate</v>
      </c>
      <c r="N2995" s="105" t="str">
        <f t="shared" si="502"/>
        <v>Coal</v>
      </c>
      <c r="O2995" s="105">
        <f>IFERROR(VLOOKUP(A2995,Lookup!$J$5:$P$19,7,FALSE),0)</f>
        <v>2</v>
      </c>
      <c r="P2995" s="159">
        <f t="shared" si="503"/>
        <v>2013</v>
      </c>
      <c r="Q2995" s="159">
        <f t="shared" si="504"/>
        <v>12</v>
      </c>
      <c r="R2995" s="160">
        <f t="shared" si="505"/>
        <v>5.5499999999301508</v>
      </c>
      <c r="S2995" s="158">
        <f t="shared" si="506"/>
        <v>2.7581818181471052</v>
      </c>
      <c r="T2995" s="161">
        <f t="shared" si="507"/>
        <v>816.42181817154312</v>
      </c>
      <c r="U2995" s="158">
        <f t="shared" si="509"/>
        <v>147.10303030303029</v>
      </c>
      <c r="V2995" s="160">
        <f t="shared" si="508"/>
        <v>147</v>
      </c>
    </row>
    <row r="2996" spans="1:22" x14ac:dyDescent="0.25">
      <c r="A2996" s="98" t="s">
        <v>35</v>
      </c>
      <c r="B2996" s="98" t="s">
        <v>17</v>
      </c>
      <c r="C2996" s="98">
        <v>178</v>
      </c>
      <c r="D2996" s="98">
        <v>1850</v>
      </c>
      <c r="E2996" s="157">
        <v>41634.666666666664</v>
      </c>
      <c r="F2996" s="157">
        <v>41634.769444444442</v>
      </c>
      <c r="G2996" s="98">
        <v>220</v>
      </c>
      <c r="H2996" s="98">
        <v>330</v>
      </c>
      <c r="I2996" s="98">
        <v>296</v>
      </c>
      <c r="J2996" s="98" t="s">
        <v>2263</v>
      </c>
      <c r="K2996" s="98" t="s">
        <v>41</v>
      </c>
      <c r="L2996" s="105" t="str">
        <f t="shared" si="500"/>
        <v>Mill Creek</v>
      </c>
      <c r="M2996" s="105" t="str">
        <f t="shared" si="501"/>
        <v>Derate</v>
      </c>
      <c r="N2996" s="105" t="str">
        <f t="shared" si="502"/>
        <v>Coal</v>
      </c>
      <c r="O2996" s="105">
        <f>IFERROR(VLOOKUP(A2996,Lookup!$J$5:$P$19,7,FALSE),0)</f>
        <v>2</v>
      </c>
      <c r="P2996" s="159">
        <f t="shared" si="503"/>
        <v>2013</v>
      </c>
      <c r="Q2996" s="159">
        <f t="shared" si="504"/>
        <v>12</v>
      </c>
      <c r="R2996" s="160">
        <f t="shared" si="505"/>
        <v>2.4666666666744277</v>
      </c>
      <c r="S2996" s="158">
        <f t="shared" si="506"/>
        <v>0.82222222222480923</v>
      </c>
      <c r="T2996" s="161">
        <f t="shared" si="507"/>
        <v>243.37777777854353</v>
      </c>
      <c r="U2996" s="158">
        <f t="shared" si="509"/>
        <v>98.666666666666671</v>
      </c>
      <c r="V2996" s="160">
        <f t="shared" si="508"/>
        <v>99</v>
      </c>
    </row>
    <row r="2997" spans="1:22" x14ac:dyDescent="0.25">
      <c r="A2997" s="98" t="s">
        <v>35</v>
      </c>
      <c r="B2997" s="98" t="s">
        <v>17</v>
      </c>
      <c r="C2997" s="98">
        <v>179</v>
      </c>
      <c r="D2997" s="98">
        <v>1850</v>
      </c>
      <c r="E2997" s="157">
        <v>41634.769444444442</v>
      </c>
      <c r="F2997" s="157">
        <v>41634.940972222219</v>
      </c>
      <c r="G2997" s="98">
        <v>204</v>
      </c>
      <c r="H2997" s="98">
        <v>330</v>
      </c>
      <c r="I2997" s="98">
        <v>296</v>
      </c>
      <c r="J2997" s="98" t="s">
        <v>2263</v>
      </c>
      <c r="K2997" s="98" t="s">
        <v>41</v>
      </c>
      <c r="L2997" s="105" t="str">
        <f t="shared" si="500"/>
        <v>Mill Creek</v>
      </c>
      <c r="M2997" s="105" t="str">
        <f t="shared" si="501"/>
        <v>Derate</v>
      </c>
      <c r="N2997" s="105" t="str">
        <f t="shared" si="502"/>
        <v>Coal</v>
      </c>
      <c r="O2997" s="105">
        <f>IFERROR(VLOOKUP(A2997,Lookup!$J$5:$P$19,7,FALSE),0)</f>
        <v>2</v>
      </c>
      <c r="P2997" s="159">
        <f t="shared" si="503"/>
        <v>2013</v>
      </c>
      <c r="Q2997" s="159">
        <f t="shared" si="504"/>
        <v>12</v>
      </c>
      <c r="R2997" s="160">
        <f t="shared" si="505"/>
        <v>4.1166666666395031</v>
      </c>
      <c r="S2997" s="158">
        <f t="shared" si="506"/>
        <v>1.5718181818078103</v>
      </c>
      <c r="T2997" s="161">
        <f t="shared" si="507"/>
        <v>465.25818181511187</v>
      </c>
      <c r="U2997" s="158">
        <f t="shared" si="509"/>
        <v>113.01818181818182</v>
      </c>
      <c r="V2997" s="160">
        <f t="shared" si="508"/>
        <v>113</v>
      </c>
    </row>
    <row r="2998" spans="1:22" x14ac:dyDescent="0.25">
      <c r="A2998" s="98" t="s">
        <v>35</v>
      </c>
      <c r="B2998" s="98" t="s">
        <v>17</v>
      </c>
      <c r="C2998" s="98">
        <v>180</v>
      </c>
      <c r="D2998" s="98">
        <v>1850</v>
      </c>
      <c r="E2998" s="157">
        <v>41634.940972222219</v>
      </c>
      <c r="F2998" s="157">
        <v>41635.354166666664</v>
      </c>
      <c r="G2998" s="98">
        <v>230</v>
      </c>
      <c r="H2998" s="98">
        <v>330</v>
      </c>
      <c r="I2998" s="98">
        <v>296</v>
      </c>
      <c r="J2998" s="98" t="s">
        <v>2263</v>
      </c>
      <c r="K2998" s="98" t="s">
        <v>41</v>
      </c>
      <c r="L2998" s="105" t="str">
        <f t="shared" si="500"/>
        <v>Mill Creek</v>
      </c>
      <c r="M2998" s="105" t="str">
        <f t="shared" si="501"/>
        <v>Derate</v>
      </c>
      <c r="N2998" s="105" t="str">
        <f t="shared" si="502"/>
        <v>Coal</v>
      </c>
      <c r="O2998" s="105">
        <f>IFERROR(VLOOKUP(A2998,Lookup!$J$5:$P$19,7,FALSE),0)</f>
        <v>2</v>
      </c>
      <c r="P2998" s="159">
        <f t="shared" si="503"/>
        <v>2013</v>
      </c>
      <c r="Q2998" s="159">
        <f t="shared" si="504"/>
        <v>12</v>
      </c>
      <c r="R2998" s="160">
        <f t="shared" si="505"/>
        <v>9.9166666666860692</v>
      </c>
      <c r="S2998" s="158">
        <f t="shared" si="506"/>
        <v>3.0050505050563845</v>
      </c>
      <c r="T2998" s="161">
        <f t="shared" si="507"/>
        <v>889.49494949668986</v>
      </c>
      <c r="U2998" s="158">
        <f t="shared" si="509"/>
        <v>89.696969696969703</v>
      </c>
      <c r="V2998" s="160">
        <f t="shared" si="508"/>
        <v>90</v>
      </c>
    </row>
    <row r="2999" spans="1:22" x14ac:dyDescent="0.25">
      <c r="A2999" s="98" t="s">
        <v>35</v>
      </c>
      <c r="B2999" s="98" t="s">
        <v>17</v>
      </c>
      <c r="C2999" s="98">
        <v>181</v>
      </c>
      <c r="D2999" s="98">
        <v>1850</v>
      </c>
      <c r="E2999" s="157">
        <v>41635.354166666664</v>
      </c>
      <c r="F2999" s="157">
        <v>41636.061805555553</v>
      </c>
      <c r="G2999" s="98">
        <v>250</v>
      </c>
      <c r="H2999" s="98">
        <v>330</v>
      </c>
      <c r="I2999" s="98">
        <v>296</v>
      </c>
      <c r="J2999" s="98" t="s">
        <v>2263</v>
      </c>
      <c r="K2999" s="98" t="s">
        <v>41</v>
      </c>
      <c r="L2999" s="105" t="str">
        <f t="shared" si="500"/>
        <v>Mill Creek</v>
      </c>
      <c r="M2999" s="105" t="str">
        <f t="shared" si="501"/>
        <v>Derate</v>
      </c>
      <c r="N2999" s="105" t="str">
        <f t="shared" si="502"/>
        <v>Coal</v>
      </c>
      <c r="O2999" s="105">
        <f>IFERROR(VLOOKUP(A2999,Lookup!$J$5:$P$19,7,FALSE),0)</f>
        <v>2</v>
      </c>
      <c r="P2999" s="159">
        <f t="shared" si="503"/>
        <v>2013</v>
      </c>
      <c r="Q2999" s="159">
        <f t="shared" si="504"/>
        <v>12</v>
      </c>
      <c r="R2999" s="160">
        <f t="shared" si="505"/>
        <v>16.983333333337214</v>
      </c>
      <c r="S2999" s="158">
        <f t="shared" si="506"/>
        <v>4.1171717171726581</v>
      </c>
      <c r="T2999" s="161">
        <f t="shared" si="507"/>
        <v>1218.6828282831068</v>
      </c>
      <c r="U2999" s="158">
        <f t="shared" si="509"/>
        <v>71.757575757575751</v>
      </c>
      <c r="V2999" s="160">
        <f t="shared" si="508"/>
        <v>72</v>
      </c>
    </row>
    <row r="3000" spans="1:22" x14ac:dyDescent="0.25">
      <c r="A3000" s="98" t="s">
        <v>35</v>
      </c>
      <c r="B3000" s="98" t="s">
        <v>17</v>
      </c>
      <c r="C3000" s="98">
        <v>182</v>
      </c>
      <c r="D3000" s="98">
        <v>1850</v>
      </c>
      <c r="E3000" s="157">
        <v>41636.061805555553</v>
      </c>
      <c r="F3000" s="157">
        <v>41636.169444444444</v>
      </c>
      <c r="G3000" s="98">
        <v>306</v>
      </c>
      <c r="H3000" s="98">
        <v>330</v>
      </c>
      <c r="I3000" s="98">
        <v>296</v>
      </c>
      <c r="J3000" s="98" t="s">
        <v>2263</v>
      </c>
      <c r="K3000" s="98" t="s">
        <v>41</v>
      </c>
      <c r="L3000" s="105" t="str">
        <f t="shared" si="500"/>
        <v>Mill Creek</v>
      </c>
      <c r="M3000" s="105" t="str">
        <f t="shared" si="501"/>
        <v>Derate</v>
      </c>
      <c r="N3000" s="105" t="str">
        <f t="shared" si="502"/>
        <v>Coal</v>
      </c>
      <c r="O3000" s="105">
        <f>IFERROR(VLOOKUP(A3000,Lookup!$J$5:$P$19,7,FALSE),0)</f>
        <v>2</v>
      </c>
      <c r="P3000" s="159">
        <f t="shared" si="503"/>
        <v>2013</v>
      </c>
      <c r="Q3000" s="159">
        <f t="shared" si="504"/>
        <v>12</v>
      </c>
      <c r="R3000" s="160">
        <f t="shared" si="505"/>
        <v>2.5833333333721384</v>
      </c>
      <c r="S3000" s="158">
        <f t="shared" si="506"/>
        <v>0.18787878788161008</v>
      </c>
      <c r="T3000" s="161">
        <f t="shared" si="507"/>
        <v>55.612121212956588</v>
      </c>
      <c r="U3000" s="158">
        <f t="shared" si="509"/>
        <v>21.527272727272727</v>
      </c>
      <c r="V3000" s="160">
        <f t="shared" si="508"/>
        <v>22</v>
      </c>
    </row>
    <row r="3001" spans="1:22" x14ac:dyDescent="0.25">
      <c r="A3001" s="98" t="s">
        <v>35</v>
      </c>
      <c r="B3001" s="98" t="s">
        <v>15</v>
      </c>
      <c r="C3001" s="98">
        <v>183</v>
      </c>
      <c r="D3001" s="98">
        <v>9320</v>
      </c>
      <c r="E3001" s="157">
        <v>41636.169444444444</v>
      </c>
      <c r="F3001" s="157">
        <v>41636.571527777778</v>
      </c>
      <c r="G3001" s="98">
        <v>0</v>
      </c>
      <c r="H3001" s="98">
        <v>330</v>
      </c>
      <c r="I3001" s="98">
        <v>296</v>
      </c>
      <c r="J3001" s="98" t="s">
        <v>2646</v>
      </c>
      <c r="K3001" s="98" t="s">
        <v>1478</v>
      </c>
      <c r="L3001" s="105" t="str">
        <f t="shared" si="500"/>
        <v>Mill Creek</v>
      </c>
      <c r="M3001" s="105" t="str">
        <f t="shared" si="501"/>
        <v>Outage</v>
      </c>
      <c r="N3001" s="105" t="str">
        <f t="shared" si="502"/>
        <v>Coal</v>
      </c>
      <c r="O3001" s="105">
        <f>IFERROR(VLOOKUP(A3001,Lookup!$J$5:$P$19,7,FALSE),0)</f>
        <v>2</v>
      </c>
      <c r="P3001" s="159">
        <f t="shared" si="503"/>
        <v>2013</v>
      </c>
      <c r="Q3001" s="159">
        <f t="shared" si="504"/>
        <v>12</v>
      </c>
      <c r="R3001" s="160">
        <f t="shared" si="505"/>
        <v>9.6500000000232831</v>
      </c>
      <c r="S3001" s="158">
        <f t="shared" si="506"/>
        <v>9.6500000000232831</v>
      </c>
      <c r="T3001" s="161">
        <f t="shared" si="507"/>
        <v>2856.4000000068918</v>
      </c>
      <c r="U3001" s="158">
        <f t="shared" si="509"/>
        <v>296</v>
      </c>
      <c r="V3001" s="160">
        <f t="shared" si="508"/>
        <v>296</v>
      </c>
    </row>
    <row r="3002" spans="1:22" x14ac:dyDescent="0.25">
      <c r="A3002" s="98" t="s">
        <v>35</v>
      </c>
      <c r="B3002" s="98" t="s">
        <v>17</v>
      </c>
      <c r="C3002" s="98">
        <v>184</v>
      </c>
      <c r="D3002" s="98">
        <v>1850</v>
      </c>
      <c r="E3002" s="157">
        <v>41636.8125</v>
      </c>
      <c r="F3002" s="157">
        <v>41637.149305555555</v>
      </c>
      <c r="G3002" s="98">
        <v>165</v>
      </c>
      <c r="H3002" s="98">
        <v>330</v>
      </c>
      <c r="I3002" s="98">
        <v>296</v>
      </c>
      <c r="J3002" s="98" t="s">
        <v>2263</v>
      </c>
      <c r="K3002" s="98" t="s">
        <v>41</v>
      </c>
      <c r="L3002" s="105" t="str">
        <f t="shared" si="500"/>
        <v>Mill Creek</v>
      </c>
      <c r="M3002" s="105" t="str">
        <f t="shared" si="501"/>
        <v>Derate</v>
      </c>
      <c r="N3002" s="105" t="str">
        <f t="shared" si="502"/>
        <v>Coal</v>
      </c>
      <c r="O3002" s="105">
        <f>IFERROR(VLOOKUP(A3002,Lookup!$J$5:$P$19,7,FALSE),0)</f>
        <v>2</v>
      </c>
      <c r="P3002" s="159">
        <f t="shared" si="503"/>
        <v>2013</v>
      </c>
      <c r="Q3002" s="159">
        <f t="shared" si="504"/>
        <v>12</v>
      </c>
      <c r="R3002" s="160">
        <f t="shared" si="505"/>
        <v>8.0833333333139308</v>
      </c>
      <c r="S3002" s="158">
        <f t="shared" si="506"/>
        <v>4.0416666666569654</v>
      </c>
      <c r="T3002" s="161">
        <f t="shared" si="507"/>
        <v>1196.3333333304618</v>
      </c>
      <c r="U3002" s="158">
        <f t="shared" si="509"/>
        <v>148</v>
      </c>
      <c r="V3002" s="160">
        <f t="shared" si="508"/>
        <v>148</v>
      </c>
    </row>
    <row r="3003" spans="1:22" x14ac:dyDescent="0.25">
      <c r="A3003" s="98" t="s">
        <v>35</v>
      </c>
      <c r="B3003" s="98" t="s">
        <v>17</v>
      </c>
      <c r="C3003" s="98">
        <v>185</v>
      </c>
      <c r="D3003" s="98">
        <v>1850</v>
      </c>
      <c r="E3003" s="162">
        <v>41637.149305555555</v>
      </c>
      <c r="F3003" s="157">
        <v>41638.066666666666</v>
      </c>
      <c r="G3003" s="98">
        <v>205</v>
      </c>
      <c r="H3003" s="98">
        <v>330</v>
      </c>
      <c r="I3003" s="98">
        <v>296</v>
      </c>
      <c r="J3003" s="98" t="s">
        <v>2263</v>
      </c>
      <c r="K3003" s="98" t="s">
        <v>41</v>
      </c>
      <c r="L3003" s="105" t="str">
        <f t="shared" si="500"/>
        <v>Mill Creek</v>
      </c>
      <c r="M3003" s="105" t="str">
        <f t="shared" si="501"/>
        <v>Derate</v>
      </c>
      <c r="N3003" s="105" t="str">
        <f t="shared" si="502"/>
        <v>Coal</v>
      </c>
      <c r="O3003" s="105">
        <f>IFERROR(VLOOKUP(A3003,Lookup!$J$5:$P$19,7,FALSE),0)</f>
        <v>2</v>
      </c>
      <c r="P3003" s="159">
        <f t="shared" si="503"/>
        <v>2013</v>
      </c>
      <c r="Q3003" s="159">
        <f t="shared" si="504"/>
        <v>12</v>
      </c>
      <c r="R3003" s="160">
        <f t="shared" si="505"/>
        <v>22.016666666662786</v>
      </c>
      <c r="S3003" s="158">
        <f t="shared" si="506"/>
        <v>8.3396464646449946</v>
      </c>
      <c r="T3003" s="161">
        <f t="shared" si="507"/>
        <v>2468.5353535349186</v>
      </c>
      <c r="U3003" s="158">
        <f t="shared" si="509"/>
        <v>112.12121212121212</v>
      </c>
      <c r="V3003" s="160">
        <f t="shared" si="508"/>
        <v>112</v>
      </c>
    </row>
    <row r="3004" spans="1:22" x14ac:dyDescent="0.25">
      <c r="A3004" s="98" t="s">
        <v>35</v>
      </c>
      <c r="B3004" s="98" t="s">
        <v>17</v>
      </c>
      <c r="C3004" s="98">
        <v>186</v>
      </c>
      <c r="D3004" s="98">
        <v>1850</v>
      </c>
      <c r="E3004" s="157">
        <v>41638.066666666666</v>
      </c>
      <c r="F3004" s="157">
        <v>41638.354166666664</v>
      </c>
      <c r="G3004" s="98">
        <v>224</v>
      </c>
      <c r="H3004" s="98">
        <v>330</v>
      </c>
      <c r="I3004" s="98">
        <v>296</v>
      </c>
      <c r="J3004" s="98" t="s">
        <v>2263</v>
      </c>
      <c r="K3004" s="98" t="s">
        <v>41</v>
      </c>
      <c r="L3004" s="105" t="str">
        <f t="shared" si="500"/>
        <v>Mill Creek</v>
      </c>
      <c r="M3004" s="105" t="str">
        <f t="shared" si="501"/>
        <v>Derate</v>
      </c>
      <c r="N3004" s="105" t="str">
        <f t="shared" si="502"/>
        <v>Coal</v>
      </c>
      <c r="O3004" s="105">
        <f>IFERROR(VLOOKUP(A3004,Lookup!$J$5:$P$19,7,FALSE),0)</f>
        <v>2</v>
      </c>
      <c r="P3004" s="159">
        <f t="shared" si="503"/>
        <v>2013</v>
      </c>
      <c r="Q3004" s="159">
        <f t="shared" si="504"/>
        <v>12</v>
      </c>
      <c r="R3004" s="160">
        <f t="shared" si="505"/>
        <v>6.8999999999650754</v>
      </c>
      <c r="S3004" s="158">
        <f t="shared" si="506"/>
        <v>2.2163636363524182</v>
      </c>
      <c r="T3004" s="161">
        <f t="shared" si="507"/>
        <v>656.04363636031576</v>
      </c>
      <c r="U3004" s="158">
        <f t="shared" si="509"/>
        <v>95.078787878787878</v>
      </c>
      <c r="V3004" s="160">
        <f t="shared" si="508"/>
        <v>95</v>
      </c>
    </row>
    <row r="3005" spans="1:22" x14ac:dyDescent="0.25">
      <c r="A3005" s="98" t="s">
        <v>35</v>
      </c>
      <c r="B3005" s="98" t="s">
        <v>17</v>
      </c>
      <c r="C3005" s="98">
        <v>187</v>
      </c>
      <c r="D3005" s="98">
        <v>1850</v>
      </c>
      <c r="E3005" s="157">
        <v>41638.354166666664</v>
      </c>
      <c r="F3005" s="157">
        <v>41638.675694444442</v>
      </c>
      <c r="G3005" s="98">
        <v>245</v>
      </c>
      <c r="H3005" s="98">
        <v>330</v>
      </c>
      <c r="I3005" s="98">
        <v>296</v>
      </c>
      <c r="J3005" s="98" t="s">
        <v>2263</v>
      </c>
      <c r="K3005" s="98" t="s">
        <v>41</v>
      </c>
      <c r="L3005" s="105" t="str">
        <f t="shared" si="500"/>
        <v>Mill Creek</v>
      </c>
      <c r="M3005" s="105" t="str">
        <f t="shared" si="501"/>
        <v>Derate</v>
      </c>
      <c r="N3005" s="105" t="str">
        <f t="shared" si="502"/>
        <v>Coal</v>
      </c>
      <c r="O3005" s="105">
        <f>IFERROR(VLOOKUP(A3005,Lookup!$J$5:$P$19,7,FALSE),0)</f>
        <v>2</v>
      </c>
      <c r="P3005" s="159">
        <f t="shared" si="503"/>
        <v>2013</v>
      </c>
      <c r="Q3005" s="159">
        <f t="shared" si="504"/>
        <v>12</v>
      </c>
      <c r="R3005" s="160">
        <f t="shared" si="505"/>
        <v>7.7166666666744277</v>
      </c>
      <c r="S3005" s="158">
        <f t="shared" si="506"/>
        <v>1.9876262626282617</v>
      </c>
      <c r="T3005" s="161">
        <f t="shared" si="507"/>
        <v>588.33737373796544</v>
      </c>
      <c r="U3005" s="158">
        <f t="shared" si="509"/>
        <v>76.242424242424249</v>
      </c>
      <c r="V3005" s="160">
        <f t="shared" si="508"/>
        <v>76</v>
      </c>
    </row>
    <row r="3006" spans="1:22" x14ac:dyDescent="0.25">
      <c r="A3006" s="98" t="s">
        <v>35</v>
      </c>
      <c r="B3006" s="98" t="s">
        <v>17</v>
      </c>
      <c r="C3006" s="98">
        <v>188</v>
      </c>
      <c r="D3006" s="98">
        <v>1850</v>
      </c>
      <c r="E3006" s="157">
        <v>41638.675694444442</v>
      </c>
      <c r="F3006" s="157">
        <v>41638.958333333336</v>
      </c>
      <c r="G3006" s="98">
        <v>256</v>
      </c>
      <c r="H3006" s="98">
        <v>330</v>
      </c>
      <c r="I3006" s="98">
        <v>296</v>
      </c>
      <c r="J3006" s="98" t="s">
        <v>2263</v>
      </c>
      <c r="K3006" s="98" t="s">
        <v>41</v>
      </c>
      <c r="L3006" s="105" t="str">
        <f t="shared" si="500"/>
        <v>Mill Creek</v>
      </c>
      <c r="M3006" s="105" t="str">
        <f t="shared" si="501"/>
        <v>Derate</v>
      </c>
      <c r="N3006" s="105" t="str">
        <f t="shared" si="502"/>
        <v>Coal</v>
      </c>
      <c r="O3006" s="105">
        <f>IFERROR(VLOOKUP(A3006,Lookup!$J$5:$P$19,7,FALSE),0)</f>
        <v>2</v>
      </c>
      <c r="P3006" s="159">
        <f t="shared" si="503"/>
        <v>2013</v>
      </c>
      <c r="Q3006" s="159">
        <f t="shared" si="504"/>
        <v>12</v>
      </c>
      <c r="R3006" s="160">
        <f t="shared" si="505"/>
        <v>6.7833333334419876</v>
      </c>
      <c r="S3006" s="158">
        <f t="shared" si="506"/>
        <v>1.521111111135476</v>
      </c>
      <c r="T3006" s="161">
        <f t="shared" si="507"/>
        <v>450.24888889610088</v>
      </c>
      <c r="U3006" s="158">
        <f t="shared" si="509"/>
        <v>66.375757575757575</v>
      </c>
      <c r="V3006" s="160">
        <f t="shared" si="508"/>
        <v>66</v>
      </c>
    </row>
    <row r="3007" spans="1:22" x14ac:dyDescent="0.25">
      <c r="A3007" s="98" t="s">
        <v>35</v>
      </c>
      <c r="B3007" s="98" t="s">
        <v>17</v>
      </c>
      <c r="C3007" s="98">
        <v>189</v>
      </c>
      <c r="D3007" s="98">
        <v>1850</v>
      </c>
      <c r="E3007" s="157">
        <v>41638.958333333336</v>
      </c>
      <c r="F3007" s="157">
        <v>41639.371527777781</v>
      </c>
      <c r="G3007" s="98">
        <v>276</v>
      </c>
      <c r="H3007" s="98">
        <v>330</v>
      </c>
      <c r="I3007" s="98">
        <v>296</v>
      </c>
      <c r="J3007" s="98" t="s">
        <v>2263</v>
      </c>
      <c r="K3007" s="98" t="s">
        <v>41</v>
      </c>
      <c r="L3007" s="105" t="str">
        <f t="shared" si="500"/>
        <v>Mill Creek</v>
      </c>
      <c r="M3007" s="105" t="str">
        <f t="shared" si="501"/>
        <v>Derate</v>
      </c>
      <c r="N3007" s="105" t="str">
        <f t="shared" si="502"/>
        <v>Coal</v>
      </c>
      <c r="O3007" s="105">
        <f>IFERROR(VLOOKUP(A3007,Lookup!$J$5:$P$19,7,FALSE),0)</f>
        <v>2</v>
      </c>
      <c r="P3007" s="159">
        <f t="shared" si="503"/>
        <v>2013</v>
      </c>
      <c r="Q3007" s="159">
        <f t="shared" si="504"/>
        <v>12</v>
      </c>
      <c r="R3007" s="160">
        <f t="shared" si="505"/>
        <v>9.9166666666860692</v>
      </c>
      <c r="S3007" s="158">
        <f t="shared" si="506"/>
        <v>1.6227272727304476</v>
      </c>
      <c r="T3007" s="161">
        <f t="shared" si="507"/>
        <v>480.32727272821251</v>
      </c>
      <c r="U3007" s="158">
        <f t="shared" si="509"/>
        <v>48.436363636363637</v>
      </c>
      <c r="V3007" s="160">
        <f t="shared" si="508"/>
        <v>48</v>
      </c>
    </row>
    <row r="3008" spans="1:22" x14ac:dyDescent="0.25">
      <c r="A3008" s="98" t="s">
        <v>35</v>
      </c>
      <c r="B3008" s="98" t="s">
        <v>17</v>
      </c>
      <c r="C3008" s="98">
        <v>190</v>
      </c>
      <c r="D3008" s="98">
        <v>1850</v>
      </c>
      <c r="E3008" s="157">
        <v>41639.371527777781</v>
      </c>
      <c r="F3008" s="157">
        <v>41639.513194444444</v>
      </c>
      <c r="G3008" s="98">
        <v>325</v>
      </c>
      <c r="H3008" s="98">
        <v>330</v>
      </c>
      <c r="I3008" s="98">
        <v>296</v>
      </c>
      <c r="J3008" s="98" t="s">
        <v>2263</v>
      </c>
      <c r="K3008" s="98" t="s">
        <v>41</v>
      </c>
      <c r="L3008" s="105" t="str">
        <f t="shared" si="500"/>
        <v>Mill Creek</v>
      </c>
      <c r="M3008" s="105" t="str">
        <f t="shared" si="501"/>
        <v>Derate</v>
      </c>
      <c r="N3008" s="105" t="str">
        <f t="shared" si="502"/>
        <v>Coal</v>
      </c>
      <c r="O3008" s="105">
        <f>IFERROR(VLOOKUP(A3008,Lookup!$J$5:$P$19,7,FALSE),0)</f>
        <v>2</v>
      </c>
      <c r="P3008" s="159">
        <f t="shared" si="503"/>
        <v>2013</v>
      </c>
      <c r="Q3008" s="159">
        <f t="shared" si="504"/>
        <v>12</v>
      </c>
      <c r="R3008" s="160">
        <f t="shared" si="505"/>
        <v>3.3999999999068677</v>
      </c>
      <c r="S3008" s="158">
        <f t="shared" si="506"/>
        <v>5.151515151374042E-2</v>
      </c>
      <c r="T3008" s="161">
        <f t="shared" si="507"/>
        <v>15.248484848067164</v>
      </c>
      <c r="U3008" s="158">
        <f t="shared" si="509"/>
        <v>4.4848484848484844</v>
      </c>
      <c r="V3008" s="160">
        <f t="shared" si="508"/>
        <v>4</v>
      </c>
    </row>
    <row r="3009" spans="1:22" x14ac:dyDescent="0.25">
      <c r="A3009" s="98" t="s">
        <v>35</v>
      </c>
      <c r="B3009" s="98" t="s">
        <v>17</v>
      </c>
      <c r="C3009" s="98">
        <v>191</v>
      </c>
      <c r="D3009" s="98">
        <v>1850</v>
      </c>
      <c r="E3009" s="157">
        <v>41639.513194444444</v>
      </c>
      <c r="F3009" s="157">
        <v>41639.680555555555</v>
      </c>
      <c r="G3009" s="98">
        <v>300</v>
      </c>
      <c r="H3009" s="98">
        <v>330</v>
      </c>
      <c r="I3009" s="98">
        <v>296</v>
      </c>
      <c r="J3009" s="98" t="s">
        <v>2263</v>
      </c>
      <c r="K3009" s="98" t="s">
        <v>41</v>
      </c>
      <c r="L3009" s="105" t="str">
        <f t="shared" si="500"/>
        <v>Mill Creek</v>
      </c>
      <c r="M3009" s="105" t="str">
        <f t="shared" si="501"/>
        <v>Derate</v>
      </c>
      <c r="N3009" s="105" t="str">
        <f t="shared" si="502"/>
        <v>Coal</v>
      </c>
      <c r="O3009" s="105">
        <f>IFERROR(VLOOKUP(A3009,Lookup!$J$5:$P$19,7,FALSE),0)</f>
        <v>2</v>
      </c>
      <c r="P3009" s="159">
        <f t="shared" si="503"/>
        <v>2013</v>
      </c>
      <c r="Q3009" s="159">
        <f t="shared" si="504"/>
        <v>12</v>
      </c>
      <c r="R3009" s="160">
        <f t="shared" si="505"/>
        <v>4.0166666666627862</v>
      </c>
      <c r="S3009" s="158">
        <f t="shared" si="506"/>
        <v>0.3651515151511624</v>
      </c>
      <c r="T3009" s="161">
        <f t="shared" si="507"/>
        <v>108.08484848474407</v>
      </c>
      <c r="U3009" s="158">
        <f t="shared" si="509"/>
        <v>26.90909090909091</v>
      </c>
      <c r="V3009" s="160">
        <f t="shared" si="508"/>
        <v>27</v>
      </c>
    </row>
    <row r="3010" spans="1:22" x14ac:dyDescent="0.25">
      <c r="A3010" s="98" t="s">
        <v>35</v>
      </c>
      <c r="B3010" s="98" t="s">
        <v>17</v>
      </c>
      <c r="C3010" s="98">
        <v>192</v>
      </c>
      <c r="D3010" s="98">
        <v>1850</v>
      </c>
      <c r="E3010" s="157">
        <v>41639.680555555555</v>
      </c>
      <c r="F3010" s="157">
        <v>41639.902777777781</v>
      </c>
      <c r="G3010" s="98">
        <v>280</v>
      </c>
      <c r="H3010" s="98">
        <v>330</v>
      </c>
      <c r="I3010" s="98">
        <v>296</v>
      </c>
      <c r="J3010" s="98" t="s">
        <v>2263</v>
      </c>
      <c r="K3010" s="98" t="s">
        <v>41</v>
      </c>
      <c r="L3010" s="105" t="str">
        <f t="shared" si="500"/>
        <v>Mill Creek</v>
      </c>
      <c r="M3010" s="105" t="str">
        <f t="shared" si="501"/>
        <v>Derate</v>
      </c>
      <c r="N3010" s="105" t="str">
        <f t="shared" si="502"/>
        <v>Coal</v>
      </c>
      <c r="O3010" s="105">
        <f>IFERROR(VLOOKUP(A3010,Lookup!$J$5:$P$19,7,FALSE),0)</f>
        <v>2</v>
      </c>
      <c r="P3010" s="159">
        <f t="shared" si="503"/>
        <v>2013</v>
      </c>
      <c r="Q3010" s="159">
        <f t="shared" si="504"/>
        <v>12</v>
      </c>
      <c r="R3010" s="160">
        <f t="shared" si="505"/>
        <v>5.3333333334303461</v>
      </c>
      <c r="S3010" s="158">
        <f t="shared" si="506"/>
        <v>0.80808080809550697</v>
      </c>
      <c r="T3010" s="161">
        <f t="shared" si="507"/>
        <v>239.19191919627008</v>
      </c>
      <c r="U3010" s="158">
        <f t="shared" si="509"/>
        <v>44.848484848484851</v>
      </c>
      <c r="V3010" s="160">
        <f t="shared" si="508"/>
        <v>45</v>
      </c>
    </row>
    <row r="3011" spans="1:22" x14ac:dyDescent="0.25">
      <c r="A3011" s="98" t="s">
        <v>35</v>
      </c>
      <c r="B3011" s="98" t="s">
        <v>17</v>
      </c>
      <c r="C3011" s="98">
        <v>193</v>
      </c>
      <c r="D3011" s="98">
        <v>1850</v>
      </c>
      <c r="E3011" s="157">
        <v>41639.902777777781</v>
      </c>
      <c r="F3011" s="157">
        <v>41639.9375</v>
      </c>
      <c r="G3011" s="98">
        <v>325</v>
      </c>
      <c r="H3011" s="98">
        <v>330</v>
      </c>
      <c r="I3011" s="98">
        <v>296</v>
      </c>
      <c r="J3011" s="98" t="s">
        <v>2263</v>
      </c>
      <c r="K3011" s="98" t="s">
        <v>41</v>
      </c>
      <c r="L3011" s="105" t="str">
        <f t="shared" si="500"/>
        <v>Mill Creek</v>
      </c>
      <c r="M3011" s="105" t="str">
        <f t="shared" si="501"/>
        <v>Derate</v>
      </c>
      <c r="N3011" s="105" t="str">
        <f t="shared" si="502"/>
        <v>Coal</v>
      </c>
      <c r="O3011" s="105">
        <f>IFERROR(VLOOKUP(A3011,Lookup!$J$5:$P$19,7,FALSE),0)</f>
        <v>2</v>
      </c>
      <c r="P3011" s="159">
        <f t="shared" si="503"/>
        <v>2013</v>
      </c>
      <c r="Q3011" s="159">
        <f t="shared" si="504"/>
        <v>12</v>
      </c>
      <c r="R3011" s="160">
        <f t="shared" si="505"/>
        <v>0.83333333325572312</v>
      </c>
      <c r="S3011" s="158">
        <f t="shared" si="506"/>
        <v>1.2626262625086714E-2</v>
      </c>
      <c r="T3011" s="161">
        <f t="shared" si="507"/>
        <v>3.7373737370256674</v>
      </c>
      <c r="U3011" s="158">
        <f t="shared" si="509"/>
        <v>4.4848484848484844</v>
      </c>
      <c r="V3011" s="160">
        <f t="shared" si="508"/>
        <v>4</v>
      </c>
    </row>
    <row r="3012" spans="1:22" x14ac:dyDescent="0.25">
      <c r="A3012" s="98" t="s">
        <v>35</v>
      </c>
      <c r="B3012" s="98" t="s">
        <v>17</v>
      </c>
      <c r="C3012" s="98">
        <v>194</v>
      </c>
      <c r="D3012" s="98">
        <v>250</v>
      </c>
      <c r="E3012" s="157">
        <v>41639.9375</v>
      </c>
      <c r="F3012" s="157">
        <v>41640</v>
      </c>
      <c r="G3012" s="98">
        <v>250</v>
      </c>
      <c r="H3012" s="98">
        <v>330</v>
      </c>
      <c r="I3012" s="98">
        <v>296</v>
      </c>
      <c r="J3012" s="98" t="s">
        <v>1978</v>
      </c>
      <c r="K3012" s="98" t="s">
        <v>1479</v>
      </c>
      <c r="L3012" s="105" t="str">
        <f t="shared" si="500"/>
        <v>Mill Creek</v>
      </c>
      <c r="M3012" s="105" t="str">
        <f t="shared" si="501"/>
        <v>Derate</v>
      </c>
      <c r="N3012" s="105" t="str">
        <f t="shared" si="502"/>
        <v>Coal</v>
      </c>
      <c r="O3012" s="105">
        <f>IFERROR(VLOOKUP(A3012,Lookup!$J$5:$P$19,7,FALSE),0)</f>
        <v>2</v>
      </c>
      <c r="P3012" s="159">
        <f t="shared" si="503"/>
        <v>2013</v>
      </c>
      <c r="Q3012" s="159">
        <f t="shared" si="504"/>
        <v>12</v>
      </c>
      <c r="R3012" s="160">
        <f t="shared" si="505"/>
        <v>1.5</v>
      </c>
      <c r="S3012" s="158">
        <f t="shared" si="506"/>
        <v>0.36363636363636365</v>
      </c>
      <c r="T3012" s="161">
        <f t="shared" si="507"/>
        <v>107.63636363636364</v>
      </c>
      <c r="U3012" s="158">
        <f t="shared" si="509"/>
        <v>71.757575757575751</v>
      </c>
      <c r="V3012" s="160">
        <f t="shared" si="508"/>
        <v>72</v>
      </c>
    </row>
    <row r="3013" spans="1:22" x14ac:dyDescent="0.25">
      <c r="A3013" s="98" t="s">
        <v>35</v>
      </c>
      <c r="B3013" s="98" t="s">
        <v>17</v>
      </c>
      <c r="C3013" s="98">
        <v>1</v>
      </c>
      <c r="D3013" s="98">
        <v>250</v>
      </c>
      <c r="E3013" s="157">
        <v>41640</v>
      </c>
      <c r="F3013" s="157">
        <v>41640.4375</v>
      </c>
      <c r="G3013" s="98">
        <v>250</v>
      </c>
      <c r="H3013" s="98">
        <v>330</v>
      </c>
      <c r="I3013" s="98">
        <v>296</v>
      </c>
      <c r="J3013" s="98" t="s">
        <v>1978</v>
      </c>
      <c r="K3013" s="98" t="s">
        <v>1479</v>
      </c>
      <c r="L3013" s="105" t="str">
        <f t="shared" si="500"/>
        <v>Mill Creek</v>
      </c>
      <c r="M3013" s="105" t="str">
        <f t="shared" si="501"/>
        <v>Derate</v>
      </c>
      <c r="N3013" s="105" t="str">
        <f t="shared" si="502"/>
        <v>Coal</v>
      </c>
      <c r="O3013" s="105">
        <f>IFERROR(VLOOKUP(A3013,Lookup!$J$5:$P$19,7,FALSE),0)</f>
        <v>2</v>
      </c>
      <c r="P3013" s="159">
        <f t="shared" si="503"/>
        <v>2014</v>
      </c>
      <c r="Q3013" s="159">
        <f t="shared" si="504"/>
        <v>1</v>
      </c>
      <c r="R3013" s="160">
        <f t="shared" si="505"/>
        <v>10.5</v>
      </c>
      <c r="S3013" s="158">
        <f t="shared" si="506"/>
        <v>2.5454545454545454</v>
      </c>
      <c r="T3013" s="161">
        <f t="shared" si="507"/>
        <v>753.4545454545455</v>
      </c>
      <c r="U3013" s="158">
        <f t="shared" si="509"/>
        <v>71.757575757575751</v>
      </c>
      <c r="V3013" s="160">
        <f t="shared" si="508"/>
        <v>72</v>
      </c>
    </row>
    <row r="3014" spans="1:22" x14ac:dyDescent="0.25">
      <c r="A3014" s="98" t="s">
        <v>35</v>
      </c>
      <c r="B3014" s="98" t="s">
        <v>17</v>
      </c>
      <c r="C3014" s="98">
        <v>2</v>
      </c>
      <c r="D3014" s="98">
        <v>1850</v>
      </c>
      <c r="E3014" s="157">
        <v>41640.4375</v>
      </c>
      <c r="F3014" s="157">
        <v>41640.645833333336</v>
      </c>
      <c r="G3014" s="98">
        <v>310</v>
      </c>
      <c r="H3014" s="98">
        <v>330</v>
      </c>
      <c r="I3014" s="98">
        <v>296</v>
      </c>
      <c r="J3014" s="98" t="s">
        <v>2263</v>
      </c>
      <c r="K3014" s="98" t="s">
        <v>41</v>
      </c>
      <c r="L3014" s="105" t="str">
        <f t="shared" si="500"/>
        <v>Mill Creek</v>
      </c>
      <c r="M3014" s="105" t="str">
        <f t="shared" si="501"/>
        <v>Derate</v>
      </c>
      <c r="N3014" s="105" t="str">
        <f t="shared" si="502"/>
        <v>Coal</v>
      </c>
      <c r="O3014" s="105">
        <f>IFERROR(VLOOKUP(A3014,Lookup!$J$5:$P$19,7,FALSE),0)</f>
        <v>2</v>
      </c>
      <c r="P3014" s="159">
        <f t="shared" si="503"/>
        <v>2014</v>
      </c>
      <c r="Q3014" s="159">
        <f t="shared" si="504"/>
        <v>1</v>
      </c>
      <c r="R3014" s="160">
        <f t="shared" si="505"/>
        <v>5.0000000000582077</v>
      </c>
      <c r="S3014" s="158">
        <f t="shared" si="506"/>
        <v>0.30303030303383077</v>
      </c>
      <c r="T3014" s="161">
        <f t="shared" si="507"/>
        <v>89.696969698013902</v>
      </c>
      <c r="U3014" s="158">
        <f t="shared" si="509"/>
        <v>17.939393939393938</v>
      </c>
      <c r="V3014" s="160">
        <f t="shared" si="508"/>
        <v>18</v>
      </c>
    </row>
    <row r="3015" spans="1:22" x14ac:dyDescent="0.25">
      <c r="A3015" s="98" t="s">
        <v>35</v>
      </c>
      <c r="B3015" s="98" t="s">
        <v>17</v>
      </c>
      <c r="C3015" s="98">
        <v>3</v>
      </c>
      <c r="D3015" s="98">
        <v>250</v>
      </c>
      <c r="E3015" s="157">
        <v>41641.177083333336</v>
      </c>
      <c r="F3015" s="157">
        <v>41641.224999999999</v>
      </c>
      <c r="G3015" s="98">
        <v>250</v>
      </c>
      <c r="H3015" s="98">
        <v>330</v>
      </c>
      <c r="I3015" s="98">
        <v>296</v>
      </c>
      <c r="J3015" s="98" t="s">
        <v>1978</v>
      </c>
      <c r="K3015" s="98" t="s">
        <v>1480</v>
      </c>
      <c r="L3015" s="105" t="str">
        <f t="shared" si="500"/>
        <v>Mill Creek</v>
      </c>
      <c r="M3015" s="105" t="str">
        <f t="shared" si="501"/>
        <v>Derate</v>
      </c>
      <c r="N3015" s="105" t="str">
        <f t="shared" si="502"/>
        <v>Coal</v>
      </c>
      <c r="O3015" s="105">
        <f>IFERROR(VLOOKUP(A3015,Lookup!$J$5:$P$19,7,FALSE),0)</f>
        <v>2</v>
      </c>
      <c r="P3015" s="159">
        <f t="shared" si="503"/>
        <v>2014</v>
      </c>
      <c r="Q3015" s="159">
        <f t="shared" si="504"/>
        <v>1</v>
      </c>
      <c r="R3015" s="160">
        <f t="shared" si="505"/>
        <v>1.1499999999068677</v>
      </c>
      <c r="S3015" s="158">
        <f t="shared" si="506"/>
        <v>0.27878787876530126</v>
      </c>
      <c r="T3015" s="161">
        <f t="shared" si="507"/>
        <v>82.521212114529177</v>
      </c>
      <c r="U3015" s="158">
        <f t="shared" si="509"/>
        <v>71.757575757575751</v>
      </c>
      <c r="V3015" s="160">
        <f t="shared" si="508"/>
        <v>72</v>
      </c>
    </row>
    <row r="3016" spans="1:22" x14ac:dyDescent="0.25">
      <c r="A3016" s="98" t="s">
        <v>35</v>
      </c>
      <c r="B3016" s="98" t="s">
        <v>20</v>
      </c>
      <c r="C3016" s="98">
        <v>4</v>
      </c>
      <c r="D3016" s="98">
        <v>1000</v>
      </c>
      <c r="E3016" s="157">
        <v>41641.443749999999</v>
      </c>
      <c r="F3016" s="157">
        <v>41643.493750000001</v>
      </c>
      <c r="G3016" s="98">
        <v>0</v>
      </c>
      <c r="H3016" s="98">
        <v>330</v>
      </c>
      <c r="I3016" s="98">
        <v>296</v>
      </c>
      <c r="J3016" s="98" t="s">
        <v>2002</v>
      </c>
      <c r="K3016" s="98" t="s">
        <v>71</v>
      </c>
      <c r="L3016" s="105" t="str">
        <f t="shared" si="500"/>
        <v>Mill Creek</v>
      </c>
      <c r="M3016" s="105" t="str">
        <f t="shared" si="501"/>
        <v>Maintenance</v>
      </c>
      <c r="N3016" s="105" t="str">
        <f t="shared" si="502"/>
        <v>Coal</v>
      </c>
      <c r="O3016" s="105">
        <f>IFERROR(VLOOKUP(A3016,Lookup!$J$5:$P$19,7,FALSE),0)</f>
        <v>2</v>
      </c>
      <c r="P3016" s="159">
        <f t="shared" si="503"/>
        <v>2014</v>
      </c>
      <c r="Q3016" s="159">
        <f t="shared" si="504"/>
        <v>1</v>
      </c>
      <c r="R3016" s="160">
        <f t="shared" si="505"/>
        <v>49.200000000069849</v>
      </c>
      <c r="S3016" s="158">
        <f t="shared" si="506"/>
        <v>49.200000000069849</v>
      </c>
      <c r="T3016" s="161">
        <f t="shared" si="507"/>
        <v>14563.200000020675</v>
      </c>
      <c r="U3016" s="158">
        <f t="shared" si="509"/>
        <v>296</v>
      </c>
      <c r="V3016" s="160">
        <f t="shared" si="508"/>
        <v>296</v>
      </c>
    </row>
    <row r="3017" spans="1:22" x14ac:dyDescent="0.25">
      <c r="A3017" s="98" t="s">
        <v>35</v>
      </c>
      <c r="B3017" s="98" t="s">
        <v>79</v>
      </c>
      <c r="C3017" s="98">
        <v>5</v>
      </c>
      <c r="D3017" s="98">
        <v>1850</v>
      </c>
      <c r="E3017" s="157">
        <v>41643.493750000001</v>
      </c>
      <c r="F3017" s="157">
        <v>41643.882638888892</v>
      </c>
      <c r="G3017" s="98">
        <v>0</v>
      </c>
      <c r="H3017" s="98">
        <v>330</v>
      </c>
      <c r="I3017" s="98">
        <v>296</v>
      </c>
      <c r="J3017" s="98" t="s">
        <v>2263</v>
      </c>
      <c r="K3017" s="98" t="s">
        <v>85</v>
      </c>
      <c r="L3017" s="105" t="str">
        <f t="shared" si="500"/>
        <v>Mill Creek</v>
      </c>
      <c r="M3017" s="105" t="str">
        <f t="shared" si="501"/>
        <v>Other</v>
      </c>
      <c r="N3017" s="105" t="str">
        <f t="shared" si="502"/>
        <v>Coal</v>
      </c>
      <c r="O3017" s="105">
        <f>IFERROR(VLOOKUP(A3017,Lookup!$J$5:$P$19,7,FALSE),0)</f>
        <v>2</v>
      </c>
      <c r="P3017" s="159">
        <f t="shared" si="503"/>
        <v>2014</v>
      </c>
      <c r="Q3017" s="159">
        <f t="shared" si="504"/>
        <v>1</v>
      </c>
      <c r="R3017" s="160">
        <f t="shared" si="505"/>
        <v>9.3333333333721384</v>
      </c>
      <c r="S3017" s="158">
        <f t="shared" si="506"/>
        <v>9.3333333333721384</v>
      </c>
      <c r="T3017" s="161">
        <f t="shared" si="507"/>
        <v>2762.666666678153</v>
      </c>
      <c r="U3017" s="158">
        <f t="shared" si="509"/>
        <v>296</v>
      </c>
      <c r="V3017" s="160">
        <f t="shared" si="508"/>
        <v>296</v>
      </c>
    </row>
    <row r="3018" spans="1:22" x14ac:dyDescent="0.25">
      <c r="A3018" s="98" t="s">
        <v>35</v>
      </c>
      <c r="B3018" s="98" t="s">
        <v>17</v>
      </c>
      <c r="C3018" s="98">
        <v>6</v>
      </c>
      <c r="D3018" s="98">
        <v>1850</v>
      </c>
      <c r="E3018" s="157">
        <v>41643.882638888892</v>
      </c>
      <c r="F3018" s="157">
        <v>41644.232638888891</v>
      </c>
      <c r="G3018" s="98">
        <v>205</v>
      </c>
      <c r="H3018" s="98">
        <v>330</v>
      </c>
      <c r="I3018" s="98">
        <v>296</v>
      </c>
      <c r="J3018" s="98" t="s">
        <v>2263</v>
      </c>
      <c r="K3018" s="98" t="s">
        <v>41</v>
      </c>
      <c r="L3018" s="105" t="str">
        <f t="shared" si="500"/>
        <v>Mill Creek</v>
      </c>
      <c r="M3018" s="105" t="str">
        <f t="shared" si="501"/>
        <v>Derate</v>
      </c>
      <c r="N3018" s="105" t="str">
        <f t="shared" si="502"/>
        <v>Coal</v>
      </c>
      <c r="O3018" s="105">
        <f>IFERROR(VLOOKUP(A3018,Lookup!$J$5:$P$19,7,FALSE),0)</f>
        <v>2</v>
      </c>
      <c r="P3018" s="159">
        <f t="shared" si="503"/>
        <v>2014</v>
      </c>
      <c r="Q3018" s="159">
        <f t="shared" si="504"/>
        <v>1</v>
      </c>
      <c r="R3018" s="160">
        <f t="shared" si="505"/>
        <v>8.3999999999650754</v>
      </c>
      <c r="S3018" s="158">
        <f t="shared" si="506"/>
        <v>3.1818181818049527</v>
      </c>
      <c r="T3018" s="161">
        <f t="shared" si="507"/>
        <v>941.81818181426604</v>
      </c>
      <c r="U3018" s="158">
        <f t="shared" si="509"/>
        <v>112.12121212121212</v>
      </c>
      <c r="V3018" s="160">
        <f t="shared" si="508"/>
        <v>112</v>
      </c>
    </row>
    <row r="3019" spans="1:22" x14ac:dyDescent="0.25">
      <c r="A3019" s="98" t="s">
        <v>35</v>
      </c>
      <c r="B3019" s="98" t="s">
        <v>17</v>
      </c>
      <c r="C3019" s="98">
        <v>7</v>
      </c>
      <c r="D3019" s="98">
        <v>1850</v>
      </c>
      <c r="E3019" s="157">
        <v>41644.232638888891</v>
      </c>
      <c r="F3019" s="157">
        <v>41645.041666666664</v>
      </c>
      <c r="G3019" s="98">
        <v>260</v>
      </c>
      <c r="H3019" s="98">
        <v>330</v>
      </c>
      <c r="I3019" s="98">
        <v>296</v>
      </c>
      <c r="J3019" s="98" t="s">
        <v>2263</v>
      </c>
      <c r="K3019" s="98" t="s">
        <v>41</v>
      </c>
      <c r="L3019" s="105" t="str">
        <f t="shared" si="500"/>
        <v>Mill Creek</v>
      </c>
      <c r="M3019" s="105" t="str">
        <f t="shared" si="501"/>
        <v>Derate</v>
      </c>
      <c r="N3019" s="105" t="str">
        <f t="shared" si="502"/>
        <v>Coal</v>
      </c>
      <c r="O3019" s="105">
        <f>IFERROR(VLOOKUP(A3019,Lookup!$J$5:$P$19,7,FALSE),0)</f>
        <v>2</v>
      </c>
      <c r="P3019" s="159">
        <f t="shared" si="503"/>
        <v>2014</v>
      </c>
      <c r="Q3019" s="159">
        <f t="shared" si="504"/>
        <v>1</v>
      </c>
      <c r="R3019" s="160">
        <f t="shared" si="505"/>
        <v>19.416666666569654</v>
      </c>
      <c r="S3019" s="158">
        <f t="shared" si="506"/>
        <v>4.1186868686662903</v>
      </c>
      <c r="T3019" s="161">
        <f t="shared" si="507"/>
        <v>1219.1313131252218</v>
      </c>
      <c r="U3019" s="158">
        <f t="shared" si="509"/>
        <v>62.787878787878789</v>
      </c>
      <c r="V3019" s="160">
        <f t="shared" si="508"/>
        <v>63</v>
      </c>
    </row>
    <row r="3020" spans="1:22" x14ac:dyDescent="0.25">
      <c r="A3020" s="98" t="s">
        <v>35</v>
      </c>
      <c r="B3020" s="98" t="s">
        <v>17</v>
      </c>
      <c r="C3020" s="98">
        <v>8</v>
      </c>
      <c r="D3020" s="98">
        <v>1850</v>
      </c>
      <c r="E3020" s="157">
        <v>41645.041666666664</v>
      </c>
      <c r="F3020" s="157">
        <v>41645.394444444442</v>
      </c>
      <c r="G3020" s="98">
        <v>280</v>
      </c>
      <c r="H3020" s="98">
        <v>330</v>
      </c>
      <c r="I3020" s="98">
        <v>296</v>
      </c>
      <c r="J3020" s="98" t="s">
        <v>2263</v>
      </c>
      <c r="K3020" s="98" t="s">
        <v>41</v>
      </c>
      <c r="L3020" s="105" t="str">
        <f t="shared" si="500"/>
        <v>Mill Creek</v>
      </c>
      <c r="M3020" s="105" t="str">
        <f t="shared" si="501"/>
        <v>Derate</v>
      </c>
      <c r="N3020" s="105" t="str">
        <f t="shared" si="502"/>
        <v>Coal</v>
      </c>
      <c r="O3020" s="105">
        <f>IFERROR(VLOOKUP(A3020,Lookup!$J$5:$P$19,7,FALSE),0)</f>
        <v>2</v>
      </c>
      <c r="P3020" s="159">
        <f t="shared" si="503"/>
        <v>2014</v>
      </c>
      <c r="Q3020" s="159">
        <f t="shared" si="504"/>
        <v>1</v>
      </c>
      <c r="R3020" s="160">
        <f t="shared" si="505"/>
        <v>8.4666666666744277</v>
      </c>
      <c r="S3020" s="158">
        <f t="shared" si="506"/>
        <v>1.2828282828294588</v>
      </c>
      <c r="T3020" s="161">
        <f t="shared" si="507"/>
        <v>379.71717171751982</v>
      </c>
      <c r="U3020" s="158">
        <f t="shared" si="509"/>
        <v>44.848484848484851</v>
      </c>
      <c r="V3020" s="160">
        <f t="shared" si="508"/>
        <v>45</v>
      </c>
    </row>
    <row r="3021" spans="1:22" x14ac:dyDescent="0.25">
      <c r="A3021" s="98" t="s">
        <v>35</v>
      </c>
      <c r="B3021" s="98" t="s">
        <v>17</v>
      </c>
      <c r="C3021" s="98">
        <v>9</v>
      </c>
      <c r="D3021" s="98">
        <v>1850</v>
      </c>
      <c r="E3021" s="157">
        <v>41645.394444444442</v>
      </c>
      <c r="F3021" s="157">
        <v>41645.791666666664</v>
      </c>
      <c r="G3021" s="98">
        <v>320</v>
      </c>
      <c r="H3021" s="98">
        <v>330</v>
      </c>
      <c r="I3021" s="98">
        <v>296</v>
      </c>
      <c r="J3021" s="98" t="s">
        <v>2263</v>
      </c>
      <c r="K3021" s="98" t="s">
        <v>41</v>
      </c>
      <c r="L3021" s="105" t="str">
        <f t="shared" si="500"/>
        <v>Mill Creek</v>
      </c>
      <c r="M3021" s="105" t="str">
        <f t="shared" si="501"/>
        <v>Derate</v>
      </c>
      <c r="N3021" s="105" t="str">
        <f t="shared" si="502"/>
        <v>Coal</v>
      </c>
      <c r="O3021" s="105">
        <f>IFERROR(VLOOKUP(A3021,Lookup!$J$5:$P$19,7,FALSE),0)</f>
        <v>2</v>
      </c>
      <c r="P3021" s="159">
        <f t="shared" si="503"/>
        <v>2014</v>
      </c>
      <c r="Q3021" s="159">
        <f t="shared" si="504"/>
        <v>1</v>
      </c>
      <c r="R3021" s="160">
        <f t="shared" si="505"/>
        <v>9.5333333333255723</v>
      </c>
      <c r="S3021" s="158">
        <f t="shared" si="506"/>
        <v>0.28888888888865372</v>
      </c>
      <c r="T3021" s="161">
        <f t="shared" si="507"/>
        <v>85.511111111041501</v>
      </c>
      <c r="U3021" s="158">
        <f t="shared" si="509"/>
        <v>8.9696969696969688</v>
      </c>
      <c r="V3021" s="160">
        <f t="shared" si="508"/>
        <v>9</v>
      </c>
    </row>
    <row r="3022" spans="1:22" x14ac:dyDescent="0.25">
      <c r="A3022" s="98" t="s">
        <v>35</v>
      </c>
      <c r="B3022" s="98" t="s">
        <v>17</v>
      </c>
      <c r="C3022" s="98">
        <v>10</v>
      </c>
      <c r="D3022" s="98">
        <v>1850</v>
      </c>
      <c r="E3022" s="157">
        <v>41645.791666666664</v>
      </c>
      <c r="F3022" s="157">
        <v>41645.941666666666</v>
      </c>
      <c r="G3022" s="98">
        <v>300</v>
      </c>
      <c r="H3022" s="98">
        <v>330</v>
      </c>
      <c r="I3022" s="98">
        <v>296</v>
      </c>
      <c r="J3022" s="98" t="s">
        <v>2263</v>
      </c>
      <c r="K3022" s="98" t="s">
        <v>41</v>
      </c>
      <c r="L3022" s="105" t="str">
        <f t="shared" si="500"/>
        <v>Mill Creek</v>
      </c>
      <c r="M3022" s="105" t="str">
        <f t="shared" si="501"/>
        <v>Derate</v>
      </c>
      <c r="N3022" s="105" t="str">
        <f t="shared" si="502"/>
        <v>Coal</v>
      </c>
      <c r="O3022" s="105">
        <f>IFERROR(VLOOKUP(A3022,Lookup!$J$5:$P$19,7,FALSE),0)</f>
        <v>2</v>
      </c>
      <c r="P3022" s="159">
        <f t="shared" si="503"/>
        <v>2014</v>
      </c>
      <c r="Q3022" s="159">
        <f t="shared" si="504"/>
        <v>1</v>
      </c>
      <c r="R3022" s="160">
        <f t="shared" si="505"/>
        <v>3.6000000000349246</v>
      </c>
      <c r="S3022" s="158">
        <f t="shared" si="506"/>
        <v>0.32727272727590223</v>
      </c>
      <c r="T3022" s="161">
        <f t="shared" si="507"/>
        <v>96.872727273667067</v>
      </c>
      <c r="U3022" s="158">
        <f t="shared" si="509"/>
        <v>26.90909090909091</v>
      </c>
      <c r="V3022" s="160">
        <f t="shared" si="508"/>
        <v>27</v>
      </c>
    </row>
    <row r="3023" spans="1:22" x14ac:dyDescent="0.25">
      <c r="A3023" s="98" t="s">
        <v>35</v>
      </c>
      <c r="B3023" s="98" t="s">
        <v>17</v>
      </c>
      <c r="C3023" s="98">
        <v>11</v>
      </c>
      <c r="D3023" s="98">
        <v>250</v>
      </c>
      <c r="E3023" s="157">
        <v>41646.239583333336</v>
      </c>
      <c r="F3023" s="157">
        <v>41646.302083333336</v>
      </c>
      <c r="G3023" s="98">
        <v>240</v>
      </c>
      <c r="H3023" s="98">
        <v>330</v>
      </c>
      <c r="I3023" s="98">
        <v>296</v>
      </c>
      <c r="J3023" s="98" t="s">
        <v>1978</v>
      </c>
      <c r="K3023" s="98" t="s">
        <v>1481</v>
      </c>
      <c r="L3023" s="105" t="str">
        <f t="shared" si="500"/>
        <v>Mill Creek</v>
      </c>
      <c r="M3023" s="105" t="str">
        <f t="shared" si="501"/>
        <v>Derate</v>
      </c>
      <c r="N3023" s="105" t="str">
        <f t="shared" si="502"/>
        <v>Coal</v>
      </c>
      <c r="O3023" s="105">
        <f>IFERROR(VLOOKUP(A3023,Lookup!$J$5:$P$19,7,FALSE),0)</f>
        <v>2</v>
      </c>
      <c r="P3023" s="159">
        <f t="shared" si="503"/>
        <v>2014</v>
      </c>
      <c r="Q3023" s="159">
        <f t="shared" si="504"/>
        <v>1</v>
      </c>
      <c r="R3023" s="160">
        <f t="shared" si="505"/>
        <v>1.5</v>
      </c>
      <c r="S3023" s="158">
        <f t="shared" si="506"/>
        <v>0.40909090909090912</v>
      </c>
      <c r="T3023" s="161">
        <f t="shared" si="507"/>
        <v>121.09090909090909</v>
      </c>
      <c r="U3023" s="158">
        <f t="shared" si="509"/>
        <v>80.727272727272734</v>
      </c>
      <c r="V3023" s="160">
        <f t="shared" si="508"/>
        <v>81</v>
      </c>
    </row>
    <row r="3024" spans="1:22" x14ac:dyDescent="0.25">
      <c r="A3024" s="98" t="s">
        <v>35</v>
      </c>
      <c r="B3024" s="98" t="s">
        <v>17</v>
      </c>
      <c r="C3024" s="98">
        <v>12</v>
      </c>
      <c r="D3024" s="98">
        <v>1850</v>
      </c>
      <c r="E3024" s="157">
        <v>41646.510416666664</v>
      </c>
      <c r="F3024" s="157">
        <v>41647.409722222219</v>
      </c>
      <c r="G3024" s="98">
        <v>280</v>
      </c>
      <c r="H3024" s="98">
        <v>330</v>
      </c>
      <c r="I3024" s="98">
        <v>296</v>
      </c>
      <c r="J3024" s="98" t="s">
        <v>2263</v>
      </c>
      <c r="K3024" s="98" t="s">
        <v>41</v>
      </c>
      <c r="L3024" s="105" t="str">
        <f t="shared" si="500"/>
        <v>Mill Creek</v>
      </c>
      <c r="M3024" s="105" t="str">
        <f t="shared" si="501"/>
        <v>Derate</v>
      </c>
      <c r="N3024" s="105" t="str">
        <f t="shared" si="502"/>
        <v>Coal</v>
      </c>
      <c r="O3024" s="105">
        <f>IFERROR(VLOOKUP(A3024,Lookup!$J$5:$P$19,7,FALSE),0)</f>
        <v>2</v>
      </c>
      <c r="P3024" s="159">
        <f t="shared" si="503"/>
        <v>2014</v>
      </c>
      <c r="Q3024" s="159">
        <f t="shared" si="504"/>
        <v>1</v>
      </c>
      <c r="R3024" s="160">
        <f t="shared" si="505"/>
        <v>21.583333333313931</v>
      </c>
      <c r="S3024" s="158">
        <f t="shared" si="506"/>
        <v>3.2702020201990805</v>
      </c>
      <c r="T3024" s="161">
        <f t="shared" si="507"/>
        <v>967.97979797892776</v>
      </c>
      <c r="U3024" s="158">
        <f t="shared" si="509"/>
        <v>44.848484848484851</v>
      </c>
      <c r="V3024" s="160">
        <f t="shared" si="508"/>
        <v>45</v>
      </c>
    </row>
    <row r="3025" spans="1:22" x14ac:dyDescent="0.25">
      <c r="A3025" s="98" t="s">
        <v>35</v>
      </c>
      <c r="B3025" s="98" t="s">
        <v>17</v>
      </c>
      <c r="C3025" s="98">
        <v>13</v>
      </c>
      <c r="D3025" s="98">
        <v>1850</v>
      </c>
      <c r="E3025" s="157">
        <v>41647.409722222219</v>
      </c>
      <c r="F3025" s="157">
        <v>41647.510416666664</v>
      </c>
      <c r="G3025" s="98">
        <v>295</v>
      </c>
      <c r="H3025" s="98">
        <v>330</v>
      </c>
      <c r="I3025" s="98">
        <v>296</v>
      </c>
      <c r="J3025" s="98" t="s">
        <v>2263</v>
      </c>
      <c r="K3025" s="98" t="s">
        <v>41</v>
      </c>
      <c r="L3025" s="105" t="str">
        <f t="shared" si="500"/>
        <v>Mill Creek</v>
      </c>
      <c r="M3025" s="105" t="str">
        <f t="shared" si="501"/>
        <v>Derate</v>
      </c>
      <c r="N3025" s="105" t="str">
        <f t="shared" si="502"/>
        <v>Coal</v>
      </c>
      <c r="O3025" s="105">
        <f>IFERROR(VLOOKUP(A3025,Lookup!$J$5:$P$19,7,FALSE),0)</f>
        <v>2</v>
      </c>
      <c r="P3025" s="159">
        <f t="shared" si="503"/>
        <v>2014</v>
      </c>
      <c r="Q3025" s="159">
        <f t="shared" si="504"/>
        <v>1</v>
      </c>
      <c r="R3025" s="160">
        <f t="shared" si="505"/>
        <v>2.4166666666860692</v>
      </c>
      <c r="S3025" s="158">
        <f t="shared" si="506"/>
        <v>0.25631313131518918</v>
      </c>
      <c r="T3025" s="161">
        <f t="shared" si="507"/>
        <v>75.868686869295999</v>
      </c>
      <c r="U3025" s="158">
        <f t="shared" si="509"/>
        <v>31.393939393939394</v>
      </c>
      <c r="V3025" s="160">
        <f t="shared" si="508"/>
        <v>31</v>
      </c>
    </row>
    <row r="3026" spans="1:22" x14ac:dyDescent="0.25">
      <c r="A3026" s="98" t="s">
        <v>35</v>
      </c>
      <c r="B3026" s="98" t="s">
        <v>17</v>
      </c>
      <c r="C3026" s="98">
        <v>14</v>
      </c>
      <c r="D3026" s="98">
        <v>1850</v>
      </c>
      <c r="E3026" s="157">
        <v>41647.510416666664</v>
      </c>
      <c r="F3026" s="157">
        <v>41648.399305555555</v>
      </c>
      <c r="G3026" s="98">
        <v>315</v>
      </c>
      <c r="H3026" s="98">
        <v>330</v>
      </c>
      <c r="I3026" s="98">
        <v>296</v>
      </c>
      <c r="J3026" s="98" t="s">
        <v>2263</v>
      </c>
      <c r="K3026" s="98" t="s">
        <v>41</v>
      </c>
      <c r="L3026" s="105" t="str">
        <f t="shared" si="500"/>
        <v>Mill Creek</v>
      </c>
      <c r="M3026" s="105" t="str">
        <f t="shared" si="501"/>
        <v>Derate</v>
      </c>
      <c r="N3026" s="105" t="str">
        <f t="shared" si="502"/>
        <v>Coal</v>
      </c>
      <c r="O3026" s="105">
        <f>IFERROR(VLOOKUP(A3026,Lookup!$J$5:$P$19,7,FALSE),0)</f>
        <v>2</v>
      </c>
      <c r="P3026" s="159">
        <f t="shared" si="503"/>
        <v>2014</v>
      </c>
      <c r="Q3026" s="159">
        <f t="shared" si="504"/>
        <v>1</v>
      </c>
      <c r="R3026" s="160">
        <f t="shared" si="505"/>
        <v>21.333333333372138</v>
      </c>
      <c r="S3026" s="158">
        <f t="shared" si="506"/>
        <v>0.96969696969873354</v>
      </c>
      <c r="T3026" s="161">
        <f t="shared" si="507"/>
        <v>287.03030303082511</v>
      </c>
      <c r="U3026" s="158">
        <f t="shared" si="509"/>
        <v>13.454545454545455</v>
      </c>
      <c r="V3026" s="160">
        <f t="shared" si="508"/>
        <v>13</v>
      </c>
    </row>
    <row r="3027" spans="1:22" x14ac:dyDescent="0.25">
      <c r="A3027" s="98" t="s">
        <v>35</v>
      </c>
      <c r="B3027" s="98" t="s">
        <v>105</v>
      </c>
      <c r="C3027" s="98">
        <v>15</v>
      </c>
      <c r="D3027" s="98">
        <v>250</v>
      </c>
      <c r="E3027" s="157">
        <v>41648.876388888886</v>
      </c>
      <c r="F3027" s="157">
        <v>41649.17291666667</v>
      </c>
      <c r="G3027" s="98">
        <v>225</v>
      </c>
      <c r="H3027" s="98">
        <v>330</v>
      </c>
      <c r="I3027" s="98">
        <v>296</v>
      </c>
      <c r="J3027" s="98" t="s">
        <v>1978</v>
      </c>
      <c r="K3027" s="98" t="s">
        <v>623</v>
      </c>
      <c r="L3027" s="105" t="str">
        <f t="shared" si="500"/>
        <v>Mill Creek</v>
      </c>
      <c r="M3027" s="105" t="str">
        <f t="shared" si="501"/>
        <v>Derate</v>
      </c>
      <c r="N3027" s="105" t="str">
        <f t="shared" si="502"/>
        <v>Coal</v>
      </c>
      <c r="O3027" s="105">
        <f>IFERROR(VLOOKUP(A3027,Lookup!$J$5:$P$19,7,FALSE),0)</f>
        <v>2</v>
      </c>
      <c r="P3027" s="159">
        <f t="shared" si="503"/>
        <v>2014</v>
      </c>
      <c r="Q3027" s="159">
        <f t="shared" si="504"/>
        <v>1</v>
      </c>
      <c r="R3027" s="160">
        <f t="shared" si="505"/>
        <v>7.1166666668141261</v>
      </c>
      <c r="S3027" s="158">
        <f t="shared" si="506"/>
        <v>2.2643939394408581</v>
      </c>
      <c r="T3027" s="161">
        <f t="shared" si="507"/>
        <v>670.26060607449404</v>
      </c>
      <c r="U3027" s="158">
        <f t="shared" si="509"/>
        <v>94.181818181818187</v>
      </c>
      <c r="V3027" s="160">
        <f t="shared" si="508"/>
        <v>94</v>
      </c>
    </row>
    <row r="3028" spans="1:22" x14ac:dyDescent="0.25">
      <c r="A3028" s="98" t="s">
        <v>35</v>
      </c>
      <c r="B3028" s="98" t="s">
        <v>105</v>
      </c>
      <c r="C3028" s="98">
        <v>16</v>
      </c>
      <c r="D3028" s="98">
        <v>250</v>
      </c>
      <c r="E3028" s="157">
        <v>41652.024305555555</v>
      </c>
      <c r="F3028" s="157">
        <v>41652.208333333336</v>
      </c>
      <c r="G3028" s="98">
        <v>245</v>
      </c>
      <c r="H3028" s="98">
        <v>330</v>
      </c>
      <c r="I3028" s="98">
        <v>296</v>
      </c>
      <c r="J3028" s="98" t="s">
        <v>1978</v>
      </c>
      <c r="K3028" s="98" t="s">
        <v>626</v>
      </c>
      <c r="L3028" s="105" t="str">
        <f t="shared" si="500"/>
        <v>Mill Creek</v>
      </c>
      <c r="M3028" s="105" t="str">
        <f t="shared" si="501"/>
        <v>Derate</v>
      </c>
      <c r="N3028" s="105" t="str">
        <f t="shared" si="502"/>
        <v>Coal</v>
      </c>
      <c r="O3028" s="105">
        <f>IFERROR(VLOOKUP(A3028,Lookup!$J$5:$P$19,7,FALSE),0)</f>
        <v>2</v>
      </c>
      <c r="P3028" s="159">
        <f t="shared" si="503"/>
        <v>2014</v>
      </c>
      <c r="Q3028" s="159">
        <f t="shared" si="504"/>
        <v>1</v>
      </c>
      <c r="R3028" s="160">
        <f t="shared" si="505"/>
        <v>4.4166666667442769</v>
      </c>
      <c r="S3028" s="158">
        <f t="shared" si="506"/>
        <v>1.1376262626462532</v>
      </c>
      <c r="T3028" s="161">
        <f t="shared" si="507"/>
        <v>336.73737374329096</v>
      </c>
      <c r="U3028" s="158">
        <f t="shared" si="509"/>
        <v>76.242424242424249</v>
      </c>
      <c r="V3028" s="160">
        <f t="shared" si="508"/>
        <v>76</v>
      </c>
    </row>
    <row r="3029" spans="1:22" x14ac:dyDescent="0.25">
      <c r="A3029" s="98" t="s">
        <v>35</v>
      </c>
      <c r="B3029" s="98" t="s">
        <v>79</v>
      </c>
      <c r="C3029" s="98">
        <v>17</v>
      </c>
      <c r="D3029" s="98">
        <v>1160</v>
      </c>
      <c r="E3029" s="162">
        <v>41655.958333333336</v>
      </c>
      <c r="F3029" s="157">
        <v>41656.166666666664</v>
      </c>
      <c r="G3029" s="98">
        <v>0</v>
      </c>
      <c r="H3029" s="98">
        <v>330</v>
      </c>
      <c r="I3029" s="98">
        <v>296</v>
      </c>
      <c r="J3029" s="98" t="s">
        <v>2273</v>
      </c>
      <c r="K3029" s="98" t="s">
        <v>1482</v>
      </c>
      <c r="L3029" s="105" t="str">
        <f t="shared" si="500"/>
        <v>Mill Creek</v>
      </c>
      <c r="M3029" s="105" t="str">
        <f t="shared" si="501"/>
        <v>Other</v>
      </c>
      <c r="N3029" s="105" t="str">
        <f t="shared" si="502"/>
        <v>Coal</v>
      </c>
      <c r="O3029" s="105">
        <f>IFERROR(VLOOKUP(A3029,Lookup!$J$5:$P$19,7,FALSE),0)</f>
        <v>2</v>
      </c>
      <c r="P3029" s="159">
        <f t="shared" si="503"/>
        <v>2014</v>
      </c>
      <c r="Q3029" s="159">
        <f t="shared" si="504"/>
        <v>1</v>
      </c>
      <c r="R3029" s="160">
        <f t="shared" si="505"/>
        <v>4.9999999998835847</v>
      </c>
      <c r="S3029" s="158">
        <f t="shared" si="506"/>
        <v>4.9999999998835847</v>
      </c>
      <c r="T3029" s="161">
        <f t="shared" si="507"/>
        <v>1479.9999999655411</v>
      </c>
      <c r="U3029" s="158">
        <f t="shared" si="509"/>
        <v>296</v>
      </c>
      <c r="V3029" s="160">
        <f t="shared" si="508"/>
        <v>296</v>
      </c>
    </row>
    <row r="3030" spans="1:22" x14ac:dyDescent="0.25">
      <c r="A3030" s="98" t="s">
        <v>35</v>
      </c>
      <c r="B3030" s="98" t="s">
        <v>79</v>
      </c>
      <c r="C3030" s="98">
        <v>18</v>
      </c>
      <c r="D3030" s="98">
        <v>1160</v>
      </c>
      <c r="E3030" s="157">
        <v>41656.927083333336</v>
      </c>
      <c r="F3030" s="157">
        <v>41657.208333333336</v>
      </c>
      <c r="G3030" s="98">
        <v>0</v>
      </c>
      <c r="H3030" s="98">
        <v>330</v>
      </c>
      <c r="I3030" s="98">
        <v>296</v>
      </c>
      <c r="J3030" s="98" t="s">
        <v>2273</v>
      </c>
      <c r="K3030" s="98" t="s">
        <v>1409</v>
      </c>
      <c r="L3030" s="105" t="str">
        <f t="shared" si="500"/>
        <v>Mill Creek</v>
      </c>
      <c r="M3030" s="105" t="str">
        <f t="shared" si="501"/>
        <v>Other</v>
      </c>
      <c r="N3030" s="105" t="str">
        <f t="shared" si="502"/>
        <v>Coal</v>
      </c>
      <c r="O3030" s="105">
        <f>IFERROR(VLOOKUP(A3030,Lookup!$J$5:$P$19,7,FALSE),0)</f>
        <v>2</v>
      </c>
      <c r="P3030" s="159">
        <f t="shared" si="503"/>
        <v>2014</v>
      </c>
      <c r="Q3030" s="159">
        <f t="shared" si="504"/>
        <v>1</v>
      </c>
      <c r="R3030" s="160">
        <f t="shared" si="505"/>
        <v>6.75</v>
      </c>
      <c r="S3030" s="158">
        <f t="shared" si="506"/>
        <v>6.75</v>
      </c>
      <c r="T3030" s="161">
        <f t="shared" si="507"/>
        <v>1998</v>
      </c>
      <c r="U3030" s="158">
        <f t="shared" si="509"/>
        <v>296</v>
      </c>
      <c r="V3030" s="160">
        <f t="shared" si="508"/>
        <v>296</v>
      </c>
    </row>
    <row r="3031" spans="1:22" x14ac:dyDescent="0.25">
      <c r="A3031" s="98" t="s">
        <v>35</v>
      </c>
      <c r="B3031" s="98" t="s">
        <v>79</v>
      </c>
      <c r="C3031" s="98">
        <v>19</v>
      </c>
      <c r="D3031" s="98">
        <v>1160</v>
      </c>
      <c r="E3031" s="157">
        <v>41657.878472222219</v>
      </c>
      <c r="F3031" s="157">
        <v>41658.208333333336</v>
      </c>
      <c r="G3031" s="98">
        <v>0</v>
      </c>
      <c r="H3031" s="98">
        <v>330</v>
      </c>
      <c r="I3031" s="98">
        <v>296</v>
      </c>
      <c r="J3031" s="98" t="s">
        <v>2273</v>
      </c>
      <c r="K3031" s="98" t="s">
        <v>1409</v>
      </c>
      <c r="L3031" s="105" t="str">
        <f t="shared" si="500"/>
        <v>Mill Creek</v>
      </c>
      <c r="M3031" s="105" t="str">
        <f t="shared" si="501"/>
        <v>Other</v>
      </c>
      <c r="N3031" s="105" t="str">
        <f t="shared" si="502"/>
        <v>Coal</v>
      </c>
      <c r="O3031" s="105">
        <f>IFERROR(VLOOKUP(A3031,Lookup!$J$5:$P$19,7,FALSE),0)</f>
        <v>2</v>
      </c>
      <c r="P3031" s="159">
        <f t="shared" si="503"/>
        <v>2014</v>
      </c>
      <c r="Q3031" s="159">
        <f t="shared" si="504"/>
        <v>1</v>
      </c>
      <c r="R3031" s="160">
        <f t="shared" si="505"/>
        <v>7.9166666668024845</v>
      </c>
      <c r="S3031" s="158">
        <f t="shared" si="506"/>
        <v>7.9166666668024845</v>
      </c>
      <c r="T3031" s="161">
        <f t="shared" si="507"/>
        <v>2343.3333333735354</v>
      </c>
      <c r="U3031" s="158">
        <f t="shared" si="509"/>
        <v>296</v>
      </c>
      <c r="V3031" s="160">
        <f t="shared" si="508"/>
        <v>296</v>
      </c>
    </row>
    <row r="3032" spans="1:22" x14ac:dyDescent="0.25">
      <c r="A3032" s="98" t="s">
        <v>35</v>
      </c>
      <c r="B3032" s="98" t="s">
        <v>105</v>
      </c>
      <c r="C3032" s="98">
        <v>20</v>
      </c>
      <c r="D3032" s="98">
        <v>310</v>
      </c>
      <c r="E3032" s="157">
        <v>41658.979166666664</v>
      </c>
      <c r="F3032" s="157">
        <v>41659.18472222222</v>
      </c>
      <c r="G3032" s="98">
        <v>245</v>
      </c>
      <c r="H3032" s="98">
        <v>330</v>
      </c>
      <c r="I3032" s="98">
        <v>296</v>
      </c>
      <c r="J3032" s="98" t="s">
        <v>1966</v>
      </c>
      <c r="K3032" s="98" t="s">
        <v>120</v>
      </c>
      <c r="L3032" s="105" t="str">
        <f t="shared" si="500"/>
        <v>Mill Creek</v>
      </c>
      <c r="M3032" s="105" t="str">
        <f t="shared" si="501"/>
        <v>Derate</v>
      </c>
      <c r="N3032" s="105" t="str">
        <f t="shared" si="502"/>
        <v>Coal</v>
      </c>
      <c r="O3032" s="105">
        <f>IFERROR(VLOOKUP(A3032,Lookup!$J$5:$P$19,7,FALSE),0)</f>
        <v>2</v>
      </c>
      <c r="P3032" s="159">
        <f t="shared" si="503"/>
        <v>2014</v>
      </c>
      <c r="Q3032" s="159">
        <f t="shared" si="504"/>
        <v>1</v>
      </c>
      <c r="R3032" s="160">
        <f t="shared" si="505"/>
        <v>4.9333333333488554</v>
      </c>
      <c r="S3032" s="158">
        <f t="shared" si="506"/>
        <v>1.2707070707110688</v>
      </c>
      <c r="T3032" s="161">
        <f t="shared" si="507"/>
        <v>376.12929293047637</v>
      </c>
      <c r="U3032" s="158">
        <f t="shared" si="509"/>
        <v>76.242424242424249</v>
      </c>
      <c r="V3032" s="160">
        <f t="shared" si="508"/>
        <v>76</v>
      </c>
    </row>
    <row r="3033" spans="1:22" x14ac:dyDescent="0.25">
      <c r="A3033" s="98" t="s">
        <v>35</v>
      </c>
      <c r="B3033" s="98" t="s">
        <v>17</v>
      </c>
      <c r="C3033" s="98">
        <v>21</v>
      </c>
      <c r="D3033" s="98">
        <v>250</v>
      </c>
      <c r="E3033" s="157">
        <v>41662.922222222223</v>
      </c>
      <c r="F3033" s="157">
        <v>41662.977777777778</v>
      </c>
      <c r="G3033" s="98">
        <v>240</v>
      </c>
      <c r="H3033" s="98">
        <v>330</v>
      </c>
      <c r="I3033" s="98">
        <v>296</v>
      </c>
      <c r="J3033" s="98" t="s">
        <v>1978</v>
      </c>
      <c r="K3033" s="98" t="s">
        <v>1483</v>
      </c>
      <c r="L3033" s="105" t="str">
        <f t="shared" si="500"/>
        <v>Mill Creek</v>
      </c>
      <c r="M3033" s="105" t="str">
        <f t="shared" si="501"/>
        <v>Derate</v>
      </c>
      <c r="N3033" s="105" t="str">
        <f t="shared" si="502"/>
        <v>Coal</v>
      </c>
      <c r="O3033" s="105">
        <f>IFERROR(VLOOKUP(A3033,Lookup!$J$5:$P$19,7,FALSE),0)</f>
        <v>2</v>
      </c>
      <c r="P3033" s="159">
        <f t="shared" si="503"/>
        <v>2014</v>
      </c>
      <c r="Q3033" s="159">
        <f t="shared" si="504"/>
        <v>1</v>
      </c>
      <c r="R3033" s="160">
        <f t="shared" si="505"/>
        <v>1.3333333333139308</v>
      </c>
      <c r="S3033" s="158">
        <f t="shared" si="506"/>
        <v>0.36363636363107205</v>
      </c>
      <c r="T3033" s="161">
        <f t="shared" si="507"/>
        <v>107.63636363479732</v>
      </c>
      <c r="U3033" s="158">
        <f t="shared" si="509"/>
        <v>80.727272727272734</v>
      </c>
      <c r="V3033" s="160">
        <f t="shared" si="508"/>
        <v>81</v>
      </c>
    </row>
    <row r="3034" spans="1:22" x14ac:dyDescent="0.25">
      <c r="A3034" s="98" t="s">
        <v>35</v>
      </c>
      <c r="B3034" s="98" t="s">
        <v>17</v>
      </c>
      <c r="C3034" s="98">
        <v>22</v>
      </c>
      <c r="D3034" s="98">
        <v>250</v>
      </c>
      <c r="E3034" s="157">
        <v>41663.231249999997</v>
      </c>
      <c r="F3034" s="157">
        <v>41663.3125</v>
      </c>
      <c r="G3034" s="98">
        <v>240</v>
      </c>
      <c r="H3034" s="98">
        <v>330</v>
      </c>
      <c r="I3034" s="98">
        <v>296</v>
      </c>
      <c r="J3034" s="98" t="s">
        <v>1978</v>
      </c>
      <c r="K3034" s="98" t="s">
        <v>1483</v>
      </c>
      <c r="L3034" s="105" t="str">
        <f t="shared" si="500"/>
        <v>Mill Creek</v>
      </c>
      <c r="M3034" s="105" t="str">
        <f t="shared" si="501"/>
        <v>Derate</v>
      </c>
      <c r="N3034" s="105" t="str">
        <f t="shared" si="502"/>
        <v>Coal</v>
      </c>
      <c r="O3034" s="105">
        <f>IFERROR(VLOOKUP(A3034,Lookup!$J$5:$P$19,7,FALSE),0)</f>
        <v>2</v>
      </c>
      <c r="P3034" s="159">
        <f t="shared" si="503"/>
        <v>2014</v>
      </c>
      <c r="Q3034" s="159">
        <f t="shared" si="504"/>
        <v>1</v>
      </c>
      <c r="R3034" s="160">
        <f t="shared" si="505"/>
        <v>1.9500000000698492</v>
      </c>
      <c r="S3034" s="158">
        <f t="shared" si="506"/>
        <v>0.53181818183723162</v>
      </c>
      <c r="T3034" s="161">
        <f t="shared" si="507"/>
        <v>157.41818182382056</v>
      </c>
      <c r="U3034" s="158">
        <f t="shared" si="509"/>
        <v>80.727272727272734</v>
      </c>
      <c r="V3034" s="160">
        <f t="shared" si="508"/>
        <v>81</v>
      </c>
    </row>
    <row r="3035" spans="1:22" x14ac:dyDescent="0.25">
      <c r="A3035" s="98" t="s">
        <v>35</v>
      </c>
      <c r="B3035" s="98" t="s">
        <v>79</v>
      </c>
      <c r="C3035" s="98">
        <v>23</v>
      </c>
      <c r="D3035" s="98">
        <v>1160</v>
      </c>
      <c r="E3035" s="157">
        <v>41663.958333333336</v>
      </c>
      <c r="F3035" s="157">
        <v>41664.284722222219</v>
      </c>
      <c r="G3035" s="98">
        <v>0</v>
      </c>
      <c r="H3035" s="98">
        <v>330</v>
      </c>
      <c r="I3035" s="98">
        <v>296</v>
      </c>
      <c r="J3035" s="98" t="s">
        <v>2273</v>
      </c>
      <c r="K3035" s="98" t="s">
        <v>1409</v>
      </c>
      <c r="L3035" s="105" t="str">
        <f t="shared" si="500"/>
        <v>Mill Creek</v>
      </c>
      <c r="M3035" s="105" t="str">
        <f t="shared" si="501"/>
        <v>Other</v>
      </c>
      <c r="N3035" s="105" t="str">
        <f t="shared" si="502"/>
        <v>Coal</v>
      </c>
      <c r="O3035" s="105">
        <f>IFERROR(VLOOKUP(A3035,Lookup!$J$5:$P$19,7,FALSE),0)</f>
        <v>2</v>
      </c>
      <c r="P3035" s="159">
        <f t="shared" si="503"/>
        <v>2014</v>
      </c>
      <c r="Q3035" s="159">
        <f t="shared" si="504"/>
        <v>1</v>
      </c>
      <c r="R3035" s="160">
        <f t="shared" si="505"/>
        <v>7.8333333331975155</v>
      </c>
      <c r="S3035" s="158">
        <f t="shared" si="506"/>
        <v>7.8333333331975155</v>
      </c>
      <c r="T3035" s="161">
        <f t="shared" si="507"/>
        <v>2318.6666666264646</v>
      </c>
      <c r="U3035" s="158">
        <f t="shared" si="509"/>
        <v>296</v>
      </c>
      <c r="V3035" s="160">
        <f t="shared" si="508"/>
        <v>296</v>
      </c>
    </row>
    <row r="3036" spans="1:22" x14ac:dyDescent="0.25">
      <c r="A3036" s="98" t="s">
        <v>35</v>
      </c>
      <c r="B3036" s="98" t="s">
        <v>15</v>
      </c>
      <c r="C3036" s="98">
        <v>24</v>
      </c>
      <c r="D3036" s="98">
        <v>4267</v>
      </c>
      <c r="E3036" s="157">
        <v>41664.924305555556</v>
      </c>
      <c r="F3036" s="157">
        <v>41665.522222222222</v>
      </c>
      <c r="G3036" s="98">
        <v>0</v>
      </c>
      <c r="H3036" s="98">
        <v>330</v>
      </c>
      <c r="I3036" s="98">
        <v>296</v>
      </c>
      <c r="J3036" s="98" t="s">
        <v>2025</v>
      </c>
      <c r="K3036" s="98" t="s">
        <v>695</v>
      </c>
      <c r="L3036" s="105" t="str">
        <f t="shared" si="500"/>
        <v>Mill Creek</v>
      </c>
      <c r="M3036" s="105" t="str">
        <f t="shared" si="501"/>
        <v>Outage</v>
      </c>
      <c r="N3036" s="105" t="str">
        <f t="shared" si="502"/>
        <v>Coal</v>
      </c>
      <c r="O3036" s="105">
        <f>IFERROR(VLOOKUP(A3036,Lookup!$J$5:$P$19,7,FALSE),0)</f>
        <v>2</v>
      </c>
      <c r="P3036" s="159">
        <f t="shared" si="503"/>
        <v>2014</v>
      </c>
      <c r="Q3036" s="159">
        <f t="shared" si="504"/>
        <v>1</v>
      </c>
      <c r="R3036" s="160">
        <f t="shared" si="505"/>
        <v>14.349999999976717</v>
      </c>
      <c r="S3036" s="158">
        <f t="shared" si="506"/>
        <v>14.349999999976717</v>
      </c>
      <c r="T3036" s="161">
        <f t="shared" si="507"/>
        <v>4247.5999999931082</v>
      </c>
      <c r="U3036" s="158">
        <f t="shared" si="509"/>
        <v>296</v>
      </c>
      <c r="V3036" s="160">
        <f t="shared" si="508"/>
        <v>296</v>
      </c>
    </row>
    <row r="3037" spans="1:22" x14ac:dyDescent="0.25">
      <c r="A3037" s="98" t="s">
        <v>35</v>
      </c>
      <c r="B3037" s="98" t="s">
        <v>17</v>
      </c>
      <c r="C3037" s="98">
        <v>27</v>
      </c>
      <c r="D3037" s="98">
        <v>1850</v>
      </c>
      <c r="E3037" s="157">
        <v>41665.260416666664</v>
      </c>
      <c r="F3037" s="157">
        <v>41666.338888888888</v>
      </c>
      <c r="G3037" s="98">
        <v>160</v>
      </c>
      <c r="H3037" s="98">
        <v>330</v>
      </c>
      <c r="I3037" s="98">
        <v>296</v>
      </c>
      <c r="J3037" s="98" t="s">
        <v>2263</v>
      </c>
      <c r="K3037" s="98" t="s">
        <v>41</v>
      </c>
      <c r="L3037" s="105" t="str">
        <f t="shared" si="500"/>
        <v>Mill Creek</v>
      </c>
      <c r="M3037" s="105" t="str">
        <f t="shared" si="501"/>
        <v>Derate</v>
      </c>
      <c r="N3037" s="105" t="str">
        <f t="shared" si="502"/>
        <v>Coal</v>
      </c>
      <c r="O3037" s="105">
        <f>IFERROR(VLOOKUP(A3037,Lookup!$J$5:$P$19,7,FALSE),0)</f>
        <v>2</v>
      </c>
      <c r="P3037" s="159">
        <f t="shared" si="503"/>
        <v>2014</v>
      </c>
      <c r="Q3037" s="159">
        <f t="shared" si="504"/>
        <v>1</v>
      </c>
      <c r="R3037" s="160">
        <f t="shared" si="505"/>
        <v>25.883333333360497</v>
      </c>
      <c r="S3037" s="158">
        <f t="shared" si="506"/>
        <v>13.333838383852378</v>
      </c>
      <c r="T3037" s="161">
        <f t="shared" si="507"/>
        <v>3946.8161616203038</v>
      </c>
      <c r="U3037" s="158">
        <f t="shared" si="509"/>
        <v>152.4848484848485</v>
      </c>
      <c r="V3037" s="160">
        <f t="shared" si="508"/>
        <v>152</v>
      </c>
    </row>
    <row r="3038" spans="1:22" x14ac:dyDescent="0.25">
      <c r="A3038" s="98" t="s">
        <v>35</v>
      </c>
      <c r="B3038" s="98" t="s">
        <v>17</v>
      </c>
      <c r="C3038" s="98">
        <v>25</v>
      </c>
      <c r="D3038" s="98">
        <v>310</v>
      </c>
      <c r="E3038" s="157">
        <v>41665.522222222222</v>
      </c>
      <c r="F3038" s="157">
        <v>41665.772222222222</v>
      </c>
      <c r="G3038" s="98">
        <v>240</v>
      </c>
      <c r="H3038" s="98">
        <v>330</v>
      </c>
      <c r="I3038" s="98">
        <v>296</v>
      </c>
      <c r="J3038" s="98" t="s">
        <v>1966</v>
      </c>
      <c r="K3038" s="98" t="s">
        <v>1484</v>
      </c>
      <c r="L3038" s="105" t="str">
        <f t="shared" si="500"/>
        <v>Mill Creek</v>
      </c>
      <c r="M3038" s="105" t="str">
        <f t="shared" si="501"/>
        <v>Derate</v>
      </c>
      <c r="N3038" s="105" t="str">
        <f t="shared" si="502"/>
        <v>Coal</v>
      </c>
      <c r="O3038" s="105">
        <f>IFERROR(VLOOKUP(A3038,Lookup!$J$5:$P$19,7,FALSE),0)</f>
        <v>2</v>
      </c>
      <c r="P3038" s="159">
        <f t="shared" si="503"/>
        <v>2014</v>
      </c>
      <c r="Q3038" s="159">
        <f t="shared" si="504"/>
        <v>1</v>
      </c>
      <c r="R3038" s="160">
        <f t="shared" si="505"/>
        <v>6</v>
      </c>
      <c r="S3038" s="158">
        <f t="shared" si="506"/>
        <v>1.6363636363636365</v>
      </c>
      <c r="T3038" s="161">
        <f t="shared" si="507"/>
        <v>484.36363636363637</v>
      </c>
      <c r="U3038" s="158">
        <f t="shared" si="509"/>
        <v>80.727272727272734</v>
      </c>
      <c r="V3038" s="160">
        <f t="shared" si="508"/>
        <v>81</v>
      </c>
    </row>
    <row r="3039" spans="1:22" x14ac:dyDescent="0.25">
      <c r="A3039" s="98" t="s">
        <v>35</v>
      </c>
      <c r="B3039" s="98" t="s">
        <v>17</v>
      </c>
      <c r="C3039" s="98">
        <v>26</v>
      </c>
      <c r="D3039" s="98">
        <v>1850</v>
      </c>
      <c r="E3039" s="157">
        <v>41665.772222222222</v>
      </c>
      <c r="F3039" s="157">
        <v>41666.260416666664</v>
      </c>
      <c r="G3039" s="98">
        <v>165</v>
      </c>
      <c r="H3039" s="98">
        <v>330</v>
      </c>
      <c r="I3039" s="98">
        <v>296</v>
      </c>
      <c r="J3039" s="98" t="s">
        <v>2263</v>
      </c>
      <c r="K3039" s="98" t="s">
        <v>41</v>
      </c>
      <c r="L3039" s="105" t="str">
        <f t="shared" si="500"/>
        <v>Mill Creek</v>
      </c>
      <c r="M3039" s="105" t="str">
        <f t="shared" si="501"/>
        <v>Derate</v>
      </c>
      <c r="N3039" s="105" t="str">
        <f t="shared" si="502"/>
        <v>Coal</v>
      </c>
      <c r="O3039" s="105">
        <f>IFERROR(VLOOKUP(A3039,Lookup!$J$5:$P$19,7,FALSE),0)</f>
        <v>2</v>
      </c>
      <c r="P3039" s="159">
        <f t="shared" si="503"/>
        <v>2014</v>
      </c>
      <c r="Q3039" s="159">
        <f t="shared" si="504"/>
        <v>1</v>
      </c>
      <c r="R3039" s="160">
        <f t="shared" si="505"/>
        <v>11.71666666661622</v>
      </c>
      <c r="S3039" s="158">
        <f t="shared" si="506"/>
        <v>5.85833333330811</v>
      </c>
      <c r="T3039" s="161">
        <f t="shared" si="507"/>
        <v>1734.0666666592006</v>
      </c>
      <c r="U3039" s="158">
        <f t="shared" si="509"/>
        <v>148</v>
      </c>
      <c r="V3039" s="160">
        <f t="shared" si="508"/>
        <v>148</v>
      </c>
    </row>
    <row r="3040" spans="1:22" x14ac:dyDescent="0.25">
      <c r="A3040" s="98" t="s">
        <v>35</v>
      </c>
      <c r="B3040" s="98" t="s">
        <v>17</v>
      </c>
      <c r="C3040" s="98">
        <v>28</v>
      </c>
      <c r="D3040" s="98">
        <v>1850</v>
      </c>
      <c r="E3040" s="157">
        <v>41666.338888888888</v>
      </c>
      <c r="F3040" s="157">
        <v>41666.413194444445</v>
      </c>
      <c r="G3040" s="98">
        <v>190</v>
      </c>
      <c r="H3040" s="98">
        <v>330</v>
      </c>
      <c r="I3040" s="98">
        <v>296</v>
      </c>
      <c r="J3040" s="98" t="s">
        <v>2263</v>
      </c>
      <c r="K3040" s="98" t="s">
        <v>41</v>
      </c>
      <c r="L3040" s="105" t="str">
        <f t="shared" si="500"/>
        <v>Mill Creek</v>
      </c>
      <c r="M3040" s="105" t="str">
        <f t="shared" si="501"/>
        <v>Derate</v>
      </c>
      <c r="N3040" s="105" t="str">
        <f t="shared" si="502"/>
        <v>Coal</v>
      </c>
      <c r="O3040" s="105">
        <f>IFERROR(VLOOKUP(A3040,Lookup!$J$5:$P$19,7,FALSE),0)</f>
        <v>2</v>
      </c>
      <c r="P3040" s="159">
        <f t="shared" si="503"/>
        <v>2014</v>
      </c>
      <c r="Q3040" s="159">
        <f t="shared" si="504"/>
        <v>1</v>
      </c>
      <c r="R3040" s="160">
        <f t="shared" si="505"/>
        <v>1.78333333338378</v>
      </c>
      <c r="S3040" s="158">
        <f t="shared" si="506"/>
        <v>0.75656565658705821</v>
      </c>
      <c r="T3040" s="161">
        <f t="shared" si="507"/>
        <v>223.94343434976923</v>
      </c>
      <c r="U3040" s="158">
        <f t="shared" si="509"/>
        <v>125.57575757575758</v>
      </c>
      <c r="V3040" s="160">
        <f t="shared" si="508"/>
        <v>126</v>
      </c>
    </row>
    <row r="3041" spans="1:22" x14ac:dyDescent="0.25">
      <c r="A3041" s="98" t="s">
        <v>35</v>
      </c>
      <c r="B3041" s="98" t="s">
        <v>17</v>
      </c>
      <c r="C3041" s="98">
        <v>29</v>
      </c>
      <c r="D3041" s="98">
        <v>310</v>
      </c>
      <c r="E3041" s="157">
        <v>41666.413194444445</v>
      </c>
      <c r="F3041" s="157">
        <v>41666.580555555556</v>
      </c>
      <c r="G3041" s="98">
        <v>245</v>
      </c>
      <c r="H3041" s="98">
        <v>330</v>
      </c>
      <c r="I3041" s="98">
        <v>296</v>
      </c>
      <c r="J3041" s="98" t="s">
        <v>1966</v>
      </c>
      <c r="K3041" s="98" t="s">
        <v>1485</v>
      </c>
      <c r="L3041" s="105" t="str">
        <f t="shared" si="500"/>
        <v>Mill Creek</v>
      </c>
      <c r="M3041" s="105" t="str">
        <f t="shared" si="501"/>
        <v>Derate</v>
      </c>
      <c r="N3041" s="105" t="str">
        <f t="shared" si="502"/>
        <v>Coal</v>
      </c>
      <c r="O3041" s="105">
        <f>IFERROR(VLOOKUP(A3041,Lookup!$J$5:$P$19,7,FALSE),0)</f>
        <v>2</v>
      </c>
      <c r="P3041" s="159">
        <f t="shared" si="503"/>
        <v>2014</v>
      </c>
      <c r="Q3041" s="159">
        <f t="shared" si="504"/>
        <v>1</v>
      </c>
      <c r="R3041" s="160">
        <f t="shared" si="505"/>
        <v>4.0166666666627862</v>
      </c>
      <c r="S3041" s="158">
        <f t="shared" si="506"/>
        <v>1.0345959595949601</v>
      </c>
      <c r="T3041" s="161">
        <f t="shared" si="507"/>
        <v>306.24040404010816</v>
      </c>
      <c r="U3041" s="158">
        <f t="shared" si="509"/>
        <v>76.242424242424249</v>
      </c>
      <c r="V3041" s="160">
        <f t="shared" si="508"/>
        <v>76</v>
      </c>
    </row>
    <row r="3042" spans="1:22" x14ac:dyDescent="0.25">
      <c r="A3042" s="98" t="s">
        <v>35</v>
      </c>
      <c r="B3042" s="98" t="s">
        <v>17</v>
      </c>
      <c r="C3042" s="98">
        <v>30</v>
      </c>
      <c r="D3042" s="98">
        <v>310</v>
      </c>
      <c r="E3042" s="157">
        <v>41666.580555555556</v>
      </c>
      <c r="F3042" s="157">
        <v>41666.661111111112</v>
      </c>
      <c r="G3042" s="98">
        <v>270</v>
      </c>
      <c r="H3042" s="98">
        <v>330</v>
      </c>
      <c r="I3042" s="98">
        <v>296</v>
      </c>
      <c r="J3042" s="98" t="s">
        <v>1966</v>
      </c>
      <c r="K3042" s="98" t="s">
        <v>1485</v>
      </c>
      <c r="L3042" s="105" t="str">
        <f t="shared" si="500"/>
        <v>Mill Creek</v>
      </c>
      <c r="M3042" s="105" t="str">
        <f t="shared" si="501"/>
        <v>Derate</v>
      </c>
      <c r="N3042" s="105" t="str">
        <f t="shared" si="502"/>
        <v>Coal</v>
      </c>
      <c r="O3042" s="105">
        <f>IFERROR(VLOOKUP(A3042,Lookup!$J$5:$P$19,7,FALSE),0)</f>
        <v>2</v>
      </c>
      <c r="P3042" s="159">
        <f t="shared" si="503"/>
        <v>2014</v>
      </c>
      <c r="Q3042" s="159">
        <f t="shared" si="504"/>
        <v>1</v>
      </c>
      <c r="R3042" s="160">
        <f t="shared" si="505"/>
        <v>1.9333333333488554</v>
      </c>
      <c r="S3042" s="158">
        <f t="shared" si="506"/>
        <v>0.35151515151797369</v>
      </c>
      <c r="T3042" s="161">
        <f t="shared" si="507"/>
        <v>104.04848484932022</v>
      </c>
      <c r="U3042" s="158">
        <f t="shared" si="509"/>
        <v>53.81818181818182</v>
      </c>
      <c r="V3042" s="160">
        <f t="shared" si="508"/>
        <v>54</v>
      </c>
    </row>
    <row r="3043" spans="1:22" x14ac:dyDescent="0.25">
      <c r="A3043" s="98" t="s">
        <v>35</v>
      </c>
      <c r="B3043" s="98" t="s">
        <v>17</v>
      </c>
      <c r="C3043" s="98">
        <v>31</v>
      </c>
      <c r="D3043" s="98">
        <v>310</v>
      </c>
      <c r="E3043" s="157">
        <v>41666.661111111112</v>
      </c>
      <c r="F3043" s="157">
        <v>41666.693749999999</v>
      </c>
      <c r="G3043" s="98">
        <v>240</v>
      </c>
      <c r="H3043" s="98">
        <v>330</v>
      </c>
      <c r="I3043" s="98">
        <v>296</v>
      </c>
      <c r="J3043" s="98" t="s">
        <v>1966</v>
      </c>
      <c r="K3043" s="98" t="s">
        <v>1485</v>
      </c>
      <c r="L3043" s="105" t="str">
        <f t="shared" si="500"/>
        <v>Mill Creek</v>
      </c>
      <c r="M3043" s="105" t="str">
        <f t="shared" si="501"/>
        <v>Derate</v>
      </c>
      <c r="N3043" s="105" t="str">
        <f t="shared" si="502"/>
        <v>Coal</v>
      </c>
      <c r="O3043" s="105">
        <f>IFERROR(VLOOKUP(A3043,Lookup!$J$5:$P$19,7,FALSE),0)</f>
        <v>2</v>
      </c>
      <c r="P3043" s="159">
        <f t="shared" si="503"/>
        <v>2014</v>
      </c>
      <c r="Q3043" s="159">
        <f t="shared" si="504"/>
        <v>1</v>
      </c>
      <c r="R3043" s="160">
        <f t="shared" si="505"/>
        <v>0.78333333326736465</v>
      </c>
      <c r="S3043" s="158">
        <f t="shared" si="506"/>
        <v>0.21363636361837218</v>
      </c>
      <c r="T3043" s="161">
        <f t="shared" si="507"/>
        <v>63.236363631038166</v>
      </c>
      <c r="U3043" s="158">
        <f t="shared" si="509"/>
        <v>80.727272727272734</v>
      </c>
      <c r="V3043" s="160">
        <f t="shared" si="508"/>
        <v>81</v>
      </c>
    </row>
    <row r="3044" spans="1:22" x14ac:dyDescent="0.25">
      <c r="A3044" s="98" t="s">
        <v>35</v>
      </c>
      <c r="B3044" s="98" t="s">
        <v>17</v>
      </c>
      <c r="C3044" s="98">
        <v>32</v>
      </c>
      <c r="D3044" s="98">
        <v>310</v>
      </c>
      <c r="E3044" s="157">
        <v>41666.693749999999</v>
      </c>
      <c r="F3044" s="157">
        <v>41666.86041666667</v>
      </c>
      <c r="G3044" s="98">
        <v>270</v>
      </c>
      <c r="H3044" s="98">
        <v>330</v>
      </c>
      <c r="I3044" s="98">
        <v>296</v>
      </c>
      <c r="J3044" s="98" t="s">
        <v>1966</v>
      </c>
      <c r="K3044" s="98" t="s">
        <v>1485</v>
      </c>
      <c r="L3044" s="105" t="str">
        <f t="shared" si="500"/>
        <v>Mill Creek</v>
      </c>
      <c r="M3044" s="105" t="str">
        <f t="shared" si="501"/>
        <v>Derate</v>
      </c>
      <c r="N3044" s="105" t="str">
        <f t="shared" si="502"/>
        <v>Coal</v>
      </c>
      <c r="O3044" s="105">
        <f>IFERROR(VLOOKUP(A3044,Lookup!$J$5:$P$19,7,FALSE),0)</f>
        <v>2</v>
      </c>
      <c r="P3044" s="159">
        <f t="shared" si="503"/>
        <v>2014</v>
      </c>
      <c r="Q3044" s="159">
        <f t="shared" si="504"/>
        <v>1</v>
      </c>
      <c r="R3044" s="160">
        <f t="shared" si="505"/>
        <v>4.0000000001164153</v>
      </c>
      <c r="S3044" s="158">
        <f t="shared" si="506"/>
        <v>0.72727272729389369</v>
      </c>
      <c r="T3044" s="161">
        <f t="shared" si="507"/>
        <v>215.27272727899253</v>
      </c>
      <c r="U3044" s="158">
        <f t="shared" si="509"/>
        <v>53.81818181818182</v>
      </c>
      <c r="V3044" s="160">
        <f t="shared" si="508"/>
        <v>54</v>
      </c>
    </row>
    <row r="3045" spans="1:22" x14ac:dyDescent="0.25">
      <c r="A3045" s="98" t="s">
        <v>35</v>
      </c>
      <c r="B3045" s="98" t="s">
        <v>79</v>
      </c>
      <c r="C3045" s="98">
        <v>33</v>
      </c>
      <c r="D3045" s="98">
        <v>1160</v>
      </c>
      <c r="E3045" s="157">
        <v>41668.875</v>
      </c>
      <c r="F3045" s="157">
        <v>41669.079861111109</v>
      </c>
      <c r="G3045" s="98">
        <v>0</v>
      </c>
      <c r="H3045" s="98">
        <v>330</v>
      </c>
      <c r="I3045" s="98">
        <v>296</v>
      </c>
      <c r="J3045" s="98" t="s">
        <v>2273</v>
      </c>
      <c r="K3045" s="98" t="s">
        <v>1409</v>
      </c>
      <c r="L3045" s="105" t="str">
        <f t="shared" si="500"/>
        <v>Mill Creek</v>
      </c>
      <c r="M3045" s="105" t="str">
        <f t="shared" si="501"/>
        <v>Other</v>
      </c>
      <c r="N3045" s="105" t="str">
        <f t="shared" si="502"/>
        <v>Coal</v>
      </c>
      <c r="O3045" s="105">
        <f>IFERROR(VLOOKUP(A3045,Lookup!$J$5:$P$19,7,FALSE),0)</f>
        <v>2</v>
      </c>
      <c r="P3045" s="159">
        <f t="shared" si="503"/>
        <v>2014</v>
      </c>
      <c r="Q3045" s="159">
        <f t="shared" si="504"/>
        <v>1</v>
      </c>
      <c r="R3045" s="160">
        <f t="shared" si="505"/>
        <v>4.9166666666278616</v>
      </c>
      <c r="S3045" s="158">
        <f t="shared" si="506"/>
        <v>4.9166666666278616</v>
      </c>
      <c r="T3045" s="161">
        <f t="shared" si="507"/>
        <v>1455.333333321847</v>
      </c>
      <c r="U3045" s="158">
        <f t="shared" si="509"/>
        <v>296</v>
      </c>
      <c r="V3045" s="160">
        <f t="shared" si="508"/>
        <v>296</v>
      </c>
    </row>
    <row r="3046" spans="1:22" x14ac:dyDescent="0.25">
      <c r="A3046" s="98" t="s">
        <v>35</v>
      </c>
      <c r="B3046" s="98" t="s">
        <v>79</v>
      </c>
      <c r="C3046" s="98">
        <v>34</v>
      </c>
      <c r="D3046" s="98">
        <v>1160</v>
      </c>
      <c r="E3046" s="157">
        <v>41669.927083333336</v>
      </c>
      <c r="F3046" s="157">
        <v>41670.166666666664</v>
      </c>
      <c r="G3046" s="98">
        <v>0</v>
      </c>
      <c r="H3046" s="98">
        <v>330</v>
      </c>
      <c r="I3046" s="98">
        <v>296</v>
      </c>
      <c r="J3046" s="98" t="s">
        <v>2273</v>
      </c>
      <c r="K3046" s="98" t="s">
        <v>1411</v>
      </c>
      <c r="L3046" s="105" t="str">
        <f t="shared" ref="L3046:L3109" si="510">IF(OR(A3046="BR1",A3046="BR2",A3046="BR3",A3046="BR5",A3046="BR6",A3046="BR7",A3046="BR8",A3046="BR9",A3046="BR10",A3046="BR11"),"Brown",IF(OR(A3046="CR4",A3046="CR5",A3046="CR6",A3046="CR11"),"Cane Run",IF(OR(A3046="GH1",A3046="GH2",A3046="GH3",A3046="GH4"),"Ghent",IF(OR(A3046="GR3",A3046="GR4"),"Green River",IF(OR(A3046="MC1",A3046="MC2",A3046="MC3",A3046="MC4"),"Mill Creek",IF(OR(A3046="TC1",A3046="TC2",A3046="TC5",A3046="TC6",A3046="TC7",A3046="TC8",A3046="TC9",A3046="TC10"),"Trimble",IF(A3046="TY3","Tyrone",IF(OR(A3046="HA1",A3046="HA2",A3046="HA3"),"Haeflin",IF(OR(A3046="PR11",A3046="PR12",A3046="PR13"),"Paddy's Run","Zorn")))))))))</f>
        <v>Mill Creek</v>
      </c>
      <c r="M3046" s="105" t="str">
        <f t="shared" ref="M3046:M3109" si="511">IF(OR(B3046="D1",B3046="D2",B3046="D3",B3046="D4",B3046="PD"),"Derate",IF(OR(B3046="SF",B3046="U1",B3046="U2",B3046="U3"),"Outage",IF(OR(B3046="ME",B3046="MO"),"Maintenance","Other")))</f>
        <v>Other</v>
      </c>
      <c r="N3046" s="105" t="str">
        <f t="shared" ref="N3046:N3109" si="512">IF(OR(A3046="BR1",A3046="BR2",A3046="BR3",A3046="CR4",A3046="CR5",A3046="CR6",A3046="GH1",A3046="GH2",A3046="GH3",A3046="GH4",A3046="GR3",A3046="GR4",A3046="MC1",A3046="MC2",A3046="MC3",A3046="MC4",A3046="TC1",A3046="TC2",A3046="TY3"),"Coal","Gas")</f>
        <v>Coal</v>
      </c>
      <c r="O3046" s="105">
        <f>IFERROR(VLOOKUP(A3046,Lookup!$J$5:$P$19,7,FALSE),0)</f>
        <v>2</v>
      </c>
      <c r="P3046" s="159">
        <f t="shared" ref="P3046:P3109" si="513">YEAR(E3046)</f>
        <v>2014</v>
      </c>
      <c r="Q3046" s="159">
        <f t="shared" ref="Q3046:Q3109" si="514">MONTH(E3046)</f>
        <v>1</v>
      </c>
      <c r="R3046" s="160">
        <f t="shared" ref="R3046:R3109" si="515">(F3046-E3046)*24</f>
        <v>5.7499999998835847</v>
      </c>
      <c r="S3046" s="158">
        <f t="shared" ref="S3046:S3109" si="516">R3046*(H3046-G3046)/H3046</f>
        <v>5.7499999998835847</v>
      </c>
      <c r="T3046" s="161">
        <f t="shared" ref="T3046:T3109" si="517">S3046*I3046</f>
        <v>1701.9999999655411</v>
      </c>
      <c r="U3046" s="158">
        <f t="shared" si="509"/>
        <v>296</v>
      </c>
      <c r="V3046" s="160">
        <f t="shared" ref="V3046:V3109" si="518">ROUND(U3046,0)</f>
        <v>296</v>
      </c>
    </row>
    <row r="3047" spans="1:22" x14ac:dyDescent="0.25">
      <c r="A3047" s="98" t="s">
        <v>35</v>
      </c>
      <c r="B3047" s="98" t="s">
        <v>15</v>
      </c>
      <c r="C3047" s="98">
        <v>35</v>
      </c>
      <c r="D3047" s="98">
        <v>3149</v>
      </c>
      <c r="E3047" s="157">
        <v>41671.984027777777</v>
      </c>
      <c r="F3047" s="157">
        <v>41672.274305555555</v>
      </c>
      <c r="G3047" s="98">
        <v>0</v>
      </c>
      <c r="H3047" s="98">
        <v>330</v>
      </c>
      <c r="I3047" s="98">
        <v>296</v>
      </c>
      <c r="J3047" s="98" t="s">
        <v>2034</v>
      </c>
      <c r="K3047" s="98" t="s">
        <v>242</v>
      </c>
      <c r="L3047" s="105" t="str">
        <f t="shared" si="510"/>
        <v>Mill Creek</v>
      </c>
      <c r="M3047" s="105" t="str">
        <f t="shared" si="511"/>
        <v>Outage</v>
      </c>
      <c r="N3047" s="105" t="str">
        <f t="shared" si="512"/>
        <v>Coal</v>
      </c>
      <c r="O3047" s="105">
        <f>IFERROR(VLOOKUP(A3047,Lookup!$J$5:$P$19,7,FALSE),0)</f>
        <v>2</v>
      </c>
      <c r="P3047" s="159">
        <f t="shared" si="513"/>
        <v>2014</v>
      </c>
      <c r="Q3047" s="159">
        <f t="shared" si="514"/>
        <v>2</v>
      </c>
      <c r="R3047" s="160">
        <f t="shared" si="515"/>
        <v>6.9666666666744277</v>
      </c>
      <c r="S3047" s="158">
        <f t="shared" si="516"/>
        <v>6.9666666666744277</v>
      </c>
      <c r="T3047" s="161">
        <f t="shared" si="517"/>
        <v>2062.1333333356306</v>
      </c>
      <c r="U3047" s="158">
        <f t="shared" ref="U3047:U3110" si="519">IF(G3047&gt;0,MAX((H3047-G3047),0)*I3047/H3047,I3047)</f>
        <v>296</v>
      </c>
      <c r="V3047" s="160">
        <f t="shared" si="518"/>
        <v>296</v>
      </c>
    </row>
    <row r="3048" spans="1:22" x14ac:dyDescent="0.25">
      <c r="A3048" s="98" t="s">
        <v>35</v>
      </c>
      <c r="B3048" s="98" t="s">
        <v>79</v>
      </c>
      <c r="C3048" s="98">
        <v>36</v>
      </c>
      <c r="D3048" s="98">
        <v>1850</v>
      </c>
      <c r="E3048" s="157">
        <v>41672.274305555555</v>
      </c>
      <c r="F3048" s="157">
        <v>41672.59375</v>
      </c>
      <c r="G3048" s="98">
        <v>0</v>
      </c>
      <c r="H3048" s="98">
        <v>330</v>
      </c>
      <c r="I3048" s="98">
        <v>296</v>
      </c>
      <c r="J3048" s="98" t="s">
        <v>2263</v>
      </c>
      <c r="K3048" s="98" t="s">
        <v>86</v>
      </c>
      <c r="L3048" s="105" t="str">
        <f t="shared" si="510"/>
        <v>Mill Creek</v>
      </c>
      <c r="M3048" s="105" t="str">
        <f t="shared" si="511"/>
        <v>Other</v>
      </c>
      <c r="N3048" s="105" t="str">
        <f t="shared" si="512"/>
        <v>Coal</v>
      </c>
      <c r="O3048" s="105">
        <f>IFERROR(VLOOKUP(A3048,Lookup!$J$5:$P$19,7,FALSE),0)</f>
        <v>2</v>
      </c>
      <c r="P3048" s="159">
        <f t="shared" si="513"/>
        <v>2014</v>
      </c>
      <c r="Q3048" s="159">
        <f t="shared" si="514"/>
        <v>2</v>
      </c>
      <c r="R3048" s="160">
        <f t="shared" si="515"/>
        <v>7.6666666666860692</v>
      </c>
      <c r="S3048" s="158">
        <f t="shared" si="516"/>
        <v>7.6666666666860692</v>
      </c>
      <c r="T3048" s="161">
        <f t="shared" si="517"/>
        <v>2269.3333333390765</v>
      </c>
      <c r="U3048" s="158">
        <f t="shared" si="519"/>
        <v>296</v>
      </c>
      <c r="V3048" s="160">
        <f t="shared" si="518"/>
        <v>296</v>
      </c>
    </row>
    <row r="3049" spans="1:22" x14ac:dyDescent="0.25">
      <c r="A3049" s="98" t="s">
        <v>35</v>
      </c>
      <c r="B3049" s="98" t="s">
        <v>17</v>
      </c>
      <c r="C3049" s="98">
        <v>37</v>
      </c>
      <c r="D3049" s="98">
        <v>1850</v>
      </c>
      <c r="E3049" s="157">
        <v>41672.59375</v>
      </c>
      <c r="F3049" s="157">
        <v>41672.916666666664</v>
      </c>
      <c r="G3049" s="98">
        <v>260</v>
      </c>
      <c r="H3049" s="98">
        <v>330</v>
      </c>
      <c r="I3049" s="98">
        <v>296</v>
      </c>
      <c r="J3049" s="98" t="s">
        <v>2263</v>
      </c>
      <c r="K3049" s="98" t="s">
        <v>41</v>
      </c>
      <c r="L3049" s="105" t="str">
        <f t="shared" si="510"/>
        <v>Mill Creek</v>
      </c>
      <c r="M3049" s="105" t="str">
        <f t="shared" si="511"/>
        <v>Derate</v>
      </c>
      <c r="N3049" s="105" t="str">
        <f t="shared" si="512"/>
        <v>Coal</v>
      </c>
      <c r="O3049" s="105">
        <f>IFERROR(VLOOKUP(A3049,Lookup!$J$5:$P$19,7,FALSE),0)</f>
        <v>2</v>
      </c>
      <c r="P3049" s="159">
        <f t="shared" si="513"/>
        <v>2014</v>
      </c>
      <c r="Q3049" s="159">
        <f t="shared" si="514"/>
        <v>2</v>
      </c>
      <c r="R3049" s="160">
        <f t="shared" si="515"/>
        <v>7.7499999999417923</v>
      </c>
      <c r="S3049" s="158">
        <f t="shared" si="516"/>
        <v>1.6439393939270468</v>
      </c>
      <c r="T3049" s="161">
        <f t="shared" si="517"/>
        <v>486.60606060240588</v>
      </c>
      <c r="U3049" s="158">
        <f t="shared" si="519"/>
        <v>62.787878787878789</v>
      </c>
      <c r="V3049" s="160">
        <f t="shared" si="518"/>
        <v>63</v>
      </c>
    </row>
    <row r="3050" spans="1:22" x14ac:dyDescent="0.25">
      <c r="A3050" s="98" t="s">
        <v>35</v>
      </c>
      <c r="B3050" s="98" t="s">
        <v>105</v>
      </c>
      <c r="C3050" s="98">
        <v>38</v>
      </c>
      <c r="D3050" s="98">
        <v>310</v>
      </c>
      <c r="E3050" s="157">
        <v>41672.916666666664</v>
      </c>
      <c r="F3050" s="157">
        <v>41673.267361111109</v>
      </c>
      <c r="G3050" s="98">
        <v>240</v>
      </c>
      <c r="H3050" s="98">
        <v>330</v>
      </c>
      <c r="I3050" s="98">
        <v>296</v>
      </c>
      <c r="J3050" s="98" t="s">
        <v>1966</v>
      </c>
      <c r="K3050" s="98" t="s">
        <v>117</v>
      </c>
      <c r="L3050" s="105" t="str">
        <f t="shared" si="510"/>
        <v>Mill Creek</v>
      </c>
      <c r="M3050" s="105" t="str">
        <f t="shared" si="511"/>
        <v>Derate</v>
      </c>
      <c r="N3050" s="105" t="str">
        <f t="shared" si="512"/>
        <v>Coal</v>
      </c>
      <c r="O3050" s="105">
        <f>IFERROR(VLOOKUP(A3050,Lookup!$J$5:$P$19,7,FALSE),0)</f>
        <v>2</v>
      </c>
      <c r="P3050" s="159">
        <f t="shared" si="513"/>
        <v>2014</v>
      </c>
      <c r="Q3050" s="159">
        <f t="shared" si="514"/>
        <v>2</v>
      </c>
      <c r="R3050" s="160">
        <f t="shared" si="515"/>
        <v>8.4166666666860692</v>
      </c>
      <c r="S3050" s="158">
        <f t="shared" si="516"/>
        <v>2.2954545454598372</v>
      </c>
      <c r="T3050" s="161">
        <f t="shared" si="517"/>
        <v>679.45454545611176</v>
      </c>
      <c r="U3050" s="158">
        <f t="shared" si="519"/>
        <v>80.727272727272734</v>
      </c>
      <c r="V3050" s="160">
        <f t="shared" si="518"/>
        <v>81</v>
      </c>
    </row>
    <row r="3051" spans="1:22" x14ac:dyDescent="0.25">
      <c r="A3051" s="98" t="s">
        <v>35</v>
      </c>
      <c r="B3051" s="98" t="s">
        <v>17</v>
      </c>
      <c r="C3051" s="98">
        <v>39</v>
      </c>
      <c r="D3051" s="98">
        <v>1700</v>
      </c>
      <c r="E3051" s="157">
        <v>41673.34375</v>
      </c>
      <c r="F3051" s="157">
        <v>41673.432638888888</v>
      </c>
      <c r="G3051" s="98">
        <v>280</v>
      </c>
      <c r="H3051" s="98">
        <v>330</v>
      </c>
      <c r="I3051" s="98">
        <v>296</v>
      </c>
      <c r="J3051" s="98" t="s">
        <v>2036</v>
      </c>
      <c r="K3051" s="98" t="s">
        <v>1486</v>
      </c>
      <c r="L3051" s="105" t="str">
        <f t="shared" si="510"/>
        <v>Mill Creek</v>
      </c>
      <c r="M3051" s="105" t="str">
        <f t="shared" si="511"/>
        <v>Derate</v>
      </c>
      <c r="N3051" s="105" t="str">
        <f t="shared" si="512"/>
        <v>Coal</v>
      </c>
      <c r="O3051" s="105">
        <f>IFERROR(VLOOKUP(A3051,Lookup!$J$5:$P$19,7,FALSE),0)</f>
        <v>2</v>
      </c>
      <c r="P3051" s="159">
        <f t="shared" si="513"/>
        <v>2014</v>
      </c>
      <c r="Q3051" s="159">
        <f t="shared" si="514"/>
        <v>2</v>
      </c>
      <c r="R3051" s="160">
        <f t="shared" si="515"/>
        <v>2.1333333333022892</v>
      </c>
      <c r="S3051" s="158">
        <f t="shared" si="516"/>
        <v>0.32323232322761958</v>
      </c>
      <c r="T3051" s="161">
        <f t="shared" si="517"/>
        <v>95.676767675375402</v>
      </c>
      <c r="U3051" s="158">
        <f t="shared" si="519"/>
        <v>44.848484848484851</v>
      </c>
      <c r="V3051" s="160">
        <f t="shared" si="518"/>
        <v>45</v>
      </c>
    </row>
    <row r="3052" spans="1:22" x14ac:dyDescent="0.25">
      <c r="A3052" s="98" t="s">
        <v>35</v>
      </c>
      <c r="B3052" s="98" t="s">
        <v>17</v>
      </c>
      <c r="C3052" s="98">
        <v>40</v>
      </c>
      <c r="D3052" s="98">
        <v>1850</v>
      </c>
      <c r="E3052" s="157">
        <v>41673.432638888888</v>
      </c>
      <c r="F3052" s="157">
        <v>41673.878472222219</v>
      </c>
      <c r="G3052" s="98">
        <v>320</v>
      </c>
      <c r="H3052" s="98">
        <v>330</v>
      </c>
      <c r="I3052" s="98">
        <v>296</v>
      </c>
      <c r="J3052" s="98" t="s">
        <v>2263</v>
      </c>
      <c r="K3052" s="98" t="s">
        <v>41</v>
      </c>
      <c r="L3052" s="105" t="str">
        <f t="shared" si="510"/>
        <v>Mill Creek</v>
      </c>
      <c r="M3052" s="105" t="str">
        <f t="shared" si="511"/>
        <v>Derate</v>
      </c>
      <c r="N3052" s="105" t="str">
        <f t="shared" si="512"/>
        <v>Coal</v>
      </c>
      <c r="O3052" s="105">
        <f>IFERROR(VLOOKUP(A3052,Lookup!$J$5:$P$19,7,FALSE),0)</f>
        <v>2</v>
      </c>
      <c r="P3052" s="159">
        <f t="shared" si="513"/>
        <v>2014</v>
      </c>
      <c r="Q3052" s="159">
        <f t="shared" si="514"/>
        <v>2</v>
      </c>
      <c r="R3052" s="160">
        <f t="shared" si="515"/>
        <v>10.699999999953434</v>
      </c>
      <c r="S3052" s="158">
        <f t="shared" si="516"/>
        <v>0.32424242424101313</v>
      </c>
      <c r="T3052" s="161">
        <f t="shared" si="517"/>
        <v>95.975757575339884</v>
      </c>
      <c r="U3052" s="158">
        <f t="shared" si="519"/>
        <v>8.9696969696969688</v>
      </c>
      <c r="V3052" s="160">
        <f t="shared" si="518"/>
        <v>9</v>
      </c>
    </row>
    <row r="3053" spans="1:22" x14ac:dyDescent="0.25">
      <c r="A3053" s="98" t="s">
        <v>35</v>
      </c>
      <c r="B3053" s="98" t="s">
        <v>105</v>
      </c>
      <c r="C3053" s="98">
        <v>41</v>
      </c>
      <c r="D3053" s="98">
        <v>310</v>
      </c>
      <c r="E3053" s="157">
        <v>41673.958333333336</v>
      </c>
      <c r="F3053" s="157">
        <v>41674.177083333336</v>
      </c>
      <c r="G3053" s="98">
        <v>240</v>
      </c>
      <c r="H3053" s="98">
        <v>330</v>
      </c>
      <c r="I3053" s="98">
        <v>296</v>
      </c>
      <c r="J3053" s="98" t="s">
        <v>1966</v>
      </c>
      <c r="K3053" s="98" t="s">
        <v>1487</v>
      </c>
      <c r="L3053" s="105" t="str">
        <f t="shared" si="510"/>
        <v>Mill Creek</v>
      </c>
      <c r="M3053" s="105" t="str">
        <f t="shared" si="511"/>
        <v>Derate</v>
      </c>
      <c r="N3053" s="105" t="str">
        <f t="shared" si="512"/>
        <v>Coal</v>
      </c>
      <c r="O3053" s="105">
        <f>IFERROR(VLOOKUP(A3053,Lookup!$J$5:$P$19,7,FALSE),0)</f>
        <v>2</v>
      </c>
      <c r="P3053" s="159">
        <f t="shared" si="513"/>
        <v>2014</v>
      </c>
      <c r="Q3053" s="159">
        <f t="shared" si="514"/>
        <v>2</v>
      </c>
      <c r="R3053" s="160">
        <f t="shared" si="515"/>
        <v>5.25</v>
      </c>
      <c r="S3053" s="158">
        <f t="shared" si="516"/>
        <v>1.4318181818181819</v>
      </c>
      <c r="T3053" s="161">
        <f t="shared" si="517"/>
        <v>423.81818181818181</v>
      </c>
      <c r="U3053" s="158">
        <f t="shared" si="519"/>
        <v>80.727272727272734</v>
      </c>
      <c r="V3053" s="160">
        <f t="shared" si="518"/>
        <v>81</v>
      </c>
    </row>
    <row r="3054" spans="1:22" x14ac:dyDescent="0.25">
      <c r="A3054" s="98" t="s">
        <v>35</v>
      </c>
      <c r="B3054" s="98" t="s">
        <v>105</v>
      </c>
      <c r="C3054" s="98">
        <v>42</v>
      </c>
      <c r="D3054" s="98">
        <v>310</v>
      </c>
      <c r="E3054" s="157">
        <v>41674.958333333336</v>
      </c>
      <c r="F3054" s="157">
        <v>41675.197916666664</v>
      </c>
      <c r="G3054" s="98">
        <v>240</v>
      </c>
      <c r="H3054" s="98">
        <v>330</v>
      </c>
      <c r="I3054" s="98">
        <v>296</v>
      </c>
      <c r="J3054" s="98" t="s">
        <v>1966</v>
      </c>
      <c r="K3054" s="98" t="s">
        <v>618</v>
      </c>
      <c r="L3054" s="105" t="str">
        <f t="shared" si="510"/>
        <v>Mill Creek</v>
      </c>
      <c r="M3054" s="105" t="str">
        <f t="shared" si="511"/>
        <v>Derate</v>
      </c>
      <c r="N3054" s="105" t="str">
        <f t="shared" si="512"/>
        <v>Coal</v>
      </c>
      <c r="O3054" s="105">
        <f>IFERROR(VLOOKUP(A3054,Lookup!$J$5:$P$19,7,FALSE),0)</f>
        <v>2</v>
      </c>
      <c r="P3054" s="159">
        <f t="shared" si="513"/>
        <v>2014</v>
      </c>
      <c r="Q3054" s="159">
        <f t="shared" si="514"/>
        <v>2</v>
      </c>
      <c r="R3054" s="160">
        <f t="shared" si="515"/>
        <v>5.7499999998835847</v>
      </c>
      <c r="S3054" s="158">
        <f t="shared" si="516"/>
        <v>1.5681818181500686</v>
      </c>
      <c r="T3054" s="161">
        <f t="shared" si="517"/>
        <v>464.18181817242032</v>
      </c>
      <c r="U3054" s="158">
        <f t="shared" si="519"/>
        <v>80.727272727272734</v>
      </c>
      <c r="V3054" s="160">
        <f t="shared" si="518"/>
        <v>81</v>
      </c>
    </row>
    <row r="3055" spans="1:22" x14ac:dyDescent="0.25">
      <c r="A3055" s="98" t="s">
        <v>35</v>
      </c>
      <c r="B3055" s="98" t="s">
        <v>17</v>
      </c>
      <c r="C3055" s="98">
        <v>43</v>
      </c>
      <c r="D3055" s="98">
        <v>250</v>
      </c>
      <c r="E3055" s="157">
        <v>41675.161805555559</v>
      </c>
      <c r="F3055" s="157">
        <v>41675.186805555553</v>
      </c>
      <c r="G3055" s="98">
        <v>190</v>
      </c>
      <c r="H3055" s="98">
        <v>330</v>
      </c>
      <c r="I3055" s="98">
        <v>296</v>
      </c>
      <c r="J3055" s="98" t="s">
        <v>1978</v>
      </c>
      <c r="K3055" s="98" t="s">
        <v>1488</v>
      </c>
      <c r="L3055" s="105" t="str">
        <f t="shared" si="510"/>
        <v>Mill Creek</v>
      </c>
      <c r="M3055" s="105" t="str">
        <f t="shared" si="511"/>
        <v>Derate</v>
      </c>
      <c r="N3055" s="105" t="str">
        <f t="shared" si="512"/>
        <v>Coal</v>
      </c>
      <c r="O3055" s="105">
        <f>IFERROR(VLOOKUP(A3055,Lookup!$J$5:$P$19,7,FALSE),0)</f>
        <v>2</v>
      </c>
      <c r="P3055" s="159">
        <f t="shared" si="513"/>
        <v>2014</v>
      </c>
      <c r="Q3055" s="159">
        <f t="shared" si="514"/>
        <v>2</v>
      </c>
      <c r="R3055" s="160">
        <f t="shared" si="515"/>
        <v>0.59999999986030161</v>
      </c>
      <c r="S3055" s="158">
        <f t="shared" si="516"/>
        <v>0.25454545448618854</v>
      </c>
      <c r="T3055" s="161">
        <f t="shared" si="517"/>
        <v>75.345454527911812</v>
      </c>
      <c r="U3055" s="158">
        <f t="shared" si="519"/>
        <v>125.57575757575758</v>
      </c>
      <c r="V3055" s="160">
        <f t="shared" si="518"/>
        <v>126</v>
      </c>
    </row>
    <row r="3056" spans="1:22" x14ac:dyDescent="0.25">
      <c r="A3056" s="98" t="s">
        <v>35</v>
      </c>
      <c r="B3056" s="98" t="s">
        <v>17</v>
      </c>
      <c r="C3056" s="98">
        <v>44</v>
      </c>
      <c r="D3056" s="98">
        <v>250</v>
      </c>
      <c r="E3056" s="157">
        <v>41675.241666666669</v>
      </c>
      <c r="F3056" s="157">
        <v>41675.330555555556</v>
      </c>
      <c r="G3056" s="98">
        <v>250</v>
      </c>
      <c r="H3056" s="98">
        <v>330</v>
      </c>
      <c r="I3056" s="98">
        <v>296</v>
      </c>
      <c r="J3056" s="98" t="s">
        <v>1978</v>
      </c>
      <c r="K3056" s="98" t="s">
        <v>93</v>
      </c>
      <c r="L3056" s="105" t="str">
        <f t="shared" si="510"/>
        <v>Mill Creek</v>
      </c>
      <c r="M3056" s="105" t="str">
        <f t="shared" si="511"/>
        <v>Derate</v>
      </c>
      <c r="N3056" s="105" t="str">
        <f t="shared" si="512"/>
        <v>Coal</v>
      </c>
      <c r="O3056" s="105">
        <f>IFERROR(VLOOKUP(A3056,Lookup!$J$5:$P$19,7,FALSE),0)</f>
        <v>2</v>
      </c>
      <c r="P3056" s="159">
        <f t="shared" si="513"/>
        <v>2014</v>
      </c>
      <c r="Q3056" s="159">
        <f t="shared" si="514"/>
        <v>2</v>
      </c>
      <c r="R3056" s="160">
        <f t="shared" si="515"/>
        <v>2.1333333333022892</v>
      </c>
      <c r="S3056" s="158">
        <f t="shared" si="516"/>
        <v>0.5171717171641913</v>
      </c>
      <c r="T3056" s="161">
        <f t="shared" si="517"/>
        <v>153.08282828060064</v>
      </c>
      <c r="U3056" s="158">
        <f t="shared" si="519"/>
        <v>71.757575757575751</v>
      </c>
      <c r="V3056" s="160">
        <f t="shared" si="518"/>
        <v>72</v>
      </c>
    </row>
    <row r="3057" spans="1:22" x14ac:dyDescent="0.25">
      <c r="A3057" s="98" t="s">
        <v>35</v>
      </c>
      <c r="B3057" s="98" t="s">
        <v>17</v>
      </c>
      <c r="C3057" s="98">
        <v>45</v>
      </c>
      <c r="D3057" s="98">
        <v>1850</v>
      </c>
      <c r="E3057" s="157">
        <v>41675.330555555556</v>
      </c>
      <c r="F3057" s="157">
        <v>41675.404861111114</v>
      </c>
      <c r="G3057" s="98">
        <v>305</v>
      </c>
      <c r="H3057" s="98">
        <v>330</v>
      </c>
      <c r="I3057" s="98">
        <v>296</v>
      </c>
      <c r="J3057" s="98" t="s">
        <v>2263</v>
      </c>
      <c r="K3057" s="98" t="s">
        <v>41</v>
      </c>
      <c r="L3057" s="105" t="str">
        <f t="shared" si="510"/>
        <v>Mill Creek</v>
      </c>
      <c r="M3057" s="105" t="str">
        <f t="shared" si="511"/>
        <v>Derate</v>
      </c>
      <c r="N3057" s="105" t="str">
        <f t="shared" si="512"/>
        <v>Coal</v>
      </c>
      <c r="O3057" s="105">
        <f>IFERROR(VLOOKUP(A3057,Lookup!$J$5:$P$19,7,FALSE),0)</f>
        <v>2</v>
      </c>
      <c r="P3057" s="159">
        <f t="shared" si="513"/>
        <v>2014</v>
      </c>
      <c r="Q3057" s="159">
        <f t="shared" si="514"/>
        <v>2</v>
      </c>
      <c r="R3057" s="160">
        <f t="shared" si="515"/>
        <v>1.78333333338378</v>
      </c>
      <c r="S3057" s="158">
        <f t="shared" si="516"/>
        <v>0.1351010101048318</v>
      </c>
      <c r="T3057" s="161">
        <f t="shared" si="517"/>
        <v>39.989898991030216</v>
      </c>
      <c r="U3057" s="158">
        <f t="shared" si="519"/>
        <v>22.424242424242426</v>
      </c>
      <c r="V3057" s="160">
        <f t="shared" si="518"/>
        <v>22</v>
      </c>
    </row>
    <row r="3058" spans="1:22" x14ac:dyDescent="0.25">
      <c r="A3058" s="98" t="s">
        <v>35</v>
      </c>
      <c r="B3058" s="98" t="s">
        <v>17</v>
      </c>
      <c r="C3058" s="98">
        <v>46</v>
      </c>
      <c r="D3058" s="98">
        <v>1850</v>
      </c>
      <c r="E3058" s="157">
        <v>41675.404861111114</v>
      </c>
      <c r="F3058" s="157">
        <v>41675.559027777781</v>
      </c>
      <c r="G3058" s="98">
        <v>314</v>
      </c>
      <c r="H3058" s="98">
        <v>330</v>
      </c>
      <c r="I3058" s="98">
        <v>296</v>
      </c>
      <c r="J3058" s="98" t="s">
        <v>2263</v>
      </c>
      <c r="K3058" s="98" t="s">
        <v>41</v>
      </c>
      <c r="L3058" s="105" t="str">
        <f t="shared" si="510"/>
        <v>Mill Creek</v>
      </c>
      <c r="M3058" s="105" t="str">
        <f t="shared" si="511"/>
        <v>Derate</v>
      </c>
      <c r="N3058" s="105" t="str">
        <f t="shared" si="512"/>
        <v>Coal</v>
      </c>
      <c r="O3058" s="105">
        <f>IFERROR(VLOOKUP(A3058,Lookup!$J$5:$P$19,7,FALSE),0)</f>
        <v>2</v>
      </c>
      <c r="P3058" s="159">
        <f t="shared" si="513"/>
        <v>2014</v>
      </c>
      <c r="Q3058" s="159">
        <f t="shared" si="514"/>
        <v>2</v>
      </c>
      <c r="R3058" s="160">
        <f t="shared" si="515"/>
        <v>3.7000000000116415</v>
      </c>
      <c r="S3058" s="158">
        <f t="shared" si="516"/>
        <v>0.17939393939450382</v>
      </c>
      <c r="T3058" s="161">
        <f t="shared" si="517"/>
        <v>53.100606060773131</v>
      </c>
      <c r="U3058" s="158">
        <f t="shared" si="519"/>
        <v>14.351515151515152</v>
      </c>
      <c r="V3058" s="160">
        <f t="shared" si="518"/>
        <v>14</v>
      </c>
    </row>
    <row r="3059" spans="1:22" x14ac:dyDescent="0.25">
      <c r="A3059" s="98" t="s">
        <v>35</v>
      </c>
      <c r="B3059" s="98" t="s">
        <v>79</v>
      </c>
      <c r="C3059" s="98">
        <v>47</v>
      </c>
      <c r="D3059" s="98">
        <v>1160</v>
      </c>
      <c r="E3059" s="157">
        <v>41677.958333333336</v>
      </c>
      <c r="F3059" s="157">
        <v>41678.229166666664</v>
      </c>
      <c r="G3059" s="98">
        <v>0</v>
      </c>
      <c r="H3059" s="98">
        <v>330</v>
      </c>
      <c r="I3059" s="98">
        <v>296</v>
      </c>
      <c r="J3059" s="98" t="s">
        <v>2273</v>
      </c>
      <c r="K3059" s="98" t="s">
        <v>1411</v>
      </c>
      <c r="L3059" s="105" t="str">
        <f t="shared" si="510"/>
        <v>Mill Creek</v>
      </c>
      <c r="M3059" s="105" t="str">
        <f t="shared" si="511"/>
        <v>Other</v>
      </c>
      <c r="N3059" s="105" t="str">
        <f t="shared" si="512"/>
        <v>Coal</v>
      </c>
      <c r="O3059" s="105">
        <f>IFERROR(VLOOKUP(A3059,Lookup!$J$5:$P$19,7,FALSE),0)</f>
        <v>2</v>
      </c>
      <c r="P3059" s="159">
        <f t="shared" si="513"/>
        <v>2014</v>
      </c>
      <c r="Q3059" s="159">
        <f t="shared" si="514"/>
        <v>2</v>
      </c>
      <c r="R3059" s="160">
        <f t="shared" si="515"/>
        <v>6.4999999998835847</v>
      </c>
      <c r="S3059" s="158">
        <f t="shared" si="516"/>
        <v>6.4999999998835847</v>
      </c>
      <c r="T3059" s="161">
        <f t="shared" si="517"/>
        <v>1923.9999999655411</v>
      </c>
      <c r="U3059" s="158">
        <f t="shared" si="519"/>
        <v>296</v>
      </c>
      <c r="V3059" s="160">
        <f t="shared" si="518"/>
        <v>296</v>
      </c>
    </row>
    <row r="3060" spans="1:22" x14ac:dyDescent="0.25">
      <c r="A3060" s="98" t="s">
        <v>35</v>
      </c>
      <c r="B3060" s="98" t="s">
        <v>17</v>
      </c>
      <c r="C3060" s="98">
        <v>48</v>
      </c>
      <c r="D3060" s="98">
        <v>1160</v>
      </c>
      <c r="E3060" s="157">
        <v>41678.229166666664</v>
      </c>
      <c r="F3060" s="157">
        <v>41678.315972222219</v>
      </c>
      <c r="G3060" s="98">
        <v>140</v>
      </c>
      <c r="H3060" s="98">
        <v>330</v>
      </c>
      <c r="I3060" s="98">
        <v>296</v>
      </c>
      <c r="J3060" s="98" t="s">
        <v>2273</v>
      </c>
      <c r="K3060" s="98" t="s">
        <v>51</v>
      </c>
      <c r="L3060" s="105" t="str">
        <f t="shared" si="510"/>
        <v>Mill Creek</v>
      </c>
      <c r="M3060" s="105" t="str">
        <f t="shared" si="511"/>
        <v>Derate</v>
      </c>
      <c r="N3060" s="105" t="str">
        <f t="shared" si="512"/>
        <v>Coal</v>
      </c>
      <c r="O3060" s="105">
        <f>IFERROR(VLOOKUP(A3060,Lookup!$J$5:$P$19,7,FALSE),0)</f>
        <v>2</v>
      </c>
      <c r="P3060" s="159">
        <f t="shared" si="513"/>
        <v>2014</v>
      </c>
      <c r="Q3060" s="159">
        <f t="shared" si="514"/>
        <v>2</v>
      </c>
      <c r="R3060" s="160">
        <f t="shared" si="515"/>
        <v>2.0833333333139308</v>
      </c>
      <c r="S3060" s="158">
        <f t="shared" si="516"/>
        <v>1.1994949494837783</v>
      </c>
      <c r="T3060" s="161">
        <f t="shared" si="517"/>
        <v>355.05050504719839</v>
      </c>
      <c r="U3060" s="158">
        <f t="shared" si="519"/>
        <v>170.42424242424244</v>
      </c>
      <c r="V3060" s="160">
        <f t="shared" si="518"/>
        <v>170</v>
      </c>
    </row>
    <row r="3061" spans="1:22" x14ac:dyDescent="0.25">
      <c r="A3061" s="98" t="s">
        <v>35</v>
      </c>
      <c r="B3061" s="98" t="s">
        <v>17</v>
      </c>
      <c r="C3061" s="98">
        <v>49</v>
      </c>
      <c r="D3061" s="98">
        <v>1160</v>
      </c>
      <c r="E3061" s="157">
        <v>41678.315972222219</v>
      </c>
      <c r="F3061" s="157">
        <v>41678.394444444442</v>
      </c>
      <c r="G3061" s="98">
        <v>240</v>
      </c>
      <c r="H3061" s="98">
        <v>330</v>
      </c>
      <c r="I3061" s="98">
        <v>296</v>
      </c>
      <c r="J3061" s="98" t="s">
        <v>2273</v>
      </c>
      <c r="K3061" s="98" t="s">
        <v>238</v>
      </c>
      <c r="L3061" s="105" t="str">
        <f t="shared" si="510"/>
        <v>Mill Creek</v>
      </c>
      <c r="M3061" s="105" t="str">
        <f t="shared" si="511"/>
        <v>Derate</v>
      </c>
      <c r="N3061" s="105" t="str">
        <f t="shared" si="512"/>
        <v>Coal</v>
      </c>
      <c r="O3061" s="105">
        <f>IFERROR(VLOOKUP(A3061,Lookup!$J$5:$P$19,7,FALSE),0)</f>
        <v>2</v>
      </c>
      <c r="P3061" s="159">
        <f t="shared" si="513"/>
        <v>2014</v>
      </c>
      <c r="Q3061" s="159">
        <f t="shared" si="514"/>
        <v>2</v>
      </c>
      <c r="R3061" s="160">
        <f t="shared" si="515"/>
        <v>1.8833333333604969</v>
      </c>
      <c r="S3061" s="158">
        <f t="shared" si="516"/>
        <v>0.51363636364377185</v>
      </c>
      <c r="T3061" s="161">
        <f t="shared" si="517"/>
        <v>152.03636363855648</v>
      </c>
      <c r="U3061" s="158">
        <f t="shared" si="519"/>
        <v>80.727272727272734</v>
      </c>
      <c r="V3061" s="160">
        <f t="shared" si="518"/>
        <v>81</v>
      </c>
    </row>
    <row r="3062" spans="1:22" x14ac:dyDescent="0.25">
      <c r="A3062" s="98" t="s">
        <v>35</v>
      </c>
      <c r="B3062" s="98" t="s">
        <v>79</v>
      </c>
      <c r="C3062" s="98">
        <v>50</v>
      </c>
      <c r="D3062" s="98">
        <v>1160</v>
      </c>
      <c r="E3062" s="157">
        <v>41678.916666666664</v>
      </c>
      <c r="F3062" s="157">
        <v>41679.166666666664</v>
      </c>
      <c r="G3062" s="98">
        <v>0</v>
      </c>
      <c r="H3062" s="98">
        <v>330</v>
      </c>
      <c r="I3062" s="98">
        <v>296</v>
      </c>
      <c r="J3062" s="98" t="s">
        <v>2273</v>
      </c>
      <c r="K3062" s="98" t="s">
        <v>1411</v>
      </c>
      <c r="L3062" s="105" t="str">
        <f t="shared" si="510"/>
        <v>Mill Creek</v>
      </c>
      <c r="M3062" s="105" t="str">
        <f t="shared" si="511"/>
        <v>Other</v>
      </c>
      <c r="N3062" s="105" t="str">
        <f t="shared" si="512"/>
        <v>Coal</v>
      </c>
      <c r="O3062" s="105">
        <f>IFERROR(VLOOKUP(A3062,Lookup!$J$5:$P$19,7,FALSE),0)</f>
        <v>2</v>
      </c>
      <c r="P3062" s="159">
        <f t="shared" si="513"/>
        <v>2014</v>
      </c>
      <c r="Q3062" s="159">
        <f t="shared" si="514"/>
        <v>2</v>
      </c>
      <c r="R3062" s="160">
        <f t="shared" si="515"/>
        <v>6</v>
      </c>
      <c r="S3062" s="158">
        <f t="shared" si="516"/>
        <v>6</v>
      </c>
      <c r="T3062" s="161">
        <f t="shared" si="517"/>
        <v>1776</v>
      </c>
      <c r="U3062" s="158">
        <f t="shared" si="519"/>
        <v>296</v>
      </c>
      <c r="V3062" s="160">
        <f t="shared" si="518"/>
        <v>296</v>
      </c>
    </row>
    <row r="3063" spans="1:22" x14ac:dyDescent="0.25">
      <c r="A3063" s="98" t="s">
        <v>35</v>
      </c>
      <c r="B3063" s="98" t="s">
        <v>79</v>
      </c>
      <c r="C3063" s="98">
        <v>51</v>
      </c>
      <c r="D3063" s="98">
        <v>1160</v>
      </c>
      <c r="E3063" s="157">
        <v>41679.883333333331</v>
      </c>
      <c r="F3063" s="157">
        <v>41680.136805555558</v>
      </c>
      <c r="G3063" s="98">
        <v>0</v>
      </c>
      <c r="H3063" s="98">
        <v>330</v>
      </c>
      <c r="I3063" s="98">
        <v>296</v>
      </c>
      <c r="J3063" s="98" t="s">
        <v>2273</v>
      </c>
      <c r="K3063" s="98" t="s">
        <v>1411</v>
      </c>
      <c r="L3063" s="105" t="str">
        <f t="shared" si="510"/>
        <v>Mill Creek</v>
      </c>
      <c r="M3063" s="105" t="str">
        <f t="shared" si="511"/>
        <v>Other</v>
      </c>
      <c r="N3063" s="105" t="str">
        <f t="shared" si="512"/>
        <v>Coal</v>
      </c>
      <c r="O3063" s="105">
        <f>IFERROR(VLOOKUP(A3063,Lookup!$J$5:$P$19,7,FALSE),0)</f>
        <v>2</v>
      </c>
      <c r="P3063" s="159">
        <f t="shared" si="513"/>
        <v>2014</v>
      </c>
      <c r="Q3063" s="159">
        <f t="shared" si="514"/>
        <v>2</v>
      </c>
      <c r="R3063" s="160">
        <f t="shared" si="515"/>
        <v>6.0833333334303461</v>
      </c>
      <c r="S3063" s="158">
        <f t="shared" si="516"/>
        <v>6.0833333334303461</v>
      </c>
      <c r="T3063" s="161">
        <f t="shared" si="517"/>
        <v>1800.6666666953824</v>
      </c>
      <c r="U3063" s="158">
        <f t="shared" si="519"/>
        <v>296</v>
      </c>
      <c r="V3063" s="160">
        <f t="shared" si="518"/>
        <v>296</v>
      </c>
    </row>
    <row r="3064" spans="1:22" x14ac:dyDescent="0.25">
      <c r="A3064" s="98" t="s">
        <v>35</v>
      </c>
      <c r="B3064" s="98" t="s">
        <v>79</v>
      </c>
      <c r="C3064" s="98">
        <v>52</v>
      </c>
      <c r="D3064" s="98">
        <v>8460</v>
      </c>
      <c r="E3064" s="157">
        <v>41681.333333333336</v>
      </c>
      <c r="F3064" s="157">
        <v>41681.513888888891</v>
      </c>
      <c r="G3064" s="98">
        <v>0</v>
      </c>
      <c r="H3064" s="98">
        <v>330</v>
      </c>
      <c r="I3064" s="98">
        <v>296</v>
      </c>
      <c r="J3064" s="98" t="s">
        <v>2651</v>
      </c>
      <c r="K3064" s="98" t="s">
        <v>1489</v>
      </c>
      <c r="L3064" s="105" t="str">
        <f t="shared" si="510"/>
        <v>Mill Creek</v>
      </c>
      <c r="M3064" s="105" t="str">
        <f t="shared" si="511"/>
        <v>Other</v>
      </c>
      <c r="N3064" s="105" t="str">
        <f t="shared" si="512"/>
        <v>Coal</v>
      </c>
      <c r="O3064" s="105">
        <f>IFERROR(VLOOKUP(A3064,Lookup!$J$5:$P$19,7,FALSE),0)</f>
        <v>2</v>
      </c>
      <c r="P3064" s="159">
        <f t="shared" si="513"/>
        <v>2014</v>
      </c>
      <c r="Q3064" s="159">
        <f t="shared" si="514"/>
        <v>2</v>
      </c>
      <c r="R3064" s="160">
        <f t="shared" si="515"/>
        <v>4.3333333333139308</v>
      </c>
      <c r="S3064" s="158">
        <f t="shared" si="516"/>
        <v>4.3333333333139308</v>
      </c>
      <c r="T3064" s="161">
        <f t="shared" si="517"/>
        <v>1282.6666666609235</v>
      </c>
      <c r="U3064" s="158">
        <f t="shared" si="519"/>
        <v>296</v>
      </c>
      <c r="V3064" s="160">
        <f t="shared" si="518"/>
        <v>296</v>
      </c>
    </row>
    <row r="3065" spans="1:22" x14ac:dyDescent="0.25">
      <c r="A3065" s="98" t="s">
        <v>35</v>
      </c>
      <c r="B3065" s="98" t="s">
        <v>79</v>
      </c>
      <c r="C3065" s="98">
        <v>53</v>
      </c>
      <c r="D3065" s="98">
        <v>1160</v>
      </c>
      <c r="E3065" s="157">
        <v>41681.51458333333</v>
      </c>
      <c r="F3065" s="157">
        <v>41681.6875</v>
      </c>
      <c r="G3065" s="98">
        <v>0</v>
      </c>
      <c r="H3065" s="98">
        <v>330</v>
      </c>
      <c r="I3065" s="98">
        <v>296</v>
      </c>
      <c r="J3065" s="98" t="s">
        <v>2273</v>
      </c>
      <c r="K3065" s="98" t="s">
        <v>1411</v>
      </c>
      <c r="L3065" s="105" t="str">
        <f t="shared" si="510"/>
        <v>Mill Creek</v>
      </c>
      <c r="M3065" s="105" t="str">
        <f t="shared" si="511"/>
        <v>Other</v>
      </c>
      <c r="N3065" s="105" t="str">
        <f t="shared" si="512"/>
        <v>Coal</v>
      </c>
      <c r="O3065" s="105">
        <f>IFERROR(VLOOKUP(A3065,Lookup!$J$5:$P$19,7,FALSE),0)</f>
        <v>2</v>
      </c>
      <c r="P3065" s="159">
        <f t="shared" si="513"/>
        <v>2014</v>
      </c>
      <c r="Q3065" s="159">
        <f t="shared" si="514"/>
        <v>2</v>
      </c>
      <c r="R3065" s="160">
        <f t="shared" si="515"/>
        <v>4.1500000000814907</v>
      </c>
      <c r="S3065" s="158">
        <f t="shared" si="516"/>
        <v>4.1500000000814907</v>
      </c>
      <c r="T3065" s="161">
        <f t="shared" si="517"/>
        <v>1228.4000000241213</v>
      </c>
      <c r="U3065" s="158">
        <f t="shared" si="519"/>
        <v>296</v>
      </c>
      <c r="V3065" s="160">
        <f t="shared" si="518"/>
        <v>296</v>
      </c>
    </row>
    <row r="3066" spans="1:22" x14ac:dyDescent="0.25">
      <c r="A3066" s="98" t="s">
        <v>35</v>
      </c>
      <c r="B3066" s="98" t="s">
        <v>79</v>
      </c>
      <c r="C3066" s="98">
        <v>54</v>
      </c>
      <c r="D3066" s="98">
        <v>1160</v>
      </c>
      <c r="E3066" s="157">
        <v>41682.916666666664</v>
      </c>
      <c r="F3066" s="157">
        <v>41683.201388888891</v>
      </c>
      <c r="G3066" s="98">
        <v>0</v>
      </c>
      <c r="H3066" s="98">
        <v>330</v>
      </c>
      <c r="I3066" s="98">
        <v>296</v>
      </c>
      <c r="J3066" s="98" t="s">
        <v>2273</v>
      </c>
      <c r="K3066" s="98" t="s">
        <v>1411</v>
      </c>
      <c r="L3066" s="105" t="str">
        <f t="shared" si="510"/>
        <v>Mill Creek</v>
      </c>
      <c r="M3066" s="105" t="str">
        <f t="shared" si="511"/>
        <v>Other</v>
      </c>
      <c r="N3066" s="105" t="str">
        <f t="shared" si="512"/>
        <v>Coal</v>
      </c>
      <c r="O3066" s="105">
        <f>IFERROR(VLOOKUP(A3066,Lookup!$J$5:$P$19,7,FALSE),0)</f>
        <v>2</v>
      </c>
      <c r="P3066" s="159">
        <f t="shared" si="513"/>
        <v>2014</v>
      </c>
      <c r="Q3066" s="159">
        <f t="shared" si="514"/>
        <v>2</v>
      </c>
      <c r="R3066" s="160">
        <f t="shared" si="515"/>
        <v>6.8333333334303461</v>
      </c>
      <c r="S3066" s="158">
        <f t="shared" si="516"/>
        <v>6.8333333334303461</v>
      </c>
      <c r="T3066" s="161">
        <f t="shared" si="517"/>
        <v>2022.6666666953824</v>
      </c>
      <c r="U3066" s="158">
        <f t="shared" si="519"/>
        <v>296</v>
      </c>
      <c r="V3066" s="160">
        <f t="shared" si="518"/>
        <v>296</v>
      </c>
    </row>
    <row r="3067" spans="1:22" x14ac:dyDescent="0.25">
      <c r="A3067" s="98" t="s">
        <v>35</v>
      </c>
      <c r="B3067" s="98" t="s">
        <v>79</v>
      </c>
      <c r="C3067" s="98">
        <v>55</v>
      </c>
      <c r="D3067" s="98">
        <v>8460</v>
      </c>
      <c r="E3067" s="157">
        <v>41683.333333333336</v>
      </c>
      <c r="F3067" s="157">
        <v>41683.549305555556</v>
      </c>
      <c r="G3067" s="98">
        <v>0</v>
      </c>
      <c r="H3067" s="98">
        <v>330</v>
      </c>
      <c r="I3067" s="98">
        <v>296</v>
      </c>
      <c r="J3067" s="98" t="s">
        <v>2651</v>
      </c>
      <c r="K3067" s="98" t="s">
        <v>1489</v>
      </c>
      <c r="L3067" s="105" t="str">
        <f t="shared" si="510"/>
        <v>Mill Creek</v>
      </c>
      <c r="M3067" s="105" t="str">
        <f t="shared" si="511"/>
        <v>Other</v>
      </c>
      <c r="N3067" s="105" t="str">
        <f t="shared" si="512"/>
        <v>Coal</v>
      </c>
      <c r="O3067" s="105">
        <f>IFERROR(VLOOKUP(A3067,Lookup!$J$5:$P$19,7,FALSE),0)</f>
        <v>2</v>
      </c>
      <c r="P3067" s="159">
        <f t="shared" si="513"/>
        <v>2014</v>
      </c>
      <c r="Q3067" s="159">
        <f t="shared" si="514"/>
        <v>2</v>
      </c>
      <c r="R3067" s="160">
        <f t="shared" si="515"/>
        <v>5.1833333332906477</v>
      </c>
      <c r="S3067" s="158">
        <f t="shared" si="516"/>
        <v>5.1833333332906477</v>
      </c>
      <c r="T3067" s="161">
        <f t="shared" si="517"/>
        <v>1534.2666666540317</v>
      </c>
      <c r="U3067" s="158">
        <f t="shared" si="519"/>
        <v>296</v>
      </c>
      <c r="V3067" s="160">
        <f t="shared" si="518"/>
        <v>296</v>
      </c>
    </row>
    <row r="3068" spans="1:22" x14ac:dyDescent="0.25">
      <c r="A3068" s="98" t="s">
        <v>35</v>
      </c>
      <c r="B3068" s="98" t="s">
        <v>17</v>
      </c>
      <c r="C3068" s="98">
        <v>56</v>
      </c>
      <c r="D3068" s="98">
        <v>1160</v>
      </c>
      <c r="E3068" s="157">
        <v>41684.475694444445</v>
      </c>
      <c r="F3068" s="157">
        <v>41685.022222222222</v>
      </c>
      <c r="G3068" s="98">
        <v>275</v>
      </c>
      <c r="H3068" s="98">
        <v>330</v>
      </c>
      <c r="I3068" s="98">
        <v>296</v>
      </c>
      <c r="J3068" s="98" t="s">
        <v>2273</v>
      </c>
      <c r="K3068" s="98" t="s">
        <v>238</v>
      </c>
      <c r="L3068" s="105" t="str">
        <f t="shared" si="510"/>
        <v>Mill Creek</v>
      </c>
      <c r="M3068" s="105" t="str">
        <f t="shared" si="511"/>
        <v>Derate</v>
      </c>
      <c r="N3068" s="105" t="str">
        <f t="shared" si="512"/>
        <v>Coal</v>
      </c>
      <c r="O3068" s="105">
        <f>IFERROR(VLOOKUP(A3068,Lookup!$J$5:$P$19,7,FALSE),0)</f>
        <v>2</v>
      </c>
      <c r="P3068" s="159">
        <f t="shared" si="513"/>
        <v>2014</v>
      </c>
      <c r="Q3068" s="159">
        <f t="shared" si="514"/>
        <v>2</v>
      </c>
      <c r="R3068" s="160">
        <f t="shared" si="515"/>
        <v>13.116666666639503</v>
      </c>
      <c r="S3068" s="158">
        <f t="shared" si="516"/>
        <v>2.1861111111065838</v>
      </c>
      <c r="T3068" s="161">
        <f t="shared" si="517"/>
        <v>647.08888888754882</v>
      </c>
      <c r="U3068" s="158">
        <f t="shared" si="519"/>
        <v>49.333333333333336</v>
      </c>
      <c r="V3068" s="160">
        <f t="shared" si="518"/>
        <v>49</v>
      </c>
    </row>
    <row r="3069" spans="1:22" x14ac:dyDescent="0.25">
      <c r="A3069" s="98" t="s">
        <v>35</v>
      </c>
      <c r="B3069" s="98" t="s">
        <v>20</v>
      </c>
      <c r="C3069" s="98">
        <v>57</v>
      </c>
      <c r="D3069" s="98">
        <v>1050</v>
      </c>
      <c r="E3069" s="157">
        <v>41685.022222222222</v>
      </c>
      <c r="F3069" s="157">
        <v>41687.916666666664</v>
      </c>
      <c r="G3069" s="98">
        <v>0</v>
      </c>
      <c r="H3069" s="98">
        <v>330</v>
      </c>
      <c r="I3069" s="98">
        <v>296</v>
      </c>
      <c r="J3069" s="98" t="s">
        <v>2112</v>
      </c>
      <c r="K3069" s="98" t="s">
        <v>646</v>
      </c>
      <c r="L3069" s="105" t="str">
        <f t="shared" si="510"/>
        <v>Mill Creek</v>
      </c>
      <c r="M3069" s="105" t="str">
        <f t="shared" si="511"/>
        <v>Maintenance</v>
      </c>
      <c r="N3069" s="105" t="str">
        <f t="shared" si="512"/>
        <v>Coal</v>
      </c>
      <c r="O3069" s="105">
        <f>IFERROR(VLOOKUP(A3069,Lookup!$J$5:$P$19,7,FALSE),0)</f>
        <v>2</v>
      </c>
      <c r="P3069" s="159">
        <f t="shared" si="513"/>
        <v>2014</v>
      </c>
      <c r="Q3069" s="159">
        <f t="shared" si="514"/>
        <v>2</v>
      </c>
      <c r="R3069" s="160">
        <f t="shared" si="515"/>
        <v>69.46666666661622</v>
      </c>
      <c r="S3069" s="158">
        <f t="shared" si="516"/>
        <v>69.46666666661622</v>
      </c>
      <c r="T3069" s="161">
        <f t="shared" si="517"/>
        <v>20562.133333318401</v>
      </c>
      <c r="U3069" s="158">
        <f t="shared" si="519"/>
        <v>296</v>
      </c>
      <c r="V3069" s="160">
        <f t="shared" si="518"/>
        <v>296</v>
      </c>
    </row>
    <row r="3070" spans="1:22" x14ac:dyDescent="0.25">
      <c r="A3070" s="98" t="s">
        <v>35</v>
      </c>
      <c r="B3070" s="98" t="s">
        <v>18</v>
      </c>
      <c r="C3070" s="98">
        <v>58</v>
      </c>
      <c r="D3070" s="98">
        <v>380</v>
      </c>
      <c r="E3070" s="157">
        <v>41687.916666666664</v>
      </c>
      <c r="F3070" s="157">
        <v>41688.569444444445</v>
      </c>
      <c r="G3070" s="98">
        <v>0</v>
      </c>
      <c r="H3070" s="98">
        <v>330</v>
      </c>
      <c r="I3070" s="98">
        <v>296</v>
      </c>
      <c r="J3070" s="98" t="s">
        <v>2017</v>
      </c>
      <c r="K3070" s="98" t="s">
        <v>1490</v>
      </c>
      <c r="L3070" s="105" t="str">
        <f t="shared" si="510"/>
        <v>Mill Creek</v>
      </c>
      <c r="M3070" s="105" t="str">
        <f t="shared" si="511"/>
        <v>Outage</v>
      </c>
      <c r="N3070" s="105" t="str">
        <f t="shared" si="512"/>
        <v>Coal</v>
      </c>
      <c r="O3070" s="105">
        <f>IFERROR(VLOOKUP(A3070,Lookup!$J$5:$P$19,7,FALSE),0)</f>
        <v>2</v>
      </c>
      <c r="P3070" s="159">
        <f t="shared" si="513"/>
        <v>2014</v>
      </c>
      <c r="Q3070" s="159">
        <f t="shared" si="514"/>
        <v>2</v>
      </c>
      <c r="R3070" s="160">
        <f t="shared" si="515"/>
        <v>15.666666666744277</v>
      </c>
      <c r="S3070" s="158">
        <f t="shared" si="516"/>
        <v>15.666666666744277</v>
      </c>
      <c r="T3070" s="161">
        <f t="shared" si="517"/>
        <v>4637.333333356306</v>
      </c>
      <c r="U3070" s="158">
        <f t="shared" si="519"/>
        <v>296</v>
      </c>
      <c r="V3070" s="160">
        <f t="shared" si="518"/>
        <v>296</v>
      </c>
    </row>
    <row r="3071" spans="1:22" x14ac:dyDescent="0.25">
      <c r="A3071" s="98" t="s">
        <v>35</v>
      </c>
      <c r="B3071" s="98" t="s">
        <v>79</v>
      </c>
      <c r="C3071" s="98">
        <v>59</v>
      </c>
      <c r="D3071" s="98">
        <v>1850</v>
      </c>
      <c r="E3071" s="157">
        <v>41688.569444444445</v>
      </c>
      <c r="F3071" s="157">
        <v>41688.927083333336</v>
      </c>
      <c r="G3071" s="98">
        <v>0</v>
      </c>
      <c r="H3071" s="98">
        <v>330</v>
      </c>
      <c r="I3071" s="98">
        <v>296</v>
      </c>
      <c r="J3071" s="98" t="s">
        <v>2263</v>
      </c>
      <c r="K3071" s="98" t="s">
        <v>85</v>
      </c>
      <c r="L3071" s="105" t="str">
        <f t="shared" si="510"/>
        <v>Mill Creek</v>
      </c>
      <c r="M3071" s="105" t="str">
        <f t="shared" si="511"/>
        <v>Other</v>
      </c>
      <c r="N3071" s="105" t="str">
        <f t="shared" si="512"/>
        <v>Coal</v>
      </c>
      <c r="O3071" s="105">
        <f>IFERROR(VLOOKUP(A3071,Lookup!$J$5:$P$19,7,FALSE),0)</f>
        <v>2</v>
      </c>
      <c r="P3071" s="159">
        <f t="shared" si="513"/>
        <v>2014</v>
      </c>
      <c r="Q3071" s="159">
        <f t="shared" si="514"/>
        <v>2</v>
      </c>
      <c r="R3071" s="160">
        <f t="shared" si="515"/>
        <v>8.5833333333721384</v>
      </c>
      <c r="S3071" s="158">
        <f t="shared" si="516"/>
        <v>8.5833333333721384</v>
      </c>
      <c r="T3071" s="161">
        <f t="shared" si="517"/>
        <v>2540.666666678153</v>
      </c>
      <c r="U3071" s="158">
        <f t="shared" si="519"/>
        <v>296</v>
      </c>
      <c r="V3071" s="160">
        <f t="shared" si="518"/>
        <v>296</v>
      </c>
    </row>
    <row r="3072" spans="1:22" x14ac:dyDescent="0.25">
      <c r="A3072" s="98" t="s">
        <v>35</v>
      </c>
      <c r="B3072" s="98" t="s">
        <v>17</v>
      </c>
      <c r="C3072" s="98">
        <v>60</v>
      </c>
      <c r="D3072" s="98">
        <v>1850</v>
      </c>
      <c r="E3072" s="157">
        <v>41688.927083333336</v>
      </c>
      <c r="F3072" s="157">
        <v>41689.083333333336</v>
      </c>
      <c r="G3072" s="98">
        <v>240</v>
      </c>
      <c r="H3072" s="98">
        <v>330</v>
      </c>
      <c r="I3072" s="98">
        <v>296</v>
      </c>
      <c r="J3072" s="98" t="s">
        <v>2263</v>
      </c>
      <c r="K3072" s="98" t="s">
        <v>41</v>
      </c>
      <c r="L3072" s="105" t="str">
        <f t="shared" si="510"/>
        <v>Mill Creek</v>
      </c>
      <c r="M3072" s="105" t="str">
        <f t="shared" si="511"/>
        <v>Derate</v>
      </c>
      <c r="N3072" s="105" t="str">
        <f t="shared" si="512"/>
        <v>Coal</v>
      </c>
      <c r="O3072" s="105">
        <f>IFERROR(VLOOKUP(A3072,Lookup!$J$5:$P$19,7,FALSE),0)</f>
        <v>2</v>
      </c>
      <c r="P3072" s="159">
        <f t="shared" si="513"/>
        <v>2014</v>
      </c>
      <c r="Q3072" s="159">
        <f t="shared" si="514"/>
        <v>2</v>
      </c>
      <c r="R3072" s="160">
        <f t="shared" si="515"/>
        <v>3.75</v>
      </c>
      <c r="S3072" s="158">
        <f t="shared" si="516"/>
        <v>1.0227272727272727</v>
      </c>
      <c r="T3072" s="161">
        <f t="shared" si="517"/>
        <v>302.72727272727275</v>
      </c>
      <c r="U3072" s="158">
        <f t="shared" si="519"/>
        <v>80.727272727272734</v>
      </c>
      <c r="V3072" s="160">
        <f t="shared" si="518"/>
        <v>81</v>
      </c>
    </row>
    <row r="3073" spans="1:22" x14ac:dyDescent="0.25">
      <c r="A3073" s="98" t="s">
        <v>35</v>
      </c>
      <c r="B3073" s="98" t="s">
        <v>17</v>
      </c>
      <c r="C3073" s="98">
        <v>61</v>
      </c>
      <c r="D3073" s="98">
        <v>1850</v>
      </c>
      <c r="E3073" s="157">
        <v>41689.083333333336</v>
      </c>
      <c r="F3073" s="157">
        <v>41689.177083333336</v>
      </c>
      <c r="G3073" s="98">
        <v>270</v>
      </c>
      <c r="H3073" s="98">
        <v>330</v>
      </c>
      <c r="I3073" s="98">
        <v>296</v>
      </c>
      <c r="J3073" s="98" t="s">
        <v>2263</v>
      </c>
      <c r="K3073" s="98" t="s">
        <v>41</v>
      </c>
      <c r="L3073" s="105" t="str">
        <f t="shared" si="510"/>
        <v>Mill Creek</v>
      </c>
      <c r="M3073" s="105" t="str">
        <f t="shared" si="511"/>
        <v>Derate</v>
      </c>
      <c r="N3073" s="105" t="str">
        <f t="shared" si="512"/>
        <v>Coal</v>
      </c>
      <c r="O3073" s="105">
        <f>IFERROR(VLOOKUP(A3073,Lookup!$J$5:$P$19,7,FALSE),0)</f>
        <v>2</v>
      </c>
      <c r="P3073" s="159">
        <f t="shared" si="513"/>
        <v>2014</v>
      </c>
      <c r="Q3073" s="159">
        <f t="shared" si="514"/>
        <v>2</v>
      </c>
      <c r="R3073" s="160">
        <f t="shared" si="515"/>
        <v>2.25</v>
      </c>
      <c r="S3073" s="158">
        <f t="shared" si="516"/>
        <v>0.40909090909090912</v>
      </c>
      <c r="T3073" s="161">
        <f t="shared" si="517"/>
        <v>121.09090909090909</v>
      </c>
      <c r="U3073" s="158">
        <f t="shared" si="519"/>
        <v>53.81818181818182</v>
      </c>
      <c r="V3073" s="160">
        <f t="shared" si="518"/>
        <v>54</v>
      </c>
    </row>
    <row r="3074" spans="1:22" x14ac:dyDescent="0.25">
      <c r="A3074" s="98" t="s">
        <v>35</v>
      </c>
      <c r="B3074" s="98" t="s">
        <v>17</v>
      </c>
      <c r="C3074" s="98">
        <v>62</v>
      </c>
      <c r="D3074" s="98">
        <v>1850</v>
      </c>
      <c r="E3074" s="157">
        <v>41689.177083333336</v>
      </c>
      <c r="F3074" s="162">
        <v>41689.291666666664</v>
      </c>
      <c r="G3074" s="98">
        <v>285</v>
      </c>
      <c r="H3074" s="98">
        <v>330</v>
      </c>
      <c r="I3074" s="98">
        <v>296</v>
      </c>
      <c r="J3074" s="98" t="s">
        <v>2263</v>
      </c>
      <c r="K3074" s="98" t="s">
        <v>41</v>
      </c>
      <c r="L3074" s="105" t="str">
        <f t="shared" si="510"/>
        <v>Mill Creek</v>
      </c>
      <c r="M3074" s="105" t="str">
        <f t="shared" si="511"/>
        <v>Derate</v>
      </c>
      <c r="N3074" s="105" t="str">
        <f t="shared" si="512"/>
        <v>Coal</v>
      </c>
      <c r="O3074" s="105">
        <f>IFERROR(VLOOKUP(A3074,Lookup!$J$5:$P$19,7,FALSE),0)</f>
        <v>2</v>
      </c>
      <c r="P3074" s="159">
        <f t="shared" si="513"/>
        <v>2014</v>
      </c>
      <c r="Q3074" s="159">
        <f t="shared" si="514"/>
        <v>2</v>
      </c>
      <c r="R3074" s="160">
        <f t="shared" si="515"/>
        <v>2.7499999998835847</v>
      </c>
      <c r="S3074" s="158">
        <f t="shared" si="516"/>
        <v>0.3749999999841252</v>
      </c>
      <c r="T3074" s="161">
        <f t="shared" si="517"/>
        <v>110.99999999530105</v>
      </c>
      <c r="U3074" s="158">
        <f t="shared" si="519"/>
        <v>40.363636363636367</v>
      </c>
      <c r="V3074" s="160">
        <f t="shared" si="518"/>
        <v>40</v>
      </c>
    </row>
    <row r="3075" spans="1:22" x14ac:dyDescent="0.25">
      <c r="A3075" s="98" t="s">
        <v>35</v>
      </c>
      <c r="B3075" s="98" t="s">
        <v>17</v>
      </c>
      <c r="C3075" s="98">
        <v>63</v>
      </c>
      <c r="D3075" s="98">
        <v>1850</v>
      </c>
      <c r="E3075" s="157">
        <v>41689.291666666664</v>
      </c>
      <c r="F3075" s="157">
        <v>41689.368055555555</v>
      </c>
      <c r="G3075" s="98">
        <v>306</v>
      </c>
      <c r="H3075" s="98">
        <v>330</v>
      </c>
      <c r="I3075" s="98">
        <v>296</v>
      </c>
      <c r="J3075" s="98" t="s">
        <v>2263</v>
      </c>
      <c r="K3075" s="98" t="s">
        <v>41</v>
      </c>
      <c r="L3075" s="105" t="str">
        <f t="shared" si="510"/>
        <v>Mill Creek</v>
      </c>
      <c r="M3075" s="105" t="str">
        <f t="shared" si="511"/>
        <v>Derate</v>
      </c>
      <c r="N3075" s="105" t="str">
        <f t="shared" si="512"/>
        <v>Coal</v>
      </c>
      <c r="O3075" s="105">
        <f>IFERROR(VLOOKUP(A3075,Lookup!$J$5:$P$19,7,FALSE),0)</f>
        <v>2</v>
      </c>
      <c r="P3075" s="159">
        <f t="shared" si="513"/>
        <v>2014</v>
      </c>
      <c r="Q3075" s="159">
        <f t="shared" si="514"/>
        <v>2</v>
      </c>
      <c r="R3075" s="160">
        <f t="shared" si="515"/>
        <v>1.8333333333721384</v>
      </c>
      <c r="S3075" s="158">
        <f t="shared" si="516"/>
        <v>0.13333333333615552</v>
      </c>
      <c r="T3075" s="161">
        <f t="shared" si="517"/>
        <v>39.466666667502032</v>
      </c>
      <c r="U3075" s="158">
        <f t="shared" si="519"/>
        <v>21.527272727272727</v>
      </c>
      <c r="V3075" s="160">
        <f t="shared" si="518"/>
        <v>22</v>
      </c>
    </row>
    <row r="3076" spans="1:22" x14ac:dyDescent="0.25">
      <c r="A3076" s="98" t="s">
        <v>35</v>
      </c>
      <c r="B3076" s="98" t="s">
        <v>17</v>
      </c>
      <c r="C3076" s="98">
        <v>64</v>
      </c>
      <c r="D3076" s="98">
        <v>1850</v>
      </c>
      <c r="E3076" s="157">
        <v>41689.368055555555</v>
      </c>
      <c r="F3076" s="157">
        <v>41689.90347222222</v>
      </c>
      <c r="G3076" s="98">
        <v>320</v>
      </c>
      <c r="H3076" s="98">
        <v>330</v>
      </c>
      <c r="I3076" s="98">
        <v>296</v>
      </c>
      <c r="J3076" s="98" t="s">
        <v>2263</v>
      </c>
      <c r="K3076" s="98" t="s">
        <v>41</v>
      </c>
      <c r="L3076" s="105" t="str">
        <f t="shared" si="510"/>
        <v>Mill Creek</v>
      </c>
      <c r="M3076" s="105" t="str">
        <f t="shared" si="511"/>
        <v>Derate</v>
      </c>
      <c r="N3076" s="105" t="str">
        <f t="shared" si="512"/>
        <v>Coal</v>
      </c>
      <c r="O3076" s="105">
        <f>IFERROR(VLOOKUP(A3076,Lookup!$J$5:$P$19,7,FALSE),0)</f>
        <v>2</v>
      </c>
      <c r="P3076" s="159">
        <f t="shared" si="513"/>
        <v>2014</v>
      </c>
      <c r="Q3076" s="159">
        <f t="shared" si="514"/>
        <v>2</v>
      </c>
      <c r="R3076" s="160">
        <f t="shared" si="515"/>
        <v>12.849999999976717</v>
      </c>
      <c r="S3076" s="158">
        <f t="shared" si="516"/>
        <v>0.38939393939323386</v>
      </c>
      <c r="T3076" s="161">
        <f t="shared" si="517"/>
        <v>115.26060606039722</v>
      </c>
      <c r="U3076" s="158">
        <f t="shared" si="519"/>
        <v>8.9696969696969688</v>
      </c>
      <c r="V3076" s="160">
        <f t="shared" si="518"/>
        <v>9</v>
      </c>
    </row>
    <row r="3077" spans="1:22" x14ac:dyDescent="0.25">
      <c r="A3077" s="98" t="s">
        <v>35</v>
      </c>
      <c r="B3077" s="98" t="s">
        <v>17</v>
      </c>
      <c r="C3077" s="98">
        <v>65</v>
      </c>
      <c r="D3077" s="98">
        <v>1850</v>
      </c>
      <c r="E3077" s="157">
        <v>41690.111111111109</v>
      </c>
      <c r="F3077" s="157">
        <v>41690.339583333334</v>
      </c>
      <c r="G3077" s="98">
        <v>321</v>
      </c>
      <c r="H3077" s="98">
        <v>330</v>
      </c>
      <c r="I3077" s="98">
        <v>296</v>
      </c>
      <c r="J3077" s="98" t="s">
        <v>2263</v>
      </c>
      <c r="K3077" s="98" t="s">
        <v>41</v>
      </c>
      <c r="L3077" s="105" t="str">
        <f t="shared" si="510"/>
        <v>Mill Creek</v>
      </c>
      <c r="M3077" s="105" t="str">
        <f t="shared" si="511"/>
        <v>Derate</v>
      </c>
      <c r="N3077" s="105" t="str">
        <f t="shared" si="512"/>
        <v>Coal</v>
      </c>
      <c r="O3077" s="105">
        <f>IFERROR(VLOOKUP(A3077,Lookup!$J$5:$P$19,7,FALSE),0)</f>
        <v>2</v>
      </c>
      <c r="P3077" s="159">
        <f t="shared" si="513"/>
        <v>2014</v>
      </c>
      <c r="Q3077" s="159">
        <f t="shared" si="514"/>
        <v>2</v>
      </c>
      <c r="R3077" s="160">
        <f t="shared" si="515"/>
        <v>5.4833333333954215</v>
      </c>
      <c r="S3077" s="158">
        <f t="shared" si="516"/>
        <v>0.14954545454714785</v>
      </c>
      <c r="T3077" s="161">
        <f t="shared" si="517"/>
        <v>44.265454545955762</v>
      </c>
      <c r="U3077" s="158">
        <f t="shared" si="519"/>
        <v>8.0727272727272723</v>
      </c>
      <c r="V3077" s="160">
        <f t="shared" si="518"/>
        <v>8</v>
      </c>
    </row>
    <row r="3078" spans="1:22" x14ac:dyDescent="0.25">
      <c r="A3078" s="98" t="s">
        <v>35</v>
      </c>
      <c r="B3078" s="98" t="s">
        <v>17</v>
      </c>
      <c r="C3078" s="98">
        <v>66</v>
      </c>
      <c r="D3078" s="98">
        <v>250</v>
      </c>
      <c r="E3078" s="157">
        <v>41694.011111111111</v>
      </c>
      <c r="F3078" s="157">
        <v>41694.156944444447</v>
      </c>
      <c r="G3078" s="98">
        <v>315</v>
      </c>
      <c r="H3078" s="98">
        <v>330</v>
      </c>
      <c r="I3078" s="98">
        <v>296</v>
      </c>
      <c r="J3078" s="98" t="s">
        <v>1978</v>
      </c>
      <c r="K3078" s="98" t="s">
        <v>1491</v>
      </c>
      <c r="L3078" s="105" t="str">
        <f t="shared" si="510"/>
        <v>Mill Creek</v>
      </c>
      <c r="M3078" s="105" t="str">
        <f t="shared" si="511"/>
        <v>Derate</v>
      </c>
      <c r="N3078" s="105" t="str">
        <f t="shared" si="512"/>
        <v>Coal</v>
      </c>
      <c r="O3078" s="105">
        <f>IFERROR(VLOOKUP(A3078,Lookup!$J$5:$P$19,7,FALSE),0)</f>
        <v>2</v>
      </c>
      <c r="P3078" s="159">
        <f t="shared" si="513"/>
        <v>2014</v>
      </c>
      <c r="Q3078" s="159">
        <f t="shared" si="514"/>
        <v>2</v>
      </c>
      <c r="R3078" s="160">
        <f t="shared" si="515"/>
        <v>3.5000000000582077</v>
      </c>
      <c r="S3078" s="158">
        <f t="shared" si="516"/>
        <v>0.15909090909355489</v>
      </c>
      <c r="T3078" s="161">
        <f t="shared" si="517"/>
        <v>47.090909091692247</v>
      </c>
      <c r="U3078" s="158">
        <f t="shared" si="519"/>
        <v>13.454545454545455</v>
      </c>
      <c r="V3078" s="160">
        <f t="shared" si="518"/>
        <v>13</v>
      </c>
    </row>
    <row r="3079" spans="1:22" x14ac:dyDescent="0.25">
      <c r="A3079" s="98" t="s">
        <v>35</v>
      </c>
      <c r="B3079" s="98" t="s">
        <v>20</v>
      </c>
      <c r="C3079" s="98">
        <v>67</v>
      </c>
      <c r="D3079" s="98">
        <v>1000</v>
      </c>
      <c r="E3079" s="157">
        <v>41694.396527777775</v>
      </c>
      <c r="F3079" s="157">
        <v>41695.824305555558</v>
      </c>
      <c r="G3079" s="98">
        <v>0</v>
      </c>
      <c r="H3079" s="98">
        <v>330</v>
      </c>
      <c r="I3079" s="98">
        <v>296</v>
      </c>
      <c r="J3079" s="98" t="s">
        <v>2002</v>
      </c>
      <c r="K3079" s="98" t="s">
        <v>71</v>
      </c>
      <c r="L3079" s="105" t="str">
        <f t="shared" si="510"/>
        <v>Mill Creek</v>
      </c>
      <c r="M3079" s="105" t="str">
        <f t="shared" si="511"/>
        <v>Maintenance</v>
      </c>
      <c r="N3079" s="105" t="str">
        <f t="shared" si="512"/>
        <v>Coal</v>
      </c>
      <c r="O3079" s="105">
        <f>IFERROR(VLOOKUP(A3079,Lookup!$J$5:$P$19,7,FALSE),0)</f>
        <v>2</v>
      </c>
      <c r="P3079" s="159">
        <f t="shared" si="513"/>
        <v>2014</v>
      </c>
      <c r="Q3079" s="159">
        <f t="shared" si="514"/>
        <v>2</v>
      </c>
      <c r="R3079" s="160">
        <f t="shared" si="515"/>
        <v>34.266666666779201</v>
      </c>
      <c r="S3079" s="158">
        <f t="shared" si="516"/>
        <v>34.266666666779201</v>
      </c>
      <c r="T3079" s="161">
        <f t="shared" si="517"/>
        <v>10142.933333366644</v>
      </c>
      <c r="U3079" s="158">
        <f t="shared" si="519"/>
        <v>296</v>
      </c>
      <c r="V3079" s="160">
        <f t="shared" si="518"/>
        <v>296</v>
      </c>
    </row>
    <row r="3080" spans="1:22" x14ac:dyDescent="0.25">
      <c r="A3080" s="98" t="s">
        <v>35</v>
      </c>
      <c r="B3080" s="98" t="s">
        <v>79</v>
      </c>
      <c r="C3080" s="98">
        <v>68</v>
      </c>
      <c r="D3080" s="98">
        <v>1850</v>
      </c>
      <c r="E3080" s="157">
        <v>41695.824305555558</v>
      </c>
      <c r="F3080" s="157">
        <v>41696.23541666667</v>
      </c>
      <c r="G3080" s="98">
        <v>0</v>
      </c>
      <c r="H3080" s="98">
        <v>330</v>
      </c>
      <c r="I3080" s="98">
        <v>296</v>
      </c>
      <c r="J3080" s="98" t="s">
        <v>2263</v>
      </c>
      <c r="K3080" s="98" t="s">
        <v>86</v>
      </c>
      <c r="L3080" s="105" t="str">
        <f t="shared" si="510"/>
        <v>Mill Creek</v>
      </c>
      <c r="M3080" s="105" t="str">
        <f t="shared" si="511"/>
        <v>Other</v>
      </c>
      <c r="N3080" s="105" t="str">
        <f t="shared" si="512"/>
        <v>Coal</v>
      </c>
      <c r="O3080" s="105">
        <f>IFERROR(VLOOKUP(A3080,Lookup!$J$5:$P$19,7,FALSE),0)</f>
        <v>2</v>
      </c>
      <c r="P3080" s="159">
        <f t="shared" si="513"/>
        <v>2014</v>
      </c>
      <c r="Q3080" s="159">
        <f t="shared" si="514"/>
        <v>2</v>
      </c>
      <c r="R3080" s="160">
        <f t="shared" si="515"/>
        <v>9.8666666666977108</v>
      </c>
      <c r="S3080" s="158">
        <f t="shared" si="516"/>
        <v>9.8666666666977108</v>
      </c>
      <c r="T3080" s="161">
        <f t="shared" si="517"/>
        <v>2920.5333333425224</v>
      </c>
      <c r="U3080" s="158">
        <f t="shared" si="519"/>
        <v>296</v>
      </c>
      <c r="V3080" s="160">
        <f t="shared" si="518"/>
        <v>296</v>
      </c>
    </row>
    <row r="3081" spans="1:22" x14ac:dyDescent="0.25">
      <c r="A3081" s="98" t="s">
        <v>35</v>
      </c>
      <c r="B3081" s="98" t="s">
        <v>17</v>
      </c>
      <c r="C3081" s="98">
        <v>69</v>
      </c>
      <c r="D3081" s="98">
        <v>1850</v>
      </c>
      <c r="E3081" s="157">
        <v>41696.23541666667</v>
      </c>
      <c r="F3081" s="157">
        <v>41696.472916666666</v>
      </c>
      <c r="G3081" s="98">
        <v>321</v>
      </c>
      <c r="H3081" s="98">
        <v>330</v>
      </c>
      <c r="I3081" s="98">
        <v>296</v>
      </c>
      <c r="J3081" s="98" t="s">
        <v>2263</v>
      </c>
      <c r="K3081" s="98" t="s">
        <v>41</v>
      </c>
      <c r="L3081" s="105" t="str">
        <f t="shared" si="510"/>
        <v>Mill Creek</v>
      </c>
      <c r="M3081" s="105" t="str">
        <f t="shared" si="511"/>
        <v>Derate</v>
      </c>
      <c r="N3081" s="105" t="str">
        <f t="shared" si="512"/>
        <v>Coal</v>
      </c>
      <c r="O3081" s="105">
        <f>IFERROR(VLOOKUP(A3081,Lookup!$J$5:$P$19,7,FALSE),0)</f>
        <v>2</v>
      </c>
      <c r="P3081" s="159">
        <f t="shared" si="513"/>
        <v>2014</v>
      </c>
      <c r="Q3081" s="159">
        <f t="shared" si="514"/>
        <v>2</v>
      </c>
      <c r="R3081" s="160">
        <f t="shared" si="515"/>
        <v>5.6999999998952262</v>
      </c>
      <c r="S3081" s="158">
        <f t="shared" si="516"/>
        <v>0.15545454545168799</v>
      </c>
      <c r="T3081" s="161">
        <f t="shared" si="517"/>
        <v>46.014545453699647</v>
      </c>
      <c r="U3081" s="158">
        <f t="shared" si="519"/>
        <v>8.0727272727272723</v>
      </c>
      <c r="V3081" s="160">
        <f t="shared" si="518"/>
        <v>8</v>
      </c>
    </row>
    <row r="3082" spans="1:22" x14ac:dyDescent="0.25">
      <c r="A3082" s="98" t="s">
        <v>35</v>
      </c>
      <c r="B3082" s="98" t="s">
        <v>17</v>
      </c>
      <c r="C3082" s="98">
        <v>70</v>
      </c>
      <c r="D3082" s="98">
        <v>1850</v>
      </c>
      <c r="E3082" s="157">
        <v>41696.472916666666</v>
      </c>
      <c r="F3082" s="157">
        <v>41696.645138888889</v>
      </c>
      <c r="G3082" s="98">
        <v>293</v>
      </c>
      <c r="H3082" s="98">
        <v>330</v>
      </c>
      <c r="I3082" s="98">
        <v>296</v>
      </c>
      <c r="J3082" s="98" t="s">
        <v>2263</v>
      </c>
      <c r="K3082" s="98" t="s">
        <v>41</v>
      </c>
      <c r="L3082" s="105" t="str">
        <f t="shared" si="510"/>
        <v>Mill Creek</v>
      </c>
      <c r="M3082" s="105" t="str">
        <f t="shared" si="511"/>
        <v>Derate</v>
      </c>
      <c r="N3082" s="105" t="str">
        <f t="shared" si="512"/>
        <v>Coal</v>
      </c>
      <c r="O3082" s="105">
        <f>IFERROR(VLOOKUP(A3082,Lookup!$J$5:$P$19,7,FALSE),0)</f>
        <v>2</v>
      </c>
      <c r="P3082" s="159">
        <f t="shared" si="513"/>
        <v>2014</v>
      </c>
      <c r="Q3082" s="159">
        <f t="shared" si="514"/>
        <v>2</v>
      </c>
      <c r="R3082" s="160">
        <f t="shared" si="515"/>
        <v>4.1333333333604969</v>
      </c>
      <c r="S3082" s="158">
        <f t="shared" si="516"/>
        <v>0.46343434343738904</v>
      </c>
      <c r="T3082" s="161">
        <f t="shared" si="517"/>
        <v>137.17656565746717</v>
      </c>
      <c r="U3082" s="158">
        <f t="shared" si="519"/>
        <v>33.187878787878788</v>
      </c>
      <c r="V3082" s="160">
        <f t="shared" si="518"/>
        <v>33</v>
      </c>
    </row>
    <row r="3083" spans="1:22" x14ac:dyDescent="0.25">
      <c r="A3083" s="98" t="s">
        <v>35</v>
      </c>
      <c r="B3083" s="98" t="s">
        <v>17</v>
      </c>
      <c r="C3083" s="98">
        <v>71</v>
      </c>
      <c r="D3083" s="98">
        <v>1850</v>
      </c>
      <c r="E3083" s="157">
        <v>41696.645138888889</v>
      </c>
      <c r="F3083" s="162">
        <v>41696.698611111111</v>
      </c>
      <c r="G3083" s="98">
        <v>321</v>
      </c>
      <c r="H3083" s="98">
        <v>330</v>
      </c>
      <c r="I3083" s="98">
        <v>296</v>
      </c>
      <c r="J3083" s="98" t="s">
        <v>2263</v>
      </c>
      <c r="K3083" s="98" t="s">
        <v>41</v>
      </c>
      <c r="L3083" s="105" t="str">
        <f t="shared" si="510"/>
        <v>Mill Creek</v>
      </c>
      <c r="M3083" s="105" t="str">
        <f t="shared" si="511"/>
        <v>Derate</v>
      </c>
      <c r="N3083" s="105" t="str">
        <f t="shared" si="512"/>
        <v>Coal</v>
      </c>
      <c r="O3083" s="105">
        <f>IFERROR(VLOOKUP(A3083,Lookup!$J$5:$P$19,7,FALSE),0)</f>
        <v>2</v>
      </c>
      <c r="P3083" s="159">
        <f t="shared" si="513"/>
        <v>2014</v>
      </c>
      <c r="Q3083" s="159">
        <f t="shared" si="514"/>
        <v>2</v>
      </c>
      <c r="R3083" s="160">
        <f t="shared" si="515"/>
        <v>1.2833333333255723</v>
      </c>
      <c r="S3083" s="158">
        <f t="shared" si="516"/>
        <v>3.4999999999788332E-2</v>
      </c>
      <c r="T3083" s="161">
        <f t="shared" si="517"/>
        <v>10.359999999937346</v>
      </c>
      <c r="U3083" s="158">
        <f t="shared" si="519"/>
        <v>8.0727272727272723</v>
      </c>
      <c r="V3083" s="160">
        <f t="shared" si="518"/>
        <v>8</v>
      </c>
    </row>
    <row r="3084" spans="1:22" x14ac:dyDescent="0.25">
      <c r="A3084" s="98" t="s">
        <v>35</v>
      </c>
      <c r="B3084" s="98" t="s">
        <v>79</v>
      </c>
      <c r="C3084" s="98">
        <v>72</v>
      </c>
      <c r="D3084" s="98">
        <v>1160</v>
      </c>
      <c r="E3084" s="157">
        <v>41702.979166666664</v>
      </c>
      <c r="F3084" s="157">
        <v>41703.1875</v>
      </c>
      <c r="G3084" s="98">
        <v>0</v>
      </c>
      <c r="H3084" s="98">
        <v>330</v>
      </c>
      <c r="I3084" s="98">
        <v>296</v>
      </c>
      <c r="J3084" s="98" t="s">
        <v>2273</v>
      </c>
      <c r="K3084" s="98" t="s">
        <v>51</v>
      </c>
      <c r="L3084" s="105" t="str">
        <f t="shared" si="510"/>
        <v>Mill Creek</v>
      </c>
      <c r="M3084" s="105" t="str">
        <f t="shared" si="511"/>
        <v>Other</v>
      </c>
      <c r="N3084" s="105" t="str">
        <f t="shared" si="512"/>
        <v>Coal</v>
      </c>
      <c r="O3084" s="105">
        <f>IFERROR(VLOOKUP(A3084,Lookup!$J$5:$P$19,7,FALSE),0)</f>
        <v>2</v>
      </c>
      <c r="P3084" s="159">
        <f t="shared" si="513"/>
        <v>2014</v>
      </c>
      <c r="Q3084" s="159">
        <f t="shared" si="514"/>
        <v>3</v>
      </c>
      <c r="R3084" s="160">
        <f t="shared" si="515"/>
        <v>5.0000000000582077</v>
      </c>
      <c r="S3084" s="158">
        <f t="shared" si="516"/>
        <v>5.0000000000582077</v>
      </c>
      <c r="T3084" s="161">
        <f t="shared" si="517"/>
        <v>1480.0000000172295</v>
      </c>
      <c r="U3084" s="158">
        <f t="shared" si="519"/>
        <v>296</v>
      </c>
      <c r="V3084" s="160">
        <f t="shared" si="518"/>
        <v>296</v>
      </c>
    </row>
    <row r="3085" spans="1:22" x14ac:dyDescent="0.25">
      <c r="A3085" s="98" t="s">
        <v>35</v>
      </c>
      <c r="B3085" s="98" t="s">
        <v>79</v>
      </c>
      <c r="C3085" s="98">
        <v>73</v>
      </c>
      <c r="D3085" s="98">
        <v>4490</v>
      </c>
      <c r="E3085" s="157">
        <v>41703.25</v>
      </c>
      <c r="F3085" s="157">
        <v>41703.503472222219</v>
      </c>
      <c r="G3085" s="98">
        <v>0</v>
      </c>
      <c r="H3085" s="98">
        <v>330</v>
      </c>
      <c r="I3085" s="98">
        <v>296</v>
      </c>
      <c r="J3085" s="98" t="s">
        <v>2084</v>
      </c>
      <c r="K3085" s="98" t="s">
        <v>1418</v>
      </c>
      <c r="L3085" s="105" t="str">
        <f t="shared" si="510"/>
        <v>Mill Creek</v>
      </c>
      <c r="M3085" s="105" t="str">
        <f t="shared" si="511"/>
        <v>Other</v>
      </c>
      <c r="N3085" s="105" t="str">
        <f t="shared" si="512"/>
        <v>Coal</v>
      </c>
      <c r="O3085" s="105">
        <f>IFERROR(VLOOKUP(A3085,Lookup!$J$5:$P$19,7,FALSE),0)</f>
        <v>2</v>
      </c>
      <c r="P3085" s="159">
        <f t="shared" si="513"/>
        <v>2014</v>
      </c>
      <c r="Q3085" s="159">
        <f t="shared" si="514"/>
        <v>3</v>
      </c>
      <c r="R3085" s="160">
        <f t="shared" si="515"/>
        <v>6.0833333332557231</v>
      </c>
      <c r="S3085" s="158">
        <f t="shared" si="516"/>
        <v>6.0833333332557231</v>
      </c>
      <c r="T3085" s="161">
        <f t="shared" si="517"/>
        <v>1800.666666643694</v>
      </c>
      <c r="U3085" s="158">
        <f t="shared" si="519"/>
        <v>296</v>
      </c>
      <c r="V3085" s="160">
        <f t="shared" si="518"/>
        <v>296</v>
      </c>
    </row>
    <row r="3086" spans="1:22" x14ac:dyDescent="0.25">
      <c r="A3086" s="98" t="s">
        <v>35</v>
      </c>
      <c r="B3086" s="98" t="s">
        <v>79</v>
      </c>
      <c r="C3086" s="98">
        <v>74</v>
      </c>
      <c r="D3086" s="98">
        <v>1160</v>
      </c>
      <c r="E3086" s="157">
        <v>41704.020833333336</v>
      </c>
      <c r="F3086" s="157">
        <v>41704.041666666664</v>
      </c>
      <c r="G3086" s="98">
        <v>0</v>
      </c>
      <c r="H3086" s="98">
        <v>330</v>
      </c>
      <c r="I3086" s="98">
        <v>296</v>
      </c>
      <c r="J3086" s="98" t="s">
        <v>2273</v>
      </c>
      <c r="K3086" s="98" t="s">
        <v>51</v>
      </c>
      <c r="L3086" s="105" t="str">
        <f t="shared" si="510"/>
        <v>Mill Creek</v>
      </c>
      <c r="M3086" s="105" t="str">
        <f t="shared" si="511"/>
        <v>Other</v>
      </c>
      <c r="N3086" s="105" t="str">
        <f t="shared" si="512"/>
        <v>Coal</v>
      </c>
      <c r="O3086" s="105">
        <f>IFERROR(VLOOKUP(A3086,Lookup!$J$5:$P$19,7,FALSE),0)</f>
        <v>2</v>
      </c>
      <c r="P3086" s="159">
        <f t="shared" si="513"/>
        <v>2014</v>
      </c>
      <c r="Q3086" s="159">
        <f t="shared" si="514"/>
        <v>3</v>
      </c>
      <c r="R3086" s="160">
        <f t="shared" si="515"/>
        <v>0.49999999988358468</v>
      </c>
      <c r="S3086" s="158">
        <f t="shared" si="516"/>
        <v>0.49999999988358468</v>
      </c>
      <c r="T3086" s="161">
        <f t="shared" si="517"/>
        <v>147.99999996554106</v>
      </c>
      <c r="U3086" s="158">
        <f t="shared" si="519"/>
        <v>296</v>
      </c>
      <c r="V3086" s="160">
        <f t="shared" si="518"/>
        <v>296</v>
      </c>
    </row>
    <row r="3087" spans="1:22" x14ac:dyDescent="0.25">
      <c r="A3087" s="98" t="s">
        <v>35</v>
      </c>
      <c r="B3087" s="98" t="s">
        <v>79</v>
      </c>
      <c r="C3087" s="98">
        <v>75</v>
      </c>
      <c r="D3087" s="98">
        <v>1160</v>
      </c>
      <c r="E3087" s="157">
        <v>41704.947916666664</v>
      </c>
      <c r="F3087" s="157">
        <v>41705.138888888891</v>
      </c>
      <c r="G3087" s="98">
        <v>0</v>
      </c>
      <c r="H3087" s="98">
        <v>330</v>
      </c>
      <c r="I3087" s="98">
        <v>296</v>
      </c>
      <c r="J3087" s="98" t="s">
        <v>2273</v>
      </c>
      <c r="K3087" s="98" t="s">
        <v>51</v>
      </c>
      <c r="L3087" s="105" t="str">
        <f t="shared" si="510"/>
        <v>Mill Creek</v>
      </c>
      <c r="M3087" s="105" t="str">
        <f t="shared" si="511"/>
        <v>Other</v>
      </c>
      <c r="N3087" s="105" t="str">
        <f t="shared" si="512"/>
        <v>Coal</v>
      </c>
      <c r="O3087" s="105">
        <f>IFERROR(VLOOKUP(A3087,Lookup!$J$5:$P$19,7,FALSE),0)</f>
        <v>2</v>
      </c>
      <c r="P3087" s="159">
        <f t="shared" si="513"/>
        <v>2014</v>
      </c>
      <c r="Q3087" s="159">
        <f t="shared" si="514"/>
        <v>3</v>
      </c>
      <c r="R3087" s="160">
        <f t="shared" si="515"/>
        <v>4.5833333334303461</v>
      </c>
      <c r="S3087" s="158">
        <f t="shared" si="516"/>
        <v>4.5833333334303461</v>
      </c>
      <c r="T3087" s="161">
        <f t="shared" si="517"/>
        <v>1356.6666666953824</v>
      </c>
      <c r="U3087" s="158">
        <f t="shared" si="519"/>
        <v>296</v>
      </c>
      <c r="V3087" s="160">
        <f t="shared" si="518"/>
        <v>296</v>
      </c>
    </row>
    <row r="3088" spans="1:22" x14ac:dyDescent="0.25">
      <c r="A3088" s="98" t="s">
        <v>35</v>
      </c>
      <c r="B3088" s="98" t="s">
        <v>17</v>
      </c>
      <c r="C3088" s="98">
        <v>76</v>
      </c>
      <c r="D3088" s="98">
        <v>1455</v>
      </c>
      <c r="E3088" s="157">
        <v>41705.239583333336</v>
      </c>
      <c r="F3088" s="157">
        <v>41705.307638888888</v>
      </c>
      <c r="G3088" s="98">
        <v>312</v>
      </c>
      <c r="H3088" s="98">
        <v>330</v>
      </c>
      <c r="I3088" s="98">
        <v>296</v>
      </c>
      <c r="J3088" s="98" t="s">
        <v>1990</v>
      </c>
      <c r="K3088" s="98" t="s">
        <v>1492</v>
      </c>
      <c r="L3088" s="105" t="str">
        <f t="shared" si="510"/>
        <v>Mill Creek</v>
      </c>
      <c r="M3088" s="105" t="str">
        <f t="shared" si="511"/>
        <v>Derate</v>
      </c>
      <c r="N3088" s="105" t="str">
        <f t="shared" si="512"/>
        <v>Coal</v>
      </c>
      <c r="O3088" s="105">
        <f>IFERROR(VLOOKUP(A3088,Lookup!$J$5:$P$19,7,FALSE),0)</f>
        <v>2</v>
      </c>
      <c r="P3088" s="159">
        <f t="shared" si="513"/>
        <v>2014</v>
      </c>
      <c r="Q3088" s="159">
        <f t="shared" si="514"/>
        <v>3</v>
      </c>
      <c r="R3088" s="160">
        <f t="shared" si="515"/>
        <v>1.6333333332440816</v>
      </c>
      <c r="S3088" s="158">
        <f t="shared" si="516"/>
        <v>8.9090909086040809E-2</v>
      </c>
      <c r="T3088" s="161">
        <f t="shared" si="517"/>
        <v>26.370909089468078</v>
      </c>
      <c r="U3088" s="158">
        <f t="shared" si="519"/>
        <v>16.145454545454545</v>
      </c>
      <c r="V3088" s="160">
        <f t="shared" si="518"/>
        <v>16</v>
      </c>
    </row>
    <row r="3089" spans="1:22" x14ac:dyDescent="0.25">
      <c r="A3089" s="98" t="s">
        <v>35</v>
      </c>
      <c r="B3089" s="98" t="s">
        <v>17</v>
      </c>
      <c r="C3089" s="98">
        <v>77</v>
      </c>
      <c r="D3089" s="98">
        <v>1455</v>
      </c>
      <c r="E3089" s="157">
        <v>41705.307638888888</v>
      </c>
      <c r="F3089" s="157">
        <v>41705.494444444441</v>
      </c>
      <c r="G3089" s="98">
        <v>323</v>
      </c>
      <c r="H3089" s="98">
        <v>330</v>
      </c>
      <c r="I3089" s="98">
        <v>296</v>
      </c>
      <c r="J3089" s="98" t="s">
        <v>1990</v>
      </c>
      <c r="K3089" s="98" t="s">
        <v>1492</v>
      </c>
      <c r="L3089" s="105" t="str">
        <f t="shared" si="510"/>
        <v>Mill Creek</v>
      </c>
      <c r="M3089" s="105" t="str">
        <f t="shared" si="511"/>
        <v>Derate</v>
      </c>
      <c r="N3089" s="105" t="str">
        <f t="shared" si="512"/>
        <v>Coal</v>
      </c>
      <c r="O3089" s="105">
        <f>IFERROR(VLOOKUP(A3089,Lookup!$J$5:$P$19,7,FALSE),0)</f>
        <v>2</v>
      </c>
      <c r="P3089" s="159">
        <f t="shared" si="513"/>
        <v>2014</v>
      </c>
      <c r="Q3089" s="159">
        <f t="shared" si="514"/>
        <v>3</v>
      </c>
      <c r="R3089" s="160">
        <f t="shared" si="515"/>
        <v>4.4833333332790062</v>
      </c>
      <c r="S3089" s="158">
        <f t="shared" si="516"/>
        <v>9.5101010099857705E-2</v>
      </c>
      <c r="T3089" s="161">
        <f t="shared" si="517"/>
        <v>28.14989898955788</v>
      </c>
      <c r="U3089" s="158">
        <f t="shared" si="519"/>
        <v>6.2787878787878784</v>
      </c>
      <c r="V3089" s="160">
        <f t="shared" si="518"/>
        <v>6</v>
      </c>
    </row>
    <row r="3090" spans="1:22" x14ac:dyDescent="0.25">
      <c r="A3090" s="98" t="s">
        <v>35</v>
      </c>
      <c r="B3090" s="98" t="s">
        <v>79</v>
      </c>
      <c r="C3090" s="98">
        <v>78</v>
      </c>
      <c r="D3090" s="98">
        <v>1160</v>
      </c>
      <c r="E3090" s="157">
        <v>41705.572916666664</v>
      </c>
      <c r="F3090" s="157">
        <v>41705.736111111109</v>
      </c>
      <c r="G3090" s="98">
        <v>0</v>
      </c>
      <c r="H3090" s="98">
        <v>330</v>
      </c>
      <c r="I3090" s="98">
        <v>296</v>
      </c>
      <c r="J3090" s="98" t="s">
        <v>2273</v>
      </c>
      <c r="K3090" s="98" t="s">
        <v>51</v>
      </c>
      <c r="L3090" s="105" t="str">
        <f t="shared" si="510"/>
        <v>Mill Creek</v>
      </c>
      <c r="M3090" s="105" t="str">
        <f t="shared" si="511"/>
        <v>Other</v>
      </c>
      <c r="N3090" s="105" t="str">
        <f t="shared" si="512"/>
        <v>Coal</v>
      </c>
      <c r="O3090" s="105">
        <f>IFERROR(VLOOKUP(A3090,Lookup!$J$5:$P$19,7,FALSE),0)</f>
        <v>2</v>
      </c>
      <c r="P3090" s="159">
        <f t="shared" si="513"/>
        <v>2014</v>
      </c>
      <c r="Q3090" s="159">
        <f t="shared" si="514"/>
        <v>3</v>
      </c>
      <c r="R3090" s="160">
        <f t="shared" si="515"/>
        <v>3.9166666666860692</v>
      </c>
      <c r="S3090" s="158">
        <f t="shared" si="516"/>
        <v>3.9166666666860692</v>
      </c>
      <c r="T3090" s="161">
        <f t="shared" si="517"/>
        <v>1159.3333333390765</v>
      </c>
      <c r="U3090" s="158">
        <f t="shared" si="519"/>
        <v>296</v>
      </c>
      <c r="V3090" s="160">
        <f t="shared" si="518"/>
        <v>296</v>
      </c>
    </row>
    <row r="3091" spans="1:22" x14ac:dyDescent="0.25">
      <c r="A3091" s="98" t="s">
        <v>35</v>
      </c>
      <c r="B3091" s="98" t="s">
        <v>79</v>
      </c>
      <c r="C3091" s="98">
        <v>79</v>
      </c>
      <c r="D3091" s="98">
        <v>1160</v>
      </c>
      <c r="E3091" s="157">
        <v>41713.958333333336</v>
      </c>
      <c r="F3091" s="157">
        <v>41714.199305555558</v>
      </c>
      <c r="G3091" s="98">
        <v>0</v>
      </c>
      <c r="H3091" s="98">
        <v>330</v>
      </c>
      <c r="I3091" s="98">
        <v>296</v>
      </c>
      <c r="J3091" s="98" t="s">
        <v>2273</v>
      </c>
      <c r="K3091" s="98" t="s">
        <v>1411</v>
      </c>
      <c r="L3091" s="105" t="str">
        <f t="shared" si="510"/>
        <v>Mill Creek</v>
      </c>
      <c r="M3091" s="105" t="str">
        <f t="shared" si="511"/>
        <v>Other</v>
      </c>
      <c r="N3091" s="105" t="str">
        <f t="shared" si="512"/>
        <v>Coal</v>
      </c>
      <c r="O3091" s="105">
        <f>IFERROR(VLOOKUP(A3091,Lookup!$J$5:$P$19,7,FALSE),0)</f>
        <v>2</v>
      </c>
      <c r="P3091" s="159">
        <f t="shared" si="513"/>
        <v>2014</v>
      </c>
      <c r="Q3091" s="159">
        <f t="shared" si="514"/>
        <v>3</v>
      </c>
      <c r="R3091" s="160">
        <f t="shared" si="515"/>
        <v>5.7833333333255723</v>
      </c>
      <c r="S3091" s="158">
        <f t="shared" si="516"/>
        <v>5.7833333333255723</v>
      </c>
      <c r="T3091" s="161">
        <f t="shared" si="517"/>
        <v>1711.8666666643694</v>
      </c>
      <c r="U3091" s="158">
        <f t="shared" si="519"/>
        <v>296</v>
      </c>
      <c r="V3091" s="160">
        <f t="shared" si="518"/>
        <v>296</v>
      </c>
    </row>
    <row r="3092" spans="1:22" x14ac:dyDescent="0.25">
      <c r="A3092" s="98" t="s">
        <v>35</v>
      </c>
      <c r="B3092" s="98" t="s">
        <v>79</v>
      </c>
      <c r="C3092" s="98">
        <v>80</v>
      </c>
      <c r="D3092" s="98">
        <v>1160</v>
      </c>
      <c r="E3092" s="157">
        <v>41714.9375</v>
      </c>
      <c r="F3092" s="157">
        <v>41715.15625</v>
      </c>
      <c r="G3092" s="98">
        <v>0</v>
      </c>
      <c r="H3092" s="98">
        <v>330</v>
      </c>
      <c r="I3092" s="98">
        <v>296</v>
      </c>
      <c r="J3092" s="98" t="s">
        <v>2273</v>
      </c>
      <c r="K3092" s="98" t="s">
        <v>1411</v>
      </c>
      <c r="L3092" s="105" t="str">
        <f t="shared" si="510"/>
        <v>Mill Creek</v>
      </c>
      <c r="M3092" s="105" t="str">
        <f t="shared" si="511"/>
        <v>Other</v>
      </c>
      <c r="N3092" s="105" t="str">
        <f t="shared" si="512"/>
        <v>Coal</v>
      </c>
      <c r="O3092" s="105">
        <f>IFERROR(VLOOKUP(A3092,Lookup!$J$5:$P$19,7,FALSE),0)</f>
        <v>2</v>
      </c>
      <c r="P3092" s="159">
        <f t="shared" si="513"/>
        <v>2014</v>
      </c>
      <c r="Q3092" s="159">
        <f t="shared" si="514"/>
        <v>3</v>
      </c>
      <c r="R3092" s="160">
        <f t="shared" si="515"/>
        <v>5.25</v>
      </c>
      <c r="S3092" s="158">
        <f t="shared" si="516"/>
        <v>5.25</v>
      </c>
      <c r="T3092" s="161">
        <f t="shared" si="517"/>
        <v>1554</v>
      </c>
      <c r="U3092" s="158">
        <f t="shared" si="519"/>
        <v>296</v>
      </c>
      <c r="V3092" s="160">
        <f t="shared" si="518"/>
        <v>296</v>
      </c>
    </row>
    <row r="3093" spans="1:22" x14ac:dyDescent="0.25">
      <c r="A3093" s="98" t="s">
        <v>35</v>
      </c>
      <c r="B3093" s="98" t="s">
        <v>105</v>
      </c>
      <c r="C3093" s="98">
        <v>81</v>
      </c>
      <c r="D3093" s="98">
        <v>310</v>
      </c>
      <c r="E3093" s="157">
        <v>41722.958333333336</v>
      </c>
      <c r="F3093" s="157">
        <v>41723.089583333334</v>
      </c>
      <c r="G3093" s="98">
        <v>240</v>
      </c>
      <c r="H3093" s="98">
        <v>330</v>
      </c>
      <c r="I3093" s="98">
        <v>296</v>
      </c>
      <c r="J3093" s="98" t="s">
        <v>1966</v>
      </c>
      <c r="K3093" s="98" t="s">
        <v>1493</v>
      </c>
      <c r="L3093" s="105" t="str">
        <f t="shared" si="510"/>
        <v>Mill Creek</v>
      </c>
      <c r="M3093" s="105" t="str">
        <f t="shared" si="511"/>
        <v>Derate</v>
      </c>
      <c r="N3093" s="105" t="str">
        <f t="shared" si="512"/>
        <v>Coal</v>
      </c>
      <c r="O3093" s="105">
        <f>IFERROR(VLOOKUP(A3093,Lookup!$J$5:$P$19,7,FALSE),0)</f>
        <v>2</v>
      </c>
      <c r="P3093" s="159">
        <f t="shared" si="513"/>
        <v>2014</v>
      </c>
      <c r="Q3093" s="159">
        <f t="shared" si="514"/>
        <v>3</v>
      </c>
      <c r="R3093" s="160">
        <f t="shared" si="515"/>
        <v>3.1499999999650754</v>
      </c>
      <c r="S3093" s="158">
        <f t="shared" si="516"/>
        <v>0.85909090908138419</v>
      </c>
      <c r="T3093" s="161">
        <f t="shared" si="517"/>
        <v>254.29090908808973</v>
      </c>
      <c r="U3093" s="158">
        <f t="shared" si="519"/>
        <v>80.727272727272734</v>
      </c>
      <c r="V3093" s="160">
        <f t="shared" si="518"/>
        <v>81</v>
      </c>
    </row>
    <row r="3094" spans="1:22" x14ac:dyDescent="0.25">
      <c r="A3094" s="98" t="s">
        <v>35</v>
      </c>
      <c r="B3094" s="98" t="s">
        <v>79</v>
      </c>
      <c r="C3094" s="98">
        <v>82</v>
      </c>
      <c r="D3094" s="98">
        <v>1160</v>
      </c>
      <c r="E3094" s="157">
        <v>41723.947916666664</v>
      </c>
      <c r="F3094" s="157">
        <v>41724.145833333336</v>
      </c>
      <c r="G3094" s="98">
        <v>0</v>
      </c>
      <c r="H3094" s="98">
        <v>330</v>
      </c>
      <c r="I3094" s="98">
        <v>296</v>
      </c>
      <c r="J3094" s="98" t="s">
        <v>2273</v>
      </c>
      <c r="K3094" s="98" t="s">
        <v>1411</v>
      </c>
      <c r="L3094" s="105" t="str">
        <f t="shared" si="510"/>
        <v>Mill Creek</v>
      </c>
      <c r="M3094" s="105" t="str">
        <f t="shared" si="511"/>
        <v>Other</v>
      </c>
      <c r="N3094" s="105" t="str">
        <f t="shared" si="512"/>
        <v>Coal</v>
      </c>
      <c r="O3094" s="105">
        <f>IFERROR(VLOOKUP(A3094,Lookup!$J$5:$P$19,7,FALSE),0)</f>
        <v>2</v>
      </c>
      <c r="P3094" s="159">
        <f t="shared" si="513"/>
        <v>2014</v>
      </c>
      <c r="Q3094" s="159">
        <f t="shared" si="514"/>
        <v>3</v>
      </c>
      <c r="R3094" s="160">
        <f t="shared" si="515"/>
        <v>4.7500000001164153</v>
      </c>
      <c r="S3094" s="158">
        <f t="shared" si="516"/>
        <v>4.7500000001164153</v>
      </c>
      <c r="T3094" s="161">
        <f t="shared" si="517"/>
        <v>1406.0000000344589</v>
      </c>
      <c r="U3094" s="158">
        <f t="shared" si="519"/>
        <v>296</v>
      </c>
      <c r="V3094" s="160">
        <f t="shared" si="518"/>
        <v>296</v>
      </c>
    </row>
    <row r="3095" spans="1:22" x14ac:dyDescent="0.25">
      <c r="A3095" s="98" t="s">
        <v>35</v>
      </c>
      <c r="B3095" s="98" t="s">
        <v>79</v>
      </c>
      <c r="C3095" s="98">
        <v>83</v>
      </c>
      <c r="D3095" s="98">
        <v>1160</v>
      </c>
      <c r="E3095" s="157">
        <v>41728.940972222219</v>
      </c>
      <c r="F3095" s="157">
        <v>41729.12777777778</v>
      </c>
      <c r="G3095" s="98">
        <v>0</v>
      </c>
      <c r="H3095" s="98">
        <v>330</v>
      </c>
      <c r="I3095" s="98">
        <v>296</v>
      </c>
      <c r="J3095" s="98" t="s">
        <v>2273</v>
      </c>
      <c r="K3095" s="98" t="s">
        <v>1411</v>
      </c>
      <c r="L3095" s="105" t="str">
        <f t="shared" si="510"/>
        <v>Mill Creek</v>
      </c>
      <c r="M3095" s="105" t="str">
        <f t="shared" si="511"/>
        <v>Other</v>
      </c>
      <c r="N3095" s="105" t="str">
        <f t="shared" si="512"/>
        <v>Coal</v>
      </c>
      <c r="O3095" s="105">
        <f>IFERROR(VLOOKUP(A3095,Lookup!$J$5:$P$19,7,FALSE),0)</f>
        <v>2</v>
      </c>
      <c r="P3095" s="159">
        <f t="shared" si="513"/>
        <v>2014</v>
      </c>
      <c r="Q3095" s="159">
        <f t="shared" si="514"/>
        <v>3</v>
      </c>
      <c r="R3095" s="160">
        <f t="shared" si="515"/>
        <v>4.4833333334536292</v>
      </c>
      <c r="S3095" s="158">
        <f t="shared" si="516"/>
        <v>4.4833333334536292</v>
      </c>
      <c r="T3095" s="161">
        <f t="shared" si="517"/>
        <v>1327.0666667022742</v>
      </c>
      <c r="U3095" s="158">
        <f t="shared" si="519"/>
        <v>296</v>
      </c>
      <c r="V3095" s="160">
        <f t="shared" si="518"/>
        <v>296</v>
      </c>
    </row>
    <row r="3096" spans="1:22" x14ac:dyDescent="0.25">
      <c r="A3096" s="98" t="s">
        <v>35</v>
      </c>
      <c r="B3096" s="98" t="s">
        <v>105</v>
      </c>
      <c r="C3096" s="98">
        <v>84</v>
      </c>
      <c r="D3096" s="98">
        <v>1160</v>
      </c>
      <c r="E3096" s="157">
        <v>41729.916666666664</v>
      </c>
      <c r="F3096" s="157">
        <v>41730.148611111108</v>
      </c>
      <c r="G3096" s="98">
        <v>140</v>
      </c>
      <c r="H3096" s="98">
        <v>330</v>
      </c>
      <c r="I3096" s="98">
        <v>296</v>
      </c>
      <c r="J3096" s="98" t="s">
        <v>2273</v>
      </c>
      <c r="K3096" s="98" t="s">
        <v>1411</v>
      </c>
      <c r="L3096" s="105" t="str">
        <f t="shared" si="510"/>
        <v>Mill Creek</v>
      </c>
      <c r="M3096" s="105" t="str">
        <f t="shared" si="511"/>
        <v>Derate</v>
      </c>
      <c r="N3096" s="105" t="str">
        <f t="shared" si="512"/>
        <v>Coal</v>
      </c>
      <c r="O3096" s="105">
        <f>IFERROR(VLOOKUP(A3096,Lookup!$J$5:$P$19,7,FALSE),0)</f>
        <v>2</v>
      </c>
      <c r="P3096" s="159">
        <f t="shared" si="513"/>
        <v>2014</v>
      </c>
      <c r="Q3096" s="159">
        <f t="shared" si="514"/>
        <v>3</v>
      </c>
      <c r="R3096" s="160">
        <f t="shared" si="515"/>
        <v>5.5666666666511446</v>
      </c>
      <c r="S3096" s="158">
        <f t="shared" si="516"/>
        <v>3.2050505050415681</v>
      </c>
      <c r="T3096" s="161">
        <f t="shared" si="517"/>
        <v>948.6949494923042</v>
      </c>
      <c r="U3096" s="158">
        <f t="shared" si="519"/>
        <v>170.42424242424244</v>
      </c>
      <c r="V3096" s="160">
        <f t="shared" si="518"/>
        <v>170</v>
      </c>
    </row>
    <row r="3097" spans="1:22" x14ac:dyDescent="0.25">
      <c r="A3097" s="98" t="s">
        <v>35</v>
      </c>
      <c r="B3097" s="98" t="s">
        <v>105</v>
      </c>
      <c r="C3097" s="98">
        <v>85</v>
      </c>
      <c r="D3097" s="98">
        <v>1160</v>
      </c>
      <c r="E3097" s="157">
        <v>41730.996527777781</v>
      </c>
      <c r="F3097" s="157">
        <v>41731.131944444445</v>
      </c>
      <c r="G3097" s="98">
        <v>140</v>
      </c>
      <c r="H3097" s="98">
        <v>330</v>
      </c>
      <c r="I3097" s="98">
        <v>296</v>
      </c>
      <c r="J3097" s="98" t="s">
        <v>2273</v>
      </c>
      <c r="K3097" s="98" t="s">
        <v>1494</v>
      </c>
      <c r="L3097" s="105" t="str">
        <f t="shared" si="510"/>
        <v>Mill Creek</v>
      </c>
      <c r="M3097" s="105" t="str">
        <f t="shared" si="511"/>
        <v>Derate</v>
      </c>
      <c r="N3097" s="105" t="str">
        <f t="shared" si="512"/>
        <v>Coal</v>
      </c>
      <c r="O3097" s="105">
        <f>IFERROR(VLOOKUP(A3097,Lookup!$J$5:$P$19,7,FALSE),0)</f>
        <v>2</v>
      </c>
      <c r="P3097" s="159">
        <f t="shared" si="513"/>
        <v>2014</v>
      </c>
      <c r="Q3097" s="159">
        <f t="shared" si="514"/>
        <v>4</v>
      </c>
      <c r="R3097" s="160">
        <f t="shared" si="515"/>
        <v>3.2499999999417923</v>
      </c>
      <c r="S3097" s="158">
        <f t="shared" si="516"/>
        <v>1.8712121211786077</v>
      </c>
      <c r="T3097" s="161">
        <f t="shared" si="517"/>
        <v>553.8787878688679</v>
      </c>
      <c r="U3097" s="158">
        <f t="shared" si="519"/>
        <v>170.42424242424244</v>
      </c>
      <c r="V3097" s="160">
        <f t="shared" si="518"/>
        <v>170</v>
      </c>
    </row>
    <row r="3098" spans="1:22" x14ac:dyDescent="0.25">
      <c r="A3098" s="98" t="s">
        <v>35</v>
      </c>
      <c r="B3098" s="98" t="s">
        <v>17</v>
      </c>
      <c r="C3098" s="98">
        <v>86</v>
      </c>
      <c r="D3098" s="98">
        <v>1160</v>
      </c>
      <c r="E3098" s="157">
        <v>41732.003472222219</v>
      </c>
      <c r="F3098" s="157">
        <v>41732.15625</v>
      </c>
      <c r="G3098" s="98">
        <v>140</v>
      </c>
      <c r="H3098" s="98">
        <v>330</v>
      </c>
      <c r="I3098" s="98">
        <v>296</v>
      </c>
      <c r="J3098" s="98" t="s">
        <v>2273</v>
      </c>
      <c r="K3098" s="98" t="s">
        <v>51</v>
      </c>
      <c r="L3098" s="105" t="str">
        <f t="shared" si="510"/>
        <v>Mill Creek</v>
      </c>
      <c r="M3098" s="105" t="str">
        <f t="shared" si="511"/>
        <v>Derate</v>
      </c>
      <c r="N3098" s="105" t="str">
        <f t="shared" si="512"/>
        <v>Coal</v>
      </c>
      <c r="O3098" s="105">
        <f>IFERROR(VLOOKUP(A3098,Lookup!$J$5:$P$19,7,FALSE),0)</f>
        <v>2</v>
      </c>
      <c r="P3098" s="159">
        <f t="shared" si="513"/>
        <v>2014</v>
      </c>
      <c r="Q3098" s="159">
        <f t="shared" si="514"/>
        <v>4</v>
      </c>
      <c r="R3098" s="160">
        <f t="shared" si="515"/>
        <v>3.6666666667442769</v>
      </c>
      <c r="S3098" s="158">
        <f t="shared" si="516"/>
        <v>2.1111111111557959</v>
      </c>
      <c r="T3098" s="161">
        <f t="shared" si="517"/>
        <v>624.88888890211558</v>
      </c>
      <c r="U3098" s="158">
        <f t="shared" si="519"/>
        <v>170.42424242424244</v>
      </c>
      <c r="V3098" s="160">
        <f t="shared" si="518"/>
        <v>170</v>
      </c>
    </row>
    <row r="3099" spans="1:22" x14ac:dyDescent="0.25">
      <c r="A3099" s="98" t="s">
        <v>35</v>
      </c>
      <c r="B3099" s="98" t="s">
        <v>38</v>
      </c>
      <c r="C3099" s="98">
        <v>87</v>
      </c>
      <c r="D3099" s="98">
        <v>1800</v>
      </c>
      <c r="E3099" s="157">
        <v>41734.07708333333</v>
      </c>
      <c r="F3099" s="157">
        <v>41763.931944444441</v>
      </c>
      <c r="G3099" s="98">
        <v>0</v>
      </c>
      <c r="H3099" s="98">
        <v>330</v>
      </c>
      <c r="I3099" s="98">
        <v>296</v>
      </c>
      <c r="J3099" s="98" t="s">
        <v>2178</v>
      </c>
      <c r="K3099" s="98" t="s">
        <v>48</v>
      </c>
      <c r="L3099" s="105" t="str">
        <f t="shared" si="510"/>
        <v>Mill Creek</v>
      </c>
      <c r="M3099" s="105" t="str">
        <f t="shared" si="511"/>
        <v>Other</v>
      </c>
      <c r="N3099" s="105" t="str">
        <f t="shared" si="512"/>
        <v>Coal</v>
      </c>
      <c r="O3099" s="105">
        <f>IFERROR(VLOOKUP(A3099,Lookup!$J$5:$P$19,7,FALSE),0)</f>
        <v>2</v>
      </c>
      <c r="P3099" s="159">
        <f t="shared" si="513"/>
        <v>2014</v>
      </c>
      <c r="Q3099" s="159">
        <f t="shared" si="514"/>
        <v>4</v>
      </c>
      <c r="R3099" s="160">
        <f t="shared" si="515"/>
        <v>716.51666666666279</v>
      </c>
      <c r="S3099" s="158">
        <f t="shared" si="516"/>
        <v>716.51666666666279</v>
      </c>
      <c r="T3099" s="161">
        <f t="shared" si="517"/>
        <v>212088.93333333218</v>
      </c>
      <c r="U3099" s="158">
        <f t="shared" si="519"/>
        <v>296</v>
      </c>
      <c r="V3099" s="160">
        <f t="shared" si="518"/>
        <v>296</v>
      </c>
    </row>
    <row r="3100" spans="1:22" x14ac:dyDescent="0.25">
      <c r="A3100" s="98" t="s">
        <v>35</v>
      </c>
      <c r="B3100" s="98" t="s">
        <v>105</v>
      </c>
      <c r="C3100" s="98">
        <v>88</v>
      </c>
      <c r="D3100" s="98">
        <v>345</v>
      </c>
      <c r="E3100" s="157">
        <v>41763.931944444441</v>
      </c>
      <c r="F3100" s="157">
        <v>41765.152083333334</v>
      </c>
      <c r="G3100" s="98">
        <v>240</v>
      </c>
      <c r="H3100" s="98">
        <v>330</v>
      </c>
      <c r="I3100" s="98">
        <v>296</v>
      </c>
      <c r="J3100" s="98" t="s">
        <v>2387</v>
      </c>
      <c r="K3100" s="98" t="s">
        <v>2748</v>
      </c>
      <c r="L3100" s="105" t="str">
        <f t="shared" si="510"/>
        <v>Mill Creek</v>
      </c>
      <c r="M3100" s="105" t="str">
        <f t="shared" si="511"/>
        <v>Derate</v>
      </c>
      <c r="N3100" s="105" t="str">
        <f t="shared" si="512"/>
        <v>Coal</v>
      </c>
      <c r="O3100" s="105">
        <f>IFERROR(VLOOKUP(A3100,Lookup!$J$5:$P$19,7,FALSE),0)</f>
        <v>2</v>
      </c>
      <c r="P3100" s="159">
        <f t="shared" si="513"/>
        <v>2014</v>
      </c>
      <c r="Q3100" s="159">
        <f t="shared" si="514"/>
        <v>5</v>
      </c>
      <c r="R3100" s="160">
        <f t="shared" si="515"/>
        <v>29.283333333441988</v>
      </c>
      <c r="S3100" s="158">
        <f t="shared" si="516"/>
        <v>7.9863636363932695</v>
      </c>
      <c r="T3100" s="161">
        <f t="shared" si="517"/>
        <v>2363.9636363724076</v>
      </c>
      <c r="U3100" s="158">
        <f t="shared" si="519"/>
        <v>80.727272727272734</v>
      </c>
      <c r="V3100" s="160">
        <f t="shared" si="518"/>
        <v>81</v>
      </c>
    </row>
    <row r="3101" spans="1:22" x14ac:dyDescent="0.25">
      <c r="A3101" s="98" t="s">
        <v>35</v>
      </c>
      <c r="B3101" s="98" t="s">
        <v>105</v>
      </c>
      <c r="C3101" s="98">
        <v>89</v>
      </c>
      <c r="D3101" s="98">
        <v>345</v>
      </c>
      <c r="E3101" s="157">
        <v>41765.152083333334</v>
      </c>
      <c r="F3101" s="157">
        <v>41766.332638888889</v>
      </c>
      <c r="G3101" s="98">
        <v>257</v>
      </c>
      <c r="H3101" s="98">
        <v>330</v>
      </c>
      <c r="I3101" s="98">
        <v>296</v>
      </c>
      <c r="J3101" s="98" t="s">
        <v>2387</v>
      </c>
      <c r="K3101" s="98" t="s">
        <v>2748</v>
      </c>
      <c r="L3101" s="105" t="str">
        <f t="shared" si="510"/>
        <v>Mill Creek</v>
      </c>
      <c r="M3101" s="105" t="str">
        <f t="shared" si="511"/>
        <v>Derate</v>
      </c>
      <c r="N3101" s="105" t="str">
        <f t="shared" si="512"/>
        <v>Coal</v>
      </c>
      <c r="O3101" s="105">
        <f>IFERROR(VLOOKUP(A3101,Lookup!$J$5:$P$19,7,FALSE),0)</f>
        <v>2</v>
      </c>
      <c r="P3101" s="159">
        <f t="shared" si="513"/>
        <v>2014</v>
      </c>
      <c r="Q3101" s="159">
        <f t="shared" si="514"/>
        <v>5</v>
      </c>
      <c r="R3101" s="160">
        <f t="shared" si="515"/>
        <v>28.333333333313931</v>
      </c>
      <c r="S3101" s="158">
        <f t="shared" si="516"/>
        <v>6.2676767676724756</v>
      </c>
      <c r="T3101" s="161">
        <f t="shared" si="517"/>
        <v>1855.2323232310528</v>
      </c>
      <c r="U3101" s="158">
        <f t="shared" si="519"/>
        <v>65.478787878787884</v>
      </c>
      <c r="V3101" s="160">
        <f t="shared" si="518"/>
        <v>65</v>
      </c>
    </row>
    <row r="3102" spans="1:22" x14ac:dyDescent="0.25">
      <c r="A3102" s="98" t="s">
        <v>35</v>
      </c>
      <c r="B3102" s="98" t="s">
        <v>105</v>
      </c>
      <c r="C3102" s="98">
        <v>90</v>
      </c>
      <c r="D3102" s="98">
        <v>350</v>
      </c>
      <c r="E3102" s="157">
        <v>41765.958333333336</v>
      </c>
      <c r="F3102" s="157">
        <v>41766.17291666667</v>
      </c>
      <c r="G3102" s="98">
        <v>145</v>
      </c>
      <c r="H3102" s="98">
        <v>330</v>
      </c>
      <c r="I3102" s="98">
        <v>296</v>
      </c>
      <c r="J3102" s="98" t="s">
        <v>1976</v>
      </c>
      <c r="K3102" s="98" t="s">
        <v>1495</v>
      </c>
      <c r="L3102" s="105" t="str">
        <f t="shared" si="510"/>
        <v>Mill Creek</v>
      </c>
      <c r="M3102" s="105" t="str">
        <f t="shared" si="511"/>
        <v>Derate</v>
      </c>
      <c r="N3102" s="105" t="str">
        <f t="shared" si="512"/>
        <v>Coal</v>
      </c>
      <c r="O3102" s="105">
        <f>IFERROR(VLOOKUP(A3102,Lookup!$J$5:$P$19,7,FALSE),0)</f>
        <v>2</v>
      </c>
      <c r="P3102" s="159">
        <f t="shared" si="513"/>
        <v>2014</v>
      </c>
      <c r="Q3102" s="159">
        <f t="shared" si="514"/>
        <v>5</v>
      </c>
      <c r="R3102" s="160">
        <f t="shared" si="515"/>
        <v>5.1500000000232831</v>
      </c>
      <c r="S3102" s="158">
        <f t="shared" si="516"/>
        <v>2.8871212121342649</v>
      </c>
      <c r="T3102" s="161">
        <f t="shared" si="517"/>
        <v>854.58787879174236</v>
      </c>
      <c r="U3102" s="158">
        <f t="shared" si="519"/>
        <v>165.93939393939394</v>
      </c>
      <c r="V3102" s="160">
        <f t="shared" si="518"/>
        <v>166</v>
      </c>
    </row>
    <row r="3103" spans="1:22" x14ac:dyDescent="0.25">
      <c r="A3103" s="98" t="s">
        <v>35</v>
      </c>
      <c r="B3103" s="98" t="s">
        <v>105</v>
      </c>
      <c r="C3103" s="98">
        <v>91</v>
      </c>
      <c r="D3103" s="98">
        <v>345</v>
      </c>
      <c r="E3103" s="157">
        <v>41766.332638888889</v>
      </c>
      <c r="F3103" s="157">
        <v>41766.746527777781</v>
      </c>
      <c r="G3103" s="98">
        <v>268</v>
      </c>
      <c r="H3103" s="98">
        <v>330</v>
      </c>
      <c r="I3103" s="98">
        <v>296</v>
      </c>
      <c r="J3103" s="98" t="s">
        <v>2387</v>
      </c>
      <c r="K3103" s="98" t="s">
        <v>2748</v>
      </c>
      <c r="L3103" s="105" t="str">
        <f t="shared" si="510"/>
        <v>Mill Creek</v>
      </c>
      <c r="M3103" s="105" t="str">
        <f t="shared" si="511"/>
        <v>Derate</v>
      </c>
      <c r="N3103" s="105" t="str">
        <f t="shared" si="512"/>
        <v>Coal</v>
      </c>
      <c r="O3103" s="105">
        <f>IFERROR(VLOOKUP(A3103,Lookup!$J$5:$P$19,7,FALSE),0)</f>
        <v>2</v>
      </c>
      <c r="P3103" s="159">
        <f t="shared" si="513"/>
        <v>2014</v>
      </c>
      <c r="Q3103" s="159">
        <f t="shared" si="514"/>
        <v>5</v>
      </c>
      <c r="R3103" s="160">
        <f t="shared" si="515"/>
        <v>9.933333333407063</v>
      </c>
      <c r="S3103" s="158">
        <f t="shared" si="516"/>
        <v>1.8662626262764785</v>
      </c>
      <c r="T3103" s="161">
        <f t="shared" si="517"/>
        <v>552.41373737783761</v>
      </c>
      <c r="U3103" s="158">
        <f t="shared" si="519"/>
        <v>55.61212121212121</v>
      </c>
      <c r="V3103" s="160">
        <f t="shared" si="518"/>
        <v>56</v>
      </c>
    </row>
    <row r="3104" spans="1:22" x14ac:dyDescent="0.25">
      <c r="A3104" s="98" t="s">
        <v>35</v>
      </c>
      <c r="B3104" s="98" t="s">
        <v>105</v>
      </c>
      <c r="C3104" s="98">
        <v>92</v>
      </c>
      <c r="D3104" s="98">
        <v>310</v>
      </c>
      <c r="E3104" s="157">
        <v>41766.916666666664</v>
      </c>
      <c r="F3104" s="157">
        <v>41767.055555555555</v>
      </c>
      <c r="G3104" s="98">
        <v>250</v>
      </c>
      <c r="H3104" s="98">
        <v>330</v>
      </c>
      <c r="I3104" s="98">
        <v>296</v>
      </c>
      <c r="J3104" s="98" t="s">
        <v>1966</v>
      </c>
      <c r="K3104" s="98" t="s">
        <v>1496</v>
      </c>
      <c r="L3104" s="105" t="str">
        <f t="shared" si="510"/>
        <v>Mill Creek</v>
      </c>
      <c r="M3104" s="105" t="str">
        <f t="shared" si="511"/>
        <v>Derate</v>
      </c>
      <c r="N3104" s="105" t="str">
        <f t="shared" si="512"/>
        <v>Coal</v>
      </c>
      <c r="O3104" s="105">
        <f>IFERROR(VLOOKUP(A3104,Lookup!$J$5:$P$19,7,FALSE),0)</f>
        <v>2</v>
      </c>
      <c r="P3104" s="159">
        <f t="shared" si="513"/>
        <v>2014</v>
      </c>
      <c r="Q3104" s="159">
        <f t="shared" si="514"/>
        <v>5</v>
      </c>
      <c r="R3104" s="160">
        <f t="shared" si="515"/>
        <v>3.3333333333721384</v>
      </c>
      <c r="S3104" s="158">
        <f t="shared" si="516"/>
        <v>0.80808080809021543</v>
      </c>
      <c r="T3104" s="161">
        <f t="shared" si="517"/>
        <v>239.19191919470376</v>
      </c>
      <c r="U3104" s="158">
        <f t="shared" si="519"/>
        <v>71.757575757575751</v>
      </c>
      <c r="V3104" s="160">
        <f t="shared" si="518"/>
        <v>72</v>
      </c>
    </row>
    <row r="3105" spans="1:22" x14ac:dyDescent="0.25">
      <c r="A3105" s="98" t="s">
        <v>35</v>
      </c>
      <c r="B3105" s="98" t="s">
        <v>105</v>
      </c>
      <c r="C3105" s="98">
        <v>93</v>
      </c>
      <c r="D3105" s="98">
        <v>310</v>
      </c>
      <c r="E3105" s="157">
        <v>41767.916666666664</v>
      </c>
      <c r="F3105" s="157">
        <v>41768.090277777781</v>
      </c>
      <c r="G3105" s="98">
        <v>240</v>
      </c>
      <c r="H3105" s="98">
        <v>330</v>
      </c>
      <c r="I3105" s="98">
        <v>296</v>
      </c>
      <c r="J3105" s="98" t="s">
        <v>1966</v>
      </c>
      <c r="K3105" s="98" t="s">
        <v>1497</v>
      </c>
      <c r="L3105" s="105" t="str">
        <f t="shared" si="510"/>
        <v>Mill Creek</v>
      </c>
      <c r="M3105" s="105" t="str">
        <f t="shared" si="511"/>
        <v>Derate</v>
      </c>
      <c r="N3105" s="105" t="str">
        <f t="shared" si="512"/>
        <v>Coal</v>
      </c>
      <c r="O3105" s="105">
        <f>IFERROR(VLOOKUP(A3105,Lookup!$J$5:$P$19,7,FALSE),0)</f>
        <v>2</v>
      </c>
      <c r="P3105" s="159">
        <f t="shared" si="513"/>
        <v>2014</v>
      </c>
      <c r="Q3105" s="159">
        <f t="shared" si="514"/>
        <v>5</v>
      </c>
      <c r="R3105" s="160">
        <f t="shared" si="515"/>
        <v>4.1666666668024845</v>
      </c>
      <c r="S3105" s="158">
        <f t="shared" si="516"/>
        <v>1.1363636364006775</v>
      </c>
      <c r="T3105" s="161">
        <f t="shared" si="517"/>
        <v>336.36363637460056</v>
      </c>
      <c r="U3105" s="158">
        <f t="shared" si="519"/>
        <v>80.727272727272734</v>
      </c>
      <c r="V3105" s="160">
        <f t="shared" si="518"/>
        <v>81</v>
      </c>
    </row>
    <row r="3106" spans="1:22" x14ac:dyDescent="0.25">
      <c r="A3106" s="98" t="s">
        <v>35</v>
      </c>
      <c r="B3106" s="98" t="s">
        <v>105</v>
      </c>
      <c r="C3106" s="98">
        <v>94</v>
      </c>
      <c r="D3106" s="98">
        <v>310</v>
      </c>
      <c r="E3106" s="162">
        <v>41773.893750000003</v>
      </c>
      <c r="F3106" s="157">
        <v>41774.204861111109</v>
      </c>
      <c r="G3106" s="98">
        <v>240</v>
      </c>
      <c r="H3106" s="98">
        <v>330</v>
      </c>
      <c r="I3106" s="98">
        <v>296</v>
      </c>
      <c r="J3106" s="98" t="s">
        <v>1966</v>
      </c>
      <c r="K3106" s="98" t="s">
        <v>1498</v>
      </c>
      <c r="L3106" s="105" t="str">
        <f t="shared" si="510"/>
        <v>Mill Creek</v>
      </c>
      <c r="M3106" s="105" t="str">
        <f t="shared" si="511"/>
        <v>Derate</v>
      </c>
      <c r="N3106" s="105" t="str">
        <f t="shared" si="512"/>
        <v>Coal</v>
      </c>
      <c r="O3106" s="105">
        <f>IFERROR(VLOOKUP(A3106,Lookup!$J$5:$P$19,7,FALSE),0)</f>
        <v>2</v>
      </c>
      <c r="P3106" s="159">
        <f t="shared" si="513"/>
        <v>2014</v>
      </c>
      <c r="Q3106" s="159">
        <f t="shared" si="514"/>
        <v>5</v>
      </c>
      <c r="R3106" s="160">
        <f t="shared" si="515"/>
        <v>7.4666666665580124</v>
      </c>
      <c r="S3106" s="158">
        <f t="shared" si="516"/>
        <v>2.0363636363340034</v>
      </c>
      <c r="T3106" s="161">
        <f t="shared" si="517"/>
        <v>602.76363635486496</v>
      </c>
      <c r="U3106" s="158">
        <f t="shared" si="519"/>
        <v>80.727272727272734</v>
      </c>
      <c r="V3106" s="160">
        <f t="shared" si="518"/>
        <v>81</v>
      </c>
    </row>
    <row r="3107" spans="1:22" x14ac:dyDescent="0.25">
      <c r="A3107" s="98" t="s">
        <v>35</v>
      </c>
      <c r="B3107" s="98" t="s">
        <v>105</v>
      </c>
      <c r="C3107" s="98">
        <v>95</v>
      </c>
      <c r="D3107" s="98">
        <v>310</v>
      </c>
      <c r="E3107" s="157">
        <v>41774.910416666666</v>
      </c>
      <c r="F3107" s="157">
        <v>41775.070138888892</v>
      </c>
      <c r="G3107" s="98">
        <v>240</v>
      </c>
      <c r="H3107" s="98">
        <v>330</v>
      </c>
      <c r="I3107" s="98">
        <v>296</v>
      </c>
      <c r="J3107" s="98" t="s">
        <v>1966</v>
      </c>
      <c r="K3107" s="98" t="s">
        <v>1498</v>
      </c>
      <c r="L3107" s="105" t="str">
        <f t="shared" si="510"/>
        <v>Mill Creek</v>
      </c>
      <c r="M3107" s="105" t="str">
        <f t="shared" si="511"/>
        <v>Derate</v>
      </c>
      <c r="N3107" s="105" t="str">
        <f t="shared" si="512"/>
        <v>Coal</v>
      </c>
      <c r="O3107" s="105">
        <f>IFERROR(VLOOKUP(A3107,Lookup!$J$5:$P$19,7,FALSE),0)</f>
        <v>2</v>
      </c>
      <c r="P3107" s="159">
        <f t="shared" si="513"/>
        <v>2014</v>
      </c>
      <c r="Q3107" s="159">
        <f t="shared" si="514"/>
        <v>5</v>
      </c>
      <c r="R3107" s="160">
        <f t="shared" si="515"/>
        <v>3.8333333334303461</v>
      </c>
      <c r="S3107" s="158">
        <f t="shared" si="516"/>
        <v>1.0454545454810036</v>
      </c>
      <c r="T3107" s="161">
        <f t="shared" si="517"/>
        <v>309.45454546237704</v>
      </c>
      <c r="U3107" s="158">
        <f t="shared" si="519"/>
        <v>80.727272727272734</v>
      </c>
      <c r="V3107" s="160">
        <f t="shared" si="518"/>
        <v>81</v>
      </c>
    </row>
    <row r="3108" spans="1:22" x14ac:dyDescent="0.25">
      <c r="A3108" s="98" t="s">
        <v>35</v>
      </c>
      <c r="B3108" s="98" t="s">
        <v>17</v>
      </c>
      <c r="C3108" s="98">
        <v>96</v>
      </c>
      <c r="D3108" s="98">
        <v>3133</v>
      </c>
      <c r="E3108" s="157">
        <v>41774.940972222219</v>
      </c>
      <c r="F3108" s="157">
        <v>41775.060416666667</v>
      </c>
      <c r="G3108" s="98">
        <v>141</v>
      </c>
      <c r="H3108" s="98">
        <v>330</v>
      </c>
      <c r="I3108" s="98">
        <v>296</v>
      </c>
      <c r="J3108" s="98" t="s">
        <v>2181</v>
      </c>
      <c r="K3108" s="98" t="s">
        <v>1499</v>
      </c>
      <c r="L3108" s="105" t="str">
        <f t="shared" si="510"/>
        <v>Mill Creek</v>
      </c>
      <c r="M3108" s="105" t="str">
        <f t="shared" si="511"/>
        <v>Derate</v>
      </c>
      <c r="N3108" s="105" t="str">
        <f t="shared" si="512"/>
        <v>Coal</v>
      </c>
      <c r="O3108" s="105">
        <f>IFERROR(VLOOKUP(A3108,Lookup!$J$5:$P$19,7,FALSE),0)</f>
        <v>2</v>
      </c>
      <c r="P3108" s="159">
        <f t="shared" si="513"/>
        <v>2014</v>
      </c>
      <c r="Q3108" s="159">
        <f t="shared" si="514"/>
        <v>5</v>
      </c>
      <c r="R3108" s="160">
        <f t="shared" si="515"/>
        <v>2.8666666667559184</v>
      </c>
      <c r="S3108" s="158">
        <f t="shared" si="516"/>
        <v>1.6418181818692987</v>
      </c>
      <c r="T3108" s="161">
        <f t="shared" si="517"/>
        <v>485.97818183331242</v>
      </c>
      <c r="U3108" s="158">
        <f t="shared" si="519"/>
        <v>169.52727272727273</v>
      </c>
      <c r="V3108" s="160">
        <f t="shared" si="518"/>
        <v>170</v>
      </c>
    </row>
    <row r="3109" spans="1:22" x14ac:dyDescent="0.25">
      <c r="A3109" s="98" t="s">
        <v>35</v>
      </c>
      <c r="B3109" s="98" t="s">
        <v>17</v>
      </c>
      <c r="C3109" s="98">
        <v>97</v>
      </c>
      <c r="D3109" s="98">
        <v>3133</v>
      </c>
      <c r="E3109" s="157">
        <v>41775.070138888892</v>
      </c>
      <c r="F3109" s="157">
        <v>41775.303472222222</v>
      </c>
      <c r="G3109" s="98">
        <v>141</v>
      </c>
      <c r="H3109" s="98">
        <v>330</v>
      </c>
      <c r="I3109" s="98">
        <v>296</v>
      </c>
      <c r="J3109" s="98" t="s">
        <v>2181</v>
      </c>
      <c r="K3109" s="98" t="s">
        <v>1500</v>
      </c>
      <c r="L3109" s="105" t="str">
        <f t="shared" si="510"/>
        <v>Mill Creek</v>
      </c>
      <c r="M3109" s="105" t="str">
        <f t="shared" si="511"/>
        <v>Derate</v>
      </c>
      <c r="N3109" s="105" t="str">
        <f t="shared" si="512"/>
        <v>Coal</v>
      </c>
      <c r="O3109" s="105">
        <f>IFERROR(VLOOKUP(A3109,Lookup!$J$5:$P$19,7,FALSE),0)</f>
        <v>2</v>
      </c>
      <c r="P3109" s="159">
        <f t="shared" si="513"/>
        <v>2014</v>
      </c>
      <c r="Q3109" s="159">
        <f t="shared" si="514"/>
        <v>5</v>
      </c>
      <c r="R3109" s="160">
        <f t="shared" si="515"/>
        <v>5.5999999999185093</v>
      </c>
      <c r="S3109" s="158">
        <f t="shared" si="516"/>
        <v>3.2072727272260555</v>
      </c>
      <c r="T3109" s="161">
        <f t="shared" si="517"/>
        <v>949.35272725891241</v>
      </c>
      <c r="U3109" s="158">
        <f t="shared" si="519"/>
        <v>169.52727272727273</v>
      </c>
      <c r="V3109" s="160">
        <f t="shared" si="518"/>
        <v>170</v>
      </c>
    </row>
    <row r="3110" spans="1:22" x14ac:dyDescent="0.25">
      <c r="A3110" s="98" t="s">
        <v>35</v>
      </c>
      <c r="B3110" s="98" t="s">
        <v>17</v>
      </c>
      <c r="C3110" s="98">
        <v>98</v>
      </c>
      <c r="D3110" s="98">
        <v>3414</v>
      </c>
      <c r="E3110" s="157">
        <v>41775.433333333334</v>
      </c>
      <c r="F3110" s="157">
        <v>41775.462500000001</v>
      </c>
      <c r="G3110" s="98">
        <v>300</v>
      </c>
      <c r="H3110" s="98">
        <v>330</v>
      </c>
      <c r="I3110" s="98">
        <v>296</v>
      </c>
      <c r="J3110" s="98" t="s">
        <v>1984</v>
      </c>
      <c r="K3110" s="98" t="s">
        <v>1501</v>
      </c>
      <c r="L3110" s="105" t="str">
        <f t="shared" ref="L3110:L3173" si="520">IF(OR(A3110="BR1",A3110="BR2",A3110="BR3",A3110="BR5",A3110="BR6",A3110="BR7",A3110="BR8",A3110="BR9",A3110="BR10",A3110="BR11"),"Brown",IF(OR(A3110="CR4",A3110="CR5",A3110="CR6",A3110="CR11"),"Cane Run",IF(OR(A3110="GH1",A3110="GH2",A3110="GH3",A3110="GH4"),"Ghent",IF(OR(A3110="GR3",A3110="GR4"),"Green River",IF(OR(A3110="MC1",A3110="MC2",A3110="MC3",A3110="MC4"),"Mill Creek",IF(OR(A3110="TC1",A3110="TC2",A3110="TC5",A3110="TC6",A3110="TC7",A3110="TC8",A3110="TC9",A3110="TC10"),"Trimble",IF(A3110="TY3","Tyrone",IF(OR(A3110="HA1",A3110="HA2",A3110="HA3"),"Haeflin",IF(OR(A3110="PR11",A3110="PR12",A3110="PR13"),"Paddy's Run","Zorn")))))))))</f>
        <v>Mill Creek</v>
      </c>
      <c r="M3110" s="105" t="str">
        <f t="shared" ref="M3110:M3173" si="521">IF(OR(B3110="D1",B3110="D2",B3110="D3",B3110="D4",B3110="PD"),"Derate",IF(OR(B3110="SF",B3110="U1",B3110="U2",B3110="U3"),"Outage",IF(OR(B3110="ME",B3110="MO"),"Maintenance","Other")))</f>
        <v>Derate</v>
      </c>
      <c r="N3110" s="105" t="str">
        <f t="shared" ref="N3110:N3173" si="522">IF(OR(A3110="BR1",A3110="BR2",A3110="BR3",A3110="CR4",A3110="CR5",A3110="CR6",A3110="GH1",A3110="GH2",A3110="GH3",A3110="GH4",A3110="GR3",A3110="GR4",A3110="MC1",A3110="MC2",A3110="MC3",A3110="MC4",A3110="TC1",A3110="TC2",A3110="TY3"),"Coal","Gas")</f>
        <v>Coal</v>
      </c>
      <c r="O3110" s="105">
        <f>IFERROR(VLOOKUP(A3110,Lookup!$J$5:$P$19,7,FALSE),0)</f>
        <v>2</v>
      </c>
      <c r="P3110" s="159">
        <f t="shared" ref="P3110:P3173" si="523">YEAR(E3110)</f>
        <v>2014</v>
      </c>
      <c r="Q3110" s="159">
        <f t="shared" ref="Q3110:Q3173" si="524">MONTH(E3110)</f>
        <v>5</v>
      </c>
      <c r="R3110" s="160">
        <f t="shared" ref="R3110:R3173" si="525">(F3110-E3110)*24</f>
        <v>0.70000000001164153</v>
      </c>
      <c r="S3110" s="158">
        <f t="shared" ref="S3110:S3173" si="526">R3110*(H3110-G3110)/H3110</f>
        <v>6.3636363637421964E-2</v>
      </c>
      <c r="T3110" s="161">
        <f t="shared" ref="T3110:T3173" si="527">S3110*I3110</f>
        <v>18.8363636366769</v>
      </c>
      <c r="U3110" s="158">
        <f t="shared" si="519"/>
        <v>26.90909090909091</v>
      </c>
      <c r="V3110" s="160">
        <f t="shared" ref="V3110:V3173" si="528">ROUND(U3110,0)</f>
        <v>27</v>
      </c>
    </row>
    <row r="3111" spans="1:22" x14ac:dyDescent="0.25">
      <c r="A3111" s="98" t="s">
        <v>35</v>
      </c>
      <c r="B3111" s="98" t="s">
        <v>105</v>
      </c>
      <c r="C3111" s="98">
        <v>99</v>
      </c>
      <c r="D3111" s="98">
        <v>310</v>
      </c>
      <c r="E3111" s="157">
        <v>41777.931250000001</v>
      </c>
      <c r="F3111" s="157">
        <v>41778.181944444441</v>
      </c>
      <c r="G3111" s="98">
        <v>240</v>
      </c>
      <c r="H3111" s="98">
        <v>330</v>
      </c>
      <c r="I3111" s="98">
        <v>296</v>
      </c>
      <c r="J3111" s="98" t="s">
        <v>1966</v>
      </c>
      <c r="K3111" s="98" t="s">
        <v>1498</v>
      </c>
      <c r="L3111" s="105" t="str">
        <f t="shared" si="520"/>
        <v>Mill Creek</v>
      </c>
      <c r="M3111" s="105" t="str">
        <f t="shared" si="521"/>
        <v>Derate</v>
      </c>
      <c r="N3111" s="105" t="str">
        <f t="shared" si="522"/>
        <v>Coal</v>
      </c>
      <c r="O3111" s="105">
        <f>IFERROR(VLOOKUP(A3111,Lookup!$J$5:$P$19,7,FALSE),0)</f>
        <v>2</v>
      </c>
      <c r="P3111" s="159">
        <f t="shared" si="523"/>
        <v>2014</v>
      </c>
      <c r="Q3111" s="159">
        <f t="shared" si="524"/>
        <v>5</v>
      </c>
      <c r="R3111" s="160">
        <f t="shared" si="525"/>
        <v>6.0166666665463708</v>
      </c>
      <c r="S3111" s="158">
        <f t="shared" si="526"/>
        <v>1.6409090908762829</v>
      </c>
      <c r="T3111" s="161">
        <f t="shared" si="527"/>
        <v>485.70909089937976</v>
      </c>
      <c r="U3111" s="158">
        <f t="shared" ref="U3111:U3174" si="529">IF(G3111&gt;0,MAX((H3111-G3111),0)*I3111/H3111,I3111)</f>
        <v>80.727272727272734</v>
      </c>
      <c r="V3111" s="160">
        <f t="shared" si="528"/>
        <v>81</v>
      </c>
    </row>
    <row r="3112" spans="1:22" x14ac:dyDescent="0.25">
      <c r="A3112" s="98" t="s">
        <v>35</v>
      </c>
      <c r="B3112" s="98" t="s">
        <v>105</v>
      </c>
      <c r="C3112" s="98">
        <v>100</v>
      </c>
      <c r="D3112" s="98">
        <v>310</v>
      </c>
      <c r="E3112" s="157">
        <v>41778.916666666664</v>
      </c>
      <c r="F3112" s="157">
        <v>41779.155555555553</v>
      </c>
      <c r="G3112" s="98">
        <v>240</v>
      </c>
      <c r="H3112" s="98">
        <v>330</v>
      </c>
      <c r="I3112" s="98">
        <v>296</v>
      </c>
      <c r="J3112" s="98" t="s">
        <v>1966</v>
      </c>
      <c r="K3112" s="98" t="s">
        <v>1502</v>
      </c>
      <c r="L3112" s="105" t="str">
        <f t="shared" si="520"/>
        <v>Mill Creek</v>
      </c>
      <c r="M3112" s="105" t="str">
        <f t="shared" si="521"/>
        <v>Derate</v>
      </c>
      <c r="N3112" s="105" t="str">
        <f t="shared" si="522"/>
        <v>Coal</v>
      </c>
      <c r="O3112" s="105">
        <f>IFERROR(VLOOKUP(A3112,Lookup!$J$5:$P$19,7,FALSE),0)</f>
        <v>2</v>
      </c>
      <c r="P3112" s="159">
        <f t="shared" si="523"/>
        <v>2014</v>
      </c>
      <c r="Q3112" s="159">
        <f t="shared" si="524"/>
        <v>5</v>
      </c>
      <c r="R3112" s="160">
        <f t="shared" si="525"/>
        <v>5.7333333333372138</v>
      </c>
      <c r="S3112" s="158">
        <f t="shared" si="526"/>
        <v>1.563636363637422</v>
      </c>
      <c r="T3112" s="161">
        <f t="shared" si="527"/>
        <v>462.83636363667688</v>
      </c>
      <c r="U3112" s="158">
        <f t="shared" si="529"/>
        <v>80.727272727272734</v>
      </c>
      <c r="V3112" s="160">
        <f t="shared" si="528"/>
        <v>81</v>
      </c>
    </row>
    <row r="3113" spans="1:22" x14ac:dyDescent="0.25">
      <c r="A3113" s="98" t="s">
        <v>35</v>
      </c>
      <c r="B3113" s="98" t="s">
        <v>105</v>
      </c>
      <c r="C3113" s="98">
        <v>101</v>
      </c>
      <c r="D3113" s="98">
        <v>310</v>
      </c>
      <c r="E3113" s="157">
        <v>41779.916666666664</v>
      </c>
      <c r="F3113" s="157">
        <v>41780.171527777777</v>
      </c>
      <c r="G3113" s="98">
        <v>240</v>
      </c>
      <c r="H3113" s="98">
        <v>330</v>
      </c>
      <c r="I3113" s="98">
        <v>296</v>
      </c>
      <c r="J3113" s="98" t="s">
        <v>1966</v>
      </c>
      <c r="K3113" s="98" t="s">
        <v>1502</v>
      </c>
      <c r="L3113" s="105" t="str">
        <f t="shared" si="520"/>
        <v>Mill Creek</v>
      </c>
      <c r="M3113" s="105" t="str">
        <f t="shared" si="521"/>
        <v>Derate</v>
      </c>
      <c r="N3113" s="105" t="str">
        <f t="shared" si="522"/>
        <v>Coal</v>
      </c>
      <c r="O3113" s="105">
        <f>IFERROR(VLOOKUP(A3113,Lookup!$J$5:$P$19,7,FALSE),0)</f>
        <v>2</v>
      </c>
      <c r="P3113" s="159">
        <f t="shared" si="523"/>
        <v>2014</v>
      </c>
      <c r="Q3113" s="159">
        <f t="shared" si="524"/>
        <v>5</v>
      </c>
      <c r="R3113" s="160">
        <f t="shared" si="525"/>
        <v>6.1166666666977108</v>
      </c>
      <c r="S3113" s="158">
        <f t="shared" si="526"/>
        <v>1.6681818181902848</v>
      </c>
      <c r="T3113" s="161">
        <f t="shared" si="527"/>
        <v>493.78181818432427</v>
      </c>
      <c r="U3113" s="158">
        <f t="shared" si="529"/>
        <v>80.727272727272734</v>
      </c>
      <c r="V3113" s="160">
        <f t="shared" si="528"/>
        <v>81</v>
      </c>
    </row>
    <row r="3114" spans="1:22" x14ac:dyDescent="0.25">
      <c r="A3114" s="98" t="s">
        <v>35</v>
      </c>
      <c r="B3114" s="98" t="s">
        <v>105</v>
      </c>
      <c r="C3114" s="98">
        <v>102</v>
      </c>
      <c r="D3114" s="98">
        <v>310</v>
      </c>
      <c r="E3114" s="157">
        <v>41780.916666666664</v>
      </c>
      <c r="F3114" s="157">
        <v>41781.029166666667</v>
      </c>
      <c r="G3114" s="98">
        <v>240</v>
      </c>
      <c r="H3114" s="98">
        <v>330</v>
      </c>
      <c r="I3114" s="98">
        <v>296</v>
      </c>
      <c r="J3114" s="98" t="s">
        <v>1966</v>
      </c>
      <c r="K3114" s="98" t="s">
        <v>1502</v>
      </c>
      <c r="L3114" s="105" t="str">
        <f t="shared" si="520"/>
        <v>Mill Creek</v>
      </c>
      <c r="M3114" s="105" t="str">
        <f t="shared" si="521"/>
        <v>Derate</v>
      </c>
      <c r="N3114" s="105" t="str">
        <f t="shared" si="522"/>
        <v>Coal</v>
      </c>
      <c r="O3114" s="105">
        <f>IFERROR(VLOOKUP(A3114,Lookup!$J$5:$P$19,7,FALSE),0)</f>
        <v>2</v>
      </c>
      <c r="P3114" s="159">
        <f t="shared" si="523"/>
        <v>2014</v>
      </c>
      <c r="Q3114" s="159">
        <f t="shared" si="524"/>
        <v>5</v>
      </c>
      <c r="R3114" s="160">
        <f t="shared" si="525"/>
        <v>2.7000000000698492</v>
      </c>
      <c r="S3114" s="158">
        <f t="shared" si="526"/>
        <v>0.73636363638268609</v>
      </c>
      <c r="T3114" s="161">
        <f t="shared" si="527"/>
        <v>217.96363636927509</v>
      </c>
      <c r="U3114" s="158">
        <f t="shared" si="529"/>
        <v>80.727272727272734</v>
      </c>
      <c r="V3114" s="160">
        <f t="shared" si="528"/>
        <v>81</v>
      </c>
    </row>
    <row r="3115" spans="1:22" x14ac:dyDescent="0.25">
      <c r="A3115" s="98" t="s">
        <v>35</v>
      </c>
      <c r="B3115" s="98" t="s">
        <v>105</v>
      </c>
      <c r="C3115" s="98">
        <v>103</v>
      </c>
      <c r="D3115" s="98">
        <v>310</v>
      </c>
      <c r="E3115" s="157">
        <v>41781.916666666664</v>
      </c>
      <c r="F3115" s="157">
        <v>41782.099305555559</v>
      </c>
      <c r="G3115" s="98">
        <v>240</v>
      </c>
      <c r="H3115" s="98">
        <v>330</v>
      </c>
      <c r="I3115" s="98">
        <v>296</v>
      </c>
      <c r="J3115" s="98" t="s">
        <v>1966</v>
      </c>
      <c r="K3115" s="98" t="s">
        <v>1502</v>
      </c>
      <c r="L3115" s="105" t="str">
        <f t="shared" si="520"/>
        <v>Mill Creek</v>
      </c>
      <c r="M3115" s="105" t="str">
        <f t="shared" si="521"/>
        <v>Derate</v>
      </c>
      <c r="N3115" s="105" t="str">
        <f t="shared" si="522"/>
        <v>Coal</v>
      </c>
      <c r="O3115" s="105">
        <f>IFERROR(VLOOKUP(A3115,Lookup!$J$5:$P$19,7,FALSE),0)</f>
        <v>2</v>
      </c>
      <c r="P3115" s="159">
        <f t="shared" si="523"/>
        <v>2014</v>
      </c>
      <c r="Q3115" s="159">
        <f t="shared" si="524"/>
        <v>5</v>
      </c>
      <c r="R3115" s="160">
        <f t="shared" si="525"/>
        <v>4.3833333334769122</v>
      </c>
      <c r="S3115" s="158">
        <f t="shared" si="526"/>
        <v>1.1954545454937033</v>
      </c>
      <c r="T3115" s="161">
        <f t="shared" si="527"/>
        <v>353.85454546613619</v>
      </c>
      <c r="U3115" s="158">
        <f t="shared" si="529"/>
        <v>80.727272727272734</v>
      </c>
      <c r="V3115" s="160">
        <f t="shared" si="528"/>
        <v>81</v>
      </c>
    </row>
    <row r="3116" spans="1:22" x14ac:dyDescent="0.25">
      <c r="A3116" s="98" t="s">
        <v>35</v>
      </c>
      <c r="B3116" s="98" t="s">
        <v>105</v>
      </c>
      <c r="C3116" s="98">
        <v>104</v>
      </c>
      <c r="D3116" s="98">
        <v>310</v>
      </c>
      <c r="E3116" s="157">
        <v>41785.916666666664</v>
      </c>
      <c r="F3116" s="157">
        <v>41786.140277777777</v>
      </c>
      <c r="G3116" s="98">
        <v>240</v>
      </c>
      <c r="H3116" s="98">
        <v>330</v>
      </c>
      <c r="I3116" s="98">
        <v>296</v>
      </c>
      <c r="J3116" s="98" t="s">
        <v>1966</v>
      </c>
      <c r="K3116" s="98" t="s">
        <v>1498</v>
      </c>
      <c r="L3116" s="105" t="str">
        <f t="shared" si="520"/>
        <v>Mill Creek</v>
      </c>
      <c r="M3116" s="105" t="str">
        <f t="shared" si="521"/>
        <v>Derate</v>
      </c>
      <c r="N3116" s="105" t="str">
        <f t="shared" si="522"/>
        <v>Coal</v>
      </c>
      <c r="O3116" s="105">
        <f>IFERROR(VLOOKUP(A3116,Lookup!$J$5:$P$19,7,FALSE),0)</f>
        <v>2</v>
      </c>
      <c r="P3116" s="159">
        <f t="shared" si="523"/>
        <v>2014</v>
      </c>
      <c r="Q3116" s="159">
        <f t="shared" si="524"/>
        <v>5</v>
      </c>
      <c r="R3116" s="160">
        <f t="shared" si="525"/>
        <v>5.3666666666977108</v>
      </c>
      <c r="S3116" s="158">
        <f t="shared" si="526"/>
        <v>1.4636363636448302</v>
      </c>
      <c r="T3116" s="161">
        <f t="shared" si="527"/>
        <v>433.23636363886976</v>
      </c>
      <c r="U3116" s="158">
        <f t="shared" si="529"/>
        <v>80.727272727272734</v>
      </c>
      <c r="V3116" s="160">
        <f t="shared" si="528"/>
        <v>81</v>
      </c>
    </row>
    <row r="3117" spans="1:22" x14ac:dyDescent="0.25">
      <c r="A3117" s="98" t="s">
        <v>35</v>
      </c>
      <c r="B3117" s="98" t="s">
        <v>105</v>
      </c>
      <c r="C3117" s="98">
        <v>105</v>
      </c>
      <c r="D3117" s="98">
        <v>310</v>
      </c>
      <c r="E3117" s="162">
        <v>41786.958333333336</v>
      </c>
      <c r="F3117" s="157">
        <v>41787.109027777777</v>
      </c>
      <c r="G3117" s="98">
        <v>240</v>
      </c>
      <c r="H3117" s="98">
        <v>330</v>
      </c>
      <c r="I3117" s="98">
        <v>296</v>
      </c>
      <c r="J3117" s="98" t="s">
        <v>1966</v>
      </c>
      <c r="K3117" s="98" t="s">
        <v>1498</v>
      </c>
      <c r="L3117" s="105" t="str">
        <f t="shared" si="520"/>
        <v>Mill Creek</v>
      </c>
      <c r="M3117" s="105" t="str">
        <f t="shared" si="521"/>
        <v>Derate</v>
      </c>
      <c r="N3117" s="105" t="str">
        <f t="shared" si="522"/>
        <v>Coal</v>
      </c>
      <c r="O3117" s="105">
        <f>IFERROR(VLOOKUP(A3117,Lookup!$J$5:$P$19,7,FALSE),0)</f>
        <v>2</v>
      </c>
      <c r="P3117" s="159">
        <f t="shared" si="523"/>
        <v>2014</v>
      </c>
      <c r="Q3117" s="159">
        <f t="shared" si="524"/>
        <v>5</v>
      </c>
      <c r="R3117" s="160">
        <f t="shared" si="525"/>
        <v>3.6166666665812954</v>
      </c>
      <c r="S3117" s="158">
        <f t="shared" si="526"/>
        <v>0.98636363634035329</v>
      </c>
      <c r="T3117" s="161">
        <f t="shared" si="527"/>
        <v>291.96363635674459</v>
      </c>
      <c r="U3117" s="158">
        <f t="shared" si="529"/>
        <v>80.727272727272734</v>
      </c>
      <c r="V3117" s="160">
        <f t="shared" si="528"/>
        <v>81</v>
      </c>
    </row>
    <row r="3118" spans="1:22" x14ac:dyDescent="0.25">
      <c r="A3118" s="98" t="s">
        <v>35</v>
      </c>
      <c r="B3118" s="98" t="s">
        <v>105</v>
      </c>
      <c r="C3118" s="98">
        <v>106</v>
      </c>
      <c r="D3118" s="98">
        <v>310</v>
      </c>
      <c r="E3118" s="157">
        <v>41787.916666666664</v>
      </c>
      <c r="F3118" s="157">
        <v>41788.208333333336</v>
      </c>
      <c r="G3118" s="98">
        <v>240</v>
      </c>
      <c r="H3118" s="98">
        <v>330</v>
      </c>
      <c r="I3118" s="98">
        <v>296</v>
      </c>
      <c r="J3118" s="98" t="s">
        <v>1966</v>
      </c>
      <c r="K3118" s="98" t="s">
        <v>1503</v>
      </c>
      <c r="L3118" s="105" t="str">
        <f t="shared" si="520"/>
        <v>Mill Creek</v>
      </c>
      <c r="M3118" s="105" t="str">
        <f t="shared" si="521"/>
        <v>Derate</v>
      </c>
      <c r="N3118" s="105" t="str">
        <f t="shared" si="522"/>
        <v>Coal</v>
      </c>
      <c r="O3118" s="105">
        <f>IFERROR(VLOOKUP(A3118,Lookup!$J$5:$P$19,7,FALSE),0)</f>
        <v>2</v>
      </c>
      <c r="P3118" s="159">
        <f t="shared" si="523"/>
        <v>2014</v>
      </c>
      <c r="Q3118" s="159">
        <f t="shared" si="524"/>
        <v>5</v>
      </c>
      <c r="R3118" s="160">
        <f t="shared" si="525"/>
        <v>7.0000000001164153</v>
      </c>
      <c r="S3118" s="158">
        <f t="shared" si="526"/>
        <v>1.9090909091226587</v>
      </c>
      <c r="T3118" s="161">
        <f t="shared" si="527"/>
        <v>565.09090910030693</v>
      </c>
      <c r="U3118" s="158">
        <f t="shared" si="529"/>
        <v>80.727272727272734</v>
      </c>
      <c r="V3118" s="160">
        <f t="shared" si="528"/>
        <v>81</v>
      </c>
    </row>
    <row r="3119" spans="1:22" x14ac:dyDescent="0.25">
      <c r="A3119" s="98" t="s">
        <v>35</v>
      </c>
      <c r="B3119" s="98" t="s">
        <v>17</v>
      </c>
      <c r="C3119" s="98">
        <v>107</v>
      </c>
      <c r="D3119" s="98">
        <v>310</v>
      </c>
      <c r="E3119" s="157">
        <v>41788.208333333336</v>
      </c>
      <c r="F3119" s="157">
        <v>41788.236111111109</v>
      </c>
      <c r="G3119" s="98">
        <v>240</v>
      </c>
      <c r="H3119" s="98">
        <v>330</v>
      </c>
      <c r="I3119" s="98">
        <v>296</v>
      </c>
      <c r="J3119" s="98" t="s">
        <v>1966</v>
      </c>
      <c r="K3119" s="98" t="s">
        <v>1504</v>
      </c>
      <c r="L3119" s="105" t="str">
        <f t="shared" si="520"/>
        <v>Mill Creek</v>
      </c>
      <c r="M3119" s="105" t="str">
        <f t="shared" si="521"/>
        <v>Derate</v>
      </c>
      <c r="N3119" s="105" t="str">
        <f t="shared" si="522"/>
        <v>Coal</v>
      </c>
      <c r="O3119" s="105">
        <f>IFERROR(VLOOKUP(A3119,Lookup!$J$5:$P$19,7,FALSE),0)</f>
        <v>2</v>
      </c>
      <c r="P3119" s="159">
        <f t="shared" si="523"/>
        <v>2014</v>
      </c>
      <c r="Q3119" s="159">
        <f t="shared" si="524"/>
        <v>5</v>
      </c>
      <c r="R3119" s="160">
        <f t="shared" si="525"/>
        <v>0.6666666665696539</v>
      </c>
      <c r="S3119" s="158">
        <f t="shared" si="526"/>
        <v>0.18181818179172379</v>
      </c>
      <c r="T3119" s="161">
        <f t="shared" si="527"/>
        <v>53.818181810350239</v>
      </c>
      <c r="U3119" s="158">
        <f t="shared" si="529"/>
        <v>80.727272727272734</v>
      </c>
      <c r="V3119" s="160">
        <f t="shared" si="528"/>
        <v>81</v>
      </c>
    </row>
    <row r="3120" spans="1:22" x14ac:dyDescent="0.25">
      <c r="A3120" s="98" t="s">
        <v>35</v>
      </c>
      <c r="B3120" s="98" t="s">
        <v>105</v>
      </c>
      <c r="C3120" s="98">
        <v>108</v>
      </c>
      <c r="D3120" s="98">
        <v>310</v>
      </c>
      <c r="E3120" s="157">
        <v>41788.958333333336</v>
      </c>
      <c r="F3120" s="157">
        <v>41789.136111111111</v>
      </c>
      <c r="G3120" s="98">
        <v>240</v>
      </c>
      <c r="H3120" s="98">
        <v>330</v>
      </c>
      <c r="I3120" s="98">
        <v>296</v>
      </c>
      <c r="J3120" s="98" t="s">
        <v>1966</v>
      </c>
      <c r="K3120" s="98" t="s">
        <v>1502</v>
      </c>
      <c r="L3120" s="105" t="str">
        <f t="shared" si="520"/>
        <v>Mill Creek</v>
      </c>
      <c r="M3120" s="105" t="str">
        <f t="shared" si="521"/>
        <v>Derate</v>
      </c>
      <c r="N3120" s="105" t="str">
        <f t="shared" si="522"/>
        <v>Coal</v>
      </c>
      <c r="O3120" s="105">
        <f>IFERROR(VLOOKUP(A3120,Lookup!$J$5:$P$19,7,FALSE),0)</f>
        <v>2</v>
      </c>
      <c r="P3120" s="159">
        <f t="shared" si="523"/>
        <v>2014</v>
      </c>
      <c r="Q3120" s="159">
        <f t="shared" si="524"/>
        <v>5</v>
      </c>
      <c r="R3120" s="160">
        <f t="shared" si="525"/>
        <v>4.2666666666045785</v>
      </c>
      <c r="S3120" s="158">
        <f t="shared" si="526"/>
        <v>1.1636363636194305</v>
      </c>
      <c r="T3120" s="161">
        <f t="shared" si="527"/>
        <v>344.43636363135141</v>
      </c>
      <c r="U3120" s="158">
        <f t="shared" si="529"/>
        <v>80.727272727272734</v>
      </c>
      <c r="V3120" s="160">
        <f t="shared" si="528"/>
        <v>81</v>
      </c>
    </row>
    <row r="3121" spans="1:22" x14ac:dyDescent="0.25">
      <c r="A3121" s="98" t="s">
        <v>35</v>
      </c>
      <c r="B3121" s="98" t="s">
        <v>105</v>
      </c>
      <c r="C3121" s="98">
        <v>109</v>
      </c>
      <c r="D3121" s="98">
        <v>3410</v>
      </c>
      <c r="E3121" s="157">
        <v>41791.916666666664</v>
      </c>
      <c r="F3121" s="157">
        <v>41792.163194444445</v>
      </c>
      <c r="G3121" s="98">
        <v>185</v>
      </c>
      <c r="H3121" s="98">
        <v>330</v>
      </c>
      <c r="I3121" s="98">
        <v>296</v>
      </c>
      <c r="J3121" s="98" t="s">
        <v>1983</v>
      </c>
      <c r="K3121" s="98" t="s">
        <v>1505</v>
      </c>
      <c r="L3121" s="105" t="str">
        <f t="shared" si="520"/>
        <v>Mill Creek</v>
      </c>
      <c r="M3121" s="105" t="str">
        <f t="shared" si="521"/>
        <v>Derate</v>
      </c>
      <c r="N3121" s="105" t="str">
        <f t="shared" si="522"/>
        <v>Coal</v>
      </c>
      <c r="O3121" s="105">
        <f>IFERROR(VLOOKUP(A3121,Lookup!$J$5:$P$19,7,FALSE),0)</f>
        <v>2</v>
      </c>
      <c r="P3121" s="159">
        <f t="shared" si="523"/>
        <v>2014</v>
      </c>
      <c r="Q3121" s="159">
        <f t="shared" si="524"/>
        <v>6</v>
      </c>
      <c r="R3121" s="160">
        <f t="shared" si="525"/>
        <v>5.9166666667442769</v>
      </c>
      <c r="S3121" s="158">
        <f t="shared" si="526"/>
        <v>2.5997474747815761</v>
      </c>
      <c r="T3121" s="161">
        <f t="shared" si="527"/>
        <v>769.52525253534657</v>
      </c>
      <c r="U3121" s="158">
        <f t="shared" si="529"/>
        <v>130.06060606060606</v>
      </c>
      <c r="V3121" s="160">
        <f t="shared" si="528"/>
        <v>130</v>
      </c>
    </row>
    <row r="3122" spans="1:22" x14ac:dyDescent="0.25">
      <c r="A3122" s="98" t="s">
        <v>35</v>
      </c>
      <c r="B3122" s="98" t="s">
        <v>79</v>
      </c>
      <c r="C3122" s="98">
        <v>110</v>
      </c>
      <c r="D3122" s="98">
        <v>4842</v>
      </c>
      <c r="E3122" s="157">
        <v>41793.375</v>
      </c>
      <c r="F3122" s="157">
        <v>41793.447916666664</v>
      </c>
      <c r="G3122" s="98">
        <v>0</v>
      </c>
      <c r="H3122" s="98">
        <v>330</v>
      </c>
      <c r="I3122" s="98">
        <v>296</v>
      </c>
      <c r="J3122" s="98" t="s">
        <v>60</v>
      </c>
      <c r="K3122" s="98" t="s">
        <v>1434</v>
      </c>
      <c r="L3122" s="105" t="str">
        <f t="shared" si="520"/>
        <v>Mill Creek</v>
      </c>
      <c r="M3122" s="105" t="str">
        <f t="shared" si="521"/>
        <v>Other</v>
      </c>
      <c r="N3122" s="105" t="str">
        <f t="shared" si="522"/>
        <v>Coal</v>
      </c>
      <c r="O3122" s="105">
        <f>IFERROR(VLOOKUP(A3122,Lookup!$J$5:$P$19,7,FALSE),0)</f>
        <v>2</v>
      </c>
      <c r="P3122" s="159">
        <f t="shared" si="523"/>
        <v>2014</v>
      </c>
      <c r="Q3122" s="159">
        <f t="shared" si="524"/>
        <v>6</v>
      </c>
      <c r="R3122" s="160">
        <f t="shared" si="525"/>
        <v>1.7499999999417923</v>
      </c>
      <c r="S3122" s="158">
        <f t="shared" si="526"/>
        <v>1.7499999999417923</v>
      </c>
      <c r="T3122" s="161">
        <f t="shared" si="527"/>
        <v>517.99999998277053</v>
      </c>
      <c r="U3122" s="158">
        <f t="shared" si="529"/>
        <v>296</v>
      </c>
      <c r="V3122" s="160">
        <f t="shared" si="528"/>
        <v>296</v>
      </c>
    </row>
    <row r="3123" spans="1:22" x14ac:dyDescent="0.25">
      <c r="A3123" s="98" t="s">
        <v>35</v>
      </c>
      <c r="B3123" s="98" t="s">
        <v>105</v>
      </c>
      <c r="C3123" s="98">
        <v>111</v>
      </c>
      <c r="D3123" s="98">
        <v>310</v>
      </c>
      <c r="E3123" s="157">
        <v>41793.881944444445</v>
      </c>
      <c r="F3123" s="157">
        <v>41794.163888888892</v>
      </c>
      <c r="G3123" s="98">
        <v>240</v>
      </c>
      <c r="H3123" s="98">
        <v>330</v>
      </c>
      <c r="I3123" s="98">
        <v>296</v>
      </c>
      <c r="J3123" s="98" t="s">
        <v>1966</v>
      </c>
      <c r="K3123" s="98" t="s">
        <v>1502</v>
      </c>
      <c r="L3123" s="105" t="str">
        <f t="shared" si="520"/>
        <v>Mill Creek</v>
      </c>
      <c r="M3123" s="105" t="str">
        <f t="shared" si="521"/>
        <v>Derate</v>
      </c>
      <c r="N3123" s="105" t="str">
        <f t="shared" si="522"/>
        <v>Coal</v>
      </c>
      <c r="O3123" s="105">
        <f>IFERROR(VLOOKUP(A3123,Lookup!$J$5:$P$19,7,FALSE),0)</f>
        <v>2</v>
      </c>
      <c r="P3123" s="159">
        <f t="shared" si="523"/>
        <v>2014</v>
      </c>
      <c r="Q3123" s="159">
        <f t="shared" si="524"/>
        <v>6</v>
      </c>
      <c r="R3123" s="160">
        <f t="shared" si="525"/>
        <v>6.7666666667209938</v>
      </c>
      <c r="S3123" s="158">
        <f t="shared" si="526"/>
        <v>1.8454545454693621</v>
      </c>
      <c r="T3123" s="161">
        <f t="shared" si="527"/>
        <v>546.25454545893115</v>
      </c>
      <c r="U3123" s="158">
        <f t="shared" si="529"/>
        <v>80.727272727272734</v>
      </c>
      <c r="V3123" s="160">
        <f t="shared" si="528"/>
        <v>81</v>
      </c>
    </row>
    <row r="3124" spans="1:22" x14ac:dyDescent="0.25">
      <c r="A3124" s="98" t="s">
        <v>35</v>
      </c>
      <c r="B3124" s="98" t="s">
        <v>105</v>
      </c>
      <c r="C3124" s="98">
        <v>112</v>
      </c>
      <c r="D3124" s="98">
        <v>310</v>
      </c>
      <c r="E3124" s="157">
        <v>41794.854166666664</v>
      </c>
      <c r="F3124" s="157">
        <v>41795.150694444441</v>
      </c>
      <c r="G3124" s="98">
        <v>240</v>
      </c>
      <c r="H3124" s="98">
        <v>330</v>
      </c>
      <c r="I3124" s="98">
        <v>296</v>
      </c>
      <c r="J3124" s="98" t="s">
        <v>1966</v>
      </c>
      <c r="K3124" s="98" t="s">
        <v>1502</v>
      </c>
      <c r="L3124" s="105" t="str">
        <f t="shared" si="520"/>
        <v>Mill Creek</v>
      </c>
      <c r="M3124" s="105" t="str">
        <f t="shared" si="521"/>
        <v>Derate</v>
      </c>
      <c r="N3124" s="105" t="str">
        <f t="shared" si="522"/>
        <v>Coal</v>
      </c>
      <c r="O3124" s="105">
        <f>IFERROR(VLOOKUP(A3124,Lookup!$J$5:$P$19,7,FALSE),0)</f>
        <v>2</v>
      </c>
      <c r="P3124" s="159">
        <f t="shared" si="523"/>
        <v>2014</v>
      </c>
      <c r="Q3124" s="159">
        <f t="shared" si="524"/>
        <v>6</v>
      </c>
      <c r="R3124" s="160">
        <f t="shared" si="525"/>
        <v>7.1166666666395031</v>
      </c>
      <c r="S3124" s="158">
        <f t="shared" si="526"/>
        <v>1.9409090909016826</v>
      </c>
      <c r="T3124" s="161">
        <f t="shared" si="527"/>
        <v>574.50909090689811</v>
      </c>
      <c r="U3124" s="158">
        <f t="shared" si="529"/>
        <v>80.727272727272734</v>
      </c>
      <c r="V3124" s="160">
        <f t="shared" si="528"/>
        <v>81</v>
      </c>
    </row>
    <row r="3125" spans="1:22" x14ac:dyDescent="0.25">
      <c r="A3125" s="98" t="s">
        <v>35</v>
      </c>
      <c r="B3125" s="98" t="s">
        <v>105</v>
      </c>
      <c r="C3125" s="98">
        <v>113</v>
      </c>
      <c r="D3125" s="98">
        <v>310</v>
      </c>
      <c r="E3125" s="157">
        <v>41800.916666666664</v>
      </c>
      <c r="F3125" s="157">
        <v>41801.208333333336</v>
      </c>
      <c r="G3125" s="98">
        <v>240</v>
      </c>
      <c r="H3125" s="98">
        <v>330</v>
      </c>
      <c r="I3125" s="98">
        <v>296</v>
      </c>
      <c r="J3125" s="98" t="s">
        <v>1966</v>
      </c>
      <c r="K3125" s="98" t="s">
        <v>1506</v>
      </c>
      <c r="L3125" s="105" t="str">
        <f t="shared" si="520"/>
        <v>Mill Creek</v>
      </c>
      <c r="M3125" s="105" t="str">
        <f t="shared" si="521"/>
        <v>Derate</v>
      </c>
      <c r="N3125" s="105" t="str">
        <f t="shared" si="522"/>
        <v>Coal</v>
      </c>
      <c r="O3125" s="105">
        <f>IFERROR(VLOOKUP(A3125,Lookup!$J$5:$P$19,7,FALSE),0)</f>
        <v>2</v>
      </c>
      <c r="P3125" s="159">
        <f t="shared" si="523"/>
        <v>2014</v>
      </c>
      <c r="Q3125" s="159">
        <f t="shared" si="524"/>
        <v>6</v>
      </c>
      <c r="R3125" s="160">
        <f t="shared" si="525"/>
        <v>7.0000000001164153</v>
      </c>
      <c r="S3125" s="158">
        <f t="shared" si="526"/>
        <v>1.9090909091226587</v>
      </c>
      <c r="T3125" s="161">
        <f t="shared" si="527"/>
        <v>565.09090910030693</v>
      </c>
      <c r="U3125" s="158">
        <f t="shared" si="529"/>
        <v>80.727272727272734</v>
      </c>
      <c r="V3125" s="160">
        <f t="shared" si="528"/>
        <v>81</v>
      </c>
    </row>
    <row r="3126" spans="1:22" x14ac:dyDescent="0.25">
      <c r="A3126" s="98" t="s">
        <v>35</v>
      </c>
      <c r="B3126" s="98" t="s">
        <v>17</v>
      </c>
      <c r="C3126" s="98">
        <v>114</v>
      </c>
      <c r="D3126" s="98">
        <v>8280</v>
      </c>
      <c r="E3126" s="157">
        <v>41809.152777777781</v>
      </c>
      <c r="F3126" s="157">
        <v>41809.211805555555</v>
      </c>
      <c r="G3126" s="98">
        <v>125</v>
      </c>
      <c r="H3126" s="98">
        <v>330</v>
      </c>
      <c r="I3126" s="98">
        <v>296</v>
      </c>
      <c r="J3126" s="98" t="s">
        <v>2255</v>
      </c>
      <c r="K3126" s="98" t="s">
        <v>1436</v>
      </c>
      <c r="L3126" s="105" t="str">
        <f t="shared" si="520"/>
        <v>Mill Creek</v>
      </c>
      <c r="M3126" s="105" t="str">
        <f t="shared" si="521"/>
        <v>Derate</v>
      </c>
      <c r="N3126" s="105" t="str">
        <f t="shared" si="522"/>
        <v>Coal</v>
      </c>
      <c r="O3126" s="105">
        <f>IFERROR(VLOOKUP(A3126,Lookup!$J$5:$P$19,7,FALSE),0)</f>
        <v>2</v>
      </c>
      <c r="P3126" s="159">
        <f t="shared" si="523"/>
        <v>2014</v>
      </c>
      <c r="Q3126" s="159">
        <f t="shared" si="524"/>
        <v>6</v>
      </c>
      <c r="R3126" s="160">
        <f t="shared" si="525"/>
        <v>1.4166666665696539</v>
      </c>
      <c r="S3126" s="158">
        <f t="shared" si="526"/>
        <v>0.88005050499023951</v>
      </c>
      <c r="T3126" s="161">
        <f t="shared" si="527"/>
        <v>260.49494947711088</v>
      </c>
      <c r="U3126" s="158">
        <f t="shared" si="529"/>
        <v>183.87878787878788</v>
      </c>
      <c r="V3126" s="160">
        <f t="shared" si="528"/>
        <v>184</v>
      </c>
    </row>
    <row r="3127" spans="1:22" x14ac:dyDescent="0.25">
      <c r="A3127" s="98" t="s">
        <v>35</v>
      </c>
      <c r="B3127" s="98" t="s">
        <v>105</v>
      </c>
      <c r="C3127" s="98">
        <v>115</v>
      </c>
      <c r="D3127" s="98">
        <v>310</v>
      </c>
      <c r="E3127" s="157">
        <v>41809.958333333336</v>
      </c>
      <c r="F3127" s="157">
        <v>41810.251388888886</v>
      </c>
      <c r="G3127" s="98">
        <v>240</v>
      </c>
      <c r="H3127" s="98">
        <v>330</v>
      </c>
      <c r="I3127" s="98">
        <v>296</v>
      </c>
      <c r="J3127" s="98" t="s">
        <v>1966</v>
      </c>
      <c r="K3127" s="98" t="s">
        <v>1507</v>
      </c>
      <c r="L3127" s="105" t="str">
        <f t="shared" si="520"/>
        <v>Mill Creek</v>
      </c>
      <c r="M3127" s="105" t="str">
        <f t="shared" si="521"/>
        <v>Derate</v>
      </c>
      <c r="N3127" s="105" t="str">
        <f t="shared" si="522"/>
        <v>Coal</v>
      </c>
      <c r="O3127" s="105">
        <f>IFERROR(VLOOKUP(A3127,Lookup!$J$5:$P$19,7,FALSE),0)</f>
        <v>2</v>
      </c>
      <c r="P3127" s="159">
        <f t="shared" si="523"/>
        <v>2014</v>
      </c>
      <c r="Q3127" s="159">
        <f t="shared" si="524"/>
        <v>6</v>
      </c>
      <c r="R3127" s="160">
        <f t="shared" si="525"/>
        <v>7.033333333209157</v>
      </c>
      <c r="S3127" s="158">
        <f t="shared" si="526"/>
        <v>1.918181818147952</v>
      </c>
      <c r="T3127" s="161">
        <f t="shared" si="527"/>
        <v>567.78181817179382</v>
      </c>
      <c r="U3127" s="158">
        <f t="shared" si="529"/>
        <v>80.727272727272734</v>
      </c>
      <c r="V3127" s="160">
        <f t="shared" si="528"/>
        <v>81</v>
      </c>
    </row>
    <row r="3128" spans="1:22" x14ac:dyDescent="0.25">
      <c r="A3128" s="98" t="s">
        <v>35</v>
      </c>
      <c r="B3128" s="98" t="s">
        <v>17</v>
      </c>
      <c r="C3128" s="98">
        <v>116</v>
      </c>
      <c r="D3128" s="98">
        <v>360</v>
      </c>
      <c r="E3128" s="157">
        <v>41812.650694444441</v>
      </c>
      <c r="F3128" s="157">
        <v>41812.71875</v>
      </c>
      <c r="G3128" s="98">
        <v>295</v>
      </c>
      <c r="H3128" s="98">
        <v>330</v>
      </c>
      <c r="I3128" s="98">
        <v>296</v>
      </c>
      <c r="J3128" s="98" t="s">
        <v>229</v>
      </c>
      <c r="K3128" s="98" t="s">
        <v>1508</v>
      </c>
      <c r="L3128" s="105" t="str">
        <f t="shared" si="520"/>
        <v>Mill Creek</v>
      </c>
      <c r="M3128" s="105" t="str">
        <f t="shared" si="521"/>
        <v>Derate</v>
      </c>
      <c r="N3128" s="105" t="str">
        <f t="shared" si="522"/>
        <v>Coal</v>
      </c>
      <c r="O3128" s="105">
        <f>IFERROR(VLOOKUP(A3128,Lookup!$J$5:$P$19,7,FALSE),0)</f>
        <v>2</v>
      </c>
      <c r="P3128" s="159">
        <f t="shared" si="523"/>
        <v>2014</v>
      </c>
      <c r="Q3128" s="159">
        <f t="shared" si="524"/>
        <v>6</v>
      </c>
      <c r="R3128" s="160">
        <f t="shared" si="525"/>
        <v>1.6333333334187046</v>
      </c>
      <c r="S3128" s="158">
        <f t="shared" si="526"/>
        <v>0.17323232324137774</v>
      </c>
      <c r="T3128" s="161">
        <f t="shared" si="527"/>
        <v>51.276767679447815</v>
      </c>
      <c r="U3128" s="158">
        <f t="shared" si="529"/>
        <v>31.393939393939394</v>
      </c>
      <c r="V3128" s="160">
        <f t="shared" si="528"/>
        <v>31</v>
      </c>
    </row>
    <row r="3129" spans="1:22" x14ac:dyDescent="0.25">
      <c r="A3129" s="98" t="s">
        <v>35</v>
      </c>
      <c r="B3129" s="98" t="s">
        <v>105</v>
      </c>
      <c r="C3129" s="98">
        <v>117</v>
      </c>
      <c r="D3129" s="98">
        <v>310</v>
      </c>
      <c r="E3129" s="157">
        <v>41816.933333333334</v>
      </c>
      <c r="F3129" s="157">
        <v>41817.143750000003</v>
      </c>
      <c r="G3129" s="98">
        <v>235</v>
      </c>
      <c r="H3129" s="98">
        <v>330</v>
      </c>
      <c r="I3129" s="98">
        <v>296</v>
      </c>
      <c r="J3129" s="98" t="s">
        <v>1966</v>
      </c>
      <c r="K3129" s="98" t="s">
        <v>632</v>
      </c>
      <c r="L3129" s="105" t="str">
        <f t="shared" si="520"/>
        <v>Mill Creek</v>
      </c>
      <c r="M3129" s="105" t="str">
        <f t="shared" si="521"/>
        <v>Derate</v>
      </c>
      <c r="N3129" s="105" t="str">
        <f t="shared" si="522"/>
        <v>Coal</v>
      </c>
      <c r="O3129" s="105">
        <f>IFERROR(VLOOKUP(A3129,Lookup!$J$5:$P$19,7,FALSE),0)</f>
        <v>2</v>
      </c>
      <c r="P3129" s="159">
        <f t="shared" si="523"/>
        <v>2014</v>
      </c>
      <c r="Q3129" s="159">
        <f t="shared" si="524"/>
        <v>6</v>
      </c>
      <c r="R3129" s="160">
        <f t="shared" si="525"/>
        <v>5.0500000000465661</v>
      </c>
      <c r="S3129" s="158">
        <f t="shared" si="526"/>
        <v>1.4537878788012841</v>
      </c>
      <c r="T3129" s="161">
        <f t="shared" si="527"/>
        <v>430.32121212518012</v>
      </c>
      <c r="U3129" s="158">
        <f t="shared" si="529"/>
        <v>85.212121212121218</v>
      </c>
      <c r="V3129" s="160">
        <f t="shared" si="528"/>
        <v>85</v>
      </c>
    </row>
    <row r="3130" spans="1:22" x14ac:dyDescent="0.25">
      <c r="A3130" s="98" t="s">
        <v>35</v>
      </c>
      <c r="B3130" s="98" t="s">
        <v>79</v>
      </c>
      <c r="C3130" s="98">
        <v>118</v>
      </c>
      <c r="D3130" s="98">
        <v>1990</v>
      </c>
      <c r="E3130" s="157">
        <v>41822.489583333336</v>
      </c>
      <c r="F3130" s="157">
        <v>41822.513888888891</v>
      </c>
      <c r="G3130" s="98">
        <v>0</v>
      </c>
      <c r="H3130" s="98">
        <v>330</v>
      </c>
      <c r="I3130" s="98">
        <v>296</v>
      </c>
      <c r="J3130" s="98" t="s">
        <v>2114</v>
      </c>
      <c r="K3130" s="98" t="s">
        <v>2656</v>
      </c>
      <c r="L3130" s="105" t="str">
        <f t="shared" si="520"/>
        <v>Mill Creek</v>
      </c>
      <c r="M3130" s="105" t="str">
        <f t="shared" si="521"/>
        <v>Other</v>
      </c>
      <c r="N3130" s="105" t="str">
        <f t="shared" si="522"/>
        <v>Coal</v>
      </c>
      <c r="O3130" s="105">
        <f>IFERROR(VLOOKUP(A3130,Lookup!$J$5:$P$19,7,FALSE),0)</f>
        <v>2</v>
      </c>
      <c r="P3130" s="159">
        <f t="shared" si="523"/>
        <v>2014</v>
      </c>
      <c r="Q3130" s="159">
        <f t="shared" si="524"/>
        <v>7</v>
      </c>
      <c r="R3130" s="160">
        <f t="shared" si="525"/>
        <v>0.58333333331393078</v>
      </c>
      <c r="S3130" s="158">
        <f t="shared" si="526"/>
        <v>0.58333333331393078</v>
      </c>
      <c r="T3130" s="161">
        <f t="shared" si="527"/>
        <v>172.66666666092351</v>
      </c>
      <c r="U3130" s="158">
        <f t="shared" si="529"/>
        <v>296</v>
      </c>
      <c r="V3130" s="160">
        <f t="shared" si="528"/>
        <v>296</v>
      </c>
    </row>
    <row r="3131" spans="1:22" x14ac:dyDescent="0.25">
      <c r="A3131" s="98" t="s">
        <v>35</v>
      </c>
      <c r="B3131" s="98" t="s">
        <v>79</v>
      </c>
      <c r="C3131" s="98">
        <v>119</v>
      </c>
      <c r="D3131" s="98">
        <v>1990</v>
      </c>
      <c r="E3131" s="157">
        <v>41830.916666666664</v>
      </c>
      <c r="F3131" s="157">
        <v>41831.054166666669</v>
      </c>
      <c r="G3131" s="98">
        <v>0</v>
      </c>
      <c r="H3131" s="98">
        <v>330</v>
      </c>
      <c r="I3131" s="98">
        <v>296</v>
      </c>
      <c r="J3131" s="98" t="s">
        <v>2114</v>
      </c>
      <c r="K3131" s="98" t="s">
        <v>2749</v>
      </c>
      <c r="L3131" s="105" t="str">
        <f t="shared" si="520"/>
        <v>Mill Creek</v>
      </c>
      <c r="M3131" s="105" t="str">
        <f t="shared" si="521"/>
        <v>Other</v>
      </c>
      <c r="N3131" s="105" t="str">
        <f t="shared" si="522"/>
        <v>Coal</v>
      </c>
      <c r="O3131" s="105">
        <f>IFERROR(VLOOKUP(A3131,Lookup!$J$5:$P$19,7,FALSE),0)</f>
        <v>2</v>
      </c>
      <c r="P3131" s="159">
        <f t="shared" si="523"/>
        <v>2014</v>
      </c>
      <c r="Q3131" s="159">
        <f t="shared" si="524"/>
        <v>7</v>
      </c>
      <c r="R3131" s="160">
        <f t="shared" si="525"/>
        <v>3.3000000001047738</v>
      </c>
      <c r="S3131" s="158">
        <f t="shared" si="526"/>
        <v>3.3000000001047738</v>
      </c>
      <c r="T3131" s="161">
        <f t="shared" si="527"/>
        <v>976.80000003101304</v>
      </c>
      <c r="U3131" s="158">
        <f t="shared" si="529"/>
        <v>296</v>
      </c>
      <c r="V3131" s="160">
        <f t="shared" si="528"/>
        <v>296</v>
      </c>
    </row>
    <row r="3132" spans="1:22" x14ac:dyDescent="0.25">
      <c r="A3132" s="98" t="s">
        <v>35</v>
      </c>
      <c r="B3132" s="98" t="s">
        <v>79</v>
      </c>
      <c r="C3132" s="98">
        <v>120</v>
      </c>
      <c r="D3132" s="98">
        <v>1990</v>
      </c>
      <c r="E3132" s="157">
        <v>41834.958333333336</v>
      </c>
      <c r="F3132" s="157">
        <v>41835.072916666664</v>
      </c>
      <c r="G3132" s="98">
        <v>0</v>
      </c>
      <c r="H3132" s="98">
        <v>330</v>
      </c>
      <c r="I3132" s="98">
        <v>296</v>
      </c>
      <c r="J3132" s="98" t="s">
        <v>2114</v>
      </c>
      <c r="K3132" s="98" t="s">
        <v>2749</v>
      </c>
      <c r="L3132" s="105" t="str">
        <f t="shared" si="520"/>
        <v>Mill Creek</v>
      </c>
      <c r="M3132" s="105" t="str">
        <f t="shared" si="521"/>
        <v>Other</v>
      </c>
      <c r="N3132" s="105" t="str">
        <f t="shared" si="522"/>
        <v>Coal</v>
      </c>
      <c r="O3132" s="105">
        <f>IFERROR(VLOOKUP(A3132,Lookup!$J$5:$P$19,7,FALSE),0)</f>
        <v>2</v>
      </c>
      <c r="P3132" s="159">
        <f t="shared" si="523"/>
        <v>2014</v>
      </c>
      <c r="Q3132" s="159">
        <f t="shared" si="524"/>
        <v>7</v>
      </c>
      <c r="R3132" s="160">
        <f t="shared" si="525"/>
        <v>2.7499999998835847</v>
      </c>
      <c r="S3132" s="158">
        <f t="shared" si="526"/>
        <v>2.7499999998835847</v>
      </c>
      <c r="T3132" s="161">
        <f t="shared" si="527"/>
        <v>813.99999996554106</v>
      </c>
      <c r="U3132" s="158">
        <f t="shared" si="529"/>
        <v>296</v>
      </c>
      <c r="V3132" s="160">
        <f t="shared" si="528"/>
        <v>296</v>
      </c>
    </row>
    <row r="3133" spans="1:22" x14ac:dyDescent="0.25">
      <c r="A3133" s="98" t="s">
        <v>35</v>
      </c>
      <c r="B3133" s="98" t="s">
        <v>20</v>
      </c>
      <c r="C3133" s="98">
        <v>121</v>
      </c>
      <c r="D3133" s="98">
        <v>3344</v>
      </c>
      <c r="E3133" s="157">
        <v>41835.366666666669</v>
      </c>
      <c r="F3133" s="157">
        <v>41837.075694444444</v>
      </c>
      <c r="G3133" s="98">
        <v>0</v>
      </c>
      <c r="H3133" s="98">
        <v>330</v>
      </c>
      <c r="I3133" s="98">
        <v>296</v>
      </c>
      <c r="J3133" s="98" t="s">
        <v>2165</v>
      </c>
      <c r="K3133" s="98" t="s">
        <v>2697</v>
      </c>
      <c r="L3133" s="105" t="str">
        <f t="shared" si="520"/>
        <v>Mill Creek</v>
      </c>
      <c r="M3133" s="105" t="str">
        <f t="shared" si="521"/>
        <v>Maintenance</v>
      </c>
      <c r="N3133" s="105" t="str">
        <f t="shared" si="522"/>
        <v>Coal</v>
      </c>
      <c r="O3133" s="105">
        <f>IFERROR(VLOOKUP(A3133,Lookup!$J$5:$P$19,7,FALSE),0)</f>
        <v>2</v>
      </c>
      <c r="P3133" s="159">
        <f t="shared" si="523"/>
        <v>2014</v>
      </c>
      <c r="Q3133" s="159">
        <f t="shared" si="524"/>
        <v>7</v>
      </c>
      <c r="R3133" s="160">
        <f t="shared" si="525"/>
        <v>41.016666666604578</v>
      </c>
      <c r="S3133" s="158">
        <f t="shared" si="526"/>
        <v>41.016666666604578</v>
      </c>
      <c r="T3133" s="161">
        <f t="shared" si="527"/>
        <v>12140.933333314955</v>
      </c>
      <c r="U3133" s="158">
        <f t="shared" si="529"/>
        <v>296</v>
      </c>
      <c r="V3133" s="160">
        <f t="shared" si="528"/>
        <v>296</v>
      </c>
    </row>
    <row r="3134" spans="1:22" x14ac:dyDescent="0.25">
      <c r="A3134" s="98" t="s">
        <v>35</v>
      </c>
      <c r="B3134" s="98" t="s">
        <v>79</v>
      </c>
      <c r="C3134" s="98">
        <v>122</v>
      </c>
      <c r="D3134" s="98">
        <v>1990</v>
      </c>
      <c r="E3134" s="157">
        <v>41837.118055555555</v>
      </c>
      <c r="F3134" s="157">
        <v>41837.211111111108</v>
      </c>
      <c r="G3134" s="98">
        <v>0</v>
      </c>
      <c r="H3134" s="98">
        <v>330</v>
      </c>
      <c r="I3134" s="98">
        <v>296</v>
      </c>
      <c r="J3134" s="98" t="s">
        <v>2114</v>
      </c>
      <c r="K3134" s="98" t="s">
        <v>2750</v>
      </c>
      <c r="L3134" s="105" t="str">
        <f t="shared" si="520"/>
        <v>Mill Creek</v>
      </c>
      <c r="M3134" s="105" t="str">
        <f t="shared" si="521"/>
        <v>Other</v>
      </c>
      <c r="N3134" s="105" t="str">
        <f t="shared" si="522"/>
        <v>Coal</v>
      </c>
      <c r="O3134" s="105">
        <f>IFERROR(VLOOKUP(A3134,Lookup!$J$5:$P$19,7,FALSE),0)</f>
        <v>2</v>
      </c>
      <c r="P3134" s="159">
        <f t="shared" si="523"/>
        <v>2014</v>
      </c>
      <c r="Q3134" s="159">
        <f t="shared" si="524"/>
        <v>7</v>
      </c>
      <c r="R3134" s="160">
        <f t="shared" si="525"/>
        <v>2.2333333332790062</v>
      </c>
      <c r="S3134" s="158">
        <f t="shared" si="526"/>
        <v>2.2333333332790062</v>
      </c>
      <c r="T3134" s="161">
        <f t="shared" si="527"/>
        <v>661.06666665058583</v>
      </c>
      <c r="U3134" s="158">
        <f t="shared" si="529"/>
        <v>296</v>
      </c>
      <c r="V3134" s="160">
        <f t="shared" si="528"/>
        <v>296</v>
      </c>
    </row>
    <row r="3135" spans="1:22" x14ac:dyDescent="0.25">
      <c r="A3135" s="98" t="s">
        <v>35</v>
      </c>
      <c r="B3135" s="98" t="s">
        <v>17</v>
      </c>
      <c r="C3135" s="98">
        <v>123</v>
      </c>
      <c r="D3135" s="98">
        <v>1850</v>
      </c>
      <c r="E3135" s="157">
        <v>41837.40902777778</v>
      </c>
      <c r="F3135" s="157">
        <v>41837.654861111114</v>
      </c>
      <c r="G3135" s="98">
        <v>240</v>
      </c>
      <c r="H3135" s="98">
        <v>330</v>
      </c>
      <c r="I3135" s="98">
        <v>296</v>
      </c>
      <c r="J3135" s="98" t="s">
        <v>2263</v>
      </c>
      <c r="K3135" s="98" t="s">
        <v>41</v>
      </c>
      <c r="L3135" s="105" t="str">
        <f t="shared" si="520"/>
        <v>Mill Creek</v>
      </c>
      <c r="M3135" s="105" t="str">
        <f t="shared" si="521"/>
        <v>Derate</v>
      </c>
      <c r="N3135" s="105" t="str">
        <f t="shared" si="522"/>
        <v>Coal</v>
      </c>
      <c r="O3135" s="105">
        <f>IFERROR(VLOOKUP(A3135,Lookup!$J$5:$P$19,7,FALSE),0)</f>
        <v>2</v>
      </c>
      <c r="P3135" s="159">
        <f t="shared" si="523"/>
        <v>2014</v>
      </c>
      <c r="Q3135" s="159">
        <f t="shared" si="524"/>
        <v>7</v>
      </c>
      <c r="R3135" s="160">
        <f t="shared" si="525"/>
        <v>5.9000000000232831</v>
      </c>
      <c r="S3135" s="158">
        <f t="shared" si="526"/>
        <v>1.6090909090972589</v>
      </c>
      <c r="T3135" s="161">
        <f t="shared" si="527"/>
        <v>476.29090909278864</v>
      </c>
      <c r="U3135" s="158">
        <f t="shared" si="529"/>
        <v>80.727272727272734</v>
      </c>
      <c r="V3135" s="160">
        <f t="shared" si="528"/>
        <v>81</v>
      </c>
    </row>
    <row r="3136" spans="1:22" x14ac:dyDescent="0.25">
      <c r="A3136" s="98" t="s">
        <v>35</v>
      </c>
      <c r="B3136" s="98" t="s">
        <v>17</v>
      </c>
      <c r="C3136" s="98">
        <v>124</v>
      </c>
      <c r="D3136" s="98">
        <v>1850</v>
      </c>
      <c r="E3136" s="157">
        <v>41837.654861111114</v>
      </c>
      <c r="F3136" s="157">
        <v>41837.708333333336</v>
      </c>
      <c r="G3136" s="98">
        <v>300</v>
      </c>
      <c r="H3136" s="98">
        <v>330</v>
      </c>
      <c r="I3136" s="98">
        <v>296</v>
      </c>
      <c r="J3136" s="98" t="s">
        <v>2263</v>
      </c>
      <c r="K3136" s="98" t="s">
        <v>41</v>
      </c>
      <c r="L3136" s="105" t="str">
        <f t="shared" si="520"/>
        <v>Mill Creek</v>
      </c>
      <c r="M3136" s="105" t="str">
        <f t="shared" si="521"/>
        <v>Derate</v>
      </c>
      <c r="N3136" s="105" t="str">
        <f t="shared" si="522"/>
        <v>Coal</v>
      </c>
      <c r="O3136" s="105">
        <f>IFERROR(VLOOKUP(A3136,Lookup!$J$5:$P$19,7,FALSE),0)</f>
        <v>2</v>
      </c>
      <c r="P3136" s="159">
        <f t="shared" si="523"/>
        <v>2014</v>
      </c>
      <c r="Q3136" s="159">
        <f t="shared" si="524"/>
        <v>7</v>
      </c>
      <c r="R3136" s="160">
        <f t="shared" si="525"/>
        <v>1.2833333333255723</v>
      </c>
      <c r="S3136" s="158">
        <f t="shared" si="526"/>
        <v>0.11666666666596112</v>
      </c>
      <c r="T3136" s="161">
        <f t="shared" si="527"/>
        <v>34.533333333124489</v>
      </c>
      <c r="U3136" s="158">
        <f t="shared" si="529"/>
        <v>26.90909090909091</v>
      </c>
      <c r="V3136" s="160">
        <f t="shared" si="528"/>
        <v>27</v>
      </c>
    </row>
    <row r="3137" spans="1:22" x14ac:dyDescent="0.25">
      <c r="A3137" s="98" t="s">
        <v>35</v>
      </c>
      <c r="B3137" s="98" t="s">
        <v>17</v>
      </c>
      <c r="C3137" s="98">
        <v>125</v>
      </c>
      <c r="D3137" s="98">
        <v>1850</v>
      </c>
      <c r="E3137" s="157">
        <v>41837.708333333336</v>
      </c>
      <c r="F3137" s="157">
        <v>41837.875</v>
      </c>
      <c r="G3137" s="98">
        <v>315</v>
      </c>
      <c r="H3137" s="98">
        <v>330</v>
      </c>
      <c r="I3137" s="98">
        <v>296</v>
      </c>
      <c r="J3137" s="98" t="s">
        <v>2263</v>
      </c>
      <c r="K3137" s="98" t="s">
        <v>41</v>
      </c>
      <c r="L3137" s="105" t="str">
        <f t="shared" si="520"/>
        <v>Mill Creek</v>
      </c>
      <c r="M3137" s="105" t="str">
        <f t="shared" si="521"/>
        <v>Derate</v>
      </c>
      <c r="N3137" s="105" t="str">
        <f t="shared" si="522"/>
        <v>Coal</v>
      </c>
      <c r="O3137" s="105">
        <f>IFERROR(VLOOKUP(A3137,Lookup!$J$5:$P$19,7,FALSE),0)</f>
        <v>2</v>
      </c>
      <c r="P3137" s="159">
        <f t="shared" si="523"/>
        <v>2014</v>
      </c>
      <c r="Q3137" s="159">
        <f t="shared" si="524"/>
        <v>7</v>
      </c>
      <c r="R3137" s="160">
        <f t="shared" si="525"/>
        <v>3.9999999999417923</v>
      </c>
      <c r="S3137" s="158">
        <f t="shared" si="526"/>
        <v>0.18181818181553602</v>
      </c>
      <c r="T3137" s="161">
        <f t="shared" si="527"/>
        <v>53.81818181739866</v>
      </c>
      <c r="U3137" s="158">
        <f t="shared" si="529"/>
        <v>13.454545454545455</v>
      </c>
      <c r="V3137" s="160">
        <f t="shared" si="528"/>
        <v>13</v>
      </c>
    </row>
    <row r="3138" spans="1:22" x14ac:dyDescent="0.25">
      <c r="A3138" s="98" t="s">
        <v>35</v>
      </c>
      <c r="B3138" s="98" t="s">
        <v>20</v>
      </c>
      <c r="C3138" s="98">
        <v>126</v>
      </c>
      <c r="D3138" s="98">
        <v>3344</v>
      </c>
      <c r="E3138" s="157">
        <v>41848.004166666666</v>
      </c>
      <c r="F3138" s="157">
        <v>41849.029861111114</v>
      </c>
      <c r="G3138" s="98">
        <v>0</v>
      </c>
      <c r="H3138" s="98">
        <v>330</v>
      </c>
      <c r="I3138" s="98">
        <v>296</v>
      </c>
      <c r="J3138" s="98" t="s">
        <v>2165</v>
      </c>
      <c r="K3138" s="98" t="s">
        <v>58</v>
      </c>
      <c r="L3138" s="105" t="str">
        <f t="shared" si="520"/>
        <v>Mill Creek</v>
      </c>
      <c r="M3138" s="105" t="str">
        <f t="shared" si="521"/>
        <v>Maintenance</v>
      </c>
      <c r="N3138" s="105" t="str">
        <f t="shared" si="522"/>
        <v>Coal</v>
      </c>
      <c r="O3138" s="105">
        <f>IFERROR(VLOOKUP(A3138,Lookup!$J$5:$P$19,7,FALSE),0)</f>
        <v>2</v>
      </c>
      <c r="P3138" s="159">
        <f t="shared" si="523"/>
        <v>2014</v>
      </c>
      <c r="Q3138" s="159">
        <f t="shared" si="524"/>
        <v>7</v>
      </c>
      <c r="R3138" s="160">
        <f t="shared" si="525"/>
        <v>24.616666666755918</v>
      </c>
      <c r="S3138" s="158">
        <f t="shared" si="526"/>
        <v>24.616666666755918</v>
      </c>
      <c r="T3138" s="161">
        <f t="shared" si="527"/>
        <v>7286.5333333597519</v>
      </c>
      <c r="U3138" s="158">
        <f t="shared" si="529"/>
        <v>296</v>
      </c>
      <c r="V3138" s="160">
        <f t="shared" si="528"/>
        <v>296</v>
      </c>
    </row>
    <row r="3139" spans="1:22" x14ac:dyDescent="0.25">
      <c r="A3139" s="98" t="s">
        <v>35</v>
      </c>
      <c r="B3139" s="98" t="s">
        <v>79</v>
      </c>
      <c r="C3139" s="98">
        <v>127</v>
      </c>
      <c r="D3139" s="98">
        <v>1850</v>
      </c>
      <c r="E3139" s="157">
        <v>41849.029861111114</v>
      </c>
      <c r="F3139" s="157">
        <v>41849.265972222223</v>
      </c>
      <c r="G3139" s="98">
        <v>0</v>
      </c>
      <c r="H3139" s="98">
        <v>330</v>
      </c>
      <c r="I3139" s="98">
        <v>296</v>
      </c>
      <c r="J3139" s="98" t="s">
        <v>2263</v>
      </c>
      <c r="K3139" s="98" t="s">
        <v>86</v>
      </c>
      <c r="L3139" s="105" t="str">
        <f t="shared" si="520"/>
        <v>Mill Creek</v>
      </c>
      <c r="M3139" s="105" t="str">
        <f t="shared" si="521"/>
        <v>Other</v>
      </c>
      <c r="N3139" s="105" t="str">
        <f t="shared" si="522"/>
        <v>Coal</v>
      </c>
      <c r="O3139" s="105">
        <f>IFERROR(VLOOKUP(A3139,Lookup!$J$5:$P$19,7,FALSE),0)</f>
        <v>2</v>
      </c>
      <c r="P3139" s="159">
        <f t="shared" si="523"/>
        <v>2014</v>
      </c>
      <c r="Q3139" s="159">
        <f t="shared" si="524"/>
        <v>7</v>
      </c>
      <c r="R3139" s="160">
        <f t="shared" si="525"/>
        <v>5.6666666666278616</v>
      </c>
      <c r="S3139" s="158">
        <f t="shared" si="526"/>
        <v>5.6666666666278616</v>
      </c>
      <c r="T3139" s="161">
        <f t="shared" si="527"/>
        <v>1677.333333321847</v>
      </c>
      <c r="U3139" s="158">
        <f t="shared" si="529"/>
        <v>296</v>
      </c>
      <c r="V3139" s="160">
        <f t="shared" si="528"/>
        <v>296</v>
      </c>
    </row>
    <row r="3140" spans="1:22" x14ac:dyDescent="0.25">
      <c r="A3140" s="98" t="s">
        <v>35</v>
      </c>
      <c r="B3140" s="98" t="s">
        <v>17</v>
      </c>
      <c r="C3140" s="98">
        <v>128</v>
      </c>
      <c r="D3140" s="98">
        <v>3410</v>
      </c>
      <c r="E3140" s="157">
        <v>41849.944444444445</v>
      </c>
      <c r="F3140" s="157">
        <v>41850.409722222219</v>
      </c>
      <c r="G3140" s="98">
        <v>190</v>
      </c>
      <c r="H3140" s="98">
        <v>330</v>
      </c>
      <c r="I3140" s="98">
        <v>296</v>
      </c>
      <c r="J3140" s="98" t="s">
        <v>1983</v>
      </c>
      <c r="K3140" s="98" t="s">
        <v>2751</v>
      </c>
      <c r="L3140" s="105" t="str">
        <f t="shared" si="520"/>
        <v>Mill Creek</v>
      </c>
      <c r="M3140" s="105" t="str">
        <f t="shared" si="521"/>
        <v>Derate</v>
      </c>
      <c r="N3140" s="105" t="str">
        <f t="shared" si="522"/>
        <v>Coal</v>
      </c>
      <c r="O3140" s="105">
        <f>IFERROR(VLOOKUP(A3140,Lookup!$J$5:$P$19,7,FALSE),0)</f>
        <v>2</v>
      </c>
      <c r="P3140" s="159">
        <f t="shared" si="523"/>
        <v>2014</v>
      </c>
      <c r="Q3140" s="159">
        <f t="shared" si="524"/>
        <v>7</v>
      </c>
      <c r="R3140" s="160">
        <f t="shared" si="525"/>
        <v>11.166666666569654</v>
      </c>
      <c r="S3140" s="158">
        <f t="shared" si="526"/>
        <v>4.7373737373325806</v>
      </c>
      <c r="T3140" s="161">
        <f t="shared" si="527"/>
        <v>1402.2626262504439</v>
      </c>
      <c r="U3140" s="158">
        <f t="shared" si="529"/>
        <v>125.57575757575758</v>
      </c>
      <c r="V3140" s="160">
        <f t="shared" si="528"/>
        <v>126</v>
      </c>
    </row>
    <row r="3141" spans="1:22" x14ac:dyDescent="0.25">
      <c r="A3141" s="98" t="s">
        <v>35</v>
      </c>
      <c r="B3141" s="98" t="s">
        <v>17</v>
      </c>
      <c r="C3141" s="98">
        <v>129</v>
      </c>
      <c r="D3141" s="98">
        <v>3620</v>
      </c>
      <c r="E3141" s="157">
        <v>41851.422222222223</v>
      </c>
      <c r="F3141" s="157">
        <v>41851.481944444444</v>
      </c>
      <c r="G3141" s="98">
        <v>120</v>
      </c>
      <c r="H3141" s="98">
        <v>330</v>
      </c>
      <c r="I3141" s="98">
        <v>296</v>
      </c>
      <c r="J3141" s="98" t="s">
        <v>2092</v>
      </c>
      <c r="K3141" s="98" t="s">
        <v>2752</v>
      </c>
      <c r="L3141" s="105" t="str">
        <f t="shared" si="520"/>
        <v>Mill Creek</v>
      </c>
      <c r="M3141" s="105" t="str">
        <f t="shared" si="521"/>
        <v>Derate</v>
      </c>
      <c r="N3141" s="105" t="str">
        <f t="shared" si="522"/>
        <v>Coal</v>
      </c>
      <c r="O3141" s="105">
        <f>IFERROR(VLOOKUP(A3141,Lookup!$J$5:$P$19,7,FALSE),0)</f>
        <v>2</v>
      </c>
      <c r="P3141" s="159">
        <f t="shared" si="523"/>
        <v>2014</v>
      </c>
      <c r="Q3141" s="159">
        <f t="shared" si="524"/>
        <v>7</v>
      </c>
      <c r="R3141" s="160">
        <f t="shared" si="525"/>
        <v>1.4333333332906477</v>
      </c>
      <c r="S3141" s="158">
        <f t="shared" si="526"/>
        <v>0.91212121209404851</v>
      </c>
      <c r="T3141" s="161">
        <f t="shared" si="527"/>
        <v>269.98787877983835</v>
      </c>
      <c r="U3141" s="158">
        <f t="shared" si="529"/>
        <v>188.36363636363637</v>
      </c>
      <c r="V3141" s="160">
        <f t="shared" si="528"/>
        <v>188</v>
      </c>
    </row>
    <row r="3142" spans="1:22" x14ac:dyDescent="0.25">
      <c r="A3142" s="98" t="s">
        <v>35</v>
      </c>
      <c r="B3142" s="98" t="s">
        <v>17</v>
      </c>
      <c r="C3142" s="98">
        <v>130</v>
      </c>
      <c r="D3142" s="98">
        <v>3620</v>
      </c>
      <c r="E3142" s="162">
        <v>41851.481944444444</v>
      </c>
      <c r="F3142" s="157">
        <v>41851.533333333333</v>
      </c>
      <c r="G3142" s="98">
        <v>230</v>
      </c>
      <c r="H3142" s="98">
        <v>330</v>
      </c>
      <c r="I3142" s="98">
        <v>296</v>
      </c>
      <c r="J3142" s="98" t="s">
        <v>2092</v>
      </c>
      <c r="K3142" s="98" t="s">
        <v>2752</v>
      </c>
      <c r="L3142" s="105" t="str">
        <f t="shared" si="520"/>
        <v>Mill Creek</v>
      </c>
      <c r="M3142" s="105" t="str">
        <f t="shared" si="521"/>
        <v>Derate</v>
      </c>
      <c r="N3142" s="105" t="str">
        <f t="shared" si="522"/>
        <v>Coal</v>
      </c>
      <c r="O3142" s="105">
        <f>IFERROR(VLOOKUP(A3142,Lookup!$J$5:$P$19,7,FALSE),0)</f>
        <v>2</v>
      </c>
      <c r="P3142" s="159">
        <f t="shared" si="523"/>
        <v>2014</v>
      </c>
      <c r="Q3142" s="159">
        <f t="shared" si="524"/>
        <v>7</v>
      </c>
      <c r="R3142" s="160">
        <f t="shared" si="525"/>
        <v>1.2333333333372138</v>
      </c>
      <c r="S3142" s="158">
        <f t="shared" si="526"/>
        <v>0.37373737373854965</v>
      </c>
      <c r="T3142" s="161">
        <f t="shared" si="527"/>
        <v>110.6262626266107</v>
      </c>
      <c r="U3142" s="158">
        <f t="shared" si="529"/>
        <v>89.696969696969703</v>
      </c>
      <c r="V3142" s="160">
        <f t="shared" si="528"/>
        <v>90</v>
      </c>
    </row>
    <row r="3143" spans="1:22" x14ac:dyDescent="0.25">
      <c r="A3143" s="98" t="s">
        <v>35</v>
      </c>
      <c r="B3143" s="98" t="s">
        <v>20</v>
      </c>
      <c r="C3143" s="98">
        <v>131</v>
      </c>
      <c r="D3143" s="98">
        <v>3620</v>
      </c>
      <c r="E3143" s="157">
        <v>41852.96875</v>
      </c>
      <c r="F3143" s="157">
        <v>41853.313194444447</v>
      </c>
      <c r="G3143" s="98">
        <v>0</v>
      </c>
      <c r="H3143" s="98">
        <v>330</v>
      </c>
      <c r="I3143" s="98">
        <v>296</v>
      </c>
      <c r="J3143" s="98" t="s">
        <v>2092</v>
      </c>
      <c r="K3143" s="98" t="s">
        <v>2753</v>
      </c>
      <c r="L3143" s="105" t="str">
        <f t="shared" si="520"/>
        <v>Mill Creek</v>
      </c>
      <c r="M3143" s="105" t="str">
        <f t="shared" si="521"/>
        <v>Maintenance</v>
      </c>
      <c r="N3143" s="105" t="str">
        <f t="shared" si="522"/>
        <v>Coal</v>
      </c>
      <c r="O3143" s="105">
        <f>IFERROR(VLOOKUP(A3143,Lookup!$J$5:$P$19,7,FALSE),0)</f>
        <v>2</v>
      </c>
      <c r="P3143" s="159">
        <f t="shared" si="523"/>
        <v>2014</v>
      </c>
      <c r="Q3143" s="159">
        <f t="shared" si="524"/>
        <v>8</v>
      </c>
      <c r="R3143" s="160">
        <f t="shared" si="525"/>
        <v>8.2666666667209938</v>
      </c>
      <c r="S3143" s="158">
        <f t="shared" si="526"/>
        <v>8.2666666667209938</v>
      </c>
      <c r="T3143" s="161">
        <f t="shared" si="527"/>
        <v>2446.9333333494142</v>
      </c>
      <c r="U3143" s="158">
        <f t="shared" si="529"/>
        <v>296</v>
      </c>
      <c r="V3143" s="160">
        <f t="shared" si="528"/>
        <v>296</v>
      </c>
    </row>
    <row r="3144" spans="1:22" x14ac:dyDescent="0.25">
      <c r="A3144" s="98" t="s">
        <v>35</v>
      </c>
      <c r="B3144" s="98" t="s">
        <v>79</v>
      </c>
      <c r="C3144" s="98">
        <v>132</v>
      </c>
      <c r="D3144" s="98">
        <v>1850</v>
      </c>
      <c r="E3144" s="157">
        <v>41853.313194444447</v>
      </c>
      <c r="F3144" s="157">
        <v>41853.635416666664</v>
      </c>
      <c r="G3144" s="98">
        <v>0</v>
      </c>
      <c r="H3144" s="98">
        <v>330</v>
      </c>
      <c r="I3144" s="98">
        <v>296</v>
      </c>
      <c r="J3144" s="98" t="s">
        <v>2263</v>
      </c>
      <c r="K3144" s="98" t="s">
        <v>86</v>
      </c>
      <c r="L3144" s="105" t="str">
        <f t="shared" si="520"/>
        <v>Mill Creek</v>
      </c>
      <c r="M3144" s="105" t="str">
        <f t="shared" si="521"/>
        <v>Other</v>
      </c>
      <c r="N3144" s="105" t="str">
        <f t="shared" si="522"/>
        <v>Coal</v>
      </c>
      <c r="O3144" s="105">
        <f>IFERROR(VLOOKUP(A3144,Lookup!$J$5:$P$19,7,FALSE),0)</f>
        <v>2</v>
      </c>
      <c r="P3144" s="159">
        <f t="shared" si="523"/>
        <v>2014</v>
      </c>
      <c r="Q3144" s="159">
        <f t="shared" si="524"/>
        <v>8</v>
      </c>
      <c r="R3144" s="160">
        <f t="shared" si="525"/>
        <v>7.7333333332207985</v>
      </c>
      <c r="S3144" s="158">
        <f t="shared" si="526"/>
        <v>7.7333333332207985</v>
      </c>
      <c r="T3144" s="161">
        <f t="shared" si="527"/>
        <v>2289.0666666333564</v>
      </c>
      <c r="U3144" s="158">
        <f t="shared" si="529"/>
        <v>296</v>
      </c>
      <c r="V3144" s="160">
        <f t="shared" si="528"/>
        <v>296</v>
      </c>
    </row>
    <row r="3145" spans="1:22" x14ac:dyDescent="0.25">
      <c r="A3145" s="98" t="s">
        <v>35</v>
      </c>
      <c r="B3145" s="98" t="s">
        <v>79</v>
      </c>
      <c r="C3145" s="98">
        <v>133</v>
      </c>
      <c r="D3145" s="98">
        <v>4490</v>
      </c>
      <c r="E3145" s="157">
        <v>41864.34375</v>
      </c>
      <c r="F3145" s="157">
        <v>41864.543749999997</v>
      </c>
      <c r="G3145" s="98">
        <v>0</v>
      </c>
      <c r="H3145" s="98">
        <v>330</v>
      </c>
      <c r="I3145" s="98">
        <v>296</v>
      </c>
      <c r="J3145" s="98" t="s">
        <v>2084</v>
      </c>
      <c r="K3145" s="98" t="s">
        <v>1356</v>
      </c>
      <c r="L3145" s="105" t="str">
        <f t="shared" si="520"/>
        <v>Mill Creek</v>
      </c>
      <c r="M3145" s="105" t="str">
        <f t="shared" si="521"/>
        <v>Other</v>
      </c>
      <c r="N3145" s="105" t="str">
        <f t="shared" si="522"/>
        <v>Coal</v>
      </c>
      <c r="O3145" s="105">
        <f>IFERROR(VLOOKUP(A3145,Lookup!$J$5:$P$19,7,FALSE),0)</f>
        <v>2</v>
      </c>
      <c r="P3145" s="159">
        <f t="shared" si="523"/>
        <v>2014</v>
      </c>
      <c r="Q3145" s="159">
        <f t="shared" si="524"/>
        <v>8</v>
      </c>
      <c r="R3145" s="160">
        <f t="shared" si="525"/>
        <v>4.7999999999301508</v>
      </c>
      <c r="S3145" s="158">
        <f t="shared" si="526"/>
        <v>4.7999999999301508</v>
      </c>
      <c r="T3145" s="161">
        <f t="shared" si="527"/>
        <v>1420.7999999793246</v>
      </c>
      <c r="U3145" s="158">
        <f t="shared" si="529"/>
        <v>296</v>
      </c>
      <c r="V3145" s="160">
        <f t="shared" si="528"/>
        <v>296</v>
      </c>
    </row>
    <row r="3146" spans="1:22" x14ac:dyDescent="0.25">
      <c r="A3146" s="98" t="s">
        <v>35</v>
      </c>
      <c r="B3146" s="98" t="s">
        <v>17</v>
      </c>
      <c r="C3146" s="98">
        <v>134</v>
      </c>
      <c r="D3146" s="98">
        <v>310</v>
      </c>
      <c r="E3146" s="157">
        <v>41866.247916666667</v>
      </c>
      <c r="F3146" s="157">
        <v>41866.333333333336</v>
      </c>
      <c r="G3146" s="98">
        <v>100</v>
      </c>
      <c r="H3146" s="98">
        <v>330</v>
      </c>
      <c r="I3146" s="98">
        <v>296</v>
      </c>
      <c r="J3146" s="98" t="s">
        <v>1966</v>
      </c>
      <c r="K3146" s="98" t="s">
        <v>2754</v>
      </c>
      <c r="L3146" s="105" t="str">
        <f t="shared" si="520"/>
        <v>Mill Creek</v>
      </c>
      <c r="M3146" s="105" t="str">
        <f t="shared" si="521"/>
        <v>Derate</v>
      </c>
      <c r="N3146" s="105" t="str">
        <f t="shared" si="522"/>
        <v>Coal</v>
      </c>
      <c r="O3146" s="105">
        <f>IFERROR(VLOOKUP(A3146,Lookup!$J$5:$P$19,7,FALSE),0)</f>
        <v>2</v>
      </c>
      <c r="P3146" s="159">
        <f t="shared" si="523"/>
        <v>2014</v>
      </c>
      <c r="Q3146" s="159">
        <f t="shared" si="524"/>
        <v>8</v>
      </c>
      <c r="R3146" s="160">
        <f t="shared" si="525"/>
        <v>2.0500000000465661</v>
      </c>
      <c r="S3146" s="158">
        <f t="shared" si="526"/>
        <v>1.4287878788203339</v>
      </c>
      <c r="T3146" s="161">
        <f t="shared" si="527"/>
        <v>422.92121213081884</v>
      </c>
      <c r="U3146" s="158">
        <f t="shared" si="529"/>
        <v>206.30303030303031</v>
      </c>
      <c r="V3146" s="160">
        <f t="shared" si="528"/>
        <v>206</v>
      </c>
    </row>
    <row r="3147" spans="1:22" x14ac:dyDescent="0.25">
      <c r="A3147" s="98" t="s">
        <v>35</v>
      </c>
      <c r="B3147" s="98" t="s">
        <v>17</v>
      </c>
      <c r="C3147" s="98">
        <v>135</v>
      </c>
      <c r="D3147" s="98">
        <v>310</v>
      </c>
      <c r="E3147" s="157">
        <v>41866.333333333336</v>
      </c>
      <c r="F3147" s="157">
        <v>41866.770833333336</v>
      </c>
      <c r="G3147" s="98">
        <v>260</v>
      </c>
      <c r="H3147" s="98">
        <v>330</v>
      </c>
      <c r="I3147" s="98">
        <v>296</v>
      </c>
      <c r="J3147" s="98" t="s">
        <v>1966</v>
      </c>
      <c r="K3147" s="98" t="s">
        <v>2755</v>
      </c>
      <c r="L3147" s="105" t="str">
        <f t="shared" si="520"/>
        <v>Mill Creek</v>
      </c>
      <c r="M3147" s="105" t="str">
        <f t="shared" si="521"/>
        <v>Derate</v>
      </c>
      <c r="N3147" s="105" t="str">
        <f t="shared" si="522"/>
        <v>Coal</v>
      </c>
      <c r="O3147" s="105">
        <f>IFERROR(VLOOKUP(A3147,Lookup!$J$5:$P$19,7,FALSE),0)</f>
        <v>2</v>
      </c>
      <c r="P3147" s="159">
        <f t="shared" si="523"/>
        <v>2014</v>
      </c>
      <c r="Q3147" s="159">
        <f t="shared" si="524"/>
        <v>8</v>
      </c>
      <c r="R3147" s="160">
        <f t="shared" si="525"/>
        <v>10.5</v>
      </c>
      <c r="S3147" s="158">
        <f t="shared" si="526"/>
        <v>2.2272727272727271</v>
      </c>
      <c r="T3147" s="161">
        <f t="shared" si="527"/>
        <v>659.27272727272725</v>
      </c>
      <c r="U3147" s="158">
        <f t="shared" si="529"/>
        <v>62.787878787878789</v>
      </c>
      <c r="V3147" s="160">
        <f t="shared" si="528"/>
        <v>63</v>
      </c>
    </row>
    <row r="3148" spans="1:22" x14ac:dyDescent="0.25">
      <c r="A3148" s="98" t="s">
        <v>35</v>
      </c>
      <c r="B3148" s="98" t="s">
        <v>17</v>
      </c>
      <c r="C3148" s="98">
        <v>136</v>
      </c>
      <c r="D3148" s="98">
        <v>310</v>
      </c>
      <c r="E3148" s="157">
        <v>41867.515972222223</v>
      </c>
      <c r="F3148" s="157">
        <v>41868.422222222223</v>
      </c>
      <c r="G3148" s="98">
        <v>265</v>
      </c>
      <c r="H3148" s="98">
        <v>330</v>
      </c>
      <c r="I3148" s="98">
        <v>296</v>
      </c>
      <c r="J3148" s="98" t="s">
        <v>1966</v>
      </c>
      <c r="K3148" s="98" t="s">
        <v>2756</v>
      </c>
      <c r="L3148" s="105" t="str">
        <f t="shared" si="520"/>
        <v>Mill Creek</v>
      </c>
      <c r="M3148" s="105" t="str">
        <f t="shared" si="521"/>
        <v>Derate</v>
      </c>
      <c r="N3148" s="105" t="str">
        <f t="shared" si="522"/>
        <v>Coal</v>
      </c>
      <c r="O3148" s="105">
        <f>IFERROR(VLOOKUP(A3148,Lookup!$J$5:$P$19,7,FALSE),0)</f>
        <v>2</v>
      </c>
      <c r="P3148" s="159">
        <f t="shared" si="523"/>
        <v>2014</v>
      </c>
      <c r="Q3148" s="159">
        <f t="shared" si="524"/>
        <v>8</v>
      </c>
      <c r="R3148" s="160">
        <f t="shared" si="525"/>
        <v>21.75</v>
      </c>
      <c r="S3148" s="158">
        <f t="shared" si="526"/>
        <v>4.2840909090909092</v>
      </c>
      <c r="T3148" s="161">
        <f t="shared" si="527"/>
        <v>1268.090909090909</v>
      </c>
      <c r="U3148" s="158">
        <f t="shared" si="529"/>
        <v>58.303030303030305</v>
      </c>
      <c r="V3148" s="160">
        <f t="shared" si="528"/>
        <v>58</v>
      </c>
    </row>
    <row r="3149" spans="1:22" x14ac:dyDescent="0.25">
      <c r="A3149" s="98" t="s">
        <v>35</v>
      </c>
      <c r="B3149" s="98" t="s">
        <v>105</v>
      </c>
      <c r="C3149" s="98">
        <v>137</v>
      </c>
      <c r="D3149" s="98">
        <v>310</v>
      </c>
      <c r="E3149" s="157">
        <v>41871.958333333336</v>
      </c>
      <c r="F3149" s="157">
        <v>41872.039583333331</v>
      </c>
      <c r="G3149" s="98">
        <v>240</v>
      </c>
      <c r="H3149" s="98">
        <v>330</v>
      </c>
      <c r="I3149" s="98">
        <v>296</v>
      </c>
      <c r="J3149" s="98" t="s">
        <v>1966</v>
      </c>
      <c r="K3149" s="98" t="s">
        <v>2757</v>
      </c>
      <c r="L3149" s="105" t="str">
        <f t="shared" si="520"/>
        <v>Mill Creek</v>
      </c>
      <c r="M3149" s="105" t="str">
        <f t="shared" si="521"/>
        <v>Derate</v>
      </c>
      <c r="N3149" s="105" t="str">
        <f t="shared" si="522"/>
        <v>Coal</v>
      </c>
      <c r="O3149" s="105">
        <f>IFERROR(VLOOKUP(A3149,Lookup!$J$5:$P$19,7,FALSE),0)</f>
        <v>2</v>
      </c>
      <c r="P3149" s="159">
        <f t="shared" si="523"/>
        <v>2014</v>
      </c>
      <c r="Q3149" s="159">
        <f t="shared" si="524"/>
        <v>8</v>
      </c>
      <c r="R3149" s="160">
        <f t="shared" si="525"/>
        <v>1.9499999998952262</v>
      </c>
      <c r="S3149" s="158">
        <f t="shared" si="526"/>
        <v>0.53181818178960716</v>
      </c>
      <c r="T3149" s="161">
        <f t="shared" si="527"/>
        <v>157.41818180972371</v>
      </c>
      <c r="U3149" s="158">
        <f t="shared" si="529"/>
        <v>80.727272727272734</v>
      </c>
      <c r="V3149" s="160">
        <f t="shared" si="528"/>
        <v>81</v>
      </c>
    </row>
    <row r="3150" spans="1:22" x14ac:dyDescent="0.25">
      <c r="A3150" s="98" t="s">
        <v>35</v>
      </c>
      <c r="B3150" s="98" t="s">
        <v>105</v>
      </c>
      <c r="C3150" s="98">
        <v>138</v>
      </c>
      <c r="D3150" s="98">
        <v>310</v>
      </c>
      <c r="E3150" s="157">
        <v>41875.916666666664</v>
      </c>
      <c r="F3150" s="157">
        <v>41875.958333333336</v>
      </c>
      <c r="G3150" s="98">
        <v>240</v>
      </c>
      <c r="H3150" s="98">
        <v>330</v>
      </c>
      <c r="I3150" s="98">
        <v>296</v>
      </c>
      <c r="J3150" s="98" t="s">
        <v>1966</v>
      </c>
      <c r="K3150" s="98" t="s">
        <v>2758</v>
      </c>
      <c r="L3150" s="105" t="str">
        <f t="shared" si="520"/>
        <v>Mill Creek</v>
      </c>
      <c r="M3150" s="105" t="str">
        <f t="shared" si="521"/>
        <v>Derate</v>
      </c>
      <c r="N3150" s="105" t="str">
        <f t="shared" si="522"/>
        <v>Coal</v>
      </c>
      <c r="O3150" s="105">
        <f>IFERROR(VLOOKUP(A3150,Lookup!$J$5:$P$19,7,FALSE),0)</f>
        <v>2</v>
      </c>
      <c r="P3150" s="159">
        <f t="shared" si="523"/>
        <v>2014</v>
      </c>
      <c r="Q3150" s="159">
        <f t="shared" si="524"/>
        <v>8</v>
      </c>
      <c r="R3150" s="160">
        <f t="shared" si="525"/>
        <v>1.0000000001164153</v>
      </c>
      <c r="S3150" s="158">
        <f t="shared" si="526"/>
        <v>0.27272727275902237</v>
      </c>
      <c r="T3150" s="161">
        <f t="shared" si="527"/>
        <v>80.727272736670614</v>
      </c>
      <c r="U3150" s="158">
        <f t="shared" si="529"/>
        <v>80.727272727272734</v>
      </c>
      <c r="V3150" s="160">
        <f t="shared" si="528"/>
        <v>81</v>
      </c>
    </row>
    <row r="3151" spans="1:22" x14ac:dyDescent="0.25">
      <c r="A3151" s="98" t="s">
        <v>35</v>
      </c>
      <c r="B3151" s="98" t="s">
        <v>79</v>
      </c>
      <c r="C3151" s="98">
        <v>139</v>
      </c>
      <c r="D3151" s="98">
        <v>1160</v>
      </c>
      <c r="E3151" s="157">
        <v>41875.958333333336</v>
      </c>
      <c r="F3151" s="157">
        <v>41876.131249999999</v>
      </c>
      <c r="G3151" s="98">
        <v>0</v>
      </c>
      <c r="H3151" s="98">
        <v>330</v>
      </c>
      <c r="I3151" s="98">
        <v>296</v>
      </c>
      <c r="J3151" s="98" t="s">
        <v>2273</v>
      </c>
      <c r="K3151" s="98" t="s">
        <v>2674</v>
      </c>
      <c r="L3151" s="105" t="str">
        <f t="shared" si="520"/>
        <v>Mill Creek</v>
      </c>
      <c r="M3151" s="105" t="str">
        <f t="shared" si="521"/>
        <v>Other</v>
      </c>
      <c r="N3151" s="105" t="str">
        <f t="shared" si="522"/>
        <v>Coal</v>
      </c>
      <c r="O3151" s="105">
        <f>IFERROR(VLOOKUP(A3151,Lookup!$J$5:$P$19,7,FALSE),0)</f>
        <v>2</v>
      </c>
      <c r="P3151" s="159">
        <f t="shared" si="523"/>
        <v>2014</v>
      </c>
      <c r="Q3151" s="159">
        <f t="shared" si="524"/>
        <v>8</v>
      </c>
      <c r="R3151" s="160">
        <f t="shared" si="525"/>
        <v>4.1499999999068677</v>
      </c>
      <c r="S3151" s="158">
        <f t="shared" si="526"/>
        <v>4.1499999999068677</v>
      </c>
      <c r="T3151" s="161">
        <f t="shared" si="527"/>
        <v>1228.3999999724329</v>
      </c>
      <c r="U3151" s="158">
        <f t="shared" si="529"/>
        <v>296</v>
      </c>
      <c r="V3151" s="160">
        <f t="shared" si="528"/>
        <v>296</v>
      </c>
    </row>
    <row r="3152" spans="1:22" x14ac:dyDescent="0.25">
      <c r="A3152" s="98" t="s">
        <v>35</v>
      </c>
      <c r="B3152" s="98" t="s">
        <v>79</v>
      </c>
      <c r="C3152" s="98">
        <v>140</v>
      </c>
      <c r="D3152" s="98">
        <v>1160</v>
      </c>
      <c r="E3152" s="157">
        <v>41879.904861111114</v>
      </c>
      <c r="F3152" s="157">
        <v>41880.037499999999</v>
      </c>
      <c r="G3152" s="98">
        <v>0</v>
      </c>
      <c r="H3152" s="98">
        <v>330</v>
      </c>
      <c r="I3152" s="98">
        <v>296</v>
      </c>
      <c r="J3152" s="98" t="s">
        <v>2273</v>
      </c>
      <c r="K3152" s="98" t="s">
        <v>2674</v>
      </c>
      <c r="L3152" s="105" t="str">
        <f t="shared" si="520"/>
        <v>Mill Creek</v>
      </c>
      <c r="M3152" s="105" t="str">
        <f t="shared" si="521"/>
        <v>Other</v>
      </c>
      <c r="N3152" s="105" t="str">
        <f t="shared" si="522"/>
        <v>Coal</v>
      </c>
      <c r="O3152" s="105">
        <f>IFERROR(VLOOKUP(A3152,Lookup!$J$5:$P$19,7,FALSE),0)</f>
        <v>2</v>
      </c>
      <c r="P3152" s="159">
        <f t="shared" si="523"/>
        <v>2014</v>
      </c>
      <c r="Q3152" s="159">
        <f t="shared" si="524"/>
        <v>8</v>
      </c>
      <c r="R3152" s="160">
        <f t="shared" si="525"/>
        <v>3.1833333332324401</v>
      </c>
      <c r="S3152" s="158">
        <f t="shared" si="526"/>
        <v>3.1833333332324401</v>
      </c>
      <c r="T3152" s="161">
        <f t="shared" si="527"/>
        <v>942.26666663680226</v>
      </c>
      <c r="U3152" s="158">
        <f t="shared" si="529"/>
        <v>296</v>
      </c>
      <c r="V3152" s="160">
        <f t="shared" si="528"/>
        <v>296</v>
      </c>
    </row>
    <row r="3153" spans="1:22" x14ac:dyDescent="0.25">
      <c r="A3153" s="98" t="s">
        <v>35</v>
      </c>
      <c r="B3153" s="98" t="s">
        <v>17</v>
      </c>
      <c r="C3153" s="98">
        <v>141</v>
      </c>
      <c r="D3153" s="98">
        <v>310</v>
      </c>
      <c r="E3153" s="157">
        <v>41885.970833333333</v>
      </c>
      <c r="F3153" s="157">
        <v>41886.006249999999</v>
      </c>
      <c r="G3153" s="98">
        <v>240</v>
      </c>
      <c r="H3153" s="98">
        <v>330</v>
      </c>
      <c r="I3153" s="98">
        <v>296</v>
      </c>
      <c r="J3153" s="98" t="s">
        <v>1966</v>
      </c>
      <c r="K3153" s="98" t="s">
        <v>2759</v>
      </c>
      <c r="L3153" s="105" t="str">
        <f t="shared" si="520"/>
        <v>Mill Creek</v>
      </c>
      <c r="M3153" s="105" t="str">
        <f t="shared" si="521"/>
        <v>Derate</v>
      </c>
      <c r="N3153" s="105" t="str">
        <f t="shared" si="522"/>
        <v>Coal</v>
      </c>
      <c r="O3153" s="105">
        <f>IFERROR(VLOOKUP(A3153,Lookup!$J$5:$P$19,7,FALSE),0)</f>
        <v>2</v>
      </c>
      <c r="P3153" s="159">
        <f t="shared" si="523"/>
        <v>2014</v>
      </c>
      <c r="Q3153" s="159">
        <f t="shared" si="524"/>
        <v>9</v>
      </c>
      <c r="R3153" s="160">
        <f t="shared" si="525"/>
        <v>0.84999999997671694</v>
      </c>
      <c r="S3153" s="158">
        <f t="shared" si="526"/>
        <v>0.23181818181183189</v>
      </c>
      <c r="T3153" s="161">
        <f t="shared" si="527"/>
        <v>68.61818181630224</v>
      </c>
      <c r="U3153" s="158">
        <f t="shared" si="529"/>
        <v>80.727272727272734</v>
      </c>
      <c r="V3153" s="160">
        <f t="shared" si="528"/>
        <v>81</v>
      </c>
    </row>
    <row r="3154" spans="1:22" x14ac:dyDescent="0.25">
      <c r="A3154" s="98" t="s">
        <v>35</v>
      </c>
      <c r="B3154" s="98" t="s">
        <v>20</v>
      </c>
      <c r="C3154" s="98">
        <v>142</v>
      </c>
      <c r="D3154" s="98">
        <v>3612</v>
      </c>
      <c r="E3154" s="157">
        <v>41888.001388888886</v>
      </c>
      <c r="F3154" s="157">
        <v>41890.0625</v>
      </c>
      <c r="G3154" s="98">
        <v>0</v>
      </c>
      <c r="H3154" s="98">
        <v>330</v>
      </c>
      <c r="I3154" s="98">
        <v>296</v>
      </c>
      <c r="J3154" s="98" t="s">
        <v>2239</v>
      </c>
      <c r="K3154" s="98" t="s">
        <v>2760</v>
      </c>
      <c r="L3154" s="105" t="str">
        <f t="shared" si="520"/>
        <v>Mill Creek</v>
      </c>
      <c r="M3154" s="105" t="str">
        <f t="shared" si="521"/>
        <v>Maintenance</v>
      </c>
      <c r="N3154" s="105" t="str">
        <f t="shared" si="522"/>
        <v>Coal</v>
      </c>
      <c r="O3154" s="105">
        <f>IFERROR(VLOOKUP(A3154,Lookup!$J$5:$P$19,7,FALSE),0)</f>
        <v>2</v>
      </c>
      <c r="P3154" s="159">
        <f t="shared" si="523"/>
        <v>2014</v>
      </c>
      <c r="Q3154" s="159">
        <f t="shared" si="524"/>
        <v>9</v>
      </c>
      <c r="R3154" s="160">
        <f t="shared" si="525"/>
        <v>49.466666666732635</v>
      </c>
      <c r="S3154" s="158">
        <f t="shared" si="526"/>
        <v>49.466666666732635</v>
      </c>
      <c r="T3154" s="161">
        <f t="shared" si="527"/>
        <v>14642.13333335286</v>
      </c>
      <c r="U3154" s="158">
        <f t="shared" si="529"/>
        <v>296</v>
      </c>
      <c r="V3154" s="160">
        <f t="shared" si="528"/>
        <v>296</v>
      </c>
    </row>
    <row r="3155" spans="1:22" x14ac:dyDescent="0.25">
      <c r="A3155" s="98" t="s">
        <v>35</v>
      </c>
      <c r="B3155" s="98" t="s">
        <v>79</v>
      </c>
      <c r="C3155" s="98">
        <v>143</v>
      </c>
      <c r="D3155" s="98">
        <v>1850</v>
      </c>
      <c r="E3155" s="157">
        <v>41890.0625</v>
      </c>
      <c r="F3155" s="157">
        <v>41890.395833333336</v>
      </c>
      <c r="G3155" s="98">
        <v>0</v>
      </c>
      <c r="H3155" s="98">
        <v>330</v>
      </c>
      <c r="I3155" s="98">
        <v>296</v>
      </c>
      <c r="J3155" s="98" t="s">
        <v>2263</v>
      </c>
      <c r="K3155" s="98" t="s">
        <v>85</v>
      </c>
      <c r="L3155" s="105" t="str">
        <f t="shared" si="520"/>
        <v>Mill Creek</v>
      </c>
      <c r="M3155" s="105" t="str">
        <f t="shared" si="521"/>
        <v>Other</v>
      </c>
      <c r="N3155" s="105" t="str">
        <f t="shared" si="522"/>
        <v>Coal</v>
      </c>
      <c r="O3155" s="105">
        <f>IFERROR(VLOOKUP(A3155,Lookup!$J$5:$P$19,7,FALSE),0)</f>
        <v>2</v>
      </c>
      <c r="P3155" s="159">
        <f t="shared" si="523"/>
        <v>2014</v>
      </c>
      <c r="Q3155" s="159">
        <f t="shared" si="524"/>
        <v>9</v>
      </c>
      <c r="R3155" s="160">
        <f t="shared" si="525"/>
        <v>8.0000000000582077</v>
      </c>
      <c r="S3155" s="158">
        <f t="shared" si="526"/>
        <v>8.0000000000582077</v>
      </c>
      <c r="T3155" s="161">
        <f t="shared" si="527"/>
        <v>2368.0000000172295</v>
      </c>
      <c r="U3155" s="158">
        <f t="shared" si="529"/>
        <v>296</v>
      </c>
      <c r="V3155" s="160">
        <f t="shared" si="528"/>
        <v>296</v>
      </c>
    </row>
    <row r="3156" spans="1:22" x14ac:dyDescent="0.25">
      <c r="A3156" s="98" t="s">
        <v>35</v>
      </c>
      <c r="B3156" s="98" t="s">
        <v>17</v>
      </c>
      <c r="C3156" s="98">
        <v>144</v>
      </c>
      <c r="D3156" s="98">
        <v>1850</v>
      </c>
      <c r="E3156" s="157">
        <v>41890.395833333336</v>
      </c>
      <c r="F3156" s="157">
        <v>41890.547222222223</v>
      </c>
      <c r="G3156" s="98">
        <v>250</v>
      </c>
      <c r="H3156" s="98">
        <v>330</v>
      </c>
      <c r="I3156" s="98">
        <v>296</v>
      </c>
      <c r="J3156" s="98" t="s">
        <v>2263</v>
      </c>
      <c r="K3156" s="98" t="s">
        <v>41</v>
      </c>
      <c r="L3156" s="105" t="str">
        <f t="shared" si="520"/>
        <v>Mill Creek</v>
      </c>
      <c r="M3156" s="105" t="str">
        <f t="shared" si="521"/>
        <v>Derate</v>
      </c>
      <c r="N3156" s="105" t="str">
        <f t="shared" si="522"/>
        <v>Coal</v>
      </c>
      <c r="O3156" s="105">
        <f>IFERROR(VLOOKUP(A3156,Lookup!$J$5:$P$19,7,FALSE),0)</f>
        <v>2</v>
      </c>
      <c r="P3156" s="159">
        <f t="shared" si="523"/>
        <v>2014</v>
      </c>
      <c r="Q3156" s="159">
        <f t="shared" si="524"/>
        <v>9</v>
      </c>
      <c r="R3156" s="160">
        <f t="shared" si="525"/>
        <v>3.6333333333022892</v>
      </c>
      <c r="S3156" s="158">
        <f t="shared" si="526"/>
        <v>0.88080808080055495</v>
      </c>
      <c r="T3156" s="161">
        <f t="shared" si="527"/>
        <v>260.71919191696429</v>
      </c>
      <c r="U3156" s="158">
        <f t="shared" si="529"/>
        <v>71.757575757575751</v>
      </c>
      <c r="V3156" s="160">
        <f t="shared" si="528"/>
        <v>72</v>
      </c>
    </row>
    <row r="3157" spans="1:22" x14ac:dyDescent="0.25">
      <c r="A3157" s="98" t="s">
        <v>35</v>
      </c>
      <c r="B3157" s="98" t="s">
        <v>17</v>
      </c>
      <c r="C3157" s="98">
        <v>145</v>
      </c>
      <c r="D3157" s="98">
        <v>1850</v>
      </c>
      <c r="E3157" s="157">
        <v>41890.547222222223</v>
      </c>
      <c r="F3157" s="157">
        <v>41890.737500000003</v>
      </c>
      <c r="G3157" s="98">
        <v>284</v>
      </c>
      <c r="H3157" s="98">
        <v>330</v>
      </c>
      <c r="I3157" s="98">
        <v>296</v>
      </c>
      <c r="J3157" s="98" t="s">
        <v>2263</v>
      </c>
      <c r="K3157" s="98" t="s">
        <v>41</v>
      </c>
      <c r="L3157" s="105" t="str">
        <f t="shared" si="520"/>
        <v>Mill Creek</v>
      </c>
      <c r="M3157" s="105" t="str">
        <f t="shared" si="521"/>
        <v>Derate</v>
      </c>
      <c r="N3157" s="105" t="str">
        <f t="shared" si="522"/>
        <v>Coal</v>
      </c>
      <c r="O3157" s="105">
        <f>IFERROR(VLOOKUP(A3157,Lookup!$J$5:$P$19,7,FALSE),0)</f>
        <v>2</v>
      </c>
      <c r="P3157" s="159">
        <f t="shared" si="523"/>
        <v>2014</v>
      </c>
      <c r="Q3157" s="159">
        <f t="shared" si="524"/>
        <v>9</v>
      </c>
      <c r="R3157" s="160">
        <f t="shared" si="525"/>
        <v>4.5666666667093523</v>
      </c>
      <c r="S3157" s="158">
        <f t="shared" si="526"/>
        <v>0.63656565657160669</v>
      </c>
      <c r="T3157" s="161">
        <f t="shared" si="527"/>
        <v>188.42343434519557</v>
      </c>
      <c r="U3157" s="158">
        <f t="shared" si="529"/>
        <v>41.260606060606058</v>
      </c>
      <c r="V3157" s="160">
        <f t="shared" si="528"/>
        <v>41</v>
      </c>
    </row>
    <row r="3158" spans="1:22" x14ac:dyDescent="0.25">
      <c r="A3158" s="98" t="s">
        <v>35</v>
      </c>
      <c r="B3158" s="98" t="s">
        <v>105</v>
      </c>
      <c r="C3158" s="98">
        <v>146</v>
      </c>
      <c r="D3158" s="98">
        <v>310</v>
      </c>
      <c r="E3158" s="157">
        <v>41890.916666666664</v>
      </c>
      <c r="F3158" s="157">
        <v>41891.114583333336</v>
      </c>
      <c r="G3158" s="98">
        <v>240</v>
      </c>
      <c r="H3158" s="98">
        <v>330</v>
      </c>
      <c r="I3158" s="98">
        <v>296</v>
      </c>
      <c r="J3158" s="98" t="s">
        <v>1966</v>
      </c>
      <c r="K3158" s="98" t="s">
        <v>2761</v>
      </c>
      <c r="L3158" s="105" t="str">
        <f t="shared" si="520"/>
        <v>Mill Creek</v>
      </c>
      <c r="M3158" s="105" t="str">
        <f t="shared" si="521"/>
        <v>Derate</v>
      </c>
      <c r="N3158" s="105" t="str">
        <f t="shared" si="522"/>
        <v>Coal</v>
      </c>
      <c r="O3158" s="105">
        <f>IFERROR(VLOOKUP(A3158,Lookup!$J$5:$P$19,7,FALSE),0)</f>
        <v>2</v>
      </c>
      <c r="P3158" s="159">
        <f t="shared" si="523"/>
        <v>2014</v>
      </c>
      <c r="Q3158" s="159">
        <f t="shared" si="524"/>
        <v>9</v>
      </c>
      <c r="R3158" s="160">
        <f t="shared" si="525"/>
        <v>4.7500000001164153</v>
      </c>
      <c r="S3158" s="158">
        <f t="shared" si="526"/>
        <v>1.2954545454862951</v>
      </c>
      <c r="T3158" s="161">
        <f t="shared" si="527"/>
        <v>383.45454546394336</v>
      </c>
      <c r="U3158" s="158">
        <f t="shared" si="529"/>
        <v>80.727272727272734</v>
      </c>
      <c r="V3158" s="160">
        <f t="shared" si="528"/>
        <v>81</v>
      </c>
    </row>
    <row r="3159" spans="1:22" x14ac:dyDescent="0.25">
      <c r="A3159" s="98" t="s">
        <v>35</v>
      </c>
      <c r="B3159" s="98" t="s">
        <v>79</v>
      </c>
      <c r="C3159" s="98">
        <v>147</v>
      </c>
      <c r="D3159" s="98">
        <v>8460</v>
      </c>
      <c r="E3159" s="162">
        <v>41891.333333333336</v>
      </c>
      <c r="F3159" s="157">
        <v>41891.693055555559</v>
      </c>
      <c r="G3159" s="98">
        <v>0</v>
      </c>
      <c r="H3159" s="98">
        <v>330</v>
      </c>
      <c r="I3159" s="98">
        <v>296</v>
      </c>
      <c r="J3159" s="98" t="s">
        <v>2651</v>
      </c>
      <c r="K3159" s="98" t="s">
        <v>1443</v>
      </c>
      <c r="L3159" s="105" t="str">
        <f t="shared" si="520"/>
        <v>Mill Creek</v>
      </c>
      <c r="M3159" s="105" t="str">
        <f t="shared" si="521"/>
        <v>Other</v>
      </c>
      <c r="N3159" s="105" t="str">
        <f t="shared" si="522"/>
        <v>Coal</v>
      </c>
      <c r="O3159" s="105">
        <f>IFERROR(VLOOKUP(A3159,Lookup!$J$5:$P$19,7,FALSE),0)</f>
        <v>2</v>
      </c>
      <c r="P3159" s="159">
        <f t="shared" si="523"/>
        <v>2014</v>
      </c>
      <c r="Q3159" s="159">
        <f t="shared" si="524"/>
        <v>9</v>
      </c>
      <c r="R3159" s="160">
        <f t="shared" si="525"/>
        <v>8.6333333333604969</v>
      </c>
      <c r="S3159" s="158">
        <f t="shared" si="526"/>
        <v>8.6333333333604969</v>
      </c>
      <c r="T3159" s="161">
        <f t="shared" si="527"/>
        <v>2555.4666666747071</v>
      </c>
      <c r="U3159" s="158">
        <f t="shared" si="529"/>
        <v>296</v>
      </c>
      <c r="V3159" s="160">
        <f t="shared" si="528"/>
        <v>296</v>
      </c>
    </row>
    <row r="3160" spans="1:22" x14ac:dyDescent="0.25">
      <c r="A3160" s="98" t="s">
        <v>35</v>
      </c>
      <c r="B3160" s="98" t="s">
        <v>79</v>
      </c>
      <c r="C3160" s="98">
        <v>148</v>
      </c>
      <c r="D3160" s="98">
        <v>8460</v>
      </c>
      <c r="E3160" s="157">
        <v>41891.916666666664</v>
      </c>
      <c r="F3160" s="157">
        <v>41892.034722222219</v>
      </c>
      <c r="G3160" s="98">
        <v>0</v>
      </c>
      <c r="H3160" s="98">
        <v>330</v>
      </c>
      <c r="I3160" s="98">
        <v>296</v>
      </c>
      <c r="J3160" s="98" t="s">
        <v>2651</v>
      </c>
      <c r="K3160" s="98" t="s">
        <v>2762</v>
      </c>
      <c r="L3160" s="105" t="str">
        <f t="shared" si="520"/>
        <v>Mill Creek</v>
      </c>
      <c r="M3160" s="105" t="str">
        <f t="shared" si="521"/>
        <v>Other</v>
      </c>
      <c r="N3160" s="105" t="str">
        <f t="shared" si="522"/>
        <v>Coal</v>
      </c>
      <c r="O3160" s="105">
        <f>IFERROR(VLOOKUP(A3160,Lookup!$J$5:$P$19,7,FALSE),0)</f>
        <v>2</v>
      </c>
      <c r="P3160" s="159">
        <f t="shared" si="523"/>
        <v>2014</v>
      </c>
      <c r="Q3160" s="159">
        <f t="shared" si="524"/>
        <v>9</v>
      </c>
      <c r="R3160" s="160">
        <f t="shared" si="525"/>
        <v>2.8333333333139308</v>
      </c>
      <c r="S3160" s="158">
        <f t="shared" si="526"/>
        <v>2.8333333333139308</v>
      </c>
      <c r="T3160" s="161">
        <f t="shared" si="527"/>
        <v>838.66666666092351</v>
      </c>
      <c r="U3160" s="158">
        <f t="shared" si="529"/>
        <v>296</v>
      </c>
      <c r="V3160" s="160">
        <f t="shared" si="528"/>
        <v>296</v>
      </c>
    </row>
    <row r="3161" spans="1:22" x14ac:dyDescent="0.25">
      <c r="A3161" s="98" t="s">
        <v>35</v>
      </c>
      <c r="B3161" s="98" t="s">
        <v>79</v>
      </c>
      <c r="C3161" s="98">
        <v>149</v>
      </c>
      <c r="D3161" s="98">
        <v>8460</v>
      </c>
      <c r="E3161" s="157">
        <v>41892.333333333336</v>
      </c>
      <c r="F3161" s="157">
        <v>41892.475694444445</v>
      </c>
      <c r="G3161" s="98">
        <v>0</v>
      </c>
      <c r="H3161" s="98">
        <v>330</v>
      </c>
      <c r="I3161" s="98">
        <v>296</v>
      </c>
      <c r="J3161" s="98" t="s">
        <v>2651</v>
      </c>
      <c r="K3161" s="98" t="s">
        <v>1443</v>
      </c>
      <c r="L3161" s="105" t="str">
        <f t="shared" si="520"/>
        <v>Mill Creek</v>
      </c>
      <c r="M3161" s="105" t="str">
        <f t="shared" si="521"/>
        <v>Other</v>
      </c>
      <c r="N3161" s="105" t="str">
        <f t="shared" si="522"/>
        <v>Coal</v>
      </c>
      <c r="O3161" s="105">
        <f>IFERROR(VLOOKUP(A3161,Lookup!$J$5:$P$19,7,FALSE),0)</f>
        <v>2</v>
      </c>
      <c r="P3161" s="159">
        <f t="shared" si="523"/>
        <v>2014</v>
      </c>
      <c r="Q3161" s="159">
        <f t="shared" si="524"/>
        <v>9</v>
      </c>
      <c r="R3161" s="160">
        <f t="shared" si="525"/>
        <v>3.4166666666278616</v>
      </c>
      <c r="S3161" s="158">
        <f t="shared" si="526"/>
        <v>3.4166666666278616</v>
      </c>
      <c r="T3161" s="161">
        <f t="shared" si="527"/>
        <v>1011.333333321847</v>
      </c>
      <c r="U3161" s="158">
        <f t="shared" si="529"/>
        <v>296</v>
      </c>
      <c r="V3161" s="160">
        <f t="shared" si="528"/>
        <v>296</v>
      </c>
    </row>
    <row r="3162" spans="1:22" x14ac:dyDescent="0.25">
      <c r="A3162" s="98" t="s">
        <v>35</v>
      </c>
      <c r="B3162" s="98" t="s">
        <v>105</v>
      </c>
      <c r="C3162" s="98">
        <v>150</v>
      </c>
      <c r="D3162" s="98">
        <v>3611</v>
      </c>
      <c r="E3162" s="157">
        <v>41894.958333333336</v>
      </c>
      <c r="F3162" s="157">
        <v>41895.009722222225</v>
      </c>
      <c r="G3162" s="98">
        <v>200</v>
      </c>
      <c r="H3162" s="98">
        <v>330</v>
      </c>
      <c r="I3162" s="98">
        <v>296</v>
      </c>
      <c r="J3162" s="98" t="s">
        <v>2091</v>
      </c>
      <c r="K3162" s="98" t="s">
        <v>2763</v>
      </c>
      <c r="L3162" s="105" t="str">
        <f t="shared" si="520"/>
        <v>Mill Creek</v>
      </c>
      <c r="M3162" s="105" t="str">
        <f t="shared" si="521"/>
        <v>Derate</v>
      </c>
      <c r="N3162" s="105" t="str">
        <f t="shared" si="522"/>
        <v>Coal</v>
      </c>
      <c r="O3162" s="105">
        <f>IFERROR(VLOOKUP(A3162,Lookup!$J$5:$P$19,7,FALSE),0)</f>
        <v>2</v>
      </c>
      <c r="P3162" s="159">
        <f t="shared" si="523"/>
        <v>2014</v>
      </c>
      <c r="Q3162" s="159">
        <f t="shared" si="524"/>
        <v>9</v>
      </c>
      <c r="R3162" s="160">
        <f t="shared" si="525"/>
        <v>1.2333333333372138</v>
      </c>
      <c r="S3162" s="158">
        <f t="shared" si="526"/>
        <v>0.48585858586011454</v>
      </c>
      <c r="T3162" s="161">
        <f t="shared" si="527"/>
        <v>143.81414141459391</v>
      </c>
      <c r="U3162" s="158">
        <f t="shared" si="529"/>
        <v>116.60606060606061</v>
      </c>
      <c r="V3162" s="160">
        <f t="shared" si="528"/>
        <v>117</v>
      </c>
    </row>
    <row r="3163" spans="1:22" x14ac:dyDescent="0.25">
      <c r="A3163" s="98" t="s">
        <v>35</v>
      </c>
      <c r="B3163" s="98" t="s">
        <v>105</v>
      </c>
      <c r="C3163" s="98">
        <v>151</v>
      </c>
      <c r="D3163" s="98">
        <v>3410</v>
      </c>
      <c r="E3163" s="157">
        <v>41899.885416666664</v>
      </c>
      <c r="F3163" s="157">
        <v>41900.15</v>
      </c>
      <c r="G3163" s="98">
        <v>190</v>
      </c>
      <c r="H3163" s="98">
        <v>330</v>
      </c>
      <c r="I3163" s="98">
        <v>296</v>
      </c>
      <c r="J3163" s="98" t="s">
        <v>1983</v>
      </c>
      <c r="K3163" s="98" t="s">
        <v>2764</v>
      </c>
      <c r="L3163" s="105" t="str">
        <f t="shared" si="520"/>
        <v>Mill Creek</v>
      </c>
      <c r="M3163" s="105" t="str">
        <f t="shared" si="521"/>
        <v>Derate</v>
      </c>
      <c r="N3163" s="105" t="str">
        <f t="shared" si="522"/>
        <v>Coal</v>
      </c>
      <c r="O3163" s="105">
        <f>IFERROR(VLOOKUP(A3163,Lookup!$J$5:$P$19,7,FALSE),0)</f>
        <v>2</v>
      </c>
      <c r="P3163" s="159">
        <f t="shared" si="523"/>
        <v>2014</v>
      </c>
      <c r="Q3163" s="159">
        <f t="shared" si="524"/>
        <v>9</v>
      </c>
      <c r="R3163" s="160">
        <f t="shared" si="525"/>
        <v>6.3500000000931323</v>
      </c>
      <c r="S3163" s="158">
        <f t="shared" si="526"/>
        <v>2.6939393939789045</v>
      </c>
      <c r="T3163" s="161">
        <f t="shared" si="527"/>
        <v>797.40606061775577</v>
      </c>
      <c r="U3163" s="158">
        <f t="shared" si="529"/>
        <v>125.57575757575758</v>
      </c>
      <c r="V3163" s="160">
        <f t="shared" si="528"/>
        <v>126</v>
      </c>
    </row>
    <row r="3164" spans="1:22" x14ac:dyDescent="0.25">
      <c r="A3164" s="98" t="s">
        <v>35</v>
      </c>
      <c r="B3164" s="98" t="s">
        <v>105</v>
      </c>
      <c r="C3164" s="98">
        <v>152</v>
      </c>
      <c r="D3164" s="98">
        <v>250</v>
      </c>
      <c r="E3164" s="157">
        <v>41900.15</v>
      </c>
      <c r="F3164" s="157">
        <v>41900.234027777777</v>
      </c>
      <c r="G3164" s="98">
        <v>240</v>
      </c>
      <c r="H3164" s="98">
        <v>330</v>
      </c>
      <c r="I3164" s="98">
        <v>296</v>
      </c>
      <c r="J3164" s="98" t="s">
        <v>1978</v>
      </c>
      <c r="K3164" s="98" t="s">
        <v>111</v>
      </c>
      <c r="L3164" s="105" t="str">
        <f t="shared" si="520"/>
        <v>Mill Creek</v>
      </c>
      <c r="M3164" s="105" t="str">
        <f t="shared" si="521"/>
        <v>Derate</v>
      </c>
      <c r="N3164" s="105" t="str">
        <f t="shared" si="522"/>
        <v>Coal</v>
      </c>
      <c r="O3164" s="105">
        <f>IFERROR(VLOOKUP(A3164,Lookup!$J$5:$P$19,7,FALSE),0)</f>
        <v>2</v>
      </c>
      <c r="P3164" s="159">
        <f t="shared" si="523"/>
        <v>2014</v>
      </c>
      <c r="Q3164" s="159">
        <f t="shared" si="524"/>
        <v>9</v>
      </c>
      <c r="R3164" s="160">
        <f t="shared" si="525"/>
        <v>2.0166666666045785</v>
      </c>
      <c r="S3164" s="158">
        <f t="shared" si="526"/>
        <v>0.54999999998306681</v>
      </c>
      <c r="T3164" s="161">
        <f t="shared" si="527"/>
        <v>162.79999999498779</v>
      </c>
      <c r="U3164" s="158">
        <f t="shared" si="529"/>
        <v>80.727272727272734</v>
      </c>
      <c r="V3164" s="160">
        <f t="shared" si="528"/>
        <v>81</v>
      </c>
    </row>
    <row r="3165" spans="1:22" x14ac:dyDescent="0.25">
      <c r="A3165" s="98" t="s">
        <v>35</v>
      </c>
      <c r="B3165" s="98" t="s">
        <v>105</v>
      </c>
      <c r="C3165" s="98">
        <v>153</v>
      </c>
      <c r="D3165" s="98">
        <v>310</v>
      </c>
      <c r="E3165" s="157">
        <v>41900.916666666664</v>
      </c>
      <c r="F3165" s="157">
        <v>41901.227083333331</v>
      </c>
      <c r="G3165" s="98">
        <v>240</v>
      </c>
      <c r="H3165" s="98">
        <v>330</v>
      </c>
      <c r="I3165" s="98">
        <v>296</v>
      </c>
      <c r="J3165" s="98" t="s">
        <v>1966</v>
      </c>
      <c r="K3165" s="98" t="s">
        <v>618</v>
      </c>
      <c r="L3165" s="105" t="str">
        <f t="shared" si="520"/>
        <v>Mill Creek</v>
      </c>
      <c r="M3165" s="105" t="str">
        <f t="shared" si="521"/>
        <v>Derate</v>
      </c>
      <c r="N3165" s="105" t="str">
        <f t="shared" si="522"/>
        <v>Coal</v>
      </c>
      <c r="O3165" s="105">
        <f>IFERROR(VLOOKUP(A3165,Lookup!$J$5:$P$19,7,FALSE),0)</f>
        <v>2</v>
      </c>
      <c r="P3165" s="159">
        <f t="shared" si="523"/>
        <v>2014</v>
      </c>
      <c r="Q3165" s="159">
        <f t="shared" si="524"/>
        <v>9</v>
      </c>
      <c r="R3165" s="160">
        <f t="shared" si="525"/>
        <v>7.4500000000116415</v>
      </c>
      <c r="S3165" s="158">
        <f t="shared" si="526"/>
        <v>2.031818181821357</v>
      </c>
      <c r="T3165" s="161">
        <f t="shared" si="527"/>
        <v>601.41818181912163</v>
      </c>
      <c r="U3165" s="158">
        <f t="shared" si="529"/>
        <v>80.727272727272734</v>
      </c>
      <c r="V3165" s="160">
        <f t="shared" si="528"/>
        <v>81</v>
      </c>
    </row>
    <row r="3166" spans="1:22" x14ac:dyDescent="0.25">
      <c r="A3166" s="98" t="s">
        <v>35</v>
      </c>
      <c r="B3166" s="98" t="s">
        <v>17</v>
      </c>
      <c r="C3166" s="98">
        <v>154</v>
      </c>
      <c r="D3166" s="98">
        <v>310</v>
      </c>
      <c r="E3166" s="157">
        <v>41901.352777777778</v>
      </c>
      <c r="F3166" s="157">
        <v>41901.484027777777</v>
      </c>
      <c r="G3166" s="98">
        <v>250</v>
      </c>
      <c r="H3166" s="98">
        <v>330</v>
      </c>
      <c r="I3166" s="98">
        <v>296</v>
      </c>
      <c r="J3166" s="98" t="s">
        <v>1966</v>
      </c>
      <c r="K3166" s="98" t="s">
        <v>618</v>
      </c>
      <c r="L3166" s="105" t="str">
        <f t="shared" si="520"/>
        <v>Mill Creek</v>
      </c>
      <c r="M3166" s="105" t="str">
        <f t="shared" si="521"/>
        <v>Derate</v>
      </c>
      <c r="N3166" s="105" t="str">
        <f t="shared" si="522"/>
        <v>Coal</v>
      </c>
      <c r="O3166" s="105">
        <f>IFERROR(VLOOKUP(A3166,Lookup!$J$5:$P$19,7,FALSE),0)</f>
        <v>2</v>
      </c>
      <c r="P3166" s="159">
        <f t="shared" si="523"/>
        <v>2014</v>
      </c>
      <c r="Q3166" s="159">
        <f t="shared" si="524"/>
        <v>9</v>
      </c>
      <c r="R3166" s="160">
        <f t="shared" si="525"/>
        <v>3.1499999999650754</v>
      </c>
      <c r="S3166" s="158">
        <f t="shared" si="526"/>
        <v>0.76363636362789711</v>
      </c>
      <c r="T3166" s="161">
        <f t="shared" si="527"/>
        <v>226.03636363385755</v>
      </c>
      <c r="U3166" s="158">
        <f t="shared" si="529"/>
        <v>71.757575757575751</v>
      </c>
      <c r="V3166" s="160">
        <f t="shared" si="528"/>
        <v>72</v>
      </c>
    </row>
    <row r="3167" spans="1:22" x14ac:dyDescent="0.25">
      <c r="A3167" s="98" t="s">
        <v>35</v>
      </c>
      <c r="B3167" s="98" t="s">
        <v>105</v>
      </c>
      <c r="C3167" s="98">
        <v>155</v>
      </c>
      <c r="D3167" s="98">
        <v>250</v>
      </c>
      <c r="E3167" s="157">
        <v>41903.916666666664</v>
      </c>
      <c r="F3167" s="157">
        <v>41904.134027777778</v>
      </c>
      <c r="G3167" s="98">
        <v>250</v>
      </c>
      <c r="H3167" s="98">
        <v>330</v>
      </c>
      <c r="I3167" s="98">
        <v>296</v>
      </c>
      <c r="J3167" s="98" t="s">
        <v>1978</v>
      </c>
      <c r="K3167" s="98" t="s">
        <v>113</v>
      </c>
      <c r="L3167" s="105" t="str">
        <f t="shared" si="520"/>
        <v>Mill Creek</v>
      </c>
      <c r="M3167" s="105" t="str">
        <f t="shared" si="521"/>
        <v>Derate</v>
      </c>
      <c r="N3167" s="105" t="str">
        <f t="shared" si="522"/>
        <v>Coal</v>
      </c>
      <c r="O3167" s="105">
        <f>IFERROR(VLOOKUP(A3167,Lookup!$J$5:$P$19,7,FALSE),0)</f>
        <v>2</v>
      </c>
      <c r="P3167" s="159">
        <f t="shared" si="523"/>
        <v>2014</v>
      </c>
      <c r="Q3167" s="159">
        <f t="shared" si="524"/>
        <v>9</v>
      </c>
      <c r="R3167" s="160">
        <f t="shared" si="525"/>
        <v>5.2166666667326353</v>
      </c>
      <c r="S3167" s="158">
        <f t="shared" si="526"/>
        <v>1.2646464646624571</v>
      </c>
      <c r="T3167" s="161">
        <f t="shared" si="527"/>
        <v>374.33535354008728</v>
      </c>
      <c r="U3167" s="158">
        <f t="shared" si="529"/>
        <v>71.757575757575751</v>
      </c>
      <c r="V3167" s="160">
        <f t="shared" si="528"/>
        <v>72</v>
      </c>
    </row>
    <row r="3168" spans="1:22" x14ac:dyDescent="0.25">
      <c r="A3168" s="98" t="s">
        <v>35</v>
      </c>
      <c r="B3168" s="98" t="s">
        <v>105</v>
      </c>
      <c r="C3168" s="98">
        <v>156</v>
      </c>
      <c r="D3168" s="98">
        <v>250</v>
      </c>
      <c r="E3168" s="157">
        <v>41904.958333333336</v>
      </c>
      <c r="F3168" s="157">
        <v>41905.231249999997</v>
      </c>
      <c r="G3168" s="98">
        <v>250</v>
      </c>
      <c r="H3168" s="98">
        <v>330</v>
      </c>
      <c r="I3168" s="98">
        <v>296</v>
      </c>
      <c r="J3168" s="98" t="s">
        <v>1978</v>
      </c>
      <c r="K3168" s="98" t="s">
        <v>112</v>
      </c>
      <c r="L3168" s="105" t="str">
        <f t="shared" si="520"/>
        <v>Mill Creek</v>
      </c>
      <c r="M3168" s="105" t="str">
        <f t="shared" si="521"/>
        <v>Derate</v>
      </c>
      <c r="N3168" s="105" t="str">
        <f t="shared" si="522"/>
        <v>Coal</v>
      </c>
      <c r="O3168" s="105">
        <f>IFERROR(VLOOKUP(A3168,Lookup!$J$5:$P$19,7,FALSE),0)</f>
        <v>2</v>
      </c>
      <c r="P3168" s="159">
        <f t="shared" si="523"/>
        <v>2014</v>
      </c>
      <c r="Q3168" s="159">
        <f t="shared" si="524"/>
        <v>9</v>
      </c>
      <c r="R3168" s="160">
        <f t="shared" si="525"/>
        <v>6.5499999998719431</v>
      </c>
      <c r="S3168" s="158">
        <f t="shared" si="526"/>
        <v>1.5878787878477438</v>
      </c>
      <c r="T3168" s="161">
        <f t="shared" si="527"/>
        <v>470.01212120293218</v>
      </c>
      <c r="U3168" s="158">
        <f t="shared" si="529"/>
        <v>71.757575757575751</v>
      </c>
      <c r="V3168" s="160">
        <f t="shared" si="528"/>
        <v>72</v>
      </c>
    </row>
    <row r="3169" spans="1:22" x14ac:dyDescent="0.25">
      <c r="A3169" s="98" t="s">
        <v>35</v>
      </c>
      <c r="B3169" s="98" t="s">
        <v>17</v>
      </c>
      <c r="C3169" s="98">
        <v>157</v>
      </c>
      <c r="D3169" s="98">
        <v>310</v>
      </c>
      <c r="E3169" s="157">
        <v>41905.123611111114</v>
      </c>
      <c r="F3169" s="157">
        <v>41905.176388888889</v>
      </c>
      <c r="G3169" s="98">
        <v>160</v>
      </c>
      <c r="H3169" s="98">
        <v>330</v>
      </c>
      <c r="I3169" s="98">
        <v>296</v>
      </c>
      <c r="J3169" s="98" t="s">
        <v>1966</v>
      </c>
      <c r="K3169" s="98" t="s">
        <v>2765</v>
      </c>
      <c r="L3169" s="105" t="str">
        <f t="shared" si="520"/>
        <v>Mill Creek</v>
      </c>
      <c r="M3169" s="105" t="str">
        <f t="shared" si="521"/>
        <v>Derate</v>
      </c>
      <c r="N3169" s="105" t="str">
        <f t="shared" si="522"/>
        <v>Coal</v>
      </c>
      <c r="O3169" s="105">
        <f>IFERROR(VLOOKUP(A3169,Lookup!$J$5:$P$19,7,FALSE),0)</f>
        <v>2</v>
      </c>
      <c r="P3169" s="159">
        <f t="shared" si="523"/>
        <v>2014</v>
      </c>
      <c r="Q3169" s="159">
        <f t="shared" si="524"/>
        <v>9</v>
      </c>
      <c r="R3169" s="160">
        <f t="shared" si="525"/>
        <v>1.2666666666045785</v>
      </c>
      <c r="S3169" s="158">
        <f t="shared" si="526"/>
        <v>0.65252525249326776</v>
      </c>
      <c r="T3169" s="161">
        <f t="shared" si="527"/>
        <v>193.14747473800725</v>
      </c>
      <c r="U3169" s="158">
        <f t="shared" si="529"/>
        <v>152.4848484848485</v>
      </c>
      <c r="V3169" s="160">
        <f t="shared" si="528"/>
        <v>152</v>
      </c>
    </row>
    <row r="3170" spans="1:22" x14ac:dyDescent="0.25">
      <c r="A3170" s="98" t="s">
        <v>35</v>
      </c>
      <c r="B3170" s="98" t="s">
        <v>79</v>
      </c>
      <c r="C3170" s="98">
        <v>158</v>
      </c>
      <c r="D3170" s="98">
        <v>1160</v>
      </c>
      <c r="E3170" s="157">
        <v>41917.9375</v>
      </c>
      <c r="F3170" s="157">
        <v>41918.135416666664</v>
      </c>
      <c r="G3170" s="98">
        <v>0</v>
      </c>
      <c r="H3170" s="98">
        <v>330</v>
      </c>
      <c r="I3170" s="98">
        <v>296</v>
      </c>
      <c r="J3170" s="98" t="s">
        <v>2273</v>
      </c>
      <c r="K3170" s="98" t="s">
        <v>2674</v>
      </c>
      <c r="L3170" s="105" t="str">
        <f t="shared" si="520"/>
        <v>Mill Creek</v>
      </c>
      <c r="M3170" s="105" t="str">
        <f t="shared" si="521"/>
        <v>Other</v>
      </c>
      <c r="N3170" s="105" t="str">
        <f t="shared" si="522"/>
        <v>Coal</v>
      </c>
      <c r="O3170" s="105">
        <f>IFERROR(VLOOKUP(A3170,Lookup!$J$5:$P$19,7,FALSE),0)</f>
        <v>2</v>
      </c>
      <c r="P3170" s="159">
        <f t="shared" si="523"/>
        <v>2014</v>
      </c>
      <c r="Q3170" s="159">
        <f t="shared" si="524"/>
        <v>10</v>
      </c>
      <c r="R3170" s="160">
        <f t="shared" si="525"/>
        <v>4.7499999999417923</v>
      </c>
      <c r="S3170" s="158">
        <f t="shared" si="526"/>
        <v>4.7499999999417923</v>
      </c>
      <c r="T3170" s="161">
        <f t="shared" si="527"/>
        <v>1405.9999999827705</v>
      </c>
      <c r="U3170" s="158">
        <f t="shared" si="529"/>
        <v>296</v>
      </c>
      <c r="V3170" s="160">
        <f t="shared" si="528"/>
        <v>296</v>
      </c>
    </row>
    <row r="3171" spans="1:22" x14ac:dyDescent="0.25">
      <c r="A3171" s="98" t="s">
        <v>35</v>
      </c>
      <c r="B3171" s="98" t="s">
        <v>79</v>
      </c>
      <c r="C3171" s="98">
        <v>159</v>
      </c>
      <c r="D3171" s="98">
        <v>1160</v>
      </c>
      <c r="E3171" s="157">
        <v>41946.958333333336</v>
      </c>
      <c r="F3171" s="157">
        <v>41947.104166666664</v>
      </c>
      <c r="G3171" s="98">
        <v>0</v>
      </c>
      <c r="H3171" s="98">
        <v>330</v>
      </c>
      <c r="I3171" s="98">
        <v>296</v>
      </c>
      <c r="J3171" s="98" t="s">
        <v>2273</v>
      </c>
      <c r="K3171" s="98" t="s">
        <v>2674</v>
      </c>
      <c r="L3171" s="105" t="str">
        <f t="shared" si="520"/>
        <v>Mill Creek</v>
      </c>
      <c r="M3171" s="105" t="str">
        <f t="shared" si="521"/>
        <v>Other</v>
      </c>
      <c r="N3171" s="105" t="str">
        <f t="shared" si="522"/>
        <v>Coal</v>
      </c>
      <c r="O3171" s="105">
        <f>IFERROR(VLOOKUP(A3171,Lookup!$J$5:$P$19,7,FALSE),0)</f>
        <v>2</v>
      </c>
      <c r="P3171" s="159">
        <f t="shared" si="523"/>
        <v>2014</v>
      </c>
      <c r="Q3171" s="159">
        <f t="shared" si="524"/>
        <v>11</v>
      </c>
      <c r="R3171" s="160">
        <f t="shared" si="525"/>
        <v>3.4999999998835847</v>
      </c>
      <c r="S3171" s="158">
        <f t="shared" si="526"/>
        <v>3.4999999998835847</v>
      </c>
      <c r="T3171" s="161">
        <f t="shared" si="527"/>
        <v>1035.9999999655411</v>
      </c>
      <c r="U3171" s="158">
        <f t="shared" si="529"/>
        <v>296</v>
      </c>
      <c r="V3171" s="160">
        <f t="shared" si="528"/>
        <v>296</v>
      </c>
    </row>
    <row r="3172" spans="1:22" x14ac:dyDescent="0.25">
      <c r="A3172" s="98" t="s">
        <v>35</v>
      </c>
      <c r="B3172" s="98" t="s">
        <v>17</v>
      </c>
      <c r="C3172" s="98">
        <v>160</v>
      </c>
      <c r="D3172" s="98">
        <v>250</v>
      </c>
      <c r="E3172" s="157">
        <v>41947.70416666667</v>
      </c>
      <c r="F3172" s="157">
        <v>41947.817361111112</v>
      </c>
      <c r="G3172" s="98">
        <v>240</v>
      </c>
      <c r="H3172" s="98">
        <v>330</v>
      </c>
      <c r="I3172" s="98">
        <v>296</v>
      </c>
      <c r="J3172" s="98" t="s">
        <v>1978</v>
      </c>
      <c r="K3172" s="98" t="s">
        <v>2766</v>
      </c>
      <c r="L3172" s="105" t="str">
        <f t="shared" si="520"/>
        <v>Mill Creek</v>
      </c>
      <c r="M3172" s="105" t="str">
        <f t="shared" si="521"/>
        <v>Derate</v>
      </c>
      <c r="N3172" s="105" t="str">
        <f t="shared" si="522"/>
        <v>Coal</v>
      </c>
      <c r="O3172" s="105">
        <f>IFERROR(VLOOKUP(A3172,Lookup!$J$5:$P$19,7,FALSE),0)</f>
        <v>2</v>
      </c>
      <c r="P3172" s="159">
        <f t="shared" si="523"/>
        <v>2014</v>
      </c>
      <c r="Q3172" s="159">
        <f t="shared" si="524"/>
        <v>11</v>
      </c>
      <c r="R3172" s="160">
        <f t="shared" si="525"/>
        <v>2.71666666661622</v>
      </c>
      <c r="S3172" s="158">
        <f t="shared" si="526"/>
        <v>0.74090909089533274</v>
      </c>
      <c r="T3172" s="161">
        <f t="shared" si="527"/>
        <v>219.30909090501848</v>
      </c>
      <c r="U3172" s="158">
        <f t="shared" si="529"/>
        <v>80.727272727272734</v>
      </c>
      <c r="V3172" s="160">
        <f t="shared" si="528"/>
        <v>81</v>
      </c>
    </row>
    <row r="3173" spans="1:22" x14ac:dyDescent="0.25">
      <c r="A3173" s="98" t="s">
        <v>35</v>
      </c>
      <c r="B3173" s="98" t="s">
        <v>17</v>
      </c>
      <c r="C3173" s="98">
        <v>161</v>
      </c>
      <c r="D3173" s="98">
        <v>1160</v>
      </c>
      <c r="E3173" s="157">
        <v>41962.306250000001</v>
      </c>
      <c r="F3173" s="157">
        <v>41962.522222222222</v>
      </c>
      <c r="G3173" s="98">
        <v>270</v>
      </c>
      <c r="H3173" s="98">
        <v>330</v>
      </c>
      <c r="I3173" s="98">
        <v>296</v>
      </c>
      <c r="J3173" s="98" t="s">
        <v>2273</v>
      </c>
      <c r="K3173" s="98" t="s">
        <v>238</v>
      </c>
      <c r="L3173" s="105" t="str">
        <f t="shared" si="520"/>
        <v>Mill Creek</v>
      </c>
      <c r="M3173" s="105" t="str">
        <f t="shared" si="521"/>
        <v>Derate</v>
      </c>
      <c r="N3173" s="105" t="str">
        <f t="shared" si="522"/>
        <v>Coal</v>
      </c>
      <c r="O3173" s="105">
        <f>IFERROR(VLOOKUP(A3173,Lookup!$J$5:$P$19,7,FALSE),0)</f>
        <v>2</v>
      </c>
      <c r="P3173" s="159">
        <f t="shared" si="523"/>
        <v>2014</v>
      </c>
      <c r="Q3173" s="159">
        <f t="shared" si="524"/>
        <v>11</v>
      </c>
      <c r="R3173" s="160">
        <f t="shared" si="525"/>
        <v>5.1833333332906477</v>
      </c>
      <c r="S3173" s="158">
        <f t="shared" si="526"/>
        <v>0.94242424241648137</v>
      </c>
      <c r="T3173" s="161">
        <f t="shared" si="527"/>
        <v>278.95757575527847</v>
      </c>
      <c r="U3173" s="158">
        <f t="shared" si="529"/>
        <v>53.81818181818182</v>
      </c>
      <c r="V3173" s="160">
        <f t="shared" si="528"/>
        <v>54</v>
      </c>
    </row>
    <row r="3174" spans="1:22" x14ac:dyDescent="0.25">
      <c r="A3174" s="98" t="s">
        <v>35</v>
      </c>
      <c r="B3174" s="98" t="s">
        <v>17</v>
      </c>
      <c r="C3174" s="98">
        <v>162</v>
      </c>
      <c r="D3174" s="98">
        <v>1160</v>
      </c>
      <c r="E3174" s="162">
        <v>41962.522222222222</v>
      </c>
      <c r="F3174" s="157">
        <v>41962.916666666664</v>
      </c>
      <c r="G3174" s="98">
        <v>240</v>
      </c>
      <c r="H3174" s="98">
        <v>330</v>
      </c>
      <c r="I3174" s="98">
        <v>296</v>
      </c>
      <c r="J3174" s="98" t="s">
        <v>2273</v>
      </c>
      <c r="K3174" s="98" t="s">
        <v>238</v>
      </c>
      <c r="L3174" s="105" t="str">
        <f t="shared" ref="L3174:L3237" si="530">IF(OR(A3174="BR1",A3174="BR2",A3174="BR3",A3174="BR5",A3174="BR6",A3174="BR7",A3174="BR8",A3174="BR9",A3174="BR10",A3174="BR11"),"Brown",IF(OR(A3174="CR4",A3174="CR5",A3174="CR6",A3174="CR11"),"Cane Run",IF(OR(A3174="GH1",A3174="GH2",A3174="GH3",A3174="GH4"),"Ghent",IF(OR(A3174="GR3",A3174="GR4"),"Green River",IF(OR(A3174="MC1",A3174="MC2",A3174="MC3",A3174="MC4"),"Mill Creek",IF(OR(A3174="TC1",A3174="TC2",A3174="TC5",A3174="TC6",A3174="TC7",A3174="TC8",A3174="TC9",A3174="TC10"),"Trimble",IF(A3174="TY3","Tyrone",IF(OR(A3174="HA1",A3174="HA2",A3174="HA3"),"Haeflin",IF(OR(A3174="PR11",A3174="PR12",A3174="PR13"),"Paddy's Run","Zorn")))))))))</f>
        <v>Mill Creek</v>
      </c>
      <c r="M3174" s="105" t="str">
        <f t="shared" ref="M3174:M3237" si="531">IF(OR(B3174="D1",B3174="D2",B3174="D3",B3174="D4",B3174="PD"),"Derate",IF(OR(B3174="SF",B3174="U1",B3174="U2",B3174="U3"),"Outage",IF(OR(B3174="ME",B3174="MO"),"Maintenance","Other")))</f>
        <v>Derate</v>
      </c>
      <c r="N3174" s="105" t="str">
        <f t="shared" ref="N3174:N3237" si="532">IF(OR(A3174="BR1",A3174="BR2",A3174="BR3",A3174="CR4",A3174="CR5",A3174="CR6",A3174="GH1",A3174="GH2",A3174="GH3",A3174="GH4",A3174="GR3",A3174="GR4",A3174="MC1",A3174="MC2",A3174="MC3",A3174="MC4",A3174="TC1",A3174="TC2",A3174="TY3"),"Coal","Gas")</f>
        <v>Coal</v>
      </c>
      <c r="O3174" s="105">
        <f>IFERROR(VLOOKUP(A3174,Lookup!$J$5:$P$19,7,FALSE),0)</f>
        <v>2</v>
      </c>
      <c r="P3174" s="159">
        <f t="shared" ref="P3174:P3237" si="533">YEAR(E3174)</f>
        <v>2014</v>
      </c>
      <c r="Q3174" s="159">
        <f t="shared" ref="Q3174:Q3237" si="534">MONTH(E3174)</f>
        <v>11</v>
      </c>
      <c r="R3174" s="160">
        <f t="shared" ref="R3174:R3237" si="535">(F3174-E3174)*24</f>
        <v>9.46666666661622</v>
      </c>
      <c r="S3174" s="158">
        <f t="shared" ref="S3174:S3237" si="536">R3174*(H3174-G3174)/H3174</f>
        <v>2.5818181818044237</v>
      </c>
      <c r="T3174" s="161">
        <f t="shared" ref="T3174:T3237" si="537">S3174*I3174</f>
        <v>764.21818181410936</v>
      </c>
      <c r="U3174" s="158">
        <f t="shared" si="529"/>
        <v>80.727272727272734</v>
      </c>
      <c r="V3174" s="160">
        <f t="shared" ref="V3174:V3237" si="538">ROUND(U3174,0)</f>
        <v>81</v>
      </c>
    </row>
    <row r="3175" spans="1:22" x14ac:dyDescent="0.25">
      <c r="A3175" s="98" t="s">
        <v>35</v>
      </c>
      <c r="B3175" s="98" t="s">
        <v>105</v>
      </c>
      <c r="C3175" s="98">
        <v>163</v>
      </c>
      <c r="D3175" s="98">
        <v>1160</v>
      </c>
      <c r="E3175" s="157">
        <v>41962.916666666664</v>
      </c>
      <c r="F3175" s="157">
        <v>41963.111111111109</v>
      </c>
      <c r="G3175" s="98">
        <v>140</v>
      </c>
      <c r="H3175" s="98">
        <v>330</v>
      </c>
      <c r="I3175" s="98">
        <v>296</v>
      </c>
      <c r="J3175" s="98" t="s">
        <v>2273</v>
      </c>
      <c r="K3175" s="98" t="s">
        <v>51</v>
      </c>
      <c r="L3175" s="105" t="str">
        <f t="shared" si="530"/>
        <v>Mill Creek</v>
      </c>
      <c r="M3175" s="105" t="str">
        <f t="shared" si="531"/>
        <v>Derate</v>
      </c>
      <c r="N3175" s="105" t="str">
        <f t="shared" si="532"/>
        <v>Coal</v>
      </c>
      <c r="O3175" s="105">
        <f>IFERROR(VLOOKUP(A3175,Lookup!$J$5:$P$19,7,FALSE),0)</f>
        <v>2</v>
      </c>
      <c r="P3175" s="159">
        <f t="shared" si="533"/>
        <v>2014</v>
      </c>
      <c r="Q3175" s="159">
        <f t="shared" si="534"/>
        <v>11</v>
      </c>
      <c r="R3175" s="160">
        <f t="shared" si="535"/>
        <v>4.6666666666860692</v>
      </c>
      <c r="S3175" s="158">
        <f t="shared" si="536"/>
        <v>2.6868686868798579</v>
      </c>
      <c r="T3175" s="161">
        <f t="shared" si="537"/>
        <v>795.31313131643799</v>
      </c>
      <c r="U3175" s="158">
        <f t="shared" ref="U3175:U3238" si="539">IF(G3175&gt;0,MAX((H3175-G3175),0)*I3175/H3175,I3175)</f>
        <v>170.42424242424244</v>
      </c>
      <c r="V3175" s="160">
        <f t="shared" si="538"/>
        <v>170</v>
      </c>
    </row>
    <row r="3176" spans="1:22" x14ac:dyDescent="0.25">
      <c r="A3176" s="98" t="s">
        <v>35</v>
      </c>
      <c r="B3176" s="98" t="s">
        <v>79</v>
      </c>
      <c r="C3176" s="98">
        <v>164</v>
      </c>
      <c r="D3176" s="98">
        <v>1160</v>
      </c>
      <c r="E3176" s="157">
        <v>41963.5</v>
      </c>
      <c r="F3176" s="157">
        <v>41963.697916666664</v>
      </c>
      <c r="G3176" s="98">
        <v>0</v>
      </c>
      <c r="H3176" s="98">
        <v>330</v>
      </c>
      <c r="I3176" s="98">
        <v>296</v>
      </c>
      <c r="J3176" s="98" t="s">
        <v>2273</v>
      </c>
      <c r="K3176" s="98" t="s">
        <v>51</v>
      </c>
      <c r="L3176" s="105" t="str">
        <f t="shared" si="530"/>
        <v>Mill Creek</v>
      </c>
      <c r="M3176" s="105" t="str">
        <f t="shared" si="531"/>
        <v>Other</v>
      </c>
      <c r="N3176" s="105" t="str">
        <f t="shared" si="532"/>
        <v>Coal</v>
      </c>
      <c r="O3176" s="105">
        <f>IFERROR(VLOOKUP(A3176,Lookup!$J$5:$P$19,7,FALSE),0)</f>
        <v>2</v>
      </c>
      <c r="P3176" s="159">
        <f t="shared" si="533"/>
        <v>2014</v>
      </c>
      <c r="Q3176" s="159">
        <f t="shared" si="534"/>
        <v>11</v>
      </c>
      <c r="R3176" s="160">
        <f t="shared" si="535"/>
        <v>4.7499999999417923</v>
      </c>
      <c r="S3176" s="158">
        <f t="shared" si="536"/>
        <v>4.7499999999417923</v>
      </c>
      <c r="T3176" s="161">
        <f t="shared" si="537"/>
        <v>1405.9999999827705</v>
      </c>
      <c r="U3176" s="158">
        <f t="shared" si="539"/>
        <v>296</v>
      </c>
      <c r="V3176" s="160">
        <f t="shared" si="538"/>
        <v>296</v>
      </c>
    </row>
    <row r="3177" spans="1:22" x14ac:dyDescent="0.25">
      <c r="A3177" s="98" t="s">
        <v>35</v>
      </c>
      <c r="B3177" s="98" t="s">
        <v>17</v>
      </c>
      <c r="C3177" s="98">
        <v>165</v>
      </c>
      <c r="D3177" s="98">
        <v>1160</v>
      </c>
      <c r="E3177" s="157">
        <v>41963.697916666664</v>
      </c>
      <c r="F3177" s="157">
        <v>41963.772916666669</v>
      </c>
      <c r="G3177" s="98">
        <v>264</v>
      </c>
      <c r="H3177" s="98">
        <v>330</v>
      </c>
      <c r="I3177" s="98">
        <v>296</v>
      </c>
      <c r="J3177" s="98" t="s">
        <v>2273</v>
      </c>
      <c r="K3177" s="98" t="s">
        <v>238</v>
      </c>
      <c r="L3177" s="105" t="str">
        <f t="shared" si="530"/>
        <v>Mill Creek</v>
      </c>
      <c r="M3177" s="105" t="str">
        <f t="shared" si="531"/>
        <v>Derate</v>
      </c>
      <c r="N3177" s="105" t="str">
        <f t="shared" si="532"/>
        <v>Coal</v>
      </c>
      <c r="O3177" s="105">
        <f>IFERROR(VLOOKUP(A3177,Lookup!$J$5:$P$19,7,FALSE),0)</f>
        <v>2</v>
      </c>
      <c r="P3177" s="159">
        <f t="shared" si="533"/>
        <v>2014</v>
      </c>
      <c r="Q3177" s="159">
        <f t="shared" si="534"/>
        <v>11</v>
      </c>
      <c r="R3177" s="160">
        <f t="shared" si="535"/>
        <v>1.8000000001047738</v>
      </c>
      <c r="S3177" s="158">
        <f t="shared" si="536"/>
        <v>0.36000000002095478</v>
      </c>
      <c r="T3177" s="161">
        <f t="shared" si="537"/>
        <v>106.56000000620261</v>
      </c>
      <c r="U3177" s="158">
        <f t="shared" si="539"/>
        <v>59.2</v>
      </c>
      <c r="V3177" s="160">
        <f t="shared" si="538"/>
        <v>59</v>
      </c>
    </row>
    <row r="3178" spans="1:22" x14ac:dyDescent="0.25">
      <c r="A3178" s="98" t="s">
        <v>35</v>
      </c>
      <c r="B3178" s="98" t="s">
        <v>17</v>
      </c>
      <c r="C3178" s="98">
        <v>166</v>
      </c>
      <c r="D3178" s="98">
        <v>300</v>
      </c>
      <c r="E3178" s="157">
        <v>41963.802083333336</v>
      </c>
      <c r="F3178" s="157">
        <v>41963.863888888889</v>
      </c>
      <c r="G3178" s="98">
        <v>264</v>
      </c>
      <c r="H3178" s="98">
        <v>330</v>
      </c>
      <c r="I3178" s="98">
        <v>296</v>
      </c>
      <c r="J3178" s="98" t="s">
        <v>1977</v>
      </c>
      <c r="K3178" s="98" t="s">
        <v>2767</v>
      </c>
      <c r="L3178" s="105" t="str">
        <f t="shared" si="530"/>
        <v>Mill Creek</v>
      </c>
      <c r="M3178" s="105" t="str">
        <f t="shared" si="531"/>
        <v>Derate</v>
      </c>
      <c r="N3178" s="105" t="str">
        <f t="shared" si="532"/>
        <v>Coal</v>
      </c>
      <c r="O3178" s="105">
        <f>IFERROR(VLOOKUP(A3178,Lookup!$J$5:$P$19,7,FALSE),0)</f>
        <v>2</v>
      </c>
      <c r="P3178" s="159">
        <f t="shared" si="533"/>
        <v>2014</v>
      </c>
      <c r="Q3178" s="159">
        <f t="shared" si="534"/>
        <v>11</v>
      </c>
      <c r="R3178" s="160">
        <f t="shared" si="535"/>
        <v>1.4833333332790062</v>
      </c>
      <c r="S3178" s="158">
        <f t="shared" si="536"/>
        <v>0.29666666665580121</v>
      </c>
      <c r="T3178" s="161">
        <f t="shared" si="537"/>
        <v>87.81333333011716</v>
      </c>
      <c r="U3178" s="158">
        <f t="shared" si="539"/>
        <v>59.2</v>
      </c>
      <c r="V3178" s="160">
        <f t="shared" si="538"/>
        <v>59</v>
      </c>
    </row>
    <row r="3179" spans="1:22" x14ac:dyDescent="0.25">
      <c r="A3179" s="98" t="s">
        <v>35</v>
      </c>
      <c r="B3179" s="98" t="s">
        <v>105</v>
      </c>
      <c r="C3179" s="98">
        <v>167</v>
      </c>
      <c r="D3179" s="98">
        <v>1160</v>
      </c>
      <c r="E3179" s="157">
        <v>41964.958333333336</v>
      </c>
      <c r="F3179" s="157">
        <v>41965.215277777781</v>
      </c>
      <c r="G3179" s="98">
        <v>150</v>
      </c>
      <c r="H3179" s="98">
        <v>330</v>
      </c>
      <c r="I3179" s="98">
        <v>296</v>
      </c>
      <c r="J3179" s="98" t="s">
        <v>2273</v>
      </c>
      <c r="K3179" s="98" t="s">
        <v>51</v>
      </c>
      <c r="L3179" s="105" t="str">
        <f t="shared" si="530"/>
        <v>Mill Creek</v>
      </c>
      <c r="M3179" s="105" t="str">
        <f t="shared" si="531"/>
        <v>Derate</v>
      </c>
      <c r="N3179" s="105" t="str">
        <f t="shared" si="532"/>
        <v>Coal</v>
      </c>
      <c r="O3179" s="105">
        <f>IFERROR(VLOOKUP(A3179,Lookup!$J$5:$P$19,7,FALSE),0)</f>
        <v>2</v>
      </c>
      <c r="P3179" s="159">
        <f t="shared" si="533"/>
        <v>2014</v>
      </c>
      <c r="Q3179" s="159">
        <f t="shared" si="534"/>
        <v>11</v>
      </c>
      <c r="R3179" s="160">
        <f t="shared" si="535"/>
        <v>6.1666666666860692</v>
      </c>
      <c r="S3179" s="158">
        <f t="shared" si="536"/>
        <v>3.3636363636469468</v>
      </c>
      <c r="T3179" s="161">
        <f t="shared" si="537"/>
        <v>995.63636363949627</v>
      </c>
      <c r="U3179" s="158">
        <f t="shared" si="539"/>
        <v>161.45454545454547</v>
      </c>
      <c r="V3179" s="160">
        <f t="shared" si="538"/>
        <v>161</v>
      </c>
    </row>
    <row r="3180" spans="1:22" x14ac:dyDescent="0.25">
      <c r="A3180" s="98" t="s">
        <v>35</v>
      </c>
      <c r="B3180" s="98" t="s">
        <v>17</v>
      </c>
      <c r="C3180" s="98">
        <v>168</v>
      </c>
      <c r="D3180" s="98">
        <v>1160</v>
      </c>
      <c r="E3180" s="157">
        <v>41968.137499999997</v>
      </c>
      <c r="F3180" s="157">
        <v>41968.220833333333</v>
      </c>
      <c r="G3180" s="98">
        <v>200</v>
      </c>
      <c r="H3180" s="98">
        <v>330</v>
      </c>
      <c r="I3180" s="98">
        <v>296</v>
      </c>
      <c r="J3180" s="98" t="s">
        <v>2273</v>
      </c>
      <c r="K3180" s="98" t="s">
        <v>51</v>
      </c>
      <c r="L3180" s="105" t="str">
        <f t="shared" si="530"/>
        <v>Mill Creek</v>
      </c>
      <c r="M3180" s="105" t="str">
        <f t="shared" si="531"/>
        <v>Derate</v>
      </c>
      <c r="N3180" s="105" t="str">
        <f t="shared" si="532"/>
        <v>Coal</v>
      </c>
      <c r="O3180" s="105">
        <f>IFERROR(VLOOKUP(A3180,Lookup!$J$5:$P$19,7,FALSE),0)</f>
        <v>2</v>
      </c>
      <c r="P3180" s="159">
        <f t="shared" si="533"/>
        <v>2014</v>
      </c>
      <c r="Q3180" s="159">
        <f t="shared" si="534"/>
        <v>11</v>
      </c>
      <c r="R3180" s="160">
        <f t="shared" si="535"/>
        <v>2.0000000000582077</v>
      </c>
      <c r="S3180" s="158">
        <f t="shared" si="536"/>
        <v>0.78787878790171817</v>
      </c>
      <c r="T3180" s="161">
        <f t="shared" si="537"/>
        <v>233.21212121890858</v>
      </c>
      <c r="U3180" s="158">
        <f t="shared" si="539"/>
        <v>116.60606060606061</v>
      </c>
      <c r="V3180" s="160">
        <f t="shared" si="538"/>
        <v>117</v>
      </c>
    </row>
    <row r="3181" spans="1:22" x14ac:dyDescent="0.25">
      <c r="A3181" s="98" t="s">
        <v>35</v>
      </c>
      <c r="B3181" s="98" t="s">
        <v>17</v>
      </c>
      <c r="C3181" s="98">
        <v>169</v>
      </c>
      <c r="D3181" s="98">
        <v>1160</v>
      </c>
      <c r="E3181" s="157">
        <v>41968.805555555555</v>
      </c>
      <c r="F3181" s="157">
        <v>41968.958333333336</v>
      </c>
      <c r="G3181" s="98">
        <v>300</v>
      </c>
      <c r="H3181" s="98">
        <v>330</v>
      </c>
      <c r="I3181" s="98">
        <v>296</v>
      </c>
      <c r="J3181" s="98" t="s">
        <v>2273</v>
      </c>
      <c r="K3181" s="98" t="s">
        <v>51</v>
      </c>
      <c r="L3181" s="105" t="str">
        <f t="shared" si="530"/>
        <v>Mill Creek</v>
      </c>
      <c r="M3181" s="105" t="str">
        <f t="shared" si="531"/>
        <v>Derate</v>
      </c>
      <c r="N3181" s="105" t="str">
        <f t="shared" si="532"/>
        <v>Coal</v>
      </c>
      <c r="O3181" s="105">
        <f>IFERROR(VLOOKUP(A3181,Lookup!$J$5:$P$19,7,FALSE),0)</f>
        <v>2</v>
      </c>
      <c r="P3181" s="159">
        <f t="shared" si="533"/>
        <v>2014</v>
      </c>
      <c r="Q3181" s="159">
        <f t="shared" si="534"/>
        <v>11</v>
      </c>
      <c r="R3181" s="160">
        <f t="shared" si="535"/>
        <v>3.6666666667442769</v>
      </c>
      <c r="S3181" s="158">
        <f t="shared" si="536"/>
        <v>0.33333333334038878</v>
      </c>
      <c r="T3181" s="161">
        <f t="shared" si="537"/>
        <v>98.666666668755084</v>
      </c>
      <c r="U3181" s="158">
        <f t="shared" si="539"/>
        <v>26.90909090909091</v>
      </c>
      <c r="V3181" s="160">
        <f t="shared" si="538"/>
        <v>27</v>
      </c>
    </row>
    <row r="3182" spans="1:22" x14ac:dyDescent="0.25">
      <c r="A3182" s="98" t="s">
        <v>35</v>
      </c>
      <c r="B3182" s="98" t="s">
        <v>105</v>
      </c>
      <c r="C3182" s="98">
        <v>170</v>
      </c>
      <c r="D3182" s="98">
        <v>1160</v>
      </c>
      <c r="E3182" s="157">
        <v>41968.958333333336</v>
      </c>
      <c r="F3182" s="157">
        <v>41969.180555555555</v>
      </c>
      <c r="G3182" s="98">
        <v>150</v>
      </c>
      <c r="H3182" s="98">
        <v>330</v>
      </c>
      <c r="I3182" s="98">
        <v>296</v>
      </c>
      <c r="J3182" s="98" t="s">
        <v>2273</v>
      </c>
      <c r="K3182" s="98" t="s">
        <v>51</v>
      </c>
      <c r="L3182" s="105" t="str">
        <f t="shared" si="530"/>
        <v>Mill Creek</v>
      </c>
      <c r="M3182" s="105" t="str">
        <f t="shared" si="531"/>
        <v>Derate</v>
      </c>
      <c r="N3182" s="105" t="str">
        <f t="shared" si="532"/>
        <v>Coal</v>
      </c>
      <c r="O3182" s="105">
        <f>IFERROR(VLOOKUP(A3182,Lookup!$J$5:$P$19,7,FALSE),0)</f>
        <v>2</v>
      </c>
      <c r="P3182" s="159">
        <f t="shared" si="533"/>
        <v>2014</v>
      </c>
      <c r="Q3182" s="159">
        <f t="shared" si="534"/>
        <v>11</v>
      </c>
      <c r="R3182" s="160">
        <f t="shared" si="535"/>
        <v>5.3333333332557231</v>
      </c>
      <c r="S3182" s="158">
        <f t="shared" si="536"/>
        <v>2.9090909090485764</v>
      </c>
      <c r="T3182" s="161">
        <f t="shared" si="537"/>
        <v>861.09090907837856</v>
      </c>
      <c r="U3182" s="158">
        <f t="shared" si="539"/>
        <v>161.45454545454547</v>
      </c>
      <c r="V3182" s="160">
        <f t="shared" si="538"/>
        <v>161</v>
      </c>
    </row>
    <row r="3183" spans="1:22" x14ac:dyDescent="0.25">
      <c r="A3183" s="98" t="s">
        <v>35</v>
      </c>
      <c r="B3183" s="98" t="s">
        <v>79</v>
      </c>
      <c r="C3183" s="98">
        <v>171</v>
      </c>
      <c r="D3183" s="98">
        <v>1160</v>
      </c>
      <c r="E3183" s="157">
        <v>41969.958333333336</v>
      </c>
      <c r="F3183" s="157">
        <v>41970.1875</v>
      </c>
      <c r="G3183" s="98">
        <v>0</v>
      </c>
      <c r="H3183" s="98">
        <v>330</v>
      </c>
      <c r="I3183" s="98">
        <v>296</v>
      </c>
      <c r="J3183" s="98" t="s">
        <v>2273</v>
      </c>
      <c r="K3183" s="98" t="s">
        <v>2674</v>
      </c>
      <c r="L3183" s="105" t="str">
        <f t="shared" si="530"/>
        <v>Mill Creek</v>
      </c>
      <c r="M3183" s="105" t="str">
        <f t="shared" si="531"/>
        <v>Other</v>
      </c>
      <c r="N3183" s="105" t="str">
        <f t="shared" si="532"/>
        <v>Coal</v>
      </c>
      <c r="O3183" s="105">
        <f>IFERROR(VLOOKUP(A3183,Lookup!$J$5:$P$19,7,FALSE),0)</f>
        <v>2</v>
      </c>
      <c r="P3183" s="159">
        <f t="shared" si="533"/>
        <v>2014</v>
      </c>
      <c r="Q3183" s="159">
        <f t="shared" si="534"/>
        <v>11</v>
      </c>
      <c r="R3183" s="160">
        <f t="shared" si="535"/>
        <v>5.4999999999417923</v>
      </c>
      <c r="S3183" s="158">
        <f t="shared" si="536"/>
        <v>5.4999999999417923</v>
      </c>
      <c r="T3183" s="161">
        <f t="shared" si="537"/>
        <v>1627.9999999827705</v>
      </c>
      <c r="U3183" s="158">
        <f t="shared" si="539"/>
        <v>296</v>
      </c>
      <c r="V3183" s="160">
        <f t="shared" si="538"/>
        <v>296</v>
      </c>
    </row>
    <row r="3184" spans="1:22" x14ac:dyDescent="0.25">
      <c r="A3184" s="98" t="s">
        <v>35</v>
      </c>
      <c r="B3184" s="98" t="s">
        <v>17</v>
      </c>
      <c r="C3184" s="98">
        <v>172</v>
      </c>
      <c r="D3184" s="98">
        <v>1160</v>
      </c>
      <c r="E3184" s="157">
        <v>41970.423611111109</v>
      </c>
      <c r="F3184" s="157">
        <v>41970.5</v>
      </c>
      <c r="G3184" s="98">
        <v>275</v>
      </c>
      <c r="H3184" s="98">
        <v>330</v>
      </c>
      <c r="I3184" s="98">
        <v>296</v>
      </c>
      <c r="J3184" s="98" t="s">
        <v>2273</v>
      </c>
      <c r="K3184" s="98" t="s">
        <v>238</v>
      </c>
      <c r="L3184" s="105" t="str">
        <f t="shared" si="530"/>
        <v>Mill Creek</v>
      </c>
      <c r="M3184" s="105" t="str">
        <f t="shared" si="531"/>
        <v>Derate</v>
      </c>
      <c r="N3184" s="105" t="str">
        <f t="shared" si="532"/>
        <v>Coal</v>
      </c>
      <c r="O3184" s="105">
        <f>IFERROR(VLOOKUP(A3184,Lookup!$J$5:$P$19,7,FALSE),0)</f>
        <v>2</v>
      </c>
      <c r="P3184" s="159">
        <f t="shared" si="533"/>
        <v>2014</v>
      </c>
      <c r="Q3184" s="159">
        <f t="shared" si="534"/>
        <v>11</v>
      </c>
      <c r="R3184" s="160">
        <f t="shared" si="535"/>
        <v>1.8333333333721384</v>
      </c>
      <c r="S3184" s="158">
        <f t="shared" si="536"/>
        <v>0.30555555556202307</v>
      </c>
      <c r="T3184" s="161">
        <f t="shared" si="537"/>
        <v>90.44444444635883</v>
      </c>
      <c r="U3184" s="158">
        <f t="shared" si="539"/>
        <v>49.333333333333336</v>
      </c>
      <c r="V3184" s="160">
        <f t="shared" si="538"/>
        <v>49</v>
      </c>
    </row>
    <row r="3185" spans="1:22" x14ac:dyDescent="0.25">
      <c r="A3185" s="98" t="s">
        <v>35</v>
      </c>
      <c r="B3185" s="98" t="s">
        <v>17</v>
      </c>
      <c r="C3185" s="98">
        <v>173</v>
      </c>
      <c r="D3185" s="98">
        <v>1160</v>
      </c>
      <c r="E3185" s="157">
        <v>41970.5</v>
      </c>
      <c r="F3185" s="157">
        <v>41970.645833333336</v>
      </c>
      <c r="G3185" s="98">
        <v>240</v>
      </c>
      <c r="H3185" s="98">
        <v>330</v>
      </c>
      <c r="I3185" s="98">
        <v>296</v>
      </c>
      <c r="J3185" s="98" t="s">
        <v>2273</v>
      </c>
      <c r="K3185" s="98" t="s">
        <v>238</v>
      </c>
      <c r="L3185" s="105" t="str">
        <f t="shared" si="530"/>
        <v>Mill Creek</v>
      </c>
      <c r="M3185" s="105" t="str">
        <f t="shared" si="531"/>
        <v>Derate</v>
      </c>
      <c r="N3185" s="105" t="str">
        <f t="shared" si="532"/>
        <v>Coal</v>
      </c>
      <c r="O3185" s="105">
        <f>IFERROR(VLOOKUP(A3185,Lookup!$J$5:$P$19,7,FALSE),0)</f>
        <v>2</v>
      </c>
      <c r="P3185" s="159">
        <f t="shared" si="533"/>
        <v>2014</v>
      </c>
      <c r="Q3185" s="159">
        <f t="shared" si="534"/>
        <v>11</v>
      </c>
      <c r="R3185" s="160">
        <f t="shared" si="535"/>
        <v>3.5000000000582077</v>
      </c>
      <c r="S3185" s="158">
        <f t="shared" si="536"/>
        <v>0.95454545456132933</v>
      </c>
      <c r="T3185" s="161">
        <f t="shared" si="537"/>
        <v>282.54545455015347</v>
      </c>
      <c r="U3185" s="158">
        <f t="shared" si="539"/>
        <v>80.727272727272734</v>
      </c>
      <c r="V3185" s="160">
        <f t="shared" si="538"/>
        <v>81</v>
      </c>
    </row>
    <row r="3186" spans="1:22" x14ac:dyDescent="0.25">
      <c r="A3186" s="98" t="s">
        <v>35</v>
      </c>
      <c r="B3186" s="98" t="s">
        <v>17</v>
      </c>
      <c r="C3186" s="98">
        <v>174</v>
      </c>
      <c r="D3186" s="98">
        <v>1160</v>
      </c>
      <c r="E3186" s="157">
        <v>41970.645833333336</v>
      </c>
      <c r="F3186" s="157">
        <v>41970.871527777781</v>
      </c>
      <c r="G3186" s="98">
        <v>200</v>
      </c>
      <c r="H3186" s="98">
        <v>330</v>
      </c>
      <c r="I3186" s="98">
        <v>296</v>
      </c>
      <c r="J3186" s="98" t="s">
        <v>2273</v>
      </c>
      <c r="K3186" s="98" t="s">
        <v>238</v>
      </c>
      <c r="L3186" s="105" t="str">
        <f t="shared" si="530"/>
        <v>Mill Creek</v>
      </c>
      <c r="M3186" s="105" t="str">
        <f t="shared" si="531"/>
        <v>Derate</v>
      </c>
      <c r="N3186" s="105" t="str">
        <f t="shared" si="532"/>
        <v>Coal</v>
      </c>
      <c r="O3186" s="105">
        <f>IFERROR(VLOOKUP(A3186,Lookup!$J$5:$P$19,7,FALSE),0)</f>
        <v>2</v>
      </c>
      <c r="P3186" s="159">
        <f t="shared" si="533"/>
        <v>2014</v>
      </c>
      <c r="Q3186" s="159">
        <f t="shared" si="534"/>
        <v>11</v>
      </c>
      <c r="R3186" s="160">
        <f t="shared" si="535"/>
        <v>5.4166666666860692</v>
      </c>
      <c r="S3186" s="158">
        <f t="shared" si="536"/>
        <v>2.1338383838460273</v>
      </c>
      <c r="T3186" s="161">
        <f t="shared" si="537"/>
        <v>631.61616161842403</v>
      </c>
      <c r="U3186" s="158">
        <f t="shared" si="539"/>
        <v>116.60606060606061</v>
      </c>
      <c r="V3186" s="160">
        <f t="shared" si="538"/>
        <v>117</v>
      </c>
    </row>
    <row r="3187" spans="1:22" x14ac:dyDescent="0.25">
      <c r="A3187" s="98" t="s">
        <v>35</v>
      </c>
      <c r="B3187" s="98" t="s">
        <v>17</v>
      </c>
      <c r="C3187" s="98">
        <v>175</v>
      </c>
      <c r="D3187" s="98">
        <v>1160</v>
      </c>
      <c r="E3187" s="157">
        <v>41970.871527777781</v>
      </c>
      <c r="F3187" s="157">
        <v>41970.958333333336</v>
      </c>
      <c r="G3187" s="98">
        <v>180</v>
      </c>
      <c r="H3187" s="98">
        <v>330</v>
      </c>
      <c r="I3187" s="98">
        <v>296</v>
      </c>
      <c r="J3187" s="98" t="s">
        <v>2273</v>
      </c>
      <c r="K3187" s="98" t="s">
        <v>238</v>
      </c>
      <c r="L3187" s="105" t="str">
        <f t="shared" si="530"/>
        <v>Mill Creek</v>
      </c>
      <c r="M3187" s="105" t="str">
        <f t="shared" si="531"/>
        <v>Derate</v>
      </c>
      <c r="N3187" s="105" t="str">
        <f t="shared" si="532"/>
        <v>Coal</v>
      </c>
      <c r="O3187" s="105">
        <f>IFERROR(VLOOKUP(A3187,Lookup!$J$5:$P$19,7,FALSE),0)</f>
        <v>2</v>
      </c>
      <c r="P3187" s="159">
        <f t="shared" si="533"/>
        <v>2014</v>
      </c>
      <c r="Q3187" s="159">
        <f t="shared" si="534"/>
        <v>11</v>
      </c>
      <c r="R3187" s="160">
        <f t="shared" si="535"/>
        <v>2.0833333333139308</v>
      </c>
      <c r="S3187" s="158">
        <f t="shared" si="536"/>
        <v>0.94696969696087763</v>
      </c>
      <c r="T3187" s="161">
        <f t="shared" si="537"/>
        <v>280.30303030041978</v>
      </c>
      <c r="U3187" s="158">
        <f t="shared" si="539"/>
        <v>134.54545454545453</v>
      </c>
      <c r="V3187" s="160">
        <f t="shared" si="538"/>
        <v>135</v>
      </c>
    </row>
    <row r="3188" spans="1:22" x14ac:dyDescent="0.25">
      <c r="A3188" s="98" t="s">
        <v>35</v>
      </c>
      <c r="B3188" s="98" t="s">
        <v>17</v>
      </c>
      <c r="C3188" s="98">
        <v>176</v>
      </c>
      <c r="D3188" s="98">
        <v>1160</v>
      </c>
      <c r="E3188" s="157">
        <v>41970.958333333336</v>
      </c>
      <c r="F3188" s="157">
        <v>41971.227777777778</v>
      </c>
      <c r="G3188" s="98">
        <v>150</v>
      </c>
      <c r="H3188" s="98">
        <v>330</v>
      </c>
      <c r="I3188" s="98">
        <v>296</v>
      </c>
      <c r="J3188" s="98" t="s">
        <v>2273</v>
      </c>
      <c r="K3188" s="98" t="s">
        <v>51</v>
      </c>
      <c r="L3188" s="105" t="str">
        <f t="shared" si="530"/>
        <v>Mill Creek</v>
      </c>
      <c r="M3188" s="105" t="str">
        <f t="shared" si="531"/>
        <v>Derate</v>
      </c>
      <c r="N3188" s="105" t="str">
        <f t="shared" si="532"/>
        <v>Coal</v>
      </c>
      <c r="O3188" s="105">
        <f>IFERROR(VLOOKUP(A3188,Lookup!$J$5:$P$19,7,FALSE),0)</f>
        <v>2</v>
      </c>
      <c r="P3188" s="159">
        <f t="shared" si="533"/>
        <v>2014</v>
      </c>
      <c r="Q3188" s="159">
        <f t="shared" si="534"/>
        <v>11</v>
      </c>
      <c r="R3188" s="160">
        <f t="shared" si="535"/>
        <v>6.46666666661622</v>
      </c>
      <c r="S3188" s="158">
        <f t="shared" si="536"/>
        <v>3.5272727272452111</v>
      </c>
      <c r="T3188" s="161">
        <f t="shared" si="537"/>
        <v>1044.0727272645825</v>
      </c>
      <c r="U3188" s="158">
        <f t="shared" si="539"/>
        <v>161.45454545454547</v>
      </c>
      <c r="V3188" s="160">
        <f t="shared" si="538"/>
        <v>161</v>
      </c>
    </row>
    <row r="3189" spans="1:22" x14ac:dyDescent="0.25">
      <c r="A3189" s="98" t="s">
        <v>35</v>
      </c>
      <c r="B3189" s="98" t="s">
        <v>17</v>
      </c>
      <c r="C3189" s="98">
        <v>177</v>
      </c>
      <c r="D3189" s="98">
        <v>1160</v>
      </c>
      <c r="E3189" s="157">
        <v>41971.697916666664</v>
      </c>
      <c r="F3189" s="157">
        <v>41971.826388888891</v>
      </c>
      <c r="G3189" s="98">
        <v>275</v>
      </c>
      <c r="H3189" s="98">
        <v>330</v>
      </c>
      <c r="I3189" s="98">
        <v>296</v>
      </c>
      <c r="J3189" s="98" t="s">
        <v>2273</v>
      </c>
      <c r="K3189" s="98" t="s">
        <v>238</v>
      </c>
      <c r="L3189" s="105" t="str">
        <f t="shared" si="530"/>
        <v>Mill Creek</v>
      </c>
      <c r="M3189" s="105" t="str">
        <f t="shared" si="531"/>
        <v>Derate</v>
      </c>
      <c r="N3189" s="105" t="str">
        <f t="shared" si="532"/>
        <v>Coal</v>
      </c>
      <c r="O3189" s="105">
        <f>IFERROR(VLOOKUP(A3189,Lookup!$J$5:$P$19,7,FALSE),0)</f>
        <v>2</v>
      </c>
      <c r="P3189" s="159">
        <f t="shared" si="533"/>
        <v>2014</v>
      </c>
      <c r="Q3189" s="159">
        <f t="shared" si="534"/>
        <v>11</v>
      </c>
      <c r="R3189" s="160">
        <f t="shared" si="535"/>
        <v>3.0833333334303461</v>
      </c>
      <c r="S3189" s="158">
        <f t="shared" si="536"/>
        <v>0.51388888890505768</v>
      </c>
      <c r="T3189" s="161">
        <f t="shared" si="537"/>
        <v>152.11111111589707</v>
      </c>
      <c r="U3189" s="158">
        <f t="shared" si="539"/>
        <v>49.333333333333336</v>
      </c>
      <c r="V3189" s="160">
        <f t="shared" si="538"/>
        <v>49</v>
      </c>
    </row>
    <row r="3190" spans="1:22" x14ac:dyDescent="0.25">
      <c r="A3190" s="98" t="s">
        <v>35</v>
      </c>
      <c r="B3190" s="98" t="s">
        <v>17</v>
      </c>
      <c r="C3190" s="98">
        <v>178</v>
      </c>
      <c r="D3190" s="98">
        <v>1160</v>
      </c>
      <c r="E3190" s="157">
        <v>41971.826388888891</v>
      </c>
      <c r="F3190" s="157">
        <v>41971.958333333336</v>
      </c>
      <c r="G3190" s="98">
        <v>245</v>
      </c>
      <c r="H3190" s="98">
        <v>330</v>
      </c>
      <c r="I3190" s="98">
        <v>296</v>
      </c>
      <c r="J3190" s="98" t="s">
        <v>2273</v>
      </c>
      <c r="K3190" s="98" t="s">
        <v>238</v>
      </c>
      <c r="L3190" s="105" t="str">
        <f t="shared" si="530"/>
        <v>Mill Creek</v>
      </c>
      <c r="M3190" s="105" t="str">
        <f t="shared" si="531"/>
        <v>Derate</v>
      </c>
      <c r="N3190" s="105" t="str">
        <f t="shared" si="532"/>
        <v>Coal</v>
      </c>
      <c r="O3190" s="105">
        <f>IFERROR(VLOOKUP(A3190,Lookup!$J$5:$P$19,7,FALSE),0)</f>
        <v>2</v>
      </c>
      <c r="P3190" s="159">
        <f t="shared" si="533"/>
        <v>2014</v>
      </c>
      <c r="Q3190" s="159">
        <f t="shared" si="534"/>
        <v>11</v>
      </c>
      <c r="R3190" s="160">
        <f t="shared" si="535"/>
        <v>3.1666666666860692</v>
      </c>
      <c r="S3190" s="158">
        <f t="shared" si="536"/>
        <v>0.8156565656615633</v>
      </c>
      <c r="T3190" s="161">
        <f t="shared" si="537"/>
        <v>241.43434343582274</v>
      </c>
      <c r="U3190" s="158">
        <f t="shared" si="539"/>
        <v>76.242424242424249</v>
      </c>
      <c r="V3190" s="160">
        <f t="shared" si="538"/>
        <v>76</v>
      </c>
    </row>
    <row r="3191" spans="1:22" x14ac:dyDescent="0.25">
      <c r="A3191" s="98" t="s">
        <v>35</v>
      </c>
      <c r="B3191" s="98" t="s">
        <v>17</v>
      </c>
      <c r="C3191" s="98">
        <v>179</v>
      </c>
      <c r="D3191" s="98">
        <v>1160</v>
      </c>
      <c r="E3191" s="157">
        <v>41971.958333333336</v>
      </c>
      <c r="F3191" s="157">
        <v>41972.133333333331</v>
      </c>
      <c r="G3191" s="98">
        <v>150</v>
      </c>
      <c r="H3191" s="98">
        <v>330</v>
      </c>
      <c r="I3191" s="98">
        <v>296</v>
      </c>
      <c r="J3191" s="98" t="s">
        <v>2273</v>
      </c>
      <c r="K3191" s="98" t="s">
        <v>51</v>
      </c>
      <c r="L3191" s="105" t="str">
        <f t="shared" si="530"/>
        <v>Mill Creek</v>
      </c>
      <c r="M3191" s="105" t="str">
        <f t="shared" si="531"/>
        <v>Derate</v>
      </c>
      <c r="N3191" s="105" t="str">
        <f t="shared" si="532"/>
        <v>Coal</v>
      </c>
      <c r="O3191" s="105">
        <f>IFERROR(VLOOKUP(A3191,Lookup!$J$5:$P$19,7,FALSE),0)</f>
        <v>2</v>
      </c>
      <c r="P3191" s="159">
        <f t="shared" si="533"/>
        <v>2014</v>
      </c>
      <c r="Q3191" s="159">
        <f t="shared" si="534"/>
        <v>11</v>
      </c>
      <c r="R3191" s="160">
        <f t="shared" si="535"/>
        <v>4.1999999998952262</v>
      </c>
      <c r="S3191" s="158">
        <f t="shared" si="536"/>
        <v>2.2909090908519416</v>
      </c>
      <c r="T3191" s="161">
        <f t="shared" si="537"/>
        <v>678.10909089217466</v>
      </c>
      <c r="U3191" s="158">
        <f t="shared" si="539"/>
        <v>161.45454545454547</v>
      </c>
      <c r="V3191" s="160">
        <f t="shared" si="538"/>
        <v>161</v>
      </c>
    </row>
    <row r="3192" spans="1:22" x14ac:dyDescent="0.25">
      <c r="A3192" s="98" t="s">
        <v>35</v>
      </c>
      <c r="B3192" s="98" t="s">
        <v>17</v>
      </c>
      <c r="C3192" s="98">
        <v>180</v>
      </c>
      <c r="D3192" s="98">
        <v>1160</v>
      </c>
      <c r="E3192" s="157">
        <v>41972.875</v>
      </c>
      <c r="F3192" s="157">
        <v>41973.121527777781</v>
      </c>
      <c r="G3192" s="98">
        <v>150</v>
      </c>
      <c r="H3192" s="98">
        <v>330</v>
      </c>
      <c r="I3192" s="98">
        <v>296</v>
      </c>
      <c r="J3192" s="98" t="s">
        <v>2273</v>
      </c>
      <c r="K3192" s="98" t="s">
        <v>51</v>
      </c>
      <c r="L3192" s="105" t="str">
        <f t="shared" si="530"/>
        <v>Mill Creek</v>
      </c>
      <c r="M3192" s="105" t="str">
        <f t="shared" si="531"/>
        <v>Derate</v>
      </c>
      <c r="N3192" s="105" t="str">
        <f t="shared" si="532"/>
        <v>Coal</v>
      </c>
      <c r="O3192" s="105">
        <f>IFERROR(VLOOKUP(A3192,Lookup!$J$5:$P$19,7,FALSE),0)</f>
        <v>2</v>
      </c>
      <c r="P3192" s="159">
        <f t="shared" si="533"/>
        <v>2014</v>
      </c>
      <c r="Q3192" s="159">
        <f t="shared" si="534"/>
        <v>11</v>
      </c>
      <c r="R3192" s="160">
        <f t="shared" si="535"/>
        <v>5.9166666667442769</v>
      </c>
      <c r="S3192" s="158">
        <f t="shared" si="536"/>
        <v>3.2272727273150603</v>
      </c>
      <c r="T3192" s="161">
        <f t="shared" si="537"/>
        <v>955.27272728525782</v>
      </c>
      <c r="U3192" s="158">
        <f t="shared" si="539"/>
        <v>161.45454545454547</v>
      </c>
      <c r="V3192" s="160">
        <f t="shared" si="538"/>
        <v>161</v>
      </c>
    </row>
    <row r="3193" spans="1:22" x14ac:dyDescent="0.25">
      <c r="A3193" s="98" t="s">
        <v>35</v>
      </c>
      <c r="B3193" s="98" t="s">
        <v>17</v>
      </c>
      <c r="C3193" s="98">
        <v>181</v>
      </c>
      <c r="D3193" s="98">
        <v>1850</v>
      </c>
      <c r="E3193" s="157">
        <v>41973.749305555553</v>
      </c>
      <c r="F3193" s="157">
        <v>41973.768750000003</v>
      </c>
      <c r="G3193" s="98">
        <v>310</v>
      </c>
      <c r="H3193" s="98">
        <v>330</v>
      </c>
      <c r="I3193" s="98">
        <v>296</v>
      </c>
      <c r="J3193" s="98" t="s">
        <v>2263</v>
      </c>
      <c r="K3193" s="98" t="s">
        <v>41</v>
      </c>
      <c r="L3193" s="105" t="str">
        <f t="shared" si="530"/>
        <v>Mill Creek</v>
      </c>
      <c r="M3193" s="105" t="str">
        <f t="shared" si="531"/>
        <v>Derate</v>
      </c>
      <c r="N3193" s="105" t="str">
        <f t="shared" si="532"/>
        <v>Coal</v>
      </c>
      <c r="O3193" s="105">
        <f>IFERROR(VLOOKUP(A3193,Lookup!$J$5:$P$19,7,FALSE),0)</f>
        <v>2</v>
      </c>
      <c r="P3193" s="159">
        <f t="shared" si="533"/>
        <v>2014</v>
      </c>
      <c r="Q3193" s="159">
        <f t="shared" si="534"/>
        <v>11</v>
      </c>
      <c r="R3193" s="160">
        <f t="shared" si="535"/>
        <v>0.46666666679084301</v>
      </c>
      <c r="S3193" s="158">
        <f t="shared" si="536"/>
        <v>2.8282828290354122E-2</v>
      </c>
      <c r="T3193" s="161">
        <f t="shared" si="537"/>
        <v>8.3717171739448197</v>
      </c>
      <c r="U3193" s="158">
        <f t="shared" si="539"/>
        <v>17.939393939393938</v>
      </c>
      <c r="V3193" s="160">
        <f t="shared" si="538"/>
        <v>18</v>
      </c>
    </row>
    <row r="3194" spans="1:22" x14ac:dyDescent="0.25">
      <c r="A3194" s="98" t="s">
        <v>35</v>
      </c>
      <c r="B3194" s="98" t="s">
        <v>17</v>
      </c>
      <c r="C3194" s="98">
        <v>182</v>
      </c>
      <c r="D3194" s="98">
        <v>1850</v>
      </c>
      <c r="E3194" s="157">
        <v>41973.768750000003</v>
      </c>
      <c r="F3194" s="157">
        <v>41973.870833333334</v>
      </c>
      <c r="G3194" s="98">
        <v>175</v>
      </c>
      <c r="H3194" s="98">
        <v>330</v>
      </c>
      <c r="I3194" s="98">
        <v>296</v>
      </c>
      <c r="J3194" s="98" t="s">
        <v>2263</v>
      </c>
      <c r="K3194" s="98" t="s">
        <v>41</v>
      </c>
      <c r="L3194" s="105" t="str">
        <f t="shared" si="530"/>
        <v>Mill Creek</v>
      </c>
      <c r="M3194" s="105" t="str">
        <f t="shared" si="531"/>
        <v>Derate</v>
      </c>
      <c r="N3194" s="105" t="str">
        <f t="shared" si="532"/>
        <v>Coal</v>
      </c>
      <c r="O3194" s="105">
        <f>IFERROR(VLOOKUP(A3194,Lookup!$J$5:$P$19,7,FALSE),0)</f>
        <v>2</v>
      </c>
      <c r="P3194" s="159">
        <f t="shared" si="533"/>
        <v>2014</v>
      </c>
      <c r="Q3194" s="159">
        <f t="shared" si="534"/>
        <v>11</v>
      </c>
      <c r="R3194" s="160">
        <f t="shared" si="535"/>
        <v>2.4499999999534339</v>
      </c>
      <c r="S3194" s="158">
        <f t="shared" si="536"/>
        <v>1.1507575757357038</v>
      </c>
      <c r="T3194" s="161">
        <f t="shared" si="537"/>
        <v>340.6242424177683</v>
      </c>
      <c r="U3194" s="158">
        <f t="shared" si="539"/>
        <v>139.03030303030303</v>
      </c>
      <c r="V3194" s="160">
        <f t="shared" si="538"/>
        <v>139</v>
      </c>
    </row>
    <row r="3195" spans="1:22" x14ac:dyDescent="0.25">
      <c r="A3195" s="98" t="s">
        <v>35</v>
      </c>
      <c r="B3195" s="98" t="s">
        <v>15</v>
      </c>
      <c r="C3195" s="98">
        <v>183</v>
      </c>
      <c r="D3195" s="98">
        <v>3110</v>
      </c>
      <c r="E3195" s="157">
        <v>41973.870833333334</v>
      </c>
      <c r="F3195" s="157">
        <v>41974.540277777778</v>
      </c>
      <c r="G3195" s="98">
        <v>0</v>
      </c>
      <c r="H3195" s="98">
        <v>330</v>
      </c>
      <c r="I3195" s="98">
        <v>296</v>
      </c>
      <c r="J3195" s="98" t="s">
        <v>2119</v>
      </c>
      <c r="K3195" s="98" t="s">
        <v>31</v>
      </c>
      <c r="L3195" s="105" t="str">
        <f t="shared" si="530"/>
        <v>Mill Creek</v>
      </c>
      <c r="M3195" s="105" t="str">
        <f t="shared" si="531"/>
        <v>Outage</v>
      </c>
      <c r="N3195" s="105" t="str">
        <f t="shared" si="532"/>
        <v>Coal</v>
      </c>
      <c r="O3195" s="105">
        <f>IFERROR(VLOOKUP(A3195,Lookup!$J$5:$P$19,7,FALSE),0)</f>
        <v>2</v>
      </c>
      <c r="P3195" s="159">
        <f t="shared" si="533"/>
        <v>2014</v>
      </c>
      <c r="Q3195" s="159">
        <f t="shared" si="534"/>
        <v>11</v>
      </c>
      <c r="R3195" s="160">
        <f t="shared" si="535"/>
        <v>16.066666666651145</v>
      </c>
      <c r="S3195" s="158">
        <f t="shared" si="536"/>
        <v>16.066666666651145</v>
      </c>
      <c r="T3195" s="161">
        <f t="shared" si="537"/>
        <v>4755.7333333287388</v>
      </c>
      <c r="U3195" s="158">
        <f t="shared" si="539"/>
        <v>296</v>
      </c>
      <c r="V3195" s="160">
        <f t="shared" si="538"/>
        <v>296</v>
      </c>
    </row>
    <row r="3196" spans="1:22" x14ac:dyDescent="0.25">
      <c r="A3196" s="98" t="s">
        <v>35</v>
      </c>
      <c r="B3196" s="98" t="s">
        <v>20</v>
      </c>
      <c r="C3196" s="98">
        <v>184</v>
      </c>
      <c r="D3196" s="98">
        <v>8230</v>
      </c>
      <c r="E3196" s="157">
        <v>41974.540277777778</v>
      </c>
      <c r="F3196" s="157">
        <v>41977.931250000001</v>
      </c>
      <c r="G3196" s="98">
        <v>0</v>
      </c>
      <c r="H3196" s="98">
        <v>330</v>
      </c>
      <c r="I3196" s="98">
        <v>296</v>
      </c>
      <c r="J3196" s="98" t="s">
        <v>2037</v>
      </c>
      <c r="K3196" s="98" t="s">
        <v>2768</v>
      </c>
      <c r="L3196" s="105" t="str">
        <f t="shared" si="530"/>
        <v>Mill Creek</v>
      </c>
      <c r="M3196" s="105" t="str">
        <f t="shared" si="531"/>
        <v>Maintenance</v>
      </c>
      <c r="N3196" s="105" t="str">
        <f t="shared" si="532"/>
        <v>Coal</v>
      </c>
      <c r="O3196" s="105">
        <f>IFERROR(VLOOKUP(A3196,Lookup!$J$5:$P$19,7,FALSE),0)</f>
        <v>2</v>
      </c>
      <c r="P3196" s="159">
        <f t="shared" si="533"/>
        <v>2014</v>
      </c>
      <c r="Q3196" s="159">
        <f t="shared" si="534"/>
        <v>12</v>
      </c>
      <c r="R3196" s="160">
        <f t="shared" si="535"/>
        <v>81.383333333360497</v>
      </c>
      <c r="S3196" s="158">
        <f t="shared" si="536"/>
        <v>81.383333333360497</v>
      </c>
      <c r="T3196" s="161">
        <f t="shared" si="537"/>
        <v>24089.466666674707</v>
      </c>
      <c r="U3196" s="158">
        <f t="shared" si="539"/>
        <v>296</v>
      </c>
      <c r="V3196" s="160">
        <f t="shared" si="538"/>
        <v>296</v>
      </c>
    </row>
    <row r="3197" spans="1:22" x14ac:dyDescent="0.25">
      <c r="A3197" s="98" t="s">
        <v>35</v>
      </c>
      <c r="B3197" s="98" t="s">
        <v>18</v>
      </c>
      <c r="C3197" s="98">
        <v>185</v>
      </c>
      <c r="D3197" s="98">
        <v>3619</v>
      </c>
      <c r="E3197" s="157">
        <v>41977.931250000001</v>
      </c>
      <c r="F3197" s="157">
        <v>41978.504166666666</v>
      </c>
      <c r="G3197" s="98">
        <v>0</v>
      </c>
      <c r="H3197" s="98">
        <v>330</v>
      </c>
      <c r="I3197" s="98">
        <v>296</v>
      </c>
      <c r="J3197" s="98" t="s">
        <v>2094</v>
      </c>
      <c r="K3197" s="98" t="s">
        <v>2769</v>
      </c>
      <c r="L3197" s="105" t="str">
        <f t="shared" si="530"/>
        <v>Mill Creek</v>
      </c>
      <c r="M3197" s="105" t="str">
        <f t="shared" si="531"/>
        <v>Outage</v>
      </c>
      <c r="N3197" s="105" t="str">
        <f t="shared" si="532"/>
        <v>Coal</v>
      </c>
      <c r="O3197" s="105">
        <f>IFERROR(VLOOKUP(A3197,Lookup!$J$5:$P$19,7,FALSE),0)</f>
        <v>2</v>
      </c>
      <c r="P3197" s="159">
        <f t="shared" si="533"/>
        <v>2014</v>
      </c>
      <c r="Q3197" s="159">
        <f t="shared" si="534"/>
        <v>12</v>
      </c>
      <c r="R3197" s="160">
        <f t="shared" si="535"/>
        <v>13.749999999941792</v>
      </c>
      <c r="S3197" s="158">
        <f t="shared" si="536"/>
        <v>13.749999999941792</v>
      </c>
      <c r="T3197" s="161">
        <f t="shared" si="537"/>
        <v>4069.9999999827705</v>
      </c>
      <c r="U3197" s="158">
        <f t="shared" si="539"/>
        <v>296</v>
      </c>
      <c r="V3197" s="160">
        <f t="shared" si="538"/>
        <v>296</v>
      </c>
    </row>
    <row r="3198" spans="1:22" x14ac:dyDescent="0.25">
      <c r="A3198" s="98" t="s">
        <v>35</v>
      </c>
      <c r="B3198" s="98" t="s">
        <v>79</v>
      </c>
      <c r="C3198" s="98">
        <v>186</v>
      </c>
      <c r="D3198" s="98">
        <v>1850</v>
      </c>
      <c r="E3198" s="157">
        <v>41978.504166666666</v>
      </c>
      <c r="F3198" s="157">
        <v>41978.638194444444</v>
      </c>
      <c r="G3198" s="98">
        <v>0</v>
      </c>
      <c r="H3198" s="98">
        <v>330</v>
      </c>
      <c r="I3198" s="98">
        <v>296</v>
      </c>
      <c r="J3198" s="98" t="s">
        <v>2263</v>
      </c>
      <c r="K3198" s="98" t="s">
        <v>85</v>
      </c>
      <c r="L3198" s="105" t="str">
        <f t="shared" si="530"/>
        <v>Mill Creek</v>
      </c>
      <c r="M3198" s="105" t="str">
        <f t="shared" si="531"/>
        <v>Other</v>
      </c>
      <c r="N3198" s="105" t="str">
        <f t="shared" si="532"/>
        <v>Coal</v>
      </c>
      <c r="O3198" s="105">
        <f>IFERROR(VLOOKUP(A3198,Lookup!$J$5:$P$19,7,FALSE),0)</f>
        <v>2</v>
      </c>
      <c r="P3198" s="159">
        <f t="shared" si="533"/>
        <v>2014</v>
      </c>
      <c r="Q3198" s="159">
        <f t="shared" si="534"/>
        <v>12</v>
      </c>
      <c r="R3198" s="160">
        <f t="shared" si="535"/>
        <v>3.2166666666744277</v>
      </c>
      <c r="S3198" s="158">
        <f t="shared" si="536"/>
        <v>3.2166666666744277</v>
      </c>
      <c r="T3198" s="161">
        <f t="shared" si="537"/>
        <v>952.1333333356306</v>
      </c>
      <c r="U3198" s="158">
        <f t="shared" si="539"/>
        <v>296</v>
      </c>
      <c r="V3198" s="160">
        <f t="shared" si="538"/>
        <v>296</v>
      </c>
    </row>
    <row r="3199" spans="1:22" x14ac:dyDescent="0.25">
      <c r="A3199" s="98" t="s">
        <v>35</v>
      </c>
      <c r="B3199" s="98" t="s">
        <v>15</v>
      </c>
      <c r="C3199" s="98">
        <v>187</v>
      </c>
      <c r="D3199" s="98">
        <v>3110</v>
      </c>
      <c r="E3199" s="157">
        <v>41978.638194444444</v>
      </c>
      <c r="F3199" s="157">
        <v>41980.68472222222</v>
      </c>
      <c r="G3199" s="98">
        <v>0</v>
      </c>
      <c r="H3199" s="98">
        <v>330</v>
      </c>
      <c r="I3199" s="98">
        <v>296</v>
      </c>
      <c r="J3199" s="98" t="s">
        <v>2119</v>
      </c>
      <c r="K3199" s="98" t="s">
        <v>31</v>
      </c>
      <c r="L3199" s="105" t="str">
        <f t="shared" si="530"/>
        <v>Mill Creek</v>
      </c>
      <c r="M3199" s="105" t="str">
        <f t="shared" si="531"/>
        <v>Outage</v>
      </c>
      <c r="N3199" s="105" t="str">
        <f t="shared" si="532"/>
        <v>Coal</v>
      </c>
      <c r="O3199" s="105">
        <f>IFERROR(VLOOKUP(A3199,Lookup!$J$5:$P$19,7,FALSE),0)</f>
        <v>2</v>
      </c>
      <c r="P3199" s="159">
        <f t="shared" si="533"/>
        <v>2014</v>
      </c>
      <c r="Q3199" s="159">
        <f t="shared" si="534"/>
        <v>12</v>
      </c>
      <c r="R3199" s="160">
        <f t="shared" si="535"/>
        <v>49.116666666639503</v>
      </c>
      <c r="S3199" s="158">
        <f t="shared" si="536"/>
        <v>49.116666666639503</v>
      </c>
      <c r="T3199" s="161">
        <f t="shared" si="537"/>
        <v>14538.533333325293</v>
      </c>
      <c r="U3199" s="158">
        <f t="shared" si="539"/>
        <v>296</v>
      </c>
      <c r="V3199" s="160">
        <f t="shared" si="538"/>
        <v>296</v>
      </c>
    </row>
    <row r="3200" spans="1:22" x14ac:dyDescent="0.25">
      <c r="A3200" s="98" t="s">
        <v>35</v>
      </c>
      <c r="B3200" s="98" t="s">
        <v>79</v>
      </c>
      <c r="C3200" s="98">
        <v>188</v>
      </c>
      <c r="D3200" s="98">
        <v>1850</v>
      </c>
      <c r="E3200" s="157">
        <v>41980.68472222222</v>
      </c>
      <c r="F3200" s="157">
        <v>41981.166666666664</v>
      </c>
      <c r="G3200" s="98">
        <v>0</v>
      </c>
      <c r="H3200" s="98">
        <v>330</v>
      </c>
      <c r="I3200" s="98">
        <v>296</v>
      </c>
      <c r="J3200" s="98" t="s">
        <v>2263</v>
      </c>
      <c r="K3200" s="98" t="s">
        <v>85</v>
      </c>
      <c r="L3200" s="105" t="str">
        <f t="shared" si="530"/>
        <v>Mill Creek</v>
      </c>
      <c r="M3200" s="105" t="str">
        <f t="shared" si="531"/>
        <v>Other</v>
      </c>
      <c r="N3200" s="105" t="str">
        <f t="shared" si="532"/>
        <v>Coal</v>
      </c>
      <c r="O3200" s="105">
        <f>IFERROR(VLOOKUP(A3200,Lookup!$J$5:$P$19,7,FALSE),0)</f>
        <v>2</v>
      </c>
      <c r="P3200" s="159">
        <f t="shared" si="533"/>
        <v>2014</v>
      </c>
      <c r="Q3200" s="159">
        <f t="shared" si="534"/>
        <v>12</v>
      </c>
      <c r="R3200" s="160">
        <f t="shared" si="535"/>
        <v>11.566666666651145</v>
      </c>
      <c r="S3200" s="158">
        <f t="shared" si="536"/>
        <v>11.566666666651145</v>
      </c>
      <c r="T3200" s="161">
        <f t="shared" si="537"/>
        <v>3423.7333333287388</v>
      </c>
      <c r="U3200" s="158">
        <f t="shared" si="539"/>
        <v>296</v>
      </c>
      <c r="V3200" s="160">
        <f t="shared" si="538"/>
        <v>296</v>
      </c>
    </row>
    <row r="3201" spans="1:22" x14ac:dyDescent="0.25">
      <c r="A3201" s="98" t="s">
        <v>35</v>
      </c>
      <c r="B3201" s="98" t="s">
        <v>17</v>
      </c>
      <c r="C3201" s="98">
        <v>189</v>
      </c>
      <c r="D3201" s="98">
        <v>1850</v>
      </c>
      <c r="E3201" s="157">
        <v>41981.166666666664</v>
      </c>
      <c r="F3201" s="157">
        <v>41982.375</v>
      </c>
      <c r="G3201" s="98">
        <v>170</v>
      </c>
      <c r="H3201" s="98">
        <v>330</v>
      </c>
      <c r="I3201" s="98">
        <v>296</v>
      </c>
      <c r="J3201" s="98" t="s">
        <v>2263</v>
      </c>
      <c r="K3201" s="98" t="s">
        <v>41</v>
      </c>
      <c r="L3201" s="105" t="str">
        <f t="shared" si="530"/>
        <v>Mill Creek</v>
      </c>
      <c r="M3201" s="105" t="str">
        <f t="shared" si="531"/>
        <v>Derate</v>
      </c>
      <c r="N3201" s="105" t="str">
        <f t="shared" si="532"/>
        <v>Coal</v>
      </c>
      <c r="O3201" s="105">
        <f>IFERROR(VLOOKUP(A3201,Lookup!$J$5:$P$19,7,FALSE),0)</f>
        <v>2</v>
      </c>
      <c r="P3201" s="159">
        <f t="shared" si="533"/>
        <v>2014</v>
      </c>
      <c r="Q3201" s="159">
        <f t="shared" si="534"/>
        <v>12</v>
      </c>
      <c r="R3201" s="160">
        <f t="shared" si="535"/>
        <v>29.000000000058208</v>
      </c>
      <c r="S3201" s="158">
        <f t="shared" si="536"/>
        <v>14.060606060634283</v>
      </c>
      <c r="T3201" s="161">
        <f t="shared" si="537"/>
        <v>4161.9393939477477</v>
      </c>
      <c r="U3201" s="158">
        <f t="shared" si="539"/>
        <v>143.5151515151515</v>
      </c>
      <c r="V3201" s="160">
        <f t="shared" si="538"/>
        <v>144</v>
      </c>
    </row>
    <row r="3202" spans="1:22" x14ac:dyDescent="0.25">
      <c r="A3202" s="98" t="s">
        <v>35</v>
      </c>
      <c r="B3202" s="98" t="s">
        <v>17</v>
      </c>
      <c r="C3202" s="98">
        <v>190</v>
      </c>
      <c r="D3202" s="98">
        <v>1850</v>
      </c>
      <c r="E3202" s="157">
        <v>41982.375</v>
      </c>
      <c r="F3202" s="157">
        <v>41983.848611111112</v>
      </c>
      <c r="G3202" s="98">
        <v>240</v>
      </c>
      <c r="H3202" s="98">
        <v>330</v>
      </c>
      <c r="I3202" s="98">
        <v>296</v>
      </c>
      <c r="J3202" s="98" t="s">
        <v>2263</v>
      </c>
      <c r="K3202" s="98" t="s">
        <v>41</v>
      </c>
      <c r="L3202" s="105" t="str">
        <f t="shared" si="530"/>
        <v>Mill Creek</v>
      </c>
      <c r="M3202" s="105" t="str">
        <f t="shared" si="531"/>
        <v>Derate</v>
      </c>
      <c r="N3202" s="105" t="str">
        <f t="shared" si="532"/>
        <v>Coal</v>
      </c>
      <c r="O3202" s="105">
        <f>IFERROR(VLOOKUP(A3202,Lookup!$J$5:$P$19,7,FALSE),0)</f>
        <v>2</v>
      </c>
      <c r="P3202" s="159">
        <f t="shared" si="533"/>
        <v>2014</v>
      </c>
      <c r="Q3202" s="159">
        <f t="shared" si="534"/>
        <v>12</v>
      </c>
      <c r="R3202" s="160">
        <f t="shared" si="535"/>
        <v>35.366666666697711</v>
      </c>
      <c r="S3202" s="158">
        <f t="shared" si="536"/>
        <v>9.6454545454630125</v>
      </c>
      <c r="T3202" s="161">
        <f t="shared" si="537"/>
        <v>2855.0545454570515</v>
      </c>
      <c r="U3202" s="158">
        <f t="shared" si="539"/>
        <v>80.727272727272734</v>
      </c>
      <c r="V3202" s="160">
        <f t="shared" si="538"/>
        <v>81</v>
      </c>
    </row>
    <row r="3203" spans="1:22" x14ac:dyDescent="0.25">
      <c r="A3203" s="98" t="s">
        <v>35</v>
      </c>
      <c r="B3203" s="98" t="s">
        <v>17</v>
      </c>
      <c r="C3203" s="98">
        <v>191</v>
      </c>
      <c r="D3203" s="98">
        <v>1850</v>
      </c>
      <c r="E3203" s="157">
        <v>41983.848611111112</v>
      </c>
      <c r="F3203" s="157">
        <v>41983.996527777781</v>
      </c>
      <c r="G3203" s="98">
        <v>210</v>
      </c>
      <c r="H3203" s="98">
        <v>330</v>
      </c>
      <c r="I3203" s="98">
        <v>296</v>
      </c>
      <c r="J3203" s="98" t="s">
        <v>2263</v>
      </c>
      <c r="K3203" s="98" t="s">
        <v>41</v>
      </c>
      <c r="L3203" s="105" t="str">
        <f t="shared" si="530"/>
        <v>Mill Creek</v>
      </c>
      <c r="M3203" s="105" t="str">
        <f t="shared" si="531"/>
        <v>Derate</v>
      </c>
      <c r="N3203" s="105" t="str">
        <f t="shared" si="532"/>
        <v>Coal</v>
      </c>
      <c r="O3203" s="105">
        <f>IFERROR(VLOOKUP(A3203,Lookup!$J$5:$P$19,7,FALSE),0)</f>
        <v>2</v>
      </c>
      <c r="P3203" s="159">
        <f t="shared" si="533"/>
        <v>2014</v>
      </c>
      <c r="Q3203" s="159">
        <f t="shared" si="534"/>
        <v>12</v>
      </c>
      <c r="R3203" s="160">
        <f t="shared" si="535"/>
        <v>3.5500000000465661</v>
      </c>
      <c r="S3203" s="158">
        <f t="shared" si="536"/>
        <v>1.2909090909260241</v>
      </c>
      <c r="T3203" s="161">
        <f t="shared" si="537"/>
        <v>382.10909091410315</v>
      </c>
      <c r="U3203" s="158">
        <f t="shared" si="539"/>
        <v>107.63636363636364</v>
      </c>
      <c r="V3203" s="160">
        <f t="shared" si="538"/>
        <v>108</v>
      </c>
    </row>
    <row r="3204" spans="1:22" x14ac:dyDescent="0.25">
      <c r="A3204" s="98" t="s">
        <v>35</v>
      </c>
      <c r="B3204" s="98" t="s">
        <v>17</v>
      </c>
      <c r="C3204" s="98">
        <v>192</v>
      </c>
      <c r="D3204" s="98">
        <v>1850</v>
      </c>
      <c r="E3204" s="157">
        <v>41983.996527777781</v>
      </c>
      <c r="F3204" s="157">
        <v>41985.172222222223</v>
      </c>
      <c r="G3204" s="98">
        <v>226</v>
      </c>
      <c r="H3204" s="98">
        <v>330</v>
      </c>
      <c r="I3204" s="98">
        <v>296</v>
      </c>
      <c r="J3204" s="98" t="s">
        <v>2263</v>
      </c>
      <c r="K3204" s="98" t="s">
        <v>41</v>
      </c>
      <c r="L3204" s="105" t="str">
        <f t="shared" si="530"/>
        <v>Mill Creek</v>
      </c>
      <c r="M3204" s="105" t="str">
        <f t="shared" si="531"/>
        <v>Derate</v>
      </c>
      <c r="N3204" s="105" t="str">
        <f t="shared" si="532"/>
        <v>Coal</v>
      </c>
      <c r="O3204" s="105">
        <f>IFERROR(VLOOKUP(A3204,Lookup!$J$5:$P$19,7,FALSE),0)</f>
        <v>2</v>
      </c>
      <c r="P3204" s="159">
        <f t="shared" si="533"/>
        <v>2014</v>
      </c>
      <c r="Q3204" s="159">
        <f t="shared" si="534"/>
        <v>12</v>
      </c>
      <c r="R3204" s="160">
        <f t="shared" si="535"/>
        <v>28.21666666661622</v>
      </c>
      <c r="S3204" s="158">
        <f t="shared" si="536"/>
        <v>8.8925252525093548</v>
      </c>
      <c r="T3204" s="161">
        <f t="shared" si="537"/>
        <v>2632.1874747427692</v>
      </c>
      <c r="U3204" s="158">
        <f t="shared" si="539"/>
        <v>93.284848484848482</v>
      </c>
      <c r="V3204" s="160">
        <f t="shared" si="538"/>
        <v>93</v>
      </c>
    </row>
    <row r="3205" spans="1:22" x14ac:dyDescent="0.25">
      <c r="A3205" s="98" t="s">
        <v>35</v>
      </c>
      <c r="B3205" s="98" t="s">
        <v>17</v>
      </c>
      <c r="C3205" s="98">
        <v>193</v>
      </c>
      <c r="D3205" s="98">
        <v>1850</v>
      </c>
      <c r="E3205" s="157">
        <v>41985.172222222223</v>
      </c>
      <c r="F3205" s="157">
        <v>41985.541666666664</v>
      </c>
      <c r="G3205" s="98">
        <v>230</v>
      </c>
      <c r="H3205" s="98">
        <v>330</v>
      </c>
      <c r="I3205" s="98">
        <v>296</v>
      </c>
      <c r="J3205" s="98" t="s">
        <v>2263</v>
      </c>
      <c r="K3205" s="98" t="s">
        <v>41</v>
      </c>
      <c r="L3205" s="105" t="str">
        <f t="shared" si="530"/>
        <v>Mill Creek</v>
      </c>
      <c r="M3205" s="105" t="str">
        <f t="shared" si="531"/>
        <v>Derate</v>
      </c>
      <c r="N3205" s="105" t="str">
        <f t="shared" si="532"/>
        <v>Coal</v>
      </c>
      <c r="O3205" s="105">
        <f>IFERROR(VLOOKUP(A3205,Lookup!$J$5:$P$19,7,FALSE),0)</f>
        <v>2</v>
      </c>
      <c r="P3205" s="159">
        <f t="shared" si="533"/>
        <v>2014</v>
      </c>
      <c r="Q3205" s="159">
        <f t="shared" si="534"/>
        <v>12</v>
      </c>
      <c r="R3205" s="160">
        <f t="shared" si="535"/>
        <v>8.8666666665812954</v>
      </c>
      <c r="S3205" s="158">
        <f t="shared" si="536"/>
        <v>2.6868686868428169</v>
      </c>
      <c r="T3205" s="161">
        <f t="shared" si="537"/>
        <v>795.3131313054738</v>
      </c>
      <c r="U3205" s="158">
        <f t="shared" si="539"/>
        <v>89.696969696969703</v>
      </c>
      <c r="V3205" s="160">
        <f t="shared" si="538"/>
        <v>90</v>
      </c>
    </row>
    <row r="3206" spans="1:22" x14ac:dyDescent="0.25">
      <c r="A3206" s="98" t="s">
        <v>35</v>
      </c>
      <c r="B3206" s="98" t="s">
        <v>17</v>
      </c>
      <c r="C3206" s="98">
        <v>194</v>
      </c>
      <c r="D3206" s="98">
        <v>1850</v>
      </c>
      <c r="E3206" s="157">
        <v>41985.541666666664</v>
      </c>
      <c r="F3206" s="157">
        <v>41987.320833333331</v>
      </c>
      <c r="G3206" s="98">
        <v>260</v>
      </c>
      <c r="H3206" s="98">
        <v>330</v>
      </c>
      <c r="I3206" s="98">
        <v>296</v>
      </c>
      <c r="J3206" s="98" t="s">
        <v>2263</v>
      </c>
      <c r="K3206" s="98" t="s">
        <v>41</v>
      </c>
      <c r="L3206" s="105" t="str">
        <f t="shared" si="530"/>
        <v>Mill Creek</v>
      </c>
      <c r="M3206" s="105" t="str">
        <f t="shared" si="531"/>
        <v>Derate</v>
      </c>
      <c r="N3206" s="105" t="str">
        <f t="shared" si="532"/>
        <v>Coal</v>
      </c>
      <c r="O3206" s="105">
        <f>IFERROR(VLOOKUP(A3206,Lookup!$J$5:$P$19,7,FALSE),0)</f>
        <v>2</v>
      </c>
      <c r="P3206" s="159">
        <f t="shared" si="533"/>
        <v>2014</v>
      </c>
      <c r="Q3206" s="159">
        <f t="shared" si="534"/>
        <v>12</v>
      </c>
      <c r="R3206" s="160">
        <f t="shared" si="535"/>
        <v>42.700000000011642</v>
      </c>
      <c r="S3206" s="158">
        <f t="shared" si="536"/>
        <v>9.0575757575782276</v>
      </c>
      <c r="T3206" s="161">
        <f t="shared" si="537"/>
        <v>2681.0424242431554</v>
      </c>
      <c r="U3206" s="158">
        <f t="shared" si="539"/>
        <v>62.787878787878789</v>
      </c>
      <c r="V3206" s="160">
        <f t="shared" si="538"/>
        <v>63</v>
      </c>
    </row>
    <row r="3207" spans="1:22" x14ac:dyDescent="0.25">
      <c r="A3207" s="98" t="s">
        <v>35</v>
      </c>
      <c r="B3207" s="98" t="s">
        <v>17</v>
      </c>
      <c r="C3207" s="98">
        <v>195</v>
      </c>
      <c r="D3207" s="98">
        <v>1850</v>
      </c>
      <c r="E3207" s="157">
        <v>41987.320833333331</v>
      </c>
      <c r="F3207" s="157">
        <v>41987.729166666664</v>
      </c>
      <c r="G3207" s="98">
        <v>230</v>
      </c>
      <c r="H3207" s="98">
        <v>330</v>
      </c>
      <c r="I3207" s="98">
        <v>296</v>
      </c>
      <c r="J3207" s="98" t="s">
        <v>2263</v>
      </c>
      <c r="K3207" s="98" t="s">
        <v>41</v>
      </c>
      <c r="L3207" s="105" t="str">
        <f t="shared" si="530"/>
        <v>Mill Creek</v>
      </c>
      <c r="M3207" s="105" t="str">
        <f t="shared" si="531"/>
        <v>Derate</v>
      </c>
      <c r="N3207" s="105" t="str">
        <f t="shared" si="532"/>
        <v>Coal</v>
      </c>
      <c r="O3207" s="105">
        <f>IFERROR(VLOOKUP(A3207,Lookup!$J$5:$P$19,7,FALSE),0)</f>
        <v>2</v>
      </c>
      <c r="P3207" s="159">
        <f t="shared" si="533"/>
        <v>2014</v>
      </c>
      <c r="Q3207" s="159">
        <f t="shared" si="534"/>
        <v>12</v>
      </c>
      <c r="R3207" s="160">
        <f t="shared" si="535"/>
        <v>9.7999999999883585</v>
      </c>
      <c r="S3207" s="158">
        <f t="shared" si="536"/>
        <v>2.9696969696934419</v>
      </c>
      <c r="T3207" s="161">
        <f t="shared" si="537"/>
        <v>879.03030302925879</v>
      </c>
      <c r="U3207" s="158">
        <f t="shared" si="539"/>
        <v>89.696969696969703</v>
      </c>
      <c r="V3207" s="160">
        <f t="shared" si="538"/>
        <v>90</v>
      </c>
    </row>
    <row r="3208" spans="1:22" x14ac:dyDescent="0.25">
      <c r="A3208" s="98" t="s">
        <v>35</v>
      </c>
      <c r="B3208" s="98" t="s">
        <v>17</v>
      </c>
      <c r="C3208" s="98">
        <v>196</v>
      </c>
      <c r="D3208" s="98">
        <v>1850</v>
      </c>
      <c r="E3208" s="157">
        <v>41987.729166666664</v>
      </c>
      <c r="F3208" s="157">
        <v>41988.109722222223</v>
      </c>
      <c r="G3208" s="98">
        <v>260</v>
      </c>
      <c r="H3208" s="98">
        <v>330</v>
      </c>
      <c r="I3208" s="98">
        <v>296</v>
      </c>
      <c r="J3208" s="98" t="s">
        <v>2263</v>
      </c>
      <c r="K3208" s="98" t="s">
        <v>41</v>
      </c>
      <c r="L3208" s="105" t="str">
        <f t="shared" si="530"/>
        <v>Mill Creek</v>
      </c>
      <c r="M3208" s="105" t="str">
        <f t="shared" si="531"/>
        <v>Derate</v>
      </c>
      <c r="N3208" s="105" t="str">
        <f t="shared" si="532"/>
        <v>Coal</v>
      </c>
      <c r="O3208" s="105">
        <f>IFERROR(VLOOKUP(A3208,Lookup!$J$5:$P$19,7,FALSE),0)</f>
        <v>2</v>
      </c>
      <c r="P3208" s="159">
        <f t="shared" si="533"/>
        <v>2014</v>
      </c>
      <c r="Q3208" s="159">
        <f t="shared" si="534"/>
        <v>12</v>
      </c>
      <c r="R3208" s="160">
        <f t="shared" si="535"/>
        <v>9.1333333334187046</v>
      </c>
      <c r="S3208" s="158">
        <f t="shared" si="536"/>
        <v>1.9373737373918465</v>
      </c>
      <c r="T3208" s="161">
        <f t="shared" si="537"/>
        <v>573.46262626798659</v>
      </c>
      <c r="U3208" s="158">
        <f t="shared" si="539"/>
        <v>62.787878787878789</v>
      </c>
      <c r="V3208" s="160">
        <f t="shared" si="538"/>
        <v>63</v>
      </c>
    </row>
    <row r="3209" spans="1:22" x14ac:dyDescent="0.25">
      <c r="A3209" s="98" t="s">
        <v>35</v>
      </c>
      <c r="B3209" s="98" t="s">
        <v>17</v>
      </c>
      <c r="C3209" s="98">
        <v>197</v>
      </c>
      <c r="D3209" s="98">
        <v>1850</v>
      </c>
      <c r="E3209" s="157">
        <v>41988.109722222223</v>
      </c>
      <c r="F3209" s="157">
        <v>41990.172222222223</v>
      </c>
      <c r="G3209" s="98">
        <v>270</v>
      </c>
      <c r="H3209" s="98">
        <v>330</v>
      </c>
      <c r="I3209" s="98">
        <v>296</v>
      </c>
      <c r="J3209" s="98" t="s">
        <v>2263</v>
      </c>
      <c r="K3209" s="98" t="s">
        <v>41</v>
      </c>
      <c r="L3209" s="105" t="str">
        <f t="shared" si="530"/>
        <v>Mill Creek</v>
      </c>
      <c r="M3209" s="105" t="str">
        <f t="shared" si="531"/>
        <v>Derate</v>
      </c>
      <c r="N3209" s="105" t="str">
        <f t="shared" si="532"/>
        <v>Coal</v>
      </c>
      <c r="O3209" s="105">
        <f>IFERROR(VLOOKUP(A3209,Lookup!$J$5:$P$19,7,FALSE),0)</f>
        <v>2</v>
      </c>
      <c r="P3209" s="159">
        <f t="shared" si="533"/>
        <v>2014</v>
      </c>
      <c r="Q3209" s="159">
        <f t="shared" si="534"/>
        <v>12</v>
      </c>
      <c r="R3209" s="160">
        <f t="shared" si="535"/>
        <v>49.5</v>
      </c>
      <c r="S3209" s="158">
        <f t="shared" si="536"/>
        <v>9</v>
      </c>
      <c r="T3209" s="161">
        <f t="shared" si="537"/>
        <v>2664</v>
      </c>
      <c r="U3209" s="158">
        <f t="shared" si="539"/>
        <v>53.81818181818182</v>
      </c>
      <c r="V3209" s="160">
        <f t="shared" si="538"/>
        <v>54</v>
      </c>
    </row>
    <row r="3210" spans="1:22" x14ac:dyDescent="0.25">
      <c r="A3210" s="98" t="s">
        <v>35</v>
      </c>
      <c r="B3210" s="98" t="s">
        <v>17</v>
      </c>
      <c r="C3210" s="98">
        <v>198</v>
      </c>
      <c r="D3210" s="98">
        <v>1850</v>
      </c>
      <c r="E3210" s="157">
        <v>41990.172222222223</v>
      </c>
      <c r="F3210" s="157">
        <v>41990.934027777781</v>
      </c>
      <c r="G3210" s="98">
        <v>310</v>
      </c>
      <c r="H3210" s="98">
        <v>330</v>
      </c>
      <c r="I3210" s="98">
        <v>296</v>
      </c>
      <c r="J3210" s="98" t="s">
        <v>2263</v>
      </c>
      <c r="K3210" s="98" t="s">
        <v>41</v>
      </c>
      <c r="L3210" s="105" t="str">
        <f t="shared" si="530"/>
        <v>Mill Creek</v>
      </c>
      <c r="M3210" s="105" t="str">
        <f t="shared" si="531"/>
        <v>Derate</v>
      </c>
      <c r="N3210" s="105" t="str">
        <f t="shared" si="532"/>
        <v>Coal</v>
      </c>
      <c r="O3210" s="105">
        <f>IFERROR(VLOOKUP(A3210,Lookup!$J$5:$P$19,7,FALSE),0)</f>
        <v>2</v>
      </c>
      <c r="P3210" s="159">
        <f t="shared" si="533"/>
        <v>2014</v>
      </c>
      <c r="Q3210" s="159">
        <f t="shared" si="534"/>
        <v>12</v>
      </c>
      <c r="R3210" s="160">
        <f t="shared" si="535"/>
        <v>18.28333333338378</v>
      </c>
      <c r="S3210" s="158">
        <f t="shared" si="536"/>
        <v>1.1080808080838656</v>
      </c>
      <c r="T3210" s="161">
        <f t="shared" si="537"/>
        <v>327.99191919282418</v>
      </c>
      <c r="U3210" s="158">
        <f t="shared" si="539"/>
        <v>17.939393939393938</v>
      </c>
      <c r="V3210" s="160">
        <f t="shared" si="538"/>
        <v>18</v>
      </c>
    </row>
    <row r="3211" spans="1:22" x14ac:dyDescent="0.25">
      <c r="A3211" s="98" t="s">
        <v>35</v>
      </c>
      <c r="B3211" s="98" t="s">
        <v>17</v>
      </c>
      <c r="C3211" s="98">
        <v>199</v>
      </c>
      <c r="D3211" s="98">
        <v>1850</v>
      </c>
      <c r="E3211" s="157">
        <v>41990.934027777781</v>
      </c>
      <c r="F3211" s="157">
        <v>41991.368055555555</v>
      </c>
      <c r="G3211" s="98">
        <v>273</v>
      </c>
      <c r="H3211" s="98">
        <v>330</v>
      </c>
      <c r="I3211" s="98">
        <v>296</v>
      </c>
      <c r="J3211" s="98" t="s">
        <v>2263</v>
      </c>
      <c r="K3211" s="98" t="s">
        <v>41</v>
      </c>
      <c r="L3211" s="105" t="str">
        <f t="shared" si="530"/>
        <v>Mill Creek</v>
      </c>
      <c r="M3211" s="105" t="str">
        <f t="shared" si="531"/>
        <v>Derate</v>
      </c>
      <c r="N3211" s="105" t="str">
        <f t="shared" si="532"/>
        <v>Coal</v>
      </c>
      <c r="O3211" s="105">
        <f>IFERROR(VLOOKUP(A3211,Lookup!$J$5:$P$19,7,FALSE),0)</f>
        <v>2</v>
      </c>
      <c r="P3211" s="159">
        <f t="shared" si="533"/>
        <v>2014</v>
      </c>
      <c r="Q3211" s="159">
        <f t="shared" si="534"/>
        <v>12</v>
      </c>
      <c r="R3211" s="160">
        <f t="shared" si="535"/>
        <v>10.416666666569654</v>
      </c>
      <c r="S3211" s="158">
        <f t="shared" si="536"/>
        <v>1.7992424242256675</v>
      </c>
      <c r="T3211" s="161">
        <f t="shared" si="537"/>
        <v>532.57575757079758</v>
      </c>
      <c r="U3211" s="158">
        <f t="shared" si="539"/>
        <v>51.127272727272725</v>
      </c>
      <c r="V3211" s="160">
        <f t="shared" si="538"/>
        <v>51</v>
      </c>
    </row>
    <row r="3212" spans="1:22" x14ac:dyDescent="0.25">
      <c r="A3212" s="98" t="s">
        <v>35</v>
      </c>
      <c r="B3212" s="98" t="s">
        <v>17</v>
      </c>
      <c r="C3212" s="98">
        <v>200</v>
      </c>
      <c r="D3212" s="98">
        <v>1850</v>
      </c>
      <c r="E3212" s="157">
        <v>41991.368055555555</v>
      </c>
      <c r="F3212" s="157">
        <v>41992.878472222219</v>
      </c>
      <c r="G3212" s="98">
        <v>320</v>
      </c>
      <c r="H3212" s="98">
        <v>330</v>
      </c>
      <c r="I3212" s="98">
        <v>296</v>
      </c>
      <c r="J3212" s="98" t="s">
        <v>2263</v>
      </c>
      <c r="K3212" s="98" t="s">
        <v>41</v>
      </c>
      <c r="L3212" s="105" t="str">
        <f t="shared" si="530"/>
        <v>Mill Creek</v>
      </c>
      <c r="M3212" s="105" t="str">
        <f t="shared" si="531"/>
        <v>Derate</v>
      </c>
      <c r="N3212" s="105" t="str">
        <f t="shared" si="532"/>
        <v>Coal</v>
      </c>
      <c r="O3212" s="105">
        <f>IFERROR(VLOOKUP(A3212,Lookup!$J$5:$P$19,7,FALSE),0)</f>
        <v>2</v>
      </c>
      <c r="P3212" s="159">
        <f t="shared" si="533"/>
        <v>2014</v>
      </c>
      <c r="Q3212" s="159">
        <f t="shared" si="534"/>
        <v>12</v>
      </c>
      <c r="R3212" s="160">
        <f t="shared" si="535"/>
        <v>36.249999999941792</v>
      </c>
      <c r="S3212" s="158">
        <f t="shared" si="536"/>
        <v>1.0984848484830847</v>
      </c>
      <c r="T3212" s="161">
        <f t="shared" si="537"/>
        <v>325.15151515099308</v>
      </c>
      <c r="U3212" s="158">
        <f t="shared" si="539"/>
        <v>8.9696969696969688</v>
      </c>
      <c r="V3212" s="160">
        <f t="shared" si="538"/>
        <v>9</v>
      </c>
    </row>
    <row r="3213" spans="1:22" x14ac:dyDescent="0.25">
      <c r="A3213" s="98" t="s">
        <v>35</v>
      </c>
      <c r="B3213" s="98" t="s">
        <v>17</v>
      </c>
      <c r="C3213" s="98">
        <v>201</v>
      </c>
      <c r="D3213" s="98">
        <v>1850</v>
      </c>
      <c r="E3213" s="157">
        <v>41993.027777777781</v>
      </c>
      <c r="F3213" s="157">
        <v>41993.617361111108</v>
      </c>
      <c r="G3213" s="98">
        <v>310</v>
      </c>
      <c r="H3213" s="98">
        <v>330</v>
      </c>
      <c r="I3213" s="98">
        <v>296</v>
      </c>
      <c r="J3213" s="98" t="s">
        <v>2263</v>
      </c>
      <c r="K3213" s="98" t="s">
        <v>41</v>
      </c>
      <c r="L3213" s="105" t="str">
        <f t="shared" si="530"/>
        <v>Mill Creek</v>
      </c>
      <c r="M3213" s="105" t="str">
        <f t="shared" si="531"/>
        <v>Derate</v>
      </c>
      <c r="N3213" s="105" t="str">
        <f t="shared" si="532"/>
        <v>Coal</v>
      </c>
      <c r="O3213" s="105">
        <f>IFERROR(VLOOKUP(A3213,Lookup!$J$5:$P$19,7,FALSE),0)</f>
        <v>2</v>
      </c>
      <c r="P3213" s="159">
        <f t="shared" si="533"/>
        <v>2014</v>
      </c>
      <c r="Q3213" s="159">
        <f t="shared" si="534"/>
        <v>12</v>
      </c>
      <c r="R3213" s="160">
        <f t="shared" si="535"/>
        <v>14.14999999984866</v>
      </c>
      <c r="S3213" s="158">
        <f t="shared" si="536"/>
        <v>0.85757575756658544</v>
      </c>
      <c r="T3213" s="161">
        <f t="shared" si="537"/>
        <v>253.84242423970929</v>
      </c>
      <c r="U3213" s="158">
        <f t="shared" si="539"/>
        <v>17.939393939393938</v>
      </c>
      <c r="V3213" s="160">
        <f t="shared" si="538"/>
        <v>18</v>
      </c>
    </row>
    <row r="3214" spans="1:22" x14ac:dyDescent="0.25">
      <c r="A3214" s="98" t="s">
        <v>35</v>
      </c>
      <c r="B3214" s="98" t="s">
        <v>20</v>
      </c>
      <c r="C3214" s="98">
        <v>202</v>
      </c>
      <c r="D3214" s="98">
        <v>9720</v>
      </c>
      <c r="E3214" s="157">
        <v>41994.042361111111</v>
      </c>
      <c r="F3214" s="157">
        <v>41995.93472222222</v>
      </c>
      <c r="G3214" s="98">
        <v>0</v>
      </c>
      <c r="H3214" s="98">
        <v>330</v>
      </c>
      <c r="I3214" s="98">
        <v>296</v>
      </c>
      <c r="J3214" s="98" t="s">
        <v>2307</v>
      </c>
      <c r="K3214" s="98" t="s">
        <v>2770</v>
      </c>
      <c r="L3214" s="105" t="str">
        <f t="shared" si="530"/>
        <v>Mill Creek</v>
      </c>
      <c r="M3214" s="105" t="str">
        <f t="shared" si="531"/>
        <v>Maintenance</v>
      </c>
      <c r="N3214" s="105" t="str">
        <f t="shared" si="532"/>
        <v>Coal</v>
      </c>
      <c r="O3214" s="105">
        <f>IFERROR(VLOOKUP(A3214,Lookup!$J$5:$P$19,7,FALSE),0)</f>
        <v>2</v>
      </c>
      <c r="P3214" s="159">
        <f t="shared" si="533"/>
        <v>2014</v>
      </c>
      <c r="Q3214" s="159">
        <f t="shared" si="534"/>
        <v>12</v>
      </c>
      <c r="R3214" s="160">
        <f t="shared" si="535"/>
        <v>45.416666666627862</v>
      </c>
      <c r="S3214" s="158">
        <f t="shared" si="536"/>
        <v>45.416666666627862</v>
      </c>
      <c r="T3214" s="161">
        <f t="shared" si="537"/>
        <v>13443.333333321847</v>
      </c>
      <c r="U3214" s="158">
        <f t="shared" si="539"/>
        <v>296</v>
      </c>
      <c r="V3214" s="160">
        <f t="shared" si="538"/>
        <v>296</v>
      </c>
    </row>
    <row r="3215" spans="1:22" x14ac:dyDescent="0.25">
      <c r="A3215" s="98" t="s">
        <v>35</v>
      </c>
      <c r="B3215" s="98" t="s">
        <v>18</v>
      </c>
      <c r="C3215" s="98">
        <v>203</v>
      </c>
      <c r="D3215" s="98">
        <v>3620</v>
      </c>
      <c r="E3215" s="157">
        <v>41995.93472222222</v>
      </c>
      <c r="F3215" s="157">
        <v>42005</v>
      </c>
      <c r="G3215" s="98">
        <v>0</v>
      </c>
      <c r="H3215" s="98">
        <v>330</v>
      </c>
      <c r="I3215" s="98">
        <v>296</v>
      </c>
      <c r="J3215" s="98" t="s">
        <v>2092</v>
      </c>
      <c r="K3215" s="98" t="s">
        <v>2771</v>
      </c>
      <c r="L3215" s="105" t="str">
        <f t="shared" si="530"/>
        <v>Mill Creek</v>
      </c>
      <c r="M3215" s="105" t="str">
        <f t="shared" si="531"/>
        <v>Outage</v>
      </c>
      <c r="N3215" s="105" t="str">
        <f t="shared" si="532"/>
        <v>Coal</v>
      </c>
      <c r="O3215" s="105">
        <f>IFERROR(VLOOKUP(A3215,Lookup!$J$5:$P$19,7,FALSE),0)</f>
        <v>2</v>
      </c>
      <c r="P3215" s="159">
        <f t="shared" si="533"/>
        <v>2014</v>
      </c>
      <c r="Q3215" s="159">
        <f t="shared" si="534"/>
        <v>12</v>
      </c>
      <c r="R3215" s="160">
        <f t="shared" si="535"/>
        <v>217.56666666670935</v>
      </c>
      <c r="S3215" s="158">
        <f t="shared" si="536"/>
        <v>217.56666666670935</v>
      </c>
      <c r="T3215" s="161">
        <f t="shared" si="537"/>
        <v>64399.733333345968</v>
      </c>
      <c r="U3215" s="158">
        <f t="shared" si="539"/>
        <v>296</v>
      </c>
      <c r="V3215" s="160">
        <f t="shared" si="538"/>
        <v>296</v>
      </c>
    </row>
    <row r="3216" spans="1:22" x14ac:dyDescent="0.25">
      <c r="A3216" s="98" t="s">
        <v>35</v>
      </c>
      <c r="B3216" s="98" t="s">
        <v>18</v>
      </c>
      <c r="C3216" s="98">
        <v>1</v>
      </c>
      <c r="D3216" s="98">
        <v>3620</v>
      </c>
      <c r="E3216" s="157">
        <v>42005</v>
      </c>
      <c r="F3216" s="157">
        <v>42009.802083333336</v>
      </c>
      <c r="G3216" s="98">
        <v>0</v>
      </c>
      <c r="H3216" s="98">
        <v>330</v>
      </c>
      <c r="I3216" s="98">
        <v>296</v>
      </c>
      <c r="J3216" s="98" t="s">
        <v>2092</v>
      </c>
      <c r="K3216" s="98" t="s">
        <v>2772</v>
      </c>
      <c r="L3216" s="105" t="str">
        <f t="shared" si="530"/>
        <v>Mill Creek</v>
      </c>
      <c r="M3216" s="105" t="str">
        <f t="shared" si="531"/>
        <v>Outage</v>
      </c>
      <c r="N3216" s="105" t="str">
        <f t="shared" si="532"/>
        <v>Coal</v>
      </c>
      <c r="O3216" s="105">
        <f>IFERROR(VLOOKUP(A3216,Lookup!$J$5:$P$19,7,FALSE),0)</f>
        <v>2</v>
      </c>
      <c r="P3216" s="159">
        <f t="shared" si="533"/>
        <v>2015</v>
      </c>
      <c r="Q3216" s="159">
        <f t="shared" si="534"/>
        <v>1</v>
      </c>
      <c r="R3216" s="160">
        <f t="shared" si="535"/>
        <v>115.25000000005821</v>
      </c>
      <c r="S3216" s="158">
        <f t="shared" si="536"/>
        <v>115.25000000005821</v>
      </c>
      <c r="T3216" s="161">
        <f t="shared" si="537"/>
        <v>34114.000000017229</v>
      </c>
      <c r="U3216" s="158">
        <f t="shared" si="539"/>
        <v>296</v>
      </c>
      <c r="V3216" s="160">
        <f t="shared" si="538"/>
        <v>296</v>
      </c>
    </row>
    <row r="3217" spans="1:22" x14ac:dyDescent="0.25">
      <c r="A3217" s="98" t="s">
        <v>35</v>
      </c>
      <c r="B3217" s="98" t="s">
        <v>79</v>
      </c>
      <c r="C3217" s="98">
        <v>2</v>
      </c>
      <c r="D3217" s="98">
        <v>1850</v>
      </c>
      <c r="E3217" s="157">
        <v>42009.802083333336</v>
      </c>
      <c r="F3217" s="157">
        <v>42009.872916666667</v>
      </c>
      <c r="G3217" s="98">
        <v>0</v>
      </c>
      <c r="H3217" s="98">
        <v>330</v>
      </c>
      <c r="I3217" s="98">
        <v>296</v>
      </c>
      <c r="J3217" s="98" t="s">
        <v>2263</v>
      </c>
      <c r="K3217" s="98" t="s">
        <v>88</v>
      </c>
      <c r="L3217" s="105" t="str">
        <f t="shared" si="530"/>
        <v>Mill Creek</v>
      </c>
      <c r="M3217" s="105" t="str">
        <f t="shared" si="531"/>
        <v>Other</v>
      </c>
      <c r="N3217" s="105" t="str">
        <f t="shared" si="532"/>
        <v>Coal</v>
      </c>
      <c r="O3217" s="105">
        <f>IFERROR(VLOOKUP(A3217,Lookup!$J$5:$P$19,7,FALSE),0)</f>
        <v>2</v>
      </c>
      <c r="P3217" s="159">
        <f t="shared" si="533"/>
        <v>2015</v>
      </c>
      <c r="Q3217" s="159">
        <f t="shared" si="534"/>
        <v>1</v>
      </c>
      <c r="R3217" s="160">
        <f t="shared" si="535"/>
        <v>1.6999999999534339</v>
      </c>
      <c r="S3217" s="158">
        <f t="shared" si="536"/>
        <v>1.6999999999534339</v>
      </c>
      <c r="T3217" s="161">
        <f t="shared" si="537"/>
        <v>503.19999998621643</v>
      </c>
      <c r="U3217" s="158">
        <f t="shared" si="539"/>
        <v>296</v>
      </c>
      <c r="V3217" s="160">
        <f t="shared" si="538"/>
        <v>296</v>
      </c>
    </row>
    <row r="3218" spans="1:22" x14ac:dyDescent="0.25">
      <c r="A3218" s="98" t="s">
        <v>35</v>
      </c>
      <c r="B3218" s="98" t="s">
        <v>15</v>
      </c>
      <c r="C3218" s="98">
        <v>3</v>
      </c>
      <c r="D3218" s="98">
        <v>4700</v>
      </c>
      <c r="E3218" s="157">
        <v>42009.872916666667</v>
      </c>
      <c r="F3218" s="157">
        <v>42010.34652777778</v>
      </c>
      <c r="G3218" s="98">
        <v>0</v>
      </c>
      <c r="H3218" s="98">
        <v>330</v>
      </c>
      <c r="I3218" s="98">
        <v>296</v>
      </c>
      <c r="J3218" s="98" t="s">
        <v>2010</v>
      </c>
      <c r="K3218" s="98" t="s">
        <v>2773</v>
      </c>
      <c r="L3218" s="105" t="str">
        <f t="shared" si="530"/>
        <v>Mill Creek</v>
      </c>
      <c r="M3218" s="105" t="str">
        <f t="shared" si="531"/>
        <v>Outage</v>
      </c>
      <c r="N3218" s="105" t="str">
        <f t="shared" si="532"/>
        <v>Coal</v>
      </c>
      <c r="O3218" s="105">
        <f>IFERROR(VLOOKUP(A3218,Lookup!$J$5:$P$19,7,FALSE),0)</f>
        <v>2</v>
      </c>
      <c r="P3218" s="159">
        <f t="shared" si="533"/>
        <v>2015</v>
      </c>
      <c r="Q3218" s="159">
        <f t="shared" si="534"/>
        <v>1</v>
      </c>
      <c r="R3218" s="160">
        <f t="shared" si="535"/>
        <v>11.366666666697711</v>
      </c>
      <c r="S3218" s="158">
        <f t="shared" si="536"/>
        <v>11.366666666697711</v>
      </c>
      <c r="T3218" s="161">
        <f t="shared" si="537"/>
        <v>3364.5333333425224</v>
      </c>
      <c r="U3218" s="158">
        <f t="shared" si="539"/>
        <v>296</v>
      </c>
      <c r="V3218" s="160">
        <f t="shared" si="538"/>
        <v>296</v>
      </c>
    </row>
    <row r="3219" spans="1:22" x14ac:dyDescent="0.25">
      <c r="A3219" s="98" t="s">
        <v>35</v>
      </c>
      <c r="B3219" s="98" t="s">
        <v>79</v>
      </c>
      <c r="C3219" s="98">
        <v>4</v>
      </c>
      <c r="D3219" s="98">
        <v>1850</v>
      </c>
      <c r="E3219" s="157">
        <v>42010.34652777778</v>
      </c>
      <c r="F3219" s="157">
        <v>42011.115277777775</v>
      </c>
      <c r="G3219" s="98">
        <v>0</v>
      </c>
      <c r="H3219" s="98">
        <v>330</v>
      </c>
      <c r="I3219" s="98">
        <v>296</v>
      </c>
      <c r="J3219" s="98" t="s">
        <v>2263</v>
      </c>
      <c r="K3219" s="98" t="s">
        <v>88</v>
      </c>
      <c r="L3219" s="105" t="str">
        <f t="shared" si="530"/>
        <v>Mill Creek</v>
      </c>
      <c r="M3219" s="105" t="str">
        <f t="shared" si="531"/>
        <v>Other</v>
      </c>
      <c r="N3219" s="105" t="str">
        <f t="shared" si="532"/>
        <v>Coal</v>
      </c>
      <c r="O3219" s="105">
        <f>IFERROR(VLOOKUP(A3219,Lookup!$J$5:$P$19,7,FALSE),0)</f>
        <v>2</v>
      </c>
      <c r="P3219" s="159">
        <f t="shared" si="533"/>
        <v>2015</v>
      </c>
      <c r="Q3219" s="159">
        <f t="shared" si="534"/>
        <v>1</v>
      </c>
      <c r="R3219" s="160">
        <f t="shared" si="535"/>
        <v>18.449999999895226</v>
      </c>
      <c r="S3219" s="158">
        <f t="shared" si="536"/>
        <v>18.449999999895226</v>
      </c>
      <c r="T3219" s="161">
        <f t="shared" si="537"/>
        <v>5461.199999968987</v>
      </c>
      <c r="U3219" s="158">
        <f t="shared" si="539"/>
        <v>296</v>
      </c>
      <c r="V3219" s="160">
        <f t="shared" si="538"/>
        <v>296</v>
      </c>
    </row>
    <row r="3220" spans="1:22" x14ac:dyDescent="0.25">
      <c r="A3220" s="98" t="s">
        <v>35</v>
      </c>
      <c r="B3220" s="98" t="s">
        <v>17</v>
      </c>
      <c r="C3220" s="98">
        <v>5</v>
      </c>
      <c r="D3220" s="98">
        <v>1850</v>
      </c>
      <c r="E3220" s="157">
        <v>42011.334722222222</v>
      </c>
      <c r="F3220" s="157">
        <v>42011.909722222219</v>
      </c>
      <c r="G3220" s="98">
        <v>262</v>
      </c>
      <c r="H3220" s="98">
        <v>330</v>
      </c>
      <c r="I3220" s="98">
        <v>296</v>
      </c>
      <c r="J3220" s="98" t="s">
        <v>2263</v>
      </c>
      <c r="K3220" s="98" t="s">
        <v>41</v>
      </c>
      <c r="L3220" s="105" t="str">
        <f t="shared" si="530"/>
        <v>Mill Creek</v>
      </c>
      <c r="M3220" s="105" t="str">
        <f t="shared" si="531"/>
        <v>Derate</v>
      </c>
      <c r="N3220" s="105" t="str">
        <f t="shared" si="532"/>
        <v>Coal</v>
      </c>
      <c r="O3220" s="105">
        <f>IFERROR(VLOOKUP(A3220,Lookup!$J$5:$P$19,7,FALSE),0)</f>
        <v>2</v>
      </c>
      <c r="P3220" s="159">
        <f t="shared" si="533"/>
        <v>2015</v>
      </c>
      <c r="Q3220" s="159">
        <f t="shared" si="534"/>
        <v>1</v>
      </c>
      <c r="R3220" s="160">
        <f t="shared" si="535"/>
        <v>13.799999999930151</v>
      </c>
      <c r="S3220" s="158">
        <f t="shared" si="536"/>
        <v>2.8436363636219704</v>
      </c>
      <c r="T3220" s="161">
        <f t="shared" si="537"/>
        <v>841.71636363210325</v>
      </c>
      <c r="U3220" s="158">
        <f t="shared" si="539"/>
        <v>60.993939393939392</v>
      </c>
      <c r="V3220" s="160">
        <f t="shared" si="538"/>
        <v>61</v>
      </c>
    </row>
    <row r="3221" spans="1:22" x14ac:dyDescent="0.25">
      <c r="A3221" s="98" t="s">
        <v>35</v>
      </c>
      <c r="B3221" s="98" t="s">
        <v>17</v>
      </c>
      <c r="C3221" s="98">
        <v>6</v>
      </c>
      <c r="D3221" s="98">
        <v>1850</v>
      </c>
      <c r="E3221" s="157">
        <v>42011.909722222219</v>
      </c>
      <c r="F3221" s="157">
        <v>42012.202777777777</v>
      </c>
      <c r="G3221" s="98">
        <v>275</v>
      </c>
      <c r="H3221" s="98">
        <v>330</v>
      </c>
      <c r="I3221" s="98">
        <v>296</v>
      </c>
      <c r="J3221" s="98" t="s">
        <v>2263</v>
      </c>
      <c r="K3221" s="98" t="s">
        <v>41</v>
      </c>
      <c r="L3221" s="105" t="str">
        <f t="shared" si="530"/>
        <v>Mill Creek</v>
      </c>
      <c r="M3221" s="105" t="str">
        <f t="shared" si="531"/>
        <v>Derate</v>
      </c>
      <c r="N3221" s="105" t="str">
        <f t="shared" si="532"/>
        <v>Coal</v>
      </c>
      <c r="O3221" s="105">
        <f>IFERROR(VLOOKUP(A3221,Lookup!$J$5:$P$19,7,FALSE),0)</f>
        <v>2</v>
      </c>
      <c r="P3221" s="159">
        <f t="shared" si="533"/>
        <v>2015</v>
      </c>
      <c r="Q3221" s="159">
        <f t="shared" si="534"/>
        <v>1</v>
      </c>
      <c r="R3221" s="160">
        <f t="shared" si="535"/>
        <v>7.03333333338378</v>
      </c>
      <c r="S3221" s="158">
        <f t="shared" si="536"/>
        <v>1.17222222223063</v>
      </c>
      <c r="T3221" s="161">
        <f t="shared" si="537"/>
        <v>346.97777778026648</v>
      </c>
      <c r="U3221" s="158">
        <f t="shared" si="539"/>
        <v>49.333333333333336</v>
      </c>
      <c r="V3221" s="160">
        <f t="shared" si="538"/>
        <v>49</v>
      </c>
    </row>
    <row r="3222" spans="1:22" x14ac:dyDescent="0.25">
      <c r="A3222" s="98" t="s">
        <v>35</v>
      </c>
      <c r="B3222" s="98" t="s">
        <v>17</v>
      </c>
      <c r="C3222" s="98">
        <v>7</v>
      </c>
      <c r="D3222" s="98">
        <v>1850</v>
      </c>
      <c r="E3222" s="157">
        <v>42012.202777777777</v>
      </c>
      <c r="F3222" s="157">
        <v>42012.510416666664</v>
      </c>
      <c r="G3222" s="98">
        <v>300</v>
      </c>
      <c r="H3222" s="98">
        <v>330</v>
      </c>
      <c r="I3222" s="98">
        <v>296</v>
      </c>
      <c r="J3222" s="98" t="s">
        <v>2263</v>
      </c>
      <c r="K3222" s="98" t="s">
        <v>41</v>
      </c>
      <c r="L3222" s="105" t="str">
        <f t="shared" si="530"/>
        <v>Mill Creek</v>
      </c>
      <c r="M3222" s="105" t="str">
        <f t="shared" si="531"/>
        <v>Derate</v>
      </c>
      <c r="N3222" s="105" t="str">
        <f t="shared" si="532"/>
        <v>Coal</v>
      </c>
      <c r="O3222" s="105">
        <f>IFERROR(VLOOKUP(A3222,Lookup!$J$5:$P$19,7,FALSE),0)</f>
        <v>2</v>
      </c>
      <c r="P3222" s="159">
        <f t="shared" si="533"/>
        <v>2015</v>
      </c>
      <c r="Q3222" s="159">
        <f t="shared" si="534"/>
        <v>1</v>
      </c>
      <c r="R3222" s="160">
        <f t="shared" si="535"/>
        <v>7.3833333333022892</v>
      </c>
      <c r="S3222" s="158">
        <f t="shared" si="536"/>
        <v>0.67121212120929907</v>
      </c>
      <c r="T3222" s="161">
        <f t="shared" si="537"/>
        <v>198.67878787795252</v>
      </c>
      <c r="U3222" s="158">
        <f t="shared" si="539"/>
        <v>26.90909090909091</v>
      </c>
      <c r="V3222" s="160">
        <f t="shared" si="538"/>
        <v>27</v>
      </c>
    </row>
    <row r="3223" spans="1:22" x14ac:dyDescent="0.25">
      <c r="A3223" s="98" t="s">
        <v>35</v>
      </c>
      <c r="B3223" s="98" t="s">
        <v>17</v>
      </c>
      <c r="C3223" s="98">
        <v>8</v>
      </c>
      <c r="D3223" s="98">
        <v>1850</v>
      </c>
      <c r="E3223" s="157">
        <v>42012.510416666664</v>
      </c>
      <c r="F3223" s="157">
        <v>42012.675694444442</v>
      </c>
      <c r="G3223" s="98">
        <v>277</v>
      </c>
      <c r="H3223" s="98">
        <v>330</v>
      </c>
      <c r="I3223" s="98">
        <v>296</v>
      </c>
      <c r="J3223" s="98" t="s">
        <v>2263</v>
      </c>
      <c r="K3223" s="98" t="s">
        <v>41</v>
      </c>
      <c r="L3223" s="105" t="str">
        <f t="shared" si="530"/>
        <v>Mill Creek</v>
      </c>
      <c r="M3223" s="105" t="str">
        <f t="shared" si="531"/>
        <v>Derate</v>
      </c>
      <c r="N3223" s="105" t="str">
        <f t="shared" si="532"/>
        <v>Coal</v>
      </c>
      <c r="O3223" s="105">
        <f>IFERROR(VLOOKUP(A3223,Lookup!$J$5:$P$19,7,FALSE),0)</f>
        <v>2</v>
      </c>
      <c r="P3223" s="159">
        <f t="shared" si="533"/>
        <v>2015</v>
      </c>
      <c r="Q3223" s="159">
        <f t="shared" si="534"/>
        <v>1</v>
      </c>
      <c r="R3223" s="160">
        <f t="shared" si="535"/>
        <v>3.9666666666744277</v>
      </c>
      <c r="S3223" s="158">
        <f t="shared" si="536"/>
        <v>0.63707070707195357</v>
      </c>
      <c r="T3223" s="161">
        <f t="shared" si="537"/>
        <v>188.57292929329824</v>
      </c>
      <c r="U3223" s="158">
        <f t="shared" si="539"/>
        <v>47.539393939393939</v>
      </c>
      <c r="V3223" s="160">
        <f t="shared" si="538"/>
        <v>48</v>
      </c>
    </row>
    <row r="3224" spans="1:22" x14ac:dyDescent="0.25">
      <c r="A3224" s="98" t="s">
        <v>35</v>
      </c>
      <c r="B3224" s="98" t="s">
        <v>17</v>
      </c>
      <c r="C3224" s="98">
        <v>9</v>
      </c>
      <c r="D3224" s="98">
        <v>1850</v>
      </c>
      <c r="E3224" s="157">
        <v>42012.675694444442</v>
      </c>
      <c r="F3224" s="157">
        <v>42013.322916666664</v>
      </c>
      <c r="G3224" s="98">
        <v>296</v>
      </c>
      <c r="H3224" s="98">
        <v>330</v>
      </c>
      <c r="I3224" s="98">
        <v>296</v>
      </c>
      <c r="J3224" s="98" t="s">
        <v>2263</v>
      </c>
      <c r="K3224" s="98" t="s">
        <v>41</v>
      </c>
      <c r="L3224" s="105" t="str">
        <f t="shared" si="530"/>
        <v>Mill Creek</v>
      </c>
      <c r="M3224" s="105" t="str">
        <f t="shared" si="531"/>
        <v>Derate</v>
      </c>
      <c r="N3224" s="105" t="str">
        <f t="shared" si="532"/>
        <v>Coal</v>
      </c>
      <c r="O3224" s="105">
        <f>IFERROR(VLOOKUP(A3224,Lookup!$J$5:$P$19,7,FALSE),0)</f>
        <v>2</v>
      </c>
      <c r="P3224" s="159">
        <f t="shared" si="533"/>
        <v>2015</v>
      </c>
      <c r="Q3224" s="159">
        <f t="shared" si="534"/>
        <v>1</v>
      </c>
      <c r="R3224" s="160">
        <f t="shared" si="535"/>
        <v>15.533333333325572</v>
      </c>
      <c r="S3224" s="158">
        <f t="shared" si="536"/>
        <v>1.6004040404032407</v>
      </c>
      <c r="T3224" s="161">
        <f t="shared" si="537"/>
        <v>473.71959595935925</v>
      </c>
      <c r="U3224" s="158">
        <f t="shared" si="539"/>
        <v>30.496969696969696</v>
      </c>
      <c r="V3224" s="160">
        <f t="shared" si="538"/>
        <v>30</v>
      </c>
    </row>
    <row r="3225" spans="1:22" x14ac:dyDescent="0.25">
      <c r="A3225" s="98" t="s">
        <v>35</v>
      </c>
      <c r="B3225" s="98" t="s">
        <v>17</v>
      </c>
      <c r="C3225" s="98">
        <v>10</v>
      </c>
      <c r="D3225" s="98">
        <v>1850</v>
      </c>
      <c r="E3225" s="157">
        <v>42013.322916666664</v>
      </c>
      <c r="F3225" s="157">
        <v>42016.322222222225</v>
      </c>
      <c r="G3225" s="98">
        <v>315</v>
      </c>
      <c r="H3225" s="98">
        <v>330</v>
      </c>
      <c r="I3225" s="98">
        <v>296</v>
      </c>
      <c r="J3225" s="98" t="s">
        <v>2263</v>
      </c>
      <c r="K3225" s="98" t="s">
        <v>41</v>
      </c>
      <c r="L3225" s="105" t="str">
        <f t="shared" si="530"/>
        <v>Mill Creek</v>
      </c>
      <c r="M3225" s="105" t="str">
        <f t="shared" si="531"/>
        <v>Derate</v>
      </c>
      <c r="N3225" s="105" t="str">
        <f t="shared" si="532"/>
        <v>Coal</v>
      </c>
      <c r="O3225" s="105">
        <f>IFERROR(VLOOKUP(A3225,Lookup!$J$5:$P$19,7,FALSE),0)</f>
        <v>2</v>
      </c>
      <c r="P3225" s="159">
        <f t="shared" si="533"/>
        <v>2015</v>
      </c>
      <c r="Q3225" s="159">
        <f t="shared" si="534"/>
        <v>1</v>
      </c>
      <c r="R3225" s="160">
        <f t="shared" si="535"/>
        <v>71.983333333453629</v>
      </c>
      <c r="S3225" s="158">
        <f t="shared" si="536"/>
        <v>3.271969696975165</v>
      </c>
      <c r="T3225" s="161">
        <f t="shared" si="537"/>
        <v>968.50303030464886</v>
      </c>
      <c r="U3225" s="158">
        <f t="shared" si="539"/>
        <v>13.454545454545455</v>
      </c>
      <c r="V3225" s="160">
        <f t="shared" si="538"/>
        <v>13</v>
      </c>
    </row>
    <row r="3226" spans="1:22" x14ac:dyDescent="0.25">
      <c r="A3226" s="98" t="s">
        <v>35</v>
      </c>
      <c r="B3226" s="98" t="s">
        <v>17</v>
      </c>
      <c r="C3226" s="98">
        <v>11</v>
      </c>
      <c r="D3226" s="98">
        <v>1850</v>
      </c>
      <c r="E3226" s="157">
        <v>42016.322222222225</v>
      </c>
      <c r="F3226" s="157">
        <v>42017.252083333333</v>
      </c>
      <c r="G3226" s="98">
        <v>322</v>
      </c>
      <c r="H3226" s="98">
        <v>330</v>
      </c>
      <c r="I3226" s="98">
        <v>296</v>
      </c>
      <c r="J3226" s="98" t="s">
        <v>2263</v>
      </c>
      <c r="K3226" s="98" t="s">
        <v>41</v>
      </c>
      <c r="L3226" s="105" t="str">
        <f t="shared" si="530"/>
        <v>Mill Creek</v>
      </c>
      <c r="M3226" s="105" t="str">
        <f t="shared" si="531"/>
        <v>Derate</v>
      </c>
      <c r="N3226" s="105" t="str">
        <f t="shared" si="532"/>
        <v>Coal</v>
      </c>
      <c r="O3226" s="105">
        <f>IFERROR(VLOOKUP(A3226,Lookup!$J$5:$P$19,7,FALSE),0)</f>
        <v>2</v>
      </c>
      <c r="P3226" s="159">
        <f t="shared" si="533"/>
        <v>2015</v>
      </c>
      <c r="Q3226" s="159">
        <f t="shared" si="534"/>
        <v>1</v>
      </c>
      <c r="R3226" s="160">
        <f t="shared" si="535"/>
        <v>22.316666666592937</v>
      </c>
      <c r="S3226" s="158">
        <f t="shared" si="536"/>
        <v>0.54101010100831359</v>
      </c>
      <c r="T3226" s="161">
        <f t="shared" si="537"/>
        <v>160.13898989846084</v>
      </c>
      <c r="U3226" s="158">
        <f t="shared" si="539"/>
        <v>7.1757575757575758</v>
      </c>
      <c r="V3226" s="160">
        <f t="shared" si="538"/>
        <v>7</v>
      </c>
    </row>
    <row r="3227" spans="1:22" x14ac:dyDescent="0.25">
      <c r="A3227" s="98" t="s">
        <v>35</v>
      </c>
      <c r="B3227" s="98" t="s">
        <v>17</v>
      </c>
      <c r="C3227" s="98">
        <v>12</v>
      </c>
      <c r="D3227" s="98">
        <v>1850</v>
      </c>
      <c r="E3227" s="157">
        <v>42017.400694444441</v>
      </c>
      <c r="F3227" s="157">
        <v>42017.693055555559</v>
      </c>
      <c r="G3227" s="98">
        <v>300</v>
      </c>
      <c r="H3227" s="98">
        <v>330</v>
      </c>
      <c r="I3227" s="98">
        <v>296</v>
      </c>
      <c r="J3227" s="98" t="s">
        <v>2263</v>
      </c>
      <c r="K3227" s="98" t="s">
        <v>41</v>
      </c>
      <c r="L3227" s="105" t="str">
        <f t="shared" si="530"/>
        <v>Mill Creek</v>
      </c>
      <c r="M3227" s="105" t="str">
        <f t="shared" si="531"/>
        <v>Derate</v>
      </c>
      <c r="N3227" s="105" t="str">
        <f t="shared" si="532"/>
        <v>Coal</v>
      </c>
      <c r="O3227" s="105">
        <f>IFERROR(VLOOKUP(A3227,Lookup!$J$5:$P$19,7,FALSE),0)</f>
        <v>2</v>
      </c>
      <c r="P3227" s="159">
        <f t="shared" si="533"/>
        <v>2015</v>
      </c>
      <c r="Q3227" s="159">
        <f t="shared" si="534"/>
        <v>1</v>
      </c>
      <c r="R3227" s="160">
        <f t="shared" si="535"/>
        <v>7.0166666668374091</v>
      </c>
      <c r="S3227" s="158">
        <f t="shared" si="536"/>
        <v>0.63787878789430996</v>
      </c>
      <c r="T3227" s="161">
        <f t="shared" si="537"/>
        <v>188.81212121671575</v>
      </c>
      <c r="U3227" s="158">
        <f t="shared" si="539"/>
        <v>26.90909090909091</v>
      </c>
      <c r="V3227" s="160">
        <f t="shared" si="538"/>
        <v>27</v>
      </c>
    </row>
    <row r="3228" spans="1:22" x14ac:dyDescent="0.25">
      <c r="A3228" s="98" t="s">
        <v>35</v>
      </c>
      <c r="B3228" s="98" t="s">
        <v>20</v>
      </c>
      <c r="C3228" s="98">
        <v>13</v>
      </c>
      <c r="D3228" s="98">
        <v>4619</v>
      </c>
      <c r="E3228" s="157">
        <v>42021.435416666667</v>
      </c>
      <c r="F3228" s="157">
        <v>42023.068055555559</v>
      </c>
      <c r="G3228" s="98">
        <v>0</v>
      </c>
      <c r="H3228" s="98">
        <v>330</v>
      </c>
      <c r="I3228" s="98">
        <v>296</v>
      </c>
      <c r="J3228" s="98" t="s">
        <v>2086</v>
      </c>
      <c r="K3228" s="98" t="s">
        <v>2774</v>
      </c>
      <c r="L3228" s="105" t="str">
        <f t="shared" si="530"/>
        <v>Mill Creek</v>
      </c>
      <c r="M3228" s="105" t="str">
        <f t="shared" si="531"/>
        <v>Maintenance</v>
      </c>
      <c r="N3228" s="105" t="str">
        <f t="shared" si="532"/>
        <v>Coal</v>
      </c>
      <c r="O3228" s="105">
        <f>IFERROR(VLOOKUP(A3228,Lookup!$J$5:$P$19,7,FALSE),0)</f>
        <v>2</v>
      </c>
      <c r="P3228" s="159">
        <f t="shared" si="533"/>
        <v>2015</v>
      </c>
      <c r="Q3228" s="159">
        <f t="shared" si="534"/>
        <v>1</v>
      </c>
      <c r="R3228" s="160">
        <f t="shared" si="535"/>
        <v>39.183333333407063</v>
      </c>
      <c r="S3228" s="158">
        <f t="shared" si="536"/>
        <v>39.183333333407063</v>
      </c>
      <c r="T3228" s="161">
        <f t="shared" si="537"/>
        <v>11598.266666688491</v>
      </c>
      <c r="U3228" s="158">
        <f t="shared" si="539"/>
        <v>296</v>
      </c>
      <c r="V3228" s="160">
        <f t="shared" si="538"/>
        <v>296</v>
      </c>
    </row>
    <row r="3229" spans="1:22" x14ac:dyDescent="0.25">
      <c r="A3229" s="98" t="s">
        <v>35</v>
      </c>
      <c r="B3229" s="98" t="s">
        <v>79</v>
      </c>
      <c r="C3229" s="98">
        <v>14</v>
      </c>
      <c r="D3229" s="98">
        <v>1850</v>
      </c>
      <c r="E3229" s="157">
        <v>42023.068055555559</v>
      </c>
      <c r="F3229" s="157">
        <v>42023.318055555559</v>
      </c>
      <c r="G3229" s="98">
        <v>0</v>
      </c>
      <c r="H3229" s="98">
        <v>330</v>
      </c>
      <c r="I3229" s="98">
        <v>296</v>
      </c>
      <c r="J3229" s="98" t="s">
        <v>2263</v>
      </c>
      <c r="K3229" s="98" t="s">
        <v>86</v>
      </c>
      <c r="L3229" s="105" t="str">
        <f t="shared" si="530"/>
        <v>Mill Creek</v>
      </c>
      <c r="M3229" s="105" t="str">
        <f t="shared" si="531"/>
        <v>Other</v>
      </c>
      <c r="N3229" s="105" t="str">
        <f t="shared" si="532"/>
        <v>Coal</v>
      </c>
      <c r="O3229" s="105">
        <f>IFERROR(VLOOKUP(A3229,Lookup!$J$5:$P$19,7,FALSE),0)</f>
        <v>2</v>
      </c>
      <c r="P3229" s="159">
        <f t="shared" si="533"/>
        <v>2015</v>
      </c>
      <c r="Q3229" s="159">
        <f t="shared" si="534"/>
        <v>1</v>
      </c>
      <c r="R3229" s="160">
        <f t="shared" si="535"/>
        <v>6</v>
      </c>
      <c r="S3229" s="158">
        <f t="shared" si="536"/>
        <v>6</v>
      </c>
      <c r="T3229" s="161">
        <f t="shared" si="537"/>
        <v>1776</v>
      </c>
      <c r="U3229" s="158">
        <f t="shared" si="539"/>
        <v>296</v>
      </c>
      <c r="V3229" s="160">
        <f t="shared" si="538"/>
        <v>296</v>
      </c>
    </row>
    <row r="3230" spans="1:22" x14ac:dyDescent="0.25">
      <c r="A3230" s="98" t="s">
        <v>35</v>
      </c>
      <c r="B3230" s="98" t="s">
        <v>17</v>
      </c>
      <c r="C3230" s="98">
        <v>15</v>
      </c>
      <c r="D3230" s="98">
        <v>1850</v>
      </c>
      <c r="E3230" s="157">
        <v>42023.318055555559</v>
      </c>
      <c r="F3230" s="157">
        <v>42024.125</v>
      </c>
      <c r="G3230" s="98">
        <v>190</v>
      </c>
      <c r="H3230" s="98">
        <v>330</v>
      </c>
      <c r="I3230" s="98">
        <v>296</v>
      </c>
      <c r="J3230" s="98" t="s">
        <v>2263</v>
      </c>
      <c r="K3230" s="98" t="s">
        <v>41</v>
      </c>
      <c r="L3230" s="105" t="str">
        <f t="shared" si="530"/>
        <v>Mill Creek</v>
      </c>
      <c r="M3230" s="105" t="str">
        <f t="shared" si="531"/>
        <v>Derate</v>
      </c>
      <c r="N3230" s="105" t="str">
        <f t="shared" si="532"/>
        <v>Coal</v>
      </c>
      <c r="O3230" s="105">
        <f>IFERROR(VLOOKUP(A3230,Lookup!$J$5:$P$19,7,FALSE),0)</f>
        <v>2</v>
      </c>
      <c r="P3230" s="159">
        <f t="shared" si="533"/>
        <v>2015</v>
      </c>
      <c r="Q3230" s="159">
        <f t="shared" si="534"/>
        <v>1</v>
      </c>
      <c r="R3230" s="160">
        <f t="shared" si="535"/>
        <v>19.366666666581295</v>
      </c>
      <c r="S3230" s="158">
        <f t="shared" si="536"/>
        <v>8.2161616161253974</v>
      </c>
      <c r="T3230" s="161">
        <f t="shared" si="537"/>
        <v>2431.9838383731176</v>
      </c>
      <c r="U3230" s="158">
        <f t="shared" si="539"/>
        <v>125.57575757575758</v>
      </c>
      <c r="V3230" s="160">
        <f t="shared" si="538"/>
        <v>126</v>
      </c>
    </row>
    <row r="3231" spans="1:22" x14ac:dyDescent="0.25">
      <c r="A3231" s="98" t="s">
        <v>35</v>
      </c>
      <c r="B3231" s="98" t="s">
        <v>17</v>
      </c>
      <c r="C3231" s="98">
        <v>16</v>
      </c>
      <c r="D3231" s="98">
        <v>1850</v>
      </c>
      <c r="E3231" s="157">
        <v>42024.125</v>
      </c>
      <c r="F3231" s="157">
        <v>42024.413194444445</v>
      </c>
      <c r="G3231" s="98">
        <v>240</v>
      </c>
      <c r="H3231" s="98">
        <v>330</v>
      </c>
      <c r="I3231" s="98">
        <v>296</v>
      </c>
      <c r="J3231" s="98" t="s">
        <v>2263</v>
      </c>
      <c r="K3231" s="98" t="s">
        <v>41</v>
      </c>
      <c r="L3231" s="105" t="str">
        <f t="shared" si="530"/>
        <v>Mill Creek</v>
      </c>
      <c r="M3231" s="105" t="str">
        <f t="shared" si="531"/>
        <v>Derate</v>
      </c>
      <c r="N3231" s="105" t="str">
        <f t="shared" si="532"/>
        <v>Coal</v>
      </c>
      <c r="O3231" s="105">
        <f>IFERROR(VLOOKUP(A3231,Lookup!$J$5:$P$19,7,FALSE),0)</f>
        <v>2</v>
      </c>
      <c r="P3231" s="159">
        <f t="shared" si="533"/>
        <v>2015</v>
      </c>
      <c r="Q3231" s="159">
        <f t="shared" si="534"/>
        <v>1</v>
      </c>
      <c r="R3231" s="160">
        <f t="shared" si="535"/>
        <v>6.9166666666860692</v>
      </c>
      <c r="S3231" s="158">
        <f t="shared" si="536"/>
        <v>1.886363636368928</v>
      </c>
      <c r="T3231" s="161">
        <f t="shared" si="537"/>
        <v>558.36363636520264</v>
      </c>
      <c r="U3231" s="158">
        <f t="shared" si="539"/>
        <v>80.727272727272734</v>
      </c>
      <c r="V3231" s="160">
        <f t="shared" si="538"/>
        <v>81</v>
      </c>
    </row>
    <row r="3232" spans="1:22" x14ac:dyDescent="0.25">
      <c r="A3232" s="98" t="s">
        <v>35</v>
      </c>
      <c r="B3232" s="98" t="s">
        <v>17</v>
      </c>
      <c r="C3232" s="98">
        <v>17</v>
      </c>
      <c r="D3232" s="98">
        <v>1850</v>
      </c>
      <c r="E3232" s="157">
        <v>42024.413194444445</v>
      </c>
      <c r="F3232" s="162">
        <v>42025.080555555556</v>
      </c>
      <c r="G3232" s="98">
        <v>295</v>
      </c>
      <c r="H3232" s="98">
        <v>330</v>
      </c>
      <c r="I3232" s="98">
        <v>296</v>
      </c>
      <c r="J3232" s="98" t="s">
        <v>2263</v>
      </c>
      <c r="K3232" s="98" t="s">
        <v>41</v>
      </c>
      <c r="L3232" s="105" t="str">
        <f t="shared" si="530"/>
        <v>Mill Creek</v>
      </c>
      <c r="M3232" s="105" t="str">
        <f t="shared" si="531"/>
        <v>Derate</v>
      </c>
      <c r="N3232" s="105" t="str">
        <f t="shared" si="532"/>
        <v>Coal</v>
      </c>
      <c r="O3232" s="105">
        <f>IFERROR(VLOOKUP(A3232,Lookup!$J$5:$P$19,7,FALSE),0)</f>
        <v>2</v>
      </c>
      <c r="P3232" s="159">
        <f t="shared" si="533"/>
        <v>2015</v>
      </c>
      <c r="Q3232" s="159">
        <f t="shared" si="534"/>
        <v>1</v>
      </c>
      <c r="R3232" s="160">
        <f t="shared" si="535"/>
        <v>16.016666666662786</v>
      </c>
      <c r="S3232" s="158">
        <f t="shared" si="536"/>
        <v>1.6987373737369622</v>
      </c>
      <c r="T3232" s="161">
        <f t="shared" si="537"/>
        <v>502.82626262614082</v>
      </c>
      <c r="U3232" s="158">
        <f t="shared" si="539"/>
        <v>31.393939393939394</v>
      </c>
      <c r="V3232" s="160">
        <f t="shared" si="538"/>
        <v>31</v>
      </c>
    </row>
    <row r="3233" spans="1:22" x14ac:dyDescent="0.25">
      <c r="A3233" s="98" t="s">
        <v>35</v>
      </c>
      <c r="B3233" s="98" t="s">
        <v>17</v>
      </c>
      <c r="C3233" s="98">
        <v>18</v>
      </c>
      <c r="D3233" s="98">
        <v>4700</v>
      </c>
      <c r="E3233" s="157">
        <v>42025.080555555556</v>
      </c>
      <c r="F3233" s="157">
        <v>42025.334027777775</v>
      </c>
      <c r="G3233" s="98">
        <v>235</v>
      </c>
      <c r="H3233" s="98">
        <v>330</v>
      </c>
      <c r="I3233" s="98">
        <v>296</v>
      </c>
      <c r="J3233" s="98" t="s">
        <v>2010</v>
      </c>
      <c r="K3233" s="98" t="s">
        <v>2775</v>
      </c>
      <c r="L3233" s="105" t="str">
        <f t="shared" si="530"/>
        <v>Mill Creek</v>
      </c>
      <c r="M3233" s="105" t="str">
        <f t="shared" si="531"/>
        <v>Derate</v>
      </c>
      <c r="N3233" s="105" t="str">
        <f t="shared" si="532"/>
        <v>Coal</v>
      </c>
      <c r="O3233" s="105">
        <f>IFERROR(VLOOKUP(A3233,Lookup!$J$5:$P$19,7,FALSE),0)</f>
        <v>2</v>
      </c>
      <c r="P3233" s="159">
        <f t="shared" si="533"/>
        <v>2015</v>
      </c>
      <c r="Q3233" s="159">
        <f t="shared" si="534"/>
        <v>1</v>
      </c>
      <c r="R3233" s="160">
        <f t="shared" si="535"/>
        <v>6.0833333332557231</v>
      </c>
      <c r="S3233" s="158">
        <f t="shared" si="536"/>
        <v>1.7512626262402839</v>
      </c>
      <c r="T3233" s="161">
        <f t="shared" si="537"/>
        <v>518.37373736712402</v>
      </c>
      <c r="U3233" s="158">
        <f t="shared" si="539"/>
        <v>85.212121212121218</v>
      </c>
      <c r="V3233" s="160">
        <f t="shared" si="538"/>
        <v>85</v>
      </c>
    </row>
    <row r="3234" spans="1:22" x14ac:dyDescent="0.25">
      <c r="A3234" s="98" t="s">
        <v>35</v>
      </c>
      <c r="B3234" s="98" t="s">
        <v>79</v>
      </c>
      <c r="C3234" s="98">
        <v>19</v>
      </c>
      <c r="D3234" s="98">
        <v>9999</v>
      </c>
      <c r="E3234" s="157">
        <v>42038.291666666664</v>
      </c>
      <c r="F3234" s="157">
        <v>42038.592361111114</v>
      </c>
      <c r="G3234" s="98">
        <v>0</v>
      </c>
      <c r="H3234" s="98">
        <v>330</v>
      </c>
      <c r="I3234" s="98">
        <v>296</v>
      </c>
      <c r="J3234" s="98" t="s">
        <v>2261</v>
      </c>
      <c r="K3234" s="98" t="s">
        <v>2698</v>
      </c>
      <c r="L3234" s="105" t="str">
        <f t="shared" si="530"/>
        <v>Mill Creek</v>
      </c>
      <c r="M3234" s="105" t="str">
        <f t="shared" si="531"/>
        <v>Other</v>
      </c>
      <c r="N3234" s="105" t="str">
        <f t="shared" si="532"/>
        <v>Coal</v>
      </c>
      <c r="O3234" s="105">
        <f>IFERROR(VLOOKUP(A3234,Lookup!$J$5:$P$19,7,FALSE),0)</f>
        <v>2</v>
      </c>
      <c r="P3234" s="159">
        <f t="shared" si="533"/>
        <v>2015</v>
      </c>
      <c r="Q3234" s="159">
        <f t="shared" si="534"/>
        <v>2</v>
      </c>
      <c r="R3234" s="160">
        <f t="shared" si="535"/>
        <v>7.216666666790843</v>
      </c>
      <c r="S3234" s="158">
        <f t="shared" si="536"/>
        <v>7.216666666790843</v>
      </c>
      <c r="T3234" s="161">
        <f t="shared" si="537"/>
        <v>2136.1333333700895</v>
      </c>
      <c r="U3234" s="158">
        <f t="shared" si="539"/>
        <v>296</v>
      </c>
      <c r="V3234" s="160">
        <f t="shared" si="538"/>
        <v>296</v>
      </c>
    </row>
    <row r="3235" spans="1:22" x14ac:dyDescent="0.25">
      <c r="A3235" s="98" t="s">
        <v>35</v>
      </c>
      <c r="B3235" s="98" t="s">
        <v>79</v>
      </c>
      <c r="C3235" s="98">
        <v>20</v>
      </c>
      <c r="D3235" s="98">
        <v>1160</v>
      </c>
      <c r="E3235" s="157">
        <v>42057.333333333336</v>
      </c>
      <c r="F3235" s="157">
        <v>42057.537499999999</v>
      </c>
      <c r="G3235" s="98">
        <v>0</v>
      </c>
      <c r="H3235" s="98">
        <v>330</v>
      </c>
      <c r="I3235" s="98">
        <v>296</v>
      </c>
      <c r="J3235" s="98" t="s">
        <v>2273</v>
      </c>
      <c r="K3235" s="98" t="s">
        <v>2776</v>
      </c>
      <c r="L3235" s="105" t="str">
        <f t="shared" si="530"/>
        <v>Mill Creek</v>
      </c>
      <c r="M3235" s="105" t="str">
        <f t="shared" si="531"/>
        <v>Other</v>
      </c>
      <c r="N3235" s="105" t="str">
        <f t="shared" si="532"/>
        <v>Coal</v>
      </c>
      <c r="O3235" s="105">
        <f>IFERROR(VLOOKUP(A3235,Lookup!$J$5:$P$19,7,FALSE),0)</f>
        <v>2</v>
      </c>
      <c r="P3235" s="159">
        <f t="shared" si="533"/>
        <v>2015</v>
      </c>
      <c r="Q3235" s="159">
        <f t="shared" si="534"/>
        <v>2</v>
      </c>
      <c r="R3235" s="160">
        <f t="shared" si="535"/>
        <v>4.8999999999068677</v>
      </c>
      <c r="S3235" s="158">
        <f t="shared" si="536"/>
        <v>4.8999999999068677</v>
      </c>
      <c r="T3235" s="161">
        <f t="shared" si="537"/>
        <v>1450.3999999724329</v>
      </c>
      <c r="U3235" s="158">
        <f t="shared" si="539"/>
        <v>296</v>
      </c>
      <c r="V3235" s="160">
        <f t="shared" si="538"/>
        <v>296</v>
      </c>
    </row>
    <row r="3236" spans="1:22" x14ac:dyDescent="0.25">
      <c r="A3236" s="98" t="s">
        <v>35</v>
      </c>
      <c r="B3236" s="98" t="s">
        <v>17</v>
      </c>
      <c r="C3236" s="98">
        <v>21</v>
      </c>
      <c r="D3236" s="98">
        <v>250</v>
      </c>
      <c r="E3236" s="157">
        <v>42064.027083333334</v>
      </c>
      <c r="F3236" s="157">
        <v>42064.119444444441</v>
      </c>
      <c r="G3236" s="98">
        <v>250</v>
      </c>
      <c r="H3236" s="98">
        <v>330</v>
      </c>
      <c r="I3236" s="98">
        <v>296</v>
      </c>
      <c r="J3236" s="98" t="s">
        <v>1978</v>
      </c>
      <c r="K3236" s="98" t="s">
        <v>2777</v>
      </c>
      <c r="L3236" s="105" t="str">
        <f t="shared" si="530"/>
        <v>Mill Creek</v>
      </c>
      <c r="M3236" s="105" t="str">
        <f t="shared" si="531"/>
        <v>Derate</v>
      </c>
      <c r="N3236" s="105" t="str">
        <f t="shared" si="532"/>
        <v>Coal</v>
      </c>
      <c r="O3236" s="105">
        <f>IFERROR(VLOOKUP(A3236,Lookup!$J$5:$P$19,7,FALSE),0)</f>
        <v>2</v>
      </c>
      <c r="P3236" s="159">
        <f t="shared" si="533"/>
        <v>2015</v>
      </c>
      <c r="Q3236" s="159">
        <f t="shared" si="534"/>
        <v>3</v>
      </c>
      <c r="R3236" s="160">
        <f t="shared" si="535"/>
        <v>2.2166666665580124</v>
      </c>
      <c r="S3236" s="158">
        <f t="shared" si="536"/>
        <v>0.53737373734739691</v>
      </c>
      <c r="T3236" s="161">
        <f t="shared" si="537"/>
        <v>159.0626262548295</v>
      </c>
      <c r="U3236" s="158">
        <f t="shared" si="539"/>
        <v>71.757575757575751</v>
      </c>
      <c r="V3236" s="160">
        <f t="shared" si="538"/>
        <v>72</v>
      </c>
    </row>
    <row r="3237" spans="1:22" x14ac:dyDescent="0.25">
      <c r="A3237" s="98" t="s">
        <v>35</v>
      </c>
      <c r="B3237" s="98" t="s">
        <v>105</v>
      </c>
      <c r="C3237" s="98">
        <v>22</v>
      </c>
      <c r="D3237" s="98">
        <v>8280</v>
      </c>
      <c r="E3237" s="157">
        <v>42066.916666666664</v>
      </c>
      <c r="F3237" s="157">
        <v>42067.099305555559</v>
      </c>
      <c r="G3237" s="98">
        <v>150</v>
      </c>
      <c r="H3237" s="98">
        <v>330</v>
      </c>
      <c r="I3237" s="98">
        <v>296</v>
      </c>
      <c r="J3237" s="98" t="s">
        <v>2255</v>
      </c>
      <c r="K3237" s="98" t="s">
        <v>2707</v>
      </c>
      <c r="L3237" s="105" t="str">
        <f t="shared" si="530"/>
        <v>Mill Creek</v>
      </c>
      <c r="M3237" s="105" t="str">
        <f t="shared" si="531"/>
        <v>Derate</v>
      </c>
      <c r="N3237" s="105" t="str">
        <f t="shared" si="532"/>
        <v>Coal</v>
      </c>
      <c r="O3237" s="105">
        <f>IFERROR(VLOOKUP(A3237,Lookup!$J$5:$P$19,7,FALSE),0)</f>
        <v>2</v>
      </c>
      <c r="P3237" s="159">
        <f t="shared" si="533"/>
        <v>2015</v>
      </c>
      <c r="Q3237" s="159">
        <f t="shared" si="534"/>
        <v>3</v>
      </c>
      <c r="R3237" s="160">
        <f t="shared" si="535"/>
        <v>4.3833333334769122</v>
      </c>
      <c r="S3237" s="158">
        <f t="shared" si="536"/>
        <v>2.3909090909874067</v>
      </c>
      <c r="T3237" s="161">
        <f t="shared" si="537"/>
        <v>707.70909093227237</v>
      </c>
      <c r="U3237" s="158">
        <f t="shared" si="539"/>
        <v>161.45454545454547</v>
      </c>
      <c r="V3237" s="160">
        <f t="shared" si="538"/>
        <v>161</v>
      </c>
    </row>
    <row r="3238" spans="1:22" x14ac:dyDescent="0.25">
      <c r="A3238" s="98" t="s">
        <v>35</v>
      </c>
      <c r="B3238" s="98" t="s">
        <v>17</v>
      </c>
      <c r="C3238" s="98">
        <v>23</v>
      </c>
      <c r="D3238" s="98">
        <v>250</v>
      </c>
      <c r="E3238" s="157">
        <v>42067.9375</v>
      </c>
      <c r="F3238" s="157">
        <v>42068.022916666669</v>
      </c>
      <c r="G3238" s="98">
        <v>230</v>
      </c>
      <c r="H3238" s="98">
        <v>330</v>
      </c>
      <c r="I3238" s="98">
        <v>296</v>
      </c>
      <c r="J3238" s="98" t="s">
        <v>1978</v>
      </c>
      <c r="K3238" s="98" t="s">
        <v>91</v>
      </c>
      <c r="L3238" s="105" t="str">
        <f t="shared" ref="L3238:L3301" si="540">IF(OR(A3238="BR1",A3238="BR2",A3238="BR3",A3238="BR5",A3238="BR6",A3238="BR7",A3238="BR8",A3238="BR9",A3238="BR10",A3238="BR11"),"Brown",IF(OR(A3238="CR4",A3238="CR5",A3238="CR6",A3238="CR11"),"Cane Run",IF(OR(A3238="GH1",A3238="GH2",A3238="GH3",A3238="GH4"),"Ghent",IF(OR(A3238="GR3",A3238="GR4"),"Green River",IF(OR(A3238="MC1",A3238="MC2",A3238="MC3",A3238="MC4"),"Mill Creek",IF(OR(A3238="TC1",A3238="TC2",A3238="TC5",A3238="TC6",A3238="TC7",A3238="TC8",A3238="TC9",A3238="TC10"),"Trimble",IF(A3238="TY3","Tyrone",IF(OR(A3238="HA1",A3238="HA2",A3238="HA3"),"Haeflin",IF(OR(A3238="PR11",A3238="PR12",A3238="PR13"),"Paddy's Run","Zorn")))))))))</f>
        <v>Mill Creek</v>
      </c>
      <c r="M3238" s="105" t="str">
        <f t="shared" ref="M3238:M3301" si="541">IF(OR(B3238="D1",B3238="D2",B3238="D3",B3238="D4",B3238="PD"),"Derate",IF(OR(B3238="SF",B3238="U1",B3238="U2",B3238="U3"),"Outage",IF(OR(B3238="ME",B3238="MO"),"Maintenance","Other")))</f>
        <v>Derate</v>
      </c>
      <c r="N3238" s="105" t="str">
        <f t="shared" ref="N3238:N3301" si="542">IF(OR(A3238="BR1",A3238="BR2",A3238="BR3",A3238="CR4",A3238="CR5",A3238="CR6",A3238="GH1",A3238="GH2",A3238="GH3",A3238="GH4",A3238="GR3",A3238="GR4",A3238="MC1",A3238="MC2",A3238="MC3",A3238="MC4",A3238="TC1",A3238="TC2",A3238="TY3"),"Coal","Gas")</f>
        <v>Coal</v>
      </c>
      <c r="O3238" s="105">
        <f>IFERROR(VLOOKUP(A3238,Lookup!$J$5:$P$19,7,FALSE),0)</f>
        <v>2</v>
      </c>
      <c r="P3238" s="159">
        <f t="shared" ref="P3238:P3301" si="543">YEAR(E3238)</f>
        <v>2015</v>
      </c>
      <c r="Q3238" s="159">
        <f t="shared" ref="Q3238:Q3301" si="544">MONTH(E3238)</f>
        <v>3</v>
      </c>
      <c r="R3238" s="160">
        <f t="shared" ref="R3238:R3301" si="545">(F3238-E3238)*24</f>
        <v>2.0500000000465661</v>
      </c>
      <c r="S3238" s="158">
        <f t="shared" ref="S3238:S3301" si="546">R3238*(H3238-G3238)/H3238</f>
        <v>0.62121212122623215</v>
      </c>
      <c r="T3238" s="161">
        <f t="shared" ref="T3238:T3301" si="547">S3238*I3238</f>
        <v>183.87878788296473</v>
      </c>
      <c r="U3238" s="158">
        <f t="shared" si="539"/>
        <v>89.696969696969703</v>
      </c>
      <c r="V3238" s="160">
        <f t="shared" ref="V3238:V3301" si="548">ROUND(U3238,0)</f>
        <v>90</v>
      </c>
    </row>
    <row r="3239" spans="1:22" x14ac:dyDescent="0.25">
      <c r="A3239" s="98" t="s">
        <v>35</v>
      </c>
      <c r="B3239" s="98" t="s">
        <v>17</v>
      </c>
      <c r="C3239" s="98">
        <v>24</v>
      </c>
      <c r="D3239" s="98">
        <v>250</v>
      </c>
      <c r="E3239" s="157">
        <v>42068.022916666669</v>
      </c>
      <c r="F3239" s="157">
        <v>42068.084027777775</v>
      </c>
      <c r="G3239" s="98">
        <v>170</v>
      </c>
      <c r="H3239" s="98">
        <v>330</v>
      </c>
      <c r="I3239" s="98">
        <v>296</v>
      </c>
      <c r="J3239" s="98" t="s">
        <v>1978</v>
      </c>
      <c r="K3239" s="98" t="s">
        <v>91</v>
      </c>
      <c r="L3239" s="105" t="str">
        <f t="shared" si="540"/>
        <v>Mill Creek</v>
      </c>
      <c r="M3239" s="105" t="str">
        <f t="shared" si="541"/>
        <v>Derate</v>
      </c>
      <c r="N3239" s="105" t="str">
        <f t="shared" si="542"/>
        <v>Coal</v>
      </c>
      <c r="O3239" s="105">
        <f>IFERROR(VLOOKUP(A3239,Lookup!$J$5:$P$19,7,FALSE),0)</f>
        <v>2</v>
      </c>
      <c r="P3239" s="159">
        <f t="shared" si="543"/>
        <v>2015</v>
      </c>
      <c r="Q3239" s="159">
        <f t="shared" si="544"/>
        <v>3</v>
      </c>
      <c r="R3239" s="160">
        <f t="shared" si="545"/>
        <v>1.4666666665580124</v>
      </c>
      <c r="S3239" s="158">
        <f t="shared" si="546"/>
        <v>0.71111111105843028</v>
      </c>
      <c r="T3239" s="161">
        <f t="shared" si="547"/>
        <v>210.48888887329537</v>
      </c>
      <c r="U3239" s="158">
        <f t="shared" ref="U3239:U3302" si="549">IF(G3239&gt;0,MAX((H3239-G3239),0)*I3239/H3239,I3239)</f>
        <v>143.5151515151515</v>
      </c>
      <c r="V3239" s="160">
        <f t="shared" si="548"/>
        <v>144</v>
      </c>
    </row>
    <row r="3240" spans="1:22" x14ac:dyDescent="0.25">
      <c r="A3240" s="98" t="s">
        <v>35</v>
      </c>
      <c r="B3240" s="98" t="s">
        <v>17</v>
      </c>
      <c r="C3240" s="98">
        <v>25</v>
      </c>
      <c r="D3240" s="98">
        <v>250</v>
      </c>
      <c r="E3240" s="157">
        <v>42068.084027777775</v>
      </c>
      <c r="F3240" s="157">
        <v>42068.790277777778</v>
      </c>
      <c r="G3240" s="98">
        <v>230</v>
      </c>
      <c r="H3240" s="98">
        <v>330</v>
      </c>
      <c r="I3240" s="98">
        <v>296</v>
      </c>
      <c r="J3240" s="98" t="s">
        <v>1978</v>
      </c>
      <c r="K3240" s="98" t="s">
        <v>91</v>
      </c>
      <c r="L3240" s="105" t="str">
        <f t="shared" si="540"/>
        <v>Mill Creek</v>
      </c>
      <c r="M3240" s="105" t="str">
        <f t="shared" si="541"/>
        <v>Derate</v>
      </c>
      <c r="N3240" s="105" t="str">
        <f t="shared" si="542"/>
        <v>Coal</v>
      </c>
      <c r="O3240" s="105">
        <f>IFERROR(VLOOKUP(A3240,Lookup!$J$5:$P$19,7,FALSE),0)</f>
        <v>2</v>
      </c>
      <c r="P3240" s="159">
        <f t="shared" si="543"/>
        <v>2015</v>
      </c>
      <c r="Q3240" s="159">
        <f t="shared" si="544"/>
        <v>3</v>
      </c>
      <c r="R3240" s="160">
        <f t="shared" si="545"/>
        <v>16.950000000069849</v>
      </c>
      <c r="S3240" s="158">
        <f t="shared" si="546"/>
        <v>5.1363636363848029</v>
      </c>
      <c r="T3240" s="161">
        <f t="shared" si="547"/>
        <v>1520.3636363699015</v>
      </c>
      <c r="U3240" s="158">
        <f t="shared" si="549"/>
        <v>89.696969696969703</v>
      </c>
      <c r="V3240" s="160">
        <f t="shared" si="548"/>
        <v>90</v>
      </c>
    </row>
    <row r="3241" spans="1:22" x14ac:dyDescent="0.25">
      <c r="A3241" s="98" t="s">
        <v>35</v>
      </c>
      <c r="B3241" s="98" t="s">
        <v>17</v>
      </c>
      <c r="C3241" s="98">
        <v>26</v>
      </c>
      <c r="D3241" s="98">
        <v>250</v>
      </c>
      <c r="E3241" s="157">
        <v>42068.85833333333</v>
      </c>
      <c r="F3241" s="157">
        <v>42069.1875</v>
      </c>
      <c r="G3241" s="98">
        <v>230</v>
      </c>
      <c r="H3241" s="98">
        <v>330</v>
      </c>
      <c r="I3241" s="98">
        <v>296</v>
      </c>
      <c r="J3241" s="98" t="s">
        <v>1978</v>
      </c>
      <c r="K3241" s="98" t="s">
        <v>91</v>
      </c>
      <c r="L3241" s="105" t="str">
        <f t="shared" si="540"/>
        <v>Mill Creek</v>
      </c>
      <c r="M3241" s="105" t="str">
        <f t="shared" si="541"/>
        <v>Derate</v>
      </c>
      <c r="N3241" s="105" t="str">
        <f t="shared" si="542"/>
        <v>Coal</v>
      </c>
      <c r="O3241" s="105">
        <f>IFERROR(VLOOKUP(A3241,Lookup!$J$5:$P$19,7,FALSE),0)</f>
        <v>2</v>
      </c>
      <c r="P3241" s="159">
        <f t="shared" si="543"/>
        <v>2015</v>
      </c>
      <c r="Q3241" s="159">
        <f t="shared" si="544"/>
        <v>3</v>
      </c>
      <c r="R3241" s="160">
        <f t="shared" si="545"/>
        <v>7.9000000000814907</v>
      </c>
      <c r="S3241" s="158">
        <f t="shared" si="546"/>
        <v>2.3939393939640881</v>
      </c>
      <c r="T3241" s="161">
        <f t="shared" si="547"/>
        <v>708.60606061337012</v>
      </c>
      <c r="U3241" s="158">
        <f t="shared" si="549"/>
        <v>89.696969696969703</v>
      </c>
      <c r="V3241" s="160">
        <f t="shared" si="548"/>
        <v>90</v>
      </c>
    </row>
    <row r="3242" spans="1:22" x14ac:dyDescent="0.25">
      <c r="A3242" s="98" t="s">
        <v>35</v>
      </c>
      <c r="B3242" s="98" t="s">
        <v>17</v>
      </c>
      <c r="C3242" s="98">
        <v>27</v>
      </c>
      <c r="D3242" s="98">
        <v>250</v>
      </c>
      <c r="E3242" s="157">
        <v>42069.1875</v>
      </c>
      <c r="F3242" s="157">
        <v>42070.436805555553</v>
      </c>
      <c r="G3242" s="98">
        <v>214</v>
      </c>
      <c r="H3242" s="98">
        <v>330</v>
      </c>
      <c r="I3242" s="98">
        <v>296</v>
      </c>
      <c r="J3242" s="98" t="s">
        <v>1978</v>
      </c>
      <c r="K3242" s="98" t="s">
        <v>91</v>
      </c>
      <c r="L3242" s="105" t="str">
        <f t="shared" si="540"/>
        <v>Mill Creek</v>
      </c>
      <c r="M3242" s="105" t="str">
        <f t="shared" si="541"/>
        <v>Derate</v>
      </c>
      <c r="N3242" s="105" t="str">
        <f t="shared" si="542"/>
        <v>Coal</v>
      </c>
      <c r="O3242" s="105">
        <f>IFERROR(VLOOKUP(A3242,Lookup!$J$5:$P$19,7,FALSE),0)</f>
        <v>2</v>
      </c>
      <c r="P3242" s="159">
        <f t="shared" si="543"/>
        <v>2015</v>
      </c>
      <c r="Q3242" s="159">
        <f t="shared" si="544"/>
        <v>3</v>
      </c>
      <c r="R3242" s="160">
        <f t="shared" si="545"/>
        <v>29.983333333279006</v>
      </c>
      <c r="S3242" s="158">
        <f t="shared" si="546"/>
        <v>10.539595959576863</v>
      </c>
      <c r="T3242" s="161">
        <f t="shared" si="547"/>
        <v>3119.7204040347515</v>
      </c>
      <c r="U3242" s="158">
        <f t="shared" si="549"/>
        <v>104.04848484848485</v>
      </c>
      <c r="V3242" s="160">
        <f t="shared" si="548"/>
        <v>104</v>
      </c>
    </row>
    <row r="3243" spans="1:22" x14ac:dyDescent="0.25">
      <c r="A3243" s="98" t="s">
        <v>35</v>
      </c>
      <c r="B3243" s="98" t="s">
        <v>38</v>
      </c>
      <c r="C3243" s="98">
        <v>28</v>
      </c>
      <c r="D3243" s="98">
        <v>8440</v>
      </c>
      <c r="E3243" s="157">
        <v>42070.436805555553</v>
      </c>
      <c r="F3243" s="157">
        <v>42127.854166666664</v>
      </c>
      <c r="G3243" s="98">
        <v>0</v>
      </c>
      <c r="H3243" s="98">
        <v>330</v>
      </c>
      <c r="I3243" s="98">
        <v>296</v>
      </c>
      <c r="J3243" s="98" t="s">
        <v>2715</v>
      </c>
      <c r="K3243" s="98" t="s">
        <v>2778</v>
      </c>
      <c r="L3243" s="105" t="str">
        <f t="shared" si="540"/>
        <v>Mill Creek</v>
      </c>
      <c r="M3243" s="105" t="str">
        <f t="shared" si="541"/>
        <v>Other</v>
      </c>
      <c r="N3243" s="105" t="str">
        <f t="shared" si="542"/>
        <v>Coal</v>
      </c>
      <c r="O3243" s="105">
        <f>IFERROR(VLOOKUP(A3243,Lookup!$J$5:$P$19,7,FALSE),0)</f>
        <v>2</v>
      </c>
      <c r="P3243" s="159">
        <f t="shared" si="543"/>
        <v>2015</v>
      </c>
      <c r="Q3243" s="159">
        <f t="shared" si="544"/>
        <v>3</v>
      </c>
      <c r="R3243" s="160">
        <f t="shared" si="545"/>
        <v>1378.0166666666628</v>
      </c>
      <c r="S3243" s="158">
        <f t="shared" si="546"/>
        <v>1378.0166666666628</v>
      </c>
      <c r="T3243" s="161">
        <f t="shared" si="547"/>
        <v>407892.93333333218</v>
      </c>
      <c r="U3243" s="158">
        <f t="shared" si="549"/>
        <v>296</v>
      </c>
      <c r="V3243" s="160">
        <f t="shared" si="548"/>
        <v>296</v>
      </c>
    </row>
    <row r="3244" spans="1:22" x14ac:dyDescent="0.25">
      <c r="A3244" s="98" t="s">
        <v>35</v>
      </c>
      <c r="B3244" s="98" t="s">
        <v>79</v>
      </c>
      <c r="C3244" s="98">
        <v>29</v>
      </c>
      <c r="D3244" s="98">
        <v>1850</v>
      </c>
      <c r="E3244" s="157">
        <v>42127.854166666664</v>
      </c>
      <c r="F3244" s="157">
        <v>42128.162499999999</v>
      </c>
      <c r="G3244" s="98">
        <v>0</v>
      </c>
      <c r="H3244" s="98">
        <v>330</v>
      </c>
      <c r="I3244" s="98">
        <v>296</v>
      </c>
      <c r="J3244" s="98" t="s">
        <v>2263</v>
      </c>
      <c r="K3244" s="98" t="s">
        <v>2779</v>
      </c>
      <c r="L3244" s="105" t="str">
        <f t="shared" si="540"/>
        <v>Mill Creek</v>
      </c>
      <c r="M3244" s="105" t="str">
        <f t="shared" si="541"/>
        <v>Other</v>
      </c>
      <c r="N3244" s="105" t="str">
        <f t="shared" si="542"/>
        <v>Coal</v>
      </c>
      <c r="O3244" s="105">
        <f>IFERROR(VLOOKUP(A3244,Lookup!$J$5:$P$19,7,FALSE),0)</f>
        <v>2</v>
      </c>
      <c r="P3244" s="159">
        <f t="shared" si="543"/>
        <v>2015</v>
      </c>
      <c r="Q3244" s="159">
        <f t="shared" si="544"/>
        <v>5</v>
      </c>
      <c r="R3244" s="160">
        <f t="shared" si="545"/>
        <v>7.4000000000232831</v>
      </c>
      <c r="S3244" s="158">
        <f t="shared" si="546"/>
        <v>7.4000000000232831</v>
      </c>
      <c r="T3244" s="161">
        <f t="shared" si="547"/>
        <v>2190.4000000068918</v>
      </c>
      <c r="U3244" s="158">
        <f t="shared" si="549"/>
        <v>296</v>
      </c>
      <c r="V3244" s="160">
        <f t="shared" si="548"/>
        <v>296</v>
      </c>
    </row>
    <row r="3245" spans="1:22" x14ac:dyDescent="0.25">
      <c r="A3245" s="98" t="s">
        <v>35</v>
      </c>
      <c r="B3245" s="98" t="s">
        <v>20</v>
      </c>
      <c r="C3245" s="98">
        <v>30</v>
      </c>
      <c r="D3245" s="98">
        <v>4460</v>
      </c>
      <c r="E3245" s="157">
        <v>42128.162499999999</v>
      </c>
      <c r="F3245" s="157">
        <v>42128.552083333336</v>
      </c>
      <c r="G3245" s="98">
        <v>0</v>
      </c>
      <c r="H3245" s="98">
        <v>330</v>
      </c>
      <c r="I3245" s="98">
        <v>296</v>
      </c>
      <c r="J3245" s="98" t="s">
        <v>2556</v>
      </c>
      <c r="K3245" s="98" t="s">
        <v>2780</v>
      </c>
      <c r="L3245" s="105" t="str">
        <f t="shared" si="540"/>
        <v>Mill Creek</v>
      </c>
      <c r="M3245" s="105" t="str">
        <f t="shared" si="541"/>
        <v>Maintenance</v>
      </c>
      <c r="N3245" s="105" t="str">
        <f t="shared" si="542"/>
        <v>Coal</v>
      </c>
      <c r="O3245" s="105">
        <f>IFERROR(VLOOKUP(A3245,Lookup!$J$5:$P$19,7,FALSE),0)</f>
        <v>2</v>
      </c>
      <c r="P3245" s="159">
        <f t="shared" si="543"/>
        <v>2015</v>
      </c>
      <c r="Q3245" s="159">
        <f t="shared" si="544"/>
        <v>5</v>
      </c>
      <c r="R3245" s="160">
        <f t="shared" si="545"/>
        <v>9.3500000000931323</v>
      </c>
      <c r="S3245" s="158">
        <f t="shared" si="546"/>
        <v>9.3500000000931323</v>
      </c>
      <c r="T3245" s="161">
        <f t="shared" si="547"/>
        <v>2767.6000000275671</v>
      </c>
      <c r="U3245" s="158">
        <f t="shared" si="549"/>
        <v>296</v>
      </c>
      <c r="V3245" s="160">
        <f t="shared" si="548"/>
        <v>296</v>
      </c>
    </row>
    <row r="3246" spans="1:22" x14ac:dyDescent="0.25">
      <c r="A3246" s="98" t="s">
        <v>35</v>
      </c>
      <c r="B3246" s="98" t="s">
        <v>20</v>
      </c>
      <c r="C3246" s="98">
        <v>31</v>
      </c>
      <c r="D3246" s="98">
        <v>4283</v>
      </c>
      <c r="E3246" s="157">
        <v>42128.552083333336</v>
      </c>
      <c r="F3246" s="157">
        <v>42128.583333333336</v>
      </c>
      <c r="G3246" s="98">
        <v>0</v>
      </c>
      <c r="H3246" s="98">
        <v>330</v>
      </c>
      <c r="I3246" s="98">
        <v>296</v>
      </c>
      <c r="J3246" s="98" t="s">
        <v>2022</v>
      </c>
      <c r="K3246" s="98" t="s">
        <v>2781</v>
      </c>
      <c r="L3246" s="105" t="str">
        <f t="shared" si="540"/>
        <v>Mill Creek</v>
      </c>
      <c r="M3246" s="105" t="str">
        <f t="shared" si="541"/>
        <v>Maintenance</v>
      </c>
      <c r="N3246" s="105" t="str">
        <f t="shared" si="542"/>
        <v>Coal</v>
      </c>
      <c r="O3246" s="105">
        <f>IFERROR(VLOOKUP(A3246,Lookup!$J$5:$P$19,7,FALSE),0)</f>
        <v>2</v>
      </c>
      <c r="P3246" s="159">
        <f t="shared" si="543"/>
        <v>2015</v>
      </c>
      <c r="Q3246" s="159">
        <f t="shared" si="544"/>
        <v>5</v>
      </c>
      <c r="R3246" s="160">
        <f t="shared" si="545"/>
        <v>0.75</v>
      </c>
      <c r="S3246" s="158">
        <f t="shared" si="546"/>
        <v>0.75</v>
      </c>
      <c r="T3246" s="161">
        <f t="shared" si="547"/>
        <v>222</v>
      </c>
      <c r="U3246" s="158">
        <f t="shared" si="549"/>
        <v>296</v>
      </c>
      <c r="V3246" s="160">
        <f t="shared" si="548"/>
        <v>296</v>
      </c>
    </row>
    <row r="3247" spans="1:22" x14ac:dyDescent="0.25">
      <c r="A3247" s="98" t="s">
        <v>35</v>
      </c>
      <c r="B3247" s="98" t="s">
        <v>20</v>
      </c>
      <c r="C3247" s="98">
        <v>32</v>
      </c>
      <c r="D3247" s="98">
        <v>4283</v>
      </c>
      <c r="E3247" s="157">
        <v>42128.583333333336</v>
      </c>
      <c r="F3247" s="157">
        <v>42129.824305555558</v>
      </c>
      <c r="G3247" s="98">
        <v>0</v>
      </c>
      <c r="H3247" s="98">
        <v>330</v>
      </c>
      <c r="I3247" s="98">
        <v>296</v>
      </c>
      <c r="J3247" s="98" t="s">
        <v>2022</v>
      </c>
      <c r="K3247" s="98" t="s">
        <v>2782</v>
      </c>
      <c r="L3247" s="105" t="str">
        <f t="shared" si="540"/>
        <v>Mill Creek</v>
      </c>
      <c r="M3247" s="105" t="str">
        <f t="shared" si="541"/>
        <v>Maintenance</v>
      </c>
      <c r="N3247" s="105" t="str">
        <f t="shared" si="542"/>
        <v>Coal</v>
      </c>
      <c r="O3247" s="105">
        <f>IFERROR(VLOOKUP(A3247,Lookup!$J$5:$P$19,7,FALSE),0)</f>
        <v>2</v>
      </c>
      <c r="P3247" s="159">
        <f t="shared" si="543"/>
        <v>2015</v>
      </c>
      <c r="Q3247" s="159">
        <f t="shared" si="544"/>
        <v>5</v>
      </c>
      <c r="R3247" s="160">
        <f t="shared" si="545"/>
        <v>29.783333333325572</v>
      </c>
      <c r="S3247" s="158">
        <f t="shared" si="546"/>
        <v>29.783333333325572</v>
      </c>
      <c r="T3247" s="161">
        <f t="shared" si="547"/>
        <v>8815.8666666643694</v>
      </c>
      <c r="U3247" s="158">
        <f t="shared" si="549"/>
        <v>296</v>
      </c>
      <c r="V3247" s="160">
        <f t="shared" si="548"/>
        <v>296</v>
      </c>
    </row>
    <row r="3248" spans="1:22" x14ac:dyDescent="0.25">
      <c r="A3248" s="98" t="s">
        <v>35</v>
      </c>
      <c r="B3248" s="98" t="s">
        <v>15</v>
      </c>
      <c r="C3248" s="98">
        <v>33</v>
      </c>
      <c r="D3248" s="98">
        <v>3620</v>
      </c>
      <c r="E3248" s="157">
        <v>42129.824305555558</v>
      </c>
      <c r="F3248" s="157">
        <v>42133.397222222222</v>
      </c>
      <c r="G3248" s="98">
        <v>0</v>
      </c>
      <c r="H3248" s="98">
        <v>330</v>
      </c>
      <c r="I3248" s="98">
        <v>296</v>
      </c>
      <c r="J3248" s="98" t="s">
        <v>2092</v>
      </c>
      <c r="K3248" s="98" t="s">
        <v>2783</v>
      </c>
      <c r="L3248" s="105" t="str">
        <f t="shared" si="540"/>
        <v>Mill Creek</v>
      </c>
      <c r="M3248" s="105" t="str">
        <f t="shared" si="541"/>
        <v>Outage</v>
      </c>
      <c r="N3248" s="105" t="str">
        <f t="shared" si="542"/>
        <v>Coal</v>
      </c>
      <c r="O3248" s="105">
        <f>IFERROR(VLOOKUP(A3248,Lookup!$J$5:$P$19,7,FALSE),0)</f>
        <v>2</v>
      </c>
      <c r="P3248" s="159">
        <f t="shared" si="543"/>
        <v>2015</v>
      </c>
      <c r="Q3248" s="159">
        <f t="shared" si="544"/>
        <v>5</v>
      </c>
      <c r="R3248" s="160">
        <f t="shared" si="545"/>
        <v>85.749999999941792</v>
      </c>
      <c r="S3248" s="158">
        <f t="shared" si="546"/>
        <v>85.749999999941792</v>
      </c>
      <c r="T3248" s="161">
        <f t="shared" si="547"/>
        <v>25381.999999982771</v>
      </c>
      <c r="U3248" s="158">
        <f t="shared" si="549"/>
        <v>296</v>
      </c>
      <c r="V3248" s="160">
        <f t="shared" si="548"/>
        <v>296</v>
      </c>
    </row>
    <row r="3249" spans="1:22" x14ac:dyDescent="0.25">
      <c r="A3249" s="98" t="s">
        <v>35</v>
      </c>
      <c r="B3249" s="98" t="s">
        <v>79</v>
      </c>
      <c r="C3249" s="98">
        <v>34</v>
      </c>
      <c r="D3249" s="98">
        <v>1850</v>
      </c>
      <c r="E3249" s="157">
        <v>42133.397222222222</v>
      </c>
      <c r="F3249" s="157">
        <v>42136.083333333336</v>
      </c>
      <c r="G3249" s="98">
        <v>0</v>
      </c>
      <c r="H3249" s="98">
        <v>330</v>
      </c>
      <c r="I3249" s="98">
        <v>296</v>
      </c>
      <c r="J3249" s="98" t="s">
        <v>2263</v>
      </c>
      <c r="K3249" s="98" t="s">
        <v>2784</v>
      </c>
      <c r="L3249" s="105" t="str">
        <f t="shared" si="540"/>
        <v>Mill Creek</v>
      </c>
      <c r="M3249" s="105" t="str">
        <f t="shared" si="541"/>
        <v>Other</v>
      </c>
      <c r="N3249" s="105" t="str">
        <f t="shared" si="542"/>
        <v>Coal</v>
      </c>
      <c r="O3249" s="105">
        <f>IFERROR(VLOOKUP(A3249,Lookup!$J$5:$P$19,7,FALSE),0)</f>
        <v>2</v>
      </c>
      <c r="P3249" s="159">
        <f t="shared" si="543"/>
        <v>2015</v>
      </c>
      <c r="Q3249" s="159">
        <f t="shared" si="544"/>
        <v>5</v>
      </c>
      <c r="R3249" s="160">
        <f t="shared" si="545"/>
        <v>64.466666666732635</v>
      </c>
      <c r="S3249" s="158">
        <f t="shared" si="546"/>
        <v>64.466666666732635</v>
      </c>
      <c r="T3249" s="161">
        <f t="shared" si="547"/>
        <v>19082.13333335286</v>
      </c>
      <c r="U3249" s="158">
        <f t="shared" si="549"/>
        <v>296</v>
      </c>
      <c r="V3249" s="160">
        <f t="shared" si="548"/>
        <v>296</v>
      </c>
    </row>
    <row r="3250" spans="1:22" x14ac:dyDescent="0.25">
      <c r="A3250" s="98" t="s">
        <v>35</v>
      </c>
      <c r="B3250" s="98" t="s">
        <v>17</v>
      </c>
      <c r="C3250" s="98">
        <v>35</v>
      </c>
      <c r="D3250" s="98">
        <v>1850</v>
      </c>
      <c r="E3250" s="157">
        <v>42136.380555555559</v>
      </c>
      <c r="F3250" s="157">
        <v>42136.444444444445</v>
      </c>
      <c r="G3250" s="98">
        <v>275</v>
      </c>
      <c r="H3250" s="98">
        <v>330</v>
      </c>
      <c r="I3250" s="98">
        <v>296</v>
      </c>
      <c r="J3250" s="98" t="s">
        <v>2263</v>
      </c>
      <c r="K3250" s="98" t="s">
        <v>62</v>
      </c>
      <c r="L3250" s="105" t="str">
        <f t="shared" si="540"/>
        <v>Mill Creek</v>
      </c>
      <c r="M3250" s="105" t="str">
        <f t="shared" si="541"/>
        <v>Derate</v>
      </c>
      <c r="N3250" s="105" t="str">
        <f t="shared" si="542"/>
        <v>Coal</v>
      </c>
      <c r="O3250" s="105">
        <f>IFERROR(VLOOKUP(A3250,Lookup!$J$5:$P$19,7,FALSE),0)</f>
        <v>2</v>
      </c>
      <c r="P3250" s="159">
        <f t="shared" si="543"/>
        <v>2015</v>
      </c>
      <c r="Q3250" s="159">
        <f t="shared" si="544"/>
        <v>5</v>
      </c>
      <c r="R3250" s="160">
        <f t="shared" si="545"/>
        <v>1.5333333332673647</v>
      </c>
      <c r="S3250" s="158">
        <f t="shared" si="546"/>
        <v>0.25555555554456078</v>
      </c>
      <c r="T3250" s="161">
        <f t="shared" si="547"/>
        <v>75.644444441189989</v>
      </c>
      <c r="U3250" s="158">
        <f t="shared" si="549"/>
        <v>49.333333333333336</v>
      </c>
      <c r="V3250" s="160">
        <f t="shared" si="548"/>
        <v>49</v>
      </c>
    </row>
    <row r="3251" spans="1:22" x14ac:dyDescent="0.25">
      <c r="A3251" s="98" t="s">
        <v>35</v>
      </c>
      <c r="B3251" s="98" t="s">
        <v>17</v>
      </c>
      <c r="C3251" s="98">
        <v>36</v>
      </c>
      <c r="D3251" s="98">
        <v>1850</v>
      </c>
      <c r="E3251" s="157">
        <v>42136.444444444445</v>
      </c>
      <c r="F3251" s="157">
        <v>42136.583333333336</v>
      </c>
      <c r="G3251" s="98">
        <v>260</v>
      </c>
      <c r="H3251" s="98">
        <v>330</v>
      </c>
      <c r="I3251" s="98">
        <v>296</v>
      </c>
      <c r="J3251" s="98" t="s">
        <v>2263</v>
      </c>
      <c r="K3251" s="98" t="s">
        <v>41</v>
      </c>
      <c r="L3251" s="105" t="str">
        <f t="shared" si="540"/>
        <v>Mill Creek</v>
      </c>
      <c r="M3251" s="105" t="str">
        <f t="shared" si="541"/>
        <v>Derate</v>
      </c>
      <c r="N3251" s="105" t="str">
        <f t="shared" si="542"/>
        <v>Coal</v>
      </c>
      <c r="O3251" s="105">
        <f>IFERROR(VLOOKUP(A3251,Lookup!$J$5:$P$19,7,FALSE),0)</f>
        <v>2</v>
      </c>
      <c r="P3251" s="159">
        <f t="shared" si="543"/>
        <v>2015</v>
      </c>
      <c r="Q3251" s="159">
        <f t="shared" si="544"/>
        <v>5</v>
      </c>
      <c r="R3251" s="160">
        <f t="shared" si="545"/>
        <v>3.3333333333721384</v>
      </c>
      <c r="S3251" s="158">
        <f t="shared" si="546"/>
        <v>0.70707070707893849</v>
      </c>
      <c r="T3251" s="161">
        <f t="shared" si="547"/>
        <v>209.29292929536578</v>
      </c>
      <c r="U3251" s="158">
        <f t="shared" si="549"/>
        <v>62.787878787878789</v>
      </c>
      <c r="V3251" s="160">
        <f t="shared" si="548"/>
        <v>63</v>
      </c>
    </row>
    <row r="3252" spans="1:22" x14ac:dyDescent="0.25">
      <c r="A3252" s="98" t="s">
        <v>35</v>
      </c>
      <c r="B3252" s="98" t="s">
        <v>17</v>
      </c>
      <c r="C3252" s="98">
        <v>37</v>
      </c>
      <c r="D3252" s="98">
        <v>1850</v>
      </c>
      <c r="E3252" s="157">
        <v>42136.583333333336</v>
      </c>
      <c r="F3252" s="157">
        <v>42136.736111111109</v>
      </c>
      <c r="G3252" s="98">
        <v>290</v>
      </c>
      <c r="H3252" s="98">
        <v>330</v>
      </c>
      <c r="I3252" s="98">
        <v>296</v>
      </c>
      <c r="J3252" s="98" t="s">
        <v>2263</v>
      </c>
      <c r="K3252" s="98" t="s">
        <v>41</v>
      </c>
      <c r="L3252" s="105" t="str">
        <f t="shared" si="540"/>
        <v>Mill Creek</v>
      </c>
      <c r="M3252" s="105" t="str">
        <f t="shared" si="541"/>
        <v>Derate</v>
      </c>
      <c r="N3252" s="105" t="str">
        <f t="shared" si="542"/>
        <v>Coal</v>
      </c>
      <c r="O3252" s="105">
        <f>IFERROR(VLOOKUP(A3252,Lookup!$J$5:$P$19,7,FALSE),0)</f>
        <v>2</v>
      </c>
      <c r="P3252" s="159">
        <f t="shared" si="543"/>
        <v>2015</v>
      </c>
      <c r="Q3252" s="159">
        <f t="shared" si="544"/>
        <v>5</v>
      </c>
      <c r="R3252" s="160">
        <f t="shared" si="545"/>
        <v>3.6666666665696539</v>
      </c>
      <c r="S3252" s="158">
        <f t="shared" si="546"/>
        <v>0.44444444443268533</v>
      </c>
      <c r="T3252" s="161">
        <f t="shared" si="547"/>
        <v>131.55555555207485</v>
      </c>
      <c r="U3252" s="158">
        <f t="shared" si="549"/>
        <v>35.878787878787875</v>
      </c>
      <c r="V3252" s="160">
        <f t="shared" si="548"/>
        <v>36</v>
      </c>
    </row>
    <row r="3253" spans="1:22" x14ac:dyDescent="0.25">
      <c r="A3253" s="98" t="s">
        <v>35</v>
      </c>
      <c r="B3253" s="98" t="s">
        <v>17</v>
      </c>
      <c r="C3253" s="98">
        <v>38</v>
      </c>
      <c r="D3253" s="98">
        <v>310</v>
      </c>
      <c r="E3253" s="157">
        <v>42137.001388888886</v>
      </c>
      <c r="F3253" s="157">
        <v>42137.048611111109</v>
      </c>
      <c r="G3253" s="98">
        <v>250</v>
      </c>
      <c r="H3253" s="98">
        <v>330</v>
      </c>
      <c r="I3253" s="98">
        <v>296</v>
      </c>
      <c r="J3253" s="98" t="s">
        <v>1966</v>
      </c>
      <c r="K3253" s="98" t="s">
        <v>2785</v>
      </c>
      <c r="L3253" s="105" t="str">
        <f t="shared" si="540"/>
        <v>Mill Creek</v>
      </c>
      <c r="M3253" s="105" t="str">
        <f t="shared" si="541"/>
        <v>Derate</v>
      </c>
      <c r="N3253" s="105" t="str">
        <f t="shared" si="542"/>
        <v>Coal</v>
      </c>
      <c r="O3253" s="105">
        <f>IFERROR(VLOOKUP(A3253,Lookup!$J$5:$P$19,7,FALSE),0)</f>
        <v>2</v>
      </c>
      <c r="P3253" s="159">
        <f t="shared" si="543"/>
        <v>2015</v>
      </c>
      <c r="Q3253" s="159">
        <f t="shared" si="544"/>
        <v>5</v>
      </c>
      <c r="R3253" s="160">
        <f t="shared" si="545"/>
        <v>1.1333333333604969</v>
      </c>
      <c r="S3253" s="158">
        <f t="shared" si="546"/>
        <v>0.27474747475405986</v>
      </c>
      <c r="T3253" s="161">
        <f t="shared" si="547"/>
        <v>81.325252527201712</v>
      </c>
      <c r="U3253" s="158">
        <f t="shared" si="549"/>
        <v>71.757575757575751</v>
      </c>
      <c r="V3253" s="160">
        <f t="shared" si="548"/>
        <v>72</v>
      </c>
    </row>
    <row r="3254" spans="1:22" x14ac:dyDescent="0.25">
      <c r="A3254" s="98" t="s">
        <v>35</v>
      </c>
      <c r="B3254" s="98" t="s">
        <v>17</v>
      </c>
      <c r="C3254" s="98">
        <v>39</v>
      </c>
      <c r="D3254" s="98">
        <v>310</v>
      </c>
      <c r="E3254" s="157">
        <v>42137.333333333336</v>
      </c>
      <c r="F3254" s="157">
        <v>42137.481249999997</v>
      </c>
      <c r="G3254" s="98">
        <v>265</v>
      </c>
      <c r="H3254" s="98">
        <v>330</v>
      </c>
      <c r="I3254" s="98">
        <v>296</v>
      </c>
      <c r="J3254" s="98" t="s">
        <v>1966</v>
      </c>
      <c r="K3254" s="98" t="s">
        <v>2786</v>
      </c>
      <c r="L3254" s="105" t="str">
        <f t="shared" si="540"/>
        <v>Mill Creek</v>
      </c>
      <c r="M3254" s="105" t="str">
        <f t="shared" si="541"/>
        <v>Derate</v>
      </c>
      <c r="N3254" s="105" t="str">
        <f t="shared" si="542"/>
        <v>Coal</v>
      </c>
      <c r="O3254" s="105">
        <f>IFERROR(VLOOKUP(A3254,Lookup!$J$5:$P$19,7,FALSE),0)</f>
        <v>2</v>
      </c>
      <c r="P3254" s="159">
        <f t="shared" si="543"/>
        <v>2015</v>
      </c>
      <c r="Q3254" s="159">
        <f t="shared" si="544"/>
        <v>5</v>
      </c>
      <c r="R3254" s="160">
        <f t="shared" si="545"/>
        <v>3.5499999998719431</v>
      </c>
      <c r="S3254" s="158">
        <f t="shared" si="546"/>
        <v>0.69924242421720095</v>
      </c>
      <c r="T3254" s="161">
        <f t="shared" si="547"/>
        <v>206.97575756829147</v>
      </c>
      <c r="U3254" s="158">
        <f t="shared" si="549"/>
        <v>58.303030303030305</v>
      </c>
      <c r="V3254" s="160">
        <f t="shared" si="548"/>
        <v>58</v>
      </c>
    </row>
    <row r="3255" spans="1:22" x14ac:dyDescent="0.25">
      <c r="A3255" s="98" t="s">
        <v>35</v>
      </c>
      <c r="B3255" s="98" t="s">
        <v>79</v>
      </c>
      <c r="C3255" s="98">
        <v>40</v>
      </c>
      <c r="D3255" s="98">
        <v>8460</v>
      </c>
      <c r="E3255" s="157">
        <v>42138.239583333336</v>
      </c>
      <c r="F3255" s="157">
        <v>42138.833333333336</v>
      </c>
      <c r="G3255" s="98">
        <v>0</v>
      </c>
      <c r="H3255" s="98">
        <v>330</v>
      </c>
      <c r="I3255" s="98">
        <v>296</v>
      </c>
      <c r="J3255" s="98" t="s">
        <v>2651</v>
      </c>
      <c r="K3255" s="98" t="s">
        <v>2787</v>
      </c>
      <c r="L3255" s="105" t="str">
        <f t="shared" si="540"/>
        <v>Mill Creek</v>
      </c>
      <c r="M3255" s="105" t="str">
        <f t="shared" si="541"/>
        <v>Other</v>
      </c>
      <c r="N3255" s="105" t="str">
        <f t="shared" si="542"/>
        <v>Coal</v>
      </c>
      <c r="O3255" s="105">
        <f>IFERROR(VLOOKUP(A3255,Lookup!$J$5:$P$19,7,FALSE),0)</f>
        <v>2</v>
      </c>
      <c r="P3255" s="159">
        <f t="shared" si="543"/>
        <v>2015</v>
      </c>
      <c r="Q3255" s="159">
        <f t="shared" si="544"/>
        <v>5</v>
      </c>
      <c r="R3255" s="160">
        <f t="shared" si="545"/>
        <v>14.25</v>
      </c>
      <c r="S3255" s="158">
        <f t="shared" si="546"/>
        <v>14.25</v>
      </c>
      <c r="T3255" s="161">
        <f t="shared" si="547"/>
        <v>4218</v>
      </c>
      <c r="U3255" s="158">
        <f t="shared" si="549"/>
        <v>296</v>
      </c>
      <c r="V3255" s="160">
        <f t="shared" si="548"/>
        <v>296</v>
      </c>
    </row>
    <row r="3256" spans="1:22" x14ac:dyDescent="0.25">
      <c r="A3256" s="98" t="s">
        <v>35</v>
      </c>
      <c r="B3256" s="98" t="s">
        <v>105</v>
      </c>
      <c r="C3256" s="98">
        <v>41</v>
      </c>
      <c r="D3256" s="98">
        <v>310</v>
      </c>
      <c r="E3256" s="157">
        <v>42142.951388888891</v>
      </c>
      <c r="F3256" s="157">
        <v>42143.001388888886</v>
      </c>
      <c r="G3256" s="98">
        <v>240</v>
      </c>
      <c r="H3256" s="98">
        <v>330</v>
      </c>
      <c r="I3256" s="98">
        <v>296</v>
      </c>
      <c r="J3256" s="98" t="s">
        <v>1966</v>
      </c>
      <c r="K3256" s="98" t="s">
        <v>2788</v>
      </c>
      <c r="L3256" s="105" t="str">
        <f t="shared" si="540"/>
        <v>Mill Creek</v>
      </c>
      <c r="M3256" s="105" t="str">
        <f t="shared" si="541"/>
        <v>Derate</v>
      </c>
      <c r="N3256" s="105" t="str">
        <f t="shared" si="542"/>
        <v>Coal</v>
      </c>
      <c r="O3256" s="105">
        <f>IFERROR(VLOOKUP(A3256,Lookup!$J$5:$P$19,7,FALSE),0)</f>
        <v>2</v>
      </c>
      <c r="P3256" s="159">
        <f t="shared" si="543"/>
        <v>2015</v>
      </c>
      <c r="Q3256" s="159">
        <f t="shared" si="544"/>
        <v>5</v>
      </c>
      <c r="R3256" s="160">
        <f t="shared" si="545"/>
        <v>1.1999999998952262</v>
      </c>
      <c r="S3256" s="158">
        <f t="shared" si="546"/>
        <v>0.32727272724415263</v>
      </c>
      <c r="T3256" s="161">
        <f t="shared" si="547"/>
        <v>96.872727264269173</v>
      </c>
      <c r="U3256" s="158">
        <f t="shared" si="549"/>
        <v>80.727272727272734</v>
      </c>
      <c r="V3256" s="160">
        <f t="shared" si="548"/>
        <v>81</v>
      </c>
    </row>
    <row r="3257" spans="1:22" x14ac:dyDescent="0.25">
      <c r="A3257" s="98" t="s">
        <v>35</v>
      </c>
      <c r="B3257" s="98" t="s">
        <v>105</v>
      </c>
      <c r="C3257" s="98">
        <v>42</v>
      </c>
      <c r="D3257" s="98">
        <v>310</v>
      </c>
      <c r="E3257" s="157">
        <v>42143.001388888886</v>
      </c>
      <c r="F3257" s="157">
        <v>42143.043749999997</v>
      </c>
      <c r="G3257" s="98">
        <v>240</v>
      </c>
      <c r="H3257" s="98">
        <v>330</v>
      </c>
      <c r="I3257" s="98">
        <v>296</v>
      </c>
      <c r="J3257" s="98" t="s">
        <v>1966</v>
      </c>
      <c r="K3257" s="98" t="s">
        <v>2789</v>
      </c>
      <c r="L3257" s="105" t="str">
        <f t="shared" si="540"/>
        <v>Mill Creek</v>
      </c>
      <c r="M3257" s="105" t="str">
        <f t="shared" si="541"/>
        <v>Derate</v>
      </c>
      <c r="N3257" s="105" t="str">
        <f t="shared" si="542"/>
        <v>Coal</v>
      </c>
      <c r="O3257" s="105">
        <f>IFERROR(VLOOKUP(A3257,Lookup!$J$5:$P$19,7,FALSE),0)</f>
        <v>2</v>
      </c>
      <c r="P3257" s="159">
        <f t="shared" si="543"/>
        <v>2015</v>
      </c>
      <c r="Q3257" s="159">
        <f t="shared" si="544"/>
        <v>5</v>
      </c>
      <c r="R3257" s="160">
        <f t="shared" si="545"/>
        <v>1.0166666666627862</v>
      </c>
      <c r="S3257" s="158">
        <f t="shared" si="546"/>
        <v>0.27727272727166896</v>
      </c>
      <c r="T3257" s="161">
        <f t="shared" si="547"/>
        <v>82.072727272414014</v>
      </c>
      <c r="U3257" s="158">
        <f t="shared" si="549"/>
        <v>80.727272727272734</v>
      </c>
      <c r="V3257" s="160">
        <f t="shared" si="548"/>
        <v>81</v>
      </c>
    </row>
    <row r="3258" spans="1:22" x14ac:dyDescent="0.25">
      <c r="A3258" s="98" t="s">
        <v>35</v>
      </c>
      <c r="B3258" s="98" t="s">
        <v>20</v>
      </c>
      <c r="C3258" s="98">
        <v>43</v>
      </c>
      <c r="D3258" s="98">
        <v>8450</v>
      </c>
      <c r="E3258" s="157">
        <v>42143.40625</v>
      </c>
      <c r="F3258" s="157">
        <v>42145.331250000003</v>
      </c>
      <c r="G3258" s="98">
        <v>0</v>
      </c>
      <c r="H3258" s="98">
        <v>330</v>
      </c>
      <c r="I3258" s="98">
        <v>296</v>
      </c>
      <c r="J3258" s="98" t="s">
        <v>2033</v>
      </c>
      <c r="K3258" s="98" t="s">
        <v>2790</v>
      </c>
      <c r="L3258" s="105" t="str">
        <f t="shared" si="540"/>
        <v>Mill Creek</v>
      </c>
      <c r="M3258" s="105" t="str">
        <f t="shared" si="541"/>
        <v>Maintenance</v>
      </c>
      <c r="N3258" s="105" t="str">
        <f t="shared" si="542"/>
        <v>Coal</v>
      </c>
      <c r="O3258" s="105">
        <f>IFERROR(VLOOKUP(A3258,Lookup!$J$5:$P$19,7,FALSE),0)</f>
        <v>2</v>
      </c>
      <c r="P3258" s="159">
        <f t="shared" si="543"/>
        <v>2015</v>
      </c>
      <c r="Q3258" s="159">
        <f t="shared" si="544"/>
        <v>5</v>
      </c>
      <c r="R3258" s="160">
        <f t="shared" si="545"/>
        <v>46.200000000069849</v>
      </c>
      <c r="S3258" s="158">
        <f t="shared" si="546"/>
        <v>46.200000000069849</v>
      </c>
      <c r="T3258" s="161">
        <f t="shared" si="547"/>
        <v>13675.200000020675</v>
      </c>
      <c r="U3258" s="158">
        <f t="shared" si="549"/>
        <v>296</v>
      </c>
      <c r="V3258" s="160">
        <f t="shared" si="548"/>
        <v>296</v>
      </c>
    </row>
    <row r="3259" spans="1:22" x14ac:dyDescent="0.25">
      <c r="A3259" s="98" t="s">
        <v>35</v>
      </c>
      <c r="B3259" s="98" t="s">
        <v>79</v>
      </c>
      <c r="C3259" s="98">
        <v>44</v>
      </c>
      <c r="D3259" s="98">
        <v>1850</v>
      </c>
      <c r="E3259" s="157">
        <v>42145.331250000003</v>
      </c>
      <c r="F3259" s="157">
        <v>42145.590277777781</v>
      </c>
      <c r="G3259" s="98">
        <v>0</v>
      </c>
      <c r="H3259" s="98">
        <v>330</v>
      </c>
      <c r="I3259" s="98">
        <v>296</v>
      </c>
      <c r="J3259" s="98" t="s">
        <v>2263</v>
      </c>
      <c r="K3259" s="98" t="s">
        <v>2791</v>
      </c>
      <c r="L3259" s="105" t="str">
        <f t="shared" si="540"/>
        <v>Mill Creek</v>
      </c>
      <c r="M3259" s="105" t="str">
        <f t="shared" si="541"/>
        <v>Other</v>
      </c>
      <c r="N3259" s="105" t="str">
        <f t="shared" si="542"/>
        <v>Coal</v>
      </c>
      <c r="O3259" s="105">
        <f>IFERROR(VLOOKUP(A3259,Lookup!$J$5:$P$19,7,FALSE),0)</f>
        <v>2</v>
      </c>
      <c r="P3259" s="159">
        <f t="shared" si="543"/>
        <v>2015</v>
      </c>
      <c r="Q3259" s="159">
        <f t="shared" si="544"/>
        <v>5</v>
      </c>
      <c r="R3259" s="160">
        <f t="shared" si="545"/>
        <v>6.2166666666744277</v>
      </c>
      <c r="S3259" s="158">
        <f t="shared" si="546"/>
        <v>6.2166666666744277</v>
      </c>
      <c r="T3259" s="161">
        <f t="shared" si="547"/>
        <v>1840.1333333356306</v>
      </c>
      <c r="U3259" s="158">
        <f t="shared" si="549"/>
        <v>296</v>
      </c>
      <c r="V3259" s="160">
        <f t="shared" si="548"/>
        <v>296</v>
      </c>
    </row>
    <row r="3260" spans="1:22" x14ac:dyDescent="0.25">
      <c r="A3260" s="98" t="s">
        <v>35</v>
      </c>
      <c r="B3260" s="98" t="s">
        <v>17</v>
      </c>
      <c r="C3260" s="98">
        <v>45</v>
      </c>
      <c r="D3260" s="98">
        <v>1850</v>
      </c>
      <c r="E3260" s="157">
        <v>42145.590277777781</v>
      </c>
      <c r="F3260" s="157">
        <v>42145.666666666664</v>
      </c>
      <c r="G3260" s="98">
        <v>220</v>
      </c>
      <c r="H3260" s="98">
        <v>330</v>
      </c>
      <c r="I3260" s="98">
        <v>296</v>
      </c>
      <c r="J3260" s="98" t="s">
        <v>2263</v>
      </c>
      <c r="K3260" s="98" t="s">
        <v>62</v>
      </c>
      <c r="L3260" s="105" t="str">
        <f t="shared" si="540"/>
        <v>Mill Creek</v>
      </c>
      <c r="M3260" s="105" t="str">
        <f t="shared" si="541"/>
        <v>Derate</v>
      </c>
      <c r="N3260" s="105" t="str">
        <f t="shared" si="542"/>
        <v>Coal</v>
      </c>
      <c r="O3260" s="105">
        <f>IFERROR(VLOOKUP(A3260,Lookup!$J$5:$P$19,7,FALSE),0)</f>
        <v>2</v>
      </c>
      <c r="P3260" s="159">
        <f t="shared" si="543"/>
        <v>2015</v>
      </c>
      <c r="Q3260" s="159">
        <f t="shared" si="544"/>
        <v>5</v>
      </c>
      <c r="R3260" s="160">
        <f t="shared" si="545"/>
        <v>1.8333333331975155</v>
      </c>
      <c r="S3260" s="158">
        <f t="shared" si="546"/>
        <v>0.61111111106583849</v>
      </c>
      <c r="T3260" s="161">
        <f t="shared" si="547"/>
        <v>180.88888887548819</v>
      </c>
      <c r="U3260" s="158">
        <f t="shared" si="549"/>
        <v>98.666666666666671</v>
      </c>
      <c r="V3260" s="160">
        <f t="shared" si="548"/>
        <v>99</v>
      </c>
    </row>
    <row r="3261" spans="1:22" x14ac:dyDescent="0.25">
      <c r="A3261" s="98" t="s">
        <v>35</v>
      </c>
      <c r="B3261" s="98" t="s">
        <v>17</v>
      </c>
      <c r="C3261" s="98">
        <v>46</v>
      </c>
      <c r="D3261" s="98">
        <v>1850</v>
      </c>
      <c r="E3261" s="157">
        <v>42145.666666666664</v>
      </c>
      <c r="F3261" s="157">
        <v>42145.986111111109</v>
      </c>
      <c r="G3261" s="98">
        <v>250</v>
      </c>
      <c r="H3261" s="98">
        <v>330</v>
      </c>
      <c r="I3261" s="98">
        <v>296</v>
      </c>
      <c r="J3261" s="98" t="s">
        <v>2263</v>
      </c>
      <c r="K3261" s="98" t="s">
        <v>41</v>
      </c>
      <c r="L3261" s="105" t="str">
        <f t="shared" si="540"/>
        <v>Mill Creek</v>
      </c>
      <c r="M3261" s="105" t="str">
        <f t="shared" si="541"/>
        <v>Derate</v>
      </c>
      <c r="N3261" s="105" t="str">
        <f t="shared" si="542"/>
        <v>Coal</v>
      </c>
      <c r="O3261" s="105">
        <f>IFERROR(VLOOKUP(A3261,Lookup!$J$5:$P$19,7,FALSE),0)</f>
        <v>2</v>
      </c>
      <c r="P3261" s="159">
        <f t="shared" si="543"/>
        <v>2015</v>
      </c>
      <c r="Q3261" s="159">
        <f t="shared" si="544"/>
        <v>5</v>
      </c>
      <c r="R3261" s="160">
        <f t="shared" si="545"/>
        <v>7.6666666666860692</v>
      </c>
      <c r="S3261" s="158">
        <f t="shared" si="546"/>
        <v>1.8585858585905621</v>
      </c>
      <c r="T3261" s="161">
        <f t="shared" si="547"/>
        <v>550.14141414280641</v>
      </c>
      <c r="U3261" s="158">
        <f t="shared" si="549"/>
        <v>71.757575757575751</v>
      </c>
      <c r="V3261" s="160">
        <f t="shared" si="548"/>
        <v>72</v>
      </c>
    </row>
    <row r="3262" spans="1:22" x14ac:dyDescent="0.25">
      <c r="A3262" s="98" t="s">
        <v>35</v>
      </c>
      <c r="B3262" s="98" t="s">
        <v>17</v>
      </c>
      <c r="C3262" s="98">
        <v>47</v>
      </c>
      <c r="D3262" s="98">
        <v>8499</v>
      </c>
      <c r="E3262" s="157">
        <v>42146.253472222219</v>
      </c>
      <c r="F3262" s="157">
        <v>42146.263888888891</v>
      </c>
      <c r="G3262" s="98">
        <v>300</v>
      </c>
      <c r="H3262" s="98">
        <v>330</v>
      </c>
      <c r="I3262" s="98">
        <v>296</v>
      </c>
      <c r="J3262" s="98" t="s">
        <v>2265</v>
      </c>
      <c r="K3262" s="98" t="s">
        <v>2792</v>
      </c>
      <c r="L3262" s="105" t="str">
        <f t="shared" si="540"/>
        <v>Mill Creek</v>
      </c>
      <c r="M3262" s="105" t="str">
        <f t="shared" si="541"/>
        <v>Derate</v>
      </c>
      <c r="N3262" s="105" t="str">
        <f t="shared" si="542"/>
        <v>Coal</v>
      </c>
      <c r="O3262" s="105">
        <f>IFERROR(VLOOKUP(A3262,Lookup!$J$5:$P$19,7,FALSE),0)</f>
        <v>2</v>
      </c>
      <c r="P3262" s="159">
        <f t="shared" si="543"/>
        <v>2015</v>
      </c>
      <c r="Q3262" s="159">
        <f t="shared" si="544"/>
        <v>5</v>
      </c>
      <c r="R3262" s="160">
        <f t="shared" si="545"/>
        <v>0.25000000011641532</v>
      </c>
      <c r="S3262" s="158">
        <f t="shared" si="546"/>
        <v>2.2727272737855939E-2</v>
      </c>
      <c r="T3262" s="161">
        <f t="shared" si="547"/>
        <v>6.7272727304053577</v>
      </c>
      <c r="U3262" s="158">
        <f t="shared" si="549"/>
        <v>26.90909090909091</v>
      </c>
      <c r="V3262" s="160">
        <f t="shared" si="548"/>
        <v>27</v>
      </c>
    </row>
    <row r="3263" spans="1:22" x14ac:dyDescent="0.25">
      <c r="A3263" s="98" t="s">
        <v>35</v>
      </c>
      <c r="B3263" s="98" t="s">
        <v>17</v>
      </c>
      <c r="C3263" s="98">
        <v>48</v>
      </c>
      <c r="D3263" s="98">
        <v>250</v>
      </c>
      <c r="E3263" s="157">
        <v>42146.904166666667</v>
      </c>
      <c r="F3263" s="157">
        <v>42146.961805555555</v>
      </c>
      <c r="G3263" s="98">
        <v>230</v>
      </c>
      <c r="H3263" s="98">
        <v>330</v>
      </c>
      <c r="I3263" s="98">
        <v>296</v>
      </c>
      <c r="J3263" s="98" t="s">
        <v>1978</v>
      </c>
      <c r="K3263" s="98" t="s">
        <v>2793</v>
      </c>
      <c r="L3263" s="105" t="str">
        <f t="shared" si="540"/>
        <v>Mill Creek</v>
      </c>
      <c r="M3263" s="105" t="str">
        <f t="shared" si="541"/>
        <v>Derate</v>
      </c>
      <c r="N3263" s="105" t="str">
        <f t="shared" si="542"/>
        <v>Coal</v>
      </c>
      <c r="O3263" s="105">
        <f>IFERROR(VLOOKUP(A3263,Lookup!$J$5:$P$19,7,FALSE),0)</f>
        <v>2</v>
      </c>
      <c r="P3263" s="159">
        <f t="shared" si="543"/>
        <v>2015</v>
      </c>
      <c r="Q3263" s="159">
        <f t="shared" si="544"/>
        <v>5</v>
      </c>
      <c r="R3263" s="160">
        <f t="shared" si="545"/>
        <v>1.3833333333022892</v>
      </c>
      <c r="S3263" s="158">
        <f t="shared" si="546"/>
        <v>0.41919191918251192</v>
      </c>
      <c r="T3263" s="161">
        <f t="shared" si="547"/>
        <v>124.08080807802352</v>
      </c>
      <c r="U3263" s="158">
        <f t="shared" si="549"/>
        <v>89.696969696969703</v>
      </c>
      <c r="V3263" s="160">
        <f t="shared" si="548"/>
        <v>90</v>
      </c>
    </row>
    <row r="3264" spans="1:22" x14ac:dyDescent="0.25">
      <c r="A3264" s="98" t="s">
        <v>35</v>
      </c>
      <c r="B3264" s="98" t="s">
        <v>17</v>
      </c>
      <c r="C3264" s="98">
        <v>49</v>
      </c>
      <c r="D3264" s="98">
        <v>250</v>
      </c>
      <c r="E3264" s="157">
        <v>42149.203472222223</v>
      </c>
      <c r="F3264" s="162">
        <v>42149.335416666669</v>
      </c>
      <c r="G3264" s="98">
        <v>240</v>
      </c>
      <c r="H3264" s="98">
        <v>330</v>
      </c>
      <c r="I3264" s="98">
        <v>296</v>
      </c>
      <c r="J3264" s="98" t="s">
        <v>1978</v>
      </c>
      <c r="K3264" s="98" t="s">
        <v>2794</v>
      </c>
      <c r="L3264" s="105" t="str">
        <f t="shared" si="540"/>
        <v>Mill Creek</v>
      </c>
      <c r="M3264" s="105" t="str">
        <f t="shared" si="541"/>
        <v>Derate</v>
      </c>
      <c r="N3264" s="105" t="str">
        <f t="shared" si="542"/>
        <v>Coal</v>
      </c>
      <c r="O3264" s="105">
        <f>IFERROR(VLOOKUP(A3264,Lookup!$J$5:$P$19,7,FALSE),0)</f>
        <v>2</v>
      </c>
      <c r="P3264" s="159">
        <f t="shared" si="543"/>
        <v>2015</v>
      </c>
      <c r="Q3264" s="159">
        <f t="shared" si="544"/>
        <v>5</v>
      </c>
      <c r="R3264" s="160">
        <f t="shared" si="545"/>
        <v>3.1666666666860692</v>
      </c>
      <c r="S3264" s="158">
        <f t="shared" si="546"/>
        <v>0.86363636364165519</v>
      </c>
      <c r="T3264" s="161">
        <f t="shared" si="547"/>
        <v>255.63636363792995</v>
      </c>
      <c r="U3264" s="158">
        <f t="shared" si="549"/>
        <v>80.727272727272734</v>
      </c>
      <c r="V3264" s="160">
        <f t="shared" si="548"/>
        <v>81</v>
      </c>
    </row>
    <row r="3265" spans="1:22" x14ac:dyDescent="0.25">
      <c r="A3265" s="98" t="s">
        <v>35</v>
      </c>
      <c r="B3265" s="98" t="s">
        <v>79</v>
      </c>
      <c r="C3265" s="98">
        <v>50</v>
      </c>
      <c r="D3265" s="98">
        <v>8460</v>
      </c>
      <c r="E3265" s="157">
        <v>42150.333333333336</v>
      </c>
      <c r="F3265" s="157">
        <v>42150.843055555553</v>
      </c>
      <c r="G3265" s="98">
        <v>0</v>
      </c>
      <c r="H3265" s="98">
        <v>330</v>
      </c>
      <c r="I3265" s="98">
        <v>296</v>
      </c>
      <c r="J3265" s="98" t="s">
        <v>2651</v>
      </c>
      <c r="K3265" s="98" t="s">
        <v>2795</v>
      </c>
      <c r="L3265" s="105" t="str">
        <f t="shared" si="540"/>
        <v>Mill Creek</v>
      </c>
      <c r="M3265" s="105" t="str">
        <f t="shared" si="541"/>
        <v>Other</v>
      </c>
      <c r="N3265" s="105" t="str">
        <f t="shared" si="542"/>
        <v>Coal</v>
      </c>
      <c r="O3265" s="105">
        <f>IFERROR(VLOOKUP(A3265,Lookup!$J$5:$P$19,7,FALSE),0)</f>
        <v>2</v>
      </c>
      <c r="P3265" s="159">
        <f t="shared" si="543"/>
        <v>2015</v>
      </c>
      <c r="Q3265" s="159">
        <f t="shared" si="544"/>
        <v>5</v>
      </c>
      <c r="R3265" s="160">
        <f t="shared" si="545"/>
        <v>12.233333333220799</v>
      </c>
      <c r="S3265" s="158">
        <f t="shared" si="546"/>
        <v>12.233333333220799</v>
      </c>
      <c r="T3265" s="161">
        <f t="shared" si="547"/>
        <v>3621.0666666333564</v>
      </c>
      <c r="U3265" s="158">
        <f t="shared" si="549"/>
        <v>296</v>
      </c>
      <c r="V3265" s="160">
        <f t="shared" si="548"/>
        <v>296</v>
      </c>
    </row>
    <row r="3266" spans="1:22" x14ac:dyDescent="0.25">
      <c r="A3266" s="98" t="s">
        <v>35</v>
      </c>
      <c r="B3266" s="98" t="s">
        <v>105</v>
      </c>
      <c r="C3266" s="98">
        <v>51</v>
      </c>
      <c r="D3266" s="98">
        <v>310</v>
      </c>
      <c r="E3266" s="157">
        <v>42151.958333333336</v>
      </c>
      <c r="F3266" s="157">
        <v>42152.025000000001</v>
      </c>
      <c r="G3266" s="98">
        <v>240</v>
      </c>
      <c r="H3266" s="98">
        <v>330</v>
      </c>
      <c r="I3266" s="98">
        <v>296</v>
      </c>
      <c r="J3266" s="98" t="s">
        <v>1966</v>
      </c>
      <c r="K3266" s="98" t="s">
        <v>120</v>
      </c>
      <c r="L3266" s="105" t="str">
        <f t="shared" si="540"/>
        <v>Mill Creek</v>
      </c>
      <c r="M3266" s="105" t="str">
        <f t="shared" si="541"/>
        <v>Derate</v>
      </c>
      <c r="N3266" s="105" t="str">
        <f t="shared" si="542"/>
        <v>Coal</v>
      </c>
      <c r="O3266" s="105">
        <f>IFERROR(VLOOKUP(A3266,Lookup!$J$5:$P$19,7,FALSE),0)</f>
        <v>2</v>
      </c>
      <c r="P3266" s="159">
        <f t="shared" si="543"/>
        <v>2015</v>
      </c>
      <c r="Q3266" s="159">
        <f t="shared" si="544"/>
        <v>5</v>
      </c>
      <c r="R3266" s="160">
        <f t="shared" si="545"/>
        <v>1.5999999999767169</v>
      </c>
      <c r="S3266" s="158">
        <f t="shared" si="546"/>
        <v>0.43636363635728642</v>
      </c>
      <c r="T3266" s="161">
        <f t="shared" si="547"/>
        <v>129.16363636175677</v>
      </c>
      <c r="U3266" s="158">
        <f t="shared" si="549"/>
        <v>80.727272727272734</v>
      </c>
      <c r="V3266" s="160">
        <f t="shared" si="548"/>
        <v>81</v>
      </c>
    </row>
    <row r="3267" spans="1:22" x14ac:dyDescent="0.25">
      <c r="A3267" s="98" t="s">
        <v>35</v>
      </c>
      <c r="B3267" s="98" t="s">
        <v>79</v>
      </c>
      <c r="C3267" s="98">
        <v>52</v>
      </c>
      <c r="D3267" s="98">
        <v>8650</v>
      </c>
      <c r="E3267" s="157">
        <v>42152.333333333336</v>
      </c>
      <c r="F3267" s="157">
        <v>42152.804166666669</v>
      </c>
      <c r="G3267" s="98">
        <v>0</v>
      </c>
      <c r="H3267" s="98">
        <v>330</v>
      </c>
      <c r="I3267" s="98">
        <v>296</v>
      </c>
      <c r="J3267" s="98" t="s">
        <v>2668</v>
      </c>
      <c r="K3267" s="98" t="s">
        <v>2720</v>
      </c>
      <c r="L3267" s="105" t="str">
        <f t="shared" si="540"/>
        <v>Mill Creek</v>
      </c>
      <c r="M3267" s="105" t="str">
        <f t="shared" si="541"/>
        <v>Other</v>
      </c>
      <c r="N3267" s="105" t="str">
        <f t="shared" si="542"/>
        <v>Coal</v>
      </c>
      <c r="O3267" s="105">
        <f>IFERROR(VLOOKUP(A3267,Lookup!$J$5:$P$19,7,FALSE),0)</f>
        <v>2</v>
      </c>
      <c r="P3267" s="159">
        <f t="shared" si="543"/>
        <v>2015</v>
      </c>
      <c r="Q3267" s="159">
        <f t="shared" si="544"/>
        <v>5</v>
      </c>
      <c r="R3267" s="160">
        <f t="shared" si="545"/>
        <v>11.299999999988358</v>
      </c>
      <c r="S3267" s="158">
        <f t="shared" si="546"/>
        <v>11.299999999988358</v>
      </c>
      <c r="T3267" s="161">
        <f t="shared" si="547"/>
        <v>3344.7999999965541</v>
      </c>
      <c r="U3267" s="158">
        <f t="shared" si="549"/>
        <v>296</v>
      </c>
      <c r="V3267" s="160">
        <f t="shared" si="548"/>
        <v>296</v>
      </c>
    </row>
    <row r="3268" spans="1:22" x14ac:dyDescent="0.25">
      <c r="A3268" s="98" t="s">
        <v>35</v>
      </c>
      <c r="B3268" s="98" t="s">
        <v>79</v>
      </c>
      <c r="C3268" s="98">
        <v>53</v>
      </c>
      <c r="D3268" s="98">
        <v>8650</v>
      </c>
      <c r="E3268" s="157">
        <v>42153.333333333336</v>
      </c>
      <c r="F3268" s="157">
        <v>42153.545138888891</v>
      </c>
      <c r="G3268" s="98">
        <v>0</v>
      </c>
      <c r="H3268" s="98">
        <v>330</v>
      </c>
      <c r="I3268" s="98">
        <v>296</v>
      </c>
      <c r="J3268" s="98" t="s">
        <v>2668</v>
      </c>
      <c r="K3268" s="98" t="s">
        <v>2723</v>
      </c>
      <c r="L3268" s="105" t="str">
        <f t="shared" si="540"/>
        <v>Mill Creek</v>
      </c>
      <c r="M3268" s="105" t="str">
        <f t="shared" si="541"/>
        <v>Other</v>
      </c>
      <c r="N3268" s="105" t="str">
        <f t="shared" si="542"/>
        <v>Coal</v>
      </c>
      <c r="O3268" s="105">
        <f>IFERROR(VLOOKUP(A3268,Lookup!$J$5:$P$19,7,FALSE),0)</f>
        <v>2</v>
      </c>
      <c r="P3268" s="159">
        <f t="shared" si="543"/>
        <v>2015</v>
      </c>
      <c r="Q3268" s="159">
        <f t="shared" si="544"/>
        <v>5</v>
      </c>
      <c r="R3268" s="160">
        <f t="shared" si="545"/>
        <v>5.0833333333139308</v>
      </c>
      <c r="S3268" s="158">
        <f t="shared" si="546"/>
        <v>5.0833333333139308</v>
      </c>
      <c r="T3268" s="161">
        <f t="shared" si="547"/>
        <v>1504.6666666609235</v>
      </c>
      <c r="U3268" s="158">
        <f t="shared" si="549"/>
        <v>296</v>
      </c>
      <c r="V3268" s="160">
        <f t="shared" si="548"/>
        <v>296</v>
      </c>
    </row>
    <row r="3269" spans="1:22" x14ac:dyDescent="0.25">
      <c r="A3269" s="98" t="s">
        <v>35</v>
      </c>
      <c r="B3269" s="98" t="s">
        <v>79</v>
      </c>
      <c r="C3269" s="98">
        <v>54</v>
      </c>
      <c r="D3269" s="98">
        <v>8650</v>
      </c>
      <c r="E3269" s="157">
        <v>42154.347916666666</v>
      </c>
      <c r="F3269" s="157">
        <v>42155.958333333336</v>
      </c>
      <c r="G3269" s="98">
        <v>0</v>
      </c>
      <c r="H3269" s="98">
        <v>330</v>
      </c>
      <c r="I3269" s="98">
        <v>296</v>
      </c>
      <c r="J3269" s="98" t="s">
        <v>2668</v>
      </c>
      <c r="K3269" s="98" t="s">
        <v>2723</v>
      </c>
      <c r="L3269" s="105" t="str">
        <f t="shared" si="540"/>
        <v>Mill Creek</v>
      </c>
      <c r="M3269" s="105" t="str">
        <f t="shared" si="541"/>
        <v>Other</v>
      </c>
      <c r="N3269" s="105" t="str">
        <f t="shared" si="542"/>
        <v>Coal</v>
      </c>
      <c r="O3269" s="105">
        <f>IFERROR(VLOOKUP(A3269,Lookup!$J$5:$P$19,7,FALSE),0)</f>
        <v>2</v>
      </c>
      <c r="P3269" s="159">
        <f t="shared" si="543"/>
        <v>2015</v>
      </c>
      <c r="Q3269" s="159">
        <f t="shared" si="544"/>
        <v>5</v>
      </c>
      <c r="R3269" s="160">
        <f t="shared" si="545"/>
        <v>38.650000000081491</v>
      </c>
      <c r="S3269" s="158">
        <f t="shared" si="546"/>
        <v>38.650000000081491</v>
      </c>
      <c r="T3269" s="161">
        <f t="shared" si="547"/>
        <v>11440.400000024121</v>
      </c>
      <c r="U3269" s="158">
        <f t="shared" si="549"/>
        <v>296</v>
      </c>
      <c r="V3269" s="160">
        <f t="shared" si="548"/>
        <v>296</v>
      </c>
    </row>
    <row r="3270" spans="1:22" x14ac:dyDescent="0.25">
      <c r="A3270" s="98" t="s">
        <v>35</v>
      </c>
      <c r="B3270" s="98" t="s">
        <v>105</v>
      </c>
      <c r="C3270" s="98">
        <v>55</v>
      </c>
      <c r="D3270" s="98">
        <v>250</v>
      </c>
      <c r="E3270" s="157">
        <v>42155.958333333336</v>
      </c>
      <c r="F3270" s="157">
        <v>42156.15347222222</v>
      </c>
      <c r="G3270" s="98">
        <v>240</v>
      </c>
      <c r="H3270" s="98">
        <v>330</v>
      </c>
      <c r="I3270" s="98">
        <v>296</v>
      </c>
      <c r="J3270" s="98" t="s">
        <v>1978</v>
      </c>
      <c r="K3270" s="98" t="s">
        <v>2796</v>
      </c>
      <c r="L3270" s="105" t="str">
        <f t="shared" si="540"/>
        <v>Mill Creek</v>
      </c>
      <c r="M3270" s="105" t="str">
        <f t="shared" si="541"/>
        <v>Derate</v>
      </c>
      <c r="N3270" s="105" t="str">
        <f t="shared" si="542"/>
        <v>Coal</v>
      </c>
      <c r="O3270" s="105">
        <f>IFERROR(VLOOKUP(A3270,Lookup!$J$5:$P$19,7,FALSE),0)</f>
        <v>2</v>
      </c>
      <c r="P3270" s="159">
        <f t="shared" si="543"/>
        <v>2015</v>
      </c>
      <c r="Q3270" s="159">
        <f t="shared" si="544"/>
        <v>5</v>
      </c>
      <c r="R3270" s="160">
        <f t="shared" si="545"/>
        <v>4.6833333332324401</v>
      </c>
      <c r="S3270" s="158">
        <f t="shared" si="546"/>
        <v>1.2772727272452109</v>
      </c>
      <c r="T3270" s="161">
        <f t="shared" si="547"/>
        <v>378.07272726458245</v>
      </c>
      <c r="U3270" s="158">
        <f t="shared" si="549"/>
        <v>80.727272727272734</v>
      </c>
      <c r="V3270" s="160">
        <f t="shared" si="548"/>
        <v>81</v>
      </c>
    </row>
    <row r="3271" spans="1:22" x14ac:dyDescent="0.25">
      <c r="A3271" s="98" t="s">
        <v>35</v>
      </c>
      <c r="B3271" s="98" t="s">
        <v>79</v>
      </c>
      <c r="C3271" s="98">
        <v>56</v>
      </c>
      <c r="D3271" s="98">
        <v>1990</v>
      </c>
      <c r="E3271" s="157">
        <v>42159.340277777781</v>
      </c>
      <c r="F3271" s="157">
        <v>42159.821527777778</v>
      </c>
      <c r="G3271" s="98">
        <v>0</v>
      </c>
      <c r="H3271" s="98">
        <v>330</v>
      </c>
      <c r="I3271" s="98">
        <v>296</v>
      </c>
      <c r="J3271" s="98" t="s">
        <v>2114</v>
      </c>
      <c r="K3271" s="98" t="s">
        <v>2728</v>
      </c>
      <c r="L3271" s="105" t="str">
        <f t="shared" si="540"/>
        <v>Mill Creek</v>
      </c>
      <c r="M3271" s="105" t="str">
        <f t="shared" si="541"/>
        <v>Other</v>
      </c>
      <c r="N3271" s="105" t="str">
        <f t="shared" si="542"/>
        <v>Coal</v>
      </c>
      <c r="O3271" s="105">
        <f>IFERROR(VLOOKUP(A3271,Lookup!$J$5:$P$19,7,FALSE),0)</f>
        <v>2</v>
      </c>
      <c r="P3271" s="159">
        <f t="shared" si="543"/>
        <v>2015</v>
      </c>
      <c r="Q3271" s="159">
        <f t="shared" si="544"/>
        <v>6</v>
      </c>
      <c r="R3271" s="160">
        <f t="shared" si="545"/>
        <v>11.549999999930151</v>
      </c>
      <c r="S3271" s="158">
        <f t="shared" si="546"/>
        <v>11.549999999930151</v>
      </c>
      <c r="T3271" s="161">
        <f t="shared" si="547"/>
        <v>3418.7999999793246</v>
      </c>
      <c r="U3271" s="158">
        <f t="shared" si="549"/>
        <v>296</v>
      </c>
      <c r="V3271" s="160">
        <f t="shared" si="548"/>
        <v>296</v>
      </c>
    </row>
    <row r="3272" spans="1:22" x14ac:dyDescent="0.25">
      <c r="A3272" s="98" t="s">
        <v>35</v>
      </c>
      <c r="B3272" s="98" t="s">
        <v>79</v>
      </c>
      <c r="C3272" s="98">
        <v>57</v>
      </c>
      <c r="D3272" s="98">
        <v>8460</v>
      </c>
      <c r="E3272" s="157">
        <v>42160.29583333333</v>
      </c>
      <c r="F3272" s="157">
        <v>42160.643055555556</v>
      </c>
      <c r="G3272" s="98">
        <v>0</v>
      </c>
      <c r="H3272" s="98">
        <v>330</v>
      </c>
      <c r="I3272" s="98">
        <v>296</v>
      </c>
      <c r="J3272" s="98" t="s">
        <v>2651</v>
      </c>
      <c r="K3272" s="98" t="s">
        <v>2735</v>
      </c>
      <c r="L3272" s="105" t="str">
        <f t="shared" si="540"/>
        <v>Mill Creek</v>
      </c>
      <c r="M3272" s="105" t="str">
        <f t="shared" si="541"/>
        <v>Other</v>
      </c>
      <c r="N3272" s="105" t="str">
        <f t="shared" si="542"/>
        <v>Coal</v>
      </c>
      <c r="O3272" s="105">
        <f>IFERROR(VLOOKUP(A3272,Lookup!$J$5:$P$19,7,FALSE),0)</f>
        <v>2</v>
      </c>
      <c r="P3272" s="159">
        <f t="shared" si="543"/>
        <v>2015</v>
      </c>
      <c r="Q3272" s="159">
        <f t="shared" si="544"/>
        <v>6</v>
      </c>
      <c r="R3272" s="160">
        <f t="shared" si="545"/>
        <v>8.3333333334303461</v>
      </c>
      <c r="S3272" s="158">
        <f t="shared" si="546"/>
        <v>8.3333333334303461</v>
      </c>
      <c r="T3272" s="161">
        <f t="shared" si="547"/>
        <v>2466.6666666953824</v>
      </c>
      <c r="U3272" s="158">
        <f t="shared" si="549"/>
        <v>296</v>
      </c>
      <c r="V3272" s="160">
        <f t="shared" si="548"/>
        <v>296</v>
      </c>
    </row>
    <row r="3273" spans="1:22" x14ac:dyDescent="0.25">
      <c r="A3273" s="98" t="s">
        <v>35</v>
      </c>
      <c r="B3273" s="98" t="s">
        <v>79</v>
      </c>
      <c r="C3273" s="98">
        <v>58</v>
      </c>
      <c r="D3273" s="98">
        <v>8460</v>
      </c>
      <c r="E3273" s="157">
        <v>42161.487500000003</v>
      </c>
      <c r="F3273" s="157">
        <v>42161.729166666664</v>
      </c>
      <c r="G3273" s="98">
        <v>0</v>
      </c>
      <c r="H3273" s="98">
        <v>330</v>
      </c>
      <c r="I3273" s="98">
        <v>296</v>
      </c>
      <c r="J3273" s="98" t="s">
        <v>2651</v>
      </c>
      <c r="K3273" s="98" t="s">
        <v>2735</v>
      </c>
      <c r="L3273" s="105" t="str">
        <f t="shared" si="540"/>
        <v>Mill Creek</v>
      </c>
      <c r="M3273" s="105" t="str">
        <f t="shared" si="541"/>
        <v>Other</v>
      </c>
      <c r="N3273" s="105" t="str">
        <f t="shared" si="542"/>
        <v>Coal</v>
      </c>
      <c r="O3273" s="105">
        <f>IFERROR(VLOOKUP(A3273,Lookup!$J$5:$P$19,7,FALSE),0)</f>
        <v>2</v>
      </c>
      <c r="P3273" s="159">
        <f t="shared" si="543"/>
        <v>2015</v>
      </c>
      <c r="Q3273" s="159">
        <f t="shared" si="544"/>
        <v>6</v>
      </c>
      <c r="R3273" s="160">
        <f t="shared" si="545"/>
        <v>5.7999999998719431</v>
      </c>
      <c r="S3273" s="158">
        <f t="shared" si="546"/>
        <v>5.7999999998719431</v>
      </c>
      <c r="T3273" s="161">
        <f t="shared" si="547"/>
        <v>1716.7999999620952</v>
      </c>
      <c r="U3273" s="158">
        <f t="shared" si="549"/>
        <v>296</v>
      </c>
      <c r="V3273" s="160">
        <f t="shared" si="548"/>
        <v>296</v>
      </c>
    </row>
    <row r="3274" spans="1:22" x14ac:dyDescent="0.25">
      <c r="A3274" s="98" t="s">
        <v>35</v>
      </c>
      <c r="B3274" s="98" t="s">
        <v>79</v>
      </c>
      <c r="C3274" s="98">
        <v>59</v>
      </c>
      <c r="D3274" s="98">
        <v>8460</v>
      </c>
      <c r="E3274" s="157">
        <v>42162.354166666664</v>
      </c>
      <c r="F3274" s="157">
        <v>42162.724305555559</v>
      </c>
      <c r="G3274" s="98">
        <v>0</v>
      </c>
      <c r="H3274" s="98">
        <v>330</v>
      </c>
      <c r="I3274" s="98">
        <v>296</v>
      </c>
      <c r="J3274" s="98" t="s">
        <v>2651</v>
      </c>
      <c r="K3274" s="98" t="s">
        <v>2797</v>
      </c>
      <c r="L3274" s="105" t="str">
        <f t="shared" si="540"/>
        <v>Mill Creek</v>
      </c>
      <c r="M3274" s="105" t="str">
        <f t="shared" si="541"/>
        <v>Other</v>
      </c>
      <c r="N3274" s="105" t="str">
        <f t="shared" si="542"/>
        <v>Coal</v>
      </c>
      <c r="O3274" s="105">
        <f>IFERROR(VLOOKUP(A3274,Lookup!$J$5:$P$19,7,FALSE),0)</f>
        <v>2</v>
      </c>
      <c r="P3274" s="159">
        <f t="shared" si="543"/>
        <v>2015</v>
      </c>
      <c r="Q3274" s="159">
        <f t="shared" si="544"/>
        <v>6</v>
      </c>
      <c r="R3274" s="160">
        <f t="shared" si="545"/>
        <v>8.8833333334769122</v>
      </c>
      <c r="S3274" s="158">
        <f t="shared" si="546"/>
        <v>8.8833333334769122</v>
      </c>
      <c r="T3274" s="161">
        <f t="shared" si="547"/>
        <v>2629.466666709166</v>
      </c>
      <c r="U3274" s="158">
        <f t="shared" si="549"/>
        <v>296</v>
      </c>
      <c r="V3274" s="160">
        <f t="shared" si="548"/>
        <v>296</v>
      </c>
    </row>
    <row r="3275" spans="1:22" x14ac:dyDescent="0.25">
      <c r="A3275" s="98" t="s">
        <v>35</v>
      </c>
      <c r="B3275" s="98" t="s">
        <v>17</v>
      </c>
      <c r="C3275" s="98">
        <v>60</v>
      </c>
      <c r="D3275" s="98">
        <v>310</v>
      </c>
      <c r="E3275" s="157">
        <v>42163.277777777781</v>
      </c>
      <c r="F3275" s="157">
        <v>42163.459027777775</v>
      </c>
      <c r="G3275" s="98">
        <v>260</v>
      </c>
      <c r="H3275" s="98">
        <v>330</v>
      </c>
      <c r="I3275" s="98">
        <v>296</v>
      </c>
      <c r="J3275" s="98" t="s">
        <v>1966</v>
      </c>
      <c r="K3275" s="98" t="s">
        <v>2798</v>
      </c>
      <c r="L3275" s="105" t="str">
        <f t="shared" si="540"/>
        <v>Mill Creek</v>
      </c>
      <c r="M3275" s="105" t="str">
        <f t="shared" si="541"/>
        <v>Derate</v>
      </c>
      <c r="N3275" s="105" t="str">
        <f t="shared" si="542"/>
        <v>Coal</v>
      </c>
      <c r="O3275" s="105">
        <f>IFERROR(VLOOKUP(A3275,Lookup!$J$5:$P$19,7,FALSE),0)</f>
        <v>2</v>
      </c>
      <c r="P3275" s="159">
        <f t="shared" si="543"/>
        <v>2015</v>
      </c>
      <c r="Q3275" s="159">
        <f t="shared" si="544"/>
        <v>6</v>
      </c>
      <c r="R3275" s="160">
        <f t="shared" si="545"/>
        <v>4.3499999998603016</v>
      </c>
      <c r="S3275" s="158">
        <f t="shared" si="546"/>
        <v>0.92272727269763977</v>
      </c>
      <c r="T3275" s="161">
        <f t="shared" si="547"/>
        <v>273.12727271850139</v>
      </c>
      <c r="U3275" s="158">
        <f t="shared" si="549"/>
        <v>62.787878787878789</v>
      </c>
      <c r="V3275" s="160">
        <f t="shared" si="548"/>
        <v>63</v>
      </c>
    </row>
    <row r="3276" spans="1:22" x14ac:dyDescent="0.25">
      <c r="A3276" s="98" t="s">
        <v>35</v>
      </c>
      <c r="B3276" s="98" t="s">
        <v>79</v>
      </c>
      <c r="C3276" s="98">
        <v>61</v>
      </c>
      <c r="D3276" s="98">
        <v>8460</v>
      </c>
      <c r="E3276" s="157">
        <v>42163.46875</v>
      </c>
      <c r="F3276" s="157">
        <v>42163.767361111109</v>
      </c>
      <c r="G3276" s="98">
        <v>0</v>
      </c>
      <c r="H3276" s="98">
        <v>330</v>
      </c>
      <c r="I3276" s="98">
        <v>296</v>
      </c>
      <c r="J3276" s="98" t="s">
        <v>2651</v>
      </c>
      <c r="K3276" s="98" t="s">
        <v>422</v>
      </c>
      <c r="L3276" s="105" t="str">
        <f t="shared" si="540"/>
        <v>Mill Creek</v>
      </c>
      <c r="M3276" s="105" t="str">
        <f t="shared" si="541"/>
        <v>Other</v>
      </c>
      <c r="N3276" s="105" t="str">
        <f t="shared" si="542"/>
        <v>Coal</v>
      </c>
      <c r="O3276" s="105">
        <f>IFERROR(VLOOKUP(A3276,Lookup!$J$5:$P$19,7,FALSE),0)</f>
        <v>2</v>
      </c>
      <c r="P3276" s="159">
        <f t="shared" si="543"/>
        <v>2015</v>
      </c>
      <c r="Q3276" s="159">
        <f t="shared" si="544"/>
        <v>6</v>
      </c>
      <c r="R3276" s="160">
        <f t="shared" si="545"/>
        <v>7.1666666666278616</v>
      </c>
      <c r="S3276" s="158">
        <f t="shared" si="546"/>
        <v>7.1666666666278616</v>
      </c>
      <c r="T3276" s="161">
        <f t="shared" si="547"/>
        <v>2121.333333321847</v>
      </c>
      <c r="U3276" s="158">
        <f t="shared" si="549"/>
        <v>296</v>
      </c>
      <c r="V3276" s="160">
        <f t="shared" si="548"/>
        <v>296</v>
      </c>
    </row>
    <row r="3277" spans="1:22" x14ac:dyDescent="0.25">
      <c r="A3277" s="98" t="s">
        <v>35</v>
      </c>
      <c r="B3277" s="98" t="s">
        <v>79</v>
      </c>
      <c r="C3277" s="98">
        <v>62</v>
      </c>
      <c r="D3277" s="98">
        <v>8460</v>
      </c>
      <c r="E3277" s="157">
        <v>42164.5</v>
      </c>
      <c r="F3277" s="157">
        <v>42164.588888888888</v>
      </c>
      <c r="G3277" s="98">
        <v>0</v>
      </c>
      <c r="H3277" s="98">
        <v>330</v>
      </c>
      <c r="I3277" s="98">
        <v>296</v>
      </c>
      <c r="J3277" s="98" t="s">
        <v>2651</v>
      </c>
      <c r="K3277" s="98" t="s">
        <v>2735</v>
      </c>
      <c r="L3277" s="105" t="str">
        <f t="shared" si="540"/>
        <v>Mill Creek</v>
      </c>
      <c r="M3277" s="105" t="str">
        <f t="shared" si="541"/>
        <v>Other</v>
      </c>
      <c r="N3277" s="105" t="str">
        <f t="shared" si="542"/>
        <v>Coal</v>
      </c>
      <c r="O3277" s="105">
        <f>IFERROR(VLOOKUP(A3277,Lookup!$J$5:$P$19,7,FALSE),0)</f>
        <v>2</v>
      </c>
      <c r="P3277" s="159">
        <f t="shared" si="543"/>
        <v>2015</v>
      </c>
      <c r="Q3277" s="159">
        <f t="shared" si="544"/>
        <v>6</v>
      </c>
      <c r="R3277" s="160">
        <f t="shared" si="545"/>
        <v>2.1333333333022892</v>
      </c>
      <c r="S3277" s="158">
        <f t="shared" si="546"/>
        <v>2.1333333333022892</v>
      </c>
      <c r="T3277" s="161">
        <f t="shared" si="547"/>
        <v>631.46666665747762</v>
      </c>
      <c r="U3277" s="158">
        <f t="shared" si="549"/>
        <v>296</v>
      </c>
      <c r="V3277" s="160">
        <f t="shared" si="548"/>
        <v>296</v>
      </c>
    </row>
    <row r="3278" spans="1:22" x14ac:dyDescent="0.25">
      <c r="A3278" s="98" t="s">
        <v>35</v>
      </c>
      <c r="B3278" s="98" t="s">
        <v>79</v>
      </c>
      <c r="C3278" s="98">
        <v>63</v>
      </c>
      <c r="D3278" s="98">
        <v>8460</v>
      </c>
      <c r="E3278" s="157">
        <v>42165.094444444447</v>
      </c>
      <c r="F3278" s="157">
        <v>42165.182638888888</v>
      </c>
      <c r="G3278" s="98">
        <v>0</v>
      </c>
      <c r="H3278" s="98">
        <v>330</v>
      </c>
      <c r="I3278" s="98">
        <v>296</v>
      </c>
      <c r="J3278" s="98" t="s">
        <v>2651</v>
      </c>
      <c r="K3278" s="98" t="s">
        <v>2738</v>
      </c>
      <c r="L3278" s="105" t="str">
        <f t="shared" si="540"/>
        <v>Mill Creek</v>
      </c>
      <c r="M3278" s="105" t="str">
        <f t="shared" si="541"/>
        <v>Other</v>
      </c>
      <c r="N3278" s="105" t="str">
        <f t="shared" si="542"/>
        <v>Coal</v>
      </c>
      <c r="O3278" s="105">
        <f>IFERROR(VLOOKUP(A3278,Lookup!$J$5:$P$19,7,FALSE),0)</f>
        <v>2</v>
      </c>
      <c r="P3278" s="159">
        <f t="shared" si="543"/>
        <v>2015</v>
      </c>
      <c r="Q3278" s="159">
        <f t="shared" si="544"/>
        <v>6</v>
      </c>
      <c r="R3278" s="160">
        <f t="shared" si="545"/>
        <v>2.1166666665812954</v>
      </c>
      <c r="S3278" s="158">
        <f t="shared" si="546"/>
        <v>2.1166666665812954</v>
      </c>
      <c r="T3278" s="161">
        <f t="shared" si="547"/>
        <v>626.53333330806345</v>
      </c>
      <c r="U3278" s="158">
        <f t="shared" si="549"/>
        <v>296</v>
      </c>
      <c r="V3278" s="160">
        <f t="shared" si="548"/>
        <v>296</v>
      </c>
    </row>
    <row r="3279" spans="1:22" x14ac:dyDescent="0.25">
      <c r="A3279" s="98" t="s">
        <v>35</v>
      </c>
      <c r="B3279" s="98" t="s">
        <v>79</v>
      </c>
      <c r="C3279" s="98">
        <v>64</v>
      </c>
      <c r="D3279" s="98">
        <v>8460</v>
      </c>
      <c r="E3279" s="157">
        <v>42165.182638888888</v>
      </c>
      <c r="F3279" s="157">
        <v>42165.241666666669</v>
      </c>
      <c r="G3279" s="98">
        <v>0</v>
      </c>
      <c r="H3279" s="98">
        <v>330</v>
      </c>
      <c r="I3279" s="98">
        <v>296</v>
      </c>
      <c r="J3279" s="98" t="s">
        <v>2651</v>
      </c>
      <c r="K3279" s="98" t="s">
        <v>2739</v>
      </c>
      <c r="L3279" s="105" t="str">
        <f t="shared" si="540"/>
        <v>Mill Creek</v>
      </c>
      <c r="M3279" s="105" t="str">
        <f t="shared" si="541"/>
        <v>Other</v>
      </c>
      <c r="N3279" s="105" t="str">
        <f t="shared" si="542"/>
        <v>Coal</v>
      </c>
      <c r="O3279" s="105">
        <f>IFERROR(VLOOKUP(A3279,Lookup!$J$5:$P$19,7,FALSE),0)</f>
        <v>2</v>
      </c>
      <c r="P3279" s="159">
        <f t="shared" si="543"/>
        <v>2015</v>
      </c>
      <c r="Q3279" s="159">
        <f t="shared" si="544"/>
        <v>6</v>
      </c>
      <c r="R3279" s="160">
        <f t="shared" si="545"/>
        <v>1.4166666667442769</v>
      </c>
      <c r="S3279" s="158">
        <f t="shared" si="546"/>
        <v>1.4166666667442769</v>
      </c>
      <c r="T3279" s="161">
        <f t="shared" si="547"/>
        <v>419.33333335630596</v>
      </c>
      <c r="U3279" s="158">
        <f t="shared" si="549"/>
        <v>296</v>
      </c>
      <c r="V3279" s="160">
        <f t="shared" si="548"/>
        <v>296</v>
      </c>
    </row>
    <row r="3280" spans="1:22" x14ac:dyDescent="0.25">
      <c r="A3280" s="98" t="s">
        <v>35</v>
      </c>
      <c r="B3280" s="98" t="s">
        <v>17</v>
      </c>
      <c r="C3280" s="98">
        <v>65</v>
      </c>
      <c r="D3280" s="98">
        <v>310</v>
      </c>
      <c r="E3280" s="157">
        <v>42165.274305555555</v>
      </c>
      <c r="F3280" s="157">
        <v>42165.321527777778</v>
      </c>
      <c r="G3280" s="98">
        <v>267</v>
      </c>
      <c r="H3280" s="98">
        <v>330</v>
      </c>
      <c r="I3280" s="98">
        <v>296</v>
      </c>
      <c r="J3280" s="98" t="s">
        <v>1966</v>
      </c>
      <c r="K3280" s="98" t="s">
        <v>2799</v>
      </c>
      <c r="L3280" s="105" t="str">
        <f t="shared" si="540"/>
        <v>Mill Creek</v>
      </c>
      <c r="M3280" s="105" t="str">
        <f t="shared" si="541"/>
        <v>Derate</v>
      </c>
      <c r="N3280" s="105" t="str">
        <f t="shared" si="542"/>
        <v>Coal</v>
      </c>
      <c r="O3280" s="105">
        <f>IFERROR(VLOOKUP(A3280,Lookup!$J$5:$P$19,7,FALSE),0)</f>
        <v>2</v>
      </c>
      <c r="P3280" s="159">
        <f t="shared" si="543"/>
        <v>2015</v>
      </c>
      <c r="Q3280" s="159">
        <f t="shared" si="544"/>
        <v>6</v>
      </c>
      <c r="R3280" s="160">
        <f t="shared" si="545"/>
        <v>1.1333333333604969</v>
      </c>
      <c r="S3280" s="158">
        <f t="shared" si="546"/>
        <v>0.21636363636882214</v>
      </c>
      <c r="T3280" s="161">
        <f t="shared" si="547"/>
        <v>64.043636365171352</v>
      </c>
      <c r="U3280" s="158">
        <f t="shared" si="549"/>
        <v>56.509090909090908</v>
      </c>
      <c r="V3280" s="160">
        <f t="shared" si="548"/>
        <v>57</v>
      </c>
    </row>
    <row r="3281" spans="1:22" x14ac:dyDescent="0.25">
      <c r="A3281" s="98" t="s">
        <v>35</v>
      </c>
      <c r="B3281" s="98" t="s">
        <v>79</v>
      </c>
      <c r="C3281" s="98">
        <v>66</v>
      </c>
      <c r="D3281" s="98">
        <v>8460</v>
      </c>
      <c r="E3281" s="157">
        <v>42165.333333333336</v>
      </c>
      <c r="F3281" s="157">
        <v>42165.661805555559</v>
      </c>
      <c r="G3281" s="98">
        <v>0</v>
      </c>
      <c r="H3281" s="98">
        <v>330</v>
      </c>
      <c r="I3281" s="98">
        <v>296</v>
      </c>
      <c r="J3281" s="98" t="s">
        <v>2651</v>
      </c>
      <c r="K3281" s="98" t="s">
        <v>2735</v>
      </c>
      <c r="L3281" s="105" t="str">
        <f t="shared" si="540"/>
        <v>Mill Creek</v>
      </c>
      <c r="M3281" s="105" t="str">
        <f t="shared" si="541"/>
        <v>Other</v>
      </c>
      <c r="N3281" s="105" t="str">
        <f t="shared" si="542"/>
        <v>Coal</v>
      </c>
      <c r="O3281" s="105">
        <f>IFERROR(VLOOKUP(A3281,Lookup!$J$5:$P$19,7,FALSE),0)</f>
        <v>2</v>
      </c>
      <c r="P3281" s="159">
        <f t="shared" si="543"/>
        <v>2015</v>
      </c>
      <c r="Q3281" s="159">
        <f t="shared" si="544"/>
        <v>6</v>
      </c>
      <c r="R3281" s="160">
        <f t="shared" si="545"/>
        <v>7.8833333333604969</v>
      </c>
      <c r="S3281" s="158">
        <f t="shared" si="546"/>
        <v>7.8833333333604969</v>
      </c>
      <c r="T3281" s="161">
        <f t="shared" si="547"/>
        <v>2333.4666666747071</v>
      </c>
      <c r="U3281" s="158">
        <f t="shared" si="549"/>
        <v>296</v>
      </c>
      <c r="V3281" s="160">
        <f t="shared" si="548"/>
        <v>296</v>
      </c>
    </row>
    <row r="3282" spans="1:22" x14ac:dyDescent="0.25">
      <c r="A3282" s="98" t="s">
        <v>35</v>
      </c>
      <c r="B3282" s="98" t="s">
        <v>79</v>
      </c>
      <c r="C3282" s="98">
        <v>67</v>
      </c>
      <c r="D3282" s="98">
        <v>8460</v>
      </c>
      <c r="E3282" s="157">
        <v>42166.073611111111</v>
      </c>
      <c r="F3282" s="157">
        <v>42166.164583333331</v>
      </c>
      <c r="G3282" s="98">
        <v>0</v>
      </c>
      <c r="H3282" s="98">
        <v>330</v>
      </c>
      <c r="I3282" s="98">
        <v>296</v>
      </c>
      <c r="J3282" s="98" t="s">
        <v>2651</v>
      </c>
      <c r="K3282" s="98" t="s">
        <v>2738</v>
      </c>
      <c r="L3282" s="105" t="str">
        <f t="shared" si="540"/>
        <v>Mill Creek</v>
      </c>
      <c r="M3282" s="105" t="str">
        <f t="shared" si="541"/>
        <v>Other</v>
      </c>
      <c r="N3282" s="105" t="str">
        <f t="shared" si="542"/>
        <v>Coal</v>
      </c>
      <c r="O3282" s="105">
        <f>IFERROR(VLOOKUP(A3282,Lookup!$J$5:$P$19,7,FALSE),0)</f>
        <v>2</v>
      </c>
      <c r="P3282" s="159">
        <f t="shared" si="543"/>
        <v>2015</v>
      </c>
      <c r="Q3282" s="159">
        <f t="shared" si="544"/>
        <v>6</v>
      </c>
      <c r="R3282" s="160">
        <f t="shared" si="545"/>
        <v>2.1833333332906477</v>
      </c>
      <c r="S3282" s="158">
        <f t="shared" si="546"/>
        <v>2.1833333332906477</v>
      </c>
      <c r="T3282" s="161">
        <f t="shared" si="547"/>
        <v>646.26666665403172</v>
      </c>
      <c r="U3282" s="158">
        <f t="shared" si="549"/>
        <v>296</v>
      </c>
      <c r="V3282" s="160">
        <f t="shared" si="548"/>
        <v>296</v>
      </c>
    </row>
    <row r="3283" spans="1:22" x14ac:dyDescent="0.25">
      <c r="A3283" s="98" t="s">
        <v>35</v>
      </c>
      <c r="B3283" s="98" t="s">
        <v>17</v>
      </c>
      <c r="C3283" s="98">
        <v>68</v>
      </c>
      <c r="D3283" s="98">
        <v>310</v>
      </c>
      <c r="E3283" s="157">
        <v>42166.164583333331</v>
      </c>
      <c r="F3283" s="157">
        <v>42166.443749999999</v>
      </c>
      <c r="G3283" s="98">
        <v>250</v>
      </c>
      <c r="H3283" s="98">
        <v>330</v>
      </c>
      <c r="I3283" s="98">
        <v>296</v>
      </c>
      <c r="J3283" s="98" t="s">
        <v>1966</v>
      </c>
      <c r="K3283" s="98" t="s">
        <v>2799</v>
      </c>
      <c r="L3283" s="105" t="str">
        <f t="shared" si="540"/>
        <v>Mill Creek</v>
      </c>
      <c r="M3283" s="105" t="str">
        <f t="shared" si="541"/>
        <v>Derate</v>
      </c>
      <c r="N3283" s="105" t="str">
        <f t="shared" si="542"/>
        <v>Coal</v>
      </c>
      <c r="O3283" s="105">
        <f>IFERROR(VLOOKUP(A3283,Lookup!$J$5:$P$19,7,FALSE),0)</f>
        <v>2</v>
      </c>
      <c r="P3283" s="159">
        <f t="shared" si="543"/>
        <v>2015</v>
      </c>
      <c r="Q3283" s="159">
        <f t="shared" si="544"/>
        <v>6</v>
      </c>
      <c r="R3283" s="160">
        <f t="shared" si="545"/>
        <v>6.7000000000116415</v>
      </c>
      <c r="S3283" s="158">
        <f t="shared" si="546"/>
        <v>1.6242424242452465</v>
      </c>
      <c r="T3283" s="161">
        <f t="shared" si="547"/>
        <v>480.77575757659292</v>
      </c>
      <c r="U3283" s="158">
        <f t="shared" si="549"/>
        <v>71.757575757575751</v>
      </c>
      <c r="V3283" s="160">
        <f t="shared" si="548"/>
        <v>72</v>
      </c>
    </row>
    <row r="3284" spans="1:22" x14ac:dyDescent="0.25">
      <c r="A3284" s="98" t="s">
        <v>35</v>
      </c>
      <c r="B3284" s="98" t="s">
        <v>17</v>
      </c>
      <c r="C3284" s="98">
        <v>69</v>
      </c>
      <c r="D3284" s="98">
        <v>320</v>
      </c>
      <c r="E3284" s="157">
        <v>42178.225694444445</v>
      </c>
      <c r="F3284" s="157">
        <v>42178.304861111108</v>
      </c>
      <c r="G3284" s="98">
        <v>250</v>
      </c>
      <c r="H3284" s="98">
        <v>330</v>
      </c>
      <c r="I3284" s="98">
        <v>296</v>
      </c>
      <c r="J3284" s="98" t="s">
        <v>1992</v>
      </c>
      <c r="K3284" s="98" t="s">
        <v>3584</v>
      </c>
      <c r="L3284" s="105" t="str">
        <f t="shared" si="540"/>
        <v>Mill Creek</v>
      </c>
      <c r="M3284" s="105" t="str">
        <f t="shared" si="541"/>
        <v>Derate</v>
      </c>
      <c r="N3284" s="105" t="str">
        <f t="shared" si="542"/>
        <v>Coal</v>
      </c>
      <c r="O3284" s="105">
        <f>IFERROR(VLOOKUP(A3284,Lookup!$J$5:$P$19,7,FALSE),0)</f>
        <v>2</v>
      </c>
      <c r="P3284" s="159">
        <f t="shared" si="543"/>
        <v>2015</v>
      </c>
      <c r="Q3284" s="159">
        <f t="shared" si="544"/>
        <v>6</v>
      </c>
      <c r="R3284" s="160">
        <f t="shared" si="545"/>
        <v>1.8999999999068677</v>
      </c>
      <c r="S3284" s="158">
        <f t="shared" si="546"/>
        <v>0.46060606058348308</v>
      </c>
      <c r="T3284" s="161">
        <f t="shared" si="547"/>
        <v>136.339393932711</v>
      </c>
      <c r="U3284" s="158">
        <f t="shared" si="549"/>
        <v>71.757575757575751</v>
      </c>
      <c r="V3284" s="160">
        <f t="shared" si="548"/>
        <v>72</v>
      </c>
    </row>
    <row r="3285" spans="1:22" x14ac:dyDescent="0.25">
      <c r="A3285" s="98" t="s">
        <v>35</v>
      </c>
      <c r="B3285" s="98" t="s">
        <v>79</v>
      </c>
      <c r="C3285" s="98">
        <v>70</v>
      </c>
      <c r="D3285" s="98">
        <v>8650</v>
      </c>
      <c r="E3285" s="157">
        <v>42178.333333333336</v>
      </c>
      <c r="F3285" s="157">
        <v>42178.726388888892</v>
      </c>
      <c r="G3285" s="98">
        <v>0</v>
      </c>
      <c r="H3285" s="98">
        <v>330</v>
      </c>
      <c r="I3285" s="98">
        <v>296</v>
      </c>
      <c r="J3285" s="98" t="s">
        <v>2668</v>
      </c>
      <c r="K3285" s="98" t="s">
        <v>3508</v>
      </c>
      <c r="L3285" s="105" t="str">
        <f t="shared" si="540"/>
        <v>Mill Creek</v>
      </c>
      <c r="M3285" s="105" t="str">
        <f t="shared" si="541"/>
        <v>Other</v>
      </c>
      <c r="N3285" s="105" t="str">
        <f t="shared" si="542"/>
        <v>Coal</v>
      </c>
      <c r="O3285" s="105">
        <f>IFERROR(VLOOKUP(A3285,Lookup!$J$5:$P$19,7,FALSE),0)</f>
        <v>2</v>
      </c>
      <c r="P3285" s="159">
        <f t="shared" si="543"/>
        <v>2015</v>
      </c>
      <c r="Q3285" s="159">
        <f t="shared" si="544"/>
        <v>6</v>
      </c>
      <c r="R3285" s="160">
        <f t="shared" si="545"/>
        <v>9.4333333333488554</v>
      </c>
      <c r="S3285" s="158">
        <f t="shared" si="546"/>
        <v>9.4333333333488554</v>
      </c>
      <c r="T3285" s="161">
        <f t="shared" si="547"/>
        <v>2792.2666666712612</v>
      </c>
      <c r="U3285" s="158">
        <f t="shared" si="549"/>
        <v>296</v>
      </c>
      <c r="V3285" s="160">
        <f t="shared" si="548"/>
        <v>296</v>
      </c>
    </row>
    <row r="3286" spans="1:22" x14ac:dyDescent="0.25">
      <c r="A3286" s="98" t="s">
        <v>35</v>
      </c>
      <c r="B3286" s="98" t="s">
        <v>79</v>
      </c>
      <c r="C3286" s="98">
        <v>71</v>
      </c>
      <c r="D3286" s="98">
        <v>8460</v>
      </c>
      <c r="E3286" s="157">
        <v>42179.375</v>
      </c>
      <c r="F3286" s="157">
        <v>42179.724999999999</v>
      </c>
      <c r="G3286" s="98">
        <v>0</v>
      </c>
      <c r="H3286" s="98">
        <v>330</v>
      </c>
      <c r="I3286" s="98">
        <v>296</v>
      </c>
      <c r="J3286" s="98" t="s">
        <v>2651</v>
      </c>
      <c r="K3286" s="98" t="s">
        <v>422</v>
      </c>
      <c r="L3286" s="105" t="str">
        <f t="shared" si="540"/>
        <v>Mill Creek</v>
      </c>
      <c r="M3286" s="105" t="str">
        <f t="shared" si="541"/>
        <v>Other</v>
      </c>
      <c r="N3286" s="105" t="str">
        <f t="shared" si="542"/>
        <v>Coal</v>
      </c>
      <c r="O3286" s="105">
        <f>IFERROR(VLOOKUP(A3286,Lookup!$J$5:$P$19,7,FALSE),0)</f>
        <v>2</v>
      </c>
      <c r="P3286" s="159">
        <f t="shared" si="543"/>
        <v>2015</v>
      </c>
      <c r="Q3286" s="159">
        <f t="shared" si="544"/>
        <v>6</v>
      </c>
      <c r="R3286" s="160">
        <f t="shared" si="545"/>
        <v>8.3999999999650754</v>
      </c>
      <c r="S3286" s="158">
        <f t="shared" si="546"/>
        <v>8.3999999999650754</v>
      </c>
      <c r="T3286" s="161">
        <f t="shared" si="547"/>
        <v>2486.3999999896623</v>
      </c>
      <c r="U3286" s="158">
        <f t="shared" si="549"/>
        <v>296</v>
      </c>
      <c r="V3286" s="160">
        <f t="shared" si="548"/>
        <v>296</v>
      </c>
    </row>
    <row r="3287" spans="1:22" x14ac:dyDescent="0.25">
      <c r="A3287" s="98" t="s">
        <v>35</v>
      </c>
      <c r="B3287" s="98" t="s">
        <v>79</v>
      </c>
      <c r="C3287" s="98">
        <v>72</v>
      </c>
      <c r="D3287" s="98">
        <v>8650</v>
      </c>
      <c r="E3287" s="157">
        <v>42180.333333333336</v>
      </c>
      <c r="F3287" s="157">
        <v>42180.601388888892</v>
      </c>
      <c r="G3287" s="98">
        <v>0</v>
      </c>
      <c r="H3287" s="98">
        <v>330</v>
      </c>
      <c r="I3287" s="98">
        <v>296</v>
      </c>
      <c r="J3287" s="98" t="s">
        <v>2668</v>
      </c>
      <c r="K3287" s="98" t="s">
        <v>3508</v>
      </c>
      <c r="L3287" s="105" t="str">
        <f t="shared" si="540"/>
        <v>Mill Creek</v>
      </c>
      <c r="M3287" s="105" t="str">
        <f t="shared" si="541"/>
        <v>Other</v>
      </c>
      <c r="N3287" s="105" t="str">
        <f t="shared" si="542"/>
        <v>Coal</v>
      </c>
      <c r="O3287" s="105">
        <f>IFERROR(VLOOKUP(A3287,Lookup!$J$5:$P$19,7,FALSE),0)</f>
        <v>2</v>
      </c>
      <c r="P3287" s="159">
        <f t="shared" si="543"/>
        <v>2015</v>
      </c>
      <c r="Q3287" s="159">
        <f t="shared" si="544"/>
        <v>6</v>
      </c>
      <c r="R3287" s="160">
        <f t="shared" si="545"/>
        <v>6.4333333333488554</v>
      </c>
      <c r="S3287" s="158">
        <f t="shared" si="546"/>
        <v>6.4333333333488554</v>
      </c>
      <c r="T3287" s="161">
        <f t="shared" si="547"/>
        <v>1904.2666666712612</v>
      </c>
      <c r="U3287" s="158">
        <f t="shared" si="549"/>
        <v>296</v>
      </c>
      <c r="V3287" s="160">
        <f t="shared" si="548"/>
        <v>296</v>
      </c>
    </row>
    <row r="3288" spans="1:22" x14ac:dyDescent="0.25">
      <c r="A3288" s="98" t="s">
        <v>35</v>
      </c>
      <c r="B3288" s="98" t="s">
        <v>79</v>
      </c>
      <c r="C3288" s="98">
        <v>73</v>
      </c>
      <c r="D3288" s="98">
        <v>9999</v>
      </c>
      <c r="E3288" s="157">
        <v>42195.375</v>
      </c>
      <c r="F3288" s="157">
        <v>42195.642361111109</v>
      </c>
      <c r="G3288" s="98">
        <v>0</v>
      </c>
      <c r="H3288" s="98">
        <v>330</v>
      </c>
      <c r="I3288" s="98">
        <v>296</v>
      </c>
      <c r="J3288" s="98" t="s">
        <v>2261</v>
      </c>
      <c r="K3288" s="98" t="s">
        <v>3585</v>
      </c>
      <c r="L3288" s="105" t="str">
        <f t="shared" si="540"/>
        <v>Mill Creek</v>
      </c>
      <c r="M3288" s="105" t="str">
        <f t="shared" si="541"/>
        <v>Other</v>
      </c>
      <c r="N3288" s="105" t="str">
        <f t="shared" si="542"/>
        <v>Coal</v>
      </c>
      <c r="O3288" s="105">
        <f>IFERROR(VLOOKUP(A3288,Lookup!$J$5:$P$19,7,FALSE),0)</f>
        <v>2</v>
      </c>
      <c r="P3288" s="159">
        <f t="shared" si="543"/>
        <v>2015</v>
      </c>
      <c r="Q3288" s="159">
        <f t="shared" si="544"/>
        <v>7</v>
      </c>
      <c r="R3288" s="160">
        <f t="shared" si="545"/>
        <v>6.4166666666278616</v>
      </c>
      <c r="S3288" s="158">
        <f t="shared" si="546"/>
        <v>6.4166666666278616</v>
      </c>
      <c r="T3288" s="161">
        <f t="shared" si="547"/>
        <v>1899.333333321847</v>
      </c>
      <c r="U3288" s="158">
        <f t="shared" si="549"/>
        <v>296</v>
      </c>
      <c r="V3288" s="160">
        <f t="shared" si="548"/>
        <v>296</v>
      </c>
    </row>
    <row r="3289" spans="1:22" x14ac:dyDescent="0.25">
      <c r="A3289" s="98" t="s">
        <v>35</v>
      </c>
      <c r="B3289" s="98" t="s">
        <v>17</v>
      </c>
      <c r="C3289" s="98">
        <v>74</v>
      </c>
      <c r="D3289" s="98">
        <v>310</v>
      </c>
      <c r="E3289" s="157">
        <v>42219.536111111112</v>
      </c>
      <c r="F3289" s="157">
        <v>42219.664583333331</v>
      </c>
      <c r="G3289" s="98">
        <v>275</v>
      </c>
      <c r="H3289" s="98">
        <v>330</v>
      </c>
      <c r="I3289" s="98">
        <v>296</v>
      </c>
      <c r="J3289" s="98" t="s">
        <v>1966</v>
      </c>
      <c r="K3289" s="98" t="s">
        <v>3586</v>
      </c>
      <c r="L3289" s="105" t="str">
        <f t="shared" si="540"/>
        <v>Mill Creek</v>
      </c>
      <c r="M3289" s="105" t="str">
        <f t="shared" si="541"/>
        <v>Derate</v>
      </c>
      <c r="N3289" s="105" t="str">
        <f t="shared" si="542"/>
        <v>Coal</v>
      </c>
      <c r="O3289" s="105">
        <f>IFERROR(VLOOKUP(A3289,Lookup!$J$5:$P$19,7,FALSE),0)</f>
        <v>2</v>
      </c>
      <c r="P3289" s="159">
        <f t="shared" si="543"/>
        <v>2015</v>
      </c>
      <c r="Q3289" s="159">
        <f t="shared" si="544"/>
        <v>8</v>
      </c>
      <c r="R3289" s="160">
        <f t="shared" si="545"/>
        <v>3.0833333332557231</v>
      </c>
      <c r="S3289" s="158">
        <f t="shared" si="546"/>
        <v>0.51388888887595385</v>
      </c>
      <c r="T3289" s="161">
        <f t="shared" si="547"/>
        <v>152.11111110728234</v>
      </c>
      <c r="U3289" s="158">
        <f t="shared" si="549"/>
        <v>49.333333333333336</v>
      </c>
      <c r="V3289" s="160">
        <f t="shared" si="548"/>
        <v>49</v>
      </c>
    </row>
    <row r="3290" spans="1:22" x14ac:dyDescent="0.25">
      <c r="A3290" s="98" t="s">
        <v>35</v>
      </c>
      <c r="B3290" s="98" t="s">
        <v>79</v>
      </c>
      <c r="C3290" s="98">
        <v>75</v>
      </c>
      <c r="D3290" s="98">
        <v>3623</v>
      </c>
      <c r="E3290" s="157">
        <v>42227.480555555558</v>
      </c>
      <c r="F3290" s="157">
        <v>42227.583333333336</v>
      </c>
      <c r="G3290" s="98">
        <v>0</v>
      </c>
      <c r="H3290" s="98">
        <v>330</v>
      </c>
      <c r="I3290" s="98">
        <v>296</v>
      </c>
      <c r="J3290" s="98" t="s">
        <v>3311</v>
      </c>
      <c r="K3290" s="98" t="s">
        <v>1350</v>
      </c>
      <c r="L3290" s="105" t="str">
        <f t="shared" si="540"/>
        <v>Mill Creek</v>
      </c>
      <c r="M3290" s="105" t="str">
        <f t="shared" si="541"/>
        <v>Other</v>
      </c>
      <c r="N3290" s="105" t="str">
        <f t="shared" si="542"/>
        <v>Coal</v>
      </c>
      <c r="O3290" s="105">
        <f>IFERROR(VLOOKUP(A3290,Lookup!$J$5:$P$19,7,FALSE),0)</f>
        <v>2</v>
      </c>
      <c r="P3290" s="159">
        <f t="shared" si="543"/>
        <v>2015</v>
      </c>
      <c r="Q3290" s="159">
        <f t="shared" si="544"/>
        <v>8</v>
      </c>
      <c r="R3290" s="160">
        <f t="shared" si="545"/>
        <v>2.4666666666744277</v>
      </c>
      <c r="S3290" s="158">
        <f t="shared" si="546"/>
        <v>2.4666666666744277</v>
      </c>
      <c r="T3290" s="161">
        <f t="shared" si="547"/>
        <v>730.1333333356306</v>
      </c>
      <c r="U3290" s="158">
        <f t="shared" si="549"/>
        <v>296</v>
      </c>
      <c r="V3290" s="160">
        <f t="shared" si="548"/>
        <v>296</v>
      </c>
    </row>
    <row r="3291" spans="1:22" x14ac:dyDescent="0.25">
      <c r="A3291" s="98" t="s">
        <v>35</v>
      </c>
      <c r="B3291" s="98" t="s">
        <v>105</v>
      </c>
      <c r="C3291" s="98">
        <v>76</v>
      </c>
      <c r="D3291" s="98">
        <v>3410</v>
      </c>
      <c r="E3291" s="157">
        <v>42227.958333333336</v>
      </c>
      <c r="F3291" s="157">
        <v>42228.314583333333</v>
      </c>
      <c r="G3291" s="98">
        <v>190</v>
      </c>
      <c r="H3291" s="98">
        <v>330</v>
      </c>
      <c r="I3291" s="98">
        <v>296</v>
      </c>
      <c r="J3291" s="98" t="s">
        <v>1983</v>
      </c>
      <c r="K3291" s="98" t="s">
        <v>3587</v>
      </c>
      <c r="L3291" s="105" t="str">
        <f t="shared" si="540"/>
        <v>Mill Creek</v>
      </c>
      <c r="M3291" s="105" t="str">
        <f t="shared" si="541"/>
        <v>Derate</v>
      </c>
      <c r="N3291" s="105" t="str">
        <f t="shared" si="542"/>
        <v>Coal</v>
      </c>
      <c r="O3291" s="105">
        <f>IFERROR(VLOOKUP(A3291,Lookup!$J$5:$P$19,7,FALSE),0)</f>
        <v>2</v>
      </c>
      <c r="P3291" s="159">
        <f t="shared" si="543"/>
        <v>2015</v>
      </c>
      <c r="Q3291" s="159">
        <f t="shared" si="544"/>
        <v>8</v>
      </c>
      <c r="R3291" s="160">
        <f t="shared" si="545"/>
        <v>8.5499999999301508</v>
      </c>
      <c r="S3291" s="158">
        <f t="shared" si="546"/>
        <v>3.6272727272430942</v>
      </c>
      <c r="T3291" s="161">
        <f t="shared" si="547"/>
        <v>1073.6727272639559</v>
      </c>
      <c r="U3291" s="158">
        <f t="shared" si="549"/>
        <v>125.57575757575758</v>
      </c>
      <c r="V3291" s="160">
        <f t="shared" si="548"/>
        <v>126</v>
      </c>
    </row>
    <row r="3292" spans="1:22" x14ac:dyDescent="0.25">
      <c r="A3292" s="98" t="s">
        <v>35</v>
      </c>
      <c r="B3292" s="98" t="s">
        <v>20</v>
      </c>
      <c r="C3292" s="98">
        <v>77</v>
      </c>
      <c r="D3292" s="98">
        <v>4263</v>
      </c>
      <c r="E3292" s="157">
        <v>42233.929166666669</v>
      </c>
      <c r="F3292" s="157">
        <v>42238.00277777778</v>
      </c>
      <c r="G3292" s="98">
        <v>0</v>
      </c>
      <c r="H3292" s="98">
        <v>330</v>
      </c>
      <c r="I3292" s="98">
        <v>296</v>
      </c>
      <c r="J3292" s="98" t="s">
        <v>2019</v>
      </c>
      <c r="K3292" s="98" t="s">
        <v>3588</v>
      </c>
      <c r="L3292" s="105" t="str">
        <f t="shared" si="540"/>
        <v>Mill Creek</v>
      </c>
      <c r="M3292" s="105" t="str">
        <f t="shared" si="541"/>
        <v>Maintenance</v>
      </c>
      <c r="N3292" s="105" t="str">
        <f t="shared" si="542"/>
        <v>Coal</v>
      </c>
      <c r="O3292" s="105">
        <f>IFERROR(VLOOKUP(A3292,Lookup!$J$5:$P$19,7,FALSE),0)</f>
        <v>2</v>
      </c>
      <c r="P3292" s="159">
        <f t="shared" si="543"/>
        <v>2015</v>
      </c>
      <c r="Q3292" s="159">
        <f t="shared" si="544"/>
        <v>8</v>
      </c>
      <c r="R3292" s="160">
        <f t="shared" si="545"/>
        <v>97.766666666662786</v>
      </c>
      <c r="S3292" s="158">
        <f t="shared" si="546"/>
        <v>97.766666666662786</v>
      </c>
      <c r="T3292" s="161">
        <f t="shared" si="547"/>
        <v>28938.933333332185</v>
      </c>
      <c r="U3292" s="158">
        <f t="shared" si="549"/>
        <v>296</v>
      </c>
      <c r="V3292" s="160">
        <f t="shared" si="548"/>
        <v>296</v>
      </c>
    </row>
    <row r="3293" spans="1:22" x14ac:dyDescent="0.25">
      <c r="A3293" s="98" t="s">
        <v>35</v>
      </c>
      <c r="B3293" s="98" t="s">
        <v>79</v>
      </c>
      <c r="C3293" s="98">
        <v>79</v>
      </c>
      <c r="D3293" s="98">
        <v>1850</v>
      </c>
      <c r="E3293" s="157">
        <v>42239.345833333333</v>
      </c>
      <c r="F3293" s="162">
        <v>42240.095833333333</v>
      </c>
      <c r="G3293" s="98">
        <v>0</v>
      </c>
      <c r="H3293" s="98">
        <v>330</v>
      </c>
      <c r="I3293" s="98">
        <v>296</v>
      </c>
      <c r="J3293" s="98" t="s">
        <v>2263</v>
      </c>
      <c r="K3293" s="98" t="s">
        <v>88</v>
      </c>
      <c r="L3293" s="105" t="str">
        <f t="shared" si="540"/>
        <v>Mill Creek</v>
      </c>
      <c r="M3293" s="105" t="str">
        <f t="shared" si="541"/>
        <v>Other</v>
      </c>
      <c r="N3293" s="105" t="str">
        <f t="shared" si="542"/>
        <v>Coal</v>
      </c>
      <c r="O3293" s="105">
        <f>IFERROR(VLOOKUP(A3293,Lookup!$J$5:$P$19,7,FALSE),0)</f>
        <v>2</v>
      </c>
      <c r="P3293" s="159">
        <f t="shared" si="543"/>
        <v>2015</v>
      </c>
      <c r="Q3293" s="159">
        <f t="shared" si="544"/>
        <v>8</v>
      </c>
      <c r="R3293" s="160">
        <f t="shared" si="545"/>
        <v>18</v>
      </c>
      <c r="S3293" s="158">
        <f t="shared" si="546"/>
        <v>18</v>
      </c>
      <c r="T3293" s="161">
        <f t="shared" si="547"/>
        <v>5328</v>
      </c>
      <c r="U3293" s="158">
        <f t="shared" si="549"/>
        <v>296</v>
      </c>
      <c r="V3293" s="160">
        <f t="shared" si="548"/>
        <v>296</v>
      </c>
    </row>
    <row r="3294" spans="1:22" x14ac:dyDescent="0.25">
      <c r="A3294" s="98" t="s">
        <v>35</v>
      </c>
      <c r="B3294" s="98" t="s">
        <v>17</v>
      </c>
      <c r="C3294" s="98">
        <v>80</v>
      </c>
      <c r="D3294" s="98">
        <v>1850</v>
      </c>
      <c r="E3294" s="162">
        <v>42240.095833333333</v>
      </c>
      <c r="F3294" s="157">
        <v>42240.32708333333</v>
      </c>
      <c r="G3294" s="98">
        <v>313</v>
      </c>
      <c r="H3294" s="98">
        <v>330</v>
      </c>
      <c r="I3294" s="98">
        <v>296</v>
      </c>
      <c r="J3294" s="98" t="s">
        <v>2263</v>
      </c>
      <c r="K3294" s="98" t="s">
        <v>41</v>
      </c>
      <c r="L3294" s="105" t="str">
        <f t="shared" si="540"/>
        <v>Mill Creek</v>
      </c>
      <c r="M3294" s="105" t="str">
        <f t="shared" si="541"/>
        <v>Derate</v>
      </c>
      <c r="N3294" s="105" t="str">
        <f t="shared" si="542"/>
        <v>Coal</v>
      </c>
      <c r="O3294" s="105">
        <f>IFERROR(VLOOKUP(A3294,Lookup!$J$5:$P$19,7,FALSE),0)</f>
        <v>2</v>
      </c>
      <c r="P3294" s="159">
        <f t="shared" si="543"/>
        <v>2015</v>
      </c>
      <c r="Q3294" s="159">
        <f t="shared" si="544"/>
        <v>8</v>
      </c>
      <c r="R3294" s="160">
        <f t="shared" si="545"/>
        <v>5.5499999999301508</v>
      </c>
      <c r="S3294" s="158">
        <f t="shared" si="546"/>
        <v>0.2859090909054926</v>
      </c>
      <c r="T3294" s="161">
        <f t="shared" si="547"/>
        <v>84.629090908025816</v>
      </c>
      <c r="U3294" s="158">
        <f t="shared" si="549"/>
        <v>15.248484848484848</v>
      </c>
      <c r="V3294" s="160">
        <f t="shared" si="548"/>
        <v>15</v>
      </c>
    </row>
    <row r="3295" spans="1:22" x14ac:dyDescent="0.25">
      <c r="A3295" s="98" t="s">
        <v>35</v>
      </c>
      <c r="B3295" s="98" t="s">
        <v>105</v>
      </c>
      <c r="C3295" s="98">
        <v>81</v>
      </c>
      <c r="D3295" s="98">
        <v>1455</v>
      </c>
      <c r="E3295" s="157">
        <v>42244.916666666664</v>
      </c>
      <c r="F3295" s="157">
        <v>42245.017361111109</v>
      </c>
      <c r="G3295" s="98">
        <v>100</v>
      </c>
      <c r="H3295" s="98">
        <v>330</v>
      </c>
      <c r="I3295" s="98">
        <v>296</v>
      </c>
      <c r="J3295" s="98" t="s">
        <v>1990</v>
      </c>
      <c r="K3295" s="98" t="s">
        <v>3589</v>
      </c>
      <c r="L3295" s="105" t="str">
        <f t="shared" si="540"/>
        <v>Mill Creek</v>
      </c>
      <c r="M3295" s="105" t="str">
        <f t="shared" si="541"/>
        <v>Derate</v>
      </c>
      <c r="N3295" s="105" t="str">
        <f t="shared" si="542"/>
        <v>Coal</v>
      </c>
      <c r="O3295" s="105">
        <f>IFERROR(VLOOKUP(A3295,Lookup!$J$5:$P$19,7,FALSE),0)</f>
        <v>2</v>
      </c>
      <c r="P3295" s="159">
        <f t="shared" si="543"/>
        <v>2015</v>
      </c>
      <c r="Q3295" s="159">
        <f t="shared" si="544"/>
        <v>8</v>
      </c>
      <c r="R3295" s="160">
        <f t="shared" si="545"/>
        <v>2.4166666666860692</v>
      </c>
      <c r="S3295" s="158">
        <f t="shared" si="546"/>
        <v>1.6843434343569574</v>
      </c>
      <c r="T3295" s="161">
        <f t="shared" si="547"/>
        <v>498.56565656965938</v>
      </c>
      <c r="U3295" s="158">
        <f t="shared" si="549"/>
        <v>206.30303030303031</v>
      </c>
      <c r="V3295" s="160">
        <f t="shared" si="548"/>
        <v>206</v>
      </c>
    </row>
    <row r="3296" spans="1:22" x14ac:dyDescent="0.25">
      <c r="A3296" s="98" t="s">
        <v>35</v>
      </c>
      <c r="B3296" s="98" t="s">
        <v>17</v>
      </c>
      <c r="C3296" s="98">
        <v>82</v>
      </c>
      <c r="D3296" s="98">
        <v>250</v>
      </c>
      <c r="E3296" s="157">
        <v>42257.725694444445</v>
      </c>
      <c r="F3296" s="157">
        <v>42257.787499999999</v>
      </c>
      <c r="G3296" s="98">
        <v>250</v>
      </c>
      <c r="H3296" s="98">
        <v>330</v>
      </c>
      <c r="I3296" s="98">
        <v>296</v>
      </c>
      <c r="J3296" s="98" t="s">
        <v>1978</v>
      </c>
      <c r="K3296" s="98" t="s">
        <v>3590</v>
      </c>
      <c r="L3296" s="105" t="str">
        <f t="shared" si="540"/>
        <v>Mill Creek</v>
      </c>
      <c r="M3296" s="105" t="str">
        <f t="shared" si="541"/>
        <v>Derate</v>
      </c>
      <c r="N3296" s="105" t="str">
        <f t="shared" si="542"/>
        <v>Coal</v>
      </c>
      <c r="O3296" s="105">
        <f>IFERROR(VLOOKUP(A3296,Lookup!$J$5:$P$19,7,FALSE),0)</f>
        <v>2</v>
      </c>
      <c r="P3296" s="159">
        <f t="shared" si="543"/>
        <v>2015</v>
      </c>
      <c r="Q3296" s="159">
        <f t="shared" si="544"/>
        <v>9</v>
      </c>
      <c r="R3296" s="160">
        <f t="shared" si="545"/>
        <v>1.4833333332790062</v>
      </c>
      <c r="S3296" s="158">
        <f t="shared" si="546"/>
        <v>0.35959595958278939</v>
      </c>
      <c r="T3296" s="161">
        <f t="shared" si="547"/>
        <v>106.44040403650565</v>
      </c>
      <c r="U3296" s="158">
        <f t="shared" si="549"/>
        <v>71.757575757575751</v>
      </c>
      <c r="V3296" s="160">
        <f t="shared" si="548"/>
        <v>72</v>
      </c>
    </row>
    <row r="3297" spans="1:22" x14ac:dyDescent="0.25">
      <c r="A3297" s="98" t="s">
        <v>35</v>
      </c>
      <c r="B3297" s="98" t="s">
        <v>17</v>
      </c>
      <c r="C3297" s="98">
        <v>83</v>
      </c>
      <c r="D3297" s="98">
        <v>250</v>
      </c>
      <c r="E3297" s="157">
        <v>42257.793749999997</v>
      </c>
      <c r="F3297" s="157">
        <v>42257.915277777778</v>
      </c>
      <c r="G3297" s="98">
        <v>250</v>
      </c>
      <c r="H3297" s="98">
        <v>330</v>
      </c>
      <c r="I3297" s="98">
        <v>296</v>
      </c>
      <c r="J3297" s="98" t="s">
        <v>1978</v>
      </c>
      <c r="K3297" s="98" t="s">
        <v>3591</v>
      </c>
      <c r="L3297" s="105" t="str">
        <f t="shared" si="540"/>
        <v>Mill Creek</v>
      </c>
      <c r="M3297" s="105" t="str">
        <f t="shared" si="541"/>
        <v>Derate</v>
      </c>
      <c r="N3297" s="105" t="str">
        <f t="shared" si="542"/>
        <v>Coal</v>
      </c>
      <c r="O3297" s="105">
        <f>IFERROR(VLOOKUP(A3297,Lookup!$J$5:$P$19,7,FALSE),0)</f>
        <v>2</v>
      </c>
      <c r="P3297" s="159">
        <f t="shared" si="543"/>
        <v>2015</v>
      </c>
      <c r="Q3297" s="159">
        <f t="shared" si="544"/>
        <v>9</v>
      </c>
      <c r="R3297" s="160">
        <f t="shared" si="545"/>
        <v>2.9166666667442769</v>
      </c>
      <c r="S3297" s="158">
        <f t="shared" si="546"/>
        <v>0.70707070708952169</v>
      </c>
      <c r="T3297" s="161">
        <f t="shared" si="547"/>
        <v>209.29292929849842</v>
      </c>
      <c r="U3297" s="158">
        <f t="shared" si="549"/>
        <v>71.757575757575751</v>
      </c>
      <c r="V3297" s="160">
        <f t="shared" si="548"/>
        <v>72</v>
      </c>
    </row>
    <row r="3298" spans="1:22" x14ac:dyDescent="0.25">
      <c r="A3298" s="98" t="s">
        <v>35</v>
      </c>
      <c r="B3298" s="98" t="s">
        <v>105</v>
      </c>
      <c r="C3298" s="98">
        <v>84</v>
      </c>
      <c r="D3298" s="98">
        <v>1457</v>
      </c>
      <c r="E3298" s="157">
        <v>42262.885416666664</v>
      </c>
      <c r="F3298" s="157">
        <v>42263.121527777781</v>
      </c>
      <c r="G3298" s="98">
        <v>114</v>
      </c>
      <c r="H3298" s="98">
        <v>330</v>
      </c>
      <c r="I3298" s="98">
        <v>296</v>
      </c>
      <c r="J3298" s="98" t="s">
        <v>2292</v>
      </c>
      <c r="K3298" s="98" t="s">
        <v>3592</v>
      </c>
      <c r="L3298" s="105" t="str">
        <f t="shared" si="540"/>
        <v>Mill Creek</v>
      </c>
      <c r="M3298" s="105" t="str">
        <f t="shared" si="541"/>
        <v>Derate</v>
      </c>
      <c r="N3298" s="105" t="str">
        <f t="shared" si="542"/>
        <v>Coal</v>
      </c>
      <c r="O3298" s="105">
        <f>IFERROR(VLOOKUP(A3298,Lookup!$J$5:$P$19,7,FALSE),0)</f>
        <v>2</v>
      </c>
      <c r="P3298" s="159">
        <f t="shared" si="543"/>
        <v>2015</v>
      </c>
      <c r="Q3298" s="159">
        <f t="shared" si="544"/>
        <v>9</v>
      </c>
      <c r="R3298" s="160">
        <f t="shared" si="545"/>
        <v>5.6666666668024845</v>
      </c>
      <c r="S3298" s="158">
        <f t="shared" si="546"/>
        <v>3.7090909091798081</v>
      </c>
      <c r="T3298" s="161">
        <f t="shared" si="547"/>
        <v>1097.8909091172231</v>
      </c>
      <c r="U3298" s="158">
        <f t="shared" si="549"/>
        <v>193.74545454545455</v>
      </c>
      <c r="V3298" s="160">
        <f t="shared" si="548"/>
        <v>194</v>
      </c>
    </row>
    <row r="3299" spans="1:22" x14ac:dyDescent="0.25">
      <c r="A3299" s="98" t="s">
        <v>35</v>
      </c>
      <c r="B3299" s="98" t="s">
        <v>79</v>
      </c>
      <c r="C3299" s="98">
        <v>85</v>
      </c>
      <c r="D3299" s="98">
        <v>8460</v>
      </c>
      <c r="E3299" s="157">
        <v>42268.416666666664</v>
      </c>
      <c r="F3299" s="157">
        <v>42268.493750000001</v>
      </c>
      <c r="G3299" s="98">
        <v>0</v>
      </c>
      <c r="H3299" s="98">
        <v>330</v>
      </c>
      <c r="I3299" s="98">
        <v>296</v>
      </c>
      <c r="J3299" s="98" t="s">
        <v>2651</v>
      </c>
      <c r="K3299" s="98" t="s">
        <v>3525</v>
      </c>
      <c r="L3299" s="105" t="str">
        <f t="shared" si="540"/>
        <v>Mill Creek</v>
      </c>
      <c r="M3299" s="105" t="str">
        <f t="shared" si="541"/>
        <v>Other</v>
      </c>
      <c r="N3299" s="105" t="str">
        <f t="shared" si="542"/>
        <v>Coal</v>
      </c>
      <c r="O3299" s="105">
        <f>IFERROR(VLOOKUP(A3299,Lookup!$J$5:$P$19,7,FALSE),0)</f>
        <v>2</v>
      </c>
      <c r="P3299" s="159">
        <f t="shared" si="543"/>
        <v>2015</v>
      </c>
      <c r="Q3299" s="159">
        <f t="shared" si="544"/>
        <v>9</v>
      </c>
      <c r="R3299" s="160">
        <f t="shared" si="545"/>
        <v>1.8500000000931323</v>
      </c>
      <c r="S3299" s="158">
        <f t="shared" si="546"/>
        <v>1.8500000000931323</v>
      </c>
      <c r="T3299" s="161">
        <f t="shared" si="547"/>
        <v>547.60000002756715</v>
      </c>
      <c r="U3299" s="158">
        <f t="shared" si="549"/>
        <v>296</v>
      </c>
      <c r="V3299" s="160">
        <f t="shared" si="548"/>
        <v>296</v>
      </c>
    </row>
    <row r="3300" spans="1:22" x14ac:dyDescent="0.25">
      <c r="A3300" s="98" t="s">
        <v>35</v>
      </c>
      <c r="B3300" s="98" t="s">
        <v>17</v>
      </c>
      <c r="C3300" s="98">
        <v>86</v>
      </c>
      <c r="D3300" s="98">
        <v>1475</v>
      </c>
      <c r="E3300" s="157">
        <v>42268.493750000001</v>
      </c>
      <c r="F3300" s="157">
        <v>42268.599305555559</v>
      </c>
      <c r="G3300" s="98">
        <v>150</v>
      </c>
      <c r="H3300" s="98">
        <v>330</v>
      </c>
      <c r="I3300" s="98">
        <v>296</v>
      </c>
      <c r="J3300" s="98" t="s">
        <v>1989</v>
      </c>
      <c r="K3300" s="98" t="s">
        <v>3593</v>
      </c>
      <c r="L3300" s="105" t="str">
        <f t="shared" si="540"/>
        <v>Mill Creek</v>
      </c>
      <c r="M3300" s="105" t="str">
        <f t="shared" si="541"/>
        <v>Derate</v>
      </c>
      <c r="N3300" s="105" t="str">
        <f t="shared" si="542"/>
        <v>Coal</v>
      </c>
      <c r="O3300" s="105">
        <f>IFERROR(VLOOKUP(A3300,Lookup!$J$5:$P$19,7,FALSE),0)</f>
        <v>2</v>
      </c>
      <c r="P3300" s="159">
        <f t="shared" si="543"/>
        <v>2015</v>
      </c>
      <c r="Q3300" s="159">
        <f t="shared" si="544"/>
        <v>9</v>
      </c>
      <c r="R3300" s="160">
        <f t="shared" si="545"/>
        <v>2.53333333338378</v>
      </c>
      <c r="S3300" s="158">
        <f t="shared" si="546"/>
        <v>1.3818181818456983</v>
      </c>
      <c r="T3300" s="161">
        <f t="shared" si="547"/>
        <v>409.01818182632667</v>
      </c>
      <c r="U3300" s="158">
        <f t="shared" si="549"/>
        <v>161.45454545454547</v>
      </c>
      <c r="V3300" s="160">
        <f t="shared" si="548"/>
        <v>161</v>
      </c>
    </row>
    <row r="3301" spans="1:22" x14ac:dyDescent="0.25">
      <c r="A3301" s="98" t="s">
        <v>35</v>
      </c>
      <c r="B3301" s="98" t="s">
        <v>79</v>
      </c>
      <c r="C3301" s="98">
        <v>87</v>
      </c>
      <c r="D3301" s="98">
        <v>8460</v>
      </c>
      <c r="E3301" s="157">
        <v>42269.4375</v>
      </c>
      <c r="F3301" s="157">
        <v>42269.8125</v>
      </c>
      <c r="G3301" s="98">
        <v>0</v>
      </c>
      <c r="H3301" s="98">
        <v>330</v>
      </c>
      <c r="I3301" s="98">
        <v>296</v>
      </c>
      <c r="J3301" s="98" t="s">
        <v>2651</v>
      </c>
      <c r="K3301" s="98" t="s">
        <v>3525</v>
      </c>
      <c r="L3301" s="105" t="str">
        <f t="shared" si="540"/>
        <v>Mill Creek</v>
      </c>
      <c r="M3301" s="105" t="str">
        <f t="shared" si="541"/>
        <v>Other</v>
      </c>
      <c r="N3301" s="105" t="str">
        <f t="shared" si="542"/>
        <v>Coal</v>
      </c>
      <c r="O3301" s="105">
        <f>IFERROR(VLOOKUP(A3301,Lookup!$J$5:$P$19,7,FALSE),0)</f>
        <v>2</v>
      </c>
      <c r="P3301" s="159">
        <f t="shared" si="543"/>
        <v>2015</v>
      </c>
      <c r="Q3301" s="159">
        <f t="shared" si="544"/>
        <v>9</v>
      </c>
      <c r="R3301" s="160">
        <f t="shared" si="545"/>
        <v>9</v>
      </c>
      <c r="S3301" s="158">
        <f t="shared" si="546"/>
        <v>9</v>
      </c>
      <c r="T3301" s="161">
        <f t="shared" si="547"/>
        <v>2664</v>
      </c>
      <c r="U3301" s="158">
        <f t="shared" si="549"/>
        <v>296</v>
      </c>
      <c r="V3301" s="160">
        <f t="shared" si="548"/>
        <v>296</v>
      </c>
    </row>
    <row r="3302" spans="1:22" x14ac:dyDescent="0.25">
      <c r="A3302" s="98" t="s">
        <v>35</v>
      </c>
      <c r="B3302" s="98" t="s">
        <v>79</v>
      </c>
      <c r="C3302" s="98">
        <v>88</v>
      </c>
      <c r="D3302" s="98">
        <v>8460</v>
      </c>
      <c r="E3302" s="157">
        <v>42270.375</v>
      </c>
      <c r="F3302" s="157">
        <v>42270.75</v>
      </c>
      <c r="G3302" s="98">
        <v>0</v>
      </c>
      <c r="H3302" s="98">
        <v>330</v>
      </c>
      <c r="I3302" s="98">
        <v>296</v>
      </c>
      <c r="J3302" s="98" t="s">
        <v>2651</v>
      </c>
      <c r="K3302" s="98" t="s">
        <v>3525</v>
      </c>
      <c r="L3302" s="105" t="str">
        <f t="shared" ref="L3302:L3365" si="550">IF(OR(A3302="BR1",A3302="BR2",A3302="BR3",A3302="BR5",A3302="BR6",A3302="BR7",A3302="BR8",A3302="BR9",A3302="BR10",A3302="BR11"),"Brown",IF(OR(A3302="CR4",A3302="CR5",A3302="CR6",A3302="CR11"),"Cane Run",IF(OR(A3302="GH1",A3302="GH2",A3302="GH3",A3302="GH4"),"Ghent",IF(OR(A3302="GR3",A3302="GR4"),"Green River",IF(OR(A3302="MC1",A3302="MC2",A3302="MC3",A3302="MC4"),"Mill Creek",IF(OR(A3302="TC1",A3302="TC2",A3302="TC5",A3302="TC6",A3302="TC7",A3302="TC8",A3302="TC9",A3302="TC10"),"Trimble",IF(A3302="TY3","Tyrone",IF(OR(A3302="HA1",A3302="HA2",A3302="HA3"),"Haeflin",IF(OR(A3302="PR11",A3302="PR12",A3302="PR13"),"Paddy's Run","Zorn")))))))))</f>
        <v>Mill Creek</v>
      </c>
      <c r="M3302" s="105" t="str">
        <f t="shared" ref="M3302:M3365" si="551">IF(OR(B3302="D1",B3302="D2",B3302="D3",B3302="D4",B3302="PD"),"Derate",IF(OR(B3302="SF",B3302="U1",B3302="U2",B3302="U3"),"Outage",IF(OR(B3302="ME",B3302="MO"),"Maintenance","Other")))</f>
        <v>Other</v>
      </c>
      <c r="N3302" s="105" t="str">
        <f t="shared" ref="N3302:N3365" si="552">IF(OR(A3302="BR1",A3302="BR2",A3302="BR3",A3302="CR4",A3302="CR5",A3302="CR6",A3302="GH1",A3302="GH2",A3302="GH3",A3302="GH4",A3302="GR3",A3302="GR4",A3302="MC1",A3302="MC2",A3302="MC3",A3302="MC4",A3302="TC1",A3302="TC2",A3302="TY3"),"Coal","Gas")</f>
        <v>Coal</v>
      </c>
      <c r="O3302" s="105">
        <f>IFERROR(VLOOKUP(A3302,Lookup!$J$5:$P$19,7,FALSE),0)</f>
        <v>2</v>
      </c>
      <c r="P3302" s="159">
        <f t="shared" ref="P3302:P3365" si="553">YEAR(E3302)</f>
        <v>2015</v>
      </c>
      <c r="Q3302" s="159">
        <f t="shared" ref="Q3302:Q3365" si="554">MONTH(E3302)</f>
        <v>9</v>
      </c>
      <c r="R3302" s="160">
        <f t="shared" ref="R3302:R3365" si="555">(F3302-E3302)*24</f>
        <v>9</v>
      </c>
      <c r="S3302" s="158">
        <f t="shared" ref="S3302:S3365" si="556">R3302*(H3302-G3302)/H3302</f>
        <v>9</v>
      </c>
      <c r="T3302" s="161">
        <f t="shared" ref="T3302:T3365" si="557">S3302*I3302</f>
        <v>2664</v>
      </c>
      <c r="U3302" s="158">
        <f t="shared" si="549"/>
        <v>296</v>
      </c>
      <c r="V3302" s="160">
        <f t="shared" ref="V3302:V3365" si="558">ROUND(U3302,0)</f>
        <v>296</v>
      </c>
    </row>
    <row r="3303" spans="1:22" x14ac:dyDescent="0.25">
      <c r="A3303" s="98" t="s">
        <v>35</v>
      </c>
      <c r="B3303" s="98" t="s">
        <v>17</v>
      </c>
      <c r="C3303" s="98">
        <v>89</v>
      </c>
      <c r="D3303" s="98">
        <v>250</v>
      </c>
      <c r="E3303" s="157">
        <v>42271.122916666667</v>
      </c>
      <c r="F3303" s="157">
        <v>42271.227083333331</v>
      </c>
      <c r="G3303" s="98">
        <v>250</v>
      </c>
      <c r="H3303" s="98">
        <v>330</v>
      </c>
      <c r="I3303" s="98">
        <v>296</v>
      </c>
      <c r="J3303" s="98" t="s">
        <v>1978</v>
      </c>
      <c r="K3303" s="98" t="s">
        <v>3594</v>
      </c>
      <c r="L3303" s="105" t="str">
        <f t="shared" si="550"/>
        <v>Mill Creek</v>
      </c>
      <c r="M3303" s="105" t="str">
        <f t="shared" si="551"/>
        <v>Derate</v>
      </c>
      <c r="N3303" s="105" t="str">
        <f t="shared" si="552"/>
        <v>Coal</v>
      </c>
      <c r="O3303" s="105">
        <f>IFERROR(VLOOKUP(A3303,Lookup!$J$5:$P$19,7,FALSE),0)</f>
        <v>2</v>
      </c>
      <c r="P3303" s="159">
        <f t="shared" si="553"/>
        <v>2015</v>
      </c>
      <c r="Q3303" s="159">
        <f t="shared" si="554"/>
        <v>9</v>
      </c>
      <c r="R3303" s="160">
        <f t="shared" si="555"/>
        <v>2.4999999999417923</v>
      </c>
      <c r="S3303" s="158">
        <f t="shared" si="556"/>
        <v>0.60606060604649514</v>
      </c>
      <c r="T3303" s="161">
        <f t="shared" si="557"/>
        <v>179.39393938976255</v>
      </c>
      <c r="U3303" s="158">
        <f t="shared" ref="U3303:U3366" si="559">IF(G3303&gt;0,MAX((H3303-G3303),0)*I3303/H3303,I3303)</f>
        <v>71.757575757575751</v>
      </c>
      <c r="V3303" s="160">
        <f t="shared" si="558"/>
        <v>72</v>
      </c>
    </row>
    <row r="3304" spans="1:22" x14ac:dyDescent="0.25">
      <c r="A3304" s="98" t="s">
        <v>35</v>
      </c>
      <c r="B3304" s="98" t="s">
        <v>79</v>
      </c>
      <c r="C3304" s="98">
        <v>90</v>
      </c>
      <c r="D3304" s="98">
        <v>8460</v>
      </c>
      <c r="E3304" s="157">
        <v>42271.458333333336</v>
      </c>
      <c r="F3304" s="157">
        <v>42271.75</v>
      </c>
      <c r="G3304" s="98">
        <v>0</v>
      </c>
      <c r="H3304" s="98">
        <v>330</v>
      </c>
      <c r="I3304" s="98">
        <v>296</v>
      </c>
      <c r="J3304" s="98" t="s">
        <v>2651</v>
      </c>
      <c r="K3304" s="98" t="s">
        <v>3525</v>
      </c>
      <c r="L3304" s="105" t="str">
        <f t="shared" si="550"/>
        <v>Mill Creek</v>
      </c>
      <c r="M3304" s="105" t="str">
        <f t="shared" si="551"/>
        <v>Other</v>
      </c>
      <c r="N3304" s="105" t="str">
        <f t="shared" si="552"/>
        <v>Coal</v>
      </c>
      <c r="O3304" s="105">
        <f>IFERROR(VLOOKUP(A3304,Lookup!$J$5:$P$19,7,FALSE),0)</f>
        <v>2</v>
      </c>
      <c r="P3304" s="159">
        <f t="shared" si="553"/>
        <v>2015</v>
      </c>
      <c r="Q3304" s="159">
        <f t="shared" si="554"/>
        <v>9</v>
      </c>
      <c r="R3304" s="160">
        <f t="shared" si="555"/>
        <v>6.9999999999417923</v>
      </c>
      <c r="S3304" s="158">
        <f t="shared" si="556"/>
        <v>6.9999999999417923</v>
      </c>
      <c r="T3304" s="161">
        <f t="shared" si="557"/>
        <v>2071.9999999827705</v>
      </c>
      <c r="U3304" s="158">
        <f t="shared" si="559"/>
        <v>296</v>
      </c>
      <c r="V3304" s="160">
        <f t="shared" si="558"/>
        <v>296</v>
      </c>
    </row>
    <row r="3305" spans="1:22" x14ac:dyDescent="0.25">
      <c r="A3305" s="98" t="s">
        <v>35</v>
      </c>
      <c r="B3305" s="98" t="s">
        <v>105</v>
      </c>
      <c r="C3305" s="98">
        <v>91</v>
      </c>
      <c r="D3305" s="98">
        <v>250</v>
      </c>
      <c r="E3305" s="157">
        <v>42271.958333333336</v>
      </c>
      <c r="F3305" s="157">
        <v>42272.290277777778</v>
      </c>
      <c r="G3305" s="98">
        <v>250</v>
      </c>
      <c r="H3305" s="98">
        <v>330</v>
      </c>
      <c r="I3305" s="98">
        <v>296</v>
      </c>
      <c r="J3305" s="98" t="s">
        <v>1978</v>
      </c>
      <c r="K3305" s="98" t="s">
        <v>3595</v>
      </c>
      <c r="L3305" s="105" t="str">
        <f t="shared" si="550"/>
        <v>Mill Creek</v>
      </c>
      <c r="M3305" s="105" t="str">
        <f t="shared" si="551"/>
        <v>Derate</v>
      </c>
      <c r="N3305" s="105" t="str">
        <f t="shared" si="552"/>
        <v>Coal</v>
      </c>
      <c r="O3305" s="105">
        <f>IFERROR(VLOOKUP(A3305,Lookup!$J$5:$P$19,7,FALSE),0)</f>
        <v>2</v>
      </c>
      <c r="P3305" s="159">
        <f t="shared" si="553"/>
        <v>2015</v>
      </c>
      <c r="Q3305" s="159">
        <f t="shared" si="554"/>
        <v>9</v>
      </c>
      <c r="R3305" s="160">
        <f t="shared" si="555"/>
        <v>7.96666666661622</v>
      </c>
      <c r="S3305" s="158">
        <f t="shared" si="556"/>
        <v>1.9313131313009018</v>
      </c>
      <c r="T3305" s="161">
        <f t="shared" si="557"/>
        <v>571.66868686506689</v>
      </c>
      <c r="U3305" s="158">
        <f t="shared" si="559"/>
        <v>71.757575757575751</v>
      </c>
      <c r="V3305" s="160">
        <f t="shared" si="558"/>
        <v>72</v>
      </c>
    </row>
    <row r="3306" spans="1:22" x14ac:dyDescent="0.25">
      <c r="A3306" s="98" t="s">
        <v>35</v>
      </c>
      <c r="B3306" s="98" t="s">
        <v>79</v>
      </c>
      <c r="C3306" s="98">
        <v>92</v>
      </c>
      <c r="D3306" s="98">
        <v>8460</v>
      </c>
      <c r="E3306" s="157">
        <v>42275.3125</v>
      </c>
      <c r="F3306" s="157">
        <v>42275.875</v>
      </c>
      <c r="G3306" s="98">
        <v>0</v>
      </c>
      <c r="H3306" s="98">
        <v>330</v>
      </c>
      <c r="I3306" s="98">
        <v>296</v>
      </c>
      <c r="J3306" s="98" t="s">
        <v>2651</v>
      </c>
      <c r="K3306" s="98" t="s">
        <v>3525</v>
      </c>
      <c r="L3306" s="105" t="str">
        <f t="shared" si="550"/>
        <v>Mill Creek</v>
      </c>
      <c r="M3306" s="105" t="str">
        <f t="shared" si="551"/>
        <v>Other</v>
      </c>
      <c r="N3306" s="105" t="str">
        <f t="shared" si="552"/>
        <v>Coal</v>
      </c>
      <c r="O3306" s="105">
        <f>IFERROR(VLOOKUP(A3306,Lookup!$J$5:$P$19,7,FALSE),0)</f>
        <v>2</v>
      </c>
      <c r="P3306" s="159">
        <f t="shared" si="553"/>
        <v>2015</v>
      </c>
      <c r="Q3306" s="159">
        <f t="shared" si="554"/>
        <v>9</v>
      </c>
      <c r="R3306" s="160">
        <f t="shared" si="555"/>
        <v>13.5</v>
      </c>
      <c r="S3306" s="158">
        <f t="shared" si="556"/>
        <v>13.5</v>
      </c>
      <c r="T3306" s="161">
        <f t="shared" si="557"/>
        <v>3996</v>
      </c>
      <c r="U3306" s="158">
        <f t="shared" si="559"/>
        <v>296</v>
      </c>
      <c r="V3306" s="160">
        <f t="shared" si="558"/>
        <v>296</v>
      </c>
    </row>
    <row r="3307" spans="1:22" x14ac:dyDescent="0.25">
      <c r="A3307" s="98" t="s">
        <v>35</v>
      </c>
      <c r="B3307" s="98" t="s">
        <v>79</v>
      </c>
      <c r="C3307" s="98">
        <v>93</v>
      </c>
      <c r="D3307" s="98">
        <v>8460</v>
      </c>
      <c r="E3307" s="157">
        <v>42276.375</v>
      </c>
      <c r="F3307" s="157">
        <v>42276.729166666664</v>
      </c>
      <c r="G3307" s="98">
        <v>0</v>
      </c>
      <c r="H3307" s="98">
        <v>330</v>
      </c>
      <c r="I3307" s="98">
        <v>296</v>
      </c>
      <c r="J3307" s="98" t="s">
        <v>2651</v>
      </c>
      <c r="K3307" s="98" t="s">
        <v>3525</v>
      </c>
      <c r="L3307" s="105" t="str">
        <f t="shared" si="550"/>
        <v>Mill Creek</v>
      </c>
      <c r="M3307" s="105" t="str">
        <f t="shared" si="551"/>
        <v>Other</v>
      </c>
      <c r="N3307" s="105" t="str">
        <f t="shared" si="552"/>
        <v>Coal</v>
      </c>
      <c r="O3307" s="105">
        <f>IFERROR(VLOOKUP(A3307,Lookup!$J$5:$P$19,7,FALSE),0)</f>
        <v>2</v>
      </c>
      <c r="P3307" s="159">
        <f t="shared" si="553"/>
        <v>2015</v>
      </c>
      <c r="Q3307" s="159">
        <f t="shared" si="554"/>
        <v>9</v>
      </c>
      <c r="R3307" s="160">
        <f t="shared" si="555"/>
        <v>8.4999999999417923</v>
      </c>
      <c r="S3307" s="158">
        <f t="shared" si="556"/>
        <v>8.4999999999417923</v>
      </c>
      <c r="T3307" s="161">
        <f t="shared" si="557"/>
        <v>2515.9999999827705</v>
      </c>
      <c r="U3307" s="158">
        <f t="shared" si="559"/>
        <v>296</v>
      </c>
      <c r="V3307" s="160">
        <f t="shared" si="558"/>
        <v>296</v>
      </c>
    </row>
    <row r="3308" spans="1:22" x14ac:dyDescent="0.25">
      <c r="A3308" s="98" t="s">
        <v>35</v>
      </c>
      <c r="B3308" s="98" t="s">
        <v>79</v>
      </c>
      <c r="C3308" s="98">
        <v>94</v>
      </c>
      <c r="D3308" s="98">
        <v>8460</v>
      </c>
      <c r="E3308" s="157">
        <v>42277.361111111109</v>
      </c>
      <c r="F3308" s="157">
        <v>42277.708333333336</v>
      </c>
      <c r="G3308" s="98">
        <v>0</v>
      </c>
      <c r="H3308" s="98">
        <v>330</v>
      </c>
      <c r="I3308" s="98">
        <v>296</v>
      </c>
      <c r="J3308" s="98" t="s">
        <v>2651</v>
      </c>
      <c r="K3308" s="98" t="s">
        <v>3525</v>
      </c>
      <c r="L3308" s="105" t="str">
        <f t="shared" si="550"/>
        <v>Mill Creek</v>
      </c>
      <c r="M3308" s="105" t="str">
        <f t="shared" si="551"/>
        <v>Other</v>
      </c>
      <c r="N3308" s="105" t="str">
        <f t="shared" si="552"/>
        <v>Coal</v>
      </c>
      <c r="O3308" s="105">
        <f>IFERROR(VLOOKUP(A3308,Lookup!$J$5:$P$19,7,FALSE),0)</f>
        <v>2</v>
      </c>
      <c r="P3308" s="159">
        <f t="shared" si="553"/>
        <v>2015</v>
      </c>
      <c r="Q3308" s="159">
        <f t="shared" si="554"/>
        <v>9</v>
      </c>
      <c r="R3308" s="160">
        <f t="shared" si="555"/>
        <v>8.3333333334303461</v>
      </c>
      <c r="S3308" s="158">
        <f t="shared" si="556"/>
        <v>8.3333333334303461</v>
      </c>
      <c r="T3308" s="161">
        <f t="shared" si="557"/>
        <v>2466.6666666953824</v>
      </c>
      <c r="U3308" s="158">
        <f t="shared" si="559"/>
        <v>296</v>
      </c>
      <c r="V3308" s="160">
        <f t="shared" si="558"/>
        <v>296</v>
      </c>
    </row>
    <row r="3309" spans="1:22" x14ac:dyDescent="0.25">
      <c r="A3309" s="98" t="s">
        <v>35</v>
      </c>
      <c r="B3309" s="98" t="s">
        <v>79</v>
      </c>
      <c r="C3309" s="98">
        <v>95</v>
      </c>
      <c r="D3309" s="98">
        <v>8460</v>
      </c>
      <c r="E3309" s="157">
        <v>42278.294444444444</v>
      </c>
      <c r="F3309" s="157">
        <v>42278.715277777781</v>
      </c>
      <c r="G3309" s="98">
        <v>0</v>
      </c>
      <c r="H3309" s="98">
        <v>330</v>
      </c>
      <c r="I3309" s="98">
        <v>296</v>
      </c>
      <c r="J3309" s="98" t="s">
        <v>2651</v>
      </c>
      <c r="K3309" s="98" t="s">
        <v>3525</v>
      </c>
      <c r="L3309" s="105" t="str">
        <f t="shared" si="550"/>
        <v>Mill Creek</v>
      </c>
      <c r="M3309" s="105" t="str">
        <f t="shared" si="551"/>
        <v>Other</v>
      </c>
      <c r="N3309" s="105" t="str">
        <f t="shared" si="552"/>
        <v>Coal</v>
      </c>
      <c r="O3309" s="105">
        <f>IFERROR(VLOOKUP(A3309,Lookup!$J$5:$P$19,7,FALSE),0)</f>
        <v>2</v>
      </c>
      <c r="P3309" s="159">
        <f t="shared" si="553"/>
        <v>2015</v>
      </c>
      <c r="Q3309" s="159">
        <f t="shared" si="554"/>
        <v>10</v>
      </c>
      <c r="R3309" s="160">
        <f t="shared" si="555"/>
        <v>10.100000000093132</v>
      </c>
      <c r="S3309" s="158">
        <f t="shared" si="556"/>
        <v>10.100000000093132</v>
      </c>
      <c r="T3309" s="161">
        <f t="shared" si="557"/>
        <v>2989.6000000275671</v>
      </c>
      <c r="U3309" s="158">
        <f t="shared" si="559"/>
        <v>296</v>
      </c>
      <c r="V3309" s="160">
        <f t="shared" si="558"/>
        <v>296</v>
      </c>
    </row>
    <row r="3310" spans="1:22" x14ac:dyDescent="0.25">
      <c r="A3310" s="98" t="s">
        <v>35</v>
      </c>
      <c r="B3310" s="98" t="s">
        <v>17</v>
      </c>
      <c r="C3310" s="98">
        <v>96</v>
      </c>
      <c r="D3310" s="98">
        <v>310</v>
      </c>
      <c r="E3310" s="157">
        <v>42292.569444444445</v>
      </c>
      <c r="F3310" s="157">
        <v>42292.73333333333</v>
      </c>
      <c r="G3310" s="98">
        <v>240</v>
      </c>
      <c r="H3310" s="98">
        <v>330</v>
      </c>
      <c r="I3310" s="98">
        <v>296</v>
      </c>
      <c r="J3310" s="98" t="s">
        <v>1966</v>
      </c>
      <c r="K3310" s="98" t="s">
        <v>3596</v>
      </c>
      <c r="L3310" s="105" t="str">
        <f t="shared" si="550"/>
        <v>Mill Creek</v>
      </c>
      <c r="M3310" s="105" t="str">
        <f t="shared" si="551"/>
        <v>Derate</v>
      </c>
      <c r="N3310" s="105" t="str">
        <f t="shared" si="552"/>
        <v>Coal</v>
      </c>
      <c r="O3310" s="105">
        <f>IFERROR(VLOOKUP(A3310,Lookup!$J$5:$P$19,7,FALSE),0)</f>
        <v>2</v>
      </c>
      <c r="P3310" s="159">
        <f t="shared" si="553"/>
        <v>2015</v>
      </c>
      <c r="Q3310" s="159">
        <f t="shared" si="554"/>
        <v>10</v>
      </c>
      <c r="R3310" s="160">
        <f t="shared" si="555"/>
        <v>3.9333333332324401</v>
      </c>
      <c r="S3310" s="158">
        <f t="shared" si="556"/>
        <v>1.0727272726997563</v>
      </c>
      <c r="T3310" s="161">
        <f t="shared" si="557"/>
        <v>317.52727271912789</v>
      </c>
      <c r="U3310" s="158">
        <f t="shared" si="559"/>
        <v>80.727272727272734</v>
      </c>
      <c r="V3310" s="160">
        <f t="shared" si="558"/>
        <v>81</v>
      </c>
    </row>
    <row r="3311" spans="1:22" x14ac:dyDescent="0.25">
      <c r="A3311" s="98" t="s">
        <v>35</v>
      </c>
      <c r="B3311" s="98" t="s">
        <v>105</v>
      </c>
      <c r="C3311" s="98">
        <v>97</v>
      </c>
      <c r="D3311" s="98">
        <v>250</v>
      </c>
      <c r="E3311" s="157">
        <v>42292.958333333336</v>
      </c>
      <c r="F3311" s="157">
        <v>42293.156944444447</v>
      </c>
      <c r="G3311" s="98">
        <v>250</v>
      </c>
      <c r="H3311" s="98">
        <v>330</v>
      </c>
      <c r="I3311" s="98">
        <v>296</v>
      </c>
      <c r="J3311" s="98" t="s">
        <v>1978</v>
      </c>
      <c r="K3311" s="98" t="s">
        <v>3597</v>
      </c>
      <c r="L3311" s="105" t="str">
        <f t="shared" si="550"/>
        <v>Mill Creek</v>
      </c>
      <c r="M3311" s="105" t="str">
        <f t="shared" si="551"/>
        <v>Derate</v>
      </c>
      <c r="N3311" s="105" t="str">
        <f t="shared" si="552"/>
        <v>Coal</v>
      </c>
      <c r="O3311" s="105">
        <f>IFERROR(VLOOKUP(A3311,Lookup!$J$5:$P$19,7,FALSE),0)</f>
        <v>2</v>
      </c>
      <c r="P3311" s="159">
        <f t="shared" si="553"/>
        <v>2015</v>
      </c>
      <c r="Q3311" s="159">
        <f t="shared" si="554"/>
        <v>10</v>
      </c>
      <c r="R3311" s="160">
        <f t="shared" si="555"/>
        <v>4.7666666666627862</v>
      </c>
      <c r="S3311" s="158">
        <f t="shared" si="556"/>
        <v>1.1555555555546149</v>
      </c>
      <c r="T3311" s="161">
        <f t="shared" si="557"/>
        <v>342.044444444166</v>
      </c>
      <c r="U3311" s="158">
        <f t="shared" si="559"/>
        <v>71.757575757575751</v>
      </c>
      <c r="V3311" s="160">
        <f t="shared" si="558"/>
        <v>72</v>
      </c>
    </row>
    <row r="3312" spans="1:22" x14ac:dyDescent="0.25">
      <c r="A3312" s="98" t="s">
        <v>35</v>
      </c>
      <c r="B3312" s="98" t="s">
        <v>20</v>
      </c>
      <c r="C3312" s="98">
        <v>98</v>
      </c>
      <c r="D3312" s="98">
        <v>590</v>
      </c>
      <c r="E3312" s="157">
        <v>42297.965277777781</v>
      </c>
      <c r="F3312" s="157">
        <v>42298.580555555556</v>
      </c>
      <c r="G3312" s="98">
        <v>0</v>
      </c>
      <c r="H3312" s="98">
        <v>330</v>
      </c>
      <c r="I3312" s="98">
        <v>296</v>
      </c>
      <c r="J3312" s="98" t="s">
        <v>2116</v>
      </c>
      <c r="K3312" s="98" t="s">
        <v>3598</v>
      </c>
      <c r="L3312" s="105" t="str">
        <f t="shared" si="550"/>
        <v>Mill Creek</v>
      </c>
      <c r="M3312" s="105" t="str">
        <f t="shared" si="551"/>
        <v>Maintenance</v>
      </c>
      <c r="N3312" s="105" t="str">
        <f t="shared" si="552"/>
        <v>Coal</v>
      </c>
      <c r="O3312" s="105">
        <f>IFERROR(VLOOKUP(A3312,Lookup!$J$5:$P$19,7,FALSE),0)</f>
        <v>2</v>
      </c>
      <c r="P3312" s="159">
        <f t="shared" si="553"/>
        <v>2015</v>
      </c>
      <c r="Q3312" s="159">
        <f t="shared" si="554"/>
        <v>10</v>
      </c>
      <c r="R3312" s="160">
        <f t="shared" si="555"/>
        <v>14.766666666604578</v>
      </c>
      <c r="S3312" s="158">
        <f t="shared" si="556"/>
        <v>14.766666666604578</v>
      </c>
      <c r="T3312" s="161">
        <f t="shared" si="557"/>
        <v>4370.9333333149552</v>
      </c>
      <c r="U3312" s="158">
        <f t="shared" si="559"/>
        <v>296</v>
      </c>
      <c r="V3312" s="160">
        <f t="shared" si="558"/>
        <v>296</v>
      </c>
    </row>
    <row r="3313" spans="1:22" x14ac:dyDescent="0.25">
      <c r="A3313" s="98" t="s">
        <v>35</v>
      </c>
      <c r="B3313" s="98" t="s">
        <v>79</v>
      </c>
      <c r="C3313" s="98">
        <v>99</v>
      </c>
      <c r="D3313" s="98">
        <v>1850</v>
      </c>
      <c r="E3313" s="157">
        <v>42298.566666666666</v>
      </c>
      <c r="F3313" s="157">
        <v>42298.915277777778</v>
      </c>
      <c r="G3313" s="98">
        <v>0</v>
      </c>
      <c r="H3313" s="98">
        <v>330</v>
      </c>
      <c r="I3313" s="98">
        <v>296</v>
      </c>
      <c r="J3313" s="98" t="s">
        <v>2263</v>
      </c>
      <c r="K3313" s="98" t="s">
        <v>2726</v>
      </c>
      <c r="L3313" s="105" t="str">
        <f t="shared" si="550"/>
        <v>Mill Creek</v>
      </c>
      <c r="M3313" s="105" t="str">
        <f t="shared" si="551"/>
        <v>Other</v>
      </c>
      <c r="N3313" s="105" t="str">
        <f t="shared" si="552"/>
        <v>Coal</v>
      </c>
      <c r="O3313" s="105">
        <f>IFERROR(VLOOKUP(A3313,Lookup!$J$5:$P$19,7,FALSE),0)</f>
        <v>2</v>
      </c>
      <c r="P3313" s="159">
        <f t="shared" si="553"/>
        <v>2015</v>
      </c>
      <c r="Q3313" s="159">
        <f t="shared" si="554"/>
        <v>10</v>
      </c>
      <c r="R3313" s="160">
        <f t="shared" si="555"/>
        <v>8.3666666666977108</v>
      </c>
      <c r="S3313" s="158">
        <f t="shared" si="556"/>
        <v>8.3666666666977108</v>
      </c>
      <c r="T3313" s="161">
        <f t="shared" si="557"/>
        <v>2476.5333333425224</v>
      </c>
      <c r="U3313" s="158">
        <f t="shared" si="559"/>
        <v>296</v>
      </c>
      <c r="V3313" s="160">
        <f t="shared" si="558"/>
        <v>296</v>
      </c>
    </row>
    <row r="3314" spans="1:22" x14ac:dyDescent="0.25">
      <c r="A3314" s="98" t="s">
        <v>35</v>
      </c>
      <c r="B3314" s="98" t="s">
        <v>105</v>
      </c>
      <c r="C3314" s="98">
        <v>100</v>
      </c>
      <c r="D3314" s="98">
        <v>250</v>
      </c>
      <c r="E3314" s="157">
        <v>42299.916666666664</v>
      </c>
      <c r="F3314" s="157">
        <v>42300.159722222219</v>
      </c>
      <c r="G3314" s="98">
        <v>245</v>
      </c>
      <c r="H3314" s="98">
        <v>330</v>
      </c>
      <c r="I3314" s="98">
        <v>296</v>
      </c>
      <c r="J3314" s="98" t="s">
        <v>1978</v>
      </c>
      <c r="K3314" s="98" t="s">
        <v>3599</v>
      </c>
      <c r="L3314" s="105" t="str">
        <f t="shared" si="550"/>
        <v>Mill Creek</v>
      </c>
      <c r="M3314" s="105" t="str">
        <f t="shared" si="551"/>
        <v>Derate</v>
      </c>
      <c r="N3314" s="105" t="str">
        <f t="shared" si="552"/>
        <v>Coal</v>
      </c>
      <c r="O3314" s="105">
        <f>IFERROR(VLOOKUP(A3314,Lookup!$J$5:$P$19,7,FALSE),0)</f>
        <v>2</v>
      </c>
      <c r="P3314" s="159">
        <f t="shared" si="553"/>
        <v>2015</v>
      </c>
      <c r="Q3314" s="159">
        <f t="shared" si="554"/>
        <v>10</v>
      </c>
      <c r="R3314" s="160">
        <f t="shared" si="555"/>
        <v>5.8333333333139308</v>
      </c>
      <c r="S3314" s="158">
        <f t="shared" si="556"/>
        <v>1.5025252525202548</v>
      </c>
      <c r="T3314" s="161">
        <f t="shared" si="557"/>
        <v>444.74747474599542</v>
      </c>
      <c r="U3314" s="158">
        <f t="shared" si="559"/>
        <v>76.242424242424249</v>
      </c>
      <c r="V3314" s="160">
        <f t="shared" si="558"/>
        <v>76</v>
      </c>
    </row>
    <row r="3315" spans="1:22" x14ac:dyDescent="0.25">
      <c r="A3315" s="98" t="s">
        <v>35</v>
      </c>
      <c r="B3315" s="98" t="s">
        <v>105</v>
      </c>
      <c r="C3315" s="98">
        <v>101</v>
      </c>
      <c r="D3315" s="98">
        <v>310</v>
      </c>
      <c r="E3315" s="157">
        <v>42310.968055555553</v>
      </c>
      <c r="F3315" s="157">
        <v>42311.173611111109</v>
      </c>
      <c r="G3315" s="98">
        <v>230</v>
      </c>
      <c r="H3315" s="98">
        <v>330</v>
      </c>
      <c r="I3315" s="98">
        <v>296</v>
      </c>
      <c r="J3315" s="98" t="s">
        <v>1966</v>
      </c>
      <c r="K3315" s="98" t="s">
        <v>3600</v>
      </c>
      <c r="L3315" s="105" t="str">
        <f t="shared" si="550"/>
        <v>Mill Creek</v>
      </c>
      <c r="M3315" s="105" t="str">
        <f t="shared" si="551"/>
        <v>Derate</v>
      </c>
      <c r="N3315" s="105" t="str">
        <f t="shared" si="552"/>
        <v>Coal</v>
      </c>
      <c r="O3315" s="105">
        <f>IFERROR(VLOOKUP(A3315,Lookup!$J$5:$P$19,7,FALSE),0)</f>
        <v>2</v>
      </c>
      <c r="P3315" s="159">
        <f t="shared" si="553"/>
        <v>2015</v>
      </c>
      <c r="Q3315" s="159">
        <f t="shared" si="554"/>
        <v>11</v>
      </c>
      <c r="R3315" s="160">
        <f t="shared" si="555"/>
        <v>4.9333333333488554</v>
      </c>
      <c r="S3315" s="158">
        <f t="shared" si="556"/>
        <v>1.4949494949541986</v>
      </c>
      <c r="T3315" s="161">
        <f t="shared" si="557"/>
        <v>442.50505050644279</v>
      </c>
      <c r="U3315" s="158">
        <f t="shared" si="559"/>
        <v>89.696969696969703</v>
      </c>
      <c r="V3315" s="160">
        <f t="shared" si="558"/>
        <v>90</v>
      </c>
    </row>
    <row r="3316" spans="1:22" x14ac:dyDescent="0.25">
      <c r="A3316" s="98" t="s">
        <v>35</v>
      </c>
      <c r="B3316" s="98" t="s">
        <v>105</v>
      </c>
      <c r="C3316" s="98">
        <v>102</v>
      </c>
      <c r="D3316" s="98">
        <v>310</v>
      </c>
      <c r="E3316" s="157">
        <v>42311.958333333336</v>
      </c>
      <c r="F3316" s="157">
        <v>42312.209027777775</v>
      </c>
      <c r="G3316" s="98">
        <v>230</v>
      </c>
      <c r="H3316" s="98">
        <v>330</v>
      </c>
      <c r="I3316" s="98">
        <v>296</v>
      </c>
      <c r="J3316" s="98" t="s">
        <v>1966</v>
      </c>
      <c r="K3316" s="98" t="s">
        <v>3601</v>
      </c>
      <c r="L3316" s="105" t="str">
        <f t="shared" si="550"/>
        <v>Mill Creek</v>
      </c>
      <c r="M3316" s="105" t="str">
        <f t="shared" si="551"/>
        <v>Derate</v>
      </c>
      <c r="N3316" s="105" t="str">
        <f t="shared" si="552"/>
        <v>Coal</v>
      </c>
      <c r="O3316" s="105">
        <f>IFERROR(VLOOKUP(A3316,Lookup!$J$5:$P$19,7,FALSE),0)</f>
        <v>2</v>
      </c>
      <c r="P3316" s="159">
        <f t="shared" si="553"/>
        <v>2015</v>
      </c>
      <c r="Q3316" s="159">
        <f t="shared" si="554"/>
        <v>11</v>
      </c>
      <c r="R3316" s="160">
        <f t="shared" si="555"/>
        <v>6.0166666665463708</v>
      </c>
      <c r="S3316" s="158">
        <f t="shared" si="556"/>
        <v>1.82323232319587</v>
      </c>
      <c r="T3316" s="161">
        <f t="shared" si="557"/>
        <v>539.67676766597754</v>
      </c>
      <c r="U3316" s="158">
        <f t="shared" si="559"/>
        <v>89.696969696969703</v>
      </c>
      <c r="V3316" s="160">
        <f t="shared" si="558"/>
        <v>90</v>
      </c>
    </row>
    <row r="3317" spans="1:22" x14ac:dyDescent="0.25">
      <c r="A3317" s="98" t="s">
        <v>35</v>
      </c>
      <c r="B3317" s="98" t="s">
        <v>105</v>
      </c>
      <c r="C3317" s="98">
        <v>103</v>
      </c>
      <c r="D3317" s="98">
        <v>310</v>
      </c>
      <c r="E3317" s="157">
        <v>42313.958333333336</v>
      </c>
      <c r="F3317" s="157">
        <v>42314.234722222223</v>
      </c>
      <c r="G3317" s="98">
        <v>230</v>
      </c>
      <c r="H3317" s="98">
        <v>330</v>
      </c>
      <c r="I3317" s="98">
        <v>296</v>
      </c>
      <c r="J3317" s="98" t="s">
        <v>1966</v>
      </c>
      <c r="K3317" s="98" t="s">
        <v>3602</v>
      </c>
      <c r="L3317" s="105" t="str">
        <f t="shared" si="550"/>
        <v>Mill Creek</v>
      </c>
      <c r="M3317" s="105" t="str">
        <f t="shared" si="551"/>
        <v>Derate</v>
      </c>
      <c r="N3317" s="105" t="str">
        <f t="shared" si="552"/>
        <v>Coal</v>
      </c>
      <c r="O3317" s="105">
        <f>IFERROR(VLOOKUP(A3317,Lookup!$J$5:$P$19,7,FALSE),0)</f>
        <v>2</v>
      </c>
      <c r="P3317" s="159">
        <f t="shared" si="553"/>
        <v>2015</v>
      </c>
      <c r="Q3317" s="159">
        <f t="shared" si="554"/>
        <v>11</v>
      </c>
      <c r="R3317" s="160">
        <f t="shared" si="555"/>
        <v>6.6333333333022892</v>
      </c>
      <c r="S3317" s="158">
        <f t="shared" si="556"/>
        <v>2.0101010100916028</v>
      </c>
      <c r="T3317" s="161">
        <f t="shared" si="557"/>
        <v>594.98989898711443</v>
      </c>
      <c r="U3317" s="158">
        <f t="shared" si="559"/>
        <v>89.696969696969703</v>
      </c>
      <c r="V3317" s="160">
        <f t="shared" si="558"/>
        <v>90</v>
      </c>
    </row>
    <row r="3318" spans="1:22" x14ac:dyDescent="0.25">
      <c r="A3318" s="98" t="s">
        <v>35</v>
      </c>
      <c r="B3318" s="98" t="s">
        <v>105</v>
      </c>
      <c r="C3318" s="98">
        <v>104</v>
      </c>
      <c r="D3318" s="98">
        <v>310</v>
      </c>
      <c r="E3318" s="162">
        <v>42317.958333333336</v>
      </c>
      <c r="F3318" s="157">
        <v>42318.18472222222</v>
      </c>
      <c r="G3318" s="98">
        <v>230</v>
      </c>
      <c r="H3318" s="98">
        <v>330</v>
      </c>
      <c r="I3318" s="98">
        <v>296</v>
      </c>
      <c r="J3318" s="98" t="s">
        <v>1966</v>
      </c>
      <c r="K3318" s="98" t="s">
        <v>3603</v>
      </c>
      <c r="L3318" s="105" t="str">
        <f t="shared" si="550"/>
        <v>Mill Creek</v>
      </c>
      <c r="M3318" s="105" t="str">
        <f t="shared" si="551"/>
        <v>Derate</v>
      </c>
      <c r="N3318" s="105" t="str">
        <f t="shared" si="552"/>
        <v>Coal</v>
      </c>
      <c r="O3318" s="105">
        <f>IFERROR(VLOOKUP(A3318,Lookup!$J$5:$P$19,7,FALSE),0)</f>
        <v>2</v>
      </c>
      <c r="P3318" s="159">
        <f t="shared" si="553"/>
        <v>2015</v>
      </c>
      <c r="Q3318" s="159">
        <f t="shared" si="554"/>
        <v>11</v>
      </c>
      <c r="R3318" s="160">
        <f t="shared" si="555"/>
        <v>5.4333333332324401</v>
      </c>
      <c r="S3318" s="158">
        <f t="shared" si="556"/>
        <v>1.6464646464340726</v>
      </c>
      <c r="T3318" s="161">
        <f t="shared" si="557"/>
        <v>487.35353534448552</v>
      </c>
      <c r="U3318" s="158">
        <f t="shared" si="559"/>
        <v>89.696969696969703</v>
      </c>
      <c r="V3318" s="160">
        <f t="shared" si="558"/>
        <v>90</v>
      </c>
    </row>
    <row r="3319" spans="1:22" x14ac:dyDescent="0.25">
      <c r="A3319" s="98" t="s">
        <v>35</v>
      </c>
      <c r="B3319" s="98" t="s">
        <v>79</v>
      </c>
      <c r="C3319" s="98">
        <v>105</v>
      </c>
      <c r="D3319" s="98">
        <v>8460</v>
      </c>
      <c r="E3319" s="157">
        <v>42324.333333333336</v>
      </c>
      <c r="F3319" s="157">
        <v>42324.708333333336</v>
      </c>
      <c r="G3319" s="98">
        <v>0</v>
      </c>
      <c r="H3319" s="98">
        <v>330</v>
      </c>
      <c r="I3319" s="98">
        <v>296</v>
      </c>
      <c r="J3319" s="98" t="s">
        <v>2651</v>
      </c>
      <c r="K3319" s="98" t="s">
        <v>3529</v>
      </c>
      <c r="L3319" s="105" t="str">
        <f t="shared" si="550"/>
        <v>Mill Creek</v>
      </c>
      <c r="M3319" s="105" t="str">
        <f t="shared" si="551"/>
        <v>Other</v>
      </c>
      <c r="N3319" s="105" t="str">
        <f t="shared" si="552"/>
        <v>Coal</v>
      </c>
      <c r="O3319" s="105">
        <f>IFERROR(VLOOKUP(A3319,Lookup!$J$5:$P$19,7,FALSE),0)</f>
        <v>2</v>
      </c>
      <c r="P3319" s="159">
        <f t="shared" si="553"/>
        <v>2015</v>
      </c>
      <c r="Q3319" s="159">
        <f t="shared" si="554"/>
        <v>11</v>
      </c>
      <c r="R3319" s="160">
        <f t="shared" si="555"/>
        <v>9</v>
      </c>
      <c r="S3319" s="158">
        <f t="shared" si="556"/>
        <v>9</v>
      </c>
      <c r="T3319" s="161">
        <f t="shared" si="557"/>
        <v>2664</v>
      </c>
      <c r="U3319" s="158">
        <f t="shared" si="559"/>
        <v>296</v>
      </c>
      <c r="V3319" s="160">
        <f t="shared" si="558"/>
        <v>296</v>
      </c>
    </row>
    <row r="3320" spans="1:22" x14ac:dyDescent="0.25">
      <c r="A3320" s="98" t="s">
        <v>35</v>
      </c>
      <c r="B3320" s="98" t="s">
        <v>79</v>
      </c>
      <c r="C3320" s="98">
        <v>106</v>
      </c>
      <c r="D3320" s="98">
        <v>8460</v>
      </c>
      <c r="E3320" s="157">
        <v>42325.319444444445</v>
      </c>
      <c r="F3320" s="157">
        <v>42325.708333333336</v>
      </c>
      <c r="G3320" s="98">
        <v>0</v>
      </c>
      <c r="H3320" s="98">
        <v>330</v>
      </c>
      <c r="I3320" s="98">
        <v>296</v>
      </c>
      <c r="J3320" s="98" t="s">
        <v>2651</v>
      </c>
      <c r="K3320" s="98" t="s">
        <v>3529</v>
      </c>
      <c r="L3320" s="105" t="str">
        <f t="shared" si="550"/>
        <v>Mill Creek</v>
      </c>
      <c r="M3320" s="105" t="str">
        <f t="shared" si="551"/>
        <v>Other</v>
      </c>
      <c r="N3320" s="105" t="str">
        <f t="shared" si="552"/>
        <v>Coal</v>
      </c>
      <c r="O3320" s="105">
        <f>IFERROR(VLOOKUP(A3320,Lookup!$J$5:$P$19,7,FALSE),0)</f>
        <v>2</v>
      </c>
      <c r="P3320" s="159">
        <f t="shared" si="553"/>
        <v>2015</v>
      </c>
      <c r="Q3320" s="159">
        <f t="shared" si="554"/>
        <v>11</v>
      </c>
      <c r="R3320" s="160">
        <f t="shared" si="555"/>
        <v>9.3333333333721384</v>
      </c>
      <c r="S3320" s="158">
        <f t="shared" si="556"/>
        <v>9.3333333333721384</v>
      </c>
      <c r="T3320" s="161">
        <f t="shared" si="557"/>
        <v>2762.666666678153</v>
      </c>
      <c r="U3320" s="158">
        <f t="shared" si="559"/>
        <v>296</v>
      </c>
      <c r="V3320" s="160">
        <f t="shared" si="558"/>
        <v>296</v>
      </c>
    </row>
    <row r="3321" spans="1:22" x14ac:dyDescent="0.25">
      <c r="A3321" s="98" t="s">
        <v>35</v>
      </c>
      <c r="B3321" s="98" t="s">
        <v>17</v>
      </c>
      <c r="C3321" s="98">
        <v>107</v>
      </c>
      <c r="D3321" s="98">
        <v>95</v>
      </c>
      <c r="E3321" s="157">
        <v>42326.25</v>
      </c>
      <c r="F3321" s="157">
        <v>42326.322916666664</v>
      </c>
      <c r="G3321" s="98">
        <v>240</v>
      </c>
      <c r="H3321" s="98">
        <v>330</v>
      </c>
      <c r="I3321" s="98">
        <v>296</v>
      </c>
      <c r="J3321" s="98" t="s">
        <v>1998</v>
      </c>
      <c r="K3321" s="98" t="s">
        <v>3604</v>
      </c>
      <c r="L3321" s="105" t="str">
        <f t="shared" si="550"/>
        <v>Mill Creek</v>
      </c>
      <c r="M3321" s="105" t="str">
        <f t="shared" si="551"/>
        <v>Derate</v>
      </c>
      <c r="N3321" s="105" t="str">
        <f t="shared" si="552"/>
        <v>Coal</v>
      </c>
      <c r="O3321" s="105">
        <f>IFERROR(VLOOKUP(A3321,Lookup!$J$5:$P$19,7,FALSE),0)</f>
        <v>2</v>
      </c>
      <c r="P3321" s="159">
        <f t="shared" si="553"/>
        <v>2015</v>
      </c>
      <c r="Q3321" s="159">
        <f t="shared" si="554"/>
        <v>11</v>
      </c>
      <c r="R3321" s="160">
        <f t="shared" si="555"/>
        <v>1.7499999999417923</v>
      </c>
      <c r="S3321" s="158">
        <f t="shared" si="556"/>
        <v>0.47727272725685244</v>
      </c>
      <c r="T3321" s="161">
        <f t="shared" si="557"/>
        <v>141.27272726802832</v>
      </c>
      <c r="U3321" s="158">
        <f t="shared" si="559"/>
        <v>80.727272727272734</v>
      </c>
      <c r="V3321" s="160">
        <f t="shared" si="558"/>
        <v>81</v>
      </c>
    </row>
    <row r="3322" spans="1:22" x14ac:dyDescent="0.25">
      <c r="A3322" s="98" t="s">
        <v>35</v>
      </c>
      <c r="B3322" s="98" t="s">
        <v>79</v>
      </c>
      <c r="C3322" s="98">
        <v>108</v>
      </c>
      <c r="D3322" s="98">
        <v>8460</v>
      </c>
      <c r="E3322" s="157">
        <v>42326.34375</v>
      </c>
      <c r="F3322" s="157">
        <v>42326.708333333336</v>
      </c>
      <c r="G3322" s="98">
        <v>0</v>
      </c>
      <c r="H3322" s="98">
        <v>330</v>
      </c>
      <c r="I3322" s="98">
        <v>296</v>
      </c>
      <c r="J3322" s="98" t="s">
        <v>2651</v>
      </c>
      <c r="K3322" s="98" t="s">
        <v>3529</v>
      </c>
      <c r="L3322" s="105" t="str">
        <f t="shared" si="550"/>
        <v>Mill Creek</v>
      </c>
      <c r="M3322" s="105" t="str">
        <f t="shared" si="551"/>
        <v>Other</v>
      </c>
      <c r="N3322" s="105" t="str">
        <f t="shared" si="552"/>
        <v>Coal</v>
      </c>
      <c r="O3322" s="105">
        <f>IFERROR(VLOOKUP(A3322,Lookup!$J$5:$P$19,7,FALSE),0)</f>
        <v>2</v>
      </c>
      <c r="P3322" s="159">
        <f t="shared" si="553"/>
        <v>2015</v>
      </c>
      <c r="Q3322" s="159">
        <f t="shared" si="554"/>
        <v>11</v>
      </c>
      <c r="R3322" s="160">
        <f t="shared" si="555"/>
        <v>8.7500000000582077</v>
      </c>
      <c r="S3322" s="158">
        <f t="shared" si="556"/>
        <v>8.7500000000582077</v>
      </c>
      <c r="T3322" s="161">
        <f t="shared" si="557"/>
        <v>2590.0000000172295</v>
      </c>
      <c r="U3322" s="158">
        <f t="shared" si="559"/>
        <v>296</v>
      </c>
      <c r="V3322" s="160">
        <f t="shared" si="558"/>
        <v>296</v>
      </c>
    </row>
    <row r="3323" spans="1:22" x14ac:dyDescent="0.25">
      <c r="A3323" s="98" t="s">
        <v>35</v>
      </c>
      <c r="B3323" s="98" t="s">
        <v>79</v>
      </c>
      <c r="C3323" s="98">
        <v>109</v>
      </c>
      <c r="D3323" s="98">
        <v>8460</v>
      </c>
      <c r="E3323" s="157">
        <v>42327.3125</v>
      </c>
      <c r="F3323" s="157">
        <v>42327.708333333336</v>
      </c>
      <c r="G3323" s="98">
        <v>0</v>
      </c>
      <c r="H3323" s="98">
        <v>330</v>
      </c>
      <c r="I3323" s="98">
        <v>296</v>
      </c>
      <c r="J3323" s="98" t="s">
        <v>2651</v>
      </c>
      <c r="K3323" s="98" t="s">
        <v>3529</v>
      </c>
      <c r="L3323" s="105" t="str">
        <f t="shared" si="550"/>
        <v>Mill Creek</v>
      </c>
      <c r="M3323" s="105" t="str">
        <f t="shared" si="551"/>
        <v>Other</v>
      </c>
      <c r="N3323" s="105" t="str">
        <f t="shared" si="552"/>
        <v>Coal</v>
      </c>
      <c r="O3323" s="105">
        <f>IFERROR(VLOOKUP(A3323,Lookup!$J$5:$P$19,7,FALSE),0)</f>
        <v>2</v>
      </c>
      <c r="P3323" s="159">
        <f t="shared" si="553"/>
        <v>2015</v>
      </c>
      <c r="Q3323" s="159">
        <f t="shared" si="554"/>
        <v>11</v>
      </c>
      <c r="R3323" s="160">
        <f t="shared" si="555"/>
        <v>9.5000000000582077</v>
      </c>
      <c r="S3323" s="158">
        <f t="shared" si="556"/>
        <v>9.5000000000582077</v>
      </c>
      <c r="T3323" s="161">
        <f t="shared" si="557"/>
        <v>2812.0000000172295</v>
      </c>
      <c r="U3323" s="158">
        <f t="shared" si="559"/>
        <v>296</v>
      </c>
      <c r="V3323" s="160">
        <f t="shared" si="558"/>
        <v>296</v>
      </c>
    </row>
    <row r="3324" spans="1:22" x14ac:dyDescent="0.25">
      <c r="A3324" s="98" t="s">
        <v>35</v>
      </c>
      <c r="B3324" s="98" t="s">
        <v>79</v>
      </c>
      <c r="C3324" s="98">
        <v>110</v>
      </c>
      <c r="D3324" s="98">
        <v>8460</v>
      </c>
      <c r="E3324" s="157">
        <v>42328.375</v>
      </c>
      <c r="F3324" s="157">
        <v>42328.791666666664</v>
      </c>
      <c r="G3324" s="98">
        <v>0</v>
      </c>
      <c r="H3324" s="98">
        <v>330</v>
      </c>
      <c r="I3324" s="98">
        <v>296</v>
      </c>
      <c r="J3324" s="98" t="s">
        <v>2651</v>
      </c>
      <c r="K3324" s="98" t="s">
        <v>3529</v>
      </c>
      <c r="L3324" s="105" t="str">
        <f t="shared" si="550"/>
        <v>Mill Creek</v>
      </c>
      <c r="M3324" s="105" t="str">
        <f t="shared" si="551"/>
        <v>Other</v>
      </c>
      <c r="N3324" s="105" t="str">
        <f t="shared" si="552"/>
        <v>Coal</v>
      </c>
      <c r="O3324" s="105">
        <f>IFERROR(VLOOKUP(A3324,Lookup!$J$5:$P$19,7,FALSE),0)</f>
        <v>2</v>
      </c>
      <c r="P3324" s="159">
        <f t="shared" si="553"/>
        <v>2015</v>
      </c>
      <c r="Q3324" s="159">
        <f t="shared" si="554"/>
        <v>11</v>
      </c>
      <c r="R3324" s="160">
        <f t="shared" si="555"/>
        <v>9.9999999999417923</v>
      </c>
      <c r="S3324" s="158">
        <f t="shared" si="556"/>
        <v>9.9999999999417923</v>
      </c>
      <c r="T3324" s="161">
        <f t="shared" si="557"/>
        <v>2959.9999999827705</v>
      </c>
      <c r="U3324" s="158">
        <f t="shared" si="559"/>
        <v>296</v>
      </c>
      <c r="V3324" s="160">
        <f t="shared" si="558"/>
        <v>296</v>
      </c>
    </row>
    <row r="3325" spans="1:22" x14ac:dyDescent="0.25">
      <c r="A3325" s="98" t="s">
        <v>35</v>
      </c>
      <c r="B3325" s="98" t="s">
        <v>79</v>
      </c>
      <c r="C3325" s="98">
        <v>111</v>
      </c>
      <c r="D3325" s="98">
        <v>8460</v>
      </c>
      <c r="E3325" s="157">
        <v>42329.333333333336</v>
      </c>
      <c r="F3325" s="157">
        <v>42329.767361111109</v>
      </c>
      <c r="G3325" s="98">
        <v>0</v>
      </c>
      <c r="H3325" s="98">
        <v>330</v>
      </c>
      <c r="I3325" s="98">
        <v>296</v>
      </c>
      <c r="J3325" s="98" t="s">
        <v>2651</v>
      </c>
      <c r="K3325" s="98" t="s">
        <v>3529</v>
      </c>
      <c r="L3325" s="105" t="str">
        <f t="shared" si="550"/>
        <v>Mill Creek</v>
      </c>
      <c r="M3325" s="105" t="str">
        <f t="shared" si="551"/>
        <v>Other</v>
      </c>
      <c r="N3325" s="105" t="str">
        <f t="shared" si="552"/>
        <v>Coal</v>
      </c>
      <c r="O3325" s="105">
        <f>IFERROR(VLOOKUP(A3325,Lookup!$J$5:$P$19,7,FALSE),0)</f>
        <v>2</v>
      </c>
      <c r="P3325" s="159">
        <f t="shared" si="553"/>
        <v>2015</v>
      </c>
      <c r="Q3325" s="159">
        <f t="shared" si="554"/>
        <v>11</v>
      </c>
      <c r="R3325" s="160">
        <f t="shared" si="555"/>
        <v>10.416666666569654</v>
      </c>
      <c r="S3325" s="158">
        <f t="shared" si="556"/>
        <v>10.416666666569654</v>
      </c>
      <c r="T3325" s="161">
        <f t="shared" si="557"/>
        <v>3083.3333333046176</v>
      </c>
      <c r="U3325" s="158">
        <f t="shared" si="559"/>
        <v>296</v>
      </c>
      <c r="V3325" s="160">
        <f t="shared" si="558"/>
        <v>296</v>
      </c>
    </row>
    <row r="3326" spans="1:22" x14ac:dyDescent="0.25">
      <c r="A3326" s="98" t="s">
        <v>35</v>
      </c>
      <c r="B3326" s="98" t="s">
        <v>17</v>
      </c>
      <c r="C3326" s="98">
        <v>112</v>
      </c>
      <c r="D3326" s="98">
        <v>95</v>
      </c>
      <c r="E3326" s="157">
        <v>42329.767361111109</v>
      </c>
      <c r="F3326" s="157">
        <v>42329.781944444447</v>
      </c>
      <c r="G3326" s="98">
        <v>240</v>
      </c>
      <c r="H3326" s="98">
        <v>330</v>
      </c>
      <c r="I3326" s="98">
        <v>296</v>
      </c>
      <c r="J3326" s="98" t="s">
        <v>1998</v>
      </c>
      <c r="K3326" s="98" t="s">
        <v>3605</v>
      </c>
      <c r="L3326" s="105" t="str">
        <f t="shared" si="550"/>
        <v>Mill Creek</v>
      </c>
      <c r="M3326" s="105" t="str">
        <f t="shared" si="551"/>
        <v>Derate</v>
      </c>
      <c r="N3326" s="105" t="str">
        <f t="shared" si="552"/>
        <v>Coal</v>
      </c>
      <c r="O3326" s="105">
        <f>IFERROR(VLOOKUP(A3326,Lookup!$J$5:$P$19,7,FALSE),0)</f>
        <v>2</v>
      </c>
      <c r="P3326" s="159">
        <f t="shared" si="553"/>
        <v>2015</v>
      </c>
      <c r="Q3326" s="159">
        <f t="shared" si="554"/>
        <v>11</v>
      </c>
      <c r="R3326" s="160">
        <f t="shared" si="555"/>
        <v>0.35000000009313226</v>
      </c>
      <c r="S3326" s="158">
        <f t="shared" si="556"/>
        <v>9.5454545479945155E-2</v>
      </c>
      <c r="T3326" s="161">
        <f t="shared" si="557"/>
        <v>28.254545462063767</v>
      </c>
      <c r="U3326" s="158">
        <f t="shared" si="559"/>
        <v>80.727272727272734</v>
      </c>
      <c r="V3326" s="160">
        <f t="shared" si="558"/>
        <v>81</v>
      </c>
    </row>
    <row r="3327" spans="1:22" x14ac:dyDescent="0.25">
      <c r="A3327" s="98" t="s">
        <v>35</v>
      </c>
      <c r="B3327" s="98" t="s">
        <v>79</v>
      </c>
      <c r="C3327" s="98">
        <v>113</v>
      </c>
      <c r="D3327" s="98">
        <v>8460</v>
      </c>
      <c r="E3327" s="157">
        <v>42329.781944444447</v>
      </c>
      <c r="F3327" s="157">
        <v>42329.803472222222</v>
      </c>
      <c r="G3327" s="98">
        <v>0</v>
      </c>
      <c r="H3327" s="98">
        <v>330</v>
      </c>
      <c r="I3327" s="98">
        <v>296</v>
      </c>
      <c r="J3327" s="98" t="s">
        <v>2651</v>
      </c>
      <c r="K3327" s="98" t="s">
        <v>3529</v>
      </c>
      <c r="L3327" s="105" t="str">
        <f t="shared" si="550"/>
        <v>Mill Creek</v>
      </c>
      <c r="M3327" s="105" t="str">
        <f t="shared" si="551"/>
        <v>Other</v>
      </c>
      <c r="N3327" s="105" t="str">
        <f t="shared" si="552"/>
        <v>Coal</v>
      </c>
      <c r="O3327" s="105">
        <f>IFERROR(VLOOKUP(A3327,Lookup!$J$5:$P$19,7,FALSE),0)</f>
        <v>2</v>
      </c>
      <c r="P3327" s="159">
        <f t="shared" si="553"/>
        <v>2015</v>
      </c>
      <c r="Q3327" s="159">
        <f t="shared" si="554"/>
        <v>11</v>
      </c>
      <c r="R3327" s="160">
        <f t="shared" si="555"/>
        <v>0.5166666666045785</v>
      </c>
      <c r="S3327" s="158">
        <f t="shared" si="556"/>
        <v>0.5166666666045785</v>
      </c>
      <c r="T3327" s="161">
        <f t="shared" si="557"/>
        <v>152.93333331495523</v>
      </c>
      <c r="U3327" s="158">
        <f t="shared" si="559"/>
        <v>296</v>
      </c>
      <c r="V3327" s="160">
        <f t="shared" si="558"/>
        <v>296</v>
      </c>
    </row>
    <row r="3328" spans="1:22" x14ac:dyDescent="0.25">
      <c r="A3328" s="98" t="s">
        <v>35</v>
      </c>
      <c r="B3328" s="98" t="s">
        <v>17</v>
      </c>
      <c r="C3328" s="98">
        <v>114</v>
      </c>
      <c r="D3328" s="98">
        <v>110</v>
      </c>
      <c r="E3328" s="157">
        <v>42332.961805555555</v>
      </c>
      <c r="F3328" s="157">
        <v>42333.061111111114</v>
      </c>
      <c r="G3328" s="98">
        <v>125</v>
      </c>
      <c r="H3328" s="98">
        <v>330</v>
      </c>
      <c r="I3328" s="98">
        <v>296</v>
      </c>
      <c r="J3328" s="98" t="s">
        <v>2046</v>
      </c>
      <c r="K3328" s="98" t="s">
        <v>3606</v>
      </c>
      <c r="L3328" s="105" t="str">
        <f t="shared" si="550"/>
        <v>Mill Creek</v>
      </c>
      <c r="M3328" s="105" t="str">
        <f t="shared" si="551"/>
        <v>Derate</v>
      </c>
      <c r="N3328" s="105" t="str">
        <f t="shared" si="552"/>
        <v>Coal</v>
      </c>
      <c r="O3328" s="105">
        <f>IFERROR(VLOOKUP(A3328,Lookup!$J$5:$P$19,7,FALSE),0)</f>
        <v>2</v>
      </c>
      <c r="P3328" s="159">
        <f t="shared" si="553"/>
        <v>2015</v>
      </c>
      <c r="Q3328" s="159">
        <f t="shared" si="554"/>
        <v>11</v>
      </c>
      <c r="R3328" s="160">
        <f t="shared" si="555"/>
        <v>2.3833333334187046</v>
      </c>
      <c r="S3328" s="158">
        <f t="shared" si="556"/>
        <v>1.4805555556085892</v>
      </c>
      <c r="T3328" s="161">
        <f t="shared" si="557"/>
        <v>438.2444444601424</v>
      </c>
      <c r="U3328" s="158">
        <f t="shared" si="559"/>
        <v>183.87878787878788</v>
      </c>
      <c r="V3328" s="160">
        <f t="shared" si="558"/>
        <v>184</v>
      </c>
    </row>
    <row r="3329" spans="1:22" x14ac:dyDescent="0.25">
      <c r="A3329" s="98" t="s">
        <v>35</v>
      </c>
      <c r="B3329" s="98" t="s">
        <v>105</v>
      </c>
      <c r="C3329" s="98">
        <v>115</v>
      </c>
      <c r="D3329" s="98">
        <v>250</v>
      </c>
      <c r="E3329" s="157">
        <v>42338.925694444442</v>
      </c>
      <c r="F3329" s="157">
        <v>42339.216666666667</v>
      </c>
      <c r="G3329" s="98">
        <v>240</v>
      </c>
      <c r="H3329" s="98">
        <v>330</v>
      </c>
      <c r="I3329" s="98">
        <v>296</v>
      </c>
      <c r="J3329" s="98" t="s">
        <v>1978</v>
      </c>
      <c r="K3329" s="98" t="s">
        <v>3607</v>
      </c>
      <c r="L3329" s="105" t="str">
        <f t="shared" si="550"/>
        <v>Mill Creek</v>
      </c>
      <c r="M3329" s="105" t="str">
        <f t="shared" si="551"/>
        <v>Derate</v>
      </c>
      <c r="N3329" s="105" t="str">
        <f t="shared" si="552"/>
        <v>Coal</v>
      </c>
      <c r="O3329" s="105">
        <f>IFERROR(VLOOKUP(A3329,Lookup!$J$5:$P$19,7,FALSE),0)</f>
        <v>2</v>
      </c>
      <c r="P3329" s="159">
        <f t="shared" si="553"/>
        <v>2015</v>
      </c>
      <c r="Q3329" s="159">
        <f t="shared" si="554"/>
        <v>11</v>
      </c>
      <c r="R3329" s="160">
        <f t="shared" si="555"/>
        <v>6.9833333333954215</v>
      </c>
      <c r="S3329" s="158">
        <f t="shared" si="556"/>
        <v>1.9045454545623877</v>
      </c>
      <c r="T3329" s="161">
        <f t="shared" si="557"/>
        <v>563.74545455046677</v>
      </c>
      <c r="U3329" s="158">
        <f t="shared" si="559"/>
        <v>80.727272727272734</v>
      </c>
      <c r="V3329" s="160">
        <f t="shared" si="558"/>
        <v>81</v>
      </c>
    </row>
    <row r="3330" spans="1:22" x14ac:dyDescent="0.25">
      <c r="A3330" s="98" t="s">
        <v>35</v>
      </c>
      <c r="B3330" s="98" t="s">
        <v>105</v>
      </c>
      <c r="C3330" s="98">
        <v>116</v>
      </c>
      <c r="D3330" s="98">
        <v>310</v>
      </c>
      <c r="E3330" s="157">
        <v>42342.958333333336</v>
      </c>
      <c r="F3330" s="157">
        <v>42343.111805555556</v>
      </c>
      <c r="G3330" s="98">
        <v>245</v>
      </c>
      <c r="H3330" s="98">
        <v>330</v>
      </c>
      <c r="I3330" s="98">
        <v>296</v>
      </c>
      <c r="J3330" s="98" t="s">
        <v>1966</v>
      </c>
      <c r="K3330" s="98" t="s">
        <v>3608</v>
      </c>
      <c r="L3330" s="105" t="str">
        <f t="shared" si="550"/>
        <v>Mill Creek</v>
      </c>
      <c r="M3330" s="105" t="str">
        <f t="shared" si="551"/>
        <v>Derate</v>
      </c>
      <c r="N3330" s="105" t="str">
        <f t="shared" si="552"/>
        <v>Coal</v>
      </c>
      <c r="O3330" s="105">
        <f>IFERROR(VLOOKUP(A3330,Lookup!$J$5:$P$19,7,FALSE),0)</f>
        <v>2</v>
      </c>
      <c r="P3330" s="159">
        <f t="shared" si="553"/>
        <v>2015</v>
      </c>
      <c r="Q3330" s="159">
        <f t="shared" si="554"/>
        <v>12</v>
      </c>
      <c r="R3330" s="160">
        <f t="shared" si="555"/>
        <v>3.6833333332906477</v>
      </c>
      <c r="S3330" s="158">
        <f t="shared" si="556"/>
        <v>0.94873737372637901</v>
      </c>
      <c r="T3330" s="161">
        <f t="shared" si="557"/>
        <v>280.82626262300818</v>
      </c>
      <c r="U3330" s="158">
        <f t="shared" si="559"/>
        <v>76.242424242424249</v>
      </c>
      <c r="V3330" s="160">
        <f t="shared" si="558"/>
        <v>76</v>
      </c>
    </row>
    <row r="3331" spans="1:22" x14ac:dyDescent="0.25">
      <c r="A3331" s="98" t="s">
        <v>35</v>
      </c>
      <c r="B3331" s="98" t="s">
        <v>105</v>
      </c>
      <c r="C3331" s="98">
        <v>117</v>
      </c>
      <c r="D3331" s="98">
        <v>310</v>
      </c>
      <c r="E3331" s="157">
        <v>42345.958333333336</v>
      </c>
      <c r="F3331" s="157">
        <v>42346.188194444447</v>
      </c>
      <c r="G3331" s="98">
        <v>245</v>
      </c>
      <c r="H3331" s="98">
        <v>330</v>
      </c>
      <c r="I3331" s="98">
        <v>296</v>
      </c>
      <c r="J3331" s="98" t="s">
        <v>1966</v>
      </c>
      <c r="K3331" s="98" t="s">
        <v>3609</v>
      </c>
      <c r="L3331" s="105" t="str">
        <f t="shared" si="550"/>
        <v>Mill Creek</v>
      </c>
      <c r="M3331" s="105" t="str">
        <f t="shared" si="551"/>
        <v>Derate</v>
      </c>
      <c r="N3331" s="105" t="str">
        <f t="shared" si="552"/>
        <v>Coal</v>
      </c>
      <c r="O3331" s="105">
        <f>IFERROR(VLOOKUP(A3331,Lookup!$J$5:$P$19,7,FALSE),0)</f>
        <v>2</v>
      </c>
      <c r="P3331" s="159">
        <f t="shared" si="553"/>
        <v>2015</v>
      </c>
      <c r="Q3331" s="159">
        <f t="shared" si="554"/>
        <v>12</v>
      </c>
      <c r="R3331" s="160">
        <f t="shared" si="555"/>
        <v>5.5166666666627862</v>
      </c>
      <c r="S3331" s="158">
        <f t="shared" si="556"/>
        <v>1.4209595959585963</v>
      </c>
      <c r="T3331" s="161">
        <f t="shared" si="557"/>
        <v>420.60404040374453</v>
      </c>
      <c r="U3331" s="158">
        <f t="shared" si="559"/>
        <v>76.242424242424249</v>
      </c>
      <c r="V3331" s="160">
        <f t="shared" si="558"/>
        <v>76</v>
      </c>
    </row>
    <row r="3332" spans="1:22" x14ac:dyDescent="0.25">
      <c r="A3332" s="98" t="s">
        <v>35</v>
      </c>
      <c r="B3332" s="98" t="s">
        <v>79</v>
      </c>
      <c r="C3332" s="98">
        <v>118</v>
      </c>
      <c r="D3332" s="98">
        <v>3190</v>
      </c>
      <c r="E3332" s="157">
        <v>42353.307638888888</v>
      </c>
      <c r="F3332" s="157">
        <v>42353.461111111108</v>
      </c>
      <c r="G3332" s="98">
        <v>0</v>
      </c>
      <c r="H3332" s="98">
        <v>330</v>
      </c>
      <c r="I3332" s="98">
        <v>296</v>
      </c>
      <c r="J3332" s="98" t="s">
        <v>2644</v>
      </c>
      <c r="K3332" s="98" t="s">
        <v>3610</v>
      </c>
      <c r="L3332" s="105" t="str">
        <f t="shared" si="550"/>
        <v>Mill Creek</v>
      </c>
      <c r="M3332" s="105" t="str">
        <f t="shared" si="551"/>
        <v>Other</v>
      </c>
      <c r="N3332" s="105" t="str">
        <f t="shared" si="552"/>
        <v>Coal</v>
      </c>
      <c r="O3332" s="105">
        <f>IFERROR(VLOOKUP(A3332,Lookup!$J$5:$P$19,7,FALSE),0)</f>
        <v>2</v>
      </c>
      <c r="P3332" s="159">
        <f t="shared" si="553"/>
        <v>2015</v>
      </c>
      <c r="Q3332" s="159">
        <f t="shared" si="554"/>
        <v>12</v>
      </c>
      <c r="R3332" s="160">
        <f t="shared" si="555"/>
        <v>3.6833333332906477</v>
      </c>
      <c r="S3332" s="158">
        <f t="shared" si="556"/>
        <v>3.6833333332906477</v>
      </c>
      <c r="T3332" s="161">
        <f t="shared" si="557"/>
        <v>1090.2666666540317</v>
      </c>
      <c r="U3332" s="158">
        <f t="shared" si="559"/>
        <v>296</v>
      </c>
      <c r="V3332" s="160">
        <f t="shared" si="558"/>
        <v>296</v>
      </c>
    </row>
    <row r="3333" spans="1:22" x14ac:dyDescent="0.25">
      <c r="A3333" s="98" t="s">
        <v>35</v>
      </c>
      <c r="B3333" s="98" t="s">
        <v>15</v>
      </c>
      <c r="C3333" s="98">
        <v>119</v>
      </c>
      <c r="D3333" s="98">
        <v>770</v>
      </c>
      <c r="E3333" s="157">
        <v>42356.393750000003</v>
      </c>
      <c r="F3333" s="157">
        <v>42356.511111111111</v>
      </c>
      <c r="G3333" s="98">
        <v>0</v>
      </c>
      <c r="H3333" s="98">
        <v>330</v>
      </c>
      <c r="I3333" s="98">
        <v>296</v>
      </c>
      <c r="J3333" s="98" t="s">
        <v>2186</v>
      </c>
      <c r="K3333" s="98" t="s">
        <v>3611</v>
      </c>
      <c r="L3333" s="105" t="str">
        <f t="shared" si="550"/>
        <v>Mill Creek</v>
      </c>
      <c r="M3333" s="105" t="str">
        <f t="shared" si="551"/>
        <v>Outage</v>
      </c>
      <c r="N3333" s="105" t="str">
        <f t="shared" si="552"/>
        <v>Coal</v>
      </c>
      <c r="O3333" s="105">
        <f>IFERROR(VLOOKUP(A3333,Lookup!$J$5:$P$19,7,FALSE),0)</f>
        <v>2</v>
      </c>
      <c r="P3333" s="159">
        <f t="shared" si="553"/>
        <v>2015</v>
      </c>
      <c r="Q3333" s="159">
        <f t="shared" si="554"/>
        <v>12</v>
      </c>
      <c r="R3333" s="160">
        <f t="shared" si="555"/>
        <v>2.816666666592937</v>
      </c>
      <c r="S3333" s="158">
        <f t="shared" si="556"/>
        <v>2.816666666592937</v>
      </c>
      <c r="T3333" s="161">
        <f t="shared" si="557"/>
        <v>833.73333331150934</v>
      </c>
      <c r="U3333" s="158">
        <f t="shared" si="559"/>
        <v>296</v>
      </c>
      <c r="V3333" s="160">
        <f t="shared" si="558"/>
        <v>296</v>
      </c>
    </row>
    <row r="3334" spans="1:22" x14ac:dyDescent="0.25">
      <c r="A3334" s="98" t="s">
        <v>35</v>
      </c>
      <c r="B3334" s="98" t="s">
        <v>79</v>
      </c>
      <c r="C3334" s="98">
        <v>120</v>
      </c>
      <c r="D3334" s="98">
        <v>1850</v>
      </c>
      <c r="E3334" s="157">
        <v>42356.511111111111</v>
      </c>
      <c r="F3334" s="157">
        <v>42356.698611111111</v>
      </c>
      <c r="G3334" s="98">
        <v>0</v>
      </c>
      <c r="H3334" s="98">
        <v>330</v>
      </c>
      <c r="I3334" s="98">
        <v>296</v>
      </c>
      <c r="J3334" s="98" t="s">
        <v>2263</v>
      </c>
      <c r="K3334" s="98" t="s">
        <v>3612</v>
      </c>
      <c r="L3334" s="105" t="str">
        <f t="shared" si="550"/>
        <v>Mill Creek</v>
      </c>
      <c r="M3334" s="105" t="str">
        <f t="shared" si="551"/>
        <v>Other</v>
      </c>
      <c r="N3334" s="105" t="str">
        <f t="shared" si="552"/>
        <v>Coal</v>
      </c>
      <c r="O3334" s="105">
        <f>IFERROR(VLOOKUP(A3334,Lookup!$J$5:$P$19,7,FALSE),0)</f>
        <v>2</v>
      </c>
      <c r="P3334" s="159">
        <f t="shared" si="553"/>
        <v>2015</v>
      </c>
      <c r="Q3334" s="159">
        <f t="shared" si="554"/>
        <v>12</v>
      </c>
      <c r="R3334" s="160">
        <f t="shared" si="555"/>
        <v>4.5</v>
      </c>
      <c r="S3334" s="158">
        <f t="shared" si="556"/>
        <v>4.5</v>
      </c>
      <c r="T3334" s="161">
        <f t="shared" si="557"/>
        <v>1332</v>
      </c>
      <c r="U3334" s="158">
        <f t="shared" si="559"/>
        <v>296</v>
      </c>
      <c r="V3334" s="160">
        <f t="shared" si="558"/>
        <v>296</v>
      </c>
    </row>
    <row r="3335" spans="1:22" x14ac:dyDescent="0.25">
      <c r="A3335" s="98" t="s">
        <v>35</v>
      </c>
      <c r="B3335" s="98" t="s">
        <v>17</v>
      </c>
      <c r="C3335" s="98">
        <v>121</v>
      </c>
      <c r="D3335" s="98">
        <v>1850</v>
      </c>
      <c r="E3335" s="157">
        <v>42356.698611111111</v>
      </c>
      <c r="F3335" s="157">
        <v>42357.045138888891</v>
      </c>
      <c r="G3335" s="98">
        <v>257</v>
      </c>
      <c r="H3335" s="98">
        <v>330</v>
      </c>
      <c r="I3335" s="98">
        <v>296</v>
      </c>
      <c r="J3335" s="98" t="s">
        <v>2263</v>
      </c>
      <c r="K3335" s="98" t="s">
        <v>62</v>
      </c>
      <c r="L3335" s="105" t="str">
        <f t="shared" si="550"/>
        <v>Mill Creek</v>
      </c>
      <c r="M3335" s="105" t="str">
        <f t="shared" si="551"/>
        <v>Derate</v>
      </c>
      <c r="N3335" s="105" t="str">
        <f t="shared" si="552"/>
        <v>Coal</v>
      </c>
      <c r="O3335" s="105">
        <f>IFERROR(VLOOKUP(A3335,Lookup!$J$5:$P$19,7,FALSE),0)</f>
        <v>2</v>
      </c>
      <c r="P3335" s="159">
        <f t="shared" si="553"/>
        <v>2015</v>
      </c>
      <c r="Q3335" s="159">
        <f t="shared" si="554"/>
        <v>12</v>
      </c>
      <c r="R3335" s="160">
        <f t="shared" si="555"/>
        <v>8.3166666667093523</v>
      </c>
      <c r="S3335" s="158">
        <f t="shared" si="556"/>
        <v>1.8397474747569174</v>
      </c>
      <c r="T3335" s="161">
        <f t="shared" si="557"/>
        <v>544.56525252804749</v>
      </c>
      <c r="U3335" s="158">
        <f t="shared" si="559"/>
        <v>65.478787878787884</v>
      </c>
      <c r="V3335" s="160">
        <f t="shared" si="558"/>
        <v>65</v>
      </c>
    </row>
    <row r="3336" spans="1:22" x14ac:dyDescent="0.25">
      <c r="A3336" s="98" t="s">
        <v>35</v>
      </c>
      <c r="B3336" s="98" t="s">
        <v>17</v>
      </c>
      <c r="C3336" s="98">
        <v>122</v>
      </c>
      <c r="D3336" s="98">
        <v>1850</v>
      </c>
      <c r="E3336" s="157">
        <v>42357.045138888891</v>
      </c>
      <c r="F3336" s="157">
        <v>42357.183333333334</v>
      </c>
      <c r="G3336" s="98">
        <v>290</v>
      </c>
      <c r="H3336" s="98">
        <v>330</v>
      </c>
      <c r="I3336" s="98">
        <v>296</v>
      </c>
      <c r="J3336" s="98" t="s">
        <v>2263</v>
      </c>
      <c r="K3336" s="98" t="s">
        <v>62</v>
      </c>
      <c r="L3336" s="105" t="str">
        <f t="shared" si="550"/>
        <v>Mill Creek</v>
      </c>
      <c r="M3336" s="105" t="str">
        <f t="shared" si="551"/>
        <v>Derate</v>
      </c>
      <c r="N3336" s="105" t="str">
        <f t="shared" si="552"/>
        <v>Coal</v>
      </c>
      <c r="O3336" s="105">
        <f>IFERROR(VLOOKUP(A3336,Lookup!$J$5:$P$19,7,FALSE),0)</f>
        <v>2</v>
      </c>
      <c r="P3336" s="159">
        <f t="shared" si="553"/>
        <v>2015</v>
      </c>
      <c r="Q3336" s="159">
        <f t="shared" si="554"/>
        <v>12</v>
      </c>
      <c r="R3336" s="160">
        <f t="shared" si="555"/>
        <v>3.3166666666511446</v>
      </c>
      <c r="S3336" s="158">
        <f t="shared" si="556"/>
        <v>0.40202020201832056</v>
      </c>
      <c r="T3336" s="161">
        <f t="shared" si="557"/>
        <v>118.99797979742289</v>
      </c>
      <c r="U3336" s="158">
        <f t="shared" si="559"/>
        <v>35.878787878787875</v>
      </c>
      <c r="V3336" s="160">
        <f t="shared" si="558"/>
        <v>36</v>
      </c>
    </row>
    <row r="3337" spans="1:22" x14ac:dyDescent="0.25">
      <c r="A3337" s="98" t="s">
        <v>35</v>
      </c>
      <c r="B3337" s="98" t="s">
        <v>20</v>
      </c>
      <c r="C3337" s="98">
        <v>123</v>
      </c>
      <c r="D3337" s="98">
        <v>8499</v>
      </c>
      <c r="E3337" s="157">
        <v>42357.95208333333</v>
      </c>
      <c r="F3337" s="157">
        <v>42361.703472222223</v>
      </c>
      <c r="G3337" s="98">
        <v>0</v>
      </c>
      <c r="H3337" s="98">
        <v>330</v>
      </c>
      <c r="I3337" s="98">
        <v>296</v>
      </c>
      <c r="J3337" s="98" t="s">
        <v>2265</v>
      </c>
      <c r="K3337" s="98" t="s">
        <v>3613</v>
      </c>
      <c r="L3337" s="105" t="str">
        <f t="shared" si="550"/>
        <v>Mill Creek</v>
      </c>
      <c r="M3337" s="105" t="str">
        <f t="shared" si="551"/>
        <v>Maintenance</v>
      </c>
      <c r="N3337" s="105" t="str">
        <f t="shared" si="552"/>
        <v>Coal</v>
      </c>
      <c r="O3337" s="105">
        <f>IFERROR(VLOOKUP(A3337,Lookup!$J$5:$P$19,7,FALSE),0)</f>
        <v>2</v>
      </c>
      <c r="P3337" s="159">
        <f t="shared" si="553"/>
        <v>2015</v>
      </c>
      <c r="Q3337" s="159">
        <f t="shared" si="554"/>
        <v>12</v>
      </c>
      <c r="R3337" s="160">
        <f t="shared" si="555"/>
        <v>90.033333333441988</v>
      </c>
      <c r="S3337" s="158">
        <f t="shared" si="556"/>
        <v>90.033333333441988</v>
      </c>
      <c r="T3337" s="161">
        <f t="shared" si="557"/>
        <v>26649.866666698828</v>
      </c>
      <c r="U3337" s="158">
        <f t="shared" si="559"/>
        <v>296</v>
      </c>
      <c r="V3337" s="160">
        <f t="shared" si="558"/>
        <v>296</v>
      </c>
    </row>
    <row r="3338" spans="1:22" x14ac:dyDescent="0.25">
      <c r="A3338" s="98" t="s">
        <v>35</v>
      </c>
      <c r="B3338" s="98" t="s">
        <v>18</v>
      </c>
      <c r="C3338" s="98">
        <v>124</v>
      </c>
      <c r="D3338" s="98">
        <v>1455</v>
      </c>
      <c r="E3338" s="157">
        <v>42361.703472222223</v>
      </c>
      <c r="F3338" s="157">
        <v>42362.406944444447</v>
      </c>
      <c r="G3338" s="98">
        <v>0</v>
      </c>
      <c r="H3338" s="98">
        <v>330</v>
      </c>
      <c r="I3338" s="98">
        <v>296</v>
      </c>
      <c r="J3338" s="98" t="s">
        <v>1990</v>
      </c>
      <c r="K3338" s="98" t="s">
        <v>3614</v>
      </c>
      <c r="L3338" s="105" t="str">
        <f t="shared" si="550"/>
        <v>Mill Creek</v>
      </c>
      <c r="M3338" s="105" t="str">
        <f t="shared" si="551"/>
        <v>Outage</v>
      </c>
      <c r="N3338" s="105" t="str">
        <f t="shared" si="552"/>
        <v>Coal</v>
      </c>
      <c r="O3338" s="105">
        <f>IFERROR(VLOOKUP(A3338,Lookup!$J$5:$P$19,7,FALSE),0)</f>
        <v>2</v>
      </c>
      <c r="P3338" s="159">
        <f t="shared" si="553"/>
        <v>2015</v>
      </c>
      <c r="Q3338" s="159">
        <f t="shared" si="554"/>
        <v>12</v>
      </c>
      <c r="R3338" s="160">
        <f t="shared" si="555"/>
        <v>16.883333333360497</v>
      </c>
      <c r="S3338" s="158">
        <f t="shared" si="556"/>
        <v>16.883333333360497</v>
      </c>
      <c r="T3338" s="161">
        <f t="shared" si="557"/>
        <v>4997.4666666747071</v>
      </c>
      <c r="U3338" s="158">
        <f t="shared" si="559"/>
        <v>296</v>
      </c>
      <c r="V3338" s="160">
        <f t="shared" si="558"/>
        <v>296</v>
      </c>
    </row>
    <row r="3339" spans="1:22" x14ac:dyDescent="0.25">
      <c r="A3339" s="98" t="s">
        <v>35</v>
      </c>
      <c r="B3339" s="98" t="s">
        <v>79</v>
      </c>
      <c r="C3339" s="98">
        <v>125</v>
      </c>
      <c r="D3339" s="98">
        <v>8460</v>
      </c>
      <c r="E3339" s="157">
        <v>42366.333333333336</v>
      </c>
      <c r="F3339" s="157">
        <v>42366.451388888891</v>
      </c>
      <c r="G3339" s="98">
        <v>0</v>
      </c>
      <c r="H3339" s="98">
        <v>330</v>
      </c>
      <c r="I3339" s="98">
        <v>296</v>
      </c>
      <c r="J3339" s="98" t="s">
        <v>2651</v>
      </c>
      <c r="K3339" s="98" t="s">
        <v>3615</v>
      </c>
      <c r="L3339" s="105" t="str">
        <f t="shared" si="550"/>
        <v>Mill Creek</v>
      </c>
      <c r="M3339" s="105" t="str">
        <f t="shared" si="551"/>
        <v>Other</v>
      </c>
      <c r="N3339" s="105" t="str">
        <f t="shared" si="552"/>
        <v>Coal</v>
      </c>
      <c r="O3339" s="105">
        <f>IFERROR(VLOOKUP(A3339,Lookup!$J$5:$P$19,7,FALSE),0)</f>
        <v>2</v>
      </c>
      <c r="P3339" s="159">
        <f t="shared" si="553"/>
        <v>2015</v>
      </c>
      <c r="Q3339" s="159">
        <f t="shared" si="554"/>
        <v>12</v>
      </c>
      <c r="R3339" s="160">
        <f t="shared" si="555"/>
        <v>2.8333333333139308</v>
      </c>
      <c r="S3339" s="158">
        <f t="shared" si="556"/>
        <v>2.8333333333139308</v>
      </c>
      <c r="T3339" s="161">
        <f t="shared" si="557"/>
        <v>838.66666666092351</v>
      </c>
      <c r="U3339" s="158">
        <f t="shared" si="559"/>
        <v>296</v>
      </c>
      <c r="V3339" s="160">
        <f t="shared" si="558"/>
        <v>296</v>
      </c>
    </row>
    <row r="3340" spans="1:22" x14ac:dyDescent="0.25">
      <c r="A3340" s="98" t="s">
        <v>35</v>
      </c>
      <c r="B3340" s="98" t="s">
        <v>17</v>
      </c>
      <c r="C3340" s="98">
        <v>126</v>
      </c>
      <c r="D3340" s="98">
        <v>250</v>
      </c>
      <c r="E3340" s="157">
        <v>42366.890972222223</v>
      </c>
      <c r="F3340" s="157">
        <v>42366.918055555558</v>
      </c>
      <c r="G3340" s="98">
        <v>225</v>
      </c>
      <c r="H3340" s="98">
        <v>330</v>
      </c>
      <c r="I3340" s="98">
        <v>296</v>
      </c>
      <c r="J3340" s="98" t="s">
        <v>1978</v>
      </c>
      <c r="K3340" s="98" t="s">
        <v>2974</v>
      </c>
      <c r="L3340" s="105" t="str">
        <f t="shared" si="550"/>
        <v>Mill Creek</v>
      </c>
      <c r="M3340" s="105" t="str">
        <f t="shared" si="551"/>
        <v>Derate</v>
      </c>
      <c r="N3340" s="105" t="str">
        <f t="shared" si="552"/>
        <v>Coal</v>
      </c>
      <c r="O3340" s="105">
        <f>IFERROR(VLOOKUP(A3340,Lookup!$J$5:$P$19,7,FALSE),0)</f>
        <v>2</v>
      </c>
      <c r="P3340" s="159">
        <f t="shared" si="553"/>
        <v>2015</v>
      </c>
      <c r="Q3340" s="159">
        <f t="shared" si="554"/>
        <v>12</v>
      </c>
      <c r="R3340" s="160">
        <f t="shared" si="555"/>
        <v>0.65000000002328306</v>
      </c>
      <c r="S3340" s="158">
        <f t="shared" si="556"/>
        <v>0.20681818182559006</v>
      </c>
      <c r="T3340" s="161">
        <f t="shared" si="557"/>
        <v>61.21818182037466</v>
      </c>
      <c r="U3340" s="158">
        <f t="shared" si="559"/>
        <v>94.181818181818187</v>
      </c>
      <c r="V3340" s="160">
        <f t="shared" si="558"/>
        <v>94</v>
      </c>
    </row>
    <row r="3341" spans="1:22" x14ac:dyDescent="0.25">
      <c r="A3341" s="98" t="s">
        <v>35</v>
      </c>
      <c r="B3341" s="98" t="s">
        <v>17</v>
      </c>
      <c r="C3341" s="98">
        <v>127</v>
      </c>
      <c r="D3341" s="98">
        <v>250</v>
      </c>
      <c r="E3341" s="157">
        <v>42367.583333333336</v>
      </c>
      <c r="F3341" s="157">
        <v>42367.640972222223</v>
      </c>
      <c r="G3341" s="98">
        <v>215</v>
      </c>
      <c r="H3341" s="98">
        <v>330</v>
      </c>
      <c r="I3341" s="98">
        <v>296</v>
      </c>
      <c r="J3341" s="98" t="s">
        <v>1978</v>
      </c>
      <c r="K3341" s="98" t="s">
        <v>2974</v>
      </c>
      <c r="L3341" s="105" t="str">
        <f t="shared" si="550"/>
        <v>Mill Creek</v>
      </c>
      <c r="M3341" s="105" t="str">
        <f t="shared" si="551"/>
        <v>Derate</v>
      </c>
      <c r="N3341" s="105" t="str">
        <f t="shared" si="552"/>
        <v>Coal</v>
      </c>
      <c r="O3341" s="105">
        <f>IFERROR(VLOOKUP(A3341,Lookup!$J$5:$P$19,7,FALSE),0)</f>
        <v>2</v>
      </c>
      <c r="P3341" s="159">
        <f t="shared" si="553"/>
        <v>2015</v>
      </c>
      <c r="Q3341" s="159">
        <f t="shared" si="554"/>
        <v>12</v>
      </c>
      <c r="R3341" s="160">
        <f t="shared" si="555"/>
        <v>1.3833333333022892</v>
      </c>
      <c r="S3341" s="158">
        <f t="shared" si="556"/>
        <v>0.48207070705988869</v>
      </c>
      <c r="T3341" s="161">
        <f t="shared" si="557"/>
        <v>142.69292928972706</v>
      </c>
      <c r="U3341" s="158">
        <f t="shared" si="559"/>
        <v>103.15151515151516</v>
      </c>
      <c r="V3341" s="160">
        <f t="shared" si="558"/>
        <v>103</v>
      </c>
    </row>
    <row r="3342" spans="1:22" x14ac:dyDescent="0.25">
      <c r="A3342" s="98" t="s">
        <v>35</v>
      </c>
      <c r="B3342" s="98" t="s">
        <v>17</v>
      </c>
      <c r="C3342" s="98">
        <v>128</v>
      </c>
      <c r="D3342" s="98">
        <v>250</v>
      </c>
      <c r="E3342" s="157">
        <v>42367.640972222223</v>
      </c>
      <c r="F3342" s="157">
        <v>42367.840277777781</v>
      </c>
      <c r="G3342" s="98">
        <v>275</v>
      </c>
      <c r="H3342" s="98">
        <v>330</v>
      </c>
      <c r="I3342" s="98">
        <v>296</v>
      </c>
      <c r="J3342" s="98" t="s">
        <v>1978</v>
      </c>
      <c r="K3342" s="98" t="s">
        <v>2974</v>
      </c>
      <c r="L3342" s="105" t="str">
        <f t="shared" si="550"/>
        <v>Mill Creek</v>
      </c>
      <c r="M3342" s="105" t="str">
        <f t="shared" si="551"/>
        <v>Derate</v>
      </c>
      <c r="N3342" s="105" t="str">
        <f t="shared" si="552"/>
        <v>Coal</v>
      </c>
      <c r="O3342" s="105">
        <f>IFERROR(VLOOKUP(A3342,Lookup!$J$5:$P$19,7,FALSE),0)</f>
        <v>2</v>
      </c>
      <c r="P3342" s="159">
        <f t="shared" si="553"/>
        <v>2015</v>
      </c>
      <c r="Q3342" s="159">
        <f t="shared" si="554"/>
        <v>12</v>
      </c>
      <c r="R3342" s="160">
        <f t="shared" si="555"/>
        <v>4.78333333338378</v>
      </c>
      <c r="S3342" s="158">
        <f t="shared" si="556"/>
        <v>0.79722222223063</v>
      </c>
      <c r="T3342" s="161">
        <f t="shared" si="557"/>
        <v>235.97777778026648</v>
      </c>
      <c r="U3342" s="158">
        <f t="shared" si="559"/>
        <v>49.333333333333336</v>
      </c>
      <c r="V3342" s="160">
        <f t="shared" si="558"/>
        <v>49</v>
      </c>
    </row>
    <row r="3343" spans="1:22" x14ac:dyDescent="0.25">
      <c r="A3343" s="98" t="s">
        <v>35</v>
      </c>
      <c r="B3343" s="98" t="s">
        <v>17</v>
      </c>
      <c r="C3343" s="98">
        <v>129</v>
      </c>
      <c r="D3343" s="98">
        <v>250</v>
      </c>
      <c r="E3343" s="157">
        <v>42367.840277777781</v>
      </c>
      <c r="F3343" s="157">
        <v>42367.919444444444</v>
      </c>
      <c r="G3343" s="98">
        <v>230</v>
      </c>
      <c r="H3343" s="98">
        <v>330</v>
      </c>
      <c r="I3343" s="98">
        <v>296</v>
      </c>
      <c r="J3343" s="98" t="s">
        <v>1978</v>
      </c>
      <c r="K3343" s="98" t="s">
        <v>2974</v>
      </c>
      <c r="L3343" s="105" t="str">
        <f t="shared" si="550"/>
        <v>Mill Creek</v>
      </c>
      <c r="M3343" s="105" t="str">
        <f t="shared" si="551"/>
        <v>Derate</v>
      </c>
      <c r="N3343" s="105" t="str">
        <f t="shared" si="552"/>
        <v>Coal</v>
      </c>
      <c r="O3343" s="105">
        <f>IFERROR(VLOOKUP(A3343,Lookup!$J$5:$P$19,7,FALSE),0)</f>
        <v>2</v>
      </c>
      <c r="P3343" s="159">
        <f t="shared" si="553"/>
        <v>2015</v>
      </c>
      <c r="Q3343" s="159">
        <f t="shared" si="554"/>
        <v>12</v>
      </c>
      <c r="R3343" s="160">
        <f t="shared" si="555"/>
        <v>1.8999999999068677</v>
      </c>
      <c r="S3343" s="158">
        <f t="shared" si="556"/>
        <v>0.57575757572935382</v>
      </c>
      <c r="T3343" s="161">
        <f t="shared" si="557"/>
        <v>170.42424241588873</v>
      </c>
      <c r="U3343" s="158">
        <f t="shared" si="559"/>
        <v>89.696969696969703</v>
      </c>
      <c r="V3343" s="160">
        <f t="shared" si="558"/>
        <v>90</v>
      </c>
    </row>
    <row r="3344" spans="1:22" x14ac:dyDescent="0.25">
      <c r="A3344" s="98" t="s">
        <v>35</v>
      </c>
      <c r="B3344" s="98" t="s">
        <v>17</v>
      </c>
      <c r="C3344" s="98">
        <v>130</v>
      </c>
      <c r="D3344" s="98">
        <v>250</v>
      </c>
      <c r="E3344" s="157">
        <v>42367.919444444444</v>
      </c>
      <c r="F3344" s="157">
        <v>42368.107638888891</v>
      </c>
      <c r="G3344" s="98">
        <v>150</v>
      </c>
      <c r="H3344" s="98">
        <v>330</v>
      </c>
      <c r="I3344" s="98">
        <v>296</v>
      </c>
      <c r="J3344" s="98" t="s">
        <v>1978</v>
      </c>
      <c r="K3344" s="98" t="s">
        <v>2974</v>
      </c>
      <c r="L3344" s="105" t="str">
        <f t="shared" si="550"/>
        <v>Mill Creek</v>
      </c>
      <c r="M3344" s="105" t="str">
        <f t="shared" si="551"/>
        <v>Derate</v>
      </c>
      <c r="N3344" s="105" t="str">
        <f t="shared" si="552"/>
        <v>Coal</v>
      </c>
      <c r="O3344" s="105">
        <f>IFERROR(VLOOKUP(A3344,Lookup!$J$5:$P$19,7,FALSE),0)</f>
        <v>2</v>
      </c>
      <c r="P3344" s="159">
        <f t="shared" si="553"/>
        <v>2015</v>
      </c>
      <c r="Q3344" s="159">
        <f t="shared" si="554"/>
        <v>12</v>
      </c>
      <c r="R3344" s="160">
        <f t="shared" si="555"/>
        <v>4.5166666667209938</v>
      </c>
      <c r="S3344" s="158">
        <f t="shared" si="556"/>
        <v>2.4636363636659966</v>
      </c>
      <c r="T3344" s="161">
        <f t="shared" si="557"/>
        <v>729.23636364513504</v>
      </c>
      <c r="U3344" s="158">
        <f t="shared" si="559"/>
        <v>161.45454545454547</v>
      </c>
      <c r="V3344" s="160">
        <f t="shared" si="558"/>
        <v>161</v>
      </c>
    </row>
    <row r="3345" spans="1:22" x14ac:dyDescent="0.25">
      <c r="A3345" s="98" t="s">
        <v>35</v>
      </c>
      <c r="B3345" s="98" t="s">
        <v>17</v>
      </c>
      <c r="C3345" s="98">
        <v>131</v>
      </c>
      <c r="D3345" s="98">
        <v>250</v>
      </c>
      <c r="E3345" s="157">
        <v>42368.107638888891</v>
      </c>
      <c r="F3345" s="157">
        <v>42368.151388888888</v>
      </c>
      <c r="G3345" s="98">
        <v>230</v>
      </c>
      <c r="H3345" s="98">
        <v>330</v>
      </c>
      <c r="I3345" s="98">
        <v>296</v>
      </c>
      <c r="J3345" s="98" t="s">
        <v>1978</v>
      </c>
      <c r="K3345" s="98" t="s">
        <v>2974</v>
      </c>
      <c r="L3345" s="105" t="str">
        <f t="shared" si="550"/>
        <v>Mill Creek</v>
      </c>
      <c r="M3345" s="105" t="str">
        <f t="shared" si="551"/>
        <v>Derate</v>
      </c>
      <c r="N3345" s="105" t="str">
        <f t="shared" si="552"/>
        <v>Coal</v>
      </c>
      <c r="O3345" s="105">
        <f>IFERROR(VLOOKUP(A3345,Lookup!$J$5:$P$19,7,FALSE),0)</f>
        <v>2</v>
      </c>
      <c r="P3345" s="159">
        <f t="shared" si="553"/>
        <v>2015</v>
      </c>
      <c r="Q3345" s="159">
        <f t="shared" si="554"/>
        <v>12</v>
      </c>
      <c r="R3345" s="160">
        <f t="shared" si="555"/>
        <v>1.0499999999301508</v>
      </c>
      <c r="S3345" s="158">
        <f t="shared" si="556"/>
        <v>0.31818181816065177</v>
      </c>
      <c r="T3345" s="161">
        <f t="shared" si="557"/>
        <v>94.18181817555292</v>
      </c>
      <c r="U3345" s="158">
        <f t="shared" si="559"/>
        <v>89.696969696969703</v>
      </c>
      <c r="V3345" s="160">
        <f t="shared" si="558"/>
        <v>90</v>
      </c>
    </row>
    <row r="3346" spans="1:22" x14ac:dyDescent="0.25">
      <c r="A3346" s="98" t="s">
        <v>35</v>
      </c>
      <c r="B3346" s="98" t="s">
        <v>105</v>
      </c>
      <c r="C3346" s="98">
        <v>132</v>
      </c>
      <c r="D3346" s="98">
        <v>250</v>
      </c>
      <c r="E3346" s="157">
        <v>42368.378472222219</v>
      </c>
      <c r="F3346" s="157">
        <v>42368.679166666669</v>
      </c>
      <c r="G3346" s="98">
        <v>245</v>
      </c>
      <c r="H3346" s="98">
        <v>330</v>
      </c>
      <c r="I3346" s="98">
        <v>296</v>
      </c>
      <c r="J3346" s="98" t="s">
        <v>1978</v>
      </c>
      <c r="K3346" s="98" t="s">
        <v>3616</v>
      </c>
      <c r="L3346" s="105" t="str">
        <f t="shared" si="550"/>
        <v>Mill Creek</v>
      </c>
      <c r="M3346" s="105" t="str">
        <f t="shared" si="551"/>
        <v>Derate</v>
      </c>
      <c r="N3346" s="105" t="str">
        <f t="shared" si="552"/>
        <v>Coal</v>
      </c>
      <c r="O3346" s="105">
        <f>IFERROR(VLOOKUP(A3346,Lookup!$J$5:$P$19,7,FALSE),0)</f>
        <v>2</v>
      </c>
      <c r="P3346" s="159">
        <f t="shared" si="553"/>
        <v>2015</v>
      </c>
      <c r="Q3346" s="159">
        <f t="shared" si="554"/>
        <v>12</v>
      </c>
      <c r="R3346" s="160">
        <f t="shared" si="555"/>
        <v>7.216666666790843</v>
      </c>
      <c r="S3346" s="158">
        <f t="shared" si="556"/>
        <v>1.8588383838703686</v>
      </c>
      <c r="T3346" s="161">
        <f t="shared" si="557"/>
        <v>550.21616162562907</v>
      </c>
      <c r="U3346" s="158">
        <f t="shared" si="559"/>
        <v>76.242424242424249</v>
      </c>
      <c r="V3346" s="160">
        <f t="shared" si="558"/>
        <v>76</v>
      </c>
    </row>
    <row r="3347" spans="1:22" x14ac:dyDescent="0.25">
      <c r="A3347" s="98" t="s">
        <v>35</v>
      </c>
      <c r="B3347" s="98" t="s">
        <v>17</v>
      </c>
      <c r="C3347" s="98">
        <v>133</v>
      </c>
      <c r="D3347" s="98">
        <v>250</v>
      </c>
      <c r="E3347" s="157">
        <v>42369.365972222222</v>
      </c>
      <c r="F3347" s="157">
        <v>42369.37222222222</v>
      </c>
      <c r="G3347" s="98">
        <v>240</v>
      </c>
      <c r="H3347" s="98">
        <v>330</v>
      </c>
      <c r="I3347" s="98">
        <v>296</v>
      </c>
      <c r="J3347" s="98" t="s">
        <v>1978</v>
      </c>
      <c r="K3347" s="98" t="s">
        <v>3617</v>
      </c>
      <c r="L3347" s="105" t="str">
        <f t="shared" si="550"/>
        <v>Mill Creek</v>
      </c>
      <c r="M3347" s="105" t="str">
        <f t="shared" si="551"/>
        <v>Derate</v>
      </c>
      <c r="N3347" s="105" t="str">
        <f t="shared" si="552"/>
        <v>Coal</v>
      </c>
      <c r="O3347" s="105">
        <f>IFERROR(VLOOKUP(A3347,Lookup!$J$5:$P$19,7,FALSE),0)</f>
        <v>2</v>
      </c>
      <c r="P3347" s="159">
        <f t="shared" si="553"/>
        <v>2015</v>
      </c>
      <c r="Q3347" s="159">
        <f t="shared" si="554"/>
        <v>12</v>
      </c>
      <c r="R3347" s="160">
        <f t="shared" si="555"/>
        <v>0.1499999999650754</v>
      </c>
      <c r="S3347" s="158">
        <f t="shared" si="556"/>
        <v>4.0909090899566021E-2</v>
      </c>
      <c r="T3347" s="161">
        <f t="shared" si="557"/>
        <v>12.109090906271541</v>
      </c>
      <c r="U3347" s="158">
        <f t="shared" si="559"/>
        <v>80.727272727272734</v>
      </c>
      <c r="V3347" s="160">
        <f t="shared" si="558"/>
        <v>81</v>
      </c>
    </row>
    <row r="3348" spans="1:22" x14ac:dyDescent="0.25">
      <c r="A3348" s="98" t="s">
        <v>35</v>
      </c>
      <c r="B3348" s="98" t="s">
        <v>105</v>
      </c>
      <c r="C3348" s="98">
        <v>1</v>
      </c>
      <c r="D3348" s="98">
        <v>250</v>
      </c>
      <c r="E3348" s="157">
        <v>42374.958333333336</v>
      </c>
      <c r="F3348" s="157">
        <v>42375.206944444442</v>
      </c>
      <c r="G3348" s="98">
        <v>240</v>
      </c>
      <c r="H3348" s="98">
        <v>330</v>
      </c>
      <c r="I3348" s="98">
        <v>296</v>
      </c>
      <c r="J3348" s="98" t="s">
        <v>1978</v>
      </c>
      <c r="K3348" s="98" t="s">
        <v>3618</v>
      </c>
      <c r="L3348" s="105" t="str">
        <f t="shared" si="550"/>
        <v>Mill Creek</v>
      </c>
      <c r="M3348" s="105" t="str">
        <f t="shared" si="551"/>
        <v>Derate</v>
      </c>
      <c r="N3348" s="105" t="str">
        <f t="shared" si="552"/>
        <v>Coal</v>
      </c>
      <c r="O3348" s="105">
        <f>IFERROR(VLOOKUP(A3348,Lookup!$J$5:$P$19,7,FALSE),0)</f>
        <v>2</v>
      </c>
      <c r="P3348" s="159">
        <f t="shared" si="553"/>
        <v>2016</v>
      </c>
      <c r="Q3348" s="159">
        <f t="shared" si="554"/>
        <v>1</v>
      </c>
      <c r="R3348" s="160">
        <f t="shared" si="555"/>
        <v>5.9666666665580124</v>
      </c>
      <c r="S3348" s="158">
        <f t="shared" si="556"/>
        <v>1.6272727272430942</v>
      </c>
      <c r="T3348" s="161">
        <f t="shared" si="557"/>
        <v>481.67272726395589</v>
      </c>
      <c r="U3348" s="158">
        <f t="shared" si="559"/>
        <v>80.727272727272734</v>
      </c>
      <c r="V3348" s="160">
        <f t="shared" si="558"/>
        <v>81</v>
      </c>
    </row>
    <row r="3349" spans="1:22" x14ac:dyDescent="0.25">
      <c r="A3349" s="98" t="s">
        <v>35</v>
      </c>
      <c r="B3349" s="98" t="s">
        <v>105</v>
      </c>
      <c r="C3349" s="98">
        <v>2</v>
      </c>
      <c r="D3349" s="98">
        <v>250</v>
      </c>
      <c r="E3349" s="157">
        <v>42375.958333333336</v>
      </c>
      <c r="F3349" s="157">
        <v>42376.238888888889</v>
      </c>
      <c r="G3349" s="98">
        <v>240</v>
      </c>
      <c r="H3349" s="98">
        <v>330</v>
      </c>
      <c r="I3349" s="98">
        <v>296</v>
      </c>
      <c r="J3349" s="98" t="s">
        <v>1978</v>
      </c>
      <c r="K3349" s="98" t="s">
        <v>3619</v>
      </c>
      <c r="L3349" s="105" t="str">
        <f t="shared" si="550"/>
        <v>Mill Creek</v>
      </c>
      <c r="M3349" s="105" t="str">
        <f t="shared" si="551"/>
        <v>Derate</v>
      </c>
      <c r="N3349" s="105" t="str">
        <f t="shared" si="552"/>
        <v>Coal</v>
      </c>
      <c r="O3349" s="105">
        <f>IFERROR(VLOOKUP(A3349,Lookup!$J$5:$P$19,7,FALSE),0)</f>
        <v>2</v>
      </c>
      <c r="P3349" s="159">
        <f t="shared" si="553"/>
        <v>2016</v>
      </c>
      <c r="Q3349" s="159">
        <f t="shared" si="554"/>
        <v>1</v>
      </c>
      <c r="R3349" s="160">
        <f t="shared" si="555"/>
        <v>6.7333333332790062</v>
      </c>
      <c r="S3349" s="158">
        <f t="shared" si="556"/>
        <v>1.8363636363488198</v>
      </c>
      <c r="T3349" s="161">
        <f t="shared" si="557"/>
        <v>543.56363635925072</v>
      </c>
      <c r="U3349" s="158">
        <f t="shared" si="559"/>
        <v>80.727272727272734</v>
      </c>
      <c r="V3349" s="160">
        <f t="shared" si="558"/>
        <v>81</v>
      </c>
    </row>
    <row r="3350" spans="1:22" x14ac:dyDescent="0.25">
      <c r="A3350" s="98" t="s">
        <v>35</v>
      </c>
      <c r="B3350" s="98" t="s">
        <v>17</v>
      </c>
      <c r="C3350" s="98">
        <v>3</v>
      </c>
      <c r="D3350" s="98">
        <v>95</v>
      </c>
      <c r="E3350" s="157">
        <v>42376.256944444445</v>
      </c>
      <c r="F3350" s="157">
        <v>42376.276388888888</v>
      </c>
      <c r="G3350" s="98">
        <v>210</v>
      </c>
      <c r="H3350" s="98">
        <v>330</v>
      </c>
      <c r="I3350" s="98">
        <v>296</v>
      </c>
      <c r="J3350" s="98" t="s">
        <v>1998</v>
      </c>
      <c r="K3350" s="98" t="s">
        <v>3620</v>
      </c>
      <c r="L3350" s="105" t="str">
        <f t="shared" si="550"/>
        <v>Mill Creek</v>
      </c>
      <c r="M3350" s="105" t="str">
        <f t="shared" si="551"/>
        <v>Derate</v>
      </c>
      <c r="N3350" s="105" t="str">
        <f t="shared" si="552"/>
        <v>Coal</v>
      </c>
      <c r="O3350" s="105">
        <f>IFERROR(VLOOKUP(A3350,Lookup!$J$5:$P$19,7,FALSE),0)</f>
        <v>2</v>
      </c>
      <c r="P3350" s="159">
        <f t="shared" si="553"/>
        <v>2016</v>
      </c>
      <c r="Q3350" s="159">
        <f t="shared" si="554"/>
        <v>1</v>
      </c>
      <c r="R3350" s="160">
        <f t="shared" si="555"/>
        <v>0.46666666661622003</v>
      </c>
      <c r="S3350" s="158">
        <f t="shared" si="556"/>
        <v>0.16969696967862546</v>
      </c>
      <c r="T3350" s="161">
        <f t="shared" si="557"/>
        <v>50.230303024873137</v>
      </c>
      <c r="U3350" s="158">
        <f t="shared" si="559"/>
        <v>107.63636363636364</v>
      </c>
      <c r="V3350" s="160">
        <f t="shared" si="558"/>
        <v>108</v>
      </c>
    </row>
    <row r="3351" spans="1:22" x14ac:dyDescent="0.25">
      <c r="A3351" s="98" t="s">
        <v>35</v>
      </c>
      <c r="B3351" s="98" t="s">
        <v>17</v>
      </c>
      <c r="C3351" s="98">
        <v>4</v>
      </c>
      <c r="D3351" s="98">
        <v>250</v>
      </c>
      <c r="E3351" s="157">
        <v>42382.472916666666</v>
      </c>
      <c r="F3351" s="157">
        <v>42382.504861111112</v>
      </c>
      <c r="G3351" s="98">
        <v>235</v>
      </c>
      <c r="H3351" s="98">
        <v>330</v>
      </c>
      <c r="I3351" s="98">
        <v>296</v>
      </c>
      <c r="J3351" s="98" t="s">
        <v>1978</v>
      </c>
      <c r="K3351" s="98" t="s">
        <v>3621</v>
      </c>
      <c r="L3351" s="105" t="str">
        <f t="shared" si="550"/>
        <v>Mill Creek</v>
      </c>
      <c r="M3351" s="105" t="str">
        <f t="shared" si="551"/>
        <v>Derate</v>
      </c>
      <c r="N3351" s="105" t="str">
        <f t="shared" si="552"/>
        <v>Coal</v>
      </c>
      <c r="O3351" s="105">
        <f>IFERROR(VLOOKUP(A3351,Lookup!$J$5:$P$19,7,FALSE),0)</f>
        <v>2</v>
      </c>
      <c r="P3351" s="159">
        <f t="shared" si="553"/>
        <v>2016</v>
      </c>
      <c r="Q3351" s="159">
        <f t="shared" si="554"/>
        <v>1</v>
      </c>
      <c r="R3351" s="160">
        <f t="shared" si="555"/>
        <v>0.76666666672099382</v>
      </c>
      <c r="S3351" s="158">
        <f t="shared" si="556"/>
        <v>0.22070707072271034</v>
      </c>
      <c r="T3351" s="161">
        <f t="shared" si="557"/>
        <v>65.329292933922261</v>
      </c>
      <c r="U3351" s="158">
        <f t="shared" si="559"/>
        <v>85.212121212121218</v>
      </c>
      <c r="V3351" s="160">
        <f t="shared" si="558"/>
        <v>85</v>
      </c>
    </row>
    <row r="3352" spans="1:22" x14ac:dyDescent="0.25">
      <c r="A3352" s="98" t="s">
        <v>35</v>
      </c>
      <c r="B3352" s="98" t="s">
        <v>79</v>
      </c>
      <c r="C3352" s="98">
        <v>5</v>
      </c>
      <c r="D3352" s="98">
        <v>8700</v>
      </c>
      <c r="E3352" s="157">
        <v>42388.333333333336</v>
      </c>
      <c r="F3352" s="157">
        <v>42388.722222222219</v>
      </c>
      <c r="G3352" s="98">
        <v>0</v>
      </c>
      <c r="H3352" s="98">
        <v>330</v>
      </c>
      <c r="I3352" s="98">
        <v>296</v>
      </c>
      <c r="J3352" s="98" t="s">
        <v>1987</v>
      </c>
      <c r="K3352" s="98" t="s">
        <v>3539</v>
      </c>
      <c r="L3352" s="105" t="str">
        <f t="shared" si="550"/>
        <v>Mill Creek</v>
      </c>
      <c r="M3352" s="105" t="str">
        <f t="shared" si="551"/>
        <v>Other</v>
      </c>
      <c r="N3352" s="105" t="str">
        <f t="shared" si="552"/>
        <v>Coal</v>
      </c>
      <c r="O3352" s="105">
        <f>IFERROR(VLOOKUP(A3352,Lookup!$J$5:$P$19,7,FALSE),0)</f>
        <v>2</v>
      </c>
      <c r="P3352" s="159">
        <f t="shared" si="553"/>
        <v>2016</v>
      </c>
      <c r="Q3352" s="159">
        <f t="shared" si="554"/>
        <v>1</v>
      </c>
      <c r="R3352" s="160">
        <f t="shared" si="555"/>
        <v>9.3333333331975155</v>
      </c>
      <c r="S3352" s="158">
        <f t="shared" si="556"/>
        <v>9.3333333331975155</v>
      </c>
      <c r="T3352" s="161">
        <f t="shared" si="557"/>
        <v>2762.6666666264646</v>
      </c>
      <c r="U3352" s="158">
        <f t="shared" si="559"/>
        <v>296</v>
      </c>
      <c r="V3352" s="160">
        <f t="shared" si="558"/>
        <v>296</v>
      </c>
    </row>
    <row r="3353" spans="1:22" x14ac:dyDescent="0.25">
      <c r="A3353" s="98" t="s">
        <v>35</v>
      </c>
      <c r="B3353" s="98" t="s">
        <v>79</v>
      </c>
      <c r="C3353" s="98">
        <v>6</v>
      </c>
      <c r="D3353" s="98">
        <v>8700</v>
      </c>
      <c r="E3353" s="157">
        <v>42388.916666666664</v>
      </c>
      <c r="F3353" s="157">
        <v>42389.067361111112</v>
      </c>
      <c r="G3353" s="98">
        <v>0</v>
      </c>
      <c r="H3353" s="98">
        <v>330</v>
      </c>
      <c r="I3353" s="98">
        <v>296</v>
      </c>
      <c r="J3353" s="98" t="s">
        <v>1987</v>
      </c>
      <c r="K3353" s="98" t="s">
        <v>3540</v>
      </c>
      <c r="L3353" s="105" t="str">
        <f t="shared" si="550"/>
        <v>Mill Creek</v>
      </c>
      <c r="M3353" s="105" t="str">
        <f t="shared" si="551"/>
        <v>Other</v>
      </c>
      <c r="N3353" s="105" t="str">
        <f t="shared" si="552"/>
        <v>Coal</v>
      </c>
      <c r="O3353" s="105">
        <f>IFERROR(VLOOKUP(A3353,Lookup!$J$5:$P$19,7,FALSE),0)</f>
        <v>2</v>
      </c>
      <c r="P3353" s="159">
        <f t="shared" si="553"/>
        <v>2016</v>
      </c>
      <c r="Q3353" s="159">
        <f t="shared" si="554"/>
        <v>1</v>
      </c>
      <c r="R3353" s="160">
        <f t="shared" si="555"/>
        <v>3.6166666667559184</v>
      </c>
      <c r="S3353" s="158">
        <f t="shared" si="556"/>
        <v>3.6166666667559184</v>
      </c>
      <c r="T3353" s="161">
        <f t="shared" si="557"/>
        <v>1070.5333333597519</v>
      </c>
      <c r="U3353" s="158">
        <f t="shared" si="559"/>
        <v>296</v>
      </c>
      <c r="V3353" s="160">
        <f t="shared" si="558"/>
        <v>296</v>
      </c>
    </row>
    <row r="3354" spans="1:22" x14ac:dyDescent="0.25">
      <c r="A3354" s="98" t="s">
        <v>35</v>
      </c>
      <c r="B3354" s="98" t="s">
        <v>79</v>
      </c>
      <c r="C3354" s="98">
        <v>7</v>
      </c>
      <c r="D3354" s="98">
        <v>8700</v>
      </c>
      <c r="E3354" s="157">
        <v>42389.416666666664</v>
      </c>
      <c r="F3354" s="157">
        <v>42389.5625</v>
      </c>
      <c r="G3354" s="98">
        <v>0</v>
      </c>
      <c r="H3354" s="98">
        <v>330</v>
      </c>
      <c r="I3354" s="98">
        <v>296</v>
      </c>
      <c r="J3354" s="98" t="s">
        <v>1987</v>
      </c>
      <c r="K3354" s="98" t="s">
        <v>3539</v>
      </c>
      <c r="L3354" s="105" t="str">
        <f t="shared" si="550"/>
        <v>Mill Creek</v>
      </c>
      <c r="M3354" s="105" t="str">
        <f t="shared" si="551"/>
        <v>Other</v>
      </c>
      <c r="N3354" s="105" t="str">
        <f t="shared" si="552"/>
        <v>Coal</v>
      </c>
      <c r="O3354" s="105">
        <f>IFERROR(VLOOKUP(A3354,Lookup!$J$5:$P$19,7,FALSE),0)</f>
        <v>2</v>
      </c>
      <c r="P3354" s="159">
        <f t="shared" si="553"/>
        <v>2016</v>
      </c>
      <c r="Q3354" s="159">
        <f t="shared" si="554"/>
        <v>1</v>
      </c>
      <c r="R3354" s="160">
        <f t="shared" si="555"/>
        <v>3.5000000000582077</v>
      </c>
      <c r="S3354" s="158">
        <f t="shared" si="556"/>
        <v>3.5000000000582077</v>
      </c>
      <c r="T3354" s="161">
        <f t="shared" si="557"/>
        <v>1036.0000000172295</v>
      </c>
      <c r="U3354" s="158">
        <f t="shared" si="559"/>
        <v>296</v>
      </c>
      <c r="V3354" s="160">
        <f t="shared" si="558"/>
        <v>296</v>
      </c>
    </row>
    <row r="3355" spans="1:22" x14ac:dyDescent="0.25">
      <c r="A3355" s="98" t="s">
        <v>35</v>
      </c>
      <c r="B3355" s="98" t="s">
        <v>17</v>
      </c>
      <c r="C3355" s="98">
        <v>8</v>
      </c>
      <c r="D3355" s="98">
        <v>4261</v>
      </c>
      <c r="E3355" s="157">
        <v>42396.031944444447</v>
      </c>
      <c r="F3355" s="157">
        <v>42396.078472222223</v>
      </c>
      <c r="G3355" s="98">
        <v>308</v>
      </c>
      <c r="H3355" s="98">
        <v>330</v>
      </c>
      <c r="I3355" s="98">
        <v>296</v>
      </c>
      <c r="J3355" s="98" t="s">
        <v>1985</v>
      </c>
      <c r="K3355" s="98" t="s">
        <v>3622</v>
      </c>
      <c r="L3355" s="105" t="str">
        <f t="shared" si="550"/>
        <v>Mill Creek</v>
      </c>
      <c r="M3355" s="105" t="str">
        <f t="shared" si="551"/>
        <v>Derate</v>
      </c>
      <c r="N3355" s="105" t="str">
        <f t="shared" si="552"/>
        <v>Coal</v>
      </c>
      <c r="O3355" s="105">
        <f>IFERROR(VLOOKUP(A3355,Lookup!$J$5:$P$19,7,FALSE),0)</f>
        <v>2</v>
      </c>
      <c r="P3355" s="159">
        <f t="shared" si="553"/>
        <v>2016</v>
      </c>
      <c r="Q3355" s="159">
        <f t="shared" si="554"/>
        <v>1</v>
      </c>
      <c r="R3355" s="160">
        <f t="shared" si="555"/>
        <v>1.1166666666395031</v>
      </c>
      <c r="S3355" s="158">
        <f t="shared" si="556"/>
        <v>7.4444444442633539E-2</v>
      </c>
      <c r="T3355" s="161">
        <f t="shared" si="557"/>
        <v>22.035555555019528</v>
      </c>
      <c r="U3355" s="158">
        <f t="shared" si="559"/>
        <v>19.733333333333334</v>
      </c>
      <c r="V3355" s="160">
        <f t="shared" si="558"/>
        <v>20</v>
      </c>
    </row>
    <row r="3356" spans="1:22" x14ac:dyDescent="0.25">
      <c r="A3356" s="98" t="s">
        <v>35</v>
      </c>
      <c r="B3356" s="98" t="s">
        <v>17</v>
      </c>
      <c r="C3356" s="98">
        <v>9</v>
      </c>
      <c r="D3356" s="98">
        <v>4261</v>
      </c>
      <c r="E3356" s="157">
        <v>42396.078472222223</v>
      </c>
      <c r="F3356" s="157">
        <v>42396.183333333334</v>
      </c>
      <c r="G3356" s="98">
        <v>308</v>
      </c>
      <c r="H3356" s="98">
        <v>330</v>
      </c>
      <c r="I3356" s="98">
        <v>296</v>
      </c>
      <c r="J3356" s="98" t="s">
        <v>1985</v>
      </c>
      <c r="K3356" s="98" t="s">
        <v>3622</v>
      </c>
      <c r="L3356" s="105" t="str">
        <f t="shared" si="550"/>
        <v>Mill Creek</v>
      </c>
      <c r="M3356" s="105" t="str">
        <f t="shared" si="551"/>
        <v>Derate</v>
      </c>
      <c r="N3356" s="105" t="str">
        <f t="shared" si="552"/>
        <v>Coal</v>
      </c>
      <c r="O3356" s="105">
        <f>IFERROR(VLOOKUP(A3356,Lookup!$J$5:$P$19,7,FALSE),0)</f>
        <v>2</v>
      </c>
      <c r="P3356" s="159">
        <f t="shared" si="553"/>
        <v>2016</v>
      </c>
      <c r="Q3356" s="159">
        <f t="shared" si="554"/>
        <v>1</v>
      </c>
      <c r="R3356" s="160">
        <f t="shared" si="555"/>
        <v>2.5166666666627862</v>
      </c>
      <c r="S3356" s="158">
        <f t="shared" si="556"/>
        <v>0.16777777777751907</v>
      </c>
      <c r="T3356" s="161">
        <f t="shared" si="557"/>
        <v>49.662222222145644</v>
      </c>
      <c r="U3356" s="158">
        <f t="shared" si="559"/>
        <v>19.733333333333334</v>
      </c>
      <c r="V3356" s="160">
        <f t="shared" si="558"/>
        <v>20</v>
      </c>
    </row>
    <row r="3357" spans="1:22" x14ac:dyDescent="0.25">
      <c r="A3357" s="98" t="s">
        <v>35</v>
      </c>
      <c r="B3357" s="98" t="s">
        <v>17</v>
      </c>
      <c r="C3357" s="98">
        <v>10</v>
      </c>
      <c r="D3357" s="98">
        <v>4261</v>
      </c>
      <c r="E3357" s="157">
        <v>42396.183333333334</v>
      </c>
      <c r="F3357" s="157">
        <v>42398.429166666669</v>
      </c>
      <c r="G3357" s="98">
        <v>308</v>
      </c>
      <c r="H3357" s="98">
        <v>330</v>
      </c>
      <c r="I3357" s="98">
        <v>296</v>
      </c>
      <c r="J3357" s="98" t="s">
        <v>1985</v>
      </c>
      <c r="K3357" s="98" t="s">
        <v>3623</v>
      </c>
      <c r="L3357" s="105" t="str">
        <f t="shared" si="550"/>
        <v>Mill Creek</v>
      </c>
      <c r="M3357" s="105" t="str">
        <f t="shared" si="551"/>
        <v>Derate</v>
      </c>
      <c r="N3357" s="105" t="str">
        <f t="shared" si="552"/>
        <v>Coal</v>
      </c>
      <c r="O3357" s="105">
        <f>IFERROR(VLOOKUP(A3357,Lookup!$J$5:$P$19,7,FALSE),0)</f>
        <v>2</v>
      </c>
      <c r="P3357" s="159">
        <f t="shared" si="553"/>
        <v>2016</v>
      </c>
      <c r="Q3357" s="159">
        <f t="shared" si="554"/>
        <v>1</v>
      </c>
      <c r="R3357" s="160">
        <f t="shared" si="555"/>
        <v>53.900000000023283</v>
      </c>
      <c r="S3357" s="158">
        <f t="shared" si="556"/>
        <v>3.5933333333348854</v>
      </c>
      <c r="T3357" s="161">
        <f t="shared" si="557"/>
        <v>1063.6266666671261</v>
      </c>
      <c r="U3357" s="158">
        <f t="shared" si="559"/>
        <v>19.733333333333334</v>
      </c>
      <c r="V3357" s="160">
        <f t="shared" si="558"/>
        <v>20</v>
      </c>
    </row>
    <row r="3358" spans="1:22" x14ac:dyDescent="0.25">
      <c r="A3358" s="98" t="s">
        <v>35</v>
      </c>
      <c r="B3358" s="98" t="s">
        <v>20</v>
      </c>
      <c r="C3358" s="98">
        <v>11</v>
      </c>
      <c r="D3358" s="98">
        <v>4261</v>
      </c>
      <c r="E3358" s="157">
        <v>42398.429166666669</v>
      </c>
      <c r="F3358" s="157">
        <v>42400.177777777775</v>
      </c>
      <c r="G3358" s="98">
        <v>0</v>
      </c>
      <c r="H3358" s="98">
        <v>330</v>
      </c>
      <c r="I3358" s="98">
        <v>296</v>
      </c>
      <c r="J3358" s="98" t="s">
        <v>1985</v>
      </c>
      <c r="K3358" s="98" t="s">
        <v>3624</v>
      </c>
      <c r="L3358" s="105" t="str">
        <f t="shared" si="550"/>
        <v>Mill Creek</v>
      </c>
      <c r="M3358" s="105" t="str">
        <f t="shared" si="551"/>
        <v>Maintenance</v>
      </c>
      <c r="N3358" s="105" t="str">
        <f t="shared" si="552"/>
        <v>Coal</v>
      </c>
      <c r="O3358" s="105">
        <f>IFERROR(VLOOKUP(A3358,Lookup!$J$5:$P$19,7,FALSE),0)</f>
        <v>2</v>
      </c>
      <c r="P3358" s="159">
        <f t="shared" si="553"/>
        <v>2016</v>
      </c>
      <c r="Q3358" s="159">
        <f t="shared" si="554"/>
        <v>1</v>
      </c>
      <c r="R3358" s="160">
        <f t="shared" si="555"/>
        <v>41.966666666558012</v>
      </c>
      <c r="S3358" s="158">
        <f t="shared" si="556"/>
        <v>41.966666666558012</v>
      </c>
      <c r="T3358" s="161">
        <f t="shared" si="557"/>
        <v>12422.133333301172</v>
      </c>
      <c r="U3358" s="158">
        <f t="shared" si="559"/>
        <v>296</v>
      </c>
      <c r="V3358" s="160">
        <f t="shared" si="558"/>
        <v>296</v>
      </c>
    </row>
    <row r="3359" spans="1:22" x14ac:dyDescent="0.25">
      <c r="A3359" s="98" t="s">
        <v>35</v>
      </c>
      <c r="B3359" s="98" t="s">
        <v>79</v>
      </c>
      <c r="C3359" s="98">
        <v>12</v>
      </c>
      <c r="D3359" s="98">
        <v>1850</v>
      </c>
      <c r="E3359" s="157">
        <v>42400.177777777775</v>
      </c>
      <c r="F3359" s="157">
        <v>42400.431944444441</v>
      </c>
      <c r="G3359" s="98">
        <v>0</v>
      </c>
      <c r="H3359" s="98">
        <v>330</v>
      </c>
      <c r="I3359" s="98">
        <v>296</v>
      </c>
      <c r="J3359" s="98" t="s">
        <v>2263</v>
      </c>
      <c r="K3359" s="98" t="s">
        <v>2872</v>
      </c>
      <c r="L3359" s="105" t="str">
        <f t="shared" si="550"/>
        <v>Mill Creek</v>
      </c>
      <c r="M3359" s="105" t="str">
        <f t="shared" si="551"/>
        <v>Other</v>
      </c>
      <c r="N3359" s="105" t="str">
        <f t="shared" si="552"/>
        <v>Coal</v>
      </c>
      <c r="O3359" s="105">
        <f>IFERROR(VLOOKUP(A3359,Lookup!$J$5:$P$19,7,FALSE),0)</f>
        <v>2</v>
      </c>
      <c r="P3359" s="159">
        <f t="shared" si="553"/>
        <v>2016</v>
      </c>
      <c r="Q3359" s="159">
        <f t="shared" si="554"/>
        <v>1</v>
      </c>
      <c r="R3359" s="160">
        <f t="shared" si="555"/>
        <v>6.0999999999767169</v>
      </c>
      <c r="S3359" s="158">
        <f t="shared" si="556"/>
        <v>6.0999999999767169</v>
      </c>
      <c r="T3359" s="161">
        <f t="shared" si="557"/>
        <v>1805.5999999931082</v>
      </c>
      <c r="U3359" s="158">
        <f t="shared" si="559"/>
        <v>296</v>
      </c>
      <c r="V3359" s="160">
        <f t="shared" si="558"/>
        <v>296</v>
      </c>
    </row>
    <row r="3360" spans="1:22" x14ac:dyDescent="0.25">
      <c r="A3360" s="98" t="s">
        <v>35</v>
      </c>
      <c r="B3360" s="98" t="s">
        <v>79</v>
      </c>
      <c r="C3360" s="98">
        <v>13</v>
      </c>
      <c r="D3360" s="98">
        <v>9999</v>
      </c>
      <c r="E3360" s="157">
        <v>42404.333333333336</v>
      </c>
      <c r="F3360" s="157">
        <v>42404.563194444447</v>
      </c>
      <c r="G3360" s="98">
        <v>0</v>
      </c>
      <c r="H3360" s="98">
        <v>330</v>
      </c>
      <c r="I3360" s="98">
        <v>296</v>
      </c>
      <c r="J3360" s="98" t="s">
        <v>2261</v>
      </c>
      <c r="K3360" s="98" t="s">
        <v>3625</v>
      </c>
      <c r="L3360" s="105" t="str">
        <f t="shared" si="550"/>
        <v>Mill Creek</v>
      </c>
      <c r="M3360" s="105" t="str">
        <f t="shared" si="551"/>
        <v>Other</v>
      </c>
      <c r="N3360" s="105" t="str">
        <f t="shared" si="552"/>
        <v>Coal</v>
      </c>
      <c r="O3360" s="105">
        <f>IFERROR(VLOOKUP(A3360,Lookup!$J$5:$P$19,7,FALSE),0)</f>
        <v>2</v>
      </c>
      <c r="P3360" s="159">
        <f t="shared" si="553"/>
        <v>2016</v>
      </c>
      <c r="Q3360" s="159">
        <f t="shared" si="554"/>
        <v>2</v>
      </c>
      <c r="R3360" s="160">
        <f t="shared" si="555"/>
        <v>5.5166666666627862</v>
      </c>
      <c r="S3360" s="158">
        <f t="shared" si="556"/>
        <v>5.5166666666627862</v>
      </c>
      <c r="T3360" s="161">
        <f t="shared" si="557"/>
        <v>1632.9333333321847</v>
      </c>
      <c r="U3360" s="158">
        <f t="shared" si="559"/>
        <v>296</v>
      </c>
      <c r="V3360" s="160">
        <f t="shared" si="558"/>
        <v>296</v>
      </c>
    </row>
    <row r="3361" spans="1:22" x14ac:dyDescent="0.25">
      <c r="A3361" s="98" t="s">
        <v>35</v>
      </c>
      <c r="B3361" s="98" t="s">
        <v>105</v>
      </c>
      <c r="C3361" s="98">
        <v>14</v>
      </c>
      <c r="D3361" s="98">
        <v>253</v>
      </c>
      <c r="E3361" s="157">
        <v>42408.958333333336</v>
      </c>
      <c r="F3361" s="157">
        <v>42409.26458333333</v>
      </c>
      <c r="G3361" s="98">
        <v>240</v>
      </c>
      <c r="H3361" s="98">
        <v>330</v>
      </c>
      <c r="I3361" s="98">
        <v>296</v>
      </c>
      <c r="J3361" s="98" t="s">
        <v>1999</v>
      </c>
      <c r="K3361" s="98" t="s">
        <v>3626</v>
      </c>
      <c r="L3361" s="105" t="str">
        <f t="shared" si="550"/>
        <v>Mill Creek</v>
      </c>
      <c r="M3361" s="105" t="str">
        <f t="shared" si="551"/>
        <v>Derate</v>
      </c>
      <c r="N3361" s="105" t="str">
        <f t="shared" si="552"/>
        <v>Coal</v>
      </c>
      <c r="O3361" s="105">
        <f>IFERROR(VLOOKUP(A3361,Lookup!$J$5:$P$19,7,FALSE),0)</f>
        <v>2</v>
      </c>
      <c r="P3361" s="159">
        <f t="shared" si="553"/>
        <v>2016</v>
      </c>
      <c r="Q3361" s="159">
        <f t="shared" si="554"/>
        <v>2</v>
      </c>
      <c r="R3361" s="160">
        <f t="shared" si="555"/>
        <v>7.3499999998603016</v>
      </c>
      <c r="S3361" s="158">
        <f t="shared" si="556"/>
        <v>2.0045454545073551</v>
      </c>
      <c r="T3361" s="161">
        <f t="shared" si="557"/>
        <v>593.34545453417707</v>
      </c>
      <c r="U3361" s="158">
        <f t="shared" si="559"/>
        <v>80.727272727272734</v>
      </c>
      <c r="V3361" s="160">
        <f t="shared" si="558"/>
        <v>81</v>
      </c>
    </row>
    <row r="3362" spans="1:22" x14ac:dyDescent="0.25">
      <c r="A3362" s="98" t="s">
        <v>35</v>
      </c>
      <c r="B3362" s="98" t="s">
        <v>79</v>
      </c>
      <c r="C3362" s="98">
        <v>15</v>
      </c>
      <c r="D3362" s="98">
        <v>8700</v>
      </c>
      <c r="E3362" s="157">
        <v>42409.3125</v>
      </c>
      <c r="F3362" s="157">
        <v>42409.75</v>
      </c>
      <c r="G3362" s="98">
        <v>0</v>
      </c>
      <c r="H3362" s="98">
        <v>330</v>
      </c>
      <c r="I3362" s="98">
        <v>296</v>
      </c>
      <c r="J3362" s="98" t="s">
        <v>1987</v>
      </c>
      <c r="K3362" s="98" t="s">
        <v>3627</v>
      </c>
      <c r="L3362" s="105" t="str">
        <f t="shared" si="550"/>
        <v>Mill Creek</v>
      </c>
      <c r="M3362" s="105" t="str">
        <f t="shared" si="551"/>
        <v>Other</v>
      </c>
      <c r="N3362" s="105" t="str">
        <f t="shared" si="552"/>
        <v>Coal</v>
      </c>
      <c r="O3362" s="105">
        <f>IFERROR(VLOOKUP(A3362,Lookup!$J$5:$P$19,7,FALSE),0)</f>
        <v>2</v>
      </c>
      <c r="P3362" s="159">
        <f t="shared" si="553"/>
        <v>2016</v>
      </c>
      <c r="Q3362" s="159">
        <f t="shared" si="554"/>
        <v>2</v>
      </c>
      <c r="R3362" s="160">
        <f t="shared" si="555"/>
        <v>10.5</v>
      </c>
      <c r="S3362" s="158">
        <f t="shared" si="556"/>
        <v>10.5</v>
      </c>
      <c r="T3362" s="161">
        <f t="shared" si="557"/>
        <v>3108</v>
      </c>
      <c r="U3362" s="158">
        <f t="shared" si="559"/>
        <v>296</v>
      </c>
      <c r="V3362" s="160">
        <f t="shared" si="558"/>
        <v>296</v>
      </c>
    </row>
    <row r="3363" spans="1:22" x14ac:dyDescent="0.25">
      <c r="A3363" s="98" t="s">
        <v>35</v>
      </c>
      <c r="B3363" s="98" t="s">
        <v>105</v>
      </c>
      <c r="C3363" s="98">
        <v>16</v>
      </c>
      <c r="D3363" s="98">
        <v>340</v>
      </c>
      <c r="E3363" s="157">
        <v>42417.958333333336</v>
      </c>
      <c r="F3363" s="157">
        <v>42418.160416666666</v>
      </c>
      <c r="G3363" s="98">
        <v>240</v>
      </c>
      <c r="H3363" s="98">
        <v>330</v>
      </c>
      <c r="I3363" s="98">
        <v>296</v>
      </c>
      <c r="J3363" s="98" t="s">
        <v>1970</v>
      </c>
      <c r="K3363" s="98" t="s">
        <v>3628</v>
      </c>
      <c r="L3363" s="105" t="str">
        <f t="shared" si="550"/>
        <v>Mill Creek</v>
      </c>
      <c r="M3363" s="105" t="str">
        <f t="shared" si="551"/>
        <v>Derate</v>
      </c>
      <c r="N3363" s="105" t="str">
        <f t="shared" si="552"/>
        <v>Coal</v>
      </c>
      <c r="O3363" s="105">
        <f>IFERROR(VLOOKUP(A3363,Lookup!$J$5:$P$19,7,FALSE),0)</f>
        <v>2</v>
      </c>
      <c r="P3363" s="159">
        <f t="shared" si="553"/>
        <v>2016</v>
      </c>
      <c r="Q3363" s="159">
        <f t="shared" si="554"/>
        <v>2</v>
      </c>
      <c r="R3363" s="160">
        <f t="shared" si="555"/>
        <v>4.8499999999185093</v>
      </c>
      <c r="S3363" s="158">
        <f t="shared" si="556"/>
        <v>1.3227272727050481</v>
      </c>
      <c r="T3363" s="161">
        <f t="shared" si="557"/>
        <v>391.52727272069421</v>
      </c>
      <c r="U3363" s="158">
        <f t="shared" si="559"/>
        <v>80.727272727272734</v>
      </c>
      <c r="V3363" s="160">
        <f t="shared" si="558"/>
        <v>81</v>
      </c>
    </row>
    <row r="3364" spans="1:22" x14ac:dyDescent="0.25">
      <c r="A3364" s="98" t="s">
        <v>35</v>
      </c>
      <c r="B3364" s="98" t="s">
        <v>79</v>
      </c>
      <c r="C3364" s="98">
        <v>17</v>
      </c>
      <c r="D3364" s="98">
        <v>8460</v>
      </c>
      <c r="E3364" s="157">
        <v>42437.375</v>
      </c>
      <c r="F3364" s="157">
        <v>42437.479166666664</v>
      </c>
      <c r="G3364" s="98">
        <v>0</v>
      </c>
      <c r="H3364" s="98">
        <v>330</v>
      </c>
      <c r="I3364" s="98">
        <v>296</v>
      </c>
      <c r="J3364" s="98" t="s">
        <v>2651</v>
      </c>
      <c r="K3364" s="98" t="s">
        <v>3629</v>
      </c>
      <c r="L3364" s="105" t="str">
        <f t="shared" si="550"/>
        <v>Mill Creek</v>
      </c>
      <c r="M3364" s="105" t="str">
        <f t="shared" si="551"/>
        <v>Other</v>
      </c>
      <c r="N3364" s="105" t="str">
        <f t="shared" si="552"/>
        <v>Coal</v>
      </c>
      <c r="O3364" s="105">
        <f>IFERROR(VLOOKUP(A3364,Lookup!$J$5:$P$19,7,FALSE),0)</f>
        <v>2</v>
      </c>
      <c r="P3364" s="159">
        <f t="shared" si="553"/>
        <v>2016</v>
      </c>
      <c r="Q3364" s="159">
        <f t="shared" si="554"/>
        <v>3</v>
      </c>
      <c r="R3364" s="160">
        <f t="shared" si="555"/>
        <v>2.4999999999417923</v>
      </c>
      <c r="S3364" s="158">
        <f t="shared" si="556"/>
        <v>2.4999999999417923</v>
      </c>
      <c r="T3364" s="161">
        <f t="shared" si="557"/>
        <v>739.99999998277053</v>
      </c>
      <c r="U3364" s="158">
        <f t="shared" si="559"/>
        <v>296</v>
      </c>
      <c r="V3364" s="160">
        <f t="shared" si="558"/>
        <v>296</v>
      </c>
    </row>
    <row r="3365" spans="1:22" x14ac:dyDescent="0.25">
      <c r="A3365" s="98" t="s">
        <v>35</v>
      </c>
      <c r="B3365" s="98" t="s">
        <v>38</v>
      </c>
      <c r="C3365" s="98">
        <v>18</v>
      </c>
      <c r="D3365" s="98">
        <v>3998</v>
      </c>
      <c r="E3365" s="157">
        <v>42449.84652777778</v>
      </c>
      <c r="F3365" s="157">
        <v>42458.647916666669</v>
      </c>
      <c r="G3365" s="98">
        <v>0</v>
      </c>
      <c r="H3365" s="98">
        <v>330</v>
      </c>
      <c r="I3365" s="98">
        <v>296</v>
      </c>
      <c r="J3365" s="98" t="s">
        <v>3558</v>
      </c>
      <c r="K3365" s="98" t="s">
        <v>2093</v>
      </c>
      <c r="L3365" s="105" t="str">
        <f t="shared" si="550"/>
        <v>Mill Creek</v>
      </c>
      <c r="M3365" s="105" t="str">
        <f t="shared" si="551"/>
        <v>Other</v>
      </c>
      <c r="N3365" s="105" t="str">
        <f t="shared" si="552"/>
        <v>Coal</v>
      </c>
      <c r="O3365" s="105">
        <f>IFERROR(VLOOKUP(A3365,Lookup!$J$5:$P$19,7,FALSE),0)</f>
        <v>2</v>
      </c>
      <c r="P3365" s="159">
        <f t="shared" si="553"/>
        <v>2016</v>
      </c>
      <c r="Q3365" s="159">
        <f t="shared" si="554"/>
        <v>3</v>
      </c>
      <c r="R3365" s="160">
        <f t="shared" si="555"/>
        <v>211.23333333333721</v>
      </c>
      <c r="S3365" s="158">
        <f t="shared" si="556"/>
        <v>211.23333333333721</v>
      </c>
      <c r="T3365" s="161">
        <f t="shared" si="557"/>
        <v>62525.066666667815</v>
      </c>
      <c r="U3365" s="158">
        <f t="shared" si="559"/>
        <v>296</v>
      </c>
      <c r="V3365" s="160">
        <f t="shared" si="558"/>
        <v>296</v>
      </c>
    </row>
    <row r="3366" spans="1:22" x14ac:dyDescent="0.25">
      <c r="A3366" s="98" t="s">
        <v>35</v>
      </c>
      <c r="B3366" s="98" t="s">
        <v>79</v>
      </c>
      <c r="C3366" s="98">
        <v>19</v>
      </c>
      <c r="D3366" s="98">
        <v>1850</v>
      </c>
      <c r="E3366" s="157">
        <v>42458.647916666669</v>
      </c>
      <c r="F3366" s="157">
        <v>42459.224305555559</v>
      </c>
      <c r="G3366" s="98">
        <v>0</v>
      </c>
      <c r="H3366" s="98">
        <v>330</v>
      </c>
      <c r="I3366" s="98">
        <v>296</v>
      </c>
      <c r="J3366" s="98" t="s">
        <v>2263</v>
      </c>
      <c r="K3366" s="98" t="s">
        <v>3559</v>
      </c>
      <c r="L3366" s="105" t="str">
        <f t="shared" ref="L3366:L3429" si="560">IF(OR(A3366="BR1",A3366="BR2",A3366="BR3",A3366="BR5",A3366="BR6",A3366="BR7",A3366="BR8",A3366="BR9",A3366="BR10",A3366="BR11"),"Brown",IF(OR(A3366="CR4",A3366="CR5",A3366="CR6",A3366="CR11"),"Cane Run",IF(OR(A3366="GH1",A3366="GH2",A3366="GH3",A3366="GH4"),"Ghent",IF(OR(A3366="GR3",A3366="GR4"),"Green River",IF(OR(A3366="MC1",A3366="MC2",A3366="MC3",A3366="MC4"),"Mill Creek",IF(OR(A3366="TC1",A3366="TC2",A3366="TC5",A3366="TC6",A3366="TC7",A3366="TC8",A3366="TC9",A3366="TC10"),"Trimble",IF(A3366="TY3","Tyrone",IF(OR(A3366="HA1",A3366="HA2",A3366="HA3"),"Haeflin",IF(OR(A3366="PR11",A3366="PR12",A3366="PR13"),"Paddy's Run","Zorn")))))))))</f>
        <v>Mill Creek</v>
      </c>
      <c r="M3366" s="105" t="str">
        <f t="shared" ref="M3366:M3429" si="561">IF(OR(B3366="D1",B3366="D2",B3366="D3",B3366="D4",B3366="PD"),"Derate",IF(OR(B3366="SF",B3366="U1",B3366="U2",B3366="U3"),"Outage",IF(OR(B3366="ME",B3366="MO"),"Maintenance","Other")))</f>
        <v>Other</v>
      </c>
      <c r="N3366" s="105" t="str">
        <f t="shared" ref="N3366:N3429" si="562">IF(OR(A3366="BR1",A3366="BR2",A3366="BR3",A3366="CR4",A3366="CR5",A3366="CR6",A3366="GH1",A3366="GH2",A3366="GH3",A3366="GH4",A3366="GR3",A3366="GR4",A3366="MC1",A3366="MC2",A3366="MC3",A3366="MC4",A3366="TC1",A3366="TC2",A3366="TY3"),"Coal","Gas")</f>
        <v>Coal</v>
      </c>
      <c r="O3366" s="105">
        <f>IFERROR(VLOOKUP(A3366,Lookup!$J$5:$P$19,7,FALSE),0)</f>
        <v>2</v>
      </c>
      <c r="P3366" s="159">
        <f t="shared" ref="P3366:P3429" si="563">YEAR(E3366)</f>
        <v>2016</v>
      </c>
      <c r="Q3366" s="159">
        <f t="shared" ref="Q3366:Q3429" si="564">MONTH(E3366)</f>
        <v>3</v>
      </c>
      <c r="R3366" s="160">
        <f t="shared" ref="R3366:R3429" si="565">(F3366-E3366)*24</f>
        <v>13.833333333372138</v>
      </c>
      <c r="S3366" s="158">
        <f t="shared" ref="S3366:S3429" si="566">R3366*(H3366-G3366)/H3366</f>
        <v>13.833333333372138</v>
      </c>
      <c r="T3366" s="161">
        <f t="shared" ref="T3366:T3429" si="567">S3366*I3366</f>
        <v>4094.666666678153</v>
      </c>
      <c r="U3366" s="158">
        <f t="shared" si="559"/>
        <v>296</v>
      </c>
      <c r="V3366" s="160">
        <f t="shared" ref="V3366:V3429" si="568">ROUND(U3366,0)</f>
        <v>296</v>
      </c>
    </row>
    <row r="3367" spans="1:22" x14ac:dyDescent="0.25">
      <c r="A3367" s="98" t="s">
        <v>35</v>
      </c>
      <c r="B3367" s="98" t="s">
        <v>79</v>
      </c>
      <c r="C3367" s="98">
        <v>20</v>
      </c>
      <c r="D3367" s="98">
        <v>1990</v>
      </c>
      <c r="E3367" s="157">
        <v>42461.25</v>
      </c>
      <c r="F3367" s="157">
        <v>42461.875</v>
      </c>
      <c r="G3367" s="98">
        <v>0</v>
      </c>
      <c r="H3367" s="98">
        <v>330</v>
      </c>
      <c r="I3367" s="98">
        <v>296</v>
      </c>
      <c r="J3367" s="98" t="s">
        <v>2114</v>
      </c>
      <c r="K3367" s="98" t="s">
        <v>3561</v>
      </c>
      <c r="L3367" s="105" t="str">
        <f t="shared" si="560"/>
        <v>Mill Creek</v>
      </c>
      <c r="M3367" s="105" t="str">
        <f t="shared" si="561"/>
        <v>Other</v>
      </c>
      <c r="N3367" s="105" t="str">
        <f t="shared" si="562"/>
        <v>Coal</v>
      </c>
      <c r="O3367" s="105">
        <f>IFERROR(VLOOKUP(A3367,Lookup!$J$5:$P$19,7,FALSE),0)</f>
        <v>2</v>
      </c>
      <c r="P3367" s="159">
        <f t="shared" si="563"/>
        <v>2016</v>
      </c>
      <c r="Q3367" s="159">
        <f t="shared" si="564"/>
        <v>4</v>
      </c>
      <c r="R3367" s="160">
        <f t="shared" si="565"/>
        <v>15</v>
      </c>
      <c r="S3367" s="158">
        <f t="shared" si="566"/>
        <v>15</v>
      </c>
      <c r="T3367" s="161">
        <f t="shared" si="567"/>
        <v>4440</v>
      </c>
      <c r="U3367" s="158">
        <f t="shared" ref="U3367:U3430" si="569">IF(G3367&gt;0,MAX((H3367-G3367),0)*I3367/H3367,I3367)</f>
        <v>296</v>
      </c>
      <c r="V3367" s="160">
        <f t="shared" si="568"/>
        <v>296</v>
      </c>
    </row>
    <row r="3368" spans="1:22" x14ac:dyDescent="0.25">
      <c r="A3368" s="98" t="s">
        <v>35</v>
      </c>
      <c r="B3368" s="98" t="s">
        <v>17</v>
      </c>
      <c r="C3368" s="98">
        <v>21</v>
      </c>
      <c r="D3368" s="98">
        <v>360</v>
      </c>
      <c r="E3368" s="157">
        <v>42464.477777777778</v>
      </c>
      <c r="F3368" s="157">
        <v>42464.504166666666</v>
      </c>
      <c r="G3368" s="98">
        <v>240</v>
      </c>
      <c r="H3368" s="98">
        <v>330</v>
      </c>
      <c r="I3368" s="98">
        <v>296</v>
      </c>
      <c r="J3368" s="98" t="s">
        <v>229</v>
      </c>
      <c r="K3368" s="98" t="s">
        <v>3630</v>
      </c>
      <c r="L3368" s="105" t="str">
        <f t="shared" si="560"/>
        <v>Mill Creek</v>
      </c>
      <c r="M3368" s="105" t="str">
        <f t="shared" si="561"/>
        <v>Derate</v>
      </c>
      <c r="N3368" s="105" t="str">
        <f t="shared" si="562"/>
        <v>Coal</v>
      </c>
      <c r="O3368" s="105">
        <f>IFERROR(VLOOKUP(A3368,Lookup!$J$5:$P$19,7,FALSE),0)</f>
        <v>2</v>
      </c>
      <c r="P3368" s="159">
        <f t="shared" si="563"/>
        <v>2016</v>
      </c>
      <c r="Q3368" s="159">
        <f t="shared" si="564"/>
        <v>4</v>
      </c>
      <c r="R3368" s="160">
        <f t="shared" si="565"/>
        <v>0.63333333330228925</v>
      </c>
      <c r="S3368" s="158">
        <f t="shared" si="566"/>
        <v>0.17272727271880617</v>
      </c>
      <c r="T3368" s="161">
        <f t="shared" si="567"/>
        <v>51.127272724766627</v>
      </c>
      <c r="U3368" s="158">
        <f t="shared" si="569"/>
        <v>80.727272727272734</v>
      </c>
      <c r="V3368" s="160">
        <f t="shared" si="568"/>
        <v>81</v>
      </c>
    </row>
    <row r="3369" spans="1:22" x14ac:dyDescent="0.25">
      <c r="A3369" s="98" t="s">
        <v>35</v>
      </c>
      <c r="B3369" s="98" t="s">
        <v>79</v>
      </c>
      <c r="C3369" s="98">
        <v>22</v>
      </c>
      <c r="D3369" s="98">
        <v>1710</v>
      </c>
      <c r="E3369" s="157">
        <v>42465.041666666664</v>
      </c>
      <c r="F3369" s="157">
        <v>42465.069444444445</v>
      </c>
      <c r="G3369" s="98">
        <v>0</v>
      </c>
      <c r="H3369" s="98">
        <v>330</v>
      </c>
      <c r="I3369" s="98">
        <v>296</v>
      </c>
      <c r="J3369" s="98" t="s">
        <v>2020</v>
      </c>
      <c r="K3369" s="98" t="s">
        <v>3631</v>
      </c>
      <c r="L3369" s="105" t="str">
        <f t="shared" si="560"/>
        <v>Mill Creek</v>
      </c>
      <c r="M3369" s="105" t="str">
        <f t="shared" si="561"/>
        <v>Other</v>
      </c>
      <c r="N3369" s="105" t="str">
        <f t="shared" si="562"/>
        <v>Coal</v>
      </c>
      <c r="O3369" s="105">
        <f>IFERROR(VLOOKUP(A3369,Lookup!$J$5:$P$19,7,FALSE),0)</f>
        <v>2</v>
      </c>
      <c r="P3369" s="159">
        <f t="shared" si="563"/>
        <v>2016</v>
      </c>
      <c r="Q3369" s="159">
        <f t="shared" si="564"/>
        <v>4</v>
      </c>
      <c r="R3369" s="160">
        <f t="shared" si="565"/>
        <v>0.66666666674427688</v>
      </c>
      <c r="S3369" s="158">
        <f t="shared" si="566"/>
        <v>0.66666666674427688</v>
      </c>
      <c r="T3369" s="161">
        <f t="shared" si="567"/>
        <v>197.33333335630596</v>
      </c>
      <c r="U3369" s="158">
        <f t="shared" si="569"/>
        <v>296</v>
      </c>
      <c r="V3369" s="160">
        <f t="shared" si="568"/>
        <v>296</v>
      </c>
    </row>
    <row r="3370" spans="1:22" x14ac:dyDescent="0.25">
      <c r="A3370" s="98" t="s">
        <v>35</v>
      </c>
      <c r="B3370" s="98" t="s">
        <v>79</v>
      </c>
      <c r="C3370" s="98">
        <v>23</v>
      </c>
      <c r="D3370" s="98">
        <v>1710</v>
      </c>
      <c r="E3370" s="157">
        <v>42466.041666666664</v>
      </c>
      <c r="F3370" s="157">
        <v>42466.112500000003</v>
      </c>
      <c r="G3370" s="98">
        <v>0</v>
      </c>
      <c r="H3370" s="98">
        <v>330</v>
      </c>
      <c r="I3370" s="98">
        <v>296</v>
      </c>
      <c r="J3370" s="98" t="s">
        <v>2020</v>
      </c>
      <c r="K3370" s="98" t="s">
        <v>3632</v>
      </c>
      <c r="L3370" s="105" t="str">
        <f t="shared" si="560"/>
        <v>Mill Creek</v>
      </c>
      <c r="M3370" s="105" t="str">
        <f t="shared" si="561"/>
        <v>Other</v>
      </c>
      <c r="N3370" s="105" t="str">
        <f t="shared" si="562"/>
        <v>Coal</v>
      </c>
      <c r="O3370" s="105">
        <f>IFERROR(VLOOKUP(A3370,Lookup!$J$5:$P$19,7,FALSE),0)</f>
        <v>2</v>
      </c>
      <c r="P3370" s="159">
        <f t="shared" si="563"/>
        <v>2016</v>
      </c>
      <c r="Q3370" s="159">
        <f t="shared" si="564"/>
        <v>4</v>
      </c>
      <c r="R3370" s="160">
        <f t="shared" si="565"/>
        <v>1.7000000001280569</v>
      </c>
      <c r="S3370" s="158">
        <f t="shared" si="566"/>
        <v>1.7000000001280569</v>
      </c>
      <c r="T3370" s="161">
        <f t="shared" si="567"/>
        <v>503.20000003790483</v>
      </c>
      <c r="U3370" s="158">
        <f t="shared" si="569"/>
        <v>296</v>
      </c>
      <c r="V3370" s="160">
        <f t="shared" si="568"/>
        <v>296</v>
      </c>
    </row>
    <row r="3371" spans="1:22" x14ac:dyDescent="0.25">
      <c r="A3371" s="98" t="s">
        <v>35</v>
      </c>
      <c r="B3371" s="98" t="s">
        <v>17</v>
      </c>
      <c r="C3371" s="98">
        <v>24</v>
      </c>
      <c r="D3371" s="98">
        <v>360</v>
      </c>
      <c r="E3371" s="157">
        <v>42468.211111111108</v>
      </c>
      <c r="F3371" s="157">
        <v>42468.234027777777</v>
      </c>
      <c r="G3371" s="98">
        <v>245</v>
      </c>
      <c r="H3371" s="98">
        <v>330</v>
      </c>
      <c r="I3371" s="98">
        <v>296</v>
      </c>
      <c r="J3371" s="98" t="s">
        <v>229</v>
      </c>
      <c r="K3371" s="98" t="s">
        <v>3633</v>
      </c>
      <c r="L3371" s="105" t="str">
        <f t="shared" si="560"/>
        <v>Mill Creek</v>
      </c>
      <c r="M3371" s="105" t="str">
        <f t="shared" si="561"/>
        <v>Derate</v>
      </c>
      <c r="N3371" s="105" t="str">
        <f t="shared" si="562"/>
        <v>Coal</v>
      </c>
      <c r="O3371" s="105">
        <f>IFERROR(VLOOKUP(A3371,Lookup!$J$5:$P$19,7,FALSE),0)</f>
        <v>2</v>
      </c>
      <c r="P3371" s="159">
        <f t="shared" si="563"/>
        <v>2016</v>
      </c>
      <c r="Q3371" s="159">
        <f t="shared" si="564"/>
        <v>4</v>
      </c>
      <c r="R3371" s="160">
        <f t="shared" si="565"/>
        <v>0.55000000004656613</v>
      </c>
      <c r="S3371" s="158">
        <f t="shared" si="566"/>
        <v>0.14166666667866099</v>
      </c>
      <c r="T3371" s="161">
        <f t="shared" si="567"/>
        <v>41.933333336883649</v>
      </c>
      <c r="U3371" s="158">
        <f t="shared" si="569"/>
        <v>76.242424242424249</v>
      </c>
      <c r="V3371" s="160">
        <f t="shared" si="568"/>
        <v>76</v>
      </c>
    </row>
    <row r="3372" spans="1:22" x14ac:dyDescent="0.25">
      <c r="A3372" s="98" t="s">
        <v>35</v>
      </c>
      <c r="B3372" s="98" t="s">
        <v>79</v>
      </c>
      <c r="C3372" s="98">
        <v>25</v>
      </c>
      <c r="D3372" s="98">
        <v>1710</v>
      </c>
      <c r="E3372" s="157">
        <v>42473.345138888886</v>
      </c>
      <c r="F3372" s="157">
        <v>42473.395833333336</v>
      </c>
      <c r="G3372" s="98">
        <v>0</v>
      </c>
      <c r="H3372" s="98">
        <v>330</v>
      </c>
      <c r="I3372" s="98">
        <v>296</v>
      </c>
      <c r="J3372" s="98" t="s">
        <v>2020</v>
      </c>
      <c r="K3372" s="98" t="s">
        <v>3564</v>
      </c>
      <c r="L3372" s="105" t="str">
        <f t="shared" si="560"/>
        <v>Mill Creek</v>
      </c>
      <c r="M3372" s="105" t="str">
        <f t="shared" si="561"/>
        <v>Other</v>
      </c>
      <c r="N3372" s="105" t="str">
        <f t="shared" si="562"/>
        <v>Coal</v>
      </c>
      <c r="O3372" s="105">
        <f>IFERROR(VLOOKUP(A3372,Lookup!$J$5:$P$19,7,FALSE),0)</f>
        <v>2</v>
      </c>
      <c r="P3372" s="159">
        <f t="shared" si="563"/>
        <v>2016</v>
      </c>
      <c r="Q3372" s="159">
        <f t="shared" si="564"/>
        <v>4</v>
      </c>
      <c r="R3372" s="160">
        <f t="shared" si="565"/>
        <v>1.216666666790843</v>
      </c>
      <c r="S3372" s="158">
        <f t="shared" si="566"/>
        <v>1.216666666790843</v>
      </c>
      <c r="T3372" s="161">
        <f t="shared" si="567"/>
        <v>360.13333337008953</v>
      </c>
      <c r="U3372" s="158">
        <f t="shared" si="569"/>
        <v>296</v>
      </c>
      <c r="V3372" s="160">
        <f t="shared" si="568"/>
        <v>296</v>
      </c>
    </row>
    <row r="3373" spans="1:22" x14ac:dyDescent="0.25">
      <c r="A3373" s="98" t="s">
        <v>35</v>
      </c>
      <c r="B3373" s="98" t="s">
        <v>79</v>
      </c>
      <c r="C3373" s="98">
        <v>26</v>
      </c>
      <c r="D3373" s="98">
        <v>1710</v>
      </c>
      <c r="E3373" s="157">
        <v>42474.355555555558</v>
      </c>
      <c r="F3373" s="157">
        <v>42474.419444444444</v>
      </c>
      <c r="G3373" s="98">
        <v>0</v>
      </c>
      <c r="H3373" s="98">
        <v>330</v>
      </c>
      <c r="I3373" s="98">
        <v>296</v>
      </c>
      <c r="J3373" s="98" t="s">
        <v>2020</v>
      </c>
      <c r="K3373" s="98" t="s">
        <v>3564</v>
      </c>
      <c r="L3373" s="105" t="str">
        <f t="shared" si="560"/>
        <v>Mill Creek</v>
      </c>
      <c r="M3373" s="105" t="str">
        <f t="shared" si="561"/>
        <v>Other</v>
      </c>
      <c r="N3373" s="105" t="str">
        <f t="shared" si="562"/>
        <v>Coal</v>
      </c>
      <c r="O3373" s="105">
        <f>IFERROR(VLOOKUP(A3373,Lookup!$J$5:$P$19,7,FALSE),0)</f>
        <v>2</v>
      </c>
      <c r="P3373" s="159">
        <f t="shared" si="563"/>
        <v>2016</v>
      </c>
      <c r="Q3373" s="159">
        <f t="shared" si="564"/>
        <v>4</v>
      </c>
      <c r="R3373" s="160">
        <f t="shared" si="565"/>
        <v>1.5333333332673647</v>
      </c>
      <c r="S3373" s="158">
        <f t="shared" si="566"/>
        <v>1.5333333332673647</v>
      </c>
      <c r="T3373" s="161">
        <f t="shared" si="567"/>
        <v>453.86666664713994</v>
      </c>
      <c r="U3373" s="158">
        <f t="shared" si="569"/>
        <v>296</v>
      </c>
      <c r="V3373" s="160">
        <f t="shared" si="568"/>
        <v>296</v>
      </c>
    </row>
    <row r="3374" spans="1:22" x14ac:dyDescent="0.25">
      <c r="A3374" s="98" t="s">
        <v>35</v>
      </c>
      <c r="B3374" s="98" t="s">
        <v>79</v>
      </c>
      <c r="C3374" s="98">
        <v>27</v>
      </c>
      <c r="D3374" s="98">
        <v>1710</v>
      </c>
      <c r="E3374" s="157">
        <v>42474.5</v>
      </c>
      <c r="F3374" s="157">
        <v>42474.60833333333</v>
      </c>
      <c r="G3374" s="98">
        <v>0</v>
      </c>
      <c r="H3374" s="98">
        <v>330</v>
      </c>
      <c r="I3374" s="98">
        <v>296</v>
      </c>
      <c r="J3374" s="98" t="s">
        <v>2020</v>
      </c>
      <c r="K3374" s="98" t="s">
        <v>3564</v>
      </c>
      <c r="L3374" s="105" t="str">
        <f t="shared" si="560"/>
        <v>Mill Creek</v>
      </c>
      <c r="M3374" s="105" t="str">
        <f t="shared" si="561"/>
        <v>Other</v>
      </c>
      <c r="N3374" s="105" t="str">
        <f t="shared" si="562"/>
        <v>Coal</v>
      </c>
      <c r="O3374" s="105">
        <f>IFERROR(VLOOKUP(A3374,Lookup!$J$5:$P$19,7,FALSE),0)</f>
        <v>2</v>
      </c>
      <c r="P3374" s="159">
        <f t="shared" si="563"/>
        <v>2016</v>
      </c>
      <c r="Q3374" s="159">
        <f t="shared" si="564"/>
        <v>4</v>
      </c>
      <c r="R3374" s="160">
        <f t="shared" si="565"/>
        <v>2.5999999999185093</v>
      </c>
      <c r="S3374" s="158">
        <f t="shared" si="566"/>
        <v>2.5999999999185093</v>
      </c>
      <c r="T3374" s="161">
        <f t="shared" si="567"/>
        <v>769.59999997587875</v>
      </c>
      <c r="U3374" s="158">
        <f t="shared" si="569"/>
        <v>296</v>
      </c>
      <c r="V3374" s="160">
        <f t="shared" si="568"/>
        <v>296</v>
      </c>
    </row>
    <row r="3375" spans="1:22" x14ac:dyDescent="0.25">
      <c r="A3375" s="98" t="s">
        <v>35</v>
      </c>
      <c r="B3375" s="98" t="s">
        <v>79</v>
      </c>
      <c r="C3375" s="98">
        <v>28</v>
      </c>
      <c r="D3375" s="98">
        <v>8460</v>
      </c>
      <c r="E3375" s="157">
        <v>42476.625</v>
      </c>
      <c r="F3375" s="157">
        <v>42476.75</v>
      </c>
      <c r="G3375" s="98">
        <v>0</v>
      </c>
      <c r="H3375" s="98">
        <v>330</v>
      </c>
      <c r="I3375" s="98">
        <v>296</v>
      </c>
      <c r="J3375" s="98" t="s">
        <v>2651</v>
      </c>
      <c r="K3375" s="98" t="s">
        <v>3565</v>
      </c>
      <c r="L3375" s="105" t="str">
        <f t="shared" si="560"/>
        <v>Mill Creek</v>
      </c>
      <c r="M3375" s="105" t="str">
        <f t="shared" si="561"/>
        <v>Other</v>
      </c>
      <c r="N3375" s="105" t="str">
        <f t="shared" si="562"/>
        <v>Coal</v>
      </c>
      <c r="O3375" s="105">
        <f>IFERROR(VLOOKUP(A3375,Lookup!$J$5:$P$19,7,FALSE),0)</f>
        <v>2</v>
      </c>
      <c r="P3375" s="159">
        <f t="shared" si="563"/>
        <v>2016</v>
      </c>
      <c r="Q3375" s="159">
        <f t="shared" si="564"/>
        <v>4</v>
      </c>
      <c r="R3375" s="160">
        <f t="shared" si="565"/>
        <v>3</v>
      </c>
      <c r="S3375" s="158">
        <f t="shared" si="566"/>
        <v>3</v>
      </c>
      <c r="T3375" s="161">
        <f t="shared" si="567"/>
        <v>888</v>
      </c>
      <c r="U3375" s="158">
        <f t="shared" si="569"/>
        <v>296</v>
      </c>
      <c r="V3375" s="160">
        <f t="shared" si="568"/>
        <v>296</v>
      </c>
    </row>
    <row r="3376" spans="1:22" x14ac:dyDescent="0.25">
      <c r="A3376" s="98" t="s">
        <v>35</v>
      </c>
      <c r="B3376" s="98" t="s">
        <v>79</v>
      </c>
      <c r="C3376" s="98">
        <v>29</v>
      </c>
      <c r="D3376" s="98">
        <v>1710</v>
      </c>
      <c r="E3376" s="157">
        <v>42482.004861111112</v>
      </c>
      <c r="F3376" s="157">
        <v>42482.081944444442</v>
      </c>
      <c r="G3376" s="98">
        <v>0</v>
      </c>
      <c r="H3376" s="98">
        <v>330</v>
      </c>
      <c r="I3376" s="98">
        <v>296</v>
      </c>
      <c r="J3376" s="98" t="s">
        <v>2020</v>
      </c>
      <c r="K3376" s="98" t="s">
        <v>3634</v>
      </c>
      <c r="L3376" s="105" t="str">
        <f t="shared" si="560"/>
        <v>Mill Creek</v>
      </c>
      <c r="M3376" s="105" t="str">
        <f t="shared" si="561"/>
        <v>Other</v>
      </c>
      <c r="N3376" s="105" t="str">
        <f t="shared" si="562"/>
        <v>Coal</v>
      </c>
      <c r="O3376" s="105">
        <f>IFERROR(VLOOKUP(A3376,Lookup!$J$5:$P$19,7,FALSE),0)</f>
        <v>2</v>
      </c>
      <c r="P3376" s="159">
        <f t="shared" si="563"/>
        <v>2016</v>
      </c>
      <c r="Q3376" s="159">
        <f t="shared" si="564"/>
        <v>4</v>
      </c>
      <c r="R3376" s="160">
        <f t="shared" si="565"/>
        <v>1.8499999999185093</v>
      </c>
      <c r="S3376" s="158">
        <f t="shared" si="566"/>
        <v>1.8499999999185093</v>
      </c>
      <c r="T3376" s="161">
        <f t="shared" si="567"/>
        <v>547.59999997587875</v>
      </c>
      <c r="U3376" s="158">
        <f t="shared" si="569"/>
        <v>296</v>
      </c>
      <c r="V3376" s="160">
        <f t="shared" si="568"/>
        <v>296</v>
      </c>
    </row>
    <row r="3377" spans="1:22" x14ac:dyDescent="0.25">
      <c r="A3377" s="98" t="s">
        <v>35</v>
      </c>
      <c r="B3377" s="98" t="s">
        <v>79</v>
      </c>
      <c r="C3377" s="98">
        <v>30</v>
      </c>
      <c r="D3377" s="98">
        <v>1710</v>
      </c>
      <c r="E3377" s="157">
        <v>42499.614583333336</v>
      </c>
      <c r="F3377" s="157">
        <v>42499.683333333334</v>
      </c>
      <c r="G3377" s="98">
        <v>0</v>
      </c>
      <c r="H3377" s="98">
        <v>330</v>
      </c>
      <c r="I3377" s="98">
        <v>296</v>
      </c>
      <c r="J3377" s="98" t="s">
        <v>2020</v>
      </c>
      <c r="K3377" s="98" t="s">
        <v>3635</v>
      </c>
      <c r="L3377" s="105" t="str">
        <f t="shared" si="560"/>
        <v>Mill Creek</v>
      </c>
      <c r="M3377" s="105" t="str">
        <f t="shared" si="561"/>
        <v>Other</v>
      </c>
      <c r="N3377" s="105" t="str">
        <f t="shared" si="562"/>
        <v>Coal</v>
      </c>
      <c r="O3377" s="105">
        <f>IFERROR(VLOOKUP(A3377,Lookup!$J$5:$P$19,7,FALSE),0)</f>
        <v>2</v>
      </c>
      <c r="P3377" s="159">
        <f t="shared" si="563"/>
        <v>2016</v>
      </c>
      <c r="Q3377" s="159">
        <f t="shared" si="564"/>
        <v>5</v>
      </c>
      <c r="R3377" s="160">
        <f t="shared" si="565"/>
        <v>1.6499999999650754</v>
      </c>
      <c r="S3377" s="158">
        <f t="shared" si="566"/>
        <v>1.6499999999650754</v>
      </c>
      <c r="T3377" s="161">
        <f t="shared" si="567"/>
        <v>488.39999998966232</v>
      </c>
      <c r="U3377" s="158">
        <f t="shared" si="569"/>
        <v>296</v>
      </c>
      <c r="V3377" s="160">
        <f t="shared" si="568"/>
        <v>296</v>
      </c>
    </row>
    <row r="3378" spans="1:22" x14ac:dyDescent="0.25">
      <c r="A3378" s="98" t="s">
        <v>35</v>
      </c>
      <c r="B3378" s="98" t="s">
        <v>79</v>
      </c>
      <c r="C3378" s="98">
        <v>31</v>
      </c>
      <c r="D3378" s="98">
        <v>1710</v>
      </c>
      <c r="E3378" s="157">
        <v>42501.496527777781</v>
      </c>
      <c r="F3378" s="157">
        <v>42501.625</v>
      </c>
      <c r="G3378" s="98">
        <v>0</v>
      </c>
      <c r="H3378" s="98">
        <v>330</v>
      </c>
      <c r="I3378" s="98">
        <v>296</v>
      </c>
      <c r="J3378" s="98" t="s">
        <v>2020</v>
      </c>
      <c r="K3378" s="98" t="s">
        <v>3636</v>
      </c>
      <c r="L3378" s="105" t="str">
        <f t="shared" si="560"/>
        <v>Mill Creek</v>
      </c>
      <c r="M3378" s="105" t="str">
        <f t="shared" si="561"/>
        <v>Other</v>
      </c>
      <c r="N3378" s="105" t="str">
        <f t="shared" si="562"/>
        <v>Coal</v>
      </c>
      <c r="O3378" s="105">
        <f>IFERROR(VLOOKUP(A3378,Lookup!$J$5:$P$19,7,FALSE),0)</f>
        <v>2</v>
      </c>
      <c r="P3378" s="159">
        <f t="shared" si="563"/>
        <v>2016</v>
      </c>
      <c r="Q3378" s="159">
        <f t="shared" si="564"/>
        <v>5</v>
      </c>
      <c r="R3378" s="160">
        <f t="shared" si="565"/>
        <v>3.0833333332557231</v>
      </c>
      <c r="S3378" s="158">
        <f t="shared" si="566"/>
        <v>3.0833333332557231</v>
      </c>
      <c r="T3378" s="161">
        <f t="shared" si="567"/>
        <v>912.66666664369404</v>
      </c>
      <c r="U3378" s="158">
        <f t="shared" si="569"/>
        <v>296</v>
      </c>
      <c r="V3378" s="160">
        <f t="shared" si="568"/>
        <v>296</v>
      </c>
    </row>
    <row r="3379" spans="1:22" x14ac:dyDescent="0.25">
      <c r="A3379" s="98" t="s">
        <v>35</v>
      </c>
      <c r="B3379" s="98" t="s">
        <v>79</v>
      </c>
      <c r="C3379" s="98">
        <v>32</v>
      </c>
      <c r="D3379" s="98">
        <v>1710</v>
      </c>
      <c r="E3379" s="157">
        <v>42503.083333333336</v>
      </c>
      <c r="F3379" s="157">
        <v>42503.125</v>
      </c>
      <c r="G3379" s="98">
        <v>0</v>
      </c>
      <c r="H3379" s="98">
        <v>330</v>
      </c>
      <c r="I3379" s="98">
        <v>296</v>
      </c>
      <c r="J3379" s="98" t="s">
        <v>2020</v>
      </c>
      <c r="K3379" s="98" t="s">
        <v>3566</v>
      </c>
      <c r="L3379" s="105" t="str">
        <f t="shared" si="560"/>
        <v>Mill Creek</v>
      </c>
      <c r="M3379" s="105" t="str">
        <f t="shared" si="561"/>
        <v>Other</v>
      </c>
      <c r="N3379" s="105" t="str">
        <f t="shared" si="562"/>
        <v>Coal</v>
      </c>
      <c r="O3379" s="105">
        <f>IFERROR(VLOOKUP(A3379,Lookup!$J$5:$P$19,7,FALSE),0)</f>
        <v>2</v>
      </c>
      <c r="P3379" s="159">
        <f t="shared" si="563"/>
        <v>2016</v>
      </c>
      <c r="Q3379" s="159">
        <f t="shared" si="564"/>
        <v>5</v>
      </c>
      <c r="R3379" s="160">
        <f t="shared" si="565"/>
        <v>0.99999999994179234</v>
      </c>
      <c r="S3379" s="158">
        <f t="shared" si="566"/>
        <v>0.99999999994179234</v>
      </c>
      <c r="T3379" s="161">
        <f t="shared" si="567"/>
        <v>295.99999998277053</v>
      </c>
      <c r="U3379" s="158">
        <f t="shared" si="569"/>
        <v>296</v>
      </c>
      <c r="V3379" s="160">
        <f t="shared" si="568"/>
        <v>296</v>
      </c>
    </row>
    <row r="3380" spans="1:22" x14ac:dyDescent="0.25">
      <c r="A3380" s="98" t="s">
        <v>35</v>
      </c>
      <c r="B3380" s="98" t="s">
        <v>105</v>
      </c>
      <c r="C3380" s="98">
        <v>33</v>
      </c>
      <c r="D3380" s="98">
        <v>250</v>
      </c>
      <c r="E3380" s="157">
        <v>42527.958333333336</v>
      </c>
      <c r="F3380" s="157">
        <v>42528.211805555555</v>
      </c>
      <c r="G3380" s="98">
        <v>240</v>
      </c>
      <c r="H3380" s="98">
        <v>330</v>
      </c>
      <c r="I3380" s="98">
        <v>296</v>
      </c>
      <c r="J3380" s="98" t="s">
        <v>1978</v>
      </c>
      <c r="K3380" s="98" t="s">
        <v>3637</v>
      </c>
      <c r="L3380" s="105" t="str">
        <f t="shared" si="560"/>
        <v>Mill Creek</v>
      </c>
      <c r="M3380" s="105" t="str">
        <f t="shared" si="561"/>
        <v>Derate</v>
      </c>
      <c r="N3380" s="105" t="str">
        <f t="shared" si="562"/>
        <v>Coal</v>
      </c>
      <c r="O3380" s="105">
        <f>IFERROR(VLOOKUP(A3380,Lookup!$J$5:$P$19,7,FALSE),0)</f>
        <v>2</v>
      </c>
      <c r="P3380" s="159">
        <f t="shared" si="563"/>
        <v>2016</v>
      </c>
      <c r="Q3380" s="159">
        <f t="shared" si="564"/>
        <v>6</v>
      </c>
      <c r="R3380" s="160">
        <f t="shared" si="565"/>
        <v>6.0833333332557231</v>
      </c>
      <c r="S3380" s="158">
        <f t="shared" si="566"/>
        <v>1.6590909090697428</v>
      </c>
      <c r="T3380" s="161">
        <f t="shared" si="567"/>
        <v>491.09090908464384</v>
      </c>
      <c r="U3380" s="158">
        <f t="shared" si="569"/>
        <v>80.727272727272734</v>
      </c>
      <c r="V3380" s="160">
        <f t="shared" si="568"/>
        <v>81</v>
      </c>
    </row>
    <row r="3381" spans="1:22" x14ac:dyDescent="0.25">
      <c r="A3381" s="98" t="s">
        <v>35</v>
      </c>
      <c r="B3381" s="98" t="s">
        <v>17</v>
      </c>
      <c r="C3381" s="98">
        <v>34</v>
      </c>
      <c r="D3381" s="98">
        <v>1520</v>
      </c>
      <c r="E3381" s="157">
        <v>42528.451388888891</v>
      </c>
      <c r="F3381" s="157">
        <v>42528.52847222222</v>
      </c>
      <c r="G3381" s="98">
        <v>240</v>
      </c>
      <c r="H3381" s="98">
        <v>330</v>
      </c>
      <c r="I3381" s="98">
        <v>296</v>
      </c>
      <c r="J3381" s="98" t="s">
        <v>2393</v>
      </c>
      <c r="K3381" s="98" t="s">
        <v>3638</v>
      </c>
      <c r="L3381" s="105" t="str">
        <f t="shared" si="560"/>
        <v>Mill Creek</v>
      </c>
      <c r="M3381" s="105" t="str">
        <f t="shared" si="561"/>
        <v>Derate</v>
      </c>
      <c r="N3381" s="105" t="str">
        <f t="shared" si="562"/>
        <v>Coal</v>
      </c>
      <c r="O3381" s="105">
        <f>IFERROR(VLOOKUP(A3381,Lookup!$J$5:$P$19,7,FALSE),0)</f>
        <v>2</v>
      </c>
      <c r="P3381" s="159">
        <f t="shared" si="563"/>
        <v>2016</v>
      </c>
      <c r="Q3381" s="159">
        <f t="shared" si="564"/>
        <v>6</v>
      </c>
      <c r="R3381" s="160">
        <f t="shared" si="565"/>
        <v>1.8499999999185093</v>
      </c>
      <c r="S3381" s="158">
        <f t="shared" si="566"/>
        <v>0.50454545452322985</v>
      </c>
      <c r="T3381" s="161">
        <f t="shared" si="567"/>
        <v>149.34545453887603</v>
      </c>
      <c r="U3381" s="158">
        <f t="shared" si="569"/>
        <v>80.727272727272734</v>
      </c>
      <c r="V3381" s="160">
        <f t="shared" si="568"/>
        <v>81</v>
      </c>
    </row>
    <row r="3382" spans="1:22" x14ac:dyDescent="0.25">
      <c r="A3382" s="98" t="s">
        <v>35</v>
      </c>
      <c r="B3382" s="98" t="s">
        <v>105</v>
      </c>
      <c r="C3382" s="98">
        <v>35</v>
      </c>
      <c r="D3382" s="98">
        <v>250</v>
      </c>
      <c r="E3382" s="157">
        <v>42528.958333333336</v>
      </c>
      <c r="F3382" s="157">
        <v>42529.180555555555</v>
      </c>
      <c r="G3382" s="98">
        <v>240</v>
      </c>
      <c r="H3382" s="98">
        <v>330</v>
      </c>
      <c r="I3382" s="98">
        <v>296</v>
      </c>
      <c r="J3382" s="98" t="s">
        <v>1978</v>
      </c>
      <c r="K3382" s="98" t="s">
        <v>3639</v>
      </c>
      <c r="L3382" s="105" t="str">
        <f t="shared" si="560"/>
        <v>Mill Creek</v>
      </c>
      <c r="M3382" s="105" t="str">
        <f t="shared" si="561"/>
        <v>Derate</v>
      </c>
      <c r="N3382" s="105" t="str">
        <f t="shared" si="562"/>
        <v>Coal</v>
      </c>
      <c r="O3382" s="105">
        <f>IFERROR(VLOOKUP(A3382,Lookup!$J$5:$P$19,7,FALSE),0)</f>
        <v>2</v>
      </c>
      <c r="P3382" s="159">
        <f t="shared" si="563"/>
        <v>2016</v>
      </c>
      <c r="Q3382" s="159">
        <f t="shared" si="564"/>
        <v>6</v>
      </c>
      <c r="R3382" s="160">
        <f t="shared" si="565"/>
        <v>5.3333333332557231</v>
      </c>
      <c r="S3382" s="158">
        <f t="shared" si="566"/>
        <v>1.4545454545242882</v>
      </c>
      <c r="T3382" s="161">
        <f t="shared" si="567"/>
        <v>430.54545453918928</v>
      </c>
      <c r="U3382" s="158">
        <f t="shared" si="569"/>
        <v>80.727272727272734</v>
      </c>
      <c r="V3382" s="160">
        <f t="shared" si="568"/>
        <v>81</v>
      </c>
    </row>
    <row r="3383" spans="1:22" x14ac:dyDescent="0.25">
      <c r="A3383" s="98" t="s">
        <v>35</v>
      </c>
      <c r="B3383" s="98" t="s">
        <v>105</v>
      </c>
      <c r="C3383" s="98">
        <v>42</v>
      </c>
      <c r="D3383" s="98">
        <v>310</v>
      </c>
      <c r="E3383" s="157">
        <v>42529.966666666667</v>
      </c>
      <c r="F3383" s="157">
        <v>42530.136111111111</v>
      </c>
      <c r="G3383" s="98">
        <v>240</v>
      </c>
      <c r="H3383" s="98">
        <v>330</v>
      </c>
      <c r="I3383" s="98">
        <v>296</v>
      </c>
      <c r="J3383" s="98" t="s">
        <v>1966</v>
      </c>
      <c r="K3383" s="98" t="s">
        <v>3640</v>
      </c>
      <c r="L3383" s="105" t="str">
        <f t="shared" si="560"/>
        <v>Mill Creek</v>
      </c>
      <c r="M3383" s="105" t="str">
        <f t="shared" si="561"/>
        <v>Derate</v>
      </c>
      <c r="N3383" s="105" t="str">
        <f t="shared" si="562"/>
        <v>Coal</v>
      </c>
      <c r="O3383" s="105">
        <f>IFERROR(VLOOKUP(A3383,Lookup!$J$5:$P$19,7,FALSE),0)</f>
        <v>2</v>
      </c>
      <c r="P3383" s="159">
        <f t="shared" si="563"/>
        <v>2016</v>
      </c>
      <c r="Q3383" s="159">
        <f t="shared" si="564"/>
        <v>6</v>
      </c>
      <c r="R3383" s="160">
        <f t="shared" si="565"/>
        <v>4.0666666666511446</v>
      </c>
      <c r="S3383" s="158">
        <f t="shared" si="566"/>
        <v>1.1090909090866758</v>
      </c>
      <c r="T3383" s="161">
        <f t="shared" si="567"/>
        <v>328.29090908965605</v>
      </c>
      <c r="U3383" s="158">
        <f t="shared" si="569"/>
        <v>80.727272727272734</v>
      </c>
      <c r="V3383" s="160">
        <f t="shared" si="568"/>
        <v>81</v>
      </c>
    </row>
    <row r="3384" spans="1:22" x14ac:dyDescent="0.25">
      <c r="A3384" s="98" t="s">
        <v>35</v>
      </c>
      <c r="B3384" s="98" t="s">
        <v>105</v>
      </c>
      <c r="C3384" s="98">
        <v>36</v>
      </c>
      <c r="D3384" s="98">
        <v>250</v>
      </c>
      <c r="E3384" s="157">
        <v>42530.916666666664</v>
      </c>
      <c r="F3384" s="157">
        <v>42531.177777777775</v>
      </c>
      <c r="G3384" s="98">
        <v>240</v>
      </c>
      <c r="H3384" s="98">
        <v>330</v>
      </c>
      <c r="I3384" s="98">
        <v>296</v>
      </c>
      <c r="J3384" s="98" t="s">
        <v>1978</v>
      </c>
      <c r="K3384" s="98" t="s">
        <v>3641</v>
      </c>
      <c r="L3384" s="105" t="str">
        <f t="shared" si="560"/>
        <v>Mill Creek</v>
      </c>
      <c r="M3384" s="105" t="str">
        <f t="shared" si="561"/>
        <v>Derate</v>
      </c>
      <c r="N3384" s="105" t="str">
        <f t="shared" si="562"/>
        <v>Coal</v>
      </c>
      <c r="O3384" s="105">
        <f>IFERROR(VLOOKUP(A3384,Lookup!$J$5:$P$19,7,FALSE),0)</f>
        <v>2</v>
      </c>
      <c r="P3384" s="159">
        <f t="shared" si="563"/>
        <v>2016</v>
      </c>
      <c r="Q3384" s="159">
        <f t="shared" si="564"/>
        <v>6</v>
      </c>
      <c r="R3384" s="160">
        <f t="shared" si="565"/>
        <v>6.2666666666627862</v>
      </c>
      <c r="S3384" s="158">
        <f t="shared" si="566"/>
        <v>1.7090909090898507</v>
      </c>
      <c r="T3384" s="161">
        <f t="shared" si="567"/>
        <v>505.89090909059581</v>
      </c>
      <c r="U3384" s="158">
        <f t="shared" si="569"/>
        <v>80.727272727272734</v>
      </c>
      <c r="V3384" s="160">
        <f t="shared" si="568"/>
        <v>81</v>
      </c>
    </row>
    <row r="3385" spans="1:22" x14ac:dyDescent="0.25">
      <c r="A3385" s="98" t="s">
        <v>35</v>
      </c>
      <c r="B3385" s="98" t="s">
        <v>17</v>
      </c>
      <c r="C3385" s="98">
        <v>37</v>
      </c>
      <c r="D3385" s="98">
        <v>250</v>
      </c>
      <c r="E3385" s="157">
        <v>42533.875</v>
      </c>
      <c r="F3385" s="157">
        <v>42534.082638888889</v>
      </c>
      <c r="G3385" s="98">
        <v>245</v>
      </c>
      <c r="H3385" s="98">
        <v>330</v>
      </c>
      <c r="I3385" s="98">
        <v>296</v>
      </c>
      <c r="J3385" s="98" t="s">
        <v>1978</v>
      </c>
      <c r="K3385" s="98" t="s">
        <v>3642</v>
      </c>
      <c r="L3385" s="105" t="str">
        <f t="shared" si="560"/>
        <v>Mill Creek</v>
      </c>
      <c r="M3385" s="105" t="str">
        <f t="shared" si="561"/>
        <v>Derate</v>
      </c>
      <c r="N3385" s="105" t="str">
        <f t="shared" si="562"/>
        <v>Coal</v>
      </c>
      <c r="O3385" s="105">
        <f>IFERROR(VLOOKUP(A3385,Lookup!$J$5:$P$19,7,FALSE),0)</f>
        <v>2</v>
      </c>
      <c r="P3385" s="159">
        <f t="shared" si="563"/>
        <v>2016</v>
      </c>
      <c r="Q3385" s="159">
        <f t="shared" si="564"/>
        <v>6</v>
      </c>
      <c r="R3385" s="160">
        <f t="shared" si="565"/>
        <v>4.9833333333372138</v>
      </c>
      <c r="S3385" s="158">
        <f t="shared" si="566"/>
        <v>1.283585858586858</v>
      </c>
      <c r="T3385" s="161">
        <f t="shared" si="567"/>
        <v>379.94141414170997</v>
      </c>
      <c r="U3385" s="158">
        <f t="shared" si="569"/>
        <v>76.242424242424249</v>
      </c>
      <c r="V3385" s="160">
        <f t="shared" si="568"/>
        <v>76</v>
      </c>
    </row>
    <row r="3386" spans="1:22" x14ac:dyDescent="0.25">
      <c r="A3386" s="98" t="s">
        <v>35</v>
      </c>
      <c r="B3386" s="98" t="s">
        <v>17</v>
      </c>
      <c r="C3386" s="98">
        <v>43</v>
      </c>
      <c r="D3386" s="98">
        <v>250</v>
      </c>
      <c r="E3386" s="157">
        <v>42534.323611111111</v>
      </c>
      <c r="F3386" s="157">
        <v>42534.491666666669</v>
      </c>
      <c r="G3386" s="98">
        <v>290</v>
      </c>
      <c r="H3386" s="98">
        <v>330</v>
      </c>
      <c r="I3386" s="98">
        <v>296</v>
      </c>
      <c r="J3386" s="98" t="s">
        <v>1978</v>
      </c>
      <c r="K3386" s="98" t="s">
        <v>3643</v>
      </c>
      <c r="L3386" s="105" t="str">
        <f t="shared" si="560"/>
        <v>Mill Creek</v>
      </c>
      <c r="M3386" s="105" t="str">
        <f t="shared" si="561"/>
        <v>Derate</v>
      </c>
      <c r="N3386" s="105" t="str">
        <f t="shared" si="562"/>
        <v>Coal</v>
      </c>
      <c r="O3386" s="105">
        <f>IFERROR(VLOOKUP(A3386,Lookup!$J$5:$P$19,7,FALSE),0)</f>
        <v>2</v>
      </c>
      <c r="P3386" s="159">
        <f t="shared" si="563"/>
        <v>2016</v>
      </c>
      <c r="Q3386" s="159">
        <f t="shared" si="564"/>
        <v>6</v>
      </c>
      <c r="R3386" s="160">
        <f t="shared" si="565"/>
        <v>4.03333333338378</v>
      </c>
      <c r="S3386" s="158">
        <f t="shared" si="566"/>
        <v>0.48888888889500365</v>
      </c>
      <c r="T3386" s="161">
        <f t="shared" si="567"/>
        <v>144.71111111292109</v>
      </c>
      <c r="U3386" s="158">
        <f t="shared" si="569"/>
        <v>35.878787878787875</v>
      </c>
      <c r="V3386" s="160">
        <f t="shared" si="568"/>
        <v>36</v>
      </c>
    </row>
    <row r="3387" spans="1:22" x14ac:dyDescent="0.25">
      <c r="A3387" s="98" t="s">
        <v>35</v>
      </c>
      <c r="B3387" s="98" t="s">
        <v>79</v>
      </c>
      <c r="C3387" s="98">
        <v>38</v>
      </c>
      <c r="D3387" s="98">
        <v>8010</v>
      </c>
      <c r="E3387" s="157">
        <v>42536.034722222219</v>
      </c>
      <c r="F3387" s="157">
        <v>42536.195833333331</v>
      </c>
      <c r="G3387" s="98">
        <v>0</v>
      </c>
      <c r="H3387" s="98">
        <v>330</v>
      </c>
      <c r="I3387" s="98">
        <v>296</v>
      </c>
      <c r="J3387" s="98" t="s">
        <v>3581</v>
      </c>
      <c r="K3387" s="98" t="s">
        <v>3582</v>
      </c>
      <c r="L3387" s="105" t="str">
        <f t="shared" si="560"/>
        <v>Mill Creek</v>
      </c>
      <c r="M3387" s="105" t="str">
        <f t="shared" si="561"/>
        <v>Other</v>
      </c>
      <c r="N3387" s="105" t="str">
        <f t="shared" si="562"/>
        <v>Coal</v>
      </c>
      <c r="O3387" s="105">
        <f>IFERROR(VLOOKUP(A3387,Lookup!$J$5:$P$19,7,FALSE),0)</f>
        <v>2</v>
      </c>
      <c r="P3387" s="159">
        <f t="shared" si="563"/>
        <v>2016</v>
      </c>
      <c r="Q3387" s="159">
        <f t="shared" si="564"/>
        <v>6</v>
      </c>
      <c r="R3387" s="160">
        <f t="shared" si="565"/>
        <v>3.8666666666977108</v>
      </c>
      <c r="S3387" s="158">
        <f t="shared" si="566"/>
        <v>3.8666666666977108</v>
      </c>
      <c r="T3387" s="161">
        <f t="shared" si="567"/>
        <v>1144.5333333425224</v>
      </c>
      <c r="U3387" s="158">
        <f t="shared" si="569"/>
        <v>296</v>
      </c>
      <c r="V3387" s="160">
        <f t="shared" si="568"/>
        <v>296</v>
      </c>
    </row>
    <row r="3388" spans="1:22" x14ac:dyDescent="0.25">
      <c r="A3388" s="98" t="s">
        <v>35</v>
      </c>
      <c r="B3388" s="98" t="s">
        <v>105</v>
      </c>
      <c r="C3388" s="98">
        <v>39</v>
      </c>
      <c r="D3388" s="98">
        <v>310</v>
      </c>
      <c r="E3388" s="157">
        <v>42540.916666666664</v>
      </c>
      <c r="F3388" s="157">
        <v>42541.114583333336</v>
      </c>
      <c r="G3388" s="98">
        <v>240</v>
      </c>
      <c r="H3388" s="98">
        <v>330</v>
      </c>
      <c r="I3388" s="98">
        <v>296</v>
      </c>
      <c r="J3388" s="98" t="s">
        <v>1966</v>
      </c>
      <c r="K3388" s="98" t="s">
        <v>3644</v>
      </c>
      <c r="L3388" s="105" t="str">
        <f t="shared" si="560"/>
        <v>Mill Creek</v>
      </c>
      <c r="M3388" s="105" t="str">
        <f t="shared" si="561"/>
        <v>Derate</v>
      </c>
      <c r="N3388" s="105" t="str">
        <f t="shared" si="562"/>
        <v>Coal</v>
      </c>
      <c r="O3388" s="105">
        <f>IFERROR(VLOOKUP(A3388,Lookup!$J$5:$P$19,7,FALSE),0)</f>
        <v>2</v>
      </c>
      <c r="P3388" s="159">
        <f t="shared" si="563"/>
        <v>2016</v>
      </c>
      <c r="Q3388" s="159">
        <f t="shared" si="564"/>
        <v>6</v>
      </c>
      <c r="R3388" s="160">
        <f t="shared" si="565"/>
        <v>4.7500000001164153</v>
      </c>
      <c r="S3388" s="158">
        <f t="shared" si="566"/>
        <v>1.2954545454862951</v>
      </c>
      <c r="T3388" s="161">
        <f t="shared" si="567"/>
        <v>383.45454546394336</v>
      </c>
      <c r="U3388" s="158">
        <f t="shared" si="569"/>
        <v>80.727272727272734</v>
      </c>
      <c r="V3388" s="160">
        <f t="shared" si="568"/>
        <v>81</v>
      </c>
    </row>
    <row r="3389" spans="1:22" x14ac:dyDescent="0.25">
      <c r="A3389" s="98" t="s">
        <v>35</v>
      </c>
      <c r="B3389" s="98" t="s">
        <v>17</v>
      </c>
      <c r="C3389" s="98">
        <v>40</v>
      </c>
      <c r="D3389" s="98">
        <v>250</v>
      </c>
      <c r="E3389" s="157">
        <v>42541.114583333336</v>
      </c>
      <c r="F3389" s="157">
        <v>42541.136111111111</v>
      </c>
      <c r="G3389" s="98">
        <v>125</v>
      </c>
      <c r="H3389" s="98">
        <v>330</v>
      </c>
      <c r="I3389" s="98">
        <v>296</v>
      </c>
      <c r="J3389" s="98" t="s">
        <v>1978</v>
      </c>
      <c r="K3389" s="98" t="s">
        <v>3645</v>
      </c>
      <c r="L3389" s="105" t="str">
        <f t="shared" si="560"/>
        <v>Mill Creek</v>
      </c>
      <c r="M3389" s="105" t="str">
        <f t="shared" si="561"/>
        <v>Derate</v>
      </c>
      <c r="N3389" s="105" t="str">
        <f t="shared" si="562"/>
        <v>Coal</v>
      </c>
      <c r="O3389" s="105">
        <f>IFERROR(VLOOKUP(A3389,Lookup!$J$5:$P$19,7,FALSE),0)</f>
        <v>2</v>
      </c>
      <c r="P3389" s="159">
        <f t="shared" si="563"/>
        <v>2016</v>
      </c>
      <c r="Q3389" s="159">
        <f t="shared" si="564"/>
        <v>6</v>
      </c>
      <c r="R3389" s="160">
        <f t="shared" si="565"/>
        <v>0.5166666666045785</v>
      </c>
      <c r="S3389" s="158">
        <f t="shared" si="566"/>
        <v>0.32095959592102602</v>
      </c>
      <c r="T3389" s="161">
        <f t="shared" si="567"/>
        <v>95.004040392623708</v>
      </c>
      <c r="U3389" s="158">
        <f t="shared" si="569"/>
        <v>183.87878787878788</v>
      </c>
      <c r="V3389" s="160">
        <f t="shared" si="568"/>
        <v>184</v>
      </c>
    </row>
    <row r="3390" spans="1:22" x14ac:dyDescent="0.25">
      <c r="A3390" s="98" t="s">
        <v>35</v>
      </c>
      <c r="B3390" s="98" t="s">
        <v>17</v>
      </c>
      <c r="C3390" s="98">
        <v>41</v>
      </c>
      <c r="D3390" s="98">
        <v>320</v>
      </c>
      <c r="E3390" s="157">
        <v>42541.136111111111</v>
      </c>
      <c r="F3390" s="157">
        <v>42541.211111111108</v>
      </c>
      <c r="G3390" s="98">
        <v>240</v>
      </c>
      <c r="H3390" s="98">
        <v>330</v>
      </c>
      <c r="I3390" s="98">
        <v>296</v>
      </c>
      <c r="J3390" s="98" t="s">
        <v>1992</v>
      </c>
      <c r="K3390" s="98" t="s">
        <v>3646</v>
      </c>
      <c r="L3390" s="105" t="str">
        <f t="shared" si="560"/>
        <v>Mill Creek</v>
      </c>
      <c r="M3390" s="105" t="str">
        <f t="shared" si="561"/>
        <v>Derate</v>
      </c>
      <c r="N3390" s="105" t="str">
        <f t="shared" si="562"/>
        <v>Coal</v>
      </c>
      <c r="O3390" s="105">
        <f>IFERROR(VLOOKUP(A3390,Lookup!$J$5:$P$19,7,FALSE),0)</f>
        <v>2</v>
      </c>
      <c r="P3390" s="159">
        <f t="shared" si="563"/>
        <v>2016</v>
      </c>
      <c r="Q3390" s="159">
        <f t="shared" si="564"/>
        <v>6</v>
      </c>
      <c r="R3390" s="160">
        <f t="shared" si="565"/>
        <v>1.7999999999301508</v>
      </c>
      <c r="S3390" s="158">
        <f t="shared" si="566"/>
        <v>0.49090909089004114</v>
      </c>
      <c r="T3390" s="161">
        <f t="shared" si="567"/>
        <v>145.30909090345219</v>
      </c>
      <c r="U3390" s="158">
        <f t="shared" si="569"/>
        <v>80.727272727272734</v>
      </c>
      <c r="V3390" s="160">
        <f t="shared" si="568"/>
        <v>81</v>
      </c>
    </row>
    <row r="3391" spans="1:22" x14ac:dyDescent="0.25">
      <c r="A3391" s="98" t="s">
        <v>35</v>
      </c>
      <c r="B3391" s="98" t="s">
        <v>17</v>
      </c>
      <c r="C3391" s="98">
        <v>44</v>
      </c>
      <c r="D3391" s="98">
        <v>3411</v>
      </c>
      <c r="E3391" s="157">
        <v>42541.704861111109</v>
      </c>
      <c r="F3391" s="157">
        <v>42541.791666666664</v>
      </c>
      <c r="G3391" s="98">
        <v>160</v>
      </c>
      <c r="H3391" s="98">
        <v>330</v>
      </c>
      <c r="I3391" s="98">
        <v>296</v>
      </c>
      <c r="J3391" s="98" t="s">
        <v>2041</v>
      </c>
      <c r="K3391" s="98" t="s">
        <v>3647</v>
      </c>
      <c r="L3391" s="105" t="str">
        <f t="shared" si="560"/>
        <v>Mill Creek</v>
      </c>
      <c r="M3391" s="105" t="str">
        <f t="shared" si="561"/>
        <v>Derate</v>
      </c>
      <c r="N3391" s="105" t="str">
        <f t="shared" si="562"/>
        <v>Coal</v>
      </c>
      <c r="O3391" s="105">
        <f>IFERROR(VLOOKUP(A3391,Lookup!$J$5:$P$19,7,FALSE),0)</f>
        <v>2</v>
      </c>
      <c r="P3391" s="159">
        <f t="shared" si="563"/>
        <v>2016</v>
      </c>
      <c r="Q3391" s="159">
        <f t="shared" si="564"/>
        <v>6</v>
      </c>
      <c r="R3391" s="160">
        <f t="shared" si="565"/>
        <v>2.0833333333139308</v>
      </c>
      <c r="S3391" s="158">
        <f t="shared" si="566"/>
        <v>1.073232323222328</v>
      </c>
      <c r="T3391" s="161">
        <f t="shared" si="567"/>
        <v>317.67676767380908</v>
      </c>
      <c r="U3391" s="158">
        <f t="shared" si="569"/>
        <v>152.4848484848485</v>
      </c>
      <c r="V3391" s="160">
        <f t="shared" si="568"/>
        <v>152</v>
      </c>
    </row>
    <row r="3392" spans="1:22" x14ac:dyDescent="0.25">
      <c r="A3392" s="98" t="s">
        <v>35</v>
      </c>
      <c r="B3392" s="98" t="s">
        <v>17</v>
      </c>
      <c r="C3392" s="98">
        <v>45</v>
      </c>
      <c r="D3392" s="98">
        <v>3411</v>
      </c>
      <c r="E3392" s="157">
        <v>42541.791666666664</v>
      </c>
      <c r="F3392" s="157">
        <v>42542.090277777781</v>
      </c>
      <c r="G3392" s="98">
        <v>190</v>
      </c>
      <c r="H3392" s="98">
        <v>330</v>
      </c>
      <c r="I3392" s="98">
        <v>296</v>
      </c>
      <c r="J3392" s="98" t="s">
        <v>2041</v>
      </c>
      <c r="K3392" s="98" t="s">
        <v>3647</v>
      </c>
      <c r="L3392" s="105" t="str">
        <f t="shared" si="560"/>
        <v>Mill Creek</v>
      </c>
      <c r="M3392" s="105" t="str">
        <f t="shared" si="561"/>
        <v>Derate</v>
      </c>
      <c r="N3392" s="105" t="str">
        <f t="shared" si="562"/>
        <v>Coal</v>
      </c>
      <c r="O3392" s="105">
        <f>IFERROR(VLOOKUP(A3392,Lookup!$J$5:$P$19,7,FALSE),0)</f>
        <v>2</v>
      </c>
      <c r="P3392" s="159">
        <f t="shared" si="563"/>
        <v>2016</v>
      </c>
      <c r="Q3392" s="159">
        <f t="shared" si="564"/>
        <v>6</v>
      </c>
      <c r="R3392" s="160">
        <f t="shared" si="565"/>
        <v>7.1666666668024845</v>
      </c>
      <c r="S3392" s="158">
        <f t="shared" si="566"/>
        <v>3.0404040404616599</v>
      </c>
      <c r="T3392" s="161">
        <f t="shared" si="567"/>
        <v>899.95959597665137</v>
      </c>
      <c r="U3392" s="158">
        <f t="shared" si="569"/>
        <v>125.57575757575758</v>
      </c>
      <c r="V3392" s="160">
        <f t="shared" si="568"/>
        <v>126</v>
      </c>
    </row>
    <row r="3393" spans="1:22" x14ac:dyDescent="0.25">
      <c r="A3393" s="98" t="s">
        <v>35</v>
      </c>
      <c r="B3393" s="98" t="s">
        <v>17</v>
      </c>
      <c r="C3393" s="98">
        <v>46</v>
      </c>
      <c r="D3393" s="98">
        <v>3411</v>
      </c>
      <c r="E3393" s="157">
        <v>42542.090277777781</v>
      </c>
      <c r="F3393" s="157">
        <v>42542.229166666664</v>
      </c>
      <c r="G3393" s="98">
        <v>205</v>
      </c>
      <c r="H3393" s="98">
        <v>330</v>
      </c>
      <c r="I3393" s="98">
        <v>296</v>
      </c>
      <c r="J3393" s="98" t="s">
        <v>2041</v>
      </c>
      <c r="K3393" s="98" t="s">
        <v>3647</v>
      </c>
      <c r="L3393" s="105" t="str">
        <f t="shared" si="560"/>
        <v>Mill Creek</v>
      </c>
      <c r="M3393" s="105" t="str">
        <f t="shared" si="561"/>
        <v>Derate</v>
      </c>
      <c r="N3393" s="105" t="str">
        <f t="shared" si="562"/>
        <v>Coal</v>
      </c>
      <c r="O3393" s="105">
        <f>IFERROR(VLOOKUP(A3393,Lookup!$J$5:$P$19,7,FALSE),0)</f>
        <v>2</v>
      </c>
      <c r="P3393" s="159">
        <f t="shared" si="563"/>
        <v>2016</v>
      </c>
      <c r="Q3393" s="159">
        <f t="shared" si="564"/>
        <v>6</v>
      </c>
      <c r="R3393" s="160">
        <f t="shared" si="565"/>
        <v>3.3333333331975155</v>
      </c>
      <c r="S3393" s="158">
        <f t="shared" si="566"/>
        <v>1.2626262625748164</v>
      </c>
      <c r="T3393" s="161">
        <f t="shared" si="567"/>
        <v>373.73737372214566</v>
      </c>
      <c r="U3393" s="158">
        <f t="shared" si="569"/>
        <v>112.12121212121212</v>
      </c>
      <c r="V3393" s="160">
        <f t="shared" si="568"/>
        <v>112</v>
      </c>
    </row>
    <row r="3394" spans="1:22" x14ac:dyDescent="0.25">
      <c r="A3394" s="98" t="s">
        <v>35</v>
      </c>
      <c r="B3394" s="98" t="s">
        <v>17</v>
      </c>
      <c r="C3394" s="98">
        <v>47</v>
      </c>
      <c r="D3394" s="98">
        <v>3411</v>
      </c>
      <c r="E3394" s="157">
        <v>42542.229166666664</v>
      </c>
      <c r="F3394" s="157">
        <v>42549.245833333334</v>
      </c>
      <c r="G3394" s="98">
        <v>240</v>
      </c>
      <c r="H3394" s="98">
        <v>330</v>
      </c>
      <c r="I3394" s="98">
        <v>296</v>
      </c>
      <c r="J3394" s="98" t="s">
        <v>2041</v>
      </c>
      <c r="K3394" s="98" t="s">
        <v>3647</v>
      </c>
      <c r="L3394" s="105" t="str">
        <f t="shared" si="560"/>
        <v>Mill Creek</v>
      </c>
      <c r="M3394" s="105" t="str">
        <f t="shared" si="561"/>
        <v>Derate</v>
      </c>
      <c r="N3394" s="105" t="str">
        <f t="shared" si="562"/>
        <v>Coal</v>
      </c>
      <c r="O3394" s="105">
        <f>IFERROR(VLOOKUP(A3394,Lookup!$J$5:$P$19,7,FALSE),0)</f>
        <v>2</v>
      </c>
      <c r="P3394" s="159">
        <f t="shared" si="563"/>
        <v>2016</v>
      </c>
      <c r="Q3394" s="159">
        <f t="shared" si="564"/>
        <v>6</v>
      </c>
      <c r="R3394" s="160">
        <f t="shared" si="565"/>
        <v>168.40000000008149</v>
      </c>
      <c r="S3394" s="158">
        <f t="shared" si="566"/>
        <v>45.927272727294955</v>
      </c>
      <c r="T3394" s="161">
        <f t="shared" si="567"/>
        <v>13594.472727279306</v>
      </c>
      <c r="U3394" s="158">
        <f t="shared" si="569"/>
        <v>80.727272727272734</v>
      </c>
      <c r="V3394" s="160">
        <f t="shared" si="568"/>
        <v>81</v>
      </c>
    </row>
    <row r="3395" spans="1:22" x14ac:dyDescent="0.25">
      <c r="A3395" s="98" t="s">
        <v>35</v>
      </c>
      <c r="B3395" s="98" t="s">
        <v>17</v>
      </c>
      <c r="C3395" s="98">
        <v>48</v>
      </c>
      <c r="D3395" s="98">
        <v>95</v>
      </c>
      <c r="E3395" s="157">
        <v>42549.245833333334</v>
      </c>
      <c r="F3395" s="157">
        <v>42549.26458333333</v>
      </c>
      <c r="G3395" s="98">
        <v>204</v>
      </c>
      <c r="H3395" s="98">
        <v>330</v>
      </c>
      <c r="I3395" s="98">
        <v>296</v>
      </c>
      <c r="J3395" s="98" t="s">
        <v>1998</v>
      </c>
      <c r="K3395" s="98" t="s">
        <v>3648</v>
      </c>
      <c r="L3395" s="105" t="str">
        <f t="shared" si="560"/>
        <v>Mill Creek</v>
      </c>
      <c r="M3395" s="105" t="str">
        <f t="shared" si="561"/>
        <v>Derate</v>
      </c>
      <c r="N3395" s="105" t="str">
        <f t="shared" si="562"/>
        <v>Coal</v>
      </c>
      <c r="O3395" s="105">
        <f>IFERROR(VLOOKUP(A3395,Lookup!$J$5:$P$19,7,FALSE),0)</f>
        <v>2</v>
      </c>
      <c r="P3395" s="159">
        <f t="shared" si="563"/>
        <v>2016</v>
      </c>
      <c r="Q3395" s="159">
        <f t="shared" si="564"/>
        <v>6</v>
      </c>
      <c r="R3395" s="160">
        <f t="shared" si="565"/>
        <v>0.44999999989522621</v>
      </c>
      <c r="S3395" s="158">
        <f t="shared" si="566"/>
        <v>0.17181818177817729</v>
      </c>
      <c r="T3395" s="161">
        <f t="shared" si="567"/>
        <v>50.858181806340475</v>
      </c>
      <c r="U3395" s="158">
        <f t="shared" si="569"/>
        <v>113.01818181818182</v>
      </c>
      <c r="V3395" s="160">
        <f t="shared" si="568"/>
        <v>113</v>
      </c>
    </row>
    <row r="3396" spans="1:22" x14ac:dyDescent="0.25">
      <c r="A3396" s="98" t="s">
        <v>35</v>
      </c>
      <c r="B3396" s="98" t="s">
        <v>17</v>
      </c>
      <c r="C3396" s="98">
        <v>49</v>
      </c>
      <c r="D3396" s="98">
        <v>3411</v>
      </c>
      <c r="E3396" s="157">
        <v>42549.26458333333</v>
      </c>
      <c r="F3396" s="157">
        <v>42554.942361111112</v>
      </c>
      <c r="G3396" s="98">
        <v>240</v>
      </c>
      <c r="H3396" s="98">
        <v>330</v>
      </c>
      <c r="I3396" s="98">
        <v>296</v>
      </c>
      <c r="J3396" s="98" t="s">
        <v>2041</v>
      </c>
      <c r="K3396" s="98" t="s">
        <v>3647</v>
      </c>
      <c r="L3396" s="105" t="str">
        <f t="shared" si="560"/>
        <v>Mill Creek</v>
      </c>
      <c r="M3396" s="105" t="str">
        <f t="shared" si="561"/>
        <v>Derate</v>
      </c>
      <c r="N3396" s="105" t="str">
        <f t="shared" si="562"/>
        <v>Coal</v>
      </c>
      <c r="O3396" s="105">
        <f>IFERROR(VLOOKUP(A3396,Lookup!$J$5:$P$19,7,FALSE),0)</f>
        <v>2</v>
      </c>
      <c r="P3396" s="159">
        <f t="shared" si="563"/>
        <v>2016</v>
      </c>
      <c r="Q3396" s="159">
        <f t="shared" si="564"/>
        <v>6</v>
      </c>
      <c r="R3396" s="160">
        <f t="shared" si="565"/>
        <v>136.2666666667792</v>
      </c>
      <c r="S3396" s="158">
        <f t="shared" si="566"/>
        <v>37.163636363667052</v>
      </c>
      <c r="T3396" s="161">
        <f t="shared" si="567"/>
        <v>11000.436363645447</v>
      </c>
      <c r="U3396" s="158">
        <f t="shared" si="569"/>
        <v>80.727272727272734</v>
      </c>
      <c r="V3396" s="160">
        <f t="shared" si="568"/>
        <v>81</v>
      </c>
    </row>
    <row r="3397" spans="1:22" x14ac:dyDescent="0.25">
      <c r="A3397" s="98" t="s">
        <v>35</v>
      </c>
      <c r="B3397" s="98" t="s">
        <v>105</v>
      </c>
      <c r="C3397" s="98">
        <v>50</v>
      </c>
      <c r="D3397" s="98">
        <v>310</v>
      </c>
      <c r="E3397" s="157">
        <v>42577.963888888888</v>
      </c>
      <c r="F3397" s="157">
        <v>42578.165277777778</v>
      </c>
      <c r="G3397" s="98">
        <v>240</v>
      </c>
      <c r="H3397" s="98">
        <v>330</v>
      </c>
      <c r="I3397" s="98">
        <v>296</v>
      </c>
      <c r="J3397" s="98" t="s">
        <v>1966</v>
      </c>
      <c r="K3397" s="98" t="s">
        <v>3609</v>
      </c>
      <c r="L3397" s="105" t="str">
        <f t="shared" si="560"/>
        <v>Mill Creek</v>
      </c>
      <c r="M3397" s="105" t="str">
        <f t="shared" si="561"/>
        <v>Derate</v>
      </c>
      <c r="N3397" s="105" t="str">
        <f t="shared" si="562"/>
        <v>Coal</v>
      </c>
      <c r="O3397" s="105">
        <f>IFERROR(VLOOKUP(A3397,Lookup!$J$5:$P$19,7,FALSE),0)</f>
        <v>2</v>
      </c>
      <c r="P3397" s="159">
        <f t="shared" si="563"/>
        <v>2016</v>
      </c>
      <c r="Q3397" s="159">
        <f t="shared" si="564"/>
        <v>7</v>
      </c>
      <c r="R3397" s="160">
        <f t="shared" si="565"/>
        <v>4.8333333333721384</v>
      </c>
      <c r="S3397" s="158">
        <f t="shared" si="566"/>
        <v>1.3181818181924014</v>
      </c>
      <c r="T3397" s="161">
        <f t="shared" si="567"/>
        <v>390.18181818495083</v>
      </c>
      <c r="U3397" s="158">
        <f t="shared" si="569"/>
        <v>80.727272727272734</v>
      </c>
      <c r="V3397" s="160">
        <f t="shared" si="568"/>
        <v>81</v>
      </c>
    </row>
    <row r="3398" spans="1:22" x14ac:dyDescent="0.25">
      <c r="A3398" s="98" t="s">
        <v>35</v>
      </c>
      <c r="B3398" s="98" t="s">
        <v>105</v>
      </c>
      <c r="C3398" s="98">
        <v>51</v>
      </c>
      <c r="D3398" s="98">
        <v>310</v>
      </c>
      <c r="E3398" s="157">
        <v>42589.916666666664</v>
      </c>
      <c r="F3398" s="157">
        <v>42590.167361111111</v>
      </c>
      <c r="G3398" s="98">
        <v>250</v>
      </c>
      <c r="H3398" s="98">
        <v>330</v>
      </c>
      <c r="I3398" s="98">
        <v>296</v>
      </c>
      <c r="J3398" s="98" t="s">
        <v>1966</v>
      </c>
      <c r="K3398" s="98" t="s">
        <v>4277</v>
      </c>
      <c r="L3398" s="105" t="str">
        <f t="shared" si="560"/>
        <v>Mill Creek</v>
      </c>
      <c r="M3398" s="105" t="str">
        <f t="shared" si="561"/>
        <v>Derate</v>
      </c>
      <c r="N3398" s="105" t="str">
        <f t="shared" si="562"/>
        <v>Coal</v>
      </c>
      <c r="O3398" s="105">
        <f>IFERROR(VLOOKUP(A3398,Lookup!$J$5:$P$19,7,FALSE),0)</f>
        <v>2</v>
      </c>
      <c r="P3398" s="159">
        <f t="shared" si="563"/>
        <v>2016</v>
      </c>
      <c r="Q3398" s="159">
        <f t="shared" si="564"/>
        <v>8</v>
      </c>
      <c r="R3398" s="160">
        <f t="shared" si="565"/>
        <v>6.0166666667209938</v>
      </c>
      <c r="S3398" s="158">
        <f t="shared" si="566"/>
        <v>1.4585858585990288</v>
      </c>
      <c r="T3398" s="161">
        <f t="shared" si="567"/>
        <v>431.74141414531255</v>
      </c>
      <c r="U3398" s="158">
        <f t="shared" si="569"/>
        <v>71.757575757575751</v>
      </c>
      <c r="V3398" s="160">
        <f t="shared" si="568"/>
        <v>72</v>
      </c>
    </row>
    <row r="3399" spans="1:22" x14ac:dyDescent="0.25">
      <c r="A3399" s="98" t="s">
        <v>35</v>
      </c>
      <c r="B3399" s="98" t="s">
        <v>105</v>
      </c>
      <c r="C3399" s="98">
        <v>52</v>
      </c>
      <c r="D3399" s="98">
        <v>310</v>
      </c>
      <c r="E3399" s="157">
        <v>42590.961111111108</v>
      </c>
      <c r="F3399" s="157">
        <v>42591.222916666666</v>
      </c>
      <c r="G3399" s="98">
        <v>250</v>
      </c>
      <c r="H3399" s="98">
        <v>330</v>
      </c>
      <c r="I3399" s="98">
        <v>296</v>
      </c>
      <c r="J3399" s="98" t="s">
        <v>1966</v>
      </c>
      <c r="K3399" s="98" t="s">
        <v>4278</v>
      </c>
      <c r="L3399" s="105" t="str">
        <f t="shared" si="560"/>
        <v>Mill Creek</v>
      </c>
      <c r="M3399" s="105" t="str">
        <f t="shared" si="561"/>
        <v>Derate</v>
      </c>
      <c r="N3399" s="105" t="str">
        <f t="shared" si="562"/>
        <v>Coal</v>
      </c>
      <c r="O3399" s="105">
        <f>IFERROR(VLOOKUP(A3399,Lookup!$J$5:$P$19,7,FALSE),0)</f>
        <v>2</v>
      </c>
      <c r="P3399" s="159">
        <f t="shared" si="563"/>
        <v>2016</v>
      </c>
      <c r="Q3399" s="159">
        <f t="shared" si="564"/>
        <v>8</v>
      </c>
      <c r="R3399" s="160">
        <f t="shared" si="565"/>
        <v>6.28333333338378</v>
      </c>
      <c r="S3399" s="158">
        <f t="shared" si="566"/>
        <v>1.5232323232445528</v>
      </c>
      <c r="T3399" s="161">
        <f t="shared" si="567"/>
        <v>450.87676768038762</v>
      </c>
      <c r="U3399" s="158">
        <f t="shared" si="569"/>
        <v>71.757575757575751</v>
      </c>
      <c r="V3399" s="160">
        <f t="shared" si="568"/>
        <v>72</v>
      </c>
    </row>
    <row r="3400" spans="1:22" x14ac:dyDescent="0.25">
      <c r="A3400" s="98" t="s">
        <v>35</v>
      </c>
      <c r="B3400" s="98" t="s">
        <v>79</v>
      </c>
      <c r="C3400" s="98">
        <v>53</v>
      </c>
      <c r="D3400" s="98">
        <v>4490</v>
      </c>
      <c r="E3400" s="157">
        <v>42591.840277777781</v>
      </c>
      <c r="F3400" s="157">
        <v>42592.05</v>
      </c>
      <c r="G3400" s="98">
        <v>0</v>
      </c>
      <c r="H3400" s="98">
        <v>330</v>
      </c>
      <c r="I3400" s="98">
        <v>296</v>
      </c>
      <c r="J3400" s="98" t="s">
        <v>2084</v>
      </c>
      <c r="K3400" s="98" t="s">
        <v>4279</v>
      </c>
      <c r="L3400" s="105" t="str">
        <f t="shared" si="560"/>
        <v>Mill Creek</v>
      </c>
      <c r="M3400" s="105" t="str">
        <f t="shared" si="561"/>
        <v>Other</v>
      </c>
      <c r="N3400" s="105" t="str">
        <f t="shared" si="562"/>
        <v>Coal</v>
      </c>
      <c r="O3400" s="105">
        <f>IFERROR(VLOOKUP(A3400,Lookup!$J$5:$P$19,7,FALSE),0)</f>
        <v>2</v>
      </c>
      <c r="P3400" s="159">
        <f t="shared" si="563"/>
        <v>2016</v>
      </c>
      <c r="Q3400" s="159">
        <f t="shared" si="564"/>
        <v>8</v>
      </c>
      <c r="R3400" s="160">
        <f t="shared" si="565"/>
        <v>5.0333333333255723</v>
      </c>
      <c r="S3400" s="158">
        <f t="shared" si="566"/>
        <v>5.0333333333255723</v>
      </c>
      <c r="T3400" s="161">
        <f t="shared" si="567"/>
        <v>1489.8666666643694</v>
      </c>
      <c r="U3400" s="158">
        <f t="shared" si="569"/>
        <v>296</v>
      </c>
      <c r="V3400" s="160">
        <f t="shared" si="568"/>
        <v>296</v>
      </c>
    </row>
    <row r="3401" spans="1:22" x14ac:dyDescent="0.25">
      <c r="A3401" s="98" t="s">
        <v>35</v>
      </c>
      <c r="B3401" s="98" t="s">
        <v>105</v>
      </c>
      <c r="C3401" s="98">
        <v>54</v>
      </c>
      <c r="D3401" s="98">
        <v>310</v>
      </c>
      <c r="E3401" s="157">
        <v>42592.958333333336</v>
      </c>
      <c r="F3401" s="157">
        <v>42593.205555555556</v>
      </c>
      <c r="G3401" s="98">
        <v>240</v>
      </c>
      <c r="H3401" s="98">
        <v>330</v>
      </c>
      <c r="I3401" s="98">
        <v>296</v>
      </c>
      <c r="J3401" s="98" t="s">
        <v>1966</v>
      </c>
      <c r="K3401" s="98" t="s">
        <v>4280</v>
      </c>
      <c r="L3401" s="105" t="str">
        <f t="shared" si="560"/>
        <v>Mill Creek</v>
      </c>
      <c r="M3401" s="105" t="str">
        <f t="shared" si="561"/>
        <v>Derate</v>
      </c>
      <c r="N3401" s="105" t="str">
        <f t="shared" si="562"/>
        <v>Coal</v>
      </c>
      <c r="O3401" s="105">
        <f>IFERROR(VLOOKUP(A3401,Lookup!$J$5:$P$19,7,FALSE),0)</f>
        <v>2</v>
      </c>
      <c r="P3401" s="159">
        <f t="shared" si="563"/>
        <v>2016</v>
      </c>
      <c r="Q3401" s="159">
        <f t="shared" si="564"/>
        <v>8</v>
      </c>
      <c r="R3401" s="160">
        <f t="shared" si="565"/>
        <v>5.9333333332906477</v>
      </c>
      <c r="S3401" s="158">
        <f t="shared" si="566"/>
        <v>1.6181818181701766</v>
      </c>
      <c r="T3401" s="161">
        <f t="shared" si="567"/>
        <v>478.98181817837229</v>
      </c>
      <c r="U3401" s="158">
        <f t="shared" si="569"/>
        <v>80.727272727272734</v>
      </c>
      <c r="V3401" s="160">
        <f t="shared" si="568"/>
        <v>81</v>
      </c>
    </row>
    <row r="3402" spans="1:22" x14ac:dyDescent="0.25">
      <c r="A3402" s="98" t="s">
        <v>35</v>
      </c>
      <c r="B3402" s="98" t="s">
        <v>105</v>
      </c>
      <c r="C3402" s="98">
        <v>55</v>
      </c>
      <c r="D3402" s="98">
        <v>344</v>
      </c>
      <c r="E3402" s="157">
        <v>42600.956250000003</v>
      </c>
      <c r="F3402" s="157">
        <v>42601.164583333331</v>
      </c>
      <c r="G3402" s="98">
        <v>250</v>
      </c>
      <c r="H3402" s="98">
        <v>330</v>
      </c>
      <c r="I3402" s="98">
        <v>296</v>
      </c>
      <c r="J3402" s="98" t="s">
        <v>1968</v>
      </c>
      <c r="K3402" s="98" t="s">
        <v>4281</v>
      </c>
      <c r="L3402" s="105" t="str">
        <f t="shared" si="560"/>
        <v>Mill Creek</v>
      </c>
      <c r="M3402" s="105" t="str">
        <f t="shared" si="561"/>
        <v>Derate</v>
      </c>
      <c r="N3402" s="105" t="str">
        <f t="shared" si="562"/>
        <v>Coal</v>
      </c>
      <c r="O3402" s="105">
        <f>IFERROR(VLOOKUP(A3402,Lookup!$J$5:$P$19,7,FALSE),0)</f>
        <v>2</v>
      </c>
      <c r="P3402" s="159">
        <f t="shared" si="563"/>
        <v>2016</v>
      </c>
      <c r="Q3402" s="159">
        <f t="shared" si="564"/>
        <v>8</v>
      </c>
      <c r="R3402" s="160">
        <f t="shared" si="565"/>
        <v>4.9999999998835847</v>
      </c>
      <c r="S3402" s="158">
        <f t="shared" si="566"/>
        <v>1.2121212120929903</v>
      </c>
      <c r="T3402" s="161">
        <f t="shared" si="567"/>
        <v>358.7878787795251</v>
      </c>
      <c r="U3402" s="158">
        <f t="shared" si="569"/>
        <v>71.757575757575751</v>
      </c>
      <c r="V3402" s="160">
        <f t="shared" si="568"/>
        <v>72</v>
      </c>
    </row>
    <row r="3403" spans="1:22" x14ac:dyDescent="0.25">
      <c r="A3403" s="98" t="s">
        <v>35</v>
      </c>
      <c r="B3403" s="98" t="s">
        <v>105</v>
      </c>
      <c r="C3403" s="98">
        <v>56</v>
      </c>
      <c r="D3403" s="98">
        <v>310</v>
      </c>
      <c r="E3403" s="157">
        <v>42620.958333333336</v>
      </c>
      <c r="F3403" s="157">
        <v>42621.14166666667</v>
      </c>
      <c r="G3403" s="98">
        <v>240</v>
      </c>
      <c r="H3403" s="98">
        <v>330</v>
      </c>
      <c r="I3403" s="98">
        <v>296</v>
      </c>
      <c r="J3403" s="98" t="s">
        <v>1966</v>
      </c>
      <c r="K3403" s="98" t="s">
        <v>4282</v>
      </c>
      <c r="L3403" s="105" t="str">
        <f t="shared" si="560"/>
        <v>Mill Creek</v>
      </c>
      <c r="M3403" s="105" t="str">
        <f t="shared" si="561"/>
        <v>Derate</v>
      </c>
      <c r="N3403" s="105" t="str">
        <f t="shared" si="562"/>
        <v>Coal</v>
      </c>
      <c r="O3403" s="105">
        <f>IFERROR(VLOOKUP(A3403,Lookup!$J$5:$P$19,7,FALSE),0)</f>
        <v>2</v>
      </c>
      <c r="P3403" s="159">
        <f t="shared" si="563"/>
        <v>2016</v>
      </c>
      <c r="Q3403" s="159">
        <f t="shared" si="564"/>
        <v>9</v>
      </c>
      <c r="R3403" s="160">
        <f t="shared" si="565"/>
        <v>4.4000000000232831</v>
      </c>
      <c r="S3403" s="158">
        <f t="shared" si="566"/>
        <v>1.20000000000635</v>
      </c>
      <c r="T3403" s="161">
        <f t="shared" si="567"/>
        <v>355.20000000187957</v>
      </c>
      <c r="U3403" s="158">
        <f t="shared" si="569"/>
        <v>80.727272727272734</v>
      </c>
      <c r="V3403" s="160">
        <f t="shared" si="568"/>
        <v>81</v>
      </c>
    </row>
    <row r="3404" spans="1:22" x14ac:dyDescent="0.25">
      <c r="A3404" s="98" t="s">
        <v>35</v>
      </c>
      <c r="B3404" s="98" t="s">
        <v>20</v>
      </c>
      <c r="C3404" s="98">
        <v>57</v>
      </c>
      <c r="D3404" s="98">
        <v>1080</v>
      </c>
      <c r="E3404" s="157">
        <v>42622.932638888888</v>
      </c>
      <c r="F3404" s="157">
        <v>42624.542361111111</v>
      </c>
      <c r="G3404" s="98">
        <v>0</v>
      </c>
      <c r="H3404" s="98">
        <v>330</v>
      </c>
      <c r="I3404" s="98">
        <v>296</v>
      </c>
      <c r="J3404" s="98" t="s">
        <v>1991</v>
      </c>
      <c r="K3404" s="98" t="s">
        <v>4283</v>
      </c>
      <c r="L3404" s="105" t="str">
        <f t="shared" si="560"/>
        <v>Mill Creek</v>
      </c>
      <c r="M3404" s="105" t="str">
        <f t="shared" si="561"/>
        <v>Maintenance</v>
      </c>
      <c r="N3404" s="105" t="str">
        <f t="shared" si="562"/>
        <v>Coal</v>
      </c>
      <c r="O3404" s="105">
        <f>IFERROR(VLOOKUP(A3404,Lookup!$J$5:$P$19,7,FALSE),0)</f>
        <v>2</v>
      </c>
      <c r="P3404" s="159">
        <f t="shared" si="563"/>
        <v>2016</v>
      </c>
      <c r="Q3404" s="159">
        <f t="shared" si="564"/>
        <v>9</v>
      </c>
      <c r="R3404" s="160">
        <f t="shared" si="565"/>
        <v>38.633333333360497</v>
      </c>
      <c r="S3404" s="158">
        <f t="shared" si="566"/>
        <v>38.633333333360497</v>
      </c>
      <c r="T3404" s="161">
        <f t="shared" si="567"/>
        <v>11435.466666674707</v>
      </c>
      <c r="U3404" s="158">
        <f t="shared" si="569"/>
        <v>296</v>
      </c>
      <c r="V3404" s="160">
        <f t="shared" si="568"/>
        <v>296</v>
      </c>
    </row>
    <row r="3405" spans="1:22" x14ac:dyDescent="0.25">
      <c r="A3405" s="98" t="s">
        <v>35</v>
      </c>
      <c r="B3405" s="98" t="s">
        <v>17</v>
      </c>
      <c r="C3405" s="98">
        <v>58</v>
      </c>
      <c r="D3405" s="98">
        <v>1850</v>
      </c>
      <c r="E3405" s="157">
        <v>42624.956944444442</v>
      </c>
      <c r="F3405" s="157">
        <v>42625.324999999997</v>
      </c>
      <c r="G3405" s="98">
        <v>280</v>
      </c>
      <c r="H3405" s="98">
        <v>330</v>
      </c>
      <c r="I3405" s="98">
        <v>296</v>
      </c>
      <c r="J3405" s="98" t="s">
        <v>2263</v>
      </c>
      <c r="K3405" s="98" t="s">
        <v>4284</v>
      </c>
      <c r="L3405" s="105" t="str">
        <f t="shared" si="560"/>
        <v>Mill Creek</v>
      </c>
      <c r="M3405" s="105" t="str">
        <f t="shared" si="561"/>
        <v>Derate</v>
      </c>
      <c r="N3405" s="105" t="str">
        <f t="shared" si="562"/>
        <v>Coal</v>
      </c>
      <c r="O3405" s="105">
        <f>IFERROR(VLOOKUP(A3405,Lookup!$J$5:$P$19,7,FALSE),0)</f>
        <v>2</v>
      </c>
      <c r="P3405" s="159">
        <f t="shared" si="563"/>
        <v>2016</v>
      </c>
      <c r="Q3405" s="159">
        <f t="shared" si="564"/>
        <v>9</v>
      </c>
      <c r="R3405" s="160">
        <f t="shared" si="565"/>
        <v>8.8333333333139308</v>
      </c>
      <c r="S3405" s="158">
        <f t="shared" si="566"/>
        <v>1.3383838383808986</v>
      </c>
      <c r="T3405" s="161">
        <f t="shared" si="567"/>
        <v>396.16161616074601</v>
      </c>
      <c r="U3405" s="158">
        <f t="shared" si="569"/>
        <v>44.848484848484851</v>
      </c>
      <c r="V3405" s="160">
        <f t="shared" si="568"/>
        <v>45</v>
      </c>
    </row>
    <row r="3406" spans="1:22" x14ac:dyDescent="0.25">
      <c r="A3406" s="98" t="s">
        <v>35</v>
      </c>
      <c r="B3406" s="98" t="s">
        <v>105</v>
      </c>
      <c r="C3406" s="98">
        <v>59</v>
      </c>
      <c r="D3406" s="98">
        <v>310</v>
      </c>
      <c r="E3406" s="157">
        <v>42627.958333333336</v>
      </c>
      <c r="F3406" s="157">
        <v>42628.231944444444</v>
      </c>
      <c r="G3406" s="98">
        <v>240</v>
      </c>
      <c r="H3406" s="98">
        <v>330</v>
      </c>
      <c r="I3406" s="98">
        <v>296</v>
      </c>
      <c r="J3406" s="98" t="s">
        <v>1966</v>
      </c>
      <c r="K3406" s="98" t="s">
        <v>4281</v>
      </c>
      <c r="L3406" s="105" t="str">
        <f t="shared" si="560"/>
        <v>Mill Creek</v>
      </c>
      <c r="M3406" s="105" t="str">
        <f t="shared" si="561"/>
        <v>Derate</v>
      </c>
      <c r="N3406" s="105" t="str">
        <f t="shared" si="562"/>
        <v>Coal</v>
      </c>
      <c r="O3406" s="105">
        <f>IFERROR(VLOOKUP(A3406,Lookup!$J$5:$P$19,7,FALSE),0)</f>
        <v>2</v>
      </c>
      <c r="P3406" s="159">
        <f t="shared" si="563"/>
        <v>2016</v>
      </c>
      <c r="Q3406" s="159">
        <f t="shared" si="564"/>
        <v>9</v>
      </c>
      <c r="R3406" s="160">
        <f t="shared" si="565"/>
        <v>6.566666666592937</v>
      </c>
      <c r="S3406" s="158">
        <f t="shared" si="566"/>
        <v>1.7909090908889829</v>
      </c>
      <c r="T3406" s="161">
        <f t="shared" si="567"/>
        <v>530.10909090313896</v>
      </c>
      <c r="U3406" s="158">
        <f t="shared" si="569"/>
        <v>80.727272727272734</v>
      </c>
      <c r="V3406" s="160">
        <f t="shared" si="568"/>
        <v>81</v>
      </c>
    </row>
    <row r="3407" spans="1:22" x14ac:dyDescent="0.25">
      <c r="A3407" s="98" t="s">
        <v>35</v>
      </c>
      <c r="B3407" s="98" t="s">
        <v>105</v>
      </c>
      <c r="C3407" s="98">
        <v>60</v>
      </c>
      <c r="D3407" s="98">
        <v>310</v>
      </c>
      <c r="E3407" s="157">
        <v>42628.958333333336</v>
      </c>
      <c r="F3407" s="157">
        <v>42629.242361111108</v>
      </c>
      <c r="G3407" s="98">
        <v>240</v>
      </c>
      <c r="H3407" s="98">
        <v>330</v>
      </c>
      <c r="I3407" s="98">
        <v>296</v>
      </c>
      <c r="J3407" s="98" t="s">
        <v>1966</v>
      </c>
      <c r="K3407" s="98" t="s">
        <v>4281</v>
      </c>
      <c r="L3407" s="105" t="str">
        <f t="shared" si="560"/>
        <v>Mill Creek</v>
      </c>
      <c r="M3407" s="105" t="str">
        <f t="shared" si="561"/>
        <v>Derate</v>
      </c>
      <c r="N3407" s="105" t="str">
        <f t="shared" si="562"/>
        <v>Coal</v>
      </c>
      <c r="O3407" s="105">
        <f>IFERROR(VLOOKUP(A3407,Lookup!$J$5:$P$19,7,FALSE),0)</f>
        <v>2</v>
      </c>
      <c r="P3407" s="159">
        <f t="shared" si="563"/>
        <v>2016</v>
      </c>
      <c r="Q3407" s="159">
        <f t="shared" si="564"/>
        <v>9</v>
      </c>
      <c r="R3407" s="160">
        <f t="shared" si="565"/>
        <v>6.8166666665347293</v>
      </c>
      <c r="S3407" s="158">
        <f t="shared" si="566"/>
        <v>1.8590909090549261</v>
      </c>
      <c r="T3407" s="161">
        <f t="shared" si="567"/>
        <v>550.29090908025819</v>
      </c>
      <c r="U3407" s="158">
        <f t="shared" si="569"/>
        <v>80.727272727272734</v>
      </c>
      <c r="V3407" s="160">
        <f t="shared" si="568"/>
        <v>81</v>
      </c>
    </row>
    <row r="3408" spans="1:22" x14ac:dyDescent="0.25">
      <c r="A3408" s="98" t="s">
        <v>35</v>
      </c>
      <c r="B3408" s="98" t="s">
        <v>105</v>
      </c>
      <c r="C3408" s="98">
        <v>61</v>
      </c>
      <c r="D3408" s="98">
        <v>310</v>
      </c>
      <c r="E3408" s="157">
        <v>42631.962500000001</v>
      </c>
      <c r="F3408" s="157">
        <v>42632.213888888888</v>
      </c>
      <c r="G3408" s="98">
        <v>240</v>
      </c>
      <c r="H3408" s="98">
        <v>330</v>
      </c>
      <c r="I3408" s="98">
        <v>296</v>
      </c>
      <c r="J3408" s="98" t="s">
        <v>1966</v>
      </c>
      <c r="K3408" s="98" t="s">
        <v>4285</v>
      </c>
      <c r="L3408" s="105" t="str">
        <f t="shared" si="560"/>
        <v>Mill Creek</v>
      </c>
      <c r="M3408" s="105" t="str">
        <f t="shared" si="561"/>
        <v>Derate</v>
      </c>
      <c r="N3408" s="105" t="str">
        <f t="shared" si="562"/>
        <v>Coal</v>
      </c>
      <c r="O3408" s="105">
        <f>IFERROR(VLOOKUP(A3408,Lookup!$J$5:$P$19,7,FALSE),0)</f>
        <v>2</v>
      </c>
      <c r="P3408" s="159">
        <f t="shared" si="563"/>
        <v>2016</v>
      </c>
      <c r="Q3408" s="159">
        <f t="shared" si="564"/>
        <v>9</v>
      </c>
      <c r="R3408" s="160">
        <f t="shared" si="565"/>
        <v>6.0333333332673647</v>
      </c>
      <c r="S3408" s="158">
        <f t="shared" si="566"/>
        <v>1.6454545454365539</v>
      </c>
      <c r="T3408" s="161">
        <f t="shared" si="567"/>
        <v>487.05454544921997</v>
      </c>
      <c r="U3408" s="158">
        <f t="shared" si="569"/>
        <v>80.727272727272734</v>
      </c>
      <c r="V3408" s="160">
        <f t="shared" si="568"/>
        <v>81</v>
      </c>
    </row>
    <row r="3409" spans="1:22" x14ac:dyDescent="0.25">
      <c r="A3409" s="98" t="s">
        <v>35</v>
      </c>
      <c r="B3409" s="98" t="s">
        <v>105</v>
      </c>
      <c r="C3409" s="98">
        <v>62</v>
      </c>
      <c r="D3409" s="98">
        <v>310</v>
      </c>
      <c r="E3409" s="157">
        <v>42632.958333333336</v>
      </c>
      <c r="F3409" s="157">
        <v>42633.193749999999</v>
      </c>
      <c r="G3409" s="98">
        <v>250</v>
      </c>
      <c r="H3409" s="98">
        <v>330</v>
      </c>
      <c r="I3409" s="98">
        <v>296</v>
      </c>
      <c r="J3409" s="98" t="s">
        <v>1966</v>
      </c>
      <c r="K3409" s="98" t="s">
        <v>4286</v>
      </c>
      <c r="L3409" s="105" t="str">
        <f t="shared" si="560"/>
        <v>Mill Creek</v>
      </c>
      <c r="M3409" s="105" t="str">
        <f t="shared" si="561"/>
        <v>Derate</v>
      </c>
      <c r="N3409" s="105" t="str">
        <f t="shared" si="562"/>
        <v>Coal</v>
      </c>
      <c r="O3409" s="105">
        <f>IFERROR(VLOOKUP(A3409,Lookup!$J$5:$P$19,7,FALSE),0)</f>
        <v>2</v>
      </c>
      <c r="P3409" s="159">
        <f t="shared" si="563"/>
        <v>2016</v>
      </c>
      <c r="Q3409" s="159">
        <f t="shared" si="564"/>
        <v>9</v>
      </c>
      <c r="R3409" s="160">
        <f t="shared" si="565"/>
        <v>5.6499999999068677</v>
      </c>
      <c r="S3409" s="158">
        <f t="shared" si="566"/>
        <v>1.3696969696743921</v>
      </c>
      <c r="T3409" s="161">
        <f t="shared" si="567"/>
        <v>405.43030302362007</v>
      </c>
      <c r="U3409" s="158">
        <f t="shared" si="569"/>
        <v>71.757575757575751</v>
      </c>
      <c r="V3409" s="160">
        <f t="shared" si="568"/>
        <v>72</v>
      </c>
    </row>
    <row r="3410" spans="1:22" x14ac:dyDescent="0.25">
      <c r="A3410" s="98" t="s">
        <v>35</v>
      </c>
      <c r="B3410" s="98" t="s">
        <v>20</v>
      </c>
      <c r="C3410" s="98">
        <v>63</v>
      </c>
      <c r="D3410" s="98">
        <v>4609</v>
      </c>
      <c r="E3410" s="157">
        <v>42643.743750000001</v>
      </c>
      <c r="F3410" s="157">
        <v>42643.85833333333</v>
      </c>
      <c r="G3410" s="98">
        <v>0</v>
      </c>
      <c r="H3410" s="98">
        <v>330</v>
      </c>
      <c r="I3410" s="98">
        <v>296</v>
      </c>
      <c r="J3410" s="98" t="s">
        <v>2105</v>
      </c>
      <c r="K3410" s="98" t="s">
        <v>4287</v>
      </c>
      <c r="L3410" s="105" t="str">
        <f t="shared" si="560"/>
        <v>Mill Creek</v>
      </c>
      <c r="M3410" s="105" t="str">
        <f t="shared" si="561"/>
        <v>Maintenance</v>
      </c>
      <c r="N3410" s="105" t="str">
        <f t="shared" si="562"/>
        <v>Coal</v>
      </c>
      <c r="O3410" s="105">
        <f>IFERROR(VLOOKUP(A3410,Lookup!$J$5:$P$19,7,FALSE),0)</f>
        <v>2</v>
      </c>
      <c r="P3410" s="159">
        <f t="shared" si="563"/>
        <v>2016</v>
      </c>
      <c r="Q3410" s="159">
        <f t="shared" si="564"/>
        <v>9</v>
      </c>
      <c r="R3410" s="160">
        <f t="shared" si="565"/>
        <v>2.7499999998835847</v>
      </c>
      <c r="S3410" s="158">
        <f t="shared" si="566"/>
        <v>2.7499999998835847</v>
      </c>
      <c r="T3410" s="161">
        <f t="shared" si="567"/>
        <v>813.99999996554106</v>
      </c>
      <c r="U3410" s="158">
        <f t="shared" si="569"/>
        <v>296</v>
      </c>
      <c r="V3410" s="160">
        <f t="shared" si="568"/>
        <v>296</v>
      </c>
    </row>
    <row r="3411" spans="1:22" x14ac:dyDescent="0.25">
      <c r="A3411" s="98" t="s">
        <v>35</v>
      </c>
      <c r="B3411" s="98" t="s">
        <v>105</v>
      </c>
      <c r="C3411" s="98">
        <v>64</v>
      </c>
      <c r="D3411" s="98">
        <v>250</v>
      </c>
      <c r="E3411" s="157">
        <v>42654.958333333336</v>
      </c>
      <c r="F3411" s="157">
        <v>42655.14166666667</v>
      </c>
      <c r="G3411" s="98">
        <v>240</v>
      </c>
      <c r="H3411" s="98">
        <v>330</v>
      </c>
      <c r="I3411" s="98">
        <v>296</v>
      </c>
      <c r="J3411" s="98" t="s">
        <v>1978</v>
      </c>
      <c r="K3411" s="98" t="s">
        <v>4288</v>
      </c>
      <c r="L3411" s="105" t="str">
        <f t="shared" si="560"/>
        <v>Mill Creek</v>
      </c>
      <c r="M3411" s="105" t="str">
        <f t="shared" si="561"/>
        <v>Derate</v>
      </c>
      <c r="N3411" s="105" t="str">
        <f t="shared" si="562"/>
        <v>Coal</v>
      </c>
      <c r="O3411" s="105">
        <f>IFERROR(VLOOKUP(A3411,Lookup!$J$5:$P$19,7,FALSE),0)</f>
        <v>2</v>
      </c>
      <c r="P3411" s="159">
        <f t="shared" si="563"/>
        <v>2016</v>
      </c>
      <c r="Q3411" s="159">
        <f t="shared" si="564"/>
        <v>10</v>
      </c>
      <c r="R3411" s="160">
        <f t="shared" si="565"/>
        <v>4.4000000000232831</v>
      </c>
      <c r="S3411" s="158">
        <f t="shared" si="566"/>
        <v>1.20000000000635</v>
      </c>
      <c r="T3411" s="161">
        <f t="shared" si="567"/>
        <v>355.20000000187957</v>
      </c>
      <c r="U3411" s="158">
        <f t="shared" si="569"/>
        <v>80.727272727272734</v>
      </c>
      <c r="V3411" s="160">
        <f t="shared" si="568"/>
        <v>81</v>
      </c>
    </row>
    <row r="3412" spans="1:22" x14ac:dyDescent="0.25">
      <c r="A3412" s="98" t="s">
        <v>35</v>
      </c>
      <c r="B3412" s="98" t="s">
        <v>15</v>
      </c>
      <c r="C3412" s="98">
        <v>65</v>
      </c>
      <c r="D3412" s="98">
        <v>3220</v>
      </c>
      <c r="E3412" s="157">
        <v>42665.45208333333</v>
      </c>
      <c r="F3412" s="157">
        <v>42666.447916666664</v>
      </c>
      <c r="G3412" s="98">
        <v>0</v>
      </c>
      <c r="H3412" s="98">
        <v>330</v>
      </c>
      <c r="I3412" s="98">
        <v>296</v>
      </c>
      <c r="J3412" s="98" t="s">
        <v>2301</v>
      </c>
      <c r="K3412" s="98" t="s">
        <v>4289</v>
      </c>
      <c r="L3412" s="105" t="str">
        <f t="shared" si="560"/>
        <v>Mill Creek</v>
      </c>
      <c r="M3412" s="105" t="str">
        <f t="shared" si="561"/>
        <v>Outage</v>
      </c>
      <c r="N3412" s="105" t="str">
        <f t="shared" si="562"/>
        <v>Coal</v>
      </c>
      <c r="O3412" s="105">
        <f>IFERROR(VLOOKUP(A3412,Lookup!$J$5:$P$19,7,FALSE),0)</f>
        <v>2</v>
      </c>
      <c r="P3412" s="159">
        <f t="shared" si="563"/>
        <v>2016</v>
      </c>
      <c r="Q3412" s="159">
        <f t="shared" si="564"/>
        <v>10</v>
      </c>
      <c r="R3412" s="160">
        <f t="shared" si="565"/>
        <v>23.900000000023283</v>
      </c>
      <c r="S3412" s="158">
        <f t="shared" si="566"/>
        <v>23.900000000023283</v>
      </c>
      <c r="T3412" s="161">
        <f t="shared" si="567"/>
        <v>7074.4000000068918</v>
      </c>
      <c r="U3412" s="158">
        <f t="shared" si="569"/>
        <v>296</v>
      </c>
      <c r="V3412" s="160">
        <f t="shared" si="568"/>
        <v>296</v>
      </c>
    </row>
    <row r="3413" spans="1:22" x14ac:dyDescent="0.25">
      <c r="A3413" s="98" t="s">
        <v>35</v>
      </c>
      <c r="B3413" s="98" t="s">
        <v>17</v>
      </c>
      <c r="C3413" s="98">
        <v>66</v>
      </c>
      <c r="D3413" s="98">
        <v>340</v>
      </c>
      <c r="E3413" s="157">
        <v>42675.770833333336</v>
      </c>
      <c r="F3413" s="157">
        <v>42675.788194444445</v>
      </c>
      <c r="G3413" s="98">
        <v>190</v>
      </c>
      <c r="H3413" s="98">
        <v>330</v>
      </c>
      <c r="I3413" s="98">
        <v>296</v>
      </c>
      <c r="J3413" s="98" t="s">
        <v>1970</v>
      </c>
      <c r="K3413" s="98" t="s">
        <v>4290</v>
      </c>
      <c r="L3413" s="105" t="str">
        <f t="shared" si="560"/>
        <v>Mill Creek</v>
      </c>
      <c r="M3413" s="105" t="str">
        <f t="shared" si="561"/>
        <v>Derate</v>
      </c>
      <c r="N3413" s="105" t="str">
        <f t="shared" si="562"/>
        <v>Coal</v>
      </c>
      <c r="O3413" s="105">
        <f>IFERROR(VLOOKUP(A3413,Lookup!$J$5:$P$19,7,FALSE),0)</f>
        <v>2</v>
      </c>
      <c r="P3413" s="159">
        <f t="shared" si="563"/>
        <v>2016</v>
      </c>
      <c r="Q3413" s="159">
        <f t="shared" si="564"/>
        <v>11</v>
      </c>
      <c r="R3413" s="160">
        <f t="shared" si="565"/>
        <v>0.41666666662786156</v>
      </c>
      <c r="S3413" s="158">
        <f t="shared" si="566"/>
        <v>0.17676767675121399</v>
      </c>
      <c r="T3413" s="161">
        <f t="shared" si="567"/>
        <v>52.323232318359345</v>
      </c>
      <c r="U3413" s="158">
        <f t="shared" si="569"/>
        <v>125.57575757575758</v>
      </c>
      <c r="V3413" s="160">
        <f t="shared" si="568"/>
        <v>126</v>
      </c>
    </row>
    <row r="3414" spans="1:22" x14ac:dyDescent="0.25">
      <c r="A3414" s="98" t="s">
        <v>35</v>
      </c>
      <c r="B3414" s="98" t="s">
        <v>17</v>
      </c>
      <c r="C3414" s="98">
        <v>67</v>
      </c>
      <c r="D3414" s="98">
        <v>340</v>
      </c>
      <c r="E3414" s="157">
        <v>42675.788194444445</v>
      </c>
      <c r="F3414" s="157">
        <v>42675.819444444445</v>
      </c>
      <c r="G3414" s="98">
        <v>255</v>
      </c>
      <c r="H3414" s="98">
        <v>330</v>
      </c>
      <c r="I3414" s="98">
        <v>296</v>
      </c>
      <c r="J3414" s="98" t="s">
        <v>1970</v>
      </c>
      <c r="K3414" s="98" t="s">
        <v>4290</v>
      </c>
      <c r="L3414" s="105" t="str">
        <f t="shared" si="560"/>
        <v>Mill Creek</v>
      </c>
      <c r="M3414" s="105" t="str">
        <f t="shared" si="561"/>
        <v>Derate</v>
      </c>
      <c r="N3414" s="105" t="str">
        <f t="shared" si="562"/>
        <v>Coal</v>
      </c>
      <c r="O3414" s="105">
        <f>IFERROR(VLOOKUP(A3414,Lookup!$J$5:$P$19,7,FALSE),0)</f>
        <v>2</v>
      </c>
      <c r="P3414" s="159">
        <f t="shared" si="563"/>
        <v>2016</v>
      </c>
      <c r="Q3414" s="159">
        <f t="shared" si="564"/>
        <v>11</v>
      </c>
      <c r="R3414" s="160">
        <f t="shared" si="565"/>
        <v>0.75</v>
      </c>
      <c r="S3414" s="158">
        <f t="shared" si="566"/>
        <v>0.17045454545454544</v>
      </c>
      <c r="T3414" s="161">
        <f t="shared" si="567"/>
        <v>50.454545454545453</v>
      </c>
      <c r="U3414" s="158">
        <f t="shared" si="569"/>
        <v>67.272727272727266</v>
      </c>
      <c r="V3414" s="160">
        <f t="shared" si="568"/>
        <v>67</v>
      </c>
    </row>
    <row r="3415" spans="1:22" x14ac:dyDescent="0.25">
      <c r="A3415" s="98" t="s">
        <v>35</v>
      </c>
      <c r="B3415" s="98" t="s">
        <v>17</v>
      </c>
      <c r="C3415" s="98">
        <v>68</v>
      </c>
      <c r="D3415" s="98">
        <v>340</v>
      </c>
      <c r="E3415" s="157">
        <v>42675.819444444445</v>
      </c>
      <c r="F3415" s="157">
        <v>42676.050694444442</v>
      </c>
      <c r="G3415" s="98">
        <v>263</v>
      </c>
      <c r="H3415" s="98">
        <v>330</v>
      </c>
      <c r="I3415" s="98">
        <v>296</v>
      </c>
      <c r="J3415" s="98" t="s">
        <v>1970</v>
      </c>
      <c r="K3415" s="98" t="s">
        <v>4290</v>
      </c>
      <c r="L3415" s="105" t="str">
        <f t="shared" si="560"/>
        <v>Mill Creek</v>
      </c>
      <c r="M3415" s="105" t="str">
        <f t="shared" si="561"/>
        <v>Derate</v>
      </c>
      <c r="N3415" s="105" t="str">
        <f t="shared" si="562"/>
        <v>Coal</v>
      </c>
      <c r="O3415" s="105">
        <f>IFERROR(VLOOKUP(A3415,Lookup!$J$5:$P$19,7,FALSE),0)</f>
        <v>2</v>
      </c>
      <c r="P3415" s="159">
        <f t="shared" si="563"/>
        <v>2016</v>
      </c>
      <c r="Q3415" s="159">
        <f t="shared" si="564"/>
        <v>11</v>
      </c>
      <c r="R3415" s="160">
        <f t="shared" si="565"/>
        <v>5.5499999999301508</v>
      </c>
      <c r="S3415" s="158">
        <f t="shared" si="566"/>
        <v>1.1268181818040004</v>
      </c>
      <c r="T3415" s="161">
        <f t="shared" si="567"/>
        <v>333.53818181398412</v>
      </c>
      <c r="U3415" s="158">
        <f t="shared" si="569"/>
        <v>60.096969696969694</v>
      </c>
      <c r="V3415" s="160">
        <f t="shared" si="568"/>
        <v>60</v>
      </c>
    </row>
    <row r="3416" spans="1:22" x14ac:dyDescent="0.25">
      <c r="A3416" s="98" t="s">
        <v>35</v>
      </c>
      <c r="B3416" s="98" t="s">
        <v>38</v>
      </c>
      <c r="C3416" s="98">
        <v>69</v>
      </c>
      <c r="D3416" s="98">
        <v>1800</v>
      </c>
      <c r="E3416" s="157">
        <v>42679.040277777778</v>
      </c>
      <c r="F3416" s="157">
        <v>42706.820833333331</v>
      </c>
      <c r="G3416" s="98">
        <v>0</v>
      </c>
      <c r="H3416" s="98">
        <v>330</v>
      </c>
      <c r="I3416" s="98">
        <v>296</v>
      </c>
      <c r="J3416" s="98" t="s">
        <v>2178</v>
      </c>
      <c r="K3416" s="98" t="s">
        <v>4291</v>
      </c>
      <c r="L3416" s="105" t="str">
        <f t="shared" si="560"/>
        <v>Mill Creek</v>
      </c>
      <c r="M3416" s="105" t="str">
        <f t="shared" si="561"/>
        <v>Other</v>
      </c>
      <c r="N3416" s="105" t="str">
        <f t="shared" si="562"/>
        <v>Coal</v>
      </c>
      <c r="O3416" s="105">
        <f>IFERROR(VLOOKUP(A3416,Lookup!$J$5:$P$19,7,FALSE),0)</f>
        <v>2</v>
      </c>
      <c r="P3416" s="159">
        <f t="shared" si="563"/>
        <v>2016</v>
      </c>
      <c r="Q3416" s="159">
        <f t="shared" si="564"/>
        <v>11</v>
      </c>
      <c r="R3416" s="160">
        <f t="shared" si="565"/>
        <v>666.73333333327901</v>
      </c>
      <c r="S3416" s="158">
        <f t="shared" si="566"/>
        <v>666.73333333327901</v>
      </c>
      <c r="T3416" s="161">
        <f t="shared" si="567"/>
        <v>197353.06666665059</v>
      </c>
      <c r="U3416" s="158">
        <f t="shared" si="569"/>
        <v>296</v>
      </c>
      <c r="V3416" s="160">
        <f t="shared" si="568"/>
        <v>296</v>
      </c>
    </row>
    <row r="3417" spans="1:22" x14ac:dyDescent="0.25">
      <c r="A3417" s="98" t="s">
        <v>35</v>
      </c>
      <c r="B3417" s="98" t="s">
        <v>79</v>
      </c>
      <c r="C3417" s="98">
        <v>70</v>
      </c>
      <c r="D3417" s="98">
        <v>1850</v>
      </c>
      <c r="E3417" s="157">
        <v>42706.820833333331</v>
      </c>
      <c r="F3417" s="157">
        <v>42709.28402777778</v>
      </c>
      <c r="G3417" s="98">
        <v>0</v>
      </c>
      <c r="H3417" s="98">
        <v>330</v>
      </c>
      <c r="I3417" s="98">
        <v>296</v>
      </c>
      <c r="J3417" s="98" t="s">
        <v>2263</v>
      </c>
      <c r="K3417" s="98" t="s">
        <v>4292</v>
      </c>
      <c r="L3417" s="105" t="str">
        <f t="shared" si="560"/>
        <v>Mill Creek</v>
      </c>
      <c r="M3417" s="105" t="str">
        <f t="shared" si="561"/>
        <v>Other</v>
      </c>
      <c r="N3417" s="105" t="str">
        <f t="shared" si="562"/>
        <v>Coal</v>
      </c>
      <c r="O3417" s="105">
        <f>IFERROR(VLOOKUP(A3417,Lookup!$J$5:$P$19,7,FALSE),0)</f>
        <v>2</v>
      </c>
      <c r="P3417" s="159">
        <f t="shared" si="563"/>
        <v>2016</v>
      </c>
      <c r="Q3417" s="159">
        <f t="shared" si="564"/>
        <v>12</v>
      </c>
      <c r="R3417" s="160">
        <f t="shared" si="565"/>
        <v>59.116666666755918</v>
      </c>
      <c r="S3417" s="158">
        <f t="shared" si="566"/>
        <v>59.116666666755918</v>
      </c>
      <c r="T3417" s="161">
        <f t="shared" si="567"/>
        <v>17498.533333359752</v>
      </c>
      <c r="U3417" s="158">
        <f t="shared" si="569"/>
        <v>296</v>
      </c>
      <c r="V3417" s="160">
        <f t="shared" si="568"/>
        <v>296</v>
      </c>
    </row>
    <row r="3418" spans="1:22" x14ac:dyDescent="0.25">
      <c r="A3418" s="98" t="s">
        <v>35</v>
      </c>
      <c r="B3418" s="98" t="s">
        <v>105</v>
      </c>
      <c r="C3418" s="98">
        <v>1</v>
      </c>
      <c r="D3418" s="98">
        <v>310</v>
      </c>
      <c r="E3418" s="157">
        <v>42751.958333333336</v>
      </c>
      <c r="F3418" s="157">
        <v>42752.214583333334</v>
      </c>
      <c r="G3418" s="98">
        <v>240</v>
      </c>
      <c r="H3418" s="98">
        <v>330</v>
      </c>
      <c r="I3418" s="98">
        <v>296</v>
      </c>
      <c r="J3418" s="98" t="s">
        <v>1966</v>
      </c>
      <c r="K3418" s="98" t="s">
        <v>4281</v>
      </c>
      <c r="L3418" s="105" t="str">
        <f t="shared" si="560"/>
        <v>Mill Creek</v>
      </c>
      <c r="M3418" s="105" t="str">
        <f t="shared" si="561"/>
        <v>Derate</v>
      </c>
      <c r="N3418" s="105" t="str">
        <f t="shared" si="562"/>
        <v>Coal</v>
      </c>
      <c r="O3418" s="105">
        <f>IFERROR(VLOOKUP(A3418,Lookup!$J$5:$P$19,7,FALSE),0)</f>
        <v>2</v>
      </c>
      <c r="P3418" s="159">
        <f t="shared" si="563"/>
        <v>2017</v>
      </c>
      <c r="Q3418" s="159">
        <f t="shared" si="564"/>
        <v>1</v>
      </c>
      <c r="R3418" s="160">
        <f t="shared" si="565"/>
        <v>6.1499999999650754</v>
      </c>
      <c r="S3418" s="158">
        <f t="shared" si="566"/>
        <v>1.6772727272632024</v>
      </c>
      <c r="T3418" s="161">
        <f t="shared" si="567"/>
        <v>496.47272726990792</v>
      </c>
      <c r="U3418" s="158">
        <f t="shared" si="569"/>
        <v>80.727272727272734</v>
      </c>
      <c r="V3418" s="160">
        <f t="shared" si="568"/>
        <v>81</v>
      </c>
    </row>
    <row r="3419" spans="1:22" x14ac:dyDescent="0.25">
      <c r="A3419" s="98" t="s">
        <v>35</v>
      </c>
      <c r="B3419" s="98" t="s">
        <v>105</v>
      </c>
      <c r="C3419" s="98">
        <v>2</v>
      </c>
      <c r="D3419" s="98">
        <v>310</v>
      </c>
      <c r="E3419" s="157">
        <v>42752.972222222219</v>
      </c>
      <c r="F3419" s="157">
        <v>42753.22152777778</v>
      </c>
      <c r="G3419" s="98">
        <v>240</v>
      </c>
      <c r="H3419" s="98">
        <v>330</v>
      </c>
      <c r="I3419" s="98">
        <v>296</v>
      </c>
      <c r="J3419" s="98" t="s">
        <v>1966</v>
      </c>
      <c r="K3419" s="98" t="s">
        <v>3609</v>
      </c>
      <c r="L3419" s="105" t="str">
        <f t="shared" si="560"/>
        <v>Mill Creek</v>
      </c>
      <c r="M3419" s="105" t="str">
        <f t="shared" si="561"/>
        <v>Derate</v>
      </c>
      <c r="N3419" s="105" t="str">
        <f t="shared" si="562"/>
        <v>Coal</v>
      </c>
      <c r="O3419" s="105">
        <f>IFERROR(VLOOKUP(A3419,Lookup!$J$5:$P$19,7,FALSE),0)</f>
        <v>2</v>
      </c>
      <c r="P3419" s="159">
        <f t="shared" si="563"/>
        <v>2017</v>
      </c>
      <c r="Q3419" s="159">
        <f t="shared" si="564"/>
        <v>1</v>
      </c>
      <c r="R3419" s="160">
        <f t="shared" si="565"/>
        <v>5.9833333334536292</v>
      </c>
      <c r="S3419" s="158">
        <f t="shared" si="566"/>
        <v>1.6318181818509898</v>
      </c>
      <c r="T3419" s="161">
        <f t="shared" si="567"/>
        <v>483.01818182789299</v>
      </c>
      <c r="U3419" s="158">
        <f t="shared" si="569"/>
        <v>80.727272727272734</v>
      </c>
      <c r="V3419" s="160">
        <f t="shared" si="568"/>
        <v>81</v>
      </c>
    </row>
    <row r="3420" spans="1:22" x14ac:dyDescent="0.25">
      <c r="A3420" s="98" t="s">
        <v>35</v>
      </c>
      <c r="B3420" s="98" t="s">
        <v>79</v>
      </c>
      <c r="C3420" s="98">
        <v>3</v>
      </c>
      <c r="D3420" s="98">
        <v>8460</v>
      </c>
      <c r="E3420" s="157">
        <v>42753.944444444445</v>
      </c>
      <c r="F3420" s="157">
        <v>42754.065972222219</v>
      </c>
      <c r="G3420" s="98">
        <v>0</v>
      </c>
      <c r="H3420" s="98">
        <v>330</v>
      </c>
      <c r="I3420" s="98">
        <v>296</v>
      </c>
      <c r="J3420" s="98" t="s">
        <v>2651</v>
      </c>
      <c r="K3420" s="98" t="s">
        <v>4254</v>
      </c>
      <c r="L3420" s="105" t="str">
        <f t="shared" si="560"/>
        <v>Mill Creek</v>
      </c>
      <c r="M3420" s="105" t="str">
        <f t="shared" si="561"/>
        <v>Other</v>
      </c>
      <c r="N3420" s="105" t="str">
        <f t="shared" si="562"/>
        <v>Coal</v>
      </c>
      <c r="O3420" s="105">
        <f>IFERROR(VLOOKUP(A3420,Lookup!$J$5:$P$19,7,FALSE),0)</f>
        <v>2</v>
      </c>
      <c r="P3420" s="159">
        <f t="shared" si="563"/>
        <v>2017</v>
      </c>
      <c r="Q3420" s="159">
        <f t="shared" si="564"/>
        <v>1</v>
      </c>
      <c r="R3420" s="160">
        <f t="shared" si="565"/>
        <v>2.9166666665696539</v>
      </c>
      <c r="S3420" s="158">
        <f t="shared" si="566"/>
        <v>2.9166666665696539</v>
      </c>
      <c r="T3420" s="161">
        <f t="shared" si="567"/>
        <v>863.33333330461755</v>
      </c>
      <c r="U3420" s="158">
        <f t="shared" si="569"/>
        <v>296</v>
      </c>
      <c r="V3420" s="160">
        <f t="shared" si="568"/>
        <v>296</v>
      </c>
    </row>
    <row r="3421" spans="1:22" x14ac:dyDescent="0.25">
      <c r="A3421" s="98" t="s">
        <v>35</v>
      </c>
      <c r="B3421" s="98" t="s">
        <v>105</v>
      </c>
      <c r="C3421" s="98">
        <v>4</v>
      </c>
      <c r="D3421" s="98">
        <v>310</v>
      </c>
      <c r="E3421" s="157">
        <v>42755</v>
      </c>
      <c r="F3421" s="157">
        <v>42755.243055555555</v>
      </c>
      <c r="G3421" s="98">
        <v>240</v>
      </c>
      <c r="H3421" s="98">
        <v>330</v>
      </c>
      <c r="I3421" s="98">
        <v>296</v>
      </c>
      <c r="J3421" s="98" t="s">
        <v>1966</v>
      </c>
      <c r="K3421" s="98" t="s">
        <v>4285</v>
      </c>
      <c r="L3421" s="105" t="str">
        <f t="shared" si="560"/>
        <v>Mill Creek</v>
      </c>
      <c r="M3421" s="105" t="str">
        <f t="shared" si="561"/>
        <v>Derate</v>
      </c>
      <c r="N3421" s="105" t="str">
        <f t="shared" si="562"/>
        <v>Coal</v>
      </c>
      <c r="O3421" s="105">
        <f>IFERROR(VLOOKUP(A3421,Lookup!$J$5:$P$19,7,FALSE),0)</f>
        <v>2</v>
      </c>
      <c r="P3421" s="159">
        <f t="shared" si="563"/>
        <v>2017</v>
      </c>
      <c r="Q3421" s="159">
        <f t="shared" si="564"/>
        <v>1</v>
      </c>
      <c r="R3421" s="160">
        <f t="shared" si="565"/>
        <v>5.8333333333139308</v>
      </c>
      <c r="S3421" s="158">
        <f t="shared" si="566"/>
        <v>1.5909090909037993</v>
      </c>
      <c r="T3421" s="161">
        <f t="shared" si="567"/>
        <v>470.90909090752461</v>
      </c>
      <c r="U3421" s="158">
        <f t="shared" si="569"/>
        <v>80.727272727272734</v>
      </c>
      <c r="V3421" s="160">
        <f t="shared" si="568"/>
        <v>81</v>
      </c>
    </row>
    <row r="3422" spans="1:22" x14ac:dyDescent="0.25">
      <c r="A3422" s="98" t="s">
        <v>35</v>
      </c>
      <c r="B3422" s="98" t="s">
        <v>17</v>
      </c>
      <c r="C3422" s="98">
        <v>5</v>
      </c>
      <c r="D3422" s="98">
        <v>4261</v>
      </c>
      <c r="E3422" s="157">
        <v>42755.333333333336</v>
      </c>
      <c r="F3422" s="157">
        <v>42755.967361111114</v>
      </c>
      <c r="G3422" s="98">
        <v>280</v>
      </c>
      <c r="H3422" s="98">
        <v>330</v>
      </c>
      <c r="I3422" s="98">
        <v>296</v>
      </c>
      <c r="J3422" s="98" t="s">
        <v>1985</v>
      </c>
      <c r="K3422" s="98" t="s">
        <v>4293</v>
      </c>
      <c r="L3422" s="105" t="str">
        <f t="shared" si="560"/>
        <v>Mill Creek</v>
      </c>
      <c r="M3422" s="105" t="str">
        <f t="shared" si="561"/>
        <v>Derate</v>
      </c>
      <c r="N3422" s="105" t="str">
        <f t="shared" si="562"/>
        <v>Coal</v>
      </c>
      <c r="O3422" s="105">
        <f>IFERROR(VLOOKUP(A3422,Lookup!$J$5:$P$19,7,FALSE),0)</f>
        <v>2</v>
      </c>
      <c r="P3422" s="159">
        <f t="shared" si="563"/>
        <v>2017</v>
      </c>
      <c r="Q3422" s="159">
        <f t="shared" si="564"/>
        <v>1</v>
      </c>
      <c r="R3422" s="160">
        <f t="shared" si="565"/>
        <v>15.216666666674428</v>
      </c>
      <c r="S3422" s="158">
        <f t="shared" si="566"/>
        <v>2.3055555555567313</v>
      </c>
      <c r="T3422" s="161">
        <f t="shared" si="567"/>
        <v>682.44444444479245</v>
      </c>
      <c r="U3422" s="158">
        <f t="shared" si="569"/>
        <v>44.848484848484851</v>
      </c>
      <c r="V3422" s="160">
        <f t="shared" si="568"/>
        <v>45</v>
      </c>
    </row>
    <row r="3423" spans="1:22" x14ac:dyDescent="0.25">
      <c r="A3423" s="98" t="s">
        <v>35</v>
      </c>
      <c r="B3423" s="98" t="s">
        <v>20</v>
      </c>
      <c r="C3423" s="98">
        <v>6</v>
      </c>
      <c r="D3423" s="98">
        <v>4261</v>
      </c>
      <c r="E3423" s="157">
        <v>42755.967361111114</v>
      </c>
      <c r="F3423" s="157">
        <v>42757.898611111108</v>
      </c>
      <c r="G3423" s="98">
        <v>0</v>
      </c>
      <c r="H3423" s="98">
        <v>330</v>
      </c>
      <c r="I3423" s="98">
        <v>296</v>
      </c>
      <c r="J3423" s="98" t="s">
        <v>1985</v>
      </c>
      <c r="K3423" s="98" t="s">
        <v>4294</v>
      </c>
      <c r="L3423" s="105" t="str">
        <f t="shared" si="560"/>
        <v>Mill Creek</v>
      </c>
      <c r="M3423" s="105" t="str">
        <f t="shared" si="561"/>
        <v>Maintenance</v>
      </c>
      <c r="N3423" s="105" t="str">
        <f t="shared" si="562"/>
        <v>Coal</v>
      </c>
      <c r="O3423" s="105">
        <f>IFERROR(VLOOKUP(A3423,Lookup!$J$5:$P$19,7,FALSE),0)</f>
        <v>2</v>
      </c>
      <c r="P3423" s="159">
        <f t="shared" si="563"/>
        <v>2017</v>
      </c>
      <c r="Q3423" s="159">
        <f t="shared" si="564"/>
        <v>1</v>
      </c>
      <c r="R3423" s="160">
        <f t="shared" si="565"/>
        <v>46.349999999860302</v>
      </c>
      <c r="S3423" s="158">
        <f t="shared" si="566"/>
        <v>46.349999999860302</v>
      </c>
      <c r="T3423" s="161">
        <f t="shared" si="567"/>
        <v>13719.599999958649</v>
      </c>
      <c r="U3423" s="158">
        <f t="shared" si="569"/>
        <v>296</v>
      </c>
      <c r="V3423" s="160">
        <f t="shared" si="568"/>
        <v>296</v>
      </c>
    </row>
    <row r="3424" spans="1:22" x14ac:dyDescent="0.25">
      <c r="A3424" s="98" t="s">
        <v>35</v>
      </c>
      <c r="B3424" s="98" t="s">
        <v>105</v>
      </c>
      <c r="C3424" s="98">
        <v>7</v>
      </c>
      <c r="D3424" s="98">
        <v>310</v>
      </c>
      <c r="E3424" s="157">
        <v>42757.979166666664</v>
      </c>
      <c r="F3424" s="157">
        <v>42758.170138888891</v>
      </c>
      <c r="G3424" s="98">
        <v>240</v>
      </c>
      <c r="H3424" s="98">
        <v>330</v>
      </c>
      <c r="I3424" s="98">
        <v>296</v>
      </c>
      <c r="J3424" s="98" t="s">
        <v>1966</v>
      </c>
      <c r="K3424" s="98" t="s">
        <v>4286</v>
      </c>
      <c r="L3424" s="105" t="str">
        <f t="shared" si="560"/>
        <v>Mill Creek</v>
      </c>
      <c r="M3424" s="105" t="str">
        <f t="shared" si="561"/>
        <v>Derate</v>
      </c>
      <c r="N3424" s="105" t="str">
        <f t="shared" si="562"/>
        <v>Coal</v>
      </c>
      <c r="O3424" s="105">
        <f>IFERROR(VLOOKUP(A3424,Lookup!$J$5:$P$19,7,FALSE),0)</f>
        <v>2</v>
      </c>
      <c r="P3424" s="159">
        <f t="shared" si="563"/>
        <v>2017</v>
      </c>
      <c r="Q3424" s="159">
        <f t="shared" si="564"/>
        <v>1</v>
      </c>
      <c r="R3424" s="160">
        <f t="shared" si="565"/>
        <v>4.5833333334303461</v>
      </c>
      <c r="S3424" s="158">
        <f t="shared" si="566"/>
        <v>1.2500000000264579</v>
      </c>
      <c r="T3424" s="161">
        <f t="shared" si="567"/>
        <v>370.00000000783155</v>
      </c>
      <c r="U3424" s="158">
        <f t="shared" si="569"/>
        <v>80.727272727272734</v>
      </c>
      <c r="V3424" s="160">
        <f t="shared" si="568"/>
        <v>81</v>
      </c>
    </row>
    <row r="3425" spans="1:22" x14ac:dyDescent="0.25">
      <c r="A3425" s="98" t="s">
        <v>35</v>
      </c>
      <c r="B3425" s="98" t="s">
        <v>79</v>
      </c>
      <c r="C3425" s="98">
        <v>8</v>
      </c>
      <c r="D3425" s="98">
        <v>4490</v>
      </c>
      <c r="E3425" s="157">
        <v>42768.3125</v>
      </c>
      <c r="F3425" s="157">
        <v>42768.572916666664</v>
      </c>
      <c r="G3425" s="98">
        <v>0</v>
      </c>
      <c r="H3425" s="98">
        <v>330</v>
      </c>
      <c r="I3425" s="98">
        <v>296</v>
      </c>
      <c r="J3425" s="98" t="s">
        <v>2084</v>
      </c>
      <c r="K3425" s="98" t="s">
        <v>4295</v>
      </c>
      <c r="L3425" s="105" t="str">
        <f t="shared" si="560"/>
        <v>Mill Creek</v>
      </c>
      <c r="M3425" s="105" t="str">
        <f t="shared" si="561"/>
        <v>Other</v>
      </c>
      <c r="N3425" s="105" t="str">
        <f t="shared" si="562"/>
        <v>Coal</v>
      </c>
      <c r="O3425" s="105">
        <f>IFERROR(VLOOKUP(A3425,Lookup!$J$5:$P$19,7,FALSE),0)</f>
        <v>2</v>
      </c>
      <c r="P3425" s="159">
        <f t="shared" si="563"/>
        <v>2017</v>
      </c>
      <c r="Q3425" s="159">
        <f t="shared" si="564"/>
        <v>2</v>
      </c>
      <c r="R3425" s="160">
        <f t="shared" si="565"/>
        <v>6.2499999999417923</v>
      </c>
      <c r="S3425" s="158">
        <f t="shared" si="566"/>
        <v>6.2499999999417923</v>
      </c>
      <c r="T3425" s="161">
        <f t="shared" si="567"/>
        <v>1849.9999999827705</v>
      </c>
      <c r="U3425" s="158">
        <f t="shared" si="569"/>
        <v>296</v>
      </c>
      <c r="V3425" s="160">
        <f t="shared" si="568"/>
        <v>296</v>
      </c>
    </row>
    <row r="3426" spans="1:22" x14ac:dyDescent="0.25">
      <c r="A3426" s="98" t="s">
        <v>35</v>
      </c>
      <c r="B3426" s="98" t="s">
        <v>17</v>
      </c>
      <c r="C3426" s="98">
        <v>9</v>
      </c>
      <c r="D3426" s="98">
        <v>1488</v>
      </c>
      <c r="E3426" s="157">
        <v>42779.895833333336</v>
      </c>
      <c r="F3426" s="157">
        <v>42779.921527777777</v>
      </c>
      <c r="G3426" s="98">
        <v>200</v>
      </c>
      <c r="H3426" s="98">
        <v>330</v>
      </c>
      <c r="I3426" s="98">
        <v>296</v>
      </c>
      <c r="J3426" s="98" t="s">
        <v>2284</v>
      </c>
      <c r="K3426" s="98" t="s">
        <v>4296</v>
      </c>
      <c r="L3426" s="105" t="str">
        <f t="shared" si="560"/>
        <v>Mill Creek</v>
      </c>
      <c r="M3426" s="105" t="str">
        <f t="shared" si="561"/>
        <v>Derate</v>
      </c>
      <c r="N3426" s="105" t="str">
        <f t="shared" si="562"/>
        <v>Coal</v>
      </c>
      <c r="O3426" s="105">
        <f>IFERROR(VLOOKUP(A3426,Lookup!$J$5:$P$19,7,FALSE),0)</f>
        <v>2</v>
      </c>
      <c r="P3426" s="159">
        <f t="shared" si="563"/>
        <v>2017</v>
      </c>
      <c r="Q3426" s="159">
        <f t="shared" si="564"/>
        <v>2</v>
      </c>
      <c r="R3426" s="160">
        <f t="shared" si="565"/>
        <v>0.61666666658129543</v>
      </c>
      <c r="S3426" s="158">
        <f t="shared" si="566"/>
        <v>0.24292929289566184</v>
      </c>
      <c r="T3426" s="161">
        <f t="shared" si="567"/>
        <v>71.907070697115898</v>
      </c>
      <c r="U3426" s="158">
        <f t="shared" si="569"/>
        <v>116.60606060606061</v>
      </c>
      <c r="V3426" s="160">
        <f t="shared" si="568"/>
        <v>117</v>
      </c>
    </row>
    <row r="3427" spans="1:22" x14ac:dyDescent="0.25">
      <c r="A3427" s="98" t="s">
        <v>35</v>
      </c>
      <c r="B3427" s="98" t="s">
        <v>17</v>
      </c>
      <c r="C3427" s="98">
        <v>10</v>
      </c>
      <c r="D3427" s="98">
        <v>360</v>
      </c>
      <c r="E3427" s="157">
        <v>42780.345138888886</v>
      </c>
      <c r="F3427" s="157">
        <v>42780.384027777778</v>
      </c>
      <c r="G3427" s="98">
        <v>240</v>
      </c>
      <c r="H3427" s="98">
        <v>330</v>
      </c>
      <c r="I3427" s="98">
        <v>296</v>
      </c>
      <c r="J3427" s="98" t="s">
        <v>229</v>
      </c>
      <c r="K3427" s="98" t="s">
        <v>4297</v>
      </c>
      <c r="L3427" s="105" t="str">
        <f t="shared" si="560"/>
        <v>Mill Creek</v>
      </c>
      <c r="M3427" s="105" t="str">
        <f t="shared" si="561"/>
        <v>Derate</v>
      </c>
      <c r="N3427" s="105" t="str">
        <f t="shared" si="562"/>
        <v>Coal</v>
      </c>
      <c r="O3427" s="105">
        <f>IFERROR(VLOOKUP(A3427,Lookup!$J$5:$P$19,7,FALSE),0)</f>
        <v>2</v>
      </c>
      <c r="P3427" s="159">
        <f t="shared" si="563"/>
        <v>2017</v>
      </c>
      <c r="Q3427" s="159">
        <f t="shared" si="564"/>
        <v>2</v>
      </c>
      <c r="R3427" s="160">
        <f t="shared" si="565"/>
        <v>0.93333333340706304</v>
      </c>
      <c r="S3427" s="158">
        <f t="shared" si="566"/>
        <v>0.25454545456556266</v>
      </c>
      <c r="T3427" s="161">
        <f t="shared" si="567"/>
        <v>75.345454551406547</v>
      </c>
      <c r="U3427" s="158">
        <f t="shared" si="569"/>
        <v>80.727272727272734</v>
      </c>
      <c r="V3427" s="160">
        <f t="shared" si="568"/>
        <v>81</v>
      </c>
    </row>
    <row r="3428" spans="1:22" x14ac:dyDescent="0.25">
      <c r="A3428" s="98" t="s">
        <v>35</v>
      </c>
      <c r="B3428" s="98" t="s">
        <v>17</v>
      </c>
      <c r="C3428" s="98">
        <v>11</v>
      </c>
      <c r="D3428" s="98">
        <v>580</v>
      </c>
      <c r="E3428" s="157">
        <v>42800.123611111114</v>
      </c>
      <c r="F3428" s="157">
        <v>42800.274305555555</v>
      </c>
      <c r="G3428" s="98">
        <v>150</v>
      </c>
      <c r="H3428" s="98">
        <v>330</v>
      </c>
      <c r="I3428" s="98">
        <v>296</v>
      </c>
      <c r="J3428" s="98" t="s">
        <v>2497</v>
      </c>
      <c r="K3428" s="98" t="s">
        <v>4298</v>
      </c>
      <c r="L3428" s="105" t="str">
        <f t="shared" si="560"/>
        <v>Mill Creek</v>
      </c>
      <c r="M3428" s="105" t="str">
        <f t="shared" si="561"/>
        <v>Derate</v>
      </c>
      <c r="N3428" s="105" t="str">
        <f t="shared" si="562"/>
        <v>Coal</v>
      </c>
      <c r="O3428" s="105">
        <f>IFERROR(VLOOKUP(A3428,Lookup!$J$5:$P$19,7,FALSE),0)</f>
        <v>2</v>
      </c>
      <c r="P3428" s="159">
        <f t="shared" si="563"/>
        <v>2017</v>
      </c>
      <c r="Q3428" s="159">
        <f t="shared" si="564"/>
        <v>3</v>
      </c>
      <c r="R3428" s="160">
        <f t="shared" si="565"/>
        <v>3.6166666665812954</v>
      </c>
      <c r="S3428" s="158">
        <f t="shared" si="566"/>
        <v>1.9727272726807066</v>
      </c>
      <c r="T3428" s="161">
        <f t="shared" si="567"/>
        <v>583.92727271348917</v>
      </c>
      <c r="U3428" s="158">
        <f t="shared" si="569"/>
        <v>161.45454545454547</v>
      </c>
      <c r="V3428" s="160">
        <f t="shared" si="568"/>
        <v>161</v>
      </c>
    </row>
    <row r="3429" spans="1:22" x14ac:dyDescent="0.25">
      <c r="A3429" s="98" t="s">
        <v>35</v>
      </c>
      <c r="B3429" s="98" t="s">
        <v>79</v>
      </c>
      <c r="C3429" s="98">
        <v>12</v>
      </c>
      <c r="D3429" s="98">
        <v>4490</v>
      </c>
      <c r="E3429" s="157">
        <v>42800.333333333336</v>
      </c>
      <c r="F3429" s="157">
        <v>42800.550694444442</v>
      </c>
      <c r="G3429" s="98">
        <v>0</v>
      </c>
      <c r="H3429" s="98">
        <v>330</v>
      </c>
      <c r="I3429" s="98">
        <v>296</v>
      </c>
      <c r="J3429" s="98" t="s">
        <v>2084</v>
      </c>
      <c r="K3429" s="98" t="s">
        <v>4295</v>
      </c>
      <c r="L3429" s="105" t="str">
        <f t="shared" si="560"/>
        <v>Mill Creek</v>
      </c>
      <c r="M3429" s="105" t="str">
        <f t="shared" si="561"/>
        <v>Other</v>
      </c>
      <c r="N3429" s="105" t="str">
        <f t="shared" si="562"/>
        <v>Coal</v>
      </c>
      <c r="O3429" s="105">
        <f>IFERROR(VLOOKUP(A3429,Lookup!$J$5:$P$19,7,FALSE),0)</f>
        <v>2</v>
      </c>
      <c r="P3429" s="159">
        <f t="shared" si="563"/>
        <v>2017</v>
      </c>
      <c r="Q3429" s="159">
        <f t="shared" si="564"/>
        <v>3</v>
      </c>
      <c r="R3429" s="160">
        <f t="shared" si="565"/>
        <v>5.2166666665580124</v>
      </c>
      <c r="S3429" s="158">
        <f t="shared" si="566"/>
        <v>5.2166666665580124</v>
      </c>
      <c r="T3429" s="161">
        <f t="shared" si="567"/>
        <v>1544.1333333011717</v>
      </c>
      <c r="U3429" s="158">
        <f t="shared" si="569"/>
        <v>296</v>
      </c>
      <c r="V3429" s="160">
        <f t="shared" si="568"/>
        <v>296</v>
      </c>
    </row>
    <row r="3430" spans="1:22" x14ac:dyDescent="0.25">
      <c r="A3430" s="98" t="s">
        <v>35</v>
      </c>
      <c r="B3430" s="98" t="s">
        <v>38</v>
      </c>
      <c r="C3430" s="98">
        <v>13</v>
      </c>
      <c r="D3430" s="98">
        <v>4402</v>
      </c>
      <c r="E3430" s="157">
        <v>42832.965277777781</v>
      </c>
      <c r="F3430" s="157">
        <v>42849.59652777778</v>
      </c>
      <c r="G3430" s="98">
        <v>0</v>
      </c>
      <c r="H3430" s="98">
        <v>330</v>
      </c>
      <c r="I3430" s="98">
        <v>296</v>
      </c>
      <c r="J3430" s="98" t="s">
        <v>2146</v>
      </c>
      <c r="K3430" s="98" t="s">
        <v>4268</v>
      </c>
      <c r="L3430" s="105" t="str">
        <f t="shared" ref="L3430:L3493" si="570">IF(OR(A3430="BR1",A3430="BR2",A3430="BR3",A3430="BR5",A3430="BR6",A3430="BR7",A3430="BR8",A3430="BR9",A3430="BR10",A3430="BR11"),"Brown",IF(OR(A3430="CR4",A3430="CR5",A3430="CR6",A3430="CR11"),"Cane Run",IF(OR(A3430="GH1",A3430="GH2",A3430="GH3",A3430="GH4"),"Ghent",IF(OR(A3430="GR3",A3430="GR4"),"Green River",IF(OR(A3430="MC1",A3430="MC2",A3430="MC3",A3430="MC4"),"Mill Creek",IF(OR(A3430="TC1",A3430="TC2",A3430="TC5",A3430="TC6",A3430="TC7",A3430="TC8",A3430="TC9",A3430="TC10"),"Trimble",IF(A3430="TY3","Tyrone",IF(OR(A3430="HA1",A3430="HA2",A3430="HA3"),"Haeflin",IF(OR(A3430="PR11",A3430="PR12",A3430="PR13"),"Paddy's Run","Zorn")))))))))</f>
        <v>Mill Creek</v>
      </c>
      <c r="M3430" s="105" t="str">
        <f t="shared" ref="M3430:M3493" si="571">IF(OR(B3430="D1",B3430="D2",B3430="D3",B3430="D4",B3430="PD"),"Derate",IF(OR(B3430="SF",B3430="U1",B3430="U2",B3430="U3"),"Outage",IF(OR(B3430="ME",B3430="MO"),"Maintenance","Other")))</f>
        <v>Other</v>
      </c>
      <c r="N3430" s="105" t="str">
        <f t="shared" ref="N3430:N3493" si="572">IF(OR(A3430="BR1",A3430="BR2",A3430="BR3",A3430="CR4",A3430="CR5",A3430="CR6",A3430="GH1",A3430="GH2",A3430="GH3",A3430="GH4",A3430="GR3",A3430="GR4",A3430="MC1",A3430="MC2",A3430="MC3",A3430="MC4",A3430="TC1",A3430="TC2",A3430="TY3"),"Coal","Gas")</f>
        <v>Coal</v>
      </c>
      <c r="O3430" s="105">
        <f>IFERROR(VLOOKUP(A3430,Lookup!$J$5:$P$19,7,FALSE),0)</f>
        <v>2</v>
      </c>
      <c r="P3430" s="159">
        <f t="shared" ref="P3430:P3493" si="573">YEAR(E3430)</f>
        <v>2017</v>
      </c>
      <c r="Q3430" s="159">
        <f t="shared" ref="Q3430:Q3493" si="574">MONTH(E3430)</f>
        <v>4</v>
      </c>
      <c r="R3430" s="160">
        <f t="shared" ref="R3430:R3493" si="575">(F3430-E3430)*24</f>
        <v>399.14999999996508</v>
      </c>
      <c r="S3430" s="158">
        <f t="shared" ref="S3430:S3493" si="576">R3430*(H3430-G3430)/H3430</f>
        <v>399.14999999996508</v>
      </c>
      <c r="T3430" s="161">
        <f t="shared" ref="T3430:T3493" si="577">S3430*I3430</f>
        <v>118148.39999998966</v>
      </c>
      <c r="U3430" s="158">
        <f t="shared" si="569"/>
        <v>296</v>
      </c>
      <c r="V3430" s="160">
        <f t="shared" ref="V3430:V3493" si="578">ROUND(U3430,0)</f>
        <v>296</v>
      </c>
    </row>
    <row r="3431" spans="1:22" x14ac:dyDescent="0.25">
      <c r="A3431" s="98" t="s">
        <v>35</v>
      </c>
      <c r="B3431" s="98" t="s">
        <v>17</v>
      </c>
      <c r="C3431" s="98">
        <v>14</v>
      </c>
      <c r="D3431" s="98">
        <v>1850</v>
      </c>
      <c r="E3431" s="157">
        <v>42850.34652777778</v>
      </c>
      <c r="F3431" s="157">
        <v>42850.46875</v>
      </c>
      <c r="G3431" s="98">
        <v>300</v>
      </c>
      <c r="H3431" s="98">
        <v>330</v>
      </c>
      <c r="I3431" s="98">
        <v>296</v>
      </c>
      <c r="J3431" s="98" t="s">
        <v>2263</v>
      </c>
      <c r="K3431" s="98" t="s">
        <v>4274</v>
      </c>
      <c r="L3431" s="105" t="str">
        <f t="shared" si="570"/>
        <v>Mill Creek</v>
      </c>
      <c r="M3431" s="105" t="str">
        <f t="shared" si="571"/>
        <v>Derate</v>
      </c>
      <c r="N3431" s="105" t="str">
        <f t="shared" si="572"/>
        <v>Coal</v>
      </c>
      <c r="O3431" s="105">
        <f>IFERROR(VLOOKUP(A3431,Lookup!$J$5:$P$19,7,FALSE),0)</f>
        <v>2</v>
      </c>
      <c r="P3431" s="159">
        <f t="shared" si="573"/>
        <v>2017</v>
      </c>
      <c r="Q3431" s="159">
        <f t="shared" si="574"/>
        <v>4</v>
      </c>
      <c r="R3431" s="160">
        <f t="shared" si="575"/>
        <v>2.9333333332906477</v>
      </c>
      <c r="S3431" s="158">
        <f t="shared" si="576"/>
        <v>0.26666666666278616</v>
      </c>
      <c r="T3431" s="161">
        <f t="shared" si="577"/>
        <v>78.933333332184702</v>
      </c>
      <c r="U3431" s="158">
        <f t="shared" ref="U3431:U3494" si="579">IF(G3431&gt;0,MAX((H3431-G3431),0)*I3431/H3431,I3431)</f>
        <v>26.90909090909091</v>
      </c>
      <c r="V3431" s="160">
        <f t="shared" si="578"/>
        <v>27</v>
      </c>
    </row>
    <row r="3432" spans="1:22" x14ac:dyDescent="0.25">
      <c r="A3432" s="98" t="s">
        <v>35</v>
      </c>
      <c r="B3432" s="98" t="s">
        <v>17</v>
      </c>
      <c r="C3432" s="98">
        <v>15</v>
      </c>
      <c r="D3432" s="98">
        <v>3133</v>
      </c>
      <c r="E3432" s="157">
        <v>42850.46875</v>
      </c>
      <c r="F3432" s="157">
        <v>42850.506249999999</v>
      </c>
      <c r="G3432" s="98">
        <v>205</v>
      </c>
      <c r="H3432" s="98">
        <v>330</v>
      </c>
      <c r="I3432" s="98">
        <v>296</v>
      </c>
      <c r="J3432" s="98" t="s">
        <v>2181</v>
      </c>
      <c r="K3432" s="98" t="s">
        <v>4299</v>
      </c>
      <c r="L3432" s="105" t="str">
        <f t="shared" si="570"/>
        <v>Mill Creek</v>
      </c>
      <c r="M3432" s="105" t="str">
        <f t="shared" si="571"/>
        <v>Derate</v>
      </c>
      <c r="N3432" s="105" t="str">
        <f t="shared" si="572"/>
        <v>Coal</v>
      </c>
      <c r="O3432" s="105">
        <f>IFERROR(VLOOKUP(A3432,Lookup!$J$5:$P$19,7,FALSE),0)</f>
        <v>2</v>
      </c>
      <c r="P3432" s="159">
        <f t="shared" si="573"/>
        <v>2017</v>
      </c>
      <c r="Q3432" s="159">
        <f t="shared" si="574"/>
        <v>4</v>
      </c>
      <c r="R3432" s="160">
        <f t="shared" si="575"/>
        <v>0.8999999999650754</v>
      </c>
      <c r="S3432" s="158">
        <f t="shared" si="576"/>
        <v>0.34090909089586191</v>
      </c>
      <c r="T3432" s="161">
        <f t="shared" si="577"/>
        <v>100.90909090517512</v>
      </c>
      <c r="U3432" s="158">
        <f t="shared" si="579"/>
        <v>112.12121212121212</v>
      </c>
      <c r="V3432" s="160">
        <f t="shared" si="578"/>
        <v>112</v>
      </c>
    </row>
    <row r="3433" spans="1:22" x14ac:dyDescent="0.25">
      <c r="A3433" s="98" t="s">
        <v>35</v>
      </c>
      <c r="B3433" s="98" t="s">
        <v>17</v>
      </c>
      <c r="C3433" s="98">
        <v>16</v>
      </c>
      <c r="D3433" s="98">
        <v>3133</v>
      </c>
      <c r="E3433" s="157">
        <v>42850.506249999999</v>
      </c>
      <c r="F3433" s="157">
        <v>42850.602777777778</v>
      </c>
      <c r="G3433" s="98">
        <v>114</v>
      </c>
      <c r="H3433" s="98">
        <v>330</v>
      </c>
      <c r="I3433" s="98">
        <v>296</v>
      </c>
      <c r="J3433" s="98" t="s">
        <v>2181</v>
      </c>
      <c r="K3433" s="98" t="s">
        <v>4299</v>
      </c>
      <c r="L3433" s="105" t="str">
        <f t="shared" si="570"/>
        <v>Mill Creek</v>
      </c>
      <c r="M3433" s="105" t="str">
        <f t="shared" si="571"/>
        <v>Derate</v>
      </c>
      <c r="N3433" s="105" t="str">
        <f t="shared" si="572"/>
        <v>Coal</v>
      </c>
      <c r="O3433" s="105">
        <f>IFERROR(VLOOKUP(A3433,Lookup!$J$5:$P$19,7,FALSE),0)</f>
        <v>2</v>
      </c>
      <c r="P3433" s="159">
        <f t="shared" si="573"/>
        <v>2017</v>
      </c>
      <c r="Q3433" s="159">
        <f t="shared" si="574"/>
        <v>4</v>
      </c>
      <c r="R3433" s="160">
        <f t="shared" si="575"/>
        <v>2.3166666667093523</v>
      </c>
      <c r="S3433" s="158">
        <f t="shared" si="576"/>
        <v>1.516363636391576</v>
      </c>
      <c r="T3433" s="161">
        <f t="shared" si="577"/>
        <v>448.84363637190648</v>
      </c>
      <c r="U3433" s="158">
        <f t="shared" si="579"/>
        <v>193.74545454545455</v>
      </c>
      <c r="V3433" s="160">
        <f t="shared" si="578"/>
        <v>194</v>
      </c>
    </row>
    <row r="3434" spans="1:22" x14ac:dyDescent="0.25">
      <c r="A3434" s="98" t="s">
        <v>35</v>
      </c>
      <c r="B3434" s="98" t="s">
        <v>17</v>
      </c>
      <c r="C3434" s="98">
        <v>17</v>
      </c>
      <c r="D3434" s="98">
        <v>580</v>
      </c>
      <c r="E3434" s="157">
        <v>42851.194444444445</v>
      </c>
      <c r="F3434" s="157">
        <v>42851.335416666669</v>
      </c>
      <c r="G3434" s="98">
        <v>225</v>
      </c>
      <c r="H3434" s="98">
        <v>330</v>
      </c>
      <c r="I3434" s="98">
        <v>296</v>
      </c>
      <c r="J3434" s="98" t="s">
        <v>2497</v>
      </c>
      <c r="K3434" s="98" t="s">
        <v>4300</v>
      </c>
      <c r="L3434" s="105" t="str">
        <f t="shared" si="570"/>
        <v>Mill Creek</v>
      </c>
      <c r="M3434" s="105" t="str">
        <f t="shared" si="571"/>
        <v>Derate</v>
      </c>
      <c r="N3434" s="105" t="str">
        <f t="shared" si="572"/>
        <v>Coal</v>
      </c>
      <c r="O3434" s="105">
        <f>IFERROR(VLOOKUP(A3434,Lookup!$J$5:$P$19,7,FALSE),0)</f>
        <v>2</v>
      </c>
      <c r="P3434" s="159">
        <f t="shared" si="573"/>
        <v>2017</v>
      </c>
      <c r="Q3434" s="159">
        <f t="shared" si="574"/>
        <v>4</v>
      </c>
      <c r="R3434" s="160">
        <f t="shared" si="575"/>
        <v>3.3833333333604969</v>
      </c>
      <c r="S3434" s="158">
        <f t="shared" si="576"/>
        <v>1.0765151515237945</v>
      </c>
      <c r="T3434" s="161">
        <f t="shared" si="577"/>
        <v>318.64848485104318</v>
      </c>
      <c r="U3434" s="158">
        <f t="shared" si="579"/>
        <v>94.181818181818187</v>
      </c>
      <c r="V3434" s="160">
        <f t="shared" si="578"/>
        <v>94</v>
      </c>
    </row>
    <row r="3435" spans="1:22" x14ac:dyDescent="0.25">
      <c r="A3435" s="98" t="s">
        <v>35</v>
      </c>
      <c r="B3435" s="98" t="s">
        <v>15</v>
      </c>
      <c r="C3435" s="98">
        <v>18</v>
      </c>
      <c r="D3435" s="98">
        <v>800</v>
      </c>
      <c r="E3435" s="157">
        <v>42854.322222222225</v>
      </c>
      <c r="F3435" s="157">
        <v>42854.520138888889</v>
      </c>
      <c r="G3435" s="98">
        <v>0</v>
      </c>
      <c r="H3435" s="98">
        <v>330</v>
      </c>
      <c r="I3435" s="98">
        <v>296</v>
      </c>
      <c r="J3435" s="98" t="s">
        <v>2197</v>
      </c>
      <c r="K3435" s="98" t="s">
        <v>4270</v>
      </c>
      <c r="L3435" s="105" t="str">
        <f t="shared" si="570"/>
        <v>Mill Creek</v>
      </c>
      <c r="M3435" s="105" t="str">
        <f t="shared" si="571"/>
        <v>Outage</v>
      </c>
      <c r="N3435" s="105" t="str">
        <f t="shared" si="572"/>
        <v>Coal</v>
      </c>
      <c r="O3435" s="105">
        <f>IFERROR(VLOOKUP(A3435,Lookup!$J$5:$P$19,7,FALSE),0)</f>
        <v>2</v>
      </c>
      <c r="P3435" s="159">
        <f t="shared" si="573"/>
        <v>2017</v>
      </c>
      <c r="Q3435" s="159">
        <f t="shared" si="574"/>
        <v>4</v>
      </c>
      <c r="R3435" s="160">
        <f t="shared" si="575"/>
        <v>4.7499999999417923</v>
      </c>
      <c r="S3435" s="158">
        <f t="shared" si="576"/>
        <v>4.7499999999417923</v>
      </c>
      <c r="T3435" s="161">
        <f t="shared" si="577"/>
        <v>1405.9999999827705</v>
      </c>
      <c r="U3435" s="158">
        <f t="shared" si="579"/>
        <v>296</v>
      </c>
      <c r="V3435" s="160">
        <f t="shared" si="578"/>
        <v>296</v>
      </c>
    </row>
    <row r="3436" spans="1:22" x14ac:dyDescent="0.25">
      <c r="A3436" s="98" t="s">
        <v>35</v>
      </c>
      <c r="B3436" s="98" t="s">
        <v>17</v>
      </c>
      <c r="C3436" s="98">
        <v>19</v>
      </c>
      <c r="D3436" s="98">
        <v>1850</v>
      </c>
      <c r="E3436" s="157">
        <v>42854.714583333334</v>
      </c>
      <c r="F3436" s="157">
        <v>42855.069444444445</v>
      </c>
      <c r="G3436" s="98">
        <v>265</v>
      </c>
      <c r="H3436" s="98">
        <v>330</v>
      </c>
      <c r="I3436" s="98">
        <v>296</v>
      </c>
      <c r="J3436" s="98" t="s">
        <v>2263</v>
      </c>
      <c r="K3436" s="98" t="s">
        <v>4274</v>
      </c>
      <c r="L3436" s="105" t="str">
        <f t="shared" si="570"/>
        <v>Mill Creek</v>
      </c>
      <c r="M3436" s="105" t="str">
        <f t="shared" si="571"/>
        <v>Derate</v>
      </c>
      <c r="N3436" s="105" t="str">
        <f t="shared" si="572"/>
        <v>Coal</v>
      </c>
      <c r="O3436" s="105">
        <f>IFERROR(VLOOKUP(A3436,Lookup!$J$5:$P$19,7,FALSE),0)</f>
        <v>2</v>
      </c>
      <c r="P3436" s="159">
        <f t="shared" si="573"/>
        <v>2017</v>
      </c>
      <c r="Q3436" s="159">
        <f t="shared" si="574"/>
        <v>4</v>
      </c>
      <c r="R3436" s="160">
        <f t="shared" si="575"/>
        <v>8.5166666666627862</v>
      </c>
      <c r="S3436" s="158">
        <f t="shared" si="576"/>
        <v>1.6775252525244881</v>
      </c>
      <c r="T3436" s="161">
        <f t="shared" si="577"/>
        <v>496.54747474724849</v>
      </c>
      <c r="U3436" s="158">
        <f t="shared" si="579"/>
        <v>58.303030303030305</v>
      </c>
      <c r="V3436" s="160">
        <f t="shared" si="578"/>
        <v>58</v>
      </c>
    </row>
    <row r="3437" spans="1:22" x14ac:dyDescent="0.25">
      <c r="A3437" s="98" t="s">
        <v>35</v>
      </c>
      <c r="B3437" s="98" t="s">
        <v>17</v>
      </c>
      <c r="C3437" s="98">
        <v>20</v>
      </c>
      <c r="D3437" s="98">
        <v>1850</v>
      </c>
      <c r="E3437" s="157">
        <v>42855.069444444445</v>
      </c>
      <c r="F3437" s="157">
        <v>42855.244444444441</v>
      </c>
      <c r="G3437" s="98">
        <v>315</v>
      </c>
      <c r="H3437" s="98">
        <v>330</v>
      </c>
      <c r="I3437" s="98">
        <v>296</v>
      </c>
      <c r="J3437" s="98" t="s">
        <v>2263</v>
      </c>
      <c r="K3437" s="98" t="s">
        <v>4274</v>
      </c>
      <c r="L3437" s="105" t="str">
        <f t="shared" si="570"/>
        <v>Mill Creek</v>
      </c>
      <c r="M3437" s="105" t="str">
        <f t="shared" si="571"/>
        <v>Derate</v>
      </c>
      <c r="N3437" s="105" t="str">
        <f t="shared" si="572"/>
        <v>Coal</v>
      </c>
      <c r="O3437" s="105">
        <f>IFERROR(VLOOKUP(A3437,Lookup!$J$5:$P$19,7,FALSE),0)</f>
        <v>2</v>
      </c>
      <c r="P3437" s="159">
        <f t="shared" si="573"/>
        <v>2017</v>
      </c>
      <c r="Q3437" s="159">
        <f t="shared" si="574"/>
        <v>4</v>
      </c>
      <c r="R3437" s="160">
        <f t="shared" si="575"/>
        <v>4.1999999998952262</v>
      </c>
      <c r="S3437" s="158">
        <f t="shared" si="576"/>
        <v>0.19090909090432848</v>
      </c>
      <c r="T3437" s="161">
        <f t="shared" si="577"/>
        <v>56.509090907681227</v>
      </c>
      <c r="U3437" s="158">
        <f t="shared" si="579"/>
        <v>13.454545454545455</v>
      </c>
      <c r="V3437" s="160">
        <f t="shared" si="578"/>
        <v>13</v>
      </c>
    </row>
    <row r="3438" spans="1:22" x14ac:dyDescent="0.25">
      <c r="A3438" s="98" t="s">
        <v>35</v>
      </c>
      <c r="B3438" s="98" t="s">
        <v>20</v>
      </c>
      <c r="C3438" s="98">
        <v>21</v>
      </c>
      <c r="D3438" s="98">
        <v>3344</v>
      </c>
      <c r="E3438" s="157">
        <v>42857.888888888891</v>
      </c>
      <c r="F3438" s="157">
        <v>42858.984027777777</v>
      </c>
      <c r="G3438" s="98">
        <v>0</v>
      </c>
      <c r="H3438" s="98">
        <v>330</v>
      </c>
      <c r="I3438" s="98">
        <v>296</v>
      </c>
      <c r="J3438" s="98" t="s">
        <v>2165</v>
      </c>
      <c r="K3438" s="98" t="s">
        <v>4301</v>
      </c>
      <c r="L3438" s="105" t="str">
        <f t="shared" si="570"/>
        <v>Mill Creek</v>
      </c>
      <c r="M3438" s="105" t="str">
        <f t="shared" si="571"/>
        <v>Maintenance</v>
      </c>
      <c r="N3438" s="105" t="str">
        <f t="shared" si="572"/>
        <v>Coal</v>
      </c>
      <c r="O3438" s="105">
        <f>IFERROR(VLOOKUP(A3438,Lookup!$J$5:$P$19,7,FALSE),0)</f>
        <v>2</v>
      </c>
      <c r="P3438" s="159">
        <f t="shared" si="573"/>
        <v>2017</v>
      </c>
      <c r="Q3438" s="159">
        <f t="shared" si="574"/>
        <v>5</v>
      </c>
      <c r="R3438" s="160">
        <f t="shared" si="575"/>
        <v>26.283333333267365</v>
      </c>
      <c r="S3438" s="158">
        <f t="shared" si="576"/>
        <v>26.283333333267365</v>
      </c>
      <c r="T3438" s="161">
        <f t="shared" si="577"/>
        <v>7779.8666666471399</v>
      </c>
      <c r="U3438" s="158">
        <f t="shared" si="579"/>
        <v>296</v>
      </c>
      <c r="V3438" s="160">
        <f t="shared" si="578"/>
        <v>296</v>
      </c>
    </row>
    <row r="3439" spans="1:22" x14ac:dyDescent="0.25">
      <c r="A3439" s="98" t="s">
        <v>35</v>
      </c>
      <c r="B3439" s="98" t="s">
        <v>17</v>
      </c>
      <c r="C3439" s="98">
        <v>22</v>
      </c>
      <c r="D3439" s="98">
        <v>9940</v>
      </c>
      <c r="E3439" s="157">
        <v>42859.232638888891</v>
      </c>
      <c r="F3439" s="157">
        <v>42859.287499999999</v>
      </c>
      <c r="G3439" s="98">
        <v>200</v>
      </c>
      <c r="H3439" s="98">
        <v>330</v>
      </c>
      <c r="I3439" s="98">
        <v>296</v>
      </c>
      <c r="J3439" s="98" t="s">
        <v>4302</v>
      </c>
      <c r="K3439" s="98" t="s">
        <v>4303</v>
      </c>
      <c r="L3439" s="105" t="str">
        <f t="shared" si="570"/>
        <v>Mill Creek</v>
      </c>
      <c r="M3439" s="105" t="str">
        <f t="shared" si="571"/>
        <v>Derate</v>
      </c>
      <c r="N3439" s="105" t="str">
        <f t="shared" si="572"/>
        <v>Coal</v>
      </c>
      <c r="O3439" s="105">
        <f>IFERROR(VLOOKUP(A3439,Lookup!$J$5:$P$19,7,FALSE),0)</f>
        <v>2</v>
      </c>
      <c r="P3439" s="159">
        <f t="shared" si="573"/>
        <v>2017</v>
      </c>
      <c r="Q3439" s="159">
        <f t="shared" si="574"/>
        <v>5</v>
      </c>
      <c r="R3439" s="160">
        <f t="shared" si="575"/>
        <v>1.316666666592937</v>
      </c>
      <c r="S3439" s="158">
        <f t="shared" si="576"/>
        <v>0.51868686865782365</v>
      </c>
      <c r="T3439" s="161">
        <f t="shared" si="577"/>
        <v>153.5313131227158</v>
      </c>
      <c r="U3439" s="158">
        <f t="shared" si="579"/>
        <v>116.60606060606061</v>
      </c>
      <c r="V3439" s="160">
        <f t="shared" si="578"/>
        <v>117</v>
      </c>
    </row>
    <row r="3440" spans="1:22" x14ac:dyDescent="0.25">
      <c r="A3440" s="98" t="s">
        <v>35</v>
      </c>
      <c r="B3440" s="98" t="s">
        <v>17</v>
      </c>
      <c r="C3440" s="98">
        <v>23</v>
      </c>
      <c r="D3440" s="98">
        <v>4499</v>
      </c>
      <c r="E3440" s="157">
        <v>42889.560416666667</v>
      </c>
      <c r="F3440" s="157">
        <v>42890.489583333336</v>
      </c>
      <c r="G3440" s="98">
        <v>280</v>
      </c>
      <c r="H3440" s="98">
        <v>330</v>
      </c>
      <c r="I3440" s="98">
        <v>296</v>
      </c>
      <c r="J3440" s="98" t="s">
        <v>2082</v>
      </c>
      <c r="K3440" s="98" t="s">
        <v>4304</v>
      </c>
      <c r="L3440" s="105" t="str">
        <f t="shared" si="570"/>
        <v>Mill Creek</v>
      </c>
      <c r="M3440" s="105" t="str">
        <f t="shared" si="571"/>
        <v>Derate</v>
      </c>
      <c r="N3440" s="105" t="str">
        <f t="shared" si="572"/>
        <v>Coal</v>
      </c>
      <c r="O3440" s="105">
        <f>IFERROR(VLOOKUP(A3440,Lookup!$J$5:$P$19,7,FALSE),0)</f>
        <v>2</v>
      </c>
      <c r="P3440" s="159">
        <f t="shared" si="573"/>
        <v>2017</v>
      </c>
      <c r="Q3440" s="159">
        <f t="shared" si="574"/>
        <v>6</v>
      </c>
      <c r="R3440" s="160">
        <f t="shared" si="575"/>
        <v>22.300000000046566</v>
      </c>
      <c r="S3440" s="158">
        <f t="shared" si="576"/>
        <v>3.3787878787949341</v>
      </c>
      <c r="T3440" s="161">
        <f t="shared" si="577"/>
        <v>1000.1212121233006</v>
      </c>
      <c r="U3440" s="158">
        <f t="shared" si="579"/>
        <v>44.848484848484851</v>
      </c>
      <c r="V3440" s="160">
        <f t="shared" si="578"/>
        <v>45</v>
      </c>
    </row>
    <row r="3441" spans="1:22" x14ac:dyDescent="0.25">
      <c r="A3441" s="98" t="s">
        <v>35</v>
      </c>
      <c r="B3441" s="98" t="s">
        <v>17</v>
      </c>
      <c r="C3441" s="98">
        <v>24</v>
      </c>
      <c r="D3441" s="98">
        <v>4099</v>
      </c>
      <c r="E3441" s="157">
        <v>42890.489583333336</v>
      </c>
      <c r="F3441" s="157">
        <v>42891.567361111112</v>
      </c>
      <c r="G3441" s="98">
        <v>320</v>
      </c>
      <c r="H3441" s="98">
        <v>330</v>
      </c>
      <c r="I3441" s="98">
        <v>296</v>
      </c>
      <c r="J3441" s="98" t="s">
        <v>2293</v>
      </c>
      <c r="K3441" s="98" t="s">
        <v>4304</v>
      </c>
      <c r="L3441" s="105" t="str">
        <f t="shared" si="570"/>
        <v>Mill Creek</v>
      </c>
      <c r="M3441" s="105" t="str">
        <f t="shared" si="571"/>
        <v>Derate</v>
      </c>
      <c r="N3441" s="105" t="str">
        <f t="shared" si="572"/>
        <v>Coal</v>
      </c>
      <c r="O3441" s="105">
        <f>IFERROR(VLOOKUP(A3441,Lookup!$J$5:$P$19,7,FALSE),0)</f>
        <v>2</v>
      </c>
      <c r="P3441" s="159">
        <f t="shared" si="573"/>
        <v>2017</v>
      </c>
      <c r="Q3441" s="159">
        <f t="shared" si="574"/>
        <v>6</v>
      </c>
      <c r="R3441" s="160">
        <f t="shared" si="575"/>
        <v>25.866666666639503</v>
      </c>
      <c r="S3441" s="158">
        <f t="shared" si="576"/>
        <v>0.78383838383756066</v>
      </c>
      <c r="T3441" s="161">
        <f t="shared" si="577"/>
        <v>232.01616161591795</v>
      </c>
      <c r="U3441" s="158">
        <f t="shared" si="579"/>
        <v>8.9696969696969688</v>
      </c>
      <c r="V3441" s="160">
        <f t="shared" si="578"/>
        <v>9</v>
      </c>
    </row>
    <row r="3442" spans="1:22" x14ac:dyDescent="0.25">
      <c r="A3442" s="98" t="s">
        <v>35</v>
      </c>
      <c r="B3442" s="98" t="s">
        <v>17</v>
      </c>
      <c r="C3442" s="98">
        <v>25</v>
      </c>
      <c r="D3442" s="98">
        <v>4099</v>
      </c>
      <c r="E3442" s="157">
        <v>42891.567361111112</v>
      </c>
      <c r="F3442" s="157">
        <v>42892.261805555558</v>
      </c>
      <c r="G3442" s="98">
        <v>310</v>
      </c>
      <c r="H3442" s="98">
        <v>330</v>
      </c>
      <c r="I3442" s="98">
        <v>296</v>
      </c>
      <c r="J3442" s="98" t="s">
        <v>2293</v>
      </c>
      <c r="K3442" s="98" t="s">
        <v>4304</v>
      </c>
      <c r="L3442" s="105" t="str">
        <f t="shared" si="570"/>
        <v>Mill Creek</v>
      </c>
      <c r="M3442" s="105" t="str">
        <f t="shared" si="571"/>
        <v>Derate</v>
      </c>
      <c r="N3442" s="105" t="str">
        <f t="shared" si="572"/>
        <v>Coal</v>
      </c>
      <c r="O3442" s="105">
        <f>IFERROR(VLOOKUP(A3442,Lookup!$J$5:$P$19,7,FALSE),0)</f>
        <v>2</v>
      </c>
      <c r="P3442" s="159">
        <f t="shared" si="573"/>
        <v>2017</v>
      </c>
      <c r="Q3442" s="159">
        <f t="shared" si="574"/>
        <v>6</v>
      </c>
      <c r="R3442" s="160">
        <f t="shared" si="575"/>
        <v>16.666666666686069</v>
      </c>
      <c r="S3442" s="158">
        <f t="shared" si="576"/>
        <v>1.0101010101021861</v>
      </c>
      <c r="T3442" s="161">
        <f t="shared" si="577"/>
        <v>298.98989899024707</v>
      </c>
      <c r="U3442" s="158">
        <f t="shared" si="579"/>
        <v>17.939393939393938</v>
      </c>
      <c r="V3442" s="160">
        <f t="shared" si="578"/>
        <v>18</v>
      </c>
    </row>
    <row r="3443" spans="1:22" x14ac:dyDescent="0.25">
      <c r="A3443" s="98" t="s">
        <v>35</v>
      </c>
      <c r="B3443" s="98" t="s">
        <v>105</v>
      </c>
      <c r="C3443" s="98">
        <v>26</v>
      </c>
      <c r="D3443" s="98">
        <v>4266</v>
      </c>
      <c r="E3443" s="157">
        <v>42892.261805555558</v>
      </c>
      <c r="F3443" s="157">
        <v>42892.305555555555</v>
      </c>
      <c r="G3443" s="98">
        <v>65</v>
      </c>
      <c r="H3443" s="98">
        <v>330</v>
      </c>
      <c r="I3443" s="98">
        <v>296</v>
      </c>
      <c r="J3443" s="98" t="s">
        <v>1975</v>
      </c>
      <c r="K3443" s="98" t="s">
        <v>4305</v>
      </c>
      <c r="L3443" s="105" t="str">
        <f t="shared" si="570"/>
        <v>Mill Creek</v>
      </c>
      <c r="M3443" s="105" t="str">
        <f t="shared" si="571"/>
        <v>Derate</v>
      </c>
      <c r="N3443" s="105" t="str">
        <f t="shared" si="572"/>
        <v>Coal</v>
      </c>
      <c r="O3443" s="105">
        <f>IFERROR(VLOOKUP(A3443,Lookup!$J$5:$P$19,7,FALSE),0)</f>
        <v>2</v>
      </c>
      <c r="P3443" s="159">
        <f t="shared" si="573"/>
        <v>2017</v>
      </c>
      <c r="Q3443" s="159">
        <f t="shared" si="574"/>
        <v>6</v>
      </c>
      <c r="R3443" s="160">
        <f t="shared" si="575"/>
        <v>1.0499999999301508</v>
      </c>
      <c r="S3443" s="158">
        <f t="shared" si="576"/>
        <v>0.84318181812572712</v>
      </c>
      <c r="T3443" s="161">
        <f t="shared" si="577"/>
        <v>249.58181816521522</v>
      </c>
      <c r="U3443" s="158">
        <f t="shared" si="579"/>
        <v>237.69696969696969</v>
      </c>
      <c r="V3443" s="160">
        <f t="shared" si="578"/>
        <v>238</v>
      </c>
    </row>
    <row r="3444" spans="1:22" x14ac:dyDescent="0.25">
      <c r="A3444" s="98" t="s">
        <v>35</v>
      </c>
      <c r="B3444" s="98" t="s">
        <v>17</v>
      </c>
      <c r="C3444" s="98">
        <v>27</v>
      </c>
      <c r="D3444" s="98">
        <v>4099</v>
      </c>
      <c r="E3444" s="157">
        <v>42892.305555555555</v>
      </c>
      <c r="F3444" s="157">
        <v>42892.402777777781</v>
      </c>
      <c r="G3444" s="98">
        <v>310</v>
      </c>
      <c r="H3444" s="98">
        <v>330</v>
      </c>
      <c r="I3444" s="98">
        <v>296</v>
      </c>
      <c r="J3444" s="98" t="s">
        <v>2293</v>
      </c>
      <c r="K3444" s="98" t="s">
        <v>4306</v>
      </c>
      <c r="L3444" s="105" t="str">
        <f t="shared" si="570"/>
        <v>Mill Creek</v>
      </c>
      <c r="M3444" s="105" t="str">
        <f t="shared" si="571"/>
        <v>Derate</v>
      </c>
      <c r="N3444" s="105" t="str">
        <f t="shared" si="572"/>
        <v>Coal</v>
      </c>
      <c r="O3444" s="105">
        <f>IFERROR(VLOOKUP(A3444,Lookup!$J$5:$P$19,7,FALSE),0)</f>
        <v>2</v>
      </c>
      <c r="P3444" s="159">
        <f t="shared" si="573"/>
        <v>2017</v>
      </c>
      <c r="Q3444" s="159">
        <f t="shared" si="574"/>
        <v>6</v>
      </c>
      <c r="R3444" s="160">
        <f t="shared" si="575"/>
        <v>2.3333333334303461</v>
      </c>
      <c r="S3444" s="158">
        <f t="shared" si="576"/>
        <v>0.14141414142002098</v>
      </c>
      <c r="T3444" s="161">
        <f t="shared" si="577"/>
        <v>41.858585860326208</v>
      </c>
      <c r="U3444" s="158">
        <f t="shared" si="579"/>
        <v>17.939393939393938</v>
      </c>
      <c r="V3444" s="160">
        <f t="shared" si="578"/>
        <v>18</v>
      </c>
    </row>
    <row r="3445" spans="1:22" x14ac:dyDescent="0.25">
      <c r="A3445" s="98" t="s">
        <v>35</v>
      </c>
      <c r="B3445" s="98" t="s">
        <v>17</v>
      </c>
      <c r="C3445" s="98">
        <v>28</v>
      </c>
      <c r="D3445" s="98">
        <v>4099</v>
      </c>
      <c r="E3445" s="157">
        <v>42893.305555555555</v>
      </c>
      <c r="F3445" s="157">
        <v>42893.354166666664</v>
      </c>
      <c r="G3445" s="98">
        <v>320</v>
      </c>
      <c r="H3445" s="98">
        <v>330</v>
      </c>
      <c r="I3445" s="98">
        <v>296</v>
      </c>
      <c r="J3445" s="98" t="s">
        <v>2293</v>
      </c>
      <c r="K3445" s="98" t="s">
        <v>4306</v>
      </c>
      <c r="L3445" s="105" t="str">
        <f t="shared" si="570"/>
        <v>Mill Creek</v>
      </c>
      <c r="M3445" s="105" t="str">
        <f t="shared" si="571"/>
        <v>Derate</v>
      </c>
      <c r="N3445" s="105" t="str">
        <f t="shared" si="572"/>
        <v>Coal</v>
      </c>
      <c r="O3445" s="105">
        <f>IFERROR(VLOOKUP(A3445,Lookup!$J$5:$P$19,7,FALSE),0)</f>
        <v>2</v>
      </c>
      <c r="P3445" s="159">
        <f t="shared" si="573"/>
        <v>2017</v>
      </c>
      <c r="Q3445" s="159">
        <f t="shared" si="574"/>
        <v>6</v>
      </c>
      <c r="R3445" s="160">
        <f t="shared" si="575"/>
        <v>1.1666666666278616</v>
      </c>
      <c r="S3445" s="158">
        <f t="shared" si="576"/>
        <v>3.5353535352359439E-2</v>
      </c>
      <c r="T3445" s="161">
        <f t="shared" si="577"/>
        <v>10.464646464298394</v>
      </c>
      <c r="U3445" s="158">
        <f t="shared" si="579"/>
        <v>8.9696969696969688</v>
      </c>
      <c r="V3445" s="160">
        <f t="shared" si="578"/>
        <v>9</v>
      </c>
    </row>
    <row r="3446" spans="1:22" x14ac:dyDescent="0.25">
      <c r="A3446" s="98" t="s">
        <v>35</v>
      </c>
      <c r="B3446" s="98" t="s">
        <v>17</v>
      </c>
      <c r="C3446" s="98">
        <v>29</v>
      </c>
      <c r="D3446" s="98">
        <v>4099</v>
      </c>
      <c r="E3446" s="157">
        <v>42893.354166666664</v>
      </c>
      <c r="F3446" s="157">
        <v>42899.961111111108</v>
      </c>
      <c r="G3446" s="98">
        <v>310</v>
      </c>
      <c r="H3446" s="98">
        <v>330</v>
      </c>
      <c r="I3446" s="98">
        <v>296</v>
      </c>
      <c r="J3446" s="98" t="s">
        <v>2293</v>
      </c>
      <c r="K3446" s="98" t="s">
        <v>4307</v>
      </c>
      <c r="L3446" s="105" t="str">
        <f t="shared" si="570"/>
        <v>Mill Creek</v>
      </c>
      <c r="M3446" s="105" t="str">
        <f t="shared" si="571"/>
        <v>Derate</v>
      </c>
      <c r="N3446" s="105" t="str">
        <f t="shared" si="572"/>
        <v>Coal</v>
      </c>
      <c r="O3446" s="105">
        <f>IFERROR(VLOOKUP(A3446,Lookup!$J$5:$P$19,7,FALSE),0)</f>
        <v>2</v>
      </c>
      <c r="P3446" s="159">
        <f t="shared" si="573"/>
        <v>2017</v>
      </c>
      <c r="Q3446" s="159">
        <f t="shared" si="574"/>
        <v>6</v>
      </c>
      <c r="R3446" s="160">
        <f t="shared" si="575"/>
        <v>158.56666666665114</v>
      </c>
      <c r="S3446" s="158">
        <f t="shared" si="576"/>
        <v>9.6101010101000686</v>
      </c>
      <c r="T3446" s="161">
        <f t="shared" si="577"/>
        <v>2844.5898989896205</v>
      </c>
      <c r="U3446" s="158">
        <f t="shared" si="579"/>
        <v>17.939393939393938</v>
      </c>
      <c r="V3446" s="160">
        <f t="shared" si="578"/>
        <v>18</v>
      </c>
    </row>
    <row r="3447" spans="1:22" x14ac:dyDescent="0.25">
      <c r="A3447" s="98" t="s">
        <v>35</v>
      </c>
      <c r="B3447" s="98" t="s">
        <v>105</v>
      </c>
      <c r="C3447" s="98">
        <v>30</v>
      </c>
      <c r="D3447" s="98">
        <v>310</v>
      </c>
      <c r="E3447" s="157">
        <v>42899.961111111108</v>
      </c>
      <c r="F3447" s="157">
        <v>42900.086805555555</v>
      </c>
      <c r="G3447" s="98">
        <v>240</v>
      </c>
      <c r="H3447" s="98">
        <v>330</v>
      </c>
      <c r="I3447" s="98">
        <v>296</v>
      </c>
      <c r="J3447" s="98" t="s">
        <v>1966</v>
      </c>
      <c r="K3447" s="98" t="s">
        <v>4281</v>
      </c>
      <c r="L3447" s="105" t="str">
        <f t="shared" si="570"/>
        <v>Mill Creek</v>
      </c>
      <c r="M3447" s="105" t="str">
        <f t="shared" si="571"/>
        <v>Derate</v>
      </c>
      <c r="N3447" s="105" t="str">
        <f t="shared" si="572"/>
        <v>Coal</v>
      </c>
      <c r="O3447" s="105">
        <f>IFERROR(VLOOKUP(A3447,Lookup!$J$5:$P$19,7,FALSE),0)</f>
        <v>2</v>
      </c>
      <c r="P3447" s="159">
        <f t="shared" si="573"/>
        <v>2017</v>
      </c>
      <c r="Q3447" s="159">
        <f t="shared" si="574"/>
        <v>6</v>
      </c>
      <c r="R3447" s="160">
        <f t="shared" si="575"/>
        <v>3.0166666667209938</v>
      </c>
      <c r="S3447" s="158">
        <f t="shared" si="576"/>
        <v>0.82272727274208923</v>
      </c>
      <c r="T3447" s="161">
        <f t="shared" si="577"/>
        <v>243.5272727316584</v>
      </c>
      <c r="U3447" s="158">
        <f t="shared" si="579"/>
        <v>80.727272727272734</v>
      </c>
      <c r="V3447" s="160">
        <f t="shared" si="578"/>
        <v>81</v>
      </c>
    </row>
    <row r="3448" spans="1:22" x14ac:dyDescent="0.25">
      <c r="A3448" s="98" t="s">
        <v>35</v>
      </c>
      <c r="B3448" s="98" t="s">
        <v>17</v>
      </c>
      <c r="C3448" s="98">
        <v>31</v>
      </c>
      <c r="D3448" s="98">
        <v>4099</v>
      </c>
      <c r="E3448" s="157">
        <v>42900.086805555555</v>
      </c>
      <c r="F3448" s="157">
        <v>42904.39166666667</v>
      </c>
      <c r="G3448" s="98">
        <v>310</v>
      </c>
      <c r="H3448" s="98">
        <v>330</v>
      </c>
      <c r="I3448" s="98">
        <v>296</v>
      </c>
      <c r="J3448" s="98" t="s">
        <v>2293</v>
      </c>
      <c r="K3448" s="98" t="s">
        <v>4307</v>
      </c>
      <c r="L3448" s="105" t="str">
        <f t="shared" si="570"/>
        <v>Mill Creek</v>
      </c>
      <c r="M3448" s="105" t="str">
        <f t="shared" si="571"/>
        <v>Derate</v>
      </c>
      <c r="N3448" s="105" t="str">
        <f t="shared" si="572"/>
        <v>Coal</v>
      </c>
      <c r="O3448" s="105">
        <f>IFERROR(VLOOKUP(A3448,Lookup!$J$5:$P$19,7,FALSE),0)</f>
        <v>2</v>
      </c>
      <c r="P3448" s="159">
        <f t="shared" si="573"/>
        <v>2017</v>
      </c>
      <c r="Q3448" s="159">
        <f t="shared" si="574"/>
        <v>6</v>
      </c>
      <c r="R3448" s="160">
        <f t="shared" si="575"/>
        <v>103.31666666676756</v>
      </c>
      <c r="S3448" s="158">
        <f t="shared" si="576"/>
        <v>6.2616161616222765</v>
      </c>
      <c r="T3448" s="161">
        <f t="shared" si="577"/>
        <v>1853.4383838401939</v>
      </c>
      <c r="U3448" s="158">
        <f t="shared" si="579"/>
        <v>17.939393939393938</v>
      </c>
      <c r="V3448" s="160">
        <f t="shared" si="578"/>
        <v>18</v>
      </c>
    </row>
    <row r="3449" spans="1:22" x14ac:dyDescent="0.25">
      <c r="A3449" s="98" t="s">
        <v>35</v>
      </c>
      <c r="B3449" s="98" t="s">
        <v>17</v>
      </c>
      <c r="C3449" s="98">
        <v>32</v>
      </c>
      <c r="D3449" s="98">
        <v>250</v>
      </c>
      <c r="E3449" s="157">
        <v>42904.39166666667</v>
      </c>
      <c r="F3449" s="157">
        <v>42904.500694444447</v>
      </c>
      <c r="G3449" s="98">
        <v>235</v>
      </c>
      <c r="H3449" s="98">
        <v>330</v>
      </c>
      <c r="I3449" s="98">
        <v>296</v>
      </c>
      <c r="J3449" s="98" t="s">
        <v>1978</v>
      </c>
      <c r="K3449" s="98" t="s">
        <v>4308</v>
      </c>
      <c r="L3449" s="105" t="str">
        <f t="shared" si="570"/>
        <v>Mill Creek</v>
      </c>
      <c r="M3449" s="105" t="str">
        <f t="shared" si="571"/>
        <v>Derate</v>
      </c>
      <c r="N3449" s="105" t="str">
        <f t="shared" si="572"/>
        <v>Coal</v>
      </c>
      <c r="O3449" s="105">
        <f>IFERROR(VLOOKUP(A3449,Lookup!$J$5:$P$19,7,FALSE),0)</f>
        <v>2</v>
      </c>
      <c r="P3449" s="159">
        <f t="shared" si="573"/>
        <v>2017</v>
      </c>
      <c r="Q3449" s="159">
        <f t="shared" si="574"/>
        <v>6</v>
      </c>
      <c r="R3449" s="160">
        <f t="shared" si="575"/>
        <v>2.6166666666395031</v>
      </c>
      <c r="S3449" s="158">
        <f t="shared" si="576"/>
        <v>0.75328282827500848</v>
      </c>
      <c r="T3449" s="161">
        <f t="shared" si="577"/>
        <v>222.9717171694025</v>
      </c>
      <c r="U3449" s="158">
        <f t="shared" si="579"/>
        <v>85.212121212121218</v>
      </c>
      <c r="V3449" s="160">
        <f t="shared" si="578"/>
        <v>85</v>
      </c>
    </row>
    <row r="3450" spans="1:22" x14ac:dyDescent="0.25">
      <c r="A3450" s="98" t="s">
        <v>35</v>
      </c>
      <c r="B3450" s="98" t="s">
        <v>17</v>
      </c>
      <c r="C3450" s="98">
        <v>33</v>
      </c>
      <c r="D3450" s="98">
        <v>4099</v>
      </c>
      <c r="E3450" s="157">
        <v>42904.500694444447</v>
      </c>
      <c r="F3450" s="157">
        <v>42907.490972222222</v>
      </c>
      <c r="G3450" s="98">
        <v>310</v>
      </c>
      <c r="H3450" s="98">
        <v>330</v>
      </c>
      <c r="I3450" s="98">
        <v>296</v>
      </c>
      <c r="J3450" s="98" t="s">
        <v>2293</v>
      </c>
      <c r="K3450" s="98" t="s">
        <v>4307</v>
      </c>
      <c r="L3450" s="105" t="str">
        <f t="shared" si="570"/>
        <v>Mill Creek</v>
      </c>
      <c r="M3450" s="105" t="str">
        <f t="shared" si="571"/>
        <v>Derate</v>
      </c>
      <c r="N3450" s="105" t="str">
        <f t="shared" si="572"/>
        <v>Coal</v>
      </c>
      <c r="O3450" s="105">
        <f>IFERROR(VLOOKUP(A3450,Lookup!$J$5:$P$19,7,FALSE),0)</f>
        <v>2</v>
      </c>
      <c r="P3450" s="159">
        <f t="shared" si="573"/>
        <v>2017</v>
      </c>
      <c r="Q3450" s="159">
        <f t="shared" si="574"/>
        <v>6</v>
      </c>
      <c r="R3450" s="160">
        <f t="shared" si="575"/>
        <v>71.766666666604578</v>
      </c>
      <c r="S3450" s="158">
        <f t="shared" si="576"/>
        <v>4.349494949491187</v>
      </c>
      <c r="T3450" s="161">
        <f t="shared" si="577"/>
        <v>1287.4505050493913</v>
      </c>
      <c r="U3450" s="158">
        <f t="shared" si="579"/>
        <v>17.939393939393938</v>
      </c>
      <c r="V3450" s="160">
        <f t="shared" si="578"/>
        <v>18</v>
      </c>
    </row>
    <row r="3451" spans="1:22" x14ac:dyDescent="0.25">
      <c r="A3451" s="98" t="s">
        <v>35</v>
      </c>
      <c r="B3451" s="98" t="s">
        <v>17</v>
      </c>
      <c r="C3451" s="98">
        <v>34</v>
      </c>
      <c r="D3451" s="98">
        <v>4099</v>
      </c>
      <c r="E3451" s="157">
        <v>42907.490972222222</v>
      </c>
      <c r="F3451" s="157">
        <v>42908.590277777781</v>
      </c>
      <c r="G3451" s="98">
        <v>315</v>
      </c>
      <c r="H3451" s="98">
        <v>330</v>
      </c>
      <c r="I3451" s="98">
        <v>296</v>
      </c>
      <c r="J3451" s="98" t="s">
        <v>2293</v>
      </c>
      <c r="K3451" s="98" t="s">
        <v>4307</v>
      </c>
      <c r="L3451" s="105" t="str">
        <f t="shared" si="570"/>
        <v>Mill Creek</v>
      </c>
      <c r="M3451" s="105" t="str">
        <f t="shared" si="571"/>
        <v>Derate</v>
      </c>
      <c r="N3451" s="105" t="str">
        <f t="shared" si="572"/>
        <v>Coal</v>
      </c>
      <c r="O3451" s="105">
        <f>IFERROR(VLOOKUP(A3451,Lookup!$J$5:$P$19,7,FALSE),0)</f>
        <v>2</v>
      </c>
      <c r="P3451" s="159">
        <f t="shared" si="573"/>
        <v>2017</v>
      </c>
      <c r="Q3451" s="159">
        <f t="shared" si="574"/>
        <v>6</v>
      </c>
      <c r="R3451" s="160">
        <f t="shared" si="575"/>
        <v>26.383333333418705</v>
      </c>
      <c r="S3451" s="158">
        <f t="shared" si="576"/>
        <v>1.1992424242463047</v>
      </c>
      <c r="T3451" s="161">
        <f t="shared" si="577"/>
        <v>354.97575757690618</v>
      </c>
      <c r="U3451" s="158">
        <f t="shared" si="579"/>
        <v>13.454545454545455</v>
      </c>
      <c r="V3451" s="160">
        <f t="shared" si="578"/>
        <v>13</v>
      </c>
    </row>
    <row r="3452" spans="1:22" x14ac:dyDescent="0.25">
      <c r="A3452" s="98" t="s">
        <v>35</v>
      </c>
      <c r="B3452" s="98" t="s">
        <v>17</v>
      </c>
      <c r="C3452" s="98">
        <v>35</v>
      </c>
      <c r="D3452" s="98">
        <v>4099</v>
      </c>
      <c r="E3452" s="157">
        <v>42908.590277777781</v>
      </c>
      <c r="F3452" s="157">
        <v>42908.958333333336</v>
      </c>
      <c r="G3452" s="98">
        <v>319</v>
      </c>
      <c r="H3452" s="98">
        <v>330</v>
      </c>
      <c r="I3452" s="98">
        <v>296</v>
      </c>
      <c r="J3452" s="98" t="s">
        <v>2293</v>
      </c>
      <c r="K3452" s="98" t="s">
        <v>4307</v>
      </c>
      <c r="L3452" s="105" t="str">
        <f t="shared" si="570"/>
        <v>Mill Creek</v>
      </c>
      <c r="M3452" s="105" t="str">
        <f t="shared" si="571"/>
        <v>Derate</v>
      </c>
      <c r="N3452" s="105" t="str">
        <f t="shared" si="572"/>
        <v>Coal</v>
      </c>
      <c r="O3452" s="105">
        <f>IFERROR(VLOOKUP(A3452,Lookup!$J$5:$P$19,7,FALSE),0)</f>
        <v>2</v>
      </c>
      <c r="P3452" s="159">
        <f t="shared" si="573"/>
        <v>2017</v>
      </c>
      <c r="Q3452" s="159">
        <f t="shared" si="574"/>
        <v>6</v>
      </c>
      <c r="R3452" s="160">
        <f t="shared" si="575"/>
        <v>8.8333333333139308</v>
      </c>
      <c r="S3452" s="158">
        <f t="shared" si="576"/>
        <v>0.29444444444379769</v>
      </c>
      <c r="T3452" s="161">
        <f t="shared" si="577"/>
        <v>87.155555555364117</v>
      </c>
      <c r="U3452" s="158">
        <f t="shared" si="579"/>
        <v>9.8666666666666671</v>
      </c>
      <c r="V3452" s="160">
        <f t="shared" si="578"/>
        <v>10</v>
      </c>
    </row>
    <row r="3453" spans="1:22" x14ac:dyDescent="0.25">
      <c r="A3453" s="98" t="s">
        <v>35</v>
      </c>
      <c r="B3453" s="98" t="s">
        <v>105</v>
      </c>
      <c r="C3453" s="98">
        <v>36</v>
      </c>
      <c r="D3453" s="98">
        <v>310</v>
      </c>
      <c r="E3453" s="157">
        <v>42908.958333333336</v>
      </c>
      <c r="F3453" s="157">
        <v>42909.170138888891</v>
      </c>
      <c r="G3453" s="98">
        <v>240</v>
      </c>
      <c r="H3453" s="98">
        <v>330</v>
      </c>
      <c r="I3453" s="98">
        <v>296</v>
      </c>
      <c r="J3453" s="98" t="s">
        <v>1966</v>
      </c>
      <c r="K3453" s="98" t="s">
        <v>4281</v>
      </c>
      <c r="L3453" s="105" t="str">
        <f t="shared" si="570"/>
        <v>Mill Creek</v>
      </c>
      <c r="M3453" s="105" t="str">
        <f t="shared" si="571"/>
        <v>Derate</v>
      </c>
      <c r="N3453" s="105" t="str">
        <f t="shared" si="572"/>
        <v>Coal</v>
      </c>
      <c r="O3453" s="105">
        <f>IFERROR(VLOOKUP(A3453,Lookup!$J$5:$P$19,7,FALSE),0)</f>
        <v>2</v>
      </c>
      <c r="P3453" s="159">
        <f t="shared" si="573"/>
        <v>2017</v>
      </c>
      <c r="Q3453" s="159">
        <f t="shared" si="574"/>
        <v>6</v>
      </c>
      <c r="R3453" s="160">
        <f t="shared" si="575"/>
        <v>5.0833333333139308</v>
      </c>
      <c r="S3453" s="158">
        <f t="shared" si="576"/>
        <v>1.3863636363583447</v>
      </c>
      <c r="T3453" s="161">
        <f t="shared" si="577"/>
        <v>410.36363636207005</v>
      </c>
      <c r="U3453" s="158">
        <f t="shared" si="579"/>
        <v>80.727272727272734</v>
      </c>
      <c r="V3453" s="160">
        <f t="shared" si="578"/>
        <v>81</v>
      </c>
    </row>
    <row r="3454" spans="1:22" x14ac:dyDescent="0.25">
      <c r="A3454" s="98" t="s">
        <v>35</v>
      </c>
      <c r="B3454" s="98" t="s">
        <v>17</v>
      </c>
      <c r="C3454" s="98">
        <v>37</v>
      </c>
      <c r="D3454" s="98">
        <v>4099</v>
      </c>
      <c r="E3454" s="157">
        <v>42909.170138888891</v>
      </c>
      <c r="F3454" s="157">
        <v>42911.958333333336</v>
      </c>
      <c r="G3454" s="98">
        <v>319</v>
      </c>
      <c r="H3454" s="98">
        <v>330</v>
      </c>
      <c r="I3454" s="98">
        <v>296</v>
      </c>
      <c r="J3454" s="98" t="s">
        <v>2293</v>
      </c>
      <c r="K3454" s="98" t="s">
        <v>4307</v>
      </c>
      <c r="L3454" s="105" t="str">
        <f t="shared" si="570"/>
        <v>Mill Creek</v>
      </c>
      <c r="M3454" s="105" t="str">
        <f t="shared" si="571"/>
        <v>Derate</v>
      </c>
      <c r="N3454" s="105" t="str">
        <f t="shared" si="572"/>
        <v>Coal</v>
      </c>
      <c r="O3454" s="105">
        <f>IFERROR(VLOOKUP(A3454,Lookup!$J$5:$P$19,7,FALSE),0)</f>
        <v>2</v>
      </c>
      <c r="P3454" s="159">
        <f t="shared" si="573"/>
        <v>2017</v>
      </c>
      <c r="Q3454" s="159">
        <f t="shared" si="574"/>
        <v>6</v>
      </c>
      <c r="R3454" s="160">
        <f t="shared" si="575"/>
        <v>66.916666666686069</v>
      </c>
      <c r="S3454" s="158">
        <f t="shared" si="576"/>
        <v>2.2305555555562022</v>
      </c>
      <c r="T3454" s="161">
        <f t="shared" si="577"/>
        <v>660.24444444463586</v>
      </c>
      <c r="U3454" s="158">
        <f t="shared" si="579"/>
        <v>9.8666666666666671</v>
      </c>
      <c r="V3454" s="160">
        <f t="shared" si="578"/>
        <v>10</v>
      </c>
    </row>
    <row r="3455" spans="1:22" x14ac:dyDescent="0.25">
      <c r="A3455" s="98" t="s">
        <v>35</v>
      </c>
      <c r="B3455" s="98" t="s">
        <v>105</v>
      </c>
      <c r="C3455" s="98">
        <v>38</v>
      </c>
      <c r="D3455" s="98">
        <v>310</v>
      </c>
      <c r="E3455" s="157">
        <v>42911.958333333336</v>
      </c>
      <c r="F3455" s="157">
        <v>42912.175000000003</v>
      </c>
      <c r="G3455" s="98">
        <v>240</v>
      </c>
      <c r="H3455" s="98">
        <v>330</v>
      </c>
      <c r="I3455" s="98">
        <v>296</v>
      </c>
      <c r="J3455" s="98" t="s">
        <v>1966</v>
      </c>
      <c r="K3455" s="98" t="s">
        <v>3609</v>
      </c>
      <c r="L3455" s="105" t="str">
        <f t="shared" si="570"/>
        <v>Mill Creek</v>
      </c>
      <c r="M3455" s="105" t="str">
        <f t="shared" si="571"/>
        <v>Derate</v>
      </c>
      <c r="N3455" s="105" t="str">
        <f t="shared" si="572"/>
        <v>Coal</v>
      </c>
      <c r="O3455" s="105">
        <f>IFERROR(VLOOKUP(A3455,Lookup!$J$5:$P$19,7,FALSE),0)</f>
        <v>2</v>
      </c>
      <c r="P3455" s="159">
        <f t="shared" si="573"/>
        <v>2017</v>
      </c>
      <c r="Q3455" s="159">
        <f t="shared" si="574"/>
        <v>6</v>
      </c>
      <c r="R3455" s="160">
        <f t="shared" si="575"/>
        <v>5.2000000000116415</v>
      </c>
      <c r="S3455" s="158">
        <f t="shared" si="576"/>
        <v>1.4181818181849932</v>
      </c>
      <c r="T3455" s="161">
        <f t="shared" si="577"/>
        <v>419.781818182758</v>
      </c>
      <c r="U3455" s="158">
        <f t="shared" si="579"/>
        <v>80.727272727272734</v>
      </c>
      <c r="V3455" s="160">
        <f t="shared" si="578"/>
        <v>81</v>
      </c>
    </row>
    <row r="3456" spans="1:22" x14ac:dyDescent="0.25">
      <c r="A3456" s="98" t="s">
        <v>35</v>
      </c>
      <c r="B3456" s="98" t="s">
        <v>17</v>
      </c>
      <c r="C3456" s="98">
        <v>39</v>
      </c>
      <c r="D3456" s="98">
        <v>4099</v>
      </c>
      <c r="E3456" s="157">
        <v>42912.175000000003</v>
      </c>
      <c r="F3456" s="157">
        <v>42912.958333333336</v>
      </c>
      <c r="G3456" s="98">
        <v>319</v>
      </c>
      <c r="H3456" s="98">
        <v>330</v>
      </c>
      <c r="I3456" s="98">
        <v>296</v>
      </c>
      <c r="J3456" s="98" t="s">
        <v>2293</v>
      </c>
      <c r="K3456" s="98" t="s">
        <v>4307</v>
      </c>
      <c r="L3456" s="105" t="str">
        <f t="shared" si="570"/>
        <v>Mill Creek</v>
      </c>
      <c r="M3456" s="105" t="str">
        <f t="shared" si="571"/>
        <v>Derate</v>
      </c>
      <c r="N3456" s="105" t="str">
        <f t="shared" si="572"/>
        <v>Coal</v>
      </c>
      <c r="O3456" s="105">
        <f>IFERROR(VLOOKUP(A3456,Lookup!$J$5:$P$19,7,FALSE),0)</f>
        <v>2</v>
      </c>
      <c r="P3456" s="159">
        <f t="shared" si="573"/>
        <v>2017</v>
      </c>
      <c r="Q3456" s="159">
        <f t="shared" si="574"/>
        <v>6</v>
      </c>
      <c r="R3456" s="160">
        <f t="shared" si="575"/>
        <v>18.799999999988358</v>
      </c>
      <c r="S3456" s="158">
        <f t="shared" si="576"/>
        <v>0.62666666666627857</v>
      </c>
      <c r="T3456" s="161">
        <f t="shared" si="577"/>
        <v>185.49333333321846</v>
      </c>
      <c r="U3456" s="158">
        <f t="shared" si="579"/>
        <v>9.8666666666666671</v>
      </c>
      <c r="V3456" s="160">
        <f t="shared" si="578"/>
        <v>10</v>
      </c>
    </row>
    <row r="3457" spans="1:22" x14ac:dyDescent="0.25">
      <c r="A3457" s="98" t="s">
        <v>35</v>
      </c>
      <c r="B3457" s="98" t="s">
        <v>105</v>
      </c>
      <c r="C3457" s="98">
        <v>40</v>
      </c>
      <c r="D3457" s="98">
        <v>310</v>
      </c>
      <c r="E3457" s="157">
        <v>42912.958333333336</v>
      </c>
      <c r="F3457" s="157">
        <v>42913.166666666664</v>
      </c>
      <c r="G3457" s="98">
        <v>240</v>
      </c>
      <c r="H3457" s="98">
        <v>330</v>
      </c>
      <c r="I3457" s="98">
        <v>296</v>
      </c>
      <c r="J3457" s="98" t="s">
        <v>1966</v>
      </c>
      <c r="K3457" s="98" t="s">
        <v>4285</v>
      </c>
      <c r="L3457" s="105" t="str">
        <f t="shared" si="570"/>
        <v>Mill Creek</v>
      </c>
      <c r="M3457" s="105" t="str">
        <f t="shared" si="571"/>
        <v>Derate</v>
      </c>
      <c r="N3457" s="105" t="str">
        <f t="shared" si="572"/>
        <v>Coal</v>
      </c>
      <c r="O3457" s="105">
        <f>IFERROR(VLOOKUP(A3457,Lookup!$J$5:$P$19,7,FALSE),0)</f>
        <v>2</v>
      </c>
      <c r="P3457" s="159">
        <f t="shared" si="573"/>
        <v>2017</v>
      </c>
      <c r="Q3457" s="159">
        <f t="shared" si="574"/>
        <v>6</v>
      </c>
      <c r="R3457" s="160">
        <f t="shared" si="575"/>
        <v>4.9999999998835847</v>
      </c>
      <c r="S3457" s="158">
        <f t="shared" si="576"/>
        <v>1.363636363604614</v>
      </c>
      <c r="T3457" s="161">
        <f t="shared" si="577"/>
        <v>403.63636362696576</v>
      </c>
      <c r="U3457" s="158">
        <f t="shared" si="579"/>
        <v>80.727272727272734</v>
      </c>
      <c r="V3457" s="160">
        <f t="shared" si="578"/>
        <v>81</v>
      </c>
    </row>
    <row r="3458" spans="1:22" x14ac:dyDescent="0.25">
      <c r="A3458" s="98" t="s">
        <v>35</v>
      </c>
      <c r="B3458" s="98" t="s">
        <v>17</v>
      </c>
      <c r="C3458" s="98">
        <v>41</v>
      </c>
      <c r="D3458" s="98">
        <v>4099</v>
      </c>
      <c r="E3458" s="157">
        <v>42913.166666666664</v>
      </c>
      <c r="F3458" s="157">
        <v>42913.958333333336</v>
      </c>
      <c r="G3458" s="98">
        <v>319</v>
      </c>
      <c r="H3458" s="98">
        <v>330</v>
      </c>
      <c r="I3458" s="98">
        <v>296</v>
      </c>
      <c r="J3458" s="98" t="s">
        <v>2293</v>
      </c>
      <c r="K3458" s="98" t="s">
        <v>4307</v>
      </c>
      <c r="L3458" s="105" t="str">
        <f t="shared" si="570"/>
        <v>Mill Creek</v>
      </c>
      <c r="M3458" s="105" t="str">
        <f t="shared" si="571"/>
        <v>Derate</v>
      </c>
      <c r="N3458" s="105" t="str">
        <f t="shared" si="572"/>
        <v>Coal</v>
      </c>
      <c r="O3458" s="105">
        <f>IFERROR(VLOOKUP(A3458,Lookup!$J$5:$P$19,7,FALSE),0)</f>
        <v>2</v>
      </c>
      <c r="P3458" s="159">
        <f t="shared" si="573"/>
        <v>2017</v>
      </c>
      <c r="Q3458" s="159">
        <f t="shared" si="574"/>
        <v>6</v>
      </c>
      <c r="R3458" s="160">
        <f t="shared" si="575"/>
        <v>19.000000000116415</v>
      </c>
      <c r="S3458" s="158">
        <f t="shared" si="576"/>
        <v>0.63333333333721387</v>
      </c>
      <c r="T3458" s="161">
        <f t="shared" si="577"/>
        <v>187.4666666678153</v>
      </c>
      <c r="U3458" s="158">
        <f t="shared" si="579"/>
        <v>9.8666666666666671</v>
      </c>
      <c r="V3458" s="160">
        <f t="shared" si="578"/>
        <v>10</v>
      </c>
    </row>
    <row r="3459" spans="1:22" x14ac:dyDescent="0.25">
      <c r="A3459" s="98" t="s">
        <v>35</v>
      </c>
      <c r="B3459" s="98" t="s">
        <v>105</v>
      </c>
      <c r="C3459" s="98">
        <v>42</v>
      </c>
      <c r="D3459" s="98">
        <v>310</v>
      </c>
      <c r="E3459" s="157">
        <v>42913.958333333336</v>
      </c>
      <c r="F3459" s="157">
        <v>42914.168055555558</v>
      </c>
      <c r="G3459" s="98">
        <v>240</v>
      </c>
      <c r="H3459" s="98">
        <v>330</v>
      </c>
      <c r="I3459" s="98">
        <v>296</v>
      </c>
      <c r="J3459" s="98" t="s">
        <v>1966</v>
      </c>
      <c r="K3459" s="98" t="s">
        <v>4286</v>
      </c>
      <c r="L3459" s="105" t="str">
        <f t="shared" si="570"/>
        <v>Mill Creek</v>
      </c>
      <c r="M3459" s="105" t="str">
        <f t="shared" si="571"/>
        <v>Derate</v>
      </c>
      <c r="N3459" s="105" t="str">
        <f t="shared" si="572"/>
        <v>Coal</v>
      </c>
      <c r="O3459" s="105">
        <f>IFERROR(VLOOKUP(A3459,Lookup!$J$5:$P$19,7,FALSE),0)</f>
        <v>2</v>
      </c>
      <c r="P3459" s="159">
        <f t="shared" si="573"/>
        <v>2017</v>
      </c>
      <c r="Q3459" s="159">
        <f t="shared" si="574"/>
        <v>6</v>
      </c>
      <c r="R3459" s="160">
        <f t="shared" si="575"/>
        <v>5.0333333333255723</v>
      </c>
      <c r="S3459" s="158">
        <f t="shared" si="576"/>
        <v>1.372727272725156</v>
      </c>
      <c r="T3459" s="161">
        <f t="shared" si="577"/>
        <v>406.32727272664619</v>
      </c>
      <c r="U3459" s="158">
        <f t="shared" si="579"/>
        <v>80.727272727272734</v>
      </c>
      <c r="V3459" s="160">
        <f t="shared" si="578"/>
        <v>81</v>
      </c>
    </row>
    <row r="3460" spans="1:22" x14ac:dyDescent="0.25">
      <c r="A3460" s="98" t="s">
        <v>35</v>
      </c>
      <c r="B3460" s="98" t="s">
        <v>17</v>
      </c>
      <c r="C3460" s="98">
        <v>43</v>
      </c>
      <c r="D3460" s="98">
        <v>4099</v>
      </c>
      <c r="E3460" s="157">
        <v>42914.168055555558</v>
      </c>
      <c r="F3460" s="157">
        <v>42923.506249999999</v>
      </c>
      <c r="G3460" s="98">
        <v>319</v>
      </c>
      <c r="H3460" s="98">
        <v>330</v>
      </c>
      <c r="I3460" s="98">
        <v>296</v>
      </c>
      <c r="J3460" s="98" t="s">
        <v>2293</v>
      </c>
      <c r="K3460" s="98" t="s">
        <v>4307</v>
      </c>
      <c r="L3460" s="105" t="str">
        <f t="shared" si="570"/>
        <v>Mill Creek</v>
      </c>
      <c r="M3460" s="105" t="str">
        <f t="shared" si="571"/>
        <v>Derate</v>
      </c>
      <c r="N3460" s="105" t="str">
        <f t="shared" si="572"/>
        <v>Coal</v>
      </c>
      <c r="O3460" s="105">
        <f>IFERROR(VLOOKUP(A3460,Lookup!$J$5:$P$19,7,FALSE),0)</f>
        <v>2</v>
      </c>
      <c r="P3460" s="159">
        <f t="shared" si="573"/>
        <v>2017</v>
      </c>
      <c r="Q3460" s="159">
        <f t="shared" si="574"/>
        <v>6</v>
      </c>
      <c r="R3460" s="160">
        <f t="shared" si="575"/>
        <v>224.1166666665813</v>
      </c>
      <c r="S3460" s="158">
        <f t="shared" si="576"/>
        <v>7.4705555555527097</v>
      </c>
      <c r="T3460" s="161">
        <f t="shared" si="577"/>
        <v>2211.2844444436018</v>
      </c>
      <c r="U3460" s="158">
        <f t="shared" si="579"/>
        <v>9.8666666666666671</v>
      </c>
      <c r="V3460" s="160">
        <f t="shared" si="578"/>
        <v>10</v>
      </c>
    </row>
    <row r="3461" spans="1:22" x14ac:dyDescent="0.25">
      <c r="A3461" s="98" t="s">
        <v>35</v>
      </c>
      <c r="B3461" s="98" t="s">
        <v>17</v>
      </c>
      <c r="C3461" s="98">
        <v>44</v>
      </c>
      <c r="D3461" s="98">
        <v>250</v>
      </c>
      <c r="E3461" s="157">
        <v>42923.506249999999</v>
      </c>
      <c r="F3461" s="157">
        <v>42923.658333333333</v>
      </c>
      <c r="G3461" s="98">
        <v>250</v>
      </c>
      <c r="H3461" s="98">
        <v>330</v>
      </c>
      <c r="I3461" s="98">
        <v>296</v>
      </c>
      <c r="J3461" s="98" t="s">
        <v>1978</v>
      </c>
      <c r="K3461" s="98" t="s">
        <v>4799</v>
      </c>
      <c r="L3461" s="105" t="str">
        <f t="shared" si="570"/>
        <v>Mill Creek</v>
      </c>
      <c r="M3461" s="105" t="str">
        <f t="shared" si="571"/>
        <v>Derate</v>
      </c>
      <c r="N3461" s="105" t="str">
        <f t="shared" si="572"/>
        <v>Coal</v>
      </c>
      <c r="O3461" s="105">
        <f>IFERROR(VLOOKUP(A3461,Lookup!$J$5:$P$19,7,FALSE),0)</f>
        <v>2</v>
      </c>
      <c r="P3461" s="159">
        <f t="shared" si="573"/>
        <v>2017</v>
      </c>
      <c r="Q3461" s="159">
        <f t="shared" si="574"/>
        <v>7</v>
      </c>
      <c r="R3461" s="160">
        <f t="shared" si="575"/>
        <v>3.6500000000232831</v>
      </c>
      <c r="S3461" s="158">
        <f t="shared" si="576"/>
        <v>0.88484848485412926</v>
      </c>
      <c r="T3461" s="161">
        <f t="shared" si="577"/>
        <v>261.91515151682228</v>
      </c>
      <c r="U3461" s="158">
        <f t="shared" si="579"/>
        <v>71.757575757575751</v>
      </c>
      <c r="V3461" s="160">
        <f t="shared" si="578"/>
        <v>72</v>
      </c>
    </row>
    <row r="3462" spans="1:22" x14ac:dyDescent="0.25">
      <c r="A3462" s="98" t="s">
        <v>35</v>
      </c>
      <c r="B3462" s="98" t="s">
        <v>17</v>
      </c>
      <c r="C3462" s="98">
        <v>45</v>
      </c>
      <c r="D3462" s="98">
        <v>4099</v>
      </c>
      <c r="E3462" s="157">
        <v>42923.658333333333</v>
      </c>
      <c r="F3462" s="157">
        <v>42929.932638888888</v>
      </c>
      <c r="G3462" s="98">
        <v>319</v>
      </c>
      <c r="H3462" s="98">
        <v>330</v>
      </c>
      <c r="I3462" s="98">
        <v>296</v>
      </c>
      <c r="J3462" s="98" t="s">
        <v>2293</v>
      </c>
      <c r="K3462" s="98" t="s">
        <v>4307</v>
      </c>
      <c r="L3462" s="105" t="str">
        <f t="shared" si="570"/>
        <v>Mill Creek</v>
      </c>
      <c r="M3462" s="105" t="str">
        <f t="shared" si="571"/>
        <v>Derate</v>
      </c>
      <c r="N3462" s="105" t="str">
        <f t="shared" si="572"/>
        <v>Coal</v>
      </c>
      <c r="O3462" s="105">
        <f>IFERROR(VLOOKUP(A3462,Lookup!$J$5:$P$19,7,FALSE),0)</f>
        <v>2</v>
      </c>
      <c r="P3462" s="159">
        <f t="shared" si="573"/>
        <v>2017</v>
      </c>
      <c r="Q3462" s="159">
        <f t="shared" si="574"/>
        <v>7</v>
      </c>
      <c r="R3462" s="160">
        <f t="shared" si="575"/>
        <v>150.58333333331393</v>
      </c>
      <c r="S3462" s="158">
        <f t="shared" si="576"/>
        <v>5.0194444444437973</v>
      </c>
      <c r="T3462" s="161">
        <f t="shared" si="577"/>
        <v>1485.755555555364</v>
      </c>
      <c r="U3462" s="158">
        <f t="shared" si="579"/>
        <v>9.8666666666666671</v>
      </c>
      <c r="V3462" s="160">
        <f t="shared" si="578"/>
        <v>10</v>
      </c>
    </row>
    <row r="3463" spans="1:22" x14ac:dyDescent="0.25">
      <c r="A3463" s="98" t="s">
        <v>35</v>
      </c>
      <c r="B3463" s="98" t="s">
        <v>17</v>
      </c>
      <c r="C3463" s="98">
        <v>46</v>
      </c>
      <c r="D3463" s="98">
        <v>270</v>
      </c>
      <c r="E3463" s="157">
        <v>42929.932638888888</v>
      </c>
      <c r="F3463" s="157">
        <v>42930.173611111109</v>
      </c>
      <c r="G3463" s="98">
        <v>245</v>
      </c>
      <c r="H3463" s="98">
        <v>330</v>
      </c>
      <c r="I3463" s="98">
        <v>296</v>
      </c>
      <c r="J3463" s="98" t="s">
        <v>2031</v>
      </c>
      <c r="K3463" s="98" t="s">
        <v>4800</v>
      </c>
      <c r="L3463" s="105" t="str">
        <f t="shared" si="570"/>
        <v>Mill Creek</v>
      </c>
      <c r="M3463" s="105" t="str">
        <f t="shared" si="571"/>
        <v>Derate</v>
      </c>
      <c r="N3463" s="105" t="str">
        <f t="shared" si="572"/>
        <v>Coal</v>
      </c>
      <c r="O3463" s="105">
        <f>IFERROR(VLOOKUP(A3463,Lookup!$J$5:$P$19,7,FALSE),0)</f>
        <v>2</v>
      </c>
      <c r="P3463" s="159">
        <f t="shared" si="573"/>
        <v>2017</v>
      </c>
      <c r="Q3463" s="159">
        <f t="shared" si="574"/>
        <v>7</v>
      </c>
      <c r="R3463" s="160">
        <f t="shared" si="575"/>
        <v>5.7833333333255723</v>
      </c>
      <c r="S3463" s="158">
        <f t="shared" si="576"/>
        <v>1.4896464646444656</v>
      </c>
      <c r="T3463" s="161">
        <f t="shared" si="577"/>
        <v>440.93535353476182</v>
      </c>
      <c r="U3463" s="158">
        <f t="shared" si="579"/>
        <v>76.242424242424249</v>
      </c>
      <c r="V3463" s="160">
        <f t="shared" si="578"/>
        <v>76</v>
      </c>
    </row>
    <row r="3464" spans="1:22" x14ac:dyDescent="0.25">
      <c r="A3464" s="98" t="s">
        <v>35</v>
      </c>
      <c r="B3464" s="98" t="s">
        <v>17</v>
      </c>
      <c r="C3464" s="98">
        <v>47</v>
      </c>
      <c r="D3464" s="98">
        <v>4099</v>
      </c>
      <c r="E3464" s="157">
        <v>42930.173611111109</v>
      </c>
      <c r="F3464" s="157">
        <v>42937.742361111108</v>
      </c>
      <c r="G3464" s="98">
        <v>319</v>
      </c>
      <c r="H3464" s="98">
        <v>330</v>
      </c>
      <c r="I3464" s="98">
        <v>296</v>
      </c>
      <c r="J3464" s="98" t="s">
        <v>2293</v>
      </c>
      <c r="K3464" s="98" t="s">
        <v>4801</v>
      </c>
      <c r="L3464" s="105" t="str">
        <f t="shared" si="570"/>
        <v>Mill Creek</v>
      </c>
      <c r="M3464" s="105" t="str">
        <f t="shared" si="571"/>
        <v>Derate</v>
      </c>
      <c r="N3464" s="105" t="str">
        <f t="shared" si="572"/>
        <v>Coal</v>
      </c>
      <c r="O3464" s="105">
        <f>IFERROR(VLOOKUP(A3464,Lookup!$J$5:$P$19,7,FALSE),0)</f>
        <v>2</v>
      </c>
      <c r="P3464" s="159">
        <f t="shared" si="573"/>
        <v>2017</v>
      </c>
      <c r="Q3464" s="159">
        <f t="shared" si="574"/>
        <v>7</v>
      </c>
      <c r="R3464" s="160">
        <f t="shared" si="575"/>
        <v>181.64999999996508</v>
      </c>
      <c r="S3464" s="158">
        <f t="shared" si="576"/>
        <v>6.0549999999988362</v>
      </c>
      <c r="T3464" s="161">
        <f t="shared" si="577"/>
        <v>1792.2799999996555</v>
      </c>
      <c r="U3464" s="158">
        <f t="shared" si="579"/>
        <v>9.8666666666666671</v>
      </c>
      <c r="V3464" s="160">
        <f t="shared" si="578"/>
        <v>10</v>
      </c>
    </row>
    <row r="3465" spans="1:22" x14ac:dyDescent="0.25">
      <c r="A3465" s="98" t="s">
        <v>35</v>
      </c>
      <c r="B3465" s="98" t="s">
        <v>17</v>
      </c>
      <c r="C3465" s="98">
        <v>48</v>
      </c>
      <c r="D3465" s="98">
        <v>3620</v>
      </c>
      <c r="E3465" s="157">
        <v>42937.742361111108</v>
      </c>
      <c r="F3465" s="157">
        <v>42937.802083333336</v>
      </c>
      <c r="G3465" s="98">
        <v>245</v>
      </c>
      <c r="H3465" s="98">
        <v>330</v>
      </c>
      <c r="I3465" s="98">
        <v>296</v>
      </c>
      <c r="J3465" s="98" t="s">
        <v>2092</v>
      </c>
      <c r="K3465" s="98" t="s">
        <v>4802</v>
      </c>
      <c r="L3465" s="105" t="str">
        <f t="shared" si="570"/>
        <v>Mill Creek</v>
      </c>
      <c r="M3465" s="105" t="str">
        <f t="shared" si="571"/>
        <v>Derate</v>
      </c>
      <c r="N3465" s="105" t="str">
        <f t="shared" si="572"/>
        <v>Coal</v>
      </c>
      <c r="O3465" s="105">
        <f>IFERROR(VLOOKUP(A3465,Lookup!$J$5:$P$19,7,FALSE),0)</f>
        <v>2</v>
      </c>
      <c r="P3465" s="159">
        <f t="shared" si="573"/>
        <v>2017</v>
      </c>
      <c r="Q3465" s="159">
        <f t="shared" si="574"/>
        <v>7</v>
      </c>
      <c r="R3465" s="160">
        <f t="shared" si="575"/>
        <v>1.4333333334652707</v>
      </c>
      <c r="S3465" s="158">
        <f t="shared" si="576"/>
        <v>0.36919191922590305</v>
      </c>
      <c r="T3465" s="161">
        <f t="shared" si="577"/>
        <v>109.28080809086731</v>
      </c>
      <c r="U3465" s="158">
        <f t="shared" si="579"/>
        <v>76.242424242424249</v>
      </c>
      <c r="V3465" s="160">
        <f t="shared" si="578"/>
        <v>76</v>
      </c>
    </row>
    <row r="3466" spans="1:22" x14ac:dyDescent="0.25">
      <c r="A3466" s="98" t="s">
        <v>35</v>
      </c>
      <c r="B3466" s="98" t="s">
        <v>17</v>
      </c>
      <c r="C3466" s="98">
        <v>49</v>
      </c>
      <c r="D3466" s="98">
        <v>4099</v>
      </c>
      <c r="E3466" s="157">
        <v>42937.802083333336</v>
      </c>
      <c r="F3466" s="157">
        <v>42940.327777777777</v>
      </c>
      <c r="G3466" s="98">
        <v>319</v>
      </c>
      <c r="H3466" s="98">
        <v>330</v>
      </c>
      <c r="I3466" s="98">
        <v>296</v>
      </c>
      <c r="J3466" s="98" t="s">
        <v>2293</v>
      </c>
      <c r="K3466" s="98" t="s">
        <v>4307</v>
      </c>
      <c r="L3466" s="105" t="str">
        <f t="shared" si="570"/>
        <v>Mill Creek</v>
      </c>
      <c r="M3466" s="105" t="str">
        <f t="shared" si="571"/>
        <v>Derate</v>
      </c>
      <c r="N3466" s="105" t="str">
        <f t="shared" si="572"/>
        <v>Coal</v>
      </c>
      <c r="O3466" s="105">
        <f>IFERROR(VLOOKUP(A3466,Lookup!$J$5:$P$19,7,FALSE),0)</f>
        <v>2</v>
      </c>
      <c r="P3466" s="159">
        <f t="shared" si="573"/>
        <v>2017</v>
      </c>
      <c r="Q3466" s="159">
        <f t="shared" si="574"/>
        <v>7</v>
      </c>
      <c r="R3466" s="160">
        <f t="shared" si="575"/>
        <v>60.616666666581295</v>
      </c>
      <c r="S3466" s="158">
        <f t="shared" si="576"/>
        <v>2.0205555555527099</v>
      </c>
      <c r="T3466" s="161">
        <f t="shared" si="577"/>
        <v>598.08444444360214</v>
      </c>
      <c r="U3466" s="158">
        <f t="shared" si="579"/>
        <v>9.8666666666666671</v>
      </c>
      <c r="V3466" s="160">
        <f t="shared" si="578"/>
        <v>10</v>
      </c>
    </row>
    <row r="3467" spans="1:22" x14ac:dyDescent="0.25">
      <c r="A3467" s="98" t="s">
        <v>35</v>
      </c>
      <c r="B3467" s="98" t="s">
        <v>15</v>
      </c>
      <c r="C3467" s="98">
        <v>50</v>
      </c>
      <c r="D3467" s="98">
        <v>9930</v>
      </c>
      <c r="E3467" s="157">
        <v>42940.327777777777</v>
      </c>
      <c r="F3467" s="157">
        <v>42940.379861111112</v>
      </c>
      <c r="G3467" s="98">
        <v>0</v>
      </c>
      <c r="H3467" s="98">
        <v>330</v>
      </c>
      <c r="I3467" s="98">
        <v>296</v>
      </c>
      <c r="J3467" s="98" t="s">
        <v>2639</v>
      </c>
      <c r="K3467" s="98" t="s">
        <v>4803</v>
      </c>
      <c r="L3467" s="105" t="str">
        <f t="shared" si="570"/>
        <v>Mill Creek</v>
      </c>
      <c r="M3467" s="105" t="str">
        <f t="shared" si="571"/>
        <v>Outage</v>
      </c>
      <c r="N3467" s="105" t="str">
        <f t="shared" si="572"/>
        <v>Coal</v>
      </c>
      <c r="O3467" s="105">
        <f>IFERROR(VLOOKUP(A3467,Lookup!$J$5:$P$19,7,FALSE),0)</f>
        <v>2</v>
      </c>
      <c r="P3467" s="159">
        <f t="shared" si="573"/>
        <v>2017</v>
      </c>
      <c r="Q3467" s="159">
        <f t="shared" si="574"/>
        <v>7</v>
      </c>
      <c r="R3467" s="160">
        <f t="shared" si="575"/>
        <v>1.2500000000582077</v>
      </c>
      <c r="S3467" s="158">
        <f t="shared" si="576"/>
        <v>1.2500000000582077</v>
      </c>
      <c r="T3467" s="161">
        <f t="shared" si="577"/>
        <v>370.00000001722947</v>
      </c>
      <c r="U3467" s="158">
        <f t="shared" si="579"/>
        <v>296</v>
      </c>
      <c r="V3467" s="160">
        <f t="shared" si="578"/>
        <v>296</v>
      </c>
    </row>
    <row r="3468" spans="1:22" x14ac:dyDescent="0.25">
      <c r="A3468" s="98" t="s">
        <v>35</v>
      </c>
      <c r="B3468" s="98" t="s">
        <v>17</v>
      </c>
      <c r="C3468" s="98">
        <v>51</v>
      </c>
      <c r="D3468" s="98">
        <v>4099</v>
      </c>
      <c r="E3468" s="157">
        <v>42940.379861111112</v>
      </c>
      <c r="F3468" s="157">
        <v>42940.553472222222</v>
      </c>
      <c r="G3468" s="98">
        <v>319</v>
      </c>
      <c r="H3468" s="98">
        <v>330</v>
      </c>
      <c r="I3468" s="98">
        <v>296</v>
      </c>
      <c r="J3468" s="98" t="s">
        <v>2293</v>
      </c>
      <c r="K3468" s="98" t="s">
        <v>4307</v>
      </c>
      <c r="L3468" s="105" t="str">
        <f t="shared" si="570"/>
        <v>Mill Creek</v>
      </c>
      <c r="M3468" s="105" t="str">
        <f t="shared" si="571"/>
        <v>Derate</v>
      </c>
      <c r="N3468" s="105" t="str">
        <f t="shared" si="572"/>
        <v>Coal</v>
      </c>
      <c r="O3468" s="105">
        <f>IFERROR(VLOOKUP(A3468,Lookup!$J$5:$P$19,7,FALSE),0)</f>
        <v>2</v>
      </c>
      <c r="P3468" s="159">
        <f t="shared" si="573"/>
        <v>2017</v>
      </c>
      <c r="Q3468" s="159">
        <f t="shared" si="574"/>
        <v>7</v>
      </c>
      <c r="R3468" s="160">
        <f t="shared" si="575"/>
        <v>4.1666666666278616</v>
      </c>
      <c r="S3468" s="158">
        <f t="shared" si="576"/>
        <v>0.13888888888759537</v>
      </c>
      <c r="T3468" s="161">
        <f t="shared" si="577"/>
        <v>41.111111110728231</v>
      </c>
      <c r="U3468" s="158">
        <f t="shared" si="579"/>
        <v>9.8666666666666671</v>
      </c>
      <c r="V3468" s="160">
        <f t="shared" si="578"/>
        <v>10</v>
      </c>
    </row>
    <row r="3469" spans="1:22" x14ac:dyDescent="0.25">
      <c r="A3469" s="98" t="s">
        <v>35</v>
      </c>
      <c r="B3469" s="98" t="s">
        <v>17</v>
      </c>
      <c r="C3469" s="98">
        <v>52</v>
      </c>
      <c r="D3469" s="98">
        <v>4099</v>
      </c>
      <c r="E3469" s="157">
        <v>42940.553472222222</v>
      </c>
      <c r="F3469" s="157">
        <v>42940.874305555553</v>
      </c>
      <c r="G3469" s="98">
        <v>308</v>
      </c>
      <c r="H3469" s="98">
        <v>330</v>
      </c>
      <c r="I3469" s="98">
        <v>296</v>
      </c>
      <c r="J3469" s="98" t="s">
        <v>2293</v>
      </c>
      <c r="K3469" s="98" t="s">
        <v>4801</v>
      </c>
      <c r="L3469" s="105" t="str">
        <f t="shared" si="570"/>
        <v>Mill Creek</v>
      </c>
      <c r="M3469" s="105" t="str">
        <f t="shared" si="571"/>
        <v>Derate</v>
      </c>
      <c r="N3469" s="105" t="str">
        <f t="shared" si="572"/>
        <v>Coal</v>
      </c>
      <c r="O3469" s="105">
        <f>IFERROR(VLOOKUP(A3469,Lookup!$J$5:$P$19,7,FALSE),0)</f>
        <v>2</v>
      </c>
      <c r="P3469" s="159">
        <f t="shared" si="573"/>
        <v>2017</v>
      </c>
      <c r="Q3469" s="159">
        <f t="shared" si="574"/>
        <v>7</v>
      </c>
      <c r="R3469" s="160">
        <f t="shared" si="575"/>
        <v>7.6999999999534339</v>
      </c>
      <c r="S3469" s="158">
        <f t="shared" si="576"/>
        <v>0.5133333333302289</v>
      </c>
      <c r="T3469" s="161">
        <f t="shared" si="577"/>
        <v>151.94666666574776</v>
      </c>
      <c r="U3469" s="158">
        <f t="shared" si="579"/>
        <v>19.733333333333334</v>
      </c>
      <c r="V3469" s="160">
        <f t="shared" si="578"/>
        <v>20</v>
      </c>
    </row>
    <row r="3470" spans="1:22" x14ac:dyDescent="0.25">
      <c r="A3470" s="98" t="s">
        <v>35</v>
      </c>
      <c r="B3470" s="98" t="s">
        <v>17</v>
      </c>
      <c r="C3470" s="98">
        <v>53</v>
      </c>
      <c r="D3470" s="98">
        <v>4099</v>
      </c>
      <c r="E3470" s="157">
        <v>42940.874305555553</v>
      </c>
      <c r="F3470" s="157">
        <v>42940.916666666664</v>
      </c>
      <c r="G3470" s="98">
        <v>319</v>
      </c>
      <c r="H3470" s="98">
        <v>330</v>
      </c>
      <c r="I3470" s="98">
        <v>296</v>
      </c>
      <c r="J3470" s="98" t="s">
        <v>2293</v>
      </c>
      <c r="K3470" s="98" t="s">
        <v>4307</v>
      </c>
      <c r="L3470" s="105" t="str">
        <f t="shared" si="570"/>
        <v>Mill Creek</v>
      </c>
      <c r="M3470" s="105" t="str">
        <f t="shared" si="571"/>
        <v>Derate</v>
      </c>
      <c r="N3470" s="105" t="str">
        <f t="shared" si="572"/>
        <v>Coal</v>
      </c>
      <c r="O3470" s="105">
        <f>IFERROR(VLOOKUP(A3470,Lookup!$J$5:$P$19,7,FALSE),0)</f>
        <v>2</v>
      </c>
      <c r="P3470" s="159">
        <f t="shared" si="573"/>
        <v>2017</v>
      </c>
      <c r="Q3470" s="159">
        <f t="shared" si="574"/>
        <v>7</v>
      </c>
      <c r="R3470" s="160">
        <f t="shared" si="575"/>
        <v>1.0166666666627862</v>
      </c>
      <c r="S3470" s="158">
        <f t="shared" si="576"/>
        <v>3.3888888888759537E-2</v>
      </c>
      <c r="T3470" s="161">
        <f t="shared" si="577"/>
        <v>10.031111111072823</v>
      </c>
      <c r="U3470" s="158">
        <f t="shared" si="579"/>
        <v>9.8666666666666671</v>
      </c>
      <c r="V3470" s="160">
        <f t="shared" si="578"/>
        <v>10</v>
      </c>
    </row>
    <row r="3471" spans="1:22" x14ac:dyDescent="0.25">
      <c r="A3471" s="98" t="s">
        <v>35</v>
      </c>
      <c r="B3471" s="98" t="s">
        <v>105</v>
      </c>
      <c r="C3471" s="98">
        <v>54</v>
      </c>
      <c r="D3471" s="98">
        <v>310</v>
      </c>
      <c r="E3471" s="157">
        <v>42940.916666666664</v>
      </c>
      <c r="F3471" s="157">
        <v>42941.163194444445</v>
      </c>
      <c r="G3471" s="98">
        <v>240</v>
      </c>
      <c r="H3471" s="98">
        <v>330</v>
      </c>
      <c r="I3471" s="98">
        <v>296</v>
      </c>
      <c r="J3471" s="98" t="s">
        <v>1966</v>
      </c>
      <c r="K3471" s="98" t="s">
        <v>4281</v>
      </c>
      <c r="L3471" s="105" t="str">
        <f t="shared" si="570"/>
        <v>Mill Creek</v>
      </c>
      <c r="M3471" s="105" t="str">
        <f t="shared" si="571"/>
        <v>Derate</v>
      </c>
      <c r="N3471" s="105" t="str">
        <f t="shared" si="572"/>
        <v>Coal</v>
      </c>
      <c r="O3471" s="105">
        <f>IFERROR(VLOOKUP(A3471,Lookup!$J$5:$P$19,7,FALSE),0)</f>
        <v>2</v>
      </c>
      <c r="P3471" s="159">
        <f t="shared" si="573"/>
        <v>2017</v>
      </c>
      <c r="Q3471" s="159">
        <f t="shared" si="574"/>
        <v>7</v>
      </c>
      <c r="R3471" s="160">
        <f t="shared" si="575"/>
        <v>5.9166666667442769</v>
      </c>
      <c r="S3471" s="158">
        <f t="shared" si="576"/>
        <v>1.6136363636575302</v>
      </c>
      <c r="T3471" s="161">
        <f t="shared" si="577"/>
        <v>477.63636364262891</v>
      </c>
      <c r="U3471" s="158">
        <f t="shared" si="579"/>
        <v>80.727272727272734</v>
      </c>
      <c r="V3471" s="160">
        <f t="shared" si="578"/>
        <v>81</v>
      </c>
    </row>
    <row r="3472" spans="1:22" x14ac:dyDescent="0.25">
      <c r="A3472" s="98" t="s">
        <v>35</v>
      </c>
      <c r="B3472" s="98" t="s">
        <v>17</v>
      </c>
      <c r="C3472" s="98">
        <v>55</v>
      </c>
      <c r="D3472" s="98">
        <v>4099</v>
      </c>
      <c r="E3472" s="157">
        <v>42941.163194444445</v>
      </c>
      <c r="F3472" s="157">
        <v>42941.958333333336</v>
      </c>
      <c r="G3472" s="98">
        <v>319</v>
      </c>
      <c r="H3472" s="98">
        <v>330</v>
      </c>
      <c r="I3472" s="98">
        <v>296</v>
      </c>
      <c r="J3472" s="98" t="s">
        <v>2293</v>
      </c>
      <c r="K3472" s="98" t="s">
        <v>4307</v>
      </c>
      <c r="L3472" s="105" t="str">
        <f t="shared" si="570"/>
        <v>Mill Creek</v>
      </c>
      <c r="M3472" s="105" t="str">
        <f t="shared" si="571"/>
        <v>Derate</v>
      </c>
      <c r="N3472" s="105" t="str">
        <f t="shared" si="572"/>
        <v>Coal</v>
      </c>
      <c r="O3472" s="105">
        <f>IFERROR(VLOOKUP(A3472,Lookup!$J$5:$P$19,7,FALSE),0)</f>
        <v>2</v>
      </c>
      <c r="P3472" s="159">
        <f t="shared" si="573"/>
        <v>2017</v>
      </c>
      <c r="Q3472" s="159">
        <f t="shared" si="574"/>
        <v>7</v>
      </c>
      <c r="R3472" s="160">
        <f t="shared" si="575"/>
        <v>19.083333333372138</v>
      </c>
      <c r="S3472" s="158">
        <f t="shared" si="576"/>
        <v>0.63611111111240459</v>
      </c>
      <c r="T3472" s="161">
        <f t="shared" si="577"/>
        <v>188.28888888927176</v>
      </c>
      <c r="U3472" s="158">
        <f t="shared" si="579"/>
        <v>9.8666666666666671</v>
      </c>
      <c r="V3472" s="160">
        <f t="shared" si="578"/>
        <v>10</v>
      </c>
    </row>
    <row r="3473" spans="1:22" x14ac:dyDescent="0.25">
      <c r="A3473" s="98" t="s">
        <v>35</v>
      </c>
      <c r="B3473" s="98" t="s">
        <v>105</v>
      </c>
      <c r="C3473" s="98">
        <v>56</v>
      </c>
      <c r="D3473" s="98">
        <v>310</v>
      </c>
      <c r="E3473" s="157">
        <v>42941.958333333336</v>
      </c>
      <c r="F3473" s="157">
        <v>42942.177777777775</v>
      </c>
      <c r="G3473" s="98">
        <v>250</v>
      </c>
      <c r="H3473" s="98">
        <v>330</v>
      </c>
      <c r="I3473" s="98">
        <v>296</v>
      </c>
      <c r="J3473" s="98" t="s">
        <v>1966</v>
      </c>
      <c r="K3473" s="98" t="s">
        <v>3609</v>
      </c>
      <c r="L3473" s="105" t="str">
        <f t="shared" si="570"/>
        <v>Mill Creek</v>
      </c>
      <c r="M3473" s="105" t="str">
        <f t="shared" si="571"/>
        <v>Derate</v>
      </c>
      <c r="N3473" s="105" t="str">
        <f t="shared" si="572"/>
        <v>Coal</v>
      </c>
      <c r="O3473" s="105">
        <f>IFERROR(VLOOKUP(A3473,Lookup!$J$5:$P$19,7,FALSE),0)</f>
        <v>2</v>
      </c>
      <c r="P3473" s="159">
        <f t="shared" si="573"/>
        <v>2017</v>
      </c>
      <c r="Q3473" s="159">
        <f t="shared" si="574"/>
        <v>7</v>
      </c>
      <c r="R3473" s="160">
        <f t="shared" si="575"/>
        <v>5.2666666665463708</v>
      </c>
      <c r="S3473" s="158">
        <f t="shared" si="576"/>
        <v>1.2767676767385141</v>
      </c>
      <c r="T3473" s="161">
        <f t="shared" si="577"/>
        <v>377.92323231460017</v>
      </c>
      <c r="U3473" s="158">
        <f t="shared" si="579"/>
        <v>71.757575757575751</v>
      </c>
      <c r="V3473" s="160">
        <f t="shared" si="578"/>
        <v>72</v>
      </c>
    </row>
    <row r="3474" spans="1:22" x14ac:dyDescent="0.25">
      <c r="A3474" s="98" t="s">
        <v>35</v>
      </c>
      <c r="B3474" s="98" t="s">
        <v>17</v>
      </c>
      <c r="C3474" s="98">
        <v>57</v>
      </c>
      <c r="D3474" s="98">
        <v>4099</v>
      </c>
      <c r="E3474" s="157">
        <v>42942.177777777775</v>
      </c>
      <c r="F3474" s="157">
        <v>42944.916666666664</v>
      </c>
      <c r="G3474" s="98">
        <v>319</v>
      </c>
      <c r="H3474" s="98">
        <v>330</v>
      </c>
      <c r="I3474" s="98">
        <v>296</v>
      </c>
      <c r="J3474" s="98" t="s">
        <v>2293</v>
      </c>
      <c r="K3474" s="98" t="s">
        <v>4307</v>
      </c>
      <c r="L3474" s="105" t="str">
        <f t="shared" si="570"/>
        <v>Mill Creek</v>
      </c>
      <c r="M3474" s="105" t="str">
        <f t="shared" si="571"/>
        <v>Derate</v>
      </c>
      <c r="N3474" s="105" t="str">
        <f t="shared" si="572"/>
        <v>Coal</v>
      </c>
      <c r="O3474" s="105">
        <f>IFERROR(VLOOKUP(A3474,Lookup!$J$5:$P$19,7,FALSE),0)</f>
        <v>2</v>
      </c>
      <c r="P3474" s="159">
        <f t="shared" si="573"/>
        <v>2017</v>
      </c>
      <c r="Q3474" s="159">
        <f t="shared" si="574"/>
        <v>7</v>
      </c>
      <c r="R3474" s="160">
        <f t="shared" si="575"/>
        <v>65.733333333337214</v>
      </c>
      <c r="S3474" s="158">
        <f t="shared" si="576"/>
        <v>2.1911111111112405</v>
      </c>
      <c r="T3474" s="161">
        <f t="shared" si="577"/>
        <v>648.56888888892718</v>
      </c>
      <c r="U3474" s="158">
        <f t="shared" si="579"/>
        <v>9.8666666666666671</v>
      </c>
      <c r="V3474" s="160">
        <f t="shared" si="578"/>
        <v>10</v>
      </c>
    </row>
    <row r="3475" spans="1:22" x14ac:dyDescent="0.25">
      <c r="A3475" s="98" t="s">
        <v>35</v>
      </c>
      <c r="B3475" s="98" t="s">
        <v>105</v>
      </c>
      <c r="C3475" s="98">
        <v>58</v>
      </c>
      <c r="D3475" s="98">
        <v>8620</v>
      </c>
      <c r="E3475" s="157">
        <v>42944.916666666664</v>
      </c>
      <c r="F3475" s="157">
        <v>42945.024305555555</v>
      </c>
      <c r="G3475" s="98">
        <v>125</v>
      </c>
      <c r="H3475" s="98">
        <v>330</v>
      </c>
      <c r="I3475" s="98">
        <v>296</v>
      </c>
      <c r="J3475" s="98" t="s">
        <v>4762</v>
      </c>
      <c r="K3475" s="98" t="s">
        <v>4763</v>
      </c>
      <c r="L3475" s="105" t="str">
        <f t="shared" si="570"/>
        <v>Mill Creek</v>
      </c>
      <c r="M3475" s="105" t="str">
        <f t="shared" si="571"/>
        <v>Derate</v>
      </c>
      <c r="N3475" s="105" t="str">
        <f t="shared" si="572"/>
        <v>Coal</v>
      </c>
      <c r="O3475" s="105">
        <f>IFERROR(VLOOKUP(A3475,Lookup!$J$5:$P$19,7,FALSE),0)</f>
        <v>2</v>
      </c>
      <c r="P3475" s="159">
        <f t="shared" si="573"/>
        <v>2017</v>
      </c>
      <c r="Q3475" s="159">
        <f t="shared" si="574"/>
        <v>7</v>
      </c>
      <c r="R3475" s="160">
        <f t="shared" si="575"/>
        <v>2.5833333333721384</v>
      </c>
      <c r="S3475" s="158">
        <f t="shared" si="576"/>
        <v>1.6047979798220859</v>
      </c>
      <c r="T3475" s="161">
        <f t="shared" si="577"/>
        <v>475.02020202733746</v>
      </c>
      <c r="U3475" s="158">
        <f t="shared" si="579"/>
        <v>183.87878787878788</v>
      </c>
      <c r="V3475" s="160">
        <f t="shared" si="578"/>
        <v>184</v>
      </c>
    </row>
    <row r="3476" spans="1:22" x14ac:dyDescent="0.25">
      <c r="A3476" s="98" t="s">
        <v>35</v>
      </c>
      <c r="B3476" s="98" t="s">
        <v>17</v>
      </c>
      <c r="C3476" s="98">
        <v>59</v>
      </c>
      <c r="D3476" s="98">
        <v>4099</v>
      </c>
      <c r="E3476" s="157">
        <v>42945.024305555555</v>
      </c>
      <c r="F3476" s="157">
        <v>42946.916666666664</v>
      </c>
      <c r="G3476" s="98">
        <v>319</v>
      </c>
      <c r="H3476" s="98">
        <v>330</v>
      </c>
      <c r="I3476" s="98">
        <v>296</v>
      </c>
      <c r="J3476" s="98" t="s">
        <v>2293</v>
      </c>
      <c r="K3476" s="98" t="s">
        <v>4307</v>
      </c>
      <c r="L3476" s="105" t="str">
        <f t="shared" si="570"/>
        <v>Mill Creek</v>
      </c>
      <c r="M3476" s="105" t="str">
        <f t="shared" si="571"/>
        <v>Derate</v>
      </c>
      <c r="N3476" s="105" t="str">
        <f t="shared" si="572"/>
        <v>Coal</v>
      </c>
      <c r="O3476" s="105">
        <f>IFERROR(VLOOKUP(A3476,Lookup!$J$5:$P$19,7,FALSE),0)</f>
        <v>2</v>
      </c>
      <c r="P3476" s="159">
        <f t="shared" si="573"/>
        <v>2017</v>
      </c>
      <c r="Q3476" s="159">
        <f t="shared" si="574"/>
        <v>7</v>
      </c>
      <c r="R3476" s="160">
        <f t="shared" si="575"/>
        <v>45.416666666627862</v>
      </c>
      <c r="S3476" s="158">
        <f t="shared" si="576"/>
        <v>1.5138888888875954</v>
      </c>
      <c r="T3476" s="161">
        <f t="shared" si="577"/>
        <v>448.11111111072825</v>
      </c>
      <c r="U3476" s="158">
        <f t="shared" si="579"/>
        <v>9.8666666666666671</v>
      </c>
      <c r="V3476" s="160">
        <f t="shared" si="578"/>
        <v>10</v>
      </c>
    </row>
    <row r="3477" spans="1:22" x14ac:dyDescent="0.25">
      <c r="A3477" s="98" t="s">
        <v>35</v>
      </c>
      <c r="B3477" s="98" t="s">
        <v>105</v>
      </c>
      <c r="C3477" s="98">
        <v>60</v>
      </c>
      <c r="D3477" s="98">
        <v>310</v>
      </c>
      <c r="E3477" s="157">
        <v>42946.916666666664</v>
      </c>
      <c r="F3477" s="157">
        <v>42947.164583333331</v>
      </c>
      <c r="G3477" s="98">
        <v>250</v>
      </c>
      <c r="H3477" s="98">
        <v>330</v>
      </c>
      <c r="I3477" s="98">
        <v>296</v>
      </c>
      <c r="J3477" s="98" t="s">
        <v>1966</v>
      </c>
      <c r="K3477" s="98" t="s">
        <v>4285</v>
      </c>
      <c r="L3477" s="105" t="str">
        <f t="shared" si="570"/>
        <v>Mill Creek</v>
      </c>
      <c r="M3477" s="105" t="str">
        <f t="shared" si="571"/>
        <v>Derate</v>
      </c>
      <c r="N3477" s="105" t="str">
        <f t="shared" si="572"/>
        <v>Coal</v>
      </c>
      <c r="O3477" s="105">
        <f>IFERROR(VLOOKUP(A3477,Lookup!$J$5:$P$19,7,FALSE),0)</f>
        <v>2</v>
      </c>
      <c r="P3477" s="159">
        <f t="shared" si="573"/>
        <v>2017</v>
      </c>
      <c r="Q3477" s="159">
        <f t="shared" si="574"/>
        <v>7</v>
      </c>
      <c r="R3477" s="160">
        <f t="shared" si="575"/>
        <v>5.9500000000116415</v>
      </c>
      <c r="S3477" s="158">
        <f t="shared" si="576"/>
        <v>1.4424242424270646</v>
      </c>
      <c r="T3477" s="161">
        <f t="shared" si="577"/>
        <v>426.95757575841111</v>
      </c>
      <c r="U3477" s="158">
        <f t="shared" si="579"/>
        <v>71.757575757575751</v>
      </c>
      <c r="V3477" s="160">
        <f t="shared" si="578"/>
        <v>72</v>
      </c>
    </row>
    <row r="3478" spans="1:22" x14ac:dyDescent="0.25">
      <c r="A3478" s="98" t="s">
        <v>35</v>
      </c>
      <c r="B3478" s="98" t="s">
        <v>17</v>
      </c>
      <c r="C3478" s="98">
        <v>61</v>
      </c>
      <c r="D3478" s="98">
        <v>4099</v>
      </c>
      <c r="E3478" s="157">
        <v>42947.164583333331</v>
      </c>
      <c r="F3478" s="157">
        <v>42947.916666666664</v>
      </c>
      <c r="G3478" s="98">
        <v>319</v>
      </c>
      <c r="H3478" s="98">
        <v>330</v>
      </c>
      <c r="I3478" s="98">
        <v>296</v>
      </c>
      <c r="J3478" s="98" t="s">
        <v>2293</v>
      </c>
      <c r="K3478" s="98" t="s">
        <v>4307</v>
      </c>
      <c r="L3478" s="105" t="str">
        <f t="shared" si="570"/>
        <v>Mill Creek</v>
      </c>
      <c r="M3478" s="105" t="str">
        <f t="shared" si="571"/>
        <v>Derate</v>
      </c>
      <c r="N3478" s="105" t="str">
        <f t="shared" si="572"/>
        <v>Coal</v>
      </c>
      <c r="O3478" s="105">
        <f>IFERROR(VLOOKUP(A3478,Lookup!$J$5:$P$19,7,FALSE),0)</f>
        <v>2</v>
      </c>
      <c r="P3478" s="159">
        <f t="shared" si="573"/>
        <v>2017</v>
      </c>
      <c r="Q3478" s="159">
        <f t="shared" si="574"/>
        <v>7</v>
      </c>
      <c r="R3478" s="160">
        <f t="shared" si="575"/>
        <v>18.049999999988358</v>
      </c>
      <c r="S3478" s="158">
        <f t="shared" si="576"/>
        <v>0.60166666666627866</v>
      </c>
      <c r="T3478" s="161">
        <f t="shared" si="577"/>
        <v>178.09333333321848</v>
      </c>
      <c r="U3478" s="158">
        <f t="shared" si="579"/>
        <v>9.8666666666666671</v>
      </c>
      <c r="V3478" s="160">
        <f t="shared" si="578"/>
        <v>10</v>
      </c>
    </row>
    <row r="3479" spans="1:22" x14ac:dyDescent="0.25">
      <c r="A3479" s="98" t="s">
        <v>35</v>
      </c>
      <c r="B3479" s="98" t="s">
        <v>105</v>
      </c>
      <c r="C3479" s="98">
        <v>62</v>
      </c>
      <c r="D3479" s="98">
        <v>310</v>
      </c>
      <c r="E3479" s="157">
        <v>42947.916666666664</v>
      </c>
      <c r="F3479" s="157">
        <v>42948.157638888886</v>
      </c>
      <c r="G3479" s="98">
        <v>250</v>
      </c>
      <c r="H3479" s="98">
        <v>330</v>
      </c>
      <c r="I3479" s="98">
        <v>296</v>
      </c>
      <c r="J3479" s="98" t="s">
        <v>1966</v>
      </c>
      <c r="K3479" s="98" t="s">
        <v>4285</v>
      </c>
      <c r="L3479" s="105" t="str">
        <f t="shared" si="570"/>
        <v>Mill Creek</v>
      </c>
      <c r="M3479" s="105" t="str">
        <f t="shared" si="571"/>
        <v>Derate</v>
      </c>
      <c r="N3479" s="105" t="str">
        <f t="shared" si="572"/>
        <v>Coal</v>
      </c>
      <c r="O3479" s="105">
        <f>IFERROR(VLOOKUP(A3479,Lookup!$J$5:$P$19,7,FALSE),0)</f>
        <v>2</v>
      </c>
      <c r="P3479" s="159">
        <f t="shared" si="573"/>
        <v>2017</v>
      </c>
      <c r="Q3479" s="159">
        <f t="shared" si="574"/>
        <v>7</v>
      </c>
      <c r="R3479" s="160">
        <f t="shared" si="575"/>
        <v>5.7833333333255723</v>
      </c>
      <c r="S3479" s="158">
        <f t="shared" si="576"/>
        <v>1.4020202020183206</v>
      </c>
      <c r="T3479" s="161">
        <f t="shared" si="577"/>
        <v>414.99797979742289</v>
      </c>
      <c r="U3479" s="158">
        <f t="shared" si="579"/>
        <v>71.757575757575751</v>
      </c>
      <c r="V3479" s="160">
        <f t="shared" si="578"/>
        <v>72</v>
      </c>
    </row>
    <row r="3480" spans="1:22" x14ac:dyDescent="0.25">
      <c r="A3480" s="98" t="s">
        <v>35</v>
      </c>
      <c r="B3480" s="98" t="s">
        <v>17</v>
      </c>
      <c r="C3480" s="98">
        <v>63</v>
      </c>
      <c r="D3480" s="98">
        <v>4099</v>
      </c>
      <c r="E3480" s="157">
        <v>42948.157638888886</v>
      </c>
      <c r="F3480" s="157">
        <v>42955.352083333331</v>
      </c>
      <c r="G3480" s="98">
        <v>319</v>
      </c>
      <c r="H3480" s="98">
        <v>330</v>
      </c>
      <c r="I3480" s="98">
        <v>296</v>
      </c>
      <c r="J3480" s="98" t="s">
        <v>2293</v>
      </c>
      <c r="K3480" s="98" t="s">
        <v>4307</v>
      </c>
      <c r="L3480" s="105" t="str">
        <f t="shared" si="570"/>
        <v>Mill Creek</v>
      </c>
      <c r="M3480" s="105" t="str">
        <f t="shared" si="571"/>
        <v>Derate</v>
      </c>
      <c r="N3480" s="105" t="str">
        <f t="shared" si="572"/>
        <v>Coal</v>
      </c>
      <c r="O3480" s="105">
        <f>IFERROR(VLOOKUP(A3480,Lookup!$J$5:$P$19,7,FALSE),0)</f>
        <v>2</v>
      </c>
      <c r="P3480" s="159">
        <f t="shared" si="573"/>
        <v>2017</v>
      </c>
      <c r="Q3480" s="159">
        <f t="shared" si="574"/>
        <v>8</v>
      </c>
      <c r="R3480" s="160">
        <f t="shared" si="575"/>
        <v>172.66666666668607</v>
      </c>
      <c r="S3480" s="158">
        <f t="shared" si="576"/>
        <v>5.7555555555562021</v>
      </c>
      <c r="T3480" s="161">
        <f t="shared" si="577"/>
        <v>1703.6444444446358</v>
      </c>
      <c r="U3480" s="158">
        <f t="shared" si="579"/>
        <v>9.8666666666666671</v>
      </c>
      <c r="V3480" s="160">
        <f t="shared" si="578"/>
        <v>10</v>
      </c>
    </row>
    <row r="3481" spans="1:22" x14ac:dyDescent="0.25">
      <c r="A3481" s="98" t="s">
        <v>35</v>
      </c>
      <c r="B3481" s="98" t="s">
        <v>17</v>
      </c>
      <c r="C3481" s="98">
        <v>64</v>
      </c>
      <c r="D3481" s="98">
        <v>255</v>
      </c>
      <c r="E3481" s="157">
        <v>42955.352083333331</v>
      </c>
      <c r="F3481" s="157">
        <v>42955.445833333331</v>
      </c>
      <c r="G3481" s="98">
        <v>250</v>
      </c>
      <c r="H3481" s="98">
        <v>330</v>
      </c>
      <c r="I3481" s="98">
        <v>296</v>
      </c>
      <c r="J3481" s="98" t="s">
        <v>2124</v>
      </c>
      <c r="K3481" s="98" t="s">
        <v>4804</v>
      </c>
      <c r="L3481" s="105" t="str">
        <f t="shared" si="570"/>
        <v>Mill Creek</v>
      </c>
      <c r="M3481" s="105" t="str">
        <f t="shared" si="571"/>
        <v>Derate</v>
      </c>
      <c r="N3481" s="105" t="str">
        <f t="shared" si="572"/>
        <v>Coal</v>
      </c>
      <c r="O3481" s="105">
        <f>IFERROR(VLOOKUP(A3481,Lookup!$J$5:$P$19,7,FALSE),0)</f>
        <v>2</v>
      </c>
      <c r="P3481" s="159">
        <f t="shared" si="573"/>
        <v>2017</v>
      </c>
      <c r="Q3481" s="159">
        <f t="shared" si="574"/>
        <v>8</v>
      </c>
      <c r="R3481" s="160">
        <f t="shared" si="575"/>
        <v>2.25</v>
      </c>
      <c r="S3481" s="158">
        <f t="shared" si="576"/>
        <v>0.54545454545454541</v>
      </c>
      <c r="T3481" s="161">
        <f t="shared" si="577"/>
        <v>161.45454545454544</v>
      </c>
      <c r="U3481" s="158">
        <f t="shared" si="579"/>
        <v>71.757575757575751</v>
      </c>
      <c r="V3481" s="160">
        <f t="shared" si="578"/>
        <v>72</v>
      </c>
    </row>
    <row r="3482" spans="1:22" x14ac:dyDescent="0.25">
      <c r="A3482" s="98" t="s">
        <v>35</v>
      </c>
      <c r="B3482" s="98" t="s">
        <v>17</v>
      </c>
      <c r="C3482" s="98">
        <v>65</v>
      </c>
      <c r="D3482" s="98">
        <v>4099</v>
      </c>
      <c r="E3482" s="157">
        <v>42955.445833333331</v>
      </c>
      <c r="F3482" s="157">
        <v>42966.018750000003</v>
      </c>
      <c r="G3482" s="98">
        <v>319</v>
      </c>
      <c r="H3482" s="98">
        <v>330</v>
      </c>
      <c r="I3482" s="98">
        <v>296</v>
      </c>
      <c r="J3482" s="98" t="s">
        <v>2293</v>
      </c>
      <c r="K3482" s="98" t="s">
        <v>4307</v>
      </c>
      <c r="L3482" s="105" t="str">
        <f t="shared" si="570"/>
        <v>Mill Creek</v>
      </c>
      <c r="M3482" s="105" t="str">
        <f t="shared" si="571"/>
        <v>Derate</v>
      </c>
      <c r="N3482" s="105" t="str">
        <f t="shared" si="572"/>
        <v>Coal</v>
      </c>
      <c r="O3482" s="105">
        <f>IFERROR(VLOOKUP(A3482,Lookup!$J$5:$P$19,7,FALSE),0)</f>
        <v>2</v>
      </c>
      <c r="P3482" s="159">
        <f t="shared" si="573"/>
        <v>2017</v>
      </c>
      <c r="Q3482" s="159">
        <f t="shared" si="574"/>
        <v>8</v>
      </c>
      <c r="R3482" s="160">
        <f t="shared" si="575"/>
        <v>253.75000000011642</v>
      </c>
      <c r="S3482" s="158">
        <f t="shared" si="576"/>
        <v>8.4583333333372135</v>
      </c>
      <c r="T3482" s="161">
        <f t="shared" si="577"/>
        <v>2503.6666666678152</v>
      </c>
      <c r="U3482" s="158">
        <f t="shared" si="579"/>
        <v>9.8666666666666671</v>
      </c>
      <c r="V3482" s="160">
        <f t="shared" si="578"/>
        <v>10</v>
      </c>
    </row>
    <row r="3483" spans="1:22" x14ac:dyDescent="0.25">
      <c r="A3483" s="98" t="s">
        <v>35</v>
      </c>
      <c r="B3483" s="98" t="s">
        <v>17</v>
      </c>
      <c r="C3483" s="98">
        <v>66</v>
      </c>
      <c r="D3483" s="98">
        <v>4099</v>
      </c>
      <c r="E3483" s="157">
        <v>42966.018750000003</v>
      </c>
      <c r="F3483" s="157">
        <v>42966.1</v>
      </c>
      <c r="G3483" s="98">
        <v>319</v>
      </c>
      <c r="H3483" s="98">
        <v>330</v>
      </c>
      <c r="I3483" s="98">
        <v>296</v>
      </c>
      <c r="J3483" s="98" t="s">
        <v>2293</v>
      </c>
      <c r="K3483" s="98" t="s">
        <v>4805</v>
      </c>
      <c r="L3483" s="105" t="str">
        <f t="shared" si="570"/>
        <v>Mill Creek</v>
      </c>
      <c r="M3483" s="105" t="str">
        <f t="shared" si="571"/>
        <v>Derate</v>
      </c>
      <c r="N3483" s="105" t="str">
        <f t="shared" si="572"/>
        <v>Coal</v>
      </c>
      <c r="O3483" s="105">
        <f>IFERROR(VLOOKUP(A3483,Lookup!$J$5:$P$19,7,FALSE),0)</f>
        <v>2</v>
      </c>
      <c r="P3483" s="159">
        <f t="shared" si="573"/>
        <v>2017</v>
      </c>
      <c r="Q3483" s="159">
        <f t="shared" si="574"/>
        <v>8</v>
      </c>
      <c r="R3483" s="160">
        <f t="shared" si="575"/>
        <v>1.9499999998952262</v>
      </c>
      <c r="S3483" s="158">
        <f t="shared" si="576"/>
        <v>6.4999999996507546E-2</v>
      </c>
      <c r="T3483" s="161">
        <f t="shared" si="577"/>
        <v>19.239999998966233</v>
      </c>
      <c r="U3483" s="158">
        <f t="shared" si="579"/>
        <v>9.8666666666666671</v>
      </c>
      <c r="V3483" s="160">
        <f t="shared" si="578"/>
        <v>10</v>
      </c>
    </row>
    <row r="3484" spans="1:22" x14ac:dyDescent="0.25">
      <c r="A3484" s="98" t="s">
        <v>35</v>
      </c>
      <c r="B3484" s="98" t="s">
        <v>17</v>
      </c>
      <c r="C3484" s="98">
        <v>67</v>
      </c>
      <c r="D3484" s="98">
        <v>4099</v>
      </c>
      <c r="E3484" s="157">
        <v>42966.1</v>
      </c>
      <c r="F3484" s="157">
        <v>42969.916666666664</v>
      </c>
      <c r="G3484" s="98">
        <v>319</v>
      </c>
      <c r="H3484" s="98">
        <v>330</v>
      </c>
      <c r="I3484" s="98">
        <v>296</v>
      </c>
      <c r="J3484" s="98" t="s">
        <v>2293</v>
      </c>
      <c r="K3484" s="98" t="s">
        <v>4307</v>
      </c>
      <c r="L3484" s="105" t="str">
        <f t="shared" si="570"/>
        <v>Mill Creek</v>
      </c>
      <c r="M3484" s="105" t="str">
        <f t="shared" si="571"/>
        <v>Derate</v>
      </c>
      <c r="N3484" s="105" t="str">
        <f t="shared" si="572"/>
        <v>Coal</v>
      </c>
      <c r="O3484" s="105">
        <f>IFERROR(VLOOKUP(A3484,Lookup!$J$5:$P$19,7,FALSE),0)</f>
        <v>2</v>
      </c>
      <c r="P3484" s="159">
        <f t="shared" si="573"/>
        <v>2017</v>
      </c>
      <c r="Q3484" s="159">
        <f t="shared" si="574"/>
        <v>8</v>
      </c>
      <c r="R3484" s="160">
        <f t="shared" si="575"/>
        <v>91.599999999976717</v>
      </c>
      <c r="S3484" s="158">
        <f t="shared" si="576"/>
        <v>3.0533333333325574</v>
      </c>
      <c r="T3484" s="161">
        <f t="shared" si="577"/>
        <v>903.78666666643699</v>
      </c>
      <c r="U3484" s="158">
        <f t="shared" si="579"/>
        <v>9.8666666666666671</v>
      </c>
      <c r="V3484" s="160">
        <f t="shared" si="578"/>
        <v>10</v>
      </c>
    </row>
    <row r="3485" spans="1:22" x14ac:dyDescent="0.25">
      <c r="A3485" s="98" t="s">
        <v>35</v>
      </c>
      <c r="B3485" s="98" t="s">
        <v>105</v>
      </c>
      <c r="C3485" s="98">
        <v>68</v>
      </c>
      <c r="D3485" s="98">
        <v>310</v>
      </c>
      <c r="E3485" s="157">
        <v>42969.916666666664</v>
      </c>
      <c r="F3485" s="157">
        <v>42970.027083333334</v>
      </c>
      <c r="G3485" s="98">
        <v>240</v>
      </c>
      <c r="H3485" s="98">
        <v>330</v>
      </c>
      <c r="I3485" s="98">
        <v>296</v>
      </c>
      <c r="J3485" s="98" t="s">
        <v>1966</v>
      </c>
      <c r="K3485" s="98" t="s">
        <v>4285</v>
      </c>
      <c r="L3485" s="105" t="str">
        <f t="shared" si="570"/>
        <v>Mill Creek</v>
      </c>
      <c r="M3485" s="105" t="str">
        <f t="shared" si="571"/>
        <v>Derate</v>
      </c>
      <c r="N3485" s="105" t="str">
        <f t="shared" si="572"/>
        <v>Coal</v>
      </c>
      <c r="O3485" s="105">
        <f>IFERROR(VLOOKUP(A3485,Lookup!$J$5:$P$19,7,FALSE),0)</f>
        <v>2</v>
      </c>
      <c r="P3485" s="159">
        <f t="shared" si="573"/>
        <v>2017</v>
      </c>
      <c r="Q3485" s="159">
        <f t="shared" si="574"/>
        <v>8</v>
      </c>
      <c r="R3485" s="160">
        <f t="shared" si="575"/>
        <v>2.6500000000814907</v>
      </c>
      <c r="S3485" s="158">
        <f t="shared" si="576"/>
        <v>0.72272727274949744</v>
      </c>
      <c r="T3485" s="161">
        <f t="shared" si="577"/>
        <v>213.92727273385125</v>
      </c>
      <c r="U3485" s="158">
        <f t="shared" si="579"/>
        <v>80.727272727272734</v>
      </c>
      <c r="V3485" s="160">
        <f t="shared" si="578"/>
        <v>81</v>
      </c>
    </row>
    <row r="3486" spans="1:22" x14ac:dyDescent="0.25">
      <c r="A3486" s="98" t="s">
        <v>35</v>
      </c>
      <c r="B3486" s="98" t="s">
        <v>17</v>
      </c>
      <c r="C3486" s="98">
        <v>69</v>
      </c>
      <c r="D3486" s="98">
        <v>4099</v>
      </c>
      <c r="E3486" s="157">
        <v>42970.027083333334</v>
      </c>
      <c r="F3486" s="157">
        <v>42971.916666666664</v>
      </c>
      <c r="G3486" s="98">
        <v>319</v>
      </c>
      <c r="H3486" s="98">
        <v>330</v>
      </c>
      <c r="I3486" s="98">
        <v>296</v>
      </c>
      <c r="J3486" s="98" t="s">
        <v>2293</v>
      </c>
      <c r="K3486" s="98" t="s">
        <v>4307</v>
      </c>
      <c r="L3486" s="105" t="str">
        <f t="shared" si="570"/>
        <v>Mill Creek</v>
      </c>
      <c r="M3486" s="105" t="str">
        <f t="shared" si="571"/>
        <v>Derate</v>
      </c>
      <c r="N3486" s="105" t="str">
        <f t="shared" si="572"/>
        <v>Coal</v>
      </c>
      <c r="O3486" s="105">
        <f>IFERROR(VLOOKUP(A3486,Lookup!$J$5:$P$19,7,FALSE),0)</f>
        <v>2</v>
      </c>
      <c r="P3486" s="159">
        <f t="shared" si="573"/>
        <v>2017</v>
      </c>
      <c r="Q3486" s="159">
        <f t="shared" si="574"/>
        <v>8</v>
      </c>
      <c r="R3486" s="160">
        <f t="shared" si="575"/>
        <v>45.349999999918509</v>
      </c>
      <c r="S3486" s="158">
        <f t="shared" si="576"/>
        <v>1.5116666666639502</v>
      </c>
      <c r="T3486" s="161">
        <f t="shared" si="577"/>
        <v>447.45333333252927</v>
      </c>
      <c r="U3486" s="158">
        <f t="shared" si="579"/>
        <v>9.8666666666666671</v>
      </c>
      <c r="V3486" s="160">
        <f t="shared" si="578"/>
        <v>10</v>
      </c>
    </row>
    <row r="3487" spans="1:22" x14ac:dyDescent="0.25">
      <c r="A3487" s="98" t="s">
        <v>35</v>
      </c>
      <c r="B3487" s="98" t="s">
        <v>105</v>
      </c>
      <c r="C3487" s="98">
        <v>70</v>
      </c>
      <c r="D3487" s="98">
        <v>310</v>
      </c>
      <c r="E3487" s="157">
        <v>42971.916666666664</v>
      </c>
      <c r="F3487" s="157">
        <v>42972.07708333333</v>
      </c>
      <c r="G3487" s="98">
        <v>240</v>
      </c>
      <c r="H3487" s="98">
        <v>330</v>
      </c>
      <c r="I3487" s="98">
        <v>296</v>
      </c>
      <c r="J3487" s="98" t="s">
        <v>1966</v>
      </c>
      <c r="K3487" s="98" t="s">
        <v>4285</v>
      </c>
      <c r="L3487" s="105" t="str">
        <f t="shared" si="570"/>
        <v>Mill Creek</v>
      </c>
      <c r="M3487" s="105" t="str">
        <f t="shared" si="571"/>
        <v>Derate</v>
      </c>
      <c r="N3487" s="105" t="str">
        <f t="shared" si="572"/>
        <v>Coal</v>
      </c>
      <c r="O3487" s="105">
        <f>IFERROR(VLOOKUP(A3487,Lookup!$J$5:$P$19,7,FALSE),0)</f>
        <v>2</v>
      </c>
      <c r="P3487" s="159">
        <f t="shared" si="573"/>
        <v>2017</v>
      </c>
      <c r="Q3487" s="159">
        <f t="shared" si="574"/>
        <v>8</v>
      </c>
      <c r="R3487" s="160">
        <f t="shared" si="575"/>
        <v>3.8499999999767169</v>
      </c>
      <c r="S3487" s="158">
        <f t="shared" si="576"/>
        <v>1.04999999999365</v>
      </c>
      <c r="T3487" s="161">
        <f t="shared" si="577"/>
        <v>310.79999999812043</v>
      </c>
      <c r="U3487" s="158">
        <f t="shared" si="579"/>
        <v>80.727272727272734</v>
      </c>
      <c r="V3487" s="160">
        <f t="shared" si="578"/>
        <v>81</v>
      </c>
    </row>
    <row r="3488" spans="1:22" x14ac:dyDescent="0.25">
      <c r="A3488" s="98" t="s">
        <v>35</v>
      </c>
      <c r="B3488" s="98" t="s">
        <v>17</v>
      </c>
      <c r="C3488" s="98">
        <v>71</v>
      </c>
      <c r="D3488" s="98">
        <v>4099</v>
      </c>
      <c r="E3488" s="157">
        <v>42972.07708333333</v>
      </c>
      <c r="F3488" s="157">
        <v>42976.168055555558</v>
      </c>
      <c r="G3488" s="98">
        <v>319</v>
      </c>
      <c r="H3488" s="98">
        <v>330</v>
      </c>
      <c r="I3488" s="98">
        <v>296</v>
      </c>
      <c r="J3488" s="98" t="s">
        <v>2293</v>
      </c>
      <c r="K3488" s="98" t="s">
        <v>4806</v>
      </c>
      <c r="L3488" s="105" t="str">
        <f t="shared" si="570"/>
        <v>Mill Creek</v>
      </c>
      <c r="M3488" s="105" t="str">
        <f t="shared" si="571"/>
        <v>Derate</v>
      </c>
      <c r="N3488" s="105" t="str">
        <f t="shared" si="572"/>
        <v>Coal</v>
      </c>
      <c r="O3488" s="105">
        <f>IFERROR(VLOOKUP(A3488,Lookup!$J$5:$P$19,7,FALSE),0)</f>
        <v>2</v>
      </c>
      <c r="P3488" s="159">
        <f t="shared" si="573"/>
        <v>2017</v>
      </c>
      <c r="Q3488" s="159">
        <f t="shared" si="574"/>
        <v>8</v>
      </c>
      <c r="R3488" s="160">
        <f t="shared" si="575"/>
        <v>98.183333333465271</v>
      </c>
      <c r="S3488" s="158">
        <f t="shared" si="576"/>
        <v>3.2727777777821756</v>
      </c>
      <c r="T3488" s="161">
        <f t="shared" si="577"/>
        <v>968.74222222352398</v>
      </c>
      <c r="U3488" s="158">
        <f t="shared" si="579"/>
        <v>9.8666666666666671</v>
      </c>
      <c r="V3488" s="160">
        <f t="shared" si="578"/>
        <v>10</v>
      </c>
    </row>
    <row r="3489" spans="1:22" x14ac:dyDescent="0.25">
      <c r="A3489" s="98" t="s">
        <v>35</v>
      </c>
      <c r="B3489" s="98" t="s">
        <v>15</v>
      </c>
      <c r="C3489" s="98">
        <v>72</v>
      </c>
      <c r="D3489" s="98">
        <v>250</v>
      </c>
      <c r="E3489" s="157">
        <v>42976.168055555558</v>
      </c>
      <c r="F3489" s="157">
        <v>42976.207638888889</v>
      </c>
      <c r="G3489" s="98">
        <v>0</v>
      </c>
      <c r="H3489" s="98">
        <v>330</v>
      </c>
      <c r="I3489" s="98">
        <v>296</v>
      </c>
      <c r="J3489" s="98" t="s">
        <v>1978</v>
      </c>
      <c r="K3489" s="98" t="s">
        <v>4807</v>
      </c>
      <c r="L3489" s="105" t="str">
        <f t="shared" si="570"/>
        <v>Mill Creek</v>
      </c>
      <c r="M3489" s="105" t="str">
        <f t="shared" si="571"/>
        <v>Outage</v>
      </c>
      <c r="N3489" s="105" t="str">
        <f t="shared" si="572"/>
        <v>Coal</v>
      </c>
      <c r="O3489" s="105">
        <f>IFERROR(VLOOKUP(A3489,Lookup!$J$5:$P$19,7,FALSE),0)</f>
        <v>2</v>
      </c>
      <c r="P3489" s="159">
        <f t="shared" si="573"/>
        <v>2017</v>
      </c>
      <c r="Q3489" s="159">
        <f t="shared" si="574"/>
        <v>8</v>
      </c>
      <c r="R3489" s="160">
        <f t="shared" si="575"/>
        <v>0.94999999995343387</v>
      </c>
      <c r="S3489" s="158">
        <f t="shared" si="576"/>
        <v>0.94999999995343387</v>
      </c>
      <c r="T3489" s="161">
        <f t="shared" si="577"/>
        <v>281.19999998621643</v>
      </c>
      <c r="U3489" s="158">
        <f t="shared" si="579"/>
        <v>296</v>
      </c>
      <c r="V3489" s="160">
        <f t="shared" si="578"/>
        <v>296</v>
      </c>
    </row>
    <row r="3490" spans="1:22" x14ac:dyDescent="0.25">
      <c r="A3490" s="98" t="s">
        <v>35</v>
      </c>
      <c r="B3490" s="98" t="s">
        <v>17</v>
      </c>
      <c r="C3490" s="98">
        <v>73</v>
      </c>
      <c r="D3490" s="98">
        <v>250</v>
      </c>
      <c r="E3490" s="157">
        <v>42976.245138888888</v>
      </c>
      <c r="F3490" s="157">
        <v>42976.543749999997</v>
      </c>
      <c r="G3490" s="98">
        <v>175</v>
      </c>
      <c r="H3490" s="98">
        <v>330</v>
      </c>
      <c r="I3490" s="98">
        <v>296</v>
      </c>
      <c r="J3490" s="98" t="s">
        <v>1978</v>
      </c>
      <c r="K3490" s="98" t="s">
        <v>4808</v>
      </c>
      <c r="L3490" s="105" t="str">
        <f t="shared" si="570"/>
        <v>Mill Creek</v>
      </c>
      <c r="M3490" s="105" t="str">
        <f t="shared" si="571"/>
        <v>Derate</v>
      </c>
      <c r="N3490" s="105" t="str">
        <f t="shared" si="572"/>
        <v>Coal</v>
      </c>
      <c r="O3490" s="105">
        <f>IFERROR(VLOOKUP(A3490,Lookup!$J$5:$P$19,7,FALSE),0)</f>
        <v>2</v>
      </c>
      <c r="P3490" s="159">
        <f t="shared" si="573"/>
        <v>2017</v>
      </c>
      <c r="Q3490" s="159">
        <f t="shared" si="574"/>
        <v>8</v>
      </c>
      <c r="R3490" s="160">
        <f t="shared" si="575"/>
        <v>7.1666666666278616</v>
      </c>
      <c r="S3490" s="158">
        <f t="shared" si="576"/>
        <v>3.3661616161433896</v>
      </c>
      <c r="T3490" s="161">
        <f t="shared" si="577"/>
        <v>996.38383837844333</v>
      </c>
      <c r="U3490" s="158">
        <f t="shared" si="579"/>
        <v>139.03030303030303</v>
      </c>
      <c r="V3490" s="160">
        <f t="shared" si="578"/>
        <v>139</v>
      </c>
    </row>
    <row r="3491" spans="1:22" x14ac:dyDescent="0.25">
      <c r="A3491" s="98" t="s">
        <v>35</v>
      </c>
      <c r="B3491" s="98" t="s">
        <v>17</v>
      </c>
      <c r="C3491" s="98">
        <v>74</v>
      </c>
      <c r="D3491" s="98">
        <v>4099</v>
      </c>
      <c r="E3491" s="157">
        <v>42976.543749999997</v>
      </c>
      <c r="F3491" s="157">
        <v>42977.95208333333</v>
      </c>
      <c r="G3491" s="98">
        <v>319</v>
      </c>
      <c r="H3491" s="98">
        <v>330</v>
      </c>
      <c r="I3491" s="98">
        <v>296</v>
      </c>
      <c r="J3491" s="98" t="s">
        <v>2293</v>
      </c>
      <c r="K3491" s="98" t="s">
        <v>4307</v>
      </c>
      <c r="L3491" s="105" t="str">
        <f t="shared" si="570"/>
        <v>Mill Creek</v>
      </c>
      <c r="M3491" s="105" t="str">
        <f t="shared" si="571"/>
        <v>Derate</v>
      </c>
      <c r="N3491" s="105" t="str">
        <f t="shared" si="572"/>
        <v>Coal</v>
      </c>
      <c r="O3491" s="105">
        <f>IFERROR(VLOOKUP(A3491,Lookup!$J$5:$P$19,7,FALSE),0)</f>
        <v>2</v>
      </c>
      <c r="P3491" s="159">
        <f t="shared" si="573"/>
        <v>2017</v>
      </c>
      <c r="Q3491" s="159">
        <f t="shared" si="574"/>
        <v>8</v>
      </c>
      <c r="R3491" s="160">
        <f t="shared" si="575"/>
        <v>33.799999999988358</v>
      </c>
      <c r="S3491" s="158">
        <f t="shared" si="576"/>
        <v>1.1266666666662786</v>
      </c>
      <c r="T3491" s="161">
        <f t="shared" si="577"/>
        <v>333.49333333321846</v>
      </c>
      <c r="U3491" s="158">
        <f t="shared" si="579"/>
        <v>9.8666666666666671</v>
      </c>
      <c r="V3491" s="160">
        <f t="shared" si="578"/>
        <v>10</v>
      </c>
    </row>
    <row r="3492" spans="1:22" x14ac:dyDescent="0.25">
      <c r="A3492" s="98" t="s">
        <v>35</v>
      </c>
      <c r="B3492" s="98" t="s">
        <v>105</v>
      </c>
      <c r="C3492" s="98">
        <v>75</v>
      </c>
      <c r="D3492" s="98">
        <v>310</v>
      </c>
      <c r="E3492" s="157">
        <v>42977.95208333333</v>
      </c>
      <c r="F3492" s="157">
        <v>42978.183333333334</v>
      </c>
      <c r="G3492" s="98">
        <v>240</v>
      </c>
      <c r="H3492" s="98">
        <v>330</v>
      </c>
      <c r="I3492" s="98">
        <v>296</v>
      </c>
      <c r="J3492" s="98" t="s">
        <v>1966</v>
      </c>
      <c r="K3492" s="98" t="s">
        <v>3609</v>
      </c>
      <c r="L3492" s="105" t="str">
        <f t="shared" si="570"/>
        <v>Mill Creek</v>
      </c>
      <c r="M3492" s="105" t="str">
        <f t="shared" si="571"/>
        <v>Derate</v>
      </c>
      <c r="N3492" s="105" t="str">
        <f t="shared" si="572"/>
        <v>Coal</v>
      </c>
      <c r="O3492" s="105">
        <f>IFERROR(VLOOKUP(A3492,Lookup!$J$5:$P$19,7,FALSE),0)</f>
        <v>2</v>
      </c>
      <c r="P3492" s="159">
        <f t="shared" si="573"/>
        <v>2017</v>
      </c>
      <c r="Q3492" s="159">
        <f t="shared" si="574"/>
        <v>8</v>
      </c>
      <c r="R3492" s="160">
        <f t="shared" si="575"/>
        <v>5.5500000001047738</v>
      </c>
      <c r="S3492" s="158">
        <f t="shared" si="576"/>
        <v>1.5136363636649384</v>
      </c>
      <c r="T3492" s="161">
        <f t="shared" si="577"/>
        <v>448.03636364482173</v>
      </c>
      <c r="U3492" s="158">
        <f t="shared" si="579"/>
        <v>80.727272727272734</v>
      </c>
      <c r="V3492" s="160">
        <f t="shared" si="578"/>
        <v>81</v>
      </c>
    </row>
    <row r="3493" spans="1:22" x14ac:dyDescent="0.25">
      <c r="A3493" s="98" t="s">
        <v>35</v>
      </c>
      <c r="B3493" s="98" t="s">
        <v>17</v>
      </c>
      <c r="C3493" s="98">
        <v>76</v>
      </c>
      <c r="D3493" s="98">
        <v>4099</v>
      </c>
      <c r="E3493" s="157">
        <v>42978.183333333334</v>
      </c>
      <c r="F3493" s="157">
        <v>42983.893750000003</v>
      </c>
      <c r="G3493" s="98">
        <v>319</v>
      </c>
      <c r="H3493" s="98">
        <v>330</v>
      </c>
      <c r="I3493" s="98">
        <v>296</v>
      </c>
      <c r="J3493" s="98" t="s">
        <v>2293</v>
      </c>
      <c r="K3493" s="98" t="s">
        <v>4307</v>
      </c>
      <c r="L3493" s="105" t="str">
        <f t="shared" si="570"/>
        <v>Mill Creek</v>
      </c>
      <c r="M3493" s="105" t="str">
        <f t="shared" si="571"/>
        <v>Derate</v>
      </c>
      <c r="N3493" s="105" t="str">
        <f t="shared" si="572"/>
        <v>Coal</v>
      </c>
      <c r="O3493" s="105">
        <f>IFERROR(VLOOKUP(A3493,Lookup!$J$5:$P$19,7,FALSE),0)</f>
        <v>2</v>
      </c>
      <c r="P3493" s="159">
        <f t="shared" si="573"/>
        <v>2017</v>
      </c>
      <c r="Q3493" s="159">
        <f t="shared" si="574"/>
        <v>8</v>
      </c>
      <c r="R3493" s="160">
        <f t="shared" si="575"/>
        <v>137.05000000004657</v>
      </c>
      <c r="S3493" s="158">
        <f t="shared" si="576"/>
        <v>4.5683333333348859</v>
      </c>
      <c r="T3493" s="161">
        <f t="shared" si="577"/>
        <v>1352.2266666671262</v>
      </c>
      <c r="U3493" s="158">
        <f t="shared" si="579"/>
        <v>9.8666666666666671</v>
      </c>
      <c r="V3493" s="160">
        <f t="shared" si="578"/>
        <v>10</v>
      </c>
    </row>
    <row r="3494" spans="1:22" x14ac:dyDescent="0.25">
      <c r="A3494" s="98" t="s">
        <v>35</v>
      </c>
      <c r="B3494" s="98" t="s">
        <v>17</v>
      </c>
      <c r="C3494" s="98">
        <v>78</v>
      </c>
      <c r="D3494" s="98">
        <v>4099</v>
      </c>
      <c r="E3494" s="157">
        <v>42983.893750000003</v>
      </c>
      <c r="F3494" s="157">
        <v>42993.026388888888</v>
      </c>
      <c r="G3494" s="98">
        <v>319</v>
      </c>
      <c r="H3494" s="98">
        <v>330</v>
      </c>
      <c r="I3494" s="98">
        <v>296</v>
      </c>
      <c r="J3494" s="98" t="s">
        <v>2293</v>
      </c>
      <c r="K3494" s="98" t="s">
        <v>4809</v>
      </c>
      <c r="L3494" s="105" t="str">
        <f t="shared" ref="L3494:L3557" si="580">IF(OR(A3494="BR1",A3494="BR2",A3494="BR3",A3494="BR5",A3494="BR6",A3494="BR7",A3494="BR8",A3494="BR9",A3494="BR10",A3494="BR11"),"Brown",IF(OR(A3494="CR4",A3494="CR5",A3494="CR6",A3494="CR11"),"Cane Run",IF(OR(A3494="GH1",A3494="GH2",A3494="GH3",A3494="GH4"),"Ghent",IF(OR(A3494="GR3",A3494="GR4"),"Green River",IF(OR(A3494="MC1",A3494="MC2",A3494="MC3",A3494="MC4"),"Mill Creek",IF(OR(A3494="TC1",A3494="TC2",A3494="TC5",A3494="TC6",A3494="TC7",A3494="TC8",A3494="TC9",A3494="TC10"),"Trimble",IF(A3494="TY3","Tyrone",IF(OR(A3494="HA1",A3494="HA2",A3494="HA3"),"Haeflin",IF(OR(A3494="PR11",A3494="PR12",A3494="PR13"),"Paddy's Run","Zorn")))))))))</f>
        <v>Mill Creek</v>
      </c>
      <c r="M3494" s="105" t="str">
        <f t="shared" ref="M3494:M3557" si="581">IF(OR(B3494="D1",B3494="D2",B3494="D3",B3494="D4",B3494="PD"),"Derate",IF(OR(B3494="SF",B3494="U1",B3494="U2",B3494="U3"),"Outage",IF(OR(B3494="ME",B3494="MO"),"Maintenance","Other")))</f>
        <v>Derate</v>
      </c>
      <c r="N3494" s="105" t="str">
        <f t="shared" ref="N3494:N3557" si="582">IF(OR(A3494="BR1",A3494="BR2",A3494="BR3",A3494="CR4",A3494="CR5",A3494="CR6",A3494="GH1",A3494="GH2",A3494="GH3",A3494="GH4",A3494="GR3",A3494="GR4",A3494="MC1",A3494="MC2",A3494="MC3",A3494="MC4",A3494="TC1",A3494="TC2",A3494="TY3"),"Coal","Gas")</f>
        <v>Coal</v>
      </c>
      <c r="O3494" s="105">
        <f>IFERROR(VLOOKUP(A3494,Lookup!$J$5:$P$19,7,FALSE),0)</f>
        <v>2</v>
      </c>
      <c r="P3494" s="159">
        <f t="shared" ref="P3494:P3557" si="583">YEAR(E3494)</f>
        <v>2017</v>
      </c>
      <c r="Q3494" s="159">
        <f t="shared" ref="Q3494:Q3557" si="584">MONTH(E3494)</f>
        <v>9</v>
      </c>
      <c r="R3494" s="160">
        <f t="shared" ref="R3494:R3557" si="585">(F3494-E3494)*24</f>
        <v>219.18333333323244</v>
      </c>
      <c r="S3494" s="158">
        <f t="shared" ref="S3494:S3557" si="586">R3494*(H3494-G3494)/H3494</f>
        <v>7.3061111111077484</v>
      </c>
      <c r="T3494" s="161">
        <f t="shared" ref="T3494:T3557" si="587">S3494*I3494</f>
        <v>2162.6088888878935</v>
      </c>
      <c r="U3494" s="158">
        <f t="shared" si="579"/>
        <v>9.8666666666666671</v>
      </c>
      <c r="V3494" s="160">
        <f t="shared" ref="V3494:V3557" si="588">ROUND(U3494,0)</f>
        <v>10</v>
      </c>
    </row>
    <row r="3495" spans="1:22" x14ac:dyDescent="0.25">
      <c r="A3495" s="98" t="s">
        <v>35</v>
      </c>
      <c r="B3495" s="98" t="s">
        <v>17</v>
      </c>
      <c r="C3495" s="98">
        <v>79</v>
      </c>
      <c r="D3495" s="98">
        <v>4099</v>
      </c>
      <c r="E3495" s="157">
        <v>42993.026388888888</v>
      </c>
      <c r="F3495" s="157">
        <v>42993.640972222223</v>
      </c>
      <c r="G3495" s="98">
        <v>317</v>
      </c>
      <c r="H3495" s="98">
        <v>330</v>
      </c>
      <c r="I3495" s="98">
        <v>296</v>
      </c>
      <c r="J3495" s="98" t="s">
        <v>2293</v>
      </c>
      <c r="K3495" s="98" t="s">
        <v>4307</v>
      </c>
      <c r="L3495" s="105" t="str">
        <f t="shared" si="580"/>
        <v>Mill Creek</v>
      </c>
      <c r="M3495" s="105" t="str">
        <f t="shared" si="581"/>
        <v>Derate</v>
      </c>
      <c r="N3495" s="105" t="str">
        <f t="shared" si="582"/>
        <v>Coal</v>
      </c>
      <c r="O3495" s="105">
        <f>IFERROR(VLOOKUP(A3495,Lookup!$J$5:$P$19,7,FALSE),0)</f>
        <v>2</v>
      </c>
      <c r="P3495" s="159">
        <f t="shared" si="583"/>
        <v>2017</v>
      </c>
      <c r="Q3495" s="159">
        <f t="shared" si="584"/>
        <v>9</v>
      </c>
      <c r="R3495" s="160">
        <f t="shared" si="585"/>
        <v>14.750000000058208</v>
      </c>
      <c r="S3495" s="158">
        <f t="shared" si="586"/>
        <v>0.58106060606289911</v>
      </c>
      <c r="T3495" s="161">
        <f t="shared" si="587"/>
        <v>171.99393939461814</v>
      </c>
      <c r="U3495" s="158">
        <f t="shared" ref="U3495:U3558" si="589">IF(G3495&gt;0,MAX((H3495-G3495),0)*I3495/H3495,I3495)</f>
        <v>11.66060606060606</v>
      </c>
      <c r="V3495" s="160">
        <f t="shared" si="588"/>
        <v>12</v>
      </c>
    </row>
    <row r="3496" spans="1:22" x14ac:dyDescent="0.25">
      <c r="A3496" s="98" t="s">
        <v>35</v>
      </c>
      <c r="B3496" s="98" t="s">
        <v>17</v>
      </c>
      <c r="C3496" s="98">
        <v>80</v>
      </c>
      <c r="D3496" s="98">
        <v>4099</v>
      </c>
      <c r="E3496" s="157">
        <v>42993.640972222223</v>
      </c>
      <c r="F3496" s="157">
        <v>43002.505555555559</v>
      </c>
      <c r="G3496" s="98">
        <v>320</v>
      </c>
      <c r="H3496" s="98">
        <v>330</v>
      </c>
      <c r="I3496" s="98">
        <v>296</v>
      </c>
      <c r="J3496" s="98" t="s">
        <v>2293</v>
      </c>
      <c r="K3496" s="98" t="s">
        <v>4307</v>
      </c>
      <c r="L3496" s="105" t="str">
        <f t="shared" si="580"/>
        <v>Mill Creek</v>
      </c>
      <c r="M3496" s="105" t="str">
        <f t="shared" si="581"/>
        <v>Derate</v>
      </c>
      <c r="N3496" s="105" t="str">
        <f t="shared" si="582"/>
        <v>Coal</v>
      </c>
      <c r="O3496" s="105">
        <f>IFERROR(VLOOKUP(A3496,Lookup!$J$5:$P$19,7,FALSE),0)</f>
        <v>2</v>
      </c>
      <c r="P3496" s="159">
        <f t="shared" si="583"/>
        <v>2017</v>
      </c>
      <c r="Q3496" s="159">
        <f t="shared" si="584"/>
        <v>9</v>
      </c>
      <c r="R3496" s="160">
        <f t="shared" si="585"/>
        <v>212.75000000005821</v>
      </c>
      <c r="S3496" s="158">
        <f t="shared" si="586"/>
        <v>6.4469696969714612</v>
      </c>
      <c r="T3496" s="161">
        <f t="shared" si="587"/>
        <v>1908.3030303035525</v>
      </c>
      <c r="U3496" s="158">
        <f t="shared" si="589"/>
        <v>8.9696969696969688</v>
      </c>
      <c r="V3496" s="160">
        <f t="shared" si="588"/>
        <v>9</v>
      </c>
    </row>
    <row r="3497" spans="1:22" x14ac:dyDescent="0.25">
      <c r="A3497" s="98" t="s">
        <v>35</v>
      </c>
      <c r="B3497" s="98" t="s">
        <v>17</v>
      </c>
      <c r="C3497" s="98">
        <v>81</v>
      </c>
      <c r="D3497" s="98">
        <v>270</v>
      </c>
      <c r="E3497" s="157">
        <v>43002.505555555559</v>
      </c>
      <c r="F3497" s="157">
        <v>43002.538194444445</v>
      </c>
      <c r="G3497" s="98">
        <v>250</v>
      </c>
      <c r="H3497" s="98">
        <v>330</v>
      </c>
      <c r="I3497" s="98">
        <v>296</v>
      </c>
      <c r="J3497" s="98" t="s">
        <v>2031</v>
      </c>
      <c r="K3497" s="98" t="s">
        <v>4810</v>
      </c>
      <c r="L3497" s="105" t="str">
        <f t="shared" si="580"/>
        <v>Mill Creek</v>
      </c>
      <c r="M3497" s="105" t="str">
        <f t="shared" si="581"/>
        <v>Derate</v>
      </c>
      <c r="N3497" s="105" t="str">
        <f t="shared" si="582"/>
        <v>Coal</v>
      </c>
      <c r="O3497" s="105">
        <f>IFERROR(VLOOKUP(A3497,Lookup!$J$5:$P$19,7,FALSE),0)</f>
        <v>2</v>
      </c>
      <c r="P3497" s="159">
        <f t="shared" si="583"/>
        <v>2017</v>
      </c>
      <c r="Q3497" s="159">
        <f t="shared" si="584"/>
        <v>9</v>
      </c>
      <c r="R3497" s="160">
        <f t="shared" si="585"/>
        <v>0.78333333326736465</v>
      </c>
      <c r="S3497" s="158">
        <f t="shared" si="586"/>
        <v>0.1898989898829975</v>
      </c>
      <c r="T3497" s="161">
        <f t="shared" si="587"/>
        <v>56.210101005367257</v>
      </c>
      <c r="U3497" s="158">
        <f t="shared" si="589"/>
        <v>71.757575757575751</v>
      </c>
      <c r="V3497" s="160">
        <f t="shared" si="588"/>
        <v>72</v>
      </c>
    </row>
    <row r="3498" spans="1:22" x14ac:dyDescent="0.25">
      <c r="A3498" s="98" t="s">
        <v>35</v>
      </c>
      <c r="B3498" s="98" t="s">
        <v>17</v>
      </c>
      <c r="C3498" s="98">
        <v>82</v>
      </c>
      <c r="D3498" s="98">
        <v>4099</v>
      </c>
      <c r="E3498" s="157">
        <v>43002.538194444445</v>
      </c>
      <c r="F3498" s="157">
        <v>43017.688888888886</v>
      </c>
      <c r="G3498" s="98">
        <v>320</v>
      </c>
      <c r="H3498" s="98">
        <v>330</v>
      </c>
      <c r="I3498" s="98">
        <v>296</v>
      </c>
      <c r="J3498" s="98" t="s">
        <v>2293</v>
      </c>
      <c r="K3498" s="98" t="s">
        <v>4307</v>
      </c>
      <c r="L3498" s="105" t="str">
        <f t="shared" si="580"/>
        <v>Mill Creek</v>
      </c>
      <c r="M3498" s="105" t="str">
        <f t="shared" si="581"/>
        <v>Derate</v>
      </c>
      <c r="N3498" s="105" t="str">
        <f t="shared" si="582"/>
        <v>Coal</v>
      </c>
      <c r="O3498" s="105">
        <f>IFERROR(VLOOKUP(A3498,Lookup!$J$5:$P$19,7,FALSE),0)</f>
        <v>2</v>
      </c>
      <c r="P3498" s="159">
        <f t="shared" si="583"/>
        <v>2017</v>
      </c>
      <c r="Q3498" s="159">
        <f t="shared" si="584"/>
        <v>9</v>
      </c>
      <c r="R3498" s="160">
        <f t="shared" si="585"/>
        <v>363.6166666665813</v>
      </c>
      <c r="S3498" s="158">
        <f t="shared" si="586"/>
        <v>11.018686868684282</v>
      </c>
      <c r="T3498" s="161">
        <f t="shared" si="587"/>
        <v>3261.5313131305475</v>
      </c>
      <c r="U3498" s="158">
        <f t="shared" si="589"/>
        <v>8.9696969696969688</v>
      </c>
      <c r="V3498" s="160">
        <f t="shared" si="588"/>
        <v>9</v>
      </c>
    </row>
    <row r="3499" spans="1:22" x14ac:dyDescent="0.25">
      <c r="A3499" s="98" t="s">
        <v>35</v>
      </c>
      <c r="B3499" s="98" t="s">
        <v>17</v>
      </c>
      <c r="C3499" s="98">
        <v>83</v>
      </c>
      <c r="D3499" s="98">
        <v>4099</v>
      </c>
      <c r="E3499" s="157">
        <v>43017.688888888886</v>
      </c>
      <c r="F3499" s="157">
        <v>43018.574999999997</v>
      </c>
      <c r="G3499" s="98">
        <v>310</v>
      </c>
      <c r="H3499" s="98">
        <v>330</v>
      </c>
      <c r="I3499" s="98">
        <v>296</v>
      </c>
      <c r="J3499" s="98" t="s">
        <v>2293</v>
      </c>
      <c r="K3499" s="98" t="s">
        <v>4811</v>
      </c>
      <c r="L3499" s="105" t="str">
        <f t="shared" si="580"/>
        <v>Mill Creek</v>
      </c>
      <c r="M3499" s="105" t="str">
        <f t="shared" si="581"/>
        <v>Derate</v>
      </c>
      <c r="N3499" s="105" t="str">
        <f t="shared" si="582"/>
        <v>Coal</v>
      </c>
      <c r="O3499" s="105">
        <f>IFERROR(VLOOKUP(A3499,Lookup!$J$5:$P$19,7,FALSE),0)</f>
        <v>2</v>
      </c>
      <c r="P3499" s="159">
        <f t="shared" si="583"/>
        <v>2017</v>
      </c>
      <c r="Q3499" s="159">
        <f t="shared" si="584"/>
        <v>10</v>
      </c>
      <c r="R3499" s="160">
        <f t="shared" si="585"/>
        <v>21.266666666662786</v>
      </c>
      <c r="S3499" s="158">
        <f t="shared" si="586"/>
        <v>1.2888888888886536</v>
      </c>
      <c r="T3499" s="161">
        <f t="shared" si="587"/>
        <v>381.51111111104149</v>
      </c>
      <c r="U3499" s="158">
        <f t="shared" si="589"/>
        <v>17.939393939393938</v>
      </c>
      <c r="V3499" s="160">
        <f t="shared" si="588"/>
        <v>18</v>
      </c>
    </row>
    <row r="3500" spans="1:22" x14ac:dyDescent="0.25">
      <c r="A3500" s="98" t="s">
        <v>35</v>
      </c>
      <c r="B3500" s="98" t="s">
        <v>17</v>
      </c>
      <c r="C3500" s="98">
        <v>84</v>
      </c>
      <c r="D3500" s="98">
        <v>4099</v>
      </c>
      <c r="E3500" s="157">
        <v>43018.574999999997</v>
      </c>
      <c r="F3500" s="157">
        <v>43022.988194444442</v>
      </c>
      <c r="G3500" s="98">
        <v>320</v>
      </c>
      <c r="H3500" s="98">
        <v>330</v>
      </c>
      <c r="I3500" s="98">
        <v>296</v>
      </c>
      <c r="J3500" s="98" t="s">
        <v>2293</v>
      </c>
      <c r="K3500" s="98" t="s">
        <v>4307</v>
      </c>
      <c r="L3500" s="105" t="str">
        <f t="shared" si="580"/>
        <v>Mill Creek</v>
      </c>
      <c r="M3500" s="105" t="str">
        <f t="shared" si="581"/>
        <v>Derate</v>
      </c>
      <c r="N3500" s="105" t="str">
        <f t="shared" si="582"/>
        <v>Coal</v>
      </c>
      <c r="O3500" s="105">
        <f>IFERROR(VLOOKUP(A3500,Lookup!$J$5:$P$19,7,FALSE),0)</f>
        <v>2</v>
      </c>
      <c r="P3500" s="159">
        <f t="shared" si="583"/>
        <v>2017</v>
      </c>
      <c r="Q3500" s="159">
        <f t="shared" si="584"/>
        <v>10</v>
      </c>
      <c r="R3500" s="160">
        <f t="shared" si="585"/>
        <v>105.91666666668607</v>
      </c>
      <c r="S3500" s="158">
        <f t="shared" si="586"/>
        <v>3.2095959595965478</v>
      </c>
      <c r="T3500" s="161">
        <f t="shared" si="587"/>
        <v>950.0404040405781</v>
      </c>
      <c r="U3500" s="158">
        <f t="shared" si="589"/>
        <v>8.9696969696969688</v>
      </c>
      <c r="V3500" s="160">
        <f t="shared" si="588"/>
        <v>9</v>
      </c>
    </row>
    <row r="3501" spans="1:22" x14ac:dyDescent="0.25">
      <c r="A3501" s="98" t="s">
        <v>35</v>
      </c>
      <c r="B3501" s="98" t="s">
        <v>17</v>
      </c>
      <c r="C3501" s="98">
        <v>85</v>
      </c>
      <c r="D3501" s="98">
        <v>250</v>
      </c>
      <c r="E3501" s="157">
        <v>43022.988194444442</v>
      </c>
      <c r="F3501" s="157">
        <v>43022.998611111114</v>
      </c>
      <c r="G3501" s="98">
        <v>250</v>
      </c>
      <c r="H3501" s="98">
        <v>330</v>
      </c>
      <c r="I3501" s="98">
        <v>296</v>
      </c>
      <c r="J3501" s="98" t="s">
        <v>1978</v>
      </c>
      <c r="K3501" s="98" t="s">
        <v>4812</v>
      </c>
      <c r="L3501" s="105" t="str">
        <f t="shared" si="580"/>
        <v>Mill Creek</v>
      </c>
      <c r="M3501" s="105" t="str">
        <f t="shared" si="581"/>
        <v>Derate</v>
      </c>
      <c r="N3501" s="105" t="str">
        <f t="shared" si="582"/>
        <v>Coal</v>
      </c>
      <c r="O3501" s="105">
        <f>IFERROR(VLOOKUP(A3501,Lookup!$J$5:$P$19,7,FALSE),0)</f>
        <v>2</v>
      </c>
      <c r="P3501" s="159">
        <f t="shared" si="583"/>
        <v>2017</v>
      </c>
      <c r="Q3501" s="159">
        <f t="shared" si="584"/>
        <v>10</v>
      </c>
      <c r="R3501" s="160">
        <f t="shared" si="585"/>
        <v>0.25000000011641532</v>
      </c>
      <c r="S3501" s="158">
        <f t="shared" si="586"/>
        <v>6.0606060634282505E-2</v>
      </c>
      <c r="T3501" s="161">
        <f t="shared" si="587"/>
        <v>17.939393947747622</v>
      </c>
      <c r="U3501" s="158">
        <f t="shared" si="589"/>
        <v>71.757575757575751</v>
      </c>
      <c r="V3501" s="160">
        <f t="shared" si="588"/>
        <v>72</v>
      </c>
    </row>
    <row r="3502" spans="1:22" x14ac:dyDescent="0.25">
      <c r="A3502" s="98" t="s">
        <v>35</v>
      </c>
      <c r="B3502" s="98" t="s">
        <v>17</v>
      </c>
      <c r="C3502" s="98">
        <v>86</v>
      </c>
      <c r="D3502" s="98">
        <v>4099</v>
      </c>
      <c r="E3502" s="157">
        <v>43022.998611111114</v>
      </c>
      <c r="F3502" s="157">
        <v>43031.934027777781</v>
      </c>
      <c r="G3502" s="98">
        <v>320</v>
      </c>
      <c r="H3502" s="98">
        <v>330</v>
      </c>
      <c r="I3502" s="98">
        <v>296</v>
      </c>
      <c r="J3502" s="98" t="s">
        <v>2293</v>
      </c>
      <c r="K3502" s="98" t="s">
        <v>4307</v>
      </c>
      <c r="L3502" s="105" t="str">
        <f t="shared" si="580"/>
        <v>Mill Creek</v>
      </c>
      <c r="M3502" s="105" t="str">
        <f t="shared" si="581"/>
        <v>Derate</v>
      </c>
      <c r="N3502" s="105" t="str">
        <f t="shared" si="582"/>
        <v>Coal</v>
      </c>
      <c r="O3502" s="105">
        <f>IFERROR(VLOOKUP(A3502,Lookup!$J$5:$P$19,7,FALSE),0)</f>
        <v>2</v>
      </c>
      <c r="P3502" s="159">
        <f t="shared" si="583"/>
        <v>2017</v>
      </c>
      <c r="Q3502" s="159">
        <f t="shared" si="584"/>
        <v>10</v>
      </c>
      <c r="R3502" s="160">
        <f t="shared" si="585"/>
        <v>214.45000000001164</v>
      </c>
      <c r="S3502" s="158">
        <f t="shared" si="586"/>
        <v>6.4984848484852016</v>
      </c>
      <c r="T3502" s="161">
        <f t="shared" si="587"/>
        <v>1923.5515151516197</v>
      </c>
      <c r="U3502" s="158">
        <f t="shared" si="589"/>
        <v>8.9696969696969688</v>
      </c>
      <c r="V3502" s="160">
        <f t="shared" si="588"/>
        <v>9</v>
      </c>
    </row>
    <row r="3503" spans="1:22" x14ac:dyDescent="0.25">
      <c r="A3503" s="98" t="s">
        <v>35</v>
      </c>
      <c r="B3503" s="98" t="s">
        <v>105</v>
      </c>
      <c r="C3503" s="98">
        <v>87</v>
      </c>
      <c r="D3503" s="98">
        <v>310</v>
      </c>
      <c r="E3503" s="157">
        <v>43031.934027777781</v>
      </c>
      <c r="F3503" s="157">
        <v>43032.156944444447</v>
      </c>
      <c r="G3503" s="98">
        <v>240</v>
      </c>
      <c r="H3503" s="98">
        <v>330</v>
      </c>
      <c r="I3503" s="98">
        <v>296</v>
      </c>
      <c r="J3503" s="98" t="s">
        <v>1966</v>
      </c>
      <c r="K3503" s="98" t="s">
        <v>4813</v>
      </c>
      <c r="L3503" s="105" t="str">
        <f t="shared" si="580"/>
        <v>Mill Creek</v>
      </c>
      <c r="M3503" s="105" t="str">
        <f t="shared" si="581"/>
        <v>Derate</v>
      </c>
      <c r="N3503" s="105" t="str">
        <f t="shared" si="582"/>
        <v>Coal</v>
      </c>
      <c r="O3503" s="105">
        <f>IFERROR(VLOOKUP(A3503,Lookup!$J$5:$P$19,7,FALSE),0)</f>
        <v>2</v>
      </c>
      <c r="P3503" s="159">
        <f t="shared" si="583"/>
        <v>2017</v>
      </c>
      <c r="Q3503" s="159">
        <f t="shared" si="584"/>
        <v>10</v>
      </c>
      <c r="R3503" s="160">
        <f t="shared" si="585"/>
        <v>5.3499999999767169</v>
      </c>
      <c r="S3503" s="158">
        <f t="shared" si="586"/>
        <v>1.4590909090845592</v>
      </c>
      <c r="T3503" s="161">
        <f t="shared" si="587"/>
        <v>431.89090908902949</v>
      </c>
      <c r="U3503" s="158">
        <f t="shared" si="589"/>
        <v>80.727272727272734</v>
      </c>
      <c r="V3503" s="160">
        <f t="shared" si="588"/>
        <v>81</v>
      </c>
    </row>
    <row r="3504" spans="1:22" x14ac:dyDescent="0.25">
      <c r="A3504" s="98" t="s">
        <v>35</v>
      </c>
      <c r="B3504" s="98" t="s">
        <v>17</v>
      </c>
      <c r="C3504" s="98">
        <v>88</v>
      </c>
      <c r="D3504" s="98">
        <v>4099</v>
      </c>
      <c r="E3504" s="157">
        <v>43032.156944444447</v>
      </c>
      <c r="F3504" s="157">
        <v>43034.43472222222</v>
      </c>
      <c r="G3504" s="98">
        <v>320</v>
      </c>
      <c r="H3504" s="98">
        <v>330</v>
      </c>
      <c r="I3504" s="98">
        <v>296</v>
      </c>
      <c r="J3504" s="98" t="s">
        <v>2293</v>
      </c>
      <c r="K3504" s="98" t="s">
        <v>4811</v>
      </c>
      <c r="L3504" s="105" t="str">
        <f t="shared" si="580"/>
        <v>Mill Creek</v>
      </c>
      <c r="M3504" s="105" t="str">
        <f t="shared" si="581"/>
        <v>Derate</v>
      </c>
      <c r="N3504" s="105" t="str">
        <f t="shared" si="582"/>
        <v>Coal</v>
      </c>
      <c r="O3504" s="105">
        <f>IFERROR(VLOOKUP(A3504,Lookup!$J$5:$P$19,7,FALSE),0)</f>
        <v>2</v>
      </c>
      <c r="P3504" s="159">
        <f t="shared" si="583"/>
        <v>2017</v>
      </c>
      <c r="Q3504" s="159">
        <f t="shared" si="584"/>
        <v>10</v>
      </c>
      <c r="R3504" s="160">
        <f t="shared" si="585"/>
        <v>54.666666666569654</v>
      </c>
      <c r="S3504" s="158">
        <f t="shared" si="586"/>
        <v>1.6565656565627167</v>
      </c>
      <c r="T3504" s="161">
        <f t="shared" si="587"/>
        <v>490.34343434256414</v>
      </c>
      <c r="U3504" s="158">
        <f t="shared" si="589"/>
        <v>8.9696969696969688</v>
      </c>
      <c r="V3504" s="160">
        <f t="shared" si="588"/>
        <v>9</v>
      </c>
    </row>
    <row r="3505" spans="1:22" x14ac:dyDescent="0.25">
      <c r="A3505" s="98" t="s">
        <v>35</v>
      </c>
      <c r="B3505" s="98" t="s">
        <v>17</v>
      </c>
      <c r="C3505" s="98">
        <v>89</v>
      </c>
      <c r="D3505" s="98">
        <v>4099</v>
      </c>
      <c r="E3505" s="157">
        <v>43034.43472222222</v>
      </c>
      <c r="F3505" s="157">
        <v>43034.619444444441</v>
      </c>
      <c r="G3505" s="98">
        <v>323</v>
      </c>
      <c r="H3505" s="98">
        <v>330</v>
      </c>
      <c r="I3505" s="98">
        <v>296</v>
      </c>
      <c r="J3505" s="98" t="s">
        <v>2293</v>
      </c>
      <c r="K3505" s="98" t="s">
        <v>4811</v>
      </c>
      <c r="L3505" s="105" t="str">
        <f t="shared" si="580"/>
        <v>Mill Creek</v>
      </c>
      <c r="M3505" s="105" t="str">
        <f t="shared" si="581"/>
        <v>Derate</v>
      </c>
      <c r="N3505" s="105" t="str">
        <f t="shared" si="582"/>
        <v>Coal</v>
      </c>
      <c r="O3505" s="105">
        <f>IFERROR(VLOOKUP(A3505,Lookup!$J$5:$P$19,7,FALSE),0)</f>
        <v>2</v>
      </c>
      <c r="P3505" s="159">
        <f t="shared" si="583"/>
        <v>2017</v>
      </c>
      <c r="Q3505" s="159">
        <f t="shared" si="584"/>
        <v>10</v>
      </c>
      <c r="R3505" s="160">
        <f t="shared" si="585"/>
        <v>4.4333333332906477</v>
      </c>
      <c r="S3505" s="158">
        <f t="shared" si="586"/>
        <v>9.4040404039498593E-2</v>
      </c>
      <c r="T3505" s="161">
        <f t="shared" si="587"/>
        <v>27.835959595691584</v>
      </c>
      <c r="U3505" s="158">
        <f t="shared" si="589"/>
        <v>6.2787878787878784</v>
      </c>
      <c r="V3505" s="160">
        <f t="shared" si="588"/>
        <v>6</v>
      </c>
    </row>
    <row r="3506" spans="1:22" x14ac:dyDescent="0.25">
      <c r="A3506" s="98" t="s">
        <v>35</v>
      </c>
      <c r="B3506" s="98" t="s">
        <v>17</v>
      </c>
      <c r="C3506" s="98">
        <v>90</v>
      </c>
      <c r="D3506" s="98">
        <v>310</v>
      </c>
      <c r="E3506" s="157">
        <v>43034.619444444441</v>
      </c>
      <c r="F3506" s="157">
        <v>43034.711805555555</v>
      </c>
      <c r="G3506" s="98">
        <v>250</v>
      </c>
      <c r="H3506" s="98">
        <v>330</v>
      </c>
      <c r="I3506" s="98">
        <v>296</v>
      </c>
      <c r="J3506" s="98" t="s">
        <v>1966</v>
      </c>
      <c r="K3506" s="98" t="s">
        <v>4814</v>
      </c>
      <c r="L3506" s="105" t="str">
        <f t="shared" si="580"/>
        <v>Mill Creek</v>
      </c>
      <c r="M3506" s="105" t="str">
        <f t="shared" si="581"/>
        <v>Derate</v>
      </c>
      <c r="N3506" s="105" t="str">
        <f t="shared" si="582"/>
        <v>Coal</v>
      </c>
      <c r="O3506" s="105">
        <f>IFERROR(VLOOKUP(A3506,Lookup!$J$5:$P$19,7,FALSE),0)</f>
        <v>2</v>
      </c>
      <c r="P3506" s="159">
        <f t="shared" si="583"/>
        <v>2017</v>
      </c>
      <c r="Q3506" s="159">
        <f t="shared" si="584"/>
        <v>10</v>
      </c>
      <c r="R3506" s="160">
        <f t="shared" si="585"/>
        <v>2.2166666667326353</v>
      </c>
      <c r="S3506" s="158">
        <f t="shared" si="586"/>
        <v>0.53737373738972982</v>
      </c>
      <c r="T3506" s="161">
        <f t="shared" si="587"/>
        <v>159.06262626736003</v>
      </c>
      <c r="U3506" s="158">
        <f t="shared" si="589"/>
        <v>71.757575757575751</v>
      </c>
      <c r="V3506" s="160">
        <f t="shared" si="588"/>
        <v>72</v>
      </c>
    </row>
    <row r="3507" spans="1:22" x14ac:dyDescent="0.25">
      <c r="A3507" s="98" t="s">
        <v>35</v>
      </c>
      <c r="B3507" s="98" t="s">
        <v>17</v>
      </c>
      <c r="C3507" s="98">
        <v>91</v>
      </c>
      <c r="D3507" s="98">
        <v>4099</v>
      </c>
      <c r="E3507" s="157">
        <v>43034.711805555555</v>
      </c>
      <c r="F3507" s="157">
        <v>43034.736111111109</v>
      </c>
      <c r="G3507" s="98">
        <v>320</v>
      </c>
      <c r="H3507" s="98">
        <v>330</v>
      </c>
      <c r="I3507" s="98">
        <v>296</v>
      </c>
      <c r="J3507" s="98" t="s">
        <v>2293</v>
      </c>
      <c r="K3507" s="98" t="s">
        <v>4307</v>
      </c>
      <c r="L3507" s="105" t="str">
        <f t="shared" si="580"/>
        <v>Mill Creek</v>
      </c>
      <c r="M3507" s="105" t="str">
        <f t="shared" si="581"/>
        <v>Derate</v>
      </c>
      <c r="N3507" s="105" t="str">
        <f t="shared" si="582"/>
        <v>Coal</v>
      </c>
      <c r="O3507" s="105">
        <f>IFERROR(VLOOKUP(A3507,Lookup!$J$5:$P$19,7,FALSE),0)</f>
        <v>2</v>
      </c>
      <c r="P3507" s="159">
        <f t="shared" si="583"/>
        <v>2017</v>
      </c>
      <c r="Q3507" s="159">
        <f t="shared" si="584"/>
        <v>10</v>
      </c>
      <c r="R3507" s="160">
        <f t="shared" si="585"/>
        <v>0.58333333331393078</v>
      </c>
      <c r="S3507" s="158">
        <f t="shared" si="586"/>
        <v>1.7676767676179719E-2</v>
      </c>
      <c r="T3507" s="161">
        <f t="shared" si="587"/>
        <v>5.2323232321491968</v>
      </c>
      <c r="U3507" s="158">
        <f t="shared" si="589"/>
        <v>8.9696969696969688</v>
      </c>
      <c r="V3507" s="160">
        <f t="shared" si="588"/>
        <v>9</v>
      </c>
    </row>
    <row r="3508" spans="1:22" x14ac:dyDescent="0.25">
      <c r="A3508" s="98" t="s">
        <v>35</v>
      </c>
      <c r="B3508" s="98" t="s">
        <v>17</v>
      </c>
      <c r="C3508" s="98">
        <v>92</v>
      </c>
      <c r="D3508" s="98">
        <v>4099</v>
      </c>
      <c r="E3508" s="157">
        <v>43034.736111111109</v>
      </c>
      <c r="F3508" s="157">
        <v>43040</v>
      </c>
      <c r="G3508" s="98">
        <v>324</v>
      </c>
      <c r="H3508" s="98">
        <v>330</v>
      </c>
      <c r="I3508" s="98">
        <v>296</v>
      </c>
      <c r="J3508" s="98" t="s">
        <v>2293</v>
      </c>
      <c r="K3508" s="98" t="s">
        <v>4815</v>
      </c>
      <c r="L3508" s="105" t="str">
        <f t="shared" si="580"/>
        <v>Mill Creek</v>
      </c>
      <c r="M3508" s="105" t="str">
        <f t="shared" si="581"/>
        <v>Derate</v>
      </c>
      <c r="N3508" s="105" t="str">
        <f t="shared" si="582"/>
        <v>Coal</v>
      </c>
      <c r="O3508" s="105">
        <f>IFERROR(VLOOKUP(A3508,Lookup!$J$5:$P$19,7,FALSE),0)</f>
        <v>2</v>
      </c>
      <c r="P3508" s="159">
        <f t="shared" si="583"/>
        <v>2017</v>
      </c>
      <c r="Q3508" s="159">
        <f t="shared" si="584"/>
        <v>10</v>
      </c>
      <c r="R3508" s="160">
        <f t="shared" si="585"/>
        <v>126.33333333337214</v>
      </c>
      <c r="S3508" s="158">
        <f t="shared" si="586"/>
        <v>2.2969696969704025</v>
      </c>
      <c r="T3508" s="161">
        <f t="shared" si="587"/>
        <v>679.90303030323912</v>
      </c>
      <c r="U3508" s="158">
        <f t="shared" si="589"/>
        <v>5.3818181818181818</v>
      </c>
      <c r="V3508" s="160">
        <f t="shared" si="588"/>
        <v>5</v>
      </c>
    </row>
    <row r="3509" spans="1:22" x14ac:dyDescent="0.25">
      <c r="A3509" s="98" t="s">
        <v>35</v>
      </c>
      <c r="B3509" s="98" t="s">
        <v>17</v>
      </c>
      <c r="C3509" s="98">
        <v>116</v>
      </c>
      <c r="D3509" s="98">
        <v>4099</v>
      </c>
      <c r="E3509" s="157">
        <v>43040</v>
      </c>
      <c r="F3509" s="157">
        <v>43053.916666666664</v>
      </c>
      <c r="G3509" s="98">
        <v>324</v>
      </c>
      <c r="H3509" s="98">
        <v>330</v>
      </c>
      <c r="I3509" s="98">
        <v>296</v>
      </c>
      <c r="J3509" s="98" t="s">
        <v>2293</v>
      </c>
      <c r="K3509" s="98" t="s">
        <v>4816</v>
      </c>
      <c r="L3509" s="105" t="str">
        <f t="shared" si="580"/>
        <v>Mill Creek</v>
      </c>
      <c r="M3509" s="105" t="str">
        <f t="shared" si="581"/>
        <v>Derate</v>
      </c>
      <c r="N3509" s="105" t="str">
        <f t="shared" si="582"/>
        <v>Coal</v>
      </c>
      <c r="O3509" s="105">
        <f>IFERROR(VLOOKUP(A3509,Lookup!$J$5:$P$19,7,FALSE),0)</f>
        <v>2</v>
      </c>
      <c r="P3509" s="159">
        <f t="shared" si="583"/>
        <v>2017</v>
      </c>
      <c r="Q3509" s="159">
        <f t="shared" si="584"/>
        <v>11</v>
      </c>
      <c r="R3509" s="160">
        <f t="shared" si="585"/>
        <v>333.99999999994179</v>
      </c>
      <c r="S3509" s="158">
        <f t="shared" si="586"/>
        <v>6.0727272727262145</v>
      </c>
      <c r="T3509" s="161">
        <f t="shared" si="587"/>
        <v>1797.5272727269594</v>
      </c>
      <c r="U3509" s="158">
        <f t="shared" si="589"/>
        <v>5.3818181818181818</v>
      </c>
      <c r="V3509" s="160">
        <f t="shared" si="588"/>
        <v>5</v>
      </c>
    </row>
    <row r="3510" spans="1:22" x14ac:dyDescent="0.25">
      <c r="A3510" s="98" t="s">
        <v>35</v>
      </c>
      <c r="B3510" s="98" t="s">
        <v>17</v>
      </c>
      <c r="C3510" s="98">
        <v>93</v>
      </c>
      <c r="D3510" s="98">
        <v>1190</v>
      </c>
      <c r="E3510" s="157">
        <v>43053.916666666664</v>
      </c>
      <c r="F3510" s="157">
        <v>43054.159722222219</v>
      </c>
      <c r="G3510" s="98">
        <v>240</v>
      </c>
      <c r="H3510" s="98">
        <v>330</v>
      </c>
      <c r="I3510" s="98">
        <v>296</v>
      </c>
      <c r="J3510" s="98" t="s">
        <v>2007</v>
      </c>
      <c r="K3510" s="98" t="s">
        <v>4236</v>
      </c>
      <c r="L3510" s="105" t="str">
        <f t="shared" si="580"/>
        <v>Mill Creek</v>
      </c>
      <c r="M3510" s="105" t="str">
        <f t="shared" si="581"/>
        <v>Derate</v>
      </c>
      <c r="N3510" s="105" t="str">
        <f t="shared" si="582"/>
        <v>Coal</v>
      </c>
      <c r="O3510" s="105">
        <f>IFERROR(VLOOKUP(A3510,Lookup!$J$5:$P$19,7,FALSE),0)</f>
        <v>2</v>
      </c>
      <c r="P3510" s="159">
        <f t="shared" si="583"/>
        <v>2017</v>
      </c>
      <c r="Q3510" s="159">
        <f t="shared" si="584"/>
        <v>11</v>
      </c>
      <c r="R3510" s="160">
        <f t="shared" si="585"/>
        <v>5.8333333333139308</v>
      </c>
      <c r="S3510" s="158">
        <f t="shared" si="586"/>
        <v>1.5909090909037993</v>
      </c>
      <c r="T3510" s="161">
        <f t="shared" si="587"/>
        <v>470.90909090752461</v>
      </c>
      <c r="U3510" s="158">
        <f t="shared" si="589"/>
        <v>80.727272727272734</v>
      </c>
      <c r="V3510" s="160">
        <f t="shared" si="588"/>
        <v>81</v>
      </c>
    </row>
    <row r="3511" spans="1:22" x14ac:dyDescent="0.25">
      <c r="A3511" s="98" t="s">
        <v>35</v>
      </c>
      <c r="B3511" s="98" t="s">
        <v>17</v>
      </c>
      <c r="C3511" s="98">
        <v>94</v>
      </c>
      <c r="D3511" s="98">
        <v>4099</v>
      </c>
      <c r="E3511" s="157">
        <v>43054.159722222219</v>
      </c>
      <c r="F3511" s="157">
        <v>43054.895833333336</v>
      </c>
      <c r="G3511" s="98">
        <v>324</v>
      </c>
      <c r="H3511" s="98">
        <v>330</v>
      </c>
      <c r="I3511" s="98">
        <v>296</v>
      </c>
      <c r="J3511" s="98" t="s">
        <v>2293</v>
      </c>
      <c r="K3511" s="98" t="s">
        <v>4811</v>
      </c>
      <c r="L3511" s="105" t="str">
        <f t="shared" si="580"/>
        <v>Mill Creek</v>
      </c>
      <c r="M3511" s="105" t="str">
        <f t="shared" si="581"/>
        <v>Derate</v>
      </c>
      <c r="N3511" s="105" t="str">
        <f t="shared" si="582"/>
        <v>Coal</v>
      </c>
      <c r="O3511" s="105">
        <f>IFERROR(VLOOKUP(A3511,Lookup!$J$5:$P$19,7,FALSE),0)</f>
        <v>2</v>
      </c>
      <c r="P3511" s="159">
        <f t="shared" si="583"/>
        <v>2017</v>
      </c>
      <c r="Q3511" s="159">
        <f t="shared" si="584"/>
        <v>11</v>
      </c>
      <c r="R3511" s="160">
        <f t="shared" si="585"/>
        <v>17.666666666802485</v>
      </c>
      <c r="S3511" s="158">
        <f t="shared" si="586"/>
        <v>0.32121212121459064</v>
      </c>
      <c r="T3511" s="161">
        <f t="shared" si="587"/>
        <v>95.078787879518828</v>
      </c>
      <c r="U3511" s="158">
        <f t="shared" si="589"/>
        <v>5.3818181818181818</v>
      </c>
      <c r="V3511" s="160">
        <f t="shared" si="588"/>
        <v>5</v>
      </c>
    </row>
    <row r="3512" spans="1:22" x14ac:dyDescent="0.25">
      <c r="A3512" s="98" t="s">
        <v>35</v>
      </c>
      <c r="B3512" s="98" t="s">
        <v>17</v>
      </c>
      <c r="C3512" s="98">
        <v>95</v>
      </c>
      <c r="D3512" s="98">
        <v>1190</v>
      </c>
      <c r="E3512" s="157">
        <v>43054.895833333336</v>
      </c>
      <c r="F3512" s="157">
        <v>43055.125</v>
      </c>
      <c r="G3512" s="98">
        <v>140</v>
      </c>
      <c r="H3512" s="98">
        <v>330</v>
      </c>
      <c r="I3512" s="98">
        <v>296</v>
      </c>
      <c r="J3512" s="98" t="s">
        <v>2007</v>
      </c>
      <c r="K3512" s="98" t="s">
        <v>4236</v>
      </c>
      <c r="L3512" s="105" t="str">
        <f t="shared" si="580"/>
        <v>Mill Creek</v>
      </c>
      <c r="M3512" s="105" t="str">
        <f t="shared" si="581"/>
        <v>Derate</v>
      </c>
      <c r="N3512" s="105" t="str">
        <f t="shared" si="582"/>
        <v>Coal</v>
      </c>
      <c r="O3512" s="105">
        <f>IFERROR(VLOOKUP(A3512,Lookup!$J$5:$P$19,7,FALSE),0)</f>
        <v>2</v>
      </c>
      <c r="P3512" s="159">
        <f t="shared" si="583"/>
        <v>2017</v>
      </c>
      <c r="Q3512" s="159">
        <f t="shared" si="584"/>
        <v>11</v>
      </c>
      <c r="R3512" s="160">
        <f t="shared" si="585"/>
        <v>5.4999999999417923</v>
      </c>
      <c r="S3512" s="158">
        <f t="shared" si="586"/>
        <v>3.1666666666331533</v>
      </c>
      <c r="T3512" s="161">
        <f t="shared" si="587"/>
        <v>937.3333333234134</v>
      </c>
      <c r="U3512" s="158">
        <f t="shared" si="589"/>
        <v>170.42424242424244</v>
      </c>
      <c r="V3512" s="160">
        <f t="shared" si="588"/>
        <v>170</v>
      </c>
    </row>
    <row r="3513" spans="1:22" x14ac:dyDescent="0.25">
      <c r="A3513" s="98" t="s">
        <v>35</v>
      </c>
      <c r="B3513" s="98" t="s">
        <v>17</v>
      </c>
      <c r="C3513" s="98">
        <v>96</v>
      </c>
      <c r="D3513" s="98">
        <v>4099</v>
      </c>
      <c r="E3513" s="157">
        <v>43055.125</v>
      </c>
      <c r="F3513" s="157">
        <v>43070</v>
      </c>
      <c r="G3513" s="98">
        <v>324</v>
      </c>
      <c r="H3513" s="98">
        <v>330</v>
      </c>
      <c r="I3513" s="98">
        <v>296</v>
      </c>
      <c r="J3513" s="98" t="s">
        <v>2293</v>
      </c>
      <c r="K3513" s="98" t="s">
        <v>4307</v>
      </c>
      <c r="L3513" s="105" t="str">
        <f t="shared" si="580"/>
        <v>Mill Creek</v>
      </c>
      <c r="M3513" s="105" t="str">
        <f t="shared" si="581"/>
        <v>Derate</v>
      </c>
      <c r="N3513" s="105" t="str">
        <f t="shared" si="582"/>
        <v>Coal</v>
      </c>
      <c r="O3513" s="105">
        <f>IFERROR(VLOOKUP(A3513,Lookup!$J$5:$P$19,7,FALSE),0)</f>
        <v>2</v>
      </c>
      <c r="P3513" s="159">
        <f t="shared" si="583"/>
        <v>2017</v>
      </c>
      <c r="Q3513" s="159">
        <f t="shared" si="584"/>
        <v>11</v>
      </c>
      <c r="R3513" s="160">
        <f t="shared" si="585"/>
        <v>357</v>
      </c>
      <c r="S3513" s="158">
        <f t="shared" si="586"/>
        <v>6.4909090909090912</v>
      </c>
      <c r="T3513" s="161">
        <f t="shared" si="587"/>
        <v>1921.3090909090911</v>
      </c>
      <c r="U3513" s="158">
        <f t="shared" si="589"/>
        <v>5.3818181818181818</v>
      </c>
      <c r="V3513" s="160">
        <f t="shared" si="588"/>
        <v>5</v>
      </c>
    </row>
    <row r="3514" spans="1:22" x14ac:dyDescent="0.25">
      <c r="A3514" s="98" t="s">
        <v>35</v>
      </c>
      <c r="B3514" s="98" t="s">
        <v>17</v>
      </c>
      <c r="C3514" s="98">
        <v>97</v>
      </c>
      <c r="D3514" s="98">
        <v>4099</v>
      </c>
      <c r="E3514" s="157">
        <v>43070</v>
      </c>
      <c r="F3514" s="157">
        <v>43072.958333333336</v>
      </c>
      <c r="G3514" s="98">
        <v>324</v>
      </c>
      <c r="H3514" s="98">
        <v>330</v>
      </c>
      <c r="I3514" s="98">
        <v>296</v>
      </c>
      <c r="J3514" s="98" t="s">
        <v>2293</v>
      </c>
      <c r="K3514" s="98" t="s">
        <v>4811</v>
      </c>
      <c r="L3514" s="105" t="str">
        <f t="shared" si="580"/>
        <v>Mill Creek</v>
      </c>
      <c r="M3514" s="105" t="str">
        <f t="shared" si="581"/>
        <v>Derate</v>
      </c>
      <c r="N3514" s="105" t="str">
        <f t="shared" si="582"/>
        <v>Coal</v>
      </c>
      <c r="O3514" s="105">
        <f>IFERROR(VLOOKUP(A3514,Lookup!$J$5:$P$19,7,FALSE),0)</f>
        <v>2</v>
      </c>
      <c r="P3514" s="159">
        <f t="shared" si="583"/>
        <v>2017</v>
      </c>
      <c r="Q3514" s="159">
        <f t="shared" si="584"/>
        <v>12</v>
      </c>
      <c r="R3514" s="160">
        <f t="shared" si="585"/>
        <v>71.000000000058208</v>
      </c>
      <c r="S3514" s="158">
        <f t="shared" si="586"/>
        <v>1.2909090909101493</v>
      </c>
      <c r="T3514" s="161">
        <f t="shared" si="587"/>
        <v>382.10909090940419</v>
      </c>
      <c r="U3514" s="158">
        <f t="shared" si="589"/>
        <v>5.3818181818181818</v>
      </c>
      <c r="V3514" s="160">
        <f t="shared" si="588"/>
        <v>5</v>
      </c>
    </row>
    <row r="3515" spans="1:22" x14ac:dyDescent="0.25">
      <c r="A3515" s="98" t="s">
        <v>35</v>
      </c>
      <c r="B3515" s="98" t="s">
        <v>105</v>
      </c>
      <c r="C3515" s="98">
        <v>98</v>
      </c>
      <c r="D3515" s="98">
        <v>310</v>
      </c>
      <c r="E3515" s="157">
        <v>43072.958333333336</v>
      </c>
      <c r="F3515" s="157">
        <v>43073.175694444442</v>
      </c>
      <c r="G3515" s="98">
        <v>250</v>
      </c>
      <c r="H3515" s="98">
        <v>330</v>
      </c>
      <c r="I3515" s="98">
        <v>296</v>
      </c>
      <c r="J3515" s="98" t="s">
        <v>1966</v>
      </c>
      <c r="K3515" s="98" t="s">
        <v>4286</v>
      </c>
      <c r="L3515" s="105" t="str">
        <f t="shared" si="580"/>
        <v>Mill Creek</v>
      </c>
      <c r="M3515" s="105" t="str">
        <f t="shared" si="581"/>
        <v>Derate</v>
      </c>
      <c r="N3515" s="105" t="str">
        <f t="shared" si="582"/>
        <v>Coal</v>
      </c>
      <c r="O3515" s="105">
        <f>IFERROR(VLOOKUP(A3515,Lookup!$J$5:$P$19,7,FALSE),0)</f>
        <v>2</v>
      </c>
      <c r="P3515" s="159">
        <f t="shared" si="583"/>
        <v>2017</v>
      </c>
      <c r="Q3515" s="159">
        <f t="shared" si="584"/>
        <v>12</v>
      </c>
      <c r="R3515" s="160">
        <f t="shared" si="585"/>
        <v>5.2166666665580124</v>
      </c>
      <c r="S3515" s="158">
        <f t="shared" si="586"/>
        <v>1.2646464646201243</v>
      </c>
      <c r="T3515" s="161">
        <f t="shared" si="587"/>
        <v>374.33535352755678</v>
      </c>
      <c r="U3515" s="158">
        <f t="shared" si="589"/>
        <v>71.757575757575751</v>
      </c>
      <c r="V3515" s="160">
        <f t="shared" si="588"/>
        <v>72</v>
      </c>
    </row>
    <row r="3516" spans="1:22" x14ac:dyDescent="0.25">
      <c r="A3516" s="98" t="s">
        <v>35</v>
      </c>
      <c r="B3516" s="98" t="s">
        <v>17</v>
      </c>
      <c r="C3516" s="98">
        <v>99</v>
      </c>
      <c r="D3516" s="98">
        <v>4099</v>
      </c>
      <c r="E3516" s="157">
        <v>43073.175694444442</v>
      </c>
      <c r="F3516" s="157">
        <v>43073.916666666664</v>
      </c>
      <c r="G3516" s="98">
        <v>324</v>
      </c>
      <c r="H3516" s="98">
        <v>330</v>
      </c>
      <c r="I3516" s="98">
        <v>296</v>
      </c>
      <c r="J3516" s="98" t="s">
        <v>2293</v>
      </c>
      <c r="K3516" s="98" t="s">
        <v>4307</v>
      </c>
      <c r="L3516" s="105" t="str">
        <f t="shared" si="580"/>
        <v>Mill Creek</v>
      </c>
      <c r="M3516" s="105" t="str">
        <f t="shared" si="581"/>
        <v>Derate</v>
      </c>
      <c r="N3516" s="105" t="str">
        <f t="shared" si="582"/>
        <v>Coal</v>
      </c>
      <c r="O3516" s="105">
        <f>IFERROR(VLOOKUP(A3516,Lookup!$J$5:$P$19,7,FALSE),0)</f>
        <v>2</v>
      </c>
      <c r="P3516" s="159">
        <f t="shared" si="583"/>
        <v>2017</v>
      </c>
      <c r="Q3516" s="159">
        <f t="shared" si="584"/>
        <v>12</v>
      </c>
      <c r="R3516" s="160">
        <f t="shared" si="585"/>
        <v>17.783333333325572</v>
      </c>
      <c r="S3516" s="158">
        <f t="shared" si="586"/>
        <v>0.3233333333331922</v>
      </c>
      <c r="T3516" s="161">
        <f t="shared" si="587"/>
        <v>95.706666666624884</v>
      </c>
      <c r="U3516" s="158">
        <f t="shared" si="589"/>
        <v>5.3818181818181818</v>
      </c>
      <c r="V3516" s="160">
        <f t="shared" si="588"/>
        <v>5</v>
      </c>
    </row>
    <row r="3517" spans="1:22" x14ac:dyDescent="0.25">
      <c r="A3517" s="98" t="s">
        <v>35</v>
      </c>
      <c r="B3517" s="98" t="s">
        <v>105</v>
      </c>
      <c r="C3517" s="98">
        <v>100</v>
      </c>
      <c r="D3517" s="98">
        <v>310</v>
      </c>
      <c r="E3517" s="157">
        <v>43073.916666666664</v>
      </c>
      <c r="F3517" s="157">
        <v>43074.167361111111</v>
      </c>
      <c r="G3517" s="98">
        <v>250</v>
      </c>
      <c r="H3517" s="98">
        <v>330</v>
      </c>
      <c r="I3517" s="98">
        <v>296</v>
      </c>
      <c r="J3517" s="98" t="s">
        <v>1966</v>
      </c>
      <c r="K3517" s="98" t="s">
        <v>4285</v>
      </c>
      <c r="L3517" s="105" t="str">
        <f t="shared" si="580"/>
        <v>Mill Creek</v>
      </c>
      <c r="M3517" s="105" t="str">
        <f t="shared" si="581"/>
        <v>Derate</v>
      </c>
      <c r="N3517" s="105" t="str">
        <f t="shared" si="582"/>
        <v>Coal</v>
      </c>
      <c r="O3517" s="105">
        <f>IFERROR(VLOOKUP(A3517,Lookup!$J$5:$P$19,7,FALSE),0)</f>
        <v>2</v>
      </c>
      <c r="P3517" s="159">
        <f t="shared" si="583"/>
        <v>2017</v>
      </c>
      <c r="Q3517" s="159">
        <f t="shared" si="584"/>
        <v>12</v>
      </c>
      <c r="R3517" s="160">
        <f t="shared" si="585"/>
        <v>6.0166666667209938</v>
      </c>
      <c r="S3517" s="158">
        <f t="shared" si="586"/>
        <v>1.4585858585990288</v>
      </c>
      <c r="T3517" s="161">
        <f t="shared" si="587"/>
        <v>431.74141414531255</v>
      </c>
      <c r="U3517" s="158">
        <f t="shared" si="589"/>
        <v>71.757575757575751</v>
      </c>
      <c r="V3517" s="160">
        <f t="shared" si="588"/>
        <v>72</v>
      </c>
    </row>
    <row r="3518" spans="1:22" x14ac:dyDescent="0.25">
      <c r="A3518" s="98" t="s">
        <v>35</v>
      </c>
      <c r="B3518" s="98" t="s">
        <v>17</v>
      </c>
      <c r="C3518" s="98">
        <v>102</v>
      </c>
      <c r="D3518" s="98">
        <v>4099</v>
      </c>
      <c r="E3518" s="157">
        <v>43074.260416666664</v>
      </c>
      <c r="F3518" s="157">
        <v>43074.555555555555</v>
      </c>
      <c r="G3518" s="98">
        <v>324</v>
      </c>
      <c r="H3518" s="98">
        <v>330</v>
      </c>
      <c r="I3518" s="98">
        <v>296</v>
      </c>
      <c r="J3518" s="98" t="s">
        <v>2293</v>
      </c>
      <c r="K3518" s="98" t="s">
        <v>4811</v>
      </c>
      <c r="L3518" s="105" t="str">
        <f t="shared" si="580"/>
        <v>Mill Creek</v>
      </c>
      <c r="M3518" s="105" t="str">
        <f t="shared" si="581"/>
        <v>Derate</v>
      </c>
      <c r="N3518" s="105" t="str">
        <f t="shared" si="582"/>
        <v>Coal</v>
      </c>
      <c r="O3518" s="105">
        <f>IFERROR(VLOOKUP(A3518,Lookup!$J$5:$P$19,7,FALSE),0)</f>
        <v>2</v>
      </c>
      <c r="P3518" s="159">
        <f t="shared" si="583"/>
        <v>2017</v>
      </c>
      <c r="Q3518" s="159">
        <f t="shared" si="584"/>
        <v>12</v>
      </c>
      <c r="R3518" s="160">
        <f t="shared" si="585"/>
        <v>7.0833333333721384</v>
      </c>
      <c r="S3518" s="158">
        <f t="shared" si="586"/>
        <v>0.12878787878858433</v>
      </c>
      <c r="T3518" s="161">
        <f t="shared" si="587"/>
        <v>38.12121212142096</v>
      </c>
      <c r="U3518" s="158">
        <f t="shared" si="589"/>
        <v>5.3818181818181818</v>
      </c>
      <c r="V3518" s="160">
        <f t="shared" si="588"/>
        <v>5</v>
      </c>
    </row>
    <row r="3519" spans="1:22" x14ac:dyDescent="0.25">
      <c r="A3519" s="98" t="s">
        <v>35</v>
      </c>
      <c r="B3519" s="98" t="s">
        <v>79</v>
      </c>
      <c r="C3519" s="98">
        <v>103</v>
      </c>
      <c r="D3519" s="98">
        <v>4842</v>
      </c>
      <c r="E3519" s="157">
        <v>43074.555555555555</v>
      </c>
      <c r="F3519" s="157">
        <v>43074.573611111111</v>
      </c>
      <c r="G3519" s="98">
        <v>0</v>
      </c>
      <c r="H3519" s="98">
        <v>330</v>
      </c>
      <c r="I3519" s="98">
        <v>296</v>
      </c>
      <c r="J3519" s="98" t="s">
        <v>60</v>
      </c>
      <c r="K3519" s="98" t="s">
        <v>4817</v>
      </c>
      <c r="L3519" s="105" t="str">
        <f t="shared" si="580"/>
        <v>Mill Creek</v>
      </c>
      <c r="M3519" s="105" t="str">
        <f t="shared" si="581"/>
        <v>Other</v>
      </c>
      <c r="N3519" s="105" t="str">
        <f t="shared" si="582"/>
        <v>Coal</v>
      </c>
      <c r="O3519" s="105">
        <f>IFERROR(VLOOKUP(A3519,Lookup!$J$5:$P$19,7,FALSE),0)</f>
        <v>2</v>
      </c>
      <c r="P3519" s="159">
        <f t="shared" si="583"/>
        <v>2017</v>
      </c>
      <c r="Q3519" s="159">
        <f t="shared" si="584"/>
        <v>12</v>
      </c>
      <c r="R3519" s="160">
        <f t="shared" si="585"/>
        <v>0.43333333334885538</v>
      </c>
      <c r="S3519" s="158">
        <f t="shared" si="586"/>
        <v>0.43333333334885538</v>
      </c>
      <c r="T3519" s="161">
        <f t="shared" si="587"/>
        <v>128.26666667126119</v>
      </c>
      <c r="U3519" s="158">
        <f t="shared" si="589"/>
        <v>296</v>
      </c>
      <c r="V3519" s="160">
        <f t="shared" si="588"/>
        <v>296</v>
      </c>
    </row>
    <row r="3520" spans="1:22" x14ac:dyDescent="0.25">
      <c r="A3520" s="98" t="s">
        <v>35</v>
      </c>
      <c r="B3520" s="98" t="s">
        <v>17</v>
      </c>
      <c r="C3520" s="98">
        <v>104</v>
      </c>
      <c r="D3520" s="98">
        <v>4099</v>
      </c>
      <c r="E3520" s="157">
        <v>43074.573611111111</v>
      </c>
      <c r="F3520" s="157">
        <v>43074.958333333336</v>
      </c>
      <c r="G3520" s="98">
        <v>324</v>
      </c>
      <c r="H3520" s="98">
        <v>330</v>
      </c>
      <c r="I3520" s="98">
        <v>296</v>
      </c>
      <c r="J3520" s="98" t="s">
        <v>2293</v>
      </c>
      <c r="K3520" s="98" t="s">
        <v>4811</v>
      </c>
      <c r="L3520" s="105" t="str">
        <f t="shared" si="580"/>
        <v>Mill Creek</v>
      </c>
      <c r="M3520" s="105" t="str">
        <f t="shared" si="581"/>
        <v>Derate</v>
      </c>
      <c r="N3520" s="105" t="str">
        <f t="shared" si="582"/>
        <v>Coal</v>
      </c>
      <c r="O3520" s="105">
        <f>IFERROR(VLOOKUP(A3520,Lookup!$J$5:$P$19,7,FALSE),0)</f>
        <v>2</v>
      </c>
      <c r="P3520" s="159">
        <f t="shared" si="583"/>
        <v>2017</v>
      </c>
      <c r="Q3520" s="159">
        <f t="shared" si="584"/>
        <v>12</v>
      </c>
      <c r="R3520" s="160">
        <f t="shared" si="585"/>
        <v>9.2333333333954215</v>
      </c>
      <c r="S3520" s="158">
        <f t="shared" si="586"/>
        <v>0.16787878787991675</v>
      </c>
      <c r="T3520" s="161">
        <f t="shared" si="587"/>
        <v>49.692121212455362</v>
      </c>
      <c r="U3520" s="158">
        <f t="shared" si="589"/>
        <v>5.3818181818181818</v>
      </c>
      <c r="V3520" s="160">
        <f t="shared" si="588"/>
        <v>5</v>
      </c>
    </row>
    <row r="3521" spans="1:22" x14ac:dyDescent="0.25">
      <c r="A3521" s="98" t="s">
        <v>35</v>
      </c>
      <c r="B3521" s="98" t="s">
        <v>105</v>
      </c>
      <c r="C3521" s="98">
        <v>105</v>
      </c>
      <c r="D3521" s="98">
        <v>310</v>
      </c>
      <c r="E3521" s="157">
        <v>43074.958333333336</v>
      </c>
      <c r="F3521" s="157">
        <v>43075.208333333336</v>
      </c>
      <c r="G3521" s="98">
        <v>250</v>
      </c>
      <c r="H3521" s="98">
        <v>330</v>
      </c>
      <c r="I3521" s="98">
        <v>296</v>
      </c>
      <c r="J3521" s="98" t="s">
        <v>1966</v>
      </c>
      <c r="K3521" s="98" t="s">
        <v>3609</v>
      </c>
      <c r="L3521" s="105" t="str">
        <f t="shared" si="580"/>
        <v>Mill Creek</v>
      </c>
      <c r="M3521" s="105" t="str">
        <f t="shared" si="581"/>
        <v>Derate</v>
      </c>
      <c r="N3521" s="105" t="str">
        <f t="shared" si="582"/>
        <v>Coal</v>
      </c>
      <c r="O3521" s="105">
        <f>IFERROR(VLOOKUP(A3521,Lookup!$J$5:$P$19,7,FALSE),0)</f>
        <v>2</v>
      </c>
      <c r="P3521" s="159">
        <f t="shared" si="583"/>
        <v>2017</v>
      </c>
      <c r="Q3521" s="159">
        <f t="shared" si="584"/>
        <v>12</v>
      </c>
      <c r="R3521" s="160">
        <f t="shared" si="585"/>
        <v>6</v>
      </c>
      <c r="S3521" s="158">
        <f t="shared" si="586"/>
        <v>1.4545454545454546</v>
      </c>
      <c r="T3521" s="161">
        <f t="shared" si="587"/>
        <v>430.54545454545456</v>
      </c>
      <c r="U3521" s="158">
        <f t="shared" si="589"/>
        <v>71.757575757575751</v>
      </c>
      <c r="V3521" s="160">
        <f t="shared" si="588"/>
        <v>72</v>
      </c>
    </row>
    <row r="3522" spans="1:22" x14ac:dyDescent="0.25">
      <c r="A3522" s="98" t="s">
        <v>35</v>
      </c>
      <c r="B3522" s="98" t="s">
        <v>17</v>
      </c>
      <c r="C3522" s="98">
        <v>107</v>
      </c>
      <c r="D3522" s="98">
        <v>4099</v>
      </c>
      <c r="E3522" s="157">
        <v>43075.274305555555</v>
      </c>
      <c r="F3522" s="157">
        <v>43075.945138888892</v>
      </c>
      <c r="G3522" s="98">
        <v>324</v>
      </c>
      <c r="H3522" s="98">
        <v>330</v>
      </c>
      <c r="I3522" s="98">
        <v>296</v>
      </c>
      <c r="J3522" s="98" t="s">
        <v>2293</v>
      </c>
      <c r="K3522" s="98" t="s">
        <v>4811</v>
      </c>
      <c r="L3522" s="105" t="str">
        <f t="shared" si="580"/>
        <v>Mill Creek</v>
      </c>
      <c r="M3522" s="105" t="str">
        <f t="shared" si="581"/>
        <v>Derate</v>
      </c>
      <c r="N3522" s="105" t="str">
        <f t="shared" si="582"/>
        <v>Coal</v>
      </c>
      <c r="O3522" s="105">
        <f>IFERROR(VLOOKUP(A3522,Lookup!$J$5:$P$19,7,FALSE),0)</f>
        <v>2</v>
      </c>
      <c r="P3522" s="159">
        <f t="shared" si="583"/>
        <v>2017</v>
      </c>
      <c r="Q3522" s="159">
        <f t="shared" si="584"/>
        <v>12</v>
      </c>
      <c r="R3522" s="160">
        <f t="shared" si="585"/>
        <v>16.100000000093132</v>
      </c>
      <c r="S3522" s="158">
        <f t="shared" si="586"/>
        <v>0.29272727272896604</v>
      </c>
      <c r="T3522" s="161">
        <f t="shared" si="587"/>
        <v>86.647272727773952</v>
      </c>
      <c r="U3522" s="158">
        <f t="shared" si="589"/>
        <v>5.3818181818181818</v>
      </c>
      <c r="V3522" s="160">
        <f t="shared" si="588"/>
        <v>5</v>
      </c>
    </row>
    <row r="3523" spans="1:22" x14ac:dyDescent="0.25">
      <c r="A3523" s="98" t="s">
        <v>35</v>
      </c>
      <c r="B3523" s="98" t="s">
        <v>105</v>
      </c>
      <c r="C3523" s="98">
        <v>108</v>
      </c>
      <c r="D3523" s="98">
        <v>310</v>
      </c>
      <c r="E3523" s="157">
        <v>43075.945138888892</v>
      </c>
      <c r="F3523" s="157">
        <v>43076.161805555559</v>
      </c>
      <c r="G3523" s="98">
        <v>250</v>
      </c>
      <c r="H3523" s="98">
        <v>330</v>
      </c>
      <c r="I3523" s="98">
        <v>296</v>
      </c>
      <c r="J3523" s="98" t="s">
        <v>1966</v>
      </c>
      <c r="K3523" s="98" t="s">
        <v>4818</v>
      </c>
      <c r="L3523" s="105" t="str">
        <f t="shared" si="580"/>
        <v>Mill Creek</v>
      </c>
      <c r="M3523" s="105" t="str">
        <f t="shared" si="581"/>
        <v>Derate</v>
      </c>
      <c r="N3523" s="105" t="str">
        <f t="shared" si="582"/>
        <v>Coal</v>
      </c>
      <c r="O3523" s="105">
        <f>IFERROR(VLOOKUP(A3523,Lookup!$J$5:$P$19,7,FALSE),0)</f>
        <v>2</v>
      </c>
      <c r="P3523" s="159">
        <f t="shared" si="583"/>
        <v>2017</v>
      </c>
      <c r="Q3523" s="159">
        <f t="shared" si="584"/>
        <v>12</v>
      </c>
      <c r="R3523" s="160">
        <f t="shared" si="585"/>
        <v>5.2000000000116415</v>
      </c>
      <c r="S3523" s="158">
        <f t="shared" si="586"/>
        <v>1.2606060606088827</v>
      </c>
      <c r="T3523" s="161">
        <f t="shared" si="587"/>
        <v>373.1393939402293</v>
      </c>
      <c r="U3523" s="158">
        <f t="shared" si="589"/>
        <v>71.757575757575751</v>
      </c>
      <c r="V3523" s="160">
        <f t="shared" si="588"/>
        <v>72</v>
      </c>
    </row>
    <row r="3524" spans="1:22" x14ac:dyDescent="0.25">
      <c r="A3524" s="98" t="s">
        <v>35</v>
      </c>
      <c r="B3524" s="98" t="s">
        <v>17</v>
      </c>
      <c r="C3524" s="98">
        <v>109</v>
      </c>
      <c r="D3524" s="98">
        <v>4099</v>
      </c>
      <c r="E3524" s="157">
        <v>43076.161805555559</v>
      </c>
      <c r="F3524" s="157">
        <v>43076.916666666664</v>
      </c>
      <c r="G3524" s="98">
        <v>324</v>
      </c>
      <c r="H3524" s="98">
        <v>330</v>
      </c>
      <c r="I3524" s="98">
        <v>296</v>
      </c>
      <c r="J3524" s="98" t="s">
        <v>2293</v>
      </c>
      <c r="K3524" s="98" t="s">
        <v>4811</v>
      </c>
      <c r="L3524" s="105" t="str">
        <f t="shared" si="580"/>
        <v>Mill Creek</v>
      </c>
      <c r="M3524" s="105" t="str">
        <f t="shared" si="581"/>
        <v>Derate</v>
      </c>
      <c r="N3524" s="105" t="str">
        <f t="shared" si="582"/>
        <v>Coal</v>
      </c>
      <c r="O3524" s="105">
        <f>IFERROR(VLOOKUP(A3524,Lookup!$J$5:$P$19,7,FALSE),0)</f>
        <v>2</v>
      </c>
      <c r="P3524" s="159">
        <f t="shared" si="583"/>
        <v>2017</v>
      </c>
      <c r="Q3524" s="159">
        <f t="shared" si="584"/>
        <v>12</v>
      </c>
      <c r="R3524" s="160">
        <f t="shared" si="585"/>
        <v>18.116666666523088</v>
      </c>
      <c r="S3524" s="158">
        <f t="shared" si="586"/>
        <v>0.32939393939132888</v>
      </c>
      <c r="T3524" s="161">
        <f t="shared" si="587"/>
        <v>97.500606059833345</v>
      </c>
      <c r="U3524" s="158">
        <f t="shared" si="589"/>
        <v>5.3818181818181818</v>
      </c>
      <c r="V3524" s="160">
        <f t="shared" si="588"/>
        <v>5</v>
      </c>
    </row>
    <row r="3525" spans="1:22" x14ac:dyDescent="0.25">
      <c r="A3525" s="98" t="s">
        <v>35</v>
      </c>
      <c r="B3525" s="98" t="s">
        <v>105</v>
      </c>
      <c r="C3525" s="98">
        <v>110</v>
      </c>
      <c r="D3525" s="98">
        <v>310</v>
      </c>
      <c r="E3525" s="157">
        <v>43076.916666666664</v>
      </c>
      <c r="F3525" s="157">
        <v>43077.128472222219</v>
      </c>
      <c r="G3525" s="98">
        <v>250</v>
      </c>
      <c r="H3525" s="98">
        <v>330</v>
      </c>
      <c r="I3525" s="98">
        <v>296</v>
      </c>
      <c r="J3525" s="98" t="s">
        <v>1966</v>
      </c>
      <c r="K3525" s="98" t="s">
        <v>4281</v>
      </c>
      <c r="L3525" s="105" t="str">
        <f t="shared" si="580"/>
        <v>Mill Creek</v>
      </c>
      <c r="M3525" s="105" t="str">
        <f t="shared" si="581"/>
        <v>Derate</v>
      </c>
      <c r="N3525" s="105" t="str">
        <f t="shared" si="582"/>
        <v>Coal</v>
      </c>
      <c r="O3525" s="105">
        <f>IFERROR(VLOOKUP(A3525,Lookup!$J$5:$P$19,7,FALSE),0)</f>
        <v>2</v>
      </c>
      <c r="P3525" s="159">
        <f t="shared" si="583"/>
        <v>2017</v>
      </c>
      <c r="Q3525" s="159">
        <f t="shared" si="584"/>
        <v>12</v>
      </c>
      <c r="R3525" s="160">
        <f t="shared" si="585"/>
        <v>5.0833333333139308</v>
      </c>
      <c r="S3525" s="158">
        <f t="shared" si="586"/>
        <v>1.2323232323185287</v>
      </c>
      <c r="T3525" s="161">
        <f t="shared" si="587"/>
        <v>364.76767676628447</v>
      </c>
      <c r="U3525" s="158">
        <f t="shared" si="589"/>
        <v>71.757575757575751</v>
      </c>
      <c r="V3525" s="160">
        <f t="shared" si="588"/>
        <v>72</v>
      </c>
    </row>
    <row r="3526" spans="1:22" x14ac:dyDescent="0.25">
      <c r="A3526" s="98" t="s">
        <v>35</v>
      </c>
      <c r="B3526" s="98" t="s">
        <v>17</v>
      </c>
      <c r="C3526" s="98">
        <v>111</v>
      </c>
      <c r="D3526" s="98">
        <v>4099</v>
      </c>
      <c r="E3526" s="157">
        <v>43077.128472222219</v>
      </c>
      <c r="F3526" s="157">
        <v>43077.398611111108</v>
      </c>
      <c r="G3526" s="98">
        <v>324</v>
      </c>
      <c r="H3526" s="98">
        <v>330</v>
      </c>
      <c r="I3526" s="98">
        <v>296</v>
      </c>
      <c r="J3526" s="98" t="s">
        <v>2293</v>
      </c>
      <c r="K3526" s="98" t="s">
        <v>4811</v>
      </c>
      <c r="L3526" s="105" t="str">
        <f t="shared" si="580"/>
        <v>Mill Creek</v>
      </c>
      <c r="M3526" s="105" t="str">
        <f t="shared" si="581"/>
        <v>Derate</v>
      </c>
      <c r="N3526" s="105" t="str">
        <f t="shared" si="582"/>
        <v>Coal</v>
      </c>
      <c r="O3526" s="105">
        <f>IFERROR(VLOOKUP(A3526,Lookup!$J$5:$P$19,7,FALSE),0)</f>
        <v>2</v>
      </c>
      <c r="P3526" s="159">
        <f t="shared" si="583"/>
        <v>2017</v>
      </c>
      <c r="Q3526" s="159">
        <f t="shared" si="584"/>
        <v>12</v>
      </c>
      <c r="R3526" s="160">
        <f t="shared" si="585"/>
        <v>6.4833333333372138</v>
      </c>
      <c r="S3526" s="158">
        <f t="shared" si="586"/>
        <v>0.11787878787885843</v>
      </c>
      <c r="T3526" s="161">
        <f t="shared" si="587"/>
        <v>34.892121212142094</v>
      </c>
      <c r="U3526" s="158">
        <f t="shared" si="589"/>
        <v>5.3818181818181818</v>
      </c>
      <c r="V3526" s="160">
        <f t="shared" si="588"/>
        <v>5</v>
      </c>
    </row>
    <row r="3527" spans="1:22" x14ac:dyDescent="0.25">
      <c r="A3527" s="98" t="s">
        <v>35</v>
      </c>
      <c r="B3527" s="98" t="s">
        <v>17</v>
      </c>
      <c r="C3527" s="98">
        <v>112</v>
      </c>
      <c r="D3527" s="98">
        <v>4099</v>
      </c>
      <c r="E3527" s="157">
        <v>43077.398611111108</v>
      </c>
      <c r="F3527" s="157">
        <v>43077.541666666664</v>
      </c>
      <c r="G3527" s="98">
        <v>316</v>
      </c>
      <c r="H3527" s="98">
        <v>330</v>
      </c>
      <c r="I3527" s="98">
        <v>296</v>
      </c>
      <c r="J3527" s="98" t="s">
        <v>2293</v>
      </c>
      <c r="K3527" s="98" t="s">
        <v>4307</v>
      </c>
      <c r="L3527" s="105" t="str">
        <f t="shared" si="580"/>
        <v>Mill Creek</v>
      </c>
      <c r="M3527" s="105" t="str">
        <f t="shared" si="581"/>
        <v>Derate</v>
      </c>
      <c r="N3527" s="105" t="str">
        <f t="shared" si="582"/>
        <v>Coal</v>
      </c>
      <c r="O3527" s="105">
        <f>IFERROR(VLOOKUP(A3527,Lookup!$J$5:$P$19,7,FALSE),0)</f>
        <v>2</v>
      </c>
      <c r="P3527" s="159">
        <f t="shared" si="583"/>
        <v>2017</v>
      </c>
      <c r="Q3527" s="159">
        <f t="shared" si="584"/>
        <v>12</v>
      </c>
      <c r="R3527" s="160">
        <f t="shared" si="585"/>
        <v>3.4333333333488554</v>
      </c>
      <c r="S3527" s="158">
        <f t="shared" si="586"/>
        <v>0.14565656565722418</v>
      </c>
      <c r="T3527" s="161">
        <f t="shared" si="587"/>
        <v>43.114343434538355</v>
      </c>
      <c r="U3527" s="158">
        <f t="shared" si="589"/>
        <v>12.557575757575757</v>
      </c>
      <c r="V3527" s="160">
        <f t="shared" si="588"/>
        <v>13</v>
      </c>
    </row>
    <row r="3528" spans="1:22" x14ac:dyDescent="0.25">
      <c r="A3528" s="98" t="s">
        <v>35</v>
      </c>
      <c r="B3528" s="98" t="s">
        <v>17</v>
      </c>
      <c r="C3528" s="98">
        <v>113</v>
      </c>
      <c r="D3528" s="98">
        <v>4099</v>
      </c>
      <c r="E3528" s="157">
        <v>43077.541666666664</v>
      </c>
      <c r="F3528" s="157">
        <v>43080.916666666664</v>
      </c>
      <c r="G3528" s="98">
        <v>318</v>
      </c>
      <c r="H3528" s="98">
        <v>330</v>
      </c>
      <c r="I3528" s="98">
        <v>296</v>
      </c>
      <c r="J3528" s="98" t="s">
        <v>2293</v>
      </c>
      <c r="K3528" s="98" t="s">
        <v>4811</v>
      </c>
      <c r="L3528" s="105" t="str">
        <f t="shared" si="580"/>
        <v>Mill Creek</v>
      </c>
      <c r="M3528" s="105" t="str">
        <f t="shared" si="581"/>
        <v>Derate</v>
      </c>
      <c r="N3528" s="105" t="str">
        <f t="shared" si="582"/>
        <v>Coal</v>
      </c>
      <c r="O3528" s="105">
        <f>IFERROR(VLOOKUP(A3528,Lookup!$J$5:$P$19,7,FALSE),0)</f>
        <v>2</v>
      </c>
      <c r="P3528" s="159">
        <f t="shared" si="583"/>
        <v>2017</v>
      </c>
      <c r="Q3528" s="159">
        <f t="shared" si="584"/>
        <v>12</v>
      </c>
      <c r="R3528" s="160">
        <f t="shared" si="585"/>
        <v>81</v>
      </c>
      <c r="S3528" s="158">
        <f t="shared" si="586"/>
        <v>2.9454545454545453</v>
      </c>
      <c r="T3528" s="161">
        <f t="shared" si="587"/>
        <v>871.85454545454536</v>
      </c>
      <c r="U3528" s="158">
        <f t="shared" si="589"/>
        <v>10.763636363636364</v>
      </c>
      <c r="V3528" s="160">
        <f t="shared" si="588"/>
        <v>11</v>
      </c>
    </row>
    <row r="3529" spans="1:22" x14ac:dyDescent="0.25">
      <c r="A3529" s="98" t="s">
        <v>35</v>
      </c>
      <c r="B3529" s="98" t="s">
        <v>79</v>
      </c>
      <c r="C3529" s="98">
        <v>114</v>
      </c>
      <c r="D3529" s="98">
        <v>8460</v>
      </c>
      <c r="E3529" s="157">
        <v>43080.916666666664</v>
      </c>
      <c r="F3529" s="157">
        <v>43081.229166666664</v>
      </c>
      <c r="G3529" s="98">
        <v>0</v>
      </c>
      <c r="H3529" s="98">
        <v>330</v>
      </c>
      <c r="I3529" s="98">
        <v>296</v>
      </c>
      <c r="J3529" s="98" t="s">
        <v>2651</v>
      </c>
      <c r="K3529" s="98" t="s">
        <v>3525</v>
      </c>
      <c r="L3529" s="105" t="str">
        <f t="shared" si="580"/>
        <v>Mill Creek</v>
      </c>
      <c r="M3529" s="105" t="str">
        <f t="shared" si="581"/>
        <v>Other</v>
      </c>
      <c r="N3529" s="105" t="str">
        <f t="shared" si="582"/>
        <v>Coal</v>
      </c>
      <c r="O3529" s="105">
        <f>IFERROR(VLOOKUP(A3529,Lookup!$J$5:$P$19,7,FALSE),0)</f>
        <v>2</v>
      </c>
      <c r="P3529" s="159">
        <f t="shared" si="583"/>
        <v>2017</v>
      </c>
      <c r="Q3529" s="159">
        <f t="shared" si="584"/>
        <v>12</v>
      </c>
      <c r="R3529" s="160">
        <f t="shared" si="585"/>
        <v>7.5</v>
      </c>
      <c r="S3529" s="158">
        <f t="shared" si="586"/>
        <v>7.5</v>
      </c>
      <c r="T3529" s="161">
        <f t="shared" si="587"/>
        <v>2220</v>
      </c>
      <c r="U3529" s="158">
        <f t="shared" si="589"/>
        <v>296</v>
      </c>
      <c r="V3529" s="160">
        <f t="shared" si="588"/>
        <v>296</v>
      </c>
    </row>
    <row r="3530" spans="1:22" x14ac:dyDescent="0.25">
      <c r="A3530" s="98" t="s">
        <v>35</v>
      </c>
      <c r="B3530" s="98" t="s">
        <v>17</v>
      </c>
      <c r="C3530" s="98">
        <v>115</v>
      </c>
      <c r="D3530" s="98">
        <v>4099</v>
      </c>
      <c r="E3530" s="157">
        <v>43081.229166666664</v>
      </c>
      <c r="F3530" s="157">
        <v>43088.958333333336</v>
      </c>
      <c r="G3530" s="98">
        <v>318</v>
      </c>
      <c r="H3530" s="98">
        <v>330</v>
      </c>
      <c r="I3530" s="98">
        <v>296</v>
      </c>
      <c r="J3530" s="98" t="s">
        <v>2293</v>
      </c>
      <c r="K3530" s="98" t="s">
        <v>4811</v>
      </c>
      <c r="L3530" s="105" t="str">
        <f t="shared" si="580"/>
        <v>Mill Creek</v>
      </c>
      <c r="M3530" s="105" t="str">
        <f t="shared" si="581"/>
        <v>Derate</v>
      </c>
      <c r="N3530" s="105" t="str">
        <f t="shared" si="582"/>
        <v>Coal</v>
      </c>
      <c r="O3530" s="105">
        <f>IFERROR(VLOOKUP(A3530,Lookup!$J$5:$P$19,7,FALSE),0)</f>
        <v>2</v>
      </c>
      <c r="P3530" s="159">
        <f t="shared" si="583"/>
        <v>2017</v>
      </c>
      <c r="Q3530" s="159">
        <f t="shared" si="584"/>
        <v>12</v>
      </c>
      <c r="R3530" s="160">
        <f t="shared" si="585"/>
        <v>185.50000000011642</v>
      </c>
      <c r="S3530" s="158">
        <f t="shared" si="586"/>
        <v>6.7454545454587791</v>
      </c>
      <c r="T3530" s="161">
        <f t="shared" si="587"/>
        <v>1996.6545454557986</v>
      </c>
      <c r="U3530" s="158">
        <f t="shared" si="589"/>
        <v>10.763636363636364</v>
      </c>
      <c r="V3530" s="160">
        <f t="shared" si="588"/>
        <v>11</v>
      </c>
    </row>
    <row r="3531" spans="1:22" x14ac:dyDescent="0.25">
      <c r="A3531" s="98" t="s">
        <v>35</v>
      </c>
      <c r="B3531" s="98" t="s">
        <v>105</v>
      </c>
      <c r="C3531" s="98">
        <v>117</v>
      </c>
      <c r="D3531" s="98">
        <v>310</v>
      </c>
      <c r="E3531" s="157">
        <v>43088.958333333336</v>
      </c>
      <c r="F3531" s="157">
        <v>43089.167361111111</v>
      </c>
      <c r="G3531" s="98">
        <v>240</v>
      </c>
      <c r="H3531" s="98">
        <v>330</v>
      </c>
      <c r="I3531" s="98">
        <v>296</v>
      </c>
      <c r="J3531" s="98" t="s">
        <v>1966</v>
      </c>
      <c r="K3531" s="98" t="s">
        <v>3609</v>
      </c>
      <c r="L3531" s="105" t="str">
        <f t="shared" si="580"/>
        <v>Mill Creek</v>
      </c>
      <c r="M3531" s="105" t="str">
        <f t="shared" si="581"/>
        <v>Derate</v>
      </c>
      <c r="N3531" s="105" t="str">
        <f t="shared" si="582"/>
        <v>Coal</v>
      </c>
      <c r="O3531" s="105">
        <f>IFERROR(VLOOKUP(A3531,Lookup!$J$5:$P$19,7,FALSE),0)</f>
        <v>2</v>
      </c>
      <c r="P3531" s="159">
        <f t="shared" si="583"/>
        <v>2017</v>
      </c>
      <c r="Q3531" s="159">
        <f t="shared" si="584"/>
        <v>12</v>
      </c>
      <c r="R3531" s="160">
        <f t="shared" si="585"/>
        <v>5.0166666666045785</v>
      </c>
      <c r="S3531" s="158">
        <f t="shared" si="586"/>
        <v>1.368181818164885</v>
      </c>
      <c r="T3531" s="161">
        <f t="shared" si="587"/>
        <v>404.98181817680597</v>
      </c>
      <c r="U3531" s="158">
        <f t="shared" si="589"/>
        <v>80.727272727272734</v>
      </c>
      <c r="V3531" s="160">
        <f t="shared" si="588"/>
        <v>81</v>
      </c>
    </row>
    <row r="3532" spans="1:22" x14ac:dyDescent="0.25">
      <c r="A3532" s="98" t="s">
        <v>35</v>
      </c>
      <c r="B3532" s="98" t="s">
        <v>17</v>
      </c>
      <c r="C3532" s="98">
        <v>119</v>
      </c>
      <c r="D3532" s="98">
        <v>4099</v>
      </c>
      <c r="E3532" s="157">
        <v>43089.179166666669</v>
      </c>
      <c r="F3532" s="157">
        <v>43100.479166666664</v>
      </c>
      <c r="G3532" s="98">
        <v>318</v>
      </c>
      <c r="H3532" s="98">
        <v>330</v>
      </c>
      <c r="I3532" s="98">
        <v>296</v>
      </c>
      <c r="J3532" s="98" t="s">
        <v>2293</v>
      </c>
      <c r="K3532" s="98" t="s">
        <v>4307</v>
      </c>
      <c r="L3532" s="105" t="str">
        <f t="shared" si="580"/>
        <v>Mill Creek</v>
      </c>
      <c r="M3532" s="105" t="str">
        <f t="shared" si="581"/>
        <v>Derate</v>
      </c>
      <c r="N3532" s="105" t="str">
        <f t="shared" si="582"/>
        <v>Coal</v>
      </c>
      <c r="O3532" s="105">
        <f>IFERROR(VLOOKUP(A3532,Lookup!$J$5:$P$19,7,FALSE),0)</f>
        <v>2</v>
      </c>
      <c r="P3532" s="159">
        <f t="shared" si="583"/>
        <v>2017</v>
      </c>
      <c r="Q3532" s="159">
        <f t="shared" si="584"/>
        <v>12</v>
      </c>
      <c r="R3532" s="160">
        <f t="shared" si="585"/>
        <v>271.19999999989523</v>
      </c>
      <c r="S3532" s="158">
        <f t="shared" si="586"/>
        <v>9.8618181818143711</v>
      </c>
      <c r="T3532" s="161">
        <f t="shared" si="587"/>
        <v>2919.098181817054</v>
      </c>
      <c r="U3532" s="158">
        <f t="shared" si="589"/>
        <v>10.763636363636364</v>
      </c>
      <c r="V3532" s="160">
        <f t="shared" si="588"/>
        <v>11</v>
      </c>
    </row>
    <row r="3533" spans="1:22" x14ac:dyDescent="0.25">
      <c r="A3533" s="98" t="s">
        <v>35</v>
      </c>
      <c r="B3533" s="98" t="s">
        <v>79</v>
      </c>
      <c r="C3533" s="98">
        <v>120</v>
      </c>
      <c r="D3533" s="98">
        <v>1190</v>
      </c>
      <c r="E3533" s="157">
        <v>43100.479166666664</v>
      </c>
      <c r="F3533" s="157">
        <v>43100.65625</v>
      </c>
      <c r="G3533" s="98">
        <v>0</v>
      </c>
      <c r="H3533" s="98">
        <v>330</v>
      </c>
      <c r="I3533" s="98">
        <v>296</v>
      </c>
      <c r="J3533" s="98" t="s">
        <v>2007</v>
      </c>
      <c r="K3533" s="98" t="s">
        <v>4236</v>
      </c>
      <c r="L3533" s="105" t="str">
        <f t="shared" si="580"/>
        <v>Mill Creek</v>
      </c>
      <c r="M3533" s="105" t="str">
        <f t="shared" si="581"/>
        <v>Other</v>
      </c>
      <c r="N3533" s="105" t="str">
        <f t="shared" si="582"/>
        <v>Coal</v>
      </c>
      <c r="O3533" s="105">
        <f>IFERROR(VLOOKUP(A3533,Lookup!$J$5:$P$19,7,FALSE),0)</f>
        <v>2</v>
      </c>
      <c r="P3533" s="159">
        <f t="shared" si="583"/>
        <v>2017</v>
      </c>
      <c r="Q3533" s="159">
        <f t="shared" si="584"/>
        <v>12</v>
      </c>
      <c r="R3533" s="160">
        <f t="shared" si="585"/>
        <v>4.2500000000582077</v>
      </c>
      <c r="S3533" s="158">
        <f t="shared" si="586"/>
        <v>4.2500000000582077</v>
      </c>
      <c r="T3533" s="161">
        <f t="shared" si="587"/>
        <v>1258.0000000172295</v>
      </c>
      <c r="U3533" s="158">
        <f t="shared" si="589"/>
        <v>296</v>
      </c>
      <c r="V3533" s="160">
        <f t="shared" si="588"/>
        <v>296</v>
      </c>
    </row>
    <row r="3534" spans="1:22" x14ac:dyDescent="0.25">
      <c r="A3534" s="98" t="s">
        <v>35</v>
      </c>
      <c r="B3534" s="98" t="s">
        <v>17</v>
      </c>
      <c r="C3534" s="98">
        <v>121</v>
      </c>
      <c r="D3534" s="98">
        <v>4099</v>
      </c>
      <c r="E3534" s="157">
        <v>43100.65625</v>
      </c>
      <c r="F3534" s="157">
        <v>43101</v>
      </c>
      <c r="G3534" s="98">
        <v>318</v>
      </c>
      <c r="H3534" s="98">
        <v>330</v>
      </c>
      <c r="I3534" s="98">
        <v>296</v>
      </c>
      <c r="J3534" s="98" t="s">
        <v>2293</v>
      </c>
      <c r="K3534" s="98" t="s">
        <v>4819</v>
      </c>
      <c r="L3534" s="105" t="str">
        <f t="shared" si="580"/>
        <v>Mill Creek</v>
      </c>
      <c r="M3534" s="105" t="str">
        <f t="shared" si="581"/>
        <v>Derate</v>
      </c>
      <c r="N3534" s="105" t="str">
        <f t="shared" si="582"/>
        <v>Coal</v>
      </c>
      <c r="O3534" s="105">
        <f>IFERROR(VLOOKUP(A3534,Lookup!$J$5:$P$19,7,FALSE),0)</f>
        <v>2</v>
      </c>
      <c r="P3534" s="159">
        <f t="shared" si="583"/>
        <v>2017</v>
      </c>
      <c r="Q3534" s="159">
        <f t="shared" si="584"/>
        <v>12</v>
      </c>
      <c r="R3534" s="160">
        <f t="shared" si="585"/>
        <v>8.25</v>
      </c>
      <c r="S3534" s="158">
        <f t="shared" si="586"/>
        <v>0.3</v>
      </c>
      <c r="T3534" s="161">
        <f t="shared" si="587"/>
        <v>88.8</v>
      </c>
      <c r="U3534" s="158">
        <f t="shared" si="589"/>
        <v>10.763636363636364</v>
      </c>
      <c r="V3534" s="160">
        <f t="shared" si="588"/>
        <v>11</v>
      </c>
    </row>
    <row r="3535" spans="1:22" x14ac:dyDescent="0.25">
      <c r="A3535" s="98" t="s">
        <v>35</v>
      </c>
      <c r="B3535" s="98" t="s">
        <v>17</v>
      </c>
      <c r="C3535" s="98">
        <v>1</v>
      </c>
      <c r="D3535" s="98">
        <v>4099</v>
      </c>
      <c r="E3535" s="157">
        <v>43101</v>
      </c>
      <c r="F3535" s="157">
        <v>43101.480555555558</v>
      </c>
      <c r="G3535" s="98">
        <v>318</v>
      </c>
      <c r="H3535" s="98">
        <v>330</v>
      </c>
      <c r="I3535" s="98">
        <v>296</v>
      </c>
      <c r="J3535" s="98" t="s">
        <v>2293</v>
      </c>
      <c r="K3535" s="98" t="s">
        <v>4820</v>
      </c>
      <c r="L3535" s="105" t="str">
        <f t="shared" si="580"/>
        <v>Mill Creek</v>
      </c>
      <c r="M3535" s="105" t="str">
        <f t="shared" si="581"/>
        <v>Derate</v>
      </c>
      <c r="N3535" s="105" t="str">
        <f t="shared" si="582"/>
        <v>Coal</v>
      </c>
      <c r="O3535" s="105">
        <f>IFERROR(VLOOKUP(A3535,Lookup!$J$5:$P$19,7,FALSE),0)</f>
        <v>2</v>
      </c>
      <c r="P3535" s="159">
        <f t="shared" si="583"/>
        <v>2018</v>
      </c>
      <c r="Q3535" s="159">
        <f t="shared" si="584"/>
        <v>1</v>
      </c>
      <c r="R3535" s="160">
        <f t="shared" si="585"/>
        <v>11.53333333338378</v>
      </c>
      <c r="S3535" s="158">
        <f t="shared" si="586"/>
        <v>0.4193939393957738</v>
      </c>
      <c r="T3535" s="161">
        <f t="shared" si="587"/>
        <v>124.14060606114904</v>
      </c>
      <c r="U3535" s="158">
        <f t="shared" si="589"/>
        <v>10.763636363636364</v>
      </c>
      <c r="V3535" s="160">
        <f t="shared" si="588"/>
        <v>11</v>
      </c>
    </row>
    <row r="3536" spans="1:22" x14ac:dyDescent="0.25">
      <c r="A3536" s="98" t="s">
        <v>35</v>
      </c>
      <c r="B3536" s="98" t="s">
        <v>79</v>
      </c>
      <c r="C3536" s="98">
        <v>2</v>
      </c>
      <c r="D3536" s="98">
        <v>8020</v>
      </c>
      <c r="E3536" s="157">
        <v>43101.480555555558</v>
      </c>
      <c r="F3536" s="157">
        <v>43102.274305555555</v>
      </c>
      <c r="G3536" s="98">
        <v>0</v>
      </c>
      <c r="H3536" s="98">
        <v>330</v>
      </c>
      <c r="I3536" s="98">
        <v>296</v>
      </c>
      <c r="J3536" s="98" t="s">
        <v>2653</v>
      </c>
      <c r="K3536" s="98" t="s">
        <v>4785</v>
      </c>
      <c r="L3536" s="105" t="str">
        <f t="shared" si="580"/>
        <v>Mill Creek</v>
      </c>
      <c r="M3536" s="105" t="str">
        <f t="shared" si="581"/>
        <v>Other</v>
      </c>
      <c r="N3536" s="105" t="str">
        <f t="shared" si="582"/>
        <v>Coal</v>
      </c>
      <c r="O3536" s="105">
        <f>IFERROR(VLOOKUP(A3536,Lookup!$J$5:$P$19,7,FALSE),0)</f>
        <v>2</v>
      </c>
      <c r="P3536" s="159">
        <f t="shared" si="583"/>
        <v>2018</v>
      </c>
      <c r="Q3536" s="159">
        <f t="shared" si="584"/>
        <v>1</v>
      </c>
      <c r="R3536" s="160">
        <f t="shared" si="585"/>
        <v>19.049999999930151</v>
      </c>
      <c r="S3536" s="158">
        <f t="shared" si="586"/>
        <v>19.049999999930151</v>
      </c>
      <c r="T3536" s="161">
        <f t="shared" si="587"/>
        <v>5638.7999999793246</v>
      </c>
      <c r="U3536" s="158">
        <f t="shared" si="589"/>
        <v>296</v>
      </c>
      <c r="V3536" s="160">
        <f t="shared" si="588"/>
        <v>296</v>
      </c>
    </row>
    <row r="3537" spans="1:22" x14ac:dyDescent="0.25">
      <c r="A3537" s="98" t="s">
        <v>35</v>
      </c>
      <c r="B3537" s="98" t="s">
        <v>17</v>
      </c>
      <c r="C3537" s="98">
        <v>3</v>
      </c>
      <c r="D3537" s="98">
        <v>4099</v>
      </c>
      <c r="E3537" s="157">
        <v>43102.274305555555</v>
      </c>
      <c r="F3537" s="157">
        <v>43132</v>
      </c>
      <c r="G3537" s="98">
        <v>318</v>
      </c>
      <c r="H3537" s="98">
        <v>330</v>
      </c>
      <c r="I3537" s="98">
        <v>296</v>
      </c>
      <c r="J3537" s="98" t="s">
        <v>2293</v>
      </c>
      <c r="K3537" s="98" t="s">
        <v>4821</v>
      </c>
      <c r="L3537" s="105" t="str">
        <f t="shared" si="580"/>
        <v>Mill Creek</v>
      </c>
      <c r="M3537" s="105" t="str">
        <f t="shared" si="581"/>
        <v>Derate</v>
      </c>
      <c r="N3537" s="105" t="str">
        <f t="shared" si="582"/>
        <v>Coal</v>
      </c>
      <c r="O3537" s="105">
        <f>IFERROR(VLOOKUP(A3537,Lookup!$J$5:$P$19,7,FALSE),0)</f>
        <v>2</v>
      </c>
      <c r="P3537" s="159">
        <f t="shared" si="583"/>
        <v>2018</v>
      </c>
      <c r="Q3537" s="159">
        <f t="shared" si="584"/>
        <v>1</v>
      </c>
      <c r="R3537" s="160">
        <f t="shared" si="585"/>
        <v>713.41666666668607</v>
      </c>
      <c r="S3537" s="158">
        <f t="shared" si="586"/>
        <v>25.942424242424948</v>
      </c>
      <c r="T3537" s="161">
        <f t="shared" si="587"/>
        <v>7678.957575757785</v>
      </c>
      <c r="U3537" s="158">
        <f t="shared" si="589"/>
        <v>10.763636363636364</v>
      </c>
      <c r="V3537" s="160">
        <f t="shared" si="588"/>
        <v>11</v>
      </c>
    </row>
    <row r="3538" spans="1:22" x14ac:dyDescent="0.25">
      <c r="A3538" s="98" t="s">
        <v>35</v>
      </c>
      <c r="B3538" s="98" t="s">
        <v>17</v>
      </c>
      <c r="C3538" s="98">
        <v>4</v>
      </c>
      <c r="D3538" s="98">
        <v>4099</v>
      </c>
      <c r="E3538" s="157">
        <v>43132</v>
      </c>
      <c r="F3538" s="157">
        <v>43143.989583333336</v>
      </c>
      <c r="G3538" s="98">
        <v>318</v>
      </c>
      <c r="H3538" s="98">
        <v>330</v>
      </c>
      <c r="I3538" s="98">
        <v>296</v>
      </c>
      <c r="J3538" s="98" t="s">
        <v>2293</v>
      </c>
      <c r="K3538" s="98" t="s">
        <v>4811</v>
      </c>
      <c r="L3538" s="105" t="str">
        <f t="shared" si="580"/>
        <v>Mill Creek</v>
      </c>
      <c r="M3538" s="105" t="str">
        <f t="shared" si="581"/>
        <v>Derate</v>
      </c>
      <c r="N3538" s="105" t="str">
        <f t="shared" si="582"/>
        <v>Coal</v>
      </c>
      <c r="O3538" s="105">
        <f>IFERROR(VLOOKUP(A3538,Lookup!$J$5:$P$19,7,FALSE),0)</f>
        <v>2</v>
      </c>
      <c r="P3538" s="159">
        <f t="shared" si="583"/>
        <v>2018</v>
      </c>
      <c r="Q3538" s="159">
        <f t="shared" si="584"/>
        <v>2</v>
      </c>
      <c r="R3538" s="160">
        <f t="shared" si="585"/>
        <v>287.75000000005821</v>
      </c>
      <c r="S3538" s="158">
        <f t="shared" si="586"/>
        <v>10.46363636363848</v>
      </c>
      <c r="T3538" s="161">
        <f t="shared" si="587"/>
        <v>3097.2363636369901</v>
      </c>
      <c r="U3538" s="158">
        <f t="shared" si="589"/>
        <v>10.763636363636364</v>
      </c>
      <c r="V3538" s="160">
        <f t="shared" si="588"/>
        <v>11</v>
      </c>
    </row>
    <row r="3539" spans="1:22" x14ac:dyDescent="0.25">
      <c r="A3539" s="98" t="s">
        <v>35</v>
      </c>
      <c r="B3539" s="98" t="s">
        <v>105</v>
      </c>
      <c r="C3539" s="98">
        <v>5</v>
      </c>
      <c r="D3539" s="98">
        <v>310</v>
      </c>
      <c r="E3539" s="157">
        <v>43143.989583333336</v>
      </c>
      <c r="F3539" s="157">
        <v>43144.151388888888</v>
      </c>
      <c r="G3539" s="98">
        <v>240</v>
      </c>
      <c r="H3539" s="98">
        <v>330</v>
      </c>
      <c r="I3539" s="98">
        <v>296</v>
      </c>
      <c r="J3539" s="98" t="s">
        <v>1966</v>
      </c>
      <c r="K3539" s="98" t="s">
        <v>3608</v>
      </c>
      <c r="L3539" s="105" t="str">
        <f t="shared" si="580"/>
        <v>Mill Creek</v>
      </c>
      <c r="M3539" s="105" t="str">
        <f t="shared" si="581"/>
        <v>Derate</v>
      </c>
      <c r="N3539" s="105" t="str">
        <f t="shared" si="582"/>
        <v>Coal</v>
      </c>
      <c r="O3539" s="105">
        <f>IFERROR(VLOOKUP(A3539,Lookup!$J$5:$P$19,7,FALSE),0)</f>
        <v>2</v>
      </c>
      <c r="P3539" s="159">
        <f t="shared" si="583"/>
        <v>2018</v>
      </c>
      <c r="Q3539" s="159">
        <f t="shared" si="584"/>
        <v>2</v>
      </c>
      <c r="R3539" s="160">
        <f t="shared" si="585"/>
        <v>3.8833333332440816</v>
      </c>
      <c r="S3539" s="158">
        <f t="shared" si="586"/>
        <v>1.0590909090665677</v>
      </c>
      <c r="T3539" s="161">
        <f t="shared" si="587"/>
        <v>313.49090908370403</v>
      </c>
      <c r="U3539" s="158">
        <f t="shared" si="589"/>
        <v>80.727272727272734</v>
      </c>
      <c r="V3539" s="160">
        <f t="shared" si="588"/>
        <v>81</v>
      </c>
    </row>
    <row r="3540" spans="1:22" x14ac:dyDescent="0.25">
      <c r="A3540" s="98" t="s">
        <v>35</v>
      </c>
      <c r="B3540" s="98" t="s">
        <v>17</v>
      </c>
      <c r="C3540" s="98">
        <v>6</v>
      </c>
      <c r="D3540" s="98">
        <v>4099</v>
      </c>
      <c r="E3540" s="157">
        <v>43144.151388888888</v>
      </c>
      <c r="F3540" s="157">
        <v>43150.432638888888</v>
      </c>
      <c r="G3540" s="98">
        <v>318</v>
      </c>
      <c r="H3540" s="98">
        <v>330</v>
      </c>
      <c r="I3540" s="98">
        <v>296</v>
      </c>
      <c r="J3540" s="98" t="s">
        <v>2293</v>
      </c>
      <c r="K3540" s="98" t="s">
        <v>4811</v>
      </c>
      <c r="L3540" s="105" t="str">
        <f t="shared" si="580"/>
        <v>Mill Creek</v>
      </c>
      <c r="M3540" s="105" t="str">
        <f t="shared" si="581"/>
        <v>Derate</v>
      </c>
      <c r="N3540" s="105" t="str">
        <f t="shared" si="582"/>
        <v>Coal</v>
      </c>
      <c r="O3540" s="105">
        <f>IFERROR(VLOOKUP(A3540,Lookup!$J$5:$P$19,7,FALSE),0)</f>
        <v>2</v>
      </c>
      <c r="P3540" s="159">
        <f t="shared" si="583"/>
        <v>2018</v>
      </c>
      <c r="Q3540" s="159">
        <f t="shared" si="584"/>
        <v>2</v>
      </c>
      <c r="R3540" s="160">
        <f t="shared" si="585"/>
        <v>150.75</v>
      </c>
      <c r="S3540" s="158">
        <f t="shared" si="586"/>
        <v>5.4818181818181815</v>
      </c>
      <c r="T3540" s="161">
        <f t="shared" si="587"/>
        <v>1622.6181818181817</v>
      </c>
      <c r="U3540" s="158">
        <f t="shared" si="589"/>
        <v>10.763636363636364</v>
      </c>
      <c r="V3540" s="160">
        <f t="shared" si="588"/>
        <v>11</v>
      </c>
    </row>
    <row r="3541" spans="1:22" x14ac:dyDescent="0.25">
      <c r="A3541" s="98" t="s">
        <v>35</v>
      </c>
      <c r="B3541" s="98" t="s">
        <v>15</v>
      </c>
      <c r="C3541" s="98">
        <v>7</v>
      </c>
      <c r="D3541" s="98">
        <v>3211</v>
      </c>
      <c r="E3541" s="157">
        <v>43150.432638888888</v>
      </c>
      <c r="F3541" s="157">
        <v>43151.627083333333</v>
      </c>
      <c r="G3541" s="98">
        <v>0</v>
      </c>
      <c r="H3541" s="98">
        <v>330</v>
      </c>
      <c r="I3541" s="98">
        <v>296</v>
      </c>
      <c r="J3541" s="98" t="s">
        <v>2180</v>
      </c>
      <c r="K3541" s="98" t="s">
        <v>4822</v>
      </c>
      <c r="L3541" s="105" t="str">
        <f t="shared" si="580"/>
        <v>Mill Creek</v>
      </c>
      <c r="M3541" s="105" t="str">
        <f t="shared" si="581"/>
        <v>Outage</v>
      </c>
      <c r="N3541" s="105" t="str">
        <f t="shared" si="582"/>
        <v>Coal</v>
      </c>
      <c r="O3541" s="105">
        <f>IFERROR(VLOOKUP(A3541,Lookup!$J$5:$P$19,7,FALSE),0)</f>
        <v>2</v>
      </c>
      <c r="P3541" s="159">
        <f t="shared" si="583"/>
        <v>2018</v>
      </c>
      <c r="Q3541" s="159">
        <f t="shared" si="584"/>
        <v>2</v>
      </c>
      <c r="R3541" s="160">
        <f t="shared" si="585"/>
        <v>28.666666666686069</v>
      </c>
      <c r="S3541" s="158">
        <f t="shared" si="586"/>
        <v>28.666666666686069</v>
      </c>
      <c r="T3541" s="161">
        <f t="shared" si="587"/>
        <v>8485.3333333390765</v>
      </c>
      <c r="U3541" s="158">
        <f t="shared" si="589"/>
        <v>296</v>
      </c>
      <c r="V3541" s="160">
        <f t="shared" si="588"/>
        <v>296</v>
      </c>
    </row>
    <row r="3542" spans="1:22" x14ac:dyDescent="0.25">
      <c r="A3542" s="98" t="s">
        <v>35</v>
      </c>
      <c r="B3542" s="98" t="s">
        <v>17</v>
      </c>
      <c r="C3542" s="98">
        <v>8</v>
      </c>
      <c r="D3542" s="98">
        <v>1850</v>
      </c>
      <c r="E3542" s="157">
        <v>43151.877083333333</v>
      </c>
      <c r="F3542" s="157">
        <v>43151.988194444442</v>
      </c>
      <c r="G3542" s="98">
        <v>240</v>
      </c>
      <c r="H3542" s="98">
        <v>330</v>
      </c>
      <c r="I3542" s="98">
        <v>296</v>
      </c>
      <c r="J3542" s="98" t="s">
        <v>2263</v>
      </c>
      <c r="K3542" s="98" t="s">
        <v>4274</v>
      </c>
      <c r="L3542" s="105" t="str">
        <f t="shared" si="580"/>
        <v>Mill Creek</v>
      </c>
      <c r="M3542" s="105" t="str">
        <f t="shared" si="581"/>
        <v>Derate</v>
      </c>
      <c r="N3542" s="105" t="str">
        <f t="shared" si="582"/>
        <v>Coal</v>
      </c>
      <c r="O3542" s="105">
        <f>IFERROR(VLOOKUP(A3542,Lookup!$J$5:$P$19,7,FALSE),0)</f>
        <v>2</v>
      </c>
      <c r="P3542" s="159">
        <f t="shared" si="583"/>
        <v>2018</v>
      </c>
      <c r="Q3542" s="159">
        <f t="shared" si="584"/>
        <v>2</v>
      </c>
      <c r="R3542" s="160">
        <f t="shared" si="585"/>
        <v>2.6666666666278616</v>
      </c>
      <c r="S3542" s="158">
        <f t="shared" si="586"/>
        <v>0.72727272726214409</v>
      </c>
      <c r="T3542" s="161">
        <f t="shared" si="587"/>
        <v>215.27272726959464</v>
      </c>
      <c r="U3542" s="158">
        <f t="shared" si="589"/>
        <v>80.727272727272734</v>
      </c>
      <c r="V3542" s="160">
        <f t="shared" si="588"/>
        <v>81</v>
      </c>
    </row>
    <row r="3543" spans="1:22" x14ac:dyDescent="0.25">
      <c r="A3543" s="98" t="s">
        <v>35</v>
      </c>
      <c r="B3543" s="98" t="s">
        <v>17</v>
      </c>
      <c r="C3543" s="98">
        <v>9</v>
      </c>
      <c r="D3543" s="98">
        <v>4099</v>
      </c>
      <c r="E3543" s="157">
        <v>43151.988194444442</v>
      </c>
      <c r="F3543" s="157">
        <v>43153.012499999997</v>
      </c>
      <c r="G3543" s="98">
        <v>318</v>
      </c>
      <c r="H3543" s="98">
        <v>330</v>
      </c>
      <c r="I3543" s="98">
        <v>296</v>
      </c>
      <c r="J3543" s="98" t="s">
        <v>2293</v>
      </c>
      <c r="K3543" s="98" t="s">
        <v>4811</v>
      </c>
      <c r="L3543" s="105" t="str">
        <f t="shared" si="580"/>
        <v>Mill Creek</v>
      </c>
      <c r="M3543" s="105" t="str">
        <f t="shared" si="581"/>
        <v>Derate</v>
      </c>
      <c r="N3543" s="105" t="str">
        <f t="shared" si="582"/>
        <v>Coal</v>
      </c>
      <c r="O3543" s="105">
        <f>IFERROR(VLOOKUP(A3543,Lookup!$J$5:$P$19,7,FALSE),0)</f>
        <v>2</v>
      </c>
      <c r="P3543" s="159">
        <f t="shared" si="583"/>
        <v>2018</v>
      </c>
      <c r="Q3543" s="159">
        <f t="shared" si="584"/>
        <v>2</v>
      </c>
      <c r="R3543" s="160">
        <f t="shared" si="585"/>
        <v>24.583333333313931</v>
      </c>
      <c r="S3543" s="158">
        <f t="shared" si="586"/>
        <v>0.89393939393868838</v>
      </c>
      <c r="T3543" s="161">
        <f t="shared" si="587"/>
        <v>264.60606060585178</v>
      </c>
      <c r="U3543" s="158">
        <f t="shared" si="589"/>
        <v>10.763636363636364</v>
      </c>
      <c r="V3543" s="160">
        <f t="shared" si="588"/>
        <v>11</v>
      </c>
    </row>
    <row r="3544" spans="1:22" x14ac:dyDescent="0.25">
      <c r="A3544" s="98" t="s">
        <v>35</v>
      </c>
      <c r="B3544" s="98" t="s">
        <v>105</v>
      </c>
      <c r="C3544" s="98">
        <v>10</v>
      </c>
      <c r="D3544" s="98">
        <v>310</v>
      </c>
      <c r="E3544" s="157">
        <v>43153.012499999997</v>
      </c>
      <c r="F3544" s="157">
        <v>43153.020138888889</v>
      </c>
      <c r="G3544" s="98">
        <v>240</v>
      </c>
      <c r="H3544" s="98">
        <v>330</v>
      </c>
      <c r="I3544" s="98">
        <v>296</v>
      </c>
      <c r="J3544" s="98" t="s">
        <v>1966</v>
      </c>
      <c r="K3544" s="98" t="s">
        <v>4823</v>
      </c>
      <c r="L3544" s="105" t="str">
        <f t="shared" si="580"/>
        <v>Mill Creek</v>
      </c>
      <c r="M3544" s="105" t="str">
        <f t="shared" si="581"/>
        <v>Derate</v>
      </c>
      <c r="N3544" s="105" t="str">
        <f t="shared" si="582"/>
        <v>Coal</v>
      </c>
      <c r="O3544" s="105">
        <f>IFERROR(VLOOKUP(A3544,Lookup!$J$5:$P$19,7,FALSE),0)</f>
        <v>2</v>
      </c>
      <c r="P3544" s="159">
        <f t="shared" si="583"/>
        <v>2018</v>
      </c>
      <c r="Q3544" s="159">
        <f t="shared" si="584"/>
        <v>2</v>
      </c>
      <c r="R3544" s="160">
        <f t="shared" si="585"/>
        <v>0.18333333340706304</v>
      </c>
      <c r="S3544" s="158">
        <f t="shared" si="586"/>
        <v>5.0000000020108099E-2</v>
      </c>
      <c r="T3544" s="161">
        <f t="shared" si="587"/>
        <v>14.800000005951997</v>
      </c>
      <c r="U3544" s="158">
        <f t="shared" si="589"/>
        <v>80.727272727272734</v>
      </c>
      <c r="V3544" s="160">
        <f t="shared" si="588"/>
        <v>81</v>
      </c>
    </row>
    <row r="3545" spans="1:22" x14ac:dyDescent="0.25">
      <c r="A3545" s="98" t="s">
        <v>35</v>
      </c>
      <c r="B3545" s="98" t="s">
        <v>17</v>
      </c>
      <c r="C3545" s="98">
        <v>11</v>
      </c>
      <c r="D3545" s="98">
        <v>4099</v>
      </c>
      <c r="E3545" s="157">
        <v>43153.020138888889</v>
      </c>
      <c r="F3545" s="157">
        <v>43160</v>
      </c>
      <c r="G3545" s="98">
        <v>318</v>
      </c>
      <c r="H3545" s="98">
        <v>330</v>
      </c>
      <c r="I3545" s="98">
        <v>296</v>
      </c>
      <c r="J3545" s="98" t="s">
        <v>2293</v>
      </c>
      <c r="K3545" s="98" t="s">
        <v>4824</v>
      </c>
      <c r="L3545" s="105" t="str">
        <f t="shared" si="580"/>
        <v>Mill Creek</v>
      </c>
      <c r="M3545" s="105" t="str">
        <f t="shared" si="581"/>
        <v>Derate</v>
      </c>
      <c r="N3545" s="105" t="str">
        <f t="shared" si="582"/>
        <v>Coal</v>
      </c>
      <c r="O3545" s="105">
        <f>IFERROR(VLOOKUP(A3545,Lookup!$J$5:$P$19,7,FALSE),0)</f>
        <v>2</v>
      </c>
      <c r="P3545" s="159">
        <f t="shared" si="583"/>
        <v>2018</v>
      </c>
      <c r="Q3545" s="159">
        <f t="shared" si="584"/>
        <v>2</v>
      </c>
      <c r="R3545" s="160">
        <f t="shared" si="585"/>
        <v>167.51666666666279</v>
      </c>
      <c r="S3545" s="158">
        <f t="shared" si="586"/>
        <v>6.0915151515150106</v>
      </c>
      <c r="T3545" s="161">
        <f t="shared" si="587"/>
        <v>1803.0884848484432</v>
      </c>
      <c r="U3545" s="158">
        <f t="shared" si="589"/>
        <v>10.763636363636364</v>
      </c>
      <c r="V3545" s="160">
        <f t="shared" si="588"/>
        <v>11</v>
      </c>
    </row>
    <row r="3546" spans="1:22" x14ac:dyDescent="0.25">
      <c r="A3546" s="98" t="s">
        <v>35</v>
      </c>
      <c r="B3546" s="98" t="s">
        <v>17</v>
      </c>
      <c r="C3546" s="98">
        <v>12</v>
      </c>
      <c r="D3546" s="98">
        <v>4099</v>
      </c>
      <c r="E3546" s="157">
        <v>43160</v>
      </c>
      <c r="F3546" s="157">
        <v>43160.959722222222</v>
      </c>
      <c r="G3546" s="98">
        <v>318</v>
      </c>
      <c r="H3546" s="98">
        <v>330</v>
      </c>
      <c r="I3546" s="98">
        <v>296</v>
      </c>
      <c r="J3546" s="98" t="s">
        <v>2293</v>
      </c>
      <c r="K3546" s="98" t="s">
        <v>4811</v>
      </c>
      <c r="L3546" s="105" t="str">
        <f t="shared" si="580"/>
        <v>Mill Creek</v>
      </c>
      <c r="M3546" s="105" t="str">
        <f t="shared" si="581"/>
        <v>Derate</v>
      </c>
      <c r="N3546" s="105" t="str">
        <f t="shared" si="582"/>
        <v>Coal</v>
      </c>
      <c r="O3546" s="105">
        <f>IFERROR(VLOOKUP(A3546,Lookup!$J$5:$P$19,7,FALSE),0)</f>
        <v>2</v>
      </c>
      <c r="P3546" s="159">
        <f t="shared" si="583"/>
        <v>2018</v>
      </c>
      <c r="Q3546" s="159">
        <f t="shared" si="584"/>
        <v>3</v>
      </c>
      <c r="R3546" s="160">
        <f t="shared" si="585"/>
        <v>23.033333333325572</v>
      </c>
      <c r="S3546" s="158">
        <f t="shared" si="586"/>
        <v>0.83757575757547531</v>
      </c>
      <c r="T3546" s="161">
        <f t="shared" si="587"/>
        <v>247.9224242423407</v>
      </c>
      <c r="U3546" s="158">
        <f t="shared" si="589"/>
        <v>10.763636363636364</v>
      </c>
      <c r="V3546" s="160">
        <f t="shared" si="588"/>
        <v>11</v>
      </c>
    </row>
    <row r="3547" spans="1:22" x14ac:dyDescent="0.25">
      <c r="A3547" s="98" t="s">
        <v>35</v>
      </c>
      <c r="B3547" s="98" t="s">
        <v>105</v>
      </c>
      <c r="C3547" s="98">
        <v>13</v>
      </c>
      <c r="D3547" s="98">
        <v>250</v>
      </c>
      <c r="E3547" s="157">
        <v>43160.959722222222</v>
      </c>
      <c r="F3547" s="157">
        <v>43161.186111111114</v>
      </c>
      <c r="G3547" s="98">
        <v>235</v>
      </c>
      <c r="H3547" s="98">
        <v>330</v>
      </c>
      <c r="I3547" s="98">
        <v>296</v>
      </c>
      <c r="J3547" s="98" t="s">
        <v>1978</v>
      </c>
      <c r="K3547" s="98" t="s">
        <v>4825</v>
      </c>
      <c r="L3547" s="105" t="str">
        <f t="shared" si="580"/>
        <v>Mill Creek</v>
      </c>
      <c r="M3547" s="105" t="str">
        <f t="shared" si="581"/>
        <v>Derate</v>
      </c>
      <c r="N3547" s="105" t="str">
        <f t="shared" si="582"/>
        <v>Coal</v>
      </c>
      <c r="O3547" s="105">
        <f>IFERROR(VLOOKUP(A3547,Lookup!$J$5:$P$19,7,FALSE),0)</f>
        <v>2</v>
      </c>
      <c r="P3547" s="159">
        <f t="shared" si="583"/>
        <v>2018</v>
      </c>
      <c r="Q3547" s="159">
        <f t="shared" si="584"/>
        <v>3</v>
      </c>
      <c r="R3547" s="160">
        <f t="shared" si="585"/>
        <v>5.433333333407063</v>
      </c>
      <c r="S3547" s="158">
        <f t="shared" si="586"/>
        <v>1.5641414141626393</v>
      </c>
      <c r="T3547" s="161">
        <f t="shared" si="587"/>
        <v>462.98585859214126</v>
      </c>
      <c r="U3547" s="158">
        <f t="shared" si="589"/>
        <v>85.212121212121218</v>
      </c>
      <c r="V3547" s="160">
        <f t="shared" si="588"/>
        <v>85</v>
      </c>
    </row>
    <row r="3548" spans="1:22" x14ac:dyDescent="0.25">
      <c r="A3548" s="98" t="s">
        <v>35</v>
      </c>
      <c r="B3548" s="98" t="s">
        <v>17</v>
      </c>
      <c r="C3548" s="98">
        <v>14</v>
      </c>
      <c r="D3548" s="98">
        <v>4099</v>
      </c>
      <c r="E3548" s="157">
        <v>43161.186111111114</v>
      </c>
      <c r="F3548" s="157">
        <v>43168.942361111112</v>
      </c>
      <c r="G3548" s="98">
        <v>318</v>
      </c>
      <c r="H3548" s="98">
        <v>330</v>
      </c>
      <c r="I3548" s="98">
        <v>296</v>
      </c>
      <c r="J3548" s="98" t="s">
        <v>2293</v>
      </c>
      <c r="K3548" s="98" t="s">
        <v>4811</v>
      </c>
      <c r="L3548" s="105" t="str">
        <f t="shared" si="580"/>
        <v>Mill Creek</v>
      </c>
      <c r="M3548" s="105" t="str">
        <f t="shared" si="581"/>
        <v>Derate</v>
      </c>
      <c r="N3548" s="105" t="str">
        <f t="shared" si="582"/>
        <v>Coal</v>
      </c>
      <c r="O3548" s="105">
        <f>IFERROR(VLOOKUP(A3548,Lookup!$J$5:$P$19,7,FALSE),0)</f>
        <v>2</v>
      </c>
      <c r="P3548" s="159">
        <f t="shared" si="583"/>
        <v>2018</v>
      </c>
      <c r="Q3548" s="159">
        <f t="shared" si="584"/>
        <v>3</v>
      </c>
      <c r="R3548" s="160">
        <f t="shared" si="585"/>
        <v>186.14999999996508</v>
      </c>
      <c r="S3548" s="158">
        <f t="shared" si="586"/>
        <v>6.7690909090896394</v>
      </c>
      <c r="T3548" s="161">
        <f t="shared" si="587"/>
        <v>2003.6509090905333</v>
      </c>
      <c r="U3548" s="158">
        <f t="shared" si="589"/>
        <v>10.763636363636364</v>
      </c>
      <c r="V3548" s="160">
        <f t="shared" si="588"/>
        <v>11</v>
      </c>
    </row>
    <row r="3549" spans="1:22" x14ac:dyDescent="0.25">
      <c r="A3549" s="98" t="s">
        <v>29</v>
      </c>
      <c r="B3549" s="98" t="s">
        <v>105</v>
      </c>
      <c r="C3549" s="98">
        <v>1</v>
      </c>
      <c r="D3549" s="98">
        <v>876</v>
      </c>
      <c r="E3549" s="157">
        <v>41276.979166666664</v>
      </c>
      <c r="F3549" s="157">
        <v>41277.275694444441</v>
      </c>
      <c r="G3549" s="98">
        <v>280</v>
      </c>
      <c r="H3549" s="98">
        <v>423</v>
      </c>
      <c r="I3549" s="98">
        <v>393</v>
      </c>
      <c r="J3549" s="98" t="s">
        <v>2655</v>
      </c>
      <c r="K3549" s="98" t="s">
        <v>655</v>
      </c>
      <c r="L3549" s="105" t="str">
        <f t="shared" si="580"/>
        <v>Mill Creek</v>
      </c>
      <c r="M3549" s="105" t="str">
        <f t="shared" si="581"/>
        <v>Derate</v>
      </c>
      <c r="N3549" s="105" t="str">
        <f t="shared" si="582"/>
        <v>Coal</v>
      </c>
      <c r="O3549" s="105">
        <f>IFERROR(VLOOKUP(A3549,Lookup!$J$5:$P$19,7,FALSE),0)</f>
        <v>3</v>
      </c>
      <c r="P3549" s="159">
        <f t="shared" si="583"/>
        <v>2013</v>
      </c>
      <c r="Q3549" s="159">
        <f t="shared" si="584"/>
        <v>1</v>
      </c>
      <c r="R3549" s="160">
        <f t="shared" si="585"/>
        <v>7.1166666666395031</v>
      </c>
      <c r="S3549" s="158">
        <f t="shared" si="586"/>
        <v>2.4058707643722199</v>
      </c>
      <c r="T3549" s="161">
        <f t="shared" si="587"/>
        <v>945.50721039828238</v>
      </c>
      <c r="U3549" s="158">
        <f t="shared" si="589"/>
        <v>132.8581560283688</v>
      </c>
      <c r="V3549" s="160">
        <f t="shared" si="588"/>
        <v>133</v>
      </c>
    </row>
    <row r="3550" spans="1:22" x14ac:dyDescent="0.25">
      <c r="A3550" s="98" t="s">
        <v>29</v>
      </c>
      <c r="B3550" s="98" t="s">
        <v>17</v>
      </c>
      <c r="C3550" s="98">
        <v>2</v>
      </c>
      <c r="D3550" s="98">
        <v>310</v>
      </c>
      <c r="E3550" s="157">
        <v>41280.854166666664</v>
      </c>
      <c r="F3550" s="157">
        <v>41280.923611111109</v>
      </c>
      <c r="G3550" s="98">
        <v>325</v>
      </c>
      <c r="H3550" s="98">
        <v>423</v>
      </c>
      <c r="I3550" s="98">
        <v>393</v>
      </c>
      <c r="J3550" s="98" t="s">
        <v>1966</v>
      </c>
      <c r="K3550" s="98" t="s">
        <v>656</v>
      </c>
      <c r="L3550" s="105" t="str">
        <f t="shared" si="580"/>
        <v>Mill Creek</v>
      </c>
      <c r="M3550" s="105" t="str">
        <f t="shared" si="581"/>
        <v>Derate</v>
      </c>
      <c r="N3550" s="105" t="str">
        <f t="shared" si="582"/>
        <v>Coal</v>
      </c>
      <c r="O3550" s="105">
        <f>IFERROR(VLOOKUP(A3550,Lookup!$J$5:$P$19,7,FALSE),0)</f>
        <v>3</v>
      </c>
      <c r="P3550" s="159">
        <f t="shared" si="583"/>
        <v>2013</v>
      </c>
      <c r="Q3550" s="159">
        <f t="shared" si="584"/>
        <v>1</v>
      </c>
      <c r="R3550" s="160">
        <f t="shared" si="585"/>
        <v>1.6666666666860692</v>
      </c>
      <c r="S3550" s="158">
        <f t="shared" si="586"/>
        <v>0.38613081166722169</v>
      </c>
      <c r="T3550" s="161">
        <f t="shared" si="587"/>
        <v>151.74940898521811</v>
      </c>
      <c r="U3550" s="158">
        <f t="shared" si="589"/>
        <v>91.049645390070921</v>
      </c>
      <c r="V3550" s="160">
        <f t="shared" si="588"/>
        <v>91</v>
      </c>
    </row>
    <row r="3551" spans="1:22" x14ac:dyDescent="0.25">
      <c r="A3551" s="98" t="s">
        <v>29</v>
      </c>
      <c r="B3551" s="98" t="s">
        <v>17</v>
      </c>
      <c r="C3551" s="98">
        <v>3</v>
      </c>
      <c r="D3551" s="98">
        <v>250</v>
      </c>
      <c r="E3551" s="157">
        <v>41280.972222222219</v>
      </c>
      <c r="F3551" s="157">
        <v>41281.184027777781</v>
      </c>
      <c r="G3551" s="98">
        <v>325</v>
      </c>
      <c r="H3551" s="98">
        <v>423</v>
      </c>
      <c r="I3551" s="98">
        <v>393</v>
      </c>
      <c r="J3551" s="98" t="s">
        <v>1978</v>
      </c>
      <c r="K3551" s="98" t="s">
        <v>657</v>
      </c>
      <c r="L3551" s="105" t="str">
        <f t="shared" si="580"/>
        <v>Mill Creek</v>
      </c>
      <c r="M3551" s="105" t="str">
        <f t="shared" si="581"/>
        <v>Derate</v>
      </c>
      <c r="N3551" s="105" t="str">
        <f t="shared" si="582"/>
        <v>Coal</v>
      </c>
      <c r="O3551" s="105">
        <f>IFERROR(VLOOKUP(A3551,Lookup!$J$5:$P$19,7,FALSE),0)</f>
        <v>3</v>
      </c>
      <c r="P3551" s="159">
        <f t="shared" si="583"/>
        <v>2013</v>
      </c>
      <c r="Q3551" s="159">
        <f t="shared" si="584"/>
        <v>1</v>
      </c>
      <c r="R3551" s="160">
        <f t="shared" si="585"/>
        <v>5.0833333334885538</v>
      </c>
      <c r="S3551" s="158">
        <f t="shared" si="586"/>
        <v>1.1776989756072773</v>
      </c>
      <c r="T3551" s="161">
        <f t="shared" si="587"/>
        <v>462.83569741366</v>
      </c>
      <c r="U3551" s="158">
        <f t="shared" si="589"/>
        <v>91.049645390070921</v>
      </c>
      <c r="V3551" s="160">
        <f t="shared" si="588"/>
        <v>91</v>
      </c>
    </row>
    <row r="3552" spans="1:22" x14ac:dyDescent="0.25">
      <c r="A3552" s="98" t="s">
        <v>29</v>
      </c>
      <c r="B3552" s="98" t="s">
        <v>17</v>
      </c>
      <c r="C3552" s="98">
        <v>4</v>
      </c>
      <c r="D3552" s="98">
        <v>250</v>
      </c>
      <c r="E3552" s="157">
        <v>41281.097222222219</v>
      </c>
      <c r="F3552" s="157">
        <v>41281.184027777781</v>
      </c>
      <c r="G3552" s="98">
        <v>240</v>
      </c>
      <c r="H3552" s="98">
        <v>423</v>
      </c>
      <c r="I3552" s="98">
        <v>393</v>
      </c>
      <c r="J3552" s="98" t="s">
        <v>1978</v>
      </c>
      <c r="K3552" s="98" t="s">
        <v>658</v>
      </c>
      <c r="L3552" s="105" t="str">
        <f t="shared" si="580"/>
        <v>Mill Creek</v>
      </c>
      <c r="M3552" s="105" t="str">
        <f t="shared" si="581"/>
        <v>Derate</v>
      </c>
      <c r="N3552" s="105" t="str">
        <f t="shared" si="582"/>
        <v>Coal</v>
      </c>
      <c r="O3552" s="105">
        <f>IFERROR(VLOOKUP(A3552,Lookup!$J$5:$P$19,7,FALSE),0)</f>
        <v>3</v>
      </c>
      <c r="P3552" s="159">
        <f t="shared" si="583"/>
        <v>2013</v>
      </c>
      <c r="Q3552" s="159">
        <f t="shared" si="584"/>
        <v>1</v>
      </c>
      <c r="R3552" s="160">
        <f t="shared" si="585"/>
        <v>2.0833333334885538</v>
      </c>
      <c r="S3552" s="158">
        <f t="shared" si="586"/>
        <v>0.90130023647377144</v>
      </c>
      <c r="T3552" s="161">
        <f t="shared" si="587"/>
        <v>354.21099293419218</v>
      </c>
      <c r="U3552" s="158">
        <f t="shared" si="589"/>
        <v>170.02127659574469</v>
      </c>
      <c r="V3552" s="160">
        <f t="shared" si="588"/>
        <v>170</v>
      </c>
    </row>
    <row r="3553" spans="1:22" x14ac:dyDescent="0.25">
      <c r="A3553" s="98" t="s">
        <v>29</v>
      </c>
      <c r="B3553" s="98" t="s">
        <v>17</v>
      </c>
      <c r="C3553" s="98">
        <v>5</v>
      </c>
      <c r="D3553" s="98">
        <v>250</v>
      </c>
      <c r="E3553" s="157">
        <v>41282.676388888889</v>
      </c>
      <c r="F3553" s="157">
        <v>41282.701388888891</v>
      </c>
      <c r="G3553" s="98">
        <v>333</v>
      </c>
      <c r="H3553" s="98">
        <v>423</v>
      </c>
      <c r="I3553" s="98">
        <v>393</v>
      </c>
      <c r="J3553" s="98" t="s">
        <v>1978</v>
      </c>
      <c r="K3553" s="98" t="s">
        <v>659</v>
      </c>
      <c r="L3553" s="105" t="str">
        <f t="shared" si="580"/>
        <v>Mill Creek</v>
      </c>
      <c r="M3553" s="105" t="str">
        <f t="shared" si="581"/>
        <v>Derate</v>
      </c>
      <c r="N3553" s="105" t="str">
        <f t="shared" si="582"/>
        <v>Coal</v>
      </c>
      <c r="O3553" s="105">
        <f>IFERROR(VLOOKUP(A3553,Lookup!$J$5:$P$19,7,FALSE),0)</f>
        <v>3</v>
      </c>
      <c r="P3553" s="159">
        <f t="shared" si="583"/>
        <v>2013</v>
      </c>
      <c r="Q3553" s="159">
        <f t="shared" si="584"/>
        <v>1</v>
      </c>
      <c r="R3553" s="160">
        <f t="shared" si="585"/>
        <v>0.6000000000349246</v>
      </c>
      <c r="S3553" s="158">
        <f t="shared" si="586"/>
        <v>0.12765957447551587</v>
      </c>
      <c r="T3553" s="161">
        <f t="shared" si="587"/>
        <v>50.17021276887774</v>
      </c>
      <c r="U3553" s="158">
        <f t="shared" si="589"/>
        <v>83.61702127659575</v>
      </c>
      <c r="V3553" s="160">
        <f t="shared" si="588"/>
        <v>84</v>
      </c>
    </row>
    <row r="3554" spans="1:22" x14ac:dyDescent="0.25">
      <c r="A3554" s="98" t="s">
        <v>29</v>
      </c>
      <c r="B3554" s="98" t="s">
        <v>17</v>
      </c>
      <c r="C3554" s="98">
        <v>6</v>
      </c>
      <c r="D3554" s="98">
        <v>9270</v>
      </c>
      <c r="E3554" s="157">
        <v>41288.333333333336</v>
      </c>
      <c r="F3554" s="157">
        <v>41288.548611111109</v>
      </c>
      <c r="G3554" s="98">
        <v>350</v>
      </c>
      <c r="H3554" s="98">
        <v>423</v>
      </c>
      <c r="I3554" s="98">
        <v>393</v>
      </c>
      <c r="J3554" s="98" t="s">
        <v>2006</v>
      </c>
      <c r="K3554" s="98" t="s">
        <v>46</v>
      </c>
      <c r="L3554" s="105" t="str">
        <f t="shared" si="580"/>
        <v>Mill Creek</v>
      </c>
      <c r="M3554" s="105" t="str">
        <f t="shared" si="581"/>
        <v>Derate</v>
      </c>
      <c r="N3554" s="105" t="str">
        <f t="shared" si="582"/>
        <v>Coal</v>
      </c>
      <c r="O3554" s="105">
        <f>IFERROR(VLOOKUP(A3554,Lookup!$J$5:$P$19,7,FALSE),0)</f>
        <v>3</v>
      </c>
      <c r="P3554" s="159">
        <f t="shared" si="583"/>
        <v>2013</v>
      </c>
      <c r="Q3554" s="159">
        <f t="shared" si="584"/>
        <v>1</v>
      </c>
      <c r="R3554" s="160">
        <f t="shared" si="585"/>
        <v>5.1666666665696539</v>
      </c>
      <c r="S3554" s="158">
        <f t="shared" si="586"/>
        <v>0.89164696609830907</v>
      </c>
      <c r="T3554" s="161">
        <f t="shared" si="587"/>
        <v>350.41725767663547</v>
      </c>
      <c r="U3554" s="158">
        <f t="shared" si="589"/>
        <v>67.822695035460995</v>
      </c>
      <c r="V3554" s="160">
        <f t="shared" si="588"/>
        <v>68</v>
      </c>
    </row>
    <row r="3555" spans="1:22" x14ac:dyDescent="0.25">
      <c r="A3555" s="98" t="s">
        <v>29</v>
      </c>
      <c r="B3555" s="98" t="s">
        <v>17</v>
      </c>
      <c r="C3555" s="98">
        <v>7</v>
      </c>
      <c r="D3555" s="98">
        <v>1710</v>
      </c>
      <c r="E3555" s="157">
        <v>41289.25</v>
      </c>
      <c r="F3555" s="157">
        <v>41289.311111111114</v>
      </c>
      <c r="G3555" s="98">
        <v>412</v>
      </c>
      <c r="H3555" s="98">
        <v>423</v>
      </c>
      <c r="I3555" s="98">
        <v>393</v>
      </c>
      <c r="J3555" s="98" t="s">
        <v>2020</v>
      </c>
      <c r="K3555" s="98" t="s">
        <v>241</v>
      </c>
      <c r="L3555" s="105" t="str">
        <f t="shared" si="580"/>
        <v>Mill Creek</v>
      </c>
      <c r="M3555" s="105" t="str">
        <f t="shared" si="581"/>
        <v>Derate</v>
      </c>
      <c r="N3555" s="105" t="str">
        <f t="shared" si="582"/>
        <v>Coal</v>
      </c>
      <c r="O3555" s="105">
        <f>IFERROR(VLOOKUP(A3555,Lookup!$J$5:$P$19,7,FALSE),0)</f>
        <v>3</v>
      </c>
      <c r="P3555" s="159">
        <f t="shared" si="583"/>
        <v>2013</v>
      </c>
      <c r="Q3555" s="159">
        <f t="shared" si="584"/>
        <v>1</v>
      </c>
      <c r="R3555" s="160">
        <f t="shared" si="585"/>
        <v>1.4666666667326353</v>
      </c>
      <c r="S3555" s="158">
        <f t="shared" si="586"/>
        <v>3.8140267929217465E-2</v>
      </c>
      <c r="T3555" s="161">
        <f t="shared" si="587"/>
        <v>14.989125296182463</v>
      </c>
      <c r="U3555" s="158">
        <f t="shared" si="589"/>
        <v>10.219858156028369</v>
      </c>
      <c r="V3555" s="160">
        <f t="shared" si="588"/>
        <v>10</v>
      </c>
    </row>
    <row r="3556" spans="1:22" x14ac:dyDescent="0.25">
      <c r="A3556" s="98" t="s">
        <v>29</v>
      </c>
      <c r="B3556" s="98" t="s">
        <v>17</v>
      </c>
      <c r="C3556" s="98">
        <v>8</v>
      </c>
      <c r="D3556" s="98">
        <v>1710</v>
      </c>
      <c r="E3556" s="157">
        <v>41289.311111111114</v>
      </c>
      <c r="F3556" s="157">
        <v>41289.690972222219</v>
      </c>
      <c r="G3556" s="98">
        <v>400</v>
      </c>
      <c r="H3556" s="98">
        <v>423</v>
      </c>
      <c r="I3556" s="98">
        <v>393</v>
      </c>
      <c r="J3556" s="98" t="s">
        <v>2020</v>
      </c>
      <c r="K3556" s="98" t="s">
        <v>241</v>
      </c>
      <c r="L3556" s="105" t="str">
        <f t="shared" si="580"/>
        <v>Mill Creek</v>
      </c>
      <c r="M3556" s="105" t="str">
        <f t="shared" si="581"/>
        <v>Derate</v>
      </c>
      <c r="N3556" s="105" t="str">
        <f t="shared" si="582"/>
        <v>Coal</v>
      </c>
      <c r="O3556" s="105">
        <f>IFERROR(VLOOKUP(A3556,Lookup!$J$5:$P$19,7,FALSE),0)</f>
        <v>3</v>
      </c>
      <c r="P3556" s="159">
        <f t="shared" si="583"/>
        <v>2013</v>
      </c>
      <c r="Q3556" s="159">
        <f t="shared" si="584"/>
        <v>1</v>
      </c>
      <c r="R3556" s="160">
        <f t="shared" si="585"/>
        <v>9.1166666665230878</v>
      </c>
      <c r="S3556" s="158">
        <f t="shared" si="586"/>
        <v>0.49570527974002604</v>
      </c>
      <c r="T3556" s="161">
        <f t="shared" si="587"/>
        <v>194.81217493783024</v>
      </c>
      <c r="U3556" s="158">
        <f t="shared" si="589"/>
        <v>21.368794326241133</v>
      </c>
      <c r="V3556" s="160">
        <f t="shared" si="588"/>
        <v>21</v>
      </c>
    </row>
    <row r="3557" spans="1:22" x14ac:dyDescent="0.25">
      <c r="A3557" s="98" t="s">
        <v>29</v>
      </c>
      <c r="B3557" s="98" t="s">
        <v>17</v>
      </c>
      <c r="C3557" s="98">
        <v>9</v>
      </c>
      <c r="D3557" s="98">
        <v>280</v>
      </c>
      <c r="E3557" s="157">
        <v>41289.604861111111</v>
      </c>
      <c r="F3557" s="157">
        <v>41289.690972222219</v>
      </c>
      <c r="G3557" s="98">
        <v>300</v>
      </c>
      <c r="H3557" s="98">
        <v>423</v>
      </c>
      <c r="I3557" s="98">
        <v>393</v>
      </c>
      <c r="J3557" s="98" t="s">
        <v>1988</v>
      </c>
      <c r="K3557" s="98" t="s">
        <v>660</v>
      </c>
      <c r="L3557" s="105" t="str">
        <f t="shared" si="580"/>
        <v>Mill Creek</v>
      </c>
      <c r="M3557" s="105" t="str">
        <f t="shared" si="581"/>
        <v>Derate</v>
      </c>
      <c r="N3557" s="105" t="str">
        <f t="shared" si="582"/>
        <v>Coal</v>
      </c>
      <c r="O3557" s="105">
        <f>IFERROR(VLOOKUP(A3557,Lookup!$J$5:$P$19,7,FALSE),0)</f>
        <v>3</v>
      </c>
      <c r="P3557" s="159">
        <f t="shared" si="583"/>
        <v>2013</v>
      </c>
      <c r="Q3557" s="159">
        <f t="shared" si="584"/>
        <v>1</v>
      </c>
      <c r="R3557" s="160">
        <f t="shared" si="585"/>
        <v>2.066666666592937</v>
      </c>
      <c r="S3557" s="158">
        <f t="shared" si="586"/>
        <v>0.60094562645610228</v>
      </c>
      <c r="T3557" s="161">
        <f t="shared" si="587"/>
        <v>236.17163119724819</v>
      </c>
      <c r="U3557" s="158">
        <f t="shared" si="589"/>
        <v>114.27659574468085</v>
      </c>
      <c r="V3557" s="160">
        <f t="shared" si="588"/>
        <v>114</v>
      </c>
    </row>
    <row r="3558" spans="1:22" x14ac:dyDescent="0.25">
      <c r="A3558" s="98" t="s">
        <v>29</v>
      </c>
      <c r="B3558" s="98" t="s">
        <v>17</v>
      </c>
      <c r="C3558" s="98">
        <v>10</v>
      </c>
      <c r="D3558" s="98">
        <v>1710</v>
      </c>
      <c r="E3558" s="157">
        <v>41289.690972222219</v>
      </c>
      <c r="F3558" s="157">
        <v>41290.215277777781</v>
      </c>
      <c r="G3558" s="98">
        <v>393</v>
      </c>
      <c r="H3558" s="98">
        <v>423</v>
      </c>
      <c r="I3558" s="98">
        <v>393</v>
      </c>
      <c r="J3558" s="98" t="s">
        <v>2020</v>
      </c>
      <c r="K3558" s="98" t="s">
        <v>241</v>
      </c>
      <c r="L3558" s="105" t="str">
        <f t="shared" ref="L3558:L3621" si="590">IF(OR(A3558="BR1",A3558="BR2",A3558="BR3",A3558="BR5",A3558="BR6",A3558="BR7",A3558="BR8",A3558="BR9",A3558="BR10",A3558="BR11"),"Brown",IF(OR(A3558="CR4",A3558="CR5",A3558="CR6",A3558="CR11"),"Cane Run",IF(OR(A3558="GH1",A3558="GH2",A3558="GH3",A3558="GH4"),"Ghent",IF(OR(A3558="GR3",A3558="GR4"),"Green River",IF(OR(A3558="MC1",A3558="MC2",A3558="MC3",A3558="MC4"),"Mill Creek",IF(OR(A3558="TC1",A3558="TC2",A3558="TC5",A3558="TC6",A3558="TC7",A3558="TC8",A3558="TC9",A3558="TC10"),"Trimble",IF(A3558="TY3","Tyrone",IF(OR(A3558="HA1",A3558="HA2",A3558="HA3"),"Haeflin",IF(OR(A3558="PR11",A3558="PR12",A3558="PR13"),"Paddy's Run","Zorn")))))))))</f>
        <v>Mill Creek</v>
      </c>
      <c r="M3558" s="105" t="str">
        <f t="shared" ref="M3558:M3621" si="591">IF(OR(B3558="D1",B3558="D2",B3558="D3",B3558="D4",B3558="PD"),"Derate",IF(OR(B3558="SF",B3558="U1",B3558="U2",B3558="U3"),"Outage",IF(OR(B3558="ME",B3558="MO"),"Maintenance","Other")))</f>
        <v>Derate</v>
      </c>
      <c r="N3558" s="105" t="str">
        <f t="shared" ref="N3558:N3621" si="592">IF(OR(A3558="BR1",A3558="BR2",A3558="BR3",A3558="CR4",A3558="CR5",A3558="CR6",A3558="GH1",A3558="GH2",A3558="GH3",A3558="GH4",A3558="GR3",A3558="GR4",A3558="MC1",A3558="MC2",A3558="MC3",A3558="MC4",A3558="TC1",A3558="TC2",A3558="TY3"),"Coal","Gas")</f>
        <v>Coal</v>
      </c>
      <c r="O3558" s="105">
        <f>IFERROR(VLOOKUP(A3558,Lookup!$J$5:$P$19,7,FALSE),0)</f>
        <v>3</v>
      </c>
      <c r="P3558" s="159">
        <f t="shared" ref="P3558:P3621" si="593">YEAR(E3558)</f>
        <v>2013</v>
      </c>
      <c r="Q3558" s="159">
        <f t="shared" ref="Q3558:Q3621" si="594">MONTH(E3558)</f>
        <v>1</v>
      </c>
      <c r="R3558" s="160">
        <f t="shared" ref="R3558:R3621" si="595">(F3558-E3558)*24</f>
        <v>12.583333333488554</v>
      </c>
      <c r="S3558" s="158">
        <f t="shared" ref="S3558:S3621" si="596">R3558*(H3558-G3558)/H3558</f>
        <v>0.89243498819067757</v>
      </c>
      <c r="T3558" s="161">
        <f t="shared" ref="T3558:T3621" si="597">S3558*I3558</f>
        <v>350.72695035893628</v>
      </c>
      <c r="U3558" s="158">
        <f t="shared" si="589"/>
        <v>27.872340425531913</v>
      </c>
      <c r="V3558" s="160">
        <f t="shared" ref="V3558:V3621" si="598">ROUND(U3558,0)</f>
        <v>28</v>
      </c>
    </row>
    <row r="3559" spans="1:22" x14ac:dyDescent="0.25">
      <c r="A3559" s="98" t="s">
        <v>29</v>
      </c>
      <c r="B3559" s="98" t="s">
        <v>17</v>
      </c>
      <c r="C3559" s="98">
        <v>11</v>
      </c>
      <c r="D3559" s="98">
        <v>9270</v>
      </c>
      <c r="E3559" s="157">
        <v>41290.215277777781</v>
      </c>
      <c r="F3559" s="157">
        <v>41290.352777777778</v>
      </c>
      <c r="G3559" s="98">
        <v>320</v>
      </c>
      <c r="H3559" s="98">
        <v>423</v>
      </c>
      <c r="I3559" s="98">
        <v>393</v>
      </c>
      <c r="J3559" s="98" t="s">
        <v>2006</v>
      </c>
      <c r="K3559" s="98" t="s">
        <v>46</v>
      </c>
      <c r="L3559" s="105" t="str">
        <f t="shared" si="590"/>
        <v>Mill Creek</v>
      </c>
      <c r="M3559" s="105" t="str">
        <f t="shared" si="591"/>
        <v>Derate</v>
      </c>
      <c r="N3559" s="105" t="str">
        <f t="shared" si="592"/>
        <v>Coal</v>
      </c>
      <c r="O3559" s="105">
        <f>IFERROR(VLOOKUP(A3559,Lookup!$J$5:$P$19,7,FALSE),0)</f>
        <v>3</v>
      </c>
      <c r="P3559" s="159">
        <f t="shared" si="593"/>
        <v>2013</v>
      </c>
      <c r="Q3559" s="159">
        <f t="shared" si="594"/>
        <v>1</v>
      </c>
      <c r="R3559" s="160">
        <f t="shared" si="595"/>
        <v>3.2999999999301508</v>
      </c>
      <c r="S3559" s="158">
        <f t="shared" si="596"/>
        <v>0.80354609927377196</v>
      </c>
      <c r="T3559" s="161">
        <f t="shared" si="597"/>
        <v>315.79361701459237</v>
      </c>
      <c r="U3559" s="158">
        <f t="shared" ref="U3559:U3622" si="599">IF(G3559&gt;0,MAX((H3559-G3559),0)*I3559/H3559,I3559)</f>
        <v>95.695035460992912</v>
      </c>
      <c r="V3559" s="160">
        <f t="shared" si="598"/>
        <v>96</v>
      </c>
    </row>
    <row r="3560" spans="1:22" x14ac:dyDescent="0.25">
      <c r="A3560" s="98" t="s">
        <v>29</v>
      </c>
      <c r="B3560" s="98" t="s">
        <v>17</v>
      </c>
      <c r="C3560" s="98">
        <v>12</v>
      </c>
      <c r="D3560" s="98">
        <v>310</v>
      </c>
      <c r="E3560" s="157">
        <v>41295.416666666664</v>
      </c>
      <c r="F3560" s="157">
        <v>41295.53402777778</v>
      </c>
      <c r="G3560" s="98">
        <v>315</v>
      </c>
      <c r="H3560" s="98">
        <v>423</v>
      </c>
      <c r="I3560" s="98">
        <v>393</v>
      </c>
      <c r="J3560" s="98" t="s">
        <v>1966</v>
      </c>
      <c r="K3560" s="98" t="s">
        <v>661</v>
      </c>
      <c r="L3560" s="105" t="str">
        <f t="shared" si="590"/>
        <v>Mill Creek</v>
      </c>
      <c r="M3560" s="105" t="str">
        <f t="shared" si="591"/>
        <v>Derate</v>
      </c>
      <c r="N3560" s="105" t="str">
        <f t="shared" si="592"/>
        <v>Coal</v>
      </c>
      <c r="O3560" s="105">
        <f>IFERROR(VLOOKUP(A3560,Lookup!$J$5:$P$19,7,FALSE),0)</f>
        <v>3</v>
      </c>
      <c r="P3560" s="159">
        <f t="shared" si="593"/>
        <v>2013</v>
      </c>
      <c r="Q3560" s="159">
        <f t="shared" si="594"/>
        <v>1</v>
      </c>
      <c r="R3560" s="160">
        <f t="shared" si="595"/>
        <v>2.8166666667675599</v>
      </c>
      <c r="S3560" s="158">
        <f t="shared" si="596"/>
        <v>0.71914893619597275</v>
      </c>
      <c r="T3560" s="161">
        <f t="shared" si="597"/>
        <v>282.6255319250173</v>
      </c>
      <c r="U3560" s="158">
        <f t="shared" si="599"/>
        <v>100.34042553191489</v>
      </c>
      <c r="V3560" s="160">
        <f t="shared" si="598"/>
        <v>100</v>
      </c>
    </row>
    <row r="3561" spans="1:22" x14ac:dyDescent="0.25">
      <c r="A3561" s="98" t="s">
        <v>29</v>
      </c>
      <c r="B3561" s="98" t="s">
        <v>105</v>
      </c>
      <c r="C3561" s="98">
        <v>13</v>
      </c>
      <c r="D3561" s="98">
        <v>310</v>
      </c>
      <c r="E3561" s="157">
        <v>41305.517361111109</v>
      </c>
      <c r="F3561" s="157">
        <v>41305.645833333336</v>
      </c>
      <c r="G3561" s="98">
        <v>320</v>
      </c>
      <c r="H3561" s="98">
        <v>423</v>
      </c>
      <c r="I3561" s="98">
        <v>393</v>
      </c>
      <c r="J3561" s="98" t="s">
        <v>1966</v>
      </c>
      <c r="K3561" s="98" t="s">
        <v>662</v>
      </c>
      <c r="L3561" s="105" t="str">
        <f t="shared" si="590"/>
        <v>Mill Creek</v>
      </c>
      <c r="M3561" s="105" t="str">
        <f t="shared" si="591"/>
        <v>Derate</v>
      </c>
      <c r="N3561" s="105" t="str">
        <f t="shared" si="592"/>
        <v>Coal</v>
      </c>
      <c r="O3561" s="105">
        <f>IFERROR(VLOOKUP(A3561,Lookup!$J$5:$P$19,7,FALSE),0)</f>
        <v>3</v>
      </c>
      <c r="P3561" s="159">
        <f t="shared" si="593"/>
        <v>2013</v>
      </c>
      <c r="Q3561" s="159">
        <f t="shared" si="594"/>
        <v>1</v>
      </c>
      <c r="R3561" s="160">
        <f t="shared" si="595"/>
        <v>3.0833333334303461</v>
      </c>
      <c r="S3561" s="158">
        <f t="shared" si="596"/>
        <v>0.75078802208824036</v>
      </c>
      <c r="T3561" s="161">
        <f t="shared" si="597"/>
        <v>295.05969268067844</v>
      </c>
      <c r="U3561" s="158">
        <f t="shared" si="599"/>
        <v>95.695035460992912</v>
      </c>
      <c r="V3561" s="160">
        <f t="shared" si="598"/>
        <v>96</v>
      </c>
    </row>
    <row r="3562" spans="1:22" x14ac:dyDescent="0.25">
      <c r="A3562" s="98" t="s">
        <v>29</v>
      </c>
      <c r="B3562" s="98" t="s">
        <v>15</v>
      </c>
      <c r="C3562" s="98">
        <v>14</v>
      </c>
      <c r="D3562" s="98">
        <v>1040</v>
      </c>
      <c r="E3562" s="157">
        <v>41311.99722222222</v>
      </c>
      <c r="F3562" s="157">
        <v>41313.980555555558</v>
      </c>
      <c r="G3562" s="98">
        <v>0</v>
      </c>
      <c r="H3562" s="98">
        <v>423</v>
      </c>
      <c r="I3562" s="98">
        <v>393</v>
      </c>
      <c r="J3562" s="98" t="s">
        <v>2001</v>
      </c>
      <c r="K3562" s="98" t="s">
        <v>254</v>
      </c>
      <c r="L3562" s="105" t="str">
        <f t="shared" si="590"/>
        <v>Mill Creek</v>
      </c>
      <c r="M3562" s="105" t="str">
        <f t="shared" si="591"/>
        <v>Outage</v>
      </c>
      <c r="N3562" s="105" t="str">
        <f t="shared" si="592"/>
        <v>Coal</v>
      </c>
      <c r="O3562" s="105">
        <f>IFERROR(VLOOKUP(A3562,Lookup!$J$5:$P$19,7,FALSE),0)</f>
        <v>3</v>
      </c>
      <c r="P3562" s="159">
        <f t="shared" si="593"/>
        <v>2013</v>
      </c>
      <c r="Q3562" s="159">
        <f t="shared" si="594"/>
        <v>2</v>
      </c>
      <c r="R3562" s="160">
        <f t="shared" si="595"/>
        <v>47.600000000093132</v>
      </c>
      <c r="S3562" s="158">
        <f t="shared" si="596"/>
        <v>47.600000000093132</v>
      </c>
      <c r="T3562" s="161">
        <f t="shared" si="597"/>
        <v>18706.800000036601</v>
      </c>
      <c r="U3562" s="158">
        <f t="shared" si="599"/>
        <v>393</v>
      </c>
      <c r="V3562" s="160">
        <f t="shared" si="598"/>
        <v>393</v>
      </c>
    </row>
    <row r="3563" spans="1:22" x14ac:dyDescent="0.25">
      <c r="A3563" s="98" t="s">
        <v>29</v>
      </c>
      <c r="B3563" s="98" t="s">
        <v>79</v>
      </c>
      <c r="C3563" s="98">
        <v>15</v>
      </c>
      <c r="D3563" s="98">
        <v>1850</v>
      </c>
      <c r="E3563" s="157">
        <v>41313.980555555558</v>
      </c>
      <c r="F3563" s="157">
        <v>41314.548611111109</v>
      </c>
      <c r="G3563" s="98">
        <v>0</v>
      </c>
      <c r="H3563" s="98">
        <v>423</v>
      </c>
      <c r="I3563" s="98">
        <v>393</v>
      </c>
      <c r="J3563" s="98" t="s">
        <v>2263</v>
      </c>
      <c r="K3563" s="98" t="s">
        <v>85</v>
      </c>
      <c r="L3563" s="105" t="str">
        <f t="shared" si="590"/>
        <v>Mill Creek</v>
      </c>
      <c r="M3563" s="105" t="str">
        <f t="shared" si="591"/>
        <v>Other</v>
      </c>
      <c r="N3563" s="105" t="str">
        <f t="shared" si="592"/>
        <v>Coal</v>
      </c>
      <c r="O3563" s="105">
        <f>IFERROR(VLOOKUP(A3563,Lookup!$J$5:$P$19,7,FALSE),0)</f>
        <v>3</v>
      </c>
      <c r="P3563" s="159">
        <f t="shared" si="593"/>
        <v>2013</v>
      </c>
      <c r="Q3563" s="159">
        <f t="shared" si="594"/>
        <v>2</v>
      </c>
      <c r="R3563" s="160">
        <f t="shared" si="595"/>
        <v>13.633333333244082</v>
      </c>
      <c r="S3563" s="158">
        <f t="shared" si="596"/>
        <v>13.633333333244082</v>
      </c>
      <c r="T3563" s="161">
        <f t="shared" si="597"/>
        <v>5357.8999999649241</v>
      </c>
      <c r="U3563" s="158">
        <f t="shared" si="599"/>
        <v>393</v>
      </c>
      <c r="V3563" s="160">
        <f t="shared" si="598"/>
        <v>393</v>
      </c>
    </row>
    <row r="3564" spans="1:22" x14ac:dyDescent="0.25">
      <c r="A3564" s="98" t="s">
        <v>29</v>
      </c>
      <c r="B3564" s="98" t="s">
        <v>15</v>
      </c>
      <c r="C3564" s="98">
        <v>16</v>
      </c>
      <c r="D3564" s="98">
        <v>1050</v>
      </c>
      <c r="E3564" s="157">
        <v>41315.231249999997</v>
      </c>
      <c r="F3564" s="157">
        <v>41316.697916666664</v>
      </c>
      <c r="G3564" s="98">
        <v>0</v>
      </c>
      <c r="H3564" s="98">
        <v>423</v>
      </c>
      <c r="I3564" s="98">
        <v>393</v>
      </c>
      <c r="J3564" s="98" t="s">
        <v>2112</v>
      </c>
      <c r="K3564" s="98" t="s">
        <v>646</v>
      </c>
      <c r="L3564" s="105" t="str">
        <f t="shared" si="590"/>
        <v>Mill Creek</v>
      </c>
      <c r="M3564" s="105" t="str">
        <f t="shared" si="591"/>
        <v>Outage</v>
      </c>
      <c r="N3564" s="105" t="str">
        <f t="shared" si="592"/>
        <v>Coal</v>
      </c>
      <c r="O3564" s="105">
        <f>IFERROR(VLOOKUP(A3564,Lookup!$J$5:$P$19,7,FALSE),0)</f>
        <v>3</v>
      </c>
      <c r="P3564" s="159">
        <f t="shared" si="593"/>
        <v>2013</v>
      </c>
      <c r="Q3564" s="159">
        <f t="shared" si="594"/>
        <v>2</v>
      </c>
      <c r="R3564" s="160">
        <f t="shared" si="595"/>
        <v>35.200000000011642</v>
      </c>
      <c r="S3564" s="158">
        <f t="shared" si="596"/>
        <v>35.200000000011642</v>
      </c>
      <c r="T3564" s="161">
        <f t="shared" si="597"/>
        <v>13833.600000004575</v>
      </c>
      <c r="U3564" s="158">
        <f t="shared" si="599"/>
        <v>393</v>
      </c>
      <c r="V3564" s="160">
        <f t="shared" si="598"/>
        <v>393</v>
      </c>
    </row>
    <row r="3565" spans="1:22" x14ac:dyDescent="0.25">
      <c r="A3565" s="98" t="s">
        <v>29</v>
      </c>
      <c r="B3565" s="98" t="s">
        <v>79</v>
      </c>
      <c r="C3565" s="98">
        <v>17</v>
      </c>
      <c r="D3565" s="98">
        <v>1850</v>
      </c>
      <c r="E3565" s="157">
        <v>41316.697916666664</v>
      </c>
      <c r="F3565" s="157">
        <v>41317.197916666664</v>
      </c>
      <c r="G3565" s="98">
        <v>0</v>
      </c>
      <c r="H3565" s="98">
        <v>423</v>
      </c>
      <c r="I3565" s="98">
        <v>393</v>
      </c>
      <c r="J3565" s="98" t="s">
        <v>2263</v>
      </c>
      <c r="K3565" s="98" t="s">
        <v>86</v>
      </c>
      <c r="L3565" s="105" t="str">
        <f t="shared" si="590"/>
        <v>Mill Creek</v>
      </c>
      <c r="M3565" s="105" t="str">
        <f t="shared" si="591"/>
        <v>Other</v>
      </c>
      <c r="N3565" s="105" t="str">
        <f t="shared" si="592"/>
        <v>Coal</v>
      </c>
      <c r="O3565" s="105">
        <f>IFERROR(VLOOKUP(A3565,Lookup!$J$5:$P$19,7,FALSE),0)</f>
        <v>3</v>
      </c>
      <c r="P3565" s="159">
        <f t="shared" si="593"/>
        <v>2013</v>
      </c>
      <c r="Q3565" s="159">
        <f t="shared" si="594"/>
        <v>2</v>
      </c>
      <c r="R3565" s="160">
        <f t="shared" si="595"/>
        <v>12</v>
      </c>
      <c r="S3565" s="158">
        <f t="shared" si="596"/>
        <v>12</v>
      </c>
      <c r="T3565" s="161">
        <f t="shared" si="597"/>
        <v>4716</v>
      </c>
      <c r="U3565" s="158">
        <f t="shared" si="599"/>
        <v>393</v>
      </c>
      <c r="V3565" s="160">
        <f t="shared" si="598"/>
        <v>393</v>
      </c>
    </row>
    <row r="3566" spans="1:22" x14ac:dyDescent="0.25">
      <c r="A3566" s="98" t="s">
        <v>29</v>
      </c>
      <c r="B3566" s="98" t="s">
        <v>15</v>
      </c>
      <c r="C3566" s="98">
        <v>18</v>
      </c>
      <c r="D3566" s="98">
        <v>3235</v>
      </c>
      <c r="E3566" s="157">
        <v>41319.145833333336</v>
      </c>
      <c r="F3566" s="157">
        <v>41319.279166666667</v>
      </c>
      <c r="G3566" s="98">
        <v>0</v>
      </c>
      <c r="H3566" s="98">
        <v>423</v>
      </c>
      <c r="I3566" s="98">
        <v>393</v>
      </c>
      <c r="J3566" s="98" t="s">
        <v>2745</v>
      </c>
      <c r="K3566" s="98" t="s">
        <v>663</v>
      </c>
      <c r="L3566" s="105" t="str">
        <f t="shared" si="590"/>
        <v>Mill Creek</v>
      </c>
      <c r="M3566" s="105" t="str">
        <f t="shared" si="591"/>
        <v>Outage</v>
      </c>
      <c r="N3566" s="105" t="str">
        <f t="shared" si="592"/>
        <v>Coal</v>
      </c>
      <c r="O3566" s="105">
        <f>IFERROR(VLOOKUP(A3566,Lookup!$J$5:$P$19,7,FALSE),0)</f>
        <v>3</v>
      </c>
      <c r="P3566" s="159">
        <f t="shared" si="593"/>
        <v>2013</v>
      </c>
      <c r="Q3566" s="159">
        <f t="shared" si="594"/>
        <v>2</v>
      </c>
      <c r="R3566" s="160">
        <f t="shared" si="595"/>
        <v>3.1999999999534339</v>
      </c>
      <c r="S3566" s="158">
        <f t="shared" si="596"/>
        <v>3.1999999999534339</v>
      </c>
      <c r="T3566" s="161">
        <f t="shared" si="597"/>
        <v>1257.5999999816995</v>
      </c>
      <c r="U3566" s="158">
        <f t="shared" si="599"/>
        <v>393</v>
      </c>
      <c r="V3566" s="160">
        <f t="shared" si="598"/>
        <v>393</v>
      </c>
    </row>
    <row r="3567" spans="1:22" x14ac:dyDescent="0.25">
      <c r="A3567" s="98" t="s">
        <v>29</v>
      </c>
      <c r="B3567" s="98" t="s">
        <v>79</v>
      </c>
      <c r="C3567" s="98">
        <v>19</v>
      </c>
      <c r="D3567" s="98">
        <v>1850</v>
      </c>
      <c r="E3567" s="157">
        <v>41319.279166666667</v>
      </c>
      <c r="F3567" s="157">
        <v>41319.544444444444</v>
      </c>
      <c r="G3567" s="98">
        <v>0</v>
      </c>
      <c r="H3567" s="98">
        <v>423</v>
      </c>
      <c r="I3567" s="98">
        <v>393</v>
      </c>
      <c r="J3567" s="98" t="s">
        <v>2263</v>
      </c>
      <c r="K3567" s="98" t="s">
        <v>87</v>
      </c>
      <c r="L3567" s="105" t="str">
        <f t="shared" si="590"/>
        <v>Mill Creek</v>
      </c>
      <c r="M3567" s="105" t="str">
        <f t="shared" si="591"/>
        <v>Other</v>
      </c>
      <c r="N3567" s="105" t="str">
        <f t="shared" si="592"/>
        <v>Coal</v>
      </c>
      <c r="O3567" s="105">
        <f>IFERROR(VLOOKUP(A3567,Lookup!$J$5:$P$19,7,FALSE),0)</f>
        <v>3</v>
      </c>
      <c r="P3567" s="159">
        <f t="shared" si="593"/>
        <v>2013</v>
      </c>
      <c r="Q3567" s="159">
        <f t="shared" si="594"/>
        <v>2</v>
      </c>
      <c r="R3567" s="160">
        <f t="shared" si="595"/>
        <v>6.3666666666395031</v>
      </c>
      <c r="S3567" s="158">
        <f t="shared" si="596"/>
        <v>6.3666666666395031</v>
      </c>
      <c r="T3567" s="161">
        <f t="shared" si="597"/>
        <v>2502.0999999893247</v>
      </c>
      <c r="U3567" s="158">
        <f t="shared" si="599"/>
        <v>393</v>
      </c>
      <c r="V3567" s="160">
        <f t="shared" si="598"/>
        <v>393</v>
      </c>
    </row>
    <row r="3568" spans="1:22" x14ac:dyDescent="0.25">
      <c r="A3568" s="98" t="s">
        <v>29</v>
      </c>
      <c r="B3568" s="98" t="s">
        <v>15</v>
      </c>
      <c r="C3568" s="98">
        <v>20</v>
      </c>
      <c r="D3568" s="98">
        <v>1799</v>
      </c>
      <c r="E3568" s="157">
        <v>41321.683333333334</v>
      </c>
      <c r="F3568" s="157">
        <v>41321.897916666669</v>
      </c>
      <c r="G3568" s="98">
        <v>0</v>
      </c>
      <c r="H3568" s="98">
        <v>423</v>
      </c>
      <c r="I3568" s="98">
        <v>393</v>
      </c>
      <c r="J3568" s="98" t="s">
        <v>2000</v>
      </c>
      <c r="K3568" s="98" t="s">
        <v>664</v>
      </c>
      <c r="L3568" s="105" t="str">
        <f t="shared" si="590"/>
        <v>Mill Creek</v>
      </c>
      <c r="M3568" s="105" t="str">
        <f t="shared" si="591"/>
        <v>Outage</v>
      </c>
      <c r="N3568" s="105" t="str">
        <f t="shared" si="592"/>
        <v>Coal</v>
      </c>
      <c r="O3568" s="105">
        <f>IFERROR(VLOOKUP(A3568,Lookup!$J$5:$P$19,7,FALSE),0)</f>
        <v>3</v>
      </c>
      <c r="P3568" s="159">
        <f t="shared" si="593"/>
        <v>2013</v>
      </c>
      <c r="Q3568" s="159">
        <f t="shared" si="594"/>
        <v>2</v>
      </c>
      <c r="R3568" s="160">
        <f t="shared" si="595"/>
        <v>5.1500000000232831</v>
      </c>
      <c r="S3568" s="158">
        <f t="shared" si="596"/>
        <v>5.1500000000232831</v>
      </c>
      <c r="T3568" s="161">
        <f t="shared" si="597"/>
        <v>2023.9500000091502</v>
      </c>
      <c r="U3568" s="158">
        <f t="shared" si="599"/>
        <v>393</v>
      </c>
      <c r="V3568" s="160">
        <f t="shared" si="598"/>
        <v>393</v>
      </c>
    </row>
    <row r="3569" spans="1:22" x14ac:dyDescent="0.25">
      <c r="A3569" s="98" t="s">
        <v>29</v>
      </c>
      <c r="B3569" s="98" t="s">
        <v>79</v>
      </c>
      <c r="C3569" s="98">
        <v>21</v>
      </c>
      <c r="D3569" s="98">
        <v>1850</v>
      </c>
      <c r="E3569" s="157">
        <v>41321.897916666669</v>
      </c>
      <c r="F3569" s="157">
        <v>41321.90902777778</v>
      </c>
      <c r="G3569" s="98">
        <v>0</v>
      </c>
      <c r="H3569" s="98">
        <v>423</v>
      </c>
      <c r="I3569" s="98">
        <v>393</v>
      </c>
      <c r="J3569" s="98" t="s">
        <v>2263</v>
      </c>
      <c r="K3569" s="98" t="s">
        <v>87</v>
      </c>
      <c r="L3569" s="105" t="str">
        <f t="shared" si="590"/>
        <v>Mill Creek</v>
      </c>
      <c r="M3569" s="105" t="str">
        <f t="shared" si="591"/>
        <v>Other</v>
      </c>
      <c r="N3569" s="105" t="str">
        <f t="shared" si="592"/>
        <v>Coal</v>
      </c>
      <c r="O3569" s="105">
        <f>IFERROR(VLOOKUP(A3569,Lookup!$J$5:$P$19,7,FALSE),0)</f>
        <v>3</v>
      </c>
      <c r="P3569" s="159">
        <f t="shared" si="593"/>
        <v>2013</v>
      </c>
      <c r="Q3569" s="159">
        <f t="shared" si="594"/>
        <v>2</v>
      </c>
      <c r="R3569" s="160">
        <f t="shared" si="595"/>
        <v>0.26666666666278616</v>
      </c>
      <c r="S3569" s="158">
        <f t="shared" si="596"/>
        <v>0.26666666666278616</v>
      </c>
      <c r="T3569" s="161">
        <f t="shared" si="597"/>
        <v>104.79999999847496</v>
      </c>
      <c r="U3569" s="158">
        <f t="shared" si="599"/>
        <v>393</v>
      </c>
      <c r="V3569" s="160">
        <f t="shared" si="598"/>
        <v>393</v>
      </c>
    </row>
    <row r="3570" spans="1:22" x14ac:dyDescent="0.25">
      <c r="A3570" s="98" t="s">
        <v>29</v>
      </c>
      <c r="B3570" s="98" t="s">
        <v>15</v>
      </c>
      <c r="C3570" s="98">
        <v>22</v>
      </c>
      <c r="D3570" s="98">
        <v>800</v>
      </c>
      <c r="E3570" s="157">
        <v>41321.90902777778</v>
      </c>
      <c r="F3570" s="157">
        <v>41321.960416666669</v>
      </c>
      <c r="G3570" s="98">
        <v>0</v>
      </c>
      <c r="H3570" s="98">
        <v>423</v>
      </c>
      <c r="I3570" s="98">
        <v>393</v>
      </c>
      <c r="J3570" s="98" t="s">
        <v>2197</v>
      </c>
      <c r="K3570" s="98" t="s">
        <v>36</v>
      </c>
      <c r="L3570" s="105" t="str">
        <f t="shared" si="590"/>
        <v>Mill Creek</v>
      </c>
      <c r="M3570" s="105" t="str">
        <f t="shared" si="591"/>
        <v>Outage</v>
      </c>
      <c r="N3570" s="105" t="str">
        <f t="shared" si="592"/>
        <v>Coal</v>
      </c>
      <c r="O3570" s="105">
        <f>IFERROR(VLOOKUP(A3570,Lookup!$J$5:$P$19,7,FALSE),0)</f>
        <v>3</v>
      </c>
      <c r="P3570" s="159">
        <f t="shared" si="593"/>
        <v>2013</v>
      </c>
      <c r="Q3570" s="159">
        <f t="shared" si="594"/>
        <v>2</v>
      </c>
      <c r="R3570" s="160">
        <f t="shared" si="595"/>
        <v>1.2333333333372138</v>
      </c>
      <c r="S3570" s="158">
        <f t="shared" si="596"/>
        <v>1.2333333333372138</v>
      </c>
      <c r="T3570" s="161">
        <f t="shared" si="597"/>
        <v>484.70000000152504</v>
      </c>
      <c r="U3570" s="158">
        <f t="shared" si="599"/>
        <v>393</v>
      </c>
      <c r="V3570" s="160">
        <f t="shared" si="598"/>
        <v>393</v>
      </c>
    </row>
    <row r="3571" spans="1:22" x14ac:dyDescent="0.25">
      <c r="A3571" s="98" t="s">
        <v>29</v>
      </c>
      <c r="B3571" s="98" t="s">
        <v>79</v>
      </c>
      <c r="C3571" s="98">
        <v>23</v>
      </c>
      <c r="D3571" s="98">
        <v>1850</v>
      </c>
      <c r="E3571" s="157">
        <v>41321.960416666669</v>
      </c>
      <c r="F3571" s="157">
        <v>41322.201388888891</v>
      </c>
      <c r="G3571" s="98">
        <v>0</v>
      </c>
      <c r="H3571" s="98">
        <v>423</v>
      </c>
      <c r="I3571" s="98">
        <v>393</v>
      </c>
      <c r="J3571" s="98" t="s">
        <v>2263</v>
      </c>
      <c r="K3571" s="98" t="s">
        <v>87</v>
      </c>
      <c r="L3571" s="105" t="str">
        <f t="shared" si="590"/>
        <v>Mill Creek</v>
      </c>
      <c r="M3571" s="105" t="str">
        <f t="shared" si="591"/>
        <v>Other</v>
      </c>
      <c r="N3571" s="105" t="str">
        <f t="shared" si="592"/>
        <v>Coal</v>
      </c>
      <c r="O3571" s="105">
        <f>IFERROR(VLOOKUP(A3571,Lookup!$J$5:$P$19,7,FALSE),0)</f>
        <v>3</v>
      </c>
      <c r="P3571" s="159">
        <f t="shared" si="593"/>
        <v>2013</v>
      </c>
      <c r="Q3571" s="159">
        <f t="shared" si="594"/>
        <v>2</v>
      </c>
      <c r="R3571" s="160">
        <f t="shared" si="595"/>
        <v>5.7833333333255723</v>
      </c>
      <c r="S3571" s="158">
        <f t="shared" si="596"/>
        <v>5.7833333333255723</v>
      </c>
      <c r="T3571" s="161">
        <f t="shared" si="597"/>
        <v>2272.8499999969499</v>
      </c>
      <c r="U3571" s="158">
        <f t="shared" si="599"/>
        <v>393</v>
      </c>
      <c r="V3571" s="160">
        <f t="shared" si="598"/>
        <v>393</v>
      </c>
    </row>
    <row r="3572" spans="1:22" x14ac:dyDescent="0.25">
      <c r="A3572" s="98" t="s">
        <v>29</v>
      </c>
      <c r="B3572" s="98" t="s">
        <v>105</v>
      </c>
      <c r="C3572" s="98">
        <v>24</v>
      </c>
      <c r="D3572" s="98">
        <v>267</v>
      </c>
      <c r="E3572" s="157">
        <v>41330.958333333336</v>
      </c>
      <c r="F3572" s="157">
        <v>41331.113194444442</v>
      </c>
      <c r="G3572" s="98">
        <v>325</v>
      </c>
      <c r="H3572" s="98">
        <v>423</v>
      </c>
      <c r="I3572" s="98">
        <v>393</v>
      </c>
      <c r="J3572" s="98" t="s">
        <v>1969</v>
      </c>
      <c r="K3572" s="98" t="s">
        <v>665</v>
      </c>
      <c r="L3572" s="105" t="str">
        <f t="shared" si="590"/>
        <v>Mill Creek</v>
      </c>
      <c r="M3572" s="105" t="str">
        <f t="shared" si="591"/>
        <v>Derate</v>
      </c>
      <c r="N3572" s="105" t="str">
        <f t="shared" si="592"/>
        <v>Coal</v>
      </c>
      <c r="O3572" s="105">
        <f>IFERROR(VLOOKUP(A3572,Lookup!$J$5:$P$19,7,FALSE),0)</f>
        <v>3</v>
      </c>
      <c r="P3572" s="159">
        <f t="shared" si="593"/>
        <v>2013</v>
      </c>
      <c r="Q3572" s="159">
        <f t="shared" si="594"/>
        <v>2</v>
      </c>
      <c r="R3572" s="160">
        <f t="shared" si="595"/>
        <v>3.7166666665580124</v>
      </c>
      <c r="S3572" s="158">
        <f t="shared" si="596"/>
        <v>0.86107170998270732</v>
      </c>
      <c r="T3572" s="161">
        <f t="shared" si="597"/>
        <v>338.401182023204</v>
      </c>
      <c r="U3572" s="158">
        <f t="shared" si="599"/>
        <v>91.049645390070921</v>
      </c>
      <c r="V3572" s="160">
        <f t="shared" si="598"/>
        <v>91</v>
      </c>
    </row>
    <row r="3573" spans="1:22" x14ac:dyDescent="0.25">
      <c r="A3573" s="98" t="s">
        <v>29</v>
      </c>
      <c r="B3573" s="98" t="s">
        <v>105</v>
      </c>
      <c r="C3573" s="98">
        <v>25</v>
      </c>
      <c r="D3573" s="98">
        <v>264</v>
      </c>
      <c r="E3573" s="157">
        <v>41331.958333333336</v>
      </c>
      <c r="F3573" s="157">
        <v>41332.052083333336</v>
      </c>
      <c r="G3573" s="98">
        <v>325</v>
      </c>
      <c r="H3573" s="98">
        <v>423</v>
      </c>
      <c r="I3573" s="98">
        <v>393</v>
      </c>
      <c r="J3573" s="98" t="s">
        <v>2008</v>
      </c>
      <c r="K3573" s="98" t="s">
        <v>666</v>
      </c>
      <c r="L3573" s="105" t="str">
        <f t="shared" si="590"/>
        <v>Mill Creek</v>
      </c>
      <c r="M3573" s="105" t="str">
        <f t="shared" si="591"/>
        <v>Derate</v>
      </c>
      <c r="N3573" s="105" t="str">
        <f t="shared" si="592"/>
        <v>Coal</v>
      </c>
      <c r="O3573" s="105">
        <f>IFERROR(VLOOKUP(A3573,Lookup!$J$5:$P$19,7,FALSE),0)</f>
        <v>3</v>
      </c>
      <c r="P3573" s="159">
        <f t="shared" si="593"/>
        <v>2013</v>
      </c>
      <c r="Q3573" s="159">
        <f t="shared" si="594"/>
        <v>2</v>
      </c>
      <c r="R3573" s="160">
        <f t="shared" si="595"/>
        <v>2.25</v>
      </c>
      <c r="S3573" s="158">
        <f t="shared" si="596"/>
        <v>0.52127659574468088</v>
      </c>
      <c r="T3573" s="161">
        <f t="shared" si="597"/>
        <v>204.86170212765958</v>
      </c>
      <c r="U3573" s="158">
        <f t="shared" si="599"/>
        <v>91.049645390070921</v>
      </c>
      <c r="V3573" s="160">
        <f t="shared" si="598"/>
        <v>91</v>
      </c>
    </row>
    <row r="3574" spans="1:22" x14ac:dyDescent="0.25">
      <c r="A3574" s="98" t="s">
        <v>29</v>
      </c>
      <c r="B3574" s="98" t="s">
        <v>38</v>
      </c>
      <c r="C3574" s="98">
        <v>26</v>
      </c>
      <c r="D3574" s="98">
        <v>1801</v>
      </c>
      <c r="E3574" s="157">
        <v>41334.974305555559</v>
      </c>
      <c r="F3574" s="157">
        <v>41344.265972222223</v>
      </c>
      <c r="G3574" s="98">
        <v>0</v>
      </c>
      <c r="H3574" s="98">
        <v>423</v>
      </c>
      <c r="I3574" s="98">
        <v>393</v>
      </c>
      <c r="J3574" s="98" t="s">
        <v>2021</v>
      </c>
      <c r="K3574" s="98" t="s">
        <v>94</v>
      </c>
      <c r="L3574" s="105" t="str">
        <f t="shared" si="590"/>
        <v>Mill Creek</v>
      </c>
      <c r="M3574" s="105" t="str">
        <f t="shared" si="591"/>
        <v>Other</v>
      </c>
      <c r="N3574" s="105" t="str">
        <f t="shared" si="592"/>
        <v>Coal</v>
      </c>
      <c r="O3574" s="105">
        <f>IFERROR(VLOOKUP(A3574,Lookup!$J$5:$P$19,7,FALSE),0)</f>
        <v>3</v>
      </c>
      <c r="P3574" s="159">
        <f t="shared" si="593"/>
        <v>2013</v>
      </c>
      <c r="Q3574" s="159">
        <f t="shared" si="594"/>
        <v>3</v>
      </c>
      <c r="R3574" s="160">
        <f t="shared" si="595"/>
        <v>222.99999999994179</v>
      </c>
      <c r="S3574" s="158">
        <f t="shared" si="596"/>
        <v>222.99999999994179</v>
      </c>
      <c r="T3574" s="161">
        <f t="shared" si="597"/>
        <v>87638.999999977124</v>
      </c>
      <c r="U3574" s="158">
        <f t="shared" si="599"/>
        <v>393</v>
      </c>
      <c r="V3574" s="160">
        <f t="shared" si="598"/>
        <v>393</v>
      </c>
    </row>
    <row r="3575" spans="1:22" x14ac:dyDescent="0.25">
      <c r="A3575" s="98" t="s">
        <v>29</v>
      </c>
      <c r="B3575" s="98" t="s">
        <v>79</v>
      </c>
      <c r="C3575" s="98">
        <v>27</v>
      </c>
      <c r="D3575" s="98">
        <v>1850</v>
      </c>
      <c r="E3575" s="157">
        <v>41344.265972222223</v>
      </c>
      <c r="F3575" s="157">
        <v>41344.967361111114</v>
      </c>
      <c r="G3575" s="98">
        <v>0</v>
      </c>
      <c r="H3575" s="98">
        <v>423</v>
      </c>
      <c r="I3575" s="98">
        <v>393</v>
      </c>
      <c r="J3575" s="98" t="s">
        <v>2263</v>
      </c>
      <c r="K3575" s="98" t="s">
        <v>88</v>
      </c>
      <c r="L3575" s="105" t="str">
        <f t="shared" si="590"/>
        <v>Mill Creek</v>
      </c>
      <c r="M3575" s="105" t="str">
        <f t="shared" si="591"/>
        <v>Other</v>
      </c>
      <c r="N3575" s="105" t="str">
        <f t="shared" si="592"/>
        <v>Coal</v>
      </c>
      <c r="O3575" s="105">
        <f>IFERROR(VLOOKUP(A3575,Lookup!$J$5:$P$19,7,FALSE),0)</f>
        <v>3</v>
      </c>
      <c r="P3575" s="159">
        <f t="shared" si="593"/>
        <v>2013</v>
      </c>
      <c r="Q3575" s="159">
        <f t="shared" si="594"/>
        <v>3</v>
      </c>
      <c r="R3575" s="160">
        <f t="shared" si="595"/>
        <v>16.833333333372138</v>
      </c>
      <c r="S3575" s="158">
        <f t="shared" si="596"/>
        <v>16.833333333372138</v>
      </c>
      <c r="T3575" s="161">
        <f t="shared" si="597"/>
        <v>6615.5000000152504</v>
      </c>
      <c r="U3575" s="158">
        <f t="shared" si="599"/>
        <v>393</v>
      </c>
      <c r="V3575" s="160">
        <f t="shared" si="598"/>
        <v>393</v>
      </c>
    </row>
    <row r="3576" spans="1:22" x14ac:dyDescent="0.25">
      <c r="A3576" s="98" t="s">
        <v>29</v>
      </c>
      <c r="B3576" s="98" t="s">
        <v>15</v>
      </c>
      <c r="C3576" s="98">
        <v>28</v>
      </c>
      <c r="D3576" s="98">
        <v>3620</v>
      </c>
      <c r="E3576" s="157">
        <v>41345.430555555555</v>
      </c>
      <c r="F3576" s="157">
        <v>41345.55972222222</v>
      </c>
      <c r="G3576" s="98">
        <v>0</v>
      </c>
      <c r="H3576" s="98">
        <v>423</v>
      </c>
      <c r="I3576" s="98">
        <v>393</v>
      </c>
      <c r="J3576" s="98" t="s">
        <v>2092</v>
      </c>
      <c r="K3576" s="98" t="s">
        <v>667</v>
      </c>
      <c r="L3576" s="105" t="str">
        <f t="shared" si="590"/>
        <v>Mill Creek</v>
      </c>
      <c r="M3576" s="105" t="str">
        <f t="shared" si="591"/>
        <v>Outage</v>
      </c>
      <c r="N3576" s="105" t="str">
        <f t="shared" si="592"/>
        <v>Coal</v>
      </c>
      <c r="O3576" s="105">
        <f>IFERROR(VLOOKUP(A3576,Lookup!$J$5:$P$19,7,FALSE),0)</f>
        <v>3</v>
      </c>
      <c r="P3576" s="159">
        <f t="shared" si="593"/>
        <v>2013</v>
      </c>
      <c r="Q3576" s="159">
        <f t="shared" si="594"/>
        <v>3</v>
      </c>
      <c r="R3576" s="160">
        <f t="shared" si="595"/>
        <v>3.0999999999767169</v>
      </c>
      <c r="S3576" s="158">
        <f t="shared" si="596"/>
        <v>3.0999999999767169</v>
      </c>
      <c r="T3576" s="161">
        <f t="shared" si="597"/>
        <v>1218.2999999908498</v>
      </c>
      <c r="U3576" s="158">
        <f t="shared" si="599"/>
        <v>393</v>
      </c>
      <c r="V3576" s="160">
        <f t="shared" si="598"/>
        <v>393</v>
      </c>
    </row>
    <row r="3577" spans="1:22" x14ac:dyDescent="0.25">
      <c r="A3577" s="98" t="s">
        <v>29</v>
      </c>
      <c r="B3577" s="98" t="s">
        <v>79</v>
      </c>
      <c r="C3577" s="98">
        <v>29</v>
      </c>
      <c r="D3577" s="98">
        <v>1850</v>
      </c>
      <c r="E3577" s="157">
        <v>41345.55972222222</v>
      </c>
      <c r="F3577" s="157">
        <v>41345.861111111109</v>
      </c>
      <c r="G3577" s="98">
        <v>0</v>
      </c>
      <c r="H3577" s="98">
        <v>423</v>
      </c>
      <c r="I3577" s="98">
        <v>393</v>
      </c>
      <c r="J3577" s="98" t="s">
        <v>2263</v>
      </c>
      <c r="K3577" s="98" t="s">
        <v>87</v>
      </c>
      <c r="L3577" s="105" t="str">
        <f t="shared" si="590"/>
        <v>Mill Creek</v>
      </c>
      <c r="M3577" s="105" t="str">
        <f t="shared" si="591"/>
        <v>Other</v>
      </c>
      <c r="N3577" s="105" t="str">
        <f t="shared" si="592"/>
        <v>Coal</v>
      </c>
      <c r="O3577" s="105">
        <f>IFERROR(VLOOKUP(A3577,Lookup!$J$5:$P$19,7,FALSE),0)</f>
        <v>3</v>
      </c>
      <c r="P3577" s="159">
        <f t="shared" si="593"/>
        <v>2013</v>
      </c>
      <c r="Q3577" s="159">
        <f t="shared" si="594"/>
        <v>3</v>
      </c>
      <c r="R3577" s="160">
        <f t="shared" si="595"/>
        <v>7.2333333333372138</v>
      </c>
      <c r="S3577" s="158">
        <f t="shared" si="596"/>
        <v>7.2333333333372138</v>
      </c>
      <c r="T3577" s="161">
        <f t="shared" si="597"/>
        <v>2842.700000001525</v>
      </c>
      <c r="U3577" s="158">
        <f t="shared" si="599"/>
        <v>393</v>
      </c>
      <c r="V3577" s="160">
        <f t="shared" si="598"/>
        <v>393</v>
      </c>
    </row>
    <row r="3578" spans="1:22" x14ac:dyDescent="0.25">
      <c r="A3578" s="98" t="s">
        <v>29</v>
      </c>
      <c r="B3578" s="98" t="s">
        <v>105</v>
      </c>
      <c r="C3578" s="98">
        <v>30</v>
      </c>
      <c r="D3578" s="98">
        <v>310</v>
      </c>
      <c r="E3578" s="157">
        <v>41345.958333333336</v>
      </c>
      <c r="F3578" s="157">
        <v>41346.125</v>
      </c>
      <c r="G3578" s="98">
        <v>325</v>
      </c>
      <c r="H3578" s="98">
        <v>423</v>
      </c>
      <c r="I3578" s="98">
        <v>393</v>
      </c>
      <c r="J3578" s="98" t="s">
        <v>1966</v>
      </c>
      <c r="K3578" s="98" t="s">
        <v>668</v>
      </c>
      <c r="L3578" s="105" t="str">
        <f t="shared" si="590"/>
        <v>Mill Creek</v>
      </c>
      <c r="M3578" s="105" t="str">
        <f t="shared" si="591"/>
        <v>Derate</v>
      </c>
      <c r="N3578" s="105" t="str">
        <f t="shared" si="592"/>
        <v>Coal</v>
      </c>
      <c r="O3578" s="105">
        <f>IFERROR(VLOOKUP(A3578,Lookup!$J$5:$P$19,7,FALSE),0)</f>
        <v>3</v>
      </c>
      <c r="P3578" s="159">
        <f t="shared" si="593"/>
        <v>2013</v>
      </c>
      <c r="Q3578" s="159">
        <f t="shared" si="594"/>
        <v>3</v>
      </c>
      <c r="R3578" s="160">
        <f t="shared" si="595"/>
        <v>3.9999999999417923</v>
      </c>
      <c r="S3578" s="158">
        <f t="shared" si="596"/>
        <v>0.92671394797705831</v>
      </c>
      <c r="T3578" s="161">
        <f t="shared" si="597"/>
        <v>364.19858155498389</v>
      </c>
      <c r="U3578" s="158">
        <f t="shared" si="599"/>
        <v>91.049645390070921</v>
      </c>
      <c r="V3578" s="160">
        <f t="shared" si="598"/>
        <v>91</v>
      </c>
    </row>
    <row r="3579" spans="1:22" x14ac:dyDescent="0.25">
      <c r="A3579" s="98" t="s">
        <v>29</v>
      </c>
      <c r="B3579" s="98" t="s">
        <v>17</v>
      </c>
      <c r="C3579" s="98">
        <v>31</v>
      </c>
      <c r="D3579" s="98">
        <v>876</v>
      </c>
      <c r="E3579" s="157">
        <v>41346.916666666664</v>
      </c>
      <c r="F3579" s="157">
        <v>41347.1875</v>
      </c>
      <c r="G3579" s="98">
        <v>325</v>
      </c>
      <c r="H3579" s="98">
        <v>423</v>
      </c>
      <c r="I3579" s="98">
        <v>393</v>
      </c>
      <c r="J3579" s="98" t="s">
        <v>2655</v>
      </c>
      <c r="K3579" s="98" t="s">
        <v>669</v>
      </c>
      <c r="L3579" s="105" t="str">
        <f t="shared" si="590"/>
        <v>Mill Creek</v>
      </c>
      <c r="M3579" s="105" t="str">
        <f t="shared" si="591"/>
        <v>Derate</v>
      </c>
      <c r="N3579" s="105" t="str">
        <f t="shared" si="592"/>
        <v>Coal</v>
      </c>
      <c r="O3579" s="105">
        <f>IFERROR(VLOOKUP(A3579,Lookup!$J$5:$P$19,7,FALSE),0)</f>
        <v>3</v>
      </c>
      <c r="P3579" s="159">
        <f t="shared" si="593"/>
        <v>2013</v>
      </c>
      <c r="Q3579" s="159">
        <f t="shared" si="594"/>
        <v>3</v>
      </c>
      <c r="R3579" s="160">
        <f t="shared" si="595"/>
        <v>6.5000000000582077</v>
      </c>
      <c r="S3579" s="158">
        <f t="shared" si="596"/>
        <v>1.5059101654981191</v>
      </c>
      <c r="T3579" s="161">
        <f t="shared" si="597"/>
        <v>591.82269504076078</v>
      </c>
      <c r="U3579" s="158">
        <f t="shared" si="599"/>
        <v>91.049645390070921</v>
      </c>
      <c r="V3579" s="160">
        <f t="shared" si="598"/>
        <v>91</v>
      </c>
    </row>
    <row r="3580" spans="1:22" x14ac:dyDescent="0.25">
      <c r="A3580" s="98" t="s">
        <v>29</v>
      </c>
      <c r="B3580" s="98" t="s">
        <v>17</v>
      </c>
      <c r="C3580" s="98">
        <v>32</v>
      </c>
      <c r="D3580" s="98">
        <v>876</v>
      </c>
      <c r="E3580" s="157">
        <v>41347.1875</v>
      </c>
      <c r="F3580" s="157">
        <v>41347.322916666664</v>
      </c>
      <c r="G3580" s="98">
        <v>315</v>
      </c>
      <c r="H3580" s="98">
        <v>423</v>
      </c>
      <c r="I3580" s="98">
        <v>393</v>
      </c>
      <c r="J3580" s="98" t="s">
        <v>2655</v>
      </c>
      <c r="K3580" s="98" t="s">
        <v>669</v>
      </c>
      <c r="L3580" s="105" t="str">
        <f t="shared" si="590"/>
        <v>Mill Creek</v>
      </c>
      <c r="M3580" s="105" t="str">
        <f t="shared" si="591"/>
        <v>Derate</v>
      </c>
      <c r="N3580" s="105" t="str">
        <f t="shared" si="592"/>
        <v>Coal</v>
      </c>
      <c r="O3580" s="105">
        <f>IFERROR(VLOOKUP(A3580,Lookup!$J$5:$P$19,7,FALSE),0)</f>
        <v>3</v>
      </c>
      <c r="P3580" s="159">
        <f t="shared" si="593"/>
        <v>2013</v>
      </c>
      <c r="Q3580" s="159">
        <f t="shared" si="594"/>
        <v>3</v>
      </c>
      <c r="R3580" s="160">
        <f t="shared" si="595"/>
        <v>3.2499999999417923</v>
      </c>
      <c r="S3580" s="158">
        <f t="shared" si="596"/>
        <v>0.82978723402769161</v>
      </c>
      <c r="T3580" s="161">
        <f t="shared" si="597"/>
        <v>326.10638297288278</v>
      </c>
      <c r="U3580" s="158">
        <f t="shared" si="599"/>
        <v>100.34042553191489</v>
      </c>
      <c r="V3580" s="160">
        <f t="shared" si="598"/>
        <v>100</v>
      </c>
    </row>
    <row r="3581" spans="1:22" x14ac:dyDescent="0.25">
      <c r="A3581" s="98" t="s">
        <v>29</v>
      </c>
      <c r="B3581" s="98" t="s">
        <v>17</v>
      </c>
      <c r="C3581" s="98">
        <v>33</v>
      </c>
      <c r="D3581" s="98">
        <v>876</v>
      </c>
      <c r="E3581" s="157">
        <v>41347.322916666664</v>
      </c>
      <c r="F3581" s="157">
        <v>41347.529166666667</v>
      </c>
      <c r="G3581" s="98">
        <v>300</v>
      </c>
      <c r="H3581" s="98">
        <v>423</v>
      </c>
      <c r="I3581" s="98">
        <v>393</v>
      </c>
      <c r="J3581" s="98" t="s">
        <v>2655</v>
      </c>
      <c r="K3581" s="98" t="s">
        <v>669</v>
      </c>
      <c r="L3581" s="105" t="str">
        <f t="shared" si="590"/>
        <v>Mill Creek</v>
      </c>
      <c r="M3581" s="105" t="str">
        <f t="shared" si="591"/>
        <v>Derate</v>
      </c>
      <c r="N3581" s="105" t="str">
        <f t="shared" si="592"/>
        <v>Coal</v>
      </c>
      <c r="O3581" s="105">
        <f>IFERROR(VLOOKUP(A3581,Lookup!$J$5:$P$19,7,FALSE),0)</f>
        <v>3</v>
      </c>
      <c r="P3581" s="159">
        <f t="shared" si="593"/>
        <v>2013</v>
      </c>
      <c r="Q3581" s="159">
        <f t="shared" si="594"/>
        <v>3</v>
      </c>
      <c r="R3581" s="160">
        <f t="shared" si="595"/>
        <v>4.9500000000698492</v>
      </c>
      <c r="S3581" s="158">
        <f t="shared" si="596"/>
        <v>1.4393617021479703</v>
      </c>
      <c r="T3581" s="161">
        <f t="shared" si="597"/>
        <v>565.66914894415231</v>
      </c>
      <c r="U3581" s="158">
        <f t="shared" si="599"/>
        <v>114.27659574468085</v>
      </c>
      <c r="V3581" s="160">
        <f t="shared" si="598"/>
        <v>114</v>
      </c>
    </row>
    <row r="3582" spans="1:22" x14ac:dyDescent="0.25">
      <c r="A3582" s="98" t="s">
        <v>29</v>
      </c>
      <c r="B3582" s="98" t="s">
        <v>15</v>
      </c>
      <c r="C3582" s="98">
        <v>34</v>
      </c>
      <c r="D3582" s="98">
        <v>3235</v>
      </c>
      <c r="E3582" s="157">
        <v>41359.103472222225</v>
      </c>
      <c r="F3582" s="157">
        <v>41359.316666666666</v>
      </c>
      <c r="G3582" s="98">
        <v>0</v>
      </c>
      <c r="H3582" s="98">
        <v>423</v>
      </c>
      <c r="I3582" s="98">
        <v>393</v>
      </c>
      <c r="J3582" s="98" t="s">
        <v>2745</v>
      </c>
      <c r="K3582" s="98" t="s">
        <v>670</v>
      </c>
      <c r="L3582" s="105" t="str">
        <f t="shared" si="590"/>
        <v>Mill Creek</v>
      </c>
      <c r="M3582" s="105" t="str">
        <f t="shared" si="591"/>
        <v>Outage</v>
      </c>
      <c r="N3582" s="105" t="str">
        <f t="shared" si="592"/>
        <v>Coal</v>
      </c>
      <c r="O3582" s="105">
        <f>IFERROR(VLOOKUP(A3582,Lookup!$J$5:$P$19,7,FALSE),0)</f>
        <v>3</v>
      </c>
      <c r="P3582" s="159">
        <f t="shared" si="593"/>
        <v>2013</v>
      </c>
      <c r="Q3582" s="159">
        <f t="shared" si="594"/>
        <v>3</v>
      </c>
      <c r="R3582" s="160">
        <f t="shared" si="595"/>
        <v>5.1166666665812954</v>
      </c>
      <c r="S3582" s="158">
        <f t="shared" si="596"/>
        <v>5.1166666665812954</v>
      </c>
      <c r="T3582" s="161">
        <f t="shared" si="597"/>
        <v>2010.8499999664491</v>
      </c>
      <c r="U3582" s="158">
        <f t="shared" si="599"/>
        <v>393</v>
      </c>
      <c r="V3582" s="160">
        <f t="shared" si="598"/>
        <v>393</v>
      </c>
    </row>
    <row r="3583" spans="1:22" x14ac:dyDescent="0.25">
      <c r="A3583" s="98" t="s">
        <v>29</v>
      </c>
      <c r="B3583" s="98" t="s">
        <v>79</v>
      </c>
      <c r="C3583" s="98">
        <v>35</v>
      </c>
      <c r="D3583" s="98">
        <v>1850</v>
      </c>
      <c r="E3583" s="157">
        <v>41359.316666666666</v>
      </c>
      <c r="F3583" s="157">
        <v>41359.670138888891</v>
      </c>
      <c r="G3583" s="98">
        <v>0</v>
      </c>
      <c r="H3583" s="98">
        <v>423</v>
      </c>
      <c r="I3583" s="98">
        <v>393</v>
      </c>
      <c r="J3583" s="98" t="s">
        <v>2263</v>
      </c>
      <c r="K3583" s="98" t="s">
        <v>86</v>
      </c>
      <c r="L3583" s="105" t="str">
        <f t="shared" si="590"/>
        <v>Mill Creek</v>
      </c>
      <c r="M3583" s="105" t="str">
        <f t="shared" si="591"/>
        <v>Other</v>
      </c>
      <c r="N3583" s="105" t="str">
        <f t="shared" si="592"/>
        <v>Coal</v>
      </c>
      <c r="O3583" s="105">
        <f>IFERROR(VLOOKUP(A3583,Lookup!$J$5:$P$19,7,FALSE),0)</f>
        <v>3</v>
      </c>
      <c r="P3583" s="159">
        <f t="shared" si="593"/>
        <v>2013</v>
      </c>
      <c r="Q3583" s="159">
        <f t="shared" si="594"/>
        <v>3</v>
      </c>
      <c r="R3583" s="160">
        <f t="shared" si="595"/>
        <v>8.4833333333954215</v>
      </c>
      <c r="S3583" s="158">
        <f t="shared" si="596"/>
        <v>8.4833333333954215</v>
      </c>
      <c r="T3583" s="161">
        <f t="shared" si="597"/>
        <v>3333.9500000244007</v>
      </c>
      <c r="U3583" s="158">
        <f t="shared" si="599"/>
        <v>393</v>
      </c>
      <c r="V3583" s="160">
        <f t="shared" si="598"/>
        <v>393</v>
      </c>
    </row>
    <row r="3584" spans="1:22" x14ac:dyDescent="0.25">
      <c r="A3584" s="98" t="s">
        <v>29</v>
      </c>
      <c r="B3584" s="98" t="s">
        <v>105</v>
      </c>
      <c r="C3584" s="98">
        <v>36</v>
      </c>
      <c r="D3584" s="98">
        <v>310</v>
      </c>
      <c r="E3584" s="157">
        <v>41365.854166666664</v>
      </c>
      <c r="F3584" s="157">
        <v>41366.111111111109</v>
      </c>
      <c r="G3584" s="98">
        <v>280</v>
      </c>
      <c r="H3584" s="98">
        <v>423</v>
      </c>
      <c r="I3584" s="98">
        <v>393</v>
      </c>
      <c r="J3584" s="98" t="s">
        <v>1966</v>
      </c>
      <c r="K3584" s="98" t="s">
        <v>671</v>
      </c>
      <c r="L3584" s="105" t="str">
        <f t="shared" si="590"/>
        <v>Mill Creek</v>
      </c>
      <c r="M3584" s="105" t="str">
        <f t="shared" si="591"/>
        <v>Derate</v>
      </c>
      <c r="N3584" s="105" t="str">
        <f t="shared" si="592"/>
        <v>Coal</v>
      </c>
      <c r="O3584" s="105">
        <f>IFERROR(VLOOKUP(A3584,Lookup!$J$5:$P$19,7,FALSE),0)</f>
        <v>3</v>
      </c>
      <c r="P3584" s="159">
        <f t="shared" si="593"/>
        <v>2013</v>
      </c>
      <c r="Q3584" s="159">
        <f t="shared" si="594"/>
        <v>4</v>
      </c>
      <c r="R3584" s="160">
        <f t="shared" si="595"/>
        <v>6.1666666666860692</v>
      </c>
      <c r="S3584" s="158">
        <f t="shared" si="596"/>
        <v>2.0847123719529739</v>
      </c>
      <c r="T3584" s="161">
        <f t="shared" si="597"/>
        <v>819.29196217751871</v>
      </c>
      <c r="U3584" s="158">
        <f t="shared" si="599"/>
        <v>132.8581560283688</v>
      </c>
      <c r="V3584" s="160">
        <f t="shared" si="598"/>
        <v>133</v>
      </c>
    </row>
    <row r="3585" spans="1:22" x14ac:dyDescent="0.25">
      <c r="A3585" s="98" t="s">
        <v>29</v>
      </c>
      <c r="B3585" s="98" t="s">
        <v>17</v>
      </c>
      <c r="C3585" s="98">
        <v>37</v>
      </c>
      <c r="D3585" s="98">
        <v>310</v>
      </c>
      <c r="E3585" s="157">
        <v>41366.541666666664</v>
      </c>
      <c r="F3585" s="157">
        <v>41366.647916666669</v>
      </c>
      <c r="G3585" s="98">
        <v>330</v>
      </c>
      <c r="H3585" s="98">
        <v>423</v>
      </c>
      <c r="I3585" s="98">
        <v>393</v>
      </c>
      <c r="J3585" s="98" t="s">
        <v>1966</v>
      </c>
      <c r="K3585" s="98" t="s">
        <v>672</v>
      </c>
      <c r="L3585" s="105" t="str">
        <f t="shared" si="590"/>
        <v>Mill Creek</v>
      </c>
      <c r="M3585" s="105" t="str">
        <f t="shared" si="591"/>
        <v>Derate</v>
      </c>
      <c r="N3585" s="105" t="str">
        <f t="shared" si="592"/>
        <v>Coal</v>
      </c>
      <c r="O3585" s="105">
        <f>IFERROR(VLOOKUP(A3585,Lookup!$J$5:$P$19,7,FALSE),0)</f>
        <v>3</v>
      </c>
      <c r="P3585" s="159">
        <f t="shared" si="593"/>
        <v>2013</v>
      </c>
      <c r="Q3585" s="159">
        <f t="shared" si="594"/>
        <v>4</v>
      </c>
      <c r="R3585" s="160">
        <f t="shared" si="595"/>
        <v>2.5500000001047738</v>
      </c>
      <c r="S3585" s="158">
        <f t="shared" si="596"/>
        <v>0.56063829789537578</v>
      </c>
      <c r="T3585" s="161">
        <f t="shared" si="597"/>
        <v>220.33085107288269</v>
      </c>
      <c r="U3585" s="158">
        <f t="shared" si="599"/>
        <v>86.40425531914893</v>
      </c>
      <c r="V3585" s="160">
        <f t="shared" si="598"/>
        <v>86</v>
      </c>
    </row>
    <row r="3586" spans="1:22" x14ac:dyDescent="0.25">
      <c r="A3586" s="98" t="s">
        <v>29</v>
      </c>
      <c r="B3586" s="98" t="s">
        <v>105</v>
      </c>
      <c r="C3586" s="98">
        <v>38</v>
      </c>
      <c r="D3586" s="98">
        <v>8040</v>
      </c>
      <c r="E3586" s="157">
        <v>41366.916666666664</v>
      </c>
      <c r="F3586" s="157">
        <v>41367.019444444442</v>
      </c>
      <c r="G3586" s="98">
        <v>280</v>
      </c>
      <c r="H3586" s="98">
        <v>423</v>
      </c>
      <c r="I3586" s="98">
        <v>393</v>
      </c>
      <c r="J3586" s="98" t="s">
        <v>2251</v>
      </c>
      <c r="K3586" s="98" t="s">
        <v>673</v>
      </c>
      <c r="L3586" s="105" t="str">
        <f t="shared" si="590"/>
        <v>Mill Creek</v>
      </c>
      <c r="M3586" s="105" t="str">
        <f t="shared" si="591"/>
        <v>Derate</v>
      </c>
      <c r="N3586" s="105" t="str">
        <f t="shared" si="592"/>
        <v>Coal</v>
      </c>
      <c r="O3586" s="105">
        <f>IFERROR(VLOOKUP(A3586,Lookup!$J$5:$P$19,7,FALSE),0)</f>
        <v>3</v>
      </c>
      <c r="P3586" s="159">
        <f t="shared" si="593"/>
        <v>2013</v>
      </c>
      <c r="Q3586" s="159">
        <f t="shared" si="594"/>
        <v>4</v>
      </c>
      <c r="R3586" s="160">
        <f t="shared" si="595"/>
        <v>2.4666666666744277</v>
      </c>
      <c r="S3586" s="158">
        <f t="shared" si="596"/>
        <v>0.83388494878118946</v>
      </c>
      <c r="T3586" s="161">
        <f t="shared" si="597"/>
        <v>327.71678487100746</v>
      </c>
      <c r="U3586" s="158">
        <f t="shared" si="599"/>
        <v>132.8581560283688</v>
      </c>
      <c r="V3586" s="160">
        <f t="shared" si="598"/>
        <v>133</v>
      </c>
    </row>
    <row r="3587" spans="1:22" x14ac:dyDescent="0.25">
      <c r="A3587" s="98" t="s">
        <v>29</v>
      </c>
      <c r="B3587" s="98" t="s">
        <v>17</v>
      </c>
      <c r="C3587" s="98">
        <v>39</v>
      </c>
      <c r="D3587" s="98">
        <v>260</v>
      </c>
      <c r="E3587" s="157">
        <v>41371.522222222222</v>
      </c>
      <c r="F3587" s="157">
        <v>41372.122916666667</v>
      </c>
      <c r="G3587" s="98">
        <v>335</v>
      </c>
      <c r="H3587" s="98">
        <v>423</v>
      </c>
      <c r="I3587" s="98">
        <v>393</v>
      </c>
      <c r="J3587" s="98" t="s">
        <v>1973</v>
      </c>
      <c r="K3587" s="98" t="s">
        <v>674</v>
      </c>
      <c r="L3587" s="105" t="str">
        <f t="shared" si="590"/>
        <v>Mill Creek</v>
      </c>
      <c r="M3587" s="105" t="str">
        <f t="shared" si="591"/>
        <v>Derate</v>
      </c>
      <c r="N3587" s="105" t="str">
        <f t="shared" si="592"/>
        <v>Coal</v>
      </c>
      <c r="O3587" s="105">
        <f>IFERROR(VLOOKUP(A3587,Lookup!$J$5:$P$19,7,FALSE),0)</f>
        <v>3</v>
      </c>
      <c r="P3587" s="159">
        <f t="shared" si="593"/>
        <v>2013</v>
      </c>
      <c r="Q3587" s="159">
        <f t="shared" si="594"/>
        <v>4</v>
      </c>
      <c r="R3587" s="160">
        <f t="shared" si="595"/>
        <v>14.416666666686069</v>
      </c>
      <c r="S3587" s="158">
        <f t="shared" si="596"/>
        <v>2.9992119779394186</v>
      </c>
      <c r="T3587" s="161">
        <f t="shared" si="597"/>
        <v>1178.6903073301914</v>
      </c>
      <c r="U3587" s="158">
        <f t="shared" si="599"/>
        <v>81.758865248226954</v>
      </c>
      <c r="V3587" s="160">
        <f t="shared" si="598"/>
        <v>82</v>
      </c>
    </row>
    <row r="3588" spans="1:22" x14ac:dyDescent="0.25">
      <c r="A3588" s="98" t="s">
        <v>29</v>
      </c>
      <c r="B3588" s="98" t="s">
        <v>105</v>
      </c>
      <c r="C3588" s="98">
        <v>40</v>
      </c>
      <c r="D3588" s="98">
        <v>8125</v>
      </c>
      <c r="E3588" s="157">
        <v>41400.9375</v>
      </c>
      <c r="F3588" s="157">
        <v>41401.114583333336</v>
      </c>
      <c r="G3588" s="98">
        <v>285</v>
      </c>
      <c r="H3588" s="98">
        <v>423</v>
      </c>
      <c r="I3588" s="98">
        <v>393</v>
      </c>
      <c r="J3588" s="98" t="s">
        <v>2267</v>
      </c>
      <c r="K3588" s="98" t="s">
        <v>675</v>
      </c>
      <c r="L3588" s="105" t="str">
        <f t="shared" si="590"/>
        <v>Mill Creek</v>
      </c>
      <c r="M3588" s="105" t="str">
        <f t="shared" si="591"/>
        <v>Derate</v>
      </c>
      <c r="N3588" s="105" t="str">
        <f t="shared" si="592"/>
        <v>Coal</v>
      </c>
      <c r="O3588" s="105">
        <f>IFERROR(VLOOKUP(A3588,Lookup!$J$5:$P$19,7,FALSE),0)</f>
        <v>3</v>
      </c>
      <c r="P3588" s="159">
        <f t="shared" si="593"/>
        <v>2013</v>
      </c>
      <c r="Q3588" s="159">
        <f t="shared" si="594"/>
        <v>5</v>
      </c>
      <c r="R3588" s="160">
        <f t="shared" si="595"/>
        <v>4.2500000000582077</v>
      </c>
      <c r="S3588" s="158">
        <f t="shared" si="596"/>
        <v>1.3865248227140252</v>
      </c>
      <c r="T3588" s="161">
        <f t="shared" si="597"/>
        <v>544.90425532661186</v>
      </c>
      <c r="U3588" s="158">
        <f t="shared" si="599"/>
        <v>128.21276595744681</v>
      </c>
      <c r="V3588" s="160">
        <f t="shared" si="598"/>
        <v>128</v>
      </c>
    </row>
    <row r="3589" spans="1:22" x14ac:dyDescent="0.25">
      <c r="A3589" s="98" t="s">
        <v>29</v>
      </c>
      <c r="B3589" s="98" t="s">
        <v>105</v>
      </c>
      <c r="C3589" s="98">
        <v>41</v>
      </c>
      <c r="D3589" s="98">
        <v>8125</v>
      </c>
      <c r="E3589" s="157">
        <v>41402.916666666664</v>
      </c>
      <c r="F3589" s="157">
        <v>41403.01666666667</v>
      </c>
      <c r="G3589" s="98">
        <v>285</v>
      </c>
      <c r="H3589" s="98">
        <v>423</v>
      </c>
      <c r="I3589" s="98">
        <v>393</v>
      </c>
      <c r="J3589" s="98" t="s">
        <v>2267</v>
      </c>
      <c r="K3589" s="98" t="s">
        <v>676</v>
      </c>
      <c r="L3589" s="105" t="str">
        <f t="shared" si="590"/>
        <v>Mill Creek</v>
      </c>
      <c r="M3589" s="105" t="str">
        <f t="shared" si="591"/>
        <v>Derate</v>
      </c>
      <c r="N3589" s="105" t="str">
        <f t="shared" si="592"/>
        <v>Coal</v>
      </c>
      <c r="O3589" s="105">
        <f>IFERROR(VLOOKUP(A3589,Lookup!$J$5:$P$19,7,FALSE),0)</f>
        <v>3</v>
      </c>
      <c r="P3589" s="159">
        <f t="shared" si="593"/>
        <v>2013</v>
      </c>
      <c r="Q3589" s="159">
        <f t="shared" si="594"/>
        <v>5</v>
      </c>
      <c r="R3589" s="160">
        <f t="shared" si="595"/>
        <v>2.4000000001396984</v>
      </c>
      <c r="S3589" s="158">
        <f t="shared" si="596"/>
        <v>0.78297872344983066</v>
      </c>
      <c r="T3589" s="161">
        <f t="shared" si="597"/>
        <v>307.71063831578346</v>
      </c>
      <c r="U3589" s="158">
        <f t="shared" si="599"/>
        <v>128.21276595744681</v>
      </c>
      <c r="V3589" s="160">
        <f t="shared" si="598"/>
        <v>128</v>
      </c>
    </row>
    <row r="3590" spans="1:22" x14ac:dyDescent="0.25">
      <c r="A3590" s="98" t="s">
        <v>29</v>
      </c>
      <c r="B3590" s="98" t="s">
        <v>17</v>
      </c>
      <c r="C3590" s="98">
        <v>42</v>
      </c>
      <c r="D3590" s="98">
        <v>260</v>
      </c>
      <c r="E3590" s="157">
        <v>41408.805555555555</v>
      </c>
      <c r="F3590" s="157">
        <v>41408.828472222223</v>
      </c>
      <c r="G3590" s="98">
        <v>355</v>
      </c>
      <c r="H3590" s="98">
        <v>423</v>
      </c>
      <c r="I3590" s="98">
        <v>393</v>
      </c>
      <c r="J3590" s="98" t="s">
        <v>1973</v>
      </c>
      <c r="K3590" s="98" t="s">
        <v>677</v>
      </c>
      <c r="L3590" s="105" t="str">
        <f t="shared" si="590"/>
        <v>Mill Creek</v>
      </c>
      <c r="M3590" s="105" t="str">
        <f t="shared" si="591"/>
        <v>Derate</v>
      </c>
      <c r="N3590" s="105" t="str">
        <f t="shared" si="592"/>
        <v>Coal</v>
      </c>
      <c r="O3590" s="105">
        <f>IFERROR(VLOOKUP(A3590,Lookup!$J$5:$P$19,7,FALSE),0)</f>
        <v>3</v>
      </c>
      <c r="P3590" s="159">
        <f t="shared" si="593"/>
        <v>2013</v>
      </c>
      <c r="Q3590" s="159">
        <f t="shared" si="594"/>
        <v>5</v>
      </c>
      <c r="R3590" s="160">
        <f t="shared" si="595"/>
        <v>0.55000000004656613</v>
      </c>
      <c r="S3590" s="158">
        <f t="shared" si="596"/>
        <v>8.841607565760401E-2</v>
      </c>
      <c r="T3590" s="161">
        <f t="shared" si="597"/>
        <v>34.747517733438379</v>
      </c>
      <c r="U3590" s="158">
        <f t="shared" si="599"/>
        <v>63.177304964539005</v>
      </c>
      <c r="V3590" s="160">
        <f t="shared" si="598"/>
        <v>63</v>
      </c>
    </row>
    <row r="3591" spans="1:22" x14ac:dyDescent="0.25">
      <c r="A3591" s="98" t="s">
        <v>29</v>
      </c>
      <c r="B3591" s="98" t="s">
        <v>105</v>
      </c>
      <c r="C3591" s="98">
        <v>43</v>
      </c>
      <c r="D3591" s="98">
        <v>310</v>
      </c>
      <c r="E3591" s="157">
        <v>41408.958333333336</v>
      </c>
      <c r="F3591" s="157">
        <v>41409.124305555553</v>
      </c>
      <c r="G3591" s="98">
        <v>335</v>
      </c>
      <c r="H3591" s="98">
        <v>423</v>
      </c>
      <c r="I3591" s="98">
        <v>393</v>
      </c>
      <c r="J3591" s="98" t="s">
        <v>1966</v>
      </c>
      <c r="K3591" s="98" t="s">
        <v>678</v>
      </c>
      <c r="L3591" s="105" t="str">
        <f t="shared" si="590"/>
        <v>Mill Creek</v>
      </c>
      <c r="M3591" s="105" t="str">
        <f t="shared" si="591"/>
        <v>Derate</v>
      </c>
      <c r="N3591" s="105" t="str">
        <f t="shared" si="592"/>
        <v>Coal</v>
      </c>
      <c r="O3591" s="105">
        <f>IFERROR(VLOOKUP(A3591,Lookup!$J$5:$P$19,7,FALSE),0)</f>
        <v>3</v>
      </c>
      <c r="P3591" s="159">
        <f t="shared" si="593"/>
        <v>2013</v>
      </c>
      <c r="Q3591" s="159">
        <f t="shared" si="594"/>
        <v>5</v>
      </c>
      <c r="R3591" s="160">
        <f t="shared" si="595"/>
        <v>3.9833333332207985</v>
      </c>
      <c r="S3591" s="158">
        <f t="shared" si="596"/>
        <v>0.82868400312867674</v>
      </c>
      <c r="T3591" s="161">
        <f t="shared" si="597"/>
        <v>325.67281322956995</v>
      </c>
      <c r="U3591" s="158">
        <f t="shared" si="599"/>
        <v>81.758865248226954</v>
      </c>
      <c r="V3591" s="160">
        <f t="shared" si="598"/>
        <v>82</v>
      </c>
    </row>
    <row r="3592" spans="1:22" x14ac:dyDescent="0.25">
      <c r="A3592" s="98" t="s">
        <v>29</v>
      </c>
      <c r="B3592" s="98" t="s">
        <v>79</v>
      </c>
      <c r="C3592" s="98">
        <v>44</v>
      </c>
      <c r="D3592" s="98">
        <v>870</v>
      </c>
      <c r="E3592" s="157">
        <v>41409.124305555553</v>
      </c>
      <c r="F3592" s="157">
        <v>41409.194444444445</v>
      </c>
      <c r="G3592" s="98">
        <v>0</v>
      </c>
      <c r="H3592" s="98">
        <v>423</v>
      </c>
      <c r="I3592" s="98">
        <v>393</v>
      </c>
      <c r="J3592" s="98" t="s">
        <v>2275</v>
      </c>
      <c r="K3592" s="98" t="s">
        <v>679</v>
      </c>
      <c r="L3592" s="105" t="str">
        <f t="shared" si="590"/>
        <v>Mill Creek</v>
      </c>
      <c r="M3592" s="105" t="str">
        <f t="shared" si="591"/>
        <v>Other</v>
      </c>
      <c r="N3592" s="105" t="str">
        <f t="shared" si="592"/>
        <v>Coal</v>
      </c>
      <c r="O3592" s="105">
        <f>IFERROR(VLOOKUP(A3592,Lookup!$J$5:$P$19,7,FALSE),0)</f>
        <v>3</v>
      </c>
      <c r="P3592" s="159">
        <f t="shared" si="593"/>
        <v>2013</v>
      </c>
      <c r="Q3592" s="159">
        <f t="shared" si="594"/>
        <v>5</v>
      </c>
      <c r="R3592" s="160">
        <f t="shared" si="595"/>
        <v>1.683333333407063</v>
      </c>
      <c r="S3592" s="158">
        <f t="shared" si="596"/>
        <v>1.683333333407063</v>
      </c>
      <c r="T3592" s="161">
        <f t="shared" si="597"/>
        <v>661.55000002897577</v>
      </c>
      <c r="U3592" s="158">
        <f t="shared" si="599"/>
        <v>393</v>
      </c>
      <c r="V3592" s="160">
        <f t="shared" si="598"/>
        <v>393</v>
      </c>
    </row>
    <row r="3593" spans="1:22" x14ac:dyDescent="0.25">
      <c r="A3593" s="98" t="s">
        <v>29</v>
      </c>
      <c r="B3593" s="98" t="s">
        <v>105</v>
      </c>
      <c r="C3593" s="98">
        <v>45</v>
      </c>
      <c r="D3593" s="98">
        <v>876</v>
      </c>
      <c r="E3593" s="157">
        <v>41410.916666666664</v>
      </c>
      <c r="F3593" s="157">
        <v>41411.021527777775</v>
      </c>
      <c r="G3593" s="98">
        <v>280</v>
      </c>
      <c r="H3593" s="98">
        <v>423</v>
      </c>
      <c r="I3593" s="98">
        <v>393</v>
      </c>
      <c r="J3593" s="98" t="s">
        <v>2655</v>
      </c>
      <c r="K3593" s="98" t="s">
        <v>249</v>
      </c>
      <c r="L3593" s="105" t="str">
        <f t="shared" si="590"/>
        <v>Mill Creek</v>
      </c>
      <c r="M3593" s="105" t="str">
        <f t="shared" si="591"/>
        <v>Derate</v>
      </c>
      <c r="N3593" s="105" t="str">
        <f t="shared" si="592"/>
        <v>Coal</v>
      </c>
      <c r="O3593" s="105">
        <f>IFERROR(VLOOKUP(A3593,Lookup!$J$5:$P$19,7,FALSE),0)</f>
        <v>3</v>
      </c>
      <c r="P3593" s="159">
        <f t="shared" si="593"/>
        <v>2013</v>
      </c>
      <c r="Q3593" s="159">
        <f t="shared" si="594"/>
        <v>5</v>
      </c>
      <c r="R3593" s="160">
        <f t="shared" si="595"/>
        <v>2.5166666666627862</v>
      </c>
      <c r="S3593" s="158">
        <f t="shared" si="596"/>
        <v>0.85078802206330595</v>
      </c>
      <c r="T3593" s="161">
        <f t="shared" si="597"/>
        <v>334.35969267087921</v>
      </c>
      <c r="U3593" s="158">
        <f t="shared" si="599"/>
        <v>132.8581560283688</v>
      </c>
      <c r="V3593" s="160">
        <f t="shared" si="598"/>
        <v>133</v>
      </c>
    </row>
    <row r="3594" spans="1:22" x14ac:dyDescent="0.25">
      <c r="A3594" s="98" t="s">
        <v>29</v>
      </c>
      <c r="B3594" s="98" t="s">
        <v>105</v>
      </c>
      <c r="C3594" s="98">
        <v>46</v>
      </c>
      <c r="D3594" s="98">
        <v>8125</v>
      </c>
      <c r="E3594" s="157">
        <v>41417.895833333336</v>
      </c>
      <c r="F3594" s="157">
        <v>41418.145833333336</v>
      </c>
      <c r="G3594" s="98">
        <v>280</v>
      </c>
      <c r="H3594" s="98">
        <v>423</v>
      </c>
      <c r="I3594" s="98">
        <v>393</v>
      </c>
      <c r="J3594" s="98" t="s">
        <v>2267</v>
      </c>
      <c r="K3594" s="98" t="s">
        <v>680</v>
      </c>
      <c r="L3594" s="105" t="str">
        <f t="shared" si="590"/>
        <v>Mill Creek</v>
      </c>
      <c r="M3594" s="105" t="str">
        <f t="shared" si="591"/>
        <v>Derate</v>
      </c>
      <c r="N3594" s="105" t="str">
        <f t="shared" si="592"/>
        <v>Coal</v>
      </c>
      <c r="O3594" s="105">
        <f>IFERROR(VLOOKUP(A3594,Lookup!$J$5:$P$19,7,FALSE),0)</f>
        <v>3</v>
      </c>
      <c r="P3594" s="159">
        <f t="shared" si="593"/>
        <v>2013</v>
      </c>
      <c r="Q3594" s="159">
        <f t="shared" si="594"/>
        <v>5</v>
      </c>
      <c r="R3594" s="160">
        <f t="shared" si="595"/>
        <v>6</v>
      </c>
      <c r="S3594" s="158">
        <f t="shared" si="596"/>
        <v>2.0283687943262412</v>
      </c>
      <c r="T3594" s="161">
        <f t="shared" si="597"/>
        <v>797.14893617021278</v>
      </c>
      <c r="U3594" s="158">
        <f t="shared" si="599"/>
        <v>132.8581560283688</v>
      </c>
      <c r="V3594" s="160">
        <f t="shared" si="598"/>
        <v>133</v>
      </c>
    </row>
    <row r="3595" spans="1:22" x14ac:dyDescent="0.25">
      <c r="A3595" s="98" t="s">
        <v>29</v>
      </c>
      <c r="B3595" s="98" t="s">
        <v>105</v>
      </c>
      <c r="C3595" s="98">
        <v>47</v>
      </c>
      <c r="D3595" s="98">
        <v>8125</v>
      </c>
      <c r="E3595" s="157">
        <v>41421.875</v>
      </c>
      <c r="F3595" s="157">
        <v>41422.090277777781</v>
      </c>
      <c r="G3595" s="98">
        <v>280</v>
      </c>
      <c r="H3595" s="98">
        <v>423</v>
      </c>
      <c r="I3595" s="98">
        <v>393</v>
      </c>
      <c r="J3595" s="98" t="s">
        <v>2267</v>
      </c>
      <c r="K3595" s="98" t="s">
        <v>681</v>
      </c>
      <c r="L3595" s="105" t="str">
        <f t="shared" si="590"/>
        <v>Mill Creek</v>
      </c>
      <c r="M3595" s="105" t="str">
        <f t="shared" si="591"/>
        <v>Derate</v>
      </c>
      <c r="N3595" s="105" t="str">
        <f t="shared" si="592"/>
        <v>Coal</v>
      </c>
      <c r="O3595" s="105">
        <f>IFERROR(VLOOKUP(A3595,Lookup!$J$5:$P$19,7,FALSE),0)</f>
        <v>3</v>
      </c>
      <c r="P3595" s="159">
        <f t="shared" si="593"/>
        <v>2013</v>
      </c>
      <c r="Q3595" s="159">
        <f t="shared" si="594"/>
        <v>5</v>
      </c>
      <c r="R3595" s="160">
        <f t="shared" si="595"/>
        <v>5.1666666667442769</v>
      </c>
      <c r="S3595" s="158">
        <f t="shared" si="596"/>
        <v>1.7466509062516113</v>
      </c>
      <c r="T3595" s="161">
        <f t="shared" si="597"/>
        <v>686.43380615688329</v>
      </c>
      <c r="U3595" s="158">
        <f t="shared" si="599"/>
        <v>132.8581560283688</v>
      </c>
      <c r="V3595" s="160">
        <f t="shared" si="598"/>
        <v>133</v>
      </c>
    </row>
    <row r="3596" spans="1:22" x14ac:dyDescent="0.25">
      <c r="A3596" s="98" t="s">
        <v>29</v>
      </c>
      <c r="B3596" s="98" t="s">
        <v>15</v>
      </c>
      <c r="C3596" s="98">
        <v>48</v>
      </c>
      <c r="D3596" s="98">
        <v>1455</v>
      </c>
      <c r="E3596" s="157">
        <v>41425.035416666666</v>
      </c>
      <c r="F3596" s="157">
        <v>41425.155555555553</v>
      </c>
      <c r="G3596" s="98">
        <v>0</v>
      </c>
      <c r="H3596" s="98">
        <v>423</v>
      </c>
      <c r="I3596" s="98">
        <v>393</v>
      </c>
      <c r="J3596" s="98" t="s">
        <v>1990</v>
      </c>
      <c r="K3596" s="98" t="s">
        <v>682</v>
      </c>
      <c r="L3596" s="105" t="str">
        <f t="shared" si="590"/>
        <v>Mill Creek</v>
      </c>
      <c r="M3596" s="105" t="str">
        <f t="shared" si="591"/>
        <v>Outage</v>
      </c>
      <c r="N3596" s="105" t="str">
        <f t="shared" si="592"/>
        <v>Coal</v>
      </c>
      <c r="O3596" s="105">
        <f>IFERROR(VLOOKUP(A3596,Lookup!$J$5:$P$19,7,FALSE),0)</f>
        <v>3</v>
      </c>
      <c r="P3596" s="159">
        <f t="shared" si="593"/>
        <v>2013</v>
      </c>
      <c r="Q3596" s="159">
        <f t="shared" si="594"/>
        <v>5</v>
      </c>
      <c r="R3596" s="160">
        <f t="shared" si="595"/>
        <v>2.8833333333022892</v>
      </c>
      <c r="S3596" s="158">
        <f t="shared" si="596"/>
        <v>2.8833333333022892</v>
      </c>
      <c r="T3596" s="161">
        <f t="shared" si="597"/>
        <v>1133.1499999877997</v>
      </c>
      <c r="U3596" s="158">
        <f t="shared" si="599"/>
        <v>393</v>
      </c>
      <c r="V3596" s="160">
        <f t="shared" si="598"/>
        <v>393</v>
      </c>
    </row>
    <row r="3597" spans="1:22" x14ac:dyDescent="0.25">
      <c r="A3597" s="98" t="s">
        <v>29</v>
      </c>
      <c r="B3597" s="98" t="s">
        <v>79</v>
      </c>
      <c r="C3597" s="98">
        <v>49</v>
      </c>
      <c r="D3597" s="98">
        <v>1850</v>
      </c>
      <c r="E3597" s="157">
        <v>41425.155555555553</v>
      </c>
      <c r="F3597" s="157">
        <v>41425.3125</v>
      </c>
      <c r="G3597" s="98">
        <v>0</v>
      </c>
      <c r="H3597" s="98">
        <v>423</v>
      </c>
      <c r="I3597" s="98">
        <v>393</v>
      </c>
      <c r="J3597" s="98" t="s">
        <v>2263</v>
      </c>
      <c r="K3597" s="98" t="s">
        <v>87</v>
      </c>
      <c r="L3597" s="105" t="str">
        <f t="shared" si="590"/>
        <v>Mill Creek</v>
      </c>
      <c r="M3597" s="105" t="str">
        <f t="shared" si="591"/>
        <v>Other</v>
      </c>
      <c r="N3597" s="105" t="str">
        <f t="shared" si="592"/>
        <v>Coal</v>
      </c>
      <c r="O3597" s="105">
        <f>IFERROR(VLOOKUP(A3597,Lookup!$J$5:$P$19,7,FALSE),0)</f>
        <v>3</v>
      </c>
      <c r="P3597" s="159">
        <f t="shared" si="593"/>
        <v>2013</v>
      </c>
      <c r="Q3597" s="159">
        <f t="shared" si="594"/>
        <v>5</v>
      </c>
      <c r="R3597" s="160">
        <f t="shared" si="595"/>
        <v>3.7666666667209938</v>
      </c>
      <c r="S3597" s="158">
        <f t="shared" si="596"/>
        <v>3.7666666667209938</v>
      </c>
      <c r="T3597" s="161">
        <f t="shared" si="597"/>
        <v>1480.3000000213506</v>
      </c>
      <c r="U3597" s="158">
        <f t="shared" si="599"/>
        <v>393</v>
      </c>
      <c r="V3597" s="160">
        <f t="shared" si="598"/>
        <v>393</v>
      </c>
    </row>
    <row r="3598" spans="1:22" x14ac:dyDescent="0.25">
      <c r="A3598" s="98" t="s">
        <v>29</v>
      </c>
      <c r="B3598" s="98" t="s">
        <v>17</v>
      </c>
      <c r="C3598" s="98">
        <v>50</v>
      </c>
      <c r="D3598" s="98">
        <v>8825</v>
      </c>
      <c r="E3598" s="157">
        <v>41425.3125</v>
      </c>
      <c r="F3598" s="157">
        <v>41425.458333333336</v>
      </c>
      <c r="G3598" s="98">
        <v>190</v>
      </c>
      <c r="H3598" s="98">
        <v>423</v>
      </c>
      <c r="I3598" s="98">
        <v>393</v>
      </c>
      <c r="J3598" s="98" t="s">
        <v>2187</v>
      </c>
      <c r="K3598" s="98" t="s">
        <v>683</v>
      </c>
      <c r="L3598" s="105" t="str">
        <f t="shared" si="590"/>
        <v>Mill Creek</v>
      </c>
      <c r="M3598" s="105" t="str">
        <f t="shared" si="591"/>
        <v>Derate</v>
      </c>
      <c r="N3598" s="105" t="str">
        <f t="shared" si="592"/>
        <v>Coal</v>
      </c>
      <c r="O3598" s="105">
        <f>IFERROR(VLOOKUP(A3598,Lookup!$J$5:$P$19,7,FALSE),0)</f>
        <v>3</v>
      </c>
      <c r="P3598" s="159">
        <f t="shared" si="593"/>
        <v>2013</v>
      </c>
      <c r="Q3598" s="159">
        <f t="shared" si="594"/>
        <v>5</v>
      </c>
      <c r="R3598" s="160">
        <f t="shared" si="595"/>
        <v>3.5000000000582077</v>
      </c>
      <c r="S3598" s="158">
        <f t="shared" si="596"/>
        <v>1.9278959811195329</v>
      </c>
      <c r="T3598" s="161">
        <f t="shared" si="597"/>
        <v>757.66312057997641</v>
      </c>
      <c r="U3598" s="158">
        <f t="shared" si="599"/>
        <v>216.47517730496455</v>
      </c>
      <c r="V3598" s="160">
        <f t="shared" si="598"/>
        <v>216</v>
      </c>
    </row>
    <row r="3599" spans="1:22" x14ac:dyDescent="0.25">
      <c r="A3599" s="98" t="s">
        <v>29</v>
      </c>
      <c r="B3599" s="98" t="s">
        <v>17</v>
      </c>
      <c r="C3599" s="98">
        <v>51</v>
      </c>
      <c r="D3599" s="98">
        <v>8127</v>
      </c>
      <c r="E3599" s="157">
        <v>41436.782638888886</v>
      </c>
      <c r="F3599" s="157">
        <v>41437.340277777781</v>
      </c>
      <c r="G3599" s="98">
        <v>330</v>
      </c>
      <c r="H3599" s="98">
        <v>423</v>
      </c>
      <c r="I3599" s="98">
        <v>393</v>
      </c>
      <c r="J3599" s="98" t="s">
        <v>2258</v>
      </c>
      <c r="K3599" s="98" t="s">
        <v>684</v>
      </c>
      <c r="L3599" s="105" t="str">
        <f t="shared" si="590"/>
        <v>Mill Creek</v>
      </c>
      <c r="M3599" s="105" t="str">
        <f t="shared" si="591"/>
        <v>Derate</v>
      </c>
      <c r="N3599" s="105" t="str">
        <f t="shared" si="592"/>
        <v>Coal</v>
      </c>
      <c r="O3599" s="105">
        <f>IFERROR(VLOOKUP(A3599,Lookup!$J$5:$P$19,7,FALSE),0)</f>
        <v>3</v>
      </c>
      <c r="P3599" s="159">
        <f t="shared" si="593"/>
        <v>2013</v>
      </c>
      <c r="Q3599" s="159">
        <f t="shared" si="594"/>
        <v>6</v>
      </c>
      <c r="R3599" s="160">
        <f t="shared" si="595"/>
        <v>13.383333333476912</v>
      </c>
      <c r="S3599" s="158">
        <f t="shared" si="596"/>
        <v>2.9424349882112359</v>
      </c>
      <c r="T3599" s="161">
        <f t="shared" si="597"/>
        <v>1156.3769503670158</v>
      </c>
      <c r="U3599" s="158">
        <f t="shared" si="599"/>
        <v>86.40425531914893</v>
      </c>
      <c r="V3599" s="160">
        <f t="shared" si="598"/>
        <v>86</v>
      </c>
    </row>
    <row r="3600" spans="1:22" x14ac:dyDescent="0.25">
      <c r="A3600" s="98" t="s">
        <v>29</v>
      </c>
      <c r="B3600" s="98" t="s">
        <v>105</v>
      </c>
      <c r="C3600" s="98">
        <v>52</v>
      </c>
      <c r="D3600" s="98">
        <v>8125</v>
      </c>
      <c r="E3600" s="157">
        <v>41437.958333333336</v>
      </c>
      <c r="F3600" s="157">
        <v>41437.993055555555</v>
      </c>
      <c r="G3600" s="98">
        <v>280</v>
      </c>
      <c r="H3600" s="98">
        <v>423</v>
      </c>
      <c r="I3600" s="98">
        <v>393</v>
      </c>
      <c r="J3600" s="98" t="s">
        <v>2267</v>
      </c>
      <c r="K3600" s="98" t="s">
        <v>685</v>
      </c>
      <c r="L3600" s="105" t="str">
        <f t="shared" si="590"/>
        <v>Mill Creek</v>
      </c>
      <c r="M3600" s="105" t="str">
        <f t="shared" si="591"/>
        <v>Derate</v>
      </c>
      <c r="N3600" s="105" t="str">
        <f t="shared" si="592"/>
        <v>Coal</v>
      </c>
      <c r="O3600" s="105">
        <f>IFERROR(VLOOKUP(A3600,Lookup!$J$5:$P$19,7,FALSE),0)</f>
        <v>3</v>
      </c>
      <c r="P3600" s="159">
        <f t="shared" si="593"/>
        <v>2013</v>
      </c>
      <c r="Q3600" s="159">
        <f t="shared" si="594"/>
        <v>6</v>
      </c>
      <c r="R3600" s="160">
        <f t="shared" si="595"/>
        <v>0.83333333325572312</v>
      </c>
      <c r="S3600" s="158">
        <f t="shared" si="596"/>
        <v>0.28171788807462977</v>
      </c>
      <c r="T3600" s="161">
        <f t="shared" si="597"/>
        <v>110.7151300133295</v>
      </c>
      <c r="U3600" s="158">
        <f t="shared" si="599"/>
        <v>132.8581560283688</v>
      </c>
      <c r="V3600" s="160">
        <f t="shared" si="598"/>
        <v>133</v>
      </c>
    </row>
    <row r="3601" spans="1:22" x14ac:dyDescent="0.25">
      <c r="A3601" s="98" t="s">
        <v>29</v>
      </c>
      <c r="B3601" s="98" t="s">
        <v>15</v>
      </c>
      <c r="C3601" s="98">
        <v>53</v>
      </c>
      <c r="D3601" s="98">
        <v>4460</v>
      </c>
      <c r="E3601" s="157">
        <v>41441.990277777775</v>
      </c>
      <c r="F3601" s="157">
        <v>41442.054166666669</v>
      </c>
      <c r="G3601" s="98">
        <v>0</v>
      </c>
      <c r="H3601" s="98">
        <v>423</v>
      </c>
      <c r="I3601" s="98">
        <v>393</v>
      </c>
      <c r="J3601" s="98" t="s">
        <v>2556</v>
      </c>
      <c r="K3601" s="98" t="s">
        <v>686</v>
      </c>
      <c r="L3601" s="105" t="str">
        <f t="shared" si="590"/>
        <v>Mill Creek</v>
      </c>
      <c r="M3601" s="105" t="str">
        <f t="shared" si="591"/>
        <v>Outage</v>
      </c>
      <c r="N3601" s="105" t="str">
        <f t="shared" si="592"/>
        <v>Coal</v>
      </c>
      <c r="O3601" s="105">
        <f>IFERROR(VLOOKUP(A3601,Lookup!$J$5:$P$19,7,FALSE),0)</f>
        <v>3</v>
      </c>
      <c r="P3601" s="159">
        <f t="shared" si="593"/>
        <v>2013</v>
      </c>
      <c r="Q3601" s="159">
        <f t="shared" si="594"/>
        <v>6</v>
      </c>
      <c r="R3601" s="160">
        <f t="shared" si="595"/>
        <v>1.5333333334419876</v>
      </c>
      <c r="S3601" s="158">
        <f t="shared" si="596"/>
        <v>1.5333333334419876</v>
      </c>
      <c r="T3601" s="161">
        <f t="shared" si="597"/>
        <v>602.60000004270114</v>
      </c>
      <c r="U3601" s="158">
        <f t="shared" si="599"/>
        <v>393</v>
      </c>
      <c r="V3601" s="160">
        <f t="shared" si="598"/>
        <v>393</v>
      </c>
    </row>
    <row r="3602" spans="1:22" x14ac:dyDescent="0.25">
      <c r="A3602" s="98" t="s">
        <v>29</v>
      </c>
      <c r="B3602" s="98" t="s">
        <v>79</v>
      </c>
      <c r="C3602" s="98">
        <v>54</v>
      </c>
      <c r="D3602" s="98">
        <v>1850</v>
      </c>
      <c r="E3602" s="157">
        <v>41442.054166666669</v>
      </c>
      <c r="F3602" s="157">
        <v>41442.449305555558</v>
      </c>
      <c r="G3602" s="98">
        <v>0</v>
      </c>
      <c r="H3602" s="98">
        <v>423</v>
      </c>
      <c r="I3602" s="98">
        <v>393</v>
      </c>
      <c r="J3602" s="98" t="s">
        <v>2263</v>
      </c>
      <c r="K3602" s="98" t="s">
        <v>87</v>
      </c>
      <c r="L3602" s="105" t="str">
        <f t="shared" si="590"/>
        <v>Mill Creek</v>
      </c>
      <c r="M3602" s="105" t="str">
        <f t="shared" si="591"/>
        <v>Other</v>
      </c>
      <c r="N3602" s="105" t="str">
        <f t="shared" si="592"/>
        <v>Coal</v>
      </c>
      <c r="O3602" s="105">
        <f>IFERROR(VLOOKUP(A3602,Lookup!$J$5:$P$19,7,FALSE),0)</f>
        <v>3</v>
      </c>
      <c r="P3602" s="159">
        <f t="shared" si="593"/>
        <v>2013</v>
      </c>
      <c r="Q3602" s="159">
        <f t="shared" si="594"/>
        <v>6</v>
      </c>
      <c r="R3602" s="160">
        <f t="shared" si="595"/>
        <v>9.4833333333372138</v>
      </c>
      <c r="S3602" s="158">
        <f t="shared" si="596"/>
        <v>9.4833333333372138</v>
      </c>
      <c r="T3602" s="161">
        <f t="shared" si="597"/>
        <v>3726.950000001525</v>
      </c>
      <c r="U3602" s="158">
        <f t="shared" si="599"/>
        <v>393</v>
      </c>
      <c r="V3602" s="160">
        <f t="shared" si="598"/>
        <v>393</v>
      </c>
    </row>
    <row r="3603" spans="1:22" x14ac:dyDescent="0.25">
      <c r="A3603" s="98" t="s">
        <v>29</v>
      </c>
      <c r="B3603" s="98" t="s">
        <v>15</v>
      </c>
      <c r="C3603" s="98">
        <v>55</v>
      </c>
      <c r="D3603" s="98">
        <v>1000</v>
      </c>
      <c r="E3603" s="157">
        <v>41442.895833333336</v>
      </c>
      <c r="F3603" s="157">
        <v>41444.851388888892</v>
      </c>
      <c r="G3603" s="98">
        <v>0</v>
      </c>
      <c r="H3603" s="98">
        <v>423</v>
      </c>
      <c r="I3603" s="98">
        <v>393</v>
      </c>
      <c r="J3603" s="98" t="s">
        <v>2002</v>
      </c>
      <c r="K3603" s="98" t="s">
        <v>71</v>
      </c>
      <c r="L3603" s="105" t="str">
        <f t="shared" si="590"/>
        <v>Mill Creek</v>
      </c>
      <c r="M3603" s="105" t="str">
        <f t="shared" si="591"/>
        <v>Outage</v>
      </c>
      <c r="N3603" s="105" t="str">
        <f t="shared" si="592"/>
        <v>Coal</v>
      </c>
      <c r="O3603" s="105">
        <f>IFERROR(VLOOKUP(A3603,Lookup!$J$5:$P$19,7,FALSE),0)</f>
        <v>3</v>
      </c>
      <c r="P3603" s="159">
        <f t="shared" si="593"/>
        <v>2013</v>
      </c>
      <c r="Q3603" s="159">
        <f t="shared" si="594"/>
        <v>6</v>
      </c>
      <c r="R3603" s="160">
        <f t="shared" si="595"/>
        <v>46.933333333348855</v>
      </c>
      <c r="S3603" s="158">
        <f t="shared" si="596"/>
        <v>46.933333333348855</v>
      </c>
      <c r="T3603" s="161">
        <f t="shared" si="597"/>
        <v>18444.8000000061</v>
      </c>
      <c r="U3603" s="158">
        <f t="shared" si="599"/>
        <v>393</v>
      </c>
      <c r="V3603" s="160">
        <f t="shared" si="598"/>
        <v>393</v>
      </c>
    </row>
    <row r="3604" spans="1:22" x14ac:dyDescent="0.25">
      <c r="A3604" s="98" t="s">
        <v>29</v>
      </c>
      <c r="B3604" s="98" t="s">
        <v>79</v>
      </c>
      <c r="C3604" s="98">
        <v>56</v>
      </c>
      <c r="D3604" s="98">
        <v>1850</v>
      </c>
      <c r="E3604" s="157">
        <v>41444.851388888892</v>
      </c>
      <c r="F3604" s="157">
        <v>41444.874305555553</v>
      </c>
      <c r="G3604" s="98">
        <v>0</v>
      </c>
      <c r="H3604" s="98">
        <v>423</v>
      </c>
      <c r="I3604" s="98">
        <v>393</v>
      </c>
      <c r="J3604" s="98" t="s">
        <v>2263</v>
      </c>
      <c r="K3604" s="98" t="s">
        <v>86</v>
      </c>
      <c r="L3604" s="105" t="str">
        <f t="shared" si="590"/>
        <v>Mill Creek</v>
      </c>
      <c r="M3604" s="105" t="str">
        <f t="shared" si="591"/>
        <v>Other</v>
      </c>
      <c r="N3604" s="105" t="str">
        <f t="shared" si="592"/>
        <v>Coal</v>
      </c>
      <c r="O3604" s="105">
        <f>IFERROR(VLOOKUP(A3604,Lookup!$J$5:$P$19,7,FALSE),0)</f>
        <v>3</v>
      </c>
      <c r="P3604" s="159">
        <f t="shared" si="593"/>
        <v>2013</v>
      </c>
      <c r="Q3604" s="159">
        <f t="shared" si="594"/>
        <v>6</v>
      </c>
      <c r="R3604" s="160">
        <f t="shared" si="595"/>
        <v>0.54999999987194315</v>
      </c>
      <c r="S3604" s="158">
        <f t="shared" si="596"/>
        <v>0.54999999987194315</v>
      </c>
      <c r="T3604" s="161">
        <f t="shared" si="597"/>
        <v>216.14999994967366</v>
      </c>
      <c r="U3604" s="158">
        <f t="shared" si="599"/>
        <v>393</v>
      </c>
      <c r="V3604" s="160">
        <f t="shared" si="598"/>
        <v>393</v>
      </c>
    </row>
    <row r="3605" spans="1:22" x14ac:dyDescent="0.25">
      <c r="A3605" s="98" t="s">
        <v>29</v>
      </c>
      <c r="B3605" s="98" t="s">
        <v>15</v>
      </c>
      <c r="C3605" s="98">
        <v>57</v>
      </c>
      <c r="D3605" s="98">
        <v>800</v>
      </c>
      <c r="E3605" s="157">
        <v>41444.874305555553</v>
      </c>
      <c r="F3605" s="157">
        <v>41444.907638888886</v>
      </c>
      <c r="G3605" s="98">
        <v>0</v>
      </c>
      <c r="H3605" s="98">
        <v>423</v>
      </c>
      <c r="I3605" s="98">
        <v>393</v>
      </c>
      <c r="J3605" s="98" t="s">
        <v>2197</v>
      </c>
      <c r="K3605" s="98" t="s">
        <v>36</v>
      </c>
      <c r="L3605" s="105" t="str">
        <f t="shared" si="590"/>
        <v>Mill Creek</v>
      </c>
      <c r="M3605" s="105" t="str">
        <f t="shared" si="591"/>
        <v>Outage</v>
      </c>
      <c r="N3605" s="105" t="str">
        <f t="shared" si="592"/>
        <v>Coal</v>
      </c>
      <c r="O3605" s="105">
        <f>IFERROR(VLOOKUP(A3605,Lookup!$J$5:$P$19,7,FALSE),0)</f>
        <v>3</v>
      </c>
      <c r="P3605" s="159">
        <f t="shared" si="593"/>
        <v>2013</v>
      </c>
      <c r="Q3605" s="159">
        <f t="shared" si="594"/>
        <v>6</v>
      </c>
      <c r="R3605" s="160">
        <f t="shared" si="595"/>
        <v>0.79999999998835847</v>
      </c>
      <c r="S3605" s="158">
        <f t="shared" si="596"/>
        <v>0.79999999998835847</v>
      </c>
      <c r="T3605" s="161">
        <f t="shared" si="597"/>
        <v>314.39999999542488</v>
      </c>
      <c r="U3605" s="158">
        <f t="shared" si="599"/>
        <v>393</v>
      </c>
      <c r="V3605" s="160">
        <f t="shared" si="598"/>
        <v>393</v>
      </c>
    </row>
    <row r="3606" spans="1:22" x14ac:dyDescent="0.25">
      <c r="A3606" s="98" t="s">
        <v>29</v>
      </c>
      <c r="B3606" s="98" t="s">
        <v>79</v>
      </c>
      <c r="C3606" s="98">
        <v>58</v>
      </c>
      <c r="D3606" s="98">
        <v>1850</v>
      </c>
      <c r="E3606" s="157">
        <v>41444.907638888886</v>
      </c>
      <c r="F3606" s="157">
        <v>41445.354166666664</v>
      </c>
      <c r="G3606" s="98">
        <v>0</v>
      </c>
      <c r="H3606" s="98">
        <v>423</v>
      </c>
      <c r="I3606" s="98">
        <v>393</v>
      </c>
      <c r="J3606" s="98" t="s">
        <v>2263</v>
      </c>
      <c r="K3606" s="98" t="s">
        <v>86</v>
      </c>
      <c r="L3606" s="105" t="str">
        <f t="shared" si="590"/>
        <v>Mill Creek</v>
      </c>
      <c r="M3606" s="105" t="str">
        <f t="shared" si="591"/>
        <v>Other</v>
      </c>
      <c r="N3606" s="105" t="str">
        <f t="shared" si="592"/>
        <v>Coal</v>
      </c>
      <c r="O3606" s="105">
        <f>IFERROR(VLOOKUP(A3606,Lookup!$J$5:$P$19,7,FALSE),0)</f>
        <v>3</v>
      </c>
      <c r="P3606" s="159">
        <f t="shared" si="593"/>
        <v>2013</v>
      </c>
      <c r="Q3606" s="159">
        <f t="shared" si="594"/>
        <v>6</v>
      </c>
      <c r="R3606" s="160">
        <f t="shared" si="595"/>
        <v>10.716666666674428</v>
      </c>
      <c r="S3606" s="158">
        <f t="shared" si="596"/>
        <v>10.716666666674428</v>
      </c>
      <c r="T3606" s="161">
        <f t="shared" si="597"/>
        <v>4211.6500000030501</v>
      </c>
      <c r="U3606" s="158">
        <f t="shared" si="599"/>
        <v>393</v>
      </c>
      <c r="V3606" s="160">
        <f t="shared" si="598"/>
        <v>393</v>
      </c>
    </row>
    <row r="3607" spans="1:22" x14ac:dyDescent="0.25">
      <c r="A3607" s="98" t="s">
        <v>29</v>
      </c>
      <c r="B3607" s="98" t="s">
        <v>17</v>
      </c>
      <c r="C3607" s="98">
        <v>59</v>
      </c>
      <c r="D3607" s="98">
        <v>3412</v>
      </c>
      <c r="E3607" s="157">
        <v>41447.743055555555</v>
      </c>
      <c r="F3607" s="157">
        <v>41447.881944444445</v>
      </c>
      <c r="G3607" s="98">
        <v>200</v>
      </c>
      <c r="H3607" s="98">
        <v>423</v>
      </c>
      <c r="I3607" s="98">
        <v>393</v>
      </c>
      <c r="J3607" s="98" t="s">
        <v>2162</v>
      </c>
      <c r="K3607" s="98" t="s">
        <v>687</v>
      </c>
      <c r="L3607" s="105" t="str">
        <f t="shared" si="590"/>
        <v>Mill Creek</v>
      </c>
      <c r="M3607" s="105" t="str">
        <f t="shared" si="591"/>
        <v>Derate</v>
      </c>
      <c r="N3607" s="105" t="str">
        <f t="shared" si="592"/>
        <v>Coal</v>
      </c>
      <c r="O3607" s="105">
        <f>IFERROR(VLOOKUP(A3607,Lookup!$J$5:$P$19,7,FALSE),0)</f>
        <v>3</v>
      </c>
      <c r="P3607" s="159">
        <f t="shared" si="593"/>
        <v>2013</v>
      </c>
      <c r="Q3607" s="159">
        <f t="shared" si="594"/>
        <v>6</v>
      </c>
      <c r="R3607" s="160">
        <f t="shared" si="595"/>
        <v>3.3333333333721384</v>
      </c>
      <c r="S3607" s="158">
        <f t="shared" si="596"/>
        <v>1.7572892041181722</v>
      </c>
      <c r="T3607" s="161">
        <f t="shared" si="597"/>
        <v>690.61465721844172</v>
      </c>
      <c r="U3607" s="158">
        <f t="shared" si="599"/>
        <v>207.18439716312056</v>
      </c>
      <c r="V3607" s="160">
        <f t="shared" si="598"/>
        <v>207</v>
      </c>
    </row>
    <row r="3608" spans="1:22" x14ac:dyDescent="0.25">
      <c r="A3608" s="98" t="s">
        <v>29</v>
      </c>
      <c r="B3608" s="98" t="s">
        <v>17</v>
      </c>
      <c r="C3608" s="98">
        <v>60</v>
      </c>
      <c r="D3608" s="98">
        <v>3412</v>
      </c>
      <c r="E3608" s="157">
        <v>41447.881944444445</v>
      </c>
      <c r="F3608" s="157">
        <v>41447.984722222223</v>
      </c>
      <c r="G3608" s="98">
        <v>170</v>
      </c>
      <c r="H3608" s="98">
        <v>423</v>
      </c>
      <c r="I3608" s="98">
        <v>393</v>
      </c>
      <c r="J3608" s="98" t="s">
        <v>2162</v>
      </c>
      <c r="K3608" s="98" t="s">
        <v>687</v>
      </c>
      <c r="L3608" s="105" t="str">
        <f t="shared" si="590"/>
        <v>Mill Creek</v>
      </c>
      <c r="M3608" s="105" t="str">
        <f t="shared" si="591"/>
        <v>Derate</v>
      </c>
      <c r="N3608" s="105" t="str">
        <f t="shared" si="592"/>
        <v>Coal</v>
      </c>
      <c r="O3608" s="105">
        <f>IFERROR(VLOOKUP(A3608,Lookup!$J$5:$P$19,7,FALSE),0)</f>
        <v>3</v>
      </c>
      <c r="P3608" s="159">
        <f t="shared" si="593"/>
        <v>2013</v>
      </c>
      <c r="Q3608" s="159">
        <f t="shared" si="594"/>
        <v>6</v>
      </c>
      <c r="R3608" s="160">
        <f t="shared" si="595"/>
        <v>2.4666666666744277</v>
      </c>
      <c r="S3608" s="158">
        <f t="shared" si="596"/>
        <v>1.4753349093821044</v>
      </c>
      <c r="T3608" s="161">
        <f t="shared" si="597"/>
        <v>579.80661938716707</v>
      </c>
      <c r="U3608" s="158">
        <f t="shared" si="599"/>
        <v>235.05673758865248</v>
      </c>
      <c r="V3608" s="160">
        <f t="shared" si="598"/>
        <v>235</v>
      </c>
    </row>
    <row r="3609" spans="1:22" x14ac:dyDescent="0.25">
      <c r="A3609" s="98" t="s">
        <v>29</v>
      </c>
      <c r="B3609" s="98" t="s">
        <v>105</v>
      </c>
      <c r="C3609" s="98">
        <v>61</v>
      </c>
      <c r="D3609" s="98">
        <v>250</v>
      </c>
      <c r="E3609" s="157">
        <v>41449.916666666664</v>
      </c>
      <c r="F3609" s="157">
        <v>41450.125</v>
      </c>
      <c r="G3609" s="98">
        <v>325</v>
      </c>
      <c r="H3609" s="98">
        <v>423</v>
      </c>
      <c r="I3609" s="98">
        <v>393</v>
      </c>
      <c r="J3609" s="98" t="s">
        <v>1978</v>
      </c>
      <c r="K3609" s="98" t="s">
        <v>688</v>
      </c>
      <c r="L3609" s="105" t="str">
        <f t="shared" si="590"/>
        <v>Mill Creek</v>
      </c>
      <c r="M3609" s="105" t="str">
        <f t="shared" si="591"/>
        <v>Derate</v>
      </c>
      <c r="N3609" s="105" t="str">
        <f t="shared" si="592"/>
        <v>Coal</v>
      </c>
      <c r="O3609" s="105">
        <f>IFERROR(VLOOKUP(A3609,Lookup!$J$5:$P$19,7,FALSE),0)</f>
        <v>3</v>
      </c>
      <c r="P3609" s="159">
        <f t="shared" si="593"/>
        <v>2013</v>
      </c>
      <c r="Q3609" s="159">
        <f t="shared" si="594"/>
        <v>6</v>
      </c>
      <c r="R3609" s="160">
        <f t="shared" si="595"/>
        <v>5.0000000000582077</v>
      </c>
      <c r="S3609" s="158">
        <f t="shared" si="596"/>
        <v>1.1583924350016652</v>
      </c>
      <c r="T3609" s="161">
        <f t="shared" si="597"/>
        <v>455.24822695565445</v>
      </c>
      <c r="U3609" s="158">
        <f t="shared" si="599"/>
        <v>91.049645390070921</v>
      </c>
      <c r="V3609" s="160">
        <f t="shared" si="598"/>
        <v>91</v>
      </c>
    </row>
    <row r="3610" spans="1:22" x14ac:dyDescent="0.25">
      <c r="A3610" s="98" t="s">
        <v>29</v>
      </c>
      <c r="B3610" s="98" t="s">
        <v>105</v>
      </c>
      <c r="C3610" s="98">
        <v>62</v>
      </c>
      <c r="D3610" s="98">
        <v>250</v>
      </c>
      <c r="E3610" s="157">
        <v>41450.916666666664</v>
      </c>
      <c r="F3610" s="157">
        <v>41451.027777777781</v>
      </c>
      <c r="G3610" s="98">
        <v>325</v>
      </c>
      <c r="H3610" s="98">
        <v>423</v>
      </c>
      <c r="I3610" s="98">
        <v>393</v>
      </c>
      <c r="J3610" s="98" t="s">
        <v>1978</v>
      </c>
      <c r="K3610" s="98" t="s">
        <v>689</v>
      </c>
      <c r="L3610" s="105" t="str">
        <f t="shared" si="590"/>
        <v>Mill Creek</v>
      </c>
      <c r="M3610" s="105" t="str">
        <f t="shared" si="591"/>
        <v>Derate</v>
      </c>
      <c r="N3610" s="105" t="str">
        <f t="shared" si="592"/>
        <v>Coal</v>
      </c>
      <c r="O3610" s="105">
        <f>IFERROR(VLOOKUP(A3610,Lookup!$J$5:$P$19,7,FALSE),0)</f>
        <v>3</v>
      </c>
      <c r="P3610" s="159">
        <f t="shared" si="593"/>
        <v>2013</v>
      </c>
      <c r="Q3610" s="159">
        <f t="shared" si="594"/>
        <v>6</v>
      </c>
      <c r="R3610" s="160">
        <f t="shared" si="595"/>
        <v>2.6666666668024845</v>
      </c>
      <c r="S3610" s="158">
        <f t="shared" si="596"/>
        <v>0.61780929869182855</v>
      </c>
      <c r="T3610" s="161">
        <f t="shared" si="597"/>
        <v>242.79905438588861</v>
      </c>
      <c r="U3610" s="158">
        <f t="shared" si="599"/>
        <v>91.049645390070921</v>
      </c>
      <c r="V3610" s="160">
        <f t="shared" si="598"/>
        <v>91</v>
      </c>
    </row>
    <row r="3611" spans="1:22" x14ac:dyDescent="0.25">
      <c r="A3611" s="98" t="s">
        <v>29</v>
      </c>
      <c r="B3611" s="98" t="s">
        <v>105</v>
      </c>
      <c r="C3611" s="98">
        <v>63</v>
      </c>
      <c r="D3611" s="98">
        <v>250</v>
      </c>
      <c r="E3611" s="157">
        <v>41452.916666666664</v>
      </c>
      <c r="F3611" s="157">
        <v>41453.170138888891</v>
      </c>
      <c r="G3611" s="98">
        <v>325</v>
      </c>
      <c r="H3611" s="98">
        <v>423</v>
      </c>
      <c r="I3611" s="98">
        <v>393</v>
      </c>
      <c r="J3611" s="98" t="s">
        <v>1978</v>
      </c>
      <c r="K3611" s="98" t="s">
        <v>690</v>
      </c>
      <c r="L3611" s="105" t="str">
        <f t="shared" si="590"/>
        <v>Mill Creek</v>
      </c>
      <c r="M3611" s="105" t="str">
        <f t="shared" si="591"/>
        <v>Derate</v>
      </c>
      <c r="N3611" s="105" t="str">
        <f t="shared" si="592"/>
        <v>Coal</v>
      </c>
      <c r="O3611" s="105">
        <f>IFERROR(VLOOKUP(A3611,Lookup!$J$5:$P$19,7,FALSE),0)</f>
        <v>3</v>
      </c>
      <c r="P3611" s="159">
        <f t="shared" si="593"/>
        <v>2013</v>
      </c>
      <c r="Q3611" s="159">
        <f t="shared" si="594"/>
        <v>6</v>
      </c>
      <c r="R3611" s="160">
        <f t="shared" si="595"/>
        <v>6.0833333334303461</v>
      </c>
      <c r="S3611" s="158">
        <f t="shared" si="596"/>
        <v>1.4093774625914277</v>
      </c>
      <c r="T3611" s="161">
        <f t="shared" si="597"/>
        <v>553.88534279843111</v>
      </c>
      <c r="U3611" s="158">
        <f t="shared" si="599"/>
        <v>91.049645390070921</v>
      </c>
      <c r="V3611" s="160">
        <f t="shared" si="598"/>
        <v>91</v>
      </c>
    </row>
    <row r="3612" spans="1:22" x14ac:dyDescent="0.25">
      <c r="A3612" s="98" t="s">
        <v>29</v>
      </c>
      <c r="B3612" s="98" t="s">
        <v>105</v>
      </c>
      <c r="C3612" s="98">
        <v>64</v>
      </c>
      <c r="D3612" s="98">
        <v>250</v>
      </c>
      <c r="E3612" s="157">
        <v>41455.958333333336</v>
      </c>
      <c r="F3612" s="157">
        <v>41456.159722222219</v>
      </c>
      <c r="G3612" s="98">
        <v>325</v>
      </c>
      <c r="H3612" s="98">
        <v>423</v>
      </c>
      <c r="I3612" s="98">
        <v>393</v>
      </c>
      <c r="J3612" s="98" t="s">
        <v>1978</v>
      </c>
      <c r="K3612" s="98" t="s">
        <v>109</v>
      </c>
      <c r="L3612" s="105" t="str">
        <f t="shared" si="590"/>
        <v>Mill Creek</v>
      </c>
      <c r="M3612" s="105" t="str">
        <f t="shared" si="591"/>
        <v>Derate</v>
      </c>
      <c r="N3612" s="105" t="str">
        <f t="shared" si="592"/>
        <v>Coal</v>
      </c>
      <c r="O3612" s="105">
        <f>IFERROR(VLOOKUP(A3612,Lookup!$J$5:$P$19,7,FALSE),0)</f>
        <v>3</v>
      </c>
      <c r="P3612" s="159">
        <f t="shared" si="593"/>
        <v>2013</v>
      </c>
      <c r="Q3612" s="159">
        <f t="shared" si="594"/>
        <v>6</v>
      </c>
      <c r="R3612" s="160">
        <f t="shared" si="595"/>
        <v>4.8333333331975155</v>
      </c>
      <c r="S3612" s="158">
        <f t="shared" si="596"/>
        <v>1.119779353790441</v>
      </c>
      <c r="T3612" s="161">
        <f t="shared" si="597"/>
        <v>440.07328603964334</v>
      </c>
      <c r="U3612" s="158">
        <f t="shared" si="599"/>
        <v>91.049645390070921</v>
      </c>
      <c r="V3612" s="160">
        <f t="shared" si="598"/>
        <v>91</v>
      </c>
    </row>
    <row r="3613" spans="1:22" x14ac:dyDescent="0.25">
      <c r="A3613" s="98" t="s">
        <v>29</v>
      </c>
      <c r="B3613" s="98" t="s">
        <v>105</v>
      </c>
      <c r="C3613" s="98">
        <v>65</v>
      </c>
      <c r="D3613" s="98">
        <v>250</v>
      </c>
      <c r="E3613" s="157">
        <v>41456.9375</v>
      </c>
      <c r="F3613" s="157">
        <v>41457.177777777775</v>
      </c>
      <c r="G3613" s="98">
        <v>325</v>
      </c>
      <c r="H3613" s="98">
        <v>423</v>
      </c>
      <c r="I3613" s="98">
        <v>393</v>
      </c>
      <c r="J3613" s="98" t="s">
        <v>1978</v>
      </c>
      <c r="K3613" s="98" t="s">
        <v>691</v>
      </c>
      <c r="L3613" s="105" t="str">
        <f t="shared" si="590"/>
        <v>Mill Creek</v>
      </c>
      <c r="M3613" s="105" t="str">
        <f t="shared" si="591"/>
        <v>Derate</v>
      </c>
      <c r="N3613" s="105" t="str">
        <f t="shared" si="592"/>
        <v>Coal</v>
      </c>
      <c r="O3613" s="105">
        <f>IFERROR(VLOOKUP(A3613,Lookup!$J$5:$P$19,7,FALSE),0)</f>
        <v>3</v>
      </c>
      <c r="P3613" s="159">
        <f t="shared" si="593"/>
        <v>2013</v>
      </c>
      <c r="Q3613" s="159">
        <f t="shared" si="594"/>
        <v>7</v>
      </c>
      <c r="R3613" s="160">
        <f t="shared" si="595"/>
        <v>5.7666666666045785</v>
      </c>
      <c r="S3613" s="158">
        <f t="shared" si="596"/>
        <v>1.3360126083386494</v>
      </c>
      <c r="T3613" s="161">
        <f t="shared" si="597"/>
        <v>525.05295507708922</v>
      </c>
      <c r="U3613" s="158">
        <f t="shared" si="599"/>
        <v>91.049645390070921</v>
      </c>
      <c r="V3613" s="160">
        <f t="shared" si="598"/>
        <v>91</v>
      </c>
    </row>
    <row r="3614" spans="1:22" x14ac:dyDescent="0.25">
      <c r="A3614" s="98" t="s">
        <v>29</v>
      </c>
      <c r="B3614" s="98" t="s">
        <v>17</v>
      </c>
      <c r="C3614" s="98">
        <v>66</v>
      </c>
      <c r="D3614" s="98">
        <v>320</v>
      </c>
      <c r="E3614" s="157">
        <v>41460.231944444444</v>
      </c>
      <c r="F3614" s="162">
        <v>41460.337500000001</v>
      </c>
      <c r="G3614" s="98">
        <v>330</v>
      </c>
      <c r="H3614" s="98">
        <v>423</v>
      </c>
      <c r="I3614" s="98">
        <v>393</v>
      </c>
      <c r="J3614" s="98" t="s">
        <v>1992</v>
      </c>
      <c r="K3614" s="98" t="s">
        <v>692</v>
      </c>
      <c r="L3614" s="105" t="str">
        <f t="shared" si="590"/>
        <v>Mill Creek</v>
      </c>
      <c r="M3614" s="105" t="str">
        <f t="shared" si="591"/>
        <v>Derate</v>
      </c>
      <c r="N3614" s="105" t="str">
        <f t="shared" si="592"/>
        <v>Coal</v>
      </c>
      <c r="O3614" s="105">
        <f>IFERROR(VLOOKUP(A3614,Lookup!$J$5:$P$19,7,FALSE),0)</f>
        <v>3</v>
      </c>
      <c r="P3614" s="159">
        <f t="shared" si="593"/>
        <v>2013</v>
      </c>
      <c r="Q3614" s="159">
        <f t="shared" si="594"/>
        <v>7</v>
      </c>
      <c r="R3614" s="160">
        <f t="shared" si="595"/>
        <v>2.53333333338378</v>
      </c>
      <c r="S3614" s="158">
        <f t="shared" si="596"/>
        <v>0.55697399528295877</v>
      </c>
      <c r="T3614" s="161">
        <f t="shared" si="597"/>
        <v>218.89078014620279</v>
      </c>
      <c r="U3614" s="158">
        <f t="shared" si="599"/>
        <v>86.40425531914893</v>
      </c>
      <c r="V3614" s="160">
        <f t="shared" si="598"/>
        <v>86</v>
      </c>
    </row>
    <row r="3615" spans="1:22" x14ac:dyDescent="0.25">
      <c r="A3615" s="98" t="s">
        <v>29</v>
      </c>
      <c r="B3615" s="98" t="s">
        <v>17</v>
      </c>
      <c r="C3615" s="98">
        <v>67</v>
      </c>
      <c r="D3615" s="98">
        <v>1400</v>
      </c>
      <c r="E3615" s="162">
        <v>41469.700694444444</v>
      </c>
      <c r="F3615" s="157">
        <v>41469.86041666667</v>
      </c>
      <c r="G3615" s="98">
        <v>415</v>
      </c>
      <c r="H3615" s="98">
        <v>423</v>
      </c>
      <c r="I3615" s="98">
        <v>393</v>
      </c>
      <c r="J3615" s="98" t="s">
        <v>2043</v>
      </c>
      <c r="K3615" s="98" t="s">
        <v>1509</v>
      </c>
      <c r="L3615" s="105" t="str">
        <f t="shared" si="590"/>
        <v>Mill Creek</v>
      </c>
      <c r="M3615" s="105" t="str">
        <f t="shared" si="591"/>
        <v>Derate</v>
      </c>
      <c r="N3615" s="105" t="str">
        <f t="shared" si="592"/>
        <v>Coal</v>
      </c>
      <c r="O3615" s="105">
        <f>IFERROR(VLOOKUP(A3615,Lookup!$J$5:$P$19,7,FALSE),0)</f>
        <v>3</v>
      </c>
      <c r="P3615" s="159">
        <f t="shared" si="593"/>
        <v>2013</v>
      </c>
      <c r="Q3615" s="159">
        <f t="shared" si="594"/>
        <v>7</v>
      </c>
      <c r="R3615" s="160">
        <f t="shared" si="595"/>
        <v>3.8333333334303461</v>
      </c>
      <c r="S3615" s="158">
        <f t="shared" si="596"/>
        <v>7.2498029946673218E-2</v>
      </c>
      <c r="T3615" s="161">
        <f t="shared" si="597"/>
        <v>28.491725769042574</v>
      </c>
      <c r="U3615" s="158">
        <f t="shared" si="599"/>
        <v>7.4326241134751774</v>
      </c>
      <c r="V3615" s="160">
        <f t="shared" si="598"/>
        <v>7</v>
      </c>
    </row>
    <row r="3616" spans="1:22" x14ac:dyDescent="0.25">
      <c r="A3616" s="98" t="s">
        <v>29</v>
      </c>
      <c r="B3616" s="98" t="s">
        <v>105</v>
      </c>
      <c r="C3616" s="98">
        <v>68</v>
      </c>
      <c r="D3616" s="98">
        <v>350</v>
      </c>
      <c r="E3616" s="157">
        <v>41471.958333333336</v>
      </c>
      <c r="F3616" s="157">
        <v>41472.125</v>
      </c>
      <c r="G3616" s="98">
        <v>325</v>
      </c>
      <c r="H3616" s="98">
        <v>423</v>
      </c>
      <c r="I3616" s="98">
        <v>393</v>
      </c>
      <c r="J3616" s="98" t="s">
        <v>1976</v>
      </c>
      <c r="K3616" s="98" t="s">
        <v>1510</v>
      </c>
      <c r="L3616" s="105" t="str">
        <f t="shared" si="590"/>
        <v>Mill Creek</v>
      </c>
      <c r="M3616" s="105" t="str">
        <f t="shared" si="591"/>
        <v>Derate</v>
      </c>
      <c r="N3616" s="105" t="str">
        <f t="shared" si="592"/>
        <v>Coal</v>
      </c>
      <c r="O3616" s="105">
        <f>IFERROR(VLOOKUP(A3616,Lookup!$J$5:$P$19,7,FALSE),0)</f>
        <v>3</v>
      </c>
      <c r="P3616" s="159">
        <f t="shared" si="593"/>
        <v>2013</v>
      </c>
      <c r="Q3616" s="159">
        <f t="shared" si="594"/>
        <v>7</v>
      </c>
      <c r="R3616" s="160">
        <f t="shared" si="595"/>
        <v>3.9999999999417923</v>
      </c>
      <c r="S3616" s="158">
        <f t="shared" si="596"/>
        <v>0.92671394797705831</v>
      </c>
      <c r="T3616" s="161">
        <f t="shared" si="597"/>
        <v>364.19858155498389</v>
      </c>
      <c r="U3616" s="158">
        <f t="shared" si="599"/>
        <v>91.049645390070921</v>
      </c>
      <c r="V3616" s="160">
        <f t="shared" si="598"/>
        <v>91</v>
      </c>
    </row>
    <row r="3617" spans="1:22" x14ac:dyDescent="0.25">
      <c r="A3617" s="98" t="s">
        <v>29</v>
      </c>
      <c r="B3617" s="98" t="s">
        <v>17</v>
      </c>
      <c r="C3617" s="98">
        <v>69</v>
      </c>
      <c r="D3617" s="98">
        <v>1710</v>
      </c>
      <c r="E3617" s="157">
        <v>41478.527777777781</v>
      </c>
      <c r="F3617" s="157">
        <v>41478.607638888891</v>
      </c>
      <c r="G3617" s="98">
        <v>408</v>
      </c>
      <c r="H3617" s="98">
        <v>423</v>
      </c>
      <c r="I3617" s="98">
        <v>393</v>
      </c>
      <c r="J3617" s="98" t="s">
        <v>2020</v>
      </c>
      <c r="K3617" s="98" t="s">
        <v>718</v>
      </c>
      <c r="L3617" s="105" t="str">
        <f t="shared" si="590"/>
        <v>Mill Creek</v>
      </c>
      <c r="M3617" s="105" t="str">
        <f t="shared" si="591"/>
        <v>Derate</v>
      </c>
      <c r="N3617" s="105" t="str">
        <f t="shared" si="592"/>
        <v>Coal</v>
      </c>
      <c r="O3617" s="105">
        <f>IFERROR(VLOOKUP(A3617,Lookup!$J$5:$P$19,7,FALSE),0)</f>
        <v>3</v>
      </c>
      <c r="P3617" s="159">
        <f t="shared" si="593"/>
        <v>2013</v>
      </c>
      <c r="Q3617" s="159">
        <f t="shared" si="594"/>
        <v>7</v>
      </c>
      <c r="R3617" s="160">
        <f t="shared" si="595"/>
        <v>1.9166666666278616</v>
      </c>
      <c r="S3617" s="158">
        <f t="shared" si="596"/>
        <v>6.7966903071909987E-2</v>
      </c>
      <c r="T3617" s="161">
        <f t="shared" si="597"/>
        <v>26.710992907260625</v>
      </c>
      <c r="U3617" s="158">
        <f t="shared" si="599"/>
        <v>13.936170212765957</v>
      </c>
      <c r="V3617" s="160">
        <f t="shared" si="598"/>
        <v>14</v>
      </c>
    </row>
    <row r="3618" spans="1:22" x14ac:dyDescent="0.25">
      <c r="A3618" s="98" t="s">
        <v>29</v>
      </c>
      <c r="B3618" s="98" t="s">
        <v>17</v>
      </c>
      <c r="C3618" s="98">
        <v>70</v>
      </c>
      <c r="D3618" s="98">
        <v>1710</v>
      </c>
      <c r="E3618" s="157">
        <v>41478.607638888891</v>
      </c>
      <c r="F3618" s="157">
        <v>41478.75277777778</v>
      </c>
      <c r="G3618" s="98">
        <v>416</v>
      </c>
      <c r="H3618" s="98">
        <v>423</v>
      </c>
      <c r="I3618" s="98">
        <v>393</v>
      </c>
      <c r="J3618" s="98" t="s">
        <v>2020</v>
      </c>
      <c r="K3618" s="98" t="s">
        <v>718</v>
      </c>
      <c r="L3618" s="105" t="str">
        <f t="shared" si="590"/>
        <v>Mill Creek</v>
      </c>
      <c r="M3618" s="105" t="str">
        <f t="shared" si="591"/>
        <v>Derate</v>
      </c>
      <c r="N3618" s="105" t="str">
        <f t="shared" si="592"/>
        <v>Coal</v>
      </c>
      <c r="O3618" s="105">
        <f>IFERROR(VLOOKUP(A3618,Lookup!$J$5:$P$19,7,FALSE),0)</f>
        <v>3</v>
      </c>
      <c r="P3618" s="159">
        <f t="shared" si="593"/>
        <v>2013</v>
      </c>
      <c r="Q3618" s="159">
        <f t="shared" si="594"/>
        <v>7</v>
      </c>
      <c r="R3618" s="160">
        <f t="shared" si="595"/>
        <v>3.4833333333372138</v>
      </c>
      <c r="S3618" s="158">
        <f t="shared" si="596"/>
        <v>5.764381402685697E-2</v>
      </c>
      <c r="T3618" s="161">
        <f t="shared" si="597"/>
        <v>22.65401891255479</v>
      </c>
      <c r="U3618" s="158">
        <f t="shared" si="599"/>
        <v>6.5035460992907801</v>
      </c>
      <c r="V3618" s="160">
        <f t="shared" si="598"/>
        <v>7</v>
      </c>
    </row>
    <row r="3619" spans="1:22" x14ac:dyDescent="0.25">
      <c r="A3619" s="98" t="s">
        <v>29</v>
      </c>
      <c r="B3619" s="98" t="s">
        <v>79</v>
      </c>
      <c r="C3619" s="98">
        <v>71</v>
      </c>
      <c r="D3619" s="98">
        <v>9999</v>
      </c>
      <c r="E3619" s="157">
        <v>41486.375</v>
      </c>
      <c r="F3619" s="157">
        <v>41486.541666666664</v>
      </c>
      <c r="G3619" s="98">
        <v>0</v>
      </c>
      <c r="H3619" s="98">
        <v>423</v>
      </c>
      <c r="I3619" s="98">
        <v>393</v>
      </c>
      <c r="J3619" s="98" t="s">
        <v>2261</v>
      </c>
      <c r="K3619" s="98" t="s">
        <v>1356</v>
      </c>
      <c r="L3619" s="105" t="str">
        <f t="shared" si="590"/>
        <v>Mill Creek</v>
      </c>
      <c r="M3619" s="105" t="str">
        <f t="shared" si="591"/>
        <v>Other</v>
      </c>
      <c r="N3619" s="105" t="str">
        <f t="shared" si="592"/>
        <v>Coal</v>
      </c>
      <c r="O3619" s="105">
        <f>IFERROR(VLOOKUP(A3619,Lookup!$J$5:$P$19,7,FALSE),0)</f>
        <v>3</v>
      </c>
      <c r="P3619" s="159">
        <f t="shared" si="593"/>
        <v>2013</v>
      </c>
      <c r="Q3619" s="159">
        <f t="shared" si="594"/>
        <v>7</v>
      </c>
      <c r="R3619" s="160">
        <f t="shared" si="595"/>
        <v>3.9999999999417923</v>
      </c>
      <c r="S3619" s="158">
        <f t="shared" si="596"/>
        <v>3.9999999999417923</v>
      </c>
      <c r="T3619" s="161">
        <f t="shared" si="597"/>
        <v>1571.9999999771244</v>
      </c>
      <c r="U3619" s="158">
        <f t="shared" si="599"/>
        <v>393</v>
      </c>
      <c r="V3619" s="160">
        <f t="shared" si="598"/>
        <v>393</v>
      </c>
    </row>
    <row r="3620" spans="1:22" x14ac:dyDescent="0.25">
      <c r="A3620" s="98" t="s">
        <v>29</v>
      </c>
      <c r="B3620" s="98" t="s">
        <v>17</v>
      </c>
      <c r="C3620" s="98">
        <v>72</v>
      </c>
      <c r="D3620" s="98">
        <v>360</v>
      </c>
      <c r="E3620" s="157">
        <v>41488.083333333336</v>
      </c>
      <c r="F3620" s="157">
        <v>41488.113194444442</v>
      </c>
      <c r="G3620" s="98">
        <v>330</v>
      </c>
      <c r="H3620" s="98">
        <v>423</v>
      </c>
      <c r="I3620" s="98">
        <v>393</v>
      </c>
      <c r="J3620" s="98" t="s">
        <v>229</v>
      </c>
      <c r="K3620" s="98" t="s">
        <v>1511</v>
      </c>
      <c r="L3620" s="105" t="str">
        <f t="shared" si="590"/>
        <v>Mill Creek</v>
      </c>
      <c r="M3620" s="105" t="str">
        <f t="shared" si="591"/>
        <v>Derate</v>
      </c>
      <c r="N3620" s="105" t="str">
        <f t="shared" si="592"/>
        <v>Coal</v>
      </c>
      <c r="O3620" s="105">
        <f>IFERROR(VLOOKUP(A3620,Lookup!$J$5:$P$19,7,FALSE),0)</f>
        <v>3</v>
      </c>
      <c r="P3620" s="159">
        <f t="shared" si="593"/>
        <v>2013</v>
      </c>
      <c r="Q3620" s="159">
        <f t="shared" si="594"/>
        <v>8</v>
      </c>
      <c r="R3620" s="160">
        <f t="shared" si="595"/>
        <v>0.71666666655801237</v>
      </c>
      <c r="S3620" s="158">
        <f t="shared" si="596"/>
        <v>0.15756501179644244</v>
      </c>
      <c r="T3620" s="161">
        <f t="shared" si="597"/>
        <v>61.923049636001878</v>
      </c>
      <c r="U3620" s="158">
        <f t="shared" si="599"/>
        <v>86.40425531914893</v>
      </c>
      <c r="V3620" s="160">
        <f t="shared" si="598"/>
        <v>86</v>
      </c>
    </row>
    <row r="3621" spans="1:22" x14ac:dyDescent="0.25">
      <c r="A3621" s="98" t="s">
        <v>29</v>
      </c>
      <c r="B3621" s="98" t="s">
        <v>20</v>
      </c>
      <c r="C3621" s="98">
        <v>73</v>
      </c>
      <c r="D3621" s="98">
        <v>3110</v>
      </c>
      <c r="E3621" s="157">
        <v>41488.89166666667</v>
      </c>
      <c r="F3621" s="157">
        <v>41490.143750000003</v>
      </c>
      <c r="G3621" s="98">
        <v>0</v>
      </c>
      <c r="H3621" s="98">
        <v>423</v>
      </c>
      <c r="I3621" s="98">
        <v>393</v>
      </c>
      <c r="J3621" s="98" t="s">
        <v>2119</v>
      </c>
      <c r="K3621" s="98" t="s">
        <v>31</v>
      </c>
      <c r="L3621" s="105" t="str">
        <f t="shared" si="590"/>
        <v>Mill Creek</v>
      </c>
      <c r="M3621" s="105" t="str">
        <f t="shared" si="591"/>
        <v>Maintenance</v>
      </c>
      <c r="N3621" s="105" t="str">
        <f t="shared" si="592"/>
        <v>Coal</v>
      </c>
      <c r="O3621" s="105">
        <f>IFERROR(VLOOKUP(A3621,Lookup!$J$5:$P$19,7,FALSE),0)</f>
        <v>3</v>
      </c>
      <c r="P3621" s="159">
        <f t="shared" si="593"/>
        <v>2013</v>
      </c>
      <c r="Q3621" s="159">
        <f t="shared" si="594"/>
        <v>8</v>
      </c>
      <c r="R3621" s="160">
        <f t="shared" si="595"/>
        <v>30.049999999988358</v>
      </c>
      <c r="S3621" s="158">
        <f t="shared" si="596"/>
        <v>30.049999999988358</v>
      </c>
      <c r="T3621" s="161">
        <f t="shared" si="597"/>
        <v>11809.649999995425</v>
      </c>
      <c r="U3621" s="158">
        <f t="shared" si="599"/>
        <v>393</v>
      </c>
      <c r="V3621" s="160">
        <f t="shared" si="598"/>
        <v>393</v>
      </c>
    </row>
    <row r="3622" spans="1:22" x14ac:dyDescent="0.25">
      <c r="A3622" s="98" t="s">
        <v>29</v>
      </c>
      <c r="B3622" s="98" t="s">
        <v>79</v>
      </c>
      <c r="C3622" s="98">
        <v>74</v>
      </c>
      <c r="D3622" s="98">
        <v>1850</v>
      </c>
      <c r="E3622" s="157">
        <v>41490.143750000003</v>
      </c>
      <c r="F3622" s="157">
        <v>41490.674305555556</v>
      </c>
      <c r="G3622" s="98">
        <v>0</v>
      </c>
      <c r="H3622" s="98">
        <v>423</v>
      </c>
      <c r="I3622" s="98">
        <v>393</v>
      </c>
      <c r="J3622" s="98" t="s">
        <v>2263</v>
      </c>
      <c r="K3622" s="98" t="s">
        <v>86</v>
      </c>
      <c r="L3622" s="105" t="str">
        <f t="shared" ref="L3622:L3685" si="600">IF(OR(A3622="BR1",A3622="BR2",A3622="BR3",A3622="BR5",A3622="BR6",A3622="BR7",A3622="BR8",A3622="BR9",A3622="BR10",A3622="BR11"),"Brown",IF(OR(A3622="CR4",A3622="CR5",A3622="CR6",A3622="CR11"),"Cane Run",IF(OR(A3622="GH1",A3622="GH2",A3622="GH3",A3622="GH4"),"Ghent",IF(OR(A3622="GR3",A3622="GR4"),"Green River",IF(OR(A3622="MC1",A3622="MC2",A3622="MC3",A3622="MC4"),"Mill Creek",IF(OR(A3622="TC1",A3622="TC2",A3622="TC5",A3622="TC6",A3622="TC7",A3622="TC8",A3622="TC9",A3622="TC10"),"Trimble",IF(A3622="TY3","Tyrone",IF(OR(A3622="HA1",A3622="HA2",A3622="HA3"),"Haeflin",IF(OR(A3622="PR11",A3622="PR12",A3622="PR13"),"Paddy's Run","Zorn")))))))))</f>
        <v>Mill Creek</v>
      </c>
      <c r="M3622" s="105" t="str">
        <f t="shared" ref="M3622:M3685" si="601">IF(OR(B3622="D1",B3622="D2",B3622="D3",B3622="D4",B3622="PD"),"Derate",IF(OR(B3622="SF",B3622="U1",B3622="U2",B3622="U3"),"Outage",IF(OR(B3622="ME",B3622="MO"),"Maintenance","Other")))</f>
        <v>Other</v>
      </c>
      <c r="N3622" s="105" t="str">
        <f t="shared" ref="N3622:N3685" si="602">IF(OR(A3622="BR1",A3622="BR2",A3622="BR3",A3622="CR4",A3622="CR5",A3622="CR6",A3622="GH1",A3622="GH2",A3622="GH3",A3622="GH4",A3622="GR3",A3622="GR4",A3622="MC1",A3622="MC2",A3622="MC3",A3622="MC4",A3622="TC1",A3622="TC2",A3622="TY3"),"Coal","Gas")</f>
        <v>Coal</v>
      </c>
      <c r="O3622" s="105">
        <f>IFERROR(VLOOKUP(A3622,Lookup!$J$5:$P$19,7,FALSE),0)</f>
        <v>3</v>
      </c>
      <c r="P3622" s="159">
        <f t="shared" ref="P3622:P3685" si="603">YEAR(E3622)</f>
        <v>2013</v>
      </c>
      <c r="Q3622" s="159">
        <f t="shared" ref="Q3622:Q3685" si="604">MONTH(E3622)</f>
        <v>8</v>
      </c>
      <c r="R3622" s="160">
        <f t="shared" ref="R3622:R3685" si="605">(F3622-E3622)*24</f>
        <v>12.733333333279006</v>
      </c>
      <c r="S3622" s="158">
        <f t="shared" ref="S3622:S3685" si="606">R3622*(H3622-G3622)/H3622</f>
        <v>12.733333333279006</v>
      </c>
      <c r="T3622" s="161">
        <f t="shared" ref="T3622:T3685" si="607">S3622*I3622</f>
        <v>5004.1999999786494</v>
      </c>
      <c r="U3622" s="158">
        <f t="shared" si="599"/>
        <v>393</v>
      </c>
      <c r="V3622" s="160">
        <f t="shared" ref="V3622:V3685" si="608">ROUND(U3622,0)</f>
        <v>393</v>
      </c>
    </row>
    <row r="3623" spans="1:22" x14ac:dyDescent="0.25">
      <c r="A3623" s="98" t="s">
        <v>29</v>
      </c>
      <c r="B3623" s="98" t="s">
        <v>17</v>
      </c>
      <c r="C3623" s="98">
        <v>75</v>
      </c>
      <c r="D3623" s="98">
        <v>3412</v>
      </c>
      <c r="E3623" s="157">
        <v>41491.143055555556</v>
      </c>
      <c r="F3623" s="157">
        <v>41491.292361111111</v>
      </c>
      <c r="G3623" s="98">
        <v>140</v>
      </c>
      <c r="H3623" s="98">
        <v>423</v>
      </c>
      <c r="I3623" s="98">
        <v>393</v>
      </c>
      <c r="J3623" s="98" t="s">
        <v>2162</v>
      </c>
      <c r="K3623" s="98" t="s">
        <v>1512</v>
      </c>
      <c r="L3623" s="105" t="str">
        <f t="shared" si="600"/>
        <v>Mill Creek</v>
      </c>
      <c r="M3623" s="105" t="str">
        <f t="shared" si="601"/>
        <v>Derate</v>
      </c>
      <c r="N3623" s="105" t="str">
        <f t="shared" si="602"/>
        <v>Coal</v>
      </c>
      <c r="O3623" s="105">
        <f>IFERROR(VLOOKUP(A3623,Lookup!$J$5:$P$19,7,FALSE),0)</f>
        <v>3</v>
      </c>
      <c r="P3623" s="159">
        <f t="shared" si="603"/>
        <v>2013</v>
      </c>
      <c r="Q3623" s="159">
        <f t="shared" si="604"/>
        <v>8</v>
      </c>
      <c r="R3623" s="160">
        <f t="shared" si="605"/>
        <v>3.5833333333139308</v>
      </c>
      <c r="S3623" s="158">
        <f t="shared" si="606"/>
        <v>2.3973601260705495</v>
      </c>
      <c r="T3623" s="161">
        <f t="shared" si="607"/>
        <v>942.16252954572599</v>
      </c>
      <c r="U3623" s="158">
        <f t="shared" ref="U3623:U3686" si="609">IF(G3623&gt;0,MAX((H3623-G3623),0)*I3623/H3623,I3623)</f>
        <v>262.92907801418437</v>
      </c>
      <c r="V3623" s="160">
        <f t="shared" si="608"/>
        <v>263</v>
      </c>
    </row>
    <row r="3624" spans="1:22" x14ac:dyDescent="0.25">
      <c r="A3624" s="98" t="s">
        <v>29</v>
      </c>
      <c r="B3624" s="98" t="s">
        <v>17</v>
      </c>
      <c r="C3624" s="98">
        <v>76</v>
      </c>
      <c r="D3624" s="98">
        <v>360</v>
      </c>
      <c r="E3624" s="157">
        <v>41491.363194444442</v>
      </c>
      <c r="F3624" s="157">
        <v>41491.404166666667</v>
      </c>
      <c r="G3624" s="98">
        <v>330</v>
      </c>
      <c r="H3624" s="98">
        <v>423</v>
      </c>
      <c r="I3624" s="98">
        <v>393</v>
      </c>
      <c r="J3624" s="98" t="s">
        <v>229</v>
      </c>
      <c r="K3624" s="98" t="s">
        <v>1513</v>
      </c>
      <c r="L3624" s="105" t="str">
        <f t="shared" si="600"/>
        <v>Mill Creek</v>
      </c>
      <c r="M3624" s="105" t="str">
        <f t="shared" si="601"/>
        <v>Derate</v>
      </c>
      <c r="N3624" s="105" t="str">
        <f t="shared" si="602"/>
        <v>Coal</v>
      </c>
      <c r="O3624" s="105">
        <f>IFERROR(VLOOKUP(A3624,Lookup!$J$5:$P$19,7,FALSE),0)</f>
        <v>3</v>
      </c>
      <c r="P3624" s="159">
        <f t="shared" si="603"/>
        <v>2013</v>
      </c>
      <c r="Q3624" s="159">
        <f t="shared" si="604"/>
        <v>8</v>
      </c>
      <c r="R3624" s="160">
        <f t="shared" si="605"/>
        <v>0.9833333333954215</v>
      </c>
      <c r="S3624" s="158">
        <f t="shared" si="606"/>
        <v>0.21619385344154657</v>
      </c>
      <c r="T3624" s="161">
        <f t="shared" si="607"/>
        <v>84.964184402527806</v>
      </c>
      <c r="U3624" s="158">
        <f t="shared" si="609"/>
        <v>86.40425531914893</v>
      </c>
      <c r="V3624" s="160">
        <f t="shared" si="608"/>
        <v>86</v>
      </c>
    </row>
    <row r="3625" spans="1:22" x14ac:dyDescent="0.25">
      <c r="A3625" s="98" t="s">
        <v>29</v>
      </c>
      <c r="B3625" s="98" t="s">
        <v>17</v>
      </c>
      <c r="C3625" s="98">
        <v>77</v>
      </c>
      <c r="D3625" s="98">
        <v>360</v>
      </c>
      <c r="E3625" s="157">
        <v>41493.081250000003</v>
      </c>
      <c r="F3625" s="157">
        <v>41493.272222222222</v>
      </c>
      <c r="G3625" s="98">
        <v>320</v>
      </c>
      <c r="H3625" s="98">
        <v>423</v>
      </c>
      <c r="I3625" s="98">
        <v>393</v>
      </c>
      <c r="J3625" s="98" t="s">
        <v>229</v>
      </c>
      <c r="K3625" s="98" t="s">
        <v>1514</v>
      </c>
      <c r="L3625" s="105" t="str">
        <f t="shared" si="600"/>
        <v>Mill Creek</v>
      </c>
      <c r="M3625" s="105" t="str">
        <f t="shared" si="601"/>
        <v>Derate</v>
      </c>
      <c r="N3625" s="105" t="str">
        <f t="shared" si="602"/>
        <v>Coal</v>
      </c>
      <c r="O3625" s="105">
        <f>IFERROR(VLOOKUP(A3625,Lookup!$J$5:$P$19,7,FALSE),0)</f>
        <v>3</v>
      </c>
      <c r="P3625" s="159">
        <f t="shared" si="603"/>
        <v>2013</v>
      </c>
      <c r="Q3625" s="159">
        <f t="shared" si="604"/>
        <v>8</v>
      </c>
      <c r="R3625" s="160">
        <f t="shared" si="605"/>
        <v>4.5833333332557231</v>
      </c>
      <c r="S3625" s="158">
        <f t="shared" si="606"/>
        <v>1.1160362489960745</v>
      </c>
      <c r="T3625" s="161">
        <f t="shared" si="607"/>
        <v>438.60224585545728</v>
      </c>
      <c r="U3625" s="158">
        <f t="shared" si="609"/>
        <v>95.695035460992912</v>
      </c>
      <c r="V3625" s="160">
        <f t="shared" si="608"/>
        <v>96</v>
      </c>
    </row>
    <row r="3626" spans="1:22" x14ac:dyDescent="0.25">
      <c r="A3626" s="98" t="s">
        <v>29</v>
      </c>
      <c r="B3626" s="98" t="s">
        <v>17</v>
      </c>
      <c r="C3626" s="98">
        <v>78</v>
      </c>
      <c r="D3626" s="98">
        <v>3149</v>
      </c>
      <c r="E3626" s="157">
        <v>41493.775694444441</v>
      </c>
      <c r="F3626" s="157">
        <v>41493.849305555559</v>
      </c>
      <c r="G3626" s="98">
        <v>410</v>
      </c>
      <c r="H3626" s="98">
        <v>423</v>
      </c>
      <c r="I3626" s="98">
        <v>393</v>
      </c>
      <c r="J3626" s="98" t="s">
        <v>2034</v>
      </c>
      <c r="K3626" s="98" t="s">
        <v>1515</v>
      </c>
      <c r="L3626" s="105" t="str">
        <f t="shared" si="600"/>
        <v>Mill Creek</v>
      </c>
      <c r="M3626" s="105" t="str">
        <f t="shared" si="601"/>
        <v>Derate</v>
      </c>
      <c r="N3626" s="105" t="str">
        <f t="shared" si="602"/>
        <v>Coal</v>
      </c>
      <c r="O3626" s="105">
        <f>IFERROR(VLOOKUP(A3626,Lookup!$J$5:$P$19,7,FALSE),0)</f>
        <v>3</v>
      </c>
      <c r="P3626" s="159">
        <f t="shared" si="603"/>
        <v>2013</v>
      </c>
      <c r="Q3626" s="159">
        <f t="shared" si="604"/>
        <v>8</v>
      </c>
      <c r="R3626" s="160">
        <f t="shared" si="605"/>
        <v>1.7666666668374091</v>
      </c>
      <c r="S3626" s="158">
        <f t="shared" si="606"/>
        <v>5.4294720257414462E-2</v>
      </c>
      <c r="T3626" s="161">
        <f t="shared" si="607"/>
        <v>21.337825061163883</v>
      </c>
      <c r="U3626" s="158">
        <f t="shared" si="609"/>
        <v>12.078014184397164</v>
      </c>
      <c r="V3626" s="160">
        <f t="shared" si="608"/>
        <v>12</v>
      </c>
    </row>
    <row r="3627" spans="1:22" x14ac:dyDescent="0.25">
      <c r="A3627" s="98" t="s">
        <v>29</v>
      </c>
      <c r="B3627" s="98" t="s">
        <v>17</v>
      </c>
      <c r="C3627" s="98">
        <v>79</v>
      </c>
      <c r="D3627" s="98">
        <v>3149</v>
      </c>
      <c r="E3627" s="157">
        <v>41495.581944444442</v>
      </c>
      <c r="F3627" s="157">
        <v>41495.659722222219</v>
      </c>
      <c r="G3627" s="98">
        <v>417</v>
      </c>
      <c r="H3627" s="98">
        <v>423</v>
      </c>
      <c r="I3627" s="98">
        <v>393</v>
      </c>
      <c r="J3627" s="98" t="s">
        <v>2034</v>
      </c>
      <c r="K3627" s="98" t="s">
        <v>40</v>
      </c>
      <c r="L3627" s="105" t="str">
        <f t="shared" si="600"/>
        <v>Mill Creek</v>
      </c>
      <c r="M3627" s="105" t="str">
        <f t="shared" si="601"/>
        <v>Derate</v>
      </c>
      <c r="N3627" s="105" t="str">
        <f t="shared" si="602"/>
        <v>Coal</v>
      </c>
      <c r="O3627" s="105">
        <f>IFERROR(VLOOKUP(A3627,Lookup!$J$5:$P$19,7,FALSE),0)</f>
        <v>3</v>
      </c>
      <c r="P3627" s="159">
        <f t="shared" si="603"/>
        <v>2013</v>
      </c>
      <c r="Q3627" s="159">
        <f t="shared" si="604"/>
        <v>8</v>
      </c>
      <c r="R3627" s="160">
        <f t="shared" si="605"/>
        <v>1.8666666666395031</v>
      </c>
      <c r="S3627" s="158">
        <f t="shared" si="606"/>
        <v>2.6477541370773093E-2</v>
      </c>
      <c r="T3627" s="161">
        <f t="shared" si="607"/>
        <v>10.405673758713826</v>
      </c>
      <c r="U3627" s="158">
        <f t="shared" si="609"/>
        <v>5.5744680851063828</v>
      </c>
      <c r="V3627" s="160">
        <f t="shared" si="608"/>
        <v>6</v>
      </c>
    </row>
    <row r="3628" spans="1:22" x14ac:dyDescent="0.25">
      <c r="A3628" s="98" t="s">
        <v>29</v>
      </c>
      <c r="B3628" s="98" t="s">
        <v>17</v>
      </c>
      <c r="C3628" s="98">
        <v>80</v>
      </c>
      <c r="D3628" s="98">
        <v>3149</v>
      </c>
      <c r="E3628" s="157">
        <v>41495.659722222219</v>
      </c>
      <c r="F3628" s="157">
        <v>41495.670138888891</v>
      </c>
      <c r="G3628" s="98">
        <v>410</v>
      </c>
      <c r="H3628" s="98">
        <v>423</v>
      </c>
      <c r="I3628" s="98">
        <v>393</v>
      </c>
      <c r="J3628" s="98" t="s">
        <v>2034</v>
      </c>
      <c r="K3628" s="98" t="s">
        <v>40</v>
      </c>
      <c r="L3628" s="105" t="str">
        <f t="shared" si="600"/>
        <v>Mill Creek</v>
      </c>
      <c r="M3628" s="105" t="str">
        <f t="shared" si="601"/>
        <v>Derate</v>
      </c>
      <c r="N3628" s="105" t="str">
        <f t="shared" si="602"/>
        <v>Coal</v>
      </c>
      <c r="O3628" s="105">
        <f>IFERROR(VLOOKUP(A3628,Lookup!$J$5:$P$19,7,FALSE),0)</f>
        <v>3</v>
      </c>
      <c r="P3628" s="159">
        <f t="shared" si="603"/>
        <v>2013</v>
      </c>
      <c r="Q3628" s="159">
        <f t="shared" si="604"/>
        <v>8</v>
      </c>
      <c r="R3628" s="160">
        <f t="shared" si="605"/>
        <v>0.25000000011641532</v>
      </c>
      <c r="S3628" s="158">
        <f t="shared" si="606"/>
        <v>7.6832151336014166E-3</v>
      </c>
      <c r="T3628" s="161">
        <f t="shared" si="607"/>
        <v>3.0195035475053569</v>
      </c>
      <c r="U3628" s="158">
        <f t="shared" si="609"/>
        <v>12.078014184397164</v>
      </c>
      <c r="V3628" s="160">
        <f t="shared" si="608"/>
        <v>12</v>
      </c>
    </row>
    <row r="3629" spans="1:22" x14ac:dyDescent="0.25">
      <c r="A3629" s="98" t="s">
        <v>29</v>
      </c>
      <c r="B3629" s="98" t="s">
        <v>17</v>
      </c>
      <c r="C3629" s="98">
        <v>81</v>
      </c>
      <c r="D3629" s="98">
        <v>3149</v>
      </c>
      <c r="E3629" s="157">
        <v>41495.670138888891</v>
      </c>
      <c r="F3629" s="157">
        <v>41495.786111111112</v>
      </c>
      <c r="G3629" s="98">
        <v>405</v>
      </c>
      <c r="H3629" s="98">
        <v>423</v>
      </c>
      <c r="I3629" s="98">
        <v>393</v>
      </c>
      <c r="J3629" s="98" t="s">
        <v>2034</v>
      </c>
      <c r="K3629" s="98" t="s">
        <v>40</v>
      </c>
      <c r="L3629" s="105" t="str">
        <f t="shared" si="600"/>
        <v>Mill Creek</v>
      </c>
      <c r="M3629" s="105" t="str">
        <f t="shared" si="601"/>
        <v>Derate</v>
      </c>
      <c r="N3629" s="105" t="str">
        <f t="shared" si="602"/>
        <v>Coal</v>
      </c>
      <c r="O3629" s="105">
        <f>IFERROR(VLOOKUP(A3629,Lookup!$J$5:$P$19,7,FALSE),0)</f>
        <v>3</v>
      </c>
      <c r="P3629" s="159">
        <f t="shared" si="603"/>
        <v>2013</v>
      </c>
      <c r="Q3629" s="159">
        <f t="shared" si="604"/>
        <v>8</v>
      </c>
      <c r="R3629" s="160">
        <f t="shared" si="605"/>
        <v>2.7833333333255723</v>
      </c>
      <c r="S3629" s="158">
        <f t="shared" si="606"/>
        <v>0.11843971631172648</v>
      </c>
      <c r="T3629" s="161">
        <f t="shared" si="607"/>
        <v>46.546808510508505</v>
      </c>
      <c r="U3629" s="158">
        <f t="shared" si="609"/>
        <v>16.723404255319149</v>
      </c>
      <c r="V3629" s="160">
        <f t="shared" si="608"/>
        <v>17</v>
      </c>
    </row>
    <row r="3630" spans="1:22" x14ac:dyDescent="0.25">
      <c r="A3630" s="98" t="s">
        <v>29</v>
      </c>
      <c r="B3630" s="98" t="s">
        <v>15</v>
      </c>
      <c r="C3630" s="98">
        <v>82</v>
      </c>
      <c r="D3630" s="98">
        <v>3662</v>
      </c>
      <c r="E3630" s="157">
        <v>41509.085416666669</v>
      </c>
      <c r="F3630" s="157">
        <v>41509.532638888886</v>
      </c>
      <c r="G3630" s="98">
        <v>0</v>
      </c>
      <c r="H3630" s="98">
        <v>423</v>
      </c>
      <c r="I3630" s="98">
        <v>393</v>
      </c>
      <c r="J3630" s="98" t="s">
        <v>2166</v>
      </c>
      <c r="K3630" s="98" t="s">
        <v>1516</v>
      </c>
      <c r="L3630" s="105" t="str">
        <f t="shared" si="600"/>
        <v>Mill Creek</v>
      </c>
      <c r="M3630" s="105" t="str">
        <f t="shared" si="601"/>
        <v>Outage</v>
      </c>
      <c r="N3630" s="105" t="str">
        <f t="shared" si="602"/>
        <v>Coal</v>
      </c>
      <c r="O3630" s="105">
        <f>IFERROR(VLOOKUP(A3630,Lookup!$J$5:$P$19,7,FALSE),0)</f>
        <v>3</v>
      </c>
      <c r="P3630" s="159">
        <f t="shared" si="603"/>
        <v>2013</v>
      </c>
      <c r="Q3630" s="159">
        <f t="shared" si="604"/>
        <v>8</v>
      </c>
      <c r="R3630" s="160">
        <f t="shared" si="605"/>
        <v>10.733333333220799</v>
      </c>
      <c r="S3630" s="158">
        <f t="shared" si="606"/>
        <v>10.733333333220799</v>
      </c>
      <c r="T3630" s="161">
        <f t="shared" si="607"/>
        <v>4218.1999999557738</v>
      </c>
      <c r="U3630" s="158">
        <f t="shared" si="609"/>
        <v>393</v>
      </c>
      <c r="V3630" s="160">
        <f t="shared" si="608"/>
        <v>393</v>
      </c>
    </row>
    <row r="3631" spans="1:22" x14ac:dyDescent="0.25">
      <c r="A3631" s="98" t="s">
        <v>29</v>
      </c>
      <c r="B3631" s="98" t="s">
        <v>105</v>
      </c>
      <c r="C3631" s="98">
        <v>83</v>
      </c>
      <c r="D3631" s="98">
        <v>260</v>
      </c>
      <c r="E3631" s="157">
        <v>41509.532638888886</v>
      </c>
      <c r="F3631" s="157">
        <v>41509.950694444444</v>
      </c>
      <c r="G3631" s="98">
        <v>325</v>
      </c>
      <c r="H3631" s="98">
        <v>423</v>
      </c>
      <c r="I3631" s="98">
        <v>393</v>
      </c>
      <c r="J3631" s="98" t="s">
        <v>1973</v>
      </c>
      <c r="K3631" s="98" t="s">
        <v>1517</v>
      </c>
      <c r="L3631" s="105" t="str">
        <f t="shared" si="600"/>
        <v>Mill Creek</v>
      </c>
      <c r="M3631" s="105" t="str">
        <f t="shared" si="601"/>
        <v>Derate</v>
      </c>
      <c r="N3631" s="105" t="str">
        <f t="shared" si="602"/>
        <v>Coal</v>
      </c>
      <c r="O3631" s="105">
        <f>IFERROR(VLOOKUP(A3631,Lookup!$J$5:$P$19,7,FALSE),0)</f>
        <v>3</v>
      </c>
      <c r="P3631" s="159">
        <f t="shared" si="603"/>
        <v>2013</v>
      </c>
      <c r="Q3631" s="159">
        <f t="shared" si="604"/>
        <v>8</v>
      </c>
      <c r="R3631" s="160">
        <f t="shared" si="605"/>
        <v>10.03333333338378</v>
      </c>
      <c r="S3631" s="158">
        <f t="shared" si="606"/>
        <v>2.3245074862213011</v>
      </c>
      <c r="T3631" s="161">
        <f t="shared" si="607"/>
        <v>913.53144208497133</v>
      </c>
      <c r="U3631" s="158">
        <f t="shared" si="609"/>
        <v>91.049645390070921</v>
      </c>
      <c r="V3631" s="160">
        <f t="shared" si="608"/>
        <v>91</v>
      </c>
    </row>
    <row r="3632" spans="1:22" x14ac:dyDescent="0.25">
      <c r="A3632" s="98" t="s">
        <v>29</v>
      </c>
      <c r="B3632" s="98" t="s">
        <v>105</v>
      </c>
      <c r="C3632" s="98">
        <v>84</v>
      </c>
      <c r="D3632" s="98">
        <v>260</v>
      </c>
      <c r="E3632" s="157">
        <v>41509.950694444444</v>
      </c>
      <c r="F3632" s="157">
        <v>41511.454861111109</v>
      </c>
      <c r="G3632" s="98">
        <v>335</v>
      </c>
      <c r="H3632" s="98">
        <v>423</v>
      </c>
      <c r="I3632" s="98">
        <v>393</v>
      </c>
      <c r="J3632" s="98" t="s">
        <v>1973</v>
      </c>
      <c r="K3632" s="98" t="s">
        <v>1517</v>
      </c>
      <c r="L3632" s="105" t="str">
        <f t="shared" si="600"/>
        <v>Mill Creek</v>
      </c>
      <c r="M3632" s="105" t="str">
        <f t="shared" si="601"/>
        <v>Derate</v>
      </c>
      <c r="N3632" s="105" t="str">
        <f t="shared" si="602"/>
        <v>Coal</v>
      </c>
      <c r="O3632" s="105">
        <f>IFERROR(VLOOKUP(A3632,Lookup!$J$5:$P$19,7,FALSE),0)</f>
        <v>3</v>
      </c>
      <c r="P3632" s="159">
        <f t="shared" si="603"/>
        <v>2013</v>
      </c>
      <c r="Q3632" s="159">
        <f t="shared" si="604"/>
        <v>8</v>
      </c>
      <c r="R3632" s="160">
        <f t="shared" si="605"/>
        <v>36.099999999976717</v>
      </c>
      <c r="S3632" s="158">
        <f t="shared" si="606"/>
        <v>7.5101654846287262</v>
      </c>
      <c r="T3632" s="161">
        <f t="shared" si="607"/>
        <v>2951.4950354590892</v>
      </c>
      <c r="U3632" s="158">
        <f t="shared" si="609"/>
        <v>81.758865248226954</v>
      </c>
      <c r="V3632" s="160">
        <f t="shared" si="608"/>
        <v>82</v>
      </c>
    </row>
    <row r="3633" spans="1:22" x14ac:dyDescent="0.25">
      <c r="A3633" s="98" t="s">
        <v>29</v>
      </c>
      <c r="B3633" s="98" t="s">
        <v>17</v>
      </c>
      <c r="C3633" s="98">
        <v>85</v>
      </c>
      <c r="D3633" s="98">
        <v>3236</v>
      </c>
      <c r="E3633" s="157">
        <v>41511.541666666664</v>
      </c>
      <c r="F3633" s="157">
        <v>41512.149305555555</v>
      </c>
      <c r="G3633" s="98">
        <v>360</v>
      </c>
      <c r="H3633" s="98">
        <v>423</v>
      </c>
      <c r="I3633" s="98">
        <v>393</v>
      </c>
      <c r="J3633" s="98" t="s">
        <v>2746</v>
      </c>
      <c r="K3633" s="98" t="s">
        <v>1518</v>
      </c>
      <c r="L3633" s="105" t="str">
        <f t="shared" si="600"/>
        <v>Mill Creek</v>
      </c>
      <c r="M3633" s="105" t="str">
        <f t="shared" si="601"/>
        <v>Derate</v>
      </c>
      <c r="N3633" s="105" t="str">
        <f t="shared" si="602"/>
        <v>Coal</v>
      </c>
      <c r="O3633" s="105">
        <f>IFERROR(VLOOKUP(A3633,Lookup!$J$5:$P$19,7,FALSE),0)</f>
        <v>3</v>
      </c>
      <c r="P3633" s="159">
        <f t="shared" si="603"/>
        <v>2013</v>
      </c>
      <c r="Q3633" s="159">
        <f t="shared" si="604"/>
        <v>8</v>
      </c>
      <c r="R3633" s="160">
        <f t="shared" si="605"/>
        <v>14.583333333372138</v>
      </c>
      <c r="S3633" s="158">
        <f t="shared" si="606"/>
        <v>2.1719858156086165</v>
      </c>
      <c r="T3633" s="161">
        <f t="shared" si="607"/>
        <v>853.59042553418624</v>
      </c>
      <c r="U3633" s="158">
        <f t="shared" si="609"/>
        <v>58.531914893617021</v>
      </c>
      <c r="V3633" s="160">
        <f t="shared" si="608"/>
        <v>59</v>
      </c>
    </row>
    <row r="3634" spans="1:22" x14ac:dyDescent="0.25">
      <c r="A3634" s="98" t="s">
        <v>29</v>
      </c>
      <c r="B3634" s="98" t="s">
        <v>17</v>
      </c>
      <c r="C3634" s="98">
        <v>86</v>
      </c>
      <c r="D3634" s="98">
        <v>3236</v>
      </c>
      <c r="E3634" s="157">
        <v>41512.149305555555</v>
      </c>
      <c r="F3634" s="157">
        <v>41512.208333333336</v>
      </c>
      <c r="G3634" s="98">
        <v>385</v>
      </c>
      <c r="H3634" s="98">
        <v>423</v>
      </c>
      <c r="I3634" s="98">
        <v>393</v>
      </c>
      <c r="J3634" s="98" t="s">
        <v>2746</v>
      </c>
      <c r="K3634" s="98" t="s">
        <v>1518</v>
      </c>
      <c r="L3634" s="105" t="str">
        <f t="shared" si="600"/>
        <v>Mill Creek</v>
      </c>
      <c r="M3634" s="105" t="str">
        <f t="shared" si="601"/>
        <v>Derate</v>
      </c>
      <c r="N3634" s="105" t="str">
        <f t="shared" si="602"/>
        <v>Coal</v>
      </c>
      <c r="O3634" s="105">
        <f>IFERROR(VLOOKUP(A3634,Lookup!$J$5:$P$19,7,FALSE),0)</f>
        <v>3</v>
      </c>
      <c r="P3634" s="159">
        <f t="shared" si="603"/>
        <v>2013</v>
      </c>
      <c r="Q3634" s="159">
        <f t="shared" si="604"/>
        <v>8</v>
      </c>
      <c r="R3634" s="160">
        <f t="shared" si="605"/>
        <v>1.4166666667442769</v>
      </c>
      <c r="S3634" s="158">
        <f t="shared" si="606"/>
        <v>0.12726556344274828</v>
      </c>
      <c r="T3634" s="161">
        <f t="shared" si="607"/>
        <v>50.015366433000075</v>
      </c>
      <c r="U3634" s="158">
        <f t="shared" si="609"/>
        <v>35.304964539007095</v>
      </c>
      <c r="V3634" s="160">
        <f t="shared" si="608"/>
        <v>35</v>
      </c>
    </row>
    <row r="3635" spans="1:22" x14ac:dyDescent="0.25">
      <c r="A3635" s="98" t="s">
        <v>29</v>
      </c>
      <c r="B3635" s="98" t="s">
        <v>17</v>
      </c>
      <c r="C3635" s="98">
        <v>87</v>
      </c>
      <c r="D3635" s="98">
        <v>3236</v>
      </c>
      <c r="E3635" s="157">
        <v>41512.208333333336</v>
      </c>
      <c r="F3635" s="157">
        <v>41512.425000000003</v>
      </c>
      <c r="G3635" s="98">
        <v>365</v>
      </c>
      <c r="H3635" s="98">
        <v>423</v>
      </c>
      <c r="I3635" s="98">
        <v>393</v>
      </c>
      <c r="J3635" s="98" t="s">
        <v>2746</v>
      </c>
      <c r="K3635" s="98" t="s">
        <v>1518</v>
      </c>
      <c r="L3635" s="105" t="str">
        <f t="shared" si="600"/>
        <v>Mill Creek</v>
      </c>
      <c r="M3635" s="105" t="str">
        <f t="shared" si="601"/>
        <v>Derate</v>
      </c>
      <c r="N3635" s="105" t="str">
        <f t="shared" si="602"/>
        <v>Coal</v>
      </c>
      <c r="O3635" s="105">
        <f>IFERROR(VLOOKUP(A3635,Lookup!$J$5:$P$19,7,FALSE),0)</f>
        <v>3</v>
      </c>
      <c r="P3635" s="159">
        <f t="shared" si="603"/>
        <v>2013</v>
      </c>
      <c r="Q3635" s="159">
        <f t="shared" si="604"/>
        <v>8</v>
      </c>
      <c r="R3635" s="160">
        <f t="shared" si="605"/>
        <v>5.2000000000116415</v>
      </c>
      <c r="S3635" s="158">
        <f t="shared" si="606"/>
        <v>0.71300236406779005</v>
      </c>
      <c r="T3635" s="161">
        <f t="shared" si="607"/>
        <v>280.20992907864149</v>
      </c>
      <c r="U3635" s="158">
        <f t="shared" si="609"/>
        <v>53.886524822695037</v>
      </c>
      <c r="V3635" s="160">
        <f t="shared" si="608"/>
        <v>54</v>
      </c>
    </row>
    <row r="3636" spans="1:22" x14ac:dyDescent="0.25">
      <c r="A3636" s="98" t="s">
        <v>29</v>
      </c>
      <c r="B3636" s="98" t="s">
        <v>17</v>
      </c>
      <c r="C3636" s="98">
        <v>88</v>
      </c>
      <c r="D3636" s="98">
        <v>3236</v>
      </c>
      <c r="E3636" s="157">
        <v>41512.425000000003</v>
      </c>
      <c r="F3636" s="157">
        <v>41512.54583333333</v>
      </c>
      <c r="G3636" s="98">
        <v>355</v>
      </c>
      <c r="H3636" s="98">
        <v>423</v>
      </c>
      <c r="I3636" s="98">
        <v>393</v>
      </c>
      <c r="J3636" s="98" t="s">
        <v>2746</v>
      </c>
      <c r="K3636" s="98" t="s">
        <v>1518</v>
      </c>
      <c r="L3636" s="105" t="str">
        <f t="shared" si="600"/>
        <v>Mill Creek</v>
      </c>
      <c r="M3636" s="105" t="str">
        <f t="shared" si="601"/>
        <v>Derate</v>
      </c>
      <c r="N3636" s="105" t="str">
        <f t="shared" si="602"/>
        <v>Coal</v>
      </c>
      <c r="O3636" s="105">
        <f>IFERROR(VLOOKUP(A3636,Lookup!$J$5:$P$19,7,FALSE),0)</f>
        <v>3</v>
      </c>
      <c r="P3636" s="159">
        <f t="shared" si="603"/>
        <v>2013</v>
      </c>
      <c r="Q3636" s="159">
        <f t="shared" si="604"/>
        <v>8</v>
      </c>
      <c r="R3636" s="160">
        <f t="shared" si="605"/>
        <v>2.8999999998486601</v>
      </c>
      <c r="S3636" s="158">
        <f t="shared" si="606"/>
        <v>0.46619385340356712</v>
      </c>
      <c r="T3636" s="161">
        <f t="shared" si="607"/>
        <v>183.21418438760188</v>
      </c>
      <c r="U3636" s="158">
        <f t="shared" si="609"/>
        <v>63.177304964539005</v>
      </c>
      <c r="V3636" s="160">
        <f t="shared" si="608"/>
        <v>63</v>
      </c>
    </row>
    <row r="3637" spans="1:22" x14ac:dyDescent="0.25">
      <c r="A3637" s="98" t="s">
        <v>29</v>
      </c>
      <c r="B3637" s="98" t="s">
        <v>17</v>
      </c>
      <c r="C3637" s="98">
        <v>89</v>
      </c>
      <c r="D3637" s="98">
        <v>3236</v>
      </c>
      <c r="E3637" s="157">
        <v>41512.54583333333</v>
      </c>
      <c r="F3637" s="157">
        <v>41513.152777777781</v>
      </c>
      <c r="G3637" s="98">
        <v>350</v>
      </c>
      <c r="H3637" s="98">
        <v>423</v>
      </c>
      <c r="I3637" s="98">
        <v>393</v>
      </c>
      <c r="J3637" s="98" t="s">
        <v>2746</v>
      </c>
      <c r="K3637" s="98" t="s">
        <v>1518</v>
      </c>
      <c r="L3637" s="105" t="str">
        <f t="shared" si="600"/>
        <v>Mill Creek</v>
      </c>
      <c r="M3637" s="105" t="str">
        <f t="shared" si="601"/>
        <v>Derate</v>
      </c>
      <c r="N3637" s="105" t="str">
        <f t="shared" si="602"/>
        <v>Coal</v>
      </c>
      <c r="O3637" s="105">
        <f>IFERROR(VLOOKUP(A3637,Lookup!$J$5:$P$19,7,FALSE),0)</f>
        <v>3</v>
      </c>
      <c r="P3637" s="159">
        <f t="shared" si="603"/>
        <v>2013</v>
      </c>
      <c r="Q3637" s="159">
        <f t="shared" si="604"/>
        <v>8</v>
      </c>
      <c r="R3637" s="160">
        <f t="shared" si="605"/>
        <v>14.566666666825768</v>
      </c>
      <c r="S3637" s="158">
        <f t="shared" si="606"/>
        <v>2.5138691883647306</v>
      </c>
      <c r="T3637" s="161">
        <f t="shared" si="607"/>
        <v>987.9505910273391</v>
      </c>
      <c r="U3637" s="158">
        <f t="shared" si="609"/>
        <v>67.822695035460995</v>
      </c>
      <c r="V3637" s="160">
        <f t="shared" si="608"/>
        <v>68</v>
      </c>
    </row>
    <row r="3638" spans="1:22" x14ac:dyDescent="0.25">
      <c r="A3638" s="98" t="s">
        <v>29</v>
      </c>
      <c r="B3638" s="98" t="s">
        <v>17</v>
      </c>
      <c r="C3638" s="98">
        <v>90</v>
      </c>
      <c r="D3638" s="98">
        <v>3236</v>
      </c>
      <c r="E3638" s="157">
        <v>41513.152777777781</v>
      </c>
      <c r="F3638" s="157">
        <v>41513.210416666669</v>
      </c>
      <c r="G3638" s="98">
        <v>370</v>
      </c>
      <c r="H3638" s="98">
        <v>423</v>
      </c>
      <c r="I3638" s="98">
        <v>393</v>
      </c>
      <c r="J3638" s="98" t="s">
        <v>2746</v>
      </c>
      <c r="K3638" s="98" t="s">
        <v>1518</v>
      </c>
      <c r="L3638" s="105" t="str">
        <f t="shared" si="600"/>
        <v>Mill Creek</v>
      </c>
      <c r="M3638" s="105" t="str">
        <f t="shared" si="601"/>
        <v>Derate</v>
      </c>
      <c r="N3638" s="105" t="str">
        <f t="shared" si="602"/>
        <v>Coal</v>
      </c>
      <c r="O3638" s="105">
        <f>IFERROR(VLOOKUP(A3638,Lookup!$J$5:$P$19,7,FALSE),0)</f>
        <v>3</v>
      </c>
      <c r="P3638" s="159">
        <f t="shared" si="603"/>
        <v>2013</v>
      </c>
      <c r="Q3638" s="159">
        <f t="shared" si="604"/>
        <v>8</v>
      </c>
      <c r="R3638" s="160">
        <f t="shared" si="605"/>
        <v>1.3833333333022892</v>
      </c>
      <c r="S3638" s="158">
        <f t="shared" si="606"/>
        <v>0.17332545310879746</v>
      </c>
      <c r="T3638" s="161">
        <f t="shared" si="607"/>
        <v>68.116903071757406</v>
      </c>
      <c r="U3638" s="158">
        <f t="shared" si="609"/>
        <v>49.241134751773046</v>
      </c>
      <c r="V3638" s="160">
        <f t="shared" si="608"/>
        <v>49</v>
      </c>
    </row>
    <row r="3639" spans="1:22" x14ac:dyDescent="0.25">
      <c r="A3639" s="98" t="s">
        <v>29</v>
      </c>
      <c r="B3639" s="98" t="s">
        <v>17</v>
      </c>
      <c r="C3639" s="98">
        <v>91</v>
      </c>
      <c r="D3639" s="98">
        <v>3236</v>
      </c>
      <c r="E3639" s="157">
        <v>41513.210416666669</v>
      </c>
      <c r="F3639" s="157">
        <v>41513.246527777781</v>
      </c>
      <c r="G3639" s="98">
        <v>350</v>
      </c>
      <c r="H3639" s="98">
        <v>423</v>
      </c>
      <c r="I3639" s="98">
        <v>393</v>
      </c>
      <c r="J3639" s="98" t="s">
        <v>2746</v>
      </c>
      <c r="K3639" s="98" t="s">
        <v>1518</v>
      </c>
      <c r="L3639" s="105" t="str">
        <f t="shared" si="600"/>
        <v>Mill Creek</v>
      </c>
      <c r="M3639" s="105" t="str">
        <f t="shared" si="601"/>
        <v>Derate</v>
      </c>
      <c r="N3639" s="105" t="str">
        <f t="shared" si="602"/>
        <v>Coal</v>
      </c>
      <c r="O3639" s="105">
        <f>IFERROR(VLOOKUP(A3639,Lookup!$J$5:$P$19,7,FALSE),0)</f>
        <v>3</v>
      </c>
      <c r="P3639" s="159">
        <f t="shared" si="603"/>
        <v>2013</v>
      </c>
      <c r="Q3639" s="159">
        <f t="shared" si="604"/>
        <v>8</v>
      </c>
      <c r="R3639" s="160">
        <f t="shared" si="605"/>
        <v>0.86666666669771075</v>
      </c>
      <c r="S3639" s="158">
        <f t="shared" si="606"/>
        <v>0.14956658786981769</v>
      </c>
      <c r="T3639" s="161">
        <f t="shared" si="607"/>
        <v>58.779669032838349</v>
      </c>
      <c r="U3639" s="158">
        <f t="shared" si="609"/>
        <v>67.822695035460995</v>
      </c>
      <c r="V3639" s="160">
        <f t="shared" si="608"/>
        <v>68</v>
      </c>
    </row>
    <row r="3640" spans="1:22" x14ac:dyDescent="0.25">
      <c r="A3640" s="98" t="s">
        <v>29</v>
      </c>
      <c r="B3640" s="98" t="s">
        <v>17</v>
      </c>
      <c r="C3640" s="98">
        <v>92</v>
      </c>
      <c r="D3640" s="98">
        <v>3236</v>
      </c>
      <c r="E3640" s="157">
        <v>41513.246527777781</v>
      </c>
      <c r="F3640" s="157">
        <v>41513.451388888891</v>
      </c>
      <c r="G3640" s="98">
        <v>360</v>
      </c>
      <c r="H3640" s="98">
        <v>423</v>
      </c>
      <c r="I3640" s="98">
        <v>393</v>
      </c>
      <c r="J3640" s="98" t="s">
        <v>2746</v>
      </c>
      <c r="K3640" s="98" t="s">
        <v>1518</v>
      </c>
      <c r="L3640" s="105" t="str">
        <f t="shared" si="600"/>
        <v>Mill Creek</v>
      </c>
      <c r="M3640" s="105" t="str">
        <f t="shared" si="601"/>
        <v>Derate</v>
      </c>
      <c r="N3640" s="105" t="str">
        <f t="shared" si="602"/>
        <v>Coal</v>
      </c>
      <c r="O3640" s="105">
        <f>IFERROR(VLOOKUP(A3640,Lookup!$J$5:$P$19,7,FALSE),0)</f>
        <v>3</v>
      </c>
      <c r="P3640" s="159">
        <f t="shared" si="603"/>
        <v>2013</v>
      </c>
      <c r="Q3640" s="159">
        <f t="shared" si="604"/>
        <v>8</v>
      </c>
      <c r="R3640" s="160">
        <f t="shared" si="605"/>
        <v>4.9166666666278616</v>
      </c>
      <c r="S3640" s="158">
        <f t="shared" si="606"/>
        <v>0.73226950354031983</v>
      </c>
      <c r="T3640" s="161">
        <f t="shared" si="607"/>
        <v>287.78191489134571</v>
      </c>
      <c r="U3640" s="158">
        <f t="shared" si="609"/>
        <v>58.531914893617021</v>
      </c>
      <c r="V3640" s="160">
        <f t="shared" si="608"/>
        <v>59</v>
      </c>
    </row>
    <row r="3641" spans="1:22" x14ac:dyDescent="0.25">
      <c r="A3641" s="98" t="s">
        <v>29</v>
      </c>
      <c r="B3641" s="98" t="s">
        <v>17</v>
      </c>
      <c r="C3641" s="98">
        <v>93</v>
      </c>
      <c r="D3641" s="98">
        <v>3236</v>
      </c>
      <c r="E3641" s="157">
        <v>41513.451388888891</v>
      </c>
      <c r="F3641" s="157">
        <v>41513.574305555558</v>
      </c>
      <c r="G3641" s="98">
        <v>370</v>
      </c>
      <c r="H3641" s="98">
        <v>423</v>
      </c>
      <c r="I3641" s="98">
        <v>393</v>
      </c>
      <c r="J3641" s="98" t="s">
        <v>2746</v>
      </c>
      <c r="K3641" s="98" t="s">
        <v>1518</v>
      </c>
      <c r="L3641" s="105" t="str">
        <f t="shared" si="600"/>
        <v>Mill Creek</v>
      </c>
      <c r="M3641" s="105" t="str">
        <f t="shared" si="601"/>
        <v>Derate</v>
      </c>
      <c r="N3641" s="105" t="str">
        <f t="shared" si="602"/>
        <v>Coal</v>
      </c>
      <c r="O3641" s="105">
        <f>IFERROR(VLOOKUP(A3641,Lookup!$J$5:$P$19,7,FALSE),0)</f>
        <v>3</v>
      </c>
      <c r="P3641" s="159">
        <f t="shared" si="603"/>
        <v>2013</v>
      </c>
      <c r="Q3641" s="159">
        <f t="shared" si="604"/>
        <v>8</v>
      </c>
      <c r="R3641" s="160">
        <f t="shared" si="605"/>
        <v>2.9500000000116415</v>
      </c>
      <c r="S3641" s="158">
        <f t="shared" si="606"/>
        <v>0.36962174941044207</v>
      </c>
      <c r="T3641" s="161">
        <f t="shared" si="607"/>
        <v>145.26134751830372</v>
      </c>
      <c r="U3641" s="158">
        <f t="shared" si="609"/>
        <v>49.241134751773046</v>
      </c>
      <c r="V3641" s="160">
        <f t="shared" si="608"/>
        <v>49</v>
      </c>
    </row>
    <row r="3642" spans="1:22" x14ac:dyDescent="0.25">
      <c r="A3642" s="98" t="s">
        <v>29</v>
      </c>
      <c r="B3642" s="98" t="s">
        <v>17</v>
      </c>
      <c r="C3642" s="98">
        <v>94</v>
      </c>
      <c r="D3642" s="98">
        <v>3236</v>
      </c>
      <c r="E3642" s="157">
        <v>41513.574305555558</v>
      </c>
      <c r="F3642" s="157">
        <v>41514.371527777781</v>
      </c>
      <c r="G3642" s="98">
        <v>350</v>
      </c>
      <c r="H3642" s="98">
        <v>423</v>
      </c>
      <c r="I3642" s="98">
        <v>393</v>
      </c>
      <c r="J3642" s="98" t="s">
        <v>2746</v>
      </c>
      <c r="K3642" s="98" t="s">
        <v>1518</v>
      </c>
      <c r="L3642" s="105" t="str">
        <f t="shared" si="600"/>
        <v>Mill Creek</v>
      </c>
      <c r="M3642" s="105" t="str">
        <f t="shared" si="601"/>
        <v>Derate</v>
      </c>
      <c r="N3642" s="105" t="str">
        <f t="shared" si="602"/>
        <v>Coal</v>
      </c>
      <c r="O3642" s="105">
        <f>IFERROR(VLOOKUP(A3642,Lookup!$J$5:$P$19,7,FALSE),0)</f>
        <v>3</v>
      </c>
      <c r="P3642" s="159">
        <f t="shared" si="603"/>
        <v>2013</v>
      </c>
      <c r="Q3642" s="159">
        <f t="shared" si="604"/>
        <v>8</v>
      </c>
      <c r="R3642" s="160">
        <f t="shared" si="605"/>
        <v>19.133333333360497</v>
      </c>
      <c r="S3642" s="158">
        <f t="shared" si="606"/>
        <v>3.3019700551662323</v>
      </c>
      <c r="T3642" s="161">
        <f t="shared" si="607"/>
        <v>1297.6742316803293</v>
      </c>
      <c r="U3642" s="158">
        <f t="shared" si="609"/>
        <v>67.822695035460995</v>
      </c>
      <c r="V3642" s="160">
        <f t="shared" si="608"/>
        <v>68</v>
      </c>
    </row>
    <row r="3643" spans="1:22" x14ac:dyDescent="0.25">
      <c r="A3643" s="98" t="s">
        <v>29</v>
      </c>
      <c r="B3643" s="98" t="s">
        <v>17</v>
      </c>
      <c r="C3643" s="98">
        <v>95</v>
      </c>
      <c r="D3643" s="98">
        <v>3236</v>
      </c>
      <c r="E3643" s="157">
        <v>41514.371527777781</v>
      </c>
      <c r="F3643" s="157">
        <v>41514.493055555555</v>
      </c>
      <c r="G3643" s="98">
        <v>362</v>
      </c>
      <c r="H3643" s="98">
        <v>423</v>
      </c>
      <c r="I3643" s="98">
        <v>393</v>
      </c>
      <c r="J3643" s="98" t="s">
        <v>2746</v>
      </c>
      <c r="K3643" s="98" t="s">
        <v>1518</v>
      </c>
      <c r="L3643" s="105" t="str">
        <f t="shared" si="600"/>
        <v>Mill Creek</v>
      </c>
      <c r="M3643" s="105" t="str">
        <f t="shared" si="601"/>
        <v>Derate</v>
      </c>
      <c r="N3643" s="105" t="str">
        <f t="shared" si="602"/>
        <v>Coal</v>
      </c>
      <c r="O3643" s="105">
        <f>IFERROR(VLOOKUP(A3643,Lookup!$J$5:$P$19,7,FALSE),0)</f>
        <v>3</v>
      </c>
      <c r="P3643" s="159">
        <f t="shared" si="603"/>
        <v>2013</v>
      </c>
      <c r="Q3643" s="159">
        <f t="shared" si="604"/>
        <v>8</v>
      </c>
      <c r="R3643" s="160">
        <f t="shared" si="605"/>
        <v>2.9166666665696539</v>
      </c>
      <c r="S3643" s="158">
        <f t="shared" si="606"/>
        <v>0.42060677697576571</v>
      </c>
      <c r="T3643" s="161">
        <f t="shared" si="607"/>
        <v>165.29846335147593</v>
      </c>
      <c r="U3643" s="158">
        <f t="shared" si="609"/>
        <v>56.673758865248224</v>
      </c>
      <c r="V3643" s="160">
        <f t="shared" si="608"/>
        <v>57</v>
      </c>
    </row>
    <row r="3644" spans="1:22" x14ac:dyDescent="0.25">
      <c r="A3644" s="98" t="s">
        <v>29</v>
      </c>
      <c r="B3644" s="98" t="s">
        <v>17</v>
      </c>
      <c r="C3644" s="98">
        <v>96</v>
      </c>
      <c r="D3644" s="98">
        <v>3236</v>
      </c>
      <c r="E3644" s="157">
        <v>41514.493055555555</v>
      </c>
      <c r="F3644" s="157">
        <v>41514.643750000003</v>
      </c>
      <c r="G3644" s="98">
        <v>335</v>
      </c>
      <c r="H3644" s="98">
        <v>423</v>
      </c>
      <c r="I3644" s="98">
        <v>393</v>
      </c>
      <c r="J3644" s="98" t="s">
        <v>2746</v>
      </c>
      <c r="K3644" s="98" t="s">
        <v>1518</v>
      </c>
      <c r="L3644" s="105" t="str">
        <f t="shared" si="600"/>
        <v>Mill Creek</v>
      </c>
      <c r="M3644" s="105" t="str">
        <f t="shared" si="601"/>
        <v>Derate</v>
      </c>
      <c r="N3644" s="105" t="str">
        <f t="shared" si="602"/>
        <v>Coal</v>
      </c>
      <c r="O3644" s="105">
        <f>IFERROR(VLOOKUP(A3644,Lookup!$J$5:$P$19,7,FALSE),0)</f>
        <v>3</v>
      </c>
      <c r="P3644" s="159">
        <f t="shared" si="603"/>
        <v>2013</v>
      </c>
      <c r="Q3644" s="159">
        <f t="shared" si="604"/>
        <v>8</v>
      </c>
      <c r="R3644" s="160">
        <f t="shared" si="605"/>
        <v>3.6166666667559184</v>
      </c>
      <c r="S3644" s="158">
        <f t="shared" si="606"/>
        <v>0.75240346731565211</v>
      </c>
      <c r="T3644" s="161">
        <f t="shared" si="607"/>
        <v>295.6945626550513</v>
      </c>
      <c r="U3644" s="158">
        <f t="shared" si="609"/>
        <v>81.758865248226954</v>
      </c>
      <c r="V3644" s="160">
        <f t="shared" si="608"/>
        <v>82</v>
      </c>
    </row>
    <row r="3645" spans="1:22" x14ac:dyDescent="0.25">
      <c r="A3645" s="98" t="s">
        <v>29</v>
      </c>
      <c r="B3645" s="98" t="s">
        <v>17</v>
      </c>
      <c r="C3645" s="98">
        <v>97</v>
      </c>
      <c r="D3645" s="98">
        <v>3236</v>
      </c>
      <c r="E3645" s="157">
        <v>41514.643750000003</v>
      </c>
      <c r="F3645" s="157">
        <v>41515.222222222219</v>
      </c>
      <c r="G3645" s="98">
        <v>345</v>
      </c>
      <c r="H3645" s="98">
        <v>423</v>
      </c>
      <c r="I3645" s="98">
        <v>393</v>
      </c>
      <c r="J3645" s="98" t="s">
        <v>2746</v>
      </c>
      <c r="K3645" s="98" t="s">
        <v>1518</v>
      </c>
      <c r="L3645" s="105" t="str">
        <f t="shared" si="600"/>
        <v>Mill Creek</v>
      </c>
      <c r="M3645" s="105" t="str">
        <f t="shared" si="601"/>
        <v>Derate</v>
      </c>
      <c r="N3645" s="105" t="str">
        <f t="shared" si="602"/>
        <v>Coal</v>
      </c>
      <c r="O3645" s="105">
        <f>IFERROR(VLOOKUP(A3645,Lookup!$J$5:$P$19,7,FALSE),0)</f>
        <v>3</v>
      </c>
      <c r="P3645" s="159">
        <f t="shared" si="603"/>
        <v>2013</v>
      </c>
      <c r="Q3645" s="159">
        <f t="shared" si="604"/>
        <v>8</v>
      </c>
      <c r="R3645" s="160">
        <f t="shared" si="605"/>
        <v>13.883333333185874</v>
      </c>
      <c r="S3645" s="158">
        <f t="shared" si="606"/>
        <v>2.5600472812966859</v>
      </c>
      <c r="T3645" s="161">
        <f t="shared" si="607"/>
        <v>1006.0985815495976</v>
      </c>
      <c r="U3645" s="158">
        <f t="shared" si="609"/>
        <v>72.468085106382972</v>
      </c>
      <c r="V3645" s="160">
        <f t="shared" si="608"/>
        <v>72</v>
      </c>
    </row>
    <row r="3646" spans="1:22" x14ac:dyDescent="0.25">
      <c r="A3646" s="98" t="s">
        <v>29</v>
      </c>
      <c r="B3646" s="98" t="s">
        <v>17</v>
      </c>
      <c r="C3646" s="98">
        <v>98</v>
      </c>
      <c r="D3646" s="98">
        <v>3236</v>
      </c>
      <c r="E3646" s="157">
        <v>41515.222222222219</v>
      </c>
      <c r="F3646" s="157">
        <v>41515.40625</v>
      </c>
      <c r="G3646" s="98">
        <v>362</v>
      </c>
      <c r="H3646" s="98">
        <v>423</v>
      </c>
      <c r="I3646" s="98">
        <v>393</v>
      </c>
      <c r="J3646" s="98" t="s">
        <v>2746</v>
      </c>
      <c r="K3646" s="98" t="s">
        <v>1518</v>
      </c>
      <c r="L3646" s="105" t="str">
        <f t="shared" si="600"/>
        <v>Mill Creek</v>
      </c>
      <c r="M3646" s="105" t="str">
        <f t="shared" si="601"/>
        <v>Derate</v>
      </c>
      <c r="N3646" s="105" t="str">
        <f t="shared" si="602"/>
        <v>Coal</v>
      </c>
      <c r="O3646" s="105">
        <f>IFERROR(VLOOKUP(A3646,Lookup!$J$5:$P$19,7,FALSE),0)</f>
        <v>3</v>
      </c>
      <c r="P3646" s="159">
        <f t="shared" si="603"/>
        <v>2013</v>
      </c>
      <c r="Q3646" s="159">
        <f t="shared" si="604"/>
        <v>8</v>
      </c>
      <c r="R3646" s="160">
        <f t="shared" si="605"/>
        <v>4.4166666667442769</v>
      </c>
      <c r="S3646" s="158">
        <f t="shared" si="606"/>
        <v>0.63691883373853642</v>
      </c>
      <c r="T3646" s="161">
        <f t="shared" si="607"/>
        <v>250.30910165924482</v>
      </c>
      <c r="U3646" s="158">
        <f t="shared" si="609"/>
        <v>56.673758865248224</v>
      </c>
      <c r="V3646" s="160">
        <f t="shared" si="608"/>
        <v>57</v>
      </c>
    </row>
    <row r="3647" spans="1:22" x14ac:dyDescent="0.25">
      <c r="A3647" s="98" t="s">
        <v>29</v>
      </c>
      <c r="B3647" s="98" t="s">
        <v>17</v>
      </c>
      <c r="C3647" s="98">
        <v>99</v>
      </c>
      <c r="D3647" s="98">
        <v>3236</v>
      </c>
      <c r="E3647" s="157">
        <v>41515.40625</v>
      </c>
      <c r="F3647" s="157">
        <v>41515.461805555555</v>
      </c>
      <c r="G3647" s="98">
        <v>345</v>
      </c>
      <c r="H3647" s="98">
        <v>423</v>
      </c>
      <c r="I3647" s="98">
        <v>393</v>
      </c>
      <c r="J3647" s="98" t="s">
        <v>2746</v>
      </c>
      <c r="K3647" s="98" t="s">
        <v>1518</v>
      </c>
      <c r="L3647" s="105" t="str">
        <f t="shared" si="600"/>
        <v>Mill Creek</v>
      </c>
      <c r="M3647" s="105" t="str">
        <f t="shared" si="601"/>
        <v>Derate</v>
      </c>
      <c r="N3647" s="105" t="str">
        <f t="shared" si="602"/>
        <v>Coal</v>
      </c>
      <c r="O3647" s="105">
        <f>IFERROR(VLOOKUP(A3647,Lookup!$J$5:$P$19,7,FALSE),0)</f>
        <v>3</v>
      </c>
      <c r="P3647" s="159">
        <f t="shared" si="603"/>
        <v>2013</v>
      </c>
      <c r="Q3647" s="159">
        <f t="shared" si="604"/>
        <v>8</v>
      </c>
      <c r="R3647" s="160">
        <f t="shared" si="605"/>
        <v>1.3333333333139308</v>
      </c>
      <c r="S3647" s="158">
        <f t="shared" si="606"/>
        <v>0.24586288415717872</v>
      </c>
      <c r="T3647" s="161">
        <f t="shared" si="607"/>
        <v>96.624113473771231</v>
      </c>
      <c r="U3647" s="158">
        <f t="shared" si="609"/>
        <v>72.468085106382972</v>
      </c>
      <c r="V3647" s="160">
        <f t="shared" si="608"/>
        <v>72</v>
      </c>
    </row>
    <row r="3648" spans="1:22" x14ac:dyDescent="0.25">
      <c r="A3648" s="98" t="s">
        <v>29</v>
      </c>
      <c r="B3648" s="98" t="s">
        <v>17</v>
      </c>
      <c r="C3648" s="98">
        <v>100</v>
      </c>
      <c r="D3648" s="98">
        <v>3236</v>
      </c>
      <c r="E3648" s="157">
        <v>41515.461805555555</v>
      </c>
      <c r="F3648" s="157">
        <v>41515.59097222222</v>
      </c>
      <c r="G3648" s="98">
        <v>336</v>
      </c>
      <c r="H3648" s="98">
        <v>423</v>
      </c>
      <c r="I3648" s="98">
        <v>393</v>
      </c>
      <c r="J3648" s="98" t="s">
        <v>2746</v>
      </c>
      <c r="K3648" s="98" t="s">
        <v>1518</v>
      </c>
      <c r="L3648" s="105" t="str">
        <f t="shared" si="600"/>
        <v>Mill Creek</v>
      </c>
      <c r="M3648" s="105" t="str">
        <f t="shared" si="601"/>
        <v>Derate</v>
      </c>
      <c r="N3648" s="105" t="str">
        <f t="shared" si="602"/>
        <v>Coal</v>
      </c>
      <c r="O3648" s="105">
        <f>IFERROR(VLOOKUP(A3648,Lookup!$J$5:$P$19,7,FALSE),0)</f>
        <v>3</v>
      </c>
      <c r="P3648" s="159">
        <f t="shared" si="603"/>
        <v>2013</v>
      </c>
      <c r="Q3648" s="159">
        <f t="shared" si="604"/>
        <v>8</v>
      </c>
      <c r="R3648" s="160">
        <f t="shared" si="605"/>
        <v>3.0999999999767169</v>
      </c>
      <c r="S3648" s="158">
        <f t="shared" si="606"/>
        <v>0.63758865247748076</v>
      </c>
      <c r="T3648" s="161">
        <f t="shared" si="607"/>
        <v>250.57234042364993</v>
      </c>
      <c r="U3648" s="158">
        <f t="shared" si="609"/>
        <v>80.829787234042556</v>
      </c>
      <c r="V3648" s="160">
        <f t="shared" si="608"/>
        <v>81</v>
      </c>
    </row>
    <row r="3649" spans="1:22" x14ac:dyDescent="0.25">
      <c r="A3649" s="98" t="s">
        <v>29</v>
      </c>
      <c r="B3649" s="98" t="s">
        <v>17</v>
      </c>
      <c r="C3649" s="98">
        <v>101</v>
      </c>
      <c r="D3649" s="98">
        <v>3236</v>
      </c>
      <c r="E3649" s="157">
        <v>41515.59097222222</v>
      </c>
      <c r="F3649" s="157">
        <v>41515.770833333336</v>
      </c>
      <c r="G3649" s="98">
        <v>296</v>
      </c>
      <c r="H3649" s="98">
        <v>423</v>
      </c>
      <c r="I3649" s="98">
        <v>393</v>
      </c>
      <c r="J3649" s="98" t="s">
        <v>2746</v>
      </c>
      <c r="K3649" s="98" t="s">
        <v>1518</v>
      </c>
      <c r="L3649" s="105" t="str">
        <f t="shared" si="600"/>
        <v>Mill Creek</v>
      </c>
      <c r="M3649" s="105" t="str">
        <f t="shared" si="601"/>
        <v>Derate</v>
      </c>
      <c r="N3649" s="105" t="str">
        <f t="shared" si="602"/>
        <v>Coal</v>
      </c>
      <c r="O3649" s="105">
        <f>IFERROR(VLOOKUP(A3649,Lookup!$J$5:$P$19,7,FALSE),0)</f>
        <v>3</v>
      </c>
      <c r="P3649" s="159">
        <f t="shared" si="603"/>
        <v>2013</v>
      </c>
      <c r="Q3649" s="159">
        <f t="shared" si="604"/>
        <v>8</v>
      </c>
      <c r="R3649" s="160">
        <f t="shared" si="605"/>
        <v>4.3166666667675599</v>
      </c>
      <c r="S3649" s="158">
        <f t="shared" si="606"/>
        <v>1.2960204886039719</v>
      </c>
      <c r="T3649" s="161">
        <f t="shared" si="607"/>
        <v>509.33605202136096</v>
      </c>
      <c r="U3649" s="158">
        <f t="shared" si="609"/>
        <v>117.99290780141844</v>
      </c>
      <c r="V3649" s="160">
        <f t="shared" si="608"/>
        <v>118</v>
      </c>
    </row>
    <row r="3650" spans="1:22" x14ac:dyDescent="0.25">
      <c r="A3650" s="98" t="s">
        <v>29</v>
      </c>
      <c r="B3650" s="98" t="s">
        <v>17</v>
      </c>
      <c r="C3650" s="98">
        <v>102</v>
      </c>
      <c r="D3650" s="98">
        <v>3236</v>
      </c>
      <c r="E3650" s="157">
        <v>41515.770833333336</v>
      </c>
      <c r="F3650" s="157">
        <v>41516.231944444444</v>
      </c>
      <c r="G3650" s="98">
        <v>320</v>
      </c>
      <c r="H3650" s="98">
        <v>423</v>
      </c>
      <c r="I3650" s="98">
        <v>393</v>
      </c>
      <c r="J3650" s="98" t="s">
        <v>2746</v>
      </c>
      <c r="K3650" s="98" t="s">
        <v>1518</v>
      </c>
      <c r="L3650" s="105" t="str">
        <f t="shared" si="600"/>
        <v>Mill Creek</v>
      </c>
      <c r="M3650" s="105" t="str">
        <f t="shared" si="601"/>
        <v>Derate</v>
      </c>
      <c r="N3650" s="105" t="str">
        <f t="shared" si="602"/>
        <v>Coal</v>
      </c>
      <c r="O3650" s="105">
        <f>IFERROR(VLOOKUP(A3650,Lookup!$J$5:$P$19,7,FALSE),0)</f>
        <v>3</v>
      </c>
      <c r="P3650" s="159">
        <f t="shared" si="603"/>
        <v>2013</v>
      </c>
      <c r="Q3650" s="159">
        <f t="shared" si="604"/>
        <v>8</v>
      </c>
      <c r="R3650" s="160">
        <f t="shared" si="605"/>
        <v>11.066666666592937</v>
      </c>
      <c r="S3650" s="158">
        <f t="shared" si="606"/>
        <v>2.6947202521491076</v>
      </c>
      <c r="T3650" s="161">
        <f t="shared" si="607"/>
        <v>1059.0250590945993</v>
      </c>
      <c r="U3650" s="158">
        <f t="shared" si="609"/>
        <v>95.695035460992912</v>
      </c>
      <c r="V3650" s="160">
        <f t="shared" si="608"/>
        <v>96</v>
      </c>
    </row>
    <row r="3651" spans="1:22" x14ac:dyDescent="0.25">
      <c r="A3651" s="98" t="s">
        <v>29</v>
      </c>
      <c r="B3651" s="98" t="s">
        <v>17</v>
      </c>
      <c r="C3651" s="98">
        <v>103</v>
      </c>
      <c r="D3651" s="98">
        <v>3236</v>
      </c>
      <c r="E3651" s="157">
        <v>41516.231944444444</v>
      </c>
      <c r="F3651" s="157">
        <v>41516.413888888892</v>
      </c>
      <c r="G3651" s="98">
        <v>345</v>
      </c>
      <c r="H3651" s="98">
        <v>423</v>
      </c>
      <c r="I3651" s="98">
        <v>393</v>
      </c>
      <c r="J3651" s="98" t="s">
        <v>2746</v>
      </c>
      <c r="K3651" s="98" t="s">
        <v>1518</v>
      </c>
      <c r="L3651" s="105" t="str">
        <f t="shared" si="600"/>
        <v>Mill Creek</v>
      </c>
      <c r="M3651" s="105" t="str">
        <f t="shared" si="601"/>
        <v>Derate</v>
      </c>
      <c r="N3651" s="105" t="str">
        <f t="shared" si="602"/>
        <v>Coal</v>
      </c>
      <c r="O3651" s="105">
        <f>IFERROR(VLOOKUP(A3651,Lookup!$J$5:$P$19,7,FALSE),0)</f>
        <v>3</v>
      </c>
      <c r="P3651" s="159">
        <f t="shared" si="603"/>
        <v>2013</v>
      </c>
      <c r="Q3651" s="159">
        <f t="shared" si="604"/>
        <v>8</v>
      </c>
      <c r="R3651" s="160">
        <f t="shared" si="605"/>
        <v>4.3666666667559184</v>
      </c>
      <c r="S3651" s="158">
        <f t="shared" si="606"/>
        <v>0.80520094564293532</v>
      </c>
      <c r="T3651" s="161">
        <f t="shared" si="607"/>
        <v>316.4439716376736</v>
      </c>
      <c r="U3651" s="158">
        <f t="shared" si="609"/>
        <v>72.468085106382972</v>
      </c>
      <c r="V3651" s="160">
        <f t="shared" si="608"/>
        <v>72</v>
      </c>
    </row>
    <row r="3652" spans="1:22" x14ac:dyDescent="0.25">
      <c r="A3652" s="98" t="s">
        <v>29</v>
      </c>
      <c r="B3652" s="98" t="s">
        <v>17</v>
      </c>
      <c r="C3652" s="98">
        <v>104</v>
      </c>
      <c r="D3652" s="98">
        <v>3236</v>
      </c>
      <c r="E3652" s="157">
        <v>41516.413888888892</v>
      </c>
      <c r="F3652" s="157">
        <v>41516.55972222222</v>
      </c>
      <c r="G3652" s="98">
        <v>335</v>
      </c>
      <c r="H3652" s="98">
        <v>423</v>
      </c>
      <c r="I3652" s="98">
        <v>393</v>
      </c>
      <c r="J3652" s="98" t="s">
        <v>2746</v>
      </c>
      <c r="K3652" s="98" t="s">
        <v>1518</v>
      </c>
      <c r="L3652" s="105" t="str">
        <f t="shared" si="600"/>
        <v>Mill Creek</v>
      </c>
      <c r="M3652" s="105" t="str">
        <f t="shared" si="601"/>
        <v>Derate</v>
      </c>
      <c r="N3652" s="105" t="str">
        <f t="shared" si="602"/>
        <v>Coal</v>
      </c>
      <c r="O3652" s="105">
        <f>IFERROR(VLOOKUP(A3652,Lookup!$J$5:$P$19,7,FALSE),0)</f>
        <v>3</v>
      </c>
      <c r="P3652" s="159">
        <f t="shared" si="603"/>
        <v>2013</v>
      </c>
      <c r="Q3652" s="159">
        <f t="shared" si="604"/>
        <v>8</v>
      </c>
      <c r="R3652" s="160">
        <f t="shared" si="605"/>
        <v>3.4999999998835847</v>
      </c>
      <c r="S3652" s="158">
        <f t="shared" si="606"/>
        <v>0.72813238768263699</v>
      </c>
      <c r="T3652" s="161">
        <f t="shared" si="607"/>
        <v>286.15602835927632</v>
      </c>
      <c r="U3652" s="158">
        <f t="shared" si="609"/>
        <v>81.758865248226954</v>
      </c>
      <c r="V3652" s="160">
        <f t="shared" si="608"/>
        <v>82</v>
      </c>
    </row>
    <row r="3653" spans="1:22" x14ac:dyDescent="0.25">
      <c r="A3653" s="98" t="s">
        <v>29</v>
      </c>
      <c r="B3653" s="98" t="s">
        <v>17</v>
      </c>
      <c r="C3653" s="98">
        <v>105</v>
      </c>
      <c r="D3653" s="98">
        <v>3236</v>
      </c>
      <c r="E3653" s="157">
        <v>41516.55972222222</v>
      </c>
      <c r="F3653" s="157">
        <v>41516.831250000003</v>
      </c>
      <c r="G3653" s="98">
        <v>329</v>
      </c>
      <c r="H3653" s="98">
        <v>423</v>
      </c>
      <c r="I3653" s="98">
        <v>393</v>
      </c>
      <c r="J3653" s="98" t="s">
        <v>2746</v>
      </c>
      <c r="K3653" s="98" t="s">
        <v>1518</v>
      </c>
      <c r="L3653" s="105" t="str">
        <f t="shared" si="600"/>
        <v>Mill Creek</v>
      </c>
      <c r="M3653" s="105" t="str">
        <f t="shared" si="601"/>
        <v>Derate</v>
      </c>
      <c r="N3653" s="105" t="str">
        <f t="shared" si="602"/>
        <v>Coal</v>
      </c>
      <c r="O3653" s="105">
        <f>IFERROR(VLOOKUP(A3653,Lookup!$J$5:$P$19,7,FALSE),0)</f>
        <v>3</v>
      </c>
      <c r="P3653" s="159">
        <f t="shared" si="603"/>
        <v>2013</v>
      </c>
      <c r="Q3653" s="159">
        <f t="shared" si="604"/>
        <v>8</v>
      </c>
      <c r="R3653" s="160">
        <f t="shared" si="605"/>
        <v>6.5166666667792015</v>
      </c>
      <c r="S3653" s="158">
        <f t="shared" si="606"/>
        <v>1.448148148173156</v>
      </c>
      <c r="T3653" s="161">
        <f t="shared" si="607"/>
        <v>569.12222223205026</v>
      </c>
      <c r="U3653" s="158">
        <f t="shared" si="609"/>
        <v>87.333333333333329</v>
      </c>
      <c r="V3653" s="160">
        <f t="shared" si="608"/>
        <v>87</v>
      </c>
    </row>
    <row r="3654" spans="1:22" x14ac:dyDescent="0.25">
      <c r="A3654" s="98" t="s">
        <v>29</v>
      </c>
      <c r="B3654" s="98" t="s">
        <v>17</v>
      </c>
      <c r="C3654" s="98">
        <v>106</v>
      </c>
      <c r="D3654" s="98">
        <v>3236</v>
      </c>
      <c r="E3654" s="157">
        <v>41516.831250000003</v>
      </c>
      <c r="F3654" s="157">
        <v>41518.39166666667</v>
      </c>
      <c r="G3654" s="98">
        <v>319</v>
      </c>
      <c r="H3654" s="98">
        <v>423</v>
      </c>
      <c r="I3654" s="98">
        <v>393</v>
      </c>
      <c r="J3654" s="98" t="s">
        <v>2746</v>
      </c>
      <c r="K3654" s="98" t="s">
        <v>1518</v>
      </c>
      <c r="L3654" s="105" t="str">
        <f t="shared" si="600"/>
        <v>Mill Creek</v>
      </c>
      <c r="M3654" s="105" t="str">
        <f t="shared" si="601"/>
        <v>Derate</v>
      </c>
      <c r="N3654" s="105" t="str">
        <f t="shared" si="602"/>
        <v>Coal</v>
      </c>
      <c r="O3654" s="105">
        <f>IFERROR(VLOOKUP(A3654,Lookup!$J$5:$P$19,7,FALSE),0)</f>
        <v>3</v>
      </c>
      <c r="P3654" s="159">
        <f t="shared" si="603"/>
        <v>2013</v>
      </c>
      <c r="Q3654" s="159">
        <f t="shared" si="604"/>
        <v>8</v>
      </c>
      <c r="R3654" s="160">
        <f t="shared" si="605"/>
        <v>37.450000000011642</v>
      </c>
      <c r="S3654" s="158">
        <f t="shared" si="606"/>
        <v>9.2075650118231938</v>
      </c>
      <c r="T3654" s="161">
        <f t="shared" si="607"/>
        <v>3618.5730496465153</v>
      </c>
      <c r="U3654" s="158">
        <f t="shared" si="609"/>
        <v>96.62411347517731</v>
      </c>
      <c r="V3654" s="160">
        <f t="shared" si="608"/>
        <v>97</v>
      </c>
    </row>
    <row r="3655" spans="1:22" x14ac:dyDescent="0.25">
      <c r="A3655" s="98" t="s">
        <v>29</v>
      </c>
      <c r="B3655" s="98" t="s">
        <v>17</v>
      </c>
      <c r="C3655" s="98">
        <v>107</v>
      </c>
      <c r="D3655" s="98">
        <v>3236</v>
      </c>
      <c r="E3655" s="157">
        <v>41518.39166666667</v>
      </c>
      <c r="F3655" s="157">
        <v>41518.541666666664</v>
      </c>
      <c r="G3655" s="98">
        <v>344</v>
      </c>
      <c r="H3655" s="98">
        <v>423</v>
      </c>
      <c r="I3655" s="98">
        <v>393</v>
      </c>
      <c r="J3655" s="98" t="s">
        <v>2746</v>
      </c>
      <c r="K3655" s="98" t="s">
        <v>1518</v>
      </c>
      <c r="L3655" s="105" t="str">
        <f t="shared" si="600"/>
        <v>Mill Creek</v>
      </c>
      <c r="M3655" s="105" t="str">
        <f t="shared" si="601"/>
        <v>Derate</v>
      </c>
      <c r="N3655" s="105" t="str">
        <f t="shared" si="602"/>
        <v>Coal</v>
      </c>
      <c r="O3655" s="105">
        <f>IFERROR(VLOOKUP(A3655,Lookup!$J$5:$P$19,7,FALSE),0)</f>
        <v>3</v>
      </c>
      <c r="P3655" s="159">
        <f t="shared" si="603"/>
        <v>2013</v>
      </c>
      <c r="Q3655" s="159">
        <f t="shared" si="604"/>
        <v>9</v>
      </c>
      <c r="R3655" s="160">
        <f t="shared" si="605"/>
        <v>3.5999999998603016</v>
      </c>
      <c r="S3655" s="158">
        <f t="shared" si="606"/>
        <v>0.67234042550582462</v>
      </c>
      <c r="T3655" s="161">
        <f t="shared" si="607"/>
        <v>264.22978722378906</v>
      </c>
      <c r="U3655" s="158">
        <f t="shared" si="609"/>
        <v>73.39716312056737</v>
      </c>
      <c r="V3655" s="160">
        <f t="shared" si="608"/>
        <v>73</v>
      </c>
    </row>
    <row r="3656" spans="1:22" x14ac:dyDescent="0.25">
      <c r="A3656" s="98" t="s">
        <v>29</v>
      </c>
      <c r="B3656" s="98" t="s">
        <v>17</v>
      </c>
      <c r="C3656" s="98">
        <v>108</v>
      </c>
      <c r="D3656" s="98">
        <v>3236</v>
      </c>
      <c r="E3656" s="157">
        <v>41518.541666666664</v>
      </c>
      <c r="F3656" s="157">
        <v>41518.661111111112</v>
      </c>
      <c r="G3656" s="98">
        <v>337</v>
      </c>
      <c r="H3656" s="98">
        <v>423</v>
      </c>
      <c r="I3656" s="98">
        <v>393</v>
      </c>
      <c r="J3656" s="98" t="s">
        <v>2746</v>
      </c>
      <c r="K3656" s="98" t="s">
        <v>1518</v>
      </c>
      <c r="L3656" s="105" t="str">
        <f t="shared" si="600"/>
        <v>Mill Creek</v>
      </c>
      <c r="M3656" s="105" t="str">
        <f t="shared" si="601"/>
        <v>Derate</v>
      </c>
      <c r="N3656" s="105" t="str">
        <f t="shared" si="602"/>
        <v>Coal</v>
      </c>
      <c r="O3656" s="105">
        <f>IFERROR(VLOOKUP(A3656,Lookup!$J$5:$P$19,7,FALSE),0)</f>
        <v>3</v>
      </c>
      <c r="P3656" s="159">
        <f t="shared" si="603"/>
        <v>2013</v>
      </c>
      <c r="Q3656" s="159">
        <f t="shared" si="604"/>
        <v>9</v>
      </c>
      <c r="R3656" s="160">
        <f t="shared" si="605"/>
        <v>2.8666666667559184</v>
      </c>
      <c r="S3656" s="158">
        <f t="shared" si="606"/>
        <v>0.58282111900947753</v>
      </c>
      <c r="T3656" s="161">
        <f t="shared" si="607"/>
        <v>229.04869977072468</v>
      </c>
      <c r="U3656" s="158">
        <f t="shared" si="609"/>
        <v>79.900709219858157</v>
      </c>
      <c r="V3656" s="160">
        <f t="shared" si="608"/>
        <v>80</v>
      </c>
    </row>
    <row r="3657" spans="1:22" x14ac:dyDescent="0.25">
      <c r="A3657" s="98" t="s">
        <v>29</v>
      </c>
      <c r="B3657" s="98" t="s">
        <v>17</v>
      </c>
      <c r="C3657" s="98">
        <v>109</v>
      </c>
      <c r="D3657" s="98">
        <v>3236</v>
      </c>
      <c r="E3657" s="157">
        <v>41518.661111111112</v>
      </c>
      <c r="F3657" s="157">
        <v>41519.744444444441</v>
      </c>
      <c r="G3657" s="98">
        <v>320</v>
      </c>
      <c r="H3657" s="98">
        <v>423</v>
      </c>
      <c r="I3657" s="98">
        <v>393</v>
      </c>
      <c r="J3657" s="98" t="s">
        <v>2746</v>
      </c>
      <c r="K3657" s="98" t="s">
        <v>1518</v>
      </c>
      <c r="L3657" s="105" t="str">
        <f t="shared" si="600"/>
        <v>Mill Creek</v>
      </c>
      <c r="M3657" s="105" t="str">
        <f t="shared" si="601"/>
        <v>Derate</v>
      </c>
      <c r="N3657" s="105" t="str">
        <f t="shared" si="602"/>
        <v>Coal</v>
      </c>
      <c r="O3657" s="105">
        <f>IFERROR(VLOOKUP(A3657,Lookup!$J$5:$P$19,7,FALSE),0)</f>
        <v>3</v>
      </c>
      <c r="P3657" s="159">
        <f t="shared" si="603"/>
        <v>2013</v>
      </c>
      <c r="Q3657" s="159">
        <f t="shared" si="604"/>
        <v>9</v>
      </c>
      <c r="R3657" s="160">
        <f t="shared" si="605"/>
        <v>25.999999999883585</v>
      </c>
      <c r="S3657" s="158">
        <f t="shared" si="606"/>
        <v>6.3309692671111328</v>
      </c>
      <c r="T3657" s="161">
        <f t="shared" si="607"/>
        <v>2488.070921974675</v>
      </c>
      <c r="U3657" s="158">
        <f t="shared" si="609"/>
        <v>95.695035460992912</v>
      </c>
      <c r="V3657" s="160">
        <f t="shared" si="608"/>
        <v>96</v>
      </c>
    </row>
    <row r="3658" spans="1:22" x14ac:dyDescent="0.25">
      <c r="A3658" s="98" t="s">
        <v>29</v>
      </c>
      <c r="B3658" s="98" t="s">
        <v>17</v>
      </c>
      <c r="C3658" s="98">
        <v>110</v>
      </c>
      <c r="D3658" s="98">
        <v>3236</v>
      </c>
      <c r="E3658" s="157">
        <v>41519.744444444441</v>
      </c>
      <c r="F3658" s="162">
        <v>41520.720833333333</v>
      </c>
      <c r="G3658" s="98">
        <v>330</v>
      </c>
      <c r="H3658" s="98">
        <v>423</v>
      </c>
      <c r="I3658" s="98">
        <v>393</v>
      </c>
      <c r="J3658" s="98" t="s">
        <v>2746</v>
      </c>
      <c r="K3658" s="98" t="s">
        <v>1518</v>
      </c>
      <c r="L3658" s="105" t="str">
        <f t="shared" si="600"/>
        <v>Mill Creek</v>
      </c>
      <c r="M3658" s="105" t="str">
        <f t="shared" si="601"/>
        <v>Derate</v>
      </c>
      <c r="N3658" s="105" t="str">
        <f t="shared" si="602"/>
        <v>Coal</v>
      </c>
      <c r="O3658" s="105">
        <f>IFERROR(VLOOKUP(A3658,Lookup!$J$5:$P$19,7,FALSE),0)</f>
        <v>3</v>
      </c>
      <c r="P3658" s="159">
        <f t="shared" si="603"/>
        <v>2013</v>
      </c>
      <c r="Q3658" s="159">
        <f t="shared" si="604"/>
        <v>9</v>
      </c>
      <c r="R3658" s="160">
        <f t="shared" si="605"/>
        <v>23.433333333407063</v>
      </c>
      <c r="S3658" s="158">
        <f t="shared" si="606"/>
        <v>5.1520094562809851</v>
      </c>
      <c r="T3658" s="161">
        <f t="shared" si="607"/>
        <v>2024.7397163184271</v>
      </c>
      <c r="U3658" s="158">
        <f t="shared" si="609"/>
        <v>86.40425531914893</v>
      </c>
      <c r="V3658" s="160">
        <f t="shared" si="608"/>
        <v>86</v>
      </c>
    </row>
    <row r="3659" spans="1:22" x14ac:dyDescent="0.25">
      <c r="A3659" s="98" t="s">
        <v>29</v>
      </c>
      <c r="B3659" s="98" t="s">
        <v>17</v>
      </c>
      <c r="C3659" s="98">
        <v>111</v>
      </c>
      <c r="D3659" s="98">
        <v>3236</v>
      </c>
      <c r="E3659" s="157">
        <v>41520.720833333333</v>
      </c>
      <c r="F3659" s="157">
        <v>41521.333333333336</v>
      </c>
      <c r="G3659" s="98">
        <v>343</v>
      </c>
      <c r="H3659" s="98">
        <v>423</v>
      </c>
      <c r="I3659" s="98">
        <v>393</v>
      </c>
      <c r="J3659" s="98" t="s">
        <v>2746</v>
      </c>
      <c r="K3659" s="98" t="s">
        <v>1518</v>
      </c>
      <c r="L3659" s="105" t="str">
        <f t="shared" si="600"/>
        <v>Mill Creek</v>
      </c>
      <c r="M3659" s="105" t="str">
        <f t="shared" si="601"/>
        <v>Derate</v>
      </c>
      <c r="N3659" s="105" t="str">
        <f t="shared" si="602"/>
        <v>Coal</v>
      </c>
      <c r="O3659" s="105">
        <f>IFERROR(VLOOKUP(A3659,Lookup!$J$5:$P$19,7,FALSE),0)</f>
        <v>3</v>
      </c>
      <c r="P3659" s="159">
        <f t="shared" si="603"/>
        <v>2013</v>
      </c>
      <c r="Q3659" s="159">
        <f t="shared" si="604"/>
        <v>9</v>
      </c>
      <c r="R3659" s="160">
        <f t="shared" si="605"/>
        <v>14.700000000069849</v>
      </c>
      <c r="S3659" s="158">
        <f t="shared" si="606"/>
        <v>2.7801418439848415</v>
      </c>
      <c r="T3659" s="161">
        <f t="shared" si="607"/>
        <v>1092.5957446860427</v>
      </c>
      <c r="U3659" s="158">
        <f t="shared" si="609"/>
        <v>74.326241134751768</v>
      </c>
      <c r="V3659" s="160">
        <f t="shared" si="608"/>
        <v>74</v>
      </c>
    </row>
    <row r="3660" spans="1:22" x14ac:dyDescent="0.25">
      <c r="A3660" s="98" t="s">
        <v>29</v>
      </c>
      <c r="B3660" s="98" t="s">
        <v>17</v>
      </c>
      <c r="C3660" s="98">
        <v>112</v>
      </c>
      <c r="D3660" s="98">
        <v>3236</v>
      </c>
      <c r="E3660" s="157">
        <v>41521.333333333336</v>
      </c>
      <c r="F3660" s="157">
        <v>41521.576388888891</v>
      </c>
      <c r="G3660" s="98">
        <v>360</v>
      </c>
      <c r="H3660" s="98">
        <v>423</v>
      </c>
      <c r="I3660" s="98">
        <v>393</v>
      </c>
      <c r="J3660" s="98" t="s">
        <v>2746</v>
      </c>
      <c r="K3660" s="98" t="s">
        <v>1518</v>
      </c>
      <c r="L3660" s="105" t="str">
        <f t="shared" si="600"/>
        <v>Mill Creek</v>
      </c>
      <c r="M3660" s="105" t="str">
        <f t="shared" si="601"/>
        <v>Derate</v>
      </c>
      <c r="N3660" s="105" t="str">
        <f t="shared" si="602"/>
        <v>Coal</v>
      </c>
      <c r="O3660" s="105">
        <f>IFERROR(VLOOKUP(A3660,Lookup!$J$5:$P$19,7,FALSE),0)</f>
        <v>3</v>
      </c>
      <c r="P3660" s="159">
        <f t="shared" si="603"/>
        <v>2013</v>
      </c>
      <c r="Q3660" s="159">
        <f t="shared" si="604"/>
        <v>9</v>
      </c>
      <c r="R3660" s="160">
        <f t="shared" si="605"/>
        <v>5.8333333333139308</v>
      </c>
      <c r="S3660" s="158">
        <f t="shared" si="606"/>
        <v>0.86879432623824504</v>
      </c>
      <c r="T3660" s="161">
        <f t="shared" si="607"/>
        <v>341.43617021163033</v>
      </c>
      <c r="U3660" s="158">
        <f t="shared" si="609"/>
        <v>58.531914893617021</v>
      </c>
      <c r="V3660" s="160">
        <f t="shared" si="608"/>
        <v>59</v>
      </c>
    </row>
    <row r="3661" spans="1:22" x14ac:dyDescent="0.25">
      <c r="A3661" s="98" t="s">
        <v>29</v>
      </c>
      <c r="B3661" s="98" t="s">
        <v>17</v>
      </c>
      <c r="C3661" s="98">
        <v>113</v>
      </c>
      <c r="D3661" s="98">
        <v>3236</v>
      </c>
      <c r="E3661" s="157">
        <v>41521.576388888891</v>
      </c>
      <c r="F3661" s="157">
        <v>41521.739583333336</v>
      </c>
      <c r="G3661" s="98">
        <v>375</v>
      </c>
      <c r="H3661" s="98">
        <v>423</v>
      </c>
      <c r="I3661" s="98">
        <v>393</v>
      </c>
      <c r="J3661" s="98" t="s">
        <v>2746</v>
      </c>
      <c r="K3661" s="98" t="s">
        <v>1518</v>
      </c>
      <c r="L3661" s="105" t="str">
        <f t="shared" si="600"/>
        <v>Mill Creek</v>
      </c>
      <c r="M3661" s="105" t="str">
        <f t="shared" si="601"/>
        <v>Derate</v>
      </c>
      <c r="N3661" s="105" t="str">
        <f t="shared" si="602"/>
        <v>Coal</v>
      </c>
      <c r="O3661" s="105">
        <f>IFERROR(VLOOKUP(A3661,Lookup!$J$5:$P$19,7,FALSE),0)</f>
        <v>3</v>
      </c>
      <c r="P3661" s="159">
        <f t="shared" si="603"/>
        <v>2013</v>
      </c>
      <c r="Q3661" s="159">
        <f t="shared" si="604"/>
        <v>9</v>
      </c>
      <c r="R3661" s="160">
        <f t="shared" si="605"/>
        <v>3.9166666666860692</v>
      </c>
      <c r="S3661" s="158">
        <f t="shared" si="606"/>
        <v>0.44444444444664616</v>
      </c>
      <c r="T3661" s="161">
        <f t="shared" si="607"/>
        <v>174.66666666753193</v>
      </c>
      <c r="U3661" s="158">
        <f t="shared" si="609"/>
        <v>44.595744680851062</v>
      </c>
      <c r="V3661" s="160">
        <f t="shared" si="608"/>
        <v>45</v>
      </c>
    </row>
    <row r="3662" spans="1:22" x14ac:dyDescent="0.25">
      <c r="A3662" s="98" t="s">
        <v>29</v>
      </c>
      <c r="B3662" s="98" t="s">
        <v>17</v>
      </c>
      <c r="C3662" s="98">
        <v>114</v>
      </c>
      <c r="D3662" s="98">
        <v>3236</v>
      </c>
      <c r="E3662" s="157">
        <v>41521.739583333336</v>
      </c>
      <c r="F3662" s="157">
        <v>41522.310416666667</v>
      </c>
      <c r="G3662" s="98">
        <v>344</v>
      </c>
      <c r="H3662" s="98">
        <v>423</v>
      </c>
      <c r="I3662" s="98">
        <v>393</v>
      </c>
      <c r="J3662" s="98" t="s">
        <v>2746</v>
      </c>
      <c r="K3662" s="98" t="s">
        <v>1518</v>
      </c>
      <c r="L3662" s="105" t="str">
        <f t="shared" si="600"/>
        <v>Mill Creek</v>
      </c>
      <c r="M3662" s="105" t="str">
        <f t="shared" si="601"/>
        <v>Derate</v>
      </c>
      <c r="N3662" s="105" t="str">
        <f t="shared" si="602"/>
        <v>Coal</v>
      </c>
      <c r="O3662" s="105">
        <f>IFERROR(VLOOKUP(A3662,Lookup!$J$5:$P$19,7,FALSE),0)</f>
        <v>3</v>
      </c>
      <c r="P3662" s="159">
        <f t="shared" si="603"/>
        <v>2013</v>
      </c>
      <c r="Q3662" s="159">
        <f t="shared" si="604"/>
        <v>9</v>
      </c>
      <c r="R3662" s="160">
        <f t="shared" si="605"/>
        <v>13.699999999953434</v>
      </c>
      <c r="S3662" s="158">
        <f t="shared" si="606"/>
        <v>2.5586288415988681</v>
      </c>
      <c r="T3662" s="161">
        <f t="shared" si="607"/>
        <v>1005.5411347483551</v>
      </c>
      <c r="U3662" s="158">
        <f t="shared" si="609"/>
        <v>73.39716312056737</v>
      </c>
      <c r="V3662" s="160">
        <f t="shared" si="608"/>
        <v>73</v>
      </c>
    </row>
    <row r="3663" spans="1:22" x14ac:dyDescent="0.25">
      <c r="A3663" s="98" t="s">
        <v>29</v>
      </c>
      <c r="B3663" s="98" t="s">
        <v>17</v>
      </c>
      <c r="C3663" s="98">
        <v>115</v>
      </c>
      <c r="D3663" s="98">
        <v>3236</v>
      </c>
      <c r="E3663" s="157">
        <v>41522.310416666667</v>
      </c>
      <c r="F3663" s="157">
        <v>41522.373611111114</v>
      </c>
      <c r="G3663" s="98">
        <v>365</v>
      </c>
      <c r="H3663" s="98">
        <v>423</v>
      </c>
      <c r="I3663" s="98">
        <v>393</v>
      </c>
      <c r="J3663" s="98" t="s">
        <v>2746</v>
      </c>
      <c r="K3663" s="98" t="s">
        <v>1518</v>
      </c>
      <c r="L3663" s="105" t="str">
        <f t="shared" si="600"/>
        <v>Mill Creek</v>
      </c>
      <c r="M3663" s="105" t="str">
        <f t="shared" si="601"/>
        <v>Derate</v>
      </c>
      <c r="N3663" s="105" t="str">
        <f t="shared" si="602"/>
        <v>Coal</v>
      </c>
      <c r="O3663" s="105">
        <f>IFERROR(VLOOKUP(A3663,Lookup!$J$5:$P$19,7,FALSE),0)</f>
        <v>3</v>
      </c>
      <c r="P3663" s="159">
        <f t="shared" si="603"/>
        <v>2013</v>
      </c>
      <c r="Q3663" s="159">
        <f t="shared" si="604"/>
        <v>9</v>
      </c>
      <c r="R3663" s="160">
        <f t="shared" si="605"/>
        <v>1.5166666667209938</v>
      </c>
      <c r="S3663" s="158">
        <f t="shared" si="606"/>
        <v>0.20795902286008899</v>
      </c>
      <c r="T3663" s="161">
        <f t="shared" si="607"/>
        <v>81.727895984014978</v>
      </c>
      <c r="U3663" s="158">
        <f t="shared" si="609"/>
        <v>53.886524822695037</v>
      </c>
      <c r="V3663" s="160">
        <f t="shared" si="608"/>
        <v>54</v>
      </c>
    </row>
    <row r="3664" spans="1:22" x14ac:dyDescent="0.25">
      <c r="A3664" s="98" t="s">
        <v>29</v>
      </c>
      <c r="B3664" s="98" t="s">
        <v>17</v>
      </c>
      <c r="C3664" s="98">
        <v>116</v>
      </c>
      <c r="D3664" s="98">
        <v>3236</v>
      </c>
      <c r="E3664" s="157">
        <v>41522.373611111114</v>
      </c>
      <c r="F3664" s="157">
        <v>41522.48333333333</v>
      </c>
      <c r="G3664" s="98">
        <v>355</v>
      </c>
      <c r="H3664" s="98">
        <v>423</v>
      </c>
      <c r="I3664" s="98">
        <v>393</v>
      </c>
      <c r="J3664" s="98" t="s">
        <v>2746</v>
      </c>
      <c r="K3664" s="98" t="s">
        <v>1518</v>
      </c>
      <c r="L3664" s="105" t="str">
        <f t="shared" si="600"/>
        <v>Mill Creek</v>
      </c>
      <c r="M3664" s="105" t="str">
        <f t="shared" si="601"/>
        <v>Derate</v>
      </c>
      <c r="N3664" s="105" t="str">
        <f t="shared" si="602"/>
        <v>Coal</v>
      </c>
      <c r="O3664" s="105">
        <f>IFERROR(VLOOKUP(A3664,Lookup!$J$5:$P$19,7,FALSE),0)</f>
        <v>3</v>
      </c>
      <c r="P3664" s="159">
        <f t="shared" si="603"/>
        <v>2013</v>
      </c>
      <c r="Q3664" s="159">
        <f t="shared" si="604"/>
        <v>9</v>
      </c>
      <c r="R3664" s="160">
        <f t="shared" si="605"/>
        <v>2.6333333331858739</v>
      </c>
      <c r="S3664" s="158">
        <f t="shared" si="606"/>
        <v>0.42332545308898212</v>
      </c>
      <c r="T3664" s="161">
        <f t="shared" si="607"/>
        <v>166.36690306396997</v>
      </c>
      <c r="U3664" s="158">
        <f t="shared" si="609"/>
        <v>63.177304964539005</v>
      </c>
      <c r="V3664" s="160">
        <f t="shared" si="608"/>
        <v>63</v>
      </c>
    </row>
    <row r="3665" spans="1:22" x14ac:dyDescent="0.25">
      <c r="A3665" s="98" t="s">
        <v>29</v>
      </c>
      <c r="B3665" s="98" t="s">
        <v>17</v>
      </c>
      <c r="C3665" s="98">
        <v>117</v>
      </c>
      <c r="D3665" s="98">
        <v>3236</v>
      </c>
      <c r="E3665" s="157">
        <v>41522.48333333333</v>
      </c>
      <c r="F3665" s="157">
        <v>41522.82708333333</v>
      </c>
      <c r="G3665" s="98">
        <v>335</v>
      </c>
      <c r="H3665" s="98">
        <v>423</v>
      </c>
      <c r="I3665" s="98">
        <v>393</v>
      </c>
      <c r="J3665" s="98" t="s">
        <v>2746</v>
      </c>
      <c r="K3665" s="98" t="s">
        <v>1518</v>
      </c>
      <c r="L3665" s="105" t="str">
        <f t="shared" si="600"/>
        <v>Mill Creek</v>
      </c>
      <c r="M3665" s="105" t="str">
        <f t="shared" si="601"/>
        <v>Derate</v>
      </c>
      <c r="N3665" s="105" t="str">
        <f t="shared" si="602"/>
        <v>Coal</v>
      </c>
      <c r="O3665" s="105">
        <f>IFERROR(VLOOKUP(A3665,Lookup!$J$5:$P$19,7,FALSE),0)</f>
        <v>3</v>
      </c>
      <c r="P3665" s="159">
        <f t="shared" si="603"/>
        <v>2013</v>
      </c>
      <c r="Q3665" s="159">
        <f t="shared" si="604"/>
        <v>9</v>
      </c>
      <c r="R3665" s="160">
        <f t="shared" si="605"/>
        <v>8.25</v>
      </c>
      <c r="S3665" s="158">
        <f t="shared" si="606"/>
        <v>1.7163120567375887</v>
      </c>
      <c r="T3665" s="161">
        <f t="shared" si="607"/>
        <v>674.51063829787233</v>
      </c>
      <c r="U3665" s="158">
        <f t="shared" si="609"/>
        <v>81.758865248226954</v>
      </c>
      <c r="V3665" s="160">
        <f t="shared" si="608"/>
        <v>82</v>
      </c>
    </row>
    <row r="3666" spans="1:22" x14ac:dyDescent="0.25">
      <c r="A3666" s="98" t="s">
        <v>29</v>
      </c>
      <c r="B3666" s="98" t="s">
        <v>17</v>
      </c>
      <c r="C3666" s="98">
        <v>118</v>
      </c>
      <c r="D3666" s="98">
        <v>3236</v>
      </c>
      <c r="E3666" s="157">
        <v>41522.82708333333</v>
      </c>
      <c r="F3666" s="157">
        <v>41525.402777777781</v>
      </c>
      <c r="G3666" s="98">
        <v>350</v>
      </c>
      <c r="H3666" s="98">
        <v>423</v>
      </c>
      <c r="I3666" s="98">
        <v>393</v>
      </c>
      <c r="J3666" s="98" t="s">
        <v>2746</v>
      </c>
      <c r="K3666" s="98" t="s">
        <v>1518</v>
      </c>
      <c r="L3666" s="105" t="str">
        <f t="shared" si="600"/>
        <v>Mill Creek</v>
      </c>
      <c r="M3666" s="105" t="str">
        <f t="shared" si="601"/>
        <v>Derate</v>
      </c>
      <c r="N3666" s="105" t="str">
        <f t="shared" si="602"/>
        <v>Coal</v>
      </c>
      <c r="O3666" s="105">
        <f>IFERROR(VLOOKUP(A3666,Lookup!$J$5:$P$19,7,FALSE),0)</f>
        <v>3</v>
      </c>
      <c r="P3666" s="159">
        <f t="shared" si="603"/>
        <v>2013</v>
      </c>
      <c r="Q3666" s="159">
        <f t="shared" si="604"/>
        <v>9</v>
      </c>
      <c r="R3666" s="160">
        <f t="shared" si="605"/>
        <v>61.816666666825768</v>
      </c>
      <c r="S3666" s="158">
        <f t="shared" si="606"/>
        <v>10.668124507513667</v>
      </c>
      <c r="T3666" s="161">
        <f t="shared" si="607"/>
        <v>4192.5729314528717</v>
      </c>
      <c r="U3666" s="158">
        <f t="shared" si="609"/>
        <v>67.822695035460995</v>
      </c>
      <c r="V3666" s="160">
        <f t="shared" si="608"/>
        <v>68</v>
      </c>
    </row>
    <row r="3667" spans="1:22" x14ac:dyDescent="0.25">
      <c r="A3667" s="98" t="s">
        <v>29</v>
      </c>
      <c r="B3667" s="98" t="s">
        <v>17</v>
      </c>
      <c r="C3667" s="98">
        <v>119</v>
      </c>
      <c r="D3667" s="98">
        <v>3236</v>
      </c>
      <c r="E3667" s="157">
        <v>41525.402777777781</v>
      </c>
      <c r="F3667" s="157">
        <v>41526.349305555559</v>
      </c>
      <c r="G3667" s="98">
        <v>315</v>
      </c>
      <c r="H3667" s="98">
        <v>423</v>
      </c>
      <c r="I3667" s="98">
        <v>393</v>
      </c>
      <c r="J3667" s="98" t="s">
        <v>2746</v>
      </c>
      <c r="K3667" s="98" t="s">
        <v>1518</v>
      </c>
      <c r="L3667" s="105" t="str">
        <f t="shared" si="600"/>
        <v>Mill Creek</v>
      </c>
      <c r="M3667" s="105" t="str">
        <f t="shared" si="601"/>
        <v>Derate</v>
      </c>
      <c r="N3667" s="105" t="str">
        <f t="shared" si="602"/>
        <v>Coal</v>
      </c>
      <c r="O3667" s="105">
        <f>IFERROR(VLOOKUP(A3667,Lookup!$J$5:$P$19,7,FALSE),0)</f>
        <v>3</v>
      </c>
      <c r="P3667" s="159">
        <f t="shared" si="603"/>
        <v>2013</v>
      </c>
      <c r="Q3667" s="159">
        <f t="shared" si="604"/>
        <v>9</v>
      </c>
      <c r="R3667" s="160">
        <f t="shared" si="605"/>
        <v>22.716666666674428</v>
      </c>
      <c r="S3667" s="158">
        <f t="shared" si="606"/>
        <v>5.8000000000019813</v>
      </c>
      <c r="T3667" s="161">
        <f t="shared" si="607"/>
        <v>2279.4000000007786</v>
      </c>
      <c r="U3667" s="158">
        <f t="shared" si="609"/>
        <v>100.34042553191489</v>
      </c>
      <c r="V3667" s="160">
        <f t="shared" si="608"/>
        <v>100</v>
      </c>
    </row>
    <row r="3668" spans="1:22" x14ac:dyDescent="0.25">
      <c r="A3668" s="98" t="s">
        <v>29</v>
      </c>
      <c r="B3668" s="98" t="s">
        <v>17</v>
      </c>
      <c r="C3668" s="98">
        <v>120</v>
      </c>
      <c r="D3668" s="98">
        <v>3236</v>
      </c>
      <c r="E3668" s="157">
        <v>41526.349305555559</v>
      </c>
      <c r="F3668" s="157">
        <v>41526.382638888892</v>
      </c>
      <c r="G3668" s="98">
        <v>340</v>
      </c>
      <c r="H3668" s="98">
        <v>423</v>
      </c>
      <c r="I3668" s="98">
        <v>393</v>
      </c>
      <c r="J3668" s="98" t="s">
        <v>2746</v>
      </c>
      <c r="K3668" s="98" t="s">
        <v>1518</v>
      </c>
      <c r="L3668" s="105" t="str">
        <f t="shared" si="600"/>
        <v>Mill Creek</v>
      </c>
      <c r="M3668" s="105" t="str">
        <f t="shared" si="601"/>
        <v>Derate</v>
      </c>
      <c r="N3668" s="105" t="str">
        <f t="shared" si="602"/>
        <v>Coal</v>
      </c>
      <c r="O3668" s="105">
        <f>IFERROR(VLOOKUP(A3668,Lookup!$J$5:$P$19,7,FALSE),0)</f>
        <v>3</v>
      </c>
      <c r="P3668" s="159">
        <f t="shared" si="603"/>
        <v>2013</v>
      </c>
      <c r="Q3668" s="159">
        <f t="shared" si="604"/>
        <v>9</v>
      </c>
      <c r="R3668" s="160">
        <f t="shared" si="605"/>
        <v>0.79999999998835847</v>
      </c>
      <c r="S3668" s="158">
        <f t="shared" si="606"/>
        <v>0.15697399526958333</v>
      </c>
      <c r="T3668" s="161">
        <f t="shared" si="607"/>
        <v>61.690780140946252</v>
      </c>
      <c r="U3668" s="158">
        <f t="shared" si="609"/>
        <v>77.113475177304963</v>
      </c>
      <c r="V3668" s="160">
        <f t="shared" si="608"/>
        <v>77</v>
      </c>
    </row>
    <row r="3669" spans="1:22" x14ac:dyDescent="0.25">
      <c r="A3669" s="98" t="s">
        <v>29</v>
      </c>
      <c r="B3669" s="98" t="s">
        <v>17</v>
      </c>
      <c r="C3669" s="98">
        <v>121</v>
      </c>
      <c r="D3669" s="98">
        <v>3236</v>
      </c>
      <c r="E3669" s="157">
        <v>41526.382638888892</v>
      </c>
      <c r="F3669" s="157">
        <v>41526.463888888888</v>
      </c>
      <c r="G3669" s="98">
        <v>326</v>
      </c>
      <c r="H3669" s="98">
        <v>423</v>
      </c>
      <c r="I3669" s="98">
        <v>393</v>
      </c>
      <c r="J3669" s="98" t="s">
        <v>2746</v>
      </c>
      <c r="K3669" s="98" t="s">
        <v>1518</v>
      </c>
      <c r="L3669" s="105" t="str">
        <f t="shared" si="600"/>
        <v>Mill Creek</v>
      </c>
      <c r="M3669" s="105" t="str">
        <f t="shared" si="601"/>
        <v>Derate</v>
      </c>
      <c r="N3669" s="105" t="str">
        <f t="shared" si="602"/>
        <v>Coal</v>
      </c>
      <c r="O3669" s="105">
        <f>IFERROR(VLOOKUP(A3669,Lookup!$J$5:$P$19,7,FALSE),0)</f>
        <v>3</v>
      </c>
      <c r="P3669" s="159">
        <f t="shared" si="603"/>
        <v>2013</v>
      </c>
      <c r="Q3669" s="159">
        <f t="shared" si="604"/>
        <v>9</v>
      </c>
      <c r="R3669" s="160">
        <f t="shared" si="605"/>
        <v>1.9499999998952262</v>
      </c>
      <c r="S3669" s="158">
        <f t="shared" si="606"/>
        <v>0.44716312054334972</v>
      </c>
      <c r="T3669" s="161">
        <f t="shared" si="607"/>
        <v>175.73510637353644</v>
      </c>
      <c r="U3669" s="158">
        <f t="shared" si="609"/>
        <v>90.120567375886523</v>
      </c>
      <c r="V3669" s="160">
        <f t="shared" si="608"/>
        <v>90</v>
      </c>
    </row>
    <row r="3670" spans="1:22" x14ac:dyDescent="0.25">
      <c r="A3670" s="98" t="s">
        <v>29</v>
      </c>
      <c r="B3670" s="98" t="s">
        <v>17</v>
      </c>
      <c r="C3670" s="98">
        <v>122</v>
      </c>
      <c r="D3670" s="98">
        <v>3236</v>
      </c>
      <c r="E3670" s="157">
        <v>41526.463888888888</v>
      </c>
      <c r="F3670" s="157">
        <v>41526.518055555556</v>
      </c>
      <c r="G3670" s="98">
        <v>292</v>
      </c>
      <c r="H3670" s="98">
        <v>423</v>
      </c>
      <c r="I3670" s="98">
        <v>393</v>
      </c>
      <c r="J3670" s="98" t="s">
        <v>2746</v>
      </c>
      <c r="K3670" s="98" t="s">
        <v>1518</v>
      </c>
      <c r="L3670" s="105" t="str">
        <f t="shared" si="600"/>
        <v>Mill Creek</v>
      </c>
      <c r="M3670" s="105" t="str">
        <f t="shared" si="601"/>
        <v>Derate</v>
      </c>
      <c r="N3670" s="105" t="str">
        <f t="shared" si="602"/>
        <v>Coal</v>
      </c>
      <c r="O3670" s="105">
        <f>IFERROR(VLOOKUP(A3670,Lookup!$J$5:$P$19,7,FALSE),0)</f>
        <v>3</v>
      </c>
      <c r="P3670" s="159">
        <f t="shared" si="603"/>
        <v>2013</v>
      </c>
      <c r="Q3670" s="159">
        <f t="shared" si="604"/>
        <v>9</v>
      </c>
      <c r="R3670" s="160">
        <f t="shared" si="605"/>
        <v>1.3000000000465661</v>
      </c>
      <c r="S3670" s="158">
        <f t="shared" si="606"/>
        <v>0.40260047282765998</v>
      </c>
      <c r="T3670" s="161">
        <f t="shared" si="607"/>
        <v>158.22198582127038</v>
      </c>
      <c r="U3670" s="158">
        <f t="shared" si="609"/>
        <v>121.70921985815603</v>
      </c>
      <c r="V3670" s="160">
        <f t="shared" si="608"/>
        <v>122</v>
      </c>
    </row>
    <row r="3671" spans="1:22" x14ac:dyDescent="0.25">
      <c r="A3671" s="98" t="s">
        <v>29</v>
      </c>
      <c r="B3671" s="98" t="s">
        <v>17</v>
      </c>
      <c r="C3671" s="98">
        <v>123</v>
      </c>
      <c r="D3671" s="98">
        <v>3236</v>
      </c>
      <c r="E3671" s="157">
        <v>41526.518055555556</v>
      </c>
      <c r="F3671" s="157">
        <v>41526.951388888891</v>
      </c>
      <c r="G3671" s="98">
        <v>303</v>
      </c>
      <c r="H3671" s="98">
        <v>423</v>
      </c>
      <c r="I3671" s="98">
        <v>393</v>
      </c>
      <c r="J3671" s="98" t="s">
        <v>2746</v>
      </c>
      <c r="K3671" s="98" t="s">
        <v>1518</v>
      </c>
      <c r="L3671" s="105" t="str">
        <f t="shared" si="600"/>
        <v>Mill Creek</v>
      </c>
      <c r="M3671" s="105" t="str">
        <f t="shared" si="601"/>
        <v>Derate</v>
      </c>
      <c r="N3671" s="105" t="str">
        <f t="shared" si="602"/>
        <v>Coal</v>
      </c>
      <c r="O3671" s="105">
        <f>IFERROR(VLOOKUP(A3671,Lookup!$J$5:$P$19,7,FALSE),0)</f>
        <v>3</v>
      </c>
      <c r="P3671" s="159">
        <f t="shared" si="603"/>
        <v>2013</v>
      </c>
      <c r="Q3671" s="159">
        <f t="shared" si="604"/>
        <v>9</v>
      </c>
      <c r="R3671" s="160">
        <f t="shared" si="605"/>
        <v>10.400000000023283</v>
      </c>
      <c r="S3671" s="158">
        <f t="shared" si="606"/>
        <v>2.9503546099356832</v>
      </c>
      <c r="T3671" s="161">
        <f t="shared" si="607"/>
        <v>1159.4893617047235</v>
      </c>
      <c r="U3671" s="158">
        <f t="shared" si="609"/>
        <v>111.48936170212765</v>
      </c>
      <c r="V3671" s="160">
        <f t="shared" si="608"/>
        <v>111</v>
      </c>
    </row>
    <row r="3672" spans="1:22" x14ac:dyDescent="0.25">
      <c r="A3672" s="98" t="s">
        <v>29</v>
      </c>
      <c r="B3672" s="98" t="s">
        <v>17</v>
      </c>
      <c r="C3672" s="98">
        <v>124</v>
      </c>
      <c r="D3672" s="98">
        <v>3236</v>
      </c>
      <c r="E3672" s="157">
        <v>41526.951388888891</v>
      </c>
      <c r="F3672" s="157">
        <v>41526.972222222219</v>
      </c>
      <c r="G3672" s="98">
        <v>330</v>
      </c>
      <c r="H3672" s="98">
        <v>423</v>
      </c>
      <c r="I3672" s="98">
        <v>393</v>
      </c>
      <c r="J3672" s="98" t="s">
        <v>2746</v>
      </c>
      <c r="K3672" s="98" t="s">
        <v>1518</v>
      </c>
      <c r="L3672" s="105" t="str">
        <f t="shared" si="600"/>
        <v>Mill Creek</v>
      </c>
      <c r="M3672" s="105" t="str">
        <f t="shared" si="601"/>
        <v>Derate</v>
      </c>
      <c r="N3672" s="105" t="str">
        <f t="shared" si="602"/>
        <v>Coal</v>
      </c>
      <c r="O3672" s="105">
        <f>IFERROR(VLOOKUP(A3672,Lookup!$J$5:$P$19,7,FALSE),0)</f>
        <v>3</v>
      </c>
      <c r="P3672" s="159">
        <f t="shared" si="603"/>
        <v>2013</v>
      </c>
      <c r="Q3672" s="159">
        <f t="shared" si="604"/>
        <v>9</v>
      </c>
      <c r="R3672" s="160">
        <f t="shared" si="605"/>
        <v>0.49999999988358468</v>
      </c>
      <c r="S3672" s="158">
        <f t="shared" si="606"/>
        <v>0.10992907798858954</v>
      </c>
      <c r="T3672" s="161">
        <f t="shared" si="607"/>
        <v>43.202127649515688</v>
      </c>
      <c r="U3672" s="158">
        <f t="shared" si="609"/>
        <v>86.40425531914893</v>
      </c>
      <c r="V3672" s="160">
        <f t="shared" si="608"/>
        <v>86</v>
      </c>
    </row>
    <row r="3673" spans="1:22" x14ac:dyDescent="0.25">
      <c r="A3673" s="98" t="s">
        <v>29</v>
      </c>
      <c r="B3673" s="98" t="s">
        <v>17</v>
      </c>
      <c r="C3673" s="98">
        <v>125</v>
      </c>
      <c r="D3673" s="98">
        <v>3236</v>
      </c>
      <c r="E3673" s="157">
        <v>41526.972222222219</v>
      </c>
      <c r="F3673" s="157">
        <v>41527.431250000001</v>
      </c>
      <c r="G3673" s="98">
        <v>320</v>
      </c>
      <c r="H3673" s="98">
        <v>423</v>
      </c>
      <c r="I3673" s="98">
        <v>393</v>
      </c>
      <c r="J3673" s="98" t="s">
        <v>2746</v>
      </c>
      <c r="K3673" s="98" t="s">
        <v>1518</v>
      </c>
      <c r="L3673" s="105" t="str">
        <f t="shared" si="600"/>
        <v>Mill Creek</v>
      </c>
      <c r="M3673" s="105" t="str">
        <f t="shared" si="601"/>
        <v>Derate</v>
      </c>
      <c r="N3673" s="105" t="str">
        <f t="shared" si="602"/>
        <v>Coal</v>
      </c>
      <c r="O3673" s="105">
        <f>IFERROR(VLOOKUP(A3673,Lookup!$J$5:$P$19,7,FALSE),0)</f>
        <v>3</v>
      </c>
      <c r="P3673" s="159">
        <f t="shared" si="603"/>
        <v>2013</v>
      </c>
      <c r="Q3673" s="159">
        <f t="shared" si="604"/>
        <v>9</v>
      </c>
      <c r="R3673" s="160">
        <f t="shared" si="605"/>
        <v>11.016666666779201</v>
      </c>
      <c r="S3673" s="158">
        <f t="shared" si="606"/>
        <v>2.6825453112961175</v>
      </c>
      <c r="T3673" s="161">
        <f t="shared" si="607"/>
        <v>1054.2403073393741</v>
      </c>
      <c r="U3673" s="158">
        <f t="shared" si="609"/>
        <v>95.695035460992912</v>
      </c>
      <c r="V3673" s="160">
        <f t="shared" si="608"/>
        <v>96</v>
      </c>
    </row>
    <row r="3674" spans="1:22" x14ac:dyDescent="0.25">
      <c r="A3674" s="98" t="s">
        <v>29</v>
      </c>
      <c r="B3674" s="98" t="s">
        <v>17</v>
      </c>
      <c r="C3674" s="98">
        <v>126</v>
      </c>
      <c r="D3674" s="98">
        <v>3236</v>
      </c>
      <c r="E3674" s="157">
        <v>41527.431250000001</v>
      </c>
      <c r="F3674" s="157">
        <v>41527.438194444447</v>
      </c>
      <c r="G3674" s="98">
        <v>315</v>
      </c>
      <c r="H3674" s="98">
        <v>423</v>
      </c>
      <c r="I3674" s="98">
        <v>393</v>
      </c>
      <c r="J3674" s="98" t="s">
        <v>2746</v>
      </c>
      <c r="K3674" s="98" t="s">
        <v>1518</v>
      </c>
      <c r="L3674" s="105" t="str">
        <f t="shared" si="600"/>
        <v>Mill Creek</v>
      </c>
      <c r="M3674" s="105" t="str">
        <f t="shared" si="601"/>
        <v>Derate</v>
      </c>
      <c r="N3674" s="105" t="str">
        <f t="shared" si="602"/>
        <v>Coal</v>
      </c>
      <c r="O3674" s="105">
        <f>IFERROR(VLOOKUP(A3674,Lookup!$J$5:$P$19,7,FALSE),0)</f>
        <v>3</v>
      </c>
      <c r="P3674" s="159">
        <f t="shared" si="603"/>
        <v>2013</v>
      </c>
      <c r="Q3674" s="159">
        <f t="shared" si="604"/>
        <v>9</v>
      </c>
      <c r="R3674" s="160">
        <f t="shared" si="605"/>
        <v>0.16666666668606922</v>
      </c>
      <c r="S3674" s="158">
        <f t="shared" si="606"/>
        <v>4.2553191494315544E-2</v>
      </c>
      <c r="T3674" s="161">
        <f t="shared" si="607"/>
        <v>16.723404257266008</v>
      </c>
      <c r="U3674" s="158">
        <f t="shared" si="609"/>
        <v>100.34042553191489</v>
      </c>
      <c r="V3674" s="160">
        <f t="shared" si="608"/>
        <v>100</v>
      </c>
    </row>
    <row r="3675" spans="1:22" x14ac:dyDescent="0.25">
      <c r="A3675" s="98" t="s">
        <v>29</v>
      </c>
      <c r="B3675" s="98" t="s">
        <v>17</v>
      </c>
      <c r="C3675" s="98">
        <v>127</v>
      </c>
      <c r="D3675" s="98">
        <v>3236</v>
      </c>
      <c r="E3675" s="157">
        <v>41527.438194444447</v>
      </c>
      <c r="F3675" s="162">
        <v>41527.513194444444</v>
      </c>
      <c r="G3675" s="98">
        <v>310</v>
      </c>
      <c r="H3675" s="98">
        <v>423</v>
      </c>
      <c r="I3675" s="98">
        <v>393</v>
      </c>
      <c r="J3675" s="98" t="s">
        <v>2746</v>
      </c>
      <c r="K3675" s="98" t="s">
        <v>1518</v>
      </c>
      <c r="L3675" s="105" t="str">
        <f t="shared" si="600"/>
        <v>Mill Creek</v>
      </c>
      <c r="M3675" s="105" t="str">
        <f t="shared" si="601"/>
        <v>Derate</v>
      </c>
      <c r="N3675" s="105" t="str">
        <f t="shared" si="602"/>
        <v>Coal</v>
      </c>
      <c r="O3675" s="105">
        <f>IFERROR(VLOOKUP(A3675,Lookup!$J$5:$P$19,7,FALSE),0)</f>
        <v>3</v>
      </c>
      <c r="P3675" s="159">
        <f t="shared" si="603"/>
        <v>2013</v>
      </c>
      <c r="Q3675" s="159">
        <f t="shared" si="604"/>
        <v>9</v>
      </c>
      <c r="R3675" s="160">
        <f t="shared" si="605"/>
        <v>1.7999999999301508</v>
      </c>
      <c r="S3675" s="158">
        <f t="shared" si="606"/>
        <v>0.48085106381112774</v>
      </c>
      <c r="T3675" s="161">
        <f t="shared" si="607"/>
        <v>188.9744680777732</v>
      </c>
      <c r="U3675" s="158">
        <f t="shared" si="609"/>
        <v>104.98581560283688</v>
      </c>
      <c r="V3675" s="160">
        <f t="shared" si="608"/>
        <v>105</v>
      </c>
    </row>
    <row r="3676" spans="1:22" x14ac:dyDescent="0.25">
      <c r="A3676" s="98" t="s">
        <v>29</v>
      </c>
      <c r="B3676" s="98" t="s">
        <v>17</v>
      </c>
      <c r="C3676" s="98">
        <v>128</v>
      </c>
      <c r="D3676" s="98">
        <v>3236</v>
      </c>
      <c r="E3676" s="157">
        <v>41527.513194444444</v>
      </c>
      <c r="F3676" s="157">
        <v>41527.534722222219</v>
      </c>
      <c r="G3676" s="98">
        <v>305</v>
      </c>
      <c r="H3676" s="98">
        <v>423</v>
      </c>
      <c r="I3676" s="98">
        <v>393</v>
      </c>
      <c r="J3676" s="98" t="s">
        <v>2746</v>
      </c>
      <c r="K3676" s="98" t="s">
        <v>1518</v>
      </c>
      <c r="L3676" s="105" t="str">
        <f t="shared" si="600"/>
        <v>Mill Creek</v>
      </c>
      <c r="M3676" s="105" t="str">
        <f t="shared" si="601"/>
        <v>Derate</v>
      </c>
      <c r="N3676" s="105" t="str">
        <f t="shared" si="602"/>
        <v>Coal</v>
      </c>
      <c r="O3676" s="105">
        <f>IFERROR(VLOOKUP(A3676,Lookup!$J$5:$P$19,7,FALSE),0)</f>
        <v>3</v>
      </c>
      <c r="P3676" s="159">
        <f t="shared" si="603"/>
        <v>2013</v>
      </c>
      <c r="Q3676" s="159">
        <f t="shared" si="604"/>
        <v>9</v>
      </c>
      <c r="R3676" s="160">
        <f t="shared" si="605"/>
        <v>0.5166666666045785</v>
      </c>
      <c r="S3676" s="158">
        <f t="shared" si="606"/>
        <v>0.14412923560127722</v>
      </c>
      <c r="T3676" s="161">
        <f t="shared" si="607"/>
        <v>56.642789591301948</v>
      </c>
      <c r="U3676" s="158">
        <f t="shared" si="609"/>
        <v>109.63120567375887</v>
      </c>
      <c r="V3676" s="160">
        <f t="shared" si="608"/>
        <v>110</v>
      </c>
    </row>
    <row r="3677" spans="1:22" x14ac:dyDescent="0.25">
      <c r="A3677" s="98" t="s">
        <v>29</v>
      </c>
      <c r="B3677" s="98" t="s">
        <v>17</v>
      </c>
      <c r="C3677" s="98">
        <v>129</v>
      </c>
      <c r="D3677" s="98">
        <v>3236</v>
      </c>
      <c r="E3677" s="157">
        <v>41527.534722222219</v>
      </c>
      <c r="F3677" s="157">
        <v>41528.080555555556</v>
      </c>
      <c r="G3677" s="98">
        <v>300</v>
      </c>
      <c r="H3677" s="98">
        <v>423</v>
      </c>
      <c r="I3677" s="98">
        <v>393</v>
      </c>
      <c r="J3677" s="98" t="s">
        <v>2746</v>
      </c>
      <c r="K3677" s="98" t="s">
        <v>1518</v>
      </c>
      <c r="L3677" s="105" t="str">
        <f t="shared" si="600"/>
        <v>Mill Creek</v>
      </c>
      <c r="M3677" s="105" t="str">
        <f t="shared" si="601"/>
        <v>Derate</v>
      </c>
      <c r="N3677" s="105" t="str">
        <f t="shared" si="602"/>
        <v>Coal</v>
      </c>
      <c r="O3677" s="105">
        <f>IFERROR(VLOOKUP(A3677,Lookup!$J$5:$P$19,7,FALSE),0)</f>
        <v>3</v>
      </c>
      <c r="P3677" s="159">
        <f t="shared" si="603"/>
        <v>2013</v>
      </c>
      <c r="Q3677" s="159">
        <f t="shared" si="604"/>
        <v>9</v>
      </c>
      <c r="R3677" s="160">
        <f t="shared" si="605"/>
        <v>13.100000000093132</v>
      </c>
      <c r="S3677" s="158">
        <f t="shared" si="606"/>
        <v>3.8092198581831096</v>
      </c>
      <c r="T3677" s="161">
        <f t="shared" si="607"/>
        <v>1497.023404265962</v>
      </c>
      <c r="U3677" s="158">
        <f t="shared" si="609"/>
        <v>114.27659574468085</v>
      </c>
      <c r="V3677" s="160">
        <f t="shared" si="608"/>
        <v>114</v>
      </c>
    </row>
    <row r="3678" spans="1:22" x14ac:dyDescent="0.25">
      <c r="A3678" s="98" t="s">
        <v>29</v>
      </c>
      <c r="B3678" s="98" t="s">
        <v>17</v>
      </c>
      <c r="C3678" s="98">
        <v>130</v>
      </c>
      <c r="D3678" s="98">
        <v>385</v>
      </c>
      <c r="E3678" s="157">
        <v>41529.90347222222</v>
      </c>
      <c r="F3678" s="157">
        <v>41529.924305555556</v>
      </c>
      <c r="G3678" s="98">
        <v>230</v>
      </c>
      <c r="H3678" s="98">
        <v>423</v>
      </c>
      <c r="I3678" s="98">
        <v>393</v>
      </c>
      <c r="J3678" s="98" t="s">
        <v>228</v>
      </c>
      <c r="K3678" s="98" t="s">
        <v>1519</v>
      </c>
      <c r="L3678" s="105" t="str">
        <f t="shared" si="600"/>
        <v>Mill Creek</v>
      </c>
      <c r="M3678" s="105" t="str">
        <f t="shared" si="601"/>
        <v>Derate</v>
      </c>
      <c r="N3678" s="105" t="str">
        <f t="shared" si="602"/>
        <v>Coal</v>
      </c>
      <c r="O3678" s="105">
        <f>IFERROR(VLOOKUP(A3678,Lookup!$J$5:$P$19,7,FALSE),0)</f>
        <v>3</v>
      </c>
      <c r="P3678" s="159">
        <f t="shared" si="603"/>
        <v>2013</v>
      </c>
      <c r="Q3678" s="159">
        <f t="shared" si="604"/>
        <v>9</v>
      </c>
      <c r="R3678" s="160">
        <f t="shared" si="605"/>
        <v>0.50000000005820766</v>
      </c>
      <c r="S3678" s="158">
        <f t="shared" si="606"/>
        <v>0.2281323877334139</v>
      </c>
      <c r="T3678" s="161">
        <f t="shared" si="607"/>
        <v>89.656028379231671</v>
      </c>
      <c r="U3678" s="158">
        <f t="shared" si="609"/>
        <v>179.31205673758865</v>
      </c>
      <c r="V3678" s="160">
        <f t="shared" si="608"/>
        <v>179</v>
      </c>
    </row>
    <row r="3679" spans="1:22" x14ac:dyDescent="0.25">
      <c r="A3679" s="98" t="s">
        <v>29</v>
      </c>
      <c r="B3679" s="98" t="s">
        <v>105</v>
      </c>
      <c r="C3679" s="98">
        <v>131</v>
      </c>
      <c r="D3679" s="98">
        <v>310</v>
      </c>
      <c r="E3679" s="157">
        <v>41529.924305555556</v>
      </c>
      <c r="F3679" s="157">
        <v>41530.038194444445</v>
      </c>
      <c r="G3679" s="98">
        <v>325</v>
      </c>
      <c r="H3679" s="98">
        <v>423</v>
      </c>
      <c r="I3679" s="98">
        <v>393</v>
      </c>
      <c r="J3679" s="98" t="s">
        <v>1966</v>
      </c>
      <c r="K3679" s="98" t="s">
        <v>107</v>
      </c>
      <c r="L3679" s="105" t="str">
        <f t="shared" si="600"/>
        <v>Mill Creek</v>
      </c>
      <c r="M3679" s="105" t="str">
        <f t="shared" si="601"/>
        <v>Derate</v>
      </c>
      <c r="N3679" s="105" t="str">
        <f t="shared" si="602"/>
        <v>Coal</v>
      </c>
      <c r="O3679" s="105">
        <f>IFERROR(VLOOKUP(A3679,Lookup!$J$5:$P$19,7,FALSE),0)</f>
        <v>3</v>
      </c>
      <c r="P3679" s="159">
        <f t="shared" si="603"/>
        <v>2013</v>
      </c>
      <c r="Q3679" s="159">
        <f t="shared" si="604"/>
        <v>9</v>
      </c>
      <c r="R3679" s="160">
        <f t="shared" si="605"/>
        <v>2.7333333333372138</v>
      </c>
      <c r="S3679" s="158">
        <f t="shared" si="606"/>
        <v>0.63325453112777064</v>
      </c>
      <c r="T3679" s="161">
        <f t="shared" si="607"/>
        <v>248.86903073321386</v>
      </c>
      <c r="U3679" s="158">
        <f t="shared" si="609"/>
        <v>91.049645390070921</v>
      </c>
      <c r="V3679" s="160">
        <f t="shared" si="608"/>
        <v>91</v>
      </c>
    </row>
    <row r="3680" spans="1:22" x14ac:dyDescent="0.25">
      <c r="A3680" s="98" t="s">
        <v>29</v>
      </c>
      <c r="B3680" s="98" t="s">
        <v>105</v>
      </c>
      <c r="C3680" s="98">
        <v>132</v>
      </c>
      <c r="D3680" s="98">
        <v>350</v>
      </c>
      <c r="E3680" s="157">
        <v>41530.916666666664</v>
      </c>
      <c r="F3680" s="157">
        <v>41531.40625</v>
      </c>
      <c r="G3680" s="98">
        <v>370</v>
      </c>
      <c r="H3680" s="98">
        <v>423</v>
      </c>
      <c r="I3680" s="98">
        <v>393</v>
      </c>
      <c r="J3680" s="98" t="s">
        <v>1976</v>
      </c>
      <c r="K3680" s="98" t="s">
        <v>1520</v>
      </c>
      <c r="L3680" s="105" t="str">
        <f t="shared" si="600"/>
        <v>Mill Creek</v>
      </c>
      <c r="M3680" s="105" t="str">
        <f t="shared" si="601"/>
        <v>Derate</v>
      </c>
      <c r="N3680" s="105" t="str">
        <f t="shared" si="602"/>
        <v>Coal</v>
      </c>
      <c r="O3680" s="105">
        <f>IFERROR(VLOOKUP(A3680,Lookup!$J$5:$P$19,7,FALSE),0)</f>
        <v>3</v>
      </c>
      <c r="P3680" s="159">
        <f t="shared" si="603"/>
        <v>2013</v>
      </c>
      <c r="Q3680" s="159">
        <f t="shared" si="604"/>
        <v>9</v>
      </c>
      <c r="R3680" s="160">
        <f t="shared" si="605"/>
        <v>11.750000000058208</v>
      </c>
      <c r="S3680" s="158">
        <f t="shared" si="606"/>
        <v>1.4722222222295154</v>
      </c>
      <c r="T3680" s="161">
        <f t="shared" si="607"/>
        <v>578.58333333619953</v>
      </c>
      <c r="U3680" s="158">
        <f t="shared" si="609"/>
        <v>49.241134751773046</v>
      </c>
      <c r="V3680" s="160">
        <f t="shared" si="608"/>
        <v>49</v>
      </c>
    </row>
    <row r="3681" spans="1:22" x14ac:dyDescent="0.25">
      <c r="A3681" s="98" t="s">
        <v>29</v>
      </c>
      <c r="B3681" s="98" t="s">
        <v>105</v>
      </c>
      <c r="C3681" s="98">
        <v>133</v>
      </c>
      <c r="D3681" s="98">
        <v>350</v>
      </c>
      <c r="E3681" s="157">
        <v>41531.40625</v>
      </c>
      <c r="F3681" s="157">
        <v>41531.739583333336</v>
      </c>
      <c r="G3681" s="98">
        <v>345</v>
      </c>
      <c r="H3681" s="98">
        <v>423</v>
      </c>
      <c r="I3681" s="98">
        <v>393</v>
      </c>
      <c r="J3681" s="98" t="s">
        <v>1976</v>
      </c>
      <c r="K3681" s="98" t="s">
        <v>1520</v>
      </c>
      <c r="L3681" s="105" t="str">
        <f t="shared" si="600"/>
        <v>Mill Creek</v>
      </c>
      <c r="M3681" s="105" t="str">
        <f t="shared" si="601"/>
        <v>Derate</v>
      </c>
      <c r="N3681" s="105" t="str">
        <f t="shared" si="602"/>
        <v>Coal</v>
      </c>
      <c r="O3681" s="105">
        <f>IFERROR(VLOOKUP(A3681,Lookup!$J$5:$P$19,7,FALSE),0)</f>
        <v>3</v>
      </c>
      <c r="P3681" s="159">
        <f t="shared" si="603"/>
        <v>2013</v>
      </c>
      <c r="Q3681" s="159">
        <f t="shared" si="604"/>
        <v>9</v>
      </c>
      <c r="R3681" s="160">
        <f t="shared" si="605"/>
        <v>8.0000000000582077</v>
      </c>
      <c r="S3681" s="158">
        <f t="shared" si="606"/>
        <v>1.4751773049752723</v>
      </c>
      <c r="T3681" s="161">
        <f t="shared" si="607"/>
        <v>579.74468085528201</v>
      </c>
      <c r="U3681" s="158">
        <f t="shared" si="609"/>
        <v>72.468085106382972</v>
      </c>
      <c r="V3681" s="160">
        <f t="shared" si="608"/>
        <v>72</v>
      </c>
    </row>
    <row r="3682" spans="1:22" x14ac:dyDescent="0.25">
      <c r="A3682" s="98" t="s">
        <v>29</v>
      </c>
      <c r="B3682" s="98" t="s">
        <v>105</v>
      </c>
      <c r="C3682" s="98">
        <v>134</v>
      </c>
      <c r="D3682" s="98">
        <v>350</v>
      </c>
      <c r="E3682" s="157">
        <v>41531.739583333336</v>
      </c>
      <c r="F3682" s="157">
        <v>41532.5625</v>
      </c>
      <c r="G3682" s="98">
        <v>375</v>
      </c>
      <c r="H3682" s="98">
        <v>423</v>
      </c>
      <c r="I3682" s="98">
        <v>393</v>
      </c>
      <c r="J3682" s="98" t="s">
        <v>1976</v>
      </c>
      <c r="K3682" s="98" t="s">
        <v>1520</v>
      </c>
      <c r="L3682" s="105" t="str">
        <f t="shared" si="600"/>
        <v>Mill Creek</v>
      </c>
      <c r="M3682" s="105" t="str">
        <f t="shared" si="601"/>
        <v>Derate</v>
      </c>
      <c r="N3682" s="105" t="str">
        <f t="shared" si="602"/>
        <v>Coal</v>
      </c>
      <c r="O3682" s="105">
        <f>IFERROR(VLOOKUP(A3682,Lookup!$J$5:$P$19,7,FALSE),0)</f>
        <v>3</v>
      </c>
      <c r="P3682" s="159">
        <f t="shared" si="603"/>
        <v>2013</v>
      </c>
      <c r="Q3682" s="159">
        <f t="shared" si="604"/>
        <v>9</v>
      </c>
      <c r="R3682" s="160">
        <f t="shared" si="605"/>
        <v>19.749999999941792</v>
      </c>
      <c r="S3682" s="158">
        <f t="shared" si="606"/>
        <v>2.2411347517664444</v>
      </c>
      <c r="T3682" s="161">
        <f t="shared" si="607"/>
        <v>880.76595744421263</v>
      </c>
      <c r="U3682" s="158">
        <f t="shared" si="609"/>
        <v>44.595744680851062</v>
      </c>
      <c r="V3682" s="160">
        <f t="shared" si="608"/>
        <v>45</v>
      </c>
    </row>
    <row r="3683" spans="1:22" x14ac:dyDescent="0.25">
      <c r="A3683" s="98" t="s">
        <v>29</v>
      </c>
      <c r="B3683" s="98" t="s">
        <v>105</v>
      </c>
      <c r="C3683" s="98">
        <v>135</v>
      </c>
      <c r="D3683" s="98">
        <v>350</v>
      </c>
      <c r="E3683" s="157">
        <v>41533.916666666664</v>
      </c>
      <c r="F3683" s="157">
        <v>41534.496527777781</v>
      </c>
      <c r="G3683" s="98">
        <v>335</v>
      </c>
      <c r="H3683" s="98">
        <v>423</v>
      </c>
      <c r="I3683" s="98">
        <v>393</v>
      </c>
      <c r="J3683" s="98" t="s">
        <v>1976</v>
      </c>
      <c r="K3683" s="98" t="s">
        <v>1521</v>
      </c>
      <c r="L3683" s="105" t="str">
        <f t="shared" si="600"/>
        <v>Mill Creek</v>
      </c>
      <c r="M3683" s="105" t="str">
        <f t="shared" si="601"/>
        <v>Derate</v>
      </c>
      <c r="N3683" s="105" t="str">
        <f t="shared" si="602"/>
        <v>Coal</v>
      </c>
      <c r="O3683" s="105">
        <f>IFERROR(VLOOKUP(A3683,Lookup!$J$5:$P$19,7,FALSE),0)</f>
        <v>3</v>
      </c>
      <c r="P3683" s="159">
        <f t="shared" si="603"/>
        <v>2013</v>
      </c>
      <c r="Q3683" s="159">
        <f t="shared" si="604"/>
        <v>9</v>
      </c>
      <c r="R3683" s="160">
        <f t="shared" si="605"/>
        <v>13.916666666802485</v>
      </c>
      <c r="S3683" s="158">
        <f t="shared" si="606"/>
        <v>2.8951930654340865</v>
      </c>
      <c r="T3683" s="161">
        <f t="shared" si="607"/>
        <v>1137.8108747155959</v>
      </c>
      <c r="U3683" s="158">
        <f t="shared" si="609"/>
        <v>81.758865248226954</v>
      </c>
      <c r="V3683" s="160">
        <f t="shared" si="608"/>
        <v>82</v>
      </c>
    </row>
    <row r="3684" spans="1:22" x14ac:dyDescent="0.25">
      <c r="A3684" s="98" t="s">
        <v>29</v>
      </c>
      <c r="B3684" s="98" t="s">
        <v>17</v>
      </c>
      <c r="C3684" s="98">
        <v>136</v>
      </c>
      <c r="D3684" s="98">
        <v>8280</v>
      </c>
      <c r="E3684" s="157">
        <v>41533.996527777781</v>
      </c>
      <c r="F3684" s="157">
        <v>41534.025000000001</v>
      </c>
      <c r="G3684" s="98">
        <v>275</v>
      </c>
      <c r="H3684" s="98">
        <v>423</v>
      </c>
      <c r="I3684" s="98">
        <v>393</v>
      </c>
      <c r="J3684" s="98" t="s">
        <v>2255</v>
      </c>
      <c r="K3684" s="98" t="s">
        <v>1522</v>
      </c>
      <c r="L3684" s="105" t="str">
        <f t="shared" si="600"/>
        <v>Mill Creek</v>
      </c>
      <c r="M3684" s="105" t="str">
        <f t="shared" si="601"/>
        <v>Derate</v>
      </c>
      <c r="N3684" s="105" t="str">
        <f t="shared" si="602"/>
        <v>Coal</v>
      </c>
      <c r="O3684" s="105">
        <f>IFERROR(VLOOKUP(A3684,Lookup!$J$5:$P$19,7,FALSE),0)</f>
        <v>3</v>
      </c>
      <c r="P3684" s="159">
        <f t="shared" si="603"/>
        <v>2013</v>
      </c>
      <c r="Q3684" s="159">
        <f t="shared" si="604"/>
        <v>9</v>
      </c>
      <c r="R3684" s="160">
        <f t="shared" si="605"/>
        <v>0.68333333329064772</v>
      </c>
      <c r="S3684" s="158">
        <f t="shared" si="606"/>
        <v>0.23908589439010841</v>
      </c>
      <c r="T3684" s="161">
        <f t="shared" si="607"/>
        <v>93.960756495312609</v>
      </c>
      <c r="U3684" s="158">
        <f t="shared" si="609"/>
        <v>137.50354609929079</v>
      </c>
      <c r="V3684" s="160">
        <f t="shared" si="608"/>
        <v>138</v>
      </c>
    </row>
    <row r="3685" spans="1:22" x14ac:dyDescent="0.25">
      <c r="A3685" s="98" t="s">
        <v>29</v>
      </c>
      <c r="B3685" s="98" t="s">
        <v>105</v>
      </c>
      <c r="C3685" s="98">
        <v>137</v>
      </c>
      <c r="D3685" s="98">
        <v>350</v>
      </c>
      <c r="E3685" s="157">
        <v>41534.496527777781</v>
      </c>
      <c r="F3685" s="157">
        <v>41534.917361111111</v>
      </c>
      <c r="G3685" s="98">
        <v>350</v>
      </c>
      <c r="H3685" s="98">
        <v>423</v>
      </c>
      <c r="I3685" s="98">
        <v>393</v>
      </c>
      <c r="J3685" s="98" t="s">
        <v>1976</v>
      </c>
      <c r="K3685" s="98" t="s">
        <v>1521</v>
      </c>
      <c r="L3685" s="105" t="str">
        <f t="shared" si="600"/>
        <v>Mill Creek</v>
      </c>
      <c r="M3685" s="105" t="str">
        <f t="shared" si="601"/>
        <v>Derate</v>
      </c>
      <c r="N3685" s="105" t="str">
        <f t="shared" si="602"/>
        <v>Coal</v>
      </c>
      <c r="O3685" s="105">
        <f>IFERROR(VLOOKUP(A3685,Lookup!$J$5:$P$19,7,FALSE),0)</f>
        <v>3</v>
      </c>
      <c r="P3685" s="159">
        <f t="shared" si="603"/>
        <v>2013</v>
      </c>
      <c r="Q3685" s="159">
        <f t="shared" si="604"/>
        <v>9</v>
      </c>
      <c r="R3685" s="160">
        <f t="shared" si="605"/>
        <v>10.099999999918509</v>
      </c>
      <c r="S3685" s="158">
        <f t="shared" si="606"/>
        <v>1.7430260047140689</v>
      </c>
      <c r="T3685" s="161">
        <f t="shared" si="607"/>
        <v>685.00921985262903</v>
      </c>
      <c r="U3685" s="158">
        <f t="shared" si="609"/>
        <v>67.822695035460995</v>
      </c>
      <c r="V3685" s="160">
        <f t="shared" si="608"/>
        <v>68</v>
      </c>
    </row>
    <row r="3686" spans="1:22" x14ac:dyDescent="0.25">
      <c r="A3686" s="98" t="s">
        <v>29</v>
      </c>
      <c r="B3686" s="98" t="s">
        <v>105</v>
      </c>
      <c r="C3686" s="98">
        <v>138</v>
      </c>
      <c r="D3686" s="98">
        <v>350</v>
      </c>
      <c r="E3686" s="157">
        <v>41535.25</v>
      </c>
      <c r="F3686" s="157">
        <v>41535.972916666666</v>
      </c>
      <c r="G3686" s="98">
        <v>350</v>
      </c>
      <c r="H3686" s="98">
        <v>423</v>
      </c>
      <c r="I3686" s="98">
        <v>393</v>
      </c>
      <c r="J3686" s="98" t="s">
        <v>1976</v>
      </c>
      <c r="K3686" s="98" t="s">
        <v>1523</v>
      </c>
      <c r="L3686" s="105" t="str">
        <f t="shared" ref="L3686:L3749" si="610">IF(OR(A3686="BR1",A3686="BR2",A3686="BR3",A3686="BR5",A3686="BR6",A3686="BR7",A3686="BR8",A3686="BR9",A3686="BR10",A3686="BR11"),"Brown",IF(OR(A3686="CR4",A3686="CR5",A3686="CR6",A3686="CR11"),"Cane Run",IF(OR(A3686="GH1",A3686="GH2",A3686="GH3",A3686="GH4"),"Ghent",IF(OR(A3686="GR3",A3686="GR4"),"Green River",IF(OR(A3686="MC1",A3686="MC2",A3686="MC3",A3686="MC4"),"Mill Creek",IF(OR(A3686="TC1",A3686="TC2",A3686="TC5",A3686="TC6",A3686="TC7",A3686="TC8",A3686="TC9",A3686="TC10"),"Trimble",IF(A3686="TY3","Tyrone",IF(OR(A3686="HA1",A3686="HA2",A3686="HA3"),"Haeflin",IF(OR(A3686="PR11",A3686="PR12",A3686="PR13"),"Paddy's Run","Zorn")))))))))</f>
        <v>Mill Creek</v>
      </c>
      <c r="M3686" s="105" t="str">
        <f t="shared" ref="M3686:M3749" si="611">IF(OR(B3686="D1",B3686="D2",B3686="D3",B3686="D4",B3686="PD"),"Derate",IF(OR(B3686="SF",B3686="U1",B3686="U2",B3686="U3"),"Outage",IF(OR(B3686="ME",B3686="MO"),"Maintenance","Other")))</f>
        <v>Derate</v>
      </c>
      <c r="N3686" s="105" t="str">
        <f t="shared" ref="N3686:N3749" si="612">IF(OR(A3686="BR1",A3686="BR2",A3686="BR3",A3686="CR4",A3686="CR5",A3686="CR6",A3686="GH1",A3686="GH2",A3686="GH3",A3686="GH4",A3686="GR3",A3686="GR4",A3686="MC1",A3686="MC2",A3686="MC3",A3686="MC4",A3686="TC1",A3686="TC2",A3686="TY3"),"Coal","Gas")</f>
        <v>Coal</v>
      </c>
      <c r="O3686" s="105">
        <f>IFERROR(VLOOKUP(A3686,Lookup!$J$5:$P$19,7,FALSE),0)</f>
        <v>3</v>
      </c>
      <c r="P3686" s="159">
        <f t="shared" ref="P3686:P3749" si="613">YEAR(E3686)</f>
        <v>2013</v>
      </c>
      <c r="Q3686" s="159">
        <f t="shared" ref="Q3686:Q3749" si="614">MONTH(E3686)</f>
        <v>9</v>
      </c>
      <c r="R3686" s="160">
        <f t="shared" ref="R3686:R3749" si="615">(F3686-E3686)*24</f>
        <v>17.349999999976717</v>
      </c>
      <c r="S3686" s="158">
        <f t="shared" ref="S3686:S3749" si="616">R3686*(H3686-G3686)/H3686</f>
        <v>2.9942080378210409</v>
      </c>
      <c r="T3686" s="161">
        <f t="shared" ref="T3686:T3749" si="617">S3686*I3686</f>
        <v>1176.723758863669</v>
      </c>
      <c r="U3686" s="158">
        <f t="shared" si="609"/>
        <v>67.822695035460995</v>
      </c>
      <c r="V3686" s="160">
        <f t="shared" ref="V3686:V3749" si="618">ROUND(U3686,0)</f>
        <v>68</v>
      </c>
    </row>
    <row r="3687" spans="1:22" x14ac:dyDescent="0.25">
      <c r="A3687" s="98" t="s">
        <v>29</v>
      </c>
      <c r="B3687" s="98" t="s">
        <v>15</v>
      </c>
      <c r="C3687" s="98">
        <v>139</v>
      </c>
      <c r="D3687" s="98">
        <v>4270</v>
      </c>
      <c r="E3687" s="157">
        <v>41535.990277777775</v>
      </c>
      <c r="F3687" s="157">
        <v>41567.03125</v>
      </c>
      <c r="G3687" s="98">
        <v>0</v>
      </c>
      <c r="H3687" s="98">
        <v>423</v>
      </c>
      <c r="I3687" s="98">
        <v>393</v>
      </c>
      <c r="J3687" s="98" t="s">
        <v>2555</v>
      </c>
      <c r="K3687" s="98" t="s">
        <v>1524</v>
      </c>
      <c r="L3687" s="105" t="str">
        <f t="shared" si="610"/>
        <v>Mill Creek</v>
      </c>
      <c r="M3687" s="105" t="str">
        <f t="shared" si="611"/>
        <v>Outage</v>
      </c>
      <c r="N3687" s="105" t="str">
        <f t="shared" si="612"/>
        <v>Coal</v>
      </c>
      <c r="O3687" s="105">
        <f>IFERROR(VLOOKUP(A3687,Lookup!$J$5:$P$19,7,FALSE),0)</f>
        <v>3</v>
      </c>
      <c r="P3687" s="159">
        <f t="shared" si="613"/>
        <v>2013</v>
      </c>
      <c r="Q3687" s="159">
        <f t="shared" si="614"/>
        <v>9</v>
      </c>
      <c r="R3687" s="160">
        <f t="shared" si="615"/>
        <v>744.98333333339542</v>
      </c>
      <c r="S3687" s="158">
        <f t="shared" si="616"/>
        <v>744.98333333339542</v>
      </c>
      <c r="T3687" s="161">
        <f t="shared" si="617"/>
        <v>292778.4500000244</v>
      </c>
      <c r="U3687" s="158">
        <f t="shared" ref="U3687:U3750" si="619">IF(G3687&gt;0,MAX((H3687-G3687),0)*I3687/H3687,I3687)</f>
        <v>393</v>
      </c>
      <c r="V3687" s="160">
        <f t="shared" si="618"/>
        <v>393</v>
      </c>
    </row>
    <row r="3688" spans="1:22" x14ac:dyDescent="0.25">
      <c r="A3688" s="98" t="s">
        <v>29</v>
      </c>
      <c r="B3688" s="98" t="s">
        <v>38</v>
      </c>
      <c r="C3688" s="98">
        <v>140</v>
      </c>
      <c r="D3688" s="98">
        <v>1800</v>
      </c>
      <c r="E3688" s="157">
        <v>41567.03125</v>
      </c>
      <c r="F3688" s="157">
        <v>41591.990972222222</v>
      </c>
      <c r="G3688" s="98">
        <v>0</v>
      </c>
      <c r="H3688" s="98">
        <v>423</v>
      </c>
      <c r="I3688" s="98">
        <v>393</v>
      </c>
      <c r="J3688" s="98" t="s">
        <v>2178</v>
      </c>
      <c r="K3688" s="98" t="s">
        <v>94</v>
      </c>
      <c r="L3688" s="105" t="str">
        <f t="shared" si="610"/>
        <v>Mill Creek</v>
      </c>
      <c r="M3688" s="105" t="str">
        <f t="shared" si="611"/>
        <v>Other</v>
      </c>
      <c r="N3688" s="105" t="str">
        <f t="shared" si="612"/>
        <v>Coal</v>
      </c>
      <c r="O3688" s="105">
        <f>IFERROR(VLOOKUP(A3688,Lookup!$J$5:$P$19,7,FALSE),0)</f>
        <v>3</v>
      </c>
      <c r="P3688" s="159">
        <f t="shared" si="613"/>
        <v>2013</v>
      </c>
      <c r="Q3688" s="159">
        <f t="shared" si="614"/>
        <v>10</v>
      </c>
      <c r="R3688" s="160">
        <f t="shared" si="615"/>
        <v>599.03333333332557</v>
      </c>
      <c r="S3688" s="158">
        <f t="shared" si="616"/>
        <v>599.03333333332557</v>
      </c>
      <c r="T3688" s="161">
        <f t="shared" si="617"/>
        <v>235420.09999999695</v>
      </c>
      <c r="U3688" s="158">
        <f t="shared" si="619"/>
        <v>393</v>
      </c>
      <c r="V3688" s="160">
        <f t="shared" si="618"/>
        <v>393</v>
      </c>
    </row>
    <row r="3689" spans="1:22" x14ac:dyDescent="0.25">
      <c r="A3689" s="98" t="s">
        <v>29</v>
      </c>
      <c r="B3689" s="98" t="s">
        <v>79</v>
      </c>
      <c r="C3689" s="98">
        <v>141</v>
      </c>
      <c r="D3689" s="98">
        <v>1850</v>
      </c>
      <c r="E3689" s="157">
        <v>41591.990972222222</v>
      </c>
      <c r="F3689" s="157">
        <v>41592.990972222222</v>
      </c>
      <c r="G3689" s="98">
        <v>0</v>
      </c>
      <c r="H3689" s="98">
        <v>423</v>
      </c>
      <c r="I3689" s="98">
        <v>393</v>
      </c>
      <c r="J3689" s="98" t="s">
        <v>2263</v>
      </c>
      <c r="K3689" s="98" t="s">
        <v>88</v>
      </c>
      <c r="L3689" s="105" t="str">
        <f t="shared" si="610"/>
        <v>Mill Creek</v>
      </c>
      <c r="M3689" s="105" t="str">
        <f t="shared" si="611"/>
        <v>Other</v>
      </c>
      <c r="N3689" s="105" t="str">
        <f t="shared" si="612"/>
        <v>Coal</v>
      </c>
      <c r="O3689" s="105">
        <f>IFERROR(VLOOKUP(A3689,Lookup!$J$5:$P$19,7,FALSE),0)</f>
        <v>3</v>
      </c>
      <c r="P3689" s="159">
        <f t="shared" si="613"/>
        <v>2013</v>
      </c>
      <c r="Q3689" s="159">
        <f t="shared" si="614"/>
        <v>11</v>
      </c>
      <c r="R3689" s="160">
        <f t="shared" si="615"/>
        <v>24</v>
      </c>
      <c r="S3689" s="158">
        <f t="shared" si="616"/>
        <v>24</v>
      </c>
      <c r="T3689" s="161">
        <f t="shared" si="617"/>
        <v>9432</v>
      </c>
      <c r="U3689" s="158">
        <f t="shared" si="619"/>
        <v>393</v>
      </c>
      <c r="V3689" s="160">
        <f t="shared" si="618"/>
        <v>393</v>
      </c>
    </row>
    <row r="3690" spans="1:22" x14ac:dyDescent="0.25">
      <c r="A3690" s="98" t="s">
        <v>29</v>
      </c>
      <c r="B3690" s="98" t="s">
        <v>17</v>
      </c>
      <c r="C3690" s="98">
        <v>142</v>
      </c>
      <c r="D3690" s="98">
        <v>3412</v>
      </c>
      <c r="E3690" s="157">
        <v>41592.990972222222</v>
      </c>
      <c r="F3690" s="157">
        <v>41593.179166666669</v>
      </c>
      <c r="G3690" s="98">
        <v>155</v>
      </c>
      <c r="H3690" s="98">
        <v>423</v>
      </c>
      <c r="I3690" s="98">
        <v>393</v>
      </c>
      <c r="J3690" s="98" t="s">
        <v>2162</v>
      </c>
      <c r="K3690" s="98" t="s">
        <v>1525</v>
      </c>
      <c r="L3690" s="105" t="str">
        <f t="shared" si="610"/>
        <v>Mill Creek</v>
      </c>
      <c r="M3690" s="105" t="str">
        <f t="shared" si="611"/>
        <v>Derate</v>
      </c>
      <c r="N3690" s="105" t="str">
        <f t="shared" si="612"/>
        <v>Coal</v>
      </c>
      <c r="O3690" s="105">
        <f>IFERROR(VLOOKUP(A3690,Lookup!$J$5:$P$19,7,FALSE),0)</f>
        <v>3</v>
      </c>
      <c r="P3690" s="159">
        <f t="shared" si="613"/>
        <v>2013</v>
      </c>
      <c r="Q3690" s="159">
        <f t="shared" si="614"/>
        <v>11</v>
      </c>
      <c r="R3690" s="160">
        <f t="shared" si="615"/>
        <v>4.5166666667209938</v>
      </c>
      <c r="S3690" s="158">
        <f t="shared" si="616"/>
        <v>2.8616233254875327</v>
      </c>
      <c r="T3690" s="161">
        <f t="shared" si="617"/>
        <v>1124.6179669166004</v>
      </c>
      <c r="U3690" s="158">
        <f t="shared" si="619"/>
        <v>248.99290780141843</v>
      </c>
      <c r="V3690" s="160">
        <f t="shared" si="618"/>
        <v>249</v>
      </c>
    </row>
    <row r="3691" spans="1:22" x14ac:dyDescent="0.25">
      <c r="A3691" s="98" t="s">
        <v>29</v>
      </c>
      <c r="B3691" s="98" t="s">
        <v>17</v>
      </c>
      <c r="C3691" s="98">
        <v>143</v>
      </c>
      <c r="D3691" s="98">
        <v>3412</v>
      </c>
      <c r="E3691" s="157">
        <v>41593.179166666669</v>
      </c>
      <c r="F3691" s="157">
        <v>41595.182638888888</v>
      </c>
      <c r="G3691" s="98">
        <v>168</v>
      </c>
      <c r="H3691" s="98">
        <v>423</v>
      </c>
      <c r="I3691" s="98">
        <v>393</v>
      </c>
      <c r="J3691" s="98" t="s">
        <v>2162</v>
      </c>
      <c r="K3691" s="98" t="s">
        <v>1525</v>
      </c>
      <c r="L3691" s="105" t="str">
        <f t="shared" si="610"/>
        <v>Mill Creek</v>
      </c>
      <c r="M3691" s="105" t="str">
        <f t="shared" si="611"/>
        <v>Derate</v>
      </c>
      <c r="N3691" s="105" t="str">
        <f t="shared" si="612"/>
        <v>Coal</v>
      </c>
      <c r="O3691" s="105">
        <f>IFERROR(VLOOKUP(A3691,Lookup!$J$5:$P$19,7,FALSE),0)</f>
        <v>3</v>
      </c>
      <c r="P3691" s="159">
        <f t="shared" si="613"/>
        <v>2013</v>
      </c>
      <c r="Q3691" s="159">
        <f t="shared" si="614"/>
        <v>11</v>
      </c>
      <c r="R3691" s="160">
        <f t="shared" si="615"/>
        <v>48.083333333255723</v>
      </c>
      <c r="S3691" s="158">
        <f t="shared" si="616"/>
        <v>28.986406619338556</v>
      </c>
      <c r="T3691" s="161">
        <f t="shared" si="617"/>
        <v>11391.657801400053</v>
      </c>
      <c r="U3691" s="158">
        <f t="shared" si="619"/>
        <v>236.91489361702128</v>
      </c>
      <c r="V3691" s="160">
        <f t="shared" si="618"/>
        <v>237</v>
      </c>
    </row>
    <row r="3692" spans="1:22" x14ac:dyDescent="0.25">
      <c r="A3692" s="98" t="s">
        <v>29</v>
      </c>
      <c r="B3692" s="98" t="s">
        <v>17</v>
      </c>
      <c r="C3692" s="98">
        <v>144</v>
      </c>
      <c r="D3692" s="98">
        <v>3412</v>
      </c>
      <c r="E3692" s="157">
        <v>41595.182638888888</v>
      </c>
      <c r="F3692" s="157">
        <v>41597.097916666666</v>
      </c>
      <c r="G3692" s="98">
        <v>178</v>
      </c>
      <c r="H3692" s="98">
        <v>423</v>
      </c>
      <c r="I3692" s="98">
        <v>393</v>
      </c>
      <c r="J3692" s="98" t="s">
        <v>2162</v>
      </c>
      <c r="K3692" s="98" t="s">
        <v>1525</v>
      </c>
      <c r="L3692" s="105" t="str">
        <f t="shared" si="610"/>
        <v>Mill Creek</v>
      </c>
      <c r="M3692" s="105" t="str">
        <f t="shared" si="611"/>
        <v>Derate</v>
      </c>
      <c r="N3692" s="105" t="str">
        <f t="shared" si="612"/>
        <v>Coal</v>
      </c>
      <c r="O3692" s="105">
        <f>IFERROR(VLOOKUP(A3692,Lookup!$J$5:$P$19,7,FALSE),0)</f>
        <v>3</v>
      </c>
      <c r="P3692" s="159">
        <f t="shared" si="613"/>
        <v>2013</v>
      </c>
      <c r="Q3692" s="159">
        <f t="shared" si="614"/>
        <v>11</v>
      </c>
      <c r="R3692" s="160">
        <f t="shared" si="615"/>
        <v>45.966666666674428</v>
      </c>
      <c r="S3692" s="158">
        <f t="shared" si="616"/>
        <v>26.623719464149492</v>
      </c>
      <c r="T3692" s="161">
        <f t="shared" si="617"/>
        <v>10463.12174941075</v>
      </c>
      <c r="U3692" s="158">
        <f t="shared" si="619"/>
        <v>227.6241134751773</v>
      </c>
      <c r="V3692" s="160">
        <f t="shared" si="618"/>
        <v>228</v>
      </c>
    </row>
    <row r="3693" spans="1:22" x14ac:dyDescent="0.25">
      <c r="A3693" s="98" t="s">
        <v>29</v>
      </c>
      <c r="B3693" s="98" t="s">
        <v>17</v>
      </c>
      <c r="C3693" s="98">
        <v>145</v>
      </c>
      <c r="D3693" s="98">
        <v>75</v>
      </c>
      <c r="E3693" s="157">
        <v>41597.097916666666</v>
      </c>
      <c r="F3693" s="157">
        <v>41597.168055555558</v>
      </c>
      <c r="G3693" s="98">
        <v>305</v>
      </c>
      <c r="H3693" s="98">
        <v>423</v>
      </c>
      <c r="I3693" s="98">
        <v>393</v>
      </c>
      <c r="J3693" s="98" t="s">
        <v>2281</v>
      </c>
      <c r="K3693" s="98" t="s">
        <v>1526</v>
      </c>
      <c r="L3693" s="105" t="str">
        <f t="shared" si="610"/>
        <v>Mill Creek</v>
      </c>
      <c r="M3693" s="105" t="str">
        <f t="shared" si="611"/>
        <v>Derate</v>
      </c>
      <c r="N3693" s="105" t="str">
        <f t="shared" si="612"/>
        <v>Coal</v>
      </c>
      <c r="O3693" s="105">
        <f>IFERROR(VLOOKUP(A3693,Lookup!$J$5:$P$19,7,FALSE),0)</f>
        <v>3</v>
      </c>
      <c r="P3693" s="159">
        <f t="shared" si="613"/>
        <v>2013</v>
      </c>
      <c r="Q3693" s="159">
        <f t="shared" si="614"/>
        <v>11</v>
      </c>
      <c r="R3693" s="160">
        <f t="shared" si="615"/>
        <v>1.683333333407063</v>
      </c>
      <c r="S3693" s="158">
        <f t="shared" si="616"/>
        <v>0.46958234832632018</v>
      </c>
      <c r="T3693" s="161">
        <f t="shared" si="617"/>
        <v>184.54586289224383</v>
      </c>
      <c r="U3693" s="158">
        <f t="shared" si="619"/>
        <v>109.63120567375887</v>
      </c>
      <c r="V3693" s="160">
        <f t="shared" si="618"/>
        <v>110</v>
      </c>
    </row>
    <row r="3694" spans="1:22" x14ac:dyDescent="0.25">
      <c r="A3694" s="98" t="s">
        <v>29</v>
      </c>
      <c r="B3694" s="98" t="s">
        <v>17</v>
      </c>
      <c r="C3694" s="98">
        <v>146</v>
      </c>
      <c r="D3694" s="98">
        <v>1850</v>
      </c>
      <c r="E3694" s="157">
        <v>41597.168055555558</v>
      </c>
      <c r="F3694" s="157">
        <v>41597.368055555555</v>
      </c>
      <c r="G3694" s="98">
        <v>333</v>
      </c>
      <c r="H3694" s="98">
        <v>423</v>
      </c>
      <c r="I3694" s="98">
        <v>393</v>
      </c>
      <c r="J3694" s="98" t="s">
        <v>2263</v>
      </c>
      <c r="K3694" s="98" t="s">
        <v>41</v>
      </c>
      <c r="L3694" s="105" t="str">
        <f t="shared" si="610"/>
        <v>Mill Creek</v>
      </c>
      <c r="M3694" s="105" t="str">
        <f t="shared" si="611"/>
        <v>Derate</v>
      </c>
      <c r="N3694" s="105" t="str">
        <f t="shared" si="612"/>
        <v>Coal</v>
      </c>
      <c r="O3694" s="105">
        <f>IFERROR(VLOOKUP(A3694,Lookup!$J$5:$P$19,7,FALSE),0)</f>
        <v>3</v>
      </c>
      <c r="P3694" s="159">
        <f t="shared" si="613"/>
        <v>2013</v>
      </c>
      <c r="Q3694" s="159">
        <f t="shared" si="614"/>
        <v>11</v>
      </c>
      <c r="R3694" s="160">
        <f t="shared" si="615"/>
        <v>4.7999999999301508</v>
      </c>
      <c r="S3694" s="158">
        <f t="shared" si="616"/>
        <v>1.0212765957298193</v>
      </c>
      <c r="T3694" s="161">
        <f t="shared" si="617"/>
        <v>401.36170212181901</v>
      </c>
      <c r="U3694" s="158">
        <f t="shared" si="619"/>
        <v>83.61702127659575</v>
      </c>
      <c r="V3694" s="160">
        <f t="shared" si="618"/>
        <v>84</v>
      </c>
    </row>
    <row r="3695" spans="1:22" x14ac:dyDescent="0.25">
      <c r="A3695" s="98" t="s">
        <v>29</v>
      </c>
      <c r="B3695" s="98" t="s">
        <v>17</v>
      </c>
      <c r="C3695" s="98">
        <v>147</v>
      </c>
      <c r="D3695" s="98">
        <v>1850</v>
      </c>
      <c r="E3695" s="157">
        <v>41597.368055555555</v>
      </c>
      <c r="F3695" s="157">
        <v>41597.626388888886</v>
      </c>
      <c r="G3695" s="98">
        <v>355</v>
      </c>
      <c r="H3695" s="98">
        <v>423</v>
      </c>
      <c r="I3695" s="98">
        <v>393</v>
      </c>
      <c r="J3695" s="98" t="s">
        <v>2263</v>
      </c>
      <c r="K3695" s="98" t="s">
        <v>41</v>
      </c>
      <c r="L3695" s="105" t="str">
        <f t="shared" si="610"/>
        <v>Mill Creek</v>
      </c>
      <c r="M3695" s="105" t="str">
        <f t="shared" si="611"/>
        <v>Derate</v>
      </c>
      <c r="N3695" s="105" t="str">
        <f t="shared" si="612"/>
        <v>Coal</v>
      </c>
      <c r="O3695" s="105">
        <f>IFERROR(VLOOKUP(A3695,Lookup!$J$5:$P$19,7,FALSE),0)</f>
        <v>3</v>
      </c>
      <c r="P3695" s="159">
        <f t="shared" si="613"/>
        <v>2013</v>
      </c>
      <c r="Q3695" s="159">
        <f t="shared" si="614"/>
        <v>11</v>
      </c>
      <c r="R3695" s="160">
        <f t="shared" si="615"/>
        <v>6.1999999999534339</v>
      </c>
      <c r="S3695" s="158">
        <f t="shared" si="616"/>
        <v>0.99669030732111941</v>
      </c>
      <c r="T3695" s="161">
        <f t="shared" si="617"/>
        <v>391.69929077719991</v>
      </c>
      <c r="U3695" s="158">
        <f t="shared" si="619"/>
        <v>63.177304964539005</v>
      </c>
      <c r="V3695" s="160">
        <f t="shared" si="618"/>
        <v>63</v>
      </c>
    </row>
    <row r="3696" spans="1:22" x14ac:dyDescent="0.25">
      <c r="A3696" s="98" t="s">
        <v>29</v>
      </c>
      <c r="B3696" s="98" t="s">
        <v>17</v>
      </c>
      <c r="C3696" s="98">
        <v>148</v>
      </c>
      <c r="D3696" s="98">
        <v>1850</v>
      </c>
      <c r="E3696" s="157">
        <v>41597.626388888886</v>
      </c>
      <c r="F3696" s="157">
        <v>41597.75</v>
      </c>
      <c r="G3696" s="98">
        <v>360</v>
      </c>
      <c r="H3696" s="98">
        <v>423</v>
      </c>
      <c r="I3696" s="98">
        <v>393</v>
      </c>
      <c r="J3696" s="98" t="s">
        <v>2263</v>
      </c>
      <c r="K3696" s="98" t="s">
        <v>41</v>
      </c>
      <c r="L3696" s="105" t="str">
        <f t="shared" si="610"/>
        <v>Mill Creek</v>
      </c>
      <c r="M3696" s="105" t="str">
        <f t="shared" si="611"/>
        <v>Derate</v>
      </c>
      <c r="N3696" s="105" t="str">
        <f t="shared" si="612"/>
        <v>Coal</v>
      </c>
      <c r="O3696" s="105">
        <f>IFERROR(VLOOKUP(A3696,Lookup!$J$5:$P$19,7,FALSE),0)</f>
        <v>3</v>
      </c>
      <c r="P3696" s="159">
        <f t="shared" si="613"/>
        <v>2013</v>
      </c>
      <c r="Q3696" s="159">
        <f t="shared" si="614"/>
        <v>11</v>
      </c>
      <c r="R3696" s="160">
        <f t="shared" si="615"/>
        <v>2.9666666667326353</v>
      </c>
      <c r="S3696" s="158">
        <f t="shared" si="616"/>
        <v>0.44184397164103079</v>
      </c>
      <c r="T3696" s="161">
        <f t="shared" si="617"/>
        <v>173.6446808549251</v>
      </c>
      <c r="U3696" s="158">
        <f t="shared" si="619"/>
        <v>58.531914893617021</v>
      </c>
      <c r="V3696" s="160">
        <f t="shared" si="618"/>
        <v>59</v>
      </c>
    </row>
    <row r="3697" spans="1:22" x14ac:dyDescent="0.25">
      <c r="A3697" s="98" t="s">
        <v>29</v>
      </c>
      <c r="B3697" s="98" t="s">
        <v>17</v>
      </c>
      <c r="C3697" s="98">
        <v>149</v>
      </c>
      <c r="D3697" s="98">
        <v>310</v>
      </c>
      <c r="E3697" s="157">
        <v>41597.75</v>
      </c>
      <c r="F3697" s="157">
        <v>41597.763888888891</v>
      </c>
      <c r="G3697" s="98">
        <v>365</v>
      </c>
      <c r="H3697" s="98">
        <v>423</v>
      </c>
      <c r="I3697" s="98">
        <v>393</v>
      </c>
      <c r="J3697" s="98" t="s">
        <v>1966</v>
      </c>
      <c r="K3697" s="98" t="s">
        <v>1527</v>
      </c>
      <c r="L3697" s="105" t="str">
        <f t="shared" si="610"/>
        <v>Mill Creek</v>
      </c>
      <c r="M3697" s="105" t="str">
        <f t="shared" si="611"/>
        <v>Derate</v>
      </c>
      <c r="N3697" s="105" t="str">
        <f t="shared" si="612"/>
        <v>Coal</v>
      </c>
      <c r="O3697" s="105">
        <f>IFERROR(VLOOKUP(A3697,Lookup!$J$5:$P$19,7,FALSE),0)</f>
        <v>3</v>
      </c>
      <c r="P3697" s="159">
        <f t="shared" si="613"/>
        <v>2013</v>
      </c>
      <c r="Q3697" s="159">
        <f t="shared" si="614"/>
        <v>11</v>
      </c>
      <c r="R3697" s="160">
        <f t="shared" si="615"/>
        <v>0.33333333337213844</v>
      </c>
      <c r="S3697" s="158">
        <f t="shared" si="616"/>
        <v>4.5705279753153735E-2</v>
      </c>
      <c r="T3697" s="161">
        <f t="shared" si="617"/>
        <v>17.962174942989417</v>
      </c>
      <c r="U3697" s="158">
        <f t="shared" si="619"/>
        <v>53.886524822695037</v>
      </c>
      <c r="V3697" s="160">
        <f t="shared" si="618"/>
        <v>54</v>
      </c>
    </row>
    <row r="3698" spans="1:22" x14ac:dyDescent="0.25">
      <c r="A3698" s="98" t="s">
        <v>29</v>
      </c>
      <c r="B3698" s="98" t="s">
        <v>105</v>
      </c>
      <c r="C3698" s="98">
        <v>150</v>
      </c>
      <c r="D3698" s="98">
        <v>360</v>
      </c>
      <c r="E3698" s="157">
        <v>41598.916666666664</v>
      </c>
      <c r="F3698" s="157">
        <v>41599.083333333336</v>
      </c>
      <c r="G3698" s="98">
        <v>320</v>
      </c>
      <c r="H3698" s="98">
        <v>423</v>
      </c>
      <c r="I3698" s="98">
        <v>393</v>
      </c>
      <c r="J3698" s="98" t="s">
        <v>229</v>
      </c>
      <c r="K3698" s="98" t="s">
        <v>1528</v>
      </c>
      <c r="L3698" s="105" t="str">
        <f t="shared" si="610"/>
        <v>Mill Creek</v>
      </c>
      <c r="M3698" s="105" t="str">
        <f t="shared" si="611"/>
        <v>Derate</v>
      </c>
      <c r="N3698" s="105" t="str">
        <f t="shared" si="612"/>
        <v>Coal</v>
      </c>
      <c r="O3698" s="105">
        <f>IFERROR(VLOOKUP(A3698,Lookup!$J$5:$P$19,7,FALSE),0)</f>
        <v>3</v>
      </c>
      <c r="P3698" s="159">
        <f t="shared" si="613"/>
        <v>2013</v>
      </c>
      <c r="Q3698" s="159">
        <f t="shared" si="614"/>
        <v>11</v>
      </c>
      <c r="R3698" s="160">
        <f t="shared" si="615"/>
        <v>4.0000000001164153</v>
      </c>
      <c r="S3698" s="158">
        <f t="shared" si="616"/>
        <v>0.97399527189595925</v>
      </c>
      <c r="T3698" s="161">
        <f t="shared" si="617"/>
        <v>382.78014185511199</v>
      </c>
      <c r="U3698" s="158">
        <f t="shared" si="619"/>
        <v>95.695035460992912</v>
      </c>
      <c r="V3698" s="160">
        <f t="shared" si="618"/>
        <v>96</v>
      </c>
    </row>
    <row r="3699" spans="1:22" x14ac:dyDescent="0.25">
      <c r="A3699" s="98" t="s">
        <v>29</v>
      </c>
      <c r="B3699" s="98" t="s">
        <v>17</v>
      </c>
      <c r="C3699" s="98">
        <v>151</v>
      </c>
      <c r="D3699" s="98">
        <v>310</v>
      </c>
      <c r="E3699" s="157">
        <v>41601.276388888888</v>
      </c>
      <c r="F3699" s="157">
        <v>41601.387499999997</v>
      </c>
      <c r="G3699" s="98">
        <v>330</v>
      </c>
      <c r="H3699" s="98">
        <v>423</v>
      </c>
      <c r="I3699" s="98">
        <v>393</v>
      </c>
      <c r="J3699" s="98" t="s">
        <v>1966</v>
      </c>
      <c r="K3699" s="98" t="s">
        <v>1529</v>
      </c>
      <c r="L3699" s="105" t="str">
        <f t="shared" si="610"/>
        <v>Mill Creek</v>
      </c>
      <c r="M3699" s="105" t="str">
        <f t="shared" si="611"/>
        <v>Derate</v>
      </c>
      <c r="N3699" s="105" t="str">
        <f t="shared" si="612"/>
        <v>Coal</v>
      </c>
      <c r="O3699" s="105">
        <f>IFERROR(VLOOKUP(A3699,Lookup!$J$5:$P$19,7,FALSE),0)</f>
        <v>3</v>
      </c>
      <c r="P3699" s="159">
        <f t="shared" si="613"/>
        <v>2013</v>
      </c>
      <c r="Q3699" s="159">
        <f t="shared" si="614"/>
        <v>11</v>
      </c>
      <c r="R3699" s="160">
        <f t="shared" si="615"/>
        <v>2.6666666666278616</v>
      </c>
      <c r="S3699" s="158">
        <f t="shared" si="616"/>
        <v>0.58628841606711846</v>
      </c>
      <c r="T3699" s="161">
        <f t="shared" si="617"/>
        <v>230.41134751437755</v>
      </c>
      <c r="U3699" s="158">
        <f t="shared" si="619"/>
        <v>86.40425531914893</v>
      </c>
      <c r="V3699" s="160">
        <f t="shared" si="618"/>
        <v>86</v>
      </c>
    </row>
    <row r="3700" spans="1:22" x14ac:dyDescent="0.25">
      <c r="A3700" s="98" t="s">
        <v>29</v>
      </c>
      <c r="B3700" s="98" t="s">
        <v>17</v>
      </c>
      <c r="C3700" s="98">
        <v>152</v>
      </c>
      <c r="D3700" s="98">
        <v>360</v>
      </c>
      <c r="E3700" s="157">
        <v>41601.775694444441</v>
      </c>
      <c r="F3700" s="157">
        <v>41601.867361111108</v>
      </c>
      <c r="G3700" s="98">
        <v>355</v>
      </c>
      <c r="H3700" s="98">
        <v>423</v>
      </c>
      <c r="I3700" s="98">
        <v>393</v>
      </c>
      <c r="J3700" s="98" t="s">
        <v>229</v>
      </c>
      <c r="K3700" s="98" t="s">
        <v>1530</v>
      </c>
      <c r="L3700" s="105" t="str">
        <f t="shared" si="610"/>
        <v>Mill Creek</v>
      </c>
      <c r="M3700" s="105" t="str">
        <f t="shared" si="611"/>
        <v>Derate</v>
      </c>
      <c r="N3700" s="105" t="str">
        <f t="shared" si="612"/>
        <v>Coal</v>
      </c>
      <c r="O3700" s="105">
        <f>IFERROR(VLOOKUP(A3700,Lookup!$J$5:$P$19,7,FALSE),0)</f>
        <v>3</v>
      </c>
      <c r="P3700" s="159">
        <f t="shared" si="613"/>
        <v>2013</v>
      </c>
      <c r="Q3700" s="159">
        <f t="shared" si="614"/>
        <v>11</v>
      </c>
      <c r="R3700" s="160">
        <f t="shared" si="615"/>
        <v>2.2000000000116415</v>
      </c>
      <c r="S3700" s="158">
        <f t="shared" si="616"/>
        <v>0.35366430260234427</v>
      </c>
      <c r="T3700" s="161">
        <f t="shared" si="617"/>
        <v>138.99007092272129</v>
      </c>
      <c r="U3700" s="158">
        <f t="shared" si="619"/>
        <v>63.177304964539005</v>
      </c>
      <c r="V3700" s="160">
        <f t="shared" si="618"/>
        <v>63</v>
      </c>
    </row>
    <row r="3701" spans="1:22" x14ac:dyDescent="0.25">
      <c r="A3701" s="98" t="s">
        <v>29</v>
      </c>
      <c r="B3701" s="98" t="s">
        <v>17</v>
      </c>
      <c r="C3701" s="98">
        <v>153</v>
      </c>
      <c r="D3701" s="98">
        <v>360</v>
      </c>
      <c r="E3701" s="157">
        <v>41601.867361111108</v>
      </c>
      <c r="F3701" s="157">
        <v>41602.169444444444</v>
      </c>
      <c r="G3701" s="98">
        <v>347</v>
      </c>
      <c r="H3701" s="98">
        <v>423</v>
      </c>
      <c r="I3701" s="98">
        <v>393</v>
      </c>
      <c r="J3701" s="98" t="s">
        <v>229</v>
      </c>
      <c r="K3701" s="98" t="s">
        <v>1530</v>
      </c>
      <c r="L3701" s="105" t="str">
        <f t="shared" si="610"/>
        <v>Mill Creek</v>
      </c>
      <c r="M3701" s="105" t="str">
        <f t="shared" si="611"/>
        <v>Derate</v>
      </c>
      <c r="N3701" s="105" t="str">
        <f t="shared" si="612"/>
        <v>Coal</v>
      </c>
      <c r="O3701" s="105">
        <f>IFERROR(VLOOKUP(A3701,Lookup!$J$5:$P$19,7,FALSE),0)</f>
        <v>3</v>
      </c>
      <c r="P3701" s="159">
        <f t="shared" si="613"/>
        <v>2013</v>
      </c>
      <c r="Q3701" s="159">
        <f t="shared" si="614"/>
        <v>11</v>
      </c>
      <c r="R3701" s="160">
        <f t="shared" si="615"/>
        <v>7.2500000000582077</v>
      </c>
      <c r="S3701" s="158">
        <f t="shared" si="616"/>
        <v>1.3026004728236968</v>
      </c>
      <c r="T3701" s="161">
        <f t="shared" si="617"/>
        <v>511.92198581971286</v>
      </c>
      <c r="U3701" s="158">
        <f t="shared" si="619"/>
        <v>70.60992907801419</v>
      </c>
      <c r="V3701" s="160">
        <f t="shared" si="618"/>
        <v>71</v>
      </c>
    </row>
    <row r="3702" spans="1:22" x14ac:dyDescent="0.25">
      <c r="A3702" s="98" t="s">
        <v>29</v>
      </c>
      <c r="B3702" s="98" t="s">
        <v>17</v>
      </c>
      <c r="C3702" s="98">
        <v>154</v>
      </c>
      <c r="D3702" s="98">
        <v>360</v>
      </c>
      <c r="E3702" s="157">
        <v>41602.795138888891</v>
      </c>
      <c r="F3702" s="157">
        <v>41602.838888888888</v>
      </c>
      <c r="G3702" s="98">
        <v>390</v>
      </c>
      <c r="H3702" s="98">
        <v>423</v>
      </c>
      <c r="I3702" s="98">
        <v>393</v>
      </c>
      <c r="J3702" s="98" t="s">
        <v>229</v>
      </c>
      <c r="K3702" s="98" t="s">
        <v>1531</v>
      </c>
      <c r="L3702" s="105" t="str">
        <f t="shared" si="610"/>
        <v>Mill Creek</v>
      </c>
      <c r="M3702" s="105" t="str">
        <f t="shared" si="611"/>
        <v>Derate</v>
      </c>
      <c r="N3702" s="105" t="str">
        <f t="shared" si="612"/>
        <v>Coal</v>
      </c>
      <c r="O3702" s="105">
        <f>IFERROR(VLOOKUP(A3702,Lookup!$J$5:$P$19,7,FALSE),0)</f>
        <v>3</v>
      </c>
      <c r="P3702" s="159">
        <f t="shared" si="613"/>
        <v>2013</v>
      </c>
      <c r="Q3702" s="159">
        <f t="shared" si="614"/>
        <v>11</v>
      </c>
      <c r="R3702" s="160">
        <f t="shared" si="615"/>
        <v>1.0499999999301508</v>
      </c>
      <c r="S3702" s="158">
        <f t="shared" si="616"/>
        <v>8.1914893611572046E-2</v>
      </c>
      <c r="T3702" s="161">
        <f t="shared" si="617"/>
        <v>32.192553189347812</v>
      </c>
      <c r="U3702" s="158">
        <f t="shared" si="619"/>
        <v>30.659574468085108</v>
      </c>
      <c r="V3702" s="160">
        <f t="shared" si="618"/>
        <v>31</v>
      </c>
    </row>
    <row r="3703" spans="1:22" x14ac:dyDescent="0.25">
      <c r="A3703" s="98" t="s">
        <v>29</v>
      </c>
      <c r="B3703" s="98" t="s">
        <v>105</v>
      </c>
      <c r="C3703" s="98">
        <v>155</v>
      </c>
      <c r="D3703" s="98">
        <v>260</v>
      </c>
      <c r="E3703" s="157">
        <v>41603.340277777781</v>
      </c>
      <c r="F3703" s="157">
        <v>41603.413888888892</v>
      </c>
      <c r="G3703" s="98">
        <v>320</v>
      </c>
      <c r="H3703" s="98">
        <v>423</v>
      </c>
      <c r="I3703" s="98">
        <v>393</v>
      </c>
      <c r="J3703" s="98" t="s">
        <v>1973</v>
      </c>
      <c r="K3703" s="98" t="s">
        <v>1532</v>
      </c>
      <c r="L3703" s="105" t="str">
        <f t="shared" si="610"/>
        <v>Mill Creek</v>
      </c>
      <c r="M3703" s="105" t="str">
        <f t="shared" si="611"/>
        <v>Derate</v>
      </c>
      <c r="N3703" s="105" t="str">
        <f t="shared" si="612"/>
        <v>Coal</v>
      </c>
      <c r="O3703" s="105">
        <f>IFERROR(VLOOKUP(A3703,Lookup!$J$5:$P$19,7,FALSE),0)</f>
        <v>3</v>
      </c>
      <c r="P3703" s="159">
        <f t="shared" si="613"/>
        <v>2013</v>
      </c>
      <c r="Q3703" s="159">
        <f t="shared" si="614"/>
        <v>11</v>
      </c>
      <c r="R3703" s="160">
        <f t="shared" si="615"/>
        <v>1.7666666666627862</v>
      </c>
      <c r="S3703" s="158">
        <f t="shared" si="616"/>
        <v>0.4301812450739172</v>
      </c>
      <c r="T3703" s="161">
        <f t="shared" si="617"/>
        <v>169.06122931404946</v>
      </c>
      <c r="U3703" s="158">
        <f t="shared" si="619"/>
        <v>95.695035460992912</v>
      </c>
      <c r="V3703" s="160">
        <f t="shared" si="618"/>
        <v>96</v>
      </c>
    </row>
    <row r="3704" spans="1:22" x14ac:dyDescent="0.25">
      <c r="A3704" s="98" t="s">
        <v>29</v>
      </c>
      <c r="B3704" s="98" t="s">
        <v>105</v>
      </c>
      <c r="C3704" s="98">
        <v>156</v>
      </c>
      <c r="D3704" s="98">
        <v>260</v>
      </c>
      <c r="E3704" s="157">
        <v>41603.413888888892</v>
      </c>
      <c r="F3704" s="157">
        <v>41603.643055555556</v>
      </c>
      <c r="G3704" s="98">
        <v>330</v>
      </c>
      <c r="H3704" s="98">
        <v>423</v>
      </c>
      <c r="I3704" s="98">
        <v>393</v>
      </c>
      <c r="J3704" s="98" t="s">
        <v>1973</v>
      </c>
      <c r="K3704" s="98" t="s">
        <v>1532</v>
      </c>
      <c r="L3704" s="105" t="str">
        <f t="shared" si="610"/>
        <v>Mill Creek</v>
      </c>
      <c r="M3704" s="105" t="str">
        <f t="shared" si="611"/>
        <v>Derate</v>
      </c>
      <c r="N3704" s="105" t="str">
        <f t="shared" si="612"/>
        <v>Coal</v>
      </c>
      <c r="O3704" s="105">
        <f>IFERROR(VLOOKUP(A3704,Lookup!$J$5:$P$19,7,FALSE),0)</f>
        <v>3</v>
      </c>
      <c r="P3704" s="159">
        <f t="shared" si="613"/>
        <v>2013</v>
      </c>
      <c r="Q3704" s="159">
        <f t="shared" si="614"/>
        <v>11</v>
      </c>
      <c r="R3704" s="160">
        <f t="shared" si="615"/>
        <v>5.4999999999417923</v>
      </c>
      <c r="S3704" s="158">
        <f t="shared" si="616"/>
        <v>1.209219858143231</v>
      </c>
      <c r="T3704" s="161">
        <f t="shared" si="617"/>
        <v>475.22340425028978</v>
      </c>
      <c r="U3704" s="158">
        <f t="shared" si="619"/>
        <v>86.40425531914893</v>
      </c>
      <c r="V3704" s="160">
        <f t="shared" si="618"/>
        <v>86</v>
      </c>
    </row>
    <row r="3705" spans="1:22" x14ac:dyDescent="0.25">
      <c r="A3705" s="98" t="s">
        <v>29</v>
      </c>
      <c r="B3705" s="98" t="s">
        <v>105</v>
      </c>
      <c r="C3705" s="98">
        <v>157</v>
      </c>
      <c r="D3705" s="98">
        <v>260</v>
      </c>
      <c r="E3705" s="157">
        <v>41603.916666666664</v>
      </c>
      <c r="F3705" s="157">
        <v>41604.174305555556</v>
      </c>
      <c r="G3705" s="98">
        <v>330</v>
      </c>
      <c r="H3705" s="98">
        <v>423</v>
      </c>
      <c r="I3705" s="98">
        <v>393</v>
      </c>
      <c r="J3705" s="98" t="s">
        <v>1973</v>
      </c>
      <c r="K3705" s="98" t="s">
        <v>1533</v>
      </c>
      <c r="L3705" s="105" t="str">
        <f t="shared" si="610"/>
        <v>Mill Creek</v>
      </c>
      <c r="M3705" s="105" t="str">
        <f t="shared" si="611"/>
        <v>Derate</v>
      </c>
      <c r="N3705" s="105" t="str">
        <f t="shared" si="612"/>
        <v>Coal</v>
      </c>
      <c r="O3705" s="105">
        <f>IFERROR(VLOOKUP(A3705,Lookup!$J$5:$P$19,7,FALSE),0)</f>
        <v>3</v>
      </c>
      <c r="P3705" s="159">
        <f t="shared" si="613"/>
        <v>2013</v>
      </c>
      <c r="Q3705" s="159">
        <f t="shared" si="614"/>
        <v>11</v>
      </c>
      <c r="R3705" s="160">
        <f t="shared" si="615"/>
        <v>6.183333333407063</v>
      </c>
      <c r="S3705" s="158">
        <f t="shared" si="616"/>
        <v>1.3594562647916237</v>
      </c>
      <c r="T3705" s="161">
        <f t="shared" si="617"/>
        <v>534.2663120631081</v>
      </c>
      <c r="U3705" s="158">
        <f t="shared" si="619"/>
        <v>86.40425531914893</v>
      </c>
      <c r="V3705" s="160">
        <f t="shared" si="618"/>
        <v>86</v>
      </c>
    </row>
    <row r="3706" spans="1:22" x14ac:dyDescent="0.25">
      <c r="A3706" s="98" t="s">
        <v>29</v>
      </c>
      <c r="B3706" s="98" t="s">
        <v>17</v>
      </c>
      <c r="C3706" s="98">
        <v>158</v>
      </c>
      <c r="D3706" s="98">
        <v>360</v>
      </c>
      <c r="E3706" s="157">
        <v>41605.404861111114</v>
      </c>
      <c r="F3706" s="157">
        <v>41605.524305555555</v>
      </c>
      <c r="G3706" s="98">
        <v>344</v>
      </c>
      <c r="H3706" s="98">
        <v>423</v>
      </c>
      <c r="I3706" s="98">
        <v>393</v>
      </c>
      <c r="J3706" s="98" t="s">
        <v>229</v>
      </c>
      <c r="K3706" s="98" t="s">
        <v>1534</v>
      </c>
      <c r="L3706" s="105" t="str">
        <f t="shared" si="610"/>
        <v>Mill Creek</v>
      </c>
      <c r="M3706" s="105" t="str">
        <f t="shared" si="611"/>
        <v>Derate</v>
      </c>
      <c r="N3706" s="105" t="str">
        <f t="shared" si="612"/>
        <v>Coal</v>
      </c>
      <c r="O3706" s="105">
        <f>IFERROR(VLOOKUP(A3706,Lookup!$J$5:$P$19,7,FALSE),0)</f>
        <v>3</v>
      </c>
      <c r="P3706" s="159">
        <f t="shared" si="613"/>
        <v>2013</v>
      </c>
      <c r="Q3706" s="159">
        <f t="shared" si="614"/>
        <v>11</v>
      </c>
      <c r="R3706" s="160">
        <f t="shared" si="615"/>
        <v>2.8666666665812954</v>
      </c>
      <c r="S3706" s="158">
        <f t="shared" si="616"/>
        <v>0.53538219068539561</v>
      </c>
      <c r="T3706" s="161">
        <f t="shared" si="617"/>
        <v>210.40520093936047</v>
      </c>
      <c r="U3706" s="158">
        <f t="shared" si="619"/>
        <v>73.39716312056737</v>
      </c>
      <c r="V3706" s="160">
        <f t="shared" si="618"/>
        <v>73</v>
      </c>
    </row>
    <row r="3707" spans="1:22" x14ac:dyDescent="0.25">
      <c r="A3707" s="98" t="s">
        <v>29</v>
      </c>
      <c r="B3707" s="98" t="s">
        <v>20</v>
      </c>
      <c r="C3707" s="98">
        <v>159</v>
      </c>
      <c r="D3707" s="98">
        <v>1060</v>
      </c>
      <c r="E3707" s="157">
        <v>41606.546527777777</v>
      </c>
      <c r="F3707" s="157">
        <v>41609.298611111109</v>
      </c>
      <c r="G3707" s="98">
        <v>0</v>
      </c>
      <c r="H3707" s="98">
        <v>423</v>
      </c>
      <c r="I3707" s="98">
        <v>393</v>
      </c>
      <c r="J3707" s="98" t="s">
        <v>2179</v>
      </c>
      <c r="K3707" s="98" t="s">
        <v>53</v>
      </c>
      <c r="L3707" s="105" t="str">
        <f t="shared" si="610"/>
        <v>Mill Creek</v>
      </c>
      <c r="M3707" s="105" t="str">
        <f t="shared" si="611"/>
        <v>Maintenance</v>
      </c>
      <c r="N3707" s="105" t="str">
        <f t="shared" si="612"/>
        <v>Coal</v>
      </c>
      <c r="O3707" s="105">
        <f>IFERROR(VLOOKUP(A3707,Lookup!$J$5:$P$19,7,FALSE),0)</f>
        <v>3</v>
      </c>
      <c r="P3707" s="159">
        <f t="shared" si="613"/>
        <v>2013</v>
      </c>
      <c r="Q3707" s="159">
        <f t="shared" si="614"/>
        <v>11</v>
      </c>
      <c r="R3707" s="160">
        <f t="shared" si="615"/>
        <v>66.049999999988358</v>
      </c>
      <c r="S3707" s="158">
        <f t="shared" si="616"/>
        <v>66.049999999988358</v>
      </c>
      <c r="T3707" s="161">
        <f t="shared" si="617"/>
        <v>25957.649999995425</v>
      </c>
      <c r="U3707" s="158">
        <f t="shared" si="619"/>
        <v>393</v>
      </c>
      <c r="V3707" s="160">
        <f t="shared" si="618"/>
        <v>393</v>
      </c>
    </row>
    <row r="3708" spans="1:22" x14ac:dyDescent="0.25">
      <c r="A3708" s="98" t="s">
        <v>29</v>
      </c>
      <c r="B3708" s="98" t="s">
        <v>79</v>
      </c>
      <c r="C3708" s="98">
        <v>160</v>
      </c>
      <c r="D3708" s="98">
        <v>1850</v>
      </c>
      <c r="E3708" s="157">
        <v>41609.298611111109</v>
      </c>
      <c r="F3708" s="157">
        <v>41609.303472222222</v>
      </c>
      <c r="G3708" s="98">
        <v>0</v>
      </c>
      <c r="H3708" s="98">
        <v>423</v>
      </c>
      <c r="I3708" s="98">
        <v>393</v>
      </c>
      <c r="J3708" s="98" t="s">
        <v>2263</v>
      </c>
      <c r="K3708" s="98" t="s">
        <v>85</v>
      </c>
      <c r="L3708" s="105" t="str">
        <f t="shared" si="610"/>
        <v>Mill Creek</v>
      </c>
      <c r="M3708" s="105" t="str">
        <f t="shared" si="611"/>
        <v>Other</v>
      </c>
      <c r="N3708" s="105" t="str">
        <f t="shared" si="612"/>
        <v>Coal</v>
      </c>
      <c r="O3708" s="105">
        <f>IFERROR(VLOOKUP(A3708,Lookup!$J$5:$P$19,7,FALSE),0)</f>
        <v>3</v>
      </c>
      <c r="P3708" s="159">
        <f t="shared" si="613"/>
        <v>2013</v>
      </c>
      <c r="Q3708" s="159">
        <f t="shared" si="614"/>
        <v>12</v>
      </c>
      <c r="R3708" s="160">
        <f t="shared" si="615"/>
        <v>0.11666666669771075</v>
      </c>
      <c r="S3708" s="158">
        <f t="shared" si="616"/>
        <v>0.11666666669771075</v>
      </c>
      <c r="T3708" s="161">
        <f t="shared" si="617"/>
        <v>45.850000012200326</v>
      </c>
      <c r="U3708" s="158">
        <f t="shared" si="619"/>
        <v>393</v>
      </c>
      <c r="V3708" s="160">
        <f t="shared" si="618"/>
        <v>393</v>
      </c>
    </row>
    <row r="3709" spans="1:22" x14ac:dyDescent="0.25">
      <c r="A3709" s="98" t="s">
        <v>29</v>
      </c>
      <c r="B3709" s="98" t="s">
        <v>15</v>
      </c>
      <c r="C3709" s="98">
        <v>161</v>
      </c>
      <c r="D3709" s="98">
        <v>800</v>
      </c>
      <c r="E3709" s="157">
        <v>41609.303472222222</v>
      </c>
      <c r="F3709" s="157">
        <v>41609.378472222219</v>
      </c>
      <c r="G3709" s="98">
        <v>0</v>
      </c>
      <c r="H3709" s="98">
        <v>423</v>
      </c>
      <c r="I3709" s="98">
        <v>393</v>
      </c>
      <c r="J3709" s="98" t="s">
        <v>2197</v>
      </c>
      <c r="K3709" s="98" t="s">
        <v>36</v>
      </c>
      <c r="L3709" s="105" t="str">
        <f t="shared" si="610"/>
        <v>Mill Creek</v>
      </c>
      <c r="M3709" s="105" t="str">
        <f t="shared" si="611"/>
        <v>Outage</v>
      </c>
      <c r="N3709" s="105" t="str">
        <f t="shared" si="612"/>
        <v>Coal</v>
      </c>
      <c r="O3709" s="105">
        <f>IFERROR(VLOOKUP(A3709,Lookup!$J$5:$P$19,7,FALSE),0)</f>
        <v>3</v>
      </c>
      <c r="P3709" s="159">
        <f t="shared" si="613"/>
        <v>2013</v>
      </c>
      <c r="Q3709" s="159">
        <f t="shared" si="614"/>
        <v>12</v>
      </c>
      <c r="R3709" s="160">
        <f t="shared" si="615"/>
        <v>1.7999999999301508</v>
      </c>
      <c r="S3709" s="158">
        <f t="shared" si="616"/>
        <v>1.7999999999301508</v>
      </c>
      <c r="T3709" s="161">
        <f t="shared" si="617"/>
        <v>707.39999997254927</v>
      </c>
      <c r="U3709" s="158">
        <f t="shared" si="619"/>
        <v>393</v>
      </c>
      <c r="V3709" s="160">
        <f t="shared" si="618"/>
        <v>393</v>
      </c>
    </row>
    <row r="3710" spans="1:22" x14ac:dyDescent="0.25">
      <c r="A3710" s="98" t="s">
        <v>29</v>
      </c>
      <c r="B3710" s="98" t="s">
        <v>79</v>
      </c>
      <c r="C3710" s="98">
        <v>162</v>
      </c>
      <c r="D3710" s="98">
        <v>1850</v>
      </c>
      <c r="E3710" s="157">
        <v>41609.378472222219</v>
      </c>
      <c r="F3710" s="157">
        <v>41609.87777777778</v>
      </c>
      <c r="G3710" s="98">
        <v>0</v>
      </c>
      <c r="H3710" s="98">
        <v>423</v>
      </c>
      <c r="I3710" s="98">
        <v>393</v>
      </c>
      <c r="J3710" s="98" t="s">
        <v>2263</v>
      </c>
      <c r="K3710" s="98" t="s">
        <v>564</v>
      </c>
      <c r="L3710" s="105" t="str">
        <f t="shared" si="610"/>
        <v>Mill Creek</v>
      </c>
      <c r="M3710" s="105" t="str">
        <f t="shared" si="611"/>
        <v>Other</v>
      </c>
      <c r="N3710" s="105" t="str">
        <f t="shared" si="612"/>
        <v>Coal</v>
      </c>
      <c r="O3710" s="105">
        <f>IFERROR(VLOOKUP(A3710,Lookup!$J$5:$P$19,7,FALSE),0)</f>
        <v>3</v>
      </c>
      <c r="P3710" s="159">
        <f t="shared" si="613"/>
        <v>2013</v>
      </c>
      <c r="Q3710" s="159">
        <f t="shared" si="614"/>
        <v>12</v>
      </c>
      <c r="R3710" s="160">
        <f t="shared" si="615"/>
        <v>11.983333333453629</v>
      </c>
      <c r="S3710" s="158">
        <f t="shared" si="616"/>
        <v>11.983333333453629</v>
      </c>
      <c r="T3710" s="161">
        <f t="shared" si="617"/>
        <v>4709.4500000472763</v>
      </c>
      <c r="U3710" s="158">
        <f t="shared" si="619"/>
        <v>393</v>
      </c>
      <c r="V3710" s="160">
        <f t="shared" si="618"/>
        <v>393</v>
      </c>
    </row>
    <row r="3711" spans="1:22" x14ac:dyDescent="0.25">
      <c r="A3711" s="98" t="s">
        <v>29</v>
      </c>
      <c r="B3711" s="98" t="s">
        <v>79</v>
      </c>
      <c r="C3711" s="98">
        <v>163</v>
      </c>
      <c r="D3711" s="98">
        <v>8460</v>
      </c>
      <c r="E3711" s="157">
        <v>41610.5625</v>
      </c>
      <c r="F3711" s="157">
        <v>41610.765277777777</v>
      </c>
      <c r="G3711" s="98">
        <v>0</v>
      </c>
      <c r="H3711" s="98">
        <v>423</v>
      </c>
      <c r="I3711" s="98">
        <v>393</v>
      </c>
      <c r="J3711" s="98" t="s">
        <v>2651</v>
      </c>
      <c r="K3711" s="98" t="s">
        <v>1379</v>
      </c>
      <c r="L3711" s="105" t="str">
        <f t="shared" si="610"/>
        <v>Mill Creek</v>
      </c>
      <c r="M3711" s="105" t="str">
        <f t="shared" si="611"/>
        <v>Other</v>
      </c>
      <c r="N3711" s="105" t="str">
        <f t="shared" si="612"/>
        <v>Coal</v>
      </c>
      <c r="O3711" s="105">
        <f>IFERROR(VLOOKUP(A3711,Lookup!$J$5:$P$19,7,FALSE),0)</f>
        <v>3</v>
      </c>
      <c r="P3711" s="159">
        <f t="shared" si="613"/>
        <v>2013</v>
      </c>
      <c r="Q3711" s="159">
        <f t="shared" si="614"/>
        <v>12</v>
      </c>
      <c r="R3711" s="160">
        <f t="shared" si="615"/>
        <v>4.8666666666395031</v>
      </c>
      <c r="S3711" s="158">
        <f t="shared" si="616"/>
        <v>4.8666666666395031</v>
      </c>
      <c r="T3711" s="161">
        <f t="shared" si="617"/>
        <v>1912.5999999893247</v>
      </c>
      <c r="U3711" s="158">
        <f t="shared" si="619"/>
        <v>393</v>
      </c>
      <c r="V3711" s="160">
        <f t="shared" si="618"/>
        <v>393</v>
      </c>
    </row>
    <row r="3712" spans="1:22" x14ac:dyDescent="0.25">
      <c r="A3712" s="98" t="s">
        <v>29</v>
      </c>
      <c r="B3712" s="98" t="s">
        <v>105</v>
      </c>
      <c r="C3712" s="98">
        <v>164</v>
      </c>
      <c r="D3712" s="98">
        <v>260</v>
      </c>
      <c r="E3712" s="157">
        <v>41611.40902777778</v>
      </c>
      <c r="F3712" s="157">
        <v>41611.495138888888</v>
      </c>
      <c r="G3712" s="98">
        <v>330</v>
      </c>
      <c r="H3712" s="98">
        <v>423</v>
      </c>
      <c r="I3712" s="98">
        <v>393</v>
      </c>
      <c r="J3712" s="98" t="s">
        <v>1973</v>
      </c>
      <c r="K3712" s="98" t="s">
        <v>1535</v>
      </c>
      <c r="L3712" s="105" t="str">
        <f t="shared" si="610"/>
        <v>Mill Creek</v>
      </c>
      <c r="M3712" s="105" t="str">
        <f t="shared" si="611"/>
        <v>Derate</v>
      </c>
      <c r="N3712" s="105" t="str">
        <f t="shared" si="612"/>
        <v>Coal</v>
      </c>
      <c r="O3712" s="105">
        <f>IFERROR(VLOOKUP(A3712,Lookup!$J$5:$P$19,7,FALSE),0)</f>
        <v>3</v>
      </c>
      <c r="P3712" s="159">
        <f t="shared" si="613"/>
        <v>2013</v>
      </c>
      <c r="Q3712" s="159">
        <f t="shared" si="614"/>
        <v>12</v>
      </c>
      <c r="R3712" s="160">
        <f t="shared" si="615"/>
        <v>2.066666666592937</v>
      </c>
      <c r="S3712" s="158">
        <f t="shared" si="616"/>
        <v>0.45437352244241874</v>
      </c>
      <c r="T3712" s="161">
        <f t="shared" si="617"/>
        <v>178.56879431987056</v>
      </c>
      <c r="U3712" s="158">
        <f t="shared" si="619"/>
        <v>86.40425531914893</v>
      </c>
      <c r="V3712" s="160">
        <f t="shared" si="618"/>
        <v>86</v>
      </c>
    </row>
    <row r="3713" spans="1:22" x14ac:dyDescent="0.25">
      <c r="A3713" s="98" t="s">
        <v>29</v>
      </c>
      <c r="B3713" s="98" t="s">
        <v>105</v>
      </c>
      <c r="C3713" s="98">
        <v>165</v>
      </c>
      <c r="D3713" s="98">
        <v>350</v>
      </c>
      <c r="E3713" s="157">
        <v>41611.974305555559</v>
      </c>
      <c r="F3713" s="157">
        <v>41612.15625</v>
      </c>
      <c r="G3713" s="98">
        <v>330</v>
      </c>
      <c r="H3713" s="98">
        <v>423</v>
      </c>
      <c r="I3713" s="98">
        <v>393</v>
      </c>
      <c r="J3713" s="98" t="s">
        <v>1976</v>
      </c>
      <c r="K3713" s="98" t="s">
        <v>1536</v>
      </c>
      <c r="L3713" s="105" t="str">
        <f t="shared" si="610"/>
        <v>Mill Creek</v>
      </c>
      <c r="M3713" s="105" t="str">
        <f t="shared" si="611"/>
        <v>Derate</v>
      </c>
      <c r="N3713" s="105" t="str">
        <f t="shared" si="612"/>
        <v>Coal</v>
      </c>
      <c r="O3713" s="105">
        <f>IFERROR(VLOOKUP(A3713,Lookup!$J$5:$P$19,7,FALSE),0)</f>
        <v>3</v>
      </c>
      <c r="P3713" s="159">
        <f t="shared" si="613"/>
        <v>2013</v>
      </c>
      <c r="Q3713" s="159">
        <f t="shared" si="614"/>
        <v>12</v>
      </c>
      <c r="R3713" s="160">
        <f t="shared" si="615"/>
        <v>4.3666666665812954</v>
      </c>
      <c r="S3713" s="158">
        <f t="shared" si="616"/>
        <v>0.96004728130510752</v>
      </c>
      <c r="T3713" s="161">
        <f t="shared" si="617"/>
        <v>377.29858155290725</v>
      </c>
      <c r="U3713" s="158">
        <f t="shared" si="619"/>
        <v>86.40425531914893</v>
      </c>
      <c r="V3713" s="160">
        <f t="shared" si="618"/>
        <v>86</v>
      </c>
    </row>
    <row r="3714" spans="1:22" x14ac:dyDescent="0.25">
      <c r="A3714" s="98" t="s">
        <v>29</v>
      </c>
      <c r="B3714" s="98" t="s">
        <v>105</v>
      </c>
      <c r="C3714" s="98">
        <v>166</v>
      </c>
      <c r="D3714" s="98">
        <v>350</v>
      </c>
      <c r="E3714" s="157">
        <v>41612.375</v>
      </c>
      <c r="F3714" s="157">
        <v>41612.800694444442</v>
      </c>
      <c r="G3714" s="98">
        <v>330</v>
      </c>
      <c r="H3714" s="98">
        <v>423</v>
      </c>
      <c r="I3714" s="98">
        <v>393</v>
      </c>
      <c r="J3714" s="98" t="s">
        <v>1976</v>
      </c>
      <c r="K3714" s="98" t="s">
        <v>1537</v>
      </c>
      <c r="L3714" s="105" t="str">
        <f t="shared" si="610"/>
        <v>Mill Creek</v>
      </c>
      <c r="M3714" s="105" t="str">
        <f t="shared" si="611"/>
        <v>Derate</v>
      </c>
      <c r="N3714" s="105" t="str">
        <f t="shared" si="612"/>
        <v>Coal</v>
      </c>
      <c r="O3714" s="105">
        <f>IFERROR(VLOOKUP(A3714,Lookup!$J$5:$P$19,7,FALSE),0)</f>
        <v>3</v>
      </c>
      <c r="P3714" s="159">
        <f t="shared" si="613"/>
        <v>2013</v>
      </c>
      <c r="Q3714" s="159">
        <f t="shared" si="614"/>
        <v>12</v>
      </c>
      <c r="R3714" s="160">
        <f t="shared" si="615"/>
        <v>10.21666666661622</v>
      </c>
      <c r="S3714" s="158">
        <f t="shared" si="616"/>
        <v>2.2462174940787434</v>
      </c>
      <c r="T3714" s="161">
        <f t="shared" si="617"/>
        <v>882.76347517294619</v>
      </c>
      <c r="U3714" s="158">
        <f t="shared" si="619"/>
        <v>86.40425531914893</v>
      </c>
      <c r="V3714" s="160">
        <f t="shared" si="618"/>
        <v>86</v>
      </c>
    </row>
    <row r="3715" spans="1:22" x14ac:dyDescent="0.25">
      <c r="A3715" s="98" t="s">
        <v>29</v>
      </c>
      <c r="B3715" s="98" t="s">
        <v>105</v>
      </c>
      <c r="C3715" s="98">
        <v>167</v>
      </c>
      <c r="D3715" s="98">
        <v>100</v>
      </c>
      <c r="E3715" s="157">
        <v>41613.375</v>
      </c>
      <c r="F3715" s="157">
        <v>41613.495138888888</v>
      </c>
      <c r="G3715" s="98">
        <v>330</v>
      </c>
      <c r="H3715" s="98">
        <v>423</v>
      </c>
      <c r="I3715" s="98">
        <v>393</v>
      </c>
      <c r="J3715" s="98" t="s">
        <v>2283</v>
      </c>
      <c r="K3715" s="98" t="s">
        <v>1538</v>
      </c>
      <c r="L3715" s="105" t="str">
        <f t="shared" si="610"/>
        <v>Mill Creek</v>
      </c>
      <c r="M3715" s="105" t="str">
        <f t="shared" si="611"/>
        <v>Derate</v>
      </c>
      <c r="N3715" s="105" t="str">
        <f t="shared" si="612"/>
        <v>Coal</v>
      </c>
      <c r="O3715" s="105">
        <f>IFERROR(VLOOKUP(A3715,Lookup!$J$5:$P$19,7,FALSE),0)</f>
        <v>3</v>
      </c>
      <c r="P3715" s="159">
        <f t="shared" si="613"/>
        <v>2013</v>
      </c>
      <c r="Q3715" s="159">
        <f t="shared" si="614"/>
        <v>12</v>
      </c>
      <c r="R3715" s="160">
        <f t="shared" si="615"/>
        <v>2.8833333333022892</v>
      </c>
      <c r="S3715" s="158">
        <f t="shared" si="616"/>
        <v>0.63392434987497137</v>
      </c>
      <c r="T3715" s="161">
        <f t="shared" si="617"/>
        <v>249.13226950086374</v>
      </c>
      <c r="U3715" s="158">
        <f t="shared" si="619"/>
        <v>86.40425531914893</v>
      </c>
      <c r="V3715" s="160">
        <f t="shared" si="618"/>
        <v>86</v>
      </c>
    </row>
    <row r="3716" spans="1:22" x14ac:dyDescent="0.25">
      <c r="A3716" s="98" t="s">
        <v>29</v>
      </c>
      <c r="B3716" s="98" t="s">
        <v>17</v>
      </c>
      <c r="C3716" s="98">
        <v>168</v>
      </c>
      <c r="D3716" s="98">
        <v>310</v>
      </c>
      <c r="E3716" s="157">
        <v>41613.697916666664</v>
      </c>
      <c r="F3716" s="157">
        <v>41613.710416666669</v>
      </c>
      <c r="G3716" s="98">
        <v>340</v>
      </c>
      <c r="H3716" s="98">
        <v>423</v>
      </c>
      <c r="I3716" s="98">
        <v>393</v>
      </c>
      <c r="J3716" s="98" t="s">
        <v>1966</v>
      </c>
      <c r="K3716" s="98" t="s">
        <v>1539</v>
      </c>
      <c r="L3716" s="105" t="str">
        <f t="shared" si="610"/>
        <v>Mill Creek</v>
      </c>
      <c r="M3716" s="105" t="str">
        <f t="shared" si="611"/>
        <v>Derate</v>
      </c>
      <c r="N3716" s="105" t="str">
        <f t="shared" si="612"/>
        <v>Coal</v>
      </c>
      <c r="O3716" s="105">
        <f>IFERROR(VLOOKUP(A3716,Lookup!$J$5:$P$19,7,FALSE),0)</f>
        <v>3</v>
      </c>
      <c r="P3716" s="159">
        <f t="shared" si="613"/>
        <v>2013</v>
      </c>
      <c r="Q3716" s="159">
        <f t="shared" si="614"/>
        <v>12</v>
      </c>
      <c r="R3716" s="160">
        <f t="shared" si="615"/>
        <v>0.30000000010477379</v>
      </c>
      <c r="S3716" s="158">
        <f t="shared" si="616"/>
        <v>5.8865248247508807E-2</v>
      </c>
      <c r="T3716" s="161">
        <f t="shared" si="617"/>
        <v>23.134042561270959</v>
      </c>
      <c r="U3716" s="158">
        <f t="shared" si="619"/>
        <v>77.113475177304963</v>
      </c>
      <c r="V3716" s="160">
        <f t="shared" si="618"/>
        <v>77</v>
      </c>
    </row>
    <row r="3717" spans="1:22" x14ac:dyDescent="0.25">
      <c r="A3717" s="98" t="s">
        <v>29</v>
      </c>
      <c r="B3717" s="98" t="s">
        <v>17</v>
      </c>
      <c r="C3717" s="98">
        <v>169</v>
      </c>
      <c r="D3717" s="98">
        <v>360</v>
      </c>
      <c r="E3717" s="157">
        <v>41614.765277777777</v>
      </c>
      <c r="F3717" s="157">
        <v>41614.815972222219</v>
      </c>
      <c r="G3717" s="98">
        <v>330</v>
      </c>
      <c r="H3717" s="98">
        <v>423</v>
      </c>
      <c r="I3717" s="98">
        <v>393</v>
      </c>
      <c r="J3717" s="98" t="s">
        <v>229</v>
      </c>
      <c r="K3717" s="98" t="s">
        <v>1540</v>
      </c>
      <c r="L3717" s="105" t="str">
        <f t="shared" si="610"/>
        <v>Mill Creek</v>
      </c>
      <c r="M3717" s="105" t="str">
        <f t="shared" si="611"/>
        <v>Derate</v>
      </c>
      <c r="N3717" s="105" t="str">
        <f t="shared" si="612"/>
        <v>Coal</v>
      </c>
      <c r="O3717" s="105">
        <f>IFERROR(VLOOKUP(A3717,Lookup!$J$5:$P$19,7,FALSE),0)</f>
        <v>3</v>
      </c>
      <c r="P3717" s="159">
        <f t="shared" si="613"/>
        <v>2013</v>
      </c>
      <c r="Q3717" s="159">
        <f t="shared" si="614"/>
        <v>12</v>
      </c>
      <c r="R3717" s="160">
        <f t="shared" si="615"/>
        <v>1.21666666661622</v>
      </c>
      <c r="S3717" s="158">
        <f t="shared" si="616"/>
        <v>0.26749408982342426</v>
      </c>
      <c r="T3717" s="161">
        <f t="shared" si="617"/>
        <v>105.12517730060574</v>
      </c>
      <c r="U3717" s="158">
        <f t="shared" si="619"/>
        <v>86.40425531914893</v>
      </c>
      <c r="V3717" s="160">
        <f t="shared" si="618"/>
        <v>86</v>
      </c>
    </row>
    <row r="3718" spans="1:22" x14ac:dyDescent="0.25">
      <c r="A3718" s="98" t="s">
        <v>29</v>
      </c>
      <c r="B3718" s="98" t="s">
        <v>17</v>
      </c>
      <c r="C3718" s="98">
        <v>170</v>
      </c>
      <c r="D3718" s="98">
        <v>360</v>
      </c>
      <c r="E3718" s="157">
        <v>41614.815972222219</v>
      </c>
      <c r="F3718" s="157">
        <v>41614.988194444442</v>
      </c>
      <c r="G3718" s="98">
        <v>305</v>
      </c>
      <c r="H3718" s="98">
        <v>423</v>
      </c>
      <c r="I3718" s="98">
        <v>393</v>
      </c>
      <c r="J3718" s="98" t="s">
        <v>229</v>
      </c>
      <c r="K3718" s="98" t="s">
        <v>1541</v>
      </c>
      <c r="L3718" s="105" t="str">
        <f t="shared" si="610"/>
        <v>Mill Creek</v>
      </c>
      <c r="M3718" s="105" t="str">
        <f t="shared" si="611"/>
        <v>Derate</v>
      </c>
      <c r="N3718" s="105" t="str">
        <f t="shared" si="612"/>
        <v>Coal</v>
      </c>
      <c r="O3718" s="105">
        <f>IFERROR(VLOOKUP(A3718,Lookup!$J$5:$P$19,7,FALSE),0)</f>
        <v>3</v>
      </c>
      <c r="P3718" s="159">
        <f t="shared" si="613"/>
        <v>2013</v>
      </c>
      <c r="Q3718" s="159">
        <f t="shared" si="614"/>
        <v>12</v>
      </c>
      <c r="R3718" s="160">
        <f t="shared" si="615"/>
        <v>4.1333333333604969</v>
      </c>
      <c r="S3718" s="158">
        <f t="shared" si="616"/>
        <v>1.1530338849563562</v>
      </c>
      <c r="T3718" s="161">
        <f t="shared" si="617"/>
        <v>453.14231678784796</v>
      </c>
      <c r="U3718" s="158">
        <f t="shared" si="619"/>
        <v>109.63120567375887</v>
      </c>
      <c r="V3718" s="160">
        <f t="shared" si="618"/>
        <v>110</v>
      </c>
    </row>
    <row r="3719" spans="1:22" x14ac:dyDescent="0.25">
      <c r="A3719" s="98" t="s">
        <v>29</v>
      </c>
      <c r="B3719" s="98" t="s">
        <v>17</v>
      </c>
      <c r="C3719" s="98">
        <v>171</v>
      </c>
      <c r="D3719" s="98">
        <v>360</v>
      </c>
      <c r="E3719" s="157">
        <v>41615.686111111114</v>
      </c>
      <c r="F3719" s="157">
        <v>41615.737500000003</v>
      </c>
      <c r="G3719" s="98">
        <v>320</v>
      </c>
      <c r="H3719" s="98">
        <v>423</v>
      </c>
      <c r="I3719" s="98">
        <v>393</v>
      </c>
      <c r="J3719" s="98" t="s">
        <v>229</v>
      </c>
      <c r="K3719" s="98" t="s">
        <v>1542</v>
      </c>
      <c r="L3719" s="105" t="str">
        <f t="shared" si="610"/>
        <v>Mill Creek</v>
      </c>
      <c r="M3719" s="105" t="str">
        <f t="shared" si="611"/>
        <v>Derate</v>
      </c>
      <c r="N3719" s="105" t="str">
        <f t="shared" si="612"/>
        <v>Coal</v>
      </c>
      <c r="O3719" s="105">
        <f>IFERROR(VLOOKUP(A3719,Lookup!$J$5:$P$19,7,FALSE),0)</f>
        <v>3</v>
      </c>
      <c r="P3719" s="159">
        <f t="shared" si="613"/>
        <v>2013</v>
      </c>
      <c r="Q3719" s="159">
        <f t="shared" si="614"/>
        <v>12</v>
      </c>
      <c r="R3719" s="160">
        <f t="shared" si="615"/>
        <v>1.2333333333372138</v>
      </c>
      <c r="S3719" s="158">
        <f t="shared" si="616"/>
        <v>0.30031520882679202</v>
      </c>
      <c r="T3719" s="161">
        <f t="shared" si="617"/>
        <v>118.02387706892927</v>
      </c>
      <c r="U3719" s="158">
        <f t="shared" si="619"/>
        <v>95.695035460992912</v>
      </c>
      <c r="V3719" s="160">
        <f t="shared" si="618"/>
        <v>96</v>
      </c>
    </row>
    <row r="3720" spans="1:22" x14ac:dyDescent="0.25">
      <c r="A3720" s="98" t="s">
        <v>29</v>
      </c>
      <c r="B3720" s="98" t="s">
        <v>17</v>
      </c>
      <c r="C3720" s="98">
        <v>172</v>
      </c>
      <c r="D3720" s="98">
        <v>360</v>
      </c>
      <c r="E3720" s="157">
        <v>41615.741666666669</v>
      </c>
      <c r="F3720" s="157">
        <v>41615.9375</v>
      </c>
      <c r="G3720" s="98">
        <v>375</v>
      </c>
      <c r="H3720" s="98">
        <v>423</v>
      </c>
      <c r="I3720" s="98">
        <v>393</v>
      </c>
      <c r="J3720" s="98" t="s">
        <v>229</v>
      </c>
      <c r="K3720" s="98" t="s">
        <v>1543</v>
      </c>
      <c r="L3720" s="105" t="str">
        <f t="shared" si="610"/>
        <v>Mill Creek</v>
      </c>
      <c r="M3720" s="105" t="str">
        <f t="shared" si="611"/>
        <v>Derate</v>
      </c>
      <c r="N3720" s="105" t="str">
        <f t="shared" si="612"/>
        <v>Coal</v>
      </c>
      <c r="O3720" s="105">
        <f>IFERROR(VLOOKUP(A3720,Lookup!$J$5:$P$19,7,FALSE),0)</f>
        <v>3</v>
      </c>
      <c r="P3720" s="159">
        <f t="shared" si="613"/>
        <v>2013</v>
      </c>
      <c r="Q3720" s="159">
        <f t="shared" si="614"/>
        <v>12</v>
      </c>
      <c r="R3720" s="160">
        <f t="shared" si="615"/>
        <v>4.6999999999534339</v>
      </c>
      <c r="S3720" s="158">
        <f t="shared" si="616"/>
        <v>0.53333333332804922</v>
      </c>
      <c r="T3720" s="161">
        <f t="shared" si="617"/>
        <v>209.59999999792333</v>
      </c>
      <c r="U3720" s="158">
        <f t="shared" si="619"/>
        <v>44.595744680851062</v>
      </c>
      <c r="V3720" s="160">
        <f t="shared" si="618"/>
        <v>45</v>
      </c>
    </row>
    <row r="3721" spans="1:22" x14ac:dyDescent="0.25">
      <c r="A3721" s="98" t="s">
        <v>29</v>
      </c>
      <c r="B3721" s="98" t="s">
        <v>17</v>
      </c>
      <c r="C3721" s="98">
        <v>173</v>
      </c>
      <c r="D3721" s="98">
        <v>360</v>
      </c>
      <c r="E3721" s="157">
        <v>41615.9375</v>
      </c>
      <c r="F3721" s="157">
        <v>41616.411111111112</v>
      </c>
      <c r="G3721" s="98">
        <v>405</v>
      </c>
      <c r="H3721" s="98">
        <v>423</v>
      </c>
      <c r="I3721" s="98">
        <v>393</v>
      </c>
      <c r="J3721" s="98" t="s">
        <v>229</v>
      </c>
      <c r="K3721" s="98" t="s">
        <v>1543</v>
      </c>
      <c r="L3721" s="105" t="str">
        <f t="shared" si="610"/>
        <v>Mill Creek</v>
      </c>
      <c r="M3721" s="105" t="str">
        <f t="shared" si="611"/>
        <v>Derate</v>
      </c>
      <c r="N3721" s="105" t="str">
        <f t="shared" si="612"/>
        <v>Coal</v>
      </c>
      <c r="O3721" s="105">
        <f>IFERROR(VLOOKUP(A3721,Lookup!$J$5:$P$19,7,FALSE),0)</f>
        <v>3</v>
      </c>
      <c r="P3721" s="159">
        <f t="shared" si="613"/>
        <v>2013</v>
      </c>
      <c r="Q3721" s="159">
        <f t="shared" si="614"/>
        <v>12</v>
      </c>
      <c r="R3721" s="160">
        <f t="shared" si="615"/>
        <v>11.366666666697711</v>
      </c>
      <c r="S3721" s="158">
        <f t="shared" si="616"/>
        <v>0.48368794326373238</v>
      </c>
      <c r="T3721" s="161">
        <f t="shared" si="617"/>
        <v>190.08936170264681</v>
      </c>
      <c r="U3721" s="158">
        <f t="shared" si="619"/>
        <v>16.723404255319149</v>
      </c>
      <c r="V3721" s="160">
        <f t="shared" si="618"/>
        <v>17</v>
      </c>
    </row>
    <row r="3722" spans="1:22" x14ac:dyDescent="0.25">
      <c r="A3722" s="98" t="s">
        <v>29</v>
      </c>
      <c r="B3722" s="98" t="s">
        <v>17</v>
      </c>
      <c r="C3722" s="98">
        <v>174</v>
      </c>
      <c r="D3722" s="98">
        <v>360</v>
      </c>
      <c r="E3722" s="157">
        <v>41616.411111111112</v>
      </c>
      <c r="F3722" s="157">
        <v>41616.71597222222</v>
      </c>
      <c r="G3722" s="98">
        <v>324</v>
      </c>
      <c r="H3722" s="98">
        <v>423</v>
      </c>
      <c r="I3722" s="98">
        <v>393</v>
      </c>
      <c r="J3722" s="98" t="s">
        <v>229</v>
      </c>
      <c r="K3722" s="98" t="s">
        <v>1542</v>
      </c>
      <c r="L3722" s="105" t="str">
        <f t="shared" si="610"/>
        <v>Mill Creek</v>
      </c>
      <c r="M3722" s="105" t="str">
        <f t="shared" si="611"/>
        <v>Derate</v>
      </c>
      <c r="N3722" s="105" t="str">
        <f t="shared" si="612"/>
        <v>Coal</v>
      </c>
      <c r="O3722" s="105">
        <f>IFERROR(VLOOKUP(A3722,Lookup!$J$5:$P$19,7,FALSE),0)</f>
        <v>3</v>
      </c>
      <c r="P3722" s="159">
        <f t="shared" si="613"/>
        <v>2013</v>
      </c>
      <c r="Q3722" s="159">
        <f t="shared" si="614"/>
        <v>12</v>
      </c>
      <c r="R3722" s="160">
        <f t="shared" si="615"/>
        <v>7.316666666592937</v>
      </c>
      <c r="S3722" s="158">
        <f t="shared" si="616"/>
        <v>1.7124113475004745</v>
      </c>
      <c r="T3722" s="161">
        <f t="shared" si="617"/>
        <v>672.97765956768649</v>
      </c>
      <c r="U3722" s="158">
        <f t="shared" si="619"/>
        <v>91.978723404255319</v>
      </c>
      <c r="V3722" s="160">
        <f t="shared" si="618"/>
        <v>92</v>
      </c>
    </row>
    <row r="3723" spans="1:22" x14ac:dyDescent="0.25">
      <c r="A3723" s="98" t="s">
        <v>29</v>
      </c>
      <c r="B3723" s="98" t="s">
        <v>79</v>
      </c>
      <c r="C3723" s="98">
        <v>175</v>
      </c>
      <c r="D3723" s="98">
        <v>360</v>
      </c>
      <c r="E3723" s="157">
        <v>41617.333333333336</v>
      </c>
      <c r="F3723" s="157">
        <v>41617.75</v>
      </c>
      <c r="G3723" s="98">
        <v>0</v>
      </c>
      <c r="H3723" s="98">
        <v>423</v>
      </c>
      <c r="I3723" s="98">
        <v>393</v>
      </c>
      <c r="J3723" s="98" t="s">
        <v>229</v>
      </c>
      <c r="K3723" s="98" t="s">
        <v>1544</v>
      </c>
      <c r="L3723" s="105" t="str">
        <f t="shared" si="610"/>
        <v>Mill Creek</v>
      </c>
      <c r="M3723" s="105" t="str">
        <f t="shared" si="611"/>
        <v>Other</v>
      </c>
      <c r="N3723" s="105" t="str">
        <f t="shared" si="612"/>
        <v>Coal</v>
      </c>
      <c r="O3723" s="105">
        <f>IFERROR(VLOOKUP(A3723,Lookup!$J$5:$P$19,7,FALSE),0)</f>
        <v>3</v>
      </c>
      <c r="P3723" s="159">
        <f t="shared" si="613"/>
        <v>2013</v>
      </c>
      <c r="Q3723" s="159">
        <f t="shared" si="614"/>
        <v>12</v>
      </c>
      <c r="R3723" s="160">
        <f t="shared" si="615"/>
        <v>9.9999999999417923</v>
      </c>
      <c r="S3723" s="158">
        <f t="shared" si="616"/>
        <v>9.9999999999417923</v>
      </c>
      <c r="T3723" s="161">
        <f t="shared" si="617"/>
        <v>3929.9999999771244</v>
      </c>
      <c r="U3723" s="158">
        <f t="shared" si="619"/>
        <v>393</v>
      </c>
      <c r="V3723" s="160">
        <f t="shared" si="618"/>
        <v>393</v>
      </c>
    </row>
    <row r="3724" spans="1:22" x14ac:dyDescent="0.25">
      <c r="A3724" s="98" t="s">
        <v>29</v>
      </c>
      <c r="B3724" s="98" t="s">
        <v>105</v>
      </c>
      <c r="C3724" s="98">
        <v>176</v>
      </c>
      <c r="D3724" s="98">
        <v>360</v>
      </c>
      <c r="E3724" s="157">
        <v>41617.9375</v>
      </c>
      <c r="F3724" s="157">
        <v>41618.247916666667</v>
      </c>
      <c r="G3724" s="98">
        <v>330</v>
      </c>
      <c r="H3724" s="98">
        <v>423</v>
      </c>
      <c r="I3724" s="98">
        <v>393</v>
      </c>
      <c r="J3724" s="98" t="s">
        <v>229</v>
      </c>
      <c r="K3724" s="98" t="s">
        <v>1545</v>
      </c>
      <c r="L3724" s="105" t="str">
        <f t="shared" si="610"/>
        <v>Mill Creek</v>
      </c>
      <c r="M3724" s="105" t="str">
        <f t="shared" si="611"/>
        <v>Derate</v>
      </c>
      <c r="N3724" s="105" t="str">
        <f t="shared" si="612"/>
        <v>Coal</v>
      </c>
      <c r="O3724" s="105">
        <f>IFERROR(VLOOKUP(A3724,Lookup!$J$5:$P$19,7,FALSE),0)</f>
        <v>3</v>
      </c>
      <c r="P3724" s="159">
        <f t="shared" si="613"/>
        <v>2013</v>
      </c>
      <c r="Q3724" s="159">
        <f t="shared" si="614"/>
        <v>12</v>
      </c>
      <c r="R3724" s="160">
        <f t="shared" si="615"/>
        <v>7.4500000000116415</v>
      </c>
      <c r="S3724" s="158">
        <f t="shared" si="616"/>
        <v>1.637943262413907</v>
      </c>
      <c r="T3724" s="161">
        <f t="shared" si="617"/>
        <v>643.71170212866548</v>
      </c>
      <c r="U3724" s="158">
        <f t="shared" si="619"/>
        <v>86.40425531914893</v>
      </c>
      <c r="V3724" s="160">
        <f t="shared" si="618"/>
        <v>86</v>
      </c>
    </row>
    <row r="3725" spans="1:22" x14ac:dyDescent="0.25">
      <c r="A3725" s="98" t="s">
        <v>29</v>
      </c>
      <c r="B3725" s="98" t="s">
        <v>17</v>
      </c>
      <c r="C3725" s="98">
        <v>177</v>
      </c>
      <c r="D3725" s="98">
        <v>360</v>
      </c>
      <c r="E3725" s="157">
        <v>41618.302083333336</v>
      </c>
      <c r="F3725" s="157">
        <v>41618.46875</v>
      </c>
      <c r="G3725" s="98">
        <v>340</v>
      </c>
      <c r="H3725" s="98">
        <v>423</v>
      </c>
      <c r="I3725" s="98">
        <v>393</v>
      </c>
      <c r="J3725" s="98" t="s">
        <v>229</v>
      </c>
      <c r="K3725" s="98" t="s">
        <v>1546</v>
      </c>
      <c r="L3725" s="105" t="str">
        <f t="shared" si="610"/>
        <v>Mill Creek</v>
      </c>
      <c r="M3725" s="105" t="str">
        <f t="shared" si="611"/>
        <v>Derate</v>
      </c>
      <c r="N3725" s="105" t="str">
        <f t="shared" si="612"/>
        <v>Coal</v>
      </c>
      <c r="O3725" s="105">
        <f>IFERROR(VLOOKUP(A3725,Lookup!$J$5:$P$19,7,FALSE),0)</f>
        <v>3</v>
      </c>
      <c r="P3725" s="159">
        <f t="shared" si="613"/>
        <v>2013</v>
      </c>
      <c r="Q3725" s="159">
        <f t="shared" si="614"/>
        <v>12</v>
      </c>
      <c r="R3725" s="160">
        <f t="shared" si="615"/>
        <v>3.9999999999417923</v>
      </c>
      <c r="S3725" s="158">
        <f t="shared" si="616"/>
        <v>0.78486997634791666</v>
      </c>
      <c r="T3725" s="161">
        <f t="shared" si="617"/>
        <v>308.45390070473127</v>
      </c>
      <c r="U3725" s="158">
        <f t="shared" si="619"/>
        <v>77.113475177304963</v>
      </c>
      <c r="V3725" s="160">
        <f t="shared" si="618"/>
        <v>77</v>
      </c>
    </row>
    <row r="3726" spans="1:22" x14ac:dyDescent="0.25">
      <c r="A3726" s="98" t="s">
        <v>29</v>
      </c>
      <c r="B3726" s="98" t="s">
        <v>105</v>
      </c>
      <c r="C3726" s="98">
        <v>178</v>
      </c>
      <c r="D3726" s="98">
        <v>310</v>
      </c>
      <c r="E3726" s="157">
        <v>41618.979166666664</v>
      </c>
      <c r="F3726" s="157">
        <v>41619.129861111112</v>
      </c>
      <c r="G3726" s="98">
        <v>320</v>
      </c>
      <c r="H3726" s="98">
        <v>423</v>
      </c>
      <c r="I3726" s="98">
        <v>393</v>
      </c>
      <c r="J3726" s="98" t="s">
        <v>1966</v>
      </c>
      <c r="K3726" s="98" t="s">
        <v>1547</v>
      </c>
      <c r="L3726" s="105" t="str">
        <f t="shared" si="610"/>
        <v>Mill Creek</v>
      </c>
      <c r="M3726" s="105" t="str">
        <f t="shared" si="611"/>
        <v>Derate</v>
      </c>
      <c r="N3726" s="105" t="str">
        <f t="shared" si="612"/>
        <v>Coal</v>
      </c>
      <c r="O3726" s="105">
        <f>IFERROR(VLOOKUP(A3726,Lookup!$J$5:$P$19,7,FALSE),0)</f>
        <v>3</v>
      </c>
      <c r="P3726" s="159">
        <f t="shared" si="613"/>
        <v>2013</v>
      </c>
      <c r="Q3726" s="159">
        <f t="shared" si="614"/>
        <v>12</v>
      </c>
      <c r="R3726" s="160">
        <f t="shared" si="615"/>
        <v>3.6166666667559184</v>
      </c>
      <c r="S3726" s="158">
        <f t="shared" si="616"/>
        <v>0.88065405833536547</v>
      </c>
      <c r="T3726" s="161">
        <f t="shared" si="617"/>
        <v>346.09704492579863</v>
      </c>
      <c r="U3726" s="158">
        <f t="shared" si="619"/>
        <v>95.695035460992912</v>
      </c>
      <c r="V3726" s="160">
        <f t="shared" si="618"/>
        <v>96</v>
      </c>
    </row>
    <row r="3727" spans="1:22" x14ac:dyDescent="0.25">
      <c r="A3727" s="98" t="s">
        <v>29</v>
      </c>
      <c r="B3727" s="98" t="s">
        <v>17</v>
      </c>
      <c r="C3727" s="98">
        <v>179</v>
      </c>
      <c r="D3727" s="98">
        <v>360</v>
      </c>
      <c r="E3727" s="157">
        <v>41619.297222222223</v>
      </c>
      <c r="F3727" s="157">
        <v>41619.382638888892</v>
      </c>
      <c r="G3727" s="98">
        <v>330</v>
      </c>
      <c r="H3727" s="98">
        <v>423</v>
      </c>
      <c r="I3727" s="98">
        <v>393</v>
      </c>
      <c r="J3727" s="98" t="s">
        <v>229</v>
      </c>
      <c r="K3727" s="98" t="s">
        <v>1548</v>
      </c>
      <c r="L3727" s="105" t="str">
        <f t="shared" si="610"/>
        <v>Mill Creek</v>
      </c>
      <c r="M3727" s="105" t="str">
        <f t="shared" si="611"/>
        <v>Derate</v>
      </c>
      <c r="N3727" s="105" t="str">
        <f t="shared" si="612"/>
        <v>Coal</v>
      </c>
      <c r="O3727" s="105">
        <f>IFERROR(VLOOKUP(A3727,Lookup!$J$5:$P$19,7,FALSE),0)</f>
        <v>3</v>
      </c>
      <c r="P3727" s="159">
        <f t="shared" si="613"/>
        <v>2013</v>
      </c>
      <c r="Q3727" s="159">
        <f t="shared" si="614"/>
        <v>12</v>
      </c>
      <c r="R3727" s="160">
        <f t="shared" si="615"/>
        <v>2.0500000000465661</v>
      </c>
      <c r="S3727" s="158">
        <f t="shared" si="616"/>
        <v>0.45070921986839396</v>
      </c>
      <c r="T3727" s="161">
        <f t="shared" si="617"/>
        <v>177.12872340827883</v>
      </c>
      <c r="U3727" s="158">
        <f t="shared" si="619"/>
        <v>86.40425531914893</v>
      </c>
      <c r="V3727" s="160">
        <f t="shared" si="618"/>
        <v>86</v>
      </c>
    </row>
    <row r="3728" spans="1:22" x14ac:dyDescent="0.25">
      <c r="A3728" s="98" t="s">
        <v>29</v>
      </c>
      <c r="B3728" s="98" t="s">
        <v>17</v>
      </c>
      <c r="C3728" s="98">
        <v>180</v>
      </c>
      <c r="D3728" s="98">
        <v>360</v>
      </c>
      <c r="E3728" s="157">
        <v>41619.875694444447</v>
      </c>
      <c r="F3728" s="157">
        <v>41619.993055555555</v>
      </c>
      <c r="G3728" s="98">
        <v>320</v>
      </c>
      <c r="H3728" s="98">
        <v>423</v>
      </c>
      <c r="I3728" s="98">
        <v>393</v>
      </c>
      <c r="J3728" s="98" t="s">
        <v>229</v>
      </c>
      <c r="K3728" s="98" t="s">
        <v>1549</v>
      </c>
      <c r="L3728" s="105" t="str">
        <f t="shared" si="610"/>
        <v>Mill Creek</v>
      </c>
      <c r="M3728" s="105" t="str">
        <f t="shared" si="611"/>
        <v>Derate</v>
      </c>
      <c r="N3728" s="105" t="str">
        <f t="shared" si="612"/>
        <v>Coal</v>
      </c>
      <c r="O3728" s="105">
        <f>IFERROR(VLOOKUP(A3728,Lookup!$J$5:$P$19,7,FALSE),0)</f>
        <v>3</v>
      </c>
      <c r="P3728" s="159">
        <f t="shared" si="613"/>
        <v>2013</v>
      </c>
      <c r="Q3728" s="159">
        <f t="shared" si="614"/>
        <v>12</v>
      </c>
      <c r="R3728" s="160">
        <f t="shared" si="615"/>
        <v>2.816666666592937</v>
      </c>
      <c r="S3728" s="158">
        <f t="shared" si="616"/>
        <v>0.68585500392215726</v>
      </c>
      <c r="T3728" s="161">
        <f t="shared" si="617"/>
        <v>269.54101654140783</v>
      </c>
      <c r="U3728" s="158">
        <f t="shared" si="619"/>
        <v>95.695035460992912</v>
      </c>
      <c r="V3728" s="160">
        <f t="shared" si="618"/>
        <v>96</v>
      </c>
    </row>
    <row r="3729" spans="1:22" x14ac:dyDescent="0.25">
      <c r="A3729" s="98" t="s">
        <v>29</v>
      </c>
      <c r="B3729" s="98" t="s">
        <v>17</v>
      </c>
      <c r="C3729" s="98">
        <v>181</v>
      </c>
      <c r="D3729" s="98">
        <v>360</v>
      </c>
      <c r="E3729" s="157">
        <v>41619.993055555555</v>
      </c>
      <c r="F3729" s="157">
        <v>41620.157638888886</v>
      </c>
      <c r="G3729" s="98">
        <v>320</v>
      </c>
      <c r="H3729" s="98">
        <v>423</v>
      </c>
      <c r="I3729" s="98">
        <v>393</v>
      </c>
      <c r="J3729" s="98" t="s">
        <v>229</v>
      </c>
      <c r="K3729" s="98" t="s">
        <v>1550</v>
      </c>
      <c r="L3729" s="105" t="str">
        <f t="shared" si="610"/>
        <v>Mill Creek</v>
      </c>
      <c r="M3729" s="105" t="str">
        <f t="shared" si="611"/>
        <v>Derate</v>
      </c>
      <c r="N3729" s="105" t="str">
        <f t="shared" si="612"/>
        <v>Coal</v>
      </c>
      <c r="O3729" s="105">
        <f>IFERROR(VLOOKUP(A3729,Lookup!$J$5:$P$19,7,FALSE),0)</f>
        <v>3</v>
      </c>
      <c r="P3729" s="159">
        <f t="shared" si="613"/>
        <v>2013</v>
      </c>
      <c r="Q3729" s="159">
        <f t="shared" si="614"/>
        <v>12</v>
      </c>
      <c r="R3729" s="160">
        <f t="shared" si="615"/>
        <v>3.9499999999534339</v>
      </c>
      <c r="S3729" s="158">
        <f t="shared" si="616"/>
        <v>0.96182033095792829</v>
      </c>
      <c r="T3729" s="161">
        <f t="shared" si="617"/>
        <v>377.9953900664658</v>
      </c>
      <c r="U3729" s="158">
        <f t="shared" si="619"/>
        <v>95.695035460992912</v>
      </c>
      <c r="V3729" s="160">
        <f t="shared" si="618"/>
        <v>96</v>
      </c>
    </row>
    <row r="3730" spans="1:22" x14ac:dyDescent="0.25">
      <c r="A3730" s="98" t="s">
        <v>29</v>
      </c>
      <c r="B3730" s="98" t="s">
        <v>17</v>
      </c>
      <c r="C3730" s="98">
        <v>182</v>
      </c>
      <c r="D3730" s="98">
        <v>310</v>
      </c>
      <c r="E3730" s="157">
        <v>41620.17291666667</v>
      </c>
      <c r="F3730" s="157">
        <v>41620.195138888892</v>
      </c>
      <c r="G3730" s="98">
        <v>320</v>
      </c>
      <c r="H3730" s="98">
        <v>423</v>
      </c>
      <c r="I3730" s="98">
        <v>393</v>
      </c>
      <c r="J3730" s="98" t="s">
        <v>1966</v>
      </c>
      <c r="K3730" s="98" t="s">
        <v>1551</v>
      </c>
      <c r="L3730" s="105" t="str">
        <f t="shared" si="610"/>
        <v>Mill Creek</v>
      </c>
      <c r="M3730" s="105" t="str">
        <f t="shared" si="611"/>
        <v>Derate</v>
      </c>
      <c r="N3730" s="105" t="str">
        <f t="shared" si="612"/>
        <v>Coal</v>
      </c>
      <c r="O3730" s="105">
        <f>IFERROR(VLOOKUP(A3730,Lookup!$J$5:$P$19,7,FALSE),0)</f>
        <v>3</v>
      </c>
      <c r="P3730" s="159">
        <f t="shared" si="613"/>
        <v>2013</v>
      </c>
      <c r="Q3730" s="159">
        <f t="shared" si="614"/>
        <v>12</v>
      </c>
      <c r="R3730" s="160">
        <f t="shared" si="615"/>
        <v>0.53333333332557231</v>
      </c>
      <c r="S3730" s="158">
        <f t="shared" si="616"/>
        <v>0.12986603624712517</v>
      </c>
      <c r="T3730" s="161">
        <f t="shared" si="617"/>
        <v>51.037352245120189</v>
      </c>
      <c r="U3730" s="158">
        <f t="shared" si="619"/>
        <v>95.695035460992912</v>
      </c>
      <c r="V3730" s="160">
        <f t="shared" si="618"/>
        <v>96</v>
      </c>
    </row>
    <row r="3731" spans="1:22" x14ac:dyDescent="0.25">
      <c r="A3731" s="98" t="s">
        <v>29</v>
      </c>
      <c r="B3731" s="98" t="s">
        <v>17</v>
      </c>
      <c r="C3731" s="98">
        <v>183</v>
      </c>
      <c r="D3731" s="98">
        <v>1850</v>
      </c>
      <c r="E3731" s="157">
        <v>41620.327777777777</v>
      </c>
      <c r="F3731" s="157">
        <v>41620.335416666669</v>
      </c>
      <c r="G3731" s="98">
        <v>410</v>
      </c>
      <c r="H3731" s="98">
        <v>423</v>
      </c>
      <c r="I3731" s="98">
        <v>393</v>
      </c>
      <c r="J3731" s="98" t="s">
        <v>2263</v>
      </c>
      <c r="K3731" s="98" t="s">
        <v>41</v>
      </c>
      <c r="L3731" s="105" t="str">
        <f t="shared" si="610"/>
        <v>Mill Creek</v>
      </c>
      <c r="M3731" s="105" t="str">
        <f t="shared" si="611"/>
        <v>Derate</v>
      </c>
      <c r="N3731" s="105" t="str">
        <f t="shared" si="612"/>
        <v>Coal</v>
      </c>
      <c r="O3731" s="105">
        <f>IFERROR(VLOOKUP(A3731,Lookup!$J$5:$P$19,7,FALSE),0)</f>
        <v>3</v>
      </c>
      <c r="P3731" s="159">
        <f t="shared" si="613"/>
        <v>2013</v>
      </c>
      <c r="Q3731" s="159">
        <f t="shared" si="614"/>
        <v>12</v>
      </c>
      <c r="R3731" s="160">
        <f t="shared" si="615"/>
        <v>0.18333333340706304</v>
      </c>
      <c r="S3731" s="158">
        <f t="shared" si="616"/>
        <v>5.6343577642832612E-3</v>
      </c>
      <c r="T3731" s="161">
        <f t="shared" si="617"/>
        <v>2.2143026013633218</v>
      </c>
      <c r="U3731" s="158">
        <f t="shared" si="619"/>
        <v>12.078014184397164</v>
      </c>
      <c r="V3731" s="160">
        <f t="shared" si="618"/>
        <v>12</v>
      </c>
    </row>
    <row r="3732" spans="1:22" x14ac:dyDescent="0.25">
      <c r="A3732" s="98" t="s">
        <v>29</v>
      </c>
      <c r="B3732" s="98" t="s">
        <v>17</v>
      </c>
      <c r="C3732" s="98">
        <v>184</v>
      </c>
      <c r="D3732" s="98">
        <v>360</v>
      </c>
      <c r="E3732" s="157">
        <v>41620.335416666669</v>
      </c>
      <c r="F3732" s="157">
        <v>41620.423611111109</v>
      </c>
      <c r="G3732" s="98">
        <v>330</v>
      </c>
      <c r="H3732" s="98">
        <v>423</v>
      </c>
      <c r="I3732" s="98">
        <v>393</v>
      </c>
      <c r="J3732" s="98" t="s">
        <v>229</v>
      </c>
      <c r="K3732" s="98" t="s">
        <v>1552</v>
      </c>
      <c r="L3732" s="105" t="str">
        <f t="shared" si="610"/>
        <v>Mill Creek</v>
      </c>
      <c r="M3732" s="105" t="str">
        <f t="shared" si="611"/>
        <v>Derate</v>
      </c>
      <c r="N3732" s="105" t="str">
        <f t="shared" si="612"/>
        <v>Coal</v>
      </c>
      <c r="O3732" s="105">
        <f>IFERROR(VLOOKUP(A3732,Lookup!$J$5:$P$19,7,FALSE),0)</f>
        <v>3</v>
      </c>
      <c r="P3732" s="159">
        <f t="shared" si="613"/>
        <v>2013</v>
      </c>
      <c r="Q3732" s="159">
        <f t="shared" si="614"/>
        <v>12</v>
      </c>
      <c r="R3732" s="160">
        <f t="shared" si="615"/>
        <v>2.1166666665812954</v>
      </c>
      <c r="S3732" s="158">
        <f t="shared" si="616"/>
        <v>0.46536643024127772</v>
      </c>
      <c r="T3732" s="161">
        <f t="shared" si="617"/>
        <v>182.88900708482214</v>
      </c>
      <c r="U3732" s="158">
        <f t="shared" si="619"/>
        <v>86.40425531914893</v>
      </c>
      <c r="V3732" s="160">
        <f t="shared" si="618"/>
        <v>86</v>
      </c>
    </row>
    <row r="3733" spans="1:22" x14ac:dyDescent="0.25">
      <c r="A3733" s="98" t="s">
        <v>29</v>
      </c>
      <c r="B3733" s="98" t="s">
        <v>17</v>
      </c>
      <c r="C3733" s="98">
        <v>185</v>
      </c>
      <c r="D3733" s="98">
        <v>1850</v>
      </c>
      <c r="E3733" s="157">
        <v>41620.423611111109</v>
      </c>
      <c r="F3733" s="157">
        <v>41620.506944444445</v>
      </c>
      <c r="G3733" s="98">
        <v>400</v>
      </c>
      <c r="H3733" s="98">
        <v>423</v>
      </c>
      <c r="I3733" s="98">
        <v>393</v>
      </c>
      <c r="J3733" s="98" t="s">
        <v>2263</v>
      </c>
      <c r="K3733" s="98" t="s">
        <v>41</v>
      </c>
      <c r="L3733" s="105" t="str">
        <f t="shared" si="610"/>
        <v>Mill Creek</v>
      </c>
      <c r="M3733" s="105" t="str">
        <f t="shared" si="611"/>
        <v>Derate</v>
      </c>
      <c r="N3733" s="105" t="str">
        <f t="shared" si="612"/>
        <v>Coal</v>
      </c>
      <c r="O3733" s="105">
        <f>IFERROR(VLOOKUP(A3733,Lookup!$J$5:$P$19,7,FALSE),0)</f>
        <v>3</v>
      </c>
      <c r="P3733" s="159">
        <f t="shared" si="613"/>
        <v>2013</v>
      </c>
      <c r="Q3733" s="159">
        <f t="shared" si="614"/>
        <v>12</v>
      </c>
      <c r="R3733" s="160">
        <f t="shared" si="615"/>
        <v>2.0000000000582077</v>
      </c>
      <c r="S3733" s="158">
        <f t="shared" si="616"/>
        <v>0.10874704492042264</v>
      </c>
      <c r="T3733" s="161">
        <f t="shared" si="617"/>
        <v>42.7375886537261</v>
      </c>
      <c r="U3733" s="158">
        <f t="shared" si="619"/>
        <v>21.368794326241133</v>
      </c>
      <c r="V3733" s="160">
        <f t="shared" si="618"/>
        <v>21</v>
      </c>
    </row>
    <row r="3734" spans="1:22" x14ac:dyDescent="0.25">
      <c r="A3734" s="98" t="s">
        <v>29</v>
      </c>
      <c r="B3734" s="98" t="s">
        <v>17</v>
      </c>
      <c r="C3734" s="98">
        <v>186</v>
      </c>
      <c r="D3734" s="98">
        <v>1850</v>
      </c>
      <c r="E3734" s="157">
        <v>41620.506944444445</v>
      </c>
      <c r="F3734" s="157">
        <v>41620.567361111112</v>
      </c>
      <c r="G3734" s="98">
        <v>355</v>
      </c>
      <c r="H3734" s="98">
        <v>423</v>
      </c>
      <c r="I3734" s="98">
        <v>393</v>
      </c>
      <c r="J3734" s="98" t="s">
        <v>2263</v>
      </c>
      <c r="K3734" s="98" t="s">
        <v>1553</v>
      </c>
      <c r="L3734" s="105" t="str">
        <f t="shared" si="610"/>
        <v>Mill Creek</v>
      </c>
      <c r="M3734" s="105" t="str">
        <f t="shared" si="611"/>
        <v>Derate</v>
      </c>
      <c r="N3734" s="105" t="str">
        <f t="shared" si="612"/>
        <v>Coal</v>
      </c>
      <c r="O3734" s="105">
        <f>IFERROR(VLOOKUP(A3734,Lookup!$J$5:$P$19,7,FALSE),0)</f>
        <v>3</v>
      </c>
      <c r="P3734" s="159">
        <f t="shared" si="613"/>
        <v>2013</v>
      </c>
      <c r="Q3734" s="159">
        <f t="shared" si="614"/>
        <v>12</v>
      </c>
      <c r="R3734" s="160">
        <f t="shared" si="615"/>
        <v>1.4500000000116415</v>
      </c>
      <c r="S3734" s="158">
        <f t="shared" si="616"/>
        <v>0.23309692671581944</v>
      </c>
      <c r="T3734" s="161">
        <f t="shared" si="617"/>
        <v>91.607092199317037</v>
      </c>
      <c r="U3734" s="158">
        <f t="shared" si="619"/>
        <v>63.177304964539005</v>
      </c>
      <c r="V3734" s="160">
        <f t="shared" si="618"/>
        <v>63</v>
      </c>
    </row>
    <row r="3735" spans="1:22" x14ac:dyDescent="0.25">
      <c r="A3735" s="98" t="s">
        <v>29</v>
      </c>
      <c r="B3735" s="98" t="s">
        <v>17</v>
      </c>
      <c r="C3735" s="98">
        <v>187</v>
      </c>
      <c r="D3735" s="98">
        <v>1850</v>
      </c>
      <c r="E3735" s="157">
        <v>41620.567361111112</v>
      </c>
      <c r="F3735" s="157">
        <v>41620.831250000003</v>
      </c>
      <c r="G3735" s="98">
        <v>330</v>
      </c>
      <c r="H3735" s="98">
        <v>423</v>
      </c>
      <c r="I3735" s="98">
        <v>393</v>
      </c>
      <c r="J3735" s="98" t="s">
        <v>2263</v>
      </c>
      <c r="K3735" s="98" t="s">
        <v>1553</v>
      </c>
      <c r="L3735" s="105" t="str">
        <f t="shared" si="610"/>
        <v>Mill Creek</v>
      </c>
      <c r="M3735" s="105" t="str">
        <f t="shared" si="611"/>
        <v>Derate</v>
      </c>
      <c r="N3735" s="105" t="str">
        <f t="shared" si="612"/>
        <v>Coal</v>
      </c>
      <c r="O3735" s="105">
        <f>IFERROR(VLOOKUP(A3735,Lookup!$J$5:$P$19,7,FALSE),0)</f>
        <v>3</v>
      </c>
      <c r="P3735" s="159">
        <f t="shared" si="613"/>
        <v>2013</v>
      </c>
      <c r="Q3735" s="159">
        <f t="shared" si="614"/>
        <v>12</v>
      </c>
      <c r="R3735" s="160">
        <f t="shared" si="615"/>
        <v>6.3333333333721384</v>
      </c>
      <c r="S3735" s="158">
        <f t="shared" si="616"/>
        <v>1.3924349881882006</v>
      </c>
      <c r="T3735" s="161">
        <f t="shared" si="617"/>
        <v>547.22695035796278</v>
      </c>
      <c r="U3735" s="158">
        <f t="shared" si="619"/>
        <v>86.40425531914893</v>
      </c>
      <c r="V3735" s="160">
        <f t="shared" si="618"/>
        <v>86</v>
      </c>
    </row>
    <row r="3736" spans="1:22" x14ac:dyDescent="0.25">
      <c r="A3736" s="98" t="s">
        <v>29</v>
      </c>
      <c r="B3736" s="98" t="s">
        <v>17</v>
      </c>
      <c r="C3736" s="98">
        <v>188</v>
      </c>
      <c r="D3736" s="98">
        <v>1850</v>
      </c>
      <c r="E3736" s="157">
        <v>41620.831250000003</v>
      </c>
      <c r="F3736" s="157">
        <v>41620.859027777777</v>
      </c>
      <c r="G3736" s="98">
        <v>385</v>
      </c>
      <c r="H3736" s="98">
        <v>423</v>
      </c>
      <c r="I3736" s="98">
        <v>393</v>
      </c>
      <c r="J3736" s="98" t="s">
        <v>2263</v>
      </c>
      <c r="K3736" s="98" t="s">
        <v>1553</v>
      </c>
      <c r="L3736" s="105" t="str">
        <f t="shared" si="610"/>
        <v>Mill Creek</v>
      </c>
      <c r="M3736" s="105" t="str">
        <f t="shared" si="611"/>
        <v>Derate</v>
      </c>
      <c r="N3736" s="105" t="str">
        <f t="shared" si="612"/>
        <v>Coal</v>
      </c>
      <c r="O3736" s="105">
        <f>IFERROR(VLOOKUP(A3736,Lookup!$J$5:$P$19,7,FALSE),0)</f>
        <v>3</v>
      </c>
      <c r="P3736" s="159">
        <f t="shared" si="613"/>
        <v>2013</v>
      </c>
      <c r="Q3736" s="159">
        <f t="shared" si="614"/>
        <v>12</v>
      </c>
      <c r="R3736" s="160">
        <f t="shared" si="615"/>
        <v>0.6666666665696539</v>
      </c>
      <c r="S3736" s="158">
        <f t="shared" si="616"/>
        <v>5.9889676902238412E-2</v>
      </c>
      <c r="T3736" s="161">
        <f t="shared" si="617"/>
        <v>23.536643022579696</v>
      </c>
      <c r="U3736" s="158">
        <f t="shared" si="619"/>
        <v>35.304964539007095</v>
      </c>
      <c r="V3736" s="160">
        <f t="shared" si="618"/>
        <v>35</v>
      </c>
    </row>
    <row r="3737" spans="1:22" x14ac:dyDescent="0.25">
      <c r="A3737" s="98" t="s">
        <v>29</v>
      </c>
      <c r="B3737" s="98" t="s">
        <v>105</v>
      </c>
      <c r="C3737" s="98">
        <v>189</v>
      </c>
      <c r="D3737" s="98">
        <v>310</v>
      </c>
      <c r="E3737" s="157">
        <v>41620.916666666664</v>
      </c>
      <c r="F3737" s="157">
        <v>41621.196527777778</v>
      </c>
      <c r="G3737" s="98">
        <v>330</v>
      </c>
      <c r="H3737" s="98">
        <v>423</v>
      </c>
      <c r="I3737" s="98">
        <v>393</v>
      </c>
      <c r="J3737" s="98" t="s">
        <v>1966</v>
      </c>
      <c r="K3737" s="98" t="s">
        <v>1554</v>
      </c>
      <c r="L3737" s="105" t="str">
        <f t="shared" si="610"/>
        <v>Mill Creek</v>
      </c>
      <c r="M3737" s="105" t="str">
        <f t="shared" si="611"/>
        <v>Derate</v>
      </c>
      <c r="N3737" s="105" t="str">
        <f t="shared" si="612"/>
        <v>Coal</v>
      </c>
      <c r="O3737" s="105">
        <f>IFERROR(VLOOKUP(A3737,Lookup!$J$5:$P$19,7,FALSE),0)</f>
        <v>3</v>
      </c>
      <c r="P3737" s="159">
        <f t="shared" si="613"/>
        <v>2013</v>
      </c>
      <c r="Q3737" s="159">
        <f t="shared" si="614"/>
        <v>12</v>
      </c>
      <c r="R3737" s="160">
        <f t="shared" si="615"/>
        <v>6.7166666667326353</v>
      </c>
      <c r="S3737" s="158">
        <f t="shared" si="616"/>
        <v>1.4767139480050475</v>
      </c>
      <c r="T3737" s="161">
        <f t="shared" si="617"/>
        <v>580.34858156598364</v>
      </c>
      <c r="U3737" s="158">
        <f t="shared" si="619"/>
        <v>86.40425531914893</v>
      </c>
      <c r="V3737" s="160">
        <f t="shared" si="618"/>
        <v>86</v>
      </c>
    </row>
    <row r="3738" spans="1:22" x14ac:dyDescent="0.25">
      <c r="A3738" s="98" t="s">
        <v>29</v>
      </c>
      <c r="B3738" s="98" t="s">
        <v>17</v>
      </c>
      <c r="C3738" s="98">
        <v>190</v>
      </c>
      <c r="D3738" s="98">
        <v>360</v>
      </c>
      <c r="E3738" s="157">
        <v>41621.48333333333</v>
      </c>
      <c r="F3738" s="157">
        <v>41621.519444444442</v>
      </c>
      <c r="G3738" s="98">
        <v>330</v>
      </c>
      <c r="H3738" s="98">
        <v>423</v>
      </c>
      <c r="I3738" s="98">
        <v>393</v>
      </c>
      <c r="J3738" s="98" t="s">
        <v>229</v>
      </c>
      <c r="K3738" s="98" t="s">
        <v>1555</v>
      </c>
      <c r="L3738" s="105" t="str">
        <f t="shared" si="610"/>
        <v>Mill Creek</v>
      </c>
      <c r="M3738" s="105" t="str">
        <f t="shared" si="611"/>
        <v>Derate</v>
      </c>
      <c r="N3738" s="105" t="str">
        <f t="shared" si="612"/>
        <v>Coal</v>
      </c>
      <c r="O3738" s="105">
        <f>IFERROR(VLOOKUP(A3738,Lookup!$J$5:$P$19,7,FALSE),0)</f>
        <v>3</v>
      </c>
      <c r="P3738" s="159">
        <f t="shared" si="613"/>
        <v>2013</v>
      </c>
      <c r="Q3738" s="159">
        <f t="shared" si="614"/>
        <v>12</v>
      </c>
      <c r="R3738" s="160">
        <f t="shared" si="615"/>
        <v>0.86666666669771075</v>
      </c>
      <c r="S3738" s="158">
        <f t="shared" si="616"/>
        <v>0.19054373523141158</v>
      </c>
      <c r="T3738" s="161">
        <f t="shared" si="617"/>
        <v>74.883687945944743</v>
      </c>
      <c r="U3738" s="158">
        <f t="shared" si="619"/>
        <v>86.40425531914893</v>
      </c>
      <c r="V3738" s="160">
        <f t="shared" si="618"/>
        <v>86</v>
      </c>
    </row>
    <row r="3739" spans="1:22" x14ac:dyDescent="0.25">
      <c r="A3739" s="98" t="s">
        <v>29</v>
      </c>
      <c r="B3739" s="98" t="s">
        <v>17</v>
      </c>
      <c r="C3739" s="98">
        <v>191</v>
      </c>
      <c r="D3739" s="98">
        <v>360</v>
      </c>
      <c r="E3739" s="157">
        <v>41621.59097222222</v>
      </c>
      <c r="F3739" s="157">
        <v>41621.625</v>
      </c>
      <c r="G3739" s="98">
        <v>350</v>
      </c>
      <c r="H3739" s="98">
        <v>423</v>
      </c>
      <c r="I3739" s="98">
        <v>393</v>
      </c>
      <c r="J3739" s="98" t="s">
        <v>229</v>
      </c>
      <c r="K3739" s="98" t="s">
        <v>1556</v>
      </c>
      <c r="L3739" s="105" t="str">
        <f t="shared" si="610"/>
        <v>Mill Creek</v>
      </c>
      <c r="M3739" s="105" t="str">
        <f t="shared" si="611"/>
        <v>Derate</v>
      </c>
      <c r="N3739" s="105" t="str">
        <f t="shared" si="612"/>
        <v>Coal</v>
      </c>
      <c r="O3739" s="105">
        <f>IFERROR(VLOOKUP(A3739,Lookup!$J$5:$P$19,7,FALSE),0)</f>
        <v>3</v>
      </c>
      <c r="P3739" s="159">
        <f t="shared" si="613"/>
        <v>2013</v>
      </c>
      <c r="Q3739" s="159">
        <f t="shared" si="614"/>
        <v>12</v>
      </c>
      <c r="R3739" s="160">
        <f t="shared" si="615"/>
        <v>0.81666666670935228</v>
      </c>
      <c r="S3739" s="158">
        <f t="shared" si="616"/>
        <v>0.14093774626426175</v>
      </c>
      <c r="T3739" s="161">
        <f t="shared" si="617"/>
        <v>55.388534281854866</v>
      </c>
      <c r="U3739" s="158">
        <f t="shared" si="619"/>
        <v>67.822695035460995</v>
      </c>
      <c r="V3739" s="160">
        <f t="shared" si="618"/>
        <v>68</v>
      </c>
    </row>
    <row r="3740" spans="1:22" x14ac:dyDescent="0.25">
      <c r="A3740" s="98" t="s">
        <v>29</v>
      </c>
      <c r="B3740" s="98" t="s">
        <v>17</v>
      </c>
      <c r="C3740" s="98">
        <v>192</v>
      </c>
      <c r="D3740" s="98">
        <v>310</v>
      </c>
      <c r="E3740" s="157">
        <v>41621.625</v>
      </c>
      <c r="F3740" s="157">
        <v>41621.75</v>
      </c>
      <c r="G3740" s="98">
        <v>240</v>
      </c>
      <c r="H3740" s="98">
        <v>423</v>
      </c>
      <c r="I3740" s="98">
        <v>393</v>
      </c>
      <c r="J3740" s="98" t="s">
        <v>1966</v>
      </c>
      <c r="K3740" s="98" t="s">
        <v>1557</v>
      </c>
      <c r="L3740" s="105" t="str">
        <f t="shared" si="610"/>
        <v>Mill Creek</v>
      </c>
      <c r="M3740" s="105" t="str">
        <f t="shared" si="611"/>
        <v>Derate</v>
      </c>
      <c r="N3740" s="105" t="str">
        <f t="shared" si="612"/>
        <v>Coal</v>
      </c>
      <c r="O3740" s="105">
        <f>IFERROR(VLOOKUP(A3740,Lookup!$J$5:$P$19,7,FALSE),0)</f>
        <v>3</v>
      </c>
      <c r="P3740" s="159">
        <f t="shared" si="613"/>
        <v>2013</v>
      </c>
      <c r="Q3740" s="159">
        <f t="shared" si="614"/>
        <v>12</v>
      </c>
      <c r="R3740" s="160">
        <f t="shared" si="615"/>
        <v>3</v>
      </c>
      <c r="S3740" s="158">
        <f t="shared" si="616"/>
        <v>1.2978723404255319</v>
      </c>
      <c r="T3740" s="161">
        <f t="shared" si="617"/>
        <v>510.06382978723406</v>
      </c>
      <c r="U3740" s="158">
        <f t="shared" si="619"/>
        <v>170.02127659574469</v>
      </c>
      <c r="V3740" s="160">
        <f t="shared" si="618"/>
        <v>170</v>
      </c>
    </row>
    <row r="3741" spans="1:22" x14ac:dyDescent="0.25">
      <c r="A3741" s="98" t="s">
        <v>29</v>
      </c>
      <c r="B3741" s="98" t="s">
        <v>17</v>
      </c>
      <c r="C3741" s="98">
        <v>193</v>
      </c>
      <c r="D3741" s="98">
        <v>360</v>
      </c>
      <c r="E3741" s="157">
        <v>41621.75</v>
      </c>
      <c r="F3741" s="157">
        <v>41621.820833333331</v>
      </c>
      <c r="G3741" s="98">
        <v>304</v>
      </c>
      <c r="H3741" s="98">
        <v>423</v>
      </c>
      <c r="I3741" s="98">
        <v>393</v>
      </c>
      <c r="J3741" s="98" t="s">
        <v>229</v>
      </c>
      <c r="K3741" s="98" t="s">
        <v>1556</v>
      </c>
      <c r="L3741" s="105" t="str">
        <f t="shared" si="610"/>
        <v>Mill Creek</v>
      </c>
      <c r="M3741" s="105" t="str">
        <f t="shared" si="611"/>
        <v>Derate</v>
      </c>
      <c r="N3741" s="105" t="str">
        <f t="shared" si="612"/>
        <v>Coal</v>
      </c>
      <c r="O3741" s="105">
        <f>IFERROR(VLOOKUP(A3741,Lookup!$J$5:$P$19,7,FALSE),0)</f>
        <v>3</v>
      </c>
      <c r="P3741" s="159">
        <f t="shared" si="613"/>
        <v>2013</v>
      </c>
      <c r="Q3741" s="159">
        <f t="shared" si="614"/>
        <v>12</v>
      </c>
      <c r="R3741" s="160">
        <f t="shared" si="615"/>
        <v>1.6999999999534339</v>
      </c>
      <c r="S3741" s="158">
        <f t="shared" si="616"/>
        <v>0.4782505910034483</v>
      </c>
      <c r="T3741" s="161">
        <f t="shared" si="617"/>
        <v>187.95248226435518</v>
      </c>
      <c r="U3741" s="158">
        <f t="shared" si="619"/>
        <v>110.56028368794327</v>
      </c>
      <c r="V3741" s="160">
        <f t="shared" si="618"/>
        <v>111</v>
      </c>
    </row>
    <row r="3742" spans="1:22" x14ac:dyDescent="0.25">
      <c r="A3742" s="98" t="s">
        <v>29</v>
      </c>
      <c r="B3742" s="98" t="s">
        <v>17</v>
      </c>
      <c r="C3742" s="98">
        <v>194</v>
      </c>
      <c r="D3742" s="98">
        <v>360</v>
      </c>
      <c r="E3742" s="157">
        <v>41623.17083333333</v>
      </c>
      <c r="F3742" s="157">
        <v>41623.202777777777</v>
      </c>
      <c r="G3742" s="98">
        <v>340</v>
      </c>
      <c r="H3742" s="98">
        <v>423</v>
      </c>
      <c r="I3742" s="98">
        <v>393</v>
      </c>
      <c r="J3742" s="98" t="s">
        <v>229</v>
      </c>
      <c r="K3742" s="98" t="s">
        <v>1556</v>
      </c>
      <c r="L3742" s="105" t="str">
        <f t="shared" si="610"/>
        <v>Mill Creek</v>
      </c>
      <c r="M3742" s="105" t="str">
        <f t="shared" si="611"/>
        <v>Derate</v>
      </c>
      <c r="N3742" s="105" t="str">
        <f t="shared" si="612"/>
        <v>Coal</v>
      </c>
      <c r="O3742" s="105">
        <f>IFERROR(VLOOKUP(A3742,Lookup!$J$5:$P$19,7,FALSE),0)</f>
        <v>3</v>
      </c>
      <c r="P3742" s="159">
        <f t="shared" si="613"/>
        <v>2013</v>
      </c>
      <c r="Q3742" s="159">
        <f t="shared" si="614"/>
        <v>12</v>
      </c>
      <c r="R3742" s="160">
        <f t="shared" si="615"/>
        <v>0.76666666672099382</v>
      </c>
      <c r="S3742" s="158">
        <f t="shared" si="616"/>
        <v>0.15043341214619974</v>
      </c>
      <c r="T3742" s="161">
        <f t="shared" si="617"/>
        <v>59.120330973456497</v>
      </c>
      <c r="U3742" s="158">
        <f t="shared" si="619"/>
        <v>77.113475177304963</v>
      </c>
      <c r="V3742" s="160">
        <f t="shared" si="618"/>
        <v>77</v>
      </c>
    </row>
    <row r="3743" spans="1:22" x14ac:dyDescent="0.25">
      <c r="A3743" s="98" t="s">
        <v>29</v>
      </c>
      <c r="B3743" s="98" t="s">
        <v>17</v>
      </c>
      <c r="C3743" s="98">
        <v>195</v>
      </c>
      <c r="D3743" s="98">
        <v>1850</v>
      </c>
      <c r="E3743" s="157">
        <v>41623.364583333336</v>
      </c>
      <c r="F3743" s="157">
        <v>41623.5</v>
      </c>
      <c r="G3743" s="98">
        <v>400</v>
      </c>
      <c r="H3743" s="98">
        <v>423</v>
      </c>
      <c r="I3743" s="98">
        <v>393</v>
      </c>
      <c r="J3743" s="98" t="s">
        <v>2263</v>
      </c>
      <c r="K3743" s="98" t="s">
        <v>41</v>
      </c>
      <c r="L3743" s="105" t="str">
        <f t="shared" si="610"/>
        <v>Mill Creek</v>
      </c>
      <c r="M3743" s="105" t="str">
        <f t="shared" si="611"/>
        <v>Derate</v>
      </c>
      <c r="N3743" s="105" t="str">
        <f t="shared" si="612"/>
        <v>Coal</v>
      </c>
      <c r="O3743" s="105">
        <f>IFERROR(VLOOKUP(A3743,Lookup!$J$5:$P$19,7,FALSE),0)</f>
        <v>3</v>
      </c>
      <c r="P3743" s="159">
        <f t="shared" si="613"/>
        <v>2013</v>
      </c>
      <c r="Q3743" s="159">
        <f t="shared" si="614"/>
        <v>12</v>
      </c>
      <c r="R3743" s="160">
        <f t="shared" si="615"/>
        <v>3.2499999999417923</v>
      </c>
      <c r="S3743" s="158">
        <f t="shared" si="616"/>
        <v>0.17671394798737877</v>
      </c>
      <c r="T3743" s="161">
        <f t="shared" si="617"/>
        <v>69.448581559039852</v>
      </c>
      <c r="U3743" s="158">
        <f t="shared" si="619"/>
        <v>21.368794326241133</v>
      </c>
      <c r="V3743" s="160">
        <f t="shared" si="618"/>
        <v>21</v>
      </c>
    </row>
    <row r="3744" spans="1:22" x14ac:dyDescent="0.25">
      <c r="A3744" s="98" t="s">
        <v>29</v>
      </c>
      <c r="B3744" s="98" t="s">
        <v>17</v>
      </c>
      <c r="C3744" s="98">
        <v>196</v>
      </c>
      <c r="D3744" s="98">
        <v>360</v>
      </c>
      <c r="E3744" s="157">
        <v>41623.5</v>
      </c>
      <c r="F3744" s="157">
        <v>41623.680555555555</v>
      </c>
      <c r="G3744" s="98">
        <v>350</v>
      </c>
      <c r="H3744" s="98">
        <v>423</v>
      </c>
      <c r="I3744" s="98">
        <v>393</v>
      </c>
      <c r="J3744" s="98" t="s">
        <v>229</v>
      </c>
      <c r="K3744" s="98" t="s">
        <v>1558</v>
      </c>
      <c r="L3744" s="105" t="str">
        <f t="shared" si="610"/>
        <v>Mill Creek</v>
      </c>
      <c r="M3744" s="105" t="str">
        <f t="shared" si="611"/>
        <v>Derate</v>
      </c>
      <c r="N3744" s="105" t="str">
        <f t="shared" si="612"/>
        <v>Coal</v>
      </c>
      <c r="O3744" s="105">
        <f>IFERROR(VLOOKUP(A3744,Lookup!$J$5:$P$19,7,FALSE),0)</f>
        <v>3</v>
      </c>
      <c r="P3744" s="159">
        <f t="shared" si="613"/>
        <v>2013</v>
      </c>
      <c r="Q3744" s="159">
        <f t="shared" si="614"/>
        <v>12</v>
      </c>
      <c r="R3744" s="160">
        <f t="shared" si="615"/>
        <v>4.3333333333139308</v>
      </c>
      <c r="S3744" s="158">
        <f t="shared" si="616"/>
        <v>0.74783293931895256</v>
      </c>
      <c r="T3744" s="161">
        <f t="shared" si="617"/>
        <v>293.89834515234838</v>
      </c>
      <c r="U3744" s="158">
        <f t="shared" si="619"/>
        <v>67.822695035460995</v>
      </c>
      <c r="V3744" s="160">
        <f t="shared" si="618"/>
        <v>68</v>
      </c>
    </row>
    <row r="3745" spans="1:22" x14ac:dyDescent="0.25">
      <c r="A3745" s="98" t="s">
        <v>29</v>
      </c>
      <c r="B3745" s="98" t="s">
        <v>17</v>
      </c>
      <c r="C3745" s="98">
        <v>197</v>
      </c>
      <c r="D3745" s="98">
        <v>360</v>
      </c>
      <c r="E3745" s="157">
        <v>41623.680555555555</v>
      </c>
      <c r="F3745" s="157">
        <v>41624.120833333334</v>
      </c>
      <c r="G3745" s="98">
        <v>350</v>
      </c>
      <c r="H3745" s="98">
        <v>423</v>
      </c>
      <c r="I3745" s="98">
        <v>393</v>
      </c>
      <c r="J3745" s="98" t="s">
        <v>229</v>
      </c>
      <c r="K3745" s="98" t="s">
        <v>1559</v>
      </c>
      <c r="L3745" s="105" t="str">
        <f t="shared" si="610"/>
        <v>Mill Creek</v>
      </c>
      <c r="M3745" s="105" t="str">
        <f t="shared" si="611"/>
        <v>Derate</v>
      </c>
      <c r="N3745" s="105" t="str">
        <f t="shared" si="612"/>
        <v>Coal</v>
      </c>
      <c r="O3745" s="105">
        <f>IFERROR(VLOOKUP(A3745,Lookup!$J$5:$P$19,7,FALSE),0)</f>
        <v>3</v>
      </c>
      <c r="P3745" s="159">
        <f t="shared" si="613"/>
        <v>2013</v>
      </c>
      <c r="Q3745" s="159">
        <f t="shared" si="614"/>
        <v>12</v>
      </c>
      <c r="R3745" s="160">
        <f t="shared" si="615"/>
        <v>10.566666666709352</v>
      </c>
      <c r="S3745" s="158">
        <f t="shared" si="616"/>
        <v>1.823561859739439</v>
      </c>
      <c r="T3745" s="161">
        <f t="shared" si="617"/>
        <v>716.65981087759951</v>
      </c>
      <c r="U3745" s="158">
        <f t="shared" si="619"/>
        <v>67.822695035460995</v>
      </c>
      <c r="V3745" s="160">
        <f t="shared" si="618"/>
        <v>68</v>
      </c>
    </row>
    <row r="3746" spans="1:22" x14ac:dyDescent="0.25">
      <c r="A3746" s="98" t="s">
        <v>29</v>
      </c>
      <c r="B3746" s="98" t="s">
        <v>17</v>
      </c>
      <c r="C3746" s="98">
        <v>198</v>
      </c>
      <c r="D3746" s="98">
        <v>360</v>
      </c>
      <c r="E3746" s="157">
        <v>41624.448611111111</v>
      </c>
      <c r="F3746" s="157">
        <v>41624.599305555559</v>
      </c>
      <c r="G3746" s="98">
        <v>335</v>
      </c>
      <c r="H3746" s="98">
        <v>423</v>
      </c>
      <c r="I3746" s="98">
        <v>393</v>
      </c>
      <c r="J3746" s="98" t="s">
        <v>229</v>
      </c>
      <c r="K3746" s="98" t="s">
        <v>1560</v>
      </c>
      <c r="L3746" s="105" t="str">
        <f t="shared" si="610"/>
        <v>Mill Creek</v>
      </c>
      <c r="M3746" s="105" t="str">
        <f t="shared" si="611"/>
        <v>Derate</v>
      </c>
      <c r="N3746" s="105" t="str">
        <f t="shared" si="612"/>
        <v>Coal</v>
      </c>
      <c r="O3746" s="105">
        <f>IFERROR(VLOOKUP(A3746,Lookup!$J$5:$P$19,7,FALSE),0)</f>
        <v>3</v>
      </c>
      <c r="P3746" s="159">
        <f t="shared" si="613"/>
        <v>2013</v>
      </c>
      <c r="Q3746" s="159">
        <f t="shared" si="614"/>
        <v>12</v>
      </c>
      <c r="R3746" s="160">
        <f t="shared" si="615"/>
        <v>3.6166666667559184</v>
      </c>
      <c r="S3746" s="158">
        <f t="shared" si="616"/>
        <v>0.75240346731565211</v>
      </c>
      <c r="T3746" s="161">
        <f t="shared" si="617"/>
        <v>295.6945626550513</v>
      </c>
      <c r="U3746" s="158">
        <f t="shared" si="619"/>
        <v>81.758865248226954</v>
      </c>
      <c r="V3746" s="160">
        <f t="shared" si="618"/>
        <v>82</v>
      </c>
    </row>
    <row r="3747" spans="1:22" x14ac:dyDescent="0.25">
      <c r="A3747" s="98" t="s">
        <v>29</v>
      </c>
      <c r="B3747" s="98" t="s">
        <v>17</v>
      </c>
      <c r="C3747" s="98">
        <v>199</v>
      </c>
      <c r="D3747" s="98">
        <v>310</v>
      </c>
      <c r="E3747" s="157">
        <v>41628.157638888886</v>
      </c>
      <c r="F3747" s="157">
        <v>41628.186111111114</v>
      </c>
      <c r="G3747" s="98">
        <v>335</v>
      </c>
      <c r="H3747" s="98">
        <v>423</v>
      </c>
      <c r="I3747" s="98">
        <v>393</v>
      </c>
      <c r="J3747" s="98" t="s">
        <v>1966</v>
      </c>
      <c r="K3747" s="98" t="s">
        <v>1551</v>
      </c>
      <c r="L3747" s="105" t="str">
        <f t="shared" si="610"/>
        <v>Mill Creek</v>
      </c>
      <c r="M3747" s="105" t="str">
        <f t="shared" si="611"/>
        <v>Derate</v>
      </c>
      <c r="N3747" s="105" t="str">
        <f t="shared" si="612"/>
        <v>Coal</v>
      </c>
      <c r="O3747" s="105">
        <f>IFERROR(VLOOKUP(A3747,Lookup!$J$5:$P$19,7,FALSE),0)</f>
        <v>3</v>
      </c>
      <c r="P3747" s="159">
        <f t="shared" si="613"/>
        <v>2013</v>
      </c>
      <c r="Q3747" s="159">
        <f t="shared" si="614"/>
        <v>12</v>
      </c>
      <c r="R3747" s="160">
        <f t="shared" si="615"/>
        <v>0.6833333334652707</v>
      </c>
      <c r="S3747" s="158">
        <f t="shared" si="616"/>
        <v>0.14215918048450077</v>
      </c>
      <c r="T3747" s="161">
        <f t="shared" si="617"/>
        <v>55.868557930408805</v>
      </c>
      <c r="U3747" s="158">
        <f t="shared" si="619"/>
        <v>81.758865248226954</v>
      </c>
      <c r="V3747" s="160">
        <f t="shared" si="618"/>
        <v>82</v>
      </c>
    </row>
    <row r="3748" spans="1:22" x14ac:dyDescent="0.25">
      <c r="A3748" s="98" t="s">
        <v>29</v>
      </c>
      <c r="B3748" s="98" t="s">
        <v>17</v>
      </c>
      <c r="C3748" s="98">
        <v>200</v>
      </c>
      <c r="D3748" s="98">
        <v>360</v>
      </c>
      <c r="E3748" s="157">
        <v>41628.559027777781</v>
      </c>
      <c r="F3748" s="157">
        <v>41628.623611111114</v>
      </c>
      <c r="G3748" s="98">
        <v>330</v>
      </c>
      <c r="H3748" s="98">
        <v>423</v>
      </c>
      <c r="I3748" s="98">
        <v>393</v>
      </c>
      <c r="J3748" s="98" t="s">
        <v>229</v>
      </c>
      <c r="K3748" s="98" t="s">
        <v>1561</v>
      </c>
      <c r="L3748" s="105" t="str">
        <f t="shared" si="610"/>
        <v>Mill Creek</v>
      </c>
      <c r="M3748" s="105" t="str">
        <f t="shared" si="611"/>
        <v>Derate</v>
      </c>
      <c r="N3748" s="105" t="str">
        <f t="shared" si="612"/>
        <v>Coal</v>
      </c>
      <c r="O3748" s="105">
        <f>IFERROR(VLOOKUP(A3748,Lookup!$J$5:$P$19,7,FALSE),0)</f>
        <v>3</v>
      </c>
      <c r="P3748" s="159">
        <f t="shared" si="613"/>
        <v>2013</v>
      </c>
      <c r="Q3748" s="159">
        <f t="shared" si="614"/>
        <v>12</v>
      </c>
      <c r="R3748" s="160">
        <f t="shared" si="615"/>
        <v>1.5499999999883585</v>
      </c>
      <c r="S3748" s="158">
        <f t="shared" si="616"/>
        <v>0.34078014184141214</v>
      </c>
      <c r="T3748" s="161">
        <f t="shared" si="617"/>
        <v>133.92659574367497</v>
      </c>
      <c r="U3748" s="158">
        <f t="shared" si="619"/>
        <v>86.40425531914893</v>
      </c>
      <c r="V3748" s="160">
        <f t="shared" si="618"/>
        <v>86</v>
      </c>
    </row>
    <row r="3749" spans="1:22" x14ac:dyDescent="0.25">
      <c r="A3749" s="98" t="s">
        <v>29</v>
      </c>
      <c r="B3749" s="98" t="s">
        <v>17</v>
      </c>
      <c r="C3749" s="98">
        <v>201</v>
      </c>
      <c r="D3749" s="98">
        <v>250</v>
      </c>
      <c r="E3749" s="157">
        <v>41631.354166666664</v>
      </c>
      <c r="F3749" s="157">
        <v>41631.375</v>
      </c>
      <c r="G3749" s="98">
        <v>330</v>
      </c>
      <c r="H3749" s="98">
        <v>423</v>
      </c>
      <c r="I3749" s="98">
        <v>393</v>
      </c>
      <c r="J3749" s="98" t="s">
        <v>1978</v>
      </c>
      <c r="K3749" s="98" t="s">
        <v>1562</v>
      </c>
      <c r="L3749" s="105" t="str">
        <f t="shared" si="610"/>
        <v>Mill Creek</v>
      </c>
      <c r="M3749" s="105" t="str">
        <f t="shared" si="611"/>
        <v>Derate</v>
      </c>
      <c r="N3749" s="105" t="str">
        <f t="shared" si="612"/>
        <v>Coal</v>
      </c>
      <c r="O3749" s="105">
        <f>IFERROR(VLOOKUP(A3749,Lookup!$J$5:$P$19,7,FALSE),0)</f>
        <v>3</v>
      </c>
      <c r="P3749" s="159">
        <f t="shared" si="613"/>
        <v>2013</v>
      </c>
      <c r="Q3749" s="159">
        <f t="shared" si="614"/>
        <v>12</v>
      </c>
      <c r="R3749" s="160">
        <f t="shared" si="615"/>
        <v>0.50000000005820766</v>
      </c>
      <c r="S3749" s="158">
        <f t="shared" si="616"/>
        <v>0.10992907802698183</v>
      </c>
      <c r="T3749" s="161">
        <f t="shared" si="617"/>
        <v>43.202127664603857</v>
      </c>
      <c r="U3749" s="158">
        <f t="shared" si="619"/>
        <v>86.40425531914893</v>
      </c>
      <c r="V3749" s="160">
        <f t="shared" si="618"/>
        <v>86</v>
      </c>
    </row>
    <row r="3750" spans="1:22" x14ac:dyDescent="0.25">
      <c r="A3750" s="98" t="s">
        <v>29</v>
      </c>
      <c r="B3750" s="98" t="s">
        <v>17</v>
      </c>
      <c r="C3750" s="98">
        <v>202</v>
      </c>
      <c r="D3750" s="98">
        <v>310</v>
      </c>
      <c r="E3750" s="157">
        <v>41631.375</v>
      </c>
      <c r="F3750" s="157">
        <v>41631.458333333336</v>
      </c>
      <c r="G3750" s="98">
        <v>225</v>
      </c>
      <c r="H3750" s="98">
        <v>423</v>
      </c>
      <c r="I3750" s="98">
        <v>393</v>
      </c>
      <c r="J3750" s="98" t="s">
        <v>1966</v>
      </c>
      <c r="K3750" s="98" t="s">
        <v>1563</v>
      </c>
      <c r="L3750" s="105" t="str">
        <f t="shared" ref="L3750:L3813" si="620">IF(OR(A3750="BR1",A3750="BR2",A3750="BR3",A3750="BR5",A3750="BR6",A3750="BR7",A3750="BR8",A3750="BR9",A3750="BR10",A3750="BR11"),"Brown",IF(OR(A3750="CR4",A3750="CR5",A3750="CR6",A3750="CR11"),"Cane Run",IF(OR(A3750="GH1",A3750="GH2",A3750="GH3",A3750="GH4"),"Ghent",IF(OR(A3750="GR3",A3750="GR4"),"Green River",IF(OR(A3750="MC1",A3750="MC2",A3750="MC3",A3750="MC4"),"Mill Creek",IF(OR(A3750="TC1",A3750="TC2",A3750="TC5",A3750="TC6",A3750="TC7",A3750="TC8",A3750="TC9",A3750="TC10"),"Trimble",IF(A3750="TY3","Tyrone",IF(OR(A3750="HA1",A3750="HA2",A3750="HA3"),"Haeflin",IF(OR(A3750="PR11",A3750="PR12",A3750="PR13"),"Paddy's Run","Zorn")))))))))</f>
        <v>Mill Creek</v>
      </c>
      <c r="M3750" s="105" t="str">
        <f t="shared" ref="M3750:M3813" si="621">IF(OR(B3750="D1",B3750="D2",B3750="D3",B3750="D4",B3750="PD"),"Derate",IF(OR(B3750="SF",B3750="U1",B3750="U2",B3750="U3"),"Outage",IF(OR(B3750="ME",B3750="MO"),"Maintenance","Other")))</f>
        <v>Derate</v>
      </c>
      <c r="N3750" s="105" t="str">
        <f t="shared" ref="N3750:N3813" si="622">IF(OR(A3750="BR1",A3750="BR2",A3750="BR3",A3750="CR4",A3750="CR5",A3750="CR6",A3750="GH1",A3750="GH2",A3750="GH3",A3750="GH4",A3750="GR3",A3750="GR4",A3750="MC1",A3750="MC2",A3750="MC3",A3750="MC4",A3750="TC1",A3750="TC2",A3750="TY3"),"Coal","Gas")</f>
        <v>Coal</v>
      </c>
      <c r="O3750" s="105">
        <f>IFERROR(VLOOKUP(A3750,Lookup!$J$5:$P$19,7,FALSE),0)</f>
        <v>3</v>
      </c>
      <c r="P3750" s="159">
        <f t="shared" ref="P3750:P3813" si="623">YEAR(E3750)</f>
        <v>2013</v>
      </c>
      <c r="Q3750" s="159">
        <f t="shared" ref="Q3750:Q3813" si="624">MONTH(E3750)</f>
        <v>12</v>
      </c>
      <c r="R3750" s="160">
        <f t="shared" ref="R3750:R3813" si="625">(F3750-E3750)*24</f>
        <v>2.0000000000582077</v>
      </c>
      <c r="S3750" s="158">
        <f t="shared" ref="S3750:S3813" si="626">R3750*(H3750-G3750)/H3750</f>
        <v>0.93617021279320356</v>
      </c>
      <c r="T3750" s="161">
        <f t="shared" ref="T3750:T3813" si="627">S3750*I3750</f>
        <v>367.91489362772899</v>
      </c>
      <c r="U3750" s="158">
        <f t="shared" si="619"/>
        <v>183.95744680851064</v>
      </c>
      <c r="V3750" s="160">
        <f t="shared" ref="V3750:V3813" si="628">ROUND(U3750,0)</f>
        <v>184</v>
      </c>
    </row>
    <row r="3751" spans="1:22" x14ac:dyDescent="0.25">
      <c r="A3751" s="98" t="s">
        <v>29</v>
      </c>
      <c r="B3751" s="98" t="s">
        <v>17</v>
      </c>
      <c r="C3751" s="98">
        <v>203</v>
      </c>
      <c r="D3751" s="98">
        <v>250</v>
      </c>
      <c r="E3751" s="157">
        <v>41631.458333333336</v>
      </c>
      <c r="F3751" s="157">
        <v>41631.637499999997</v>
      </c>
      <c r="G3751" s="98">
        <v>330</v>
      </c>
      <c r="H3751" s="98">
        <v>423</v>
      </c>
      <c r="I3751" s="98">
        <v>393</v>
      </c>
      <c r="J3751" s="98" t="s">
        <v>1978</v>
      </c>
      <c r="K3751" s="98" t="s">
        <v>1562</v>
      </c>
      <c r="L3751" s="105" t="str">
        <f t="shared" si="620"/>
        <v>Mill Creek</v>
      </c>
      <c r="M3751" s="105" t="str">
        <f t="shared" si="621"/>
        <v>Derate</v>
      </c>
      <c r="N3751" s="105" t="str">
        <f t="shared" si="622"/>
        <v>Coal</v>
      </c>
      <c r="O3751" s="105">
        <f>IFERROR(VLOOKUP(A3751,Lookup!$J$5:$P$19,7,FALSE),0)</f>
        <v>3</v>
      </c>
      <c r="P3751" s="159">
        <f t="shared" si="623"/>
        <v>2013</v>
      </c>
      <c r="Q3751" s="159">
        <f t="shared" si="624"/>
        <v>12</v>
      </c>
      <c r="R3751" s="160">
        <f t="shared" si="625"/>
        <v>4.2999999998719431</v>
      </c>
      <c r="S3751" s="158">
        <f t="shared" si="626"/>
        <v>0.94539007089383142</v>
      </c>
      <c r="T3751" s="161">
        <f t="shared" si="627"/>
        <v>371.53829786127574</v>
      </c>
      <c r="U3751" s="158">
        <f t="shared" ref="U3751:U3814" si="629">IF(G3751&gt;0,MAX((H3751-G3751),0)*I3751/H3751,I3751)</f>
        <v>86.40425531914893</v>
      </c>
      <c r="V3751" s="160">
        <f t="shared" si="628"/>
        <v>86</v>
      </c>
    </row>
    <row r="3752" spans="1:22" x14ac:dyDescent="0.25">
      <c r="A3752" s="98" t="s">
        <v>29</v>
      </c>
      <c r="B3752" s="98" t="s">
        <v>17</v>
      </c>
      <c r="C3752" s="98">
        <v>204</v>
      </c>
      <c r="D3752" s="98">
        <v>360</v>
      </c>
      <c r="E3752" s="157">
        <v>41632.288888888892</v>
      </c>
      <c r="F3752" s="157">
        <v>41632.395833333336</v>
      </c>
      <c r="G3752" s="98">
        <v>330</v>
      </c>
      <c r="H3752" s="98">
        <v>423</v>
      </c>
      <c r="I3752" s="98">
        <v>393</v>
      </c>
      <c r="J3752" s="98" t="s">
        <v>229</v>
      </c>
      <c r="K3752" s="98" t="s">
        <v>1564</v>
      </c>
      <c r="L3752" s="105" t="str">
        <f t="shared" si="620"/>
        <v>Mill Creek</v>
      </c>
      <c r="M3752" s="105" t="str">
        <f t="shared" si="621"/>
        <v>Derate</v>
      </c>
      <c r="N3752" s="105" t="str">
        <f t="shared" si="622"/>
        <v>Coal</v>
      </c>
      <c r="O3752" s="105">
        <f>IFERROR(VLOOKUP(A3752,Lookup!$J$5:$P$19,7,FALSE),0)</f>
        <v>3</v>
      </c>
      <c r="P3752" s="159">
        <f t="shared" si="623"/>
        <v>2013</v>
      </c>
      <c r="Q3752" s="159">
        <f t="shared" si="624"/>
        <v>12</v>
      </c>
      <c r="R3752" s="160">
        <f t="shared" si="625"/>
        <v>2.5666666666511446</v>
      </c>
      <c r="S3752" s="158">
        <f t="shared" si="626"/>
        <v>0.56430260046940062</v>
      </c>
      <c r="T3752" s="161">
        <f t="shared" si="627"/>
        <v>221.77092198447446</v>
      </c>
      <c r="U3752" s="158">
        <f t="shared" si="629"/>
        <v>86.40425531914893</v>
      </c>
      <c r="V3752" s="160">
        <f t="shared" si="628"/>
        <v>86</v>
      </c>
    </row>
    <row r="3753" spans="1:22" x14ac:dyDescent="0.25">
      <c r="A3753" s="98" t="s">
        <v>29</v>
      </c>
      <c r="B3753" s="98" t="s">
        <v>17</v>
      </c>
      <c r="C3753" s="98">
        <v>205</v>
      </c>
      <c r="D3753" s="98">
        <v>1850</v>
      </c>
      <c r="E3753" s="157">
        <v>41632.395833333336</v>
      </c>
      <c r="F3753" s="157">
        <v>41633.34375</v>
      </c>
      <c r="G3753" s="98">
        <v>325</v>
      </c>
      <c r="H3753" s="98">
        <v>423</v>
      </c>
      <c r="I3753" s="98">
        <v>393</v>
      </c>
      <c r="J3753" s="98" t="s">
        <v>2263</v>
      </c>
      <c r="K3753" s="98" t="s">
        <v>41</v>
      </c>
      <c r="L3753" s="105" t="str">
        <f t="shared" si="620"/>
        <v>Mill Creek</v>
      </c>
      <c r="M3753" s="105" t="str">
        <f t="shared" si="621"/>
        <v>Derate</v>
      </c>
      <c r="N3753" s="105" t="str">
        <f t="shared" si="622"/>
        <v>Coal</v>
      </c>
      <c r="O3753" s="105">
        <f>IFERROR(VLOOKUP(A3753,Lookup!$J$5:$P$19,7,FALSE),0)</f>
        <v>3</v>
      </c>
      <c r="P3753" s="159">
        <f t="shared" si="623"/>
        <v>2013</v>
      </c>
      <c r="Q3753" s="159">
        <f t="shared" si="624"/>
        <v>12</v>
      </c>
      <c r="R3753" s="160">
        <f t="shared" si="625"/>
        <v>22.749999999941792</v>
      </c>
      <c r="S3753" s="158">
        <f t="shared" si="626"/>
        <v>5.2706855791827323</v>
      </c>
      <c r="T3753" s="161">
        <f t="shared" si="627"/>
        <v>2071.379432618814</v>
      </c>
      <c r="U3753" s="158">
        <f t="shared" si="629"/>
        <v>91.049645390070921</v>
      </c>
      <c r="V3753" s="160">
        <f t="shared" si="628"/>
        <v>91</v>
      </c>
    </row>
    <row r="3754" spans="1:22" x14ac:dyDescent="0.25">
      <c r="A3754" s="98" t="s">
        <v>29</v>
      </c>
      <c r="B3754" s="98" t="s">
        <v>17</v>
      </c>
      <c r="C3754" s="98">
        <v>206</v>
      </c>
      <c r="D3754" s="98">
        <v>360</v>
      </c>
      <c r="E3754" s="157">
        <v>41633.34375</v>
      </c>
      <c r="F3754" s="157">
        <v>41633.479166666664</v>
      </c>
      <c r="G3754" s="98">
        <v>330</v>
      </c>
      <c r="H3754" s="98">
        <v>423</v>
      </c>
      <c r="I3754" s="98">
        <v>393</v>
      </c>
      <c r="J3754" s="98" t="s">
        <v>229</v>
      </c>
      <c r="K3754" s="98" t="s">
        <v>1565</v>
      </c>
      <c r="L3754" s="105" t="str">
        <f t="shared" si="620"/>
        <v>Mill Creek</v>
      </c>
      <c r="M3754" s="105" t="str">
        <f t="shared" si="621"/>
        <v>Derate</v>
      </c>
      <c r="N3754" s="105" t="str">
        <f t="shared" si="622"/>
        <v>Coal</v>
      </c>
      <c r="O3754" s="105">
        <f>IFERROR(VLOOKUP(A3754,Lookup!$J$5:$P$19,7,FALSE),0)</f>
        <v>3</v>
      </c>
      <c r="P3754" s="159">
        <f t="shared" si="623"/>
        <v>2013</v>
      </c>
      <c r="Q3754" s="159">
        <f t="shared" si="624"/>
        <v>12</v>
      </c>
      <c r="R3754" s="160">
        <f t="shared" si="625"/>
        <v>3.2499999999417923</v>
      </c>
      <c r="S3754" s="158">
        <f t="shared" si="626"/>
        <v>0.7145390070794011</v>
      </c>
      <c r="T3754" s="161">
        <f t="shared" si="627"/>
        <v>280.81382978220461</v>
      </c>
      <c r="U3754" s="158">
        <f t="shared" si="629"/>
        <v>86.40425531914893</v>
      </c>
      <c r="V3754" s="160">
        <f t="shared" si="628"/>
        <v>86</v>
      </c>
    </row>
    <row r="3755" spans="1:22" x14ac:dyDescent="0.25">
      <c r="A3755" s="98" t="s">
        <v>29</v>
      </c>
      <c r="B3755" s="98" t="s">
        <v>20</v>
      </c>
      <c r="C3755" s="98">
        <v>207</v>
      </c>
      <c r="D3755" s="98">
        <v>3110</v>
      </c>
      <c r="E3755" s="157">
        <v>41634.45416666667</v>
      </c>
      <c r="F3755" s="157">
        <v>41637.445138888892</v>
      </c>
      <c r="G3755" s="98">
        <v>0</v>
      </c>
      <c r="H3755" s="98">
        <v>423</v>
      </c>
      <c r="I3755" s="98">
        <v>393</v>
      </c>
      <c r="J3755" s="98" t="s">
        <v>2119</v>
      </c>
      <c r="K3755" s="98" t="s">
        <v>1566</v>
      </c>
      <c r="L3755" s="105" t="str">
        <f t="shared" si="620"/>
        <v>Mill Creek</v>
      </c>
      <c r="M3755" s="105" t="str">
        <f t="shared" si="621"/>
        <v>Maintenance</v>
      </c>
      <c r="N3755" s="105" t="str">
        <f t="shared" si="622"/>
        <v>Coal</v>
      </c>
      <c r="O3755" s="105">
        <f>IFERROR(VLOOKUP(A3755,Lookup!$J$5:$P$19,7,FALSE),0)</f>
        <v>3</v>
      </c>
      <c r="P3755" s="159">
        <f t="shared" si="623"/>
        <v>2013</v>
      </c>
      <c r="Q3755" s="159">
        <f t="shared" si="624"/>
        <v>12</v>
      </c>
      <c r="R3755" s="160">
        <f t="shared" si="625"/>
        <v>71.783333333325572</v>
      </c>
      <c r="S3755" s="158">
        <f t="shared" si="626"/>
        <v>71.783333333325572</v>
      </c>
      <c r="T3755" s="161">
        <f t="shared" si="627"/>
        <v>28210.84999999695</v>
      </c>
      <c r="U3755" s="158">
        <f t="shared" si="629"/>
        <v>393</v>
      </c>
      <c r="V3755" s="160">
        <f t="shared" si="628"/>
        <v>393</v>
      </c>
    </row>
    <row r="3756" spans="1:22" x14ac:dyDescent="0.25">
      <c r="A3756" s="98" t="s">
        <v>29</v>
      </c>
      <c r="B3756" s="98" t="s">
        <v>17</v>
      </c>
      <c r="C3756" s="98">
        <v>208</v>
      </c>
      <c r="D3756" s="98">
        <v>1850</v>
      </c>
      <c r="E3756" s="157">
        <v>41637.961805555555</v>
      </c>
      <c r="F3756" s="157">
        <v>41638.172222222223</v>
      </c>
      <c r="G3756" s="98">
        <v>313</v>
      </c>
      <c r="H3756" s="98">
        <v>423</v>
      </c>
      <c r="I3756" s="98">
        <v>393</v>
      </c>
      <c r="J3756" s="98" t="s">
        <v>2263</v>
      </c>
      <c r="K3756" s="98" t="s">
        <v>41</v>
      </c>
      <c r="L3756" s="105" t="str">
        <f t="shared" si="620"/>
        <v>Mill Creek</v>
      </c>
      <c r="M3756" s="105" t="str">
        <f t="shared" si="621"/>
        <v>Derate</v>
      </c>
      <c r="N3756" s="105" t="str">
        <f t="shared" si="622"/>
        <v>Coal</v>
      </c>
      <c r="O3756" s="105">
        <f>IFERROR(VLOOKUP(A3756,Lookup!$J$5:$P$19,7,FALSE),0)</f>
        <v>3</v>
      </c>
      <c r="P3756" s="159">
        <f t="shared" si="623"/>
        <v>2013</v>
      </c>
      <c r="Q3756" s="159">
        <f t="shared" si="624"/>
        <v>12</v>
      </c>
      <c r="R3756" s="160">
        <f t="shared" si="625"/>
        <v>5.0500000000465661</v>
      </c>
      <c r="S3756" s="158">
        <f t="shared" si="626"/>
        <v>1.3132387706976887</v>
      </c>
      <c r="T3756" s="161">
        <f t="shared" si="627"/>
        <v>516.10283688419167</v>
      </c>
      <c r="U3756" s="158">
        <f t="shared" si="629"/>
        <v>102.19858156028369</v>
      </c>
      <c r="V3756" s="160">
        <f t="shared" si="628"/>
        <v>102</v>
      </c>
    </row>
    <row r="3757" spans="1:22" x14ac:dyDescent="0.25">
      <c r="A3757" s="98" t="s">
        <v>29</v>
      </c>
      <c r="B3757" s="98" t="s">
        <v>105</v>
      </c>
      <c r="C3757" s="98">
        <v>1</v>
      </c>
      <c r="D3757" s="98">
        <v>310</v>
      </c>
      <c r="E3757" s="157">
        <v>41640.972222222219</v>
      </c>
      <c r="F3757" s="157">
        <v>41641.065972222219</v>
      </c>
      <c r="G3757" s="98">
        <v>320</v>
      </c>
      <c r="H3757" s="98">
        <v>423</v>
      </c>
      <c r="I3757" s="98">
        <v>393</v>
      </c>
      <c r="J3757" s="98" t="s">
        <v>1966</v>
      </c>
      <c r="K3757" s="98" t="s">
        <v>671</v>
      </c>
      <c r="L3757" s="105" t="str">
        <f t="shared" si="620"/>
        <v>Mill Creek</v>
      </c>
      <c r="M3757" s="105" t="str">
        <f t="shared" si="621"/>
        <v>Derate</v>
      </c>
      <c r="N3757" s="105" t="str">
        <f t="shared" si="622"/>
        <v>Coal</v>
      </c>
      <c r="O3757" s="105">
        <f>IFERROR(VLOOKUP(A3757,Lookup!$J$5:$P$19,7,FALSE),0)</f>
        <v>3</v>
      </c>
      <c r="P3757" s="159">
        <f t="shared" si="623"/>
        <v>2014</v>
      </c>
      <c r="Q3757" s="159">
        <f t="shared" si="624"/>
        <v>1</v>
      </c>
      <c r="R3757" s="160">
        <f t="shared" si="625"/>
        <v>2.25</v>
      </c>
      <c r="S3757" s="158">
        <f t="shared" si="626"/>
        <v>0.5478723404255319</v>
      </c>
      <c r="T3757" s="161">
        <f t="shared" si="627"/>
        <v>215.31382978723403</v>
      </c>
      <c r="U3757" s="158">
        <f t="shared" si="629"/>
        <v>95.695035460992912</v>
      </c>
      <c r="V3757" s="160">
        <f t="shared" si="628"/>
        <v>96</v>
      </c>
    </row>
    <row r="3758" spans="1:22" x14ac:dyDescent="0.25">
      <c r="A3758" s="98" t="s">
        <v>29</v>
      </c>
      <c r="B3758" s="98" t="s">
        <v>17</v>
      </c>
      <c r="C3758" s="98">
        <v>2</v>
      </c>
      <c r="D3758" s="98">
        <v>360</v>
      </c>
      <c r="E3758" s="157">
        <v>41644.969444444447</v>
      </c>
      <c r="F3758" s="157">
        <v>41645.083333333336</v>
      </c>
      <c r="G3758" s="98">
        <v>330</v>
      </c>
      <c r="H3758" s="98">
        <v>423</v>
      </c>
      <c r="I3758" s="98">
        <v>393</v>
      </c>
      <c r="J3758" s="98" t="s">
        <v>229</v>
      </c>
      <c r="K3758" s="98" t="s">
        <v>1567</v>
      </c>
      <c r="L3758" s="105" t="str">
        <f t="shared" si="620"/>
        <v>Mill Creek</v>
      </c>
      <c r="M3758" s="105" t="str">
        <f t="shared" si="621"/>
        <v>Derate</v>
      </c>
      <c r="N3758" s="105" t="str">
        <f t="shared" si="622"/>
        <v>Coal</v>
      </c>
      <c r="O3758" s="105">
        <f>IFERROR(VLOOKUP(A3758,Lookup!$J$5:$P$19,7,FALSE),0)</f>
        <v>3</v>
      </c>
      <c r="P3758" s="159">
        <f t="shared" si="623"/>
        <v>2014</v>
      </c>
      <c r="Q3758" s="159">
        <f t="shared" si="624"/>
        <v>1</v>
      </c>
      <c r="R3758" s="160">
        <f t="shared" si="625"/>
        <v>2.7333333333372138</v>
      </c>
      <c r="S3758" s="158">
        <f t="shared" si="626"/>
        <v>0.60094562647839456</v>
      </c>
      <c r="T3758" s="161">
        <f t="shared" si="627"/>
        <v>236.17163120600907</v>
      </c>
      <c r="U3758" s="158">
        <f t="shared" si="629"/>
        <v>86.40425531914893</v>
      </c>
      <c r="V3758" s="160">
        <f t="shared" si="628"/>
        <v>86</v>
      </c>
    </row>
    <row r="3759" spans="1:22" x14ac:dyDescent="0.25">
      <c r="A3759" s="98" t="s">
        <v>29</v>
      </c>
      <c r="B3759" s="98" t="s">
        <v>79</v>
      </c>
      <c r="C3759" s="98">
        <v>6</v>
      </c>
      <c r="D3759" s="98">
        <v>1990</v>
      </c>
      <c r="E3759" s="157">
        <v>41653.333333333336</v>
      </c>
      <c r="F3759" s="157">
        <v>41653.694444444445</v>
      </c>
      <c r="G3759" s="98">
        <v>0</v>
      </c>
      <c r="H3759" s="98">
        <v>423</v>
      </c>
      <c r="I3759" s="98">
        <v>393</v>
      </c>
      <c r="J3759" s="98" t="s">
        <v>2114</v>
      </c>
      <c r="K3759" s="98" t="s">
        <v>1568</v>
      </c>
      <c r="L3759" s="105" t="str">
        <f t="shared" si="620"/>
        <v>Mill Creek</v>
      </c>
      <c r="M3759" s="105" t="str">
        <f t="shared" si="621"/>
        <v>Other</v>
      </c>
      <c r="N3759" s="105" t="str">
        <f t="shared" si="622"/>
        <v>Coal</v>
      </c>
      <c r="O3759" s="105">
        <f>IFERROR(VLOOKUP(A3759,Lookup!$J$5:$P$19,7,FALSE),0)</f>
        <v>3</v>
      </c>
      <c r="P3759" s="159">
        <f t="shared" si="623"/>
        <v>2014</v>
      </c>
      <c r="Q3759" s="159">
        <f t="shared" si="624"/>
        <v>1</v>
      </c>
      <c r="R3759" s="160">
        <f t="shared" si="625"/>
        <v>8.6666666666278616</v>
      </c>
      <c r="S3759" s="158">
        <f t="shared" si="626"/>
        <v>8.6666666666278616</v>
      </c>
      <c r="T3759" s="161">
        <f t="shared" si="627"/>
        <v>3405.9999999847496</v>
      </c>
      <c r="U3759" s="158">
        <f t="shared" si="629"/>
        <v>393</v>
      </c>
      <c r="V3759" s="160">
        <f t="shared" si="628"/>
        <v>393</v>
      </c>
    </row>
    <row r="3760" spans="1:22" x14ac:dyDescent="0.25">
      <c r="A3760" s="98" t="s">
        <v>29</v>
      </c>
      <c r="B3760" s="98" t="s">
        <v>79</v>
      </c>
      <c r="C3760" s="98">
        <v>3</v>
      </c>
      <c r="D3760" s="98">
        <v>8460</v>
      </c>
      <c r="E3760" s="157">
        <v>41654</v>
      </c>
      <c r="F3760" s="157">
        <v>41654.129166666666</v>
      </c>
      <c r="G3760" s="98">
        <v>0</v>
      </c>
      <c r="H3760" s="98">
        <v>423</v>
      </c>
      <c r="I3760" s="98">
        <v>393</v>
      </c>
      <c r="J3760" s="98" t="s">
        <v>2651</v>
      </c>
      <c r="K3760" s="98" t="s">
        <v>1569</v>
      </c>
      <c r="L3760" s="105" t="str">
        <f t="shared" si="620"/>
        <v>Mill Creek</v>
      </c>
      <c r="M3760" s="105" t="str">
        <f t="shared" si="621"/>
        <v>Other</v>
      </c>
      <c r="N3760" s="105" t="str">
        <f t="shared" si="622"/>
        <v>Coal</v>
      </c>
      <c r="O3760" s="105">
        <f>IFERROR(VLOOKUP(A3760,Lookup!$J$5:$P$19,7,FALSE),0)</f>
        <v>3</v>
      </c>
      <c r="P3760" s="159">
        <f t="shared" si="623"/>
        <v>2014</v>
      </c>
      <c r="Q3760" s="159">
        <f t="shared" si="624"/>
        <v>1</v>
      </c>
      <c r="R3760" s="160">
        <f t="shared" si="625"/>
        <v>3.0999999999767169</v>
      </c>
      <c r="S3760" s="158">
        <f t="shared" si="626"/>
        <v>3.0999999999767169</v>
      </c>
      <c r="T3760" s="161">
        <f t="shared" si="627"/>
        <v>1218.2999999908498</v>
      </c>
      <c r="U3760" s="158">
        <f t="shared" si="629"/>
        <v>393</v>
      </c>
      <c r="V3760" s="160">
        <f t="shared" si="628"/>
        <v>393</v>
      </c>
    </row>
    <row r="3761" spans="1:22" x14ac:dyDescent="0.25">
      <c r="A3761" s="98" t="s">
        <v>29</v>
      </c>
      <c r="B3761" s="98" t="s">
        <v>105</v>
      </c>
      <c r="C3761" s="98">
        <v>4</v>
      </c>
      <c r="D3761" s="98">
        <v>360</v>
      </c>
      <c r="E3761" s="157">
        <v>41654.129166666666</v>
      </c>
      <c r="F3761" s="157">
        <v>41654.342361111114</v>
      </c>
      <c r="G3761" s="98">
        <v>310</v>
      </c>
      <c r="H3761" s="98">
        <v>423</v>
      </c>
      <c r="I3761" s="98">
        <v>393</v>
      </c>
      <c r="J3761" s="98" t="s">
        <v>229</v>
      </c>
      <c r="K3761" s="98" t="s">
        <v>1570</v>
      </c>
      <c r="L3761" s="105" t="str">
        <f t="shared" si="620"/>
        <v>Mill Creek</v>
      </c>
      <c r="M3761" s="105" t="str">
        <f t="shared" si="621"/>
        <v>Derate</v>
      </c>
      <c r="N3761" s="105" t="str">
        <f t="shared" si="622"/>
        <v>Coal</v>
      </c>
      <c r="O3761" s="105">
        <f>IFERROR(VLOOKUP(A3761,Lookup!$J$5:$P$19,7,FALSE),0)</f>
        <v>3</v>
      </c>
      <c r="P3761" s="159">
        <f t="shared" si="623"/>
        <v>2014</v>
      </c>
      <c r="Q3761" s="159">
        <f t="shared" si="624"/>
        <v>1</v>
      </c>
      <c r="R3761" s="160">
        <f t="shared" si="625"/>
        <v>5.1166666667559184</v>
      </c>
      <c r="S3761" s="158">
        <f t="shared" si="626"/>
        <v>1.3668636722066638</v>
      </c>
      <c r="T3761" s="161">
        <f t="shared" si="627"/>
        <v>537.17742317721888</v>
      </c>
      <c r="U3761" s="158">
        <f t="shared" si="629"/>
        <v>104.98581560283688</v>
      </c>
      <c r="V3761" s="160">
        <f t="shared" si="628"/>
        <v>105</v>
      </c>
    </row>
    <row r="3762" spans="1:22" x14ac:dyDescent="0.25">
      <c r="A3762" s="98" t="s">
        <v>29</v>
      </c>
      <c r="B3762" s="98" t="s">
        <v>105</v>
      </c>
      <c r="C3762" s="98">
        <v>5</v>
      </c>
      <c r="D3762" s="98">
        <v>360</v>
      </c>
      <c r="E3762" s="157">
        <v>41654.342361111114</v>
      </c>
      <c r="F3762" s="157">
        <v>41654.404166666667</v>
      </c>
      <c r="G3762" s="98">
        <v>372</v>
      </c>
      <c r="H3762" s="98">
        <v>423</v>
      </c>
      <c r="I3762" s="98">
        <v>393</v>
      </c>
      <c r="J3762" s="98" t="s">
        <v>229</v>
      </c>
      <c r="K3762" s="98" t="s">
        <v>1571</v>
      </c>
      <c r="L3762" s="105" t="str">
        <f t="shared" si="620"/>
        <v>Mill Creek</v>
      </c>
      <c r="M3762" s="105" t="str">
        <f t="shared" si="621"/>
        <v>Derate</v>
      </c>
      <c r="N3762" s="105" t="str">
        <f t="shared" si="622"/>
        <v>Coal</v>
      </c>
      <c r="O3762" s="105">
        <f>IFERROR(VLOOKUP(A3762,Lookup!$J$5:$P$19,7,FALSE),0)</f>
        <v>3</v>
      </c>
      <c r="P3762" s="159">
        <f t="shared" si="623"/>
        <v>2014</v>
      </c>
      <c r="Q3762" s="159">
        <f t="shared" si="624"/>
        <v>1</v>
      </c>
      <c r="R3762" s="160">
        <f t="shared" si="625"/>
        <v>1.4833333332790062</v>
      </c>
      <c r="S3762" s="158">
        <f t="shared" si="626"/>
        <v>0.17884160755846173</v>
      </c>
      <c r="T3762" s="161">
        <f t="shared" si="627"/>
        <v>70.284751770475467</v>
      </c>
      <c r="U3762" s="158">
        <f t="shared" si="629"/>
        <v>47.382978723404257</v>
      </c>
      <c r="V3762" s="160">
        <f t="shared" si="628"/>
        <v>47</v>
      </c>
    </row>
    <row r="3763" spans="1:22" x14ac:dyDescent="0.25">
      <c r="A3763" s="98" t="s">
        <v>29</v>
      </c>
      <c r="B3763" s="98" t="s">
        <v>79</v>
      </c>
      <c r="C3763" s="98">
        <v>7</v>
      </c>
      <c r="D3763" s="98">
        <v>8460</v>
      </c>
      <c r="E3763" s="157">
        <v>41654.404166666667</v>
      </c>
      <c r="F3763" s="157">
        <v>41654.506249999999</v>
      </c>
      <c r="G3763" s="98">
        <v>0</v>
      </c>
      <c r="H3763" s="98">
        <v>423</v>
      </c>
      <c r="I3763" s="98">
        <v>393</v>
      </c>
      <c r="J3763" s="98" t="s">
        <v>2651</v>
      </c>
      <c r="K3763" s="98" t="s">
        <v>1572</v>
      </c>
      <c r="L3763" s="105" t="str">
        <f t="shared" si="620"/>
        <v>Mill Creek</v>
      </c>
      <c r="M3763" s="105" t="str">
        <f t="shared" si="621"/>
        <v>Other</v>
      </c>
      <c r="N3763" s="105" t="str">
        <f t="shared" si="622"/>
        <v>Coal</v>
      </c>
      <c r="O3763" s="105">
        <f>IFERROR(VLOOKUP(A3763,Lookup!$J$5:$P$19,7,FALSE),0)</f>
        <v>3</v>
      </c>
      <c r="P3763" s="159">
        <f t="shared" si="623"/>
        <v>2014</v>
      </c>
      <c r="Q3763" s="159">
        <f t="shared" si="624"/>
        <v>1</v>
      </c>
      <c r="R3763" s="160">
        <f t="shared" si="625"/>
        <v>2.4499999999534339</v>
      </c>
      <c r="S3763" s="158">
        <f t="shared" si="626"/>
        <v>2.4499999999534339</v>
      </c>
      <c r="T3763" s="161">
        <f t="shared" si="627"/>
        <v>962.84999998169951</v>
      </c>
      <c r="U3763" s="158">
        <f t="shared" si="629"/>
        <v>393</v>
      </c>
      <c r="V3763" s="160">
        <f t="shared" si="628"/>
        <v>393</v>
      </c>
    </row>
    <row r="3764" spans="1:22" x14ac:dyDescent="0.25">
      <c r="A3764" s="98" t="s">
        <v>29</v>
      </c>
      <c r="B3764" s="98" t="s">
        <v>17</v>
      </c>
      <c r="C3764" s="98">
        <v>8</v>
      </c>
      <c r="D3764" s="98">
        <v>360</v>
      </c>
      <c r="E3764" s="157">
        <v>41654.506249999999</v>
      </c>
      <c r="F3764" s="157">
        <v>41654.550694444442</v>
      </c>
      <c r="G3764" s="98">
        <v>355</v>
      </c>
      <c r="H3764" s="98">
        <v>423</v>
      </c>
      <c r="I3764" s="98">
        <v>393</v>
      </c>
      <c r="J3764" s="98" t="s">
        <v>229</v>
      </c>
      <c r="K3764" s="98" t="s">
        <v>1573</v>
      </c>
      <c r="L3764" s="105" t="str">
        <f t="shared" si="620"/>
        <v>Mill Creek</v>
      </c>
      <c r="M3764" s="105" t="str">
        <f t="shared" si="621"/>
        <v>Derate</v>
      </c>
      <c r="N3764" s="105" t="str">
        <f t="shared" si="622"/>
        <v>Coal</v>
      </c>
      <c r="O3764" s="105">
        <f>IFERROR(VLOOKUP(A3764,Lookup!$J$5:$P$19,7,FALSE),0)</f>
        <v>3</v>
      </c>
      <c r="P3764" s="159">
        <f t="shared" si="623"/>
        <v>2014</v>
      </c>
      <c r="Q3764" s="159">
        <f t="shared" si="624"/>
        <v>1</v>
      </c>
      <c r="R3764" s="160">
        <f t="shared" si="625"/>
        <v>1.0666666666511446</v>
      </c>
      <c r="S3764" s="158">
        <f t="shared" si="626"/>
        <v>0.17147360125834005</v>
      </c>
      <c r="T3764" s="161">
        <f t="shared" si="627"/>
        <v>67.389125294527645</v>
      </c>
      <c r="U3764" s="158">
        <f t="shared" si="629"/>
        <v>63.177304964539005</v>
      </c>
      <c r="V3764" s="160">
        <f t="shared" si="628"/>
        <v>63</v>
      </c>
    </row>
    <row r="3765" spans="1:22" x14ac:dyDescent="0.25">
      <c r="A3765" s="98" t="s">
        <v>29</v>
      </c>
      <c r="B3765" s="98" t="s">
        <v>79</v>
      </c>
      <c r="C3765" s="98">
        <v>9</v>
      </c>
      <c r="D3765" s="98">
        <v>8460</v>
      </c>
      <c r="E3765" s="157">
        <v>41654.551388888889</v>
      </c>
      <c r="F3765" s="157">
        <v>41654.695833333331</v>
      </c>
      <c r="G3765" s="98">
        <v>0</v>
      </c>
      <c r="H3765" s="98">
        <v>423</v>
      </c>
      <c r="I3765" s="98">
        <v>393</v>
      </c>
      <c r="J3765" s="98" t="s">
        <v>2651</v>
      </c>
      <c r="K3765" s="98" t="s">
        <v>1572</v>
      </c>
      <c r="L3765" s="105" t="str">
        <f t="shared" si="620"/>
        <v>Mill Creek</v>
      </c>
      <c r="M3765" s="105" t="str">
        <f t="shared" si="621"/>
        <v>Other</v>
      </c>
      <c r="N3765" s="105" t="str">
        <f t="shared" si="622"/>
        <v>Coal</v>
      </c>
      <c r="O3765" s="105">
        <f>IFERROR(VLOOKUP(A3765,Lookup!$J$5:$P$19,7,FALSE),0)</f>
        <v>3</v>
      </c>
      <c r="P3765" s="159">
        <f t="shared" si="623"/>
        <v>2014</v>
      </c>
      <c r="Q3765" s="159">
        <f t="shared" si="624"/>
        <v>1</v>
      </c>
      <c r="R3765" s="160">
        <f t="shared" si="625"/>
        <v>3.46666666661622</v>
      </c>
      <c r="S3765" s="158">
        <f t="shared" si="626"/>
        <v>3.46666666661622</v>
      </c>
      <c r="T3765" s="161">
        <f t="shared" si="627"/>
        <v>1362.3999999801745</v>
      </c>
      <c r="U3765" s="158">
        <f t="shared" si="629"/>
        <v>393</v>
      </c>
      <c r="V3765" s="160">
        <f t="shared" si="628"/>
        <v>393</v>
      </c>
    </row>
    <row r="3766" spans="1:22" x14ac:dyDescent="0.25">
      <c r="A3766" s="98" t="s">
        <v>29</v>
      </c>
      <c r="B3766" s="98" t="s">
        <v>105</v>
      </c>
      <c r="C3766" s="98">
        <v>10</v>
      </c>
      <c r="D3766" s="98">
        <v>310</v>
      </c>
      <c r="E3766" s="157">
        <v>41656.166666666664</v>
      </c>
      <c r="F3766" s="157">
        <v>41656.21875</v>
      </c>
      <c r="G3766" s="98">
        <v>330</v>
      </c>
      <c r="H3766" s="98">
        <v>423</v>
      </c>
      <c r="I3766" s="98">
        <v>393</v>
      </c>
      <c r="J3766" s="98" t="s">
        <v>1966</v>
      </c>
      <c r="K3766" s="98" t="s">
        <v>1574</v>
      </c>
      <c r="L3766" s="105" t="str">
        <f t="shared" si="620"/>
        <v>Mill Creek</v>
      </c>
      <c r="M3766" s="105" t="str">
        <f t="shared" si="621"/>
        <v>Derate</v>
      </c>
      <c r="N3766" s="105" t="str">
        <f t="shared" si="622"/>
        <v>Coal</v>
      </c>
      <c r="O3766" s="105">
        <f>IFERROR(VLOOKUP(A3766,Lookup!$J$5:$P$19,7,FALSE),0)</f>
        <v>3</v>
      </c>
      <c r="P3766" s="159">
        <f t="shared" si="623"/>
        <v>2014</v>
      </c>
      <c r="Q3766" s="159">
        <f t="shared" si="624"/>
        <v>1</v>
      </c>
      <c r="R3766" s="160">
        <f t="shared" si="625"/>
        <v>1.2500000000582077</v>
      </c>
      <c r="S3766" s="158">
        <f t="shared" si="626"/>
        <v>0.2748226950482584</v>
      </c>
      <c r="T3766" s="161">
        <f t="shared" si="627"/>
        <v>108.00531915396556</v>
      </c>
      <c r="U3766" s="158">
        <f t="shared" si="629"/>
        <v>86.40425531914893</v>
      </c>
      <c r="V3766" s="160">
        <f t="shared" si="628"/>
        <v>86</v>
      </c>
    </row>
    <row r="3767" spans="1:22" x14ac:dyDescent="0.25">
      <c r="A3767" s="98" t="s">
        <v>29</v>
      </c>
      <c r="B3767" s="98" t="s">
        <v>17</v>
      </c>
      <c r="C3767" s="98">
        <v>11</v>
      </c>
      <c r="D3767" s="98">
        <v>360</v>
      </c>
      <c r="E3767" s="157">
        <v>41659.359027777777</v>
      </c>
      <c r="F3767" s="157">
        <v>41659.388888888891</v>
      </c>
      <c r="G3767" s="98">
        <v>335</v>
      </c>
      <c r="H3767" s="98">
        <v>423</v>
      </c>
      <c r="I3767" s="98">
        <v>393</v>
      </c>
      <c r="J3767" s="98" t="s">
        <v>229</v>
      </c>
      <c r="K3767" s="98" t="s">
        <v>1575</v>
      </c>
      <c r="L3767" s="105" t="str">
        <f t="shared" si="620"/>
        <v>Mill Creek</v>
      </c>
      <c r="M3767" s="105" t="str">
        <f t="shared" si="621"/>
        <v>Derate</v>
      </c>
      <c r="N3767" s="105" t="str">
        <f t="shared" si="622"/>
        <v>Coal</v>
      </c>
      <c r="O3767" s="105">
        <f>IFERROR(VLOOKUP(A3767,Lookup!$J$5:$P$19,7,FALSE),0)</f>
        <v>3</v>
      </c>
      <c r="P3767" s="159">
        <f t="shared" si="623"/>
        <v>2014</v>
      </c>
      <c r="Q3767" s="159">
        <f t="shared" si="624"/>
        <v>1</v>
      </c>
      <c r="R3767" s="160">
        <f t="shared" si="625"/>
        <v>0.71666666673263535</v>
      </c>
      <c r="S3767" s="158">
        <f t="shared" si="626"/>
        <v>0.14909377463941351</v>
      </c>
      <c r="T3767" s="161">
        <f t="shared" si="627"/>
        <v>58.59385343328951</v>
      </c>
      <c r="U3767" s="158">
        <f t="shared" si="629"/>
        <v>81.758865248226954</v>
      </c>
      <c r="V3767" s="160">
        <f t="shared" si="628"/>
        <v>82</v>
      </c>
    </row>
    <row r="3768" spans="1:22" x14ac:dyDescent="0.25">
      <c r="A3768" s="98" t="s">
        <v>29</v>
      </c>
      <c r="B3768" s="98" t="s">
        <v>105</v>
      </c>
      <c r="C3768" s="98">
        <v>12</v>
      </c>
      <c r="D3768" s="98">
        <v>360</v>
      </c>
      <c r="E3768" s="157">
        <v>41659.875</v>
      </c>
      <c r="F3768" s="157">
        <v>41660.038194444445</v>
      </c>
      <c r="G3768" s="98">
        <v>325</v>
      </c>
      <c r="H3768" s="98">
        <v>423</v>
      </c>
      <c r="I3768" s="98">
        <v>393</v>
      </c>
      <c r="J3768" s="98" t="s">
        <v>229</v>
      </c>
      <c r="K3768" s="98" t="s">
        <v>1576</v>
      </c>
      <c r="L3768" s="105" t="str">
        <f t="shared" si="620"/>
        <v>Mill Creek</v>
      </c>
      <c r="M3768" s="105" t="str">
        <f t="shared" si="621"/>
        <v>Derate</v>
      </c>
      <c r="N3768" s="105" t="str">
        <f t="shared" si="622"/>
        <v>Coal</v>
      </c>
      <c r="O3768" s="105">
        <f>IFERROR(VLOOKUP(A3768,Lookup!$J$5:$P$19,7,FALSE),0)</f>
        <v>3</v>
      </c>
      <c r="P3768" s="159">
        <f t="shared" si="623"/>
        <v>2014</v>
      </c>
      <c r="Q3768" s="159">
        <f t="shared" si="624"/>
        <v>1</v>
      </c>
      <c r="R3768" s="160">
        <f t="shared" si="625"/>
        <v>3.9166666666860692</v>
      </c>
      <c r="S3768" s="158">
        <f t="shared" si="626"/>
        <v>0.90740740741190251</v>
      </c>
      <c r="T3768" s="161">
        <f t="shared" si="627"/>
        <v>356.61111111287767</v>
      </c>
      <c r="U3768" s="158">
        <f t="shared" si="629"/>
        <v>91.049645390070921</v>
      </c>
      <c r="V3768" s="160">
        <f t="shared" si="628"/>
        <v>91</v>
      </c>
    </row>
    <row r="3769" spans="1:22" x14ac:dyDescent="0.25">
      <c r="A3769" s="98" t="s">
        <v>29</v>
      </c>
      <c r="B3769" s="98" t="s">
        <v>17</v>
      </c>
      <c r="C3769" s="98">
        <v>13</v>
      </c>
      <c r="D3769" s="98">
        <v>300</v>
      </c>
      <c r="E3769" s="157">
        <v>41662.72152777778</v>
      </c>
      <c r="F3769" s="157">
        <v>41662.960416666669</v>
      </c>
      <c r="G3769" s="98">
        <v>335</v>
      </c>
      <c r="H3769" s="98">
        <v>423</v>
      </c>
      <c r="I3769" s="98">
        <v>393</v>
      </c>
      <c r="J3769" s="98" t="s">
        <v>1977</v>
      </c>
      <c r="K3769" s="98" t="s">
        <v>1577</v>
      </c>
      <c r="L3769" s="105" t="str">
        <f t="shared" si="620"/>
        <v>Mill Creek</v>
      </c>
      <c r="M3769" s="105" t="str">
        <f t="shared" si="621"/>
        <v>Derate</v>
      </c>
      <c r="N3769" s="105" t="str">
        <f t="shared" si="622"/>
        <v>Coal</v>
      </c>
      <c r="O3769" s="105">
        <f>IFERROR(VLOOKUP(A3769,Lookup!$J$5:$P$19,7,FALSE),0)</f>
        <v>3</v>
      </c>
      <c r="P3769" s="159">
        <f t="shared" si="623"/>
        <v>2014</v>
      </c>
      <c r="Q3769" s="159">
        <f t="shared" si="624"/>
        <v>1</v>
      </c>
      <c r="R3769" s="160">
        <f t="shared" si="625"/>
        <v>5.7333333333372138</v>
      </c>
      <c r="S3769" s="158">
        <f t="shared" si="626"/>
        <v>1.1927501970063235</v>
      </c>
      <c r="T3769" s="161">
        <f t="shared" si="627"/>
        <v>468.75082742348513</v>
      </c>
      <c r="U3769" s="158">
        <f t="shared" si="629"/>
        <v>81.758865248226954</v>
      </c>
      <c r="V3769" s="160">
        <f t="shared" si="628"/>
        <v>82</v>
      </c>
    </row>
    <row r="3770" spans="1:22" x14ac:dyDescent="0.25">
      <c r="A3770" s="98" t="s">
        <v>29</v>
      </c>
      <c r="B3770" s="98" t="s">
        <v>17</v>
      </c>
      <c r="C3770" s="98">
        <v>14</v>
      </c>
      <c r="D3770" s="98">
        <v>360</v>
      </c>
      <c r="E3770" s="157">
        <v>41662.922222222223</v>
      </c>
      <c r="F3770" s="157">
        <v>41662.960416666669</v>
      </c>
      <c r="G3770" s="98">
        <v>225</v>
      </c>
      <c r="H3770" s="98">
        <v>423</v>
      </c>
      <c r="I3770" s="98">
        <v>393</v>
      </c>
      <c r="J3770" s="98" t="s">
        <v>229</v>
      </c>
      <c r="K3770" s="98" t="s">
        <v>1573</v>
      </c>
      <c r="L3770" s="105" t="str">
        <f t="shared" si="620"/>
        <v>Mill Creek</v>
      </c>
      <c r="M3770" s="105" t="str">
        <f t="shared" si="621"/>
        <v>Derate</v>
      </c>
      <c r="N3770" s="105" t="str">
        <f t="shared" si="622"/>
        <v>Coal</v>
      </c>
      <c r="O3770" s="105">
        <f>IFERROR(VLOOKUP(A3770,Lookup!$J$5:$P$19,7,FALSE),0)</f>
        <v>3</v>
      </c>
      <c r="P3770" s="159">
        <f t="shared" si="623"/>
        <v>2014</v>
      </c>
      <c r="Q3770" s="159">
        <f t="shared" si="624"/>
        <v>1</v>
      </c>
      <c r="R3770" s="160">
        <f t="shared" si="625"/>
        <v>0.91666666668606922</v>
      </c>
      <c r="S3770" s="158">
        <f t="shared" si="626"/>
        <v>0.42907801419347918</v>
      </c>
      <c r="T3770" s="161">
        <f t="shared" si="627"/>
        <v>168.62765957803731</v>
      </c>
      <c r="U3770" s="158">
        <f t="shared" si="629"/>
        <v>183.95744680851064</v>
      </c>
      <c r="V3770" s="160">
        <f t="shared" si="628"/>
        <v>184</v>
      </c>
    </row>
    <row r="3771" spans="1:22" x14ac:dyDescent="0.25">
      <c r="A3771" s="98" t="s">
        <v>29</v>
      </c>
      <c r="B3771" s="98" t="s">
        <v>17</v>
      </c>
      <c r="C3771" s="98">
        <v>15</v>
      </c>
      <c r="D3771" s="98">
        <v>300</v>
      </c>
      <c r="E3771" s="157">
        <v>41662.960416666669</v>
      </c>
      <c r="F3771" s="157">
        <v>41662.974305555559</v>
      </c>
      <c r="G3771" s="98">
        <v>330</v>
      </c>
      <c r="H3771" s="98">
        <v>423</v>
      </c>
      <c r="I3771" s="98">
        <v>393</v>
      </c>
      <c r="J3771" s="98" t="s">
        <v>1977</v>
      </c>
      <c r="K3771" s="98" t="s">
        <v>1577</v>
      </c>
      <c r="L3771" s="105" t="str">
        <f t="shared" si="620"/>
        <v>Mill Creek</v>
      </c>
      <c r="M3771" s="105" t="str">
        <f t="shared" si="621"/>
        <v>Derate</v>
      </c>
      <c r="N3771" s="105" t="str">
        <f t="shared" si="622"/>
        <v>Coal</v>
      </c>
      <c r="O3771" s="105">
        <f>IFERROR(VLOOKUP(A3771,Lookup!$J$5:$P$19,7,FALSE),0)</f>
        <v>3</v>
      </c>
      <c r="P3771" s="159">
        <f t="shared" si="623"/>
        <v>2014</v>
      </c>
      <c r="Q3771" s="159">
        <f t="shared" si="624"/>
        <v>1</v>
      </c>
      <c r="R3771" s="160">
        <f t="shared" si="625"/>
        <v>0.33333333337213844</v>
      </c>
      <c r="S3771" s="158">
        <f t="shared" si="626"/>
        <v>7.3286052017987879E-2</v>
      </c>
      <c r="T3771" s="161">
        <f t="shared" si="627"/>
        <v>28.801418443069238</v>
      </c>
      <c r="U3771" s="158">
        <f t="shared" si="629"/>
        <v>86.40425531914893</v>
      </c>
      <c r="V3771" s="160">
        <f t="shared" si="628"/>
        <v>86</v>
      </c>
    </row>
    <row r="3772" spans="1:22" x14ac:dyDescent="0.25">
      <c r="A3772" s="98" t="s">
        <v>29</v>
      </c>
      <c r="B3772" s="98" t="s">
        <v>17</v>
      </c>
      <c r="C3772" s="98">
        <v>16</v>
      </c>
      <c r="D3772" s="98">
        <v>360</v>
      </c>
      <c r="E3772" s="157">
        <v>41663.99722222222</v>
      </c>
      <c r="F3772" s="157">
        <v>41664.065972222219</v>
      </c>
      <c r="G3772" s="98">
        <v>360</v>
      </c>
      <c r="H3772" s="98">
        <v>423</v>
      </c>
      <c r="I3772" s="98">
        <v>393</v>
      </c>
      <c r="J3772" s="98" t="s">
        <v>229</v>
      </c>
      <c r="K3772" s="98" t="s">
        <v>1578</v>
      </c>
      <c r="L3772" s="105" t="str">
        <f t="shared" si="620"/>
        <v>Mill Creek</v>
      </c>
      <c r="M3772" s="105" t="str">
        <f t="shared" si="621"/>
        <v>Derate</v>
      </c>
      <c r="N3772" s="105" t="str">
        <f t="shared" si="622"/>
        <v>Coal</v>
      </c>
      <c r="O3772" s="105">
        <f>IFERROR(VLOOKUP(A3772,Lookup!$J$5:$P$19,7,FALSE),0)</f>
        <v>3</v>
      </c>
      <c r="P3772" s="159">
        <f t="shared" si="623"/>
        <v>2014</v>
      </c>
      <c r="Q3772" s="159">
        <f t="shared" si="624"/>
        <v>1</v>
      </c>
      <c r="R3772" s="160">
        <f t="shared" si="625"/>
        <v>1.6499999999650754</v>
      </c>
      <c r="S3772" s="158">
        <f t="shared" si="626"/>
        <v>0.24574468084586229</v>
      </c>
      <c r="T3772" s="161">
        <f t="shared" si="627"/>
        <v>96.577659572423883</v>
      </c>
      <c r="U3772" s="158">
        <f t="shared" si="629"/>
        <v>58.531914893617021</v>
      </c>
      <c r="V3772" s="160">
        <f t="shared" si="628"/>
        <v>59</v>
      </c>
    </row>
    <row r="3773" spans="1:22" x14ac:dyDescent="0.25">
      <c r="A3773" s="98" t="s">
        <v>29</v>
      </c>
      <c r="B3773" s="98" t="s">
        <v>17</v>
      </c>
      <c r="C3773" s="98">
        <v>17</v>
      </c>
      <c r="D3773" s="98">
        <v>360</v>
      </c>
      <c r="E3773" s="157">
        <v>41667.404861111114</v>
      </c>
      <c r="F3773" s="157">
        <v>41667.445833333331</v>
      </c>
      <c r="G3773" s="98">
        <v>360</v>
      </c>
      <c r="H3773" s="98">
        <v>423</v>
      </c>
      <c r="I3773" s="98">
        <v>393</v>
      </c>
      <c r="J3773" s="98" t="s">
        <v>229</v>
      </c>
      <c r="K3773" s="98" t="s">
        <v>1579</v>
      </c>
      <c r="L3773" s="105" t="str">
        <f t="shared" si="620"/>
        <v>Mill Creek</v>
      </c>
      <c r="M3773" s="105" t="str">
        <f t="shared" si="621"/>
        <v>Derate</v>
      </c>
      <c r="N3773" s="105" t="str">
        <f t="shared" si="622"/>
        <v>Coal</v>
      </c>
      <c r="O3773" s="105">
        <f>IFERROR(VLOOKUP(A3773,Lookup!$J$5:$P$19,7,FALSE),0)</f>
        <v>3</v>
      </c>
      <c r="P3773" s="159">
        <f t="shared" si="623"/>
        <v>2014</v>
      </c>
      <c r="Q3773" s="159">
        <f t="shared" si="624"/>
        <v>1</v>
      </c>
      <c r="R3773" s="160">
        <f t="shared" si="625"/>
        <v>0.98333333322079852</v>
      </c>
      <c r="S3773" s="158">
        <f t="shared" si="626"/>
        <v>0.14645390069245937</v>
      </c>
      <c r="T3773" s="161">
        <f t="shared" si="627"/>
        <v>57.556382972136532</v>
      </c>
      <c r="U3773" s="158">
        <f t="shared" si="629"/>
        <v>58.531914893617021</v>
      </c>
      <c r="V3773" s="160">
        <f t="shared" si="628"/>
        <v>59</v>
      </c>
    </row>
    <row r="3774" spans="1:22" x14ac:dyDescent="0.25">
      <c r="A3774" s="98" t="s">
        <v>29</v>
      </c>
      <c r="B3774" s="98" t="s">
        <v>17</v>
      </c>
      <c r="C3774" s="98">
        <v>18</v>
      </c>
      <c r="D3774" s="98">
        <v>360</v>
      </c>
      <c r="E3774" s="157">
        <v>41667.6875</v>
      </c>
      <c r="F3774" s="157">
        <v>41667.711805555555</v>
      </c>
      <c r="G3774" s="98">
        <v>360</v>
      </c>
      <c r="H3774" s="98">
        <v>423</v>
      </c>
      <c r="I3774" s="98">
        <v>393</v>
      </c>
      <c r="J3774" s="98" t="s">
        <v>229</v>
      </c>
      <c r="K3774" s="98" t="s">
        <v>1580</v>
      </c>
      <c r="L3774" s="105" t="str">
        <f t="shared" si="620"/>
        <v>Mill Creek</v>
      </c>
      <c r="M3774" s="105" t="str">
        <f t="shared" si="621"/>
        <v>Derate</v>
      </c>
      <c r="N3774" s="105" t="str">
        <f t="shared" si="622"/>
        <v>Coal</v>
      </c>
      <c r="O3774" s="105">
        <f>IFERROR(VLOOKUP(A3774,Lookup!$J$5:$P$19,7,FALSE),0)</f>
        <v>3</v>
      </c>
      <c r="P3774" s="159">
        <f t="shared" si="623"/>
        <v>2014</v>
      </c>
      <c r="Q3774" s="159">
        <f t="shared" si="624"/>
        <v>1</v>
      </c>
      <c r="R3774" s="160">
        <f t="shared" si="625"/>
        <v>0.58333333331393078</v>
      </c>
      <c r="S3774" s="158">
        <f t="shared" si="626"/>
        <v>8.6879432621223732E-2</v>
      </c>
      <c r="T3774" s="161">
        <f t="shared" si="627"/>
        <v>34.14361702014093</v>
      </c>
      <c r="U3774" s="158">
        <f t="shared" si="629"/>
        <v>58.531914893617021</v>
      </c>
      <c r="V3774" s="160">
        <f t="shared" si="628"/>
        <v>59</v>
      </c>
    </row>
    <row r="3775" spans="1:22" x14ac:dyDescent="0.25">
      <c r="A3775" s="98" t="s">
        <v>29</v>
      </c>
      <c r="B3775" s="98" t="s">
        <v>17</v>
      </c>
      <c r="C3775" s="98">
        <v>19</v>
      </c>
      <c r="D3775" s="98">
        <v>360</v>
      </c>
      <c r="E3775" s="157">
        <v>41670.339583333334</v>
      </c>
      <c r="F3775" s="162">
        <v>41670.383333333331</v>
      </c>
      <c r="G3775" s="98">
        <v>340</v>
      </c>
      <c r="H3775" s="98">
        <v>423</v>
      </c>
      <c r="I3775" s="98">
        <v>393</v>
      </c>
      <c r="J3775" s="98" t="s">
        <v>229</v>
      </c>
      <c r="K3775" s="98" t="s">
        <v>1579</v>
      </c>
      <c r="L3775" s="105" t="str">
        <f t="shared" si="620"/>
        <v>Mill Creek</v>
      </c>
      <c r="M3775" s="105" t="str">
        <f t="shared" si="621"/>
        <v>Derate</v>
      </c>
      <c r="N3775" s="105" t="str">
        <f t="shared" si="622"/>
        <v>Coal</v>
      </c>
      <c r="O3775" s="105">
        <f>IFERROR(VLOOKUP(A3775,Lookup!$J$5:$P$19,7,FALSE),0)</f>
        <v>3</v>
      </c>
      <c r="P3775" s="159">
        <f t="shared" si="623"/>
        <v>2014</v>
      </c>
      <c r="Q3775" s="159">
        <f t="shared" si="624"/>
        <v>1</v>
      </c>
      <c r="R3775" s="160">
        <f t="shared" si="625"/>
        <v>1.0499999999301508</v>
      </c>
      <c r="S3775" s="158">
        <f t="shared" si="626"/>
        <v>0.20602836878062061</v>
      </c>
      <c r="T3775" s="161">
        <f t="shared" si="627"/>
        <v>80.969148930783902</v>
      </c>
      <c r="U3775" s="158">
        <f t="shared" si="629"/>
        <v>77.113475177304963</v>
      </c>
      <c r="V3775" s="160">
        <f t="shared" si="628"/>
        <v>77</v>
      </c>
    </row>
    <row r="3776" spans="1:22" x14ac:dyDescent="0.25">
      <c r="A3776" s="98" t="s">
        <v>29</v>
      </c>
      <c r="B3776" s="98" t="s">
        <v>17</v>
      </c>
      <c r="C3776" s="98">
        <v>20</v>
      </c>
      <c r="D3776" s="98">
        <v>250</v>
      </c>
      <c r="E3776" s="157">
        <v>41677.751388888886</v>
      </c>
      <c r="F3776" s="157">
        <v>41678.229166666664</v>
      </c>
      <c r="G3776" s="98">
        <v>325</v>
      </c>
      <c r="H3776" s="98">
        <v>423</v>
      </c>
      <c r="I3776" s="98">
        <v>393</v>
      </c>
      <c r="J3776" s="98" t="s">
        <v>1978</v>
      </c>
      <c r="K3776" s="98" t="s">
        <v>1581</v>
      </c>
      <c r="L3776" s="105" t="str">
        <f t="shared" si="620"/>
        <v>Mill Creek</v>
      </c>
      <c r="M3776" s="105" t="str">
        <f t="shared" si="621"/>
        <v>Derate</v>
      </c>
      <c r="N3776" s="105" t="str">
        <f t="shared" si="622"/>
        <v>Coal</v>
      </c>
      <c r="O3776" s="105">
        <f>IFERROR(VLOOKUP(A3776,Lookup!$J$5:$P$19,7,FALSE),0)</f>
        <v>3</v>
      </c>
      <c r="P3776" s="159">
        <f t="shared" si="623"/>
        <v>2014</v>
      </c>
      <c r="Q3776" s="159">
        <f t="shared" si="624"/>
        <v>2</v>
      </c>
      <c r="R3776" s="160">
        <f t="shared" si="625"/>
        <v>11.466666666674428</v>
      </c>
      <c r="S3776" s="158">
        <f t="shared" si="626"/>
        <v>2.6565799842413567</v>
      </c>
      <c r="T3776" s="161">
        <f t="shared" si="627"/>
        <v>1044.0359338068531</v>
      </c>
      <c r="U3776" s="158">
        <f t="shared" si="629"/>
        <v>91.049645390070921</v>
      </c>
      <c r="V3776" s="160">
        <f t="shared" si="628"/>
        <v>91</v>
      </c>
    </row>
    <row r="3777" spans="1:22" x14ac:dyDescent="0.25">
      <c r="A3777" s="98" t="s">
        <v>29</v>
      </c>
      <c r="B3777" s="98" t="s">
        <v>17</v>
      </c>
      <c r="C3777" s="98">
        <v>21</v>
      </c>
      <c r="D3777" s="98">
        <v>360</v>
      </c>
      <c r="E3777" s="157">
        <v>41679.378472222219</v>
      </c>
      <c r="F3777" s="157">
        <v>41679.434027777781</v>
      </c>
      <c r="G3777" s="98">
        <v>330</v>
      </c>
      <c r="H3777" s="98">
        <v>423</v>
      </c>
      <c r="I3777" s="98">
        <v>393</v>
      </c>
      <c r="J3777" s="98" t="s">
        <v>229</v>
      </c>
      <c r="K3777" s="98" t="s">
        <v>1575</v>
      </c>
      <c r="L3777" s="105" t="str">
        <f t="shared" si="620"/>
        <v>Mill Creek</v>
      </c>
      <c r="M3777" s="105" t="str">
        <f t="shared" si="621"/>
        <v>Derate</v>
      </c>
      <c r="N3777" s="105" t="str">
        <f t="shared" si="622"/>
        <v>Coal</v>
      </c>
      <c r="O3777" s="105">
        <f>IFERROR(VLOOKUP(A3777,Lookup!$J$5:$P$19,7,FALSE),0)</f>
        <v>3</v>
      </c>
      <c r="P3777" s="159">
        <f t="shared" si="623"/>
        <v>2014</v>
      </c>
      <c r="Q3777" s="159">
        <f t="shared" si="624"/>
        <v>2</v>
      </c>
      <c r="R3777" s="160">
        <f t="shared" si="625"/>
        <v>1.3333333334885538</v>
      </c>
      <c r="S3777" s="158">
        <f t="shared" si="626"/>
        <v>0.29314420807195152</v>
      </c>
      <c r="T3777" s="161">
        <f t="shared" si="627"/>
        <v>115.20567377227695</v>
      </c>
      <c r="U3777" s="158">
        <f t="shared" si="629"/>
        <v>86.40425531914893</v>
      </c>
      <c r="V3777" s="160">
        <f t="shared" si="628"/>
        <v>86</v>
      </c>
    </row>
    <row r="3778" spans="1:22" x14ac:dyDescent="0.25">
      <c r="A3778" s="98" t="s">
        <v>29</v>
      </c>
      <c r="B3778" s="98" t="s">
        <v>17</v>
      </c>
      <c r="C3778" s="98">
        <v>22</v>
      </c>
      <c r="D3778" s="98">
        <v>360</v>
      </c>
      <c r="E3778" s="157">
        <v>41679.451388888891</v>
      </c>
      <c r="F3778" s="157">
        <v>41679.691666666666</v>
      </c>
      <c r="G3778" s="98">
        <v>330</v>
      </c>
      <c r="H3778" s="98">
        <v>423</v>
      </c>
      <c r="I3778" s="98">
        <v>393</v>
      </c>
      <c r="J3778" s="98" t="s">
        <v>229</v>
      </c>
      <c r="K3778" s="98" t="s">
        <v>1582</v>
      </c>
      <c r="L3778" s="105" t="str">
        <f t="shared" si="620"/>
        <v>Mill Creek</v>
      </c>
      <c r="M3778" s="105" t="str">
        <f t="shared" si="621"/>
        <v>Derate</v>
      </c>
      <c r="N3778" s="105" t="str">
        <f t="shared" si="622"/>
        <v>Coal</v>
      </c>
      <c r="O3778" s="105">
        <f>IFERROR(VLOOKUP(A3778,Lookup!$J$5:$P$19,7,FALSE),0)</f>
        <v>3</v>
      </c>
      <c r="P3778" s="159">
        <f t="shared" si="623"/>
        <v>2014</v>
      </c>
      <c r="Q3778" s="159">
        <f t="shared" si="624"/>
        <v>2</v>
      </c>
      <c r="R3778" s="160">
        <f t="shared" si="625"/>
        <v>5.7666666666045785</v>
      </c>
      <c r="S3778" s="158">
        <f t="shared" si="626"/>
        <v>1.2678486997499427</v>
      </c>
      <c r="T3778" s="161">
        <f t="shared" si="627"/>
        <v>498.26453900172748</v>
      </c>
      <c r="U3778" s="158">
        <f t="shared" si="629"/>
        <v>86.40425531914893</v>
      </c>
      <c r="V3778" s="160">
        <f t="shared" si="628"/>
        <v>86</v>
      </c>
    </row>
    <row r="3779" spans="1:22" x14ac:dyDescent="0.25">
      <c r="A3779" s="98" t="s">
        <v>29</v>
      </c>
      <c r="B3779" s="98" t="s">
        <v>17</v>
      </c>
      <c r="C3779" s="98">
        <v>23</v>
      </c>
      <c r="D3779" s="98">
        <v>310</v>
      </c>
      <c r="E3779" s="157">
        <v>41679.911111111112</v>
      </c>
      <c r="F3779" s="157">
        <v>41680.331944444442</v>
      </c>
      <c r="G3779" s="98">
        <v>320</v>
      </c>
      <c r="H3779" s="98">
        <v>423</v>
      </c>
      <c r="I3779" s="98">
        <v>393</v>
      </c>
      <c r="J3779" s="98" t="s">
        <v>1966</v>
      </c>
      <c r="K3779" s="98" t="s">
        <v>1583</v>
      </c>
      <c r="L3779" s="105" t="str">
        <f t="shared" si="620"/>
        <v>Mill Creek</v>
      </c>
      <c r="M3779" s="105" t="str">
        <f t="shared" si="621"/>
        <v>Derate</v>
      </c>
      <c r="N3779" s="105" t="str">
        <f t="shared" si="622"/>
        <v>Coal</v>
      </c>
      <c r="O3779" s="105">
        <f>IFERROR(VLOOKUP(A3779,Lookup!$J$5:$P$19,7,FALSE),0)</f>
        <v>3</v>
      </c>
      <c r="P3779" s="159">
        <f t="shared" si="623"/>
        <v>2014</v>
      </c>
      <c r="Q3779" s="159">
        <f t="shared" si="624"/>
        <v>2</v>
      </c>
      <c r="R3779" s="160">
        <f t="shared" si="625"/>
        <v>10.099999999918509</v>
      </c>
      <c r="S3779" s="158">
        <f t="shared" si="626"/>
        <v>2.459338061445878</v>
      </c>
      <c r="T3779" s="161">
        <f t="shared" si="627"/>
        <v>966.51985814823001</v>
      </c>
      <c r="U3779" s="158">
        <f t="shared" si="629"/>
        <v>95.695035460992912</v>
      </c>
      <c r="V3779" s="160">
        <f t="shared" si="628"/>
        <v>96</v>
      </c>
    </row>
    <row r="3780" spans="1:22" x14ac:dyDescent="0.25">
      <c r="A3780" s="98" t="s">
        <v>29</v>
      </c>
      <c r="B3780" s="98" t="s">
        <v>105</v>
      </c>
      <c r="C3780" s="98">
        <v>24</v>
      </c>
      <c r="D3780" s="98">
        <v>250</v>
      </c>
      <c r="E3780" s="157">
        <v>41680.458333333336</v>
      </c>
      <c r="F3780" s="157">
        <v>41680.670138888891</v>
      </c>
      <c r="G3780" s="98">
        <v>330</v>
      </c>
      <c r="H3780" s="98">
        <v>423</v>
      </c>
      <c r="I3780" s="98">
        <v>393</v>
      </c>
      <c r="J3780" s="98" t="s">
        <v>1978</v>
      </c>
      <c r="K3780" s="98" t="s">
        <v>109</v>
      </c>
      <c r="L3780" s="105" t="str">
        <f t="shared" si="620"/>
        <v>Mill Creek</v>
      </c>
      <c r="M3780" s="105" t="str">
        <f t="shared" si="621"/>
        <v>Derate</v>
      </c>
      <c r="N3780" s="105" t="str">
        <f t="shared" si="622"/>
        <v>Coal</v>
      </c>
      <c r="O3780" s="105">
        <f>IFERROR(VLOOKUP(A3780,Lookup!$J$5:$P$19,7,FALSE),0)</f>
        <v>3</v>
      </c>
      <c r="P3780" s="159">
        <f t="shared" si="623"/>
        <v>2014</v>
      </c>
      <c r="Q3780" s="159">
        <f t="shared" si="624"/>
        <v>2</v>
      </c>
      <c r="R3780" s="160">
        <f t="shared" si="625"/>
        <v>5.0833333333139308</v>
      </c>
      <c r="S3780" s="158">
        <f t="shared" si="626"/>
        <v>1.1176122931399421</v>
      </c>
      <c r="T3780" s="161">
        <f t="shared" si="627"/>
        <v>439.22163120399728</v>
      </c>
      <c r="U3780" s="158">
        <f t="shared" si="629"/>
        <v>86.40425531914893</v>
      </c>
      <c r="V3780" s="160">
        <f t="shared" si="628"/>
        <v>86</v>
      </c>
    </row>
    <row r="3781" spans="1:22" x14ac:dyDescent="0.25">
      <c r="A3781" s="98" t="s">
        <v>29</v>
      </c>
      <c r="B3781" s="98" t="s">
        <v>17</v>
      </c>
      <c r="C3781" s="98">
        <v>25</v>
      </c>
      <c r="D3781" s="98">
        <v>360</v>
      </c>
      <c r="E3781" s="157">
        <v>41680.820833333331</v>
      </c>
      <c r="F3781" s="157">
        <v>41680.831250000003</v>
      </c>
      <c r="G3781" s="98">
        <v>320</v>
      </c>
      <c r="H3781" s="98">
        <v>423</v>
      </c>
      <c r="I3781" s="98">
        <v>393</v>
      </c>
      <c r="J3781" s="98" t="s">
        <v>229</v>
      </c>
      <c r="K3781" s="98" t="s">
        <v>1584</v>
      </c>
      <c r="L3781" s="105" t="str">
        <f t="shared" si="620"/>
        <v>Mill Creek</v>
      </c>
      <c r="M3781" s="105" t="str">
        <f t="shared" si="621"/>
        <v>Derate</v>
      </c>
      <c r="N3781" s="105" t="str">
        <f t="shared" si="622"/>
        <v>Coal</v>
      </c>
      <c r="O3781" s="105">
        <f>IFERROR(VLOOKUP(A3781,Lookup!$J$5:$P$19,7,FALSE),0)</f>
        <v>3</v>
      </c>
      <c r="P3781" s="159">
        <f t="shared" si="623"/>
        <v>2014</v>
      </c>
      <c r="Q3781" s="159">
        <f t="shared" si="624"/>
        <v>2</v>
      </c>
      <c r="R3781" s="160">
        <f t="shared" si="625"/>
        <v>0.25000000011641532</v>
      </c>
      <c r="S3781" s="158">
        <f t="shared" si="626"/>
        <v>6.0874704520072764E-2</v>
      </c>
      <c r="T3781" s="161">
        <f t="shared" si="627"/>
        <v>23.923758876388597</v>
      </c>
      <c r="U3781" s="158">
        <f t="shared" si="629"/>
        <v>95.695035460992912</v>
      </c>
      <c r="V3781" s="160">
        <f t="shared" si="628"/>
        <v>96</v>
      </c>
    </row>
    <row r="3782" spans="1:22" x14ac:dyDescent="0.25">
      <c r="A3782" s="98" t="s">
        <v>29</v>
      </c>
      <c r="B3782" s="98" t="s">
        <v>17</v>
      </c>
      <c r="C3782" s="98">
        <v>26</v>
      </c>
      <c r="D3782" s="98">
        <v>360</v>
      </c>
      <c r="E3782" s="157">
        <v>41685.46597222222</v>
      </c>
      <c r="F3782" s="157">
        <v>41685.529861111114</v>
      </c>
      <c r="G3782" s="98">
        <v>360</v>
      </c>
      <c r="H3782" s="98">
        <v>423</v>
      </c>
      <c r="I3782" s="98">
        <v>393</v>
      </c>
      <c r="J3782" s="98" t="s">
        <v>229</v>
      </c>
      <c r="K3782" s="98" t="s">
        <v>1585</v>
      </c>
      <c r="L3782" s="105" t="str">
        <f t="shared" si="620"/>
        <v>Mill Creek</v>
      </c>
      <c r="M3782" s="105" t="str">
        <f t="shared" si="621"/>
        <v>Derate</v>
      </c>
      <c r="N3782" s="105" t="str">
        <f t="shared" si="622"/>
        <v>Coal</v>
      </c>
      <c r="O3782" s="105">
        <f>IFERROR(VLOOKUP(A3782,Lookup!$J$5:$P$19,7,FALSE),0)</f>
        <v>3</v>
      </c>
      <c r="P3782" s="159">
        <f t="shared" si="623"/>
        <v>2014</v>
      </c>
      <c r="Q3782" s="159">
        <f t="shared" si="624"/>
        <v>2</v>
      </c>
      <c r="R3782" s="160">
        <f t="shared" si="625"/>
        <v>1.5333333334419876</v>
      </c>
      <c r="S3782" s="158">
        <f t="shared" si="626"/>
        <v>0.22836879434242369</v>
      </c>
      <c r="T3782" s="161">
        <f t="shared" si="627"/>
        <v>89.748936176572514</v>
      </c>
      <c r="U3782" s="158">
        <f t="shared" si="629"/>
        <v>58.531914893617021</v>
      </c>
      <c r="V3782" s="160">
        <f t="shared" si="628"/>
        <v>59</v>
      </c>
    </row>
    <row r="3783" spans="1:22" x14ac:dyDescent="0.25">
      <c r="A3783" s="98" t="s">
        <v>29</v>
      </c>
      <c r="B3783" s="98" t="s">
        <v>17</v>
      </c>
      <c r="C3783" s="98">
        <v>27</v>
      </c>
      <c r="D3783" s="98">
        <v>360</v>
      </c>
      <c r="E3783" s="157">
        <v>41685.561111111114</v>
      </c>
      <c r="F3783" s="157">
        <v>41685.597222222219</v>
      </c>
      <c r="G3783" s="98">
        <v>360</v>
      </c>
      <c r="H3783" s="98">
        <v>423</v>
      </c>
      <c r="I3783" s="98">
        <v>393</v>
      </c>
      <c r="J3783" s="98" t="s">
        <v>229</v>
      </c>
      <c r="K3783" s="98" t="s">
        <v>1586</v>
      </c>
      <c r="L3783" s="105" t="str">
        <f t="shared" si="620"/>
        <v>Mill Creek</v>
      </c>
      <c r="M3783" s="105" t="str">
        <f t="shared" si="621"/>
        <v>Derate</v>
      </c>
      <c r="N3783" s="105" t="str">
        <f t="shared" si="622"/>
        <v>Coal</v>
      </c>
      <c r="O3783" s="105">
        <f>IFERROR(VLOOKUP(A3783,Lookup!$J$5:$P$19,7,FALSE),0)</f>
        <v>3</v>
      </c>
      <c r="P3783" s="159">
        <f t="shared" si="623"/>
        <v>2014</v>
      </c>
      <c r="Q3783" s="159">
        <f t="shared" si="624"/>
        <v>2</v>
      </c>
      <c r="R3783" s="160">
        <f t="shared" si="625"/>
        <v>0.86666666652308777</v>
      </c>
      <c r="S3783" s="158">
        <f t="shared" si="626"/>
        <v>0.12907801416301307</v>
      </c>
      <c r="T3783" s="161">
        <f t="shared" si="627"/>
        <v>50.727659566064133</v>
      </c>
      <c r="U3783" s="158">
        <f t="shared" si="629"/>
        <v>58.531914893617021</v>
      </c>
      <c r="V3783" s="160">
        <f t="shared" si="628"/>
        <v>59</v>
      </c>
    </row>
    <row r="3784" spans="1:22" x14ac:dyDescent="0.25">
      <c r="A3784" s="98" t="s">
        <v>29</v>
      </c>
      <c r="B3784" s="98" t="s">
        <v>105</v>
      </c>
      <c r="C3784" s="98">
        <v>28</v>
      </c>
      <c r="D3784" s="98">
        <v>8160</v>
      </c>
      <c r="E3784" s="157">
        <v>41687.833333333336</v>
      </c>
      <c r="F3784" s="157">
        <v>41688.031944444447</v>
      </c>
      <c r="G3784" s="98">
        <v>330</v>
      </c>
      <c r="H3784" s="98">
        <v>423</v>
      </c>
      <c r="I3784" s="98">
        <v>393</v>
      </c>
      <c r="J3784" s="98" t="s">
        <v>2245</v>
      </c>
      <c r="K3784" s="98" t="s">
        <v>1587</v>
      </c>
      <c r="L3784" s="105" t="str">
        <f t="shared" si="620"/>
        <v>Mill Creek</v>
      </c>
      <c r="M3784" s="105" t="str">
        <f t="shared" si="621"/>
        <v>Derate</v>
      </c>
      <c r="N3784" s="105" t="str">
        <f t="shared" si="622"/>
        <v>Coal</v>
      </c>
      <c r="O3784" s="105">
        <f>IFERROR(VLOOKUP(A3784,Lookup!$J$5:$P$19,7,FALSE),0)</f>
        <v>3</v>
      </c>
      <c r="P3784" s="159">
        <f t="shared" si="623"/>
        <v>2014</v>
      </c>
      <c r="Q3784" s="159">
        <f t="shared" si="624"/>
        <v>2</v>
      </c>
      <c r="R3784" s="160">
        <f t="shared" si="625"/>
        <v>4.7666666666627862</v>
      </c>
      <c r="S3784" s="158">
        <f t="shared" si="626"/>
        <v>1.0479905437343715</v>
      </c>
      <c r="T3784" s="161">
        <f t="shared" si="627"/>
        <v>411.86028368760799</v>
      </c>
      <c r="U3784" s="158">
        <f t="shared" si="629"/>
        <v>86.40425531914893</v>
      </c>
      <c r="V3784" s="160">
        <f t="shared" si="628"/>
        <v>86</v>
      </c>
    </row>
    <row r="3785" spans="1:22" x14ac:dyDescent="0.25">
      <c r="A3785" s="98" t="s">
        <v>29</v>
      </c>
      <c r="B3785" s="98" t="s">
        <v>17</v>
      </c>
      <c r="C3785" s="98">
        <v>29</v>
      </c>
      <c r="D3785" s="98">
        <v>360</v>
      </c>
      <c r="E3785" s="157">
        <v>41691.589583333334</v>
      </c>
      <c r="F3785" s="157">
        <v>41691.645138888889</v>
      </c>
      <c r="G3785" s="98">
        <v>330</v>
      </c>
      <c r="H3785" s="98">
        <v>423</v>
      </c>
      <c r="I3785" s="98">
        <v>393</v>
      </c>
      <c r="J3785" s="98" t="s">
        <v>229</v>
      </c>
      <c r="K3785" s="98" t="s">
        <v>1588</v>
      </c>
      <c r="L3785" s="105" t="str">
        <f t="shared" si="620"/>
        <v>Mill Creek</v>
      </c>
      <c r="M3785" s="105" t="str">
        <f t="shared" si="621"/>
        <v>Derate</v>
      </c>
      <c r="N3785" s="105" t="str">
        <f t="shared" si="622"/>
        <v>Coal</v>
      </c>
      <c r="O3785" s="105">
        <f>IFERROR(VLOOKUP(A3785,Lookup!$J$5:$P$19,7,FALSE),0)</f>
        <v>3</v>
      </c>
      <c r="P3785" s="159">
        <f t="shared" si="623"/>
        <v>2014</v>
      </c>
      <c r="Q3785" s="159">
        <f t="shared" si="624"/>
        <v>2</v>
      </c>
      <c r="R3785" s="160">
        <f t="shared" si="625"/>
        <v>1.3333333333139308</v>
      </c>
      <c r="S3785" s="158">
        <f t="shared" si="626"/>
        <v>0.29314420803355923</v>
      </c>
      <c r="T3785" s="161">
        <f t="shared" si="627"/>
        <v>115.20567375718878</v>
      </c>
      <c r="U3785" s="158">
        <f t="shared" si="629"/>
        <v>86.40425531914893</v>
      </c>
      <c r="V3785" s="160">
        <f t="shared" si="628"/>
        <v>86</v>
      </c>
    </row>
    <row r="3786" spans="1:22" x14ac:dyDescent="0.25">
      <c r="A3786" s="98" t="s">
        <v>29</v>
      </c>
      <c r="B3786" s="98" t="s">
        <v>17</v>
      </c>
      <c r="C3786" s="98">
        <v>30</v>
      </c>
      <c r="D3786" s="98">
        <v>360</v>
      </c>
      <c r="E3786" s="157">
        <v>41691.76458333333</v>
      </c>
      <c r="F3786" s="157">
        <v>41691.798611111109</v>
      </c>
      <c r="G3786" s="98">
        <v>340</v>
      </c>
      <c r="H3786" s="98">
        <v>423</v>
      </c>
      <c r="I3786" s="98">
        <v>393</v>
      </c>
      <c r="J3786" s="98" t="s">
        <v>229</v>
      </c>
      <c r="K3786" s="98" t="s">
        <v>1586</v>
      </c>
      <c r="L3786" s="105" t="str">
        <f t="shared" si="620"/>
        <v>Mill Creek</v>
      </c>
      <c r="M3786" s="105" t="str">
        <f t="shared" si="621"/>
        <v>Derate</v>
      </c>
      <c r="N3786" s="105" t="str">
        <f t="shared" si="622"/>
        <v>Coal</v>
      </c>
      <c r="O3786" s="105">
        <f>IFERROR(VLOOKUP(A3786,Lookup!$J$5:$P$19,7,FALSE),0)</f>
        <v>3</v>
      </c>
      <c r="P3786" s="159">
        <f t="shared" si="623"/>
        <v>2014</v>
      </c>
      <c r="Q3786" s="159">
        <f t="shared" si="624"/>
        <v>2</v>
      </c>
      <c r="R3786" s="160">
        <f t="shared" si="625"/>
        <v>0.81666666670935228</v>
      </c>
      <c r="S3786" s="158">
        <f t="shared" si="626"/>
        <v>0.16024428684840719</v>
      </c>
      <c r="T3786" s="161">
        <f t="shared" si="627"/>
        <v>62.976004731424027</v>
      </c>
      <c r="U3786" s="158">
        <f t="shared" si="629"/>
        <v>77.113475177304963</v>
      </c>
      <c r="V3786" s="160">
        <f t="shared" si="628"/>
        <v>77</v>
      </c>
    </row>
    <row r="3787" spans="1:22" x14ac:dyDescent="0.25">
      <c r="A3787" s="98" t="s">
        <v>29</v>
      </c>
      <c r="B3787" s="98" t="s">
        <v>17</v>
      </c>
      <c r="C3787" s="98">
        <v>31</v>
      </c>
      <c r="D3787" s="98">
        <v>360</v>
      </c>
      <c r="E3787" s="157">
        <v>41692.388888888891</v>
      </c>
      <c r="F3787" s="157">
        <v>41692.470833333333</v>
      </c>
      <c r="G3787" s="98">
        <v>330</v>
      </c>
      <c r="H3787" s="98">
        <v>423</v>
      </c>
      <c r="I3787" s="98">
        <v>393</v>
      </c>
      <c r="J3787" s="98" t="s">
        <v>229</v>
      </c>
      <c r="K3787" s="98" t="s">
        <v>1575</v>
      </c>
      <c r="L3787" s="105" t="str">
        <f t="shared" si="620"/>
        <v>Mill Creek</v>
      </c>
      <c r="M3787" s="105" t="str">
        <f t="shared" si="621"/>
        <v>Derate</v>
      </c>
      <c r="N3787" s="105" t="str">
        <f t="shared" si="622"/>
        <v>Coal</v>
      </c>
      <c r="O3787" s="105">
        <f>IFERROR(VLOOKUP(A3787,Lookup!$J$5:$P$19,7,FALSE),0)</f>
        <v>3</v>
      </c>
      <c r="P3787" s="159">
        <f t="shared" si="623"/>
        <v>2014</v>
      </c>
      <c r="Q3787" s="159">
        <f t="shared" si="624"/>
        <v>2</v>
      </c>
      <c r="R3787" s="160">
        <f t="shared" si="625"/>
        <v>1.96666666661622</v>
      </c>
      <c r="S3787" s="158">
        <f t="shared" si="626"/>
        <v>0.43238770684470085</v>
      </c>
      <c r="T3787" s="161">
        <f t="shared" si="627"/>
        <v>169.92836878996744</v>
      </c>
      <c r="U3787" s="158">
        <f t="shared" si="629"/>
        <v>86.40425531914893</v>
      </c>
      <c r="V3787" s="160">
        <f t="shared" si="628"/>
        <v>86</v>
      </c>
    </row>
    <row r="3788" spans="1:22" x14ac:dyDescent="0.25">
      <c r="A3788" s="98" t="s">
        <v>29</v>
      </c>
      <c r="B3788" s="98" t="s">
        <v>17</v>
      </c>
      <c r="C3788" s="98">
        <v>32</v>
      </c>
      <c r="D3788" s="98">
        <v>360</v>
      </c>
      <c r="E3788" s="157">
        <v>41692.614583333336</v>
      </c>
      <c r="F3788" s="157">
        <v>41692.677083333336</v>
      </c>
      <c r="G3788" s="98">
        <v>220</v>
      </c>
      <c r="H3788" s="98">
        <v>423</v>
      </c>
      <c r="I3788" s="98">
        <v>393</v>
      </c>
      <c r="J3788" s="98" t="s">
        <v>229</v>
      </c>
      <c r="K3788" s="98" t="s">
        <v>1589</v>
      </c>
      <c r="L3788" s="105" t="str">
        <f t="shared" si="620"/>
        <v>Mill Creek</v>
      </c>
      <c r="M3788" s="105" t="str">
        <f t="shared" si="621"/>
        <v>Derate</v>
      </c>
      <c r="N3788" s="105" t="str">
        <f t="shared" si="622"/>
        <v>Coal</v>
      </c>
      <c r="O3788" s="105">
        <f>IFERROR(VLOOKUP(A3788,Lookup!$J$5:$P$19,7,FALSE),0)</f>
        <v>3</v>
      </c>
      <c r="P3788" s="159">
        <f t="shared" si="623"/>
        <v>2014</v>
      </c>
      <c r="Q3788" s="159">
        <f t="shared" si="624"/>
        <v>2</v>
      </c>
      <c r="R3788" s="160">
        <f t="shared" si="625"/>
        <v>1.5</v>
      </c>
      <c r="S3788" s="158">
        <f t="shared" si="626"/>
        <v>0.71985815602836878</v>
      </c>
      <c r="T3788" s="161">
        <f t="shared" si="627"/>
        <v>282.90425531914894</v>
      </c>
      <c r="U3788" s="158">
        <f t="shared" si="629"/>
        <v>188.60283687943263</v>
      </c>
      <c r="V3788" s="160">
        <f t="shared" si="628"/>
        <v>189</v>
      </c>
    </row>
    <row r="3789" spans="1:22" x14ac:dyDescent="0.25">
      <c r="A3789" s="98" t="s">
        <v>29</v>
      </c>
      <c r="B3789" s="98" t="s">
        <v>17</v>
      </c>
      <c r="C3789" s="98">
        <v>33</v>
      </c>
      <c r="D3789" s="98">
        <v>360</v>
      </c>
      <c r="E3789" s="157">
        <v>41692.677083333336</v>
      </c>
      <c r="F3789" s="157">
        <v>41692.708333333336</v>
      </c>
      <c r="G3789" s="98">
        <v>330</v>
      </c>
      <c r="H3789" s="98">
        <v>423</v>
      </c>
      <c r="I3789" s="98">
        <v>393</v>
      </c>
      <c r="J3789" s="98" t="s">
        <v>229</v>
      </c>
      <c r="K3789" s="98" t="s">
        <v>1588</v>
      </c>
      <c r="L3789" s="105" t="str">
        <f t="shared" si="620"/>
        <v>Mill Creek</v>
      </c>
      <c r="M3789" s="105" t="str">
        <f t="shared" si="621"/>
        <v>Derate</v>
      </c>
      <c r="N3789" s="105" t="str">
        <f t="shared" si="622"/>
        <v>Coal</v>
      </c>
      <c r="O3789" s="105">
        <f>IFERROR(VLOOKUP(A3789,Lookup!$J$5:$P$19,7,FALSE),0)</f>
        <v>3</v>
      </c>
      <c r="P3789" s="159">
        <f t="shared" si="623"/>
        <v>2014</v>
      </c>
      <c r="Q3789" s="159">
        <f t="shared" si="624"/>
        <v>2</v>
      </c>
      <c r="R3789" s="160">
        <f t="shared" si="625"/>
        <v>0.75</v>
      </c>
      <c r="S3789" s="158">
        <f t="shared" si="626"/>
        <v>0.16489361702127658</v>
      </c>
      <c r="T3789" s="161">
        <f t="shared" si="627"/>
        <v>64.803191489361694</v>
      </c>
      <c r="U3789" s="158">
        <f t="shared" si="629"/>
        <v>86.40425531914893</v>
      </c>
      <c r="V3789" s="160">
        <f t="shared" si="628"/>
        <v>86</v>
      </c>
    </row>
    <row r="3790" spans="1:22" x14ac:dyDescent="0.25">
      <c r="A3790" s="98" t="s">
        <v>29</v>
      </c>
      <c r="B3790" s="98" t="s">
        <v>17</v>
      </c>
      <c r="C3790" s="98">
        <v>34</v>
      </c>
      <c r="D3790" s="98">
        <v>360</v>
      </c>
      <c r="E3790" s="157">
        <v>41692.809027777781</v>
      </c>
      <c r="F3790" s="157">
        <v>41692.852777777778</v>
      </c>
      <c r="G3790" s="98">
        <v>330</v>
      </c>
      <c r="H3790" s="98">
        <v>423</v>
      </c>
      <c r="I3790" s="98">
        <v>393</v>
      </c>
      <c r="J3790" s="98" t="s">
        <v>229</v>
      </c>
      <c r="K3790" s="98" t="s">
        <v>1590</v>
      </c>
      <c r="L3790" s="105" t="str">
        <f t="shared" si="620"/>
        <v>Mill Creek</v>
      </c>
      <c r="M3790" s="105" t="str">
        <f t="shared" si="621"/>
        <v>Derate</v>
      </c>
      <c r="N3790" s="105" t="str">
        <f t="shared" si="622"/>
        <v>Coal</v>
      </c>
      <c r="O3790" s="105">
        <f>IFERROR(VLOOKUP(A3790,Lookup!$J$5:$P$19,7,FALSE),0)</f>
        <v>3</v>
      </c>
      <c r="P3790" s="159">
        <f t="shared" si="623"/>
        <v>2014</v>
      </c>
      <c r="Q3790" s="159">
        <f t="shared" si="624"/>
        <v>2</v>
      </c>
      <c r="R3790" s="160">
        <f t="shared" si="625"/>
        <v>1.0499999999301508</v>
      </c>
      <c r="S3790" s="158">
        <f t="shared" si="626"/>
        <v>0.23085106381443032</v>
      </c>
      <c r="T3790" s="161">
        <f t="shared" si="627"/>
        <v>90.724468079071116</v>
      </c>
      <c r="U3790" s="158">
        <f t="shared" si="629"/>
        <v>86.40425531914893</v>
      </c>
      <c r="V3790" s="160">
        <f t="shared" si="628"/>
        <v>86</v>
      </c>
    </row>
    <row r="3791" spans="1:22" x14ac:dyDescent="0.25">
      <c r="A3791" s="98" t="s">
        <v>29</v>
      </c>
      <c r="B3791" s="98" t="s">
        <v>105</v>
      </c>
      <c r="C3791" s="98">
        <v>35</v>
      </c>
      <c r="D3791" s="98">
        <v>310</v>
      </c>
      <c r="E3791" s="157">
        <v>41694.958333333336</v>
      </c>
      <c r="F3791" s="157">
        <v>41695.277083333334</v>
      </c>
      <c r="G3791" s="98">
        <v>320</v>
      </c>
      <c r="H3791" s="98">
        <v>423</v>
      </c>
      <c r="I3791" s="98">
        <v>393</v>
      </c>
      <c r="J3791" s="98" t="s">
        <v>1966</v>
      </c>
      <c r="K3791" s="98" t="s">
        <v>1591</v>
      </c>
      <c r="L3791" s="105" t="str">
        <f t="shared" si="620"/>
        <v>Mill Creek</v>
      </c>
      <c r="M3791" s="105" t="str">
        <f t="shared" si="621"/>
        <v>Derate</v>
      </c>
      <c r="N3791" s="105" t="str">
        <f t="shared" si="622"/>
        <v>Coal</v>
      </c>
      <c r="O3791" s="105">
        <f>IFERROR(VLOOKUP(A3791,Lookup!$J$5:$P$19,7,FALSE),0)</f>
        <v>3</v>
      </c>
      <c r="P3791" s="159">
        <f t="shared" si="623"/>
        <v>2014</v>
      </c>
      <c r="Q3791" s="159">
        <f t="shared" si="624"/>
        <v>2</v>
      </c>
      <c r="R3791" s="160">
        <f t="shared" si="625"/>
        <v>7.6499999999650754</v>
      </c>
      <c r="S3791" s="158">
        <f t="shared" si="626"/>
        <v>1.8627659574383044</v>
      </c>
      <c r="T3791" s="161">
        <f t="shared" si="627"/>
        <v>732.06702127325366</v>
      </c>
      <c r="U3791" s="158">
        <f t="shared" si="629"/>
        <v>95.695035460992912</v>
      </c>
      <c r="V3791" s="160">
        <f t="shared" si="628"/>
        <v>96</v>
      </c>
    </row>
    <row r="3792" spans="1:22" x14ac:dyDescent="0.25">
      <c r="A3792" s="98" t="s">
        <v>29</v>
      </c>
      <c r="B3792" s="98" t="s">
        <v>105</v>
      </c>
      <c r="C3792" s="98">
        <v>36</v>
      </c>
      <c r="D3792" s="98">
        <v>876</v>
      </c>
      <c r="E3792" s="157">
        <v>41695.833333333336</v>
      </c>
      <c r="F3792" s="157">
        <v>41696.186111111114</v>
      </c>
      <c r="G3792" s="98">
        <v>215</v>
      </c>
      <c r="H3792" s="98">
        <v>423</v>
      </c>
      <c r="I3792" s="98">
        <v>393</v>
      </c>
      <c r="J3792" s="98" t="s">
        <v>2655</v>
      </c>
      <c r="K3792" s="98" t="s">
        <v>1592</v>
      </c>
      <c r="L3792" s="105" t="str">
        <f t="shared" si="620"/>
        <v>Mill Creek</v>
      </c>
      <c r="M3792" s="105" t="str">
        <f t="shared" si="621"/>
        <v>Derate</v>
      </c>
      <c r="N3792" s="105" t="str">
        <f t="shared" si="622"/>
        <v>Coal</v>
      </c>
      <c r="O3792" s="105">
        <f>IFERROR(VLOOKUP(A3792,Lookup!$J$5:$P$19,7,FALSE),0)</f>
        <v>3</v>
      </c>
      <c r="P3792" s="159">
        <f t="shared" si="623"/>
        <v>2014</v>
      </c>
      <c r="Q3792" s="159">
        <f t="shared" si="624"/>
        <v>2</v>
      </c>
      <c r="R3792" s="160">
        <f t="shared" si="625"/>
        <v>8.4666666666744277</v>
      </c>
      <c r="S3792" s="158">
        <f t="shared" si="626"/>
        <v>4.1632781717926264</v>
      </c>
      <c r="T3792" s="161">
        <f t="shared" si="627"/>
        <v>1636.1683215145022</v>
      </c>
      <c r="U3792" s="158">
        <f t="shared" si="629"/>
        <v>193.24822695035462</v>
      </c>
      <c r="V3792" s="160">
        <f t="shared" si="628"/>
        <v>193</v>
      </c>
    </row>
    <row r="3793" spans="1:22" x14ac:dyDescent="0.25">
      <c r="A3793" s="98" t="s">
        <v>29</v>
      </c>
      <c r="B3793" s="98" t="s">
        <v>17</v>
      </c>
      <c r="C3793" s="98">
        <v>37</v>
      </c>
      <c r="D3793" s="98">
        <v>310</v>
      </c>
      <c r="E3793" s="157">
        <v>41703.21875</v>
      </c>
      <c r="F3793" s="157">
        <v>41703.241666666669</v>
      </c>
      <c r="G3793" s="98">
        <v>335</v>
      </c>
      <c r="H3793" s="98">
        <v>423</v>
      </c>
      <c r="I3793" s="98">
        <v>393</v>
      </c>
      <c r="J3793" s="98" t="s">
        <v>1966</v>
      </c>
      <c r="K3793" s="98" t="s">
        <v>1551</v>
      </c>
      <c r="L3793" s="105" t="str">
        <f t="shared" si="620"/>
        <v>Mill Creek</v>
      </c>
      <c r="M3793" s="105" t="str">
        <f t="shared" si="621"/>
        <v>Derate</v>
      </c>
      <c r="N3793" s="105" t="str">
        <f t="shared" si="622"/>
        <v>Coal</v>
      </c>
      <c r="O3793" s="105">
        <f>IFERROR(VLOOKUP(A3793,Lookup!$J$5:$P$19,7,FALSE),0)</f>
        <v>3</v>
      </c>
      <c r="P3793" s="159">
        <f t="shared" si="623"/>
        <v>2014</v>
      </c>
      <c r="Q3793" s="159">
        <f t="shared" si="624"/>
        <v>3</v>
      </c>
      <c r="R3793" s="160">
        <f t="shared" si="625"/>
        <v>0.55000000004656613</v>
      </c>
      <c r="S3793" s="158">
        <f t="shared" si="626"/>
        <v>0.11442080379219342</v>
      </c>
      <c r="T3793" s="161">
        <f t="shared" si="627"/>
        <v>44.967375890332015</v>
      </c>
      <c r="U3793" s="158">
        <f t="shared" si="629"/>
        <v>81.758865248226954</v>
      </c>
      <c r="V3793" s="160">
        <f t="shared" si="628"/>
        <v>82</v>
      </c>
    </row>
    <row r="3794" spans="1:22" x14ac:dyDescent="0.25">
      <c r="A3794" s="98" t="s">
        <v>29</v>
      </c>
      <c r="B3794" s="98" t="s">
        <v>105</v>
      </c>
      <c r="C3794" s="98">
        <v>38</v>
      </c>
      <c r="D3794" s="98">
        <v>8160</v>
      </c>
      <c r="E3794" s="157">
        <v>41706.979166666664</v>
      </c>
      <c r="F3794" s="157">
        <v>41707.275000000001</v>
      </c>
      <c r="G3794" s="98">
        <v>325</v>
      </c>
      <c r="H3794" s="98">
        <v>423</v>
      </c>
      <c r="I3794" s="98">
        <v>393</v>
      </c>
      <c r="J3794" s="98" t="s">
        <v>2245</v>
      </c>
      <c r="K3794" s="98" t="s">
        <v>1593</v>
      </c>
      <c r="L3794" s="105" t="str">
        <f t="shared" si="620"/>
        <v>Mill Creek</v>
      </c>
      <c r="M3794" s="105" t="str">
        <f t="shared" si="621"/>
        <v>Derate</v>
      </c>
      <c r="N3794" s="105" t="str">
        <f t="shared" si="622"/>
        <v>Coal</v>
      </c>
      <c r="O3794" s="105">
        <f>IFERROR(VLOOKUP(A3794,Lookup!$J$5:$P$19,7,FALSE),0)</f>
        <v>3</v>
      </c>
      <c r="P3794" s="159">
        <f t="shared" si="623"/>
        <v>2014</v>
      </c>
      <c r="Q3794" s="159">
        <f t="shared" si="624"/>
        <v>3</v>
      </c>
      <c r="R3794" s="160">
        <f t="shared" si="625"/>
        <v>7.1000000000931323</v>
      </c>
      <c r="S3794" s="158">
        <f t="shared" si="626"/>
        <v>1.6449172577047919</v>
      </c>
      <c r="T3794" s="161">
        <f t="shared" si="627"/>
        <v>646.45248227798322</v>
      </c>
      <c r="U3794" s="158">
        <f t="shared" si="629"/>
        <v>91.049645390070921</v>
      </c>
      <c r="V3794" s="160">
        <f t="shared" si="628"/>
        <v>91</v>
      </c>
    </row>
    <row r="3795" spans="1:22" x14ac:dyDescent="0.25">
      <c r="A3795" s="98" t="s">
        <v>29</v>
      </c>
      <c r="B3795" s="98" t="s">
        <v>17</v>
      </c>
      <c r="C3795" s="98">
        <v>39</v>
      </c>
      <c r="D3795" s="98">
        <v>260</v>
      </c>
      <c r="E3795" s="157">
        <v>41721.720138888886</v>
      </c>
      <c r="F3795" s="157">
        <v>41721.804166666669</v>
      </c>
      <c r="G3795" s="98">
        <v>320</v>
      </c>
      <c r="H3795" s="98">
        <v>423</v>
      </c>
      <c r="I3795" s="98">
        <v>393</v>
      </c>
      <c r="J3795" s="98" t="s">
        <v>1973</v>
      </c>
      <c r="K3795" s="98" t="s">
        <v>1594</v>
      </c>
      <c r="L3795" s="105" t="str">
        <f t="shared" si="620"/>
        <v>Mill Creek</v>
      </c>
      <c r="M3795" s="105" t="str">
        <f t="shared" si="621"/>
        <v>Derate</v>
      </c>
      <c r="N3795" s="105" t="str">
        <f t="shared" si="622"/>
        <v>Coal</v>
      </c>
      <c r="O3795" s="105">
        <f>IFERROR(VLOOKUP(A3795,Lookup!$J$5:$P$19,7,FALSE),0)</f>
        <v>3</v>
      </c>
      <c r="P3795" s="159">
        <f t="shared" si="623"/>
        <v>2014</v>
      </c>
      <c r="Q3795" s="159">
        <f t="shared" si="624"/>
        <v>3</v>
      </c>
      <c r="R3795" s="160">
        <f t="shared" si="625"/>
        <v>2.0166666667792015</v>
      </c>
      <c r="S3795" s="158">
        <f t="shared" si="626"/>
        <v>0.49105594959398996</v>
      </c>
      <c r="T3795" s="161">
        <f t="shared" si="627"/>
        <v>192.98498819043806</v>
      </c>
      <c r="U3795" s="158">
        <f t="shared" si="629"/>
        <v>95.695035460992912</v>
      </c>
      <c r="V3795" s="160">
        <f t="shared" si="628"/>
        <v>96</v>
      </c>
    </row>
    <row r="3796" spans="1:22" x14ac:dyDescent="0.25">
      <c r="A3796" s="98" t="s">
        <v>29</v>
      </c>
      <c r="B3796" s="98" t="s">
        <v>17</v>
      </c>
      <c r="C3796" s="98">
        <v>40</v>
      </c>
      <c r="D3796" s="98">
        <v>380</v>
      </c>
      <c r="E3796" s="157">
        <v>41722.137499999997</v>
      </c>
      <c r="F3796" s="157">
        <v>41722.160416666666</v>
      </c>
      <c r="G3796" s="98">
        <v>375</v>
      </c>
      <c r="H3796" s="98">
        <v>423</v>
      </c>
      <c r="I3796" s="98">
        <v>393</v>
      </c>
      <c r="J3796" s="98" t="s">
        <v>2017</v>
      </c>
      <c r="K3796" s="98" t="s">
        <v>1595</v>
      </c>
      <c r="L3796" s="105" t="str">
        <f t="shared" si="620"/>
        <v>Mill Creek</v>
      </c>
      <c r="M3796" s="105" t="str">
        <f t="shared" si="621"/>
        <v>Derate</v>
      </c>
      <c r="N3796" s="105" t="str">
        <f t="shared" si="622"/>
        <v>Coal</v>
      </c>
      <c r="O3796" s="105">
        <f>IFERROR(VLOOKUP(A3796,Lookup!$J$5:$P$19,7,FALSE),0)</f>
        <v>3</v>
      </c>
      <c r="P3796" s="159">
        <f t="shared" si="623"/>
        <v>2014</v>
      </c>
      <c r="Q3796" s="159">
        <f t="shared" si="624"/>
        <v>3</v>
      </c>
      <c r="R3796" s="160">
        <f t="shared" si="625"/>
        <v>0.55000000004656613</v>
      </c>
      <c r="S3796" s="158">
        <f t="shared" si="626"/>
        <v>6.2411347523014596E-2</v>
      </c>
      <c r="T3796" s="161">
        <f t="shared" si="627"/>
        <v>24.527659576544735</v>
      </c>
      <c r="U3796" s="158">
        <f t="shared" si="629"/>
        <v>44.595744680851062</v>
      </c>
      <c r="V3796" s="160">
        <f t="shared" si="628"/>
        <v>45</v>
      </c>
    </row>
    <row r="3797" spans="1:22" x14ac:dyDescent="0.25">
      <c r="A3797" s="98" t="s">
        <v>29</v>
      </c>
      <c r="B3797" s="98" t="s">
        <v>38</v>
      </c>
      <c r="C3797" s="98">
        <v>41</v>
      </c>
      <c r="D3797" s="98">
        <v>1801</v>
      </c>
      <c r="E3797" s="157">
        <v>41730.027083333334</v>
      </c>
      <c r="F3797" s="157">
        <v>41733.779861111114</v>
      </c>
      <c r="G3797" s="98">
        <v>0</v>
      </c>
      <c r="H3797" s="98">
        <v>423</v>
      </c>
      <c r="I3797" s="98">
        <v>393</v>
      </c>
      <c r="J3797" s="98" t="s">
        <v>2021</v>
      </c>
      <c r="K3797" s="98" t="s">
        <v>57</v>
      </c>
      <c r="L3797" s="105" t="str">
        <f t="shared" si="620"/>
        <v>Mill Creek</v>
      </c>
      <c r="M3797" s="105" t="str">
        <f t="shared" si="621"/>
        <v>Other</v>
      </c>
      <c r="N3797" s="105" t="str">
        <f t="shared" si="622"/>
        <v>Coal</v>
      </c>
      <c r="O3797" s="105">
        <f>IFERROR(VLOOKUP(A3797,Lookup!$J$5:$P$19,7,FALSE),0)</f>
        <v>3</v>
      </c>
      <c r="P3797" s="159">
        <f t="shared" si="623"/>
        <v>2014</v>
      </c>
      <c r="Q3797" s="159">
        <f t="shared" si="624"/>
        <v>4</v>
      </c>
      <c r="R3797" s="160">
        <f t="shared" si="625"/>
        <v>90.066666666709352</v>
      </c>
      <c r="S3797" s="158">
        <f t="shared" si="626"/>
        <v>90.066666666709352</v>
      </c>
      <c r="T3797" s="161">
        <f t="shared" si="627"/>
        <v>35396.200000016775</v>
      </c>
      <c r="U3797" s="158">
        <f t="shared" si="629"/>
        <v>393</v>
      </c>
      <c r="V3797" s="160">
        <f t="shared" si="628"/>
        <v>393</v>
      </c>
    </row>
    <row r="3798" spans="1:22" x14ac:dyDescent="0.25">
      <c r="A3798" s="98" t="s">
        <v>29</v>
      </c>
      <c r="B3798" s="98" t="s">
        <v>79</v>
      </c>
      <c r="C3798" s="98">
        <v>42</v>
      </c>
      <c r="D3798" s="98">
        <v>1850</v>
      </c>
      <c r="E3798" s="157">
        <v>41733.779861111114</v>
      </c>
      <c r="F3798" s="157">
        <v>41734.780555555553</v>
      </c>
      <c r="G3798" s="98">
        <v>0</v>
      </c>
      <c r="H3798" s="98">
        <v>423</v>
      </c>
      <c r="I3798" s="98">
        <v>393</v>
      </c>
      <c r="J3798" s="98" t="s">
        <v>2263</v>
      </c>
      <c r="K3798" s="98" t="s">
        <v>85</v>
      </c>
      <c r="L3798" s="105" t="str">
        <f t="shared" si="620"/>
        <v>Mill Creek</v>
      </c>
      <c r="M3798" s="105" t="str">
        <f t="shared" si="621"/>
        <v>Other</v>
      </c>
      <c r="N3798" s="105" t="str">
        <f t="shared" si="622"/>
        <v>Coal</v>
      </c>
      <c r="O3798" s="105">
        <f>IFERROR(VLOOKUP(A3798,Lookup!$J$5:$P$19,7,FALSE),0)</f>
        <v>3</v>
      </c>
      <c r="P3798" s="159">
        <f t="shared" si="623"/>
        <v>2014</v>
      </c>
      <c r="Q3798" s="159">
        <f t="shared" si="624"/>
        <v>4</v>
      </c>
      <c r="R3798" s="160">
        <f t="shared" si="625"/>
        <v>24.016666666546371</v>
      </c>
      <c r="S3798" s="158">
        <f t="shared" si="626"/>
        <v>24.016666666546371</v>
      </c>
      <c r="T3798" s="161">
        <f t="shared" si="627"/>
        <v>9438.5499999527237</v>
      </c>
      <c r="U3798" s="158">
        <f t="shared" si="629"/>
        <v>393</v>
      </c>
      <c r="V3798" s="160">
        <f t="shared" si="628"/>
        <v>393</v>
      </c>
    </row>
    <row r="3799" spans="1:22" x14ac:dyDescent="0.25">
      <c r="A3799" s="98" t="s">
        <v>29</v>
      </c>
      <c r="B3799" s="98" t="s">
        <v>17</v>
      </c>
      <c r="C3799" s="98">
        <v>43</v>
      </c>
      <c r="D3799" s="98">
        <v>1850</v>
      </c>
      <c r="E3799" s="157">
        <v>41734.780555555553</v>
      </c>
      <c r="F3799" s="157">
        <v>41734.847916666666</v>
      </c>
      <c r="G3799" s="98">
        <v>340</v>
      </c>
      <c r="H3799" s="98">
        <v>423</v>
      </c>
      <c r="I3799" s="98">
        <v>393</v>
      </c>
      <c r="J3799" s="98" t="s">
        <v>2263</v>
      </c>
      <c r="K3799" s="98" t="s">
        <v>41</v>
      </c>
      <c r="L3799" s="105" t="str">
        <f t="shared" si="620"/>
        <v>Mill Creek</v>
      </c>
      <c r="M3799" s="105" t="str">
        <f t="shared" si="621"/>
        <v>Derate</v>
      </c>
      <c r="N3799" s="105" t="str">
        <f t="shared" si="622"/>
        <v>Coal</v>
      </c>
      <c r="O3799" s="105">
        <f>IFERROR(VLOOKUP(A3799,Lookup!$J$5:$P$19,7,FALSE),0)</f>
        <v>3</v>
      </c>
      <c r="P3799" s="159">
        <f t="shared" si="623"/>
        <v>2014</v>
      </c>
      <c r="Q3799" s="159">
        <f t="shared" si="624"/>
        <v>4</v>
      </c>
      <c r="R3799" s="160">
        <f t="shared" si="625"/>
        <v>1.6166666666977108</v>
      </c>
      <c r="S3799" s="158">
        <f t="shared" si="626"/>
        <v>0.31721828211799052</v>
      </c>
      <c r="T3799" s="161">
        <f t="shared" si="627"/>
        <v>124.66678487237027</v>
      </c>
      <c r="U3799" s="158">
        <f t="shared" si="629"/>
        <v>77.113475177304963</v>
      </c>
      <c r="V3799" s="160">
        <f t="shared" si="628"/>
        <v>77</v>
      </c>
    </row>
    <row r="3800" spans="1:22" x14ac:dyDescent="0.25">
      <c r="A3800" s="98" t="s">
        <v>29</v>
      </c>
      <c r="B3800" s="98" t="s">
        <v>17</v>
      </c>
      <c r="C3800" s="98">
        <v>44</v>
      </c>
      <c r="D3800" s="98">
        <v>1850</v>
      </c>
      <c r="E3800" s="157">
        <v>41734.847916666666</v>
      </c>
      <c r="F3800" s="157">
        <v>41735.1875</v>
      </c>
      <c r="G3800" s="98">
        <v>380</v>
      </c>
      <c r="H3800" s="98">
        <v>423</v>
      </c>
      <c r="I3800" s="98">
        <v>393</v>
      </c>
      <c r="J3800" s="98" t="s">
        <v>2263</v>
      </c>
      <c r="K3800" s="98" t="s">
        <v>41</v>
      </c>
      <c r="L3800" s="105" t="str">
        <f t="shared" si="620"/>
        <v>Mill Creek</v>
      </c>
      <c r="M3800" s="105" t="str">
        <f t="shared" si="621"/>
        <v>Derate</v>
      </c>
      <c r="N3800" s="105" t="str">
        <f t="shared" si="622"/>
        <v>Coal</v>
      </c>
      <c r="O3800" s="105">
        <f>IFERROR(VLOOKUP(A3800,Lookup!$J$5:$P$19,7,FALSE),0)</f>
        <v>3</v>
      </c>
      <c r="P3800" s="159">
        <f t="shared" si="623"/>
        <v>2014</v>
      </c>
      <c r="Q3800" s="159">
        <f t="shared" si="624"/>
        <v>4</v>
      </c>
      <c r="R3800" s="160">
        <f t="shared" si="625"/>
        <v>8.1500000000232831</v>
      </c>
      <c r="S3800" s="158">
        <f t="shared" si="626"/>
        <v>0.82848699763830069</v>
      </c>
      <c r="T3800" s="161">
        <f t="shared" si="627"/>
        <v>325.59539007185219</v>
      </c>
      <c r="U3800" s="158">
        <f t="shared" si="629"/>
        <v>39.950354609929079</v>
      </c>
      <c r="V3800" s="160">
        <f t="shared" si="628"/>
        <v>40</v>
      </c>
    </row>
    <row r="3801" spans="1:22" x14ac:dyDescent="0.25">
      <c r="A3801" s="98" t="s">
        <v>29</v>
      </c>
      <c r="B3801" s="98" t="s">
        <v>105</v>
      </c>
      <c r="C3801" s="98">
        <v>45</v>
      </c>
      <c r="D3801" s="98">
        <v>360</v>
      </c>
      <c r="E3801" s="157">
        <v>41735.1875</v>
      </c>
      <c r="F3801" s="157">
        <v>41735.297222222223</v>
      </c>
      <c r="G3801" s="98">
        <v>350</v>
      </c>
      <c r="H3801" s="98">
        <v>423</v>
      </c>
      <c r="I3801" s="98">
        <v>393</v>
      </c>
      <c r="J3801" s="98" t="s">
        <v>229</v>
      </c>
      <c r="K3801" s="98" t="s">
        <v>1573</v>
      </c>
      <c r="L3801" s="105" t="str">
        <f t="shared" si="620"/>
        <v>Mill Creek</v>
      </c>
      <c r="M3801" s="105" t="str">
        <f t="shared" si="621"/>
        <v>Derate</v>
      </c>
      <c r="N3801" s="105" t="str">
        <f t="shared" si="622"/>
        <v>Coal</v>
      </c>
      <c r="O3801" s="105">
        <f>IFERROR(VLOOKUP(A3801,Lookup!$J$5:$P$19,7,FALSE),0)</f>
        <v>3</v>
      </c>
      <c r="P3801" s="159">
        <f t="shared" si="623"/>
        <v>2014</v>
      </c>
      <c r="Q3801" s="159">
        <f t="shared" si="624"/>
        <v>4</v>
      </c>
      <c r="R3801" s="160">
        <f t="shared" si="625"/>
        <v>2.6333333333604969</v>
      </c>
      <c r="S3801" s="158">
        <f t="shared" si="626"/>
        <v>0.45445232466977842</v>
      </c>
      <c r="T3801" s="161">
        <f t="shared" si="627"/>
        <v>178.59976359522292</v>
      </c>
      <c r="U3801" s="158">
        <f t="shared" si="629"/>
        <v>67.822695035460995</v>
      </c>
      <c r="V3801" s="160">
        <f t="shared" si="628"/>
        <v>68</v>
      </c>
    </row>
    <row r="3802" spans="1:22" x14ac:dyDescent="0.25">
      <c r="A3802" s="98" t="s">
        <v>29</v>
      </c>
      <c r="B3802" s="98" t="s">
        <v>17</v>
      </c>
      <c r="C3802" s="98">
        <v>46</v>
      </c>
      <c r="D3802" s="98">
        <v>1455</v>
      </c>
      <c r="E3802" s="157">
        <v>41735.53125</v>
      </c>
      <c r="F3802" s="157">
        <v>41736.3125</v>
      </c>
      <c r="G3802" s="98">
        <v>400</v>
      </c>
      <c r="H3802" s="98">
        <v>423</v>
      </c>
      <c r="I3802" s="98">
        <v>393</v>
      </c>
      <c r="J3802" s="98" t="s">
        <v>1990</v>
      </c>
      <c r="K3802" s="98" t="s">
        <v>1596</v>
      </c>
      <c r="L3802" s="105" t="str">
        <f t="shared" si="620"/>
        <v>Mill Creek</v>
      </c>
      <c r="M3802" s="105" t="str">
        <f t="shared" si="621"/>
        <v>Derate</v>
      </c>
      <c r="N3802" s="105" t="str">
        <f t="shared" si="622"/>
        <v>Coal</v>
      </c>
      <c r="O3802" s="105">
        <f>IFERROR(VLOOKUP(A3802,Lookup!$J$5:$P$19,7,FALSE),0)</f>
        <v>3</v>
      </c>
      <c r="P3802" s="159">
        <f t="shared" si="623"/>
        <v>2014</v>
      </c>
      <c r="Q3802" s="159">
        <f t="shared" si="624"/>
        <v>4</v>
      </c>
      <c r="R3802" s="160">
        <f t="shared" si="625"/>
        <v>18.75</v>
      </c>
      <c r="S3802" s="158">
        <f t="shared" si="626"/>
        <v>1.0195035460992907</v>
      </c>
      <c r="T3802" s="161">
        <f t="shared" si="627"/>
        <v>400.66489361702128</v>
      </c>
      <c r="U3802" s="158">
        <f t="shared" si="629"/>
        <v>21.368794326241133</v>
      </c>
      <c r="V3802" s="160">
        <f t="shared" si="628"/>
        <v>21</v>
      </c>
    </row>
    <row r="3803" spans="1:22" x14ac:dyDescent="0.25">
      <c r="A3803" s="98" t="s">
        <v>29</v>
      </c>
      <c r="B3803" s="98" t="s">
        <v>17</v>
      </c>
      <c r="C3803" s="98">
        <v>47</v>
      </c>
      <c r="D3803" s="98">
        <v>1455</v>
      </c>
      <c r="E3803" s="157">
        <v>41736.3125</v>
      </c>
      <c r="F3803" s="157">
        <v>41736.739583333336</v>
      </c>
      <c r="G3803" s="98">
        <v>415</v>
      </c>
      <c r="H3803" s="98">
        <v>423</v>
      </c>
      <c r="I3803" s="98">
        <v>393</v>
      </c>
      <c r="J3803" s="98" t="s">
        <v>1990</v>
      </c>
      <c r="K3803" s="98" t="s">
        <v>1596</v>
      </c>
      <c r="L3803" s="105" t="str">
        <f t="shared" si="620"/>
        <v>Mill Creek</v>
      </c>
      <c r="M3803" s="105" t="str">
        <f t="shared" si="621"/>
        <v>Derate</v>
      </c>
      <c r="N3803" s="105" t="str">
        <f t="shared" si="622"/>
        <v>Coal</v>
      </c>
      <c r="O3803" s="105">
        <f>IFERROR(VLOOKUP(A3803,Lookup!$J$5:$P$19,7,FALSE),0)</f>
        <v>3</v>
      </c>
      <c r="P3803" s="159">
        <f t="shared" si="623"/>
        <v>2014</v>
      </c>
      <c r="Q3803" s="159">
        <f t="shared" si="624"/>
        <v>4</v>
      </c>
      <c r="R3803" s="160">
        <f t="shared" si="625"/>
        <v>10.250000000058208</v>
      </c>
      <c r="S3803" s="158">
        <f t="shared" si="626"/>
        <v>0.19385342789708193</v>
      </c>
      <c r="T3803" s="161">
        <f t="shared" si="627"/>
        <v>76.1843971635532</v>
      </c>
      <c r="U3803" s="158">
        <f t="shared" si="629"/>
        <v>7.4326241134751774</v>
      </c>
      <c r="V3803" s="160">
        <f t="shared" si="628"/>
        <v>7</v>
      </c>
    </row>
    <row r="3804" spans="1:22" x14ac:dyDescent="0.25">
      <c r="A3804" s="98" t="s">
        <v>29</v>
      </c>
      <c r="B3804" s="98" t="s">
        <v>17</v>
      </c>
      <c r="C3804" s="98">
        <v>48</v>
      </c>
      <c r="D3804" s="98">
        <v>1455</v>
      </c>
      <c r="E3804" s="157">
        <v>41736.739583333336</v>
      </c>
      <c r="F3804" s="157">
        <v>41738.554861111108</v>
      </c>
      <c r="G3804" s="98">
        <v>395</v>
      </c>
      <c r="H3804" s="98">
        <v>423</v>
      </c>
      <c r="I3804" s="98">
        <v>393</v>
      </c>
      <c r="J3804" s="98" t="s">
        <v>1990</v>
      </c>
      <c r="K3804" s="98" t="s">
        <v>1596</v>
      </c>
      <c r="L3804" s="105" t="str">
        <f t="shared" si="620"/>
        <v>Mill Creek</v>
      </c>
      <c r="M3804" s="105" t="str">
        <f t="shared" si="621"/>
        <v>Derate</v>
      </c>
      <c r="N3804" s="105" t="str">
        <f t="shared" si="622"/>
        <v>Coal</v>
      </c>
      <c r="O3804" s="105">
        <f>IFERROR(VLOOKUP(A3804,Lookup!$J$5:$P$19,7,FALSE),0)</f>
        <v>3</v>
      </c>
      <c r="P3804" s="159">
        <f t="shared" si="623"/>
        <v>2014</v>
      </c>
      <c r="Q3804" s="159">
        <f t="shared" si="624"/>
        <v>4</v>
      </c>
      <c r="R3804" s="160">
        <f t="shared" si="625"/>
        <v>43.566666666534729</v>
      </c>
      <c r="S3804" s="158">
        <f t="shared" si="626"/>
        <v>2.8838455476666014</v>
      </c>
      <c r="T3804" s="161">
        <f t="shared" si="627"/>
        <v>1133.3513002329744</v>
      </c>
      <c r="U3804" s="158">
        <f t="shared" si="629"/>
        <v>26.01418439716312</v>
      </c>
      <c r="V3804" s="160">
        <f t="shared" si="628"/>
        <v>26</v>
      </c>
    </row>
    <row r="3805" spans="1:22" x14ac:dyDescent="0.25">
      <c r="A3805" s="98" t="s">
        <v>29</v>
      </c>
      <c r="B3805" s="98" t="s">
        <v>17</v>
      </c>
      <c r="C3805" s="98">
        <v>49</v>
      </c>
      <c r="D3805" s="98">
        <v>250</v>
      </c>
      <c r="E3805" s="157">
        <v>41738.554861111108</v>
      </c>
      <c r="F3805" s="157">
        <v>41739.041666666664</v>
      </c>
      <c r="G3805" s="98">
        <v>310</v>
      </c>
      <c r="H3805" s="98">
        <v>423</v>
      </c>
      <c r="I3805" s="98">
        <v>393</v>
      </c>
      <c r="J3805" s="98" t="s">
        <v>1978</v>
      </c>
      <c r="K3805" s="98" t="s">
        <v>1597</v>
      </c>
      <c r="L3805" s="105" t="str">
        <f t="shared" si="620"/>
        <v>Mill Creek</v>
      </c>
      <c r="M3805" s="105" t="str">
        <f t="shared" si="621"/>
        <v>Derate</v>
      </c>
      <c r="N3805" s="105" t="str">
        <f t="shared" si="622"/>
        <v>Coal</v>
      </c>
      <c r="O3805" s="105">
        <f>IFERROR(VLOOKUP(A3805,Lookup!$J$5:$P$19,7,FALSE),0)</f>
        <v>3</v>
      </c>
      <c r="P3805" s="159">
        <f t="shared" si="623"/>
        <v>2014</v>
      </c>
      <c r="Q3805" s="159">
        <f t="shared" si="624"/>
        <v>4</v>
      </c>
      <c r="R3805" s="160">
        <f t="shared" si="625"/>
        <v>11.683333333348855</v>
      </c>
      <c r="S3805" s="158">
        <f t="shared" si="626"/>
        <v>3.1210795902326729</v>
      </c>
      <c r="T3805" s="161">
        <f t="shared" si="627"/>
        <v>1226.5842789614405</v>
      </c>
      <c r="U3805" s="158">
        <f t="shared" si="629"/>
        <v>104.98581560283688</v>
      </c>
      <c r="V3805" s="160">
        <f t="shared" si="628"/>
        <v>105</v>
      </c>
    </row>
    <row r="3806" spans="1:22" x14ac:dyDescent="0.25">
      <c r="A3806" s="98" t="s">
        <v>29</v>
      </c>
      <c r="B3806" s="98" t="s">
        <v>17</v>
      </c>
      <c r="C3806" s="98">
        <v>50</v>
      </c>
      <c r="D3806" s="98">
        <v>310</v>
      </c>
      <c r="E3806" s="157">
        <v>41739.041666666664</v>
      </c>
      <c r="F3806" s="157">
        <v>41739.231249999997</v>
      </c>
      <c r="G3806" s="98">
        <v>310</v>
      </c>
      <c r="H3806" s="98">
        <v>423</v>
      </c>
      <c r="I3806" s="98">
        <v>393</v>
      </c>
      <c r="J3806" s="98" t="s">
        <v>1966</v>
      </c>
      <c r="K3806" s="98" t="s">
        <v>1598</v>
      </c>
      <c r="L3806" s="105" t="str">
        <f t="shared" si="620"/>
        <v>Mill Creek</v>
      </c>
      <c r="M3806" s="105" t="str">
        <f t="shared" si="621"/>
        <v>Derate</v>
      </c>
      <c r="N3806" s="105" t="str">
        <f t="shared" si="622"/>
        <v>Coal</v>
      </c>
      <c r="O3806" s="105">
        <f>IFERROR(VLOOKUP(A3806,Lookup!$J$5:$P$19,7,FALSE),0)</f>
        <v>3</v>
      </c>
      <c r="P3806" s="159">
        <f t="shared" si="623"/>
        <v>2014</v>
      </c>
      <c r="Q3806" s="159">
        <f t="shared" si="624"/>
        <v>4</v>
      </c>
      <c r="R3806" s="160">
        <f t="shared" si="625"/>
        <v>4.5499999999883585</v>
      </c>
      <c r="S3806" s="158">
        <f t="shared" si="626"/>
        <v>1.2154846335666301</v>
      </c>
      <c r="T3806" s="161">
        <f t="shared" si="627"/>
        <v>477.6854609916856</v>
      </c>
      <c r="U3806" s="158">
        <f t="shared" si="629"/>
        <v>104.98581560283688</v>
      </c>
      <c r="V3806" s="160">
        <f t="shared" si="628"/>
        <v>105</v>
      </c>
    </row>
    <row r="3807" spans="1:22" x14ac:dyDescent="0.25">
      <c r="A3807" s="98" t="s">
        <v>29</v>
      </c>
      <c r="B3807" s="98" t="s">
        <v>17</v>
      </c>
      <c r="C3807" s="98">
        <v>51</v>
      </c>
      <c r="D3807" s="98">
        <v>250</v>
      </c>
      <c r="E3807" s="157">
        <v>41740.030555555553</v>
      </c>
      <c r="F3807" s="157">
        <v>41740.04791666667</v>
      </c>
      <c r="G3807" s="98">
        <v>375</v>
      </c>
      <c r="H3807" s="98">
        <v>423</v>
      </c>
      <c r="I3807" s="98">
        <v>393</v>
      </c>
      <c r="J3807" s="98" t="s">
        <v>1978</v>
      </c>
      <c r="K3807" s="98" t="s">
        <v>1599</v>
      </c>
      <c r="L3807" s="105" t="str">
        <f t="shared" si="620"/>
        <v>Mill Creek</v>
      </c>
      <c r="M3807" s="105" t="str">
        <f t="shared" si="621"/>
        <v>Derate</v>
      </c>
      <c r="N3807" s="105" t="str">
        <f t="shared" si="622"/>
        <v>Coal</v>
      </c>
      <c r="O3807" s="105">
        <f>IFERROR(VLOOKUP(A3807,Lookup!$J$5:$P$19,7,FALSE),0)</f>
        <v>3</v>
      </c>
      <c r="P3807" s="159">
        <f t="shared" si="623"/>
        <v>2014</v>
      </c>
      <c r="Q3807" s="159">
        <f t="shared" si="624"/>
        <v>4</v>
      </c>
      <c r="R3807" s="160">
        <f t="shared" si="625"/>
        <v>0.41666666680248454</v>
      </c>
      <c r="S3807" s="158">
        <f t="shared" si="626"/>
        <v>4.7281323892480513E-2</v>
      </c>
      <c r="T3807" s="161">
        <f t="shared" si="627"/>
        <v>18.581560289744843</v>
      </c>
      <c r="U3807" s="158">
        <f t="shared" si="629"/>
        <v>44.595744680851062</v>
      </c>
      <c r="V3807" s="160">
        <f t="shared" si="628"/>
        <v>45</v>
      </c>
    </row>
    <row r="3808" spans="1:22" x14ac:dyDescent="0.25">
      <c r="A3808" s="98" t="s">
        <v>29</v>
      </c>
      <c r="B3808" s="98" t="s">
        <v>17</v>
      </c>
      <c r="C3808" s="98">
        <v>52</v>
      </c>
      <c r="D3808" s="98">
        <v>360</v>
      </c>
      <c r="E3808" s="157">
        <v>41740.611805555556</v>
      </c>
      <c r="F3808" s="157">
        <v>41740.625</v>
      </c>
      <c r="G3808" s="98">
        <v>340</v>
      </c>
      <c r="H3808" s="98">
        <v>423</v>
      </c>
      <c r="I3808" s="98">
        <v>393</v>
      </c>
      <c r="J3808" s="98" t="s">
        <v>229</v>
      </c>
      <c r="K3808" s="98" t="s">
        <v>1588</v>
      </c>
      <c r="L3808" s="105" t="str">
        <f t="shared" si="620"/>
        <v>Mill Creek</v>
      </c>
      <c r="M3808" s="105" t="str">
        <f t="shared" si="621"/>
        <v>Derate</v>
      </c>
      <c r="N3808" s="105" t="str">
        <f t="shared" si="622"/>
        <v>Coal</v>
      </c>
      <c r="O3808" s="105">
        <f>IFERROR(VLOOKUP(A3808,Lookup!$J$5:$P$19,7,FALSE),0)</f>
        <v>3</v>
      </c>
      <c r="P3808" s="159">
        <f t="shared" si="623"/>
        <v>2014</v>
      </c>
      <c r="Q3808" s="159">
        <f t="shared" si="624"/>
        <v>4</v>
      </c>
      <c r="R3808" s="160">
        <f t="shared" si="625"/>
        <v>0.31666666665114462</v>
      </c>
      <c r="S3808" s="158">
        <f t="shared" si="626"/>
        <v>6.2135539792068567E-2</v>
      </c>
      <c r="T3808" s="161">
        <f t="shared" si="627"/>
        <v>24.419267138282947</v>
      </c>
      <c r="U3808" s="158">
        <f t="shared" si="629"/>
        <v>77.113475177304963</v>
      </c>
      <c r="V3808" s="160">
        <f t="shared" si="628"/>
        <v>77</v>
      </c>
    </row>
    <row r="3809" spans="1:22" x14ac:dyDescent="0.25">
      <c r="A3809" s="98" t="s">
        <v>29</v>
      </c>
      <c r="B3809" s="98" t="s">
        <v>17</v>
      </c>
      <c r="C3809" s="98">
        <v>53</v>
      </c>
      <c r="D3809" s="98">
        <v>1455</v>
      </c>
      <c r="E3809" s="157">
        <v>41743.259722222225</v>
      </c>
      <c r="F3809" s="157">
        <v>41743.445138888892</v>
      </c>
      <c r="G3809" s="98">
        <v>355</v>
      </c>
      <c r="H3809" s="98">
        <v>423</v>
      </c>
      <c r="I3809" s="98">
        <v>393</v>
      </c>
      <c r="J3809" s="98" t="s">
        <v>1990</v>
      </c>
      <c r="K3809" s="98" t="s">
        <v>1600</v>
      </c>
      <c r="L3809" s="105" t="str">
        <f t="shared" si="620"/>
        <v>Mill Creek</v>
      </c>
      <c r="M3809" s="105" t="str">
        <f t="shared" si="621"/>
        <v>Derate</v>
      </c>
      <c r="N3809" s="105" t="str">
        <f t="shared" si="622"/>
        <v>Coal</v>
      </c>
      <c r="O3809" s="105">
        <f>IFERROR(VLOOKUP(A3809,Lookup!$J$5:$P$19,7,FALSE),0)</f>
        <v>3</v>
      </c>
      <c r="P3809" s="159">
        <f t="shared" si="623"/>
        <v>2014</v>
      </c>
      <c r="Q3809" s="159">
        <f t="shared" si="624"/>
        <v>4</v>
      </c>
      <c r="R3809" s="160">
        <f t="shared" si="625"/>
        <v>4.4500000000116415</v>
      </c>
      <c r="S3809" s="158">
        <f t="shared" si="626"/>
        <v>0.71536643026191871</v>
      </c>
      <c r="T3809" s="161">
        <f t="shared" si="627"/>
        <v>281.13900709293404</v>
      </c>
      <c r="U3809" s="158">
        <f t="shared" si="629"/>
        <v>63.177304964539005</v>
      </c>
      <c r="V3809" s="160">
        <f t="shared" si="628"/>
        <v>63</v>
      </c>
    </row>
    <row r="3810" spans="1:22" x14ac:dyDescent="0.25">
      <c r="A3810" s="98" t="s">
        <v>29</v>
      </c>
      <c r="B3810" s="98" t="s">
        <v>17</v>
      </c>
      <c r="C3810" s="98">
        <v>54</v>
      </c>
      <c r="D3810" s="98">
        <v>1455</v>
      </c>
      <c r="E3810" s="157">
        <v>41743.445138888892</v>
      </c>
      <c r="F3810" s="157">
        <v>41743.645833333336</v>
      </c>
      <c r="G3810" s="98">
        <v>380</v>
      </c>
      <c r="H3810" s="98">
        <v>423</v>
      </c>
      <c r="I3810" s="98">
        <v>393</v>
      </c>
      <c r="J3810" s="98" t="s">
        <v>1990</v>
      </c>
      <c r="K3810" s="98" t="s">
        <v>1600</v>
      </c>
      <c r="L3810" s="105" t="str">
        <f t="shared" si="620"/>
        <v>Mill Creek</v>
      </c>
      <c r="M3810" s="105" t="str">
        <f t="shared" si="621"/>
        <v>Derate</v>
      </c>
      <c r="N3810" s="105" t="str">
        <f t="shared" si="622"/>
        <v>Coal</v>
      </c>
      <c r="O3810" s="105">
        <f>IFERROR(VLOOKUP(A3810,Lookup!$J$5:$P$19,7,FALSE),0)</f>
        <v>3</v>
      </c>
      <c r="P3810" s="159">
        <f t="shared" si="623"/>
        <v>2014</v>
      </c>
      <c r="Q3810" s="159">
        <f t="shared" si="624"/>
        <v>4</v>
      </c>
      <c r="R3810" s="160">
        <f t="shared" si="625"/>
        <v>4.8166666666511446</v>
      </c>
      <c r="S3810" s="158">
        <f t="shared" si="626"/>
        <v>0.48963750984869792</v>
      </c>
      <c r="T3810" s="161">
        <f t="shared" si="627"/>
        <v>192.42754137053828</v>
      </c>
      <c r="U3810" s="158">
        <f t="shared" si="629"/>
        <v>39.950354609929079</v>
      </c>
      <c r="V3810" s="160">
        <f t="shared" si="628"/>
        <v>40</v>
      </c>
    </row>
    <row r="3811" spans="1:22" x14ac:dyDescent="0.25">
      <c r="A3811" s="98" t="s">
        <v>29</v>
      </c>
      <c r="B3811" s="98" t="s">
        <v>17</v>
      </c>
      <c r="C3811" s="98">
        <v>55</v>
      </c>
      <c r="D3811" s="98">
        <v>1455</v>
      </c>
      <c r="E3811" s="157">
        <v>41743.740972222222</v>
      </c>
      <c r="F3811" s="157">
        <v>41743.840277777781</v>
      </c>
      <c r="G3811" s="98">
        <v>400</v>
      </c>
      <c r="H3811" s="98">
        <v>423</v>
      </c>
      <c r="I3811" s="98">
        <v>393</v>
      </c>
      <c r="J3811" s="98" t="s">
        <v>1990</v>
      </c>
      <c r="K3811" s="98" t="s">
        <v>1596</v>
      </c>
      <c r="L3811" s="105" t="str">
        <f t="shared" si="620"/>
        <v>Mill Creek</v>
      </c>
      <c r="M3811" s="105" t="str">
        <f t="shared" si="621"/>
        <v>Derate</v>
      </c>
      <c r="N3811" s="105" t="str">
        <f t="shared" si="622"/>
        <v>Coal</v>
      </c>
      <c r="O3811" s="105">
        <f>IFERROR(VLOOKUP(A3811,Lookup!$J$5:$P$19,7,FALSE),0)</f>
        <v>3</v>
      </c>
      <c r="P3811" s="159">
        <f t="shared" si="623"/>
        <v>2014</v>
      </c>
      <c r="Q3811" s="159">
        <f t="shared" si="624"/>
        <v>4</v>
      </c>
      <c r="R3811" s="160">
        <f t="shared" si="625"/>
        <v>2.3833333334187046</v>
      </c>
      <c r="S3811" s="158">
        <f t="shared" si="626"/>
        <v>0.12959022853104069</v>
      </c>
      <c r="T3811" s="161">
        <f t="shared" si="627"/>
        <v>50.928959812698992</v>
      </c>
      <c r="U3811" s="158">
        <f t="shared" si="629"/>
        <v>21.368794326241133</v>
      </c>
      <c r="V3811" s="160">
        <f t="shared" si="628"/>
        <v>21</v>
      </c>
    </row>
    <row r="3812" spans="1:22" x14ac:dyDescent="0.25">
      <c r="A3812" s="98" t="s">
        <v>29</v>
      </c>
      <c r="B3812" s="98" t="s">
        <v>17</v>
      </c>
      <c r="C3812" s="98">
        <v>56</v>
      </c>
      <c r="D3812" s="98">
        <v>1455</v>
      </c>
      <c r="E3812" s="157">
        <v>41743.840277777781</v>
      </c>
      <c r="F3812" s="157">
        <v>41743.895833333336</v>
      </c>
      <c r="G3812" s="98">
        <v>406</v>
      </c>
      <c r="H3812" s="98">
        <v>423</v>
      </c>
      <c r="I3812" s="98">
        <v>393</v>
      </c>
      <c r="J3812" s="98" t="s">
        <v>1990</v>
      </c>
      <c r="K3812" s="98" t="s">
        <v>1596</v>
      </c>
      <c r="L3812" s="105" t="str">
        <f t="shared" si="620"/>
        <v>Mill Creek</v>
      </c>
      <c r="M3812" s="105" t="str">
        <f t="shared" si="621"/>
        <v>Derate</v>
      </c>
      <c r="N3812" s="105" t="str">
        <f t="shared" si="622"/>
        <v>Coal</v>
      </c>
      <c r="O3812" s="105">
        <f>IFERROR(VLOOKUP(A3812,Lookup!$J$5:$P$19,7,FALSE),0)</f>
        <v>3</v>
      </c>
      <c r="P3812" s="159">
        <f t="shared" si="623"/>
        <v>2014</v>
      </c>
      <c r="Q3812" s="159">
        <f t="shared" si="624"/>
        <v>4</v>
      </c>
      <c r="R3812" s="160">
        <f t="shared" si="625"/>
        <v>1.3333333333139308</v>
      </c>
      <c r="S3812" s="158">
        <f t="shared" si="626"/>
        <v>5.3585500393231261E-2</v>
      </c>
      <c r="T3812" s="161">
        <f t="shared" si="627"/>
        <v>21.059101654539887</v>
      </c>
      <c r="U3812" s="158">
        <f t="shared" si="629"/>
        <v>15.794326241134751</v>
      </c>
      <c r="V3812" s="160">
        <f t="shared" si="628"/>
        <v>16</v>
      </c>
    </row>
    <row r="3813" spans="1:22" x14ac:dyDescent="0.25">
      <c r="A3813" s="98" t="s">
        <v>29</v>
      </c>
      <c r="B3813" s="98" t="s">
        <v>105</v>
      </c>
      <c r="C3813" s="98">
        <v>57</v>
      </c>
      <c r="D3813" s="98">
        <v>876</v>
      </c>
      <c r="E3813" s="157">
        <v>41743.895833333336</v>
      </c>
      <c r="F3813" s="157">
        <v>41744.321527777778</v>
      </c>
      <c r="G3813" s="98">
        <v>260</v>
      </c>
      <c r="H3813" s="98">
        <v>423</v>
      </c>
      <c r="I3813" s="98">
        <v>393</v>
      </c>
      <c r="J3813" s="98" t="s">
        <v>2655</v>
      </c>
      <c r="K3813" s="98" t="s">
        <v>1592</v>
      </c>
      <c r="L3813" s="105" t="str">
        <f t="shared" si="620"/>
        <v>Mill Creek</v>
      </c>
      <c r="M3813" s="105" t="str">
        <f t="shared" si="621"/>
        <v>Derate</v>
      </c>
      <c r="N3813" s="105" t="str">
        <f t="shared" si="622"/>
        <v>Coal</v>
      </c>
      <c r="O3813" s="105">
        <f>IFERROR(VLOOKUP(A3813,Lookup!$J$5:$P$19,7,FALSE),0)</f>
        <v>3</v>
      </c>
      <c r="P3813" s="159">
        <f t="shared" si="623"/>
        <v>2014</v>
      </c>
      <c r="Q3813" s="159">
        <f t="shared" si="624"/>
        <v>4</v>
      </c>
      <c r="R3813" s="160">
        <f t="shared" si="625"/>
        <v>10.21666666661622</v>
      </c>
      <c r="S3813" s="158">
        <f t="shared" si="626"/>
        <v>3.9369188337079053</v>
      </c>
      <c r="T3813" s="161">
        <f t="shared" si="627"/>
        <v>1547.2091016472068</v>
      </c>
      <c r="U3813" s="158">
        <f t="shared" si="629"/>
        <v>151.43971631205673</v>
      </c>
      <c r="V3813" s="160">
        <f t="shared" si="628"/>
        <v>151</v>
      </c>
    </row>
    <row r="3814" spans="1:22" x14ac:dyDescent="0.25">
      <c r="A3814" s="98" t="s">
        <v>29</v>
      </c>
      <c r="B3814" s="98" t="s">
        <v>17</v>
      </c>
      <c r="C3814" s="98">
        <v>58</v>
      </c>
      <c r="D3814" s="98">
        <v>1455</v>
      </c>
      <c r="E3814" s="157">
        <v>41744.321527777778</v>
      </c>
      <c r="F3814" s="157">
        <v>41744.489583333336</v>
      </c>
      <c r="G3814" s="98">
        <v>406</v>
      </c>
      <c r="H3814" s="98">
        <v>423</v>
      </c>
      <c r="I3814" s="98">
        <v>393</v>
      </c>
      <c r="J3814" s="98" t="s">
        <v>1990</v>
      </c>
      <c r="K3814" s="98" t="s">
        <v>1596</v>
      </c>
      <c r="L3814" s="105" t="str">
        <f t="shared" ref="L3814:L3876" si="630">IF(OR(A3814="BR1",A3814="BR2",A3814="BR3",A3814="BR5",A3814="BR6",A3814="BR7",A3814="BR8",A3814="BR9",A3814="BR10",A3814="BR11"),"Brown",IF(OR(A3814="CR4",A3814="CR5",A3814="CR6",A3814="CR11"),"Cane Run",IF(OR(A3814="GH1",A3814="GH2",A3814="GH3",A3814="GH4"),"Ghent",IF(OR(A3814="GR3",A3814="GR4"),"Green River",IF(OR(A3814="MC1",A3814="MC2",A3814="MC3",A3814="MC4"),"Mill Creek",IF(OR(A3814="TC1",A3814="TC2",A3814="TC5",A3814="TC6",A3814="TC7",A3814="TC8",A3814="TC9",A3814="TC10"),"Trimble",IF(A3814="TY3","Tyrone",IF(OR(A3814="HA1",A3814="HA2",A3814="HA3"),"Haeflin",IF(OR(A3814="PR11",A3814="PR12",A3814="PR13"),"Paddy's Run","Zorn")))))))))</f>
        <v>Mill Creek</v>
      </c>
      <c r="M3814" s="105" t="str">
        <f t="shared" ref="M3814:M3876" si="631">IF(OR(B3814="D1",B3814="D2",B3814="D3",B3814="D4",B3814="PD"),"Derate",IF(OR(B3814="SF",B3814="U1",B3814="U2",B3814="U3"),"Outage",IF(OR(B3814="ME",B3814="MO"),"Maintenance","Other")))</f>
        <v>Derate</v>
      </c>
      <c r="N3814" s="105" t="str">
        <f t="shared" ref="N3814:N3876" si="632">IF(OR(A3814="BR1",A3814="BR2",A3814="BR3",A3814="CR4",A3814="CR5",A3814="CR6",A3814="GH1",A3814="GH2",A3814="GH3",A3814="GH4",A3814="GR3",A3814="GR4",A3814="MC1",A3814="MC2",A3814="MC3",A3814="MC4",A3814="TC1",A3814="TC2",A3814="TY3"),"Coal","Gas")</f>
        <v>Coal</v>
      </c>
      <c r="O3814" s="105">
        <f>IFERROR(VLOOKUP(A3814,Lookup!$J$5:$P$19,7,FALSE),0)</f>
        <v>3</v>
      </c>
      <c r="P3814" s="159">
        <f t="shared" ref="P3814:P3876" si="633">YEAR(E3814)</f>
        <v>2014</v>
      </c>
      <c r="Q3814" s="159">
        <f t="shared" ref="Q3814:Q3876" si="634">MONTH(E3814)</f>
        <v>4</v>
      </c>
      <c r="R3814" s="160">
        <f t="shared" ref="R3814:R3876" si="635">(F3814-E3814)*24</f>
        <v>4.03333333338378</v>
      </c>
      <c r="S3814" s="158">
        <f t="shared" ref="S3814:S3876" si="636">R3814*(H3814-G3814)/H3814</f>
        <v>0.16209613869391079</v>
      </c>
      <c r="T3814" s="161">
        <f t="shared" ref="T3814:T3876" si="637">S3814*I3814</f>
        <v>63.703782506706943</v>
      </c>
      <c r="U3814" s="158">
        <f t="shared" si="629"/>
        <v>15.794326241134751</v>
      </c>
      <c r="V3814" s="160">
        <f t="shared" ref="V3814:V3876" si="638">ROUND(U3814,0)</f>
        <v>16</v>
      </c>
    </row>
    <row r="3815" spans="1:22" x14ac:dyDescent="0.25">
      <c r="A3815" s="98" t="s">
        <v>29</v>
      </c>
      <c r="B3815" s="98" t="s">
        <v>17</v>
      </c>
      <c r="C3815" s="98">
        <v>59</v>
      </c>
      <c r="D3815" s="98">
        <v>1455</v>
      </c>
      <c r="E3815" s="157">
        <v>41744.489583333336</v>
      </c>
      <c r="F3815" s="157">
        <v>41744.635416666664</v>
      </c>
      <c r="G3815" s="98">
        <v>418</v>
      </c>
      <c r="H3815" s="98">
        <v>423</v>
      </c>
      <c r="I3815" s="98">
        <v>393</v>
      </c>
      <c r="J3815" s="98" t="s">
        <v>1990</v>
      </c>
      <c r="K3815" s="98" t="s">
        <v>1596</v>
      </c>
      <c r="L3815" s="105" t="str">
        <f t="shared" si="630"/>
        <v>Mill Creek</v>
      </c>
      <c r="M3815" s="105" t="str">
        <f t="shared" si="631"/>
        <v>Derate</v>
      </c>
      <c r="N3815" s="105" t="str">
        <f t="shared" si="632"/>
        <v>Coal</v>
      </c>
      <c r="O3815" s="105">
        <f>IFERROR(VLOOKUP(A3815,Lookup!$J$5:$P$19,7,FALSE),0)</f>
        <v>3</v>
      </c>
      <c r="P3815" s="159">
        <f t="shared" si="633"/>
        <v>2014</v>
      </c>
      <c r="Q3815" s="159">
        <f t="shared" si="634"/>
        <v>4</v>
      </c>
      <c r="R3815" s="160">
        <f t="shared" si="635"/>
        <v>3.4999999998835847</v>
      </c>
      <c r="S3815" s="158">
        <f t="shared" si="636"/>
        <v>4.137115839105892E-2</v>
      </c>
      <c r="T3815" s="161">
        <f t="shared" si="637"/>
        <v>16.258865247686156</v>
      </c>
      <c r="U3815" s="158">
        <f t="shared" ref="U3815:U3877" si="639">IF(G3815&gt;0,MAX((H3815-G3815),0)*I3815/H3815,I3815)</f>
        <v>4.6453900709219855</v>
      </c>
      <c r="V3815" s="160">
        <f t="shared" si="638"/>
        <v>5</v>
      </c>
    </row>
    <row r="3816" spans="1:22" x14ac:dyDescent="0.25">
      <c r="A3816" s="98" t="s">
        <v>29</v>
      </c>
      <c r="B3816" s="98" t="s">
        <v>17</v>
      </c>
      <c r="C3816" s="98">
        <v>60</v>
      </c>
      <c r="D3816" s="98">
        <v>1455</v>
      </c>
      <c r="E3816" s="157">
        <v>41746.144444444442</v>
      </c>
      <c r="F3816" s="157">
        <v>41746.276388888888</v>
      </c>
      <c r="G3816" s="98">
        <v>410</v>
      </c>
      <c r="H3816" s="98">
        <v>423</v>
      </c>
      <c r="I3816" s="98">
        <v>393</v>
      </c>
      <c r="J3816" s="98" t="s">
        <v>1990</v>
      </c>
      <c r="K3816" s="98" t="s">
        <v>1596</v>
      </c>
      <c r="L3816" s="105" t="str">
        <f t="shared" si="630"/>
        <v>Mill Creek</v>
      </c>
      <c r="M3816" s="105" t="str">
        <f t="shared" si="631"/>
        <v>Derate</v>
      </c>
      <c r="N3816" s="105" t="str">
        <f t="shared" si="632"/>
        <v>Coal</v>
      </c>
      <c r="O3816" s="105">
        <f>IFERROR(VLOOKUP(A3816,Lookup!$J$5:$P$19,7,FALSE),0)</f>
        <v>3</v>
      </c>
      <c r="P3816" s="159">
        <f t="shared" si="633"/>
        <v>2014</v>
      </c>
      <c r="Q3816" s="159">
        <f t="shared" si="634"/>
        <v>4</v>
      </c>
      <c r="R3816" s="160">
        <f t="shared" si="635"/>
        <v>3.1666666666860692</v>
      </c>
      <c r="S3816" s="158">
        <f t="shared" si="636"/>
        <v>9.7320724980895751E-2</v>
      </c>
      <c r="T3816" s="161">
        <f t="shared" si="637"/>
        <v>38.247044917492033</v>
      </c>
      <c r="U3816" s="158">
        <f t="shared" si="639"/>
        <v>12.078014184397164</v>
      </c>
      <c r="V3816" s="160">
        <f t="shared" si="638"/>
        <v>12</v>
      </c>
    </row>
    <row r="3817" spans="1:22" x14ac:dyDescent="0.25">
      <c r="A3817" s="98" t="s">
        <v>29</v>
      </c>
      <c r="B3817" s="98" t="s">
        <v>17</v>
      </c>
      <c r="C3817" s="98">
        <v>61</v>
      </c>
      <c r="D3817" s="98">
        <v>360</v>
      </c>
      <c r="E3817" s="157">
        <v>41749.883333333331</v>
      </c>
      <c r="F3817" s="157">
        <v>41749.961805555555</v>
      </c>
      <c r="G3817" s="98">
        <v>320</v>
      </c>
      <c r="H3817" s="98">
        <v>423</v>
      </c>
      <c r="I3817" s="98">
        <v>393</v>
      </c>
      <c r="J3817" s="98" t="s">
        <v>229</v>
      </c>
      <c r="K3817" s="98" t="s">
        <v>1601</v>
      </c>
      <c r="L3817" s="105" t="str">
        <f t="shared" si="630"/>
        <v>Mill Creek</v>
      </c>
      <c r="M3817" s="105" t="str">
        <f t="shared" si="631"/>
        <v>Derate</v>
      </c>
      <c r="N3817" s="105" t="str">
        <f t="shared" si="632"/>
        <v>Coal</v>
      </c>
      <c r="O3817" s="105">
        <f>IFERROR(VLOOKUP(A3817,Lookup!$J$5:$P$19,7,FALSE),0)</f>
        <v>3</v>
      </c>
      <c r="P3817" s="159">
        <f t="shared" si="633"/>
        <v>2014</v>
      </c>
      <c r="Q3817" s="159">
        <f t="shared" si="634"/>
        <v>4</v>
      </c>
      <c r="R3817" s="160">
        <f t="shared" si="635"/>
        <v>1.8833333333604969</v>
      </c>
      <c r="S3817" s="158">
        <f t="shared" si="636"/>
        <v>0.45858944051094841</v>
      </c>
      <c r="T3817" s="161">
        <f t="shared" si="637"/>
        <v>180.22565012080273</v>
      </c>
      <c r="U3817" s="158">
        <f t="shared" si="639"/>
        <v>95.695035460992912</v>
      </c>
      <c r="V3817" s="160">
        <f t="shared" si="638"/>
        <v>96</v>
      </c>
    </row>
    <row r="3818" spans="1:22" x14ac:dyDescent="0.25">
      <c r="A3818" s="98" t="s">
        <v>29</v>
      </c>
      <c r="B3818" s="98" t="s">
        <v>17</v>
      </c>
      <c r="C3818" s="98">
        <v>62</v>
      </c>
      <c r="D3818" s="98">
        <v>3412</v>
      </c>
      <c r="E3818" s="157">
        <v>41750.415277777778</v>
      </c>
      <c r="F3818" s="157">
        <v>41750.986111111109</v>
      </c>
      <c r="G3818" s="98">
        <v>400</v>
      </c>
      <c r="H3818" s="98">
        <v>423</v>
      </c>
      <c r="I3818" s="98">
        <v>393</v>
      </c>
      <c r="J3818" s="98" t="s">
        <v>2162</v>
      </c>
      <c r="K3818" s="98" t="s">
        <v>1602</v>
      </c>
      <c r="L3818" s="105" t="str">
        <f t="shared" si="630"/>
        <v>Mill Creek</v>
      </c>
      <c r="M3818" s="105" t="str">
        <f t="shared" si="631"/>
        <v>Derate</v>
      </c>
      <c r="N3818" s="105" t="str">
        <f t="shared" si="632"/>
        <v>Coal</v>
      </c>
      <c r="O3818" s="105">
        <f>IFERROR(VLOOKUP(A3818,Lookup!$J$5:$P$19,7,FALSE),0)</f>
        <v>3</v>
      </c>
      <c r="P3818" s="159">
        <f t="shared" si="633"/>
        <v>2014</v>
      </c>
      <c r="Q3818" s="159">
        <f t="shared" si="634"/>
        <v>4</v>
      </c>
      <c r="R3818" s="160">
        <f t="shared" si="635"/>
        <v>13.699999999953434</v>
      </c>
      <c r="S3818" s="158">
        <f t="shared" si="636"/>
        <v>0.74491725768068318</v>
      </c>
      <c r="T3818" s="161">
        <f t="shared" si="637"/>
        <v>292.75248226850852</v>
      </c>
      <c r="U3818" s="158">
        <f t="shared" si="639"/>
        <v>21.368794326241133</v>
      </c>
      <c r="V3818" s="160">
        <f t="shared" si="638"/>
        <v>21</v>
      </c>
    </row>
    <row r="3819" spans="1:22" x14ac:dyDescent="0.25">
      <c r="A3819" s="98" t="s">
        <v>29</v>
      </c>
      <c r="B3819" s="98" t="s">
        <v>105</v>
      </c>
      <c r="C3819" s="98">
        <v>63</v>
      </c>
      <c r="D3819" s="98">
        <v>3412</v>
      </c>
      <c r="E3819" s="157">
        <v>41750.986111111109</v>
      </c>
      <c r="F3819" s="157">
        <v>41751.013888888891</v>
      </c>
      <c r="G3819" s="98">
        <v>335</v>
      </c>
      <c r="H3819" s="98">
        <v>423</v>
      </c>
      <c r="I3819" s="98">
        <v>393</v>
      </c>
      <c r="J3819" s="98" t="s">
        <v>2162</v>
      </c>
      <c r="K3819" s="98" t="s">
        <v>1603</v>
      </c>
      <c r="L3819" s="105" t="str">
        <f t="shared" si="630"/>
        <v>Mill Creek</v>
      </c>
      <c r="M3819" s="105" t="str">
        <f t="shared" si="631"/>
        <v>Derate</v>
      </c>
      <c r="N3819" s="105" t="str">
        <f t="shared" si="632"/>
        <v>Coal</v>
      </c>
      <c r="O3819" s="105">
        <f>IFERROR(VLOOKUP(A3819,Lookup!$J$5:$P$19,7,FALSE),0)</f>
        <v>3</v>
      </c>
      <c r="P3819" s="159">
        <f t="shared" si="633"/>
        <v>2014</v>
      </c>
      <c r="Q3819" s="159">
        <f t="shared" si="634"/>
        <v>4</v>
      </c>
      <c r="R3819" s="160">
        <f t="shared" si="635"/>
        <v>0.66666666674427688</v>
      </c>
      <c r="S3819" s="158">
        <f t="shared" si="636"/>
        <v>0.1386918833888803</v>
      </c>
      <c r="T3819" s="161">
        <f t="shared" si="637"/>
        <v>54.50591017182996</v>
      </c>
      <c r="U3819" s="158">
        <f t="shared" si="639"/>
        <v>81.758865248226954</v>
      </c>
      <c r="V3819" s="160">
        <f t="shared" si="638"/>
        <v>82</v>
      </c>
    </row>
    <row r="3820" spans="1:22" x14ac:dyDescent="0.25">
      <c r="A3820" s="98" t="s">
        <v>29</v>
      </c>
      <c r="B3820" s="98" t="s">
        <v>17</v>
      </c>
      <c r="C3820" s="98">
        <v>64</v>
      </c>
      <c r="D3820" s="98">
        <v>3412</v>
      </c>
      <c r="E3820" s="157">
        <v>41751.013888888891</v>
      </c>
      <c r="F3820" s="157">
        <v>41751.4</v>
      </c>
      <c r="G3820" s="98">
        <v>400</v>
      </c>
      <c r="H3820" s="98">
        <v>423</v>
      </c>
      <c r="I3820" s="98">
        <v>393</v>
      </c>
      <c r="J3820" s="98" t="s">
        <v>2162</v>
      </c>
      <c r="K3820" s="98" t="s">
        <v>1602</v>
      </c>
      <c r="L3820" s="105" t="str">
        <f t="shared" si="630"/>
        <v>Mill Creek</v>
      </c>
      <c r="M3820" s="105" t="str">
        <f t="shared" si="631"/>
        <v>Derate</v>
      </c>
      <c r="N3820" s="105" t="str">
        <f t="shared" si="632"/>
        <v>Coal</v>
      </c>
      <c r="O3820" s="105">
        <f>IFERROR(VLOOKUP(A3820,Lookup!$J$5:$P$19,7,FALSE),0)</f>
        <v>3</v>
      </c>
      <c r="P3820" s="159">
        <f t="shared" si="633"/>
        <v>2014</v>
      </c>
      <c r="Q3820" s="159">
        <f t="shared" si="634"/>
        <v>4</v>
      </c>
      <c r="R3820" s="160">
        <f t="shared" si="635"/>
        <v>9.2666666666627862</v>
      </c>
      <c r="S3820" s="158">
        <f t="shared" si="636"/>
        <v>0.50386130811641627</v>
      </c>
      <c r="T3820" s="161">
        <f t="shared" si="637"/>
        <v>198.01749408975161</v>
      </c>
      <c r="U3820" s="158">
        <f t="shared" si="639"/>
        <v>21.368794326241133</v>
      </c>
      <c r="V3820" s="160">
        <f t="shared" si="638"/>
        <v>21</v>
      </c>
    </row>
    <row r="3821" spans="1:22" x14ac:dyDescent="0.25">
      <c r="A3821" s="98" t="s">
        <v>29</v>
      </c>
      <c r="B3821" s="98" t="s">
        <v>20</v>
      </c>
      <c r="C3821" s="98">
        <v>65</v>
      </c>
      <c r="D3821" s="98">
        <v>1455</v>
      </c>
      <c r="E3821" s="157">
        <v>41751.4</v>
      </c>
      <c r="F3821" s="157">
        <v>41753.129861111112</v>
      </c>
      <c r="G3821" s="98">
        <v>0</v>
      </c>
      <c r="H3821" s="98">
        <v>423</v>
      </c>
      <c r="I3821" s="98">
        <v>393</v>
      </c>
      <c r="J3821" s="98" t="s">
        <v>1990</v>
      </c>
      <c r="K3821" s="98" t="s">
        <v>1604</v>
      </c>
      <c r="L3821" s="105" t="str">
        <f t="shared" si="630"/>
        <v>Mill Creek</v>
      </c>
      <c r="M3821" s="105" t="str">
        <f t="shared" si="631"/>
        <v>Maintenance</v>
      </c>
      <c r="N3821" s="105" t="str">
        <f t="shared" si="632"/>
        <v>Coal</v>
      </c>
      <c r="O3821" s="105">
        <f>IFERROR(VLOOKUP(A3821,Lookup!$J$5:$P$19,7,FALSE),0)</f>
        <v>3</v>
      </c>
      <c r="P3821" s="159">
        <f t="shared" si="633"/>
        <v>2014</v>
      </c>
      <c r="Q3821" s="159">
        <f t="shared" si="634"/>
        <v>4</v>
      </c>
      <c r="R3821" s="160">
        <f t="shared" si="635"/>
        <v>41.516666666662786</v>
      </c>
      <c r="S3821" s="158">
        <f t="shared" si="636"/>
        <v>41.516666666662786</v>
      </c>
      <c r="T3821" s="161">
        <f t="shared" si="637"/>
        <v>16316.049999998475</v>
      </c>
      <c r="U3821" s="158">
        <f t="shared" si="639"/>
        <v>393</v>
      </c>
      <c r="V3821" s="160">
        <f t="shared" si="638"/>
        <v>393</v>
      </c>
    </row>
    <row r="3822" spans="1:22" x14ac:dyDescent="0.25">
      <c r="A3822" s="98" t="s">
        <v>29</v>
      </c>
      <c r="B3822" s="98" t="s">
        <v>79</v>
      </c>
      <c r="C3822" s="98">
        <v>66</v>
      </c>
      <c r="D3822" s="98">
        <v>1850</v>
      </c>
      <c r="E3822" s="157">
        <v>41753.129861111112</v>
      </c>
      <c r="F3822" s="157">
        <v>41753.463194444441</v>
      </c>
      <c r="G3822" s="98">
        <v>0</v>
      </c>
      <c r="H3822" s="98">
        <v>423</v>
      </c>
      <c r="I3822" s="98">
        <v>393</v>
      </c>
      <c r="J3822" s="98" t="s">
        <v>2263</v>
      </c>
      <c r="K3822" s="98" t="s">
        <v>86</v>
      </c>
      <c r="L3822" s="105" t="str">
        <f t="shared" si="630"/>
        <v>Mill Creek</v>
      </c>
      <c r="M3822" s="105" t="str">
        <f t="shared" si="631"/>
        <v>Other</v>
      </c>
      <c r="N3822" s="105" t="str">
        <f t="shared" si="632"/>
        <v>Coal</v>
      </c>
      <c r="O3822" s="105">
        <f>IFERROR(VLOOKUP(A3822,Lookup!$J$5:$P$19,7,FALSE),0)</f>
        <v>3</v>
      </c>
      <c r="P3822" s="159">
        <f t="shared" si="633"/>
        <v>2014</v>
      </c>
      <c r="Q3822" s="159">
        <f t="shared" si="634"/>
        <v>4</v>
      </c>
      <c r="R3822" s="160">
        <f t="shared" si="635"/>
        <v>7.9999999998835847</v>
      </c>
      <c r="S3822" s="158">
        <f t="shared" si="636"/>
        <v>7.9999999998835847</v>
      </c>
      <c r="T3822" s="161">
        <f t="shared" si="637"/>
        <v>3143.9999999542488</v>
      </c>
      <c r="U3822" s="158">
        <f t="shared" si="639"/>
        <v>393</v>
      </c>
      <c r="V3822" s="160">
        <f t="shared" si="638"/>
        <v>393</v>
      </c>
    </row>
    <row r="3823" spans="1:22" x14ac:dyDescent="0.25">
      <c r="A3823" s="98" t="s">
        <v>29</v>
      </c>
      <c r="B3823" s="98" t="s">
        <v>17</v>
      </c>
      <c r="C3823" s="98">
        <v>67</v>
      </c>
      <c r="D3823" s="98">
        <v>3412</v>
      </c>
      <c r="E3823" s="157">
        <v>41753.463194444441</v>
      </c>
      <c r="F3823" s="157">
        <v>41753.553472222222</v>
      </c>
      <c r="G3823" s="98">
        <v>335</v>
      </c>
      <c r="H3823" s="98">
        <v>423</v>
      </c>
      <c r="I3823" s="98">
        <v>393</v>
      </c>
      <c r="J3823" s="98" t="s">
        <v>2162</v>
      </c>
      <c r="K3823" s="98" t="s">
        <v>1605</v>
      </c>
      <c r="L3823" s="105" t="str">
        <f t="shared" si="630"/>
        <v>Mill Creek</v>
      </c>
      <c r="M3823" s="105" t="str">
        <f t="shared" si="631"/>
        <v>Derate</v>
      </c>
      <c r="N3823" s="105" t="str">
        <f t="shared" si="632"/>
        <v>Coal</v>
      </c>
      <c r="O3823" s="105">
        <f>IFERROR(VLOOKUP(A3823,Lookup!$J$5:$P$19,7,FALSE),0)</f>
        <v>3</v>
      </c>
      <c r="P3823" s="159">
        <f t="shared" si="633"/>
        <v>2014</v>
      </c>
      <c r="Q3823" s="159">
        <f t="shared" si="634"/>
        <v>4</v>
      </c>
      <c r="R3823" s="160">
        <f t="shared" si="635"/>
        <v>2.1666666667442769</v>
      </c>
      <c r="S3823" s="158">
        <f t="shared" si="636"/>
        <v>0.45074862097753277</v>
      </c>
      <c r="T3823" s="161">
        <f t="shared" si="637"/>
        <v>177.14420804417037</v>
      </c>
      <c r="U3823" s="158">
        <f t="shared" si="639"/>
        <v>81.758865248226954</v>
      </c>
      <c r="V3823" s="160">
        <f t="shared" si="638"/>
        <v>82</v>
      </c>
    </row>
    <row r="3824" spans="1:22" x14ac:dyDescent="0.25">
      <c r="A3824" s="98" t="s">
        <v>29</v>
      </c>
      <c r="B3824" s="98" t="s">
        <v>17</v>
      </c>
      <c r="C3824" s="98">
        <v>68</v>
      </c>
      <c r="D3824" s="98">
        <v>1850</v>
      </c>
      <c r="E3824" s="157">
        <v>41753.553472222222</v>
      </c>
      <c r="F3824" s="157">
        <v>41753.574305555558</v>
      </c>
      <c r="G3824" s="98">
        <v>375</v>
      </c>
      <c r="H3824" s="98">
        <v>423</v>
      </c>
      <c r="I3824" s="98">
        <v>393</v>
      </c>
      <c r="J3824" s="98" t="s">
        <v>2263</v>
      </c>
      <c r="K3824" s="98" t="s">
        <v>41</v>
      </c>
      <c r="L3824" s="105" t="str">
        <f t="shared" si="630"/>
        <v>Mill Creek</v>
      </c>
      <c r="M3824" s="105" t="str">
        <f t="shared" si="631"/>
        <v>Derate</v>
      </c>
      <c r="N3824" s="105" t="str">
        <f t="shared" si="632"/>
        <v>Coal</v>
      </c>
      <c r="O3824" s="105">
        <f>IFERROR(VLOOKUP(A3824,Lookup!$J$5:$P$19,7,FALSE),0)</f>
        <v>3</v>
      </c>
      <c r="P3824" s="159">
        <f t="shared" si="633"/>
        <v>2014</v>
      </c>
      <c r="Q3824" s="159">
        <f t="shared" si="634"/>
        <v>4</v>
      </c>
      <c r="R3824" s="160">
        <f t="shared" si="635"/>
        <v>0.50000000005820766</v>
      </c>
      <c r="S3824" s="158">
        <f t="shared" si="636"/>
        <v>5.6737588659087394E-2</v>
      </c>
      <c r="T3824" s="161">
        <f t="shared" si="637"/>
        <v>22.297872343021346</v>
      </c>
      <c r="U3824" s="158">
        <f t="shared" si="639"/>
        <v>44.595744680851062</v>
      </c>
      <c r="V3824" s="160">
        <f t="shared" si="638"/>
        <v>45</v>
      </c>
    </row>
    <row r="3825" spans="1:22" x14ac:dyDescent="0.25">
      <c r="A3825" s="98" t="s">
        <v>29</v>
      </c>
      <c r="B3825" s="98" t="s">
        <v>17</v>
      </c>
      <c r="C3825" s="98">
        <v>69</v>
      </c>
      <c r="D3825" s="98">
        <v>1850</v>
      </c>
      <c r="E3825" s="157">
        <v>41753.574305555558</v>
      </c>
      <c r="F3825" s="157">
        <v>41753.603472222225</v>
      </c>
      <c r="G3825" s="98">
        <v>395</v>
      </c>
      <c r="H3825" s="98">
        <v>423</v>
      </c>
      <c r="I3825" s="98">
        <v>393</v>
      </c>
      <c r="J3825" s="98" t="s">
        <v>2263</v>
      </c>
      <c r="K3825" s="98" t="s">
        <v>41</v>
      </c>
      <c r="L3825" s="105" t="str">
        <f t="shared" si="630"/>
        <v>Mill Creek</v>
      </c>
      <c r="M3825" s="105" t="str">
        <f t="shared" si="631"/>
        <v>Derate</v>
      </c>
      <c r="N3825" s="105" t="str">
        <f t="shared" si="632"/>
        <v>Coal</v>
      </c>
      <c r="O3825" s="105">
        <f>IFERROR(VLOOKUP(A3825,Lookup!$J$5:$P$19,7,FALSE),0)</f>
        <v>3</v>
      </c>
      <c r="P3825" s="159">
        <f t="shared" si="633"/>
        <v>2014</v>
      </c>
      <c r="Q3825" s="159">
        <f t="shared" si="634"/>
        <v>4</v>
      </c>
      <c r="R3825" s="160">
        <f t="shared" si="635"/>
        <v>0.70000000001164153</v>
      </c>
      <c r="S3825" s="158">
        <f t="shared" si="636"/>
        <v>4.6335697400297783E-2</v>
      </c>
      <c r="T3825" s="161">
        <f t="shared" si="637"/>
        <v>18.209929078317028</v>
      </c>
      <c r="U3825" s="158">
        <f t="shared" si="639"/>
        <v>26.01418439716312</v>
      </c>
      <c r="V3825" s="160">
        <f t="shared" si="638"/>
        <v>26</v>
      </c>
    </row>
    <row r="3826" spans="1:22" x14ac:dyDescent="0.25">
      <c r="A3826" s="98" t="s">
        <v>29</v>
      </c>
      <c r="B3826" s="98" t="s">
        <v>17</v>
      </c>
      <c r="C3826" s="98">
        <v>70</v>
      </c>
      <c r="D3826" s="98">
        <v>3412</v>
      </c>
      <c r="E3826" s="157">
        <v>41753.648611111108</v>
      </c>
      <c r="F3826" s="157">
        <v>41753.8125</v>
      </c>
      <c r="G3826" s="98">
        <v>325</v>
      </c>
      <c r="H3826" s="98">
        <v>423</v>
      </c>
      <c r="I3826" s="98">
        <v>393</v>
      </c>
      <c r="J3826" s="98" t="s">
        <v>2162</v>
      </c>
      <c r="K3826" s="98" t="s">
        <v>1606</v>
      </c>
      <c r="L3826" s="105" t="str">
        <f t="shared" si="630"/>
        <v>Mill Creek</v>
      </c>
      <c r="M3826" s="105" t="str">
        <f t="shared" si="631"/>
        <v>Derate</v>
      </c>
      <c r="N3826" s="105" t="str">
        <f t="shared" si="632"/>
        <v>Coal</v>
      </c>
      <c r="O3826" s="105">
        <f>IFERROR(VLOOKUP(A3826,Lookup!$J$5:$P$19,7,FALSE),0)</f>
        <v>3</v>
      </c>
      <c r="P3826" s="159">
        <f t="shared" si="633"/>
        <v>2014</v>
      </c>
      <c r="Q3826" s="159">
        <f t="shared" si="634"/>
        <v>4</v>
      </c>
      <c r="R3826" s="160">
        <f t="shared" si="635"/>
        <v>3.933333333407063</v>
      </c>
      <c r="S3826" s="158">
        <f t="shared" si="636"/>
        <v>0.91126871554111621</v>
      </c>
      <c r="T3826" s="161">
        <f t="shared" si="637"/>
        <v>358.12860520765867</v>
      </c>
      <c r="U3826" s="158">
        <f t="shared" si="639"/>
        <v>91.049645390070921</v>
      </c>
      <c r="V3826" s="160">
        <f t="shared" si="638"/>
        <v>91</v>
      </c>
    </row>
    <row r="3827" spans="1:22" x14ac:dyDescent="0.25">
      <c r="A3827" s="98" t="s">
        <v>29</v>
      </c>
      <c r="B3827" s="98" t="s">
        <v>17</v>
      </c>
      <c r="C3827" s="98">
        <v>71</v>
      </c>
      <c r="D3827" s="98">
        <v>3149</v>
      </c>
      <c r="E3827" s="157">
        <v>41757.268055555556</v>
      </c>
      <c r="F3827" s="157">
        <v>41757.279166666667</v>
      </c>
      <c r="G3827" s="98">
        <v>405</v>
      </c>
      <c r="H3827" s="98">
        <v>423</v>
      </c>
      <c r="I3827" s="98">
        <v>393</v>
      </c>
      <c r="J3827" s="98" t="s">
        <v>2034</v>
      </c>
      <c r="K3827" s="98" t="s">
        <v>40</v>
      </c>
      <c r="L3827" s="105" t="str">
        <f t="shared" si="630"/>
        <v>Mill Creek</v>
      </c>
      <c r="M3827" s="105" t="str">
        <f t="shared" si="631"/>
        <v>Derate</v>
      </c>
      <c r="N3827" s="105" t="str">
        <f t="shared" si="632"/>
        <v>Coal</v>
      </c>
      <c r="O3827" s="105">
        <f>IFERROR(VLOOKUP(A3827,Lookup!$J$5:$P$19,7,FALSE),0)</f>
        <v>3</v>
      </c>
      <c r="P3827" s="159">
        <f t="shared" si="633"/>
        <v>2014</v>
      </c>
      <c r="Q3827" s="159">
        <f t="shared" si="634"/>
        <v>4</v>
      </c>
      <c r="R3827" s="160">
        <f t="shared" si="635"/>
        <v>0.26666666666278616</v>
      </c>
      <c r="S3827" s="158">
        <f t="shared" si="636"/>
        <v>1.1347517730331326E-2</v>
      </c>
      <c r="T3827" s="161">
        <f t="shared" si="637"/>
        <v>4.459574468020211</v>
      </c>
      <c r="U3827" s="158">
        <f t="shared" si="639"/>
        <v>16.723404255319149</v>
      </c>
      <c r="V3827" s="160">
        <f t="shared" si="638"/>
        <v>17</v>
      </c>
    </row>
    <row r="3828" spans="1:22" x14ac:dyDescent="0.25">
      <c r="A3828" s="98" t="s">
        <v>29</v>
      </c>
      <c r="B3828" s="98" t="s">
        <v>17</v>
      </c>
      <c r="C3828" s="98">
        <v>72</v>
      </c>
      <c r="D3828" s="98">
        <v>250</v>
      </c>
      <c r="E3828" s="157">
        <v>41757.636805555558</v>
      </c>
      <c r="F3828" s="157">
        <v>41757.791666666664</v>
      </c>
      <c r="G3828" s="98">
        <v>320</v>
      </c>
      <c r="H3828" s="98">
        <v>423</v>
      </c>
      <c r="I3828" s="98">
        <v>393</v>
      </c>
      <c r="J3828" s="98" t="s">
        <v>1978</v>
      </c>
      <c r="K3828" s="98" t="s">
        <v>1607</v>
      </c>
      <c r="L3828" s="105" t="str">
        <f t="shared" si="630"/>
        <v>Mill Creek</v>
      </c>
      <c r="M3828" s="105" t="str">
        <f t="shared" si="631"/>
        <v>Derate</v>
      </c>
      <c r="N3828" s="105" t="str">
        <f t="shared" si="632"/>
        <v>Coal</v>
      </c>
      <c r="O3828" s="105">
        <f>IFERROR(VLOOKUP(A3828,Lookup!$J$5:$P$19,7,FALSE),0)</f>
        <v>3</v>
      </c>
      <c r="P3828" s="159">
        <f t="shared" si="633"/>
        <v>2014</v>
      </c>
      <c r="Q3828" s="159">
        <f t="shared" si="634"/>
        <v>4</v>
      </c>
      <c r="R3828" s="160">
        <f t="shared" si="635"/>
        <v>3.7166666665580124</v>
      </c>
      <c r="S3828" s="158">
        <f t="shared" si="636"/>
        <v>0.90500394008386587</v>
      </c>
      <c r="T3828" s="161">
        <f t="shared" si="637"/>
        <v>355.66654845295926</v>
      </c>
      <c r="U3828" s="158">
        <f t="shared" si="639"/>
        <v>95.695035460992912</v>
      </c>
      <c r="V3828" s="160">
        <f t="shared" si="638"/>
        <v>96</v>
      </c>
    </row>
    <row r="3829" spans="1:22" x14ac:dyDescent="0.25">
      <c r="A3829" s="98" t="s">
        <v>29</v>
      </c>
      <c r="B3829" s="98" t="s">
        <v>105</v>
      </c>
      <c r="C3829" s="98">
        <v>73</v>
      </c>
      <c r="D3829" s="98">
        <v>310</v>
      </c>
      <c r="E3829" s="157">
        <v>41757.916666666664</v>
      </c>
      <c r="F3829" s="157">
        <v>41757.944444444445</v>
      </c>
      <c r="G3829" s="98">
        <v>340</v>
      </c>
      <c r="H3829" s="98">
        <v>423</v>
      </c>
      <c r="I3829" s="98">
        <v>393</v>
      </c>
      <c r="J3829" s="98" t="s">
        <v>1966</v>
      </c>
      <c r="K3829" s="98" t="s">
        <v>1608</v>
      </c>
      <c r="L3829" s="105" t="str">
        <f t="shared" si="630"/>
        <v>Mill Creek</v>
      </c>
      <c r="M3829" s="105" t="str">
        <f t="shared" si="631"/>
        <v>Derate</v>
      </c>
      <c r="N3829" s="105" t="str">
        <f t="shared" si="632"/>
        <v>Coal</v>
      </c>
      <c r="O3829" s="105">
        <f>IFERROR(VLOOKUP(A3829,Lookup!$J$5:$P$19,7,FALSE),0)</f>
        <v>3</v>
      </c>
      <c r="P3829" s="159">
        <f t="shared" si="633"/>
        <v>2014</v>
      </c>
      <c r="Q3829" s="159">
        <f t="shared" si="634"/>
        <v>4</v>
      </c>
      <c r="R3829" s="160">
        <f t="shared" si="635"/>
        <v>0.66666666674427688</v>
      </c>
      <c r="S3829" s="158">
        <f t="shared" si="636"/>
        <v>0.13081166274178482</v>
      </c>
      <c r="T3829" s="161">
        <f t="shared" si="637"/>
        <v>51.408983457521437</v>
      </c>
      <c r="U3829" s="158">
        <f t="shared" si="639"/>
        <v>77.113475177304963</v>
      </c>
      <c r="V3829" s="160">
        <f t="shared" si="638"/>
        <v>77</v>
      </c>
    </row>
    <row r="3830" spans="1:22" x14ac:dyDescent="0.25">
      <c r="A3830" s="98" t="s">
        <v>29</v>
      </c>
      <c r="B3830" s="98" t="s">
        <v>17</v>
      </c>
      <c r="C3830" s="98">
        <v>74</v>
      </c>
      <c r="D3830" s="98">
        <v>250</v>
      </c>
      <c r="E3830" s="157">
        <v>41758.208333333336</v>
      </c>
      <c r="F3830" s="157">
        <v>41758.229166666664</v>
      </c>
      <c r="G3830" s="98">
        <v>325</v>
      </c>
      <c r="H3830" s="98">
        <v>423</v>
      </c>
      <c r="I3830" s="98">
        <v>393</v>
      </c>
      <c r="J3830" s="98" t="s">
        <v>1978</v>
      </c>
      <c r="K3830" s="98" t="s">
        <v>1609</v>
      </c>
      <c r="L3830" s="105" t="str">
        <f t="shared" si="630"/>
        <v>Mill Creek</v>
      </c>
      <c r="M3830" s="105" t="str">
        <f t="shared" si="631"/>
        <v>Derate</v>
      </c>
      <c r="N3830" s="105" t="str">
        <f t="shared" si="632"/>
        <v>Coal</v>
      </c>
      <c r="O3830" s="105">
        <f>IFERROR(VLOOKUP(A3830,Lookup!$J$5:$P$19,7,FALSE),0)</f>
        <v>3</v>
      </c>
      <c r="P3830" s="159">
        <f t="shared" si="633"/>
        <v>2014</v>
      </c>
      <c r="Q3830" s="159">
        <f t="shared" si="634"/>
        <v>4</v>
      </c>
      <c r="R3830" s="160">
        <f t="shared" si="635"/>
        <v>0.49999999988358468</v>
      </c>
      <c r="S3830" s="158">
        <f t="shared" si="636"/>
        <v>0.11583924347184704</v>
      </c>
      <c r="T3830" s="161">
        <f t="shared" si="637"/>
        <v>45.52482268443589</v>
      </c>
      <c r="U3830" s="158">
        <f t="shared" si="639"/>
        <v>91.049645390070921</v>
      </c>
      <c r="V3830" s="160">
        <f t="shared" si="638"/>
        <v>91</v>
      </c>
    </row>
    <row r="3831" spans="1:22" x14ac:dyDescent="0.25">
      <c r="A3831" s="98" t="s">
        <v>29</v>
      </c>
      <c r="B3831" s="98" t="s">
        <v>105</v>
      </c>
      <c r="C3831" s="98">
        <v>75</v>
      </c>
      <c r="D3831" s="98">
        <v>310</v>
      </c>
      <c r="E3831" s="157">
        <v>41758.958333333336</v>
      </c>
      <c r="F3831" s="157">
        <v>41759.118055555555</v>
      </c>
      <c r="G3831" s="98">
        <v>325</v>
      </c>
      <c r="H3831" s="98">
        <v>423</v>
      </c>
      <c r="I3831" s="98">
        <v>393</v>
      </c>
      <c r="J3831" s="98" t="s">
        <v>1966</v>
      </c>
      <c r="K3831" s="98" t="s">
        <v>1610</v>
      </c>
      <c r="L3831" s="105" t="str">
        <f t="shared" si="630"/>
        <v>Mill Creek</v>
      </c>
      <c r="M3831" s="105" t="str">
        <f t="shared" si="631"/>
        <v>Derate</v>
      </c>
      <c r="N3831" s="105" t="str">
        <f t="shared" si="632"/>
        <v>Coal</v>
      </c>
      <c r="O3831" s="105">
        <f>IFERROR(VLOOKUP(A3831,Lookup!$J$5:$P$19,7,FALSE),0)</f>
        <v>3</v>
      </c>
      <c r="P3831" s="159">
        <f t="shared" si="633"/>
        <v>2014</v>
      </c>
      <c r="Q3831" s="159">
        <f t="shared" si="634"/>
        <v>4</v>
      </c>
      <c r="R3831" s="160">
        <f t="shared" si="635"/>
        <v>3.8333333332557231</v>
      </c>
      <c r="S3831" s="158">
        <f t="shared" si="636"/>
        <v>0.88810086680629041</v>
      </c>
      <c r="T3831" s="161">
        <f t="shared" si="637"/>
        <v>349.02364065487211</v>
      </c>
      <c r="U3831" s="158">
        <f t="shared" si="639"/>
        <v>91.049645390070921</v>
      </c>
      <c r="V3831" s="160">
        <f t="shared" si="638"/>
        <v>91</v>
      </c>
    </row>
    <row r="3832" spans="1:22" x14ac:dyDescent="0.25">
      <c r="A3832" s="98" t="s">
        <v>29</v>
      </c>
      <c r="B3832" s="98" t="s">
        <v>17</v>
      </c>
      <c r="C3832" s="98">
        <v>76</v>
      </c>
      <c r="D3832" s="98">
        <v>3149</v>
      </c>
      <c r="E3832" s="157">
        <v>41761.416666666664</v>
      </c>
      <c r="F3832" s="157">
        <v>41761.510416666664</v>
      </c>
      <c r="G3832" s="98">
        <v>360</v>
      </c>
      <c r="H3832" s="98">
        <v>423</v>
      </c>
      <c r="I3832" s="98">
        <v>393</v>
      </c>
      <c r="J3832" s="98" t="s">
        <v>2034</v>
      </c>
      <c r="K3832" s="98" t="s">
        <v>40</v>
      </c>
      <c r="L3832" s="105" t="str">
        <f t="shared" si="630"/>
        <v>Mill Creek</v>
      </c>
      <c r="M3832" s="105" t="str">
        <f t="shared" si="631"/>
        <v>Derate</v>
      </c>
      <c r="N3832" s="105" t="str">
        <f t="shared" si="632"/>
        <v>Coal</v>
      </c>
      <c r="O3832" s="105">
        <f>IFERROR(VLOOKUP(A3832,Lookup!$J$5:$P$19,7,FALSE),0)</f>
        <v>3</v>
      </c>
      <c r="P3832" s="159">
        <f t="shared" si="633"/>
        <v>2014</v>
      </c>
      <c r="Q3832" s="159">
        <f t="shared" si="634"/>
        <v>5</v>
      </c>
      <c r="R3832" s="160">
        <f t="shared" si="635"/>
        <v>2.25</v>
      </c>
      <c r="S3832" s="158">
        <f t="shared" si="636"/>
        <v>0.33510638297872342</v>
      </c>
      <c r="T3832" s="161">
        <f t="shared" si="637"/>
        <v>131.69680851063831</v>
      </c>
      <c r="U3832" s="158">
        <f t="shared" si="639"/>
        <v>58.531914893617021</v>
      </c>
      <c r="V3832" s="160">
        <f t="shared" si="638"/>
        <v>59</v>
      </c>
    </row>
    <row r="3833" spans="1:22" x14ac:dyDescent="0.25">
      <c r="A3833" s="98" t="s">
        <v>29</v>
      </c>
      <c r="B3833" s="98" t="s">
        <v>17</v>
      </c>
      <c r="C3833" s="98">
        <v>77</v>
      </c>
      <c r="D3833" s="98">
        <v>3242</v>
      </c>
      <c r="E3833" s="157">
        <v>41761.510416666664</v>
      </c>
      <c r="F3833" s="157">
        <v>41761.570138888892</v>
      </c>
      <c r="G3833" s="98">
        <v>275</v>
      </c>
      <c r="H3833" s="98">
        <v>423</v>
      </c>
      <c r="I3833" s="98">
        <v>393</v>
      </c>
      <c r="J3833" s="98" t="s">
        <v>2801</v>
      </c>
      <c r="K3833" s="98" t="s">
        <v>1611</v>
      </c>
      <c r="L3833" s="105" t="str">
        <f t="shared" si="630"/>
        <v>Mill Creek</v>
      </c>
      <c r="M3833" s="105" t="str">
        <f t="shared" si="631"/>
        <v>Derate</v>
      </c>
      <c r="N3833" s="105" t="str">
        <f t="shared" si="632"/>
        <v>Coal</v>
      </c>
      <c r="O3833" s="105">
        <f>IFERROR(VLOOKUP(A3833,Lookup!$J$5:$P$19,7,FALSE),0)</f>
        <v>3</v>
      </c>
      <c r="P3833" s="159">
        <f t="shared" si="633"/>
        <v>2014</v>
      </c>
      <c r="Q3833" s="159">
        <f t="shared" si="634"/>
        <v>5</v>
      </c>
      <c r="R3833" s="160">
        <f t="shared" si="635"/>
        <v>1.4333333334652707</v>
      </c>
      <c r="S3833" s="158">
        <f t="shared" si="636"/>
        <v>0.5014972419689363</v>
      </c>
      <c r="T3833" s="161">
        <f t="shared" si="637"/>
        <v>197.08841609379198</v>
      </c>
      <c r="U3833" s="158">
        <f t="shared" si="639"/>
        <v>137.50354609929079</v>
      </c>
      <c r="V3833" s="160">
        <f t="shared" si="638"/>
        <v>138</v>
      </c>
    </row>
    <row r="3834" spans="1:22" x14ac:dyDescent="0.25">
      <c r="A3834" s="98" t="s">
        <v>29</v>
      </c>
      <c r="B3834" s="98" t="s">
        <v>15</v>
      </c>
      <c r="C3834" s="98">
        <v>78</v>
      </c>
      <c r="D3834" s="98">
        <v>1710</v>
      </c>
      <c r="E3834" s="157">
        <v>41762.109027777777</v>
      </c>
      <c r="F3834" s="157">
        <v>41762.336111111108</v>
      </c>
      <c r="G3834" s="98">
        <v>0</v>
      </c>
      <c r="H3834" s="98">
        <v>423</v>
      </c>
      <c r="I3834" s="98">
        <v>393</v>
      </c>
      <c r="J3834" s="98" t="s">
        <v>2020</v>
      </c>
      <c r="K3834" s="98" t="s">
        <v>1612</v>
      </c>
      <c r="L3834" s="105" t="str">
        <f t="shared" si="630"/>
        <v>Mill Creek</v>
      </c>
      <c r="M3834" s="105" t="str">
        <f t="shared" si="631"/>
        <v>Outage</v>
      </c>
      <c r="N3834" s="105" t="str">
        <f t="shared" si="632"/>
        <v>Coal</v>
      </c>
      <c r="O3834" s="105">
        <f>IFERROR(VLOOKUP(A3834,Lookup!$J$5:$P$19,7,FALSE),0)</f>
        <v>3</v>
      </c>
      <c r="P3834" s="159">
        <f t="shared" si="633"/>
        <v>2014</v>
      </c>
      <c r="Q3834" s="159">
        <f t="shared" si="634"/>
        <v>5</v>
      </c>
      <c r="R3834" s="160">
        <f t="shared" si="635"/>
        <v>5.4499999999534339</v>
      </c>
      <c r="S3834" s="158">
        <f t="shared" si="636"/>
        <v>5.4499999999534339</v>
      </c>
      <c r="T3834" s="161">
        <f t="shared" si="637"/>
        <v>2141.8499999816995</v>
      </c>
      <c r="U3834" s="158">
        <f t="shared" si="639"/>
        <v>393</v>
      </c>
      <c r="V3834" s="160">
        <f t="shared" si="638"/>
        <v>393</v>
      </c>
    </row>
    <row r="3835" spans="1:22" x14ac:dyDescent="0.25">
      <c r="A3835" s="98" t="s">
        <v>29</v>
      </c>
      <c r="B3835" s="98" t="s">
        <v>79</v>
      </c>
      <c r="C3835" s="98">
        <v>79</v>
      </c>
      <c r="D3835" s="98">
        <v>1850</v>
      </c>
      <c r="E3835" s="157">
        <v>41762.336111111108</v>
      </c>
      <c r="F3835" s="157">
        <v>41762.680555555555</v>
      </c>
      <c r="G3835" s="98">
        <v>0</v>
      </c>
      <c r="H3835" s="98">
        <v>423</v>
      </c>
      <c r="I3835" s="98">
        <v>393</v>
      </c>
      <c r="J3835" s="98" t="s">
        <v>2263</v>
      </c>
      <c r="K3835" s="98" t="s">
        <v>87</v>
      </c>
      <c r="L3835" s="105" t="str">
        <f t="shared" si="630"/>
        <v>Mill Creek</v>
      </c>
      <c r="M3835" s="105" t="str">
        <f t="shared" si="631"/>
        <v>Other</v>
      </c>
      <c r="N3835" s="105" t="str">
        <f t="shared" si="632"/>
        <v>Coal</v>
      </c>
      <c r="O3835" s="105">
        <f>IFERROR(VLOOKUP(A3835,Lookup!$J$5:$P$19,7,FALSE),0)</f>
        <v>3</v>
      </c>
      <c r="P3835" s="159">
        <f t="shared" si="633"/>
        <v>2014</v>
      </c>
      <c r="Q3835" s="159">
        <f t="shared" si="634"/>
        <v>5</v>
      </c>
      <c r="R3835" s="160">
        <f t="shared" si="635"/>
        <v>8.2666666667209938</v>
      </c>
      <c r="S3835" s="158">
        <f t="shared" si="636"/>
        <v>8.2666666667209938</v>
      </c>
      <c r="T3835" s="161">
        <f t="shared" si="637"/>
        <v>3248.8000000213506</v>
      </c>
      <c r="U3835" s="158">
        <f t="shared" si="639"/>
        <v>393</v>
      </c>
      <c r="V3835" s="160">
        <f t="shared" si="638"/>
        <v>393</v>
      </c>
    </row>
    <row r="3836" spans="1:22" x14ac:dyDescent="0.25">
      <c r="A3836" s="98" t="s">
        <v>29</v>
      </c>
      <c r="B3836" s="98" t="s">
        <v>17</v>
      </c>
      <c r="C3836" s="98">
        <v>80</v>
      </c>
      <c r="D3836" s="98">
        <v>1850</v>
      </c>
      <c r="E3836" s="157">
        <v>41762.680555555555</v>
      </c>
      <c r="F3836" s="157">
        <v>41762.830555555556</v>
      </c>
      <c r="G3836" s="98">
        <v>410</v>
      </c>
      <c r="H3836" s="98">
        <v>423</v>
      </c>
      <c r="I3836" s="98">
        <v>393</v>
      </c>
      <c r="J3836" s="98" t="s">
        <v>2263</v>
      </c>
      <c r="K3836" s="98" t="s">
        <v>41</v>
      </c>
      <c r="L3836" s="105" t="str">
        <f t="shared" si="630"/>
        <v>Mill Creek</v>
      </c>
      <c r="M3836" s="105" t="str">
        <f t="shared" si="631"/>
        <v>Derate</v>
      </c>
      <c r="N3836" s="105" t="str">
        <f t="shared" si="632"/>
        <v>Coal</v>
      </c>
      <c r="O3836" s="105">
        <f>IFERROR(VLOOKUP(A3836,Lookup!$J$5:$P$19,7,FALSE),0)</f>
        <v>3</v>
      </c>
      <c r="P3836" s="159">
        <f t="shared" si="633"/>
        <v>2014</v>
      </c>
      <c r="Q3836" s="159">
        <f t="shared" si="634"/>
        <v>5</v>
      </c>
      <c r="R3836" s="160">
        <f t="shared" si="635"/>
        <v>3.6000000000349246</v>
      </c>
      <c r="S3836" s="158">
        <f t="shared" si="636"/>
        <v>0.11063829787341375</v>
      </c>
      <c r="T3836" s="161">
        <f t="shared" si="637"/>
        <v>43.480851064251603</v>
      </c>
      <c r="U3836" s="158">
        <f t="shared" si="639"/>
        <v>12.078014184397164</v>
      </c>
      <c r="V3836" s="160">
        <f t="shared" si="638"/>
        <v>12</v>
      </c>
    </row>
    <row r="3837" spans="1:22" x14ac:dyDescent="0.25">
      <c r="A3837" s="98" t="s">
        <v>29</v>
      </c>
      <c r="B3837" s="98" t="s">
        <v>105</v>
      </c>
      <c r="C3837" s="98">
        <v>81</v>
      </c>
      <c r="D3837" s="98">
        <v>310</v>
      </c>
      <c r="E3837" s="157">
        <v>41763.920138888891</v>
      </c>
      <c r="F3837" s="157">
        <v>41764.165972222225</v>
      </c>
      <c r="G3837" s="98">
        <v>320</v>
      </c>
      <c r="H3837" s="98">
        <v>423</v>
      </c>
      <c r="I3837" s="98">
        <v>393</v>
      </c>
      <c r="J3837" s="98" t="s">
        <v>1966</v>
      </c>
      <c r="K3837" s="98" t="s">
        <v>1613</v>
      </c>
      <c r="L3837" s="105" t="str">
        <f t="shared" si="630"/>
        <v>Mill Creek</v>
      </c>
      <c r="M3837" s="105" t="str">
        <f t="shared" si="631"/>
        <v>Derate</v>
      </c>
      <c r="N3837" s="105" t="str">
        <f t="shared" si="632"/>
        <v>Coal</v>
      </c>
      <c r="O3837" s="105">
        <f>IFERROR(VLOOKUP(A3837,Lookup!$J$5:$P$19,7,FALSE),0)</f>
        <v>3</v>
      </c>
      <c r="P3837" s="159">
        <f t="shared" si="633"/>
        <v>2014</v>
      </c>
      <c r="Q3837" s="159">
        <f t="shared" si="634"/>
        <v>5</v>
      </c>
      <c r="R3837" s="160">
        <f t="shared" si="635"/>
        <v>5.9000000000232831</v>
      </c>
      <c r="S3837" s="158">
        <f t="shared" si="636"/>
        <v>1.4366430260103975</v>
      </c>
      <c r="T3837" s="161">
        <f t="shared" si="637"/>
        <v>564.60070922208627</v>
      </c>
      <c r="U3837" s="158">
        <f t="shared" si="639"/>
        <v>95.695035460992912</v>
      </c>
      <c r="V3837" s="160">
        <f t="shared" si="638"/>
        <v>96</v>
      </c>
    </row>
    <row r="3838" spans="1:22" x14ac:dyDescent="0.25">
      <c r="A3838" s="98" t="s">
        <v>29</v>
      </c>
      <c r="B3838" s="98" t="s">
        <v>17</v>
      </c>
      <c r="C3838" s="98">
        <v>82</v>
      </c>
      <c r="D3838" s="98">
        <v>250</v>
      </c>
      <c r="E3838" s="157">
        <v>41764.410416666666</v>
      </c>
      <c r="F3838" s="157">
        <v>41764.439583333333</v>
      </c>
      <c r="G3838" s="98">
        <v>385</v>
      </c>
      <c r="H3838" s="98">
        <v>423</v>
      </c>
      <c r="I3838" s="98">
        <v>393</v>
      </c>
      <c r="J3838" s="98" t="s">
        <v>1978</v>
      </c>
      <c r="K3838" s="98" t="s">
        <v>244</v>
      </c>
      <c r="L3838" s="105" t="str">
        <f t="shared" si="630"/>
        <v>Mill Creek</v>
      </c>
      <c r="M3838" s="105" t="str">
        <f t="shared" si="631"/>
        <v>Derate</v>
      </c>
      <c r="N3838" s="105" t="str">
        <f t="shared" si="632"/>
        <v>Coal</v>
      </c>
      <c r="O3838" s="105">
        <f>IFERROR(VLOOKUP(A3838,Lookup!$J$5:$P$19,7,FALSE),0)</f>
        <v>3</v>
      </c>
      <c r="P3838" s="159">
        <f t="shared" si="633"/>
        <v>2014</v>
      </c>
      <c r="Q3838" s="159">
        <f t="shared" si="634"/>
        <v>5</v>
      </c>
      <c r="R3838" s="160">
        <f t="shared" si="635"/>
        <v>0.70000000001164153</v>
      </c>
      <c r="S3838" s="158">
        <f t="shared" si="636"/>
        <v>6.2884160757546992E-2</v>
      </c>
      <c r="T3838" s="161">
        <f t="shared" si="637"/>
        <v>24.713475177715967</v>
      </c>
      <c r="U3838" s="158">
        <f t="shared" si="639"/>
        <v>35.304964539007095</v>
      </c>
      <c r="V3838" s="160">
        <f t="shared" si="638"/>
        <v>35</v>
      </c>
    </row>
    <row r="3839" spans="1:22" x14ac:dyDescent="0.25">
      <c r="A3839" s="98" t="s">
        <v>29</v>
      </c>
      <c r="B3839" s="98" t="s">
        <v>17</v>
      </c>
      <c r="C3839" s="98">
        <v>83</v>
      </c>
      <c r="D3839" s="98">
        <v>3149</v>
      </c>
      <c r="E3839" s="157">
        <v>41765.606944444444</v>
      </c>
      <c r="F3839" s="157">
        <v>41765.916666666664</v>
      </c>
      <c r="G3839" s="98">
        <v>390</v>
      </c>
      <c r="H3839" s="98">
        <v>423</v>
      </c>
      <c r="I3839" s="98">
        <v>393</v>
      </c>
      <c r="J3839" s="98" t="s">
        <v>2034</v>
      </c>
      <c r="K3839" s="98" t="s">
        <v>40</v>
      </c>
      <c r="L3839" s="105" t="str">
        <f t="shared" si="630"/>
        <v>Mill Creek</v>
      </c>
      <c r="M3839" s="105" t="str">
        <f t="shared" si="631"/>
        <v>Derate</v>
      </c>
      <c r="N3839" s="105" t="str">
        <f t="shared" si="632"/>
        <v>Coal</v>
      </c>
      <c r="O3839" s="105">
        <f>IFERROR(VLOOKUP(A3839,Lookup!$J$5:$P$19,7,FALSE),0)</f>
        <v>3</v>
      </c>
      <c r="P3839" s="159">
        <f t="shared" si="633"/>
        <v>2014</v>
      </c>
      <c r="Q3839" s="159">
        <f t="shared" si="634"/>
        <v>5</v>
      </c>
      <c r="R3839" s="160">
        <f t="shared" si="635"/>
        <v>7.4333333332906477</v>
      </c>
      <c r="S3839" s="158">
        <f t="shared" si="636"/>
        <v>0.57990543734891575</v>
      </c>
      <c r="T3839" s="161">
        <f t="shared" si="637"/>
        <v>227.90283687812388</v>
      </c>
      <c r="U3839" s="158">
        <f t="shared" si="639"/>
        <v>30.659574468085108</v>
      </c>
      <c r="V3839" s="160">
        <f t="shared" si="638"/>
        <v>31</v>
      </c>
    </row>
    <row r="3840" spans="1:22" x14ac:dyDescent="0.25">
      <c r="A3840" s="98" t="s">
        <v>29</v>
      </c>
      <c r="B3840" s="98" t="s">
        <v>17</v>
      </c>
      <c r="C3840" s="98">
        <v>84</v>
      </c>
      <c r="D3840" s="98">
        <v>3149</v>
      </c>
      <c r="E3840" s="157">
        <v>41766.384027777778</v>
      </c>
      <c r="F3840" s="157">
        <v>41766.424305555556</v>
      </c>
      <c r="G3840" s="98">
        <v>400</v>
      </c>
      <c r="H3840" s="98">
        <v>423</v>
      </c>
      <c r="I3840" s="98">
        <v>393</v>
      </c>
      <c r="J3840" s="98" t="s">
        <v>2034</v>
      </c>
      <c r="K3840" s="98" t="s">
        <v>40</v>
      </c>
      <c r="L3840" s="105" t="str">
        <f t="shared" si="630"/>
        <v>Mill Creek</v>
      </c>
      <c r="M3840" s="105" t="str">
        <f t="shared" si="631"/>
        <v>Derate</v>
      </c>
      <c r="N3840" s="105" t="str">
        <f t="shared" si="632"/>
        <v>Coal</v>
      </c>
      <c r="O3840" s="105">
        <f>IFERROR(VLOOKUP(A3840,Lookup!$J$5:$P$19,7,FALSE),0)</f>
        <v>3</v>
      </c>
      <c r="P3840" s="159">
        <f t="shared" si="633"/>
        <v>2014</v>
      </c>
      <c r="Q3840" s="159">
        <f t="shared" si="634"/>
        <v>5</v>
      </c>
      <c r="R3840" s="160">
        <f t="shared" si="635"/>
        <v>0.96666666667442769</v>
      </c>
      <c r="S3840" s="158">
        <f t="shared" si="636"/>
        <v>5.2561071710429876E-2</v>
      </c>
      <c r="T3840" s="161">
        <f t="shared" si="637"/>
        <v>20.656501182198941</v>
      </c>
      <c r="U3840" s="158">
        <f t="shared" si="639"/>
        <v>21.368794326241133</v>
      </c>
      <c r="V3840" s="160">
        <f t="shared" si="638"/>
        <v>21</v>
      </c>
    </row>
    <row r="3841" spans="1:22" x14ac:dyDescent="0.25">
      <c r="A3841" s="98" t="s">
        <v>29</v>
      </c>
      <c r="B3841" s="98" t="s">
        <v>17</v>
      </c>
      <c r="C3841" s="98">
        <v>85</v>
      </c>
      <c r="D3841" s="98">
        <v>3149</v>
      </c>
      <c r="E3841" s="157">
        <v>41766.424305555556</v>
      </c>
      <c r="F3841" s="157">
        <v>41766.847222222219</v>
      </c>
      <c r="G3841" s="98">
        <v>378</v>
      </c>
      <c r="H3841" s="98">
        <v>423</v>
      </c>
      <c r="I3841" s="98">
        <v>393</v>
      </c>
      <c r="J3841" s="98" t="s">
        <v>2034</v>
      </c>
      <c r="K3841" s="98" t="s">
        <v>40</v>
      </c>
      <c r="L3841" s="105" t="str">
        <f t="shared" si="630"/>
        <v>Mill Creek</v>
      </c>
      <c r="M3841" s="105" t="str">
        <f t="shared" si="631"/>
        <v>Derate</v>
      </c>
      <c r="N3841" s="105" t="str">
        <f t="shared" si="632"/>
        <v>Coal</v>
      </c>
      <c r="O3841" s="105">
        <f>IFERROR(VLOOKUP(A3841,Lookup!$J$5:$P$19,7,FALSE),0)</f>
        <v>3</v>
      </c>
      <c r="P3841" s="159">
        <f t="shared" si="633"/>
        <v>2014</v>
      </c>
      <c r="Q3841" s="159">
        <f t="shared" si="634"/>
        <v>5</v>
      </c>
      <c r="R3841" s="160">
        <f t="shared" si="635"/>
        <v>10.149999999906868</v>
      </c>
      <c r="S3841" s="158">
        <f t="shared" si="636"/>
        <v>1.0797872340326455</v>
      </c>
      <c r="T3841" s="161">
        <f t="shared" si="637"/>
        <v>424.35638297482967</v>
      </c>
      <c r="U3841" s="158">
        <f t="shared" si="639"/>
        <v>41.808510638297875</v>
      </c>
      <c r="V3841" s="160">
        <f t="shared" si="638"/>
        <v>42</v>
      </c>
    </row>
    <row r="3842" spans="1:22" x14ac:dyDescent="0.25">
      <c r="A3842" s="98" t="s">
        <v>29</v>
      </c>
      <c r="B3842" s="98" t="s">
        <v>17</v>
      </c>
      <c r="C3842" s="98">
        <v>86</v>
      </c>
      <c r="D3842" s="98">
        <v>3149</v>
      </c>
      <c r="E3842" s="157">
        <v>41766.847222222219</v>
      </c>
      <c r="F3842" s="157">
        <v>41767.354166666664</v>
      </c>
      <c r="G3842" s="98">
        <v>400</v>
      </c>
      <c r="H3842" s="98">
        <v>423</v>
      </c>
      <c r="I3842" s="98">
        <v>393</v>
      </c>
      <c r="J3842" s="98" t="s">
        <v>2034</v>
      </c>
      <c r="K3842" s="98" t="s">
        <v>40</v>
      </c>
      <c r="L3842" s="105" t="str">
        <f t="shared" si="630"/>
        <v>Mill Creek</v>
      </c>
      <c r="M3842" s="105" t="str">
        <f t="shared" si="631"/>
        <v>Derate</v>
      </c>
      <c r="N3842" s="105" t="str">
        <f t="shared" si="632"/>
        <v>Coal</v>
      </c>
      <c r="O3842" s="105">
        <f>IFERROR(VLOOKUP(A3842,Lookup!$J$5:$P$19,7,FALSE),0)</f>
        <v>3</v>
      </c>
      <c r="P3842" s="159">
        <f t="shared" si="633"/>
        <v>2014</v>
      </c>
      <c r="Q3842" s="159">
        <f t="shared" si="634"/>
        <v>5</v>
      </c>
      <c r="R3842" s="160">
        <f t="shared" si="635"/>
        <v>12.166666666686069</v>
      </c>
      <c r="S3842" s="158">
        <f t="shared" si="636"/>
        <v>0.66154452324770585</v>
      </c>
      <c r="T3842" s="161">
        <f t="shared" si="637"/>
        <v>259.98699763634841</v>
      </c>
      <c r="U3842" s="158">
        <f t="shared" si="639"/>
        <v>21.368794326241133</v>
      </c>
      <c r="V3842" s="160">
        <f t="shared" si="638"/>
        <v>21</v>
      </c>
    </row>
    <row r="3843" spans="1:22" x14ac:dyDescent="0.25">
      <c r="A3843" s="98" t="s">
        <v>29</v>
      </c>
      <c r="B3843" s="98" t="s">
        <v>17</v>
      </c>
      <c r="C3843" s="98">
        <v>87</v>
      </c>
      <c r="D3843" s="98">
        <v>3149</v>
      </c>
      <c r="E3843" s="157">
        <v>41767.354166666664</v>
      </c>
      <c r="F3843" s="157">
        <v>41767.4375</v>
      </c>
      <c r="G3843" s="98">
        <v>370</v>
      </c>
      <c r="H3843" s="98">
        <v>423</v>
      </c>
      <c r="I3843" s="98">
        <v>393</v>
      </c>
      <c r="J3843" s="98" t="s">
        <v>2034</v>
      </c>
      <c r="K3843" s="98" t="s">
        <v>40</v>
      </c>
      <c r="L3843" s="105" t="str">
        <f t="shared" si="630"/>
        <v>Mill Creek</v>
      </c>
      <c r="M3843" s="105" t="str">
        <f t="shared" si="631"/>
        <v>Derate</v>
      </c>
      <c r="N3843" s="105" t="str">
        <f t="shared" si="632"/>
        <v>Coal</v>
      </c>
      <c r="O3843" s="105">
        <f>IFERROR(VLOOKUP(A3843,Lookup!$J$5:$P$19,7,FALSE),0)</f>
        <v>3</v>
      </c>
      <c r="P3843" s="159">
        <f t="shared" si="633"/>
        <v>2014</v>
      </c>
      <c r="Q3843" s="159">
        <f t="shared" si="634"/>
        <v>5</v>
      </c>
      <c r="R3843" s="160">
        <f t="shared" si="635"/>
        <v>2.0000000000582077</v>
      </c>
      <c r="S3843" s="158">
        <f t="shared" si="636"/>
        <v>0.2505910165557565</v>
      </c>
      <c r="T3843" s="161">
        <f t="shared" si="637"/>
        <v>98.482269506412308</v>
      </c>
      <c r="U3843" s="158">
        <f t="shared" si="639"/>
        <v>49.241134751773046</v>
      </c>
      <c r="V3843" s="160">
        <f t="shared" si="638"/>
        <v>49</v>
      </c>
    </row>
    <row r="3844" spans="1:22" x14ac:dyDescent="0.25">
      <c r="A3844" s="98" t="s">
        <v>29</v>
      </c>
      <c r="B3844" s="98" t="s">
        <v>105</v>
      </c>
      <c r="C3844" s="98">
        <v>88</v>
      </c>
      <c r="D3844" s="98">
        <v>620</v>
      </c>
      <c r="E3844" s="157">
        <v>41767.916666666664</v>
      </c>
      <c r="F3844" s="157">
        <v>41768.195138888892</v>
      </c>
      <c r="G3844" s="98">
        <v>230</v>
      </c>
      <c r="H3844" s="98">
        <v>423</v>
      </c>
      <c r="I3844" s="98">
        <v>393</v>
      </c>
      <c r="J3844" s="98" t="s">
        <v>2643</v>
      </c>
      <c r="K3844" s="98" t="s">
        <v>1614</v>
      </c>
      <c r="L3844" s="105" t="str">
        <f t="shared" si="630"/>
        <v>Mill Creek</v>
      </c>
      <c r="M3844" s="105" t="str">
        <f t="shared" si="631"/>
        <v>Derate</v>
      </c>
      <c r="N3844" s="105" t="str">
        <f t="shared" si="632"/>
        <v>Coal</v>
      </c>
      <c r="O3844" s="105">
        <f>IFERROR(VLOOKUP(A3844,Lookup!$J$5:$P$19,7,FALSE),0)</f>
        <v>3</v>
      </c>
      <c r="P3844" s="159">
        <f t="shared" si="633"/>
        <v>2014</v>
      </c>
      <c r="Q3844" s="159">
        <f t="shared" si="634"/>
        <v>5</v>
      </c>
      <c r="R3844" s="160">
        <f t="shared" si="635"/>
        <v>6.6833333334652707</v>
      </c>
      <c r="S3844" s="158">
        <f t="shared" si="636"/>
        <v>3.0493695824085041</v>
      </c>
      <c r="T3844" s="161">
        <f t="shared" si="637"/>
        <v>1198.402245886542</v>
      </c>
      <c r="U3844" s="158">
        <f t="shared" si="639"/>
        <v>179.31205673758865</v>
      </c>
      <c r="V3844" s="160">
        <f t="shared" si="638"/>
        <v>179</v>
      </c>
    </row>
    <row r="3845" spans="1:22" x14ac:dyDescent="0.25">
      <c r="A3845" s="98" t="s">
        <v>29</v>
      </c>
      <c r="B3845" s="98" t="s">
        <v>105</v>
      </c>
      <c r="C3845" s="98">
        <v>89</v>
      </c>
      <c r="D3845" s="98">
        <v>310</v>
      </c>
      <c r="E3845" s="157">
        <v>41770.916666666664</v>
      </c>
      <c r="F3845" s="157">
        <v>41771.082638888889</v>
      </c>
      <c r="G3845" s="98">
        <v>325</v>
      </c>
      <c r="H3845" s="98">
        <v>423</v>
      </c>
      <c r="I3845" s="98">
        <v>393</v>
      </c>
      <c r="J3845" s="98" t="s">
        <v>1966</v>
      </c>
      <c r="K3845" s="98" t="s">
        <v>1615</v>
      </c>
      <c r="L3845" s="105" t="str">
        <f t="shared" si="630"/>
        <v>Mill Creek</v>
      </c>
      <c r="M3845" s="105" t="str">
        <f t="shared" si="631"/>
        <v>Derate</v>
      </c>
      <c r="N3845" s="105" t="str">
        <f t="shared" si="632"/>
        <v>Coal</v>
      </c>
      <c r="O3845" s="105">
        <f>IFERROR(VLOOKUP(A3845,Lookup!$J$5:$P$19,7,FALSE),0)</f>
        <v>3</v>
      </c>
      <c r="P3845" s="159">
        <f t="shared" si="633"/>
        <v>2014</v>
      </c>
      <c r="Q3845" s="159">
        <f t="shared" si="634"/>
        <v>5</v>
      </c>
      <c r="R3845" s="160">
        <f t="shared" si="635"/>
        <v>3.9833333333954215</v>
      </c>
      <c r="S3845" s="158">
        <f t="shared" si="636"/>
        <v>0.92285263988830102</v>
      </c>
      <c r="T3845" s="161">
        <f t="shared" si="637"/>
        <v>362.68108747610228</v>
      </c>
      <c r="U3845" s="158">
        <f t="shared" si="639"/>
        <v>91.049645390070921</v>
      </c>
      <c r="V3845" s="160">
        <f t="shared" si="638"/>
        <v>91</v>
      </c>
    </row>
    <row r="3846" spans="1:22" x14ac:dyDescent="0.25">
      <c r="A3846" s="98" t="s">
        <v>29</v>
      </c>
      <c r="B3846" s="98" t="s">
        <v>17</v>
      </c>
      <c r="C3846" s="98">
        <v>90</v>
      </c>
      <c r="D3846" s="98">
        <v>360</v>
      </c>
      <c r="E3846" s="157">
        <v>41774.586805555555</v>
      </c>
      <c r="F3846" s="157">
        <v>41774.705555555556</v>
      </c>
      <c r="G3846" s="98">
        <v>350</v>
      </c>
      <c r="H3846" s="98">
        <v>423</v>
      </c>
      <c r="I3846" s="98">
        <v>393</v>
      </c>
      <c r="J3846" s="98" t="s">
        <v>229</v>
      </c>
      <c r="K3846" s="98" t="s">
        <v>1616</v>
      </c>
      <c r="L3846" s="105" t="str">
        <f t="shared" si="630"/>
        <v>Mill Creek</v>
      </c>
      <c r="M3846" s="105" t="str">
        <f t="shared" si="631"/>
        <v>Derate</v>
      </c>
      <c r="N3846" s="105" t="str">
        <f t="shared" si="632"/>
        <v>Coal</v>
      </c>
      <c r="O3846" s="105">
        <f>IFERROR(VLOOKUP(A3846,Lookup!$J$5:$P$19,7,FALSE),0)</f>
        <v>3</v>
      </c>
      <c r="P3846" s="159">
        <f t="shared" si="633"/>
        <v>2014</v>
      </c>
      <c r="Q3846" s="159">
        <f t="shared" si="634"/>
        <v>5</v>
      </c>
      <c r="R3846" s="160">
        <f t="shared" si="635"/>
        <v>2.8500000000349246</v>
      </c>
      <c r="S3846" s="158">
        <f t="shared" si="636"/>
        <v>0.49184397163723287</v>
      </c>
      <c r="T3846" s="161">
        <f t="shared" si="637"/>
        <v>193.29468085343251</v>
      </c>
      <c r="U3846" s="158">
        <f t="shared" si="639"/>
        <v>67.822695035460995</v>
      </c>
      <c r="V3846" s="160">
        <f t="shared" si="638"/>
        <v>68</v>
      </c>
    </row>
    <row r="3847" spans="1:22" x14ac:dyDescent="0.25">
      <c r="A3847" s="98" t="s">
        <v>29</v>
      </c>
      <c r="B3847" s="98" t="s">
        <v>105</v>
      </c>
      <c r="C3847" s="98">
        <v>91</v>
      </c>
      <c r="D3847" s="98">
        <v>310</v>
      </c>
      <c r="E3847" s="157">
        <v>41775.136111111111</v>
      </c>
      <c r="F3847" s="157">
        <v>41775.167361111111</v>
      </c>
      <c r="G3847" s="98">
        <v>355</v>
      </c>
      <c r="H3847" s="98">
        <v>423</v>
      </c>
      <c r="I3847" s="98">
        <v>393</v>
      </c>
      <c r="J3847" s="98" t="s">
        <v>1966</v>
      </c>
      <c r="K3847" s="98" t="s">
        <v>1617</v>
      </c>
      <c r="L3847" s="105" t="str">
        <f t="shared" si="630"/>
        <v>Mill Creek</v>
      </c>
      <c r="M3847" s="105" t="str">
        <f t="shared" si="631"/>
        <v>Derate</v>
      </c>
      <c r="N3847" s="105" t="str">
        <f t="shared" si="632"/>
        <v>Coal</v>
      </c>
      <c r="O3847" s="105">
        <f>IFERROR(VLOOKUP(A3847,Lookup!$J$5:$P$19,7,FALSE),0)</f>
        <v>3</v>
      </c>
      <c r="P3847" s="159">
        <f t="shared" si="633"/>
        <v>2014</v>
      </c>
      <c r="Q3847" s="159">
        <f t="shared" si="634"/>
        <v>5</v>
      </c>
      <c r="R3847" s="160">
        <f t="shared" si="635"/>
        <v>0.75</v>
      </c>
      <c r="S3847" s="158">
        <f t="shared" si="636"/>
        <v>0.12056737588652482</v>
      </c>
      <c r="T3847" s="161">
        <f t="shared" si="637"/>
        <v>47.38297872340425</v>
      </c>
      <c r="U3847" s="158">
        <f t="shared" si="639"/>
        <v>63.177304964539005</v>
      </c>
      <c r="V3847" s="160">
        <f t="shared" si="638"/>
        <v>63</v>
      </c>
    </row>
    <row r="3848" spans="1:22" x14ac:dyDescent="0.25">
      <c r="A3848" s="98" t="s">
        <v>29</v>
      </c>
      <c r="B3848" s="98" t="s">
        <v>15</v>
      </c>
      <c r="C3848" s="98">
        <v>92</v>
      </c>
      <c r="D3848" s="98">
        <v>1080</v>
      </c>
      <c r="E3848" s="157">
        <v>41779.230555555558</v>
      </c>
      <c r="F3848" s="157">
        <v>41782.751388888886</v>
      </c>
      <c r="G3848" s="98">
        <v>0</v>
      </c>
      <c r="H3848" s="98">
        <v>423</v>
      </c>
      <c r="I3848" s="98">
        <v>393</v>
      </c>
      <c r="J3848" s="98" t="s">
        <v>1991</v>
      </c>
      <c r="K3848" s="98" t="s">
        <v>1618</v>
      </c>
      <c r="L3848" s="105" t="str">
        <f t="shared" si="630"/>
        <v>Mill Creek</v>
      </c>
      <c r="M3848" s="105" t="str">
        <f t="shared" si="631"/>
        <v>Outage</v>
      </c>
      <c r="N3848" s="105" t="str">
        <f t="shared" si="632"/>
        <v>Coal</v>
      </c>
      <c r="O3848" s="105">
        <f>IFERROR(VLOOKUP(A3848,Lookup!$J$5:$P$19,7,FALSE),0)</f>
        <v>3</v>
      </c>
      <c r="P3848" s="159">
        <f t="shared" si="633"/>
        <v>2014</v>
      </c>
      <c r="Q3848" s="159">
        <f t="shared" si="634"/>
        <v>5</v>
      </c>
      <c r="R3848" s="160">
        <f t="shared" si="635"/>
        <v>84.499999999883585</v>
      </c>
      <c r="S3848" s="158">
        <f t="shared" si="636"/>
        <v>84.499999999883585</v>
      </c>
      <c r="T3848" s="161">
        <f t="shared" si="637"/>
        <v>33208.499999954249</v>
      </c>
      <c r="U3848" s="158">
        <f t="shared" si="639"/>
        <v>393</v>
      </c>
      <c r="V3848" s="160">
        <f t="shared" si="638"/>
        <v>393</v>
      </c>
    </row>
    <row r="3849" spans="1:22" x14ac:dyDescent="0.25">
      <c r="A3849" s="98" t="s">
        <v>29</v>
      </c>
      <c r="B3849" s="98" t="s">
        <v>79</v>
      </c>
      <c r="C3849" s="98">
        <v>93</v>
      </c>
      <c r="D3849" s="98">
        <v>1850</v>
      </c>
      <c r="E3849" s="157">
        <v>41782.751388888886</v>
      </c>
      <c r="F3849" s="157">
        <v>41783.368750000001</v>
      </c>
      <c r="G3849" s="98">
        <v>0</v>
      </c>
      <c r="H3849" s="98">
        <v>423</v>
      </c>
      <c r="I3849" s="98">
        <v>393</v>
      </c>
      <c r="J3849" s="98" t="s">
        <v>2263</v>
      </c>
      <c r="K3849" s="98" t="s">
        <v>85</v>
      </c>
      <c r="L3849" s="105" t="str">
        <f t="shared" si="630"/>
        <v>Mill Creek</v>
      </c>
      <c r="M3849" s="105" t="str">
        <f t="shared" si="631"/>
        <v>Other</v>
      </c>
      <c r="N3849" s="105" t="str">
        <f t="shared" si="632"/>
        <v>Coal</v>
      </c>
      <c r="O3849" s="105">
        <f>IFERROR(VLOOKUP(A3849,Lookup!$J$5:$P$19,7,FALSE),0)</f>
        <v>3</v>
      </c>
      <c r="P3849" s="159">
        <f t="shared" si="633"/>
        <v>2014</v>
      </c>
      <c r="Q3849" s="159">
        <f t="shared" si="634"/>
        <v>5</v>
      </c>
      <c r="R3849" s="160">
        <f t="shared" si="635"/>
        <v>14.81666666676756</v>
      </c>
      <c r="S3849" s="158">
        <f t="shared" si="636"/>
        <v>14.81666666676756</v>
      </c>
      <c r="T3849" s="161">
        <f t="shared" si="637"/>
        <v>5822.9500000396511</v>
      </c>
      <c r="U3849" s="158">
        <f t="shared" si="639"/>
        <v>393</v>
      </c>
      <c r="V3849" s="160">
        <f t="shared" si="638"/>
        <v>393</v>
      </c>
    </row>
    <row r="3850" spans="1:22" x14ac:dyDescent="0.25">
      <c r="A3850" s="98" t="s">
        <v>29</v>
      </c>
      <c r="B3850" s="98" t="s">
        <v>17</v>
      </c>
      <c r="C3850" s="98">
        <v>94</v>
      </c>
      <c r="D3850" s="98">
        <v>1799</v>
      </c>
      <c r="E3850" s="157">
        <v>41783.406944444447</v>
      </c>
      <c r="F3850" s="157">
        <v>41783.496527777781</v>
      </c>
      <c r="G3850" s="98">
        <v>250</v>
      </c>
      <c r="H3850" s="98">
        <v>423</v>
      </c>
      <c r="I3850" s="98">
        <v>393</v>
      </c>
      <c r="J3850" s="98" t="s">
        <v>2000</v>
      </c>
      <c r="K3850" s="98" t="s">
        <v>1619</v>
      </c>
      <c r="L3850" s="105" t="str">
        <f t="shared" si="630"/>
        <v>Mill Creek</v>
      </c>
      <c r="M3850" s="105" t="str">
        <f t="shared" si="631"/>
        <v>Derate</v>
      </c>
      <c r="N3850" s="105" t="str">
        <f t="shared" si="632"/>
        <v>Coal</v>
      </c>
      <c r="O3850" s="105">
        <f>IFERROR(VLOOKUP(A3850,Lookup!$J$5:$P$19,7,FALSE),0)</f>
        <v>3</v>
      </c>
      <c r="P3850" s="159">
        <f t="shared" si="633"/>
        <v>2014</v>
      </c>
      <c r="Q3850" s="159">
        <f t="shared" si="634"/>
        <v>5</v>
      </c>
      <c r="R3850" s="160">
        <f t="shared" si="635"/>
        <v>2.1500000000232831</v>
      </c>
      <c r="S3850" s="158">
        <f t="shared" si="636"/>
        <v>0.87931442081330491</v>
      </c>
      <c r="T3850" s="161">
        <f t="shared" si="637"/>
        <v>345.57056737962881</v>
      </c>
      <c r="U3850" s="158">
        <f t="shared" si="639"/>
        <v>160.73049645390071</v>
      </c>
      <c r="V3850" s="160">
        <f t="shared" si="638"/>
        <v>161</v>
      </c>
    </row>
    <row r="3851" spans="1:22" x14ac:dyDescent="0.25">
      <c r="A3851" s="98" t="s">
        <v>29</v>
      </c>
      <c r="B3851" s="98" t="s">
        <v>17</v>
      </c>
      <c r="C3851" s="98">
        <v>95</v>
      </c>
      <c r="D3851" s="98">
        <v>360</v>
      </c>
      <c r="E3851" s="157">
        <v>41793.372916666667</v>
      </c>
      <c r="F3851" s="157">
        <v>41793.428472222222</v>
      </c>
      <c r="G3851" s="98">
        <v>325</v>
      </c>
      <c r="H3851" s="98">
        <v>423</v>
      </c>
      <c r="I3851" s="98">
        <v>393</v>
      </c>
      <c r="J3851" s="98" t="s">
        <v>229</v>
      </c>
      <c r="K3851" s="98" t="s">
        <v>1620</v>
      </c>
      <c r="L3851" s="105" t="str">
        <f t="shared" si="630"/>
        <v>Mill Creek</v>
      </c>
      <c r="M3851" s="105" t="str">
        <f t="shared" si="631"/>
        <v>Derate</v>
      </c>
      <c r="N3851" s="105" t="str">
        <f t="shared" si="632"/>
        <v>Coal</v>
      </c>
      <c r="O3851" s="105">
        <f>IFERROR(VLOOKUP(A3851,Lookup!$J$5:$P$19,7,FALSE),0)</f>
        <v>3</v>
      </c>
      <c r="P3851" s="159">
        <f t="shared" si="633"/>
        <v>2014</v>
      </c>
      <c r="Q3851" s="159">
        <f t="shared" si="634"/>
        <v>6</v>
      </c>
      <c r="R3851" s="160">
        <f t="shared" si="635"/>
        <v>1.3333333333139308</v>
      </c>
      <c r="S3851" s="158">
        <f t="shared" si="636"/>
        <v>0.30890464932568606</v>
      </c>
      <c r="T3851" s="161">
        <f t="shared" si="637"/>
        <v>121.39952718499462</v>
      </c>
      <c r="U3851" s="158">
        <f t="shared" si="639"/>
        <v>91.049645390070921</v>
      </c>
      <c r="V3851" s="160">
        <f t="shared" si="638"/>
        <v>91</v>
      </c>
    </row>
    <row r="3852" spans="1:22" x14ac:dyDescent="0.25">
      <c r="A3852" s="98" t="s">
        <v>29</v>
      </c>
      <c r="B3852" s="98" t="s">
        <v>15</v>
      </c>
      <c r="C3852" s="98">
        <v>96</v>
      </c>
      <c r="D3852" s="98">
        <v>1080</v>
      </c>
      <c r="E3852" s="157">
        <v>41795.777083333334</v>
      </c>
      <c r="F3852" s="157">
        <v>41799.118055555555</v>
      </c>
      <c r="G3852" s="98">
        <v>0</v>
      </c>
      <c r="H3852" s="98">
        <v>423</v>
      </c>
      <c r="I3852" s="98">
        <v>393</v>
      </c>
      <c r="J3852" s="98" t="s">
        <v>1991</v>
      </c>
      <c r="K3852" s="98" t="s">
        <v>653</v>
      </c>
      <c r="L3852" s="105" t="str">
        <f t="shared" si="630"/>
        <v>Mill Creek</v>
      </c>
      <c r="M3852" s="105" t="str">
        <f t="shared" si="631"/>
        <v>Outage</v>
      </c>
      <c r="N3852" s="105" t="str">
        <f t="shared" si="632"/>
        <v>Coal</v>
      </c>
      <c r="O3852" s="105">
        <f>IFERROR(VLOOKUP(A3852,Lookup!$J$5:$P$19,7,FALSE),0)</f>
        <v>3</v>
      </c>
      <c r="P3852" s="159">
        <f t="shared" si="633"/>
        <v>2014</v>
      </c>
      <c r="Q3852" s="159">
        <f t="shared" si="634"/>
        <v>6</v>
      </c>
      <c r="R3852" s="160">
        <f t="shared" si="635"/>
        <v>80.183333333290648</v>
      </c>
      <c r="S3852" s="158">
        <f t="shared" si="636"/>
        <v>80.183333333290648</v>
      </c>
      <c r="T3852" s="161">
        <f t="shared" si="637"/>
        <v>31512.049999983225</v>
      </c>
      <c r="U3852" s="158">
        <f t="shared" si="639"/>
        <v>393</v>
      </c>
      <c r="V3852" s="160">
        <f t="shared" si="638"/>
        <v>393</v>
      </c>
    </row>
    <row r="3853" spans="1:22" x14ac:dyDescent="0.25">
      <c r="A3853" s="98" t="s">
        <v>29</v>
      </c>
      <c r="B3853" s="98" t="s">
        <v>15</v>
      </c>
      <c r="C3853" s="98">
        <v>97</v>
      </c>
      <c r="D3853" s="98">
        <v>4302</v>
      </c>
      <c r="E3853" s="157">
        <v>41799.118750000001</v>
      </c>
      <c r="F3853" s="157">
        <v>41799.293749999997</v>
      </c>
      <c r="G3853" s="98">
        <v>0</v>
      </c>
      <c r="H3853" s="98">
        <v>423</v>
      </c>
      <c r="I3853" s="98">
        <v>393</v>
      </c>
      <c r="J3853" s="98" t="s">
        <v>2024</v>
      </c>
      <c r="K3853" s="98" t="s">
        <v>1621</v>
      </c>
      <c r="L3853" s="105" t="str">
        <f t="shared" si="630"/>
        <v>Mill Creek</v>
      </c>
      <c r="M3853" s="105" t="str">
        <f t="shared" si="631"/>
        <v>Outage</v>
      </c>
      <c r="N3853" s="105" t="str">
        <f t="shared" si="632"/>
        <v>Coal</v>
      </c>
      <c r="O3853" s="105">
        <f>IFERROR(VLOOKUP(A3853,Lookup!$J$5:$P$19,7,FALSE),0)</f>
        <v>3</v>
      </c>
      <c r="P3853" s="159">
        <f t="shared" si="633"/>
        <v>2014</v>
      </c>
      <c r="Q3853" s="159">
        <f t="shared" si="634"/>
        <v>6</v>
      </c>
      <c r="R3853" s="160">
        <f t="shared" si="635"/>
        <v>4.1999999998952262</v>
      </c>
      <c r="S3853" s="158">
        <f t="shared" si="636"/>
        <v>4.1999999998952262</v>
      </c>
      <c r="T3853" s="161">
        <f t="shared" si="637"/>
        <v>1650.5999999588239</v>
      </c>
      <c r="U3853" s="158">
        <f t="shared" si="639"/>
        <v>393</v>
      </c>
      <c r="V3853" s="160">
        <f t="shared" si="638"/>
        <v>393</v>
      </c>
    </row>
    <row r="3854" spans="1:22" x14ac:dyDescent="0.25">
      <c r="A3854" s="98" t="s">
        <v>29</v>
      </c>
      <c r="B3854" s="98" t="s">
        <v>79</v>
      </c>
      <c r="C3854" s="98">
        <v>98</v>
      </c>
      <c r="D3854" s="98">
        <v>4842</v>
      </c>
      <c r="E3854" s="157">
        <v>41801.416666666664</v>
      </c>
      <c r="F3854" s="157">
        <v>41801.532638888886</v>
      </c>
      <c r="G3854" s="98">
        <v>0</v>
      </c>
      <c r="H3854" s="98">
        <v>423</v>
      </c>
      <c r="I3854" s="98">
        <v>393</v>
      </c>
      <c r="J3854" s="98" t="s">
        <v>60</v>
      </c>
      <c r="K3854" s="98" t="s">
        <v>1434</v>
      </c>
      <c r="L3854" s="105" t="str">
        <f t="shared" si="630"/>
        <v>Mill Creek</v>
      </c>
      <c r="M3854" s="105" t="str">
        <f t="shared" si="631"/>
        <v>Other</v>
      </c>
      <c r="N3854" s="105" t="str">
        <f t="shared" si="632"/>
        <v>Coal</v>
      </c>
      <c r="O3854" s="105">
        <f>IFERROR(VLOOKUP(A3854,Lookup!$J$5:$P$19,7,FALSE),0)</f>
        <v>3</v>
      </c>
      <c r="P3854" s="159">
        <f t="shared" si="633"/>
        <v>2014</v>
      </c>
      <c r="Q3854" s="159">
        <f t="shared" si="634"/>
        <v>6</v>
      </c>
      <c r="R3854" s="160">
        <f t="shared" si="635"/>
        <v>2.7833333333255723</v>
      </c>
      <c r="S3854" s="158">
        <f t="shared" si="636"/>
        <v>2.7833333333255723</v>
      </c>
      <c r="T3854" s="161">
        <f t="shared" si="637"/>
        <v>1093.8499999969499</v>
      </c>
      <c r="U3854" s="158">
        <f t="shared" si="639"/>
        <v>393</v>
      </c>
      <c r="V3854" s="160">
        <f t="shared" si="638"/>
        <v>393</v>
      </c>
    </row>
    <row r="3855" spans="1:22" x14ac:dyDescent="0.25">
      <c r="A3855" s="98" t="s">
        <v>29</v>
      </c>
      <c r="B3855" s="98" t="s">
        <v>15</v>
      </c>
      <c r="C3855" s="98">
        <v>99</v>
      </c>
      <c r="D3855" s="98">
        <v>1799</v>
      </c>
      <c r="E3855" s="157">
        <v>41822.787499999999</v>
      </c>
      <c r="F3855" s="157">
        <v>41823.354166666664</v>
      </c>
      <c r="G3855" s="98">
        <v>0</v>
      </c>
      <c r="H3855" s="98">
        <v>423</v>
      </c>
      <c r="I3855" s="98">
        <v>393</v>
      </c>
      <c r="J3855" s="98" t="s">
        <v>2000</v>
      </c>
      <c r="K3855" s="98" t="s">
        <v>2802</v>
      </c>
      <c r="L3855" s="105" t="str">
        <f t="shared" si="630"/>
        <v>Mill Creek</v>
      </c>
      <c r="M3855" s="105" t="str">
        <f t="shared" si="631"/>
        <v>Outage</v>
      </c>
      <c r="N3855" s="105" t="str">
        <f t="shared" si="632"/>
        <v>Coal</v>
      </c>
      <c r="O3855" s="105">
        <f>IFERROR(VLOOKUP(A3855,Lookup!$J$5:$P$19,7,FALSE),0)</f>
        <v>3</v>
      </c>
      <c r="P3855" s="159">
        <f t="shared" si="633"/>
        <v>2014</v>
      </c>
      <c r="Q3855" s="159">
        <f t="shared" si="634"/>
        <v>7</v>
      </c>
      <c r="R3855" s="160">
        <f t="shared" si="635"/>
        <v>13.599999999976717</v>
      </c>
      <c r="S3855" s="158">
        <f t="shared" si="636"/>
        <v>13.599999999976717</v>
      </c>
      <c r="T3855" s="161">
        <f t="shared" si="637"/>
        <v>5344.7999999908498</v>
      </c>
      <c r="U3855" s="158">
        <f t="shared" si="639"/>
        <v>393</v>
      </c>
      <c r="V3855" s="160">
        <f t="shared" si="638"/>
        <v>393</v>
      </c>
    </row>
    <row r="3856" spans="1:22" x14ac:dyDescent="0.25">
      <c r="A3856" s="98" t="s">
        <v>29</v>
      </c>
      <c r="B3856" s="98" t="s">
        <v>15</v>
      </c>
      <c r="C3856" s="98">
        <v>100</v>
      </c>
      <c r="D3856" s="98">
        <v>3431</v>
      </c>
      <c r="E3856" s="157">
        <v>41823.669444444444</v>
      </c>
      <c r="F3856" s="157">
        <v>41823.793055555558</v>
      </c>
      <c r="G3856" s="98">
        <v>0</v>
      </c>
      <c r="H3856" s="98">
        <v>423</v>
      </c>
      <c r="I3856" s="98">
        <v>393</v>
      </c>
      <c r="J3856" s="98" t="s">
        <v>2123</v>
      </c>
      <c r="K3856" s="98" t="s">
        <v>2803</v>
      </c>
      <c r="L3856" s="105" t="str">
        <f t="shared" si="630"/>
        <v>Mill Creek</v>
      </c>
      <c r="M3856" s="105" t="str">
        <f t="shared" si="631"/>
        <v>Outage</v>
      </c>
      <c r="N3856" s="105" t="str">
        <f t="shared" si="632"/>
        <v>Coal</v>
      </c>
      <c r="O3856" s="105">
        <f>IFERROR(VLOOKUP(A3856,Lookup!$J$5:$P$19,7,FALSE),0)</f>
        <v>3</v>
      </c>
      <c r="P3856" s="159">
        <f t="shared" si="633"/>
        <v>2014</v>
      </c>
      <c r="Q3856" s="159">
        <f t="shared" si="634"/>
        <v>7</v>
      </c>
      <c r="R3856" s="160">
        <f t="shared" si="635"/>
        <v>2.9666666667326353</v>
      </c>
      <c r="S3856" s="158">
        <f t="shared" si="636"/>
        <v>2.9666666667326353</v>
      </c>
      <c r="T3856" s="161">
        <f t="shared" si="637"/>
        <v>1165.9000000259257</v>
      </c>
      <c r="U3856" s="158">
        <f t="shared" si="639"/>
        <v>393</v>
      </c>
      <c r="V3856" s="160">
        <f t="shared" si="638"/>
        <v>393</v>
      </c>
    </row>
    <row r="3857" spans="1:22" x14ac:dyDescent="0.25">
      <c r="A3857" s="98" t="s">
        <v>29</v>
      </c>
      <c r="B3857" s="98" t="s">
        <v>17</v>
      </c>
      <c r="C3857" s="98">
        <v>101</v>
      </c>
      <c r="D3857" s="98">
        <v>1850</v>
      </c>
      <c r="E3857" s="157">
        <v>41824.220833333333</v>
      </c>
      <c r="F3857" s="157">
        <v>41824.357638888891</v>
      </c>
      <c r="G3857" s="98">
        <v>390</v>
      </c>
      <c r="H3857" s="98">
        <v>423</v>
      </c>
      <c r="I3857" s="98">
        <v>393</v>
      </c>
      <c r="J3857" s="98" t="s">
        <v>2263</v>
      </c>
      <c r="K3857" s="98" t="s">
        <v>41</v>
      </c>
      <c r="L3857" s="105" t="str">
        <f t="shared" si="630"/>
        <v>Mill Creek</v>
      </c>
      <c r="M3857" s="105" t="str">
        <f t="shared" si="631"/>
        <v>Derate</v>
      </c>
      <c r="N3857" s="105" t="str">
        <f t="shared" si="632"/>
        <v>Coal</v>
      </c>
      <c r="O3857" s="105">
        <f>IFERROR(VLOOKUP(A3857,Lookup!$J$5:$P$19,7,FALSE),0)</f>
        <v>3</v>
      </c>
      <c r="P3857" s="159">
        <f t="shared" si="633"/>
        <v>2014</v>
      </c>
      <c r="Q3857" s="159">
        <f t="shared" si="634"/>
        <v>7</v>
      </c>
      <c r="R3857" s="160">
        <f t="shared" si="635"/>
        <v>3.28333333338378</v>
      </c>
      <c r="S3857" s="158">
        <f t="shared" si="636"/>
        <v>0.25614657210795444</v>
      </c>
      <c r="T3857" s="161">
        <f t="shared" si="637"/>
        <v>100.6656028384261</v>
      </c>
      <c r="U3857" s="158">
        <f t="shared" si="639"/>
        <v>30.659574468085108</v>
      </c>
      <c r="V3857" s="160">
        <f t="shared" si="638"/>
        <v>31</v>
      </c>
    </row>
    <row r="3858" spans="1:22" x14ac:dyDescent="0.25">
      <c r="A3858" s="98" t="s">
        <v>29</v>
      </c>
      <c r="B3858" s="98" t="s">
        <v>17</v>
      </c>
      <c r="C3858" s="98">
        <v>102</v>
      </c>
      <c r="D3858" s="98">
        <v>1850</v>
      </c>
      <c r="E3858" s="157">
        <v>41824.357638888891</v>
      </c>
      <c r="F3858" s="157">
        <v>41824.38958333333</v>
      </c>
      <c r="G3858" s="98">
        <v>410</v>
      </c>
      <c r="H3858" s="98">
        <v>423</v>
      </c>
      <c r="I3858" s="98">
        <v>393</v>
      </c>
      <c r="J3858" s="98" t="s">
        <v>2263</v>
      </c>
      <c r="K3858" s="98" t="s">
        <v>41</v>
      </c>
      <c r="L3858" s="105" t="str">
        <f t="shared" si="630"/>
        <v>Mill Creek</v>
      </c>
      <c r="M3858" s="105" t="str">
        <f t="shared" si="631"/>
        <v>Derate</v>
      </c>
      <c r="N3858" s="105" t="str">
        <f t="shared" si="632"/>
        <v>Coal</v>
      </c>
      <c r="O3858" s="105">
        <f>IFERROR(VLOOKUP(A3858,Lookup!$J$5:$P$19,7,FALSE),0)</f>
        <v>3</v>
      </c>
      <c r="P3858" s="159">
        <f t="shared" si="633"/>
        <v>2014</v>
      </c>
      <c r="Q3858" s="159">
        <f t="shared" si="634"/>
        <v>7</v>
      </c>
      <c r="R3858" s="160">
        <f t="shared" si="635"/>
        <v>0.76666666654637083</v>
      </c>
      <c r="S3858" s="158">
        <f t="shared" si="636"/>
        <v>2.3561859728375462E-2</v>
      </c>
      <c r="T3858" s="161">
        <f t="shared" si="637"/>
        <v>9.2598108732515563</v>
      </c>
      <c r="U3858" s="158">
        <f t="shared" si="639"/>
        <v>12.078014184397164</v>
      </c>
      <c r="V3858" s="160">
        <f t="shared" si="638"/>
        <v>12</v>
      </c>
    </row>
    <row r="3859" spans="1:22" x14ac:dyDescent="0.25">
      <c r="A3859" s="98" t="s">
        <v>29</v>
      </c>
      <c r="B3859" s="98" t="s">
        <v>105</v>
      </c>
      <c r="C3859" s="98">
        <v>103</v>
      </c>
      <c r="D3859" s="98">
        <v>260</v>
      </c>
      <c r="E3859" s="157">
        <v>41826.875</v>
      </c>
      <c r="F3859" s="157">
        <v>41827.017361111109</v>
      </c>
      <c r="G3859" s="98">
        <v>320</v>
      </c>
      <c r="H3859" s="98">
        <v>423</v>
      </c>
      <c r="I3859" s="98">
        <v>393</v>
      </c>
      <c r="J3859" s="98" t="s">
        <v>1973</v>
      </c>
      <c r="K3859" s="98" t="s">
        <v>2804</v>
      </c>
      <c r="L3859" s="105" t="str">
        <f t="shared" si="630"/>
        <v>Mill Creek</v>
      </c>
      <c r="M3859" s="105" t="str">
        <f t="shared" si="631"/>
        <v>Derate</v>
      </c>
      <c r="N3859" s="105" t="str">
        <f t="shared" si="632"/>
        <v>Coal</v>
      </c>
      <c r="O3859" s="105">
        <f>IFERROR(VLOOKUP(A3859,Lookup!$J$5:$P$19,7,FALSE),0)</f>
        <v>3</v>
      </c>
      <c r="P3859" s="159">
        <f t="shared" si="633"/>
        <v>2014</v>
      </c>
      <c r="Q3859" s="159">
        <f t="shared" si="634"/>
        <v>7</v>
      </c>
      <c r="R3859" s="160">
        <f t="shared" si="635"/>
        <v>3.4166666666278616</v>
      </c>
      <c r="S3859" s="158">
        <f t="shared" si="636"/>
        <v>0.83195429471080318</v>
      </c>
      <c r="T3859" s="161">
        <f t="shared" si="637"/>
        <v>326.95803782134567</v>
      </c>
      <c r="U3859" s="158">
        <f t="shared" si="639"/>
        <v>95.695035460992912</v>
      </c>
      <c r="V3859" s="160">
        <f t="shared" si="638"/>
        <v>96</v>
      </c>
    </row>
    <row r="3860" spans="1:22" x14ac:dyDescent="0.25">
      <c r="A3860" s="98" t="s">
        <v>29</v>
      </c>
      <c r="B3860" s="98" t="s">
        <v>79</v>
      </c>
      <c r="C3860" s="98">
        <v>104</v>
      </c>
      <c r="D3860" s="98">
        <v>9656</v>
      </c>
      <c r="E3860" s="157">
        <v>41827.509027777778</v>
      </c>
      <c r="F3860" s="157">
        <v>41827.636805555558</v>
      </c>
      <c r="G3860" s="98">
        <v>0</v>
      </c>
      <c r="H3860" s="98">
        <v>423</v>
      </c>
      <c r="I3860" s="98">
        <v>393</v>
      </c>
      <c r="J3860" s="98" t="s">
        <v>299</v>
      </c>
      <c r="K3860" s="98" t="s">
        <v>2805</v>
      </c>
      <c r="L3860" s="105" t="str">
        <f t="shared" si="630"/>
        <v>Mill Creek</v>
      </c>
      <c r="M3860" s="105" t="str">
        <f t="shared" si="631"/>
        <v>Other</v>
      </c>
      <c r="N3860" s="105" t="str">
        <f t="shared" si="632"/>
        <v>Coal</v>
      </c>
      <c r="O3860" s="105">
        <f>IFERROR(VLOOKUP(A3860,Lookup!$J$5:$P$19,7,FALSE),0)</f>
        <v>3</v>
      </c>
      <c r="P3860" s="159">
        <f t="shared" si="633"/>
        <v>2014</v>
      </c>
      <c r="Q3860" s="159">
        <f t="shared" si="634"/>
        <v>7</v>
      </c>
      <c r="R3860" s="160">
        <f t="shared" si="635"/>
        <v>3.0666666667093523</v>
      </c>
      <c r="S3860" s="158">
        <f t="shared" si="636"/>
        <v>3.0666666667093523</v>
      </c>
      <c r="T3860" s="161">
        <f t="shared" si="637"/>
        <v>1205.2000000167754</v>
      </c>
      <c r="U3860" s="158">
        <f t="shared" si="639"/>
        <v>393</v>
      </c>
      <c r="V3860" s="160">
        <f t="shared" si="638"/>
        <v>393</v>
      </c>
    </row>
    <row r="3861" spans="1:22" x14ac:dyDescent="0.25">
      <c r="A3861" s="98" t="s">
        <v>29</v>
      </c>
      <c r="B3861" s="98" t="s">
        <v>105</v>
      </c>
      <c r="C3861" s="98">
        <v>105</v>
      </c>
      <c r="D3861" s="98">
        <v>310</v>
      </c>
      <c r="E3861" s="157">
        <v>41828.916666666664</v>
      </c>
      <c r="F3861" s="157">
        <v>41829.147222222222</v>
      </c>
      <c r="G3861" s="98">
        <v>320</v>
      </c>
      <c r="H3861" s="98">
        <v>423</v>
      </c>
      <c r="I3861" s="98">
        <v>393</v>
      </c>
      <c r="J3861" s="98" t="s">
        <v>1966</v>
      </c>
      <c r="K3861" s="98" t="s">
        <v>2806</v>
      </c>
      <c r="L3861" s="105" t="str">
        <f t="shared" si="630"/>
        <v>Mill Creek</v>
      </c>
      <c r="M3861" s="105" t="str">
        <f t="shared" si="631"/>
        <v>Derate</v>
      </c>
      <c r="N3861" s="105" t="str">
        <f t="shared" si="632"/>
        <v>Coal</v>
      </c>
      <c r="O3861" s="105">
        <f>IFERROR(VLOOKUP(A3861,Lookup!$J$5:$P$19,7,FALSE),0)</f>
        <v>3</v>
      </c>
      <c r="P3861" s="159">
        <f t="shared" si="633"/>
        <v>2014</v>
      </c>
      <c r="Q3861" s="159">
        <f t="shared" si="634"/>
        <v>7</v>
      </c>
      <c r="R3861" s="160">
        <f t="shared" si="635"/>
        <v>5.53333333338378</v>
      </c>
      <c r="S3861" s="158">
        <f t="shared" si="636"/>
        <v>1.3473601260958141</v>
      </c>
      <c r="T3861" s="161">
        <f t="shared" si="637"/>
        <v>529.51252955565496</v>
      </c>
      <c r="U3861" s="158">
        <f t="shared" si="639"/>
        <v>95.695035460992912</v>
      </c>
      <c r="V3861" s="160">
        <f t="shared" si="638"/>
        <v>96</v>
      </c>
    </row>
    <row r="3862" spans="1:22" x14ac:dyDescent="0.25">
      <c r="A3862" s="98" t="s">
        <v>29</v>
      </c>
      <c r="B3862" s="98" t="s">
        <v>105</v>
      </c>
      <c r="C3862" s="98">
        <v>106</v>
      </c>
      <c r="D3862" s="98">
        <v>310</v>
      </c>
      <c r="E3862" s="157">
        <v>41829.916666666664</v>
      </c>
      <c r="F3862" s="157">
        <v>41830.172222222223</v>
      </c>
      <c r="G3862" s="98">
        <v>320</v>
      </c>
      <c r="H3862" s="98">
        <v>423</v>
      </c>
      <c r="I3862" s="98">
        <v>393</v>
      </c>
      <c r="J3862" s="98" t="s">
        <v>1966</v>
      </c>
      <c r="K3862" s="98" t="s">
        <v>2807</v>
      </c>
      <c r="L3862" s="105" t="str">
        <f t="shared" si="630"/>
        <v>Mill Creek</v>
      </c>
      <c r="M3862" s="105" t="str">
        <f t="shared" si="631"/>
        <v>Derate</v>
      </c>
      <c r="N3862" s="105" t="str">
        <f t="shared" si="632"/>
        <v>Coal</v>
      </c>
      <c r="O3862" s="105">
        <f>IFERROR(VLOOKUP(A3862,Lookup!$J$5:$P$19,7,FALSE),0)</f>
        <v>3</v>
      </c>
      <c r="P3862" s="159">
        <f t="shared" si="633"/>
        <v>2014</v>
      </c>
      <c r="Q3862" s="159">
        <f t="shared" si="634"/>
        <v>7</v>
      </c>
      <c r="R3862" s="160">
        <f t="shared" si="635"/>
        <v>6.1333333334187046</v>
      </c>
      <c r="S3862" s="158">
        <f t="shared" si="636"/>
        <v>1.4934594168844599</v>
      </c>
      <c r="T3862" s="161">
        <f t="shared" si="637"/>
        <v>586.92955083559275</v>
      </c>
      <c r="U3862" s="158">
        <f t="shared" si="639"/>
        <v>95.695035460992912</v>
      </c>
      <c r="V3862" s="160">
        <f t="shared" si="638"/>
        <v>96</v>
      </c>
    </row>
    <row r="3863" spans="1:22" x14ac:dyDescent="0.25">
      <c r="A3863" s="98" t="s">
        <v>29</v>
      </c>
      <c r="B3863" s="98" t="s">
        <v>17</v>
      </c>
      <c r="C3863" s="98">
        <v>107</v>
      </c>
      <c r="D3863" s="98">
        <v>310</v>
      </c>
      <c r="E3863" s="157">
        <v>41830.719444444447</v>
      </c>
      <c r="F3863" s="157">
        <v>41830.772916666669</v>
      </c>
      <c r="G3863" s="98">
        <v>320</v>
      </c>
      <c r="H3863" s="98">
        <v>423</v>
      </c>
      <c r="I3863" s="98">
        <v>393</v>
      </c>
      <c r="J3863" s="98" t="s">
        <v>1966</v>
      </c>
      <c r="K3863" s="98" t="s">
        <v>2808</v>
      </c>
      <c r="L3863" s="105" t="str">
        <f t="shared" si="630"/>
        <v>Mill Creek</v>
      </c>
      <c r="M3863" s="105" t="str">
        <f t="shared" si="631"/>
        <v>Derate</v>
      </c>
      <c r="N3863" s="105" t="str">
        <f t="shared" si="632"/>
        <v>Coal</v>
      </c>
      <c r="O3863" s="105">
        <f>IFERROR(VLOOKUP(A3863,Lookup!$J$5:$P$19,7,FALSE),0)</f>
        <v>3</v>
      </c>
      <c r="P3863" s="159">
        <f t="shared" si="633"/>
        <v>2014</v>
      </c>
      <c r="Q3863" s="159">
        <f t="shared" si="634"/>
        <v>7</v>
      </c>
      <c r="R3863" s="160">
        <f t="shared" si="635"/>
        <v>1.2833333333255723</v>
      </c>
      <c r="S3863" s="158">
        <f t="shared" si="636"/>
        <v>0.31249014972230249</v>
      </c>
      <c r="T3863" s="161">
        <f t="shared" si="637"/>
        <v>122.80862884086488</v>
      </c>
      <c r="U3863" s="158">
        <f t="shared" si="639"/>
        <v>95.695035460992912</v>
      </c>
      <c r="V3863" s="160">
        <f t="shared" si="638"/>
        <v>96</v>
      </c>
    </row>
    <row r="3864" spans="1:22" x14ac:dyDescent="0.25">
      <c r="A3864" s="98" t="s">
        <v>29</v>
      </c>
      <c r="B3864" s="98" t="s">
        <v>105</v>
      </c>
      <c r="C3864" s="98">
        <v>108</v>
      </c>
      <c r="D3864" s="98">
        <v>312</v>
      </c>
      <c r="E3864" s="157">
        <v>41830.916666666664</v>
      </c>
      <c r="F3864" s="157">
        <v>41831.165972222225</v>
      </c>
      <c r="G3864" s="98">
        <v>320</v>
      </c>
      <c r="H3864" s="98">
        <v>423</v>
      </c>
      <c r="I3864" s="98">
        <v>393</v>
      </c>
      <c r="J3864" s="98" t="s">
        <v>2169</v>
      </c>
      <c r="K3864" s="98" t="s">
        <v>2809</v>
      </c>
      <c r="L3864" s="105" t="str">
        <f t="shared" si="630"/>
        <v>Mill Creek</v>
      </c>
      <c r="M3864" s="105" t="str">
        <f t="shared" si="631"/>
        <v>Derate</v>
      </c>
      <c r="N3864" s="105" t="str">
        <f t="shared" si="632"/>
        <v>Coal</v>
      </c>
      <c r="O3864" s="105">
        <f>IFERROR(VLOOKUP(A3864,Lookup!$J$5:$P$19,7,FALSE),0)</f>
        <v>3</v>
      </c>
      <c r="P3864" s="159">
        <f t="shared" si="633"/>
        <v>2014</v>
      </c>
      <c r="Q3864" s="159">
        <f t="shared" si="634"/>
        <v>7</v>
      </c>
      <c r="R3864" s="160">
        <f t="shared" si="635"/>
        <v>5.9833333334536292</v>
      </c>
      <c r="S3864" s="158">
        <f t="shared" si="636"/>
        <v>1.4569345941979286</v>
      </c>
      <c r="T3864" s="161">
        <f t="shared" si="637"/>
        <v>572.57529551978598</v>
      </c>
      <c r="U3864" s="158">
        <f t="shared" si="639"/>
        <v>95.695035460992912</v>
      </c>
      <c r="V3864" s="160">
        <f t="shared" si="638"/>
        <v>96</v>
      </c>
    </row>
    <row r="3865" spans="1:22" x14ac:dyDescent="0.25">
      <c r="A3865" s="98" t="s">
        <v>29</v>
      </c>
      <c r="B3865" s="98" t="s">
        <v>17</v>
      </c>
      <c r="C3865" s="98">
        <v>109</v>
      </c>
      <c r="D3865" s="98">
        <v>360</v>
      </c>
      <c r="E3865" s="157">
        <v>41833.413888888892</v>
      </c>
      <c r="F3865" s="157">
        <v>41833.45208333333</v>
      </c>
      <c r="G3865" s="98">
        <v>320</v>
      </c>
      <c r="H3865" s="98">
        <v>423</v>
      </c>
      <c r="I3865" s="98">
        <v>393</v>
      </c>
      <c r="J3865" s="98" t="s">
        <v>229</v>
      </c>
      <c r="K3865" s="98" t="s">
        <v>2810</v>
      </c>
      <c r="L3865" s="105" t="str">
        <f t="shared" si="630"/>
        <v>Mill Creek</v>
      </c>
      <c r="M3865" s="105" t="str">
        <f t="shared" si="631"/>
        <v>Derate</v>
      </c>
      <c r="N3865" s="105" t="str">
        <f t="shared" si="632"/>
        <v>Coal</v>
      </c>
      <c r="O3865" s="105">
        <f>IFERROR(VLOOKUP(A3865,Lookup!$J$5:$P$19,7,FALSE),0)</f>
        <v>3</v>
      </c>
      <c r="P3865" s="159">
        <f t="shared" si="633"/>
        <v>2014</v>
      </c>
      <c r="Q3865" s="159">
        <f t="shared" si="634"/>
        <v>7</v>
      </c>
      <c r="R3865" s="160">
        <f t="shared" si="635"/>
        <v>0.91666666651144624</v>
      </c>
      <c r="S3865" s="158">
        <f t="shared" si="636"/>
        <v>0.22320724976519848</v>
      </c>
      <c r="T3865" s="161">
        <f t="shared" si="637"/>
        <v>87.72044915772301</v>
      </c>
      <c r="U3865" s="158">
        <f t="shared" si="639"/>
        <v>95.695035460992912</v>
      </c>
      <c r="V3865" s="160">
        <f t="shared" si="638"/>
        <v>96</v>
      </c>
    </row>
    <row r="3866" spans="1:22" x14ac:dyDescent="0.25">
      <c r="A3866" s="98" t="s">
        <v>29</v>
      </c>
      <c r="B3866" s="98" t="s">
        <v>17</v>
      </c>
      <c r="C3866" s="98">
        <v>110</v>
      </c>
      <c r="D3866" s="98">
        <v>360</v>
      </c>
      <c r="E3866" s="157">
        <v>41835.422222222223</v>
      </c>
      <c r="F3866" s="157">
        <v>41835.477777777778</v>
      </c>
      <c r="G3866" s="98">
        <v>320</v>
      </c>
      <c r="H3866" s="98">
        <v>423</v>
      </c>
      <c r="I3866" s="98">
        <v>393</v>
      </c>
      <c r="J3866" s="98" t="s">
        <v>229</v>
      </c>
      <c r="K3866" s="98" t="s">
        <v>2811</v>
      </c>
      <c r="L3866" s="105" t="str">
        <f t="shared" si="630"/>
        <v>Mill Creek</v>
      </c>
      <c r="M3866" s="105" t="str">
        <f t="shared" si="631"/>
        <v>Derate</v>
      </c>
      <c r="N3866" s="105" t="str">
        <f t="shared" si="632"/>
        <v>Coal</v>
      </c>
      <c r="O3866" s="105">
        <f>IFERROR(VLOOKUP(A3866,Lookup!$J$5:$P$19,7,FALSE),0)</f>
        <v>3</v>
      </c>
      <c r="P3866" s="159">
        <f t="shared" si="633"/>
        <v>2014</v>
      </c>
      <c r="Q3866" s="159">
        <f t="shared" si="634"/>
        <v>7</v>
      </c>
      <c r="R3866" s="160">
        <f t="shared" si="635"/>
        <v>1.3333333333139308</v>
      </c>
      <c r="S3866" s="158">
        <f t="shared" si="636"/>
        <v>0.32466509061781296</v>
      </c>
      <c r="T3866" s="161">
        <f t="shared" si="637"/>
        <v>127.59338061280049</v>
      </c>
      <c r="U3866" s="158">
        <f t="shared" si="639"/>
        <v>95.695035460992912</v>
      </c>
      <c r="V3866" s="160">
        <f t="shared" si="638"/>
        <v>96</v>
      </c>
    </row>
    <row r="3867" spans="1:22" x14ac:dyDescent="0.25">
      <c r="A3867" s="98" t="s">
        <v>29</v>
      </c>
      <c r="B3867" s="98" t="s">
        <v>105</v>
      </c>
      <c r="C3867" s="98">
        <v>111</v>
      </c>
      <c r="D3867" s="98">
        <v>310</v>
      </c>
      <c r="E3867" s="157">
        <v>41840.885416666664</v>
      </c>
      <c r="F3867" s="157">
        <v>41841.050000000003</v>
      </c>
      <c r="G3867" s="98">
        <v>320</v>
      </c>
      <c r="H3867" s="98">
        <v>423</v>
      </c>
      <c r="I3867" s="98">
        <v>393</v>
      </c>
      <c r="J3867" s="98" t="s">
        <v>1966</v>
      </c>
      <c r="K3867" s="98" t="s">
        <v>2812</v>
      </c>
      <c r="L3867" s="105" t="str">
        <f t="shared" si="630"/>
        <v>Mill Creek</v>
      </c>
      <c r="M3867" s="105" t="str">
        <f t="shared" si="631"/>
        <v>Derate</v>
      </c>
      <c r="N3867" s="105" t="str">
        <f t="shared" si="632"/>
        <v>Coal</v>
      </c>
      <c r="O3867" s="105">
        <f>IFERROR(VLOOKUP(A3867,Lookup!$J$5:$P$19,7,FALSE),0)</f>
        <v>3</v>
      </c>
      <c r="P3867" s="159">
        <f t="shared" si="633"/>
        <v>2014</v>
      </c>
      <c r="Q3867" s="159">
        <f t="shared" si="634"/>
        <v>7</v>
      </c>
      <c r="R3867" s="160">
        <f t="shared" si="635"/>
        <v>3.9500000001280569</v>
      </c>
      <c r="S3867" s="158">
        <f t="shared" si="636"/>
        <v>0.96182033100044884</v>
      </c>
      <c r="T3867" s="161">
        <f t="shared" si="637"/>
        <v>377.9953900831764</v>
      </c>
      <c r="U3867" s="158">
        <f t="shared" si="639"/>
        <v>95.695035460992912</v>
      </c>
      <c r="V3867" s="160">
        <f t="shared" si="638"/>
        <v>96</v>
      </c>
    </row>
    <row r="3868" spans="1:22" x14ac:dyDescent="0.25">
      <c r="A3868" s="98" t="s">
        <v>29</v>
      </c>
      <c r="B3868" s="98" t="s">
        <v>79</v>
      </c>
      <c r="C3868" s="98">
        <v>112</v>
      </c>
      <c r="D3868" s="98">
        <v>4490</v>
      </c>
      <c r="E3868" s="157">
        <v>41841.4375</v>
      </c>
      <c r="F3868" s="157">
        <v>41841.5</v>
      </c>
      <c r="G3868" s="98">
        <v>0</v>
      </c>
      <c r="H3868" s="98">
        <v>423</v>
      </c>
      <c r="I3868" s="98">
        <v>393</v>
      </c>
      <c r="J3868" s="98" t="s">
        <v>2084</v>
      </c>
      <c r="K3868" s="98" t="s">
        <v>2813</v>
      </c>
      <c r="L3868" s="105" t="str">
        <f t="shared" si="630"/>
        <v>Mill Creek</v>
      </c>
      <c r="M3868" s="105" t="str">
        <f t="shared" si="631"/>
        <v>Other</v>
      </c>
      <c r="N3868" s="105" t="str">
        <f t="shared" si="632"/>
        <v>Coal</v>
      </c>
      <c r="O3868" s="105">
        <f>IFERROR(VLOOKUP(A3868,Lookup!$J$5:$P$19,7,FALSE),0)</f>
        <v>3</v>
      </c>
      <c r="P3868" s="159">
        <f t="shared" si="633"/>
        <v>2014</v>
      </c>
      <c r="Q3868" s="159">
        <f t="shared" si="634"/>
        <v>7</v>
      </c>
      <c r="R3868" s="160">
        <f t="shared" si="635"/>
        <v>1.5</v>
      </c>
      <c r="S3868" s="158">
        <f t="shared" si="636"/>
        <v>1.5</v>
      </c>
      <c r="T3868" s="161">
        <f t="shared" si="637"/>
        <v>589.5</v>
      </c>
      <c r="U3868" s="158">
        <f t="shared" si="639"/>
        <v>393</v>
      </c>
      <c r="V3868" s="160">
        <f t="shared" si="638"/>
        <v>393</v>
      </c>
    </row>
    <row r="3869" spans="1:22" x14ac:dyDescent="0.25">
      <c r="A3869" s="98" t="s">
        <v>29</v>
      </c>
      <c r="B3869" s="98" t="s">
        <v>79</v>
      </c>
      <c r="C3869" s="98">
        <v>113</v>
      </c>
      <c r="D3869" s="98">
        <v>8460</v>
      </c>
      <c r="E3869" s="157">
        <v>41844.423611111109</v>
      </c>
      <c r="F3869" s="157">
        <v>41844.536805555559</v>
      </c>
      <c r="G3869" s="98">
        <v>0</v>
      </c>
      <c r="H3869" s="98">
        <v>423</v>
      </c>
      <c r="I3869" s="98">
        <v>393</v>
      </c>
      <c r="J3869" s="98" t="s">
        <v>2651</v>
      </c>
      <c r="K3869" s="98" t="s">
        <v>2661</v>
      </c>
      <c r="L3869" s="105" t="str">
        <f t="shared" si="630"/>
        <v>Mill Creek</v>
      </c>
      <c r="M3869" s="105" t="str">
        <f t="shared" si="631"/>
        <v>Other</v>
      </c>
      <c r="N3869" s="105" t="str">
        <f t="shared" si="632"/>
        <v>Coal</v>
      </c>
      <c r="O3869" s="105">
        <f>IFERROR(VLOOKUP(A3869,Lookup!$J$5:$P$19,7,FALSE),0)</f>
        <v>3</v>
      </c>
      <c r="P3869" s="159">
        <f t="shared" si="633"/>
        <v>2014</v>
      </c>
      <c r="Q3869" s="159">
        <f t="shared" si="634"/>
        <v>7</v>
      </c>
      <c r="R3869" s="160">
        <f t="shared" si="635"/>
        <v>2.716666666790843</v>
      </c>
      <c r="S3869" s="158">
        <f t="shared" si="636"/>
        <v>2.716666666790843</v>
      </c>
      <c r="T3869" s="161">
        <f t="shared" si="637"/>
        <v>1067.6500000488013</v>
      </c>
      <c r="U3869" s="158">
        <f t="shared" si="639"/>
        <v>393</v>
      </c>
      <c r="V3869" s="160">
        <f t="shared" si="638"/>
        <v>393</v>
      </c>
    </row>
    <row r="3870" spans="1:22" x14ac:dyDescent="0.25">
      <c r="A3870" s="98" t="s">
        <v>29</v>
      </c>
      <c r="B3870" s="98" t="s">
        <v>17</v>
      </c>
      <c r="C3870" s="98">
        <v>114</v>
      </c>
      <c r="D3870" s="98">
        <v>360</v>
      </c>
      <c r="E3870" s="157">
        <v>41845.894444444442</v>
      </c>
      <c r="F3870" s="157">
        <v>41845.929861111108</v>
      </c>
      <c r="G3870" s="98">
        <v>320</v>
      </c>
      <c r="H3870" s="98">
        <v>423</v>
      </c>
      <c r="I3870" s="98">
        <v>393</v>
      </c>
      <c r="J3870" s="98" t="s">
        <v>229</v>
      </c>
      <c r="K3870" s="98" t="s">
        <v>1620</v>
      </c>
      <c r="L3870" s="105" t="str">
        <f t="shared" si="630"/>
        <v>Mill Creek</v>
      </c>
      <c r="M3870" s="105" t="str">
        <f t="shared" si="631"/>
        <v>Derate</v>
      </c>
      <c r="N3870" s="105" t="str">
        <f t="shared" si="632"/>
        <v>Coal</v>
      </c>
      <c r="O3870" s="105">
        <f>IFERROR(VLOOKUP(A3870,Lookup!$J$5:$P$19,7,FALSE),0)</f>
        <v>3</v>
      </c>
      <c r="P3870" s="159">
        <f t="shared" si="633"/>
        <v>2014</v>
      </c>
      <c r="Q3870" s="159">
        <f t="shared" si="634"/>
        <v>7</v>
      </c>
      <c r="R3870" s="160">
        <f t="shared" si="635"/>
        <v>0.84999999997671694</v>
      </c>
      <c r="S3870" s="158">
        <f t="shared" si="636"/>
        <v>0.20697399526619822</v>
      </c>
      <c r="T3870" s="161">
        <f t="shared" si="637"/>
        <v>81.340780139615902</v>
      </c>
      <c r="U3870" s="158">
        <f t="shared" si="639"/>
        <v>95.695035460992912</v>
      </c>
      <c r="V3870" s="160">
        <f t="shared" si="638"/>
        <v>96</v>
      </c>
    </row>
    <row r="3871" spans="1:22" x14ac:dyDescent="0.25">
      <c r="A3871" s="98" t="s">
        <v>29</v>
      </c>
      <c r="B3871" s="98" t="s">
        <v>17</v>
      </c>
      <c r="C3871" s="98">
        <v>115</v>
      </c>
      <c r="D3871" s="98">
        <v>3149</v>
      </c>
      <c r="E3871" s="157">
        <v>41847.708333333336</v>
      </c>
      <c r="F3871" s="157">
        <v>41847.809027777781</v>
      </c>
      <c r="G3871" s="98">
        <v>400</v>
      </c>
      <c r="H3871" s="98">
        <v>423</v>
      </c>
      <c r="I3871" s="98">
        <v>393</v>
      </c>
      <c r="J3871" s="98" t="s">
        <v>2034</v>
      </c>
      <c r="K3871" s="98" t="s">
        <v>2814</v>
      </c>
      <c r="L3871" s="105" t="str">
        <f t="shared" si="630"/>
        <v>Mill Creek</v>
      </c>
      <c r="M3871" s="105" t="str">
        <f t="shared" si="631"/>
        <v>Derate</v>
      </c>
      <c r="N3871" s="105" t="str">
        <f t="shared" si="632"/>
        <v>Coal</v>
      </c>
      <c r="O3871" s="105">
        <f>IFERROR(VLOOKUP(A3871,Lookup!$J$5:$P$19,7,FALSE),0)</f>
        <v>3</v>
      </c>
      <c r="P3871" s="159">
        <f t="shared" si="633"/>
        <v>2014</v>
      </c>
      <c r="Q3871" s="159">
        <f t="shared" si="634"/>
        <v>7</v>
      </c>
      <c r="R3871" s="160">
        <f t="shared" si="635"/>
        <v>2.4166666666860692</v>
      </c>
      <c r="S3871" s="158">
        <f t="shared" si="636"/>
        <v>0.13140267927607469</v>
      </c>
      <c r="T3871" s="161">
        <f t="shared" si="637"/>
        <v>51.64125295549735</v>
      </c>
      <c r="U3871" s="158">
        <f t="shared" si="639"/>
        <v>21.368794326241133</v>
      </c>
      <c r="V3871" s="160">
        <f t="shared" si="638"/>
        <v>21</v>
      </c>
    </row>
    <row r="3872" spans="1:22" x14ac:dyDescent="0.25">
      <c r="A3872" s="98" t="s">
        <v>29</v>
      </c>
      <c r="B3872" s="98" t="s">
        <v>105</v>
      </c>
      <c r="C3872" s="98">
        <v>116</v>
      </c>
      <c r="D3872" s="98">
        <v>310</v>
      </c>
      <c r="E3872" s="157">
        <v>41856.916666666664</v>
      </c>
      <c r="F3872" s="157">
        <v>41857.166666666664</v>
      </c>
      <c r="G3872" s="98">
        <v>320</v>
      </c>
      <c r="H3872" s="98">
        <v>423</v>
      </c>
      <c r="I3872" s="98">
        <v>393</v>
      </c>
      <c r="J3872" s="98" t="s">
        <v>1966</v>
      </c>
      <c r="K3872" s="98" t="s">
        <v>2815</v>
      </c>
      <c r="L3872" s="105" t="str">
        <f t="shared" si="630"/>
        <v>Mill Creek</v>
      </c>
      <c r="M3872" s="105" t="str">
        <f t="shared" si="631"/>
        <v>Derate</v>
      </c>
      <c r="N3872" s="105" t="str">
        <f t="shared" si="632"/>
        <v>Coal</v>
      </c>
      <c r="O3872" s="105">
        <f>IFERROR(VLOOKUP(A3872,Lookup!$J$5:$P$19,7,FALSE),0)</f>
        <v>3</v>
      </c>
      <c r="P3872" s="159">
        <f t="shared" si="633"/>
        <v>2014</v>
      </c>
      <c r="Q3872" s="159">
        <f t="shared" si="634"/>
        <v>8</v>
      </c>
      <c r="R3872" s="160">
        <f t="shared" si="635"/>
        <v>6</v>
      </c>
      <c r="S3872" s="158">
        <f t="shared" si="636"/>
        <v>1.4609929078014185</v>
      </c>
      <c r="T3872" s="161">
        <f t="shared" si="637"/>
        <v>574.17021276595744</v>
      </c>
      <c r="U3872" s="158">
        <f t="shared" si="639"/>
        <v>95.695035460992912</v>
      </c>
      <c r="V3872" s="160">
        <f t="shared" si="638"/>
        <v>96</v>
      </c>
    </row>
    <row r="3873" spans="1:22" x14ac:dyDescent="0.25">
      <c r="A3873" s="98" t="s">
        <v>29</v>
      </c>
      <c r="B3873" s="98" t="s">
        <v>20</v>
      </c>
      <c r="C3873" s="98">
        <v>117</v>
      </c>
      <c r="D3873" s="98">
        <v>3110</v>
      </c>
      <c r="E3873" s="157">
        <v>41858.898611111108</v>
      </c>
      <c r="F3873" s="157">
        <v>41860.077777777777</v>
      </c>
      <c r="G3873" s="98">
        <v>0</v>
      </c>
      <c r="H3873" s="98">
        <v>423</v>
      </c>
      <c r="I3873" s="98">
        <v>393</v>
      </c>
      <c r="J3873" s="98" t="s">
        <v>2119</v>
      </c>
      <c r="K3873" s="98" t="s">
        <v>31</v>
      </c>
      <c r="L3873" s="105" t="str">
        <f t="shared" si="630"/>
        <v>Mill Creek</v>
      </c>
      <c r="M3873" s="105" t="str">
        <f t="shared" si="631"/>
        <v>Maintenance</v>
      </c>
      <c r="N3873" s="105" t="str">
        <f t="shared" si="632"/>
        <v>Coal</v>
      </c>
      <c r="O3873" s="105">
        <f>IFERROR(VLOOKUP(A3873,Lookup!$J$5:$P$19,7,FALSE),0)</f>
        <v>3</v>
      </c>
      <c r="P3873" s="159">
        <f t="shared" si="633"/>
        <v>2014</v>
      </c>
      <c r="Q3873" s="159">
        <f t="shared" si="634"/>
        <v>8</v>
      </c>
      <c r="R3873" s="160">
        <f t="shared" si="635"/>
        <v>28.300000000046566</v>
      </c>
      <c r="S3873" s="158">
        <f t="shared" si="636"/>
        <v>28.300000000046566</v>
      </c>
      <c r="T3873" s="161">
        <f t="shared" si="637"/>
        <v>11121.9000000183</v>
      </c>
      <c r="U3873" s="158">
        <f t="shared" si="639"/>
        <v>393</v>
      </c>
      <c r="V3873" s="160">
        <f t="shared" si="638"/>
        <v>393</v>
      </c>
    </row>
    <row r="3874" spans="1:22" x14ac:dyDescent="0.25">
      <c r="A3874" s="98" t="s">
        <v>29</v>
      </c>
      <c r="B3874" s="98" t="s">
        <v>79</v>
      </c>
      <c r="C3874" s="98">
        <v>118</v>
      </c>
      <c r="D3874" s="98">
        <v>1850</v>
      </c>
      <c r="E3874" s="157">
        <v>41860.077777777777</v>
      </c>
      <c r="F3874" s="157">
        <v>41860.454861111109</v>
      </c>
      <c r="G3874" s="98">
        <v>0</v>
      </c>
      <c r="H3874" s="98">
        <v>423</v>
      </c>
      <c r="I3874" s="98">
        <v>393</v>
      </c>
      <c r="J3874" s="98" t="s">
        <v>2263</v>
      </c>
      <c r="K3874" s="98" t="s">
        <v>86</v>
      </c>
      <c r="L3874" s="105" t="str">
        <f t="shared" si="630"/>
        <v>Mill Creek</v>
      </c>
      <c r="M3874" s="105" t="str">
        <f t="shared" si="631"/>
        <v>Other</v>
      </c>
      <c r="N3874" s="105" t="str">
        <f t="shared" si="632"/>
        <v>Coal</v>
      </c>
      <c r="O3874" s="105">
        <f>IFERROR(VLOOKUP(A3874,Lookup!$J$5:$P$19,7,FALSE),0)</f>
        <v>3</v>
      </c>
      <c r="P3874" s="159">
        <f t="shared" si="633"/>
        <v>2014</v>
      </c>
      <c r="Q3874" s="159">
        <f t="shared" si="634"/>
        <v>8</v>
      </c>
      <c r="R3874" s="160">
        <f t="shared" si="635"/>
        <v>9.0499999999883585</v>
      </c>
      <c r="S3874" s="158">
        <f t="shared" si="636"/>
        <v>9.0499999999883585</v>
      </c>
      <c r="T3874" s="161">
        <f t="shared" si="637"/>
        <v>3556.6499999954249</v>
      </c>
      <c r="U3874" s="158">
        <f t="shared" si="639"/>
        <v>393</v>
      </c>
      <c r="V3874" s="160">
        <f t="shared" si="638"/>
        <v>393</v>
      </c>
    </row>
    <row r="3875" spans="1:22" x14ac:dyDescent="0.25">
      <c r="A3875" s="98" t="s">
        <v>29</v>
      </c>
      <c r="B3875" s="98" t="s">
        <v>17</v>
      </c>
      <c r="C3875" s="98">
        <v>119</v>
      </c>
      <c r="D3875" s="98">
        <v>1850</v>
      </c>
      <c r="E3875" s="157">
        <v>41860.454861111109</v>
      </c>
      <c r="F3875" s="157">
        <v>41860.510416666664</v>
      </c>
      <c r="G3875" s="98">
        <v>385</v>
      </c>
      <c r="H3875" s="98">
        <v>423</v>
      </c>
      <c r="I3875" s="98">
        <v>393</v>
      </c>
      <c r="J3875" s="98" t="s">
        <v>2263</v>
      </c>
      <c r="K3875" s="98" t="s">
        <v>41</v>
      </c>
      <c r="L3875" s="105" t="str">
        <f t="shared" si="630"/>
        <v>Mill Creek</v>
      </c>
      <c r="M3875" s="105" t="str">
        <f t="shared" si="631"/>
        <v>Derate</v>
      </c>
      <c r="N3875" s="105" t="str">
        <f t="shared" si="632"/>
        <v>Coal</v>
      </c>
      <c r="O3875" s="105">
        <f>IFERROR(VLOOKUP(A3875,Lookup!$J$5:$P$19,7,FALSE),0)</f>
        <v>3</v>
      </c>
      <c r="P3875" s="159">
        <f t="shared" si="633"/>
        <v>2014</v>
      </c>
      <c r="Q3875" s="159">
        <f t="shared" si="634"/>
        <v>8</v>
      </c>
      <c r="R3875" s="160">
        <f t="shared" si="635"/>
        <v>1.3333333333139308</v>
      </c>
      <c r="S3875" s="158">
        <f t="shared" si="636"/>
        <v>0.119779353820164</v>
      </c>
      <c r="T3875" s="161">
        <f t="shared" si="637"/>
        <v>47.073286051324452</v>
      </c>
      <c r="U3875" s="158">
        <f t="shared" si="639"/>
        <v>35.304964539007095</v>
      </c>
      <c r="V3875" s="160">
        <f t="shared" si="638"/>
        <v>35</v>
      </c>
    </row>
    <row r="3876" spans="1:22" x14ac:dyDescent="0.25">
      <c r="A3876" s="98" t="s">
        <v>29</v>
      </c>
      <c r="B3876" s="98" t="s">
        <v>79</v>
      </c>
      <c r="C3876" s="98">
        <v>120</v>
      </c>
      <c r="D3876" s="98">
        <v>4490</v>
      </c>
      <c r="E3876" s="157">
        <v>41865.352083333331</v>
      </c>
      <c r="F3876" s="157">
        <v>41865.549305555556</v>
      </c>
      <c r="G3876" s="98">
        <v>0</v>
      </c>
      <c r="H3876" s="98">
        <v>423</v>
      </c>
      <c r="I3876" s="98">
        <v>393</v>
      </c>
      <c r="J3876" s="98" t="s">
        <v>2084</v>
      </c>
      <c r="K3876" s="98" t="s">
        <v>1356</v>
      </c>
      <c r="L3876" s="105" t="str">
        <f t="shared" si="630"/>
        <v>Mill Creek</v>
      </c>
      <c r="M3876" s="105" t="str">
        <f t="shared" si="631"/>
        <v>Other</v>
      </c>
      <c r="N3876" s="105" t="str">
        <f t="shared" si="632"/>
        <v>Coal</v>
      </c>
      <c r="O3876" s="105">
        <f>IFERROR(VLOOKUP(A3876,Lookup!$J$5:$P$19,7,FALSE),0)</f>
        <v>3</v>
      </c>
      <c r="P3876" s="159">
        <f t="shared" si="633"/>
        <v>2014</v>
      </c>
      <c r="Q3876" s="159">
        <f t="shared" si="634"/>
        <v>8</v>
      </c>
      <c r="R3876" s="160">
        <f t="shared" si="635"/>
        <v>4.7333333333954215</v>
      </c>
      <c r="S3876" s="158">
        <f t="shared" si="636"/>
        <v>4.7333333333954215</v>
      </c>
      <c r="T3876" s="161">
        <f t="shared" si="637"/>
        <v>1860.2000000244007</v>
      </c>
      <c r="U3876" s="158">
        <f t="shared" si="639"/>
        <v>393</v>
      </c>
      <c r="V3876" s="160">
        <f t="shared" si="638"/>
        <v>393</v>
      </c>
    </row>
    <row r="3877" spans="1:22" x14ac:dyDescent="0.25">
      <c r="A3877" s="98" t="s">
        <v>29</v>
      </c>
      <c r="B3877" s="98" t="s">
        <v>15</v>
      </c>
      <c r="C3877" s="98">
        <v>121</v>
      </c>
      <c r="D3877" s="98">
        <v>1400</v>
      </c>
      <c r="E3877" s="157">
        <v>41865.986805555556</v>
      </c>
      <c r="F3877" s="157">
        <v>41866.059027777781</v>
      </c>
      <c r="G3877" s="98">
        <v>0</v>
      </c>
      <c r="H3877" s="98">
        <v>423</v>
      </c>
      <c r="I3877" s="98">
        <v>393</v>
      </c>
      <c r="J3877" s="98" t="s">
        <v>2043</v>
      </c>
      <c r="K3877" s="98" t="s">
        <v>2816</v>
      </c>
      <c r="L3877" s="105" t="str">
        <f t="shared" ref="L3877:L3940" si="640">IF(OR(A3877="BR1",A3877="BR2",A3877="BR3",A3877="BR5",A3877="BR6",A3877="BR7",A3877="BR8",A3877="BR9",A3877="BR10",A3877="BR11"),"Brown",IF(OR(A3877="CR4",A3877="CR5",A3877="CR6",A3877="CR11"),"Cane Run",IF(OR(A3877="GH1",A3877="GH2",A3877="GH3",A3877="GH4"),"Ghent",IF(OR(A3877="GR3",A3877="GR4"),"Green River",IF(OR(A3877="MC1",A3877="MC2",A3877="MC3",A3877="MC4"),"Mill Creek",IF(OR(A3877="TC1",A3877="TC2",A3877="TC5",A3877="TC6",A3877="TC7",A3877="TC8",A3877="TC9",A3877="TC10"),"Trimble",IF(A3877="TY3","Tyrone",IF(OR(A3877="HA1",A3877="HA2",A3877="HA3"),"Haeflin",IF(OR(A3877="PR11",A3877="PR12",A3877="PR13"),"Paddy's Run","Zorn")))))))))</f>
        <v>Mill Creek</v>
      </c>
      <c r="M3877" s="105" t="str">
        <f t="shared" ref="M3877:M3940" si="641">IF(OR(B3877="D1",B3877="D2",B3877="D3",B3877="D4",B3877="PD"),"Derate",IF(OR(B3877="SF",B3877="U1",B3877="U2",B3877="U3"),"Outage",IF(OR(B3877="ME",B3877="MO"),"Maintenance","Other")))</f>
        <v>Outage</v>
      </c>
      <c r="N3877" s="105" t="str">
        <f t="shared" ref="N3877:N3940" si="642">IF(OR(A3877="BR1",A3877="BR2",A3877="BR3",A3877="CR4",A3877="CR5",A3877="CR6",A3877="GH1",A3877="GH2",A3877="GH3",A3877="GH4",A3877="GR3",A3877="GR4",A3877="MC1",A3877="MC2",A3877="MC3",A3877="MC4",A3877="TC1",A3877="TC2",A3877="TY3"),"Coal","Gas")</f>
        <v>Coal</v>
      </c>
      <c r="O3877" s="105">
        <f>IFERROR(VLOOKUP(A3877,Lookup!$J$5:$P$19,7,FALSE),0)</f>
        <v>3</v>
      </c>
      <c r="P3877" s="159">
        <f t="shared" ref="P3877:P3940" si="643">YEAR(E3877)</f>
        <v>2014</v>
      </c>
      <c r="Q3877" s="159">
        <f t="shared" ref="Q3877:Q3940" si="644">MONTH(E3877)</f>
        <v>8</v>
      </c>
      <c r="R3877" s="160">
        <f t="shared" ref="R3877:R3940" si="645">(F3877-E3877)*24</f>
        <v>1.7333333333954215</v>
      </c>
      <c r="S3877" s="158">
        <f t="shared" ref="S3877:S3940" si="646">R3877*(H3877-G3877)/H3877</f>
        <v>1.7333333333954215</v>
      </c>
      <c r="T3877" s="161">
        <f t="shared" ref="T3877:T3940" si="647">S3877*I3877</f>
        <v>681.20000002440065</v>
      </c>
      <c r="U3877" s="158">
        <f t="shared" si="639"/>
        <v>393</v>
      </c>
      <c r="V3877" s="160">
        <f t="shared" ref="V3877:V3940" si="648">ROUND(U3877,0)</f>
        <v>393</v>
      </c>
    </row>
    <row r="3878" spans="1:22" x14ac:dyDescent="0.25">
      <c r="A3878" s="98" t="s">
        <v>29</v>
      </c>
      <c r="B3878" s="98" t="s">
        <v>79</v>
      </c>
      <c r="C3878" s="98">
        <v>122</v>
      </c>
      <c r="D3878" s="98">
        <v>1850</v>
      </c>
      <c r="E3878" s="157">
        <v>41866.059027777781</v>
      </c>
      <c r="F3878" s="157">
        <v>41866.272222222222</v>
      </c>
      <c r="G3878" s="98">
        <v>0</v>
      </c>
      <c r="H3878" s="98">
        <v>423</v>
      </c>
      <c r="I3878" s="98">
        <v>393</v>
      </c>
      <c r="J3878" s="98" t="s">
        <v>2263</v>
      </c>
      <c r="K3878" s="98" t="s">
        <v>87</v>
      </c>
      <c r="L3878" s="105" t="str">
        <f t="shared" si="640"/>
        <v>Mill Creek</v>
      </c>
      <c r="M3878" s="105" t="str">
        <f t="shared" si="641"/>
        <v>Other</v>
      </c>
      <c r="N3878" s="105" t="str">
        <f t="shared" si="642"/>
        <v>Coal</v>
      </c>
      <c r="O3878" s="105">
        <f>IFERROR(VLOOKUP(A3878,Lookup!$J$5:$P$19,7,FALSE),0)</f>
        <v>3</v>
      </c>
      <c r="P3878" s="159">
        <f t="shared" si="643"/>
        <v>2014</v>
      </c>
      <c r="Q3878" s="159">
        <f t="shared" si="644"/>
        <v>8</v>
      </c>
      <c r="R3878" s="160">
        <f t="shared" si="645"/>
        <v>5.1166666665812954</v>
      </c>
      <c r="S3878" s="158">
        <f t="shared" si="646"/>
        <v>5.1166666665812954</v>
      </c>
      <c r="T3878" s="161">
        <f t="shared" si="647"/>
        <v>2010.8499999664491</v>
      </c>
      <c r="U3878" s="158">
        <f t="shared" ref="U3878:U3941" si="649">IF(G3878&gt;0,MAX((H3878-G3878),0)*I3878/H3878,I3878)</f>
        <v>393</v>
      </c>
      <c r="V3878" s="160">
        <f t="shared" si="648"/>
        <v>393</v>
      </c>
    </row>
    <row r="3879" spans="1:22" x14ac:dyDescent="0.25">
      <c r="A3879" s="98" t="s">
        <v>29</v>
      </c>
      <c r="B3879" s="98" t="s">
        <v>17</v>
      </c>
      <c r="C3879" s="98">
        <v>123</v>
      </c>
      <c r="D3879" s="98">
        <v>250</v>
      </c>
      <c r="E3879" s="157">
        <v>41870.401388888888</v>
      </c>
      <c r="F3879" s="157">
        <v>41870.461111111108</v>
      </c>
      <c r="G3879" s="98">
        <v>320</v>
      </c>
      <c r="H3879" s="98">
        <v>423</v>
      </c>
      <c r="I3879" s="98">
        <v>393</v>
      </c>
      <c r="J3879" s="98" t="s">
        <v>1978</v>
      </c>
      <c r="K3879" s="98" t="s">
        <v>244</v>
      </c>
      <c r="L3879" s="105" t="str">
        <f t="shared" si="640"/>
        <v>Mill Creek</v>
      </c>
      <c r="M3879" s="105" t="str">
        <f t="shared" si="641"/>
        <v>Derate</v>
      </c>
      <c r="N3879" s="105" t="str">
        <f t="shared" si="642"/>
        <v>Coal</v>
      </c>
      <c r="O3879" s="105">
        <f>IFERROR(VLOOKUP(A3879,Lookup!$J$5:$P$19,7,FALSE),0)</f>
        <v>3</v>
      </c>
      <c r="P3879" s="159">
        <f t="shared" si="643"/>
        <v>2014</v>
      </c>
      <c r="Q3879" s="159">
        <f t="shared" si="644"/>
        <v>8</v>
      </c>
      <c r="R3879" s="160">
        <f t="shared" si="645"/>
        <v>1.4333333332906477</v>
      </c>
      <c r="S3879" s="158">
        <f t="shared" si="646"/>
        <v>0.34901497240883383</v>
      </c>
      <c r="T3879" s="161">
        <f t="shared" si="647"/>
        <v>137.16288415667171</v>
      </c>
      <c r="U3879" s="158">
        <f t="shared" si="649"/>
        <v>95.695035460992912</v>
      </c>
      <c r="V3879" s="160">
        <f t="shared" si="648"/>
        <v>96</v>
      </c>
    </row>
    <row r="3880" spans="1:22" x14ac:dyDescent="0.25">
      <c r="A3880" s="98" t="s">
        <v>29</v>
      </c>
      <c r="B3880" s="98" t="s">
        <v>17</v>
      </c>
      <c r="C3880" s="98">
        <v>124</v>
      </c>
      <c r="D3880" s="98">
        <v>360</v>
      </c>
      <c r="E3880" s="157">
        <v>41876.75277777778</v>
      </c>
      <c r="F3880" s="157">
        <v>41876.883333333331</v>
      </c>
      <c r="G3880" s="98">
        <v>320</v>
      </c>
      <c r="H3880" s="98">
        <v>423</v>
      </c>
      <c r="I3880" s="98">
        <v>393</v>
      </c>
      <c r="J3880" s="98" t="s">
        <v>229</v>
      </c>
      <c r="K3880" s="98" t="s">
        <v>1620</v>
      </c>
      <c r="L3880" s="105" t="str">
        <f t="shared" si="640"/>
        <v>Mill Creek</v>
      </c>
      <c r="M3880" s="105" t="str">
        <f t="shared" si="641"/>
        <v>Derate</v>
      </c>
      <c r="N3880" s="105" t="str">
        <f t="shared" si="642"/>
        <v>Coal</v>
      </c>
      <c r="O3880" s="105">
        <f>IFERROR(VLOOKUP(A3880,Lookup!$J$5:$P$19,7,FALSE),0)</f>
        <v>3</v>
      </c>
      <c r="P3880" s="159">
        <f t="shared" si="643"/>
        <v>2014</v>
      </c>
      <c r="Q3880" s="159">
        <f t="shared" si="644"/>
        <v>8</v>
      </c>
      <c r="R3880" s="160">
        <f t="shared" si="645"/>
        <v>3.1333333332440816</v>
      </c>
      <c r="S3880" s="158">
        <f t="shared" si="646"/>
        <v>0.76296296294123023</v>
      </c>
      <c r="T3880" s="161">
        <f t="shared" si="647"/>
        <v>299.84444443590348</v>
      </c>
      <c r="U3880" s="158">
        <f t="shared" si="649"/>
        <v>95.695035460992912</v>
      </c>
      <c r="V3880" s="160">
        <f t="shared" si="648"/>
        <v>96</v>
      </c>
    </row>
    <row r="3881" spans="1:22" x14ac:dyDescent="0.25">
      <c r="A3881" s="98" t="s">
        <v>29</v>
      </c>
      <c r="B3881" s="98" t="s">
        <v>105</v>
      </c>
      <c r="C3881" s="98">
        <v>125</v>
      </c>
      <c r="D3881" s="98">
        <v>310</v>
      </c>
      <c r="E3881" s="157">
        <v>41876.89166666667</v>
      </c>
      <c r="F3881" s="157">
        <v>41877.26666666667</v>
      </c>
      <c r="G3881" s="98">
        <v>340</v>
      </c>
      <c r="H3881" s="98">
        <v>423</v>
      </c>
      <c r="I3881" s="98">
        <v>393</v>
      </c>
      <c r="J3881" s="98" t="s">
        <v>1966</v>
      </c>
      <c r="K3881" s="98" t="s">
        <v>2817</v>
      </c>
      <c r="L3881" s="105" t="str">
        <f t="shared" si="640"/>
        <v>Mill Creek</v>
      </c>
      <c r="M3881" s="105" t="str">
        <f t="shared" si="641"/>
        <v>Derate</v>
      </c>
      <c r="N3881" s="105" t="str">
        <f t="shared" si="642"/>
        <v>Coal</v>
      </c>
      <c r="O3881" s="105">
        <f>IFERROR(VLOOKUP(A3881,Lookup!$J$5:$P$19,7,FALSE),0)</f>
        <v>3</v>
      </c>
      <c r="P3881" s="159">
        <f t="shared" si="643"/>
        <v>2014</v>
      </c>
      <c r="Q3881" s="159">
        <f t="shared" si="644"/>
        <v>8</v>
      </c>
      <c r="R3881" s="160">
        <f t="shared" si="645"/>
        <v>9</v>
      </c>
      <c r="S3881" s="158">
        <f t="shared" si="646"/>
        <v>1.7659574468085106</v>
      </c>
      <c r="T3881" s="161">
        <f t="shared" si="647"/>
        <v>694.02127659574467</v>
      </c>
      <c r="U3881" s="158">
        <f t="shared" si="649"/>
        <v>77.113475177304963</v>
      </c>
      <c r="V3881" s="160">
        <f t="shared" si="648"/>
        <v>77</v>
      </c>
    </row>
    <row r="3882" spans="1:22" x14ac:dyDescent="0.25">
      <c r="A3882" s="98" t="s">
        <v>29</v>
      </c>
      <c r="B3882" s="98" t="s">
        <v>17</v>
      </c>
      <c r="C3882" s="98">
        <v>126</v>
      </c>
      <c r="D3882" s="98">
        <v>9620</v>
      </c>
      <c r="E3882" s="157">
        <v>41877.756249999999</v>
      </c>
      <c r="F3882" s="157">
        <v>41877.772916666669</v>
      </c>
      <c r="G3882" s="98">
        <v>385</v>
      </c>
      <c r="H3882" s="98">
        <v>423</v>
      </c>
      <c r="I3882" s="98">
        <v>393</v>
      </c>
      <c r="J3882" s="98" t="s">
        <v>2029</v>
      </c>
      <c r="K3882" s="98" t="s">
        <v>2818</v>
      </c>
      <c r="L3882" s="105" t="str">
        <f t="shared" si="640"/>
        <v>Mill Creek</v>
      </c>
      <c r="M3882" s="105" t="str">
        <f t="shared" si="641"/>
        <v>Derate</v>
      </c>
      <c r="N3882" s="105" t="str">
        <f t="shared" si="642"/>
        <v>Coal</v>
      </c>
      <c r="O3882" s="105">
        <f>IFERROR(VLOOKUP(A3882,Lookup!$J$5:$P$19,7,FALSE),0)</f>
        <v>3</v>
      </c>
      <c r="P3882" s="159">
        <f t="shared" si="643"/>
        <v>2014</v>
      </c>
      <c r="Q3882" s="159">
        <f t="shared" si="644"/>
        <v>8</v>
      </c>
      <c r="R3882" s="160">
        <f t="shared" si="645"/>
        <v>0.40000000008149073</v>
      </c>
      <c r="S3882" s="158">
        <f t="shared" si="646"/>
        <v>3.5933806153892786E-2</v>
      </c>
      <c r="T3882" s="161">
        <f t="shared" si="647"/>
        <v>14.121985818479866</v>
      </c>
      <c r="U3882" s="158">
        <f t="shared" si="649"/>
        <v>35.304964539007095</v>
      </c>
      <c r="V3882" s="160">
        <f t="shared" si="648"/>
        <v>35</v>
      </c>
    </row>
    <row r="3883" spans="1:22" x14ac:dyDescent="0.25">
      <c r="A3883" s="98" t="s">
        <v>29</v>
      </c>
      <c r="B3883" s="98" t="s">
        <v>17</v>
      </c>
      <c r="C3883" s="98">
        <v>127</v>
      </c>
      <c r="D3883" s="98">
        <v>9620</v>
      </c>
      <c r="E3883" s="157">
        <v>41877.772916666669</v>
      </c>
      <c r="F3883" s="157">
        <v>41877.802083333336</v>
      </c>
      <c r="G3883" s="98">
        <v>330</v>
      </c>
      <c r="H3883" s="98">
        <v>423</v>
      </c>
      <c r="I3883" s="98">
        <v>393</v>
      </c>
      <c r="J3883" s="98" t="s">
        <v>2029</v>
      </c>
      <c r="K3883" s="98" t="s">
        <v>2818</v>
      </c>
      <c r="L3883" s="105" t="str">
        <f t="shared" si="640"/>
        <v>Mill Creek</v>
      </c>
      <c r="M3883" s="105" t="str">
        <f t="shared" si="641"/>
        <v>Derate</v>
      </c>
      <c r="N3883" s="105" t="str">
        <f t="shared" si="642"/>
        <v>Coal</v>
      </c>
      <c r="O3883" s="105">
        <f>IFERROR(VLOOKUP(A3883,Lookup!$J$5:$P$19,7,FALSE),0)</f>
        <v>3</v>
      </c>
      <c r="P3883" s="159">
        <f t="shared" si="643"/>
        <v>2014</v>
      </c>
      <c r="Q3883" s="159">
        <f t="shared" si="644"/>
        <v>8</v>
      </c>
      <c r="R3883" s="160">
        <f t="shared" si="645"/>
        <v>0.70000000001164153</v>
      </c>
      <c r="S3883" s="158">
        <f t="shared" si="646"/>
        <v>0.15390070922241764</v>
      </c>
      <c r="T3883" s="161">
        <f t="shared" si="647"/>
        <v>60.482978724410131</v>
      </c>
      <c r="U3883" s="158">
        <f t="shared" si="649"/>
        <v>86.40425531914893</v>
      </c>
      <c r="V3883" s="160">
        <f t="shared" si="648"/>
        <v>86</v>
      </c>
    </row>
    <row r="3884" spans="1:22" x14ac:dyDescent="0.25">
      <c r="A3884" s="98" t="s">
        <v>29</v>
      </c>
      <c r="B3884" s="98" t="s">
        <v>17</v>
      </c>
      <c r="C3884" s="98">
        <v>128</v>
      </c>
      <c r="D3884" s="98">
        <v>9620</v>
      </c>
      <c r="E3884" s="157">
        <v>41877.802083333336</v>
      </c>
      <c r="F3884" s="157">
        <v>41877.840277777781</v>
      </c>
      <c r="G3884" s="98">
        <v>285</v>
      </c>
      <c r="H3884" s="98">
        <v>423</v>
      </c>
      <c r="I3884" s="98">
        <v>393</v>
      </c>
      <c r="J3884" s="98" t="s">
        <v>2029</v>
      </c>
      <c r="K3884" s="98" t="s">
        <v>2818</v>
      </c>
      <c r="L3884" s="105" t="str">
        <f t="shared" si="640"/>
        <v>Mill Creek</v>
      </c>
      <c r="M3884" s="105" t="str">
        <f t="shared" si="641"/>
        <v>Derate</v>
      </c>
      <c r="N3884" s="105" t="str">
        <f t="shared" si="642"/>
        <v>Coal</v>
      </c>
      <c r="O3884" s="105">
        <f>IFERROR(VLOOKUP(A3884,Lookup!$J$5:$P$19,7,FALSE),0)</f>
        <v>3</v>
      </c>
      <c r="P3884" s="159">
        <f t="shared" si="643"/>
        <v>2014</v>
      </c>
      <c r="Q3884" s="159">
        <f t="shared" si="644"/>
        <v>8</v>
      </c>
      <c r="R3884" s="160">
        <f t="shared" si="645"/>
        <v>0.91666666668606922</v>
      </c>
      <c r="S3884" s="158">
        <f t="shared" si="646"/>
        <v>0.29905437352878855</v>
      </c>
      <c r="T3884" s="161">
        <f t="shared" si="647"/>
        <v>117.52836879681391</v>
      </c>
      <c r="U3884" s="158">
        <f t="shared" si="649"/>
        <v>128.21276595744681</v>
      </c>
      <c r="V3884" s="160">
        <f t="shared" si="648"/>
        <v>128</v>
      </c>
    </row>
    <row r="3885" spans="1:22" x14ac:dyDescent="0.25">
      <c r="A3885" s="98" t="s">
        <v>29</v>
      </c>
      <c r="B3885" s="98" t="s">
        <v>105</v>
      </c>
      <c r="C3885" s="98">
        <v>129</v>
      </c>
      <c r="D3885" s="98">
        <v>310</v>
      </c>
      <c r="E3885" s="157">
        <v>41877.958333333336</v>
      </c>
      <c r="F3885" s="157">
        <v>41878.101388888892</v>
      </c>
      <c r="G3885" s="98">
        <v>320</v>
      </c>
      <c r="H3885" s="98">
        <v>423</v>
      </c>
      <c r="I3885" s="98">
        <v>393</v>
      </c>
      <c r="J3885" s="98" t="s">
        <v>1966</v>
      </c>
      <c r="K3885" s="98" t="s">
        <v>2819</v>
      </c>
      <c r="L3885" s="105" t="str">
        <f t="shared" si="640"/>
        <v>Mill Creek</v>
      </c>
      <c r="M3885" s="105" t="str">
        <f t="shared" si="641"/>
        <v>Derate</v>
      </c>
      <c r="N3885" s="105" t="str">
        <f t="shared" si="642"/>
        <v>Coal</v>
      </c>
      <c r="O3885" s="105">
        <f>IFERROR(VLOOKUP(A3885,Lookup!$J$5:$P$19,7,FALSE),0)</f>
        <v>3</v>
      </c>
      <c r="P3885" s="159">
        <f t="shared" si="643"/>
        <v>2014</v>
      </c>
      <c r="Q3885" s="159">
        <f t="shared" si="644"/>
        <v>8</v>
      </c>
      <c r="R3885" s="160">
        <f t="shared" si="645"/>
        <v>3.4333333333488554</v>
      </c>
      <c r="S3885" s="158">
        <f t="shared" si="646"/>
        <v>0.83601260835681346</v>
      </c>
      <c r="T3885" s="161">
        <f t="shared" si="647"/>
        <v>328.55295508422768</v>
      </c>
      <c r="U3885" s="158">
        <f t="shared" si="649"/>
        <v>95.695035460992912</v>
      </c>
      <c r="V3885" s="160">
        <f t="shared" si="648"/>
        <v>96</v>
      </c>
    </row>
    <row r="3886" spans="1:22" x14ac:dyDescent="0.25">
      <c r="A3886" s="98" t="s">
        <v>29</v>
      </c>
      <c r="B3886" s="98" t="s">
        <v>105</v>
      </c>
      <c r="C3886" s="98">
        <v>130</v>
      </c>
      <c r="D3886" s="98">
        <v>310</v>
      </c>
      <c r="E3886" s="157">
        <v>41892.000694444447</v>
      </c>
      <c r="F3886" s="157">
        <v>41892.189583333333</v>
      </c>
      <c r="G3886" s="98">
        <v>340</v>
      </c>
      <c r="H3886" s="98">
        <v>423</v>
      </c>
      <c r="I3886" s="98">
        <v>393</v>
      </c>
      <c r="J3886" s="98" t="s">
        <v>1966</v>
      </c>
      <c r="K3886" s="98" t="s">
        <v>2820</v>
      </c>
      <c r="L3886" s="105" t="str">
        <f t="shared" si="640"/>
        <v>Mill Creek</v>
      </c>
      <c r="M3886" s="105" t="str">
        <f t="shared" si="641"/>
        <v>Derate</v>
      </c>
      <c r="N3886" s="105" t="str">
        <f t="shared" si="642"/>
        <v>Coal</v>
      </c>
      <c r="O3886" s="105">
        <f>IFERROR(VLOOKUP(A3886,Lookup!$J$5:$P$19,7,FALSE),0)</f>
        <v>3</v>
      </c>
      <c r="P3886" s="159">
        <f t="shared" si="643"/>
        <v>2014</v>
      </c>
      <c r="Q3886" s="159">
        <f t="shared" si="644"/>
        <v>9</v>
      </c>
      <c r="R3886" s="160">
        <f t="shared" si="645"/>
        <v>4.5333333332673647</v>
      </c>
      <c r="S3886" s="158">
        <f t="shared" si="646"/>
        <v>0.88951930652763889</v>
      </c>
      <c r="T3886" s="161">
        <f t="shared" si="647"/>
        <v>349.58108746536209</v>
      </c>
      <c r="U3886" s="158">
        <f t="shared" si="649"/>
        <v>77.113475177304963</v>
      </c>
      <c r="V3886" s="160">
        <f t="shared" si="648"/>
        <v>77</v>
      </c>
    </row>
    <row r="3887" spans="1:22" x14ac:dyDescent="0.25">
      <c r="A3887" s="98" t="s">
        <v>29</v>
      </c>
      <c r="B3887" s="98" t="s">
        <v>105</v>
      </c>
      <c r="C3887" s="98">
        <v>131</v>
      </c>
      <c r="D3887" s="98">
        <v>8125</v>
      </c>
      <c r="E3887" s="157">
        <v>41894.958333333336</v>
      </c>
      <c r="F3887" s="157">
        <v>41895.136111111111</v>
      </c>
      <c r="G3887" s="98">
        <v>300</v>
      </c>
      <c r="H3887" s="98">
        <v>423</v>
      </c>
      <c r="I3887" s="98">
        <v>393</v>
      </c>
      <c r="J3887" s="98" t="s">
        <v>2267</v>
      </c>
      <c r="K3887" s="98" t="s">
        <v>676</v>
      </c>
      <c r="L3887" s="105" t="str">
        <f t="shared" si="640"/>
        <v>Mill Creek</v>
      </c>
      <c r="M3887" s="105" t="str">
        <f t="shared" si="641"/>
        <v>Derate</v>
      </c>
      <c r="N3887" s="105" t="str">
        <f t="shared" si="642"/>
        <v>Coal</v>
      </c>
      <c r="O3887" s="105">
        <f>IFERROR(VLOOKUP(A3887,Lookup!$J$5:$P$19,7,FALSE),0)</f>
        <v>3</v>
      </c>
      <c r="P3887" s="159">
        <f t="shared" si="643"/>
        <v>2014</v>
      </c>
      <c r="Q3887" s="159">
        <f t="shared" si="644"/>
        <v>9</v>
      </c>
      <c r="R3887" s="160">
        <f t="shared" si="645"/>
        <v>4.2666666666045785</v>
      </c>
      <c r="S3887" s="158">
        <f t="shared" si="646"/>
        <v>1.240661938516225</v>
      </c>
      <c r="T3887" s="161">
        <f t="shared" si="647"/>
        <v>487.58014183687641</v>
      </c>
      <c r="U3887" s="158">
        <f t="shared" si="649"/>
        <v>114.27659574468085</v>
      </c>
      <c r="V3887" s="160">
        <f t="shared" si="648"/>
        <v>114</v>
      </c>
    </row>
    <row r="3888" spans="1:22" x14ac:dyDescent="0.25">
      <c r="A3888" s="98" t="s">
        <v>29</v>
      </c>
      <c r="B3888" s="98" t="s">
        <v>79</v>
      </c>
      <c r="C3888" s="98">
        <v>132</v>
      </c>
      <c r="D3888" s="98">
        <v>8460</v>
      </c>
      <c r="E3888" s="157">
        <v>41898.333333333336</v>
      </c>
      <c r="F3888" s="157">
        <v>41898.583333333336</v>
      </c>
      <c r="G3888" s="98">
        <v>0</v>
      </c>
      <c r="H3888" s="98">
        <v>423</v>
      </c>
      <c r="I3888" s="98">
        <v>393</v>
      </c>
      <c r="J3888" s="98" t="s">
        <v>2651</v>
      </c>
      <c r="K3888" s="98" t="s">
        <v>1443</v>
      </c>
      <c r="L3888" s="105" t="str">
        <f t="shared" si="640"/>
        <v>Mill Creek</v>
      </c>
      <c r="M3888" s="105" t="str">
        <f t="shared" si="641"/>
        <v>Other</v>
      </c>
      <c r="N3888" s="105" t="str">
        <f t="shared" si="642"/>
        <v>Coal</v>
      </c>
      <c r="O3888" s="105">
        <f>IFERROR(VLOOKUP(A3888,Lookup!$J$5:$P$19,7,FALSE),0)</f>
        <v>3</v>
      </c>
      <c r="P3888" s="159">
        <f t="shared" si="643"/>
        <v>2014</v>
      </c>
      <c r="Q3888" s="159">
        <f t="shared" si="644"/>
        <v>9</v>
      </c>
      <c r="R3888" s="160">
        <f t="shared" si="645"/>
        <v>6</v>
      </c>
      <c r="S3888" s="158">
        <f t="shared" si="646"/>
        <v>6</v>
      </c>
      <c r="T3888" s="161">
        <f t="shared" si="647"/>
        <v>2358</v>
      </c>
      <c r="U3888" s="158">
        <f t="shared" si="649"/>
        <v>393</v>
      </c>
      <c r="V3888" s="160">
        <f t="shared" si="648"/>
        <v>393</v>
      </c>
    </row>
    <row r="3889" spans="1:22" x14ac:dyDescent="0.25">
      <c r="A3889" s="98" t="s">
        <v>29</v>
      </c>
      <c r="B3889" s="98" t="s">
        <v>79</v>
      </c>
      <c r="C3889" s="98">
        <v>133</v>
      </c>
      <c r="D3889" s="98">
        <v>8460</v>
      </c>
      <c r="E3889" s="157">
        <v>41898.916666666664</v>
      </c>
      <c r="F3889" s="157">
        <v>41899.041666666664</v>
      </c>
      <c r="G3889" s="98">
        <v>0</v>
      </c>
      <c r="H3889" s="98">
        <v>423</v>
      </c>
      <c r="I3889" s="98">
        <v>393</v>
      </c>
      <c r="J3889" s="98" t="s">
        <v>2651</v>
      </c>
      <c r="K3889" s="98" t="s">
        <v>2821</v>
      </c>
      <c r="L3889" s="105" t="str">
        <f t="shared" si="640"/>
        <v>Mill Creek</v>
      </c>
      <c r="M3889" s="105" t="str">
        <f t="shared" si="641"/>
        <v>Other</v>
      </c>
      <c r="N3889" s="105" t="str">
        <f t="shared" si="642"/>
        <v>Coal</v>
      </c>
      <c r="O3889" s="105">
        <f>IFERROR(VLOOKUP(A3889,Lookup!$J$5:$P$19,7,FALSE),0)</f>
        <v>3</v>
      </c>
      <c r="P3889" s="159">
        <f t="shared" si="643"/>
        <v>2014</v>
      </c>
      <c r="Q3889" s="159">
        <f t="shared" si="644"/>
        <v>9</v>
      </c>
      <c r="R3889" s="160">
        <f t="shared" si="645"/>
        <v>3</v>
      </c>
      <c r="S3889" s="158">
        <f t="shared" si="646"/>
        <v>3</v>
      </c>
      <c r="T3889" s="161">
        <f t="shared" si="647"/>
        <v>1179</v>
      </c>
      <c r="U3889" s="158">
        <f t="shared" si="649"/>
        <v>393</v>
      </c>
      <c r="V3889" s="160">
        <f t="shared" si="648"/>
        <v>393</v>
      </c>
    </row>
    <row r="3890" spans="1:22" x14ac:dyDescent="0.25">
      <c r="A3890" s="98" t="s">
        <v>29</v>
      </c>
      <c r="B3890" s="98" t="s">
        <v>79</v>
      </c>
      <c r="C3890" s="98">
        <v>134</v>
      </c>
      <c r="D3890" s="98">
        <v>8460</v>
      </c>
      <c r="E3890" s="157">
        <v>41899.333333333336</v>
      </c>
      <c r="F3890" s="157">
        <v>41899.797222222223</v>
      </c>
      <c r="G3890" s="98">
        <v>0</v>
      </c>
      <c r="H3890" s="98">
        <v>423</v>
      </c>
      <c r="I3890" s="98">
        <v>393</v>
      </c>
      <c r="J3890" s="98" t="s">
        <v>2651</v>
      </c>
      <c r="K3890" s="98" t="s">
        <v>1443</v>
      </c>
      <c r="L3890" s="105" t="str">
        <f t="shared" si="640"/>
        <v>Mill Creek</v>
      </c>
      <c r="M3890" s="105" t="str">
        <f t="shared" si="641"/>
        <v>Other</v>
      </c>
      <c r="N3890" s="105" t="str">
        <f t="shared" si="642"/>
        <v>Coal</v>
      </c>
      <c r="O3890" s="105">
        <f>IFERROR(VLOOKUP(A3890,Lookup!$J$5:$P$19,7,FALSE),0)</f>
        <v>3</v>
      </c>
      <c r="P3890" s="159">
        <f t="shared" si="643"/>
        <v>2014</v>
      </c>
      <c r="Q3890" s="159">
        <f t="shared" si="644"/>
        <v>9</v>
      </c>
      <c r="R3890" s="160">
        <f t="shared" si="645"/>
        <v>11.133333333302289</v>
      </c>
      <c r="S3890" s="158">
        <f t="shared" si="646"/>
        <v>11.133333333302289</v>
      </c>
      <c r="T3890" s="161">
        <f t="shared" si="647"/>
        <v>4375.3999999877997</v>
      </c>
      <c r="U3890" s="158">
        <f t="shared" si="649"/>
        <v>393</v>
      </c>
      <c r="V3890" s="160">
        <f t="shared" si="648"/>
        <v>393</v>
      </c>
    </row>
    <row r="3891" spans="1:22" x14ac:dyDescent="0.25">
      <c r="A3891" s="98" t="s">
        <v>29</v>
      </c>
      <c r="B3891" s="98" t="s">
        <v>17</v>
      </c>
      <c r="C3891" s="98">
        <v>135</v>
      </c>
      <c r="D3891" s="98">
        <v>8125</v>
      </c>
      <c r="E3891" s="157">
        <v>41904.978472222225</v>
      </c>
      <c r="F3891" s="157">
        <v>41905.010416666664</v>
      </c>
      <c r="G3891" s="98">
        <v>300</v>
      </c>
      <c r="H3891" s="98">
        <v>423</v>
      </c>
      <c r="I3891" s="98">
        <v>393</v>
      </c>
      <c r="J3891" s="98" t="s">
        <v>2267</v>
      </c>
      <c r="K3891" s="98" t="s">
        <v>680</v>
      </c>
      <c r="L3891" s="105" t="str">
        <f t="shared" si="640"/>
        <v>Mill Creek</v>
      </c>
      <c r="M3891" s="105" t="str">
        <f t="shared" si="641"/>
        <v>Derate</v>
      </c>
      <c r="N3891" s="105" t="str">
        <f t="shared" si="642"/>
        <v>Coal</v>
      </c>
      <c r="O3891" s="105">
        <f>IFERROR(VLOOKUP(A3891,Lookup!$J$5:$P$19,7,FALSE),0)</f>
        <v>3</v>
      </c>
      <c r="P3891" s="159">
        <f t="shared" si="643"/>
        <v>2014</v>
      </c>
      <c r="Q3891" s="159">
        <f t="shared" si="644"/>
        <v>9</v>
      </c>
      <c r="R3891" s="160">
        <f t="shared" si="645"/>
        <v>0.76666666654637083</v>
      </c>
      <c r="S3891" s="158">
        <f t="shared" si="646"/>
        <v>0.22293144204539861</v>
      </c>
      <c r="T3891" s="161">
        <f t="shared" si="647"/>
        <v>87.612056723841647</v>
      </c>
      <c r="U3891" s="158">
        <f t="shared" si="649"/>
        <v>114.27659574468085</v>
      </c>
      <c r="V3891" s="160">
        <f t="shared" si="648"/>
        <v>114</v>
      </c>
    </row>
    <row r="3892" spans="1:22" x14ac:dyDescent="0.25">
      <c r="A3892" s="98" t="s">
        <v>29</v>
      </c>
      <c r="B3892" s="98" t="s">
        <v>105</v>
      </c>
      <c r="C3892" s="98">
        <v>136</v>
      </c>
      <c r="D3892" s="98">
        <v>8125</v>
      </c>
      <c r="E3892" s="157">
        <v>41905.958333333336</v>
      </c>
      <c r="F3892" s="157">
        <v>41906</v>
      </c>
      <c r="G3892" s="98">
        <v>330</v>
      </c>
      <c r="H3892" s="98">
        <v>423</v>
      </c>
      <c r="I3892" s="98">
        <v>393</v>
      </c>
      <c r="J3892" s="98" t="s">
        <v>2267</v>
      </c>
      <c r="K3892" s="98" t="s">
        <v>676</v>
      </c>
      <c r="L3892" s="105" t="str">
        <f t="shared" si="640"/>
        <v>Mill Creek</v>
      </c>
      <c r="M3892" s="105" t="str">
        <f t="shared" si="641"/>
        <v>Derate</v>
      </c>
      <c r="N3892" s="105" t="str">
        <f t="shared" si="642"/>
        <v>Coal</v>
      </c>
      <c r="O3892" s="105">
        <f>IFERROR(VLOOKUP(A3892,Lookup!$J$5:$P$19,7,FALSE),0)</f>
        <v>3</v>
      </c>
      <c r="P3892" s="159">
        <f t="shared" si="643"/>
        <v>2014</v>
      </c>
      <c r="Q3892" s="159">
        <f t="shared" si="644"/>
        <v>9</v>
      </c>
      <c r="R3892" s="160">
        <f t="shared" si="645"/>
        <v>0.99999999994179234</v>
      </c>
      <c r="S3892" s="158">
        <f t="shared" si="646"/>
        <v>0.21985815601557138</v>
      </c>
      <c r="T3892" s="161">
        <f t="shared" si="647"/>
        <v>86.404255314119553</v>
      </c>
      <c r="U3892" s="158">
        <f t="shared" si="649"/>
        <v>86.40425531914893</v>
      </c>
      <c r="V3892" s="160">
        <f t="shared" si="648"/>
        <v>86</v>
      </c>
    </row>
    <row r="3893" spans="1:22" x14ac:dyDescent="0.25">
      <c r="A3893" s="98" t="s">
        <v>29</v>
      </c>
      <c r="B3893" s="98" t="s">
        <v>17</v>
      </c>
      <c r="C3893" s="98">
        <v>137</v>
      </c>
      <c r="D3893" s="98">
        <v>310</v>
      </c>
      <c r="E3893" s="157">
        <v>41910.563888888886</v>
      </c>
      <c r="F3893" s="157">
        <v>41910.595833333333</v>
      </c>
      <c r="G3893" s="98">
        <v>320</v>
      </c>
      <c r="H3893" s="98">
        <v>423</v>
      </c>
      <c r="I3893" s="98">
        <v>393</v>
      </c>
      <c r="J3893" s="98" t="s">
        <v>1966</v>
      </c>
      <c r="K3893" s="98" t="s">
        <v>2822</v>
      </c>
      <c r="L3893" s="105" t="str">
        <f t="shared" si="640"/>
        <v>Mill Creek</v>
      </c>
      <c r="M3893" s="105" t="str">
        <f t="shared" si="641"/>
        <v>Derate</v>
      </c>
      <c r="N3893" s="105" t="str">
        <f t="shared" si="642"/>
        <v>Coal</v>
      </c>
      <c r="O3893" s="105">
        <f>IFERROR(VLOOKUP(A3893,Lookup!$J$5:$P$19,7,FALSE),0)</f>
        <v>3</v>
      </c>
      <c r="P3893" s="159">
        <f t="shared" si="643"/>
        <v>2014</v>
      </c>
      <c r="Q3893" s="159">
        <f t="shared" si="644"/>
        <v>9</v>
      </c>
      <c r="R3893" s="160">
        <f t="shared" si="645"/>
        <v>0.76666666672099382</v>
      </c>
      <c r="S3893" s="158">
        <f t="shared" si="646"/>
        <v>0.18668242712118763</v>
      </c>
      <c r="T3893" s="161">
        <f t="shared" si="647"/>
        <v>73.366193858626744</v>
      </c>
      <c r="U3893" s="158">
        <f t="shared" si="649"/>
        <v>95.695035460992912</v>
      </c>
      <c r="V3893" s="160">
        <f t="shared" si="648"/>
        <v>96</v>
      </c>
    </row>
    <row r="3894" spans="1:22" x14ac:dyDescent="0.25">
      <c r="A3894" s="98" t="s">
        <v>29</v>
      </c>
      <c r="B3894" s="98" t="s">
        <v>17</v>
      </c>
      <c r="C3894" s="98">
        <v>138</v>
      </c>
      <c r="D3894" s="98">
        <v>360</v>
      </c>
      <c r="E3894" s="157">
        <v>41910.686111111114</v>
      </c>
      <c r="F3894" s="157">
        <v>41911.004166666666</v>
      </c>
      <c r="G3894" s="98">
        <v>320</v>
      </c>
      <c r="H3894" s="98">
        <v>423</v>
      </c>
      <c r="I3894" s="98">
        <v>393</v>
      </c>
      <c r="J3894" s="98" t="s">
        <v>229</v>
      </c>
      <c r="K3894" s="98" t="s">
        <v>2823</v>
      </c>
      <c r="L3894" s="105" t="str">
        <f t="shared" si="640"/>
        <v>Mill Creek</v>
      </c>
      <c r="M3894" s="105" t="str">
        <f t="shared" si="641"/>
        <v>Derate</v>
      </c>
      <c r="N3894" s="105" t="str">
        <f t="shared" si="642"/>
        <v>Coal</v>
      </c>
      <c r="O3894" s="105">
        <f>IFERROR(VLOOKUP(A3894,Lookup!$J$5:$P$19,7,FALSE),0)</f>
        <v>3</v>
      </c>
      <c r="P3894" s="159">
        <f t="shared" si="643"/>
        <v>2014</v>
      </c>
      <c r="Q3894" s="159">
        <f t="shared" si="644"/>
        <v>9</v>
      </c>
      <c r="R3894" s="160">
        <f t="shared" si="645"/>
        <v>7.6333333332440816</v>
      </c>
      <c r="S3894" s="158">
        <f t="shared" si="646"/>
        <v>1.858707643792294</v>
      </c>
      <c r="T3894" s="161">
        <f t="shared" si="647"/>
        <v>730.47210401037159</v>
      </c>
      <c r="U3894" s="158">
        <f t="shared" si="649"/>
        <v>95.695035460992912</v>
      </c>
      <c r="V3894" s="160">
        <f t="shared" si="648"/>
        <v>96</v>
      </c>
    </row>
    <row r="3895" spans="1:22" x14ac:dyDescent="0.25">
      <c r="A3895" s="98" t="s">
        <v>29</v>
      </c>
      <c r="B3895" s="98" t="s">
        <v>17</v>
      </c>
      <c r="C3895" s="98">
        <v>139</v>
      </c>
      <c r="D3895" s="98">
        <v>310</v>
      </c>
      <c r="E3895" s="157">
        <v>41911.008333333331</v>
      </c>
      <c r="F3895" s="157">
        <v>41911.163888888892</v>
      </c>
      <c r="G3895" s="98">
        <v>320</v>
      </c>
      <c r="H3895" s="98">
        <v>423</v>
      </c>
      <c r="I3895" s="98">
        <v>393</v>
      </c>
      <c r="J3895" s="98" t="s">
        <v>1966</v>
      </c>
      <c r="K3895" s="98" t="s">
        <v>2824</v>
      </c>
      <c r="L3895" s="105" t="str">
        <f t="shared" si="640"/>
        <v>Mill Creek</v>
      </c>
      <c r="M3895" s="105" t="str">
        <f t="shared" si="641"/>
        <v>Derate</v>
      </c>
      <c r="N3895" s="105" t="str">
        <f t="shared" si="642"/>
        <v>Coal</v>
      </c>
      <c r="O3895" s="105">
        <f>IFERROR(VLOOKUP(A3895,Lookup!$J$5:$P$19,7,FALSE),0)</f>
        <v>3</v>
      </c>
      <c r="P3895" s="159">
        <f t="shared" si="643"/>
        <v>2014</v>
      </c>
      <c r="Q3895" s="159">
        <f t="shared" si="644"/>
        <v>9</v>
      </c>
      <c r="R3895" s="160">
        <f t="shared" si="645"/>
        <v>3.7333333334536292</v>
      </c>
      <c r="S3895" s="158">
        <f t="shared" si="646"/>
        <v>0.90906225377239669</v>
      </c>
      <c r="T3895" s="161">
        <f t="shared" si="647"/>
        <v>357.26146573255193</v>
      </c>
      <c r="U3895" s="158">
        <f t="shared" si="649"/>
        <v>95.695035460992912</v>
      </c>
      <c r="V3895" s="160">
        <f t="shared" si="648"/>
        <v>96</v>
      </c>
    </row>
    <row r="3896" spans="1:22" x14ac:dyDescent="0.25">
      <c r="A3896" s="98" t="s">
        <v>29</v>
      </c>
      <c r="B3896" s="98" t="s">
        <v>17</v>
      </c>
      <c r="C3896" s="98">
        <v>140</v>
      </c>
      <c r="D3896" s="98">
        <v>360</v>
      </c>
      <c r="E3896" s="157">
        <v>41912.318055555559</v>
      </c>
      <c r="F3896" s="157">
        <v>41912.361111111109</v>
      </c>
      <c r="G3896" s="98">
        <v>320</v>
      </c>
      <c r="H3896" s="98">
        <v>423</v>
      </c>
      <c r="I3896" s="98">
        <v>393</v>
      </c>
      <c r="J3896" s="98" t="s">
        <v>229</v>
      </c>
      <c r="K3896" s="98" t="s">
        <v>2825</v>
      </c>
      <c r="L3896" s="105" t="str">
        <f t="shared" si="640"/>
        <v>Mill Creek</v>
      </c>
      <c r="M3896" s="105" t="str">
        <f t="shared" si="641"/>
        <v>Derate</v>
      </c>
      <c r="N3896" s="105" t="str">
        <f t="shared" si="642"/>
        <v>Coal</v>
      </c>
      <c r="O3896" s="105">
        <f>IFERROR(VLOOKUP(A3896,Lookup!$J$5:$P$19,7,FALSE),0)</f>
        <v>3</v>
      </c>
      <c r="P3896" s="159">
        <f t="shared" si="643"/>
        <v>2014</v>
      </c>
      <c r="Q3896" s="159">
        <f t="shared" si="644"/>
        <v>9</v>
      </c>
      <c r="R3896" s="160">
        <f t="shared" si="645"/>
        <v>1.033333333209157</v>
      </c>
      <c r="S3896" s="158">
        <f t="shared" si="646"/>
        <v>0.25161544520222973</v>
      </c>
      <c r="T3896" s="161">
        <f t="shared" si="647"/>
        <v>98.88486996447628</v>
      </c>
      <c r="U3896" s="158">
        <f t="shared" si="649"/>
        <v>95.695035460992912</v>
      </c>
      <c r="V3896" s="160">
        <f t="shared" si="648"/>
        <v>96</v>
      </c>
    </row>
    <row r="3897" spans="1:22" x14ac:dyDescent="0.25">
      <c r="A3897" s="98" t="s">
        <v>29</v>
      </c>
      <c r="B3897" s="98" t="s">
        <v>17</v>
      </c>
      <c r="C3897" s="98">
        <v>141</v>
      </c>
      <c r="D3897" s="98">
        <v>310</v>
      </c>
      <c r="E3897" s="157">
        <v>41913.248611111114</v>
      </c>
      <c r="F3897" s="157">
        <v>41913.284722222219</v>
      </c>
      <c r="G3897" s="98">
        <v>331</v>
      </c>
      <c r="H3897" s="98">
        <v>423</v>
      </c>
      <c r="I3897" s="98">
        <v>393</v>
      </c>
      <c r="J3897" s="98" t="s">
        <v>1966</v>
      </c>
      <c r="K3897" s="98" t="s">
        <v>2826</v>
      </c>
      <c r="L3897" s="105" t="str">
        <f t="shared" si="640"/>
        <v>Mill Creek</v>
      </c>
      <c r="M3897" s="105" t="str">
        <f t="shared" si="641"/>
        <v>Derate</v>
      </c>
      <c r="N3897" s="105" t="str">
        <f t="shared" si="642"/>
        <v>Coal</v>
      </c>
      <c r="O3897" s="105">
        <f>IFERROR(VLOOKUP(A3897,Lookup!$J$5:$P$19,7,FALSE),0)</f>
        <v>3</v>
      </c>
      <c r="P3897" s="159">
        <f t="shared" si="643"/>
        <v>2014</v>
      </c>
      <c r="Q3897" s="159">
        <f t="shared" si="644"/>
        <v>10</v>
      </c>
      <c r="R3897" s="160">
        <f t="shared" si="645"/>
        <v>0.86666666652308777</v>
      </c>
      <c r="S3897" s="158">
        <f t="shared" si="646"/>
        <v>0.18849487782535243</v>
      </c>
      <c r="T3897" s="161">
        <f t="shared" si="647"/>
        <v>74.078486985363512</v>
      </c>
      <c r="U3897" s="158">
        <f t="shared" si="649"/>
        <v>85.475177304964532</v>
      </c>
      <c r="V3897" s="160">
        <f t="shared" si="648"/>
        <v>85</v>
      </c>
    </row>
    <row r="3898" spans="1:22" x14ac:dyDescent="0.25">
      <c r="A3898" s="98" t="s">
        <v>29</v>
      </c>
      <c r="B3898" s="98" t="s">
        <v>105</v>
      </c>
      <c r="C3898" s="98">
        <v>142</v>
      </c>
      <c r="D3898" s="98">
        <v>250</v>
      </c>
      <c r="E3898" s="157">
        <v>41913.916666666664</v>
      </c>
      <c r="F3898" s="157">
        <v>41914.15902777778</v>
      </c>
      <c r="G3898" s="98">
        <v>326</v>
      </c>
      <c r="H3898" s="98">
        <v>423</v>
      </c>
      <c r="I3898" s="98">
        <v>393</v>
      </c>
      <c r="J3898" s="98" t="s">
        <v>1978</v>
      </c>
      <c r="K3898" s="98" t="s">
        <v>109</v>
      </c>
      <c r="L3898" s="105" t="str">
        <f t="shared" si="640"/>
        <v>Mill Creek</v>
      </c>
      <c r="M3898" s="105" t="str">
        <f t="shared" si="641"/>
        <v>Derate</v>
      </c>
      <c r="N3898" s="105" t="str">
        <f t="shared" si="642"/>
        <v>Coal</v>
      </c>
      <c r="O3898" s="105">
        <f>IFERROR(VLOOKUP(A3898,Lookup!$J$5:$P$19,7,FALSE),0)</f>
        <v>3</v>
      </c>
      <c r="P3898" s="159">
        <f t="shared" si="643"/>
        <v>2014</v>
      </c>
      <c r="Q3898" s="159">
        <f t="shared" si="644"/>
        <v>10</v>
      </c>
      <c r="R3898" s="160">
        <f t="shared" si="645"/>
        <v>5.8166666667675599</v>
      </c>
      <c r="S3898" s="158">
        <f t="shared" si="646"/>
        <v>1.3338455476984712</v>
      </c>
      <c r="T3898" s="161">
        <f t="shared" si="647"/>
        <v>524.20130024549917</v>
      </c>
      <c r="U3898" s="158">
        <f t="shared" si="649"/>
        <v>90.120567375886523</v>
      </c>
      <c r="V3898" s="160">
        <f t="shared" si="648"/>
        <v>90</v>
      </c>
    </row>
    <row r="3899" spans="1:22" x14ac:dyDescent="0.25">
      <c r="A3899" s="98" t="s">
        <v>29</v>
      </c>
      <c r="B3899" s="98" t="s">
        <v>105</v>
      </c>
      <c r="C3899" s="98">
        <v>143</v>
      </c>
      <c r="D3899" s="98">
        <v>250</v>
      </c>
      <c r="E3899" s="157">
        <v>41914.916666666664</v>
      </c>
      <c r="F3899" s="157">
        <v>41915.145833333336</v>
      </c>
      <c r="G3899" s="98">
        <v>320</v>
      </c>
      <c r="H3899" s="98">
        <v>423</v>
      </c>
      <c r="I3899" s="98">
        <v>393</v>
      </c>
      <c r="J3899" s="98" t="s">
        <v>1978</v>
      </c>
      <c r="K3899" s="98" t="s">
        <v>110</v>
      </c>
      <c r="L3899" s="105" t="str">
        <f t="shared" si="640"/>
        <v>Mill Creek</v>
      </c>
      <c r="M3899" s="105" t="str">
        <f t="shared" si="641"/>
        <v>Derate</v>
      </c>
      <c r="N3899" s="105" t="str">
        <f t="shared" si="642"/>
        <v>Coal</v>
      </c>
      <c r="O3899" s="105">
        <f>IFERROR(VLOOKUP(A3899,Lookup!$J$5:$P$19,7,FALSE),0)</f>
        <v>3</v>
      </c>
      <c r="P3899" s="159">
        <f t="shared" si="643"/>
        <v>2014</v>
      </c>
      <c r="Q3899" s="159">
        <f t="shared" si="644"/>
        <v>10</v>
      </c>
      <c r="R3899" s="160">
        <f t="shared" si="645"/>
        <v>5.5000000001164153</v>
      </c>
      <c r="S3899" s="158">
        <f t="shared" si="646"/>
        <v>1.339243498846314</v>
      </c>
      <c r="T3899" s="161">
        <f t="shared" si="647"/>
        <v>526.32269504660144</v>
      </c>
      <c r="U3899" s="158">
        <f t="shared" si="649"/>
        <v>95.695035460992912</v>
      </c>
      <c r="V3899" s="160">
        <f t="shared" si="648"/>
        <v>96</v>
      </c>
    </row>
    <row r="3900" spans="1:22" x14ac:dyDescent="0.25">
      <c r="A3900" s="98" t="s">
        <v>29</v>
      </c>
      <c r="B3900" s="98" t="s">
        <v>17</v>
      </c>
      <c r="C3900" s="98">
        <v>144</v>
      </c>
      <c r="D3900" s="98">
        <v>360</v>
      </c>
      <c r="E3900" s="157">
        <v>41915.611111111109</v>
      </c>
      <c r="F3900" s="157">
        <v>41915.645833333336</v>
      </c>
      <c r="G3900" s="98">
        <v>325</v>
      </c>
      <c r="H3900" s="98">
        <v>423</v>
      </c>
      <c r="I3900" s="98">
        <v>393</v>
      </c>
      <c r="J3900" s="98" t="s">
        <v>229</v>
      </c>
      <c r="K3900" s="98" t="s">
        <v>2823</v>
      </c>
      <c r="L3900" s="105" t="str">
        <f t="shared" si="640"/>
        <v>Mill Creek</v>
      </c>
      <c r="M3900" s="105" t="str">
        <f t="shared" si="641"/>
        <v>Derate</v>
      </c>
      <c r="N3900" s="105" t="str">
        <f t="shared" si="642"/>
        <v>Coal</v>
      </c>
      <c r="O3900" s="105">
        <f>IFERROR(VLOOKUP(A3900,Lookup!$J$5:$P$19,7,FALSE),0)</f>
        <v>3</v>
      </c>
      <c r="P3900" s="159">
        <f t="shared" si="643"/>
        <v>2014</v>
      </c>
      <c r="Q3900" s="159">
        <f t="shared" si="644"/>
        <v>10</v>
      </c>
      <c r="R3900" s="160">
        <f t="shared" si="645"/>
        <v>0.8333333334303461</v>
      </c>
      <c r="S3900" s="158">
        <f t="shared" si="646"/>
        <v>0.19306540585383905</v>
      </c>
      <c r="T3900" s="161">
        <f t="shared" si="647"/>
        <v>75.874704500558749</v>
      </c>
      <c r="U3900" s="158">
        <f t="shared" si="649"/>
        <v>91.049645390070921</v>
      </c>
      <c r="V3900" s="160">
        <f t="shared" si="648"/>
        <v>91</v>
      </c>
    </row>
    <row r="3901" spans="1:22" x14ac:dyDescent="0.25">
      <c r="A3901" s="98" t="s">
        <v>29</v>
      </c>
      <c r="B3901" s="98" t="s">
        <v>38</v>
      </c>
      <c r="C3901" s="98">
        <v>145</v>
      </c>
      <c r="D3901" s="98">
        <v>1801</v>
      </c>
      <c r="E3901" s="157">
        <v>41915.969444444447</v>
      </c>
      <c r="F3901" s="157">
        <v>41924.379861111112</v>
      </c>
      <c r="G3901" s="98">
        <v>0</v>
      </c>
      <c r="H3901" s="98">
        <v>423</v>
      </c>
      <c r="I3901" s="98">
        <v>393</v>
      </c>
      <c r="J3901" s="98" t="s">
        <v>2021</v>
      </c>
      <c r="K3901" s="98" t="s">
        <v>56</v>
      </c>
      <c r="L3901" s="105" t="str">
        <f t="shared" si="640"/>
        <v>Mill Creek</v>
      </c>
      <c r="M3901" s="105" t="str">
        <f t="shared" si="641"/>
        <v>Other</v>
      </c>
      <c r="N3901" s="105" t="str">
        <f t="shared" si="642"/>
        <v>Coal</v>
      </c>
      <c r="O3901" s="105">
        <f>IFERROR(VLOOKUP(A3901,Lookup!$J$5:$P$19,7,FALSE),0)</f>
        <v>3</v>
      </c>
      <c r="P3901" s="159">
        <f t="shared" si="643"/>
        <v>2014</v>
      </c>
      <c r="Q3901" s="159">
        <f t="shared" si="644"/>
        <v>10</v>
      </c>
      <c r="R3901" s="160">
        <f t="shared" si="645"/>
        <v>201.84999999997672</v>
      </c>
      <c r="S3901" s="158">
        <f t="shared" si="646"/>
        <v>201.84999999997672</v>
      </c>
      <c r="T3901" s="161">
        <f t="shared" si="647"/>
        <v>79327.04999999085</v>
      </c>
      <c r="U3901" s="158">
        <f t="shared" si="649"/>
        <v>393</v>
      </c>
      <c r="V3901" s="160">
        <f t="shared" si="648"/>
        <v>393</v>
      </c>
    </row>
    <row r="3902" spans="1:22" x14ac:dyDescent="0.25">
      <c r="A3902" s="98" t="s">
        <v>29</v>
      </c>
      <c r="B3902" s="98" t="s">
        <v>18</v>
      </c>
      <c r="C3902" s="98">
        <v>146</v>
      </c>
      <c r="D3902" s="98">
        <v>4309</v>
      </c>
      <c r="E3902" s="157">
        <v>41924.379861111112</v>
      </c>
      <c r="F3902" s="157">
        <v>41924.423611111109</v>
      </c>
      <c r="G3902" s="98">
        <v>0</v>
      </c>
      <c r="H3902" s="98">
        <v>423</v>
      </c>
      <c r="I3902" s="98">
        <v>393</v>
      </c>
      <c r="J3902" s="98" t="s">
        <v>2266</v>
      </c>
      <c r="K3902" s="98" t="s">
        <v>2827</v>
      </c>
      <c r="L3902" s="105" t="str">
        <f t="shared" si="640"/>
        <v>Mill Creek</v>
      </c>
      <c r="M3902" s="105" t="str">
        <f t="shared" si="641"/>
        <v>Outage</v>
      </c>
      <c r="N3902" s="105" t="str">
        <f t="shared" si="642"/>
        <v>Coal</v>
      </c>
      <c r="O3902" s="105">
        <f>IFERROR(VLOOKUP(A3902,Lookup!$J$5:$P$19,7,FALSE),0)</f>
        <v>3</v>
      </c>
      <c r="P3902" s="159">
        <f t="shared" si="643"/>
        <v>2014</v>
      </c>
      <c r="Q3902" s="159">
        <f t="shared" si="644"/>
        <v>10</v>
      </c>
      <c r="R3902" s="160">
        <f t="shared" si="645"/>
        <v>1.0499999999301508</v>
      </c>
      <c r="S3902" s="158">
        <f t="shared" si="646"/>
        <v>1.0499999999301508</v>
      </c>
      <c r="T3902" s="161">
        <f t="shared" si="647"/>
        <v>412.64999997254927</v>
      </c>
      <c r="U3902" s="158">
        <f t="shared" si="649"/>
        <v>393</v>
      </c>
      <c r="V3902" s="160">
        <f t="shared" si="648"/>
        <v>393</v>
      </c>
    </row>
    <row r="3903" spans="1:22" x14ac:dyDescent="0.25">
      <c r="A3903" s="98" t="s">
        <v>29</v>
      </c>
      <c r="B3903" s="98" t="s">
        <v>79</v>
      </c>
      <c r="C3903" s="98">
        <v>147</v>
      </c>
      <c r="D3903" s="98">
        <v>1850</v>
      </c>
      <c r="E3903" s="157">
        <v>41924.423611111109</v>
      </c>
      <c r="F3903" s="157">
        <v>41925.435416666667</v>
      </c>
      <c r="G3903" s="98">
        <v>0</v>
      </c>
      <c r="H3903" s="98">
        <v>423</v>
      </c>
      <c r="I3903" s="98">
        <v>393</v>
      </c>
      <c r="J3903" s="98" t="s">
        <v>2263</v>
      </c>
      <c r="K3903" s="98" t="s">
        <v>88</v>
      </c>
      <c r="L3903" s="105" t="str">
        <f t="shared" si="640"/>
        <v>Mill Creek</v>
      </c>
      <c r="M3903" s="105" t="str">
        <f t="shared" si="641"/>
        <v>Other</v>
      </c>
      <c r="N3903" s="105" t="str">
        <f t="shared" si="642"/>
        <v>Coal</v>
      </c>
      <c r="O3903" s="105">
        <f>IFERROR(VLOOKUP(A3903,Lookup!$J$5:$P$19,7,FALSE),0)</f>
        <v>3</v>
      </c>
      <c r="P3903" s="159">
        <f t="shared" si="643"/>
        <v>2014</v>
      </c>
      <c r="Q3903" s="159">
        <f t="shared" si="644"/>
        <v>10</v>
      </c>
      <c r="R3903" s="160">
        <f t="shared" si="645"/>
        <v>24.28333333338378</v>
      </c>
      <c r="S3903" s="158">
        <f t="shared" si="646"/>
        <v>24.28333333338378</v>
      </c>
      <c r="T3903" s="161">
        <f t="shared" si="647"/>
        <v>9543.3500000198255</v>
      </c>
      <c r="U3903" s="158">
        <f t="shared" si="649"/>
        <v>393</v>
      </c>
      <c r="V3903" s="160">
        <f t="shared" si="648"/>
        <v>393</v>
      </c>
    </row>
    <row r="3904" spans="1:22" x14ac:dyDescent="0.25">
      <c r="A3904" s="98" t="s">
        <v>29</v>
      </c>
      <c r="B3904" s="98" t="s">
        <v>17</v>
      </c>
      <c r="C3904" s="98">
        <v>148</v>
      </c>
      <c r="D3904" s="98">
        <v>1850</v>
      </c>
      <c r="E3904" s="157">
        <v>41925.435416666667</v>
      </c>
      <c r="F3904" s="157">
        <v>41925.493055555555</v>
      </c>
      <c r="G3904" s="98">
        <v>337</v>
      </c>
      <c r="H3904" s="98">
        <v>423</v>
      </c>
      <c r="I3904" s="98">
        <v>393</v>
      </c>
      <c r="J3904" s="98" t="s">
        <v>2263</v>
      </c>
      <c r="K3904" s="98" t="s">
        <v>41</v>
      </c>
      <c r="L3904" s="105" t="str">
        <f t="shared" si="640"/>
        <v>Mill Creek</v>
      </c>
      <c r="M3904" s="105" t="str">
        <f t="shared" si="641"/>
        <v>Derate</v>
      </c>
      <c r="N3904" s="105" t="str">
        <f t="shared" si="642"/>
        <v>Coal</v>
      </c>
      <c r="O3904" s="105">
        <f>IFERROR(VLOOKUP(A3904,Lookup!$J$5:$P$19,7,FALSE),0)</f>
        <v>3</v>
      </c>
      <c r="P3904" s="159">
        <f t="shared" si="643"/>
        <v>2014</v>
      </c>
      <c r="Q3904" s="159">
        <f t="shared" si="644"/>
        <v>10</v>
      </c>
      <c r="R3904" s="160">
        <f t="shared" si="645"/>
        <v>1.3833333333022892</v>
      </c>
      <c r="S3904" s="158">
        <f t="shared" si="646"/>
        <v>0.28124507485578459</v>
      </c>
      <c r="T3904" s="161">
        <f t="shared" si="647"/>
        <v>110.52931441832335</v>
      </c>
      <c r="U3904" s="158">
        <f t="shared" si="649"/>
        <v>79.900709219858157</v>
      </c>
      <c r="V3904" s="160">
        <f t="shared" si="648"/>
        <v>80</v>
      </c>
    </row>
    <row r="3905" spans="1:22" x14ac:dyDescent="0.25">
      <c r="A3905" s="98" t="s">
        <v>29</v>
      </c>
      <c r="B3905" s="98" t="s">
        <v>17</v>
      </c>
      <c r="C3905" s="98">
        <v>149</v>
      </c>
      <c r="D3905" s="98">
        <v>1850</v>
      </c>
      <c r="E3905" s="157">
        <v>41925.493055555555</v>
      </c>
      <c r="F3905" s="157">
        <v>41925.616666666669</v>
      </c>
      <c r="G3905" s="98">
        <v>315</v>
      </c>
      <c r="H3905" s="98">
        <v>423</v>
      </c>
      <c r="I3905" s="98">
        <v>393</v>
      </c>
      <c r="J3905" s="98" t="s">
        <v>2263</v>
      </c>
      <c r="K3905" s="98" t="s">
        <v>41</v>
      </c>
      <c r="L3905" s="105" t="str">
        <f t="shared" si="640"/>
        <v>Mill Creek</v>
      </c>
      <c r="M3905" s="105" t="str">
        <f t="shared" si="641"/>
        <v>Derate</v>
      </c>
      <c r="N3905" s="105" t="str">
        <f t="shared" si="642"/>
        <v>Coal</v>
      </c>
      <c r="O3905" s="105">
        <f>IFERROR(VLOOKUP(A3905,Lookup!$J$5:$P$19,7,FALSE),0)</f>
        <v>3</v>
      </c>
      <c r="P3905" s="159">
        <f t="shared" si="643"/>
        <v>2014</v>
      </c>
      <c r="Q3905" s="159">
        <f t="shared" si="644"/>
        <v>10</v>
      </c>
      <c r="R3905" s="160">
        <f t="shared" si="645"/>
        <v>2.9666666667326353</v>
      </c>
      <c r="S3905" s="158">
        <f t="shared" si="646"/>
        <v>0.75744680852748136</v>
      </c>
      <c r="T3905" s="161">
        <f t="shared" si="647"/>
        <v>297.67659575130017</v>
      </c>
      <c r="U3905" s="158">
        <f t="shared" si="649"/>
        <v>100.34042553191489</v>
      </c>
      <c r="V3905" s="160">
        <f t="shared" si="648"/>
        <v>100</v>
      </c>
    </row>
    <row r="3906" spans="1:22" x14ac:dyDescent="0.25">
      <c r="A3906" s="98" t="s">
        <v>29</v>
      </c>
      <c r="B3906" s="98" t="s">
        <v>17</v>
      </c>
      <c r="C3906" s="98">
        <v>150</v>
      </c>
      <c r="D3906" s="98">
        <v>1850</v>
      </c>
      <c r="E3906" s="157">
        <v>41925.616666666669</v>
      </c>
      <c r="F3906" s="157">
        <v>41925.654861111114</v>
      </c>
      <c r="G3906" s="98">
        <v>291</v>
      </c>
      <c r="H3906" s="98">
        <v>423</v>
      </c>
      <c r="I3906" s="98">
        <v>393</v>
      </c>
      <c r="J3906" s="98" t="s">
        <v>2263</v>
      </c>
      <c r="K3906" s="98" t="s">
        <v>2828</v>
      </c>
      <c r="L3906" s="105" t="str">
        <f t="shared" si="640"/>
        <v>Mill Creek</v>
      </c>
      <c r="M3906" s="105" t="str">
        <f t="shared" si="641"/>
        <v>Derate</v>
      </c>
      <c r="N3906" s="105" t="str">
        <f t="shared" si="642"/>
        <v>Coal</v>
      </c>
      <c r="O3906" s="105">
        <f>IFERROR(VLOOKUP(A3906,Lookup!$J$5:$P$19,7,FALSE),0)</f>
        <v>3</v>
      </c>
      <c r="P3906" s="159">
        <f t="shared" si="643"/>
        <v>2014</v>
      </c>
      <c r="Q3906" s="159">
        <f t="shared" si="644"/>
        <v>10</v>
      </c>
      <c r="R3906" s="160">
        <f t="shared" si="645"/>
        <v>0.91666666668606922</v>
      </c>
      <c r="S3906" s="158">
        <f t="shared" si="646"/>
        <v>0.28605200946231946</v>
      </c>
      <c r="T3906" s="161">
        <f t="shared" si="647"/>
        <v>112.41843971869154</v>
      </c>
      <c r="U3906" s="158">
        <f t="shared" si="649"/>
        <v>122.63829787234043</v>
      </c>
      <c r="V3906" s="160">
        <f t="shared" si="648"/>
        <v>123</v>
      </c>
    </row>
    <row r="3907" spans="1:22" x14ac:dyDescent="0.25">
      <c r="A3907" s="98" t="s">
        <v>29</v>
      </c>
      <c r="B3907" s="98" t="s">
        <v>17</v>
      </c>
      <c r="C3907" s="98">
        <v>151</v>
      </c>
      <c r="D3907" s="98">
        <v>1850</v>
      </c>
      <c r="E3907" s="157">
        <v>41925.654861111114</v>
      </c>
      <c r="F3907" s="157">
        <v>41926.027083333334</v>
      </c>
      <c r="G3907" s="98">
        <v>312</v>
      </c>
      <c r="H3907" s="98">
        <v>423</v>
      </c>
      <c r="I3907" s="98">
        <v>393</v>
      </c>
      <c r="J3907" s="98" t="s">
        <v>2263</v>
      </c>
      <c r="K3907" s="98" t="s">
        <v>41</v>
      </c>
      <c r="L3907" s="105" t="str">
        <f t="shared" si="640"/>
        <v>Mill Creek</v>
      </c>
      <c r="M3907" s="105" t="str">
        <f t="shared" si="641"/>
        <v>Derate</v>
      </c>
      <c r="N3907" s="105" t="str">
        <f t="shared" si="642"/>
        <v>Coal</v>
      </c>
      <c r="O3907" s="105">
        <f>IFERROR(VLOOKUP(A3907,Lookup!$J$5:$P$19,7,FALSE),0)</f>
        <v>3</v>
      </c>
      <c r="P3907" s="159">
        <f t="shared" si="643"/>
        <v>2014</v>
      </c>
      <c r="Q3907" s="159">
        <f t="shared" si="644"/>
        <v>10</v>
      </c>
      <c r="R3907" s="160">
        <f t="shared" si="645"/>
        <v>8.9333333332906477</v>
      </c>
      <c r="S3907" s="158">
        <f t="shared" si="646"/>
        <v>2.3442080378138579</v>
      </c>
      <c r="T3907" s="161">
        <f t="shared" si="647"/>
        <v>921.2737588608461</v>
      </c>
      <c r="U3907" s="158">
        <f t="shared" si="649"/>
        <v>103.12765957446808</v>
      </c>
      <c r="V3907" s="160">
        <f t="shared" si="648"/>
        <v>103</v>
      </c>
    </row>
    <row r="3908" spans="1:22" x14ac:dyDescent="0.25">
      <c r="A3908" s="98" t="s">
        <v>29</v>
      </c>
      <c r="B3908" s="98" t="s">
        <v>17</v>
      </c>
      <c r="C3908" s="98">
        <v>152</v>
      </c>
      <c r="D3908" s="98">
        <v>1850</v>
      </c>
      <c r="E3908" s="157">
        <v>41926.027083333334</v>
      </c>
      <c r="F3908" s="157">
        <v>41926.104166666664</v>
      </c>
      <c r="G3908" s="98">
        <v>390</v>
      </c>
      <c r="H3908" s="98">
        <v>423</v>
      </c>
      <c r="I3908" s="98">
        <v>393</v>
      </c>
      <c r="J3908" s="98" t="s">
        <v>2263</v>
      </c>
      <c r="K3908" s="98" t="s">
        <v>41</v>
      </c>
      <c r="L3908" s="105" t="str">
        <f t="shared" si="640"/>
        <v>Mill Creek</v>
      </c>
      <c r="M3908" s="105" t="str">
        <f t="shared" si="641"/>
        <v>Derate</v>
      </c>
      <c r="N3908" s="105" t="str">
        <f t="shared" si="642"/>
        <v>Coal</v>
      </c>
      <c r="O3908" s="105">
        <f>IFERROR(VLOOKUP(A3908,Lookup!$J$5:$P$19,7,FALSE),0)</f>
        <v>3</v>
      </c>
      <c r="P3908" s="159">
        <f t="shared" si="643"/>
        <v>2014</v>
      </c>
      <c r="Q3908" s="159">
        <f t="shared" si="644"/>
        <v>10</v>
      </c>
      <c r="R3908" s="160">
        <f t="shared" si="645"/>
        <v>1.8499999999185093</v>
      </c>
      <c r="S3908" s="158">
        <f t="shared" si="646"/>
        <v>0.14432624112839434</v>
      </c>
      <c r="T3908" s="161">
        <f t="shared" si="647"/>
        <v>56.720212763458974</v>
      </c>
      <c r="U3908" s="158">
        <f t="shared" si="649"/>
        <v>30.659574468085108</v>
      </c>
      <c r="V3908" s="160">
        <f t="shared" si="648"/>
        <v>31</v>
      </c>
    </row>
    <row r="3909" spans="1:22" x14ac:dyDescent="0.25">
      <c r="A3909" s="98" t="s">
        <v>29</v>
      </c>
      <c r="B3909" s="98" t="s">
        <v>17</v>
      </c>
      <c r="C3909" s="98">
        <v>153</v>
      </c>
      <c r="D3909" s="98">
        <v>1850</v>
      </c>
      <c r="E3909" s="157">
        <v>41926.104166666664</v>
      </c>
      <c r="F3909" s="157">
        <v>41926.407638888886</v>
      </c>
      <c r="G3909" s="98">
        <v>410</v>
      </c>
      <c r="H3909" s="98">
        <v>423</v>
      </c>
      <c r="I3909" s="98">
        <v>393</v>
      </c>
      <c r="J3909" s="98" t="s">
        <v>2263</v>
      </c>
      <c r="K3909" s="98" t="s">
        <v>41</v>
      </c>
      <c r="L3909" s="105" t="str">
        <f t="shared" si="640"/>
        <v>Mill Creek</v>
      </c>
      <c r="M3909" s="105" t="str">
        <f t="shared" si="641"/>
        <v>Derate</v>
      </c>
      <c r="N3909" s="105" t="str">
        <f t="shared" si="642"/>
        <v>Coal</v>
      </c>
      <c r="O3909" s="105">
        <f>IFERROR(VLOOKUP(A3909,Lookup!$J$5:$P$19,7,FALSE),0)</f>
        <v>3</v>
      </c>
      <c r="P3909" s="159">
        <f t="shared" si="643"/>
        <v>2014</v>
      </c>
      <c r="Q3909" s="159">
        <f t="shared" si="644"/>
        <v>10</v>
      </c>
      <c r="R3909" s="160">
        <f t="shared" si="645"/>
        <v>7.2833333333255723</v>
      </c>
      <c r="S3909" s="158">
        <f t="shared" si="646"/>
        <v>0.22383766745445022</v>
      </c>
      <c r="T3909" s="161">
        <f t="shared" si="647"/>
        <v>87.968203309598934</v>
      </c>
      <c r="U3909" s="158">
        <f t="shared" si="649"/>
        <v>12.078014184397164</v>
      </c>
      <c r="V3909" s="160">
        <f t="shared" si="648"/>
        <v>12</v>
      </c>
    </row>
    <row r="3910" spans="1:22" x14ac:dyDescent="0.25">
      <c r="A3910" s="98" t="s">
        <v>29</v>
      </c>
      <c r="B3910" s="98" t="s">
        <v>105</v>
      </c>
      <c r="C3910" s="98">
        <v>154</v>
      </c>
      <c r="D3910" s="98">
        <v>8125</v>
      </c>
      <c r="E3910" s="157">
        <v>41927.958333333336</v>
      </c>
      <c r="F3910" s="157">
        <v>41927.990277777775</v>
      </c>
      <c r="G3910" s="98">
        <v>300</v>
      </c>
      <c r="H3910" s="98">
        <v>423</v>
      </c>
      <c r="I3910" s="98">
        <v>393</v>
      </c>
      <c r="J3910" s="98" t="s">
        <v>2267</v>
      </c>
      <c r="K3910" s="98" t="s">
        <v>2829</v>
      </c>
      <c r="L3910" s="105" t="str">
        <f t="shared" si="640"/>
        <v>Mill Creek</v>
      </c>
      <c r="M3910" s="105" t="str">
        <f t="shared" si="641"/>
        <v>Derate</v>
      </c>
      <c r="N3910" s="105" t="str">
        <f t="shared" si="642"/>
        <v>Coal</v>
      </c>
      <c r="O3910" s="105">
        <f>IFERROR(VLOOKUP(A3910,Lookup!$J$5:$P$19,7,FALSE),0)</f>
        <v>3</v>
      </c>
      <c r="P3910" s="159">
        <f t="shared" si="643"/>
        <v>2014</v>
      </c>
      <c r="Q3910" s="159">
        <f t="shared" si="644"/>
        <v>10</v>
      </c>
      <c r="R3910" s="160">
        <f t="shared" si="645"/>
        <v>0.76666666654637083</v>
      </c>
      <c r="S3910" s="158">
        <f t="shared" si="646"/>
        <v>0.22293144204539861</v>
      </c>
      <c r="T3910" s="161">
        <f t="shared" si="647"/>
        <v>87.612056723841647</v>
      </c>
      <c r="U3910" s="158">
        <f t="shared" si="649"/>
        <v>114.27659574468085</v>
      </c>
      <c r="V3910" s="160">
        <f t="shared" si="648"/>
        <v>114</v>
      </c>
    </row>
    <row r="3911" spans="1:22" x14ac:dyDescent="0.25">
      <c r="A3911" s="98" t="s">
        <v>29</v>
      </c>
      <c r="B3911" s="98" t="s">
        <v>105</v>
      </c>
      <c r="C3911" s="98">
        <v>155</v>
      </c>
      <c r="D3911" s="98">
        <v>360</v>
      </c>
      <c r="E3911" s="157">
        <v>41933.916666666664</v>
      </c>
      <c r="F3911" s="157">
        <v>41934.167361111111</v>
      </c>
      <c r="G3911" s="98">
        <v>340</v>
      </c>
      <c r="H3911" s="98">
        <v>423</v>
      </c>
      <c r="I3911" s="98">
        <v>393</v>
      </c>
      <c r="J3911" s="98" t="s">
        <v>229</v>
      </c>
      <c r="K3911" s="98" t="s">
        <v>2830</v>
      </c>
      <c r="L3911" s="105" t="str">
        <f t="shared" si="640"/>
        <v>Mill Creek</v>
      </c>
      <c r="M3911" s="105" t="str">
        <f t="shared" si="641"/>
        <v>Derate</v>
      </c>
      <c r="N3911" s="105" t="str">
        <f t="shared" si="642"/>
        <v>Coal</v>
      </c>
      <c r="O3911" s="105">
        <f>IFERROR(VLOOKUP(A3911,Lookup!$J$5:$P$19,7,FALSE),0)</f>
        <v>3</v>
      </c>
      <c r="P3911" s="159">
        <f t="shared" si="643"/>
        <v>2014</v>
      </c>
      <c r="Q3911" s="159">
        <f t="shared" si="644"/>
        <v>10</v>
      </c>
      <c r="R3911" s="160">
        <f t="shared" si="645"/>
        <v>6.0166666667209938</v>
      </c>
      <c r="S3911" s="158">
        <f t="shared" si="646"/>
        <v>1.1805752561178309</v>
      </c>
      <c r="T3911" s="161">
        <f t="shared" si="647"/>
        <v>463.96607565430753</v>
      </c>
      <c r="U3911" s="158">
        <f t="shared" si="649"/>
        <v>77.113475177304963</v>
      </c>
      <c r="V3911" s="160">
        <f t="shared" si="648"/>
        <v>77</v>
      </c>
    </row>
    <row r="3912" spans="1:22" x14ac:dyDescent="0.25">
      <c r="A3912" s="98" t="s">
        <v>29</v>
      </c>
      <c r="B3912" s="98" t="s">
        <v>17</v>
      </c>
      <c r="C3912" s="98">
        <v>156</v>
      </c>
      <c r="D3912" s="98">
        <v>360</v>
      </c>
      <c r="E3912" s="157">
        <v>41934.167361111111</v>
      </c>
      <c r="F3912" s="157">
        <v>41934.342361111114</v>
      </c>
      <c r="G3912" s="98">
        <v>340</v>
      </c>
      <c r="H3912" s="98">
        <v>423</v>
      </c>
      <c r="I3912" s="98">
        <v>393</v>
      </c>
      <c r="J3912" s="98" t="s">
        <v>229</v>
      </c>
      <c r="K3912" s="98" t="s">
        <v>2831</v>
      </c>
      <c r="L3912" s="105" t="str">
        <f t="shared" si="640"/>
        <v>Mill Creek</v>
      </c>
      <c r="M3912" s="105" t="str">
        <f t="shared" si="641"/>
        <v>Derate</v>
      </c>
      <c r="N3912" s="105" t="str">
        <f t="shared" si="642"/>
        <v>Coal</v>
      </c>
      <c r="O3912" s="105">
        <f>IFERROR(VLOOKUP(A3912,Lookup!$J$5:$P$19,7,FALSE),0)</f>
        <v>3</v>
      </c>
      <c r="P3912" s="159">
        <f t="shared" si="643"/>
        <v>2014</v>
      </c>
      <c r="Q3912" s="159">
        <f t="shared" si="644"/>
        <v>10</v>
      </c>
      <c r="R3912" s="160">
        <f t="shared" si="645"/>
        <v>4.2000000000698492</v>
      </c>
      <c r="S3912" s="158">
        <f t="shared" si="646"/>
        <v>0.82411347519101064</v>
      </c>
      <c r="T3912" s="161">
        <f t="shared" si="647"/>
        <v>323.87659575006717</v>
      </c>
      <c r="U3912" s="158">
        <f t="shared" si="649"/>
        <v>77.113475177304963</v>
      </c>
      <c r="V3912" s="160">
        <f t="shared" si="648"/>
        <v>77</v>
      </c>
    </row>
    <row r="3913" spans="1:22" x14ac:dyDescent="0.25">
      <c r="A3913" s="98" t="s">
        <v>29</v>
      </c>
      <c r="B3913" s="98" t="s">
        <v>105</v>
      </c>
      <c r="C3913" s="98">
        <v>157</v>
      </c>
      <c r="D3913" s="98">
        <v>360</v>
      </c>
      <c r="E3913" s="157">
        <v>41935.916666666664</v>
      </c>
      <c r="F3913" s="157">
        <v>41936.263888888891</v>
      </c>
      <c r="G3913" s="98">
        <v>340</v>
      </c>
      <c r="H3913" s="98">
        <v>423</v>
      </c>
      <c r="I3913" s="98">
        <v>393</v>
      </c>
      <c r="J3913" s="98" t="s">
        <v>229</v>
      </c>
      <c r="K3913" s="98" t="s">
        <v>2832</v>
      </c>
      <c r="L3913" s="105" t="str">
        <f t="shared" si="640"/>
        <v>Mill Creek</v>
      </c>
      <c r="M3913" s="105" t="str">
        <f t="shared" si="641"/>
        <v>Derate</v>
      </c>
      <c r="N3913" s="105" t="str">
        <f t="shared" si="642"/>
        <v>Coal</v>
      </c>
      <c r="O3913" s="105">
        <f>IFERROR(VLOOKUP(A3913,Lookup!$J$5:$P$19,7,FALSE),0)</f>
        <v>3</v>
      </c>
      <c r="P3913" s="159">
        <f t="shared" si="643"/>
        <v>2014</v>
      </c>
      <c r="Q3913" s="159">
        <f t="shared" si="644"/>
        <v>10</v>
      </c>
      <c r="R3913" s="160">
        <f t="shared" si="645"/>
        <v>8.3333333334303461</v>
      </c>
      <c r="S3913" s="158">
        <f t="shared" si="646"/>
        <v>1.63514578410099</v>
      </c>
      <c r="T3913" s="161">
        <f t="shared" si="647"/>
        <v>642.61229315168907</v>
      </c>
      <c r="U3913" s="158">
        <f t="shared" si="649"/>
        <v>77.113475177304963</v>
      </c>
      <c r="V3913" s="160">
        <f t="shared" si="648"/>
        <v>77</v>
      </c>
    </row>
    <row r="3914" spans="1:22" x14ac:dyDescent="0.25">
      <c r="A3914" s="98" t="s">
        <v>29</v>
      </c>
      <c r="B3914" s="98" t="s">
        <v>17</v>
      </c>
      <c r="C3914" s="98">
        <v>158</v>
      </c>
      <c r="D3914" s="98">
        <v>360</v>
      </c>
      <c r="E3914" s="157">
        <v>41936.336805555555</v>
      </c>
      <c r="F3914" s="157">
        <v>41936.364583333336</v>
      </c>
      <c r="G3914" s="98">
        <v>320</v>
      </c>
      <c r="H3914" s="98">
        <v>423</v>
      </c>
      <c r="I3914" s="98">
        <v>393</v>
      </c>
      <c r="J3914" s="98" t="s">
        <v>229</v>
      </c>
      <c r="K3914" s="98" t="s">
        <v>2833</v>
      </c>
      <c r="L3914" s="105" t="str">
        <f t="shared" si="640"/>
        <v>Mill Creek</v>
      </c>
      <c r="M3914" s="105" t="str">
        <f t="shared" si="641"/>
        <v>Derate</v>
      </c>
      <c r="N3914" s="105" t="str">
        <f t="shared" si="642"/>
        <v>Coal</v>
      </c>
      <c r="O3914" s="105">
        <f>IFERROR(VLOOKUP(A3914,Lookup!$J$5:$P$19,7,FALSE),0)</f>
        <v>3</v>
      </c>
      <c r="P3914" s="159">
        <f t="shared" si="643"/>
        <v>2014</v>
      </c>
      <c r="Q3914" s="159">
        <f t="shared" si="644"/>
        <v>10</v>
      </c>
      <c r="R3914" s="160">
        <f t="shared" si="645"/>
        <v>0.66666666674427688</v>
      </c>
      <c r="S3914" s="158">
        <f t="shared" si="646"/>
        <v>0.16233254533016672</v>
      </c>
      <c r="T3914" s="161">
        <f t="shared" si="647"/>
        <v>63.796690314755523</v>
      </c>
      <c r="U3914" s="158">
        <f t="shared" si="649"/>
        <v>95.695035460992912</v>
      </c>
      <c r="V3914" s="160">
        <f t="shared" si="648"/>
        <v>96</v>
      </c>
    </row>
    <row r="3915" spans="1:22" x14ac:dyDescent="0.25">
      <c r="A3915" s="98" t="s">
        <v>29</v>
      </c>
      <c r="B3915" s="98" t="s">
        <v>17</v>
      </c>
      <c r="C3915" s="98">
        <v>159</v>
      </c>
      <c r="D3915" s="98">
        <v>331</v>
      </c>
      <c r="E3915" s="157">
        <v>41939.969444444447</v>
      </c>
      <c r="F3915" s="157">
        <v>41940.13958333333</v>
      </c>
      <c r="G3915" s="98">
        <v>320</v>
      </c>
      <c r="H3915" s="98">
        <v>423</v>
      </c>
      <c r="I3915" s="98">
        <v>393</v>
      </c>
      <c r="J3915" s="98" t="s">
        <v>2101</v>
      </c>
      <c r="K3915" s="98" t="s">
        <v>2834</v>
      </c>
      <c r="L3915" s="105" t="str">
        <f t="shared" si="640"/>
        <v>Mill Creek</v>
      </c>
      <c r="M3915" s="105" t="str">
        <f t="shared" si="641"/>
        <v>Derate</v>
      </c>
      <c r="N3915" s="105" t="str">
        <f t="shared" si="642"/>
        <v>Coal</v>
      </c>
      <c r="O3915" s="105">
        <f>IFERROR(VLOOKUP(A3915,Lookup!$J$5:$P$19,7,FALSE),0)</f>
        <v>3</v>
      </c>
      <c r="P3915" s="159">
        <f t="shared" si="643"/>
        <v>2014</v>
      </c>
      <c r="Q3915" s="159">
        <f t="shared" si="644"/>
        <v>10</v>
      </c>
      <c r="R3915" s="160">
        <f t="shared" si="645"/>
        <v>4.0833333331975155</v>
      </c>
      <c r="S3915" s="158">
        <f t="shared" si="646"/>
        <v>0.99428683999844936</v>
      </c>
      <c r="T3915" s="161">
        <f t="shared" si="647"/>
        <v>390.75472811939062</v>
      </c>
      <c r="U3915" s="158">
        <f t="shared" si="649"/>
        <v>95.695035460992912</v>
      </c>
      <c r="V3915" s="160">
        <f t="shared" si="648"/>
        <v>96</v>
      </c>
    </row>
    <row r="3916" spans="1:22" x14ac:dyDescent="0.25">
      <c r="A3916" s="98" t="s">
        <v>29</v>
      </c>
      <c r="B3916" s="98" t="s">
        <v>17</v>
      </c>
      <c r="C3916" s="98">
        <v>160</v>
      </c>
      <c r="D3916" s="98">
        <v>260</v>
      </c>
      <c r="E3916" s="157">
        <v>41941.288194444445</v>
      </c>
      <c r="F3916" s="157">
        <v>41941.446527777778</v>
      </c>
      <c r="G3916" s="98">
        <v>330</v>
      </c>
      <c r="H3916" s="98">
        <v>423</v>
      </c>
      <c r="I3916" s="98">
        <v>393</v>
      </c>
      <c r="J3916" s="98" t="s">
        <v>1973</v>
      </c>
      <c r="K3916" s="98" t="s">
        <v>2835</v>
      </c>
      <c r="L3916" s="105" t="str">
        <f t="shared" si="640"/>
        <v>Mill Creek</v>
      </c>
      <c r="M3916" s="105" t="str">
        <f t="shared" si="641"/>
        <v>Derate</v>
      </c>
      <c r="N3916" s="105" t="str">
        <f t="shared" si="642"/>
        <v>Coal</v>
      </c>
      <c r="O3916" s="105">
        <f>IFERROR(VLOOKUP(A3916,Lookup!$J$5:$P$19,7,FALSE),0)</f>
        <v>3</v>
      </c>
      <c r="P3916" s="159">
        <f t="shared" si="643"/>
        <v>2014</v>
      </c>
      <c r="Q3916" s="159">
        <f t="shared" si="644"/>
        <v>10</v>
      </c>
      <c r="R3916" s="160">
        <f t="shared" si="645"/>
        <v>3.7999999999883585</v>
      </c>
      <c r="S3916" s="158">
        <f t="shared" si="646"/>
        <v>0.83546099290524189</v>
      </c>
      <c r="T3916" s="161">
        <f t="shared" si="647"/>
        <v>328.33617021176008</v>
      </c>
      <c r="U3916" s="158">
        <f t="shared" si="649"/>
        <v>86.40425531914893</v>
      </c>
      <c r="V3916" s="160">
        <f t="shared" si="648"/>
        <v>86</v>
      </c>
    </row>
    <row r="3917" spans="1:22" x14ac:dyDescent="0.25">
      <c r="A3917" s="98" t="s">
        <v>29</v>
      </c>
      <c r="B3917" s="98" t="s">
        <v>17</v>
      </c>
      <c r="C3917" s="98">
        <v>161</v>
      </c>
      <c r="D3917" s="98">
        <v>260</v>
      </c>
      <c r="E3917" s="157">
        <v>41942.225694444445</v>
      </c>
      <c r="F3917" s="157">
        <v>41942.248611111114</v>
      </c>
      <c r="G3917" s="98">
        <v>330</v>
      </c>
      <c r="H3917" s="98">
        <v>423</v>
      </c>
      <c r="I3917" s="98">
        <v>393</v>
      </c>
      <c r="J3917" s="98" t="s">
        <v>1973</v>
      </c>
      <c r="K3917" s="98" t="s">
        <v>2835</v>
      </c>
      <c r="L3917" s="105" t="str">
        <f t="shared" si="640"/>
        <v>Mill Creek</v>
      </c>
      <c r="M3917" s="105" t="str">
        <f t="shared" si="641"/>
        <v>Derate</v>
      </c>
      <c r="N3917" s="105" t="str">
        <f t="shared" si="642"/>
        <v>Coal</v>
      </c>
      <c r="O3917" s="105">
        <f>IFERROR(VLOOKUP(A3917,Lookup!$J$5:$P$19,7,FALSE),0)</f>
        <v>3</v>
      </c>
      <c r="P3917" s="159">
        <f t="shared" si="643"/>
        <v>2014</v>
      </c>
      <c r="Q3917" s="159">
        <f t="shared" si="644"/>
        <v>10</v>
      </c>
      <c r="R3917" s="160">
        <f t="shared" si="645"/>
        <v>0.55000000004656613</v>
      </c>
      <c r="S3917" s="158">
        <f t="shared" si="646"/>
        <v>0.12092198582584078</v>
      </c>
      <c r="T3917" s="161">
        <f t="shared" si="647"/>
        <v>47.522340429555427</v>
      </c>
      <c r="U3917" s="158">
        <f t="shared" si="649"/>
        <v>86.40425531914893</v>
      </c>
      <c r="V3917" s="160">
        <f t="shared" si="648"/>
        <v>86</v>
      </c>
    </row>
    <row r="3918" spans="1:22" x14ac:dyDescent="0.25">
      <c r="A3918" s="98" t="s">
        <v>29</v>
      </c>
      <c r="B3918" s="98" t="s">
        <v>105</v>
      </c>
      <c r="C3918" s="98">
        <v>162</v>
      </c>
      <c r="D3918" s="98">
        <v>250</v>
      </c>
      <c r="E3918" s="157">
        <v>41948.958333333336</v>
      </c>
      <c r="F3918" s="157">
        <v>41949.15</v>
      </c>
      <c r="G3918" s="98">
        <v>330</v>
      </c>
      <c r="H3918" s="98">
        <v>423</v>
      </c>
      <c r="I3918" s="98">
        <v>393</v>
      </c>
      <c r="J3918" s="98" t="s">
        <v>1978</v>
      </c>
      <c r="K3918" s="98" t="s">
        <v>2836</v>
      </c>
      <c r="L3918" s="105" t="str">
        <f t="shared" si="640"/>
        <v>Mill Creek</v>
      </c>
      <c r="M3918" s="105" t="str">
        <f t="shared" si="641"/>
        <v>Derate</v>
      </c>
      <c r="N3918" s="105" t="str">
        <f t="shared" si="642"/>
        <v>Coal</v>
      </c>
      <c r="O3918" s="105">
        <f>IFERROR(VLOOKUP(A3918,Lookup!$J$5:$P$19,7,FALSE),0)</f>
        <v>3</v>
      </c>
      <c r="P3918" s="159">
        <f t="shared" si="643"/>
        <v>2014</v>
      </c>
      <c r="Q3918" s="159">
        <f t="shared" si="644"/>
        <v>11</v>
      </c>
      <c r="R3918" s="160">
        <f t="shared" si="645"/>
        <v>4.5999999999767169</v>
      </c>
      <c r="S3918" s="158">
        <f t="shared" si="646"/>
        <v>1.0113475177253775</v>
      </c>
      <c r="T3918" s="161">
        <f t="shared" si="647"/>
        <v>397.45957446607332</v>
      </c>
      <c r="U3918" s="158">
        <f t="shared" si="649"/>
        <v>86.40425531914893</v>
      </c>
      <c r="V3918" s="160">
        <f t="shared" si="648"/>
        <v>86</v>
      </c>
    </row>
    <row r="3919" spans="1:22" x14ac:dyDescent="0.25">
      <c r="A3919" s="98" t="s">
        <v>29</v>
      </c>
      <c r="B3919" s="98" t="s">
        <v>17</v>
      </c>
      <c r="C3919" s="98">
        <v>163</v>
      </c>
      <c r="D3919" s="98">
        <v>360</v>
      </c>
      <c r="E3919" s="157">
        <v>41951.572222222225</v>
      </c>
      <c r="F3919" s="157">
        <v>41951.628472222219</v>
      </c>
      <c r="G3919" s="98">
        <v>330</v>
      </c>
      <c r="H3919" s="98">
        <v>423</v>
      </c>
      <c r="I3919" s="98">
        <v>393</v>
      </c>
      <c r="J3919" s="98" t="s">
        <v>229</v>
      </c>
      <c r="K3919" s="98" t="s">
        <v>2837</v>
      </c>
      <c r="L3919" s="105" t="str">
        <f t="shared" si="640"/>
        <v>Mill Creek</v>
      </c>
      <c r="M3919" s="105" t="str">
        <f t="shared" si="641"/>
        <v>Derate</v>
      </c>
      <c r="N3919" s="105" t="str">
        <f t="shared" si="642"/>
        <v>Coal</v>
      </c>
      <c r="O3919" s="105">
        <f>IFERROR(VLOOKUP(A3919,Lookup!$J$5:$P$19,7,FALSE),0)</f>
        <v>3</v>
      </c>
      <c r="P3919" s="159">
        <f t="shared" si="643"/>
        <v>2014</v>
      </c>
      <c r="Q3919" s="159">
        <f t="shared" si="644"/>
        <v>11</v>
      </c>
      <c r="R3919" s="160">
        <f t="shared" si="645"/>
        <v>1.3499999998603016</v>
      </c>
      <c r="S3919" s="158">
        <f t="shared" si="646"/>
        <v>0.29680851060758406</v>
      </c>
      <c r="T3919" s="161">
        <f t="shared" si="647"/>
        <v>116.64574466878054</v>
      </c>
      <c r="U3919" s="158">
        <f t="shared" si="649"/>
        <v>86.40425531914893</v>
      </c>
      <c r="V3919" s="160">
        <f t="shared" si="648"/>
        <v>86</v>
      </c>
    </row>
    <row r="3920" spans="1:22" x14ac:dyDescent="0.25">
      <c r="A3920" s="98" t="s">
        <v>29</v>
      </c>
      <c r="B3920" s="98" t="s">
        <v>17</v>
      </c>
      <c r="C3920" s="98">
        <v>164</v>
      </c>
      <c r="D3920" s="98">
        <v>360</v>
      </c>
      <c r="E3920" s="157">
        <v>41952.114583333336</v>
      </c>
      <c r="F3920" s="157">
        <v>41952.152777777781</v>
      </c>
      <c r="G3920" s="98">
        <v>330</v>
      </c>
      <c r="H3920" s="98">
        <v>423</v>
      </c>
      <c r="I3920" s="98">
        <v>393</v>
      </c>
      <c r="J3920" s="98" t="s">
        <v>229</v>
      </c>
      <c r="K3920" s="98" t="s">
        <v>2837</v>
      </c>
      <c r="L3920" s="105" t="str">
        <f t="shared" si="640"/>
        <v>Mill Creek</v>
      </c>
      <c r="M3920" s="105" t="str">
        <f t="shared" si="641"/>
        <v>Derate</v>
      </c>
      <c r="N3920" s="105" t="str">
        <f t="shared" si="642"/>
        <v>Coal</v>
      </c>
      <c r="O3920" s="105">
        <f>IFERROR(VLOOKUP(A3920,Lookup!$J$5:$P$19,7,FALSE),0)</f>
        <v>3</v>
      </c>
      <c r="P3920" s="159">
        <f t="shared" si="643"/>
        <v>2014</v>
      </c>
      <c r="Q3920" s="159">
        <f t="shared" si="644"/>
        <v>11</v>
      </c>
      <c r="R3920" s="160">
        <f t="shared" si="645"/>
        <v>0.91666666668606922</v>
      </c>
      <c r="S3920" s="158">
        <f t="shared" si="646"/>
        <v>0.20153664303027055</v>
      </c>
      <c r="T3920" s="161">
        <f t="shared" si="647"/>
        <v>79.20390071089632</v>
      </c>
      <c r="U3920" s="158">
        <f t="shared" si="649"/>
        <v>86.40425531914893</v>
      </c>
      <c r="V3920" s="160">
        <f t="shared" si="648"/>
        <v>86</v>
      </c>
    </row>
    <row r="3921" spans="1:22" x14ac:dyDescent="0.25">
      <c r="A3921" s="98" t="s">
        <v>29</v>
      </c>
      <c r="B3921" s="98" t="s">
        <v>17</v>
      </c>
      <c r="C3921" s="98">
        <v>165</v>
      </c>
      <c r="D3921" s="98">
        <v>260</v>
      </c>
      <c r="E3921" s="157">
        <v>41952.75</v>
      </c>
      <c r="F3921" s="157">
        <v>41952.875</v>
      </c>
      <c r="G3921" s="98">
        <v>320</v>
      </c>
      <c r="H3921" s="98">
        <v>423</v>
      </c>
      <c r="I3921" s="98">
        <v>393</v>
      </c>
      <c r="J3921" s="98" t="s">
        <v>1973</v>
      </c>
      <c r="K3921" s="98" t="s">
        <v>2838</v>
      </c>
      <c r="L3921" s="105" t="str">
        <f t="shared" si="640"/>
        <v>Mill Creek</v>
      </c>
      <c r="M3921" s="105" t="str">
        <f t="shared" si="641"/>
        <v>Derate</v>
      </c>
      <c r="N3921" s="105" t="str">
        <f t="shared" si="642"/>
        <v>Coal</v>
      </c>
      <c r="O3921" s="105">
        <f>IFERROR(VLOOKUP(A3921,Lookup!$J$5:$P$19,7,FALSE),0)</f>
        <v>3</v>
      </c>
      <c r="P3921" s="159">
        <f t="shared" si="643"/>
        <v>2014</v>
      </c>
      <c r="Q3921" s="159">
        <f t="shared" si="644"/>
        <v>11</v>
      </c>
      <c r="R3921" s="160">
        <f t="shared" si="645"/>
        <v>3</v>
      </c>
      <c r="S3921" s="158">
        <f t="shared" si="646"/>
        <v>0.73049645390070927</v>
      </c>
      <c r="T3921" s="161">
        <f t="shared" si="647"/>
        <v>287.08510638297872</v>
      </c>
      <c r="U3921" s="158">
        <f t="shared" si="649"/>
        <v>95.695035460992912</v>
      </c>
      <c r="V3921" s="160">
        <f t="shared" si="648"/>
        <v>96</v>
      </c>
    </row>
    <row r="3922" spans="1:22" x14ac:dyDescent="0.25">
      <c r="A3922" s="98" t="s">
        <v>29</v>
      </c>
      <c r="B3922" s="98" t="s">
        <v>105</v>
      </c>
      <c r="C3922" s="98">
        <v>166</v>
      </c>
      <c r="D3922" s="98">
        <v>260</v>
      </c>
      <c r="E3922" s="157">
        <v>41954</v>
      </c>
      <c r="F3922" s="157">
        <v>41954.168749999997</v>
      </c>
      <c r="G3922" s="98">
        <v>320</v>
      </c>
      <c r="H3922" s="98">
        <v>423</v>
      </c>
      <c r="I3922" s="98">
        <v>393</v>
      </c>
      <c r="J3922" s="98" t="s">
        <v>1973</v>
      </c>
      <c r="K3922" s="98" t="s">
        <v>2839</v>
      </c>
      <c r="L3922" s="105" t="str">
        <f t="shared" si="640"/>
        <v>Mill Creek</v>
      </c>
      <c r="M3922" s="105" t="str">
        <f t="shared" si="641"/>
        <v>Derate</v>
      </c>
      <c r="N3922" s="105" t="str">
        <f t="shared" si="642"/>
        <v>Coal</v>
      </c>
      <c r="O3922" s="105">
        <f>IFERROR(VLOOKUP(A3922,Lookup!$J$5:$P$19,7,FALSE),0)</f>
        <v>3</v>
      </c>
      <c r="P3922" s="159">
        <f t="shared" si="643"/>
        <v>2014</v>
      </c>
      <c r="Q3922" s="159">
        <f t="shared" si="644"/>
        <v>11</v>
      </c>
      <c r="R3922" s="160">
        <f t="shared" si="645"/>
        <v>4.0499999999301508</v>
      </c>
      <c r="S3922" s="158">
        <f t="shared" si="646"/>
        <v>0.98617021274894923</v>
      </c>
      <c r="T3922" s="161">
        <f t="shared" si="647"/>
        <v>387.56489361033704</v>
      </c>
      <c r="U3922" s="158">
        <f t="shared" si="649"/>
        <v>95.695035460992912</v>
      </c>
      <c r="V3922" s="160">
        <f t="shared" si="648"/>
        <v>96</v>
      </c>
    </row>
    <row r="3923" spans="1:22" x14ac:dyDescent="0.25">
      <c r="A3923" s="98" t="s">
        <v>29</v>
      </c>
      <c r="B3923" s="98" t="s">
        <v>79</v>
      </c>
      <c r="C3923" s="98">
        <v>167</v>
      </c>
      <c r="D3923" s="98">
        <v>8700</v>
      </c>
      <c r="E3923" s="157">
        <v>41955.302777777775</v>
      </c>
      <c r="F3923" s="157">
        <v>41955.77847222222</v>
      </c>
      <c r="G3923" s="98">
        <v>0</v>
      </c>
      <c r="H3923" s="98">
        <v>423</v>
      </c>
      <c r="I3923" s="98">
        <v>393</v>
      </c>
      <c r="J3923" s="98" t="s">
        <v>1987</v>
      </c>
      <c r="K3923" s="98" t="s">
        <v>2840</v>
      </c>
      <c r="L3923" s="105" t="str">
        <f t="shared" si="640"/>
        <v>Mill Creek</v>
      </c>
      <c r="M3923" s="105" t="str">
        <f t="shared" si="641"/>
        <v>Other</v>
      </c>
      <c r="N3923" s="105" t="str">
        <f t="shared" si="642"/>
        <v>Coal</v>
      </c>
      <c r="O3923" s="105">
        <f>IFERROR(VLOOKUP(A3923,Lookup!$J$5:$P$19,7,FALSE),0)</f>
        <v>3</v>
      </c>
      <c r="P3923" s="159">
        <f t="shared" si="643"/>
        <v>2014</v>
      </c>
      <c r="Q3923" s="159">
        <f t="shared" si="644"/>
        <v>11</v>
      </c>
      <c r="R3923" s="160">
        <f t="shared" si="645"/>
        <v>11.416666666686069</v>
      </c>
      <c r="S3923" s="158">
        <f t="shared" si="646"/>
        <v>11.416666666686069</v>
      </c>
      <c r="T3923" s="161">
        <f t="shared" si="647"/>
        <v>4486.7500000076252</v>
      </c>
      <c r="U3923" s="158">
        <f t="shared" si="649"/>
        <v>393</v>
      </c>
      <c r="V3923" s="160">
        <f t="shared" si="648"/>
        <v>393</v>
      </c>
    </row>
    <row r="3924" spans="1:22" x14ac:dyDescent="0.25">
      <c r="A3924" s="98" t="s">
        <v>29</v>
      </c>
      <c r="B3924" s="98" t="s">
        <v>79</v>
      </c>
      <c r="C3924" s="98">
        <v>168</v>
      </c>
      <c r="D3924" s="98">
        <v>8700</v>
      </c>
      <c r="E3924" s="157">
        <v>41956.305555555555</v>
      </c>
      <c r="F3924" s="157">
        <v>41956.722222222219</v>
      </c>
      <c r="G3924" s="98">
        <v>0</v>
      </c>
      <c r="H3924" s="98">
        <v>423</v>
      </c>
      <c r="I3924" s="98">
        <v>393</v>
      </c>
      <c r="J3924" s="98" t="s">
        <v>1987</v>
      </c>
      <c r="K3924" s="98" t="s">
        <v>2840</v>
      </c>
      <c r="L3924" s="105" t="str">
        <f t="shared" si="640"/>
        <v>Mill Creek</v>
      </c>
      <c r="M3924" s="105" t="str">
        <f t="shared" si="641"/>
        <v>Other</v>
      </c>
      <c r="N3924" s="105" t="str">
        <f t="shared" si="642"/>
        <v>Coal</v>
      </c>
      <c r="O3924" s="105">
        <f>IFERROR(VLOOKUP(A3924,Lookup!$J$5:$P$19,7,FALSE),0)</f>
        <v>3</v>
      </c>
      <c r="P3924" s="159">
        <f t="shared" si="643"/>
        <v>2014</v>
      </c>
      <c r="Q3924" s="159">
        <f t="shared" si="644"/>
        <v>11</v>
      </c>
      <c r="R3924" s="160">
        <f t="shared" si="645"/>
        <v>9.9999999999417923</v>
      </c>
      <c r="S3924" s="158">
        <f t="shared" si="646"/>
        <v>9.9999999999417923</v>
      </c>
      <c r="T3924" s="161">
        <f t="shared" si="647"/>
        <v>3929.9999999771244</v>
      </c>
      <c r="U3924" s="158">
        <f t="shared" si="649"/>
        <v>393</v>
      </c>
      <c r="V3924" s="160">
        <f t="shared" si="648"/>
        <v>393</v>
      </c>
    </row>
    <row r="3925" spans="1:22" x14ac:dyDescent="0.25">
      <c r="A3925" s="98" t="s">
        <v>29</v>
      </c>
      <c r="B3925" s="98" t="s">
        <v>79</v>
      </c>
      <c r="C3925" s="98">
        <v>169</v>
      </c>
      <c r="D3925" s="98">
        <v>8700</v>
      </c>
      <c r="E3925" s="157">
        <v>41957.291666666664</v>
      </c>
      <c r="F3925" s="157">
        <v>41957.529166666667</v>
      </c>
      <c r="G3925" s="98">
        <v>0</v>
      </c>
      <c r="H3925" s="98">
        <v>423</v>
      </c>
      <c r="I3925" s="98">
        <v>393</v>
      </c>
      <c r="J3925" s="98" t="s">
        <v>1987</v>
      </c>
      <c r="K3925" s="98" t="s">
        <v>2841</v>
      </c>
      <c r="L3925" s="105" t="str">
        <f t="shared" si="640"/>
        <v>Mill Creek</v>
      </c>
      <c r="M3925" s="105" t="str">
        <f t="shared" si="641"/>
        <v>Other</v>
      </c>
      <c r="N3925" s="105" t="str">
        <f t="shared" si="642"/>
        <v>Coal</v>
      </c>
      <c r="O3925" s="105">
        <f>IFERROR(VLOOKUP(A3925,Lookup!$J$5:$P$19,7,FALSE),0)</f>
        <v>3</v>
      </c>
      <c r="P3925" s="159">
        <f t="shared" si="643"/>
        <v>2014</v>
      </c>
      <c r="Q3925" s="159">
        <f t="shared" si="644"/>
        <v>11</v>
      </c>
      <c r="R3925" s="160">
        <f t="shared" si="645"/>
        <v>5.7000000000698492</v>
      </c>
      <c r="S3925" s="158">
        <f t="shared" si="646"/>
        <v>5.7000000000698492</v>
      </c>
      <c r="T3925" s="161">
        <f t="shared" si="647"/>
        <v>2240.1000000274507</v>
      </c>
      <c r="U3925" s="158">
        <f t="shared" si="649"/>
        <v>393</v>
      </c>
      <c r="V3925" s="160">
        <f t="shared" si="648"/>
        <v>393</v>
      </c>
    </row>
    <row r="3926" spans="1:22" x14ac:dyDescent="0.25">
      <c r="A3926" s="98" t="s">
        <v>29</v>
      </c>
      <c r="B3926" s="98" t="s">
        <v>17</v>
      </c>
      <c r="C3926" s="98">
        <v>170</v>
      </c>
      <c r="D3926" s="98">
        <v>360</v>
      </c>
      <c r="E3926" s="157">
        <v>41968.411111111112</v>
      </c>
      <c r="F3926" s="157">
        <v>41968.444444444445</v>
      </c>
      <c r="G3926" s="98">
        <v>335</v>
      </c>
      <c r="H3926" s="98">
        <v>423</v>
      </c>
      <c r="I3926" s="98">
        <v>393</v>
      </c>
      <c r="J3926" s="98" t="s">
        <v>229</v>
      </c>
      <c r="K3926" s="98" t="s">
        <v>2837</v>
      </c>
      <c r="L3926" s="105" t="str">
        <f t="shared" si="640"/>
        <v>Mill Creek</v>
      </c>
      <c r="M3926" s="105" t="str">
        <f t="shared" si="641"/>
        <v>Derate</v>
      </c>
      <c r="N3926" s="105" t="str">
        <f t="shared" si="642"/>
        <v>Coal</v>
      </c>
      <c r="O3926" s="105">
        <f>IFERROR(VLOOKUP(A3926,Lookup!$J$5:$P$19,7,FALSE),0)</f>
        <v>3</v>
      </c>
      <c r="P3926" s="159">
        <f t="shared" si="643"/>
        <v>2014</v>
      </c>
      <c r="Q3926" s="159">
        <f t="shared" si="644"/>
        <v>11</v>
      </c>
      <c r="R3926" s="160">
        <f t="shared" si="645"/>
        <v>0.79999999998835847</v>
      </c>
      <c r="S3926" s="158">
        <f t="shared" si="646"/>
        <v>0.16643026004485945</v>
      </c>
      <c r="T3926" s="161">
        <f t="shared" si="647"/>
        <v>65.407092197629765</v>
      </c>
      <c r="U3926" s="158">
        <f t="shared" si="649"/>
        <v>81.758865248226954</v>
      </c>
      <c r="V3926" s="160">
        <f t="shared" si="648"/>
        <v>82</v>
      </c>
    </row>
    <row r="3927" spans="1:22" x14ac:dyDescent="0.25">
      <c r="A3927" s="98" t="s">
        <v>29</v>
      </c>
      <c r="B3927" s="98" t="s">
        <v>17</v>
      </c>
      <c r="C3927" s="98">
        <v>171</v>
      </c>
      <c r="D3927" s="98">
        <v>360</v>
      </c>
      <c r="E3927" s="157">
        <v>41968.61041666667</v>
      </c>
      <c r="F3927" s="157">
        <v>41968.677777777775</v>
      </c>
      <c r="G3927" s="98">
        <v>335</v>
      </c>
      <c r="H3927" s="98">
        <v>423</v>
      </c>
      <c r="I3927" s="98">
        <v>393</v>
      </c>
      <c r="J3927" s="98" t="s">
        <v>229</v>
      </c>
      <c r="K3927" s="98" t="s">
        <v>2837</v>
      </c>
      <c r="L3927" s="105" t="str">
        <f t="shared" si="640"/>
        <v>Mill Creek</v>
      </c>
      <c r="M3927" s="105" t="str">
        <f t="shared" si="641"/>
        <v>Derate</v>
      </c>
      <c r="N3927" s="105" t="str">
        <f t="shared" si="642"/>
        <v>Coal</v>
      </c>
      <c r="O3927" s="105">
        <f>IFERROR(VLOOKUP(A3927,Lookup!$J$5:$P$19,7,FALSE),0)</f>
        <v>3</v>
      </c>
      <c r="P3927" s="159">
        <f t="shared" si="643"/>
        <v>2014</v>
      </c>
      <c r="Q3927" s="159">
        <f t="shared" si="644"/>
        <v>11</v>
      </c>
      <c r="R3927" s="160">
        <f t="shared" si="645"/>
        <v>1.6166666665230878</v>
      </c>
      <c r="S3927" s="158">
        <f t="shared" si="646"/>
        <v>0.33632781714901117</v>
      </c>
      <c r="T3927" s="161">
        <f t="shared" si="647"/>
        <v>132.17683213956138</v>
      </c>
      <c r="U3927" s="158">
        <f t="shared" si="649"/>
        <v>81.758865248226954</v>
      </c>
      <c r="V3927" s="160">
        <f t="shared" si="648"/>
        <v>82</v>
      </c>
    </row>
    <row r="3928" spans="1:22" x14ac:dyDescent="0.25">
      <c r="A3928" s="98" t="s">
        <v>29</v>
      </c>
      <c r="B3928" s="98" t="s">
        <v>17</v>
      </c>
      <c r="C3928" s="98">
        <v>172</v>
      </c>
      <c r="D3928" s="98">
        <v>360</v>
      </c>
      <c r="E3928" s="157">
        <v>41968.777777777781</v>
      </c>
      <c r="F3928" s="157">
        <v>41968.813888888886</v>
      </c>
      <c r="G3928" s="98">
        <v>330</v>
      </c>
      <c r="H3928" s="98">
        <v>423</v>
      </c>
      <c r="I3928" s="98">
        <v>393</v>
      </c>
      <c r="J3928" s="98" t="s">
        <v>229</v>
      </c>
      <c r="K3928" s="98" t="s">
        <v>2837</v>
      </c>
      <c r="L3928" s="105" t="str">
        <f t="shared" si="640"/>
        <v>Mill Creek</v>
      </c>
      <c r="M3928" s="105" t="str">
        <f t="shared" si="641"/>
        <v>Derate</v>
      </c>
      <c r="N3928" s="105" t="str">
        <f t="shared" si="642"/>
        <v>Coal</v>
      </c>
      <c r="O3928" s="105">
        <f>IFERROR(VLOOKUP(A3928,Lookup!$J$5:$P$19,7,FALSE),0)</f>
        <v>3</v>
      </c>
      <c r="P3928" s="159">
        <f t="shared" si="643"/>
        <v>2014</v>
      </c>
      <c r="Q3928" s="159">
        <f t="shared" si="644"/>
        <v>11</v>
      </c>
      <c r="R3928" s="160">
        <f t="shared" si="645"/>
        <v>0.86666666652308777</v>
      </c>
      <c r="S3928" s="158">
        <f t="shared" si="646"/>
        <v>0.19054373519301929</v>
      </c>
      <c r="T3928" s="161">
        <f t="shared" si="647"/>
        <v>74.883687930856581</v>
      </c>
      <c r="U3928" s="158">
        <f t="shared" si="649"/>
        <v>86.40425531914893</v>
      </c>
      <c r="V3928" s="160">
        <f t="shared" si="648"/>
        <v>86</v>
      </c>
    </row>
    <row r="3929" spans="1:22" x14ac:dyDescent="0.25">
      <c r="A3929" s="98" t="s">
        <v>29</v>
      </c>
      <c r="B3929" s="98" t="s">
        <v>17</v>
      </c>
      <c r="C3929" s="98">
        <v>173</v>
      </c>
      <c r="D3929" s="98">
        <v>360</v>
      </c>
      <c r="E3929" s="157">
        <v>41972.868055555555</v>
      </c>
      <c r="F3929" s="157">
        <v>41972.924305555556</v>
      </c>
      <c r="G3929" s="98">
        <v>330</v>
      </c>
      <c r="H3929" s="98">
        <v>423</v>
      </c>
      <c r="I3929" s="98">
        <v>393</v>
      </c>
      <c r="J3929" s="98" t="s">
        <v>229</v>
      </c>
      <c r="K3929" s="98" t="s">
        <v>2825</v>
      </c>
      <c r="L3929" s="105" t="str">
        <f t="shared" si="640"/>
        <v>Mill Creek</v>
      </c>
      <c r="M3929" s="105" t="str">
        <f t="shared" si="641"/>
        <v>Derate</v>
      </c>
      <c r="N3929" s="105" t="str">
        <f t="shared" si="642"/>
        <v>Coal</v>
      </c>
      <c r="O3929" s="105">
        <f>IFERROR(VLOOKUP(A3929,Lookup!$J$5:$P$19,7,FALSE),0)</f>
        <v>3</v>
      </c>
      <c r="P3929" s="159">
        <f t="shared" si="643"/>
        <v>2014</v>
      </c>
      <c r="Q3929" s="159">
        <f t="shared" si="644"/>
        <v>11</v>
      </c>
      <c r="R3929" s="160">
        <f t="shared" si="645"/>
        <v>1.3500000000349246</v>
      </c>
      <c r="S3929" s="158">
        <f t="shared" si="646"/>
        <v>0.29680851064597635</v>
      </c>
      <c r="T3929" s="161">
        <f t="shared" si="647"/>
        <v>116.64574468386871</v>
      </c>
      <c r="U3929" s="158">
        <f t="shared" si="649"/>
        <v>86.40425531914893</v>
      </c>
      <c r="V3929" s="160">
        <f t="shared" si="648"/>
        <v>86</v>
      </c>
    </row>
    <row r="3930" spans="1:22" x14ac:dyDescent="0.25">
      <c r="A3930" s="98" t="s">
        <v>29</v>
      </c>
      <c r="B3930" s="98" t="s">
        <v>105</v>
      </c>
      <c r="C3930" s="98">
        <v>174</v>
      </c>
      <c r="D3930" s="98">
        <v>1160</v>
      </c>
      <c r="E3930" s="157">
        <v>41977.999305555553</v>
      </c>
      <c r="F3930" s="157">
        <v>41978.166666666664</v>
      </c>
      <c r="G3930" s="98">
        <v>300</v>
      </c>
      <c r="H3930" s="98">
        <v>423</v>
      </c>
      <c r="I3930" s="98">
        <v>393</v>
      </c>
      <c r="J3930" s="98" t="s">
        <v>2273</v>
      </c>
      <c r="K3930" s="98" t="s">
        <v>51</v>
      </c>
      <c r="L3930" s="105" t="str">
        <f t="shared" si="640"/>
        <v>Mill Creek</v>
      </c>
      <c r="M3930" s="105" t="str">
        <f t="shared" si="641"/>
        <v>Derate</v>
      </c>
      <c r="N3930" s="105" t="str">
        <f t="shared" si="642"/>
        <v>Coal</v>
      </c>
      <c r="O3930" s="105">
        <f>IFERROR(VLOOKUP(A3930,Lookup!$J$5:$P$19,7,FALSE),0)</f>
        <v>3</v>
      </c>
      <c r="P3930" s="159">
        <f t="shared" si="643"/>
        <v>2014</v>
      </c>
      <c r="Q3930" s="159">
        <f t="shared" si="644"/>
        <v>12</v>
      </c>
      <c r="R3930" s="160">
        <f t="shared" si="645"/>
        <v>4.0166666666627862</v>
      </c>
      <c r="S3930" s="158">
        <f t="shared" si="646"/>
        <v>1.1679669030721578</v>
      </c>
      <c r="T3930" s="161">
        <f t="shared" si="647"/>
        <v>459.010992907358</v>
      </c>
      <c r="U3930" s="158">
        <f t="shared" si="649"/>
        <v>114.27659574468085</v>
      </c>
      <c r="V3930" s="160">
        <f t="shared" si="648"/>
        <v>114</v>
      </c>
    </row>
    <row r="3931" spans="1:22" x14ac:dyDescent="0.25">
      <c r="A3931" s="98" t="s">
        <v>29</v>
      </c>
      <c r="B3931" s="98" t="s">
        <v>79</v>
      </c>
      <c r="C3931" s="98">
        <v>175</v>
      </c>
      <c r="D3931" s="98">
        <v>1160</v>
      </c>
      <c r="E3931" s="157">
        <v>41978.977777777778</v>
      </c>
      <c r="F3931" s="157">
        <v>41979.097222222219</v>
      </c>
      <c r="G3931" s="98">
        <v>0</v>
      </c>
      <c r="H3931" s="98">
        <v>423</v>
      </c>
      <c r="I3931" s="98">
        <v>393</v>
      </c>
      <c r="J3931" s="98" t="s">
        <v>2273</v>
      </c>
      <c r="K3931" s="98" t="s">
        <v>2674</v>
      </c>
      <c r="L3931" s="105" t="str">
        <f t="shared" si="640"/>
        <v>Mill Creek</v>
      </c>
      <c r="M3931" s="105" t="str">
        <f t="shared" si="641"/>
        <v>Other</v>
      </c>
      <c r="N3931" s="105" t="str">
        <f t="shared" si="642"/>
        <v>Coal</v>
      </c>
      <c r="O3931" s="105">
        <f>IFERROR(VLOOKUP(A3931,Lookup!$J$5:$P$19,7,FALSE),0)</f>
        <v>3</v>
      </c>
      <c r="P3931" s="159">
        <f t="shared" si="643"/>
        <v>2014</v>
      </c>
      <c r="Q3931" s="159">
        <f t="shared" si="644"/>
        <v>12</v>
      </c>
      <c r="R3931" s="160">
        <f t="shared" si="645"/>
        <v>2.8666666665812954</v>
      </c>
      <c r="S3931" s="158">
        <f t="shared" si="646"/>
        <v>2.8666666665812954</v>
      </c>
      <c r="T3931" s="161">
        <f t="shared" si="647"/>
        <v>1126.5999999664491</v>
      </c>
      <c r="U3931" s="158">
        <f t="shared" si="649"/>
        <v>393</v>
      </c>
      <c r="V3931" s="160">
        <f t="shared" si="648"/>
        <v>393</v>
      </c>
    </row>
    <row r="3932" spans="1:22" x14ac:dyDescent="0.25">
      <c r="A3932" s="98" t="s">
        <v>29</v>
      </c>
      <c r="B3932" s="98" t="s">
        <v>79</v>
      </c>
      <c r="C3932" s="98">
        <v>176</v>
      </c>
      <c r="D3932" s="98">
        <v>1160</v>
      </c>
      <c r="E3932" s="157">
        <v>41980</v>
      </c>
      <c r="F3932" s="157">
        <v>41980.175000000003</v>
      </c>
      <c r="G3932" s="98">
        <v>0</v>
      </c>
      <c r="H3932" s="98">
        <v>423</v>
      </c>
      <c r="I3932" s="98">
        <v>393</v>
      </c>
      <c r="J3932" s="98" t="s">
        <v>2273</v>
      </c>
      <c r="K3932" s="98" t="s">
        <v>2674</v>
      </c>
      <c r="L3932" s="105" t="str">
        <f t="shared" si="640"/>
        <v>Mill Creek</v>
      </c>
      <c r="M3932" s="105" t="str">
        <f t="shared" si="641"/>
        <v>Other</v>
      </c>
      <c r="N3932" s="105" t="str">
        <f t="shared" si="642"/>
        <v>Coal</v>
      </c>
      <c r="O3932" s="105">
        <f>IFERROR(VLOOKUP(A3932,Lookup!$J$5:$P$19,7,FALSE),0)</f>
        <v>3</v>
      </c>
      <c r="P3932" s="159">
        <f t="shared" si="643"/>
        <v>2014</v>
      </c>
      <c r="Q3932" s="159">
        <f t="shared" si="644"/>
        <v>12</v>
      </c>
      <c r="R3932" s="160">
        <f t="shared" si="645"/>
        <v>4.2000000000698492</v>
      </c>
      <c r="S3932" s="158">
        <f t="shared" si="646"/>
        <v>4.2000000000698492</v>
      </c>
      <c r="T3932" s="161">
        <f t="shared" si="647"/>
        <v>1650.6000000274507</v>
      </c>
      <c r="U3932" s="158">
        <f t="shared" si="649"/>
        <v>393</v>
      </c>
      <c r="V3932" s="160">
        <f t="shared" si="648"/>
        <v>393</v>
      </c>
    </row>
    <row r="3933" spans="1:22" x14ac:dyDescent="0.25">
      <c r="A3933" s="98" t="s">
        <v>29</v>
      </c>
      <c r="B3933" s="98" t="s">
        <v>17</v>
      </c>
      <c r="C3933" s="98">
        <v>177</v>
      </c>
      <c r="D3933" s="98">
        <v>360</v>
      </c>
      <c r="E3933" s="157">
        <v>41982.669444444444</v>
      </c>
      <c r="F3933" s="157">
        <v>41982.743055555555</v>
      </c>
      <c r="G3933" s="98">
        <v>320</v>
      </c>
      <c r="H3933" s="98">
        <v>423</v>
      </c>
      <c r="I3933" s="98">
        <v>393</v>
      </c>
      <c r="J3933" s="98" t="s">
        <v>229</v>
      </c>
      <c r="K3933" s="98" t="s">
        <v>2837</v>
      </c>
      <c r="L3933" s="105" t="str">
        <f t="shared" si="640"/>
        <v>Mill Creek</v>
      </c>
      <c r="M3933" s="105" t="str">
        <f t="shared" si="641"/>
        <v>Derate</v>
      </c>
      <c r="N3933" s="105" t="str">
        <f t="shared" si="642"/>
        <v>Coal</v>
      </c>
      <c r="O3933" s="105">
        <f>IFERROR(VLOOKUP(A3933,Lookup!$J$5:$P$19,7,FALSE),0)</f>
        <v>3</v>
      </c>
      <c r="P3933" s="159">
        <f t="shared" si="643"/>
        <v>2014</v>
      </c>
      <c r="Q3933" s="159">
        <f t="shared" si="644"/>
        <v>12</v>
      </c>
      <c r="R3933" s="160">
        <f t="shared" si="645"/>
        <v>1.7666666666627862</v>
      </c>
      <c r="S3933" s="158">
        <f t="shared" si="646"/>
        <v>0.4301812450739172</v>
      </c>
      <c r="T3933" s="161">
        <f t="shared" si="647"/>
        <v>169.06122931404946</v>
      </c>
      <c r="U3933" s="158">
        <f t="shared" si="649"/>
        <v>95.695035460992912</v>
      </c>
      <c r="V3933" s="160">
        <f t="shared" si="648"/>
        <v>96</v>
      </c>
    </row>
    <row r="3934" spans="1:22" x14ac:dyDescent="0.25">
      <c r="A3934" s="98" t="s">
        <v>29</v>
      </c>
      <c r="B3934" s="98" t="s">
        <v>17</v>
      </c>
      <c r="C3934" s="98">
        <v>178</v>
      </c>
      <c r="D3934" s="98">
        <v>1850</v>
      </c>
      <c r="E3934" s="157">
        <v>41983.625</v>
      </c>
      <c r="F3934" s="157">
        <v>41983.848611111112</v>
      </c>
      <c r="G3934" s="98">
        <v>388</v>
      </c>
      <c r="H3934" s="98">
        <v>423</v>
      </c>
      <c r="I3934" s="98">
        <v>393</v>
      </c>
      <c r="J3934" s="98" t="s">
        <v>2263</v>
      </c>
      <c r="K3934" s="98" t="s">
        <v>41</v>
      </c>
      <c r="L3934" s="105" t="str">
        <f t="shared" si="640"/>
        <v>Mill Creek</v>
      </c>
      <c r="M3934" s="105" t="str">
        <f t="shared" si="641"/>
        <v>Derate</v>
      </c>
      <c r="N3934" s="105" t="str">
        <f t="shared" si="642"/>
        <v>Coal</v>
      </c>
      <c r="O3934" s="105">
        <f>IFERROR(VLOOKUP(A3934,Lookup!$J$5:$P$19,7,FALSE),0)</f>
        <v>3</v>
      </c>
      <c r="P3934" s="159">
        <f t="shared" si="643"/>
        <v>2014</v>
      </c>
      <c r="Q3934" s="159">
        <f t="shared" si="644"/>
        <v>12</v>
      </c>
      <c r="R3934" s="160">
        <f t="shared" si="645"/>
        <v>5.3666666666977108</v>
      </c>
      <c r="S3934" s="158">
        <f t="shared" si="646"/>
        <v>0.44405043341470418</v>
      </c>
      <c r="T3934" s="161">
        <f t="shared" si="647"/>
        <v>174.51182033197875</v>
      </c>
      <c r="U3934" s="158">
        <f t="shared" si="649"/>
        <v>32.5177304964539</v>
      </c>
      <c r="V3934" s="160">
        <f t="shared" si="648"/>
        <v>33</v>
      </c>
    </row>
    <row r="3935" spans="1:22" x14ac:dyDescent="0.25">
      <c r="A3935" s="98" t="s">
        <v>29</v>
      </c>
      <c r="B3935" s="98" t="s">
        <v>17</v>
      </c>
      <c r="C3935" s="98">
        <v>179</v>
      </c>
      <c r="D3935" s="98">
        <v>1850</v>
      </c>
      <c r="E3935" s="157">
        <v>41983.848611111112</v>
      </c>
      <c r="F3935" s="157">
        <v>41983.904861111114</v>
      </c>
      <c r="G3935" s="98">
        <v>367</v>
      </c>
      <c r="H3935" s="98">
        <v>423</v>
      </c>
      <c r="I3935" s="98">
        <v>393</v>
      </c>
      <c r="J3935" s="98" t="s">
        <v>2263</v>
      </c>
      <c r="K3935" s="98" t="s">
        <v>41</v>
      </c>
      <c r="L3935" s="105" t="str">
        <f t="shared" si="640"/>
        <v>Mill Creek</v>
      </c>
      <c r="M3935" s="105" t="str">
        <f t="shared" si="641"/>
        <v>Derate</v>
      </c>
      <c r="N3935" s="105" t="str">
        <f t="shared" si="642"/>
        <v>Coal</v>
      </c>
      <c r="O3935" s="105">
        <f>IFERROR(VLOOKUP(A3935,Lookup!$J$5:$P$19,7,FALSE),0)</f>
        <v>3</v>
      </c>
      <c r="P3935" s="159">
        <f t="shared" si="643"/>
        <v>2014</v>
      </c>
      <c r="Q3935" s="159">
        <f t="shared" si="644"/>
        <v>12</v>
      </c>
      <c r="R3935" s="160">
        <f t="shared" si="645"/>
        <v>1.3500000000349246</v>
      </c>
      <c r="S3935" s="158">
        <f t="shared" si="646"/>
        <v>0.17872340425994274</v>
      </c>
      <c r="T3935" s="161">
        <f t="shared" si="647"/>
        <v>70.238297874157496</v>
      </c>
      <c r="U3935" s="158">
        <f t="shared" si="649"/>
        <v>52.028368794326241</v>
      </c>
      <c r="V3935" s="160">
        <f t="shared" si="648"/>
        <v>52</v>
      </c>
    </row>
    <row r="3936" spans="1:22" x14ac:dyDescent="0.25">
      <c r="A3936" s="98" t="s">
        <v>29</v>
      </c>
      <c r="B3936" s="98" t="s">
        <v>17</v>
      </c>
      <c r="C3936" s="98">
        <v>180</v>
      </c>
      <c r="D3936" s="98">
        <v>1850</v>
      </c>
      <c r="E3936" s="157">
        <v>41983.904861111114</v>
      </c>
      <c r="F3936" s="157">
        <v>41987.069444444445</v>
      </c>
      <c r="G3936" s="98">
        <v>325</v>
      </c>
      <c r="H3936" s="98">
        <v>423</v>
      </c>
      <c r="I3936" s="98">
        <v>393</v>
      </c>
      <c r="J3936" s="98" t="s">
        <v>2263</v>
      </c>
      <c r="K3936" s="98" t="s">
        <v>41</v>
      </c>
      <c r="L3936" s="105" t="str">
        <f t="shared" si="640"/>
        <v>Mill Creek</v>
      </c>
      <c r="M3936" s="105" t="str">
        <f t="shared" si="641"/>
        <v>Derate</v>
      </c>
      <c r="N3936" s="105" t="str">
        <f t="shared" si="642"/>
        <v>Coal</v>
      </c>
      <c r="O3936" s="105">
        <f>IFERROR(VLOOKUP(A3936,Lookup!$J$5:$P$19,7,FALSE),0)</f>
        <v>3</v>
      </c>
      <c r="P3936" s="159">
        <f t="shared" si="643"/>
        <v>2014</v>
      </c>
      <c r="Q3936" s="159">
        <f t="shared" si="644"/>
        <v>12</v>
      </c>
      <c r="R3936" s="160">
        <f t="shared" si="645"/>
        <v>75.949999999953434</v>
      </c>
      <c r="S3936" s="158">
        <f t="shared" si="646"/>
        <v>17.595981087459659</v>
      </c>
      <c r="T3936" s="161">
        <f t="shared" si="647"/>
        <v>6915.2205673716462</v>
      </c>
      <c r="U3936" s="158">
        <f t="shared" si="649"/>
        <v>91.049645390070921</v>
      </c>
      <c r="V3936" s="160">
        <f t="shared" si="648"/>
        <v>91</v>
      </c>
    </row>
    <row r="3937" spans="1:22" x14ac:dyDescent="0.25">
      <c r="A3937" s="98" t="s">
        <v>29</v>
      </c>
      <c r="B3937" s="98" t="s">
        <v>17</v>
      </c>
      <c r="C3937" s="98">
        <v>181</v>
      </c>
      <c r="D3937" s="98">
        <v>8280</v>
      </c>
      <c r="E3937" s="157">
        <v>41983.930555555555</v>
      </c>
      <c r="F3937" s="157">
        <v>41983.954861111109</v>
      </c>
      <c r="G3937" s="98">
        <v>215</v>
      </c>
      <c r="H3937" s="98">
        <v>423</v>
      </c>
      <c r="I3937" s="98">
        <v>393</v>
      </c>
      <c r="J3937" s="98" t="s">
        <v>2255</v>
      </c>
      <c r="K3937" s="98" t="s">
        <v>2842</v>
      </c>
      <c r="L3937" s="105" t="str">
        <f t="shared" si="640"/>
        <v>Mill Creek</v>
      </c>
      <c r="M3937" s="105" t="str">
        <f t="shared" si="641"/>
        <v>Derate</v>
      </c>
      <c r="N3937" s="105" t="str">
        <f t="shared" si="642"/>
        <v>Coal</v>
      </c>
      <c r="O3937" s="105">
        <f>IFERROR(VLOOKUP(A3937,Lookup!$J$5:$P$19,7,FALSE),0)</f>
        <v>3</v>
      </c>
      <c r="P3937" s="159">
        <f t="shared" si="643"/>
        <v>2014</v>
      </c>
      <c r="Q3937" s="159">
        <f t="shared" si="644"/>
        <v>12</v>
      </c>
      <c r="R3937" s="160">
        <f t="shared" si="645"/>
        <v>0.58333333331393078</v>
      </c>
      <c r="S3937" s="158">
        <f t="shared" si="646"/>
        <v>0.28684003151134185</v>
      </c>
      <c r="T3937" s="161">
        <f t="shared" si="647"/>
        <v>112.72813238395734</v>
      </c>
      <c r="U3937" s="158">
        <f t="shared" si="649"/>
        <v>193.24822695035462</v>
      </c>
      <c r="V3937" s="160">
        <f t="shared" si="648"/>
        <v>193</v>
      </c>
    </row>
    <row r="3938" spans="1:22" x14ac:dyDescent="0.25">
      <c r="A3938" s="98" t="s">
        <v>29</v>
      </c>
      <c r="B3938" s="98" t="s">
        <v>20</v>
      </c>
      <c r="C3938" s="98">
        <v>182</v>
      </c>
      <c r="D3938" s="98">
        <v>3110</v>
      </c>
      <c r="E3938" s="157">
        <v>41987.069444444445</v>
      </c>
      <c r="F3938" s="157">
        <v>41989.021527777775</v>
      </c>
      <c r="G3938" s="98">
        <v>0</v>
      </c>
      <c r="H3938" s="98">
        <v>423</v>
      </c>
      <c r="I3938" s="98">
        <v>393</v>
      </c>
      <c r="J3938" s="98" t="s">
        <v>2119</v>
      </c>
      <c r="K3938" s="98" t="s">
        <v>55</v>
      </c>
      <c r="L3938" s="105" t="str">
        <f t="shared" si="640"/>
        <v>Mill Creek</v>
      </c>
      <c r="M3938" s="105" t="str">
        <f t="shared" si="641"/>
        <v>Maintenance</v>
      </c>
      <c r="N3938" s="105" t="str">
        <f t="shared" si="642"/>
        <v>Coal</v>
      </c>
      <c r="O3938" s="105">
        <f>IFERROR(VLOOKUP(A3938,Lookup!$J$5:$P$19,7,FALSE),0)</f>
        <v>3</v>
      </c>
      <c r="P3938" s="159">
        <f t="shared" si="643"/>
        <v>2014</v>
      </c>
      <c r="Q3938" s="159">
        <f t="shared" si="644"/>
        <v>12</v>
      </c>
      <c r="R3938" s="160">
        <f t="shared" si="645"/>
        <v>46.849999999918509</v>
      </c>
      <c r="S3938" s="158">
        <f t="shared" si="646"/>
        <v>46.849999999918509</v>
      </c>
      <c r="T3938" s="161">
        <f t="shared" si="647"/>
        <v>18412.049999967974</v>
      </c>
      <c r="U3938" s="158">
        <f t="shared" si="649"/>
        <v>393</v>
      </c>
      <c r="V3938" s="160">
        <f t="shared" si="648"/>
        <v>393</v>
      </c>
    </row>
    <row r="3939" spans="1:22" x14ac:dyDescent="0.25">
      <c r="A3939" s="98" t="s">
        <v>29</v>
      </c>
      <c r="B3939" s="98" t="s">
        <v>79</v>
      </c>
      <c r="C3939" s="98">
        <v>183</v>
      </c>
      <c r="D3939" s="98">
        <v>1850</v>
      </c>
      <c r="E3939" s="157">
        <v>41989.021527777775</v>
      </c>
      <c r="F3939" s="157">
        <v>41989.521527777775</v>
      </c>
      <c r="G3939" s="98">
        <v>0</v>
      </c>
      <c r="H3939" s="98">
        <v>423</v>
      </c>
      <c r="I3939" s="98">
        <v>393</v>
      </c>
      <c r="J3939" s="98" t="s">
        <v>2263</v>
      </c>
      <c r="K3939" s="98" t="s">
        <v>85</v>
      </c>
      <c r="L3939" s="105" t="str">
        <f t="shared" si="640"/>
        <v>Mill Creek</v>
      </c>
      <c r="M3939" s="105" t="str">
        <f t="shared" si="641"/>
        <v>Other</v>
      </c>
      <c r="N3939" s="105" t="str">
        <f t="shared" si="642"/>
        <v>Coal</v>
      </c>
      <c r="O3939" s="105">
        <f>IFERROR(VLOOKUP(A3939,Lookup!$J$5:$P$19,7,FALSE),0)</f>
        <v>3</v>
      </c>
      <c r="P3939" s="159">
        <f t="shared" si="643"/>
        <v>2014</v>
      </c>
      <c r="Q3939" s="159">
        <f t="shared" si="644"/>
        <v>12</v>
      </c>
      <c r="R3939" s="160">
        <f t="shared" si="645"/>
        <v>12</v>
      </c>
      <c r="S3939" s="158">
        <f t="shared" si="646"/>
        <v>12</v>
      </c>
      <c r="T3939" s="161">
        <f t="shared" si="647"/>
        <v>4716</v>
      </c>
      <c r="U3939" s="158">
        <f t="shared" si="649"/>
        <v>393</v>
      </c>
      <c r="V3939" s="160">
        <f t="shared" si="648"/>
        <v>393</v>
      </c>
    </row>
    <row r="3940" spans="1:22" x14ac:dyDescent="0.25">
      <c r="A3940" s="98" t="s">
        <v>29</v>
      </c>
      <c r="B3940" s="98" t="s">
        <v>17</v>
      </c>
      <c r="C3940" s="98">
        <v>184</v>
      </c>
      <c r="D3940" s="98">
        <v>1850</v>
      </c>
      <c r="E3940" s="157">
        <v>41989.521527777775</v>
      </c>
      <c r="F3940" s="157">
        <v>41989.587500000001</v>
      </c>
      <c r="G3940" s="98">
        <v>240</v>
      </c>
      <c r="H3940" s="98">
        <v>423</v>
      </c>
      <c r="I3940" s="98">
        <v>393</v>
      </c>
      <c r="J3940" s="98" t="s">
        <v>2263</v>
      </c>
      <c r="K3940" s="98" t="s">
        <v>41</v>
      </c>
      <c r="L3940" s="105" t="str">
        <f t="shared" si="640"/>
        <v>Mill Creek</v>
      </c>
      <c r="M3940" s="105" t="str">
        <f t="shared" si="641"/>
        <v>Derate</v>
      </c>
      <c r="N3940" s="105" t="str">
        <f t="shared" si="642"/>
        <v>Coal</v>
      </c>
      <c r="O3940" s="105">
        <f>IFERROR(VLOOKUP(A3940,Lookup!$J$5:$P$19,7,FALSE),0)</f>
        <v>3</v>
      </c>
      <c r="P3940" s="159">
        <f t="shared" si="643"/>
        <v>2014</v>
      </c>
      <c r="Q3940" s="159">
        <f t="shared" si="644"/>
        <v>12</v>
      </c>
      <c r="R3940" s="160">
        <f t="shared" si="645"/>
        <v>1.5833333334303461</v>
      </c>
      <c r="S3940" s="158">
        <f t="shared" si="646"/>
        <v>0.68498817971100079</v>
      </c>
      <c r="T3940" s="161">
        <f t="shared" si="647"/>
        <v>269.20035462642329</v>
      </c>
      <c r="U3940" s="158">
        <f t="shared" si="649"/>
        <v>170.02127659574469</v>
      </c>
      <c r="V3940" s="160">
        <f t="shared" si="648"/>
        <v>170</v>
      </c>
    </row>
    <row r="3941" spans="1:22" x14ac:dyDescent="0.25">
      <c r="A3941" s="98" t="s">
        <v>29</v>
      </c>
      <c r="B3941" s="98" t="s">
        <v>17</v>
      </c>
      <c r="C3941" s="98">
        <v>185</v>
      </c>
      <c r="D3941" s="98">
        <v>1850</v>
      </c>
      <c r="E3941" s="157">
        <v>41989.587500000001</v>
      </c>
      <c r="F3941" s="157">
        <v>41989.942361111112</v>
      </c>
      <c r="G3941" s="98">
        <v>335</v>
      </c>
      <c r="H3941" s="98">
        <v>423</v>
      </c>
      <c r="I3941" s="98">
        <v>393</v>
      </c>
      <c r="J3941" s="98" t="s">
        <v>2263</v>
      </c>
      <c r="K3941" s="98" t="s">
        <v>41</v>
      </c>
      <c r="L3941" s="105" t="str">
        <f t="shared" ref="L3941:L4004" si="650">IF(OR(A3941="BR1",A3941="BR2",A3941="BR3",A3941="BR5",A3941="BR6",A3941="BR7",A3941="BR8",A3941="BR9",A3941="BR10",A3941="BR11"),"Brown",IF(OR(A3941="CR4",A3941="CR5",A3941="CR6",A3941="CR11"),"Cane Run",IF(OR(A3941="GH1",A3941="GH2",A3941="GH3",A3941="GH4"),"Ghent",IF(OR(A3941="GR3",A3941="GR4"),"Green River",IF(OR(A3941="MC1",A3941="MC2",A3941="MC3",A3941="MC4"),"Mill Creek",IF(OR(A3941="TC1",A3941="TC2",A3941="TC5",A3941="TC6",A3941="TC7",A3941="TC8",A3941="TC9",A3941="TC10"),"Trimble",IF(A3941="TY3","Tyrone",IF(OR(A3941="HA1",A3941="HA2",A3941="HA3"),"Haeflin",IF(OR(A3941="PR11",A3941="PR12",A3941="PR13"),"Paddy's Run","Zorn")))))))))</f>
        <v>Mill Creek</v>
      </c>
      <c r="M3941" s="105" t="str">
        <f t="shared" ref="M3941:M4004" si="651">IF(OR(B3941="D1",B3941="D2",B3941="D3",B3941="D4",B3941="PD"),"Derate",IF(OR(B3941="SF",B3941="U1",B3941="U2",B3941="U3"),"Outage",IF(OR(B3941="ME",B3941="MO"),"Maintenance","Other")))</f>
        <v>Derate</v>
      </c>
      <c r="N3941" s="105" t="str">
        <f t="shared" ref="N3941:N4004" si="652">IF(OR(A3941="BR1",A3941="BR2",A3941="BR3",A3941="CR4",A3941="CR5",A3941="CR6",A3941="GH1",A3941="GH2",A3941="GH3",A3941="GH4",A3941="GR3",A3941="GR4",A3941="MC1",A3941="MC2",A3941="MC3",A3941="MC4",A3941="TC1",A3941="TC2",A3941="TY3"),"Coal","Gas")</f>
        <v>Coal</v>
      </c>
      <c r="O3941" s="105">
        <f>IFERROR(VLOOKUP(A3941,Lookup!$J$5:$P$19,7,FALSE),0)</f>
        <v>3</v>
      </c>
      <c r="P3941" s="159">
        <f t="shared" ref="P3941:P4004" si="653">YEAR(E3941)</f>
        <v>2014</v>
      </c>
      <c r="Q3941" s="159">
        <f t="shared" ref="Q3941:Q4004" si="654">MONTH(E3941)</f>
        <v>12</v>
      </c>
      <c r="R3941" s="160">
        <f t="shared" ref="R3941:R4004" si="655">(F3941-E3941)*24</f>
        <v>8.5166666666627862</v>
      </c>
      <c r="S3941" s="158">
        <f t="shared" ref="S3941:S4004" si="656">R3941*(H3941-G3941)/H3941</f>
        <v>1.7717888100858752</v>
      </c>
      <c r="T3941" s="161">
        <f t="shared" ref="T3941:T4004" si="657">S3941*I3941</f>
        <v>696.31300236374898</v>
      </c>
      <c r="U3941" s="158">
        <f t="shared" si="649"/>
        <v>81.758865248226954</v>
      </c>
      <c r="V3941" s="160">
        <f t="shared" ref="V3941:V4004" si="658">ROUND(U3941,0)</f>
        <v>82</v>
      </c>
    </row>
    <row r="3942" spans="1:22" x14ac:dyDescent="0.25">
      <c r="A3942" s="98" t="s">
        <v>29</v>
      </c>
      <c r="B3942" s="98" t="s">
        <v>17</v>
      </c>
      <c r="C3942" s="98">
        <v>186</v>
      </c>
      <c r="D3942" s="98">
        <v>1850</v>
      </c>
      <c r="E3942" s="157">
        <v>41989.942361111112</v>
      </c>
      <c r="F3942" s="157">
        <v>41990.333333333336</v>
      </c>
      <c r="G3942" s="98">
        <v>400</v>
      </c>
      <c r="H3942" s="98">
        <v>423</v>
      </c>
      <c r="I3942" s="98">
        <v>393</v>
      </c>
      <c r="J3942" s="98" t="s">
        <v>2263</v>
      </c>
      <c r="K3942" s="98" t="s">
        <v>41</v>
      </c>
      <c r="L3942" s="105" t="str">
        <f t="shared" si="650"/>
        <v>Mill Creek</v>
      </c>
      <c r="M3942" s="105" t="str">
        <f t="shared" si="651"/>
        <v>Derate</v>
      </c>
      <c r="N3942" s="105" t="str">
        <f t="shared" si="652"/>
        <v>Coal</v>
      </c>
      <c r="O3942" s="105">
        <f>IFERROR(VLOOKUP(A3942,Lookup!$J$5:$P$19,7,FALSE),0)</f>
        <v>3</v>
      </c>
      <c r="P3942" s="159">
        <f t="shared" si="653"/>
        <v>2014</v>
      </c>
      <c r="Q3942" s="159">
        <f t="shared" si="654"/>
        <v>12</v>
      </c>
      <c r="R3942" s="160">
        <f t="shared" si="655"/>
        <v>9.3833333333604969</v>
      </c>
      <c r="S3942" s="158">
        <f t="shared" si="656"/>
        <v>0.5102048857382776</v>
      </c>
      <c r="T3942" s="161">
        <f t="shared" si="657"/>
        <v>200.51052009514311</v>
      </c>
      <c r="U3942" s="158">
        <f t="shared" ref="U3942:U4005" si="659">IF(G3942&gt;0,MAX((H3942-G3942),0)*I3942/H3942,I3942)</f>
        <v>21.368794326241133</v>
      </c>
      <c r="V3942" s="160">
        <f t="shared" si="658"/>
        <v>21</v>
      </c>
    </row>
    <row r="3943" spans="1:22" x14ac:dyDescent="0.25">
      <c r="A3943" s="98" t="s">
        <v>29</v>
      </c>
      <c r="B3943" s="98" t="s">
        <v>17</v>
      </c>
      <c r="C3943" s="98">
        <v>187</v>
      </c>
      <c r="D3943" s="98">
        <v>1160</v>
      </c>
      <c r="E3943" s="157">
        <v>41992.989583333336</v>
      </c>
      <c r="F3943" s="157">
        <v>41993.190972222219</v>
      </c>
      <c r="G3943" s="98">
        <v>210</v>
      </c>
      <c r="H3943" s="98">
        <v>423</v>
      </c>
      <c r="I3943" s="98">
        <v>393</v>
      </c>
      <c r="J3943" s="98" t="s">
        <v>2273</v>
      </c>
      <c r="K3943" s="98" t="s">
        <v>51</v>
      </c>
      <c r="L3943" s="105" t="str">
        <f t="shared" si="650"/>
        <v>Mill Creek</v>
      </c>
      <c r="M3943" s="105" t="str">
        <f t="shared" si="651"/>
        <v>Derate</v>
      </c>
      <c r="N3943" s="105" t="str">
        <f t="shared" si="652"/>
        <v>Coal</v>
      </c>
      <c r="O3943" s="105">
        <f>IFERROR(VLOOKUP(A3943,Lookup!$J$5:$P$19,7,FALSE),0)</f>
        <v>3</v>
      </c>
      <c r="P3943" s="159">
        <f t="shared" si="653"/>
        <v>2014</v>
      </c>
      <c r="Q3943" s="159">
        <f t="shared" si="654"/>
        <v>12</v>
      </c>
      <c r="R3943" s="160">
        <f t="shared" si="655"/>
        <v>4.8333333331975155</v>
      </c>
      <c r="S3943" s="158">
        <f t="shared" si="656"/>
        <v>2.4338061465037133</v>
      </c>
      <c r="T3943" s="161">
        <f t="shared" si="657"/>
        <v>956.48581557595935</v>
      </c>
      <c r="U3943" s="158">
        <f t="shared" si="659"/>
        <v>197.89361702127658</v>
      </c>
      <c r="V3943" s="160">
        <f t="shared" si="658"/>
        <v>198</v>
      </c>
    </row>
    <row r="3944" spans="1:22" x14ac:dyDescent="0.25">
      <c r="A3944" s="98" t="s">
        <v>29</v>
      </c>
      <c r="B3944" s="98" t="s">
        <v>17</v>
      </c>
      <c r="C3944" s="98">
        <v>188</v>
      </c>
      <c r="D3944" s="98">
        <v>360</v>
      </c>
      <c r="E3944" s="157">
        <v>41993.285416666666</v>
      </c>
      <c r="F3944" s="157">
        <v>41993.353472222225</v>
      </c>
      <c r="G3944" s="98">
        <v>320</v>
      </c>
      <c r="H3944" s="98">
        <v>423</v>
      </c>
      <c r="I3944" s="98">
        <v>393</v>
      </c>
      <c r="J3944" s="98" t="s">
        <v>229</v>
      </c>
      <c r="K3944" s="98" t="s">
        <v>2837</v>
      </c>
      <c r="L3944" s="105" t="str">
        <f t="shared" si="650"/>
        <v>Mill Creek</v>
      </c>
      <c r="M3944" s="105" t="str">
        <f t="shared" si="651"/>
        <v>Derate</v>
      </c>
      <c r="N3944" s="105" t="str">
        <f t="shared" si="652"/>
        <v>Coal</v>
      </c>
      <c r="O3944" s="105">
        <f>IFERROR(VLOOKUP(A3944,Lookup!$J$5:$P$19,7,FALSE),0)</f>
        <v>3</v>
      </c>
      <c r="P3944" s="159">
        <f t="shared" si="653"/>
        <v>2014</v>
      </c>
      <c r="Q3944" s="159">
        <f t="shared" si="654"/>
        <v>12</v>
      </c>
      <c r="R3944" s="160">
        <f t="shared" si="655"/>
        <v>1.6333333334187046</v>
      </c>
      <c r="S3944" s="158">
        <f t="shared" si="656"/>
        <v>0.39771473603339613</v>
      </c>
      <c r="T3944" s="161">
        <f t="shared" si="657"/>
        <v>156.30189126112467</v>
      </c>
      <c r="U3944" s="158">
        <f t="shared" si="659"/>
        <v>95.695035460992912</v>
      </c>
      <c r="V3944" s="160">
        <f t="shared" si="658"/>
        <v>96</v>
      </c>
    </row>
    <row r="3945" spans="1:22" x14ac:dyDescent="0.25">
      <c r="A3945" s="98" t="s">
        <v>29</v>
      </c>
      <c r="B3945" s="98" t="s">
        <v>17</v>
      </c>
      <c r="C3945" s="98">
        <v>189</v>
      </c>
      <c r="D3945" s="98">
        <v>360</v>
      </c>
      <c r="E3945" s="157">
        <v>41994.722222222219</v>
      </c>
      <c r="F3945" s="157">
        <v>41994.763888888891</v>
      </c>
      <c r="G3945" s="98">
        <v>320</v>
      </c>
      <c r="H3945" s="98">
        <v>423</v>
      </c>
      <c r="I3945" s="98">
        <v>393</v>
      </c>
      <c r="J3945" s="98" t="s">
        <v>229</v>
      </c>
      <c r="K3945" s="98" t="s">
        <v>2843</v>
      </c>
      <c r="L3945" s="105" t="str">
        <f t="shared" si="650"/>
        <v>Mill Creek</v>
      </c>
      <c r="M3945" s="105" t="str">
        <f t="shared" si="651"/>
        <v>Derate</v>
      </c>
      <c r="N3945" s="105" t="str">
        <f t="shared" si="652"/>
        <v>Coal</v>
      </c>
      <c r="O3945" s="105">
        <f>IFERROR(VLOOKUP(A3945,Lookup!$J$5:$P$19,7,FALSE),0)</f>
        <v>3</v>
      </c>
      <c r="P3945" s="159">
        <f t="shared" si="653"/>
        <v>2014</v>
      </c>
      <c r="Q3945" s="159">
        <f t="shared" si="654"/>
        <v>12</v>
      </c>
      <c r="R3945" s="160">
        <f t="shared" si="655"/>
        <v>1.0000000001164153</v>
      </c>
      <c r="S3945" s="158">
        <f t="shared" si="656"/>
        <v>0.24349881799525006</v>
      </c>
      <c r="T3945" s="161">
        <f t="shared" si="657"/>
        <v>95.69503547213327</v>
      </c>
      <c r="U3945" s="158">
        <f t="shared" si="659"/>
        <v>95.695035460992912</v>
      </c>
      <c r="V3945" s="160">
        <f t="shared" si="658"/>
        <v>96</v>
      </c>
    </row>
    <row r="3946" spans="1:22" x14ac:dyDescent="0.25">
      <c r="A3946" s="98" t="s">
        <v>29</v>
      </c>
      <c r="B3946" s="98" t="s">
        <v>17</v>
      </c>
      <c r="C3946" s="98">
        <v>190</v>
      </c>
      <c r="D3946" s="98">
        <v>360</v>
      </c>
      <c r="E3946" s="157">
        <v>41994.782638888886</v>
      </c>
      <c r="F3946" s="157">
        <v>41994.84097222222</v>
      </c>
      <c r="G3946" s="98">
        <v>320</v>
      </c>
      <c r="H3946" s="98">
        <v>423</v>
      </c>
      <c r="I3946" s="98">
        <v>393</v>
      </c>
      <c r="J3946" s="98" t="s">
        <v>229</v>
      </c>
      <c r="K3946" s="98" t="s">
        <v>2843</v>
      </c>
      <c r="L3946" s="105" t="str">
        <f t="shared" si="650"/>
        <v>Mill Creek</v>
      </c>
      <c r="M3946" s="105" t="str">
        <f t="shared" si="651"/>
        <v>Derate</v>
      </c>
      <c r="N3946" s="105" t="str">
        <f t="shared" si="652"/>
        <v>Coal</v>
      </c>
      <c r="O3946" s="105">
        <f>IFERROR(VLOOKUP(A3946,Lookup!$J$5:$P$19,7,FALSE),0)</f>
        <v>3</v>
      </c>
      <c r="P3946" s="159">
        <f t="shared" si="653"/>
        <v>2014</v>
      </c>
      <c r="Q3946" s="159">
        <f t="shared" si="654"/>
        <v>12</v>
      </c>
      <c r="R3946" s="160">
        <f t="shared" si="655"/>
        <v>1.4000000000232831</v>
      </c>
      <c r="S3946" s="158">
        <f t="shared" si="656"/>
        <v>0.3408983451593337</v>
      </c>
      <c r="T3946" s="161">
        <f t="shared" si="657"/>
        <v>133.97304964761815</v>
      </c>
      <c r="U3946" s="158">
        <f t="shared" si="659"/>
        <v>95.695035460992912</v>
      </c>
      <c r="V3946" s="160">
        <f t="shared" si="658"/>
        <v>96</v>
      </c>
    </row>
    <row r="3947" spans="1:22" x14ac:dyDescent="0.25">
      <c r="A3947" s="98" t="s">
        <v>29</v>
      </c>
      <c r="B3947" s="98" t="s">
        <v>17</v>
      </c>
      <c r="C3947" s="98">
        <v>191</v>
      </c>
      <c r="D3947" s="98">
        <v>360</v>
      </c>
      <c r="E3947" s="157">
        <v>41995.67083333333</v>
      </c>
      <c r="F3947" s="157">
        <v>41995.71597222222</v>
      </c>
      <c r="G3947" s="98">
        <v>340</v>
      </c>
      <c r="H3947" s="98">
        <v>423</v>
      </c>
      <c r="I3947" s="98">
        <v>393</v>
      </c>
      <c r="J3947" s="98" t="s">
        <v>229</v>
      </c>
      <c r="K3947" s="98" t="s">
        <v>2837</v>
      </c>
      <c r="L3947" s="105" t="str">
        <f t="shared" si="650"/>
        <v>Mill Creek</v>
      </c>
      <c r="M3947" s="105" t="str">
        <f t="shared" si="651"/>
        <v>Derate</v>
      </c>
      <c r="N3947" s="105" t="str">
        <f t="shared" si="652"/>
        <v>Coal</v>
      </c>
      <c r="O3947" s="105">
        <f>IFERROR(VLOOKUP(A3947,Lookup!$J$5:$P$19,7,FALSE),0)</f>
        <v>3</v>
      </c>
      <c r="P3947" s="159">
        <f t="shared" si="653"/>
        <v>2014</v>
      </c>
      <c r="Q3947" s="159">
        <f t="shared" si="654"/>
        <v>12</v>
      </c>
      <c r="R3947" s="160">
        <f t="shared" si="655"/>
        <v>1.0833333333721384</v>
      </c>
      <c r="S3947" s="158">
        <f t="shared" si="656"/>
        <v>0.2125689519382683</v>
      </c>
      <c r="T3947" s="161">
        <f t="shared" si="657"/>
        <v>83.539598111739437</v>
      </c>
      <c r="U3947" s="158">
        <f t="shared" si="659"/>
        <v>77.113475177304963</v>
      </c>
      <c r="V3947" s="160">
        <f t="shared" si="658"/>
        <v>77</v>
      </c>
    </row>
    <row r="3948" spans="1:22" x14ac:dyDescent="0.25">
      <c r="A3948" s="98" t="s">
        <v>29</v>
      </c>
      <c r="B3948" s="98" t="s">
        <v>17</v>
      </c>
      <c r="C3948" s="98">
        <v>192</v>
      </c>
      <c r="D3948" s="98">
        <v>360</v>
      </c>
      <c r="E3948" s="157">
        <v>42001.423611111109</v>
      </c>
      <c r="F3948" s="157">
        <v>42001.458333333336</v>
      </c>
      <c r="G3948" s="98">
        <v>320</v>
      </c>
      <c r="H3948" s="98">
        <v>423</v>
      </c>
      <c r="I3948" s="98">
        <v>393</v>
      </c>
      <c r="J3948" s="98" t="s">
        <v>229</v>
      </c>
      <c r="K3948" s="98" t="s">
        <v>1616</v>
      </c>
      <c r="L3948" s="105" t="str">
        <f t="shared" si="650"/>
        <v>Mill Creek</v>
      </c>
      <c r="M3948" s="105" t="str">
        <f t="shared" si="651"/>
        <v>Derate</v>
      </c>
      <c r="N3948" s="105" t="str">
        <f t="shared" si="652"/>
        <v>Coal</v>
      </c>
      <c r="O3948" s="105">
        <f>IFERROR(VLOOKUP(A3948,Lookup!$J$5:$P$19,7,FALSE),0)</f>
        <v>3</v>
      </c>
      <c r="P3948" s="159">
        <f t="shared" si="653"/>
        <v>2014</v>
      </c>
      <c r="Q3948" s="159">
        <f t="shared" si="654"/>
        <v>12</v>
      </c>
      <c r="R3948" s="160">
        <f t="shared" si="655"/>
        <v>0.8333333334303461</v>
      </c>
      <c r="S3948" s="158">
        <f t="shared" si="656"/>
        <v>0.2029156816627084</v>
      </c>
      <c r="T3948" s="161">
        <f t="shared" si="657"/>
        <v>79.745862893444396</v>
      </c>
      <c r="U3948" s="158">
        <f t="shared" si="659"/>
        <v>95.695035460992912</v>
      </c>
      <c r="V3948" s="160">
        <f t="shared" si="658"/>
        <v>96</v>
      </c>
    </row>
    <row r="3949" spans="1:22" x14ac:dyDescent="0.25">
      <c r="A3949" s="98" t="s">
        <v>29</v>
      </c>
      <c r="B3949" s="98" t="s">
        <v>79</v>
      </c>
      <c r="C3949" s="98">
        <v>193</v>
      </c>
      <c r="D3949" s="98">
        <v>8825</v>
      </c>
      <c r="E3949" s="157">
        <v>42003.375</v>
      </c>
      <c r="F3949" s="157">
        <v>42003.595833333333</v>
      </c>
      <c r="G3949" s="98">
        <v>0</v>
      </c>
      <c r="H3949" s="98">
        <v>423</v>
      </c>
      <c r="I3949" s="98">
        <v>393</v>
      </c>
      <c r="J3949" s="98" t="s">
        <v>2187</v>
      </c>
      <c r="K3949" s="98" t="s">
        <v>2844</v>
      </c>
      <c r="L3949" s="105" t="str">
        <f t="shared" si="650"/>
        <v>Mill Creek</v>
      </c>
      <c r="M3949" s="105" t="str">
        <f t="shared" si="651"/>
        <v>Other</v>
      </c>
      <c r="N3949" s="105" t="str">
        <f t="shared" si="652"/>
        <v>Coal</v>
      </c>
      <c r="O3949" s="105">
        <f>IFERROR(VLOOKUP(A3949,Lookup!$J$5:$P$19,7,FALSE),0)</f>
        <v>3</v>
      </c>
      <c r="P3949" s="159">
        <f t="shared" si="653"/>
        <v>2014</v>
      </c>
      <c r="Q3949" s="159">
        <f t="shared" si="654"/>
        <v>12</v>
      </c>
      <c r="R3949" s="160">
        <f t="shared" si="655"/>
        <v>5.2999999999883585</v>
      </c>
      <c r="S3949" s="158">
        <f t="shared" si="656"/>
        <v>5.2999999999883585</v>
      </c>
      <c r="T3949" s="161">
        <f t="shared" si="657"/>
        <v>2082.8999999954249</v>
      </c>
      <c r="U3949" s="158">
        <f t="shared" si="659"/>
        <v>393</v>
      </c>
      <c r="V3949" s="160">
        <f t="shared" si="658"/>
        <v>393</v>
      </c>
    </row>
    <row r="3950" spans="1:22" x14ac:dyDescent="0.25">
      <c r="A3950" s="98" t="s">
        <v>29</v>
      </c>
      <c r="B3950" s="98" t="s">
        <v>17</v>
      </c>
      <c r="C3950" s="98">
        <v>194</v>
      </c>
      <c r="D3950" s="98">
        <v>95</v>
      </c>
      <c r="E3950" s="157">
        <v>42003.722222222219</v>
      </c>
      <c r="F3950" s="157">
        <v>42003.731249999997</v>
      </c>
      <c r="G3950" s="98">
        <v>320</v>
      </c>
      <c r="H3950" s="98">
        <v>423</v>
      </c>
      <c r="I3950" s="98">
        <v>393</v>
      </c>
      <c r="J3950" s="98" t="s">
        <v>1998</v>
      </c>
      <c r="K3950" s="98" t="s">
        <v>2845</v>
      </c>
      <c r="L3950" s="105" t="str">
        <f t="shared" si="650"/>
        <v>Mill Creek</v>
      </c>
      <c r="M3950" s="105" t="str">
        <f t="shared" si="651"/>
        <v>Derate</v>
      </c>
      <c r="N3950" s="105" t="str">
        <f t="shared" si="652"/>
        <v>Coal</v>
      </c>
      <c r="O3950" s="105">
        <f>IFERROR(VLOOKUP(A3950,Lookup!$J$5:$P$19,7,FALSE),0)</f>
        <v>3</v>
      </c>
      <c r="P3950" s="159">
        <f t="shared" si="653"/>
        <v>2014</v>
      </c>
      <c r="Q3950" s="159">
        <f t="shared" si="654"/>
        <v>12</v>
      </c>
      <c r="R3950" s="160">
        <f t="shared" si="655"/>
        <v>0.21666666667442769</v>
      </c>
      <c r="S3950" s="158">
        <f t="shared" si="656"/>
        <v>5.2758077228052133E-2</v>
      </c>
      <c r="T3950" s="161">
        <f t="shared" si="657"/>
        <v>20.733924350624488</v>
      </c>
      <c r="U3950" s="158">
        <f t="shared" si="659"/>
        <v>95.695035460992912</v>
      </c>
      <c r="V3950" s="160">
        <f t="shared" si="658"/>
        <v>96</v>
      </c>
    </row>
    <row r="3951" spans="1:22" x14ac:dyDescent="0.25">
      <c r="A3951" s="98" t="s">
        <v>29</v>
      </c>
      <c r="B3951" s="98" t="s">
        <v>17</v>
      </c>
      <c r="C3951" s="98">
        <v>1</v>
      </c>
      <c r="D3951" s="98">
        <v>8657</v>
      </c>
      <c r="E3951" s="157">
        <v>42012.316666666666</v>
      </c>
      <c r="F3951" s="157">
        <v>42013.489583333336</v>
      </c>
      <c r="G3951" s="98">
        <v>400</v>
      </c>
      <c r="H3951" s="98">
        <v>423</v>
      </c>
      <c r="I3951" s="98">
        <v>393</v>
      </c>
      <c r="J3951" s="98" t="s">
        <v>2645</v>
      </c>
      <c r="K3951" s="98" t="s">
        <v>2846</v>
      </c>
      <c r="L3951" s="105" t="str">
        <f t="shared" si="650"/>
        <v>Mill Creek</v>
      </c>
      <c r="M3951" s="105" t="str">
        <f t="shared" si="651"/>
        <v>Derate</v>
      </c>
      <c r="N3951" s="105" t="str">
        <f t="shared" si="652"/>
        <v>Coal</v>
      </c>
      <c r="O3951" s="105">
        <f>IFERROR(VLOOKUP(A3951,Lookup!$J$5:$P$19,7,FALSE),0)</f>
        <v>3</v>
      </c>
      <c r="P3951" s="159">
        <f t="shared" si="653"/>
        <v>2015</v>
      </c>
      <c r="Q3951" s="159">
        <f t="shared" si="654"/>
        <v>1</v>
      </c>
      <c r="R3951" s="160">
        <f t="shared" si="655"/>
        <v>28.150000000081491</v>
      </c>
      <c r="S3951" s="158">
        <f t="shared" si="656"/>
        <v>1.5306146572148329</v>
      </c>
      <c r="T3951" s="161">
        <f t="shared" si="657"/>
        <v>601.53156028542935</v>
      </c>
      <c r="U3951" s="158">
        <f t="shared" si="659"/>
        <v>21.368794326241133</v>
      </c>
      <c r="V3951" s="160">
        <f t="shared" si="658"/>
        <v>21</v>
      </c>
    </row>
    <row r="3952" spans="1:22" x14ac:dyDescent="0.25">
      <c r="A3952" s="98" t="s">
        <v>29</v>
      </c>
      <c r="B3952" s="98" t="s">
        <v>17</v>
      </c>
      <c r="C3952" s="98">
        <v>2</v>
      </c>
      <c r="D3952" s="98">
        <v>250</v>
      </c>
      <c r="E3952" s="157">
        <v>42037.933333333334</v>
      </c>
      <c r="F3952" s="157">
        <v>42038.182638888888</v>
      </c>
      <c r="G3952" s="98">
        <v>230</v>
      </c>
      <c r="H3952" s="98">
        <v>423</v>
      </c>
      <c r="I3952" s="98">
        <v>393</v>
      </c>
      <c r="J3952" s="98" t="s">
        <v>1978</v>
      </c>
      <c r="K3952" s="98" t="s">
        <v>2847</v>
      </c>
      <c r="L3952" s="105" t="str">
        <f t="shared" si="650"/>
        <v>Mill Creek</v>
      </c>
      <c r="M3952" s="105" t="str">
        <f t="shared" si="651"/>
        <v>Derate</v>
      </c>
      <c r="N3952" s="105" t="str">
        <f t="shared" si="652"/>
        <v>Coal</v>
      </c>
      <c r="O3952" s="105">
        <f>IFERROR(VLOOKUP(A3952,Lookup!$J$5:$P$19,7,FALSE),0)</f>
        <v>3</v>
      </c>
      <c r="P3952" s="159">
        <f t="shared" si="653"/>
        <v>2015</v>
      </c>
      <c r="Q3952" s="159">
        <f t="shared" si="654"/>
        <v>2</v>
      </c>
      <c r="R3952" s="160">
        <f t="shared" si="655"/>
        <v>5.9833333332790062</v>
      </c>
      <c r="S3952" s="158">
        <f t="shared" si="656"/>
        <v>2.7299842395339202</v>
      </c>
      <c r="T3952" s="161">
        <f t="shared" si="657"/>
        <v>1072.8838061368306</v>
      </c>
      <c r="U3952" s="158">
        <f t="shared" si="659"/>
        <v>179.31205673758865</v>
      </c>
      <c r="V3952" s="160">
        <f t="shared" si="658"/>
        <v>179</v>
      </c>
    </row>
    <row r="3953" spans="1:22" x14ac:dyDescent="0.25">
      <c r="A3953" s="98" t="s">
        <v>29</v>
      </c>
      <c r="B3953" s="98" t="s">
        <v>105</v>
      </c>
      <c r="C3953" s="98">
        <v>3</v>
      </c>
      <c r="D3953" s="98">
        <v>250</v>
      </c>
      <c r="E3953" s="157">
        <v>42037.933333333334</v>
      </c>
      <c r="F3953" s="157">
        <v>42038.279861111114</v>
      </c>
      <c r="G3953" s="98">
        <v>330</v>
      </c>
      <c r="H3953" s="98">
        <v>423</v>
      </c>
      <c r="I3953" s="98">
        <v>393</v>
      </c>
      <c r="J3953" s="98" t="s">
        <v>1978</v>
      </c>
      <c r="K3953" s="98" t="s">
        <v>2848</v>
      </c>
      <c r="L3953" s="105" t="str">
        <f t="shared" si="650"/>
        <v>Mill Creek</v>
      </c>
      <c r="M3953" s="105" t="str">
        <f t="shared" si="651"/>
        <v>Derate</v>
      </c>
      <c r="N3953" s="105" t="str">
        <f t="shared" si="652"/>
        <v>Coal</v>
      </c>
      <c r="O3953" s="105">
        <f>IFERROR(VLOOKUP(A3953,Lookup!$J$5:$P$19,7,FALSE),0)</f>
        <v>3</v>
      </c>
      <c r="P3953" s="159">
        <f t="shared" si="653"/>
        <v>2015</v>
      </c>
      <c r="Q3953" s="159">
        <f t="shared" si="654"/>
        <v>2</v>
      </c>
      <c r="R3953" s="160">
        <f t="shared" si="655"/>
        <v>8.3166666667093523</v>
      </c>
      <c r="S3953" s="158">
        <f t="shared" si="656"/>
        <v>1.8284869976453186</v>
      </c>
      <c r="T3953" s="161">
        <f t="shared" si="657"/>
        <v>718.59539007461024</v>
      </c>
      <c r="U3953" s="158">
        <f t="shared" si="659"/>
        <v>86.40425531914893</v>
      </c>
      <c r="V3953" s="160">
        <f t="shared" si="658"/>
        <v>86</v>
      </c>
    </row>
    <row r="3954" spans="1:22" x14ac:dyDescent="0.25">
      <c r="A3954" s="98" t="s">
        <v>29</v>
      </c>
      <c r="B3954" s="98" t="s">
        <v>105</v>
      </c>
      <c r="C3954" s="98">
        <v>5</v>
      </c>
      <c r="D3954" s="98">
        <v>250</v>
      </c>
      <c r="E3954" s="157">
        <v>42038.958333333336</v>
      </c>
      <c r="F3954" s="157">
        <v>42039.193055555559</v>
      </c>
      <c r="G3954" s="98">
        <v>320</v>
      </c>
      <c r="H3954" s="98">
        <v>423</v>
      </c>
      <c r="I3954" s="98">
        <v>393</v>
      </c>
      <c r="J3954" s="98" t="s">
        <v>1978</v>
      </c>
      <c r="K3954" s="98" t="s">
        <v>2849</v>
      </c>
      <c r="L3954" s="105" t="str">
        <f t="shared" si="650"/>
        <v>Mill Creek</v>
      </c>
      <c r="M3954" s="105" t="str">
        <f t="shared" si="651"/>
        <v>Derate</v>
      </c>
      <c r="N3954" s="105" t="str">
        <f t="shared" si="652"/>
        <v>Coal</v>
      </c>
      <c r="O3954" s="105">
        <f>IFERROR(VLOOKUP(A3954,Lookup!$J$5:$P$19,7,FALSE),0)</f>
        <v>3</v>
      </c>
      <c r="P3954" s="159">
        <f t="shared" si="653"/>
        <v>2015</v>
      </c>
      <c r="Q3954" s="159">
        <f t="shared" si="654"/>
        <v>2</v>
      </c>
      <c r="R3954" s="160">
        <f t="shared" si="655"/>
        <v>5.6333333333604969</v>
      </c>
      <c r="S3954" s="158">
        <f t="shared" si="656"/>
        <v>1.3717100078868349</v>
      </c>
      <c r="T3954" s="161">
        <f t="shared" si="657"/>
        <v>539.08203309952614</v>
      </c>
      <c r="U3954" s="158">
        <f t="shared" si="659"/>
        <v>95.695035460992912</v>
      </c>
      <c r="V3954" s="160">
        <f t="shared" si="658"/>
        <v>96</v>
      </c>
    </row>
    <row r="3955" spans="1:22" x14ac:dyDescent="0.25">
      <c r="A3955" s="98" t="s">
        <v>29</v>
      </c>
      <c r="B3955" s="98" t="s">
        <v>79</v>
      </c>
      <c r="C3955" s="98">
        <v>4</v>
      </c>
      <c r="D3955" s="98">
        <v>9999</v>
      </c>
      <c r="E3955" s="157">
        <v>42039.291666666664</v>
      </c>
      <c r="F3955" s="157">
        <v>42039.565972222219</v>
      </c>
      <c r="G3955" s="98">
        <v>0</v>
      </c>
      <c r="H3955" s="98">
        <v>423</v>
      </c>
      <c r="I3955" s="98">
        <v>393</v>
      </c>
      <c r="J3955" s="98" t="s">
        <v>2261</v>
      </c>
      <c r="K3955" s="98" t="s">
        <v>2850</v>
      </c>
      <c r="L3955" s="105" t="str">
        <f t="shared" si="650"/>
        <v>Mill Creek</v>
      </c>
      <c r="M3955" s="105" t="str">
        <f t="shared" si="651"/>
        <v>Other</v>
      </c>
      <c r="N3955" s="105" t="str">
        <f t="shared" si="652"/>
        <v>Coal</v>
      </c>
      <c r="O3955" s="105">
        <f>IFERROR(VLOOKUP(A3955,Lookup!$J$5:$P$19,7,FALSE),0)</f>
        <v>3</v>
      </c>
      <c r="P3955" s="159">
        <f t="shared" si="653"/>
        <v>2015</v>
      </c>
      <c r="Q3955" s="159">
        <f t="shared" si="654"/>
        <v>2</v>
      </c>
      <c r="R3955" s="160">
        <f t="shared" si="655"/>
        <v>6.5833333333139308</v>
      </c>
      <c r="S3955" s="158">
        <f t="shared" si="656"/>
        <v>6.5833333333139308</v>
      </c>
      <c r="T3955" s="161">
        <f t="shared" si="657"/>
        <v>2587.2499999923748</v>
      </c>
      <c r="U3955" s="158">
        <f t="shared" si="659"/>
        <v>393</v>
      </c>
      <c r="V3955" s="160">
        <f t="shared" si="658"/>
        <v>393</v>
      </c>
    </row>
    <row r="3956" spans="1:22" x14ac:dyDescent="0.25">
      <c r="A3956" s="98" t="s">
        <v>29</v>
      </c>
      <c r="B3956" s="98" t="s">
        <v>105</v>
      </c>
      <c r="C3956" s="98">
        <v>6</v>
      </c>
      <c r="D3956" s="98">
        <v>250</v>
      </c>
      <c r="E3956" s="157">
        <v>42039.958333333336</v>
      </c>
      <c r="F3956" s="157">
        <v>42040.190972222219</v>
      </c>
      <c r="G3956" s="98">
        <v>320</v>
      </c>
      <c r="H3956" s="98">
        <v>423</v>
      </c>
      <c r="I3956" s="98">
        <v>393</v>
      </c>
      <c r="J3956" s="98" t="s">
        <v>1978</v>
      </c>
      <c r="K3956" s="98" t="s">
        <v>246</v>
      </c>
      <c r="L3956" s="105" t="str">
        <f t="shared" si="650"/>
        <v>Mill Creek</v>
      </c>
      <c r="M3956" s="105" t="str">
        <f t="shared" si="651"/>
        <v>Derate</v>
      </c>
      <c r="N3956" s="105" t="str">
        <f t="shared" si="652"/>
        <v>Coal</v>
      </c>
      <c r="O3956" s="105">
        <f>IFERROR(VLOOKUP(A3956,Lookup!$J$5:$P$19,7,FALSE),0)</f>
        <v>3</v>
      </c>
      <c r="P3956" s="159">
        <f t="shared" si="653"/>
        <v>2015</v>
      </c>
      <c r="Q3956" s="159">
        <f t="shared" si="654"/>
        <v>2</v>
      </c>
      <c r="R3956" s="160">
        <f t="shared" si="655"/>
        <v>5.5833333331975155</v>
      </c>
      <c r="S3956" s="158">
        <f t="shared" si="656"/>
        <v>1.359535066948804</v>
      </c>
      <c r="T3956" s="161">
        <f t="shared" si="657"/>
        <v>534.29728131087995</v>
      </c>
      <c r="U3956" s="158">
        <f t="shared" si="659"/>
        <v>95.695035460992912</v>
      </c>
      <c r="V3956" s="160">
        <f t="shared" si="658"/>
        <v>96</v>
      </c>
    </row>
    <row r="3957" spans="1:22" x14ac:dyDescent="0.25">
      <c r="A3957" s="98" t="s">
        <v>29</v>
      </c>
      <c r="B3957" s="98" t="s">
        <v>105</v>
      </c>
      <c r="C3957" s="98">
        <v>7</v>
      </c>
      <c r="D3957" s="98">
        <v>250</v>
      </c>
      <c r="E3957" s="157">
        <v>42040.958333333336</v>
      </c>
      <c r="F3957" s="157">
        <v>42041.206944444442</v>
      </c>
      <c r="G3957" s="98">
        <v>320</v>
      </c>
      <c r="H3957" s="98">
        <v>423</v>
      </c>
      <c r="I3957" s="98">
        <v>393</v>
      </c>
      <c r="J3957" s="98" t="s">
        <v>1978</v>
      </c>
      <c r="K3957" s="98" t="s">
        <v>2851</v>
      </c>
      <c r="L3957" s="105" t="str">
        <f t="shared" si="650"/>
        <v>Mill Creek</v>
      </c>
      <c r="M3957" s="105" t="str">
        <f t="shared" si="651"/>
        <v>Derate</v>
      </c>
      <c r="N3957" s="105" t="str">
        <f t="shared" si="652"/>
        <v>Coal</v>
      </c>
      <c r="O3957" s="105">
        <f>IFERROR(VLOOKUP(A3957,Lookup!$J$5:$P$19,7,FALSE),0)</f>
        <v>3</v>
      </c>
      <c r="P3957" s="159">
        <f t="shared" si="653"/>
        <v>2015</v>
      </c>
      <c r="Q3957" s="159">
        <f t="shared" si="654"/>
        <v>2</v>
      </c>
      <c r="R3957" s="160">
        <f t="shared" si="655"/>
        <v>5.9666666665580124</v>
      </c>
      <c r="S3957" s="158">
        <f t="shared" si="656"/>
        <v>1.4528762805093978</v>
      </c>
      <c r="T3957" s="161">
        <f t="shared" si="657"/>
        <v>570.98037824019332</v>
      </c>
      <c r="U3957" s="158">
        <f t="shared" si="659"/>
        <v>95.695035460992912</v>
      </c>
      <c r="V3957" s="160">
        <f t="shared" si="658"/>
        <v>96</v>
      </c>
    </row>
    <row r="3958" spans="1:22" x14ac:dyDescent="0.25">
      <c r="A3958" s="98" t="s">
        <v>29</v>
      </c>
      <c r="B3958" s="98" t="s">
        <v>17</v>
      </c>
      <c r="C3958" s="98">
        <v>8</v>
      </c>
      <c r="D3958" s="98">
        <v>360</v>
      </c>
      <c r="E3958" s="157">
        <v>42046.854861111111</v>
      </c>
      <c r="F3958" s="157">
        <v>42046.948611111111</v>
      </c>
      <c r="G3958" s="98">
        <v>330</v>
      </c>
      <c r="H3958" s="98">
        <v>423</v>
      </c>
      <c r="I3958" s="98">
        <v>393</v>
      </c>
      <c r="J3958" s="98" t="s">
        <v>229</v>
      </c>
      <c r="K3958" s="98" t="s">
        <v>2852</v>
      </c>
      <c r="L3958" s="105" t="str">
        <f t="shared" si="650"/>
        <v>Mill Creek</v>
      </c>
      <c r="M3958" s="105" t="str">
        <f t="shared" si="651"/>
        <v>Derate</v>
      </c>
      <c r="N3958" s="105" t="str">
        <f t="shared" si="652"/>
        <v>Coal</v>
      </c>
      <c r="O3958" s="105">
        <f>IFERROR(VLOOKUP(A3958,Lookup!$J$5:$P$19,7,FALSE),0)</f>
        <v>3</v>
      </c>
      <c r="P3958" s="159">
        <f t="shared" si="653"/>
        <v>2015</v>
      </c>
      <c r="Q3958" s="159">
        <f t="shared" si="654"/>
        <v>2</v>
      </c>
      <c r="R3958" s="160">
        <f t="shared" si="655"/>
        <v>2.25</v>
      </c>
      <c r="S3958" s="158">
        <f t="shared" si="656"/>
        <v>0.49468085106382981</v>
      </c>
      <c r="T3958" s="161">
        <f t="shared" si="657"/>
        <v>194.40957446808511</v>
      </c>
      <c r="U3958" s="158">
        <f t="shared" si="659"/>
        <v>86.40425531914893</v>
      </c>
      <c r="V3958" s="160">
        <f t="shared" si="658"/>
        <v>86</v>
      </c>
    </row>
    <row r="3959" spans="1:22" x14ac:dyDescent="0.25">
      <c r="A3959" s="98" t="s">
        <v>29</v>
      </c>
      <c r="B3959" s="98" t="s">
        <v>17</v>
      </c>
      <c r="C3959" s="98">
        <v>9</v>
      </c>
      <c r="D3959" s="98">
        <v>250</v>
      </c>
      <c r="E3959" s="157">
        <v>42057.900694444441</v>
      </c>
      <c r="F3959" s="157">
        <v>42058.001388888886</v>
      </c>
      <c r="G3959" s="98">
        <v>320</v>
      </c>
      <c r="H3959" s="98">
        <v>423</v>
      </c>
      <c r="I3959" s="98">
        <v>393</v>
      </c>
      <c r="J3959" s="98" t="s">
        <v>1978</v>
      </c>
      <c r="K3959" s="98" t="s">
        <v>2853</v>
      </c>
      <c r="L3959" s="105" t="str">
        <f t="shared" si="650"/>
        <v>Mill Creek</v>
      </c>
      <c r="M3959" s="105" t="str">
        <f t="shared" si="651"/>
        <v>Derate</v>
      </c>
      <c r="N3959" s="105" t="str">
        <f t="shared" si="652"/>
        <v>Coal</v>
      </c>
      <c r="O3959" s="105">
        <f>IFERROR(VLOOKUP(A3959,Lookup!$J$5:$P$19,7,FALSE),0)</f>
        <v>3</v>
      </c>
      <c r="P3959" s="159">
        <f t="shared" si="653"/>
        <v>2015</v>
      </c>
      <c r="Q3959" s="159">
        <f t="shared" si="654"/>
        <v>2</v>
      </c>
      <c r="R3959" s="160">
        <f t="shared" si="655"/>
        <v>2.4166666666860692</v>
      </c>
      <c r="S3959" s="158">
        <f t="shared" si="656"/>
        <v>0.58845547675807364</v>
      </c>
      <c r="T3959" s="161">
        <f t="shared" si="657"/>
        <v>231.26300236592294</v>
      </c>
      <c r="U3959" s="158">
        <f t="shared" si="659"/>
        <v>95.695035460992912</v>
      </c>
      <c r="V3959" s="160">
        <f t="shared" si="658"/>
        <v>96</v>
      </c>
    </row>
    <row r="3960" spans="1:22" x14ac:dyDescent="0.25">
      <c r="A3960" s="98" t="s">
        <v>29</v>
      </c>
      <c r="B3960" s="98" t="s">
        <v>17</v>
      </c>
      <c r="C3960" s="98">
        <v>10</v>
      </c>
      <c r="D3960" s="98">
        <v>9620</v>
      </c>
      <c r="E3960" s="157">
        <v>42062.046527777777</v>
      </c>
      <c r="F3960" s="157">
        <v>42062.385416666664</v>
      </c>
      <c r="G3960" s="98">
        <v>375</v>
      </c>
      <c r="H3960" s="98">
        <v>423</v>
      </c>
      <c r="I3960" s="98">
        <v>393</v>
      </c>
      <c r="J3960" s="98" t="s">
        <v>2029</v>
      </c>
      <c r="K3960" s="98" t="s">
        <v>2854</v>
      </c>
      <c r="L3960" s="105" t="str">
        <f t="shared" si="650"/>
        <v>Mill Creek</v>
      </c>
      <c r="M3960" s="105" t="str">
        <f t="shared" si="651"/>
        <v>Derate</v>
      </c>
      <c r="N3960" s="105" t="str">
        <f t="shared" si="652"/>
        <v>Coal</v>
      </c>
      <c r="O3960" s="105">
        <f>IFERROR(VLOOKUP(A3960,Lookup!$J$5:$P$19,7,FALSE),0)</f>
        <v>3</v>
      </c>
      <c r="P3960" s="159">
        <f t="shared" si="653"/>
        <v>2015</v>
      </c>
      <c r="Q3960" s="159">
        <f t="shared" si="654"/>
        <v>2</v>
      </c>
      <c r="R3960" s="160">
        <f t="shared" si="655"/>
        <v>8.1333333333022892</v>
      </c>
      <c r="S3960" s="158">
        <f t="shared" si="656"/>
        <v>0.92293144207685551</v>
      </c>
      <c r="T3960" s="161">
        <f t="shared" si="657"/>
        <v>362.7120567362042</v>
      </c>
      <c r="U3960" s="158">
        <f t="shared" si="659"/>
        <v>44.595744680851062</v>
      </c>
      <c r="V3960" s="160">
        <f t="shared" si="658"/>
        <v>45</v>
      </c>
    </row>
    <row r="3961" spans="1:22" x14ac:dyDescent="0.25">
      <c r="A3961" s="98" t="s">
        <v>29</v>
      </c>
      <c r="B3961" s="98" t="s">
        <v>17</v>
      </c>
      <c r="C3961" s="98">
        <v>11</v>
      </c>
      <c r="D3961" s="98">
        <v>9620</v>
      </c>
      <c r="E3961" s="157">
        <v>42062.385416666664</v>
      </c>
      <c r="F3961" s="157">
        <v>42062.620833333334</v>
      </c>
      <c r="G3961" s="98">
        <v>400</v>
      </c>
      <c r="H3961" s="98">
        <v>423</v>
      </c>
      <c r="I3961" s="98">
        <v>393</v>
      </c>
      <c r="J3961" s="98" t="s">
        <v>2029</v>
      </c>
      <c r="K3961" s="98" t="s">
        <v>2855</v>
      </c>
      <c r="L3961" s="105" t="str">
        <f t="shared" si="650"/>
        <v>Mill Creek</v>
      </c>
      <c r="M3961" s="105" t="str">
        <f t="shared" si="651"/>
        <v>Derate</v>
      </c>
      <c r="N3961" s="105" t="str">
        <f t="shared" si="652"/>
        <v>Coal</v>
      </c>
      <c r="O3961" s="105">
        <f>IFERROR(VLOOKUP(A3961,Lookup!$J$5:$P$19,7,FALSE),0)</f>
        <v>3</v>
      </c>
      <c r="P3961" s="159">
        <f t="shared" si="653"/>
        <v>2015</v>
      </c>
      <c r="Q3961" s="159">
        <f t="shared" si="654"/>
        <v>2</v>
      </c>
      <c r="R3961" s="160">
        <f t="shared" si="655"/>
        <v>5.6500000000814907</v>
      </c>
      <c r="S3961" s="158">
        <f t="shared" si="656"/>
        <v>0.30721040189568388</v>
      </c>
      <c r="T3961" s="161">
        <f t="shared" si="657"/>
        <v>120.73368794500377</v>
      </c>
      <c r="U3961" s="158">
        <f t="shared" si="659"/>
        <v>21.368794326241133</v>
      </c>
      <c r="V3961" s="160">
        <f t="shared" si="658"/>
        <v>21</v>
      </c>
    </row>
    <row r="3962" spans="1:22" x14ac:dyDescent="0.25">
      <c r="A3962" s="98" t="s">
        <v>29</v>
      </c>
      <c r="B3962" s="98" t="s">
        <v>20</v>
      </c>
      <c r="C3962" s="98">
        <v>12</v>
      </c>
      <c r="D3962" s="98">
        <v>3110</v>
      </c>
      <c r="E3962" s="157">
        <v>42063.435416666667</v>
      </c>
      <c r="F3962" s="157">
        <v>42066.053472222222</v>
      </c>
      <c r="G3962" s="98">
        <v>0</v>
      </c>
      <c r="H3962" s="98">
        <v>423</v>
      </c>
      <c r="I3962" s="98">
        <v>393</v>
      </c>
      <c r="J3962" s="98" t="s">
        <v>2119</v>
      </c>
      <c r="K3962" s="98" t="s">
        <v>2856</v>
      </c>
      <c r="L3962" s="105" t="str">
        <f t="shared" si="650"/>
        <v>Mill Creek</v>
      </c>
      <c r="M3962" s="105" t="str">
        <f t="shared" si="651"/>
        <v>Maintenance</v>
      </c>
      <c r="N3962" s="105" t="str">
        <f t="shared" si="652"/>
        <v>Coal</v>
      </c>
      <c r="O3962" s="105">
        <f>IFERROR(VLOOKUP(A3962,Lookup!$J$5:$P$19,7,FALSE),0)</f>
        <v>3</v>
      </c>
      <c r="P3962" s="159">
        <f t="shared" si="653"/>
        <v>2015</v>
      </c>
      <c r="Q3962" s="159">
        <f t="shared" si="654"/>
        <v>2</v>
      </c>
      <c r="R3962" s="160">
        <f t="shared" si="655"/>
        <v>62.833333333313931</v>
      </c>
      <c r="S3962" s="158">
        <f t="shared" si="656"/>
        <v>62.833333333313931</v>
      </c>
      <c r="T3962" s="161">
        <f t="shared" si="657"/>
        <v>24693.499999992375</v>
      </c>
      <c r="U3962" s="158">
        <f t="shared" si="659"/>
        <v>393</v>
      </c>
      <c r="V3962" s="160">
        <f t="shared" si="658"/>
        <v>393</v>
      </c>
    </row>
    <row r="3963" spans="1:22" x14ac:dyDescent="0.25">
      <c r="A3963" s="98" t="s">
        <v>29</v>
      </c>
      <c r="B3963" s="98" t="s">
        <v>79</v>
      </c>
      <c r="C3963" s="98">
        <v>13</v>
      </c>
      <c r="D3963" s="98">
        <v>1850</v>
      </c>
      <c r="E3963" s="157">
        <v>42066.053472222222</v>
      </c>
      <c r="F3963" s="157">
        <v>42066.553472222222</v>
      </c>
      <c r="G3963" s="98">
        <v>0</v>
      </c>
      <c r="H3963" s="98">
        <v>423</v>
      </c>
      <c r="I3963" s="98">
        <v>393</v>
      </c>
      <c r="J3963" s="98" t="s">
        <v>2263</v>
      </c>
      <c r="K3963" s="98" t="s">
        <v>2784</v>
      </c>
      <c r="L3963" s="105" t="str">
        <f t="shared" si="650"/>
        <v>Mill Creek</v>
      </c>
      <c r="M3963" s="105" t="str">
        <f t="shared" si="651"/>
        <v>Other</v>
      </c>
      <c r="N3963" s="105" t="str">
        <f t="shared" si="652"/>
        <v>Coal</v>
      </c>
      <c r="O3963" s="105">
        <f>IFERROR(VLOOKUP(A3963,Lookup!$J$5:$P$19,7,FALSE),0)</f>
        <v>3</v>
      </c>
      <c r="P3963" s="159">
        <f t="shared" si="653"/>
        <v>2015</v>
      </c>
      <c r="Q3963" s="159">
        <f t="shared" si="654"/>
        <v>3</v>
      </c>
      <c r="R3963" s="160">
        <f t="shared" si="655"/>
        <v>12</v>
      </c>
      <c r="S3963" s="158">
        <f t="shared" si="656"/>
        <v>12</v>
      </c>
      <c r="T3963" s="161">
        <f t="shared" si="657"/>
        <v>4716</v>
      </c>
      <c r="U3963" s="158">
        <f t="shared" si="659"/>
        <v>393</v>
      </c>
      <c r="V3963" s="160">
        <f t="shared" si="658"/>
        <v>393</v>
      </c>
    </row>
    <row r="3964" spans="1:22" x14ac:dyDescent="0.25">
      <c r="A3964" s="98" t="s">
        <v>29</v>
      </c>
      <c r="B3964" s="98" t="s">
        <v>17</v>
      </c>
      <c r="C3964" s="98">
        <v>14</v>
      </c>
      <c r="D3964" s="98">
        <v>1850</v>
      </c>
      <c r="E3964" s="157">
        <v>42066.553472222222</v>
      </c>
      <c r="F3964" s="157">
        <v>42066.757638888892</v>
      </c>
      <c r="G3964" s="98">
        <v>228</v>
      </c>
      <c r="H3964" s="98">
        <v>423</v>
      </c>
      <c r="I3964" s="98">
        <v>393</v>
      </c>
      <c r="J3964" s="98" t="s">
        <v>2263</v>
      </c>
      <c r="K3964" s="98" t="s">
        <v>41</v>
      </c>
      <c r="L3964" s="105" t="str">
        <f t="shared" si="650"/>
        <v>Mill Creek</v>
      </c>
      <c r="M3964" s="105" t="str">
        <f t="shared" si="651"/>
        <v>Derate</v>
      </c>
      <c r="N3964" s="105" t="str">
        <f t="shared" si="652"/>
        <v>Coal</v>
      </c>
      <c r="O3964" s="105">
        <f>IFERROR(VLOOKUP(A3964,Lookup!$J$5:$P$19,7,FALSE),0)</f>
        <v>3</v>
      </c>
      <c r="P3964" s="159">
        <f t="shared" si="653"/>
        <v>2015</v>
      </c>
      <c r="Q3964" s="159">
        <f t="shared" si="654"/>
        <v>3</v>
      </c>
      <c r="R3964" s="160">
        <f t="shared" si="655"/>
        <v>4.9000000000814907</v>
      </c>
      <c r="S3964" s="158">
        <f t="shared" si="656"/>
        <v>2.2588652482645171</v>
      </c>
      <c r="T3964" s="161">
        <f t="shared" si="657"/>
        <v>887.73404256795516</v>
      </c>
      <c r="U3964" s="158">
        <f t="shared" si="659"/>
        <v>181.17021276595744</v>
      </c>
      <c r="V3964" s="160">
        <f t="shared" si="658"/>
        <v>181</v>
      </c>
    </row>
    <row r="3965" spans="1:22" x14ac:dyDescent="0.25">
      <c r="A3965" s="98" t="s">
        <v>29</v>
      </c>
      <c r="B3965" s="98" t="s">
        <v>17</v>
      </c>
      <c r="C3965" s="98">
        <v>15</v>
      </c>
      <c r="D3965" s="98">
        <v>1850</v>
      </c>
      <c r="E3965" s="157">
        <v>42066.757638888892</v>
      </c>
      <c r="F3965" s="157">
        <v>42066.783333333333</v>
      </c>
      <c r="G3965" s="98">
        <v>323</v>
      </c>
      <c r="H3965" s="98">
        <v>423</v>
      </c>
      <c r="I3965" s="98">
        <v>393</v>
      </c>
      <c r="J3965" s="98" t="s">
        <v>2263</v>
      </c>
      <c r="K3965" s="98" t="s">
        <v>41</v>
      </c>
      <c r="L3965" s="105" t="str">
        <f t="shared" si="650"/>
        <v>Mill Creek</v>
      </c>
      <c r="M3965" s="105" t="str">
        <f t="shared" si="651"/>
        <v>Derate</v>
      </c>
      <c r="N3965" s="105" t="str">
        <f t="shared" si="652"/>
        <v>Coal</v>
      </c>
      <c r="O3965" s="105">
        <f>IFERROR(VLOOKUP(A3965,Lookup!$J$5:$P$19,7,FALSE),0)</f>
        <v>3</v>
      </c>
      <c r="P3965" s="159">
        <f t="shared" si="653"/>
        <v>2015</v>
      </c>
      <c r="Q3965" s="159">
        <f t="shared" si="654"/>
        <v>3</v>
      </c>
      <c r="R3965" s="160">
        <f t="shared" si="655"/>
        <v>0.61666666658129543</v>
      </c>
      <c r="S3965" s="158">
        <f t="shared" si="656"/>
        <v>0.14578408193411241</v>
      </c>
      <c r="T3965" s="161">
        <f t="shared" si="657"/>
        <v>57.293144200106177</v>
      </c>
      <c r="U3965" s="158">
        <f t="shared" si="659"/>
        <v>92.907801418439718</v>
      </c>
      <c r="V3965" s="160">
        <f t="shared" si="658"/>
        <v>93</v>
      </c>
    </row>
    <row r="3966" spans="1:22" x14ac:dyDescent="0.25">
      <c r="A3966" s="98" t="s">
        <v>29</v>
      </c>
      <c r="B3966" s="98" t="s">
        <v>17</v>
      </c>
      <c r="C3966" s="98">
        <v>16</v>
      </c>
      <c r="D3966" s="98">
        <v>1850</v>
      </c>
      <c r="E3966" s="157">
        <v>42066.783333333333</v>
      </c>
      <c r="F3966" s="157">
        <v>42067.270833333336</v>
      </c>
      <c r="G3966" s="98">
        <v>353</v>
      </c>
      <c r="H3966" s="98">
        <v>423</v>
      </c>
      <c r="I3966" s="98">
        <v>393</v>
      </c>
      <c r="J3966" s="98" t="s">
        <v>2263</v>
      </c>
      <c r="K3966" s="98" t="s">
        <v>41</v>
      </c>
      <c r="L3966" s="105" t="str">
        <f t="shared" si="650"/>
        <v>Mill Creek</v>
      </c>
      <c r="M3966" s="105" t="str">
        <f t="shared" si="651"/>
        <v>Derate</v>
      </c>
      <c r="N3966" s="105" t="str">
        <f t="shared" si="652"/>
        <v>Coal</v>
      </c>
      <c r="O3966" s="105">
        <f>IFERROR(VLOOKUP(A3966,Lookup!$J$5:$P$19,7,FALSE),0)</f>
        <v>3</v>
      </c>
      <c r="P3966" s="159">
        <f t="shared" si="653"/>
        <v>2015</v>
      </c>
      <c r="Q3966" s="159">
        <f t="shared" si="654"/>
        <v>3</v>
      </c>
      <c r="R3966" s="160">
        <f t="shared" si="655"/>
        <v>11.700000000069849</v>
      </c>
      <c r="S3966" s="158">
        <f t="shared" si="656"/>
        <v>1.9361702127775164</v>
      </c>
      <c r="T3966" s="161">
        <f t="shared" si="657"/>
        <v>760.91489362156392</v>
      </c>
      <c r="U3966" s="158">
        <f t="shared" si="659"/>
        <v>65.035460992907801</v>
      </c>
      <c r="V3966" s="160">
        <f t="shared" si="658"/>
        <v>65</v>
      </c>
    </row>
    <row r="3967" spans="1:22" x14ac:dyDescent="0.25">
      <c r="A3967" s="98" t="s">
        <v>29</v>
      </c>
      <c r="B3967" s="98" t="s">
        <v>17</v>
      </c>
      <c r="C3967" s="98">
        <v>17</v>
      </c>
      <c r="D3967" s="98">
        <v>360</v>
      </c>
      <c r="E3967" s="157">
        <v>42070.291666666664</v>
      </c>
      <c r="F3967" s="157">
        <v>42070.333333333336</v>
      </c>
      <c r="G3967" s="98">
        <v>340</v>
      </c>
      <c r="H3967" s="98">
        <v>423</v>
      </c>
      <c r="I3967" s="98">
        <v>393</v>
      </c>
      <c r="J3967" s="98" t="s">
        <v>229</v>
      </c>
      <c r="K3967" s="98" t="s">
        <v>2857</v>
      </c>
      <c r="L3967" s="105" t="str">
        <f t="shared" si="650"/>
        <v>Mill Creek</v>
      </c>
      <c r="M3967" s="105" t="str">
        <f t="shared" si="651"/>
        <v>Derate</v>
      </c>
      <c r="N3967" s="105" t="str">
        <f t="shared" si="652"/>
        <v>Coal</v>
      </c>
      <c r="O3967" s="105">
        <f>IFERROR(VLOOKUP(A3967,Lookup!$J$5:$P$19,7,FALSE),0)</f>
        <v>3</v>
      </c>
      <c r="P3967" s="159">
        <f t="shared" si="653"/>
        <v>2015</v>
      </c>
      <c r="Q3967" s="159">
        <f t="shared" si="654"/>
        <v>3</v>
      </c>
      <c r="R3967" s="160">
        <f t="shared" si="655"/>
        <v>1.0000000001164153</v>
      </c>
      <c r="S3967" s="158">
        <f t="shared" si="656"/>
        <v>0.19621749411267725</v>
      </c>
      <c r="T3967" s="161">
        <f t="shared" si="657"/>
        <v>77.113475186282159</v>
      </c>
      <c r="U3967" s="158">
        <f t="shared" si="659"/>
        <v>77.113475177304963</v>
      </c>
      <c r="V3967" s="160">
        <f t="shared" si="658"/>
        <v>77</v>
      </c>
    </row>
    <row r="3968" spans="1:22" x14ac:dyDescent="0.25">
      <c r="A3968" s="98" t="s">
        <v>29</v>
      </c>
      <c r="B3968" s="98" t="s">
        <v>17</v>
      </c>
      <c r="C3968" s="98">
        <v>18</v>
      </c>
      <c r="D3968" s="98">
        <v>262</v>
      </c>
      <c r="E3968" s="157">
        <v>42071.056944444441</v>
      </c>
      <c r="F3968" s="157">
        <v>42071.129166666666</v>
      </c>
      <c r="G3968" s="98">
        <v>325</v>
      </c>
      <c r="H3968" s="98">
        <v>423</v>
      </c>
      <c r="I3968" s="98">
        <v>393</v>
      </c>
      <c r="J3968" s="98" t="s">
        <v>2640</v>
      </c>
      <c r="K3968" s="98" t="s">
        <v>2858</v>
      </c>
      <c r="L3968" s="105" t="str">
        <f t="shared" si="650"/>
        <v>Mill Creek</v>
      </c>
      <c r="M3968" s="105" t="str">
        <f t="shared" si="651"/>
        <v>Derate</v>
      </c>
      <c r="N3968" s="105" t="str">
        <f t="shared" si="652"/>
        <v>Coal</v>
      </c>
      <c r="O3968" s="105">
        <f>IFERROR(VLOOKUP(A3968,Lookup!$J$5:$P$19,7,FALSE),0)</f>
        <v>3</v>
      </c>
      <c r="P3968" s="159">
        <f t="shared" si="653"/>
        <v>2015</v>
      </c>
      <c r="Q3968" s="159">
        <f t="shared" si="654"/>
        <v>3</v>
      </c>
      <c r="R3968" s="160">
        <f t="shared" si="655"/>
        <v>1.7333333333954215</v>
      </c>
      <c r="S3968" s="158">
        <f t="shared" si="656"/>
        <v>0.40157604414362014</v>
      </c>
      <c r="T3968" s="161">
        <f t="shared" si="657"/>
        <v>157.81938534844272</v>
      </c>
      <c r="U3968" s="158">
        <f t="shared" si="659"/>
        <v>91.049645390070921</v>
      </c>
      <c r="V3968" s="160">
        <f t="shared" si="658"/>
        <v>91</v>
      </c>
    </row>
    <row r="3969" spans="1:22" x14ac:dyDescent="0.25">
      <c r="A3969" s="98" t="s">
        <v>29</v>
      </c>
      <c r="B3969" s="98" t="s">
        <v>17</v>
      </c>
      <c r="C3969" s="98">
        <v>19</v>
      </c>
      <c r="D3969" s="98">
        <v>360</v>
      </c>
      <c r="E3969" s="157">
        <v>42072.359722222223</v>
      </c>
      <c r="F3969" s="157">
        <v>42072.367361111108</v>
      </c>
      <c r="G3969" s="98">
        <v>320</v>
      </c>
      <c r="H3969" s="98">
        <v>423</v>
      </c>
      <c r="I3969" s="98">
        <v>393</v>
      </c>
      <c r="J3969" s="98" t="s">
        <v>229</v>
      </c>
      <c r="K3969" s="98" t="s">
        <v>2859</v>
      </c>
      <c r="L3969" s="105" t="str">
        <f t="shared" si="650"/>
        <v>Mill Creek</v>
      </c>
      <c r="M3969" s="105" t="str">
        <f t="shared" si="651"/>
        <v>Derate</v>
      </c>
      <c r="N3969" s="105" t="str">
        <f t="shared" si="652"/>
        <v>Coal</v>
      </c>
      <c r="O3969" s="105">
        <f>IFERROR(VLOOKUP(A3969,Lookup!$J$5:$P$19,7,FALSE),0)</f>
        <v>3</v>
      </c>
      <c r="P3969" s="159">
        <f t="shared" si="653"/>
        <v>2015</v>
      </c>
      <c r="Q3969" s="159">
        <f t="shared" si="654"/>
        <v>3</v>
      </c>
      <c r="R3969" s="160">
        <f t="shared" si="655"/>
        <v>0.18333333323244005</v>
      </c>
      <c r="S3969" s="158">
        <f t="shared" si="656"/>
        <v>4.4641449936031502E-2</v>
      </c>
      <c r="T3969" s="161">
        <f t="shared" si="657"/>
        <v>17.544089824860379</v>
      </c>
      <c r="U3969" s="158">
        <f t="shared" si="659"/>
        <v>95.695035460992912</v>
      </c>
      <c r="V3969" s="160">
        <f t="shared" si="658"/>
        <v>96</v>
      </c>
    </row>
    <row r="3970" spans="1:22" x14ac:dyDescent="0.25">
      <c r="A3970" s="98" t="s">
        <v>29</v>
      </c>
      <c r="B3970" s="98" t="s">
        <v>17</v>
      </c>
      <c r="C3970" s="98">
        <v>20</v>
      </c>
      <c r="D3970" s="98">
        <v>360</v>
      </c>
      <c r="E3970" s="157">
        <v>42072.367361111108</v>
      </c>
      <c r="F3970" s="157">
        <v>42072.404166666667</v>
      </c>
      <c r="G3970" s="98">
        <v>320</v>
      </c>
      <c r="H3970" s="98">
        <v>423</v>
      </c>
      <c r="I3970" s="98">
        <v>393</v>
      </c>
      <c r="J3970" s="98" t="s">
        <v>229</v>
      </c>
      <c r="K3970" s="98" t="s">
        <v>2860</v>
      </c>
      <c r="L3970" s="105" t="str">
        <f t="shared" si="650"/>
        <v>Mill Creek</v>
      </c>
      <c r="M3970" s="105" t="str">
        <f t="shared" si="651"/>
        <v>Derate</v>
      </c>
      <c r="N3970" s="105" t="str">
        <f t="shared" si="652"/>
        <v>Coal</v>
      </c>
      <c r="O3970" s="105">
        <f>IFERROR(VLOOKUP(A3970,Lookup!$J$5:$P$19,7,FALSE),0)</f>
        <v>3</v>
      </c>
      <c r="P3970" s="159">
        <f t="shared" si="653"/>
        <v>2015</v>
      </c>
      <c r="Q3970" s="159">
        <f t="shared" si="654"/>
        <v>3</v>
      </c>
      <c r="R3970" s="160">
        <f t="shared" si="655"/>
        <v>0.88333333341870457</v>
      </c>
      <c r="S3970" s="158">
        <f t="shared" si="656"/>
        <v>0.21509062255821884</v>
      </c>
      <c r="T3970" s="161">
        <f t="shared" si="657"/>
        <v>84.53061466538</v>
      </c>
      <c r="U3970" s="158">
        <f t="shared" si="659"/>
        <v>95.695035460992912</v>
      </c>
      <c r="V3970" s="160">
        <f t="shared" si="658"/>
        <v>96</v>
      </c>
    </row>
    <row r="3971" spans="1:22" x14ac:dyDescent="0.25">
      <c r="A3971" s="98" t="s">
        <v>29</v>
      </c>
      <c r="B3971" s="98" t="s">
        <v>17</v>
      </c>
      <c r="C3971" s="98">
        <v>21</v>
      </c>
      <c r="D3971" s="98">
        <v>1455</v>
      </c>
      <c r="E3971" s="157">
        <v>42072.811111111114</v>
      </c>
      <c r="F3971" s="157">
        <v>42072.870138888888</v>
      </c>
      <c r="G3971" s="98">
        <v>395</v>
      </c>
      <c r="H3971" s="98">
        <v>423</v>
      </c>
      <c r="I3971" s="98">
        <v>393</v>
      </c>
      <c r="J3971" s="98" t="s">
        <v>1990</v>
      </c>
      <c r="K3971" s="98" t="s">
        <v>2861</v>
      </c>
      <c r="L3971" s="105" t="str">
        <f t="shared" si="650"/>
        <v>Mill Creek</v>
      </c>
      <c r="M3971" s="105" t="str">
        <f t="shared" si="651"/>
        <v>Derate</v>
      </c>
      <c r="N3971" s="105" t="str">
        <f t="shared" si="652"/>
        <v>Coal</v>
      </c>
      <c r="O3971" s="105">
        <f>IFERROR(VLOOKUP(A3971,Lookup!$J$5:$P$19,7,FALSE),0)</f>
        <v>3</v>
      </c>
      <c r="P3971" s="159">
        <f t="shared" si="653"/>
        <v>2015</v>
      </c>
      <c r="Q3971" s="159">
        <f t="shared" si="654"/>
        <v>3</v>
      </c>
      <c r="R3971" s="160">
        <f t="shared" si="655"/>
        <v>1.4166666665696539</v>
      </c>
      <c r="S3971" s="158">
        <f t="shared" si="656"/>
        <v>9.3774625683097662E-2</v>
      </c>
      <c r="T3971" s="161">
        <f t="shared" si="657"/>
        <v>36.853427893457379</v>
      </c>
      <c r="U3971" s="158">
        <f t="shared" si="659"/>
        <v>26.01418439716312</v>
      </c>
      <c r="V3971" s="160">
        <f t="shared" si="658"/>
        <v>26</v>
      </c>
    </row>
    <row r="3972" spans="1:22" x14ac:dyDescent="0.25">
      <c r="A3972" s="98" t="s">
        <v>29</v>
      </c>
      <c r="B3972" s="98" t="s">
        <v>17</v>
      </c>
      <c r="C3972" s="98">
        <v>22</v>
      </c>
      <c r="D3972" s="98">
        <v>360</v>
      </c>
      <c r="E3972" s="157">
        <v>42074.431944444441</v>
      </c>
      <c r="F3972" s="157">
        <v>42074.449305555558</v>
      </c>
      <c r="G3972" s="98">
        <v>320</v>
      </c>
      <c r="H3972" s="98">
        <v>423</v>
      </c>
      <c r="I3972" s="98">
        <v>393</v>
      </c>
      <c r="J3972" s="98" t="s">
        <v>229</v>
      </c>
      <c r="K3972" s="98" t="s">
        <v>2862</v>
      </c>
      <c r="L3972" s="105" t="str">
        <f t="shared" si="650"/>
        <v>Mill Creek</v>
      </c>
      <c r="M3972" s="105" t="str">
        <f t="shared" si="651"/>
        <v>Derate</v>
      </c>
      <c r="N3972" s="105" t="str">
        <f t="shared" si="652"/>
        <v>Coal</v>
      </c>
      <c r="O3972" s="105">
        <f>IFERROR(VLOOKUP(A3972,Lookup!$J$5:$P$19,7,FALSE),0)</f>
        <v>3</v>
      </c>
      <c r="P3972" s="159">
        <f t="shared" si="653"/>
        <v>2015</v>
      </c>
      <c r="Q3972" s="159">
        <f t="shared" si="654"/>
        <v>3</v>
      </c>
      <c r="R3972" s="160">
        <f t="shared" si="655"/>
        <v>0.41666666680248454</v>
      </c>
      <c r="S3972" s="158">
        <f t="shared" si="656"/>
        <v>0.10145784085261444</v>
      </c>
      <c r="T3972" s="161">
        <f t="shared" si="657"/>
        <v>39.872931455077477</v>
      </c>
      <c r="U3972" s="158">
        <f t="shared" si="659"/>
        <v>95.695035460992912</v>
      </c>
      <c r="V3972" s="160">
        <f t="shared" si="658"/>
        <v>96</v>
      </c>
    </row>
    <row r="3973" spans="1:22" x14ac:dyDescent="0.25">
      <c r="A3973" s="98" t="s">
        <v>29</v>
      </c>
      <c r="B3973" s="98" t="s">
        <v>17</v>
      </c>
      <c r="C3973" s="98">
        <v>23</v>
      </c>
      <c r="D3973" s="98">
        <v>360</v>
      </c>
      <c r="E3973" s="157">
        <v>42074.780555555553</v>
      </c>
      <c r="F3973" s="157">
        <v>42074.906944444447</v>
      </c>
      <c r="G3973" s="98">
        <v>320</v>
      </c>
      <c r="H3973" s="98">
        <v>423</v>
      </c>
      <c r="I3973" s="98">
        <v>393</v>
      </c>
      <c r="J3973" s="98" t="s">
        <v>229</v>
      </c>
      <c r="K3973" s="98" t="s">
        <v>2862</v>
      </c>
      <c r="L3973" s="105" t="str">
        <f t="shared" si="650"/>
        <v>Mill Creek</v>
      </c>
      <c r="M3973" s="105" t="str">
        <f t="shared" si="651"/>
        <v>Derate</v>
      </c>
      <c r="N3973" s="105" t="str">
        <f t="shared" si="652"/>
        <v>Coal</v>
      </c>
      <c r="O3973" s="105">
        <f>IFERROR(VLOOKUP(A3973,Lookup!$J$5:$P$19,7,FALSE),0)</f>
        <v>3</v>
      </c>
      <c r="P3973" s="159">
        <f t="shared" si="653"/>
        <v>2015</v>
      </c>
      <c r="Q3973" s="159">
        <f t="shared" si="654"/>
        <v>3</v>
      </c>
      <c r="R3973" s="160">
        <f t="shared" si="655"/>
        <v>3.0333333334419876</v>
      </c>
      <c r="S3973" s="158">
        <f t="shared" si="656"/>
        <v>0.73861308119272984</v>
      </c>
      <c r="T3973" s="161">
        <f t="shared" si="657"/>
        <v>290.27494090874285</v>
      </c>
      <c r="U3973" s="158">
        <f t="shared" si="659"/>
        <v>95.695035460992912</v>
      </c>
      <c r="V3973" s="160">
        <f t="shared" si="658"/>
        <v>96</v>
      </c>
    </row>
    <row r="3974" spans="1:22" x14ac:dyDescent="0.25">
      <c r="A3974" s="98" t="s">
        <v>29</v>
      </c>
      <c r="B3974" s="98" t="s">
        <v>17</v>
      </c>
      <c r="C3974" s="98">
        <v>24</v>
      </c>
      <c r="D3974" s="98">
        <v>360</v>
      </c>
      <c r="E3974" s="157">
        <v>42079.477777777778</v>
      </c>
      <c r="F3974" s="157">
        <v>42079.51458333333</v>
      </c>
      <c r="G3974" s="98">
        <v>390</v>
      </c>
      <c r="H3974" s="98">
        <v>423</v>
      </c>
      <c r="I3974" s="98">
        <v>393</v>
      </c>
      <c r="J3974" s="98" t="s">
        <v>229</v>
      </c>
      <c r="K3974" s="98" t="s">
        <v>2833</v>
      </c>
      <c r="L3974" s="105" t="str">
        <f t="shared" si="650"/>
        <v>Mill Creek</v>
      </c>
      <c r="M3974" s="105" t="str">
        <f t="shared" si="651"/>
        <v>Derate</v>
      </c>
      <c r="N3974" s="105" t="str">
        <f t="shared" si="652"/>
        <v>Coal</v>
      </c>
      <c r="O3974" s="105">
        <f>IFERROR(VLOOKUP(A3974,Lookup!$J$5:$P$19,7,FALSE),0)</f>
        <v>3</v>
      </c>
      <c r="P3974" s="159">
        <f t="shared" si="653"/>
        <v>2015</v>
      </c>
      <c r="Q3974" s="159">
        <f t="shared" si="654"/>
        <v>3</v>
      </c>
      <c r="R3974" s="160">
        <f t="shared" si="655"/>
        <v>0.88333333324408159</v>
      </c>
      <c r="S3974" s="158">
        <f t="shared" si="656"/>
        <v>6.8912529543864523E-2</v>
      </c>
      <c r="T3974" s="161">
        <f t="shared" si="657"/>
        <v>27.082624110738756</v>
      </c>
      <c r="U3974" s="158">
        <f t="shared" si="659"/>
        <v>30.659574468085108</v>
      </c>
      <c r="V3974" s="160">
        <f t="shared" si="658"/>
        <v>31</v>
      </c>
    </row>
    <row r="3975" spans="1:22" x14ac:dyDescent="0.25">
      <c r="A3975" s="98" t="s">
        <v>29</v>
      </c>
      <c r="B3975" s="98" t="s">
        <v>17</v>
      </c>
      <c r="C3975" s="98">
        <v>25</v>
      </c>
      <c r="D3975" s="98">
        <v>360</v>
      </c>
      <c r="E3975" s="157">
        <v>42080.952777777777</v>
      </c>
      <c r="F3975" s="157">
        <v>42080.98541666667</v>
      </c>
      <c r="G3975" s="98">
        <v>330</v>
      </c>
      <c r="H3975" s="98">
        <v>423</v>
      </c>
      <c r="I3975" s="98">
        <v>393</v>
      </c>
      <c r="J3975" s="98" t="s">
        <v>229</v>
      </c>
      <c r="K3975" s="98" t="s">
        <v>2833</v>
      </c>
      <c r="L3975" s="105" t="str">
        <f t="shared" si="650"/>
        <v>Mill Creek</v>
      </c>
      <c r="M3975" s="105" t="str">
        <f t="shared" si="651"/>
        <v>Derate</v>
      </c>
      <c r="N3975" s="105" t="str">
        <f t="shared" si="652"/>
        <v>Coal</v>
      </c>
      <c r="O3975" s="105">
        <f>IFERROR(VLOOKUP(A3975,Lookup!$J$5:$P$19,7,FALSE),0)</f>
        <v>3</v>
      </c>
      <c r="P3975" s="159">
        <f t="shared" si="653"/>
        <v>2015</v>
      </c>
      <c r="Q3975" s="159">
        <f t="shared" si="654"/>
        <v>3</v>
      </c>
      <c r="R3975" s="160">
        <f t="shared" si="655"/>
        <v>0.78333333344198763</v>
      </c>
      <c r="S3975" s="158">
        <f t="shared" si="656"/>
        <v>0.17222222224611075</v>
      </c>
      <c r="T3975" s="161">
        <f t="shared" si="657"/>
        <v>67.683333342721525</v>
      </c>
      <c r="U3975" s="158">
        <f t="shared" si="659"/>
        <v>86.40425531914893</v>
      </c>
      <c r="V3975" s="160">
        <f t="shared" si="658"/>
        <v>86</v>
      </c>
    </row>
    <row r="3976" spans="1:22" x14ac:dyDescent="0.25">
      <c r="A3976" s="98" t="s">
        <v>29</v>
      </c>
      <c r="B3976" s="98" t="s">
        <v>17</v>
      </c>
      <c r="C3976" s="98">
        <v>26</v>
      </c>
      <c r="D3976" s="98">
        <v>360</v>
      </c>
      <c r="E3976" s="157">
        <v>42081.344444444447</v>
      </c>
      <c r="F3976" s="157">
        <v>42081.361111111109</v>
      </c>
      <c r="G3976" s="98">
        <v>335</v>
      </c>
      <c r="H3976" s="98">
        <v>423</v>
      </c>
      <c r="I3976" s="98">
        <v>393</v>
      </c>
      <c r="J3976" s="98" t="s">
        <v>229</v>
      </c>
      <c r="K3976" s="98" t="s">
        <v>2833</v>
      </c>
      <c r="L3976" s="105" t="str">
        <f t="shared" si="650"/>
        <v>Mill Creek</v>
      </c>
      <c r="M3976" s="105" t="str">
        <f t="shared" si="651"/>
        <v>Derate</v>
      </c>
      <c r="N3976" s="105" t="str">
        <f t="shared" si="652"/>
        <v>Coal</v>
      </c>
      <c r="O3976" s="105">
        <f>IFERROR(VLOOKUP(A3976,Lookup!$J$5:$P$19,7,FALSE),0)</f>
        <v>3</v>
      </c>
      <c r="P3976" s="159">
        <f t="shared" si="653"/>
        <v>2015</v>
      </c>
      <c r="Q3976" s="159">
        <f t="shared" si="654"/>
        <v>3</v>
      </c>
      <c r="R3976" s="160">
        <f t="shared" si="655"/>
        <v>0.39999999990686774</v>
      </c>
      <c r="S3976" s="158">
        <f t="shared" si="656"/>
        <v>8.3215130004265628E-2</v>
      </c>
      <c r="T3976" s="161">
        <f t="shared" si="657"/>
        <v>32.703546091676394</v>
      </c>
      <c r="U3976" s="158">
        <f t="shared" si="659"/>
        <v>81.758865248226954</v>
      </c>
      <c r="V3976" s="160">
        <f t="shared" si="658"/>
        <v>82</v>
      </c>
    </row>
    <row r="3977" spans="1:22" x14ac:dyDescent="0.25">
      <c r="A3977" s="98" t="s">
        <v>29</v>
      </c>
      <c r="B3977" s="98" t="s">
        <v>20</v>
      </c>
      <c r="C3977" s="98">
        <v>27</v>
      </c>
      <c r="D3977" s="98">
        <v>8425</v>
      </c>
      <c r="E3977" s="157">
        <v>42083.634722222225</v>
      </c>
      <c r="F3977" s="157">
        <v>42085.955555555556</v>
      </c>
      <c r="G3977" s="98">
        <v>0</v>
      </c>
      <c r="H3977" s="98">
        <v>423</v>
      </c>
      <c r="I3977" s="98">
        <v>393</v>
      </c>
      <c r="J3977" s="98" t="s">
        <v>2287</v>
      </c>
      <c r="K3977" s="98" t="s">
        <v>2863</v>
      </c>
      <c r="L3977" s="105" t="str">
        <f t="shared" si="650"/>
        <v>Mill Creek</v>
      </c>
      <c r="M3977" s="105" t="str">
        <f t="shared" si="651"/>
        <v>Maintenance</v>
      </c>
      <c r="N3977" s="105" t="str">
        <f t="shared" si="652"/>
        <v>Coal</v>
      </c>
      <c r="O3977" s="105">
        <f>IFERROR(VLOOKUP(A3977,Lookup!$J$5:$P$19,7,FALSE),0)</f>
        <v>3</v>
      </c>
      <c r="P3977" s="159">
        <f t="shared" si="653"/>
        <v>2015</v>
      </c>
      <c r="Q3977" s="159">
        <f t="shared" si="654"/>
        <v>3</v>
      </c>
      <c r="R3977" s="160">
        <f t="shared" si="655"/>
        <v>55.699999999953434</v>
      </c>
      <c r="S3977" s="158">
        <f t="shared" si="656"/>
        <v>55.699999999953434</v>
      </c>
      <c r="T3977" s="161">
        <f t="shared" si="657"/>
        <v>21890.0999999817</v>
      </c>
      <c r="U3977" s="158">
        <f t="shared" si="659"/>
        <v>393</v>
      </c>
      <c r="V3977" s="160">
        <f t="shared" si="658"/>
        <v>393</v>
      </c>
    </row>
    <row r="3978" spans="1:22" x14ac:dyDescent="0.25">
      <c r="A3978" s="98" t="s">
        <v>29</v>
      </c>
      <c r="B3978" s="98" t="s">
        <v>79</v>
      </c>
      <c r="C3978" s="98">
        <v>28</v>
      </c>
      <c r="D3978" s="98">
        <v>1850</v>
      </c>
      <c r="E3978" s="157">
        <v>42085.955555555556</v>
      </c>
      <c r="F3978" s="157">
        <v>42086.476388888892</v>
      </c>
      <c r="G3978" s="98">
        <v>0</v>
      </c>
      <c r="H3978" s="98">
        <v>423</v>
      </c>
      <c r="I3978" s="98">
        <v>393</v>
      </c>
      <c r="J3978" s="98" t="s">
        <v>2263</v>
      </c>
      <c r="K3978" s="98" t="s">
        <v>2864</v>
      </c>
      <c r="L3978" s="105" t="str">
        <f t="shared" si="650"/>
        <v>Mill Creek</v>
      </c>
      <c r="M3978" s="105" t="str">
        <f t="shared" si="651"/>
        <v>Other</v>
      </c>
      <c r="N3978" s="105" t="str">
        <f t="shared" si="652"/>
        <v>Coal</v>
      </c>
      <c r="O3978" s="105">
        <f>IFERROR(VLOOKUP(A3978,Lookup!$J$5:$P$19,7,FALSE),0)</f>
        <v>3</v>
      </c>
      <c r="P3978" s="159">
        <f t="shared" si="653"/>
        <v>2015</v>
      </c>
      <c r="Q3978" s="159">
        <f t="shared" si="654"/>
        <v>3</v>
      </c>
      <c r="R3978" s="160">
        <f t="shared" si="655"/>
        <v>12.500000000058208</v>
      </c>
      <c r="S3978" s="158">
        <f t="shared" si="656"/>
        <v>12.500000000058208</v>
      </c>
      <c r="T3978" s="161">
        <f t="shared" si="657"/>
        <v>4912.5000000228756</v>
      </c>
      <c r="U3978" s="158">
        <f t="shared" si="659"/>
        <v>393</v>
      </c>
      <c r="V3978" s="160">
        <f t="shared" si="658"/>
        <v>393</v>
      </c>
    </row>
    <row r="3979" spans="1:22" x14ac:dyDescent="0.25">
      <c r="A3979" s="98" t="s">
        <v>29</v>
      </c>
      <c r="B3979" s="98" t="s">
        <v>17</v>
      </c>
      <c r="C3979" s="98">
        <v>29</v>
      </c>
      <c r="D3979" s="98">
        <v>1850</v>
      </c>
      <c r="E3979" s="157">
        <v>42086.476388888892</v>
      </c>
      <c r="F3979" s="157">
        <v>42086.881249999999</v>
      </c>
      <c r="G3979" s="98">
        <v>300</v>
      </c>
      <c r="H3979" s="98">
        <v>423</v>
      </c>
      <c r="I3979" s="98">
        <v>393</v>
      </c>
      <c r="J3979" s="98" t="s">
        <v>2263</v>
      </c>
      <c r="K3979" s="98" t="s">
        <v>41</v>
      </c>
      <c r="L3979" s="105" t="str">
        <f t="shared" si="650"/>
        <v>Mill Creek</v>
      </c>
      <c r="M3979" s="105" t="str">
        <f t="shared" si="651"/>
        <v>Derate</v>
      </c>
      <c r="N3979" s="105" t="str">
        <f t="shared" si="652"/>
        <v>Coal</v>
      </c>
      <c r="O3979" s="105">
        <f>IFERROR(VLOOKUP(A3979,Lookup!$J$5:$P$19,7,FALSE),0)</f>
        <v>3</v>
      </c>
      <c r="P3979" s="159">
        <f t="shared" si="653"/>
        <v>2015</v>
      </c>
      <c r="Q3979" s="159">
        <f t="shared" si="654"/>
        <v>3</v>
      </c>
      <c r="R3979" s="160">
        <f t="shared" si="655"/>
        <v>9.7166666665580124</v>
      </c>
      <c r="S3979" s="158">
        <f t="shared" si="656"/>
        <v>2.8254137115523297</v>
      </c>
      <c r="T3979" s="161">
        <f t="shared" si="657"/>
        <v>1110.3875886400656</v>
      </c>
      <c r="U3979" s="158">
        <f t="shared" si="659"/>
        <v>114.27659574468085</v>
      </c>
      <c r="V3979" s="160">
        <f t="shared" si="658"/>
        <v>114</v>
      </c>
    </row>
    <row r="3980" spans="1:22" x14ac:dyDescent="0.25">
      <c r="A3980" s="98" t="s">
        <v>29</v>
      </c>
      <c r="B3980" s="98" t="s">
        <v>17</v>
      </c>
      <c r="C3980" s="98">
        <v>30</v>
      </c>
      <c r="D3980" s="98">
        <v>1455</v>
      </c>
      <c r="E3980" s="157">
        <v>42089.311111111114</v>
      </c>
      <c r="F3980" s="157">
        <v>42089.332638888889</v>
      </c>
      <c r="G3980" s="98">
        <v>405</v>
      </c>
      <c r="H3980" s="98">
        <v>423</v>
      </c>
      <c r="I3980" s="98">
        <v>393</v>
      </c>
      <c r="J3980" s="98" t="s">
        <v>1990</v>
      </c>
      <c r="K3980" s="98" t="s">
        <v>2865</v>
      </c>
      <c r="L3980" s="105" t="str">
        <f t="shared" si="650"/>
        <v>Mill Creek</v>
      </c>
      <c r="M3980" s="105" t="str">
        <f t="shared" si="651"/>
        <v>Derate</v>
      </c>
      <c r="N3980" s="105" t="str">
        <f t="shared" si="652"/>
        <v>Coal</v>
      </c>
      <c r="O3980" s="105">
        <f>IFERROR(VLOOKUP(A3980,Lookup!$J$5:$P$19,7,FALSE),0)</f>
        <v>3</v>
      </c>
      <c r="P3980" s="159">
        <f t="shared" si="653"/>
        <v>2015</v>
      </c>
      <c r="Q3980" s="159">
        <f t="shared" si="654"/>
        <v>3</v>
      </c>
      <c r="R3980" s="160">
        <f t="shared" si="655"/>
        <v>0.5166666666045785</v>
      </c>
      <c r="S3980" s="158">
        <f t="shared" si="656"/>
        <v>2.198581560019483E-2</v>
      </c>
      <c r="T3980" s="161">
        <f t="shared" si="657"/>
        <v>8.6404255308765681</v>
      </c>
      <c r="U3980" s="158">
        <f t="shared" si="659"/>
        <v>16.723404255319149</v>
      </c>
      <c r="V3980" s="160">
        <f t="shared" si="658"/>
        <v>17</v>
      </c>
    </row>
    <row r="3981" spans="1:22" x14ac:dyDescent="0.25">
      <c r="A3981" s="98" t="s">
        <v>29</v>
      </c>
      <c r="B3981" s="98" t="s">
        <v>17</v>
      </c>
      <c r="C3981" s="98">
        <v>31</v>
      </c>
      <c r="D3981" s="98">
        <v>1455</v>
      </c>
      <c r="E3981" s="157">
        <v>42090.250694444447</v>
      </c>
      <c r="F3981" s="157">
        <v>42090.873611111114</v>
      </c>
      <c r="G3981" s="98">
        <v>405</v>
      </c>
      <c r="H3981" s="98">
        <v>423</v>
      </c>
      <c r="I3981" s="98">
        <v>393</v>
      </c>
      <c r="J3981" s="98" t="s">
        <v>1990</v>
      </c>
      <c r="K3981" s="98" t="s">
        <v>2865</v>
      </c>
      <c r="L3981" s="105" t="str">
        <f t="shared" si="650"/>
        <v>Mill Creek</v>
      </c>
      <c r="M3981" s="105" t="str">
        <f t="shared" si="651"/>
        <v>Derate</v>
      </c>
      <c r="N3981" s="105" t="str">
        <f t="shared" si="652"/>
        <v>Coal</v>
      </c>
      <c r="O3981" s="105">
        <f>IFERROR(VLOOKUP(A3981,Lookup!$J$5:$P$19,7,FALSE),0)</f>
        <v>3</v>
      </c>
      <c r="P3981" s="159">
        <f t="shared" si="653"/>
        <v>2015</v>
      </c>
      <c r="Q3981" s="159">
        <f t="shared" si="654"/>
        <v>3</v>
      </c>
      <c r="R3981" s="160">
        <f t="shared" si="655"/>
        <v>14.950000000011642</v>
      </c>
      <c r="S3981" s="158">
        <f t="shared" si="656"/>
        <v>0.6361702127664528</v>
      </c>
      <c r="T3981" s="161">
        <f t="shared" si="657"/>
        <v>250.01489361721596</v>
      </c>
      <c r="U3981" s="158">
        <f t="shared" si="659"/>
        <v>16.723404255319149</v>
      </c>
      <c r="V3981" s="160">
        <f t="shared" si="658"/>
        <v>17</v>
      </c>
    </row>
    <row r="3982" spans="1:22" x14ac:dyDescent="0.25">
      <c r="A3982" s="98" t="s">
        <v>29</v>
      </c>
      <c r="B3982" s="98" t="s">
        <v>17</v>
      </c>
      <c r="C3982" s="98">
        <v>32</v>
      </c>
      <c r="D3982" s="98">
        <v>360</v>
      </c>
      <c r="E3982" s="157">
        <v>42090.873611111114</v>
      </c>
      <c r="F3982" s="157">
        <v>42090.895833333336</v>
      </c>
      <c r="G3982" s="98">
        <v>340</v>
      </c>
      <c r="H3982" s="98">
        <v>423</v>
      </c>
      <c r="I3982" s="98">
        <v>393</v>
      </c>
      <c r="J3982" s="98" t="s">
        <v>229</v>
      </c>
      <c r="K3982" s="98" t="s">
        <v>2866</v>
      </c>
      <c r="L3982" s="105" t="str">
        <f t="shared" si="650"/>
        <v>Mill Creek</v>
      </c>
      <c r="M3982" s="105" t="str">
        <f t="shared" si="651"/>
        <v>Derate</v>
      </c>
      <c r="N3982" s="105" t="str">
        <f t="shared" si="652"/>
        <v>Coal</v>
      </c>
      <c r="O3982" s="105">
        <f>IFERROR(VLOOKUP(A3982,Lookup!$J$5:$P$19,7,FALSE),0)</f>
        <v>3</v>
      </c>
      <c r="P3982" s="159">
        <f t="shared" si="653"/>
        <v>2015</v>
      </c>
      <c r="Q3982" s="159">
        <f t="shared" si="654"/>
        <v>3</v>
      </c>
      <c r="R3982" s="160">
        <f t="shared" si="655"/>
        <v>0.53333333332557231</v>
      </c>
      <c r="S3982" s="158">
        <f t="shared" si="656"/>
        <v>0.10464933017972222</v>
      </c>
      <c r="T3982" s="161">
        <f t="shared" si="657"/>
        <v>41.127186760630835</v>
      </c>
      <c r="U3982" s="158">
        <f t="shared" si="659"/>
        <v>77.113475177304963</v>
      </c>
      <c r="V3982" s="160">
        <f t="shared" si="658"/>
        <v>77</v>
      </c>
    </row>
    <row r="3983" spans="1:22" x14ac:dyDescent="0.25">
      <c r="A3983" s="98" t="s">
        <v>29</v>
      </c>
      <c r="B3983" s="98" t="s">
        <v>17</v>
      </c>
      <c r="C3983" s="98">
        <v>33</v>
      </c>
      <c r="D3983" s="98">
        <v>1455</v>
      </c>
      <c r="E3983" s="157">
        <v>42090.895833333336</v>
      </c>
      <c r="F3983" s="157">
        <v>42092.916666666664</v>
      </c>
      <c r="G3983" s="98">
        <v>405</v>
      </c>
      <c r="H3983" s="98">
        <v>423</v>
      </c>
      <c r="I3983" s="98">
        <v>393</v>
      </c>
      <c r="J3983" s="98" t="s">
        <v>1990</v>
      </c>
      <c r="K3983" s="98" t="s">
        <v>2865</v>
      </c>
      <c r="L3983" s="105" t="str">
        <f t="shared" si="650"/>
        <v>Mill Creek</v>
      </c>
      <c r="M3983" s="105" t="str">
        <f t="shared" si="651"/>
        <v>Derate</v>
      </c>
      <c r="N3983" s="105" t="str">
        <f t="shared" si="652"/>
        <v>Coal</v>
      </c>
      <c r="O3983" s="105">
        <f>IFERROR(VLOOKUP(A3983,Lookup!$J$5:$P$19,7,FALSE),0)</f>
        <v>3</v>
      </c>
      <c r="P3983" s="159">
        <f t="shared" si="653"/>
        <v>2015</v>
      </c>
      <c r="Q3983" s="159">
        <f t="shared" si="654"/>
        <v>3</v>
      </c>
      <c r="R3983" s="160">
        <f t="shared" si="655"/>
        <v>48.499999999883585</v>
      </c>
      <c r="S3983" s="158">
        <f t="shared" si="656"/>
        <v>2.0638297872290887</v>
      </c>
      <c r="T3983" s="161">
        <f t="shared" si="657"/>
        <v>811.08510638103189</v>
      </c>
      <c r="U3983" s="158">
        <f t="shared" si="659"/>
        <v>16.723404255319149</v>
      </c>
      <c r="V3983" s="160">
        <f t="shared" si="658"/>
        <v>17</v>
      </c>
    </row>
    <row r="3984" spans="1:22" x14ac:dyDescent="0.25">
      <c r="A3984" s="98" t="s">
        <v>29</v>
      </c>
      <c r="B3984" s="98" t="s">
        <v>105</v>
      </c>
      <c r="C3984" s="98">
        <v>34</v>
      </c>
      <c r="D3984" s="98">
        <v>250</v>
      </c>
      <c r="E3984" s="157">
        <v>42092.916666666664</v>
      </c>
      <c r="F3984" s="157">
        <v>42093.130555555559</v>
      </c>
      <c r="G3984" s="98">
        <v>320</v>
      </c>
      <c r="H3984" s="98">
        <v>423</v>
      </c>
      <c r="I3984" s="98">
        <v>393</v>
      </c>
      <c r="J3984" s="98" t="s">
        <v>1978</v>
      </c>
      <c r="K3984" s="98" t="s">
        <v>2867</v>
      </c>
      <c r="L3984" s="105" t="str">
        <f t="shared" si="650"/>
        <v>Mill Creek</v>
      </c>
      <c r="M3984" s="105" t="str">
        <f t="shared" si="651"/>
        <v>Derate</v>
      </c>
      <c r="N3984" s="105" t="str">
        <f t="shared" si="652"/>
        <v>Coal</v>
      </c>
      <c r="O3984" s="105">
        <f>IFERROR(VLOOKUP(A3984,Lookup!$J$5:$P$19,7,FALSE),0)</f>
        <v>3</v>
      </c>
      <c r="P3984" s="159">
        <f t="shared" si="653"/>
        <v>2015</v>
      </c>
      <c r="Q3984" s="159">
        <f t="shared" si="654"/>
        <v>3</v>
      </c>
      <c r="R3984" s="160">
        <f t="shared" si="655"/>
        <v>5.1333333334769122</v>
      </c>
      <c r="S3984" s="158">
        <f t="shared" si="656"/>
        <v>1.2499605989317304</v>
      </c>
      <c r="T3984" s="161">
        <f t="shared" si="657"/>
        <v>491.23451538017002</v>
      </c>
      <c r="U3984" s="158">
        <f t="shared" si="659"/>
        <v>95.695035460992912</v>
      </c>
      <c r="V3984" s="160">
        <f t="shared" si="658"/>
        <v>96</v>
      </c>
    </row>
    <row r="3985" spans="1:22" x14ac:dyDescent="0.25">
      <c r="A3985" s="98" t="s">
        <v>29</v>
      </c>
      <c r="B3985" s="98" t="s">
        <v>17</v>
      </c>
      <c r="C3985" s="98">
        <v>35</v>
      </c>
      <c r="D3985" s="98">
        <v>1455</v>
      </c>
      <c r="E3985" s="157">
        <v>42093.130555555559</v>
      </c>
      <c r="F3985" s="157">
        <v>42098.799305555556</v>
      </c>
      <c r="G3985" s="98">
        <v>406</v>
      </c>
      <c r="H3985" s="98">
        <v>423</v>
      </c>
      <c r="I3985" s="98">
        <v>393</v>
      </c>
      <c r="J3985" s="98" t="s">
        <v>1990</v>
      </c>
      <c r="K3985" s="98" t="s">
        <v>2865</v>
      </c>
      <c r="L3985" s="105" t="str">
        <f t="shared" si="650"/>
        <v>Mill Creek</v>
      </c>
      <c r="M3985" s="105" t="str">
        <f t="shared" si="651"/>
        <v>Derate</v>
      </c>
      <c r="N3985" s="105" t="str">
        <f t="shared" si="652"/>
        <v>Coal</v>
      </c>
      <c r="O3985" s="105">
        <f>IFERROR(VLOOKUP(A3985,Lookup!$J$5:$P$19,7,FALSE),0)</f>
        <v>3</v>
      </c>
      <c r="P3985" s="159">
        <f t="shared" si="653"/>
        <v>2015</v>
      </c>
      <c r="Q3985" s="159">
        <f t="shared" si="654"/>
        <v>3</v>
      </c>
      <c r="R3985" s="160">
        <f t="shared" si="655"/>
        <v>136.04999999993015</v>
      </c>
      <c r="S3985" s="158">
        <f t="shared" si="656"/>
        <v>5.4677304964510931</v>
      </c>
      <c r="T3985" s="161">
        <f t="shared" si="657"/>
        <v>2148.8180851052798</v>
      </c>
      <c r="U3985" s="158">
        <f t="shared" si="659"/>
        <v>15.794326241134751</v>
      </c>
      <c r="V3985" s="160">
        <f t="shared" si="658"/>
        <v>16</v>
      </c>
    </row>
    <row r="3986" spans="1:22" x14ac:dyDescent="0.25">
      <c r="A3986" s="98" t="s">
        <v>29</v>
      </c>
      <c r="B3986" s="98" t="s">
        <v>17</v>
      </c>
      <c r="C3986" s="98">
        <v>36</v>
      </c>
      <c r="D3986" s="98">
        <v>360</v>
      </c>
      <c r="E3986" s="157">
        <v>42098.799305555556</v>
      </c>
      <c r="F3986" s="157">
        <v>42099.498611111114</v>
      </c>
      <c r="G3986" s="98">
        <v>335</v>
      </c>
      <c r="H3986" s="98">
        <v>423</v>
      </c>
      <c r="I3986" s="98">
        <v>393</v>
      </c>
      <c r="J3986" s="98" t="s">
        <v>229</v>
      </c>
      <c r="K3986" s="98" t="s">
        <v>2868</v>
      </c>
      <c r="L3986" s="105" t="str">
        <f t="shared" si="650"/>
        <v>Mill Creek</v>
      </c>
      <c r="M3986" s="105" t="str">
        <f t="shared" si="651"/>
        <v>Derate</v>
      </c>
      <c r="N3986" s="105" t="str">
        <f t="shared" si="652"/>
        <v>Coal</v>
      </c>
      <c r="O3986" s="105">
        <f>IFERROR(VLOOKUP(A3986,Lookup!$J$5:$P$19,7,FALSE),0)</f>
        <v>3</v>
      </c>
      <c r="P3986" s="159">
        <f t="shared" si="653"/>
        <v>2015</v>
      </c>
      <c r="Q3986" s="159">
        <f t="shared" si="654"/>
        <v>4</v>
      </c>
      <c r="R3986" s="160">
        <f t="shared" si="655"/>
        <v>16.78333333338378</v>
      </c>
      <c r="S3986" s="158">
        <f t="shared" si="656"/>
        <v>3.4915681639190841</v>
      </c>
      <c r="T3986" s="161">
        <f t="shared" si="657"/>
        <v>1372.1862884202001</v>
      </c>
      <c r="U3986" s="158">
        <f t="shared" si="659"/>
        <v>81.758865248226954</v>
      </c>
      <c r="V3986" s="160">
        <f t="shared" si="658"/>
        <v>82</v>
      </c>
    </row>
    <row r="3987" spans="1:22" x14ac:dyDescent="0.25">
      <c r="A3987" s="98" t="s">
        <v>29</v>
      </c>
      <c r="B3987" s="98" t="s">
        <v>17</v>
      </c>
      <c r="C3987" s="98">
        <v>37</v>
      </c>
      <c r="D3987" s="98">
        <v>1455</v>
      </c>
      <c r="E3987" s="157">
        <v>42099.498611111114</v>
      </c>
      <c r="F3987" s="157">
        <v>42100.262499999997</v>
      </c>
      <c r="G3987" s="98">
        <v>405</v>
      </c>
      <c r="H3987" s="98">
        <v>423</v>
      </c>
      <c r="I3987" s="98">
        <v>393</v>
      </c>
      <c r="J3987" s="98" t="s">
        <v>1990</v>
      </c>
      <c r="K3987" s="98" t="s">
        <v>2865</v>
      </c>
      <c r="L3987" s="105" t="str">
        <f t="shared" si="650"/>
        <v>Mill Creek</v>
      </c>
      <c r="M3987" s="105" t="str">
        <f t="shared" si="651"/>
        <v>Derate</v>
      </c>
      <c r="N3987" s="105" t="str">
        <f t="shared" si="652"/>
        <v>Coal</v>
      </c>
      <c r="O3987" s="105">
        <f>IFERROR(VLOOKUP(A3987,Lookup!$J$5:$P$19,7,FALSE),0)</f>
        <v>3</v>
      </c>
      <c r="P3987" s="159">
        <f t="shared" si="653"/>
        <v>2015</v>
      </c>
      <c r="Q3987" s="159">
        <f t="shared" si="654"/>
        <v>4</v>
      </c>
      <c r="R3987" s="160">
        <f t="shared" si="655"/>
        <v>18.333333333197515</v>
      </c>
      <c r="S3987" s="158">
        <f t="shared" si="656"/>
        <v>0.78014184396585173</v>
      </c>
      <c r="T3987" s="161">
        <f t="shared" si="657"/>
        <v>306.59574467857971</v>
      </c>
      <c r="U3987" s="158">
        <f t="shared" si="659"/>
        <v>16.723404255319149</v>
      </c>
      <c r="V3987" s="160">
        <f t="shared" si="658"/>
        <v>17</v>
      </c>
    </row>
    <row r="3988" spans="1:22" x14ac:dyDescent="0.25">
      <c r="A3988" s="98" t="s">
        <v>29</v>
      </c>
      <c r="B3988" s="98" t="s">
        <v>17</v>
      </c>
      <c r="C3988" s="98">
        <v>38</v>
      </c>
      <c r="D3988" s="98">
        <v>1455</v>
      </c>
      <c r="E3988" s="157">
        <v>42100.262499999997</v>
      </c>
      <c r="F3988" s="157">
        <v>42101.259027777778</v>
      </c>
      <c r="G3988" s="98">
        <v>390</v>
      </c>
      <c r="H3988" s="98">
        <v>423</v>
      </c>
      <c r="I3988" s="98">
        <v>393</v>
      </c>
      <c r="J3988" s="98" t="s">
        <v>1990</v>
      </c>
      <c r="K3988" s="98" t="s">
        <v>2865</v>
      </c>
      <c r="L3988" s="105" t="str">
        <f t="shared" si="650"/>
        <v>Mill Creek</v>
      </c>
      <c r="M3988" s="105" t="str">
        <f t="shared" si="651"/>
        <v>Derate</v>
      </c>
      <c r="N3988" s="105" t="str">
        <f t="shared" si="652"/>
        <v>Coal</v>
      </c>
      <c r="O3988" s="105">
        <f>IFERROR(VLOOKUP(A3988,Lookup!$J$5:$P$19,7,FALSE),0)</f>
        <v>3</v>
      </c>
      <c r="P3988" s="159">
        <f t="shared" si="653"/>
        <v>2015</v>
      </c>
      <c r="Q3988" s="159">
        <f t="shared" si="654"/>
        <v>4</v>
      </c>
      <c r="R3988" s="160">
        <f t="shared" si="655"/>
        <v>23.916666666744277</v>
      </c>
      <c r="S3988" s="158">
        <f t="shared" si="656"/>
        <v>1.8658392435048727</v>
      </c>
      <c r="T3988" s="161">
        <f t="shared" si="657"/>
        <v>733.27482269741495</v>
      </c>
      <c r="U3988" s="158">
        <f t="shared" si="659"/>
        <v>30.659574468085108</v>
      </c>
      <c r="V3988" s="160">
        <f t="shared" si="658"/>
        <v>31</v>
      </c>
    </row>
    <row r="3989" spans="1:22" x14ac:dyDescent="0.25">
      <c r="A3989" s="98" t="s">
        <v>29</v>
      </c>
      <c r="B3989" s="98" t="s">
        <v>17</v>
      </c>
      <c r="C3989" s="98">
        <v>39</v>
      </c>
      <c r="D3989" s="98">
        <v>260</v>
      </c>
      <c r="E3989" s="157">
        <v>42101.259027777778</v>
      </c>
      <c r="F3989" s="157">
        <v>42101.307638888888</v>
      </c>
      <c r="G3989" s="98">
        <v>320</v>
      </c>
      <c r="H3989" s="98">
        <v>423</v>
      </c>
      <c r="I3989" s="98">
        <v>393</v>
      </c>
      <c r="J3989" s="98" t="s">
        <v>1973</v>
      </c>
      <c r="K3989" s="98" t="s">
        <v>2869</v>
      </c>
      <c r="L3989" s="105" t="str">
        <f t="shared" si="650"/>
        <v>Mill Creek</v>
      </c>
      <c r="M3989" s="105" t="str">
        <f t="shared" si="651"/>
        <v>Derate</v>
      </c>
      <c r="N3989" s="105" t="str">
        <f t="shared" si="652"/>
        <v>Coal</v>
      </c>
      <c r="O3989" s="105">
        <f>IFERROR(VLOOKUP(A3989,Lookup!$J$5:$P$19,7,FALSE),0)</f>
        <v>3</v>
      </c>
      <c r="P3989" s="159">
        <f t="shared" si="653"/>
        <v>2015</v>
      </c>
      <c r="Q3989" s="159">
        <f t="shared" si="654"/>
        <v>4</v>
      </c>
      <c r="R3989" s="160">
        <f t="shared" si="655"/>
        <v>1.1666666666278616</v>
      </c>
      <c r="S3989" s="158">
        <f t="shared" si="656"/>
        <v>0.28408195428527128</v>
      </c>
      <c r="T3989" s="161">
        <f t="shared" si="657"/>
        <v>111.64420803411161</v>
      </c>
      <c r="U3989" s="158">
        <f t="shared" si="659"/>
        <v>95.695035460992912</v>
      </c>
      <c r="V3989" s="160">
        <f t="shared" si="658"/>
        <v>96</v>
      </c>
    </row>
    <row r="3990" spans="1:22" x14ac:dyDescent="0.25">
      <c r="A3990" s="98" t="s">
        <v>29</v>
      </c>
      <c r="B3990" s="98" t="s">
        <v>105</v>
      </c>
      <c r="C3990" s="98">
        <v>40</v>
      </c>
      <c r="D3990" s="98">
        <v>260</v>
      </c>
      <c r="E3990" s="157">
        <v>42101.307638888888</v>
      </c>
      <c r="F3990" s="157">
        <v>42101.765277777777</v>
      </c>
      <c r="G3990" s="98">
        <v>340</v>
      </c>
      <c r="H3990" s="98">
        <v>423</v>
      </c>
      <c r="I3990" s="98">
        <v>393</v>
      </c>
      <c r="J3990" s="98" t="s">
        <v>1973</v>
      </c>
      <c r="K3990" s="98" t="s">
        <v>2870</v>
      </c>
      <c r="L3990" s="105" t="str">
        <f t="shared" si="650"/>
        <v>Mill Creek</v>
      </c>
      <c r="M3990" s="105" t="str">
        <f t="shared" si="651"/>
        <v>Derate</v>
      </c>
      <c r="N3990" s="105" t="str">
        <f t="shared" si="652"/>
        <v>Coal</v>
      </c>
      <c r="O3990" s="105">
        <f>IFERROR(VLOOKUP(A3990,Lookup!$J$5:$P$19,7,FALSE),0)</f>
        <v>3</v>
      </c>
      <c r="P3990" s="159">
        <f t="shared" si="653"/>
        <v>2015</v>
      </c>
      <c r="Q3990" s="159">
        <f t="shared" si="654"/>
        <v>4</v>
      </c>
      <c r="R3990" s="160">
        <f t="shared" si="655"/>
        <v>10.983333333337214</v>
      </c>
      <c r="S3990" s="158">
        <f t="shared" si="656"/>
        <v>2.155122143420777</v>
      </c>
      <c r="T3990" s="161">
        <f t="shared" si="657"/>
        <v>846.96300236436537</v>
      </c>
      <c r="U3990" s="158">
        <f t="shared" si="659"/>
        <v>77.113475177304963</v>
      </c>
      <c r="V3990" s="160">
        <f t="shared" si="658"/>
        <v>77</v>
      </c>
    </row>
    <row r="3991" spans="1:22" x14ac:dyDescent="0.25">
      <c r="A3991" s="98" t="s">
        <v>29</v>
      </c>
      <c r="B3991" s="98" t="s">
        <v>17</v>
      </c>
      <c r="C3991" s="98">
        <v>41</v>
      </c>
      <c r="D3991" s="98">
        <v>1455</v>
      </c>
      <c r="E3991" s="157">
        <v>42101.765277777777</v>
      </c>
      <c r="F3991" s="157">
        <v>42102.244444444441</v>
      </c>
      <c r="G3991" s="98">
        <v>405</v>
      </c>
      <c r="H3991" s="98">
        <v>423</v>
      </c>
      <c r="I3991" s="98">
        <v>393</v>
      </c>
      <c r="J3991" s="98" t="s">
        <v>1990</v>
      </c>
      <c r="K3991" s="98" t="s">
        <v>2865</v>
      </c>
      <c r="L3991" s="105" t="str">
        <f t="shared" si="650"/>
        <v>Mill Creek</v>
      </c>
      <c r="M3991" s="105" t="str">
        <f t="shared" si="651"/>
        <v>Derate</v>
      </c>
      <c r="N3991" s="105" t="str">
        <f t="shared" si="652"/>
        <v>Coal</v>
      </c>
      <c r="O3991" s="105">
        <f>IFERROR(VLOOKUP(A3991,Lookup!$J$5:$P$19,7,FALSE),0)</f>
        <v>3</v>
      </c>
      <c r="P3991" s="159">
        <f t="shared" si="653"/>
        <v>2015</v>
      </c>
      <c r="Q3991" s="159">
        <f t="shared" si="654"/>
        <v>4</v>
      </c>
      <c r="R3991" s="160">
        <f t="shared" si="655"/>
        <v>11.499999999941792</v>
      </c>
      <c r="S3991" s="158">
        <f t="shared" si="656"/>
        <v>0.48936170212518265</v>
      </c>
      <c r="T3991" s="161">
        <f t="shared" si="657"/>
        <v>192.31914893519678</v>
      </c>
      <c r="U3991" s="158">
        <f t="shared" si="659"/>
        <v>16.723404255319149</v>
      </c>
      <c r="V3991" s="160">
        <f t="shared" si="658"/>
        <v>17</v>
      </c>
    </row>
    <row r="3992" spans="1:22" x14ac:dyDescent="0.25">
      <c r="A3992" s="98" t="s">
        <v>29</v>
      </c>
      <c r="B3992" s="98" t="s">
        <v>17</v>
      </c>
      <c r="C3992" s="98">
        <v>42</v>
      </c>
      <c r="D3992" s="98">
        <v>260</v>
      </c>
      <c r="E3992" s="157">
        <v>42102.244444444441</v>
      </c>
      <c r="F3992" s="157">
        <v>42102.584722222222</v>
      </c>
      <c r="G3992" s="98">
        <v>320</v>
      </c>
      <c r="H3992" s="98">
        <v>423</v>
      </c>
      <c r="I3992" s="98">
        <v>393</v>
      </c>
      <c r="J3992" s="98" t="s">
        <v>1973</v>
      </c>
      <c r="K3992" s="98" t="s">
        <v>2869</v>
      </c>
      <c r="L3992" s="105" t="str">
        <f t="shared" si="650"/>
        <v>Mill Creek</v>
      </c>
      <c r="M3992" s="105" t="str">
        <f t="shared" si="651"/>
        <v>Derate</v>
      </c>
      <c r="N3992" s="105" t="str">
        <f t="shared" si="652"/>
        <v>Coal</v>
      </c>
      <c r="O3992" s="105">
        <f>IFERROR(VLOOKUP(A3992,Lookup!$J$5:$P$19,7,FALSE),0)</f>
        <v>3</v>
      </c>
      <c r="P3992" s="159">
        <f t="shared" si="653"/>
        <v>2015</v>
      </c>
      <c r="Q3992" s="159">
        <f t="shared" si="654"/>
        <v>4</v>
      </c>
      <c r="R3992" s="160">
        <f t="shared" si="655"/>
        <v>8.1666666667442769</v>
      </c>
      <c r="S3992" s="158">
        <f t="shared" si="656"/>
        <v>1.9885736800819398</v>
      </c>
      <c r="T3992" s="161">
        <f t="shared" si="657"/>
        <v>781.50945627220233</v>
      </c>
      <c r="U3992" s="158">
        <f t="shared" si="659"/>
        <v>95.695035460992912</v>
      </c>
      <c r="V3992" s="160">
        <f t="shared" si="658"/>
        <v>96</v>
      </c>
    </row>
    <row r="3993" spans="1:22" x14ac:dyDescent="0.25">
      <c r="A3993" s="98" t="s">
        <v>29</v>
      </c>
      <c r="B3993" s="98" t="s">
        <v>17</v>
      </c>
      <c r="C3993" s="98">
        <v>43</v>
      </c>
      <c r="D3993" s="98">
        <v>1455</v>
      </c>
      <c r="E3993" s="157">
        <v>42102.584722222222</v>
      </c>
      <c r="F3993" s="157">
        <v>42104.98541666667</v>
      </c>
      <c r="G3993" s="98">
        <v>405</v>
      </c>
      <c r="H3993" s="98">
        <v>423</v>
      </c>
      <c r="I3993" s="98">
        <v>393</v>
      </c>
      <c r="J3993" s="98" t="s">
        <v>1990</v>
      </c>
      <c r="K3993" s="98" t="s">
        <v>2865</v>
      </c>
      <c r="L3993" s="105" t="str">
        <f t="shared" si="650"/>
        <v>Mill Creek</v>
      </c>
      <c r="M3993" s="105" t="str">
        <f t="shared" si="651"/>
        <v>Derate</v>
      </c>
      <c r="N3993" s="105" t="str">
        <f t="shared" si="652"/>
        <v>Coal</v>
      </c>
      <c r="O3993" s="105">
        <f>IFERROR(VLOOKUP(A3993,Lookup!$J$5:$P$19,7,FALSE),0)</f>
        <v>3</v>
      </c>
      <c r="P3993" s="159">
        <f t="shared" si="653"/>
        <v>2015</v>
      </c>
      <c r="Q3993" s="159">
        <f t="shared" si="654"/>
        <v>4</v>
      </c>
      <c r="R3993" s="160">
        <f t="shared" si="655"/>
        <v>57.616666666755918</v>
      </c>
      <c r="S3993" s="158">
        <f t="shared" si="656"/>
        <v>2.4517730496491881</v>
      </c>
      <c r="T3993" s="161">
        <f t="shared" si="657"/>
        <v>963.54680851213095</v>
      </c>
      <c r="U3993" s="158">
        <f t="shared" si="659"/>
        <v>16.723404255319149</v>
      </c>
      <c r="V3993" s="160">
        <f t="shared" si="658"/>
        <v>17</v>
      </c>
    </row>
    <row r="3994" spans="1:22" x14ac:dyDescent="0.25">
      <c r="A3994" s="98" t="s">
        <v>29</v>
      </c>
      <c r="B3994" s="98" t="s">
        <v>20</v>
      </c>
      <c r="C3994" s="98">
        <v>44</v>
      </c>
      <c r="D3994" s="98">
        <v>1455</v>
      </c>
      <c r="E3994" s="157">
        <v>42104.98541666667</v>
      </c>
      <c r="F3994" s="157">
        <v>42106.335416666669</v>
      </c>
      <c r="G3994" s="98">
        <v>0</v>
      </c>
      <c r="H3994" s="98">
        <v>423</v>
      </c>
      <c r="I3994" s="98">
        <v>393</v>
      </c>
      <c r="J3994" s="98" t="s">
        <v>1990</v>
      </c>
      <c r="K3994" s="98" t="s">
        <v>2871</v>
      </c>
      <c r="L3994" s="105" t="str">
        <f t="shared" si="650"/>
        <v>Mill Creek</v>
      </c>
      <c r="M3994" s="105" t="str">
        <f t="shared" si="651"/>
        <v>Maintenance</v>
      </c>
      <c r="N3994" s="105" t="str">
        <f t="shared" si="652"/>
        <v>Coal</v>
      </c>
      <c r="O3994" s="105">
        <f>IFERROR(VLOOKUP(A3994,Lookup!$J$5:$P$19,7,FALSE),0)</f>
        <v>3</v>
      </c>
      <c r="P3994" s="159">
        <f t="shared" si="653"/>
        <v>2015</v>
      </c>
      <c r="Q3994" s="159">
        <f t="shared" si="654"/>
        <v>4</v>
      </c>
      <c r="R3994" s="160">
        <f t="shared" si="655"/>
        <v>32.399999999965075</v>
      </c>
      <c r="S3994" s="158">
        <f t="shared" si="656"/>
        <v>32.399999999965075</v>
      </c>
      <c r="T3994" s="161">
        <f t="shared" si="657"/>
        <v>12733.199999986275</v>
      </c>
      <c r="U3994" s="158">
        <f t="shared" si="659"/>
        <v>393</v>
      </c>
      <c r="V3994" s="160">
        <f t="shared" si="658"/>
        <v>393</v>
      </c>
    </row>
    <row r="3995" spans="1:22" x14ac:dyDescent="0.25">
      <c r="A3995" s="98" t="s">
        <v>29</v>
      </c>
      <c r="B3995" s="98" t="s">
        <v>79</v>
      </c>
      <c r="C3995" s="98">
        <v>45</v>
      </c>
      <c r="D3995" s="98">
        <v>1850</v>
      </c>
      <c r="E3995" s="157">
        <v>42106.335416666669</v>
      </c>
      <c r="F3995" s="157">
        <v>42106.604861111111</v>
      </c>
      <c r="G3995" s="98">
        <v>0</v>
      </c>
      <c r="H3995" s="98">
        <v>423</v>
      </c>
      <c r="I3995" s="98">
        <v>393</v>
      </c>
      <c r="J3995" s="98" t="s">
        <v>2263</v>
      </c>
      <c r="K3995" s="98" t="s">
        <v>2872</v>
      </c>
      <c r="L3995" s="105" t="str">
        <f t="shared" si="650"/>
        <v>Mill Creek</v>
      </c>
      <c r="M3995" s="105" t="str">
        <f t="shared" si="651"/>
        <v>Other</v>
      </c>
      <c r="N3995" s="105" t="str">
        <f t="shared" si="652"/>
        <v>Coal</v>
      </c>
      <c r="O3995" s="105">
        <f>IFERROR(VLOOKUP(A3995,Lookup!$J$5:$P$19,7,FALSE),0)</f>
        <v>3</v>
      </c>
      <c r="P3995" s="159">
        <f t="shared" si="653"/>
        <v>2015</v>
      </c>
      <c r="Q3995" s="159">
        <f t="shared" si="654"/>
        <v>4</v>
      </c>
      <c r="R3995" s="160">
        <f t="shared" si="655"/>
        <v>6.46666666661622</v>
      </c>
      <c r="S3995" s="158">
        <f t="shared" si="656"/>
        <v>6.46666666661622</v>
      </c>
      <c r="T3995" s="161">
        <f t="shared" si="657"/>
        <v>2541.3999999801745</v>
      </c>
      <c r="U3995" s="158">
        <f t="shared" si="659"/>
        <v>393</v>
      </c>
      <c r="V3995" s="160">
        <f t="shared" si="658"/>
        <v>393</v>
      </c>
    </row>
    <row r="3996" spans="1:22" x14ac:dyDescent="0.25">
      <c r="A3996" s="98" t="s">
        <v>29</v>
      </c>
      <c r="B3996" s="98" t="s">
        <v>17</v>
      </c>
      <c r="C3996" s="98">
        <v>46</v>
      </c>
      <c r="D3996" s="98">
        <v>360</v>
      </c>
      <c r="E3996" s="157">
        <v>42107.322916666664</v>
      </c>
      <c r="F3996" s="157">
        <v>42107.338194444441</v>
      </c>
      <c r="G3996" s="98">
        <v>350</v>
      </c>
      <c r="H3996" s="98">
        <v>423</v>
      </c>
      <c r="I3996" s="98">
        <v>393</v>
      </c>
      <c r="J3996" s="98" t="s">
        <v>229</v>
      </c>
      <c r="K3996" s="98" t="s">
        <v>2873</v>
      </c>
      <c r="L3996" s="105" t="str">
        <f t="shared" si="650"/>
        <v>Mill Creek</v>
      </c>
      <c r="M3996" s="105" t="str">
        <f t="shared" si="651"/>
        <v>Derate</v>
      </c>
      <c r="N3996" s="105" t="str">
        <f t="shared" si="652"/>
        <v>Coal</v>
      </c>
      <c r="O3996" s="105">
        <f>IFERROR(VLOOKUP(A3996,Lookup!$J$5:$P$19,7,FALSE),0)</f>
        <v>3</v>
      </c>
      <c r="P3996" s="159">
        <f t="shared" si="653"/>
        <v>2015</v>
      </c>
      <c r="Q3996" s="159">
        <f t="shared" si="654"/>
        <v>4</v>
      </c>
      <c r="R3996" s="160">
        <f t="shared" si="655"/>
        <v>0.36666666663950309</v>
      </c>
      <c r="S3996" s="158">
        <f t="shared" si="656"/>
        <v>6.3278171784122289E-2</v>
      </c>
      <c r="T3996" s="161">
        <f t="shared" si="657"/>
        <v>24.868321511160058</v>
      </c>
      <c r="U3996" s="158">
        <f t="shared" si="659"/>
        <v>67.822695035460995</v>
      </c>
      <c r="V3996" s="160">
        <f t="shared" si="658"/>
        <v>68</v>
      </c>
    </row>
    <row r="3997" spans="1:22" x14ac:dyDescent="0.25">
      <c r="A3997" s="98" t="s">
        <v>29</v>
      </c>
      <c r="B3997" s="98" t="s">
        <v>17</v>
      </c>
      <c r="C3997" s="98">
        <v>47</v>
      </c>
      <c r="D3997" s="98">
        <v>360</v>
      </c>
      <c r="E3997" s="157">
        <v>42108.214583333334</v>
      </c>
      <c r="F3997" s="157">
        <v>42108.229861111111</v>
      </c>
      <c r="G3997" s="98">
        <v>374</v>
      </c>
      <c r="H3997" s="98">
        <v>423</v>
      </c>
      <c r="I3997" s="98">
        <v>393</v>
      </c>
      <c r="J3997" s="98" t="s">
        <v>229</v>
      </c>
      <c r="K3997" s="98" t="s">
        <v>2873</v>
      </c>
      <c r="L3997" s="105" t="str">
        <f t="shared" si="650"/>
        <v>Mill Creek</v>
      </c>
      <c r="M3997" s="105" t="str">
        <f t="shared" si="651"/>
        <v>Derate</v>
      </c>
      <c r="N3997" s="105" t="str">
        <f t="shared" si="652"/>
        <v>Coal</v>
      </c>
      <c r="O3997" s="105">
        <f>IFERROR(VLOOKUP(A3997,Lookup!$J$5:$P$19,7,FALSE),0)</f>
        <v>3</v>
      </c>
      <c r="P3997" s="159">
        <f t="shared" si="653"/>
        <v>2015</v>
      </c>
      <c r="Q3997" s="159">
        <f t="shared" si="654"/>
        <v>4</v>
      </c>
      <c r="R3997" s="160">
        <f t="shared" si="655"/>
        <v>0.36666666663950309</v>
      </c>
      <c r="S3997" s="158">
        <f t="shared" si="656"/>
        <v>4.2474389279753312E-2</v>
      </c>
      <c r="T3997" s="161">
        <f t="shared" si="657"/>
        <v>16.692434986943052</v>
      </c>
      <c r="U3997" s="158">
        <f t="shared" si="659"/>
        <v>45.524822695035461</v>
      </c>
      <c r="V3997" s="160">
        <f t="shared" si="658"/>
        <v>46</v>
      </c>
    </row>
    <row r="3998" spans="1:22" x14ac:dyDescent="0.25">
      <c r="A3998" s="98" t="s">
        <v>29</v>
      </c>
      <c r="B3998" s="98" t="s">
        <v>17</v>
      </c>
      <c r="C3998" s="98">
        <v>48</v>
      </c>
      <c r="D3998" s="98">
        <v>360</v>
      </c>
      <c r="E3998" s="157">
        <v>42108.245833333334</v>
      </c>
      <c r="F3998" s="157">
        <v>42108.29583333333</v>
      </c>
      <c r="G3998" s="98">
        <v>370</v>
      </c>
      <c r="H3998" s="98">
        <v>423</v>
      </c>
      <c r="I3998" s="98">
        <v>393</v>
      </c>
      <c r="J3998" s="98" t="s">
        <v>229</v>
      </c>
      <c r="K3998" s="98" t="s">
        <v>2873</v>
      </c>
      <c r="L3998" s="105" t="str">
        <f t="shared" si="650"/>
        <v>Mill Creek</v>
      </c>
      <c r="M3998" s="105" t="str">
        <f t="shared" si="651"/>
        <v>Derate</v>
      </c>
      <c r="N3998" s="105" t="str">
        <f t="shared" si="652"/>
        <v>Coal</v>
      </c>
      <c r="O3998" s="105">
        <f>IFERROR(VLOOKUP(A3998,Lookup!$J$5:$P$19,7,FALSE),0)</f>
        <v>3</v>
      </c>
      <c r="P3998" s="159">
        <f t="shared" si="653"/>
        <v>2015</v>
      </c>
      <c r="Q3998" s="159">
        <f t="shared" si="654"/>
        <v>4</v>
      </c>
      <c r="R3998" s="160">
        <f t="shared" si="655"/>
        <v>1.1999999998952262</v>
      </c>
      <c r="S3998" s="158">
        <f t="shared" si="656"/>
        <v>0.15035460991595032</v>
      </c>
      <c r="T3998" s="161">
        <f t="shared" si="657"/>
        <v>59.089361696968474</v>
      </c>
      <c r="U3998" s="158">
        <f t="shared" si="659"/>
        <v>49.241134751773046</v>
      </c>
      <c r="V3998" s="160">
        <f t="shared" si="658"/>
        <v>49</v>
      </c>
    </row>
    <row r="3999" spans="1:22" x14ac:dyDescent="0.25">
      <c r="A3999" s="98" t="s">
        <v>29</v>
      </c>
      <c r="B3999" s="98" t="s">
        <v>17</v>
      </c>
      <c r="C3999" s="98">
        <v>49</v>
      </c>
      <c r="D3999" s="98">
        <v>385</v>
      </c>
      <c r="E3999" s="157">
        <v>42115.831250000003</v>
      </c>
      <c r="F3999" s="157">
        <v>42115.853472222225</v>
      </c>
      <c r="G3999" s="98">
        <v>360</v>
      </c>
      <c r="H3999" s="98">
        <v>423</v>
      </c>
      <c r="I3999" s="98">
        <v>393</v>
      </c>
      <c r="J3999" s="98" t="s">
        <v>228</v>
      </c>
      <c r="K3999" s="98" t="s">
        <v>2874</v>
      </c>
      <c r="L3999" s="105" t="str">
        <f t="shared" si="650"/>
        <v>Mill Creek</v>
      </c>
      <c r="M3999" s="105" t="str">
        <f t="shared" si="651"/>
        <v>Derate</v>
      </c>
      <c r="N3999" s="105" t="str">
        <f t="shared" si="652"/>
        <v>Coal</v>
      </c>
      <c r="O3999" s="105">
        <f>IFERROR(VLOOKUP(A3999,Lookup!$J$5:$P$19,7,FALSE),0)</f>
        <v>3</v>
      </c>
      <c r="P3999" s="159">
        <f t="shared" si="653"/>
        <v>2015</v>
      </c>
      <c r="Q3999" s="159">
        <f t="shared" si="654"/>
        <v>4</v>
      </c>
      <c r="R3999" s="160">
        <f t="shared" si="655"/>
        <v>0.53333333332557231</v>
      </c>
      <c r="S3999" s="158">
        <f t="shared" si="656"/>
        <v>7.9432624112319286E-2</v>
      </c>
      <c r="T3999" s="161">
        <f t="shared" si="657"/>
        <v>31.21702127614148</v>
      </c>
      <c r="U3999" s="158">
        <f t="shared" si="659"/>
        <v>58.531914893617021</v>
      </c>
      <c r="V3999" s="160">
        <f t="shared" si="658"/>
        <v>59</v>
      </c>
    </row>
    <row r="4000" spans="1:22" x14ac:dyDescent="0.25">
      <c r="A4000" s="98" t="s">
        <v>29</v>
      </c>
      <c r="B4000" s="98" t="s">
        <v>17</v>
      </c>
      <c r="C4000" s="98">
        <v>50</v>
      </c>
      <c r="D4000" s="98">
        <v>360</v>
      </c>
      <c r="E4000" s="157">
        <v>42119.289583333331</v>
      </c>
      <c r="F4000" s="157">
        <v>42119.364583333336</v>
      </c>
      <c r="G4000" s="98">
        <v>325</v>
      </c>
      <c r="H4000" s="98">
        <v>423</v>
      </c>
      <c r="I4000" s="98">
        <v>393</v>
      </c>
      <c r="J4000" s="98" t="s">
        <v>229</v>
      </c>
      <c r="K4000" s="98" t="s">
        <v>2875</v>
      </c>
      <c r="L4000" s="105" t="str">
        <f t="shared" si="650"/>
        <v>Mill Creek</v>
      </c>
      <c r="M4000" s="105" t="str">
        <f t="shared" si="651"/>
        <v>Derate</v>
      </c>
      <c r="N4000" s="105" t="str">
        <f t="shared" si="652"/>
        <v>Coal</v>
      </c>
      <c r="O4000" s="105">
        <f>IFERROR(VLOOKUP(A4000,Lookup!$J$5:$P$19,7,FALSE),0)</f>
        <v>3</v>
      </c>
      <c r="P4000" s="159">
        <f t="shared" si="653"/>
        <v>2015</v>
      </c>
      <c r="Q4000" s="159">
        <f t="shared" si="654"/>
        <v>4</v>
      </c>
      <c r="R4000" s="160">
        <f t="shared" si="655"/>
        <v>1.8000000001047738</v>
      </c>
      <c r="S4000" s="158">
        <f t="shared" si="656"/>
        <v>0.41702127662001853</v>
      </c>
      <c r="T4000" s="161">
        <f t="shared" si="657"/>
        <v>163.88936171166728</v>
      </c>
      <c r="U4000" s="158">
        <f t="shared" si="659"/>
        <v>91.049645390070921</v>
      </c>
      <c r="V4000" s="160">
        <f t="shared" si="658"/>
        <v>91</v>
      </c>
    </row>
    <row r="4001" spans="1:22" x14ac:dyDescent="0.25">
      <c r="A4001" s="98" t="s">
        <v>29</v>
      </c>
      <c r="B4001" s="98" t="s">
        <v>20</v>
      </c>
      <c r="C4001" s="98">
        <v>51</v>
      </c>
      <c r="D4001" s="98">
        <v>1488</v>
      </c>
      <c r="E4001" s="157">
        <v>42125.015277777777</v>
      </c>
      <c r="F4001" s="157">
        <v>42128.258333333331</v>
      </c>
      <c r="G4001" s="98">
        <v>0</v>
      </c>
      <c r="H4001" s="98">
        <v>423</v>
      </c>
      <c r="I4001" s="98">
        <v>393</v>
      </c>
      <c r="J4001" s="98" t="s">
        <v>2284</v>
      </c>
      <c r="K4001" s="98" t="s">
        <v>2876</v>
      </c>
      <c r="L4001" s="105" t="str">
        <f t="shared" si="650"/>
        <v>Mill Creek</v>
      </c>
      <c r="M4001" s="105" t="str">
        <f t="shared" si="651"/>
        <v>Maintenance</v>
      </c>
      <c r="N4001" s="105" t="str">
        <f t="shared" si="652"/>
        <v>Coal</v>
      </c>
      <c r="O4001" s="105">
        <f>IFERROR(VLOOKUP(A4001,Lookup!$J$5:$P$19,7,FALSE),0)</f>
        <v>3</v>
      </c>
      <c r="P4001" s="159">
        <f t="shared" si="653"/>
        <v>2015</v>
      </c>
      <c r="Q4001" s="159">
        <f t="shared" si="654"/>
        <v>5</v>
      </c>
      <c r="R4001" s="160">
        <f t="shared" si="655"/>
        <v>77.833333333313931</v>
      </c>
      <c r="S4001" s="158">
        <f t="shared" si="656"/>
        <v>77.833333333313931</v>
      </c>
      <c r="T4001" s="161">
        <f t="shared" si="657"/>
        <v>30588.499999992375</v>
      </c>
      <c r="U4001" s="158">
        <f t="shared" si="659"/>
        <v>393</v>
      </c>
      <c r="V4001" s="160">
        <f t="shared" si="658"/>
        <v>393</v>
      </c>
    </row>
    <row r="4002" spans="1:22" x14ac:dyDescent="0.25">
      <c r="A4002" s="98" t="s">
        <v>29</v>
      </c>
      <c r="B4002" s="98" t="s">
        <v>79</v>
      </c>
      <c r="C4002" s="98">
        <v>52</v>
      </c>
      <c r="D4002" s="98">
        <v>1850</v>
      </c>
      <c r="E4002" s="157">
        <v>42128.258333333331</v>
      </c>
      <c r="F4002" s="157">
        <v>42129.258333333331</v>
      </c>
      <c r="G4002" s="98">
        <v>0</v>
      </c>
      <c r="H4002" s="98">
        <v>423</v>
      </c>
      <c r="I4002" s="98">
        <v>393</v>
      </c>
      <c r="J4002" s="98" t="s">
        <v>2263</v>
      </c>
      <c r="K4002" s="98" t="s">
        <v>2877</v>
      </c>
      <c r="L4002" s="105" t="str">
        <f t="shared" si="650"/>
        <v>Mill Creek</v>
      </c>
      <c r="M4002" s="105" t="str">
        <f t="shared" si="651"/>
        <v>Other</v>
      </c>
      <c r="N4002" s="105" t="str">
        <f t="shared" si="652"/>
        <v>Coal</v>
      </c>
      <c r="O4002" s="105">
        <f>IFERROR(VLOOKUP(A4002,Lookup!$J$5:$P$19,7,FALSE),0)</f>
        <v>3</v>
      </c>
      <c r="P4002" s="159">
        <f t="shared" si="653"/>
        <v>2015</v>
      </c>
      <c r="Q4002" s="159">
        <f t="shared" si="654"/>
        <v>5</v>
      </c>
      <c r="R4002" s="160">
        <f t="shared" si="655"/>
        <v>24</v>
      </c>
      <c r="S4002" s="158">
        <f t="shared" si="656"/>
        <v>24</v>
      </c>
      <c r="T4002" s="161">
        <f t="shared" si="657"/>
        <v>9432</v>
      </c>
      <c r="U4002" s="158">
        <f t="shared" si="659"/>
        <v>393</v>
      </c>
      <c r="V4002" s="160">
        <f t="shared" si="658"/>
        <v>393</v>
      </c>
    </row>
    <row r="4003" spans="1:22" x14ac:dyDescent="0.25">
      <c r="A4003" s="98" t="s">
        <v>29</v>
      </c>
      <c r="B4003" s="98" t="s">
        <v>17</v>
      </c>
      <c r="C4003" s="98">
        <v>53</v>
      </c>
      <c r="D4003" s="98">
        <v>360</v>
      </c>
      <c r="E4003" s="157">
        <v>42131.633333333331</v>
      </c>
      <c r="F4003" s="157">
        <v>42131.67083333333</v>
      </c>
      <c r="G4003" s="98">
        <v>330</v>
      </c>
      <c r="H4003" s="98">
        <v>423</v>
      </c>
      <c r="I4003" s="98">
        <v>393</v>
      </c>
      <c r="J4003" s="98" t="s">
        <v>229</v>
      </c>
      <c r="K4003" s="98" t="s">
        <v>2878</v>
      </c>
      <c r="L4003" s="105" t="str">
        <f t="shared" si="650"/>
        <v>Mill Creek</v>
      </c>
      <c r="M4003" s="105" t="str">
        <f t="shared" si="651"/>
        <v>Derate</v>
      </c>
      <c r="N4003" s="105" t="str">
        <f t="shared" si="652"/>
        <v>Coal</v>
      </c>
      <c r="O4003" s="105">
        <f>IFERROR(VLOOKUP(A4003,Lookup!$J$5:$P$19,7,FALSE),0)</f>
        <v>3</v>
      </c>
      <c r="P4003" s="159">
        <f t="shared" si="653"/>
        <v>2015</v>
      </c>
      <c r="Q4003" s="159">
        <f t="shared" si="654"/>
        <v>5</v>
      </c>
      <c r="R4003" s="160">
        <f t="shared" si="655"/>
        <v>0.8999999999650754</v>
      </c>
      <c r="S4003" s="158">
        <f t="shared" si="656"/>
        <v>0.19787234041785345</v>
      </c>
      <c r="T4003" s="161">
        <f t="shared" si="657"/>
        <v>77.763829784216412</v>
      </c>
      <c r="U4003" s="158">
        <f t="shared" si="659"/>
        <v>86.40425531914893</v>
      </c>
      <c r="V4003" s="160">
        <f t="shared" si="658"/>
        <v>86</v>
      </c>
    </row>
    <row r="4004" spans="1:22" x14ac:dyDescent="0.25">
      <c r="A4004" s="98" t="s">
        <v>29</v>
      </c>
      <c r="B4004" s="98" t="s">
        <v>17</v>
      </c>
      <c r="C4004" s="98">
        <v>54</v>
      </c>
      <c r="D4004" s="98">
        <v>3149</v>
      </c>
      <c r="E4004" s="157">
        <v>42135.5</v>
      </c>
      <c r="F4004" s="157">
        <v>42135.765277777777</v>
      </c>
      <c r="G4004" s="98">
        <v>400</v>
      </c>
      <c r="H4004" s="98">
        <v>423</v>
      </c>
      <c r="I4004" s="98">
        <v>393</v>
      </c>
      <c r="J4004" s="98" t="s">
        <v>2034</v>
      </c>
      <c r="K4004" s="98" t="s">
        <v>2879</v>
      </c>
      <c r="L4004" s="105" t="str">
        <f t="shared" si="650"/>
        <v>Mill Creek</v>
      </c>
      <c r="M4004" s="105" t="str">
        <f t="shared" si="651"/>
        <v>Derate</v>
      </c>
      <c r="N4004" s="105" t="str">
        <f t="shared" si="652"/>
        <v>Coal</v>
      </c>
      <c r="O4004" s="105">
        <f>IFERROR(VLOOKUP(A4004,Lookup!$J$5:$P$19,7,FALSE),0)</f>
        <v>3</v>
      </c>
      <c r="P4004" s="159">
        <f t="shared" si="653"/>
        <v>2015</v>
      </c>
      <c r="Q4004" s="159">
        <f t="shared" si="654"/>
        <v>5</v>
      </c>
      <c r="R4004" s="160">
        <f t="shared" si="655"/>
        <v>6.3666666666395031</v>
      </c>
      <c r="S4004" s="158">
        <f t="shared" si="656"/>
        <v>0.34617809298512664</v>
      </c>
      <c r="T4004" s="161">
        <f t="shared" si="657"/>
        <v>136.04799054315478</v>
      </c>
      <c r="U4004" s="158">
        <f t="shared" si="659"/>
        <v>21.368794326241133</v>
      </c>
      <c r="V4004" s="160">
        <f t="shared" si="658"/>
        <v>21</v>
      </c>
    </row>
    <row r="4005" spans="1:22" x14ac:dyDescent="0.25">
      <c r="A4005" s="98" t="s">
        <v>29</v>
      </c>
      <c r="B4005" s="98" t="s">
        <v>17</v>
      </c>
      <c r="C4005" s="98">
        <v>55</v>
      </c>
      <c r="D4005" s="98">
        <v>1710</v>
      </c>
      <c r="E4005" s="157">
        <v>42135.765277777777</v>
      </c>
      <c r="F4005" s="157">
        <v>42135.856944444444</v>
      </c>
      <c r="G4005" s="98">
        <v>415</v>
      </c>
      <c r="H4005" s="98">
        <v>423</v>
      </c>
      <c r="I4005" s="98">
        <v>393</v>
      </c>
      <c r="J4005" s="98" t="s">
        <v>2020</v>
      </c>
      <c r="K4005" s="98" t="s">
        <v>2880</v>
      </c>
      <c r="L4005" s="105" t="str">
        <f t="shared" ref="L4005:L4068" si="660">IF(OR(A4005="BR1",A4005="BR2",A4005="BR3",A4005="BR5",A4005="BR6",A4005="BR7",A4005="BR8",A4005="BR9",A4005="BR10",A4005="BR11"),"Brown",IF(OR(A4005="CR4",A4005="CR5",A4005="CR6",A4005="CR11"),"Cane Run",IF(OR(A4005="GH1",A4005="GH2",A4005="GH3",A4005="GH4"),"Ghent",IF(OR(A4005="GR3",A4005="GR4"),"Green River",IF(OR(A4005="MC1",A4005="MC2",A4005="MC3",A4005="MC4"),"Mill Creek",IF(OR(A4005="TC1",A4005="TC2",A4005="TC5",A4005="TC6",A4005="TC7",A4005="TC8",A4005="TC9",A4005="TC10"),"Trimble",IF(A4005="TY3","Tyrone",IF(OR(A4005="HA1",A4005="HA2",A4005="HA3"),"Haeflin",IF(OR(A4005="PR11",A4005="PR12",A4005="PR13"),"Paddy's Run","Zorn")))))))))</f>
        <v>Mill Creek</v>
      </c>
      <c r="M4005" s="105" t="str">
        <f t="shared" ref="M4005:M4068" si="661">IF(OR(B4005="D1",B4005="D2",B4005="D3",B4005="D4",B4005="PD"),"Derate",IF(OR(B4005="SF",B4005="U1",B4005="U2",B4005="U3"),"Outage",IF(OR(B4005="ME",B4005="MO"),"Maintenance","Other")))</f>
        <v>Derate</v>
      </c>
      <c r="N4005" s="105" t="str">
        <f t="shared" ref="N4005:N4068" si="662">IF(OR(A4005="BR1",A4005="BR2",A4005="BR3",A4005="CR4",A4005="CR5",A4005="CR6",A4005="GH1",A4005="GH2",A4005="GH3",A4005="GH4",A4005="GR3",A4005="GR4",A4005="MC1",A4005="MC2",A4005="MC3",A4005="MC4",A4005="TC1",A4005="TC2",A4005="TY3"),"Coal","Gas")</f>
        <v>Coal</v>
      </c>
      <c r="O4005" s="105">
        <f>IFERROR(VLOOKUP(A4005,Lookup!$J$5:$P$19,7,FALSE),0)</f>
        <v>3</v>
      </c>
      <c r="P4005" s="159">
        <f t="shared" ref="P4005:P4068" si="663">YEAR(E4005)</f>
        <v>2015</v>
      </c>
      <c r="Q4005" s="159">
        <f t="shared" ref="Q4005:Q4068" si="664">MONTH(E4005)</f>
        <v>5</v>
      </c>
      <c r="R4005" s="160">
        <f t="shared" ref="R4005:R4068" si="665">(F4005-E4005)*24</f>
        <v>2.2000000000116415</v>
      </c>
      <c r="S4005" s="158">
        <f t="shared" ref="S4005:S4068" si="666">R4005*(H4005-G4005)/H4005</f>
        <v>4.16075650120405E-2</v>
      </c>
      <c r="T4005" s="161">
        <f t="shared" ref="T4005:T4068" si="667">S4005*I4005</f>
        <v>16.351773049731918</v>
      </c>
      <c r="U4005" s="158">
        <f t="shared" si="659"/>
        <v>7.4326241134751774</v>
      </c>
      <c r="V4005" s="160">
        <f t="shared" ref="V4005:V4068" si="668">ROUND(U4005,0)</f>
        <v>7</v>
      </c>
    </row>
    <row r="4006" spans="1:22" x14ac:dyDescent="0.25">
      <c r="A4006" s="98" t="s">
        <v>29</v>
      </c>
      <c r="B4006" s="98" t="s">
        <v>17</v>
      </c>
      <c r="C4006" s="98">
        <v>56</v>
      </c>
      <c r="D4006" s="98">
        <v>3149</v>
      </c>
      <c r="E4006" s="157">
        <v>42141.638888888891</v>
      </c>
      <c r="F4006" s="157">
        <v>42141.776388888888</v>
      </c>
      <c r="G4006" s="98">
        <v>410</v>
      </c>
      <c r="H4006" s="98">
        <v>423</v>
      </c>
      <c r="I4006" s="98">
        <v>393</v>
      </c>
      <c r="J4006" s="98" t="s">
        <v>2034</v>
      </c>
      <c r="K4006" s="98" t="s">
        <v>2879</v>
      </c>
      <c r="L4006" s="105" t="str">
        <f t="shared" si="660"/>
        <v>Mill Creek</v>
      </c>
      <c r="M4006" s="105" t="str">
        <f t="shared" si="661"/>
        <v>Derate</v>
      </c>
      <c r="N4006" s="105" t="str">
        <f t="shared" si="662"/>
        <v>Coal</v>
      </c>
      <c r="O4006" s="105">
        <f>IFERROR(VLOOKUP(A4006,Lookup!$J$5:$P$19,7,FALSE),0)</f>
        <v>3</v>
      </c>
      <c r="P4006" s="159">
        <f t="shared" si="663"/>
        <v>2015</v>
      </c>
      <c r="Q4006" s="159">
        <f t="shared" si="664"/>
        <v>5</v>
      </c>
      <c r="R4006" s="160">
        <f t="shared" si="665"/>
        <v>3.2999999999301508</v>
      </c>
      <c r="S4006" s="158">
        <f t="shared" si="666"/>
        <v>0.10141843971416539</v>
      </c>
      <c r="T4006" s="161">
        <f t="shared" si="667"/>
        <v>39.857446807666996</v>
      </c>
      <c r="U4006" s="158">
        <f t="shared" ref="U4006:U4069" si="669">IF(G4006&gt;0,MAX((H4006-G4006),0)*I4006/H4006,I4006)</f>
        <v>12.078014184397164</v>
      </c>
      <c r="V4006" s="160">
        <f t="shared" si="668"/>
        <v>12</v>
      </c>
    </row>
    <row r="4007" spans="1:22" x14ac:dyDescent="0.25">
      <c r="A4007" s="98" t="s">
        <v>29</v>
      </c>
      <c r="B4007" s="98" t="s">
        <v>15</v>
      </c>
      <c r="C4007" s="98">
        <v>57</v>
      </c>
      <c r="D4007" s="98">
        <v>3661</v>
      </c>
      <c r="E4007" s="157">
        <v>42155.664583333331</v>
      </c>
      <c r="F4007" s="157">
        <v>42156.387499999997</v>
      </c>
      <c r="G4007" s="98">
        <v>0</v>
      </c>
      <c r="H4007" s="98">
        <v>423</v>
      </c>
      <c r="I4007" s="98">
        <v>393</v>
      </c>
      <c r="J4007" s="98" t="s">
        <v>2170</v>
      </c>
      <c r="K4007" s="98" t="s">
        <v>2881</v>
      </c>
      <c r="L4007" s="105" t="str">
        <f t="shared" si="660"/>
        <v>Mill Creek</v>
      </c>
      <c r="M4007" s="105" t="str">
        <f t="shared" si="661"/>
        <v>Outage</v>
      </c>
      <c r="N4007" s="105" t="str">
        <f t="shared" si="662"/>
        <v>Coal</v>
      </c>
      <c r="O4007" s="105">
        <f>IFERROR(VLOOKUP(A4007,Lookup!$J$5:$P$19,7,FALSE),0)</f>
        <v>3</v>
      </c>
      <c r="P4007" s="159">
        <f t="shared" si="663"/>
        <v>2015</v>
      </c>
      <c r="Q4007" s="159">
        <f t="shared" si="664"/>
        <v>5</v>
      </c>
      <c r="R4007" s="160">
        <f t="shared" si="665"/>
        <v>17.349999999976717</v>
      </c>
      <c r="S4007" s="158">
        <f t="shared" si="666"/>
        <v>17.349999999976717</v>
      </c>
      <c r="T4007" s="161">
        <f t="shared" si="667"/>
        <v>6818.5499999908498</v>
      </c>
      <c r="U4007" s="158">
        <f t="shared" si="669"/>
        <v>393</v>
      </c>
      <c r="V4007" s="160">
        <f t="shared" si="668"/>
        <v>393</v>
      </c>
    </row>
    <row r="4008" spans="1:22" x14ac:dyDescent="0.25">
      <c r="A4008" s="98" t="s">
        <v>29</v>
      </c>
      <c r="B4008" s="98" t="s">
        <v>79</v>
      </c>
      <c r="C4008" s="98">
        <v>58</v>
      </c>
      <c r="D4008" s="98">
        <v>1850</v>
      </c>
      <c r="E4008" s="157">
        <v>42156.387499999997</v>
      </c>
      <c r="F4008" s="157">
        <v>42156.388194444444</v>
      </c>
      <c r="G4008" s="98">
        <v>0</v>
      </c>
      <c r="H4008" s="98">
        <v>423</v>
      </c>
      <c r="I4008" s="98">
        <v>393</v>
      </c>
      <c r="J4008" s="98" t="s">
        <v>2263</v>
      </c>
      <c r="K4008" s="98" t="s">
        <v>2872</v>
      </c>
      <c r="L4008" s="105" t="str">
        <f t="shared" si="660"/>
        <v>Mill Creek</v>
      </c>
      <c r="M4008" s="105" t="str">
        <f t="shared" si="661"/>
        <v>Other</v>
      </c>
      <c r="N4008" s="105" t="str">
        <f t="shared" si="662"/>
        <v>Coal</v>
      </c>
      <c r="O4008" s="105">
        <f>IFERROR(VLOOKUP(A4008,Lookup!$J$5:$P$19,7,FALSE),0)</f>
        <v>3</v>
      </c>
      <c r="P4008" s="159">
        <f t="shared" si="663"/>
        <v>2015</v>
      </c>
      <c r="Q4008" s="159">
        <f t="shared" si="664"/>
        <v>6</v>
      </c>
      <c r="R4008" s="160">
        <f t="shared" si="665"/>
        <v>1.6666666720993817E-2</v>
      </c>
      <c r="S4008" s="158">
        <f t="shared" si="666"/>
        <v>1.6666666720993817E-2</v>
      </c>
      <c r="T4008" s="161">
        <f t="shared" si="667"/>
        <v>6.55000002135057</v>
      </c>
      <c r="U4008" s="158">
        <f t="shared" si="669"/>
        <v>393</v>
      </c>
      <c r="V4008" s="160">
        <f t="shared" si="668"/>
        <v>393</v>
      </c>
    </row>
    <row r="4009" spans="1:22" x14ac:dyDescent="0.25">
      <c r="A4009" s="98" t="s">
        <v>29</v>
      </c>
      <c r="B4009" s="98" t="s">
        <v>15</v>
      </c>
      <c r="C4009" s="98">
        <v>59</v>
      </c>
      <c r="D4009" s="98">
        <v>4740</v>
      </c>
      <c r="E4009" s="157">
        <v>42156.388194444444</v>
      </c>
      <c r="F4009" s="157">
        <v>42156.431944444441</v>
      </c>
      <c r="G4009" s="98">
        <v>0</v>
      </c>
      <c r="H4009" s="98">
        <v>423</v>
      </c>
      <c r="I4009" s="98">
        <v>393</v>
      </c>
      <c r="J4009" s="98" t="s">
        <v>2016</v>
      </c>
      <c r="K4009" s="98" t="s">
        <v>2882</v>
      </c>
      <c r="L4009" s="105" t="str">
        <f t="shared" si="660"/>
        <v>Mill Creek</v>
      </c>
      <c r="M4009" s="105" t="str">
        <f t="shared" si="661"/>
        <v>Outage</v>
      </c>
      <c r="N4009" s="105" t="str">
        <f t="shared" si="662"/>
        <v>Coal</v>
      </c>
      <c r="O4009" s="105">
        <f>IFERROR(VLOOKUP(A4009,Lookup!$J$5:$P$19,7,FALSE),0)</f>
        <v>3</v>
      </c>
      <c r="P4009" s="159">
        <f t="shared" si="663"/>
        <v>2015</v>
      </c>
      <c r="Q4009" s="159">
        <f t="shared" si="664"/>
        <v>6</v>
      </c>
      <c r="R4009" s="160">
        <f t="shared" si="665"/>
        <v>1.0499999999301508</v>
      </c>
      <c r="S4009" s="158">
        <f t="shared" si="666"/>
        <v>1.0499999999301508</v>
      </c>
      <c r="T4009" s="161">
        <f t="shared" si="667"/>
        <v>412.64999997254927</v>
      </c>
      <c r="U4009" s="158">
        <f t="shared" si="669"/>
        <v>393</v>
      </c>
      <c r="V4009" s="160">
        <f t="shared" si="668"/>
        <v>393</v>
      </c>
    </row>
    <row r="4010" spans="1:22" x14ac:dyDescent="0.25">
      <c r="A4010" s="98" t="s">
        <v>29</v>
      </c>
      <c r="B4010" s="98" t="s">
        <v>79</v>
      </c>
      <c r="C4010" s="98">
        <v>60</v>
      </c>
      <c r="D4010" s="98">
        <v>1850</v>
      </c>
      <c r="E4010" s="157">
        <v>42156.431944444441</v>
      </c>
      <c r="F4010" s="157">
        <v>42156.541666666664</v>
      </c>
      <c r="G4010" s="98">
        <v>0</v>
      </c>
      <c r="H4010" s="98">
        <v>423</v>
      </c>
      <c r="I4010" s="98">
        <v>393</v>
      </c>
      <c r="J4010" s="98" t="s">
        <v>2263</v>
      </c>
      <c r="K4010" s="98" t="s">
        <v>2726</v>
      </c>
      <c r="L4010" s="105" t="str">
        <f t="shared" si="660"/>
        <v>Mill Creek</v>
      </c>
      <c r="M4010" s="105" t="str">
        <f t="shared" si="661"/>
        <v>Other</v>
      </c>
      <c r="N4010" s="105" t="str">
        <f t="shared" si="662"/>
        <v>Coal</v>
      </c>
      <c r="O4010" s="105">
        <f>IFERROR(VLOOKUP(A4010,Lookup!$J$5:$P$19,7,FALSE),0)</f>
        <v>3</v>
      </c>
      <c r="P4010" s="159">
        <f t="shared" si="663"/>
        <v>2015</v>
      </c>
      <c r="Q4010" s="159">
        <f t="shared" si="664"/>
        <v>6</v>
      </c>
      <c r="R4010" s="160">
        <f t="shared" si="665"/>
        <v>2.6333333333604969</v>
      </c>
      <c r="S4010" s="158">
        <f t="shared" si="666"/>
        <v>2.6333333333604969</v>
      </c>
      <c r="T4010" s="161">
        <f t="shared" si="667"/>
        <v>1034.9000000106753</v>
      </c>
      <c r="U4010" s="158">
        <f t="shared" si="669"/>
        <v>393</v>
      </c>
      <c r="V4010" s="160">
        <f t="shared" si="668"/>
        <v>393</v>
      </c>
    </row>
    <row r="4011" spans="1:22" x14ac:dyDescent="0.25">
      <c r="A4011" s="98" t="s">
        <v>29</v>
      </c>
      <c r="B4011" s="98" t="s">
        <v>17</v>
      </c>
      <c r="C4011" s="98">
        <v>61</v>
      </c>
      <c r="D4011" s="98">
        <v>3661</v>
      </c>
      <c r="E4011" s="157">
        <v>42156.541666666664</v>
      </c>
      <c r="F4011" s="157">
        <v>42158.675000000003</v>
      </c>
      <c r="G4011" s="98">
        <v>210</v>
      </c>
      <c r="H4011" s="98">
        <v>423</v>
      </c>
      <c r="I4011" s="98">
        <v>393</v>
      </c>
      <c r="J4011" s="98" t="s">
        <v>2170</v>
      </c>
      <c r="K4011" s="98" t="s">
        <v>2883</v>
      </c>
      <c r="L4011" s="105" t="str">
        <f t="shared" si="660"/>
        <v>Mill Creek</v>
      </c>
      <c r="M4011" s="105" t="str">
        <f t="shared" si="661"/>
        <v>Derate</v>
      </c>
      <c r="N4011" s="105" t="str">
        <f t="shared" si="662"/>
        <v>Coal</v>
      </c>
      <c r="O4011" s="105">
        <f>IFERROR(VLOOKUP(A4011,Lookup!$J$5:$P$19,7,FALSE),0)</f>
        <v>3</v>
      </c>
      <c r="P4011" s="159">
        <f t="shared" si="663"/>
        <v>2015</v>
      </c>
      <c r="Q4011" s="159">
        <f t="shared" si="664"/>
        <v>6</v>
      </c>
      <c r="R4011" s="160">
        <f t="shared" si="665"/>
        <v>51.200000000128057</v>
      </c>
      <c r="S4011" s="158">
        <f t="shared" si="666"/>
        <v>25.781560283752427</v>
      </c>
      <c r="T4011" s="161">
        <f t="shared" si="667"/>
        <v>10132.153191514704</v>
      </c>
      <c r="U4011" s="158">
        <f t="shared" si="669"/>
        <v>197.89361702127658</v>
      </c>
      <c r="V4011" s="160">
        <f t="shared" si="668"/>
        <v>198</v>
      </c>
    </row>
    <row r="4012" spans="1:22" x14ac:dyDescent="0.25">
      <c r="A4012" s="98" t="s">
        <v>29</v>
      </c>
      <c r="B4012" s="98" t="s">
        <v>17</v>
      </c>
      <c r="C4012" s="98">
        <v>62</v>
      </c>
      <c r="D4012" s="98">
        <v>3661</v>
      </c>
      <c r="E4012" s="157">
        <v>42158.675000000003</v>
      </c>
      <c r="F4012" s="157">
        <v>42159.134027777778</v>
      </c>
      <c r="G4012" s="98">
        <v>175</v>
      </c>
      <c r="H4012" s="98">
        <v>423</v>
      </c>
      <c r="I4012" s="98">
        <v>393</v>
      </c>
      <c r="J4012" s="98" t="s">
        <v>2170</v>
      </c>
      <c r="K4012" s="98" t="s">
        <v>2884</v>
      </c>
      <c r="L4012" s="105" t="str">
        <f t="shared" si="660"/>
        <v>Mill Creek</v>
      </c>
      <c r="M4012" s="105" t="str">
        <f t="shared" si="661"/>
        <v>Derate</v>
      </c>
      <c r="N4012" s="105" t="str">
        <f t="shared" si="662"/>
        <v>Coal</v>
      </c>
      <c r="O4012" s="105">
        <f>IFERROR(VLOOKUP(A4012,Lookup!$J$5:$P$19,7,FALSE),0)</f>
        <v>3</v>
      </c>
      <c r="P4012" s="159">
        <f t="shared" si="663"/>
        <v>2015</v>
      </c>
      <c r="Q4012" s="159">
        <f t="shared" si="664"/>
        <v>6</v>
      </c>
      <c r="R4012" s="160">
        <f t="shared" si="665"/>
        <v>11.016666666604578</v>
      </c>
      <c r="S4012" s="158">
        <f t="shared" si="666"/>
        <v>6.4589440503970108</v>
      </c>
      <c r="T4012" s="161">
        <f t="shared" si="667"/>
        <v>2538.3650118060254</v>
      </c>
      <c r="U4012" s="158">
        <f t="shared" si="669"/>
        <v>230.41134751773049</v>
      </c>
      <c r="V4012" s="160">
        <f t="shared" si="668"/>
        <v>230</v>
      </c>
    </row>
    <row r="4013" spans="1:22" x14ac:dyDescent="0.25">
      <c r="A4013" s="98" t="s">
        <v>29</v>
      </c>
      <c r="B4013" s="98" t="s">
        <v>17</v>
      </c>
      <c r="C4013" s="98">
        <v>63</v>
      </c>
      <c r="D4013" s="98">
        <v>3210</v>
      </c>
      <c r="E4013" s="157">
        <v>42159.134027777778</v>
      </c>
      <c r="F4013" s="157">
        <v>42159.168055555558</v>
      </c>
      <c r="G4013" s="98">
        <v>330</v>
      </c>
      <c r="H4013" s="98">
        <v>423</v>
      </c>
      <c r="I4013" s="98">
        <v>393</v>
      </c>
      <c r="J4013" s="98" t="s">
        <v>2048</v>
      </c>
      <c r="K4013" s="98" t="s">
        <v>2885</v>
      </c>
      <c r="L4013" s="105" t="str">
        <f t="shared" si="660"/>
        <v>Mill Creek</v>
      </c>
      <c r="M4013" s="105" t="str">
        <f t="shared" si="661"/>
        <v>Derate</v>
      </c>
      <c r="N4013" s="105" t="str">
        <f t="shared" si="662"/>
        <v>Coal</v>
      </c>
      <c r="O4013" s="105">
        <f>IFERROR(VLOOKUP(A4013,Lookup!$J$5:$P$19,7,FALSE),0)</f>
        <v>3</v>
      </c>
      <c r="P4013" s="159">
        <f t="shared" si="663"/>
        <v>2015</v>
      </c>
      <c r="Q4013" s="159">
        <f t="shared" si="664"/>
        <v>6</v>
      </c>
      <c r="R4013" s="160">
        <f t="shared" si="665"/>
        <v>0.81666666670935228</v>
      </c>
      <c r="S4013" s="158">
        <f t="shared" si="666"/>
        <v>0.17955082743255263</v>
      </c>
      <c r="T4013" s="161">
        <f t="shared" si="667"/>
        <v>70.56347518099318</v>
      </c>
      <c r="U4013" s="158">
        <f t="shared" si="669"/>
        <v>86.40425531914893</v>
      </c>
      <c r="V4013" s="160">
        <f t="shared" si="668"/>
        <v>86</v>
      </c>
    </row>
    <row r="4014" spans="1:22" x14ac:dyDescent="0.25">
      <c r="A4014" s="98" t="s">
        <v>29</v>
      </c>
      <c r="B4014" s="98" t="s">
        <v>17</v>
      </c>
      <c r="C4014" s="98">
        <v>64</v>
      </c>
      <c r="D4014" s="98">
        <v>8580</v>
      </c>
      <c r="E4014" s="157">
        <v>42163.288194444445</v>
      </c>
      <c r="F4014" s="157">
        <v>42163.847222222219</v>
      </c>
      <c r="G4014" s="98">
        <v>290</v>
      </c>
      <c r="H4014" s="98">
        <v>423</v>
      </c>
      <c r="I4014" s="98">
        <v>393</v>
      </c>
      <c r="J4014" s="98" t="s">
        <v>2886</v>
      </c>
      <c r="K4014" s="98" t="s">
        <v>2887</v>
      </c>
      <c r="L4014" s="105" t="str">
        <f t="shared" si="660"/>
        <v>Mill Creek</v>
      </c>
      <c r="M4014" s="105" t="str">
        <f t="shared" si="661"/>
        <v>Derate</v>
      </c>
      <c r="N4014" s="105" t="str">
        <f t="shared" si="662"/>
        <v>Coal</v>
      </c>
      <c r="O4014" s="105">
        <f>IFERROR(VLOOKUP(A4014,Lookup!$J$5:$P$19,7,FALSE),0)</f>
        <v>3</v>
      </c>
      <c r="P4014" s="159">
        <f t="shared" si="663"/>
        <v>2015</v>
      </c>
      <c r="Q4014" s="159">
        <f t="shared" si="664"/>
        <v>6</v>
      </c>
      <c r="R4014" s="160">
        <f t="shared" si="665"/>
        <v>13.416666666569654</v>
      </c>
      <c r="S4014" s="158">
        <f t="shared" si="666"/>
        <v>4.2184791173847849</v>
      </c>
      <c r="T4014" s="161">
        <f t="shared" si="667"/>
        <v>1657.8622931322204</v>
      </c>
      <c r="U4014" s="158">
        <f t="shared" si="669"/>
        <v>123.56737588652483</v>
      </c>
      <c r="V4014" s="160">
        <f t="shared" si="668"/>
        <v>124</v>
      </c>
    </row>
    <row r="4015" spans="1:22" x14ac:dyDescent="0.25">
      <c r="A4015" s="98" t="s">
        <v>29</v>
      </c>
      <c r="B4015" s="98" t="s">
        <v>20</v>
      </c>
      <c r="C4015" s="98">
        <v>65</v>
      </c>
      <c r="D4015" s="98">
        <v>8550</v>
      </c>
      <c r="E4015" s="157">
        <v>42167.929861111108</v>
      </c>
      <c r="F4015" s="157">
        <v>42170.268750000003</v>
      </c>
      <c r="G4015" s="98">
        <v>0</v>
      </c>
      <c r="H4015" s="98">
        <v>423</v>
      </c>
      <c r="I4015" s="98">
        <v>393</v>
      </c>
      <c r="J4015" s="98" t="s">
        <v>2274</v>
      </c>
      <c r="K4015" s="98" t="s">
        <v>2888</v>
      </c>
      <c r="L4015" s="105" t="str">
        <f t="shared" si="660"/>
        <v>Mill Creek</v>
      </c>
      <c r="M4015" s="105" t="str">
        <f t="shared" si="661"/>
        <v>Maintenance</v>
      </c>
      <c r="N4015" s="105" t="str">
        <f t="shared" si="662"/>
        <v>Coal</v>
      </c>
      <c r="O4015" s="105">
        <f>IFERROR(VLOOKUP(A4015,Lookup!$J$5:$P$19,7,FALSE),0)</f>
        <v>3</v>
      </c>
      <c r="P4015" s="159">
        <f t="shared" si="663"/>
        <v>2015</v>
      </c>
      <c r="Q4015" s="159">
        <f t="shared" si="664"/>
        <v>6</v>
      </c>
      <c r="R4015" s="160">
        <f t="shared" si="665"/>
        <v>56.133333333476912</v>
      </c>
      <c r="S4015" s="158">
        <f t="shared" si="666"/>
        <v>56.133333333476912</v>
      </c>
      <c r="T4015" s="161">
        <f t="shared" si="667"/>
        <v>22060.400000056427</v>
      </c>
      <c r="U4015" s="158">
        <f t="shared" si="669"/>
        <v>393</v>
      </c>
      <c r="V4015" s="160">
        <f t="shared" si="668"/>
        <v>393</v>
      </c>
    </row>
    <row r="4016" spans="1:22" x14ac:dyDescent="0.25">
      <c r="A4016" s="98" t="s">
        <v>29</v>
      </c>
      <c r="B4016" s="98" t="s">
        <v>79</v>
      </c>
      <c r="C4016" s="98">
        <v>66</v>
      </c>
      <c r="D4016" s="98">
        <v>1850</v>
      </c>
      <c r="E4016" s="157">
        <v>42170.268750000003</v>
      </c>
      <c r="F4016" s="157">
        <v>42170.775694444441</v>
      </c>
      <c r="G4016" s="98">
        <v>0</v>
      </c>
      <c r="H4016" s="98">
        <v>423</v>
      </c>
      <c r="I4016" s="98">
        <v>393</v>
      </c>
      <c r="J4016" s="98" t="s">
        <v>2263</v>
      </c>
      <c r="K4016" s="98" t="s">
        <v>85</v>
      </c>
      <c r="L4016" s="105" t="str">
        <f t="shared" si="660"/>
        <v>Mill Creek</v>
      </c>
      <c r="M4016" s="105" t="str">
        <f t="shared" si="661"/>
        <v>Other</v>
      </c>
      <c r="N4016" s="105" t="str">
        <f t="shared" si="662"/>
        <v>Coal</v>
      </c>
      <c r="O4016" s="105">
        <f>IFERROR(VLOOKUP(A4016,Lookup!$J$5:$P$19,7,FALSE),0)</f>
        <v>3</v>
      </c>
      <c r="P4016" s="159">
        <f t="shared" si="663"/>
        <v>2015</v>
      </c>
      <c r="Q4016" s="159">
        <f t="shared" si="664"/>
        <v>6</v>
      </c>
      <c r="R4016" s="160">
        <f t="shared" si="665"/>
        <v>12.166666666511446</v>
      </c>
      <c r="S4016" s="158">
        <f t="shared" si="666"/>
        <v>12.166666666511446</v>
      </c>
      <c r="T4016" s="161">
        <f t="shared" si="667"/>
        <v>4781.4999999389984</v>
      </c>
      <c r="U4016" s="158">
        <f t="shared" si="669"/>
        <v>393</v>
      </c>
      <c r="V4016" s="160">
        <f t="shared" si="668"/>
        <v>393</v>
      </c>
    </row>
    <row r="4017" spans="1:22" x14ac:dyDescent="0.25">
      <c r="A4017" s="98" t="s">
        <v>29</v>
      </c>
      <c r="B4017" s="98" t="s">
        <v>17</v>
      </c>
      <c r="C4017" s="98">
        <v>67</v>
      </c>
      <c r="D4017" s="98">
        <v>1455</v>
      </c>
      <c r="E4017" s="157">
        <v>42170.956944444442</v>
      </c>
      <c r="F4017" s="157">
        <v>42171.443749999999</v>
      </c>
      <c r="G4017" s="98">
        <v>400</v>
      </c>
      <c r="H4017" s="98">
        <v>423</v>
      </c>
      <c r="I4017" s="98">
        <v>393</v>
      </c>
      <c r="J4017" s="98" t="s">
        <v>1990</v>
      </c>
      <c r="K4017" s="98" t="s">
        <v>2889</v>
      </c>
      <c r="L4017" s="105" t="str">
        <f t="shared" si="660"/>
        <v>Mill Creek</v>
      </c>
      <c r="M4017" s="105" t="str">
        <f t="shared" si="661"/>
        <v>Derate</v>
      </c>
      <c r="N4017" s="105" t="str">
        <f t="shared" si="662"/>
        <v>Coal</v>
      </c>
      <c r="O4017" s="105">
        <f>IFERROR(VLOOKUP(A4017,Lookup!$J$5:$P$19,7,FALSE),0)</f>
        <v>3</v>
      </c>
      <c r="P4017" s="159">
        <f t="shared" si="663"/>
        <v>2015</v>
      </c>
      <c r="Q4017" s="159">
        <f t="shared" si="664"/>
        <v>6</v>
      </c>
      <c r="R4017" s="160">
        <f t="shared" si="665"/>
        <v>11.683333333348855</v>
      </c>
      <c r="S4017" s="158">
        <f t="shared" si="666"/>
        <v>0.6352639873924909</v>
      </c>
      <c r="T4017" s="161">
        <f t="shared" si="667"/>
        <v>249.65874704524893</v>
      </c>
      <c r="U4017" s="158">
        <f t="shared" si="669"/>
        <v>21.368794326241133</v>
      </c>
      <c r="V4017" s="160">
        <f t="shared" si="668"/>
        <v>21</v>
      </c>
    </row>
    <row r="4018" spans="1:22" x14ac:dyDescent="0.25">
      <c r="A4018" s="98" t="s">
        <v>29</v>
      </c>
      <c r="B4018" s="98" t="s">
        <v>20</v>
      </c>
      <c r="C4018" s="98">
        <v>68</v>
      </c>
      <c r="D4018" s="98">
        <v>8550</v>
      </c>
      <c r="E4018" s="157">
        <v>42172.40347222222</v>
      </c>
      <c r="F4018" s="157">
        <v>42176.841666666667</v>
      </c>
      <c r="G4018" s="98">
        <v>0</v>
      </c>
      <c r="H4018" s="98">
        <v>423</v>
      </c>
      <c r="I4018" s="98">
        <v>393</v>
      </c>
      <c r="J4018" s="98" t="s">
        <v>2274</v>
      </c>
      <c r="K4018" s="98" t="s">
        <v>3649</v>
      </c>
      <c r="L4018" s="105" t="str">
        <f t="shared" si="660"/>
        <v>Mill Creek</v>
      </c>
      <c r="M4018" s="105" t="str">
        <f t="shared" si="661"/>
        <v>Maintenance</v>
      </c>
      <c r="N4018" s="105" t="str">
        <f t="shared" si="662"/>
        <v>Coal</v>
      </c>
      <c r="O4018" s="105">
        <f>IFERROR(VLOOKUP(A4018,Lookup!$J$5:$P$19,7,FALSE),0)</f>
        <v>3</v>
      </c>
      <c r="P4018" s="159">
        <f t="shared" si="663"/>
        <v>2015</v>
      </c>
      <c r="Q4018" s="159">
        <f t="shared" si="664"/>
        <v>6</v>
      </c>
      <c r="R4018" s="160">
        <f t="shared" si="665"/>
        <v>106.51666666672099</v>
      </c>
      <c r="S4018" s="158">
        <f t="shared" si="666"/>
        <v>106.51666666672099</v>
      </c>
      <c r="T4018" s="161">
        <f t="shared" si="667"/>
        <v>41861.050000021351</v>
      </c>
      <c r="U4018" s="158">
        <f t="shared" si="669"/>
        <v>393</v>
      </c>
      <c r="V4018" s="160">
        <f t="shared" si="668"/>
        <v>393</v>
      </c>
    </row>
    <row r="4019" spans="1:22" x14ac:dyDescent="0.25">
      <c r="A4019" s="98" t="s">
        <v>29</v>
      </c>
      <c r="B4019" s="98" t="s">
        <v>79</v>
      </c>
      <c r="C4019" s="98">
        <v>69</v>
      </c>
      <c r="D4019" s="98">
        <v>1850</v>
      </c>
      <c r="E4019" s="157">
        <v>42176.841666666667</v>
      </c>
      <c r="F4019" s="157">
        <v>42177.503472222219</v>
      </c>
      <c r="G4019" s="98">
        <v>0</v>
      </c>
      <c r="H4019" s="98">
        <v>423</v>
      </c>
      <c r="I4019" s="98">
        <v>393</v>
      </c>
      <c r="J4019" s="98" t="s">
        <v>2263</v>
      </c>
      <c r="K4019" s="98" t="s">
        <v>2779</v>
      </c>
      <c r="L4019" s="105" t="str">
        <f t="shared" si="660"/>
        <v>Mill Creek</v>
      </c>
      <c r="M4019" s="105" t="str">
        <f t="shared" si="661"/>
        <v>Other</v>
      </c>
      <c r="N4019" s="105" t="str">
        <f t="shared" si="662"/>
        <v>Coal</v>
      </c>
      <c r="O4019" s="105">
        <f>IFERROR(VLOOKUP(A4019,Lookup!$J$5:$P$19,7,FALSE),0)</f>
        <v>3</v>
      </c>
      <c r="P4019" s="159">
        <f t="shared" si="663"/>
        <v>2015</v>
      </c>
      <c r="Q4019" s="159">
        <f t="shared" si="664"/>
        <v>6</v>
      </c>
      <c r="R4019" s="160">
        <f t="shared" si="665"/>
        <v>15.883333333244082</v>
      </c>
      <c r="S4019" s="158">
        <f t="shared" si="666"/>
        <v>15.883333333244082</v>
      </c>
      <c r="T4019" s="161">
        <f t="shared" si="667"/>
        <v>6242.1499999649241</v>
      </c>
      <c r="U4019" s="158">
        <f t="shared" si="669"/>
        <v>393</v>
      </c>
      <c r="V4019" s="160">
        <f t="shared" si="668"/>
        <v>393</v>
      </c>
    </row>
    <row r="4020" spans="1:22" x14ac:dyDescent="0.25">
      <c r="A4020" s="98" t="s">
        <v>29</v>
      </c>
      <c r="B4020" s="98" t="s">
        <v>15</v>
      </c>
      <c r="C4020" s="98">
        <v>70</v>
      </c>
      <c r="D4020" s="98">
        <v>3220</v>
      </c>
      <c r="E4020" s="157">
        <v>42177.503472222219</v>
      </c>
      <c r="F4020" s="157">
        <v>42177.605555555558</v>
      </c>
      <c r="G4020" s="98">
        <v>0</v>
      </c>
      <c r="H4020" s="98">
        <v>423</v>
      </c>
      <c r="I4020" s="98">
        <v>393</v>
      </c>
      <c r="J4020" s="98" t="s">
        <v>2301</v>
      </c>
      <c r="K4020" s="98" t="s">
        <v>3650</v>
      </c>
      <c r="L4020" s="105" t="str">
        <f t="shared" si="660"/>
        <v>Mill Creek</v>
      </c>
      <c r="M4020" s="105" t="str">
        <f t="shared" si="661"/>
        <v>Outage</v>
      </c>
      <c r="N4020" s="105" t="str">
        <f t="shared" si="662"/>
        <v>Coal</v>
      </c>
      <c r="O4020" s="105">
        <f>IFERROR(VLOOKUP(A4020,Lookup!$J$5:$P$19,7,FALSE),0)</f>
        <v>3</v>
      </c>
      <c r="P4020" s="159">
        <f t="shared" si="663"/>
        <v>2015</v>
      </c>
      <c r="Q4020" s="159">
        <f t="shared" si="664"/>
        <v>6</v>
      </c>
      <c r="R4020" s="160">
        <f t="shared" si="665"/>
        <v>2.4500000001280569</v>
      </c>
      <c r="S4020" s="158">
        <f t="shared" si="666"/>
        <v>2.4500000001280569</v>
      </c>
      <c r="T4020" s="161">
        <f t="shared" si="667"/>
        <v>962.85000005032634</v>
      </c>
      <c r="U4020" s="158">
        <f t="shared" si="669"/>
        <v>393</v>
      </c>
      <c r="V4020" s="160">
        <f t="shared" si="668"/>
        <v>393</v>
      </c>
    </row>
    <row r="4021" spans="1:22" x14ac:dyDescent="0.25">
      <c r="A4021" s="98" t="s">
        <v>29</v>
      </c>
      <c r="B4021" s="98" t="s">
        <v>79</v>
      </c>
      <c r="C4021" s="98">
        <v>71</v>
      </c>
      <c r="D4021" s="98">
        <v>1850</v>
      </c>
      <c r="E4021" s="157">
        <v>42177.605555555558</v>
      </c>
      <c r="F4021" s="157">
        <v>42177.863194444442</v>
      </c>
      <c r="G4021" s="98">
        <v>0</v>
      </c>
      <c r="H4021" s="98">
        <v>423</v>
      </c>
      <c r="I4021" s="98">
        <v>393</v>
      </c>
      <c r="J4021" s="98" t="s">
        <v>2263</v>
      </c>
      <c r="K4021" s="98" t="s">
        <v>3651</v>
      </c>
      <c r="L4021" s="105" t="str">
        <f t="shared" si="660"/>
        <v>Mill Creek</v>
      </c>
      <c r="M4021" s="105" t="str">
        <f t="shared" si="661"/>
        <v>Other</v>
      </c>
      <c r="N4021" s="105" t="str">
        <f t="shared" si="662"/>
        <v>Coal</v>
      </c>
      <c r="O4021" s="105">
        <f>IFERROR(VLOOKUP(A4021,Lookup!$J$5:$P$19,7,FALSE),0)</f>
        <v>3</v>
      </c>
      <c r="P4021" s="159">
        <f t="shared" si="663"/>
        <v>2015</v>
      </c>
      <c r="Q4021" s="159">
        <f t="shared" si="664"/>
        <v>6</v>
      </c>
      <c r="R4021" s="160">
        <f t="shared" si="665"/>
        <v>6.1833333332324401</v>
      </c>
      <c r="S4021" s="158">
        <f t="shared" si="666"/>
        <v>6.1833333332324401</v>
      </c>
      <c r="T4021" s="161">
        <f t="shared" si="667"/>
        <v>2430.0499999603489</v>
      </c>
      <c r="U4021" s="158">
        <f t="shared" si="669"/>
        <v>393</v>
      </c>
      <c r="V4021" s="160">
        <f t="shared" si="668"/>
        <v>393</v>
      </c>
    </row>
    <row r="4022" spans="1:22" x14ac:dyDescent="0.25">
      <c r="A4022" s="98" t="s">
        <v>29</v>
      </c>
      <c r="B4022" s="98" t="s">
        <v>79</v>
      </c>
      <c r="C4022" s="98">
        <v>72</v>
      </c>
      <c r="D4022" s="98">
        <v>8548</v>
      </c>
      <c r="E4022" s="157">
        <v>42178.463888888888</v>
      </c>
      <c r="F4022" s="157">
        <v>42178.740277777775</v>
      </c>
      <c r="G4022" s="98">
        <v>0</v>
      </c>
      <c r="H4022" s="98">
        <v>423</v>
      </c>
      <c r="I4022" s="98">
        <v>393</v>
      </c>
      <c r="J4022" s="98" t="s">
        <v>3652</v>
      </c>
      <c r="K4022" s="98" t="s">
        <v>2729</v>
      </c>
      <c r="L4022" s="105" t="str">
        <f t="shared" si="660"/>
        <v>Mill Creek</v>
      </c>
      <c r="M4022" s="105" t="str">
        <f t="shared" si="661"/>
        <v>Other</v>
      </c>
      <c r="N4022" s="105" t="str">
        <f t="shared" si="662"/>
        <v>Coal</v>
      </c>
      <c r="O4022" s="105">
        <f>IFERROR(VLOOKUP(A4022,Lookup!$J$5:$P$19,7,FALSE),0)</f>
        <v>3</v>
      </c>
      <c r="P4022" s="159">
        <f t="shared" si="663"/>
        <v>2015</v>
      </c>
      <c r="Q4022" s="159">
        <f t="shared" si="664"/>
        <v>6</v>
      </c>
      <c r="R4022" s="160">
        <f t="shared" si="665"/>
        <v>6.6333333333022892</v>
      </c>
      <c r="S4022" s="158">
        <f t="shared" si="666"/>
        <v>6.6333333333022892</v>
      </c>
      <c r="T4022" s="161">
        <f t="shared" si="667"/>
        <v>2606.8999999877997</v>
      </c>
      <c r="U4022" s="158">
        <f t="shared" si="669"/>
        <v>393</v>
      </c>
      <c r="V4022" s="160">
        <f t="shared" si="668"/>
        <v>393</v>
      </c>
    </row>
    <row r="4023" spans="1:22" x14ac:dyDescent="0.25">
      <c r="A4023" s="98" t="s">
        <v>29</v>
      </c>
      <c r="B4023" s="98" t="s">
        <v>79</v>
      </c>
      <c r="C4023" s="98">
        <v>73</v>
      </c>
      <c r="D4023" s="98">
        <v>1160</v>
      </c>
      <c r="E4023" s="157">
        <v>42178.979166666664</v>
      </c>
      <c r="F4023" s="157">
        <v>42179.217361111114</v>
      </c>
      <c r="G4023" s="98">
        <v>0</v>
      </c>
      <c r="H4023" s="98">
        <v>423</v>
      </c>
      <c r="I4023" s="98">
        <v>393</v>
      </c>
      <c r="J4023" s="98" t="s">
        <v>2273</v>
      </c>
      <c r="K4023" s="98" t="s">
        <v>3653</v>
      </c>
      <c r="L4023" s="105" t="str">
        <f t="shared" si="660"/>
        <v>Mill Creek</v>
      </c>
      <c r="M4023" s="105" t="str">
        <f t="shared" si="661"/>
        <v>Other</v>
      </c>
      <c r="N4023" s="105" t="str">
        <f t="shared" si="662"/>
        <v>Coal</v>
      </c>
      <c r="O4023" s="105">
        <f>IFERROR(VLOOKUP(A4023,Lookup!$J$5:$P$19,7,FALSE),0)</f>
        <v>3</v>
      </c>
      <c r="P4023" s="159">
        <f t="shared" si="663"/>
        <v>2015</v>
      </c>
      <c r="Q4023" s="159">
        <f t="shared" si="664"/>
        <v>6</v>
      </c>
      <c r="R4023" s="160">
        <f t="shared" si="665"/>
        <v>5.716666666790843</v>
      </c>
      <c r="S4023" s="158">
        <f t="shared" si="666"/>
        <v>5.716666666790843</v>
      </c>
      <c r="T4023" s="161">
        <f t="shared" si="667"/>
        <v>2246.6500000488013</v>
      </c>
      <c r="U4023" s="158">
        <f t="shared" si="669"/>
        <v>393</v>
      </c>
      <c r="V4023" s="160">
        <f t="shared" si="668"/>
        <v>393</v>
      </c>
    </row>
    <row r="4024" spans="1:22" x14ac:dyDescent="0.25">
      <c r="A4024" s="98" t="s">
        <v>29</v>
      </c>
      <c r="B4024" s="98" t="s">
        <v>79</v>
      </c>
      <c r="C4024" s="98">
        <v>74</v>
      </c>
      <c r="D4024" s="98">
        <v>8817</v>
      </c>
      <c r="E4024" s="157">
        <v>42179.416666666664</v>
      </c>
      <c r="F4024" s="157">
        <v>42179.724999999999</v>
      </c>
      <c r="G4024" s="98">
        <v>0</v>
      </c>
      <c r="H4024" s="98">
        <v>423</v>
      </c>
      <c r="I4024" s="98">
        <v>393</v>
      </c>
      <c r="J4024" s="98" t="s">
        <v>2189</v>
      </c>
      <c r="K4024" s="98" t="s">
        <v>3654</v>
      </c>
      <c r="L4024" s="105" t="str">
        <f t="shared" si="660"/>
        <v>Mill Creek</v>
      </c>
      <c r="M4024" s="105" t="str">
        <f t="shared" si="661"/>
        <v>Other</v>
      </c>
      <c r="N4024" s="105" t="str">
        <f t="shared" si="662"/>
        <v>Coal</v>
      </c>
      <c r="O4024" s="105">
        <f>IFERROR(VLOOKUP(A4024,Lookup!$J$5:$P$19,7,FALSE),0)</f>
        <v>3</v>
      </c>
      <c r="P4024" s="159">
        <f t="shared" si="663"/>
        <v>2015</v>
      </c>
      <c r="Q4024" s="159">
        <f t="shared" si="664"/>
        <v>6</v>
      </c>
      <c r="R4024" s="160">
        <f t="shared" si="665"/>
        <v>7.4000000000232831</v>
      </c>
      <c r="S4024" s="158">
        <f t="shared" si="666"/>
        <v>7.4000000000232831</v>
      </c>
      <c r="T4024" s="161">
        <f t="shared" si="667"/>
        <v>2908.2000000091502</v>
      </c>
      <c r="U4024" s="158">
        <f t="shared" si="669"/>
        <v>393</v>
      </c>
      <c r="V4024" s="160">
        <f t="shared" si="668"/>
        <v>393</v>
      </c>
    </row>
    <row r="4025" spans="1:22" x14ac:dyDescent="0.25">
      <c r="A4025" s="98" t="s">
        <v>29</v>
      </c>
      <c r="B4025" s="98" t="s">
        <v>79</v>
      </c>
      <c r="C4025" s="98">
        <v>75</v>
      </c>
      <c r="D4025" s="98">
        <v>8817</v>
      </c>
      <c r="E4025" s="157">
        <v>42179.738194444442</v>
      </c>
      <c r="F4025" s="157">
        <v>42179.770833333336</v>
      </c>
      <c r="G4025" s="98">
        <v>0</v>
      </c>
      <c r="H4025" s="98">
        <v>423</v>
      </c>
      <c r="I4025" s="98">
        <v>393</v>
      </c>
      <c r="J4025" s="98" t="s">
        <v>2189</v>
      </c>
      <c r="K4025" s="98" t="s">
        <v>3655</v>
      </c>
      <c r="L4025" s="105" t="str">
        <f t="shared" si="660"/>
        <v>Mill Creek</v>
      </c>
      <c r="M4025" s="105" t="str">
        <f t="shared" si="661"/>
        <v>Other</v>
      </c>
      <c r="N4025" s="105" t="str">
        <f t="shared" si="662"/>
        <v>Coal</v>
      </c>
      <c r="O4025" s="105">
        <f>IFERROR(VLOOKUP(A4025,Lookup!$J$5:$P$19,7,FALSE),0)</f>
        <v>3</v>
      </c>
      <c r="P4025" s="159">
        <f t="shared" si="663"/>
        <v>2015</v>
      </c>
      <c r="Q4025" s="159">
        <f t="shared" si="664"/>
        <v>6</v>
      </c>
      <c r="R4025" s="160">
        <f t="shared" si="665"/>
        <v>0.78333333344198763</v>
      </c>
      <c r="S4025" s="158">
        <f t="shared" si="666"/>
        <v>0.78333333344198763</v>
      </c>
      <c r="T4025" s="161">
        <f t="shared" si="667"/>
        <v>307.85000004270114</v>
      </c>
      <c r="U4025" s="158">
        <f t="shared" si="669"/>
        <v>393</v>
      </c>
      <c r="V4025" s="160">
        <f t="shared" si="668"/>
        <v>393</v>
      </c>
    </row>
    <row r="4026" spans="1:22" x14ac:dyDescent="0.25">
      <c r="A4026" s="98" t="s">
        <v>29</v>
      </c>
      <c r="B4026" s="98" t="s">
        <v>105</v>
      </c>
      <c r="C4026" s="98">
        <v>76</v>
      </c>
      <c r="D4026" s="98">
        <v>1999</v>
      </c>
      <c r="E4026" s="157">
        <v>42179.916666666664</v>
      </c>
      <c r="F4026" s="157">
        <v>42180.199305555558</v>
      </c>
      <c r="G4026" s="98">
        <v>200</v>
      </c>
      <c r="H4026" s="98">
        <v>423</v>
      </c>
      <c r="I4026" s="98">
        <v>393</v>
      </c>
      <c r="J4026" s="98" t="s">
        <v>2108</v>
      </c>
      <c r="K4026" s="98" t="s">
        <v>3656</v>
      </c>
      <c r="L4026" s="105" t="str">
        <f t="shared" si="660"/>
        <v>Mill Creek</v>
      </c>
      <c r="M4026" s="105" t="str">
        <f t="shared" si="661"/>
        <v>Derate</v>
      </c>
      <c r="N4026" s="105" t="str">
        <f t="shared" si="662"/>
        <v>Coal</v>
      </c>
      <c r="O4026" s="105">
        <f>IFERROR(VLOOKUP(A4026,Lookup!$J$5:$P$19,7,FALSE),0)</f>
        <v>3</v>
      </c>
      <c r="P4026" s="159">
        <f t="shared" si="663"/>
        <v>2015</v>
      </c>
      <c r="Q4026" s="159">
        <f t="shared" si="664"/>
        <v>6</v>
      </c>
      <c r="R4026" s="160">
        <f t="shared" si="665"/>
        <v>6.7833333334419876</v>
      </c>
      <c r="S4026" s="158">
        <f t="shared" si="666"/>
        <v>3.5760835303961307</v>
      </c>
      <c r="T4026" s="161">
        <f t="shared" si="667"/>
        <v>1405.4008274456794</v>
      </c>
      <c r="U4026" s="158">
        <f t="shared" si="669"/>
        <v>207.18439716312056</v>
      </c>
      <c r="V4026" s="160">
        <f t="shared" si="668"/>
        <v>207</v>
      </c>
    </row>
    <row r="4027" spans="1:22" x14ac:dyDescent="0.25">
      <c r="A4027" s="98" t="s">
        <v>29</v>
      </c>
      <c r="B4027" s="98" t="s">
        <v>17</v>
      </c>
      <c r="C4027" s="98">
        <v>77</v>
      </c>
      <c r="D4027" s="98">
        <v>8426</v>
      </c>
      <c r="E4027" s="157">
        <v>42181.445138888892</v>
      </c>
      <c r="F4027" s="157">
        <v>42181.459722222222</v>
      </c>
      <c r="G4027" s="98">
        <v>300</v>
      </c>
      <c r="H4027" s="98">
        <v>423</v>
      </c>
      <c r="I4027" s="98">
        <v>393</v>
      </c>
      <c r="J4027" s="98" t="s">
        <v>2259</v>
      </c>
      <c r="K4027" s="98" t="s">
        <v>3657</v>
      </c>
      <c r="L4027" s="105" t="str">
        <f t="shared" si="660"/>
        <v>Mill Creek</v>
      </c>
      <c r="M4027" s="105" t="str">
        <f t="shared" si="661"/>
        <v>Derate</v>
      </c>
      <c r="N4027" s="105" t="str">
        <f t="shared" si="662"/>
        <v>Coal</v>
      </c>
      <c r="O4027" s="105">
        <f>IFERROR(VLOOKUP(A4027,Lookup!$J$5:$P$19,7,FALSE),0)</f>
        <v>3</v>
      </c>
      <c r="P4027" s="159">
        <f t="shared" si="663"/>
        <v>2015</v>
      </c>
      <c r="Q4027" s="159">
        <f t="shared" si="664"/>
        <v>6</v>
      </c>
      <c r="R4027" s="160">
        <f t="shared" si="665"/>
        <v>0.34999999991850927</v>
      </c>
      <c r="S4027" s="158">
        <f t="shared" si="666"/>
        <v>0.10177304962169419</v>
      </c>
      <c r="T4027" s="161">
        <f t="shared" si="667"/>
        <v>39.996808501325816</v>
      </c>
      <c r="U4027" s="158">
        <f t="shared" si="669"/>
        <v>114.27659574468085</v>
      </c>
      <c r="V4027" s="160">
        <f t="shared" si="668"/>
        <v>114</v>
      </c>
    </row>
    <row r="4028" spans="1:22" x14ac:dyDescent="0.25">
      <c r="A4028" s="98" t="s">
        <v>29</v>
      </c>
      <c r="B4028" s="98" t="s">
        <v>17</v>
      </c>
      <c r="C4028" s="98">
        <v>78</v>
      </c>
      <c r="D4028" s="98">
        <v>8426</v>
      </c>
      <c r="E4028" s="157">
        <v>42181.459722222222</v>
      </c>
      <c r="F4028" s="157">
        <v>42181.543055555558</v>
      </c>
      <c r="G4028" s="98">
        <v>200</v>
      </c>
      <c r="H4028" s="98">
        <v>423</v>
      </c>
      <c r="I4028" s="98">
        <v>393</v>
      </c>
      <c r="J4028" s="98" t="s">
        <v>2259</v>
      </c>
      <c r="K4028" s="98" t="s">
        <v>3657</v>
      </c>
      <c r="L4028" s="105" t="str">
        <f t="shared" si="660"/>
        <v>Mill Creek</v>
      </c>
      <c r="M4028" s="105" t="str">
        <f t="shared" si="661"/>
        <v>Derate</v>
      </c>
      <c r="N4028" s="105" t="str">
        <f t="shared" si="662"/>
        <v>Coal</v>
      </c>
      <c r="O4028" s="105">
        <f>IFERROR(VLOOKUP(A4028,Lookup!$J$5:$P$19,7,FALSE),0)</f>
        <v>3</v>
      </c>
      <c r="P4028" s="159">
        <f t="shared" si="663"/>
        <v>2015</v>
      </c>
      <c r="Q4028" s="159">
        <f t="shared" si="664"/>
        <v>6</v>
      </c>
      <c r="R4028" s="160">
        <f t="shared" si="665"/>
        <v>2.0000000000582077</v>
      </c>
      <c r="S4028" s="158">
        <f t="shared" si="666"/>
        <v>1.0543735224893152</v>
      </c>
      <c r="T4028" s="161">
        <f t="shared" si="667"/>
        <v>414.36879433830086</v>
      </c>
      <c r="U4028" s="158">
        <f t="shared" si="669"/>
        <v>207.18439716312056</v>
      </c>
      <c r="V4028" s="160">
        <f t="shared" si="668"/>
        <v>207</v>
      </c>
    </row>
    <row r="4029" spans="1:22" x14ac:dyDescent="0.25">
      <c r="A4029" s="98" t="s">
        <v>29</v>
      </c>
      <c r="B4029" s="98" t="s">
        <v>20</v>
      </c>
      <c r="C4029" s="98">
        <v>79</v>
      </c>
      <c r="D4029" s="98">
        <v>8550</v>
      </c>
      <c r="E4029" s="157">
        <v>42185.927777777775</v>
      </c>
      <c r="F4029" s="157">
        <v>42191.244444444441</v>
      </c>
      <c r="G4029" s="98">
        <v>0</v>
      </c>
      <c r="H4029" s="98">
        <v>423</v>
      </c>
      <c r="I4029" s="98">
        <v>393</v>
      </c>
      <c r="J4029" s="98" t="s">
        <v>2274</v>
      </c>
      <c r="K4029" s="98" t="s">
        <v>3658</v>
      </c>
      <c r="L4029" s="105" t="str">
        <f t="shared" si="660"/>
        <v>Mill Creek</v>
      </c>
      <c r="M4029" s="105" t="str">
        <f t="shared" si="661"/>
        <v>Maintenance</v>
      </c>
      <c r="N4029" s="105" t="str">
        <f t="shared" si="662"/>
        <v>Coal</v>
      </c>
      <c r="O4029" s="105">
        <f>IFERROR(VLOOKUP(A4029,Lookup!$J$5:$P$19,7,FALSE),0)</f>
        <v>3</v>
      </c>
      <c r="P4029" s="159">
        <f t="shared" si="663"/>
        <v>2015</v>
      </c>
      <c r="Q4029" s="159">
        <f t="shared" si="664"/>
        <v>6</v>
      </c>
      <c r="R4029" s="160">
        <f t="shared" si="665"/>
        <v>127.59999999997672</v>
      </c>
      <c r="S4029" s="158">
        <f t="shared" si="666"/>
        <v>127.59999999997672</v>
      </c>
      <c r="T4029" s="161">
        <f t="shared" si="667"/>
        <v>50146.79999999085</v>
      </c>
      <c r="U4029" s="158">
        <f t="shared" si="669"/>
        <v>393</v>
      </c>
      <c r="V4029" s="160">
        <f t="shared" si="668"/>
        <v>393</v>
      </c>
    </row>
    <row r="4030" spans="1:22" x14ac:dyDescent="0.25">
      <c r="A4030" s="98" t="s">
        <v>29</v>
      </c>
      <c r="B4030" s="98" t="s">
        <v>79</v>
      </c>
      <c r="C4030" s="98">
        <v>80</v>
      </c>
      <c r="D4030" s="98">
        <v>1850</v>
      </c>
      <c r="E4030" s="157">
        <v>42191.244444444441</v>
      </c>
      <c r="F4030" s="157">
        <v>42191.930555555555</v>
      </c>
      <c r="G4030" s="98">
        <v>0</v>
      </c>
      <c r="H4030" s="98">
        <v>423</v>
      </c>
      <c r="I4030" s="98">
        <v>393</v>
      </c>
      <c r="J4030" s="98" t="s">
        <v>2263</v>
      </c>
      <c r="K4030" s="98" t="s">
        <v>3559</v>
      </c>
      <c r="L4030" s="105" t="str">
        <f t="shared" si="660"/>
        <v>Mill Creek</v>
      </c>
      <c r="M4030" s="105" t="str">
        <f t="shared" si="661"/>
        <v>Other</v>
      </c>
      <c r="N4030" s="105" t="str">
        <f t="shared" si="662"/>
        <v>Coal</v>
      </c>
      <c r="O4030" s="105">
        <f>IFERROR(VLOOKUP(A4030,Lookup!$J$5:$P$19,7,FALSE),0)</f>
        <v>3</v>
      </c>
      <c r="P4030" s="159">
        <f t="shared" si="663"/>
        <v>2015</v>
      </c>
      <c r="Q4030" s="159">
        <f t="shared" si="664"/>
        <v>7</v>
      </c>
      <c r="R4030" s="160">
        <f t="shared" si="665"/>
        <v>16.466666666732635</v>
      </c>
      <c r="S4030" s="158">
        <f t="shared" si="666"/>
        <v>16.466666666732635</v>
      </c>
      <c r="T4030" s="161">
        <f t="shared" si="667"/>
        <v>6471.4000000259257</v>
      </c>
      <c r="U4030" s="158">
        <f t="shared" si="669"/>
        <v>393</v>
      </c>
      <c r="V4030" s="160">
        <f t="shared" si="668"/>
        <v>393</v>
      </c>
    </row>
    <row r="4031" spans="1:22" x14ac:dyDescent="0.25">
      <c r="A4031" s="98" t="s">
        <v>29</v>
      </c>
      <c r="B4031" s="98" t="s">
        <v>17</v>
      </c>
      <c r="C4031" s="98">
        <v>81</v>
      </c>
      <c r="D4031" s="98">
        <v>260</v>
      </c>
      <c r="E4031" s="157">
        <v>42191.930555555555</v>
      </c>
      <c r="F4031" s="157">
        <v>42193.057638888888</v>
      </c>
      <c r="G4031" s="98">
        <v>350</v>
      </c>
      <c r="H4031" s="98">
        <v>423</v>
      </c>
      <c r="I4031" s="98">
        <v>393</v>
      </c>
      <c r="J4031" s="98" t="s">
        <v>1973</v>
      </c>
      <c r="K4031" s="98" t="s">
        <v>3659</v>
      </c>
      <c r="L4031" s="105" t="str">
        <f t="shared" si="660"/>
        <v>Mill Creek</v>
      </c>
      <c r="M4031" s="105" t="str">
        <f t="shared" si="661"/>
        <v>Derate</v>
      </c>
      <c r="N4031" s="105" t="str">
        <f t="shared" si="662"/>
        <v>Coal</v>
      </c>
      <c r="O4031" s="105">
        <f>IFERROR(VLOOKUP(A4031,Lookup!$J$5:$P$19,7,FALSE),0)</f>
        <v>3</v>
      </c>
      <c r="P4031" s="159">
        <f t="shared" si="663"/>
        <v>2015</v>
      </c>
      <c r="Q4031" s="159">
        <f t="shared" si="664"/>
        <v>7</v>
      </c>
      <c r="R4031" s="160">
        <f t="shared" si="665"/>
        <v>27.049999999988358</v>
      </c>
      <c r="S4031" s="158">
        <f t="shared" si="666"/>
        <v>4.6682033096906626</v>
      </c>
      <c r="T4031" s="161">
        <f t="shared" si="667"/>
        <v>1834.6039007084303</v>
      </c>
      <c r="U4031" s="158">
        <f t="shared" si="669"/>
        <v>67.822695035460995</v>
      </c>
      <c r="V4031" s="160">
        <f t="shared" si="668"/>
        <v>68</v>
      </c>
    </row>
    <row r="4032" spans="1:22" x14ac:dyDescent="0.25">
      <c r="A4032" s="98" t="s">
        <v>29</v>
      </c>
      <c r="B4032" s="98" t="s">
        <v>17</v>
      </c>
      <c r="C4032" s="98">
        <v>82</v>
      </c>
      <c r="D4032" s="98">
        <v>8040</v>
      </c>
      <c r="E4032" s="157">
        <v>42198.385416666664</v>
      </c>
      <c r="F4032" s="157">
        <v>42198.45</v>
      </c>
      <c r="G4032" s="98">
        <v>350</v>
      </c>
      <c r="H4032" s="98">
        <v>423</v>
      </c>
      <c r="I4032" s="98">
        <v>393</v>
      </c>
      <c r="J4032" s="98" t="s">
        <v>2251</v>
      </c>
      <c r="K4032" s="98" t="s">
        <v>3660</v>
      </c>
      <c r="L4032" s="105" t="str">
        <f t="shared" si="660"/>
        <v>Mill Creek</v>
      </c>
      <c r="M4032" s="105" t="str">
        <f t="shared" si="661"/>
        <v>Derate</v>
      </c>
      <c r="N4032" s="105" t="str">
        <f t="shared" si="662"/>
        <v>Coal</v>
      </c>
      <c r="O4032" s="105">
        <f>IFERROR(VLOOKUP(A4032,Lookup!$J$5:$P$19,7,FALSE),0)</f>
        <v>3</v>
      </c>
      <c r="P4032" s="159">
        <f t="shared" si="663"/>
        <v>2015</v>
      </c>
      <c r="Q4032" s="159">
        <f t="shared" si="664"/>
        <v>7</v>
      </c>
      <c r="R4032" s="160">
        <f t="shared" si="665"/>
        <v>1.5499999999883585</v>
      </c>
      <c r="S4032" s="158">
        <f t="shared" si="666"/>
        <v>0.26749408983250633</v>
      </c>
      <c r="T4032" s="161">
        <f t="shared" si="667"/>
        <v>105.12517730417498</v>
      </c>
      <c r="U4032" s="158">
        <f t="shared" si="669"/>
        <v>67.822695035460995</v>
      </c>
      <c r="V4032" s="160">
        <f t="shared" si="668"/>
        <v>68</v>
      </c>
    </row>
    <row r="4033" spans="1:22" x14ac:dyDescent="0.25">
      <c r="A4033" s="98" t="s">
        <v>29</v>
      </c>
      <c r="B4033" s="98" t="s">
        <v>17</v>
      </c>
      <c r="C4033" s="98">
        <v>83</v>
      </c>
      <c r="D4033" s="98">
        <v>1450</v>
      </c>
      <c r="E4033" s="157">
        <v>42198.45</v>
      </c>
      <c r="F4033" s="157">
        <v>42198.604166666664</v>
      </c>
      <c r="G4033" s="98">
        <v>400</v>
      </c>
      <c r="H4033" s="98">
        <v>423</v>
      </c>
      <c r="I4033" s="98">
        <v>393</v>
      </c>
      <c r="J4033" s="98" t="s">
        <v>2296</v>
      </c>
      <c r="K4033" s="98" t="s">
        <v>3661</v>
      </c>
      <c r="L4033" s="105" t="str">
        <f t="shared" si="660"/>
        <v>Mill Creek</v>
      </c>
      <c r="M4033" s="105" t="str">
        <f t="shared" si="661"/>
        <v>Derate</v>
      </c>
      <c r="N4033" s="105" t="str">
        <f t="shared" si="662"/>
        <v>Coal</v>
      </c>
      <c r="O4033" s="105">
        <f>IFERROR(VLOOKUP(A4033,Lookup!$J$5:$P$19,7,FALSE),0)</f>
        <v>3</v>
      </c>
      <c r="P4033" s="159">
        <f t="shared" si="663"/>
        <v>2015</v>
      </c>
      <c r="Q4033" s="159">
        <f t="shared" si="664"/>
        <v>7</v>
      </c>
      <c r="R4033" s="160">
        <f t="shared" si="665"/>
        <v>3.7000000000116415</v>
      </c>
      <c r="S4033" s="158">
        <f t="shared" si="666"/>
        <v>0.20118203309755969</v>
      </c>
      <c r="T4033" s="161">
        <f t="shared" si="667"/>
        <v>79.064539007340954</v>
      </c>
      <c r="U4033" s="158">
        <f t="shared" si="669"/>
        <v>21.368794326241133</v>
      </c>
      <c r="V4033" s="160">
        <f t="shared" si="668"/>
        <v>21</v>
      </c>
    </row>
    <row r="4034" spans="1:22" x14ac:dyDescent="0.25">
      <c r="A4034" s="98" t="s">
        <v>29</v>
      </c>
      <c r="B4034" s="98" t="s">
        <v>79</v>
      </c>
      <c r="C4034" s="98">
        <v>84</v>
      </c>
      <c r="D4034" s="98">
        <v>9999</v>
      </c>
      <c r="E4034" s="157">
        <v>42201.354166666664</v>
      </c>
      <c r="F4034" s="157">
        <v>42201.664583333331</v>
      </c>
      <c r="G4034" s="98">
        <v>0</v>
      </c>
      <c r="H4034" s="98">
        <v>423</v>
      </c>
      <c r="I4034" s="98">
        <v>393</v>
      </c>
      <c r="J4034" s="98" t="s">
        <v>2261</v>
      </c>
      <c r="K4034" s="98" t="s">
        <v>3511</v>
      </c>
      <c r="L4034" s="105" t="str">
        <f t="shared" si="660"/>
        <v>Mill Creek</v>
      </c>
      <c r="M4034" s="105" t="str">
        <f t="shared" si="661"/>
        <v>Other</v>
      </c>
      <c r="N4034" s="105" t="str">
        <f t="shared" si="662"/>
        <v>Coal</v>
      </c>
      <c r="O4034" s="105">
        <f>IFERROR(VLOOKUP(A4034,Lookup!$J$5:$P$19,7,FALSE),0)</f>
        <v>3</v>
      </c>
      <c r="P4034" s="159">
        <f t="shared" si="663"/>
        <v>2015</v>
      </c>
      <c r="Q4034" s="159">
        <f t="shared" si="664"/>
        <v>7</v>
      </c>
      <c r="R4034" s="160">
        <f t="shared" si="665"/>
        <v>7.4500000000116415</v>
      </c>
      <c r="S4034" s="158">
        <f t="shared" si="666"/>
        <v>7.4500000000116415</v>
      </c>
      <c r="T4034" s="161">
        <f t="shared" si="667"/>
        <v>2927.8500000045751</v>
      </c>
      <c r="U4034" s="158">
        <f t="shared" si="669"/>
        <v>393</v>
      </c>
      <c r="V4034" s="160">
        <f t="shared" si="668"/>
        <v>393</v>
      </c>
    </row>
    <row r="4035" spans="1:22" x14ac:dyDescent="0.25">
      <c r="A4035" s="98" t="s">
        <v>29</v>
      </c>
      <c r="B4035" s="98" t="s">
        <v>17</v>
      </c>
      <c r="C4035" s="98">
        <v>85</v>
      </c>
      <c r="D4035" s="98">
        <v>380</v>
      </c>
      <c r="E4035" s="157">
        <v>42204.380555555559</v>
      </c>
      <c r="F4035" s="157">
        <v>42204.388194444444</v>
      </c>
      <c r="G4035" s="98">
        <v>230</v>
      </c>
      <c r="H4035" s="98">
        <v>423</v>
      </c>
      <c r="I4035" s="98">
        <v>393</v>
      </c>
      <c r="J4035" s="98" t="s">
        <v>2017</v>
      </c>
      <c r="K4035" s="98" t="s">
        <v>3662</v>
      </c>
      <c r="L4035" s="105" t="str">
        <f t="shared" si="660"/>
        <v>Mill Creek</v>
      </c>
      <c r="M4035" s="105" t="str">
        <f t="shared" si="661"/>
        <v>Derate</v>
      </c>
      <c r="N4035" s="105" t="str">
        <f t="shared" si="662"/>
        <v>Coal</v>
      </c>
      <c r="O4035" s="105">
        <f>IFERROR(VLOOKUP(A4035,Lookup!$J$5:$P$19,7,FALSE),0)</f>
        <v>3</v>
      </c>
      <c r="P4035" s="159">
        <f t="shared" si="663"/>
        <v>2015</v>
      </c>
      <c r="Q4035" s="159">
        <f t="shared" si="664"/>
        <v>7</v>
      </c>
      <c r="R4035" s="160">
        <f t="shared" si="665"/>
        <v>0.18333333323244005</v>
      </c>
      <c r="S4035" s="158">
        <f t="shared" si="666"/>
        <v>8.3648542113146401E-2</v>
      </c>
      <c r="T4035" s="161">
        <f t="shared" si="667"/>
        <v>32.873877050466533</v>
      </c>
      <c r="U4035" s="158">
        <f t="shared" si="669"/>
        <v>179.31205673758865</v>
      </c>
      <c r="V4035" s="160">
        <f t="shared" si="668"/>
        <v>179</v>
      </c>
    </row>
    <row r="4036" spans="1:22" x14ac:dyDescent="0.25">
      <c r="A4036" s="98" t="s">
        <v>29</v>
      </c>
      <c r="B4036" s="98" t="s">
        <v>17</v>
      </c>
      <c r="C4036" s="98">
        <v>86</v>
      </c>
      <c r="D4036" s="98">
        <v>380</v>
      </c>
      <c r="E4036" s="157">
        <v>42204.416666666664</v>
      </c>
      <c r="F4036" s="157">
        <v>42204.518055555556</v>
      </c>
      <c r="G4036" s="98">
        <v>360</v>
      </c>
      <c r="H4036" s="98">
        <v>423</v>
      </c>
      <c r="I4036" s="98">
        <v>393</v>
      </c>
      <c r="J4036" s="98" t="s">
        <v>2017</v>
      </c>
      <c r="K4036" s="98" t="s">
        <v>3663</v>
      </c>
      <c r="L4036" s="105" t="str">
        <f t="shared" si="660"/>
        <v>Mill Creek</v>
      </c>
      <c r="M4036" s="105" t="str">
        <f t="shared" si="661"/>
        <v>Derate</v>
      </c>
      <c r="N4036" s="105" t="str">
        <f t="shared" si="662"/>
        <v>Coal</v>
      </c>
      <c r="O4036" s="105">
        <f>IFERROR(VLOOKUP(A4036,Lookup!$J$5:$P$19,7,FALSE),0)</f>
        <v>3</v>
      </c>
      <c r="P4036" s="159">
        <f t="shared" si="663"/>
        <v>2015</v>
      </c>
      <c r="Q4036" s="159">
        <f t="shared" si="664"/>
        <v>7</v>
      </c>
      <c r="R4036" s="160">
        <f t="shared" si="665"/>
        <v>2.433333333407063</v>
      </c>
      <c r="S4036" s="158">
        <f t="shared" si="666"/>
        <v>0.36241134752871151</v>
      </c>
      <c r="T4036" s="161">
        <f t="shared" si="667"/>
        <v>142.42765957878362</v>
      </c>
      <c r="U4036" s="158">
        <f t="shared" si="669"/>
        <v>58.531914893617021</v>
      </c>
      <c r="V4036" s="160">
        <f t="shared" si="668"/>
        <v>59</v>
      </c>
    </row>
    <row r="4037" spans="1:22" x14ac:dyDescent="0.25">
      <c r="A4037" s="98" t="s">
        <v>29</v>
      </c>
      <c r="B4037" s="98" t="s">
        <v>17</v>
      </c>
      <c r="C4037" s="98">
        <v>87</v>
      </c>
      <c r="D4037" s="98">
        <v>250</v>
      </c>
      <c r="E4037" s="157">
        <v>42210.370138888888</v>
      </c>
      <c r="F4037" s="157">
        <v>42210.379166666666</v>
      </c>
      <c r="G4037" s="98">
        <v>365</v>
      </c>
      <c r="H4037" s="98">
        <v>423</v>
      </c>
      <c r="I4037" s="98">
        <v>393</v>
      </c>
      <c r="J4037" s="98" t="s">
        <v>1978</v>
      </c>
      <c r="K4037" s="98" t="s">
        <v>3664</v>
      </c>
      <c r="L4037" s="105" t="str">
        <f t="shared" si="660"/>
        <v>Mill Creek</v>
      </c>
      <c r="M4037" s="105" t="str">
        <f t="shared" si="661"/>
        <v>Derate</v>
      </c>
      <c r="N4037" s="105" t="str">
        <f t="shared" si="662"/>
        <v>Coal</v>
      </c>
      <c r="O4037" s="105">
        <f>IFERROR(VLOOKUP(A4037,Lookup!$J$5:$P$19,7,FALSE),0)</f>
        <v>3</v>
      </c>
      <c r="P4037" s="159">
        <f t="shared" si="663"/>
        <v>2015</v>
      </c>
      <c r="Q4037" s="159">
        <f t="shared" si="664"/>
        <v>7</v>
      </c>
      <c r="R4037" s="160">
        <f t="shared" si="665"/>
        <v>0.21666666667442769</v>
      </c>
      <c r="S4037" s="158">
        <f t="shared" si="666"/>
        <v>2.9708431837155571E-2</v>
      </c>
      <c r="T4037" s="161">
        <f t="shared" si="667"/>
        <v>11.67541371200214</v>
      </c>
      <c r="U4037" s="158">
        <f t="shared" si="669"/>
        <v>53.886524822695037</v>
      </c>
      <c r="V4037" s="160">
        <f t="shared" si="668"/>
        <v>54</v>
      </c>
    </row>
    <row r="4038" spans="1:22" x14ac:dyDescent="0.25">
      <c r="A4038" s="98" t="s">
        <v>29</v>
      </c>
      <c r="B4038" s="98" t="s">
        <v>17</v>
      </c>
      <c r="C4038" s="98">
        <v>88</v>
      </c>
      <c r="D4038" s="98">
        <v>3149</v>
      </c>
      <c r="E4038" s="157">
        <v>42211.730555555558</v>
      </c>
      <c r="F4038" s="157">
        <v>42211.802083333336</v>
      </c>
      <c r="G4038" s="98">
        <v>410</v>
      </c>
      <c r="H4038" s="98">
        <v>423</v>
      </c>
      <c r="I4038" s="98">
        <v>393</v>
      </c>
      <c r="J4038" s="98" t="s">
        <v>2034</v>
      </c>
      <c r="K4038" s="98" t="s">
        <v>3665</v>
      </c>
      <c r="L4038" s="105" t="str">
        <f t="shared" si="660"/>
        <v>Mill Creek</v>
      </c>
      <c r="M4038" s="105" t="str">
        <f t="shared" si="661"/>
        <v>Derate</v>
      </c>
      <c r="N4038" s="105" t="str">
        <f t="shared" si="662"/>
        <v>Coal</v>
      </c>
      <c r="O4038" s="105">
        <f>IFERROR(VLOOKUP(A4038,Lookup!$J$5:$P$19,7,FALSE),0)</f>
        <v>3</v>
      </c>
      <c r="P4038" s="159">
        <f t="shared" si="663"/>
        <v>2015</v>
      </c>
      <c r="Q4038" s="159">
        <f t="shared" si="664"/>
        <v>7</v>
      </c>
      <c r="R4038" s="160">
        <f t="shared" si="665"/>
        <v>1.7166666666744277</v>
      </c>
      <c r="S4038" s="158">
        <f t="shared" si="666"/>
        <v>5.275807722640085E-2</v>
      </c>
      <c r="T4038" s="161">
        <f t="shared" si="667"/>
        <v>20.733924349975535</v>
      </c>
      <c r="U4038" s="158">
        <f t="shared" si="669"/>
        <v>12.078014184397164</v>
      </c>
      <c r="V4038" s="160">
        <f t="shared" si="668"/>
        <v>12</v>
      </c>
    </row>
    <row r="4039" spans="1:22" x14ac:dyDescent="0.25">
      <c r="A4039" s="98" t="s">
        <v>29</v>
      </c>
      <c r="B4039" s="98" t="s">
        <v>17</v>
      </c>
      <c r="C4039" s="98">
        <v>89</v>
      </c>
      <c r="D4039" s="98">
        <v>3240</v>
      </c>
      <c r="E4039" s="157">
        <v>42222.304861111108</v>
      </c>
      <c r="F4039" s="157">
        <v>42222.338194444441</v>
      </c>
      <c r="G4039" s="98">
        <v>200</v>
      </c>
      <c r="H4039" s="98">
        <v>423</v>
      </c>
      <c r="I4039" s="98">
        <v>393</v>
      </c>
      <c r="J4039" s="98" t="s">
        <v>2163</v>
      </c>
      <c r="K4039" s="98" t="s">
        <v>3666</v>
      </c>
      <c r="L4039" s="105" t="str">
        <f t="shared" si="660"/>
        <v>Mill Creek</v>
      </c>
      <c r="M4039" s="105" t="str">
        <f t="shared" si="661"/>
        <v>Derate</v>
      </c>
      <c r="N4039" s="105" t="str">
        <f t="shared" si="662"/>
        <v>Coal</v>
      </c>
      <c r="O4039" s="105">
        <f>IFERROR(VLOOKUP(A4039,Lookup!$J$5:$P$19,7,FALSE),0)</f>
        <v>3</v>
      </c>
      <c r="P4039" s="159">
        <f t="shared" si="663"/>
        <v>2015</v>
      </c>
      <c r="Q4039" s="159">
        <f t="shared" si="664"/>
        <v>8</v>
      </c>
      <c r="R4039" s="160">
        <f t="shared" si="665"/>
        <v>0.79999999998835847</v>
      </c>
      <c r="S4039" s="158">
        <f t="shared" si="666"/>
        <v>0.42174940897731428</v>
      </c>
      <c r="T4039" s="161">
        <f t="shared" si="667"/>
        <v>165.74751772808452</v>
      </c>
      <c r="U4039" s="158">
        <f t="shared" si="669"/>
        <v>207.18439716312056</v>
      </c>
      <c r="V4039" s="160">
        <f t="shared" si="668"/>
        <v>207</v>
      </c>
    </row>
    <row r="4040" spans="1:22" x14ac:dyDescent="0.25">
      <c r="A4040" s="98" t="s">
        <v>29</v>
      </c>
      <c r="B4040" s="98" t="s">
        <v>17</v>
      </c>
      <c r="C4040" s="98">
        <v>90</v>
      </c>
      <c r="D4040" s="98">
        <v>3240</v>
      </c>
      <c r="E4040" s="157">
        <v>42222.338194444441</v>
      </c>
      <c r="F4040" s="157">
        <v>42222.392361111109</v>
      </c>
      <c r="G4040" s="98">
        <v>300</v>
      </c>
      <c r="H4040" s="98">
        <v>423</v>
      </c>
      <c r="I4040" s="98">
        <v>393</v>
      </c>
      <c r="J4040" s="98" t="s">
        <v>2163</v>
      </c>
      <c r="K4040" s="98" t="s">
        <v>3666</v>
      </c>
      <c r="L4040" s="105" t="str">
        <f t="shared" si="660"/>
        <v>Mill Creek</v>
      </c>
      <c r="M4040" s="105" t="str">
        <f t="shared" si="661"/>
        <v>Derate</v>
      </c>
      <c r="N4040" s="105" t="str">
        <f t="shared" si="662"/>
        <v>Coal</v>
      </c>
      <c r="O4040" s="105">
        <f>IFERROR(VLOOKUP(A4040,Lookup!$J$5:$P$19,7,FALSE),0)</f>
        <v>3</v>
      </c>
      <c r="P4040" s="159">
        <f t="shared" si="663"/>
        <v>2015</v>
      </c>
      <c r="Q4040" s="159">
        <f t="shared" si="664"/>
        <v>8</v>
      </c>
      <c r="R4040" s="160">
        <f t="shared" si="665"/>
        <v>1.3000000000465661</v>
      </c>
      <c r="S4040" s="158">
        <f t="shared" si="666"/>
        <v>0.37801418441070361</v>
      </c>
      <c r="T4040" s="161">
        <f t="shared" si="667"/>
        <v>148.55957447340651</v>
      </c>
      <c r="U4040" s="158">
        <f t="shared" si="669"/>
        <v>114.27659574468085</v>
      </c>
      <c r="V4040" s="160">
        <f t="shared" si="668"/>
        <v>114</v>
      </c>
    </row>
    <row r="4041" spans="1:22" x14ac:dyDescent="0.25">
      <c r="A4041" s="98" t="s">
        <v>29</v>
      </c>
      <c r="B4041" s="98" t="s">
        <v>17</v>
      </c>
      <c r="C4041" s="98">
        <v>91</v>
      </c>
      <c r="D4041" s="98">
        <v>3240</v>
      </c>
      <c r="E4041" s="157">
        <v>42222.392361111109</v>
      </c>
      <c r="F4041" s="157">
        <v>42222.614583333336</v>
      </c>
      <c r="G4041" s="98">
        <v>360</v>
      </c>
      <c r="H4041" s="98">
        <v>423</v>
      </c>
      <c r="I4041" s="98">
        <v>393</v>
      </c>
      <c r="J4041" s="98" t="s">
        <v>2163</v>
      </c>
      <c r="K4041" s="98" t="s">
        <v>3666</v>
      </c>
      <c r="L4041" s="105" t="str">
        <f t="shared" si="660"/>
        <v>Mill Creek</v>
      </c>
      <c r="M4041" s="105" t="str">
        <f t="shared" si="661"/>
        <v>Derate</v>
      </c>
      <c r="N4041" s="105" t="str">
        <f t="shared" si="662"/>
        <v>Coal</v>
      </c>
      <c r="O4041" s="105">
        <f>IFERROR(VLOOKUP(A4041,Lookup!$J$5:$P$19,7,FALSE),0)</f>
        <v>3</v>
      </c>
      <c r="P4041" s="159">
        <f t="shared" si="663"/>
        <v>2015</v>
      </c>
      <c r="Q4041" s="159">
        <f t="shared" si="664"/>
        <v>8</v>
      </c>
      <c r="R4041" s="160">
        <f t="shared" si="665"/>
        <v>5.3333333334303461</v>
      </c>
      <c r="S4041" s="158">
        <f t="shared" si="666"/>
        <v>0.79432624114920047</v>
      </c>
      <c r="T4041" s="161">
        <f t="shared" si="667"/>
        <v>312.17021277163576</v>
      </c>
      <c r="U4041" s="158">
        <f t="shared" si="669"/>
        <v>58.531914893617021</v>
      </c>
      <c r="V4041" s="160">
        <f t="shared" si="668"/>
        <v>59</v>
      </c>
    </row>
    <row r="4042" spans="1:22" x14ac:dyDescent="0.25">
      <c r="A4042" s="98" t="s">
        <v>29</v>
      </c>
      <c r="B4042" s="98" t="s">
        <v>17</v>
      </c>
      <c r="C4042" s="98">
        <v>92</v>
      </c>
      <c r="D4042" s="98">
        <v>3240</v>
      </c>
      <c r="E4042" s="157">
        <v>42222.614583333336</v>
      </c>
      <c r="F4042" s="157">
        <v>42223.790277777778</v>
      </c>
      <c r="G4042" s="98">
        <v>350</v>
      </c>
      <c r="H4042" s="98">
        <v>423</v>
      </c>
      <c r="I4042" s="98">
        <v>393</v>
      </c>
      <c r="J4042" s="98" t="s">
        <v>2163</v>
      </c>
      <c r="K4042" s="98" t="s">
        <v>3667</v>
      </c>
      <c r="L4042" s="105" t="str">
        <f t="shared" si="660"/>
        <v>Mill Creek</v>
      </c>
      <c r="M4042" s="105" t="str">
        <f t="shared" si="661"/>
        <v>Derate</v>
      </c>
      <c r="N4042" s="105" t="str">
        <f t="shared" si="662"/>
        <v>Coal</v>
      </c>
      <c r="O4042" s="105">
        <f>IFERROR(VLOOKUP(A4042,Lookup!$J$5:$P$19,7,FALSE),0)</f>
        <v>3</v>
      </c>
      <c r="P4042" s="159">
        <f t="shared" si="663"/>
        <v>2015</v>
      </c>
      <c r="Q4042" s="159">
        <f t="shared" si="664"/>
        <v>8</v>
      </c>
      <c r="R4042" s="160">
        <f t="shared" si="665"/>
        <v>28.21666666661622</v>
      </c>
      <c r="S4042" s="158">
        <f t="shared" si="666"/>
        <v>4.8695429471938159</v>
      </c>
      <c r="T4042" s="161">
        <f t="shared" si="667"/>
        <v>1913.7303782471697</v>
      </c>
      <c r="U4042" s="158">
        <f t="shared" si="669"/>
        <v>67.822695035460995</v>
      </c>
      <c r="V4042" s="160">
        <f t="shared" si="668"/>
        <v>68</v>
      </c>
    </row>
    <row r="4043" spans="1:22" x14ac:dyDescent="0.25">
      <c r="A4043" s="98" t="s">
        <v>29</v>
      </c>
      <c r="B4043" s="98" t="s">
        <v>17</v>
      </c>
      <c r="C4043" s="98">
        <v>93</v>
      </c>
      <c r="D4043" s="98">
        <v>3149</v>
      </c>
      <c r="E4043" s="157">
        <v>42226.818749999999</v>
      </c>
      <c r="F4043" s="157">
        <v>42226.998611111114</v>
      </c>
      <c r="G4043" s="98">
        <v>396</v>
      </c>
      <c r="H4043" s="98">
        <v>423</v>
      </c>
      <c r="I4043" s="98">
        <v>393</v>
      </c>
      <c r="J4043" s="98" t="s">
        <v>2034</v>
      </c>
      <c r="K4043" s="98" t="s">
        <v>3668</v>
      </c>
      <c r="L4043" s="105" t="str">
        <f t="shared" si="660"/>
        <v>Mill Creek</v>
      </c>
      <c r="M4043" s="105" t="str">
        <f t="shared" si="661"/>
        <v>Derate</v>
      </c>
      <c r="N4043" s="105" t="str">
        <f t="shared" si="662"/>
        <v>Coal</v>
      </c>
      <c r="O4043" s="105">
        <f>IFERROR(VLOOKUP(A4043,Lookup!$J$5:$P$19,7,FALSE),0)</f>
        <v>3</v>
      </c>
      <c r="P4043" s="159">
        <f t="shared" si="663"/>
        <v>2015</v>
      </c>
      <c r="Q4043" s="159">
        <f t="shared" si="664"/>
        <v>8</v>
      </c>
      <c r="R4043" s="160">
        <f t="shared" si="665"/>
        <v>4.3166666667675599</v>
      </c>
      <c r="S4043" s="158">
        <f t="shared" si="666"/>
        <v>0.27553191490005702</v>
      </c>
      <c r="T4043" s="161">
        <f t="shared" si="667"/>
        <v>108.28404255572241</v>
      </c>
      <c r="U4043" s="158">
        <f t="shared" si="669"/>
        <v>25.085106382978722</v>
      </c>
      <c r="V4043" s="160">
        <f t="shared" si="668"/>
        <v>25</v>
      </c>
    </row>
    <row r="4044" spans="1:22" x14ac:dyDescent="0.25">
      <c r="A4044" s="98" t="s">
        <v>29</v>
      </c>
      <c r="B4044" s="98" t="s">
        <v>17</v>
      </c>
      <c r="C4044" s="98">
        <v>94</v>
      </c>
      <c r="D4044" s="98">
        <v>3149</v>
      </c>
      <c r="E4044" s="157">
        <v>42227.504166666666</v>
      </c>
      <c r="F4044" s="157">
        <v>42227.572222222225</v>
      </c>
      <c r="G4044" s="98">
        <v>390</v>
      </c>
      <c r="H4044" s="98">
        <v>423</v>
      </c>
      <c r="I4044" s="98">
        <v>393</v>
      </c>
      <c r="J4044" s="98" t="s">
        <v>2034</v>
      </c>
      <c r="K4044" s="98" t="s">
        <v>3669</v>
      </c>
      <c r="L4044" s="105" t="str">
        <f t="shared" si="660"/>
        <v>Mill Creek</v>
      </c>
      <c r="M4044" s="105" t="str">
        <f t="shared" si="661"/>
        <v>Derate</v>
      </c>
      <c r="N4044" s="105" t="str">
        <f t="shared" si="662"/>
        <v>Coal</v>
      </c>
      <c r="O4044" s="105">
        <f>IFERROR(VLOOKUP(A4044,Lookup!$J$5:$P$19,7,FALSE),0)</f>
        <v>3</v>
      </c>
      <c r="P4044" s="159">
        <f t="shared" si="663"/>
        <v>2015</v>
      </c>
      <c r="Q4044" s="159">
        <f t="shared" si="664"/>
        <v>8</v>
      </c>
      <c r="R4044" s="160">
        <f t="shared" si="665"/>
        <v>1.6333333334187046</v>
      </c>
      <c r="S4044" s="158">
        <f t="shared" si="666"/>
        <v>0.12742316785535993</v>
      </c>
      <c r="T4044" s="161">
        <f t="shared" si="667"/>
        <v>50.077304967156451</v>
      </c>
      <c r="U4044" s="158">
        <f t="shared" si="669"/>
        <v>30.659574468085108</v>
      </c>
      <c r="V4044" s="160">
        <f t="shared" si="668"/>
        <v>31</v>
      </c>
    </row>
    <row r="4045" spans="1:22" x14ac:dyDescent="0.25">
      <c r="A4045" s="98" t="s">
        <v>29</v>
      </c>
      <c r="B4045" s="98" t="s">
        <v>79</v>
      </c>
      <c r="C4045" s="98">
        <v>95</v>
      </c>
      <c r="D4045" s="98">
        <v>3623</v>
      </c>
      <c r="E4045" s="157">
        <v>42228.5</v>
      </c>
      <c r="F4045" s="157">
        <v>42228.591666666667</v>
      </c>
      <c r="G4045" s="98">
        <v>0</v>
      </c>
      <c r="H4045" s="98">
        <v>423</v>
      </c>
      <c r="I4045" s="98">
        <v>393</v>
      </c>
      <c r="J4045" s="98" t="s">
        <v>3311</v>
      </c>
      <c r="K4045" s="98" t="s">
        <v>1350</v>
      </c>
      <c r="L4045" s="105" t="str">
        <f t="shared" si="660"/>
        <v>Mill Creek</v>
      </c>
      <c r="M4045" s="105" t="str">
        <f t="shared" si="661"/>
        <v>Other</v>
      </c>
      <c r="N4045" s="105" t="str">
        <f t="shared" si="662"/>
        <v>Coal</v>
      </c>
      <c r="O4045" s="105">
        <f>IFERROR(VLOOKUP(A4045,Lookup!$J$5:$P$19,7,FALSE),0)</f>
        <v>3</v>
      </c>
      <c r="P4045" s="159">
        <f t="shared" si="663"/>
        <v>2015</v>
      </c>
      <c r="Q4045" s="159">
        <f t="shared" si="664"/>
        <v>8</v>
      </c>
      <c r="R4045" s="160">
        <f t="shared" si="665"/>
        <v>2.2000000000116415</v>
      </c>
      <c r="S4045" s="158">
        <f t="shared" si="666"/>
        <v>2.2000000000116415</v>
      </c>
      <c r="T4045" s="161">
        <f t="shared" si="667"/>
        <v>864.60000000457512</v>
      </c>
      <c r="U4045" s="158">
        <f t="shared" si="669"/>
        <v>393</v>
      </c>
      <c r="V4045" s="160">
        <f t="shared" si="668"/>
        <v>393</v>
      </c>
    </row>
    <row r="4046" spans="1:22" x14ac:dyDescent="0.25">
      <c r="A4046" s="98" t="s">
        <v>29</v>
      </c>
      <c r="B4046" s="98" t="s">
        <v>105</v>
      </c>
      <c r="C4046" s="98">
        <v>96</v>
      </c>
      <c r="D4046" s="98">
        <v>3240</v>
      </c>
      <c r="E4046" s="157">
        <v>42229.875</v>
      </c>
      <c r="F4046" s="157">
        <v>42230.21597222222</v>
      </c>
      <c r="G4046" s="98">
        <v>180</v>
      </c>
      <c r="H4046" s="98">
        <v>423</v>
      </c>
      <c r="I4046" s="98">
        <v>393</v>
      </c>
      <c r="J4046" s="98" t="s">
        <v>2163</v>
      </c>
      <c r="K4046" s="98" t="s">
        <v>3670</v>
      </c>
      <c r="L4046" s="105" t="str">
        <f t="shared" si="660"/>
        <v>Mill Creek</v>
      </c>
      <c r="M4046" s="105" t="str">
        <f t="shared" si="661"/>
        <v>Derate</v>
      </c>
      <c r="N4046" s="105" t="str">
        <f t="shared" si="662"/>
        <v>Coal</v>
      </c>
      <c r="O4046" s="105">
        <f>IFERROR(VLOOKUP(A4046,Lookup!$J$5:$P$19,7,FALSE),0)</f>
        <v>3</v>
      </c>
      <c r="P4046" s="159">
        <f t="shared" si="663"/>
        <v>2015</v>
      </c>
      <c r="Q4046" s="159">
        <f t="shared" si="664"/>
        <v>8</v>
      </c>
      <c r="R4046" s="160">
        <f t="shared" si="665"/>
        <v>8.1833333332906477</v>
      </c>
      <c r="S4046" s="158">
        <f t="shared" si="666"/>
        <v>4.7010638297627123</v>
      </c>
      <c r="T4046" s="161">
        <f t="shared" si="667"/>
        <v>1847.5180850967458</v>
      </c>
      <c r="U4046" s="158">
        <f t="shared" si="669"/>
        <v>225.7659574468085</v>
      </c>
      <c r="V4046" s="160">
        <f t="shared" si="668"/>
        <v>226</v>
      </c>
    </row>
    <row r="4047" spans="1:22" x14ac:dyDescent="0.25">
      <c r="A4047" s="98" t="s">
        <v>29</v>
      </c>
      <c r="B4047" s="98" t="s">
        <v>17</v>
      </c>
      <c r="C4047" s="98">
        <v>97</v>
      </c>
      <c r="D4047" s="98">
        <v>3149</v>
      </c>
      <c r="E4047" s="157">
        <v>42235.59097222222</v>
      </c>
      <c r="F4047" s="157">
        <v>42235.661805555559</v>
      </c>
      <c r="G4047" s="98">
        <v>400</v>
      </c>
      <c r="H4047" s="98">
        <v>423</v>
      </c>
      <c r="I4047" s="98">
        <v>393</v>
      </c>
      <c r="J4047" s="98" t="s">
        <v>2034</v>
      </c>
      <c r="K4047" s="98" t="s">
        <v>3669</v>
      </c>
      <c r="L4047" s="105" t="str">
        <f t="shared" si="660"/>
        <v>Mill Creek</v>
      </c>
      <c r="M4047" s="105" t="str">
        <f t="shared" si="661"/>
        <v>Derate</v>
      </c>
      <c r="N4047" s="105" t="str">
        <f t="shared" si="662"/>
        <v>Coal</v>
      </c>
      <c r="O4047" s="105">
        <f>IFERROR(VLOOKUP(A4047,Lookup!$J$5:$P$19,7,FALSE),0)</f>
        <v>3</v>
      </c>
      <c r="P4047" s="159">
        <f t="shared" si="663"/>
        <v>2015</v>
      </c>
      <c r="Q4047" s="159">
        <f t="shared" si="664"/>
        <v>8</v>
      </c>
      <c r="R4047" s="160">
        <f t="shared" si="665"/>
        <v>1.7000000001280569</v>
      </c>
      <c r="S4047" s="158">
        <f t="shared" si="666"/>
        <v>9.2434988186631928E-2</v>
      </c>
      <c r="T4047" s="161">
        <f t="shared" si="667"/>
        <v>36.326950357346348</v>
      </c>
      <c r="U4047" s="158">
        <f t="shared" si="669"/>
        <v>21.368794326241133</v>
      </c>
      <c r="V4047" s="160">
        <f t="shared" si="668"/>
        <v>21</v>
      </c>
    </row>
    <row r="4048" spans="1:22" x14ac:dyDescent="0.25">
      <c r="A4048" s="98" t="s">
        <v>29</v>
      </c>
      <c r="B4048" s="98" t="s">
        <v>105</v>
      </c>
      <c r="C4048" s="98">
        <v>98</v>
      </c>
      <c r="D4048" s="98">
        <v>310</v>
      </c>
      <c r="E4048" s="157">
        <v>42235.958333333336</v>
      </c>
      <c r="F4048" s="157">
        <v>42236.250694444447</v>
      </c>
      <c r="G4048" s="98">
        <v>350</v>
      </c>
      <c r="H4048" s="98">
        <v>423</v>
      </c>
      <c r="I4048" s="98">
        <v>393</v>
      </c>
      <c r="J4048" s="98" t="s">
        <v>1966</v>
      </c>
      <c r="K4048" s="98" t="s">
        <v>3671</v>
      </c>
      <c r="L4048" s="105" t="str">
        <f t="shared" si="660"/>
        <v>Mill Creek</v>
      </c>
      <c r="M4048" s="105" t="str">
        <f t="shared" si="661"/>
        <v>Derate</v>
      </c>
      <c r="N4048" s="105" t="str">
        <f t="shared" si="662"/>
        <v>Coal</v>
      </c>
      <c r="O4048" s="105">
        <f>IFERROR(VLOOKUP(A4048,Lookup!$J$5:$P$19,7,FALSE),0)</f>
        <v>3</v>
      </c>
      <c r="P4048" s="159">
        <f t="shared" si="663"/>
        <v>2015</v>
      </c>
      <c r="Q4048" s="159">
        <f t="shared" si="664"/>
        <v>8</v>
      </c>
      <c r="R4048" s="160">
        <f t="shared" si="665"/>
        <v>7.0166666666627862</v>
      </c>
      <c r="S4048" s="158">
        <f t="shared" si="666"/>
        <v>1.2109141055942869</v>
      </c>
      <c r="T4048" s="161">
        <f t="shared" si="667"/>
        <v>475.88924349855478</v>
      </c>
      <c r="U4048" s="158">
        <f t="shared" si="669"/>
        <v>67.822695035460995</v>
      </c>
      <c r="V4048" s="160">
        <f t="shared" si="668"/>
        <v>68</v>
      </c>
    </row>
    <row r="4049" spans="1:22" x14ac:dyDescent="0.25">
      <c r="A4049" s="98" t="s">
        <v>29</v>
      </c>
      <c r="B4049" s="98" t="s">
        <v>105</v>
      </c>
      <c r="C4049" s="98">
        <v>99</v>
      </c>
      <c r="D4049" s="98">
        <v>3240</v>
      </c>
      <c r="E4049" s="157">
        <v>42238</v>
      </c>
      <c r="F4049" s="157">
        <v>42238.21597222222</v>
      </c>
      <c r="G4049" s="98">
        <v>200</v>
      </c>
      <c r="H4049" s="98">
        <v>423</v>
      </c>
      <c r="I4049" s="98">
        <v>393</v>
      </c>
      <c r="J4049" s="98" t="s">
        <v>2163</v>
      </c>
      <c r="K4049" s="98" t="s">
        <v>3672</v>
      </c>
      <c r="L4049" s="105" t="str">
        <f t="shared" si="660"/>
        <v>Mill Creek</v>
      </c>
      <c r="M4049" s="105" t="str">
        <f t="shared" si="661"/>
        <v>Derate</v>
      </c>
      <c r="N4049" s="105" t="str">
        <f t="shared" si="662"/>
        <v>Coal</v>
      </c>
      <c r="O4049" s="105">
        <f>IFERROR(VLOOKUP(A4049,Lookup!$J$5:$P$19,7,FALSE),0)</f>
        <v>3</v>
      </c>
      <c r="P4049" s="159">
        <f t="shared" si="663"/>
        <v>2015</v>
      </c>
      <c r="Q4049" s="159">
        <f t="shared" si="664"/>
        <v>8</v>
      </c>
      <c r="R4049" s="160">
        <f t="shared" si="665"/>
        <v>5.1833333332906477</v>
      </c>
      <c r="S4049" s="158">
        <f t="shared" si="666"/>
        <v>2.7325847123494431</v>
      </c>
      <c r="T4049" s="161">
        <f t="shared" si="667"/>
        <v>1073.9057919533311</v>
      </c>
      <c r="U4049" s="158">
        <f t="shared" si="669"/>
        <v>207.18439716312056</v>
      </c>
      <c r="V4049" s="160">
        <f t="shared" si="668"/>
        <v>207</v>
      </c>
    </row>
    <row r="4050" spans="1:22" x14ac:dyDescent="0.25">
      <c r="A4050" s="98" t="s">
        <v>29</v>
      </c>
      <c r="B4050" s="98" t="s">
        <v>105</v>
      </c>
      <c r="C4050" s="98">
        <v>100</v>
      </c>
      <c r="D4050" s="98">
        <v>250</v>
      </c>
      <c r="E4050" s="157">
        <v>42240.916666666664</v>
      </c>
      <c r="F4050" s="157">
        <v>42241.1875</v>
      </c>
      <c r="G4050" s="98">
        <v>325</v>
      </c>
      <c r="H4050" s="98">
        <v>423</v>
      </c>
      <c r="I4050" s="98">
        <v>393</v>
      </c>
      <c r="J4050" s="98" t="s">
        <v>1978</v>
      </c>
      <c r="K4050" s="98" t="s">
        <v>3673</v>
      </c>
      <c r="L4050" s="105" t="str">
        <f t="shared" si="660"/>
        <v>Mill Creek</v>
      </c>
      <c r="M4050" s="105" t="str">
        <f t="shared" si="661"/>
        <v>Derate</v>
      </c>
      <c r="N4050" s="105" t="str">
        <f t="shared" si="662"/>
        <v>Coal</v>
      </c>
      <c r="O4050" s="105">
        <f>IFERROR(VLOOKUP(A4050,Lookup!$J$5:$P$19,7,FALSE),0)</f>
        <v>3</v>
      </c>
      <c r="P4050" s="159">
        <f t="shared" si="663"/>
        <v>2015</v>
      </c>
      <c r="Q4050" s="159">
        <f t="shared" si="664"/>
        <v>8</v>
      </c>
      <c r="R4050" s="160">
        <f t="shared" si="665"/>
        <v>6.5000000000582077</v>
      </c>
      <c r="S4050" s="158">
        <f t="shared" si="666"/>
        <v>1.5059101654981191</v>
      </c>
      <c r="T4050" s="161">
        <f t="shared" si="667"/>
        <v>591.82269504076078</v>
      </c>
      <c r="U4050" s="158">
        <f t="shared" si="669"/>
        <v>91.049645390070921</v>
      </c>
      <c r="V4050" s="160">
        <f t="shared" si="668"/>
        <v>91</v>
      </c>
    </row>
    <row r="4051" spans="1:22" x14ac:dyDescent="0.25">
      <c r="A4051" s="98" t="s">
        <v>29</v>
      </c>
      <c r="B4051" s="98" t="s">
        <v>105</v>
      </c>
      <c r="C4051" s="98">
        <v>101</v>
      </c>
      <c r="D4051" s="98">
        <v>3240</v>
      </c>
      <c r="E4051" s="157">
        <v>42241.833333333336</v>
      </c>
      <c r="F4051" s="157">
        <v>42242.142361111109</v>
      </c>
      <c r="G4051" s="98">
        <v>300</v>
      </c>
      <c r="H4051" s="98">
        <v>423</v>
      </c>
      <c r="I4051" s="98">
        <v>393</v>
      </c>
      <c r="J4051" s="98" t="s">
        <v>2163</v>
      </c>
      <c r="K4051" s="98" t="s">
        <v>3674</v>
      </c>
      <c r="L4051" s="105" t="str">
        <f t="shared" si="660"/>
        <v>Mill Creek</v>
      </c>
      <c r="M4051" s="105" t="str">
        <f t="shared" si="661"/>
        <v>Derate</v>
      </c>
      <c r="N4051" s="105" t="str">
        <f t="shared" si="662"/>
        <v>Coal</v>
      </c>
      <c r="O4051" s="105">
        <f>IFERROR(VLOOKUP(A4051,Lookup!$J$5:$P$19,7,FALSE),0)</f>
        <v>3</v>
      </c>
      <c r="P4051" s="159">
        <f t="shared" si="663"/>
        <v>2015</v>
      </c>
      <c r="Q4051" s="159">
        <f t="shared" si="664"/>
        <v>8</v>
      </c>
      <c r="R4051" s="160">
        <f t="shared" si="665"/>
        <v>7.4166666665696539</v>
      </c>
      <c r="S4051" s="158">
        <f t="shared" si="666"/>
        <v>2.1566193853145803</v>
      </c>
      <c r="T4051" s="161">
        <f t="shared" si="667"/>
        <v>847.55141842863009</v>
      </c>
      <c r="U4051" s="158">
        <f t="shared" si="669"/>
        <v>114.27659574468085</v>
      </c>
      <c r="V4051" s="160">
        <f t="shared" si="668"/>
        <v>114</v>
      </c>
    </row>
    <row r="4052" spans="1:22" x14ac:dyDescent="0.25">
      <c r="A4052" s="98" t="s">
        <v>29</v>
      </c>
      <c r="B4052" s="98" t="s">
        <v>17</v>
      </c>
      <c r="C4052" s="98">
        <v>102</v>
      </c>
      <c r="D4052" s="98">
        <v>360</v>
      </c>
      <c r="E4052" s="157">
        <v>42244.492361111108</v>
      </c>
      <c r="F4052" s="157">
        <v>42244.570833333331</v>
      </c>
      <c r="G4052" s="98">
        <v>325</v>
      </c>
      <c r="H4052" s="98">
        <v>423</v>
      </c>
      <c r="I4052" s="98">
        <v>393</v>
      </c>
      <c r="J4052" s="98" t="s">
        <v>229</v>
      </c>
      <c r="K4052" s="98" t="s">
        <v>3675</v>
      </c>
      <c r="L4052" s="105" t="str">
        <f t="shared" si="660"/>
        <v>Mill Creek</v>
      </c>
      <c r="M4052" s="105" t="str">
        <f t="shared" si="661"/>
        <v>Derate</v>
      </c>
      <c r="N4052" s="105" t="str">
        <f t="shared" si="662"/>
        <v>Coal</v>
      </c>
      <c r="O4052" s="105">
        <f>IFERROR(VLOOKUP(A4052,Lookup!$J$5:$P$19,7,FALSE),0)</f>
        <v>3</v>
      </c>
      <c r="P4052" s="159">
        <f t="shared" si="663"/>
        <v>2015</v>
      </c>
      <c r="Q4052" s="159">
        <f t="shared" si="664"/>
        <v>8</v>
      </c>
      <c r="R4052" s="160">
        <f t="shared" si="665"/>
        <v>1.8833333333604969</v>
      </c>
      <c r="S4052" s="158">
        <f t="shared" si="666"/>
        <v>0.43632781718517422</v>
      </c>
      <c r="T4052" s="161">
        <f t="shared" si="667"/>
        <v>171.47683215377347</v>
      </c>
      <c r="U4052" s="158">
        <f t="shared" si="669"/>
        <v>91.049645390070921</v>
      </c>
      <c r="V4052" s="160">
        <f t="shared" si="668"/>
        <v>91</v>
      </c>
    </row>
    <row r="4053" spans="1:22" x14ac:dyDescent="0.25">
      <c r="A4053" s="98" t="s">
        <v>29</v>
      </c>
      <c r="B4053" s="98" t="s">
        <v>15</v>
      </c>
      <c r="C4053" s="98">
        <v>103</v>
      </c>
      <c r="D4053" s="98">
        <v>3412</v>
      </c>
      <c r="E4053" s="157">
        <v>42247.182638888888</v>
      </c>
      <c r="F4053" s="157">
        <v>42247.240277777775</v>
      </c>
      <c r="G4053" s="98">
        <v>0</v>
      </c>
      <c r="H4053" s="98">
        <v>423</v>
      </c>
      <c r="I4053" s="98">
        <v>393</v>
      </c>
      <c r="J4053" s="98" t="s">
        <v>2162</v>
      </c>
      <c r="K4053" s="98" t="s">
        <v>3676</v>
      </c>
      <c r="L4053" s="105" t="str">
        <f t="shared" si="660"/>
        <v>Mill Creek</v>
      </c>
      <c r="M4053" s="105" t="str">
        <f t="shared" si="661"/>
        <v>Outage</v>
      </c>
      <c r="N4053" s="105" t="str">
        <f t="shared" si="662"/>
        <v>Coal</v>
      </c>
      <c r="O4053" s="105">
        <f>IFERROR(VLOOKUP(A4053,Lookup!$J$5:$P$19,7,FALSE),0)</f>
        <v>3</v>
      </c>
      <c r="P4053" s="159">
        <f t="shared" si="663"/>
        <v>2015</v>
      </c>
      <c r="Q4053" s="159">
        <f t="shared" si="664"/>
        <v>8</v>
      </c>
      <c r="R4053" s="160">
        <f t="shared" si="665"/>
        <v>1.3833333333022892</v>
      </c>
      <c r="S4053" s="158">
        <f t="shared" si="666"/>
        <v>1.3833333333022892</v>
      </c>
      <c r="T4053" s="161">
        <f t="shared" si="667"/>
        <v>543.64999998779967</v>
      </c>
      <c r="U4053" s="158">
        <f t="shared" si="669"/>
        <v>393</v>
      </c>
      <c r="V4053" s="160">
        <f t="shared" si="668"/>
        <v>393</v>
      </c>
    </row>
    <row r="4054" spans="1:22" x14ac:dyDescent="0.25">
      <c r="A4054" s="98" t="s">
        <v>29</v>
      </c>
      <c r="B4054" s="98" t="s">
        <v>79</v>
      </c>
      <c r="C4054" s="98">
        <v>104</v>
      </c>
      <c r="D4054" s="98">
        <v>1850</v>
      </c>
      <c r="E4054" s="157">
        <v>42247.240277777775</v>
      </c>
      <c r="F4054" s="157">
        <v>42247.589583333334</v>
      </c>
      <c r="G4054" s="98">
        <v>0</v>
      </c>
      <c r="H4054" s="98">
        <v>423</v>
      </c>
      <c r="I4054" s="98">
        <v>393</v>
      </c>
      <c r="J4054" s="98" t="s">
        <v>2263</v>
      </c>
      <c r="K4054" s="98" t="s">
        <v>87</v>
      </c>
      <c r="L4054" s="105" t="str">
        <f t="shared" si="660"/>
        <v>Mill Creek</v>
      </c>
      <c r="M4054" s="105" t="str">
        <f t="shared" si="661"/>
        <v>Other</v>
      </c>
      <c r="N4054" s="105" t="str">
        <f t="shared" si="662"/>
        <v>Coal</v>
      </c>
      <c r="O4054" s="105">
        <f>IFERROR(VLOOKUP(A4054,Lookup!$J$5:$P$19,7,FALSE),0)</f>
        <v>3</v>
      </c>
      <c r="P4054" s="159">
        <f t="shared" si="663"/>
        <v>2015</v>
      </c>
      <c r="Q4054" s="159">
        <f t="shared" si="664"/>
        <v>8</v>
      </c>
      <c r="R4054" s="160">
        <f t="shared" si="665"/>
        <v>8.3833333334187046</v>
      </c>
      <c r="S4054" s="158">
        <f t="shared" si="666"/>
        <v>8.3833333334187046</v>
      </c>
      <c r="T4054" s="161">
        <f t="shared" si="667"/>
        <v>3294.6500000335509</v>
      </c>
      <c r="U4054" s="158">
        <f t="shared" si="669"/>
        <v>393</v>
      </c>
      <c r="V4054" s="160">
        <f t="shared" si="668"/>
        <v>393</v>
      </c>
    </row>
    <row r="4055" spans="1:22" x14ac:dyDescent="0.25">
      <c r="A4055" s="98" t="s">
        <v>29</v>
      </c>
      <c r="B4055" s="98" t="s">
        <v>17</v>
      </c>
      <c r="C4055" s="98">
        <v>105</v>
      </c>
      <c r="D4055" s="98">
        <v>310</v>
      </c>
      <c r="E4055" s="157">
        <v>42263.682638888888</v>
      </c>
      <c r="F4055" s="157">
        <v>42264.702777777777</v>
      </c>
      <c r="G4055" s="98">
        <v>340</v>
      </c>
      <c r="H4055" s="98">
        <v>423</v>
      </c>
      <c r="I4055" s="98">
        <v>393</v>
      </c>
      <c r="J4055" s="98" t="s">
        <v>1966</v>
      </c>
      <c r="K4055" s="98" t="s">
        <v>3677</v>
      </c>
      <c r="L4055" s="105" t="str">
        <f t="shared" si="660"/>
        <v>Mill Creek</v>
      </c>
      <c r="M4055" s="105" t="str">
        <f t="shared" si="661"/>
        <v>Derate</v>
      </c>
      <c r="N4055" s="105" t="str">
        <f t="shared" si="662"/>
        <v>Coal</v>
      </c>
      <c r="O4055" s="105">
        <f>IFERROR(VLOOKUP(A4055,Lookup!$J$5:$P$19,7,FALSE),0)</f>
        <v>3</v>
      </c>
      <c r="P4055" s="159">
        <f t="shared" si="663"/>
        <v>2015</v>
      </c>
      <c r="Q4055" s="159">
        <f t="shared" si="664"/>
        <v>9</v>
      </c>
      <c r="R4055" s="160">
        <f t="shared" si="665"/>
        <v>24.483333333337214</v>
      </c>
      <c r="S4055" s="158">
        <f t="shared" si="666"/>
        <v>4.8040583136335435</v>
      </c>
      <c r="T4055" s="161">
        <f t="shared" si="667"/>
        <v>1887.9949172579827</v>
      </c>
      <c r="U4055" s="158">
        <f t="shared" si="669"/>
        <v>77.113475177304963</v>
      </c>
      <c r="V4055" s="160">
        <f t="shared" si="668"/>
        <v>77</v>
      </c>
    </row>
    <row r="4056" spans="1:22" x14ac:dyDescent="0.25">
      <c r="A4056" s="98" t="s">
        <v>29</v>
      </c>
      <c r="B4056" s="98" t="s">
        <v>20</v>
      </c>
      <c r="C4056" s="98">
        <v>106</v>
      </c>
      <c r="D4056" s="98">
        <v>1050</v>
      </c>
      <c r="E4056" s="157">
        <v>42265.787499999999</v>
      </c>
      <c r="F4056" s="157">
        <v>42270.340277777781</v>
      </c>
      <c r="G4056" s="98">
        <v>0</v>
      </c>
      <c r="H4056" s="98">
        <v>423</v>
      </c>
      <c r="I4056" s="98">
        <v>393</v>
      </c>
      <c r="J4056" s="98" t="s">
        <v>2112</v>
      </c>
      <c r="K4056" s="98" t="s">
        <v>3678</v>
      </c>
      <c r="L4056" s="105" t="str">
        <f t="shared" si="660"/>
        <v>Mill Creek</v>
      </c>
      <c r="M4056" s="105" t="str">
        <f t="shared" si="661"/>
        <v>Maintenance</v>
      </c>
      <c r="N4056" s="105" t="str">
        <f t="shared" si="662"/>
        <v>Coal</v>
      </c>
      <c r="O4056" s="105">
        <f>IFERROR(VLOOKUP(A4056,Lookup!$J$5:$P$19,7,FALSE),0)</f>
        <v>3</v>
      </c>
      <c r="P4056" s="159">
        <f t="shared" si="663"/>
        <v>2015</v>
      </c>
      <c r="Q4056" s="159">
        <f t="shared" si="664"/>
        <v>9</v>
      </c>
      <c r="R4056" s="160">
        <f t="shared" si="665"/>
        <v>109.2666666667792</v>
      </c>
      <c r="S4056" s="158">
        <f t="shared" si="666"/>
        <v>109.2666666667792</v>
      </c>
      <c r="T4056" s="161">
        <f t="shared" si="667"/>
        <v>42941.800000044226</v>
      </c>
      <c r="U4056" s="158">
        <f t="shared" si="669"/>
        <v>393</v>
      </c>
      <c r="V4056" s="160">
        <f t="shared" si="668"/>
        <v>393</v>
      </c>
    </row>
    <row r="4057" spans="1:22" x14ac:dyDescent="0.25">
      <c r="A4057" s="98" t="s">
        <v>29</v>
      </c>
      <c r="B4057" s="98" t="s">
        <v>79</v>
      </c>
      <c r="C4057" s="98">
        <v>107</v>
      </c>
      <c r="D4057" s="98">
        <v>1850</v>
      </c>
      <c r="E4057" s="157">
        <v>42270.340277777781</v>
      </c>
      <c r="F4057" s="157">
        <v>42271.063194444447</v>
      </c>
      <c r="G4057" s="98">
        <v>0</v>
      </c>
      <c r="H4057" s="98">
        <v>423</v>
      </c>
      <c r="I4057" s="98">
        <v>393</v>
      </c>
      <c r="J4057" s="98" t="s">
        <v>2263</v>
      </c>
      <c r="K4057" s="98" t="s">
        <v>88</v>
      </c>
      <c r="L4057" s="105" t="str">
        <f t="shared" si="660"/>
        <v>Mill Creek</v>
      </c>
      <c r="M4057" s="105" t="str">
        <f t="shared" si="661"/>
        <v>Other</v>
      </c>
      <c r="N4057" s="105" t="str">
        <f t="shared" si="662"/>
        <v>Coal</v>
      </c>
      <c r="O4057" s="105">
        <f>IFERROR(VLOOKUP(A4057,Lookup!$J$5:$P$19,7,FALSE),0)</f>
        <v>3</v>
      </c>
      <c r="P4057" s="159">
        <f t="shared" si="663"/>
        <v>2015</v>
      </c>
      <c r="Q4057" s="159">
        <f t="shared" si="664"/>
        <v>9</v>
      </c>
      <c r="R4057" s="160">
        <f t="shared" si="665"/>
        <v>17.349999999976717</v>
      </c>
      <c r="S4057" s="158">
        <f t="shared" si="666"/>
        <v>17.349999999976717</v>
      </c>
      <c r="T4057" s="161">
        <f t="shared" si="667"/>
        <v>6818.5499999908498</v>
      </c>
      <c r="U4057" s="158">
        <f t="shared" si="669"/>
        <v>393</v>
      </c>
      <c r="V4057" s="160">
        <f t="shared" si="668"/>
        <v>393</v>
      </c>
    </row>
    <row r="4058" spans="1:22" x14ac:dyDescent="0.25">
      <c r="A4058" s="98" t="s">
        <v>29</v>
      </c>
      <c r="B4058" s="98" t="s">
        <v>79</v>
      </c>
      <c r="C4058" s="98">
        <v>108</v>
      </c>
      <c r="D4058" s="98">
        <v>8700</v>
      </c>
      <c r="E4058" s="157">
        <v>42276.166666666664</v>
      </c>
      <c r="F4058" s="157">
        <v>42276.319444444445</v>
      </c>
      <c r="G4058" s="98">
        <v>0</v>
      </c>
      <c r="H4058" s="98">
        <v>423</v>
      </c>
      <c r="I4058" s="98">
        <v>393</v>
      </c>
      <c r="J4058" s="98" t="s">
        <v>1987</v>
      </c>
      <c r="K4058" s="98" t="s">
        <v>3679</v>
      </c>
      <c r="L4058" s="105" t="str">
        <f t="shared" si="660"/>
        <v>Mill Creek</v>
      </c>
      <c r="M4058" s="105" t="str">
        <f t="shared" si="661"/>
        <v>Other</v>
      </c>
      <c r="N4058" s="105" t="str">
        <f t="shared" si="662"/>
        <v>Coal</v>
      </c>
      <c r="O4058" s="105">
        <f>IFERROR(VLOOKUP(A4058,Lookup!$J$5:$P$19,7,FALSE),0)</f>
        <v>3</v>
      </c>
      <c r="P4058" s="159">
        <f t="shared" si="663"/>
        <v>2015</v>
      </c>
      <c r="Q4058" s="159">
        <f t="shared" si="664"/>
        <v>9</v>
      </c>
      <c r="R4058" s="160">
        <f t="shared" si="665"/>
        <v>3.6666666667442769</v>
      </c>
      <c r="S4058" s="158">
        <f t="shared" si="666"/>
        <v>3.6666666667442769</v>
      </c>
      <c r="T4058" s="161">
        <f t="shared" si="667"/>
        <v>1441.0000000305008</v>
      </c>
      <c r="U4058" s="158">
        <f t="shared" si="669"/>
        <v>393</v>
      </c>
      <c r="V4058" s="160">
        <f t="shared" si="668"/>
        <v>393</v>
      </c>
    </row>
    <row r="4059" spans="1:22" x14ac:dyDescent="0.25">
      <c r="A4059" s="98" t="s">
        <v>29</v>
      </c>
      <c r="B4059" s="98" t="s">
        <v>79</v>
      </c>
      <c r="C4059" s="98">
        <v>109</v>
      </c>
      <c r="D4059" s="98">
        <v>8700</v>
      </c>
      <c r="E4059" s="157">
        <v>42276.319444444445</v>
      </c>
      <c r="F4059" s="157">
        <v>42276.590277777781</v>
      </c>
      <c r="G4059" s="98">
        <v>0</v>
      </c>
      <c r="H4059" s="98">
        <v>423</v>
      </c>
      <c r="I4059" s="98">
        <v>393</v>
      </c>
      <c r="J4059" s="98" t="s">
        <v>1987</v>
      </c>
      <c r="K4059" s="98" t="s">
        <v>3680</v>
      </c>
      <c r="L4059" s="105" t="str">
        <f t="shared" si="660"/>
        <v>Mill Creek</v>
      </c>
      <c r="M4059" s="105" t="str">
        <f t="shared" si="661"/>
        <v>Other</v>
      </c>
      <c r="N4059" s="105" t="str">
        <f t="shared" si="662"/>
        <v>Coal</v>
      </c>
      <c r="O4059" s="105">
        <f>IFERROR(VLOOKUP(A4059,Lookup!$J$5:$P$19,7,FALSE),0)</f>
        <v>3</v>
      </c>
      <c r="P4059" s="159">
        <f t="shared" si="663"/>
        <v>2015</v>
      </c>
      <c r="Q4059" s="159">
        <f t="shared" si="664"/>
        <v>9</v>
      </c>
      <c r="R4059" s="160">
        <f t="shared" si="665"/>
        <v>6.5000000000582077</v>
      </c>
      <c r="S4059" s="158">
        <f t="shared" si="666"/>
        <v>6.5000000000582077</v>
      </c>
      <c r="T4059" s="161">
        <f t="shared" si="667"/>
        <v>2554.5000000228756</v>
      </c>
      <c r="U4059" s="158">
        <f t="shared" si="669"/>
        <v>393</v>
      </c>
      <c r="V4059" s="160">
        <f t="shared" si="668"/>
        <v>393</v>
      </c>
    </row>
    <row r="4060" spans="1:22" x14ac:dyDescent="0.25">
      <c r="A4060" s="98" t="s">
        <v>29</v>
      </c>
      <c r="B4060" s="98" t="s">
        <v>79</v>
      </c>
      <c r="C4060" s="98">
        <v>110</v>
      </c>
      <c r="D4060" s="98">
        <v>8700</v>
      </c>
      <c r="E4060" s="157">
        <v>42277.293749999997</v>
      </c>
      <c r="F4060" s="157">
        <v>42277.527083333334</v>
      </c>
      <c r="G4060" s="98">
        <v>0</v>
      </c>
      <c r="H4060" s="98">
        <v>423</v>
      </c>
      <c r="I4060" s="98">
        <v>393</v>
      </c>
      <c r="J4060" s="98" t="s">
        <v>1987</v>
      </c>
      <c r="K4060" s="98" t="s">
        <v>3680</v>
      </c>
      <c r="L4060" s="105" t="str">
        <f t="shared" si="660"/>
        <v>Mill Creek</v>
      </c>
      <c r="M4060" s="105" t="str">
        <f t="shared" si="661"/>
        <v>Other</v>
      </c>
      <c r="N4060" s="105" t="str">
        <f t="shared" si="662"/>
        <v>Coal</v>
      </c>
      <c r="O4060" s="105">
        <f>IFERROR(VLOOKUP(A4060,Lookup!$J$5:$P$19,7,FALSE),0)</f>
        <v>3</v>
      </c>
      <c r="P4060" s="159">
        <f t="shared" si="663"/>
        <v>2015</v>
      </c>
      <c r="Q4060" s="159">
        <f t="shared" si="664"/>
        <v>9</v>
      </c>
      <c r="R4060" s="160">
        <f t="shared" si="665"/>
        <v>5.6000000000931323</v>
      </c>
      <c r="S4060" s="158">
        <f t="shared" si="666"/>
        <v>5.6000000000931323</v>
      </c>
      <c r="T4060" s="161">
        <f t="shared" si="667"/>
        <v>2200.800000036601</v>
      </c>
      <c r="U4060" s="158">
        <f t="shared" si="669"/>
        <v>393</v>
      </c>
      <c r="V4060" s="160">
        <f t="shared" si="668"/>
        <v>393</v>
      </c>
    </row>
    <row r="4061" spans="1:22" x14ac:dyDescent="0.25">
      <c r="A4061" s="98" t="s">
        <v>29</v>
      </c>
      <c r="B4061" s="98" t="s">
        <v>17</v>
      </c>
      <c r="C4061" s="98">
        <v>111</v>
      </c>
      <c r="D4061" s="98">
        <v>250</v>
      </c>
      <c r="E4061" s="157">
        <v>42282.29583333333</v>
      </c>
      <c r="F4061" s="157">
        <v>42282.373611111114</v>
      </c>
      <c r="G4061" s="98">
        <v>330</v>
      </c>
      <c r="H4061" s="98">
        <v>423</v>
      </c>
      <c r="I4061" s="98">
        <v>393</v>
      </c>
      <c r="J4061" s="98" t="s">
        <v>1978</v>
      </c>
      <c r="K4061" s="98" t="s">
        <v>3681</v>
      </c>
      <c r="L4061" s="105" t="str">
        <f t="shared" si="660"/>
        <v>Mill Creek</v>
      </c>
      <c r="M4061" s="105" t="str">
        <f t="shared" si="661"/>
        <v>Derate</v>
      </c>
      <c r="N4061" s="105" t="str">
        <f t="shared" si="662"/>
        <v>Coal</v>
      </c>
      <c r="O4061" s="105">
        <f>IFERROR(VLOOKUP(A4061,Lookup!$J$5:$P$19,7,FALSE),0)</f>
        <v>3</v>
      </c>
      <c r="P4061" s="159">
        <f t="shared" si="663"/>
        <v>2015</v>
      </c>
      <c r="Q4061" s="159">
        <f t="shared" si="664"/>
        <v>10</v>
      </c>
      <c r="R4061" s="160">
        <f t="shared" si="665"/>
        <v>1.8666666668141261</v>
      </c>
      <c r="S4061" s="158">
        <f t="shared" si="666"/>
        <v>0.41040189128537524</v>
      </c>
      <c r="T4061" s="161">
        <f t="shared" si="667"/>
        <v>161.28794327515246</v>
      </c>
      <c r="U4061" s="158">
        <f t="shared" si="669"/>
        <v>86.40425531914893</v>
      </c>
      <c r="V4061" s="160">
        <f t="shared" si="668"/>
        <v>86</v>
      </c>
    </row>
    <row r="4062" spans="1:22" x14ac:dyDescent="0.25">
      <c r="A4062" s="98" t="s">
        <v>29</v>
      </c>
      <c r="B4062" s="98" t="s">
        <v>105</v>
      </c>
      <c r="C4062" s="98">
        <v>112</v>
      </c>
      <c r="D4062" s="98">
        <v>100</v>
      </c>
      <c r="E4062" s="157">
        <v>42282.916666666664</v>
      </c>
      <c r="F4062" s="157">
        <v>42283.087500000001</v>
      </c>
      <c r="G4062" s="98">
        <v>325</v>
      </c>
      <c r="H4062" s="98">
        <v>423</v>
      </c>
      <c r="I4062" s="98">
        <v>393</v>
      </c>
      <c r="J4062" s="98" t="s">
        <v>2283</v>
      </c>
      <c r="K4062" s="98" t="s">
        <v>3682</v>
      </c>
      <c r="L4062" s="105" t="str">
        <f t="shared" si="660"/>
        <v>Mill Creek</v>
      </c>
      <c r="M4062" s="105" t="str">
        <f t="shared" si="661"/>
        <v>Derate</v>
      </c>
      <c r="N4062" s="105" t="str">
        <f t="shared" si="662"/>
        <v>Coal</v>
      </c>
      <c r="O4062" s="105">
        <f>IFERROR(VLOOKUP(A4062,Lookup!$J$5:$P$19,7,FALSE),0)</f>
        <v>3</v>
      </c>
      <c r="P4062" s="159">
        <f t="shared" si="663"/>
        <v>2015</v>
      </c>
      <c r="Q4062" s="159">
        <f t="shared" si="664"/>
        <v>10</v>
      </c>
      <c r="R4062" s="160">
        <f t="shared" si="665"/>
        <v>4.1000000000931323</v>
      </c>
      <c r="S4062" s="158">
        <f t="shared" si="666"/>
        <v>0.94988179671188411</v>
      </c>
      <c r="T4062" s="161">
        <f t="shared" si="667"/>
        <v>373.30354610777044</v>
      </c>
      <c r="U4062" s="158">
        <f t="shared" si="669"/>
        <v>91.049645390070921</v>
      </c>
      <c r="V4062" s="160">
        <f t="shared" si="668"/>
        <v>91</v>
      </c>
    </row>
    <row r="4063" spans="1:22" x14ac:dyDescent="0.25">
      <c r="A4063" s="98" t="s">
        <v>29</v>
      </c>
      <c r="B4063" s="98" t="s">
        <v>105</v>
      </c>
      <c r="C4063" s="98">
        <v>113</v>
      </c>
      <c r="D4063" s="98">
        <v>250</v>
      </c>
      <c r="E4063" s="157">
        <v>42284.486111111109</v>
      </c>
      <c r="F4063" s="157">
        <v>42284.71597222222</v>
      </c>
      <c r="G4063" s="98">
        <v>340</v>
      </c>
      <c r="H4063" s="98">
        <v>423</v>
      </c>
      <c r="I4063" s="98">
        <v>393</v>
      </c>
      <c r="J4063" s="98" t="s">
        <v>1978</v>
      </c>
      <c r="K4063" s="98" t="s">
        <v>3683</v>
      </c>
      <c r="L4063" s="105" t="str">
        <f t="shared" si="660"/>
        <v>Mill Creek</v>
      </c>
      <c r="M4063" s="105" t="str">
        <f t="shared" si="661"/>
        <v>Derate</v>
      </c>
      <c r="N4063" s="105" t="str">
        <f t="shared" si="662"/>
        <v>Coal</v>
      </c>
      <c r="O4063" s="105">
        <f>IFERROR(VLOOKUP(A4063,Lookup!$J$5:$P$19,7,FALSE),0)</f>
        <v>3</v>
      </c>
      <c r="P4063" s="159">
        <f t="shared" si="663"/>
        <v>2015</v>
      </c>
      <c r="Q4063" s="159">
        <f t="shared" si="664"/>
        <v>10</v>
      </c>
      <c r="R4063" s="160">
        <f t="shared" si="665"/>
        <v>5.5166666666627862</v>
      </c>
      <c r="S4063" s="158">
        <f t="shared" si="666"/>
        <v>1.0824665090614922</v>
      </c>
      <c r="T4063" s="161">
        <f t="shared" si="667"/>
        <v>425.40933806116647</v>
      </c>
      <c r="U4063" s="158">
        <f t="shared" si="669"/>
        <v>77.113475177304963</v>
      </c>
      <c r="V4063" s="160">
        <f t="shared" si="668"/>
        <v>77</v>
      </c>
    </row>
    <row r="4064" spans="1:22" x14ac:dyDescent="0.25">
      <c r="A4064" s="98" t="s">
        <v>29</v>
      </c>
      <c r="B4064" s="98" t="s">
        <v>105</v>
      </c>
      <c r="C4064" s="98">
        <v>114</v>
      </c>
      <c r="D4064" s="98">
        <v>250</v>
      </c>
      <c r="E4064" s="157">
        <v>42284.979166666664</v>
      </c>
      <c r="F4064" s="157">
        <v>42285.27847222222</v>
      </c>
      <c r="G4064" s="98">
        <v>340</v>
      </c>
      <c r="H4064" s="98">
        <v>423</v>
      </c>
      <c r="I4064" s="98">
        <v>393</v>
      </c>
      <c r="J4064" s="98" t="s">
        <v>1978</v>
      </c>
      <c r="K4064" s="98" t="s">
        <v>3684</v>
      </c>
      <c r="L4064" s="105" t="str">
        <f t="shared" si="660"/>
        <v>Mill Creek</v>
      </c>
      <c r="M4064" s="105" t="str">
        <f t="shared" si="661"/>
        <v>Derate</v>
      </c>
      <c r="N4064" s="105" t="str">
        <f t="shared" si="662"/>
        <v>Coal</v>
      </c>
      <c r="O4064" s="105">
        <f>IFERROR(VLOOKUP(A4064,Lookup!$J$5:$P$19,7,FALSE),0)</f>
        <v>3</v>
      </c>
      <c r="P4064" s="159">
        <f t="shared" si="663"/>
        <v>2015</v>
      </c>
      <c r="Q4064" s="159">
        <f t="shared" si="664"/>
        <v>10</v>
      </c>
      <c r="R4064" s="160">
        <f t="shared" si="665"/>
        <v>7.1833333333488554</v>
      </c>
      <c r="S4064" s="158">
        <f t="shared" si="666"/>
        <v>1.4094956658816904</v>
      </c>
      <c r="T4064" s="161">
        <f t="shared" si="667"/>
        <v>553.93179669150436</v>
      </c>
      <c r="U4064" s="158">
        <f t="shared" si="669"/>
        <v>77.113475177304963</v>
      </c>
      <c r="V4064" s="160">
        <f t="shared" si="668"/>
        <v>77</v>
      </c>
    </row>
    <row r="4065" spans="1:22" x14ac:dyDescent="0.25">
      <c r="A4065" s="98" t="s">
        <v>29</v>
      </c>
      <c r="B4065" s="98" t="s">
        <v>17</v>
      </c>
      <c r="C4065" s="98">
        <v>115</v>
      </c>
      <c r="D4065" s="98">
        <v>260</v>
      </c>
      <c r="E4065" s="157">
        <v>42285.466666666667</v>
      </c>
      <c r="F4065" s="157">
        <v>42285.552083333336</v>
      </c>
      <c r="G4065" s="98">
        <v>330</v>
      </c>
      <c r="H4065" s="98">
        <v>423</v>
      </c>
      <c r="I4065" s="98">
        <v>393</v>
      </c>
      <c r="J4065" s="98" t="s">
        <v>1973</v>
      </c>
      <c r="K4065" s="98" t="s">
        <v>3685</v>
      </c>
      <c r="L4065" s="105" t="str">
        <f t="shared" si="660"/>
        <v>Mill Creek</v>
      </c>
      <c r="M4065" s="105" t="str">
        <f t="shared" si="661"/>
        <v>Derate</v>
      </c>
      <c r="N4065" s="105" t="str">
        <f t="shared" si="662"/>
        <v>Coal</v>
      </c>
      <c r="O4065" s="105">
        <f>IFERROR(VLOOKUP(A4065,Lookup!$J$5:$P$19,7,FALSE),0)</f>
        <v>3</v>
      </c>
      <c r="P4065" s="159">
        <f t="shared" si="663"/>
        <v>2015</v>
      </c>
      <c r="Q4065" s="159">
        <f t="shared" si="664"/>
        <v>10</v>
      </c>
      <c r="R4065" s="160">
        <f t="shared" si="665"/>
        <v>2.0500000000465661</v>
      </c>
      <c r="S4065" s="158">
        <f t="shared" si="666"/>
        <v>0.45070921986839396</v>
      </c>
      <c r="T4065" s="161">
        <f t="shared" si="667"/>
        <v>177.12872340827883</v>
      </c>
      <c r="U4065" s="158">
        <f t="shared" si="669"/>
        <v>86.40425531914893</v>
      </c>
      <c r="V4065" s="160">
        <f t="shared" si="668"/>
        <v>86</v>
      </c>
    </row>
    <row r="4066" spans="1:22" x14ac:dyDescent="0.25">
      <c r="A4066" s="98" t="s">
        <v>29</v>
      </c>
      <c r="B4066" s="98" t="s">
        <v>79</v>
      </c>
      <c r="C4066" s="98">
        <v>116</v>
      </c>
      <c r="D4066" s="98">
        <v>8670</v>
      </c>
      <c r="E4066" s="157">
        <v>42289.681944444441</v>
      </c>
      <c r="F4066" s="157">
        <v>42290</v>
      </c>
      <c r="G4066" s="98">
        <v>0</v>
      </c>
      <c r="H4066" s="98">
        <v>423</v>
      </c>
      <c r="I4066" s="98">
        <v>393</v>
      </c>
      <c r="J4066" s="98" t="s">
        <v>2648</v>
      </c>
      <c r="K4066" s="98" t="s">
        <v>3686</v>
      </c>
      <c r="L4066" s="105" t="str">
        <f t="shared" si="660"/>
        <v>Mill Creek</v>
      </c>
      <c r="M4066" s="105" t="str">
        <f t="shared" si="661"/>
        <v>Other</v>
      </c>
      <c r="N4066" s="105" t="str">
        <f t="shared" si="662"/>
        <v>Coal</v>
      </c>
      <c r="O4066" s="105">
        <f>IFERROR(VLOOKUP(A4066,Lookup!$J$5:$P$19,7,FALSE),0)</f>
        <v>3</v>
      </c>
      <c r="P4066" s="159">
        <f t="shared" si="663"/>
        <v>2015</v>
      </c>
      <c r="Q4066" s="159">
        <f t="shared" si="664"/>
        <v>10</v>
      </c>
      <c r="R4066" s="160">
        <f t="shared" si="665"/>
        <v>7.6333333334187046</v>
      </c>
      <c r="S4066" s="158">
        <f t="shared" si="666"/>
        <v>7.6333333334187046</v>
      </c>
      <c r="T4066" s="161">
        <f t="shared" si="667"/>
        <v>2999.9000000335509</v>
      </c>
      <c r="U4066" s="158">
        <f t="shared" si="669"/>
        <v>393</v>
      </c>
      <c r="V4066" s="160">
        <f t="shared" si="668"/>
        <v>393</v>
      </c>
    </row>
    <row r="4067" spans="1:22" x14ac:dyDescent="0.25">
      <c r="A4067" s="98" t="s">
        <v>29</v>
      </c>
      <c r="B4067" s="98" t="s">
        <v>15</v>
      </c>
      <c r="C4067" s="98">
        <v>117</v>
      </c>
      <c r="D4067" s="98">
        <v>3412</v>
      </c>
      <c r="E4067" s="157">
        <v>42295.631249999999</v>
      </c>
      <c r="F4067" s="157">
        <v>42295.748611111114</v>
      </c>
      <c r="G4067" s="98">
        <v>0</v>
      </c>
      <c r="H4067" s="98">
        <v>423</v>
      </c>
      <c r="I4067" s="98">
        <v>393</v>
      </c>
      <c r="J4067" s="98" t="s">
        <v>2162</v>
      </c>
      <c r="K4067" s="98" t="s">
        <v>3687</v>
      </c>
      <c r="L4067" s="105" t="str">
        <f t="shared" si="660"/>
        <v>Mill Creek</v>
      </c>
      <c r="M4067" s="105" t="str">
        <f t="shared" si="661"/>
        <v>Outage</v>
      </c>
      <c r="N4067" s="105" t="str">
        <f t="shared" si="662"/>
        <v>Coal</v>
      </c>
      <c r="O4067" s="105">
        <f>IFERROR(VLOOKUP(A4067,Lookup!$J$5:$P$19,7,FALSE),0)</f>
        <v>3</v>
      </c>
      <c r="P4067" s="159">
        <f t="shared" si="663"/>
        <v>2015</v>
      </c>
      <c r="Q4067" s="159">
        <f t="shared" si="664"/>
        <v>10</v>
      </c>
      <c r="R4067" s="160">
        <f t="shared" si="665"/>
        <v>2.8166666667675599</v>
      </c>
      <c r="S4067" s="158">
        <f t="shared" si="666"/>
        <v>2.8166666667675599</v>
      </c>
      <c r="T4067" s="161">
        <f t="shared" si="667"/>
        <v>1106.9500000396511</v>
      </c>
      <c r="U4067" s="158">
        <f t="shared" si="669"/>
        <v>393</v>
      </c>
      <c r="V4067" s="160">
        <f t="shared" si="668"/>
        <v>393</v>
      </c>
    </row>
    <row r="4068" spans="1:22" x14ac:dyDescent="0.25">
      <c r="A4068" s="98" t="s">
        <v>29</v>
      </c>
      <c r="B4068" s="98" t="s">
        <v>79</v>
      </c>
      <c r="C4068" s="98">
        <v>118</v>
      </c>
      <c r="D4068" s="98">
        <v>1850</v>
      </c>
      <c r="E4068" s="157">
        <v>42295.748611111114</v>
      </c>
      <c r="F4068" s="157">
        <v>42295.994444444441</v>
      </c>
      <c r="G4068" s="98">
        <v>0</v>
      </c>
      <c r="H4068" s="98">
        <v>423</v>
      </c>
      <c r="I4068" s="98">
        <v>393</v>
      </c>
      <c r="J4068" s="98" t="s">
        <v>2263</v>
      </c>
      <c r="K4068" s="98" t="s">
        <v>87</v>
      </c>
      <c r="L4068" s="105" t="str">
        <f t="shared" si="660"/>
        <v>Mill Creek</v>
      </c>
      <c r="M4068" s="105" t="str">
        <f t="shared" si="661"/>
        <v>Other</v>
      </c>
      <c r="N4068" s="105" t="str">
        <f t="shared" si="662"/>
        <v>Coal</v>
      </c>
      <c r="O4068" s="105">
        <f>IFERROR(VLOOKUP(A4068,Lookup!$J$5:$P$19,7,FALSE),0)</f>
        <v>3</v>
      </c>
      <c r="P4068" s="159">
        <f t="shared" si="663"/>
        <v>2015</v>
      </c>
      <c r="Q4068" s="159">
        <f t="shared" si="664"/>
        <v>10</v>
      </c>
      <c r="R4068" s="160">
        <f t="shared" si="665"/>
        <v>5.8999999998486601</v>
      </c>
      <c r="S4068" s="158">
        <f t="shared" si="666"/>
        <v>5.8999999998486601</v>
      </c>
      <c r="T4068" s="161">
        <f t="shared" si="667"/>
        <v>2318.6999999405234</v>
      </c>
      <c r="U4068" s="158">
        <f t="shared" si="669"/>
        <v>393</v>
      </c>
      <c r="V4068" s="160">
        <f t="shared" si="668"/>
        <v>393</v>
      </c>
    </row>
    <row r="4069" spans="1:22" x14ac:dyDescent="0.25">
      <c r="A4069" s="98" t="s">
        <v>29</v>
      </c>
      <c r="B4069" s="98" t="s">
        <v>38</v>
      </c>
      <c r="C4069" s="98">
        <v>119</v>
      </c>
      <c r="D4069" s="98">
        <v>1310</v>
      </c>
      <c r="E4069" s="157">
        <v>42300.96875</v>
      </c>
      <c r="F4069" s="157">
        <v>42317.470138888886</v>
      </c>
      <c r="G4069" s="98">
        <v>0</v>
      </c>
      <c r="H4069" s="98">
        <v>423</v>
      </c>
      <c r="I4069" s="98">
        <v>393</v>
      </c>
      <c r="J4069" s="98" t="s">
        <v>2613</v>
      </c>
      <c r="K4069" s="98" t="s">
        <v>94</v>
      </c>
      <c r="L4069" s="105" t="str">
        <f t="shared" ref="L4069:L4132" si="670">IF(OR(A4069="BR1",A4069="BR2",A4069="BR3",A4069="BR5",A4069="BR6",A4069="BR7",A4069="BR8",A4069="BR9",A4069="BR10",A4069="BR11"),"Brown",IF(OR(A4069="CR4",A4069="CR5",A4069="CR6",A4069="CR11"),"Cane Run",IF(OR(A4069="GH1",A4069="GH2",A4069="GH3",A4069="GH4"),"Ghent",IF(OR(A4069="GR3",A4069="GR4"),"Green River",IF(OR(A4069="MC1",A4069="MC2",A4069="MC3",A4069="MC4"),"Mill Creek",IF(OR(A4069="TC1",A4069="TC2",A4069="TC5",A4069="TC6",A4069="TC7",A4069="TC8",A4069="TC9",A4069="TC10"),"Trimble",IF(A4069="TY3","Tyrone",IF(OR(A4069="HA1",A4069="HA2",A4069="HA3"),"Haeflin",IF(OR(A4069="PR11",A4069="PR12",A4069="PR13"),"Paddy's Run","Zorn")))))))))</f>
        <v>Mill Creek</v>
      </c>
      <c r="M4069" s="105" t="str">
        <f t="shared" ref="M4069:M4132" si="671">IF(OR(B4069="D1",B4069="D2",B4069="D3",B4069="D4",B4069="PD"),"Derate",IF(OR(B4069="SF",B4069="U1",B4069="U2",B4069="U3"),"Outage",IF(OR(B4069="ME",B4069="MO"),"Maintenance","Other")))</f>
        <v>Other</v>
      </c>
      <c r="N4069" s="105" t="str">
        <f t="shared" ref="N4069:N4132" si="672">IF(OR(A4069="BR1",A4069="BR2",A4069="BR3",A4069="CR4",A4069="CR5",A4069="CR6",A4069="GH1",A4069="GH2",A4069="GH3",A4069="GH4",A4069="GR3",A4069="GR4",A4069="MC1",A4069="MC2",A4069="MC3",A4069="MC4",A4069="TC1",A4069="TC2",A4069="TY3"),"Coal","Gas")</f>
        <v>Coal</v>
      </c>
      <c r="O4069" s="105">
        <f>IFERROR(VLOOKUP(A4069,Lookup!$J$5:$P$19,7,FALSE),0)</f>
        <v>3</v>
      </c>
      <c r="P4069" s="159">
        <f t="shared" ref="P4069:P4132" si="673">YEAR(E4069)</f>
        <v>2015</v>
      </c>
      <c r="Q4069" s="159">
        <f t="shared" ref="Q4069:Q4132" si="674">MONTH(E4069)</f>
        <v>10</v>
      </c>
      <c r="R4069" s="160">
        <f t="shared" ref="R4069:R4132" si="675">(F4069-E4069)*24</f>
        <v>396.03333333326736</v>
      </c>
      <c r="S4069" s="158">
        <f t="shared" ref="S4069:S4132" si="676">R4069*(H4069-G4069)/H4069</f>
        <v>396.03333333326736</v>
      </c>
      <c r="T4069" s="161">
        <f t="shared" ref="T4069:T4132" si="677">S4069*I4069</f>
        <v>155641.09999997407</v>
      </c>
      <c r="U4069" s="158">
        <f t="shared" si="669"/>
        <v>393</v>
      </c>
      <c r="V4069" s="160">
        <f t="shared" ref="V4069:V4132" si="678">ROUND(U4069,0)</f>
        <v>393</v>
      </c>
    </row>
    <row r="4070" spans="1:22" x14ac:dyDescent="0.25">
      <c r="A4070" s="98" t="s">
        <v>29</v>
      </c>
      <c r="B4070" s="98" t="s">
        <v>105</v>
      </c>
      <c r="C4070" s="98">
        <v>120</v>
      </c>
      <c r="D4070" s="98">
        <v>345</v>
      </c>
      <c r="E4070" s="157">
        <v>42317.470138888886</v>
      </c>
      <c r="F4070" s="157">
        <v>42318.410416666666</v>
      </c>
      <c r="G4070" s="98">
        <v>330</v>
      </c>
      <c r="H4070" s="98">
        <v>423</v>
      </c>
      <c r="I4070" s="98">
        <v>393</v>
      </c>
      <c r="J4070" s="98" t="s">
        <v>2387</v>
      </c>
      <c r="K4070" s="98" t="s">
        <v>3688</v>
      </c>
      <c r="L4070" s="105" t="str">
        <f t="shared" si="670"/>
        <v>Mill Creek</v>
      </c>
      <c r="M4070" s="105" t="str">
        <f t="shared" si="671"/>
        <v>Derate</v>
      </c>
      <c r="N4070" s="105" t="str">
        <f t="shared" si="672"/>
        <v>Coal</v>
      </c>
      <c r="O4070" s="105">
        <f>IFERROR(VLOOKUP(A4070,Lookup!$J$5:$P$19,7,FALSE),0)</f>
        <v>3</v>
      </c>
      <c r="P4070" s="159">
        <f t="shared" si="673"/>
        <v>2015</v>
      </c>
      <c r="Q4070" s="159">
        <f t="shared" si="674"/>
        <v>11</v>
      </c>
      <c r="R4070" s="160">
        <f t="shared" si="675"/>
        <v>22.566666666709352</v>
      </c>
      <c r="S4070" s="158">
        <f t="shared" si="676"/>
        <v>4.9614657210495743</v>
      </c>
      <c r="T4070" s="161">
        <f t="shared" si="677"/>
        <v>1949.8560283724828</v>
      </c>
      <c r="U4070" s="158">
        <f t="shared" ref="U4070:U4133" si="679">IF(G4070&gt;0,MAX((H4070-G4070),0)*I4070/H4070,I4070)</f>
        <v>86.40425531914893</v>
      </c>
      <c r="V4070" s="160">
        <f t="shared" si="678"/>
        <v>86</v>
      </c>
    </row>
    <row r="4071" spans="1:22" x14ac:dyDescent="0.25">
      <c r="A4071" s="98" t="s">
        <v>29</v>
      </c>
      <c r="B4071" s="98" t="s">
        <v>17</v>
      </c>
      <c r="C4071" s="98">
        <v>121</v>
      </c>
      <c r="D4071" s="98">
        <v>1700</v>
      </c>
      <c r="E4071" s="157">
        <v>42318.155555555553</v>
      </c>
      <c r="F4071" s="157">
        <v>42318.220138888886</v>
      </c>
      <c r="G4071" s="98">
        <v>200</v>
      </c>
      <c r="H4071" s="98">
        <v>423</v>
      </c>
      <c r="I4071" s="98">
        <v>393</v>
      </c>
      <c r="J4071" s="98" t="s">
        <v>2036</v>
      </c>
      <c r="K4071" s="98" t="s">
        <v>3689</v>
      </c>
      <c r="L4071" s="105" t="str">
        <f t="shared" si="670"/>
        <v>Mill Creek</v>
      </c>
      <c r="M4071" s="105" t="str">
        <f t="shared" si="671"/>
        <v>Derate</v>
      </c>
      <c r="N4071" s="105" t="str">
        <f t="shared" si="672"/>
        <v>Coal</v>
      </c>
      <c r="O4071" s="105">
        <f>IFERROR(VLOOKUP(A4071,Lookup!$J$5:$P$19,7,FALSE),0)</f>
        <v>3</v>
      </c>
      <c r="P4071" s="159">
        <f t="shared" si="673"/>
        <v>2015</v>
      </c>
      <c r="Q4071" s="159">
        <f t="shared" si="674"/>
        <v>11</v>
      </c>
      <c r="R4071" s="160">
        <f t="shared" si="675"/>
        <v>1.5499999999883585</v>
      </c>
      <c r="S4071" s="158">
        <f t="shared" si="676"/>
        <v>0.81713947989930014</v>
      </c>
      <c r="T4071" s="161">
        <f t="shared" si="677"/>
        <v>321.13581560042496</v>
      </c>
      <c r="U4071" s="158">
        <f t="shared" si="679"/>
        <v>207.18439716312056</v>
      </c>
      <c r="V4071" s="160">
        <f t="shared" si="678"/>
        <v>207</v>
      </c>
    </row>
    <row r="4072" spans="1:22" x14ac:dyDescent="0.25">
      <c r="A4072" s="98" t="s">
        <v>29</v>
      </c>
      <c r="B4072" s="98" t="s">
        <v>17</v>
      </c>
      <c r="C4072" s="98">
        <v>122</v>
      </c>
      <c r="D4072" s="98">
        <v>1700</v>
      </c>
      <c r="E4072" s="157">
        <v>42318.220138888886</v>
      </c>
      <c r="F4072" s="157">
        <v>42318.410416666666</v>
      </c>
      <c r="G4072" s="98">
        <v>243</v>
      </c>
      <c r="H4072" s="98">
        <v>423</v>
      </c>
      <c r="I4072" s="98">
        <v>393</v>
      </c>
      <c r="J4072" s="98" t="s">
        <v>2036</v>
      </c>
      <c r="K4072" s="98" t="s">
        <v>3690</v>
      </c>
      <c r="L4072" s="105" t="str">
        <f t="shared" si="670"/>
        <v>Mill Creek</v>
      </c>
      <c r="M4072" s="105" t="str">
        <f t="shared" si="671"/>
        <v>Derate</v>
      </c>
      <c r="N4072" s="105" t="str">
        <f t="shared" si="672"/>
        <v>Coal</v>
      </c>
      <c r="O4072" s="105">
        <f>IFERROR(VLOOKUP(A4072,Lookup!$J$5:$P$19,7,FALSE),0)</f>
        <v>3</v>
      </c>
      <c r="P4072" s="159">
        <f t="shared" si="673"/>
        <v>2015</v>
      </c>
      <c r="Q4072" s="159">
        <f t="shared" si="674"/>
        <v>11</v>
      </c>
      <c r="R4072" s="160">
        <f t="shared" si="675"/>
        <v>4.5666666667093523</v>
      </c>
      <c r="S4072" s="158">
        <f t="shared" si="676"/>
        <v>1.9432624113656818</v>
      </c>
      <c r="T4072" s="161">
        <f t="shared" si="677"/>
        <v>763.70212766671295</v>
      </c>
      <c r="U4072" s="158">
        <f t="shared" si="679"/>
        <v>167.2340425531915</v>
      </c>
      <c r="V4072" s="160">
        <f t="shared" si="678"/>
        <v>167</v>
      </c>
    </row>
    <row r="4073" spans="1:22" x14ac:dyDescent="0.25">
      <c r="A4073" s="98" t="s">
        <v>29</v>
      </c>
      <c r="B4073" s="98" t="s">
        <v>105</v>
      </c>
      <c r="C4073" s="98">
        <v>123</v>
      </c>
      <c r="D4073" s="98">
        <v>345</v>
      </c>
      <c r="E4073" s="157">
        <v>42318.410416666666</v>
      </c>
      <c r="F4073" s="157">
        <v>42318.8125</v>
      </c>
      <c r="G4073" s="98">
        <v>366</v>
      </c>
      <c r="H4073" s="98">
        <v>423</v>
      </c>
      <c r="I4073" s="98">
        <v>393</v>
      </c>
      <c r="J4073" s="98" t="s">
        <v>2387</v>
      </c>
      <c r="K4073" s="98" t="s">
        <v>3691</v>
      </c>
      <c r="L4073" s="105" t="str">
        <f t="shared" si="670"/>
        <v>Mill Creek</v>
      </c>
      <c r="M4073" s="105" t="str">
        <f t="shared" si="671"/>
        <v>Derate</v>
      </c>
      <c r="N4073" s="105" t="str">
        <f t="shared" si="672"/>
        <v>Coal</v>
      </c>
      <c r="O4073" s="105">
        <f>IFERROR(VLOOKUP(A4073,Lookup!$J$5:$P$19,7,FALSE),0)</f>
        <v>3</v>
      </c>
      <c r="P4073" s="159">
        <f t="shared" si="673"/>
        <v>2015</v>
      </c>
      <c r="Q4073" s="159">
        <f t="shared" si="674"/>
        <v>11</v>
      </c>
      <c r="R4073" s="160">
        <f t="shared" si="675"/>
        <v>9.6500000000232831</v>
      </c>
      <c r="S4073" s="158">
        <f t="shared" si="676"/>
        <v>1.3003546099322154</v>
      </c>
      <c r="T4073" s="161">
        <f t="shared" si="677"/>
        <v>511.03936170336067</v>
      </c>
      <c r="U4073" s="158">
        <f t="shared" si="679"/>
        <v>52.957446808510639</v>
      </c>
      <c r="V4073" s="160">
        <f t="shared" si="678"/>
        <v>53</v>
      </c>
    </row>
    <row r="4074" spans="1:22" x14ac:dyDescent="0.25">
      <c r="A4074" s="98" t="s">
        <v>29</v>
      </c>
      <c r="B4074" s="98" t="s">
        <v>105</v>
      </c>
      <c r="C4074" s="98">
        <v>124</v>
      </c>
      <c r="D4074" s="98">
        <v>260</v>
      </c>
      <c r="E4074" s="157">
        <v>42319.923611111109</v>
      </c>
      <c r="F4074" s="157">
        <v>42320.29791666667</v>
      </c>
      <c r="G4074" s="98">
        <v>330</v>
      </c>
      <c r="H4074" s="98">
        <v>423</v>
      </c>
      <c r="I4074" s="98">
        <v>393</v>
      </c>
      <c r="J4074" s="98" t="s">
        <v>1973</v>
      </c>
      <c r="K4074" s="98" t="s">
        <v>3692</v>
      </c>
      <c r="L4074" s="105" t="str">
        <f t="shared" si="670"/>
        <v>Mill Creek</v>
      </c>
      <c r="M4074" s="105" t="str">
        <f t="shared" si="671"/>
        <v>Derate</v>
      </c>
      <c r="N4074" s="105" t="str">
        <f t="shared" si="672"/>
        <v>Coal</v>
      </c>
      <c r="O4074" s="105">
        <f>IFERROR(VLOOKUP(A4074,Lookup!$J$5:$P$19,7,FALSE),0)</f>
        <v>3</v>
      </c>
      <c r="P4074" s="159">
        <f t="shared" si="673"/>
        <v>2015</v>
      </c>
      <c r="Q4074" s="159">
        <f t="shared" si="674"/>
        <v>11</v>
      </c>
      <c r="R4074" s="160">
        <f t="shared" si="675"/>
        <v>8.9833333334536292</v>
      </c>
      <c r="S4074" s="158">
        <f t="shared" si="676"/>
        <v>1.9750591016812944</v>
      </c>
      <c r="T4074" s="161">
        <f t="shared" si="677"/>
        <v>776.19822696074868</v>
      </c>
      <c r="U4074" s="158">
        <f t="shared" si="679"/>
        <v>86.40425531914893</v>
      </c>
      <c r="V4074" s="160">
        <f t="shared" si="678"/>
        <v>86</v>
      </c>
    </row>
    <row r="4075" spans="1:22" x14ac:dyDescent="0.25">
      <c r="A4075" s="98" t="s">
        <v>29</v>
      </c>
      <c r="B4075" s="98" t="s">
        <v>17</v>
      </c>
      <c r="C4075" s="98">
        <v>125</v>
      </c>
      <c r="D4075" s="98">
        <v>360</v>
      </c>
      <c r="E4075" s="157">
        <v>42327.841666666667</v>
      </c>
      <c r="F4075" s="157">
        <v>42327.870833333334</v>
      </c>
      <c r="G4075" s="98">
        <v>335</v>
      </c>
      <c r="H4075" s="98">
        <v>423</v>
      </c>
      <c r="I4075" s="98">
        <v>393</v>
      </c>
      <c r="J4075" s="98" t="s">
        <v>229</v>
      </c>
      <c r="K4075" s="98" t="s">
        <v>3693</v>
      </c>
      <c r="L4075" s="105" t="str">
        <f t="shared" si="670"/>
        <v>Mill Creek</v>
      </c>
      <c r="M4075" s="105" t="str">
        <f t="shared" si="671"/>
        <v>Derate</v>
      </c>
      <c r="N4075" s="105" t="str">
        <f t="shared" si="672"/>
        <v>Coal</v>
      </c>
      <c r="O4075" s="105">
        <f>IFERROR(VLOOKUP(A4075,Lookup!$J$5:$P$19,7,FALSE),0)</f>
        <v>3</v>
      </c>
      <c r="P4075" s="159">
        <f t="shared" si="673"/>
        <v>2015</v>
      </c>
      <c r="Q4075" s="159">
        <f t="shared" si="674"/>
        <v>11</v>
      </c>
      <c r="R4075" s="160">
        <f t="shared" si="675"/>
        <v>0.70000000001164153</v>
      </c>
      <c r="S4075" s="158">
        <f t="shared" si="676"/>
        <v>0.14562647754379304</v>
      </c>
      <c r="T4075" s="161">
        <f t="shared" si="677"/>
        <v>57.231205674710665</v>
      </c>
      <c r="U4075" s="158">
        <f t="shared" si="679"/>
        <v>81.758865248226954</v>
      </c>
      <c r="V4075" s="160">
        <f t="shared" si="678"/>
        <v>82</v>
      </c>
    </row>
    <row r="4076" spans="1:22" x14ac:dyDescent="0.25">
      <c r="A4076" s="98" t="s">
        <v>29</v>
      </c>
      <c r="B4076" s="98" t="s">
        <v>15</v>
      </c>
      <c r="C4076" s="98">
        <v>126</v>
      </c>
      <c r="D4076" s="98">
        <v>1080</v>
      </c>
      <c r="E4076" s="157">
        <v>42328.731249999997</v>
      </c>
      <c r="F4076" s="157">
        <v>42331.277777777781</v>
      </c>
      <c r="G4076" s="98">
        <v>0</v>
      </c>
      <c r="H4076" s="98">
        <v>423</v>
      </c>
      <c r="I4076" s="98">
        <v>393</v>
      </c>
      <c r="J4076" s="98" t="s">
        <v>1991</v>
      </c>
      <c r="K4076" s="98" t="s">
        <v>3694</v>
      </c>
      <c r="L4076" s="105" t="str">
        <f t="shared" si="670"/>
        <v>Mill Creek</v>
      </c>
      <c r="M4076" s="105" t="str">
        <f t="shared" si="671"/>
        <v>Outage</v>
      </c>
      <c r="N4076" s="105" t="str">
        <f t="shared" si="672"/>
        <v>Coal</v>
      </c>
      <c r="O4076" s="105">
        <f>IFERROR(VLOOKUP(A4076,Lookup!$J$5:$P$19,7,FALSE),0)</f>
        <v>3</v>
      </c>
      <c r="P4076" s="159">
        <f t="shared" si="673"/>
        <v>2015</v>
      </c>
      <c r="Q4076" s="159">
        <f t="shared" si="674"/>
        <v>11</v>
      </c>
      <c r="R4076" s="160">
        <f t="shared" si="675"/>
        <v>61.116666666814126</v>
      </c>
      <c r="S4076" s="158">
        <f t="shared" si="676"/>
        <v>61.116666666814126</v>
      </c>
      <c r="T4076" s="161">
        <f t="shared" si="677"/>
        <v>24018.850000057952</v>
      </c>
      <c r="U4076" s="158">
        <f t="shared" si="679"/>
        <v>393</v>
      </c>
      <c r="V4076" s="160">
        <f t="shared" si="678"/>
        <v>393</v>
      </c>
    </row>
    <row r="4077" spans="1:22" x14ac:dyDescent="0.25">
      <c r="A4077" s="98" t="s">
        <v>29</v>
      </c>
      <c r="B4077" s="98" t="s">
        <v>79</v>
      </c>
      <c r="C4077" s="98">
        <v>127</v>
      </c>
      <c r="D4077" s="98">
        <v>1850</v>
      </c>
      <c r="E4077" s="157">
        <v>42331.277777777781</v>
      </c>
      <c r="F4077" s="157">
        <v>42331.788194444445</v>
      </c>
      <c r="G4077" s="98">
        <v>0</v>
      </c>
      <c r="H4077" s="98">
        <v>423</v>
      </c>
      <c r="I4077" s="98">
        <v>393</v>
      </c>
      <c r="J4077" s="98" t="s">
        <v>2263</v>
      </c>
      <c r="K4077" s="98" t="s">
        <v>3695</v>
      </c>
      <c r="L4077" s="105" t="str">
        <f t="shared" si="670"/>
        <v>Mill Creek</v>
      </c>
      <c r="M4077" s="105" t="str">
        <f t="shared" si="671"/>
        <v>Other</v>
      </c>
      <c r="N4077" s="105" t="str">
        <f t="shared" si="672"/>
        <v>Coal</v>
      </c>
      <c r="O4077" s="105">
        <f>IFERROR(VLOOKUP(A4077,Lookup!$J$5:$P$19,7,FALSE),0)</f>
        <v>3</v>
      </c>
      <c r="P4077" s="159">
        <f t="shared" si="673"/>
        <v>2015</v>
      </c>
      <c r="Q4077" s="159">
        <f t="shared" si="674"/>
        <v>11</v>
      </c>
      <c r="R4077" s="160">
        <f t="shared" si="675"/>
        <v>12.249999999941792</v>
      </c>
      <c r="S4077" s="158">
        <f t="shared" si="676"/>
        <v>12.249999999941792</v>
      </c>
      <c r="T4077" s="161">
        <f t="shared" si="677"/>
        <v>4814.2499999771244</v>
      </c>
      <c r="U4077" s="158">
        <f t="shared" si="679"/>
        <v>393</v>
      </c>
      <c r="V4077" s="160">
        <f t="shared" si="678"/>
        <v>393</v>
      </c>
    </row>
    <row r="4078" spans="1:22" x14ac:dyDescent="0.25">
      <c r="A4078" s="98" t="s">
        <v>29</v>
      </c>
      <c r="B4078" s="98" t="s">
        <v>17</v>
      </c>
      <c r="C4078" s="98">
        <v>128</v>
      </c>
      <c r="D4078" s="98">
        <v>1850</v>
      </c>
      <c r="E4078" s="157">
        <v>42331.788194444445</v>
      </c>
      <c r="F4078" s="157">
        <v>42332.170138888891</v>
      </c>
      <c r="G4078" s="98">
        <v>330</v>
      </c>
      <c r="H4078" s="98">
        <v>423</v>
      </c>
      <c r="I4078" s="98">
        <v>393</v>
      </c>
      <c r="J4078" s="98" t="s">
        <v>2263</v>
      </c>
      <c r="K4078" s="98" t="s">
        <v>62</v>
      </c>
      <c r="L4078" s="105" t="str">
        <f t="shared" si="670"/>
        <v>Mill Creek</v>
      </c>
      <c r="M4078" s="105" t="str">
        <f t="shared" si="671"/>
        <v>Derate</v>
      </c>
      <c r="N4078" s="105" t="str">
        <f t="shared" si="672"/>
        <v>Coal</v>
      </c>
      <c r="O4078" s="105">
        <f>IFERROR(VLOOKUP(A4078,Lookup!$J$5:$P$19,7,FALSE),0)</f>
        <v>3</v>
      </c>
      <c r="P4078" s="159">
        <f t="shared" si="673"/>
        <v>2015</v>
      </c>
      <c r="Q4078" s="159">
        <f t="shared" si="674"/>
        <v>11</v>
      </c>
      <c r="R4078" s="160">
        <f t="shared" si="675"/>
        <v>9.1666666666860692</v>
      </c>
      <c r="S4078" s="158">
        <f t="shared" si="676"/>
        <v>2.0153664302643133</v>
      </c>
      <c r="T4078" s="161">
        <f t="shared" si="677"/>
        <v>792.03900709387517</v>
      </c>
      <c r="U4078" s="158">
        <f t="shared" si="679"/>
        <v>86.40425531914893</v>
      </c>
      <c r="V4078" s="160">
        <f t="shared" si="678"/>
        <v>86</v>
      </c>
    </row>
    <row r="4079" spans="1:22" x14ac:dyDescent="0.25">
      <c r="A4079" s="98" t="s">
        <v>29</v>
      </c>
      <c r="B4079" s="98" t="s">
        <v>17</v>
      </c>
      <c r="C4079" s="98">
        <v>129</v>
      </c>
      <c r="D4079" s="98">
        <v>1850</v>
      </c>
      <c r="E4079" s="157">
        <v>42332.170138888891</v>
      </c>
      <c r="F4079" s="157">
        <v>42332.354861111111</v>
      </c>
      <c r="G4079" s="98">
        <v>400</v>
      </c>
      <c r="H4079" s="98">
        <v>423</v>
      </c>
      <c r="I4079" s="98">
        <v>393</v>
      </c>
      <c r="J4079" s="98" t="s">
        <v>2263</v>
      </c>
      <c r="K4079" s="98" t="s">
        <v>62</v>
      </c>
      <c r="L4079" s="105" t="str">
        <f t="shared" si="670"/>
        <v>Mill Creek</v>
      </c>
      <c r="M4079" s="105" t="str">
        <f t="shared" si="671"/>
        <v>Derate</v>
      </c>
      <c r="N4079" s="105" t="str">
        <f t="shared" si="672"/>
        <v>Coal</v>
      </c>
      <c r="O4079" s="105">
        <f>IFERROR(VLOOKUP(A4079,Lookup!$J$5:$P$19,7,FALSE),0)</f>
        <v>3</v>
      </c>
      <c r="P4079" s="159">
        <f t="shared" si="673"/>
        <v>2015</v>
      </c>
      <c r="Q4079" s="159">
        <f t="shared" si="674"/>
        <v>11</v>
      </c>
      <c r="R4079" s="160">
        <f t="shared" si="675"/>
        <v>4.4333333332906477</v>
      </c>
      <c r="S4079" s="158">
        <f t="shared" si="676"/>
        <v>0.2410559495642669</v>
      </c>
      <c r="T4079" s="161">
        <f t="shared" si="677"/>
        <v>94.734988178756893</v>
      </c>
      <c r="U4079" s="158">
        <f t="shared" si="679"/>
        <v>21.368794326241133</v>
      </c>
      <c r="V4079" s="160">
        <f t="shared" si="678"/>
        <v>21</v>
      </c>
    </row>
    <row r="4080" spans="1:22" x14ac:dyDescent="0.25">
      <c r="A4080" s="98" t="s">
        <v>29</v>
      </c>
      <c r="B4080" s="98" t="s">
        <v>79</v>
      </c>
      <c r="C4080" s="98">
        <v>130</v>
      </c>
      <c r="D4080" s="98">
        <v>8460</v>
      </c>
      <c r="E4080" s="157">
        <v>42332.354861111111</v>
      </c>
      <c r="F4080" s="157">
        <v>42332.69027777778</v>
      </c>
      <c r="G4080" s="98">
        <v>0</v>
      </c>
      <c r="H4080" s="98">
        <v>423</v>
      </c>
      <c r="I4080" s="98">
        <v>393</v>
      </c>
      <c r="J4080" s="98" t="s">
        <v>2651</v>
      </c>
      <c r="K4080" s="98" t="s">
        <v>3696</v>
      </c>
      <c r="L4080" s="105" t="str">
        <f t="shared" si="670"/>
        <v>Mill Creek</v>
      </c>
      <c r="M4080" s="105" t="str">
        <f t="shared" si="671"/>
        <v>Other</v>
      </c>
      <c r="N4080" s="105" t="str">
        <f t="shared" si="672"/>
        <v>Coal</v>
      </c>
      <c r="O4080" s="105">
        <f>IFERROR(VLOOKUP(A4080,Lookup!$J$5:$P$19,7,FALSE),0)</f>
        <v>3</v>
      </c>
      <c r="P4080" s="159">
        <f t="shared" si="673"/>
        <v>2015</v>
      </c>
      <c r="Q4080" s="159">
        <f t="shared" si="674"/>
        <v>11</v>
      </c>
      <c r="R4080" s="160">
        <f t="shared" si="675"/>
        <v>8.0500000000465661</v>
      </c>
      <c r="S4080" s="158">
        <f t="shared" si="676"/>
        <v>8.0500000000465661</v>
      </c>
      <c r="T4080" s="161">
        <f t="shared" si="677"/>
        <v>3163.6500000183005</v>
      </c>
      <c r="U4080" s="158">
        <f t="shared" si="679"/>
        <v>393</v>
      </c>
      <c r="V4080" s="160">
        <f t="shared" si="678"/>
        <v>393</v>
      </c>
    </row>
    <row r="4081" spans="1:22" x14ac:dyDescent="0.25">
      <c r="A4081" s="98" t="s">
        <v>29</v>
      </c>
      <c r="B4081" s="98" t="s">
        <v>17</v>
      </c>
      <c r="C4081" s="98">
        <v>131</v>
      </c>
      <c r="D4081" s="98">
        <v>385</v>
      </c>
      <c r="E4081" s="157">
        <v>42333.691666666666</v>
      </c>
      <c r="F4081" s="157">
        <v>42333.768750000003</v>
      </c>
      <c r="G4081" s="98">
        <v>350</v>
      </c>
      <c r="H4081" s="98">
        <v>423</v>
      </c>
      <c r="I4081" s="98">
        <v>393</v>
      </c>
      <c r="J4081" s="98" t="s">
        <v>228</v>
      </c>
      <c r="K4081" s="98" t="s">
        <v>3697</v>
      </c>
      <c r="L4081" s="105" t="str">
        <f t="shared" si="670"/>
        <v>Mill Creek</v>
      </c>
      <c r="M4081" s="105" t="str">
        <f t="shared" si="671"/>
        <v>Derate</v>
      </c>
      <c r="N4081" s="105" t="str">
        <f t="shared" si="672"/>
        <v>Coal</v>
      </c>
      <c r="O4081" s="105">
        <f>IFERROR(VLOOKUP(A4081,Lookup!$J$5:$P$19,7,FALSE),0)</f>
        <v>3</v>
      </c>
      <c r="P4081" s="159">
        <f t="shared" si="673"/>
        <v>2015</v>
      </c>
      <c r="Q4081" s="159">
        <f t="shared" si="674"/>
        <v>11</v>
      </c>
      <c r="R4081" s="160">
        <f t="shared" si="675"/>
        <v>1.8500000000931323</v>
      </c>
      <c r="S4081" s="158">
        <f t="shared" si="676"/>
        <v>0.3192671394959779</v>
      </c>
      <c r="T4081" s="161">
        <f t="shared" si="677"/>
        <v>125.47198582191932</v>
      </c>
      <c r="U4081" s="158">
        <f t="shared" si="679"/>
        <v>67.822695035460995</v>
      </c>
      <c r="V4081" s="160">
        <f t="shared" si="678"/>
        <v>68</v>
      </c>
    </row>
    <row r="4082" spans="1:22" x14ac:dyDescent="0.25">
      <c r="A4082" s="98" t="s">
        <v>29</v>
      </c>
      <c r="B4082" s="98" t="s">
        <v>17</v>
      </c>
      <c r="C4082" s="98">
        <v>132</v>
      </c>
      <c r="D4082" s="98">
        <v>260</v>
      </c>
      <c r="E4082" s="157">
        <v>42340.56527777778</v>
      </c>
      <c r="F4082" s="157">
        <v>42340.681944444441</v>
      </c>
      <c r="G4082" s="98">
        <v>320</v>
      </c>
      <c r="H4082" s="98">
        <v>423</v>
      </c>
      <c r="I4082" s="98">
        <v>393</v>
      </c>
      <c r="J4082" s="98" t="s">
        <v>1973</v>
      </c>
      <c r="K4082" s="98" t="s">
        <v>3698</v>
      </c>
      <c r="L4082" s="105" t="str">
        <f t="shared" si="670"/>
        <v>Mill Creek</v>
      </c>
      <c r="M4082" s="105" t="str">
        <f t="shared" si="671"/>
        <v>Derate</v>
      </c>
      <c r="N4082" s="105" t="str">
        <f t="shared" si="672"/>
        <v>Coal</v>
      </c>
      <c r="O4082" s="105">
        <f>IFERROR(VLOOKUP(A4082,Lookup!$J$5:$P$19,7,FALSE),0)</f>
        <v>3</v>
      </c>
      <c r="P4082" s="159">
        <f t="shared" si="673"/>
        <v>2015</v>
      </c>
      <c r="Q4082" s="159">
        <f t="shared" si="674"/>
        <v>12</v>
      </c>
      <c r="R4082" s="160">
        <f t="shared" si="675"/>
        <v>2.7999999998719431</v>
      </c>
      <c r="S4082" s="158">
        <f t="shared" si="676"/>
        <v>0.68179669027614687</v>
      </c>
      <c r="T4082" s="161">
        <f t="shared" si="677"/>
        <v>267.94609927852571</v>
      </c>
      <c r="U4082" s="158">
        <f t="shared" si="679"/>
        <v>95.695035460992912</v>
      </c>
      <c r="V4082" s="160">
        <f t="shared" si="678"/>
        <v>96</v>
      </c>
    </row>
    <row r="4083" spans="1:22" x14ac:dyDescent="0.25">
      <c r="A4083" s="98" t="s">
        <v>29</v>
      </c>
      <c r="B4083" s="98" t="s">
        <v>105</v>
      </c>
      <c r="C4083" s="98">
        <v>133</v>
      </c>
      <c r="D4083" s="98">
        <v>262</v>
      </c>
      <c r="E4083" s="157">
        <v>42353.958333333336</v>
      </c>
      <c r="F4083" s="157">
        <v>42354.261805555558</v>
      </c>
      <c r="G4083" s="98">
        <v>320</v>
      </c>
      <c r="H4083" s="98">
        <v>423</v>
      </c>
      <c r="I4083" s="98">
        <v>393</v>
      </c>
      <c r="J4083" s="98" t="s">
        <v>2640</v>
      </c>
      <c r="K4083" s="98" t="s">
        <v>3699</v>
      </c>
      <c r="L4083" s="105" t="str">
        <f t="shared" si="670"/>
        <v>Mill Creek</v>
      </c>
      <c r="M4083" s="105" t="str">
        <f t="shared" si="671"/>
        <v>Derate</v>
      </c>
      <c r="N4083" s="105" t="str">
        <f t="shared" si="672"/>
        <v>Coal</v>
      </c>
      <c r="O4083" s="105">
        <f>IFERROR(VLOOKUP(A4083,Lookup!$J$5:$P$19,7,FALSE),0)</f>
        <v>3</v>
      </c>
      <c r="P4083" s="159">
        <f t="shared" si="673"/>
        <v>2015</v>
      </c>
      <c r="Q4083" s="159">
        <f t="shared" si="674"/>
        <v>12</v>
      </c>
      <c r="R4083" s="160">
        <f t="shared" si="675"/>
        <v>7.2833333333255723</v>
      </c>
      <c r="S4083" s="158">
        <f t="shared" si="676"/>
        <v>1.7734830575237208</v>
      </c>
      <c r="T4083" s="161">
        <f t="shared" si="677"/>
        <v>696.97884160682224</v>
      </c>
      <c r="U4083" s="158">
        <f t="shared" si="679"/>
        <v>95.695035460992912</v>
      </c>
      <c r="V4083" s="160">
        <f t="shared" si="678"/>
        <v>96</v>
      </c>
    </row>
    <row r="4084" spans="1:22" x14ac:dyDescent="0.25">
      <c r="A4084" s="98" t="s">
        <v>29</v>
      </c>
      <c r="B4084" s="98" t="s">
        <v>79</v>
      </c>
      <c r="C4084" s="98">
        <v>134</v>
      </c>
      <c r="D4084" s="98">
        <v>310</v>
      </c>
      <c r="E4084" s="157">
        <v>42354.352777777778</v>
      </c>
      <c r="F4084" s="157">
        <v>42354.506944444445</v>
      </c>
      <c r="G4084" s="98">
        <v>0</v>
      </c>
      <c r="H4084" s="98">
        <v>423</v>
      </c>
      <c r="I4084" s="98">
        <v>393</v>
      </c>
      <c r="J4084" s="98" t="s">
        <v>1966</v>
      </c>
      <c r="K4084" s="98" t="s">
        <v>3700</v>
      </c>
      <c r="L4084" s="105" t="str">
        <f t="shared" si="670"/>
        <v>Mill Creek</v>
      </c>
      <c r="M4084" s="105" t="str">
        <f t="shared" si="671"/>
        <v>Other</v>
      </c>
      <c r="N4084" s="105" t="str">
        <f t="shared" si="672"/>
        <v>Coal</v>
      </c>
      <c r="O4084" s="105">
        <f>IFERROR(VLOOKUP(A4084,Lookup!$J$5:$P$19,7,FALSE),0)</f>
        <v>3</v>
      </c>
      <c r="P4084" s="159">
        <f t="shared" si="673"/>
        <v>2015</v>
      </c>
      <c r="Q4084" s="159">
        <f t="shared" si="674"/>
        <v>12</v>
      </c>
      <c r="R4084" s="160">
        <f t="shared" si="675"/>
        <v>3.7000000000116415</v>
      </c>
      <c r="S4084" s="158">
        <f t="shared" si="676"/>
        <v>3.7000000000116415</v>
      </c>
      <c r="T4084" s="161">
        <f t="shared" si="677"/>
        <v>1454.1000000045751</v>
      </c>
      <c r="U4084" s="158">
        <f t="shared" si="679"/>
        <v>393</v>
      </c>
      <c r="V4084" s="160">
        <f t="shared" si="678"/>
        <v>393</v>
      </c>
    </row>
    <row r="4085" spans="1:22" x14ac:dyDescent="0.25">
      <c r="A4085" s="98" t="s">
        <v>29</v>
      </c>
      <c r="B4085" s="98" t="s">
        <v>17</v>
      </c>
      <c r="C4085" s="98">
        <v>135</v>
      </c>
      <c r="D4085" s="98">
        <v>8790</v>
      </c>
      <c r="E4085" s="157">
        <v>42356.43472222222</v>
      </c>
      <c r="F4085" s="157">
        <v>42356.453472222223</v>
      </c>
      <c r="G4085" s="98">
        <v>375</v>
      </c>
      <c r="H4085" s="98">
        <v>423</v>
      </c>
      <c r="I4085" s="98">
        <v>393</v>
      </c>
      <c r="J4085" s="98" t="s">
        <v>3701</v>
      </c>
      <c r="K4085" s="98" t="s">
        <v>3702</v>
      </c>
      <c r="L4085" s="105" t="str">
        <f t="shared" si="670"/>
        <v>Mill Creek</v>
      </c>
      <c r="M4085" s="105" t="str">
        <f t="shared" si="671"/>
        <v>Derate</v>
      </c>
      <c r="N4085" s="105" t="str">
        <f t="shared" si="672"/>
        <v>Coal</v>
      </c>
      <c r="O4085" s="105">
        <f>IFERROR(VLOOKUP(A4085,Lookup!$J$5:$P$19,7,FALSE),0)</f>
        <v>3</v>
      </c>
      <c r="P4085" s="159">
        <f t="shared" si="673"/>
        <v>2015</v>
      </c>
      <c r="Q4085" s="159">
        <f t="shared" si="674"/>
        <v>12</v>
      </c>
      <c r="R4085" s="160">
        <f t="shared" si="675"/>
        <v>0.45000000006984919</v>
      </c>
      <c r="S4085" s="158">
        <f t="shared" si="676"/>
        <v>5.1063829795160193E-2</v>
      </c>
      <c r="T4085" s="161">
        <f t="shared" si="677"/>
        <v>20.068085109497957</v>
      </c>
      <c r="U4085" s="158">
        <f t="shared" si="679"/>
        <v>44.595744680851062</v>
      </c>
      <c r="V4085" s="160">
        <f t="shared" si="678"/>
        <v>45</v>
      </c>
    </row>
    <row r="4086" spans="1:22" x14ac:dyDescent="0.25">
      <c r="A4086" s="98" t="s">
        <v>29</v>
      </c>
      <c r="B4086" s="98" t="s">
        <v>17</v>
      </c>
      <c r="C4086" s="98">
        <v>136</v>
      </c>
      <c r="D4086" s="98">
        <v>260</v>
      </c>
      <c r="E4086" s="157">
        <v>42356.453472222223</v>
      </c>
      <c r="F4086" s="157">
        <v>42356.525000000001</v>
      </c>
      <c r="G4086" s="98">
        <v>325</v>
      </c>
      <c r="H4086" s="98">
        <v>423</v>
      </c>
      <c r="I4086" s="98">
        <v>393</v>
      </c>
      <c r="J4086" s="98" t="s">
        <v>1973</v>
      </c>
      <c r="K4086" s="98" t="s">
        <v>3703</v>
      </c>
      <c r="L4086" s="105" t="str">
        <f t="shared" si="670"/>
        <v>Mill Creek</v>
      </c>
      <c r="M4086" s="105" t="str">
        <f t="shared" si="671"/>
        <v>Derate</v>
      </c>
      <c r="N4086" s="105" t="str">
        <f t="shared" si="672"/>
        <v>Coal</v>
      </c>
      <c r="O4086" s="105">
        <f>IFERROR(VLOOKUP(A4086,Lookup!$J$5:$P$19,7,FALSE),0)</f>
        <v>3</v>
      </c>
      <c r="P4086" s="159">
        <f t="shared" si="673"/>
        <v>2015</v>
      </c>
      <c r="Q4086" s="159">
        <f t="shared" si="674"/>
        <v>12</v>
      </c>
      <c r="R4086" s="160">
        <f t="shared" si="675"/>
        <v>1.7166666666744277</v>
      </c>
      <c r="S4086" s="158">
        <f t="shared" si="676"/>
        <v>0.39771473601440643</v>
      </c>
      <c r="T4086" s="161">
        <f t="shared" si="677"/>
        <v>156.30189125366172</v>
      </c>
      <c r="U4086" s="158">
        <f t="shared" si="679"/>
        <v>91.049645390070921</v>
      </c>
      <c r="V4086" s="160">
        <f t="shared" si="678"/>
        <v>91</v>
      </c>
    </row>
    <row r="4087" spans="1:22" x14ac:dyDescent="0.25">
      <c r="A4087" s="98" t="s">
        <v>29</v>
      </c>
      <c r="B4087" s="98" t="s">
        <v>17</v>
      </c>
      <c r="C4087" s="98">
        <v>137</v>
      </c>
      <c r="D4087" s="98">
        <v>260</v>
      </c>
      <c r="E4087" s="157">
        <v>42356.525000000001</v>
      </c>
      <c r="F4087" s="157">
        <v>42356.530555555553</v>
      </c>
      <c r="G4087" s="98">
        <v>330</v>
      </c>
      <c r="H4087" s="98">
        <v>423</v>
      </c>
      <c r="I4087" s="98">
        <v>393</v>
      </c>
      <c r="J4087" s="98" t="s">
        <v>1973</v>
      </c>
      <c r="K4087" s="98" t="s">
        <v>3703</v>
      </c>
      <c r="L4087" s="105" t="str">
        <f t="shared" si="670"/>
        <v>Mill Creek</v>
      </c>
      <c r="M4087" s="105" t="str">
        <f t="shared" si="671"/>
        <v>Derate</v>
      </c>
      <c r="N4087" s="105" t="str">
        <f t="shared" si="672"/>
        <v>Coal</v>
      </c>
      <c r="O4087" s="105">
        <f>IFERROR(VLOOKUP(A4087,Lookup!$J$5:$P$19,7,FALSE),0)</f>
        <v>3</v>
      </c>
      <c r="P4087" s="159">
        <f t="shared" si="673"/>
        <v>2015</v>
      </c>
      <c r="Q4087" s="159">
        <f t="shared" si="674"/>
        <v>12</v>
      </c>
      <c r="R4087" s="160">
        <f t="shared" si="675"/>
        <v>0.13333333324408159</v>
      </c>
      <c r="S4087" s="158">
        <f t="shared" si="676"/>
        <v>2.9314420784159783E-2</v>
      </c>
      <c r="T4087" s="161">
        <f t="shared" si="677"/>
        <v>11.520567368174795</v>
      </c>
      <c r="U4087" s="158">
        <f t="shared" si="679"/>
        <v>86.40425531914893</v>
      </c>
      <c r="V4087" s="160">
        <f t="shared" si="678"/>
        <v>86</v>
      </c>
    </row>
    <row r="4088" spans="1:22" x14ac:dyDescent="0.25">
      <c r="A4088" s="98" t="s">
        <v>29</v>
      </c>
      <c r="B4088" s="98" t="s">
        <v>17</v>
      </c>
      <c r="C4088" s="98">
        <v>138</v>
      </c>
      <c r="D4088" s="98">
        <v>260</v>
      </c>
      <c r="E4088" s="157">
        <v>42356.530555555553</v>
      </c>
      <c r="F4088" s="157">
        <v>42361.355555555558</v>
      </c>
      <c r="G4088" s="98">
        <v>350</v>
      </c>
      <c r="H4088" s="98">
        <v>423</v>
      </c>
      <c r="I4088" s="98">
        <v>393</v>
      </c>
      <c r="J4088" s="98" t="s">
        <v>1973</v>
      </c>
      <c r="K4088" s="98" t="s">
        <v>3703</v>
      </c>
      <c r="L4088" s="105" t="str">
        <f t="shared" si="670"/>
        <v>Mill Creek</v>
      </c>
      <c r="M4088" s="105" t="str">
        <f t="shared" si="671"/>
        <v>Derate</v>
      </c>
      <c r="N4088" s="105" t="str">
        <f t="shared" si="672"/>
        <v>Coal</v>
      </c>
      <c r="O4088" s="105">
        <f>IFERROR(VLOOKUP(A4088,Lookup!$J$5:$P$19,7,FALSE),0)</f>
        <v>3</v>
      </c>
      <c r="P4088" s="159">
        <f t="shared" si="673"/>
        <v>2015</v>
      </c>
      <c r="Q4088" s="159">
        <f t="shared" si="674"/>
        <v>12</v>
      </c>
      <c r="R4088" s="160">
        <f t="shared" si="675"/>
        <v>115.80000000010477</v>
      </c>
      <c r="S4088" s="158">
        <f t="shared" si="676"/>
        <v>19.984397163138649</v>
      </c>
      <c r="T4088" s="161">
        <f t="shared" si="677"/>
        <v>7853.8680851134886</v>
      </c>
      <c r="U4088" s="158">
        <f t="shared" si="679"/>
        <v>67.822695035460995</v>
      </c>
      <c r="V4088" s="160">
        <f t="shared" si="678"/>
        <v>68</v>
      </c>
    </row>
    <row r="4089" spans="1:22" x14ac:dyDescent="0.25">
      <c r="A4089" s="98" t="s">
        <v>29</v>
      </c>
      <c r="B4089" s="98" t="s">
        <v>17</v>
      </c>
      <c r="C4089" s="98">
        <v>139</v>
      </c>
      <c r="D4089" s="98">
        <v>480</v>
      </c>
      <c r="E4089" s="157">
        <v>42361.355555555558</v>
      </c>
      <c r="F4089" s="157">
        <v>42361.361111111109</v>
      </c>
      <c r="G4089" s="98">
        <v>235</v>
      </c>
      <c r="H4089" s="98">
        <v>423</v>
      </c>
      <c r="I4089" s="98">
        <v>393</v>
      </c>
      <c r="J4089" s="98" t="s">
        <v>3704</v>
      </c>
      <c r="K4089" s="98" t="s">
        <v>3705</v>
      </c>
      <c r="L4089" s="105" t="str">
        <f t="shared" si="670"/>
        <v>Mill Creek</v>
      </c>
      <c r="M4089" s="105" t="str">
        <f t="shared" si="671"/>
        <v>Derate</v>
      </c>
      <c r="N4089" s="105" t="str">
        <f t="shared" si="672"/>
        <v>Coal</v>
      </c>
      <c r="O4089" s="105">
        <f>IFERROR(VLOOKUP(A4089,Lookup!$J$5:$P$19,7,FALSE),0)</f>
        <v>3</v>
      </c>
      <c r="P4089" s="159">
        <f t="shared" si="673"/>
        <v>2015</v>
      </c>
      <c r="Q4089" s="159">
        <f t="shared" si="674"/>
        <v>12</v>
      </c>
      <c r="R4089" s="160">
        <f t="shared" si="675"/>
        <v>0.13333333324408159</v>
      </c>
      <c r="S4089" s="158">
        <f t="shared" si="676"/>
        <v>5.9259259219591819E-2</v>
      </c>
      <c r="T4089" s="161">
        <f t="shared" si="677"/>
        <v>23.288888873299584</v>
      </c>
      <c r="U4089" s="158">
        <f t="shared" si="679"/>
        <v>174.66666666666666</v>
      </c>
      <c r="V4089" s="160">
        <f t="shared" si="678"/>
        <v>175</v>
      </c>
    </row>
    <row r="4090" spans="1:22" x14ac:dyDescent="0.25">
      <c r="A4090" s="98" t="s">
        <v>29</v>
      </c>
      <c r="B4090" s="98" t="s">
        <v>17</v>
      </c>
      <c r="C4090" s="98">
        <v>140</v>
      </c>
      <c r="D4090" s="98">
        <v>260</v>
      </c>
      <c r="E4090" s="157">
        <v>42361.361111111109</v>
      </c>
      <c r="F4090" s="157">
        <v>42363.213194444441</v>
      </c>
      <c r="G4090" s="98">
        <v>350</v>
      </c>
      <c r="H4090" s="98">
        <v>423</v>
      </c>
      <c r="I4090" s="98">
        <v>393</v>
      </c>
      <c r="J4090" s="98" t="s">
        <v>1973</v>
      </c>
      <c r="K4090" s="98" t="s">
        <v>3706</v>
      </c>
      <c r="L4090" s="105" t="str">
        <f t="shared" si="670"/>
        <v>Mill Creek</v>
      </c>
      <c r="M4090" s="105" t="str">
        <f t="shared" si="671"/>
        <v>Derate</v>
      </c>
      <c r="N4090" s="105" t="str">
        <f t="shared" si="672"/>
        <v>Coal</v>
      </c>
      <c r="O4090" s="105">
        <f>IFERROR(VLOOKUP(A4090,Lookup!$J$5:$P$19,7,FALSE),0)</f>
        <v>3</v>
      </c>
      <c r="P4090" s="159">
        <f t="shared" si="673"/>
        <v>2015</v>
      </c>
      <c r="Q4090" s="159">
        <f t="shared" si="674"/>
        <v>12</v>
      </c>
      <c r="R4090" s="160">
        <f t="shared" si="675"/>
        <v>44.449999999953434</v>
      </c>
      <c r="S4090" s="158">
        <f t="shared" si="676"/>
        <v>7.6710401891172593</v>
      </c>
      <c r="T4090" s="161">
        <f t="shared" si="677"/>
        <v>3014.7187943230829</v>
      </c>
      <c r="U4090" s="158">
        <f t="shared" si="679"/>
        <v>67.822695035460995</v>
      </c>
      <c r="V4090" s="160">
        <f t="shared" si="678"/>
        <v>68</v>
      </c>
    </row>
    <row r="4091" spans="1:22" x14ac:dyDescent="0.25">
      <c r="A4091" s="98" t="s">
        <v>29</v>
      </c>
      <c r="B4091" s="98" t="s">
        <v>17</v>
      </c>
      <c r="C4091" s="98">
        <v>142</v>
      </c>
      <c r="D4091" s="98">
        <v>260</v>
      </c>
      <c r="E4091" s="157">
        <v>42365.900694444441</v>
      </c>
      <c r="F4091" s="157">
        <v>42366.224999999999</v>
      </c>
      <c r="G4091" s="98">
        <v>350</v>
      </c>
      <c r="H4091" s="98">
        <v>423</v>
      </c>
      <c r="I4091" s="98">
        <v>393</v>
      </c>
      <c r="J4091" s="98" t="s">
        <v>1973</v>
      </c>
      <c r="K4091" s="98" t="s">
        <v>3706</v>
      </c>
      <c r="L4091" s="105" t="str">
        <f t="shared" si="670"/>
        <v>Mill Creek</v>
      </c>
      <c r="M4091" s="105" t="str">
        <f t="shared" si="671"/>
        <v>Derate</v>
      </c>
      <c r="N4091" s="105" t="str">
        <f t="shared" si="672"/>
        <v>Coal</v>
      </c>
      <c r="O4091" s="105">
        <f>IFERROR(VLOOKUP(A4091,Lookup!$J$5:$P$19,7,FALSE),0)</f>
        <v>3</v>
      </c>
      <c r="P4091" s="159">
        <f t="shared" si="673"/>
        <v>2015</v>
      </c>
      <c r="Q4091" s="159">
        <f t="shared" si="674"/>
        <v>12</v>
      </c>
      <c r="R4091" s="160">
        <f t="shared" si="675"/>
        <v>7.78333333338378</v>
      </c>
      <c r="S4091" s="158">
        <f t="shared" si="676"/>
        <v>1.3432230102529927</v>
      </c>
      <c r="T4091" s="161">
        <f t="shared" si="677"/>
        <v>527.88664302942618</v>
      </c>
      <c r="U4091" s="158">
        <f t="shared" si="679"/>
        <v>67.822695035460995</v>
      </c>
      <c r="V4091" s="160">
        <f t="shared" si="678"/>
        <v>68</v>
      </c>
    </row>
    <row r="4092" spans="1:22" x14ac:dyDescent="0.25">
      <c r="A4092" s="98" t="s">
        <v>29</v>
      </c>
      <c r="B4092" s="98" t="s">
        <v>17</v>
      </c>
      <c r="C4092" s="98">
        <v>143</v>
      </c>
      <c r="D4092" s="98">
        <v>1850</v>
      </c>
      <c r="E4092" s="157">
        <v>42366.333333333336</v>
      </c>
      <c r="F4092" s="157">
        <v>42366.611111111109</v>
      </c>
      <c r="G4092" s="98">
        <v>410</v>
      </c>
      <c r="H4092" s="98">
        <v>423</v>
      </c>
      <c r="I4092" s="98">
        <v>393</v>
      </c>
      <c r="J4092" s="98" t="s">
        <v>2263</v>
      </c>
      <c r="K4092" s="98" t="s">
        <v>41</v>
      </c>
      <c r="L4092" s="105" t="str">
        <f t="shared" si="670"/>
        <v>Mill Creek</v>
      </c>
      <c r="M4092" s="105" t="str">
        <f t="shared" si="671"/>
        <v>Derate</v>
      </c>
      <c r="N4092" s="105" t="str">
        <f t="shared" si="672"/>
        <v>Coal</v>
      </c>
      <c r="O4092" s="105">
        <f>IFERROR(VLOOKUP(A4092,Lookup!$J$5:$P$19,7,FALSE),0)</f>
        <v>3</v>
      </c>
      <c r="P4092" s="159">
        <f t="shared" si="673"/>
        <v>2015</v>
      </c>
      <c r="Q4092" s="159">
        <f t="shared" si="674"/>
        <v>12</v>
      </c>
      <c r="R4092" s="160">
        <f t="shared" si="675"/>
        <v>6.6666666665696539</v>
      </c>
      <c r="S4092" s="158">
        <f t="shared" si="676"/>
        <v>0.20488573679764893</v>
      </c>
      <c r="T4092" s="161">
        <f t="shared" si="677"/>
        <v>80.520094561476029</v>
      </c>
      <c r="U4092" s="158">
        <f t="shared" si="679"/>
        <v>12.078014184397164</v>
      </c>
      <c r="V4092" s="160">
        <f t="shared" si="678"/>
        <v>12</v>
      </c>
    </row>
    <row r="4093" spans="1:22" x14ac:dyDescent="0.25">
      <c r="A4093" s="98" t="s">
        <v>29</v>
      </c>
      <c r="B4093" s="98" t="s">
        <v>17</v>
      </c>
      <c r="C4093" s="98">
        <v>144</v>
      </c>
      <c r="D4093" s="98">
        <v>250</v>
      </c>
      <c r="E4093" s="157">
        <v>42366.856249999997</v>
      </c>
      <c r="F4093" s="157">
        <v>42366.908333333333</v>
      </c>
      <c r="G4093" s="98">
        <v>340</v>
      </c>
      <c r="H4093" s="98">
        <v>423</v>
      </c>
      <c r="I4093" s="98">
        <v>393</v>
      </c>
      <c r="J4093" s="98" t="s">
        <v>1978</v>
      </c>
      <c r="K4093" s="98" t="s">
        <v>2974</v>
      </c>
      <c r="L4093" s="105" t="str">
        <f t="shared" si="670"/>
        <v>Mill Creek</v>
      </c>
      <c r="M4093" s="105" t="str">
        <f t="shared" si="671"/>
        <v>Derate</v>
      </c>
      <c r="N4093" s="105" t="str">
        <f t="shared" si="672"/>
        <v>Coal</v>
      </c>
      <c r="O4093" s="105">
        <f>IFERROR(VLOOKUP(A4093,Lookup!$J$5:$P$19,7,FALSE),0)</f>
        <v>3</v>
      </c>
      <c r="P4093" s="159">
        <f t="shared" si="673"/>
        <v>2015</v>
      </c>
      <c r="Q4093" s="159">
        <f t="shared" si="674"/>
        <v>12</v>
      </c>
      <c r="R4093" s="160">
        <f t="shared" si="675"/>
        <v>1.2500000000582077</v>
      </c>
      <c r="S4093" s="158">
        <f t="shared" si="676"/>
        <v>0.2452718676237145</v>
      </c>
      <c r="T4093" s="161">
        <f t="shared" si="677"/>
        <v>96.391843976119802</v>
      </c>
      <c r="U4093" s="158">
        <f t="shared" si="679"/>
        <v>77.113475177304963</v>
      </c>
      <c r="V4093" s="160">
        <f t="shared" si="678"/>
        <v>77</v>
      </c>
    </row>
    <row r="4094" spans="1:22" x14ac:dyDescent="0.25">
      <c r="A4094" s="98" t="s">
        <v>29</v>
      </c>
      <c r="B4094" s="98" t="s">
        <v>105</v>
      </c>
      <c r="C4094" s="98">
        <v>145</v>
      </c>
      <c r="D4094" s="98">
        <v>262</v>
      </c>
      <c r="E4094" s="157">
        <v>42366.958333333336</v>
      </c>
      <c r="F4094" s="157">
        <v>42367.081944444442</v>
      </c>
      <c r="G4094" s="98">
        <v>330</v>
      </c>
      <c r="H4094" s="98">
        <v>423</v>
      </c>
      <c r="I4094" s="98">
        <v>393</v>
      </c>
      <c r="J4094" s="98" t="s">
        <v>2640</v>
      </c>
      <c r="K4094" s="98" t="s">
        <v>3707</v>
      </c>
      <c r="L4094" s="105" t="str">
        <f t="shared" si="670"/>
        <v>Mill Creek</v>
      </c>
      <c r="M4094" s="105" t="str">
        <f t="shared" si="671"/>
        <v>Derate</v>
      </c>
      <c r="N4094" s="105" t="str">
        <f t="shared" si="672"/>
        <v>Coal</v>
      </c>
      <c r="O4094" s="105">
        <f>IFERROR(VLOOKUP(A4094,Lookup!$J$5:$P$19,7,FALSE),0)</f>
        <v>3</v>
      </c>
      <c r="P4094" s="159">
        <f t="shared" si="673"/>
        <v>2015</v>
      </c>
      <c r="Q4094" s="159">
        <f t="shared" si="674"/>
        <v>12</v>
      </c>
      <c r="R4094" s="160">
        <f t="shared" si="675"/>
        <v>2.9666666665580124</v>
      </c>
      <c r="S4094" s="158">
        <f t="shared" si="676"/>
        <v>0.6522458628602722</v>
      </c>
      <c r="T4094" s="161">
        <f t="shared" si="677"/>
        <v>256.33262410408696</v>
      </c>
      <c r="U4094" s="158">
        <f t="shared" si="679"/>
        <v>86.40425531914893</v>
      </c>
      <c r="V4094" s="160">
        <f t="shared" si="678"/>
        <v>86</v>
      </c>
    </row>
    <row r="4095" spans="1:22" x14ac:dyDescent="0.25">
      <c r="A4095" s="98" t="s">
        <v>29</v>
      </c>
      <c r="B4095" s="98" t="s">
        <v>105</v>
      </c>
      <c r="C4095" s="98">
        <v>146</v>
      </c>
      <c r="D4095" s="98">
        <v>260</v>
      </c>
      <c r="E4095" s="157">
        <v>42368.897222222222</v>
      </c>
      <c r="F4095" s="157">
        <v>42369.081944444442</v>
      </c>
      <c r="G4095" s="98">
        <v>330</v>
      </c>
      <c r="H4095" s="98">
        <v>423</v>
      </c>
      <c r="I4095" s="98">
        <v>393</v>
      </c>
      <c r="J4095" s="98" t="s">
        <v>1973</v>
      </c>
      <c r="K4095" s="98" t="s">
        <v>3708</v>
      </c>
      <c r="L4095" s="105" t="str">
        <f t="shared" si="670"/>
        <v>Mill Creek</v>
      </c>
      <c r="M4095" s="105" t="str">
        <f t="shared" si="671"/>
        <v>Derate</v>
      </c>
      <c r="N4095" s="105" t="str">
        <f t="shared" si="672"/>
        <v>Coal</v>
      </c>
      <c r="O4095" s="105">
        <f>IFERROR(VLOOKUP(A4095,Lookup!$J$5:$P$19,7,FALSE),0)</f>
        <v>3</v>
      </c>
      <c r="P4095" s="159">
        <f t="shared" si="673"/>
        <v>2015</v>
      </c>
      <c r="Q4095" s="159">
        <f t="shared" si="674"/>
        <v>12</v>
      </c>
      <c r="R4095" s="160">
        <f t="shared" si="675"/>
        <v>4.4333333332906477</v>
      </c>
      <c r="S4095" s="158">
        <f t="shared" si="676"/>
        <v>0.97470449171638351</v>
      </c>
      <c r="T4095" s="161">
        <f t="shared" si="677"/>
        <v>383.05886524453871</v>
      </c>
      <c r="U4095" s="158">
        <f t="shared" si="679"/>
        <v>86.40425531914893</v>
      </c>
      <c r="V4095" s="160">
        <f t="shared" si="678"/>
        <v>86</v>
      </c>
    </row>
    <row r="4096" spans="1:22" x14ac:dyDescent="0.25">
      <c r="A4096" s="98" t="s">
        <v>29</v>
      </c>
      <c r="B4096" s="98" t="s">
        <v>105</v>
      </c>
      <c r="C4096" s="98">
        <v>1</v>
      </c>
      <c r="D4096" s="98">
        <v>260</v>
      </c>
      <c r="E4096" s="157">
        <v>42372.916666666664</v>
      </c>
      <c r="F4096" s="157">
        <v>42373.208333333336</v>
      </c>
      <c r="G4096" s="98">
        <v>330</v>
      </c>
      <c r="H4096" s="98">
        <v>423</v>
      </c>
      <c r="I4096" s="98">
        <v>393</v>
      </c>
      <c r="J4096" s="98" t="s">
        <v>1973</v>
      </c>
      <c r="K4096" s="98" t="s">
        <v>3709</v>
      </c>
      <c r="L4096" s="105" t="str">
        <f t="shared" si="670"/>
        <v>Mill Creek</v>
      </c>
      <c r="M4096" s="105" t="str">
        <f t="shared" si="671"/>
        <v>Derate</v>
      </c>
      <c r="N4096" s="105" t="str">
        <f t="shared" si="672"/>
        <v>Coal</v>
      </c>
      <c r="O4096" s="105">
        <f>IFERROR(VLOOKUP(A4096,Lookup!$J$5:$P$19,7,FALSE),0)</f>
        <v>3</v>
      </c>
      <c r="P4096" s="159">
        <f t="shared" si="673"/>
        <v>2016</v>
      </c>
      <c r="Q4096" s="159">
        <f t="shared" si="674"/>
        <v>1</v>
      </c>
      <c r="R4096" s="160">
        <f t="shared" si="675"/>
        <v>7.0000000001164153</v>
      </c>
      <c r="S4096" s="158">
        <f t="shared" si="676"/>
        <v>1.5390070922241763</v>
      </c>
      <c r="T4096" s="161">
        <f t="shared" si="677"/>
        <v>604.82978724410134</v>
      </c>
      <c r="U4096" s="158">
        <f t="shared" si="679"/>
        <v>86.40425531914893</v>
      </c>
      <c r="V4096" s="160">
        <f t="shared" si="678"/>
        <v>86</v>
      </c>
    </row>
    <row r="4097" spans="1:22" x14ac:dyDescent="0.25">
      <c r="A4097" s="98" t="s">
        <v>29</v>
      </c>
      <c r="B4097" s="98" t="s">
        <v>17</v>
      </c>
      <c r="C4097" s="98">
        <v>2</v>
      </c>
      <c r="D4097" s="98">
        <v>260</v>
      </c>
      <c r="E4097" s="157">
        <v>42374.160416666666</v>
      </c>
      <c r="F4097" s="157">
        <v>42374.317361111112</v>
      </c>
      <c r="G4097" s="98">
        <v>320</v>
      </c>
      <c r="H4097" s="98">
        <v>423</v>
      </c>
      <c r="I4097" s="98">
        <v>393</v>
      </c>
      <c r="J4097" s="98" t="s">
        <v>1973</v>
      </c>
      <c r="K4097" s="98" t="s">
        <v>3710</v>
      </c>
      <c r="L4097" s="105" t="str">
        <f t="shared" si="670"/>
        <v>Mill Creek</v>
      </c>
      <c r="M4097" s="105" t="str">
        <f t="shared" si="671"/>
        <v>Derate</v>
      </c>
      <c r="N4097" s="105" t="str">
        <f t="shared" si="672"/>
        <v>Coal</v>
      </c>
      <c r="O4097" s="105">
        <f>IFERROR(VLOOKUP(A4097,Lookup!$J$5:$P$19,7,FALSE),0)</f>
        <v>3</v>
      </c>
      <c r="P4097" s="159">
        <f t="shared" si="673"/>
        <v>2016</v>
      </c>
      <c r="Q4097" s="159">
        <f t="shared" si="674"/>
        <v>1</v>
      </c>
      <c r="R4097" s="160">
        <f t="shared" si="675"/>
        <v>3.7666666667209938</v>
      </c>
      <c r="S4097" s="158">
        <f t="shared" si="676"/>
        <v>0.91717888102189682</v>
      </c>
      <c r="T4097" s="161">
        <f t="shared" si="677"/>
        <v>360.45130024160545</v>
      </c>
      <c r="U4097" s="158">
        <f t="shared" si="679"/>
        <v>95.695035460992912</v>
      </c>
      <c r="V4097" s="160">
        <f t="shared" si="678"/>
        <v>96</v>
      </c>
    </row>
    <row r="4098" spans="1:22" x14ac:dyDescent="0.25">
      <c r="A4098" s="98" t="s">
        <v>29</v>
      </c>
      <c r="B4098" s="98" t="s">
        <v>105</v>
      </c>
      <c r="C4098" s="98">
        <v>3</v>
      </c>
      <c r="D4098" s="98">
        <v>270</v>
      </c>
      <c r="E4098" s="157">
        <v>42376.958333333336</v>
      </c>
      <c r="F4098" s="157">
        <v>42377.186111111114</v>
      </c>
      <c r="G4098" s="98">
        <v>320</v>
      </c>
      <c r="H4098" s="98">
        <v>423</v>
      </c>
      <c r="I4098" s="98">
        <v>393</v>
      </c>
      <c r="J4098" s="98" t="s">
        <v>2031</v>
      </c>
      <c r="K4098" s="98" t="s">
        <v>3711</v>
      </c>
      <c r="L4098" s="105" t="str">
        <f t="shared" si="670"/>
        <v>Mill Creek</v>
      </c>
      <c r="M4098" s="105" t="str">
        <f t="shared" si="671"/>
        <v>Derate</v>
      </c>
      <c r="N4098" s="105" t="str">
        <f t="shared" si="672"/>
        <v>Coal</v>
      </c>
      <c r="O4098" s="105">
        <f>IFERROR(VLOOKUP(A4098,Lookup!$J$5:$P$19,7,FALSE),0)</f>
        <v>3</v>
      </c>
      <c r="P4098" s="159">
        <f t="shared" si="673"/>
        <v>2016</v>
      </c>
      <c r="Q4098" s="159">
        <f t="shared" si="674"/>
        <v>1</v>
      </c>
      <c r="R4098" s="160">
        <f t="shared" si="675"/>
        <v>5.4666666666744277</v>
      </c>
      <c r="S4098" s="158">
        <f t="shared" si="676"/>
        <v>1.3311268715542932</v>
      </c>
      <c r="T4098" s="161">
        <f t="shared" si="677"/>
        <v>523.1328605208372</v>
      </c>
      <c r="U4098" s="158">
        <f t="shared" si="679"/>
        <v>95.695035460992912</v>
      </c>
      <c r="V4098" s="160">
        <f t="shared" si="678"/>
        <v>96</v>
      </c>
    </row>
    <row r="4099" spans="1:22" x14ac:dyDescent="0.25">
      <c r="A4099" s="98" t="s">
        <v>29</v>
      </c>
      <c r="B4099" s="98" t="s">
        <v>105</v>
      </c>
      <c r="C4099" s="98">
        <v>4</v>
      </c>
      <c r="D4099" s="98">
        <v>260</v>
      </c>
      <c r="E4099" s="157">
        <v>42377.34375</v>
      </c>
      <c r="F4099" s="157">
        <v>42377.508333333331</v>
      </c>
      <c r="G4099" s="98">
        <v>320</v>
      </c>
      <c r="H4099" s="98">
        <v>423</v>
      </c>
      <c r="I4099" s="98">
        <v>393</v>
      </c>
      <c r="J4099" s="98" t="s">
        <v>1973</v>
      </c>
      <c r="K4099" s="98" t="s">
        <v>3712</v>
      </c>
      <c r="L4099" s="105" t="str">
        <f t="shared" si="670"/>
        <v>Mill Creek</v>
      </c>
      <c r="M4099" s="105" t="str">
        <f t="shared" si="671"/>
        <v>Derate</v>
      </c>
      <c r="N4099" s="105" t="str">
        <f t="shared" si="672"/>
        <v>Coal</v>
      </c>
      <c r="O4099" s="105">
        <f>IFERROR(VLOOKUP(A4099,Lookup!$J$5:$P$19,7,FALSE),0)</f>
        <v>3</v>
      </c>
      <c r="P4099" s="159">
        <f t="shared" si="673"/>
        <v>2016</v>
      </c>
      <c r="Q4099" s="159">
        <f t="shared" si="674"/>
        <v>1</v>
      </c>
      <c r="R4099" s="160">
        <f t="shared" si="675"/>
        <v>3.9499999999534339</v>
      </c>
      <c r="S4099" s="158">
        <f t="shared" si="676"/>
        <v>0.96182033095792829</v>
      </c>
      <c r="T4099" s="161">
        <f t="shared" si="677"/>
        <v>377.9953900664658</v>
      </c>
      <c r="U4099" s="158">
        <f t="shared" si="679"/>
        <v>95.695035460992912</v>
      </c>
      <c r="V4099" s="160">
        <f t="shared" si="678"/>
        <v>96</v>
      </c>
    </row>
    <row r="4100" spans="1:22" x14ac:dyDescent="0.25">
      <c r="A4100" s="98" t="s">
        <v>29</v>
      </c>
      <c r="B4100" s="98" t="s">
        <v>20</v>
      </c>
      <c r="C4100" s="98">
        <v>5</v>
      </c>
      <c r="D4100" s="98">
        <v>1000</v>
      </c>
      <c r="E4100" s="157">
        <v>42382.93472222222</v>
      </c>
      <c r="F4100" s="157">
        <v>42385.147222222222</v>
      </c>
      <c r="G4100" s="98">
        <v>0</v>
      </c>
      <c r="H4100" s="98">
        <v>423</v>
      </c>
      <c r="I4100" s="98">
        <v>393</v>
      </c>
      <c r="J4100" s="98" t="s">
        <v>2002</v>
      </c>
      <c r="K4100" s="98" t="s">
        <v>3713</v>
      </c>
      <c r="L4100" s="105" t="str">
        <f t="shared" si="670"/>
        <v>Mill Creek</v>
      </c>
      <c r="M4100" s="105" t="str">
        <f t="shared" si="671"/>
        <v>Maintenance</v>
      </c>
      <c r="N4100" s="105" t="str">
        <f t="shared" si="672"/>
        <v>Coal</v>
      </c>
      <c r="O4100" s="105">
        <f>IFERROR(VLOOKUP(A4100,Lookup!$J$5:$P$19,7,FALSE),0)</f>
        <v>3</v>
      </c>
      <c r="P4100" s="159">
        <f t="shared" si="673"/>
        <v>2016</v>
      </c>
      <c r="Q4100" s="159">
        <f t="shared" si="674"/>
        <v>1</v>
      </c>
      <c r="R4100" s="160">
        <f t="shared" si="675"/>
        <v>53.100000000034925</v>
      </c>
      <c r="S4100" s="158">
        <f t="shared" si="676"/>
        <v>53.100000000034925</v>
      </c>
      <c r="T4100" s="161">
        <f t="shared" si="677"/>
        <v>20868.300000013725</v>
      </c>
      <c r="U4100" s="158">
        <f t="shared" si="679"/>
        <v>393</v>
      </c>
      <c r="V4100" s="160">
        <f t="shared" si="678"/>
        <v>393</v>
      </c>
    </row>
    <row r="4101" spans="1:22" x14ac:dyDescent="0.25">
      <c r="A4101" s="98" t="s">
        <v>29</v>
      </c>
      <c r="B4101" s="98" t="s">
        <v>79</v>
      </c>
      <c r="C4101" s="98">
        <v>6</v>
      </c>
      <c r="D4101" s="98">
        <v>1850</v>
      </c>
      <c r="E4101" s="157">
        <v>42385.147222222222</v>
      </c>
      <c r="F4101" s="157">
        <v>42385.647222222222</v>
      </c>
      <c r="G4101" s="98">
        <v>0</v>
      </c>
      <c r="H4101" s="98">
        <v>423</v>
      </c>
      <c r="I4101" s="98">
        <v>393</v>
      </c>
      <c r="J4101" s="98" t="s">
        <v>2263</v>
      </c>
      <c r="K4101" s="98" t="s">
        <v>85</v>
      </c>
      <c r="L4101" s="105" t="str">
        <f t="shared" si="670"/>
        <v>Mill Creek</v>
      </c>
      <c r="M4101" s="105" t="str">
        <f t="shared" si="671"/>
        <v>Other</v>
      </c>
      <c r="N4101" s="105" t="str">
        <f t="shared" si="672"/>
        <v>Coal</v>
      </c>
      <c r="O4101" s="105">
        <f>IFERROR(VLOOKUP(A4101,Lookup!$J$5:$P$19,7,FALSE),0)</f>
        <v>3</v>
      </c>
      <c r="P4101" s="159">
        <f t="shared" si="673"/>
        <v>2016</v>
      </c>
      <c r="Q4101" s="159">
        <f t="shared" si="674"/>
        <v>1</v>
      </c>
      <c r="R4101" s="160">
        <f t="shared" si="675"/>
        <v>12</v>
      </c>
      <c r="S4101" s="158">
        <f t="shared" si="676"/>
        <v>12</v>
      </c>
      <c r="T4101" s="161">
        <f t="shared" si="677"/>
        <v>4716</v>
      </c>
      <c r="U4101" s="158">
        <f t="shared" si="679"/>
        <v>393</v>
      </c>
      <c r="V4101" s="160">
        <f t="shared" si="678"/>
        <v>393</v>
      </c>
    </row>
    <row r="4102" spans="1:22" x14ac:dyDescent="0.25">
      <c r="A4102" s="98" t="s">
        <v>29</v>
      </c>
      <c r="B4102" s="98" t="s">
        <v>17</v>
      </c>
      <c r="C4102" s="98">
        <v>7</v>
      </c>
      <c r="D4102" s="98">
        <v>1850</v>
      </c>
      <c r="E4102" s="157">
        <v>42385.647222222222</v>
      </c>
      <c r="F4102" s="157">
        <v>42386.191666666666</v>
      </c>
      <c r="G4102" s="98">
        <v>360</v>
      </c>
      <c r="H4102" s="98">
        <v>423</v>
      </c>
      <c r="I4102" s="98">
        <v>393</v>
      </c>
      <c r="J4102" s="98" t="s">
        <v>2263</v>
      </c>
      <c r="K4102" s="98" t="s">
        <v>41</v>
      </c>
      <c r="L4102" s="105" t="str">
        <f t="shared" si="670"/>
        <v>Mill Creek</v>
      </c>
      <c r="M4102" s="105" t="str">
        <f t="shared" si="671"/>
        <v>Derate</v>
      </c>
      <c r="N4102" s="105" t="str">
        <f t="shared" si="672"/>
        <v>Coal</v>
      </c>
      <c r="O4102" s="105">
        <f>IFERROR(VLOOKUP(A4102,Lookup!$J$5:$P$19,7,FALSE),0)</f>
        <v>3</v>
      </c>
      <c r="P4102" s="159">
        <f t="shared" si="673"/>
        <v>2016</v>
      </c>
      <c r="Q4102" s="159">
        <f t="shared" si="674"/>
        <v>1</v>
      </c>
      <c r="R4102" s="160">
        <f t="shared" si="675"/>
        <v>13.066666666651145</v>
      </c>
      <c r="S4102" s="158">
        <f t="shared" si="676"/>
        <v>1.9460992907778301</v>
      </c>
      <c r="T4102" s="161">
        <f t="shared" si="677"/>
        <v>764.81702127568724</v>
      </c>
      <c r="U4102" s="158">
        <f t="shared" si="679"/>
        <v>58.531914893617021</v>
      </c>
      <c r="V4102" s="160">
        <f t="shared" si="678"/>
        <v>59</v>
      </c>
    </row>
    <row r="4103" spans="1:22" x14ac:dyDescent="0.25">
      <c r="A4103" s="98" t="s">
        <v>29</v>
      </c>
      <c r="B4103" s="98" t="s">
        <v>17</v>
      </c>
      <c r="C4103" s="98">
        <v>8</v>
      </c>
      <c r="D4103" s="98">
        <v>1850</v>
      </c>
      <c r="E4103" s="157">
        <v>42386.191666666666</v>
      </c>
      <c r="F4103" s="157">
        <v>42386.689583333333</v>
      </c>
      <c r="G4103" s="98">
        <v>370</v>
      </c>
      <c r="H4103" s="98">
        <v>423</v>
      </c>
      <c r="I4103" s="98">
        <v>393</v>
      </c>
      <c r="J4103" s="98" t="s">
        <v>2263</v>
      </c>
      <c r="K4103" s="98" t="s">
        <v>41</v>
      </c>
      <c r="L4103" s="105" t="str">
        <f t="shared" si="670"/>
        <v>Mill Creek</v>
      </c>
      <c r="M4103" s="105" t="str">
        <f t="shared" si="671"/>
        <v>Derate</v>
      </c>
      <c r="N4103" s="105" t="str">
        <f t="shared" si="672"/>
        <v>Coal</v>
      </c>
      <c r="O4103" s="105">
        <f>IFERROR(VLOOKUP(A4103,Lookup!$J$5:$P$19,7,FALSE),0)</f>
        <v>3</v>
      </c>
      <c r="P4103" s="159">
        <f t="shared" si="673"/>
        <v>2016</v>
      </c>
      <c r="Q4103" s="159">
        <f t="shared" si="674"/>
        <v>1</v>
      </c>
      <c r="R4103" s="160">
        <f t="shared" si="675"/>
        <v>11.950000000011642</v>
      </c>
      <c r="S4103" s="158">
        <f t="shared" si="676"/>
        <v>1.4972813238785272</v>
      </c>
      <c r="T4103" s="161">
        <f t="shared" si="677"/>
        <v>588.4315602842612</v>
      </c>
      <c r="U4103" s="158">
        <f t="shared" si="679"/>
        <v>49.241134751773046</v>
      </c>
      <c r="V4103" s="160">
        <f t="shared" si="678"/>
        <v>49</v>
      </c>
    </row>
    <row r="4104" spans="1:22" x14ac:dyDescent="0.25">
      <c r="A4104" s="98" t="s">
        <v>29</v>
      </c>
      <c r="B4104" s="98" t="s">
        <v>17</v>
      </c>
      <c r="C4104" s="98">
        <v>9</v>
      </c>
      <c r="D4104" s="98">
        <v>1850</v>
      </c>
      <c r="E4104" s="157">
        <v>42386.689583333333</v>
      </c>
      <c r="F4104" s="157">
        <v>42386.831250000003</v>
      </c>
      <c r="G4104" s="98">
        <v>387</v>
      </c>
      <c r="H4104" s="98">
        <v>423</v>
      </c>
      <c r="I4104" s="98">
        <v>393</v>
      </c>
      <c r="J4104" s="98" t="s">
        <v>2263</v>
      </c>
      <c r="K4104" s="98" t="s">
        <v>41</v>
      </c>
      <c r="L4104" s="105" t="str">
        <f t="shared" si="670"/>
        <v>Mill Creek</v>
      </c>
      <c r="M4104" s="105" t="str">
        <f t="shared" si="671"/>
        <v>Derate</v>
      </c>
      <c r="N4104" s="105" t="str">
        <f t="shared" si="672"/>
        <v>Coal</v>
      </c>
      <c r="O4104" s="105">
        <f>IFERROR(VLOOKUP(A4104,Lookup!$J$5:$P$19,7,FALSE),0)</f>
        <v>3</v>
      </c>
      <c r="P4104" s="159">
        <f t="shared" si="673"/>
        <v>2016</v>
      </c>
      <c r="Q4104" s="159">
        <f t="shared" si="674"/>
        <v>1</v>
      </c>
      <c r="R4104" s="160">
        <f t="shared" si="675"/>
        <v>3.4000000000814907</v>
      </c>
      <c r="S4104" s="158">
        <f t="shared" si="676"/>
        <v>0.28936170213459494</v>
      </c>
      <c r="T4104" s="161">
        <f t="shared" si="677"/>
        <v>113.71914893889581</v>
      </c>
      <c r="U4104" s="158">
        <f t="shared" si="679"/>
        <v>33.446808510638299</v>
      </c>
      <c r="V4104" s="160">
        <f t="shared" si="678"/>
        <v>33</v>
      </c>
    </row>
    <row r="4105" spans="1:22" x14ac:dyDescent="0.25">
      <c r="A4105" s="98" t="s">
        <v>29</v>
      </c>
      <c r="B4105" s="98" t="s">
        <v>17</v>
      </c>
      <c r="C4105" s="98">
        <v>10</v>
      </c>
      <c r="D4105" s="98">
        <v>385</v>
      </c>
      <c r="E4105" s="157">
        <v>42396.729166666664</v>
      </c>
      <c r="F4105" s="157">
        <v>42396.772916666669</v>
      </c>
      <c r="G4105" s="98">
        <v>350</v>
      </c>
      <c r="H4105" s="98">
        <v>423</v>
      </c>
      <c r="I4105" s="98">
        <v>393</v>
      </c>
      <c r="J4105" s="98" t="s">
        <v>228</v>
      </c>
      <c r="K4105" s="98" t="s">
        <v>3714</v>
      </c>
      <c r="L4105" s="105" t="str">
        <f t="shared" si="670"/>
        <v>Mill Creek</v>
      </c>
      <c r="M4105" s="105" t="str">
        <f t="shared" si="671"/>
        <v>Derate</v>
      </c>
      <c r="N4105" s="105" t="str">
        <f t="shared" si="672"/>
        <v>Coal</v>
      </c>
      <c r="O4105" s="105">
        <f>IFERROR(VLOOKUP(A4105,Lookup!$J$5:$P$19,7,FALSE),0)</f>
        <v>3</v>
      </c>
      <c r="P4105" s="159">
        <f t="shared" si="673"/>
        <v>2016</v>
      </c>
      <c r="Q4105" s="159">
        <f t="shared" si="674"/>
        <v>1</v>
      </c>
      <c r="R4105" s="160">
        <f t="shared" si="675"/>
        <v>1.0500000001047738</v>
      </c>
      <c r="S4105" s="158">
        <f t="shared" si="676"/>
        <v>0.18120567377694677</v>
      </c>
      <c r="T4105" s="161">
        <f t="shared" si="677"/>
        <v>71.213829794340086</v>
      </c>
      <c r="U4105" s="158">
        <f t="shared" si="679"/>
        <v>67.822695035460995</v>
      </c>
      <c r="V4105" s="160">
        <f t="shared" si="678"/>
        <v>68</v>
      </c>
    </row>
    <row r="4106" spans="1:22" x14ac:dyDescent="0.25">
      <c r="A4106" s="98" t="s">
        <v>29</v>
      </c>
      <c r="B4106" s="98" t="s">
        <v>105</v>
      </c>
      <c r="C4106" s="98">
        <v>11</v>
      </c>
      <c r="D4106" s="98">
        <v>350</v>
      </c>
      <c r="E4106" s="157">
        <v>42396.958333333336</v>
      </c>
      <c r="F4106" s="157">
        <v>42397.015277777777</v>
      </c>
      <c r="G4106" s="98">
        <v>335</v>
      </c>
      <c r="H4106" s="98">
        <v>423</v>
      </c>
      <c r="I4106" s="98">
        <v>393</v>
      </c>
      <c r="J4106" s="98" t="s">
        <v>1976</v>
      </c>
      <c r="K4106" s="98" t="s">
        <v>3715</v>
      </c>
      <c r="L4106" s="105" t="str">
        <f t="shared" si="670"/>
        <v>Mill Creek</v>
      </c>
      <c r="M4106" s="105" t="str">
        <f t="shared" si="671"/>
        <v>Derate</v>
      </c>
      <c r="N4106" s="105" t="str">
        <f t="shared" si="672"/>
        <v>Coal</v>
      </c>
      <c r="O4106" s="105">
        <f>IFERROR(VLOOKUP(A4106,Lookup!$J$5:$P$19,7,FALSE),0)</f>
        <v>3</v>
      </c>
      <c r="P4106" s="159">
        <f t="shared" si="673"/>
        <v>2016</v>
      </c>
      <c r="Q4106" s="159">
        <f t="shared" si="674"/>
        <v>1</v>
      </c>
      <c r="R4106" s="160">
        <f t="shared" si="675"/>
        <v>1.3666666665812954</v>
      </c>
      <c r="S4106" s="158">
        <f t="shared" si="676"/>
        <v>0.28431836089634516</v>
      </c>
      <c r="T4106" s="161">
        <f t="shared" si="677"/>
        <v>111.73711583226364</v>
      </c>
      <c r="U4106" s="158">
        <f t="shared" si="679"/>
        <v>81.758865248226954</v>
      </c>
      <c r="V4106" s="160">
        <f t="shared" si="678"/>
        <v>82</v>
      </c>
    </row>
    <row r="4107" spans="1:22" x14ac:dyDescent="0.25">
      <c r="A4107" s="98" t="s">
        <v>29</v>
      </c>
      <c r="B4107" s="98" t="s">
        <v>105</v>
      </c>
      <c r="C4107" s="98">
        <v>12</v>
      </c>
      <c r="D4107" s="98">
        <v>350</v>
      </c>
      <c r="E4107" s="157">
        <v>42397.015277777777</v>
      </c>
      <c r="F4107" s="157">
        <v>42397.058333333334</v>
      </c>
      <c r="G4107" s="98">
        <v>320</v>
      </c>
      <c r="H4107" s="98">
        <v>423</v>
      </c>
      <c r="I4107" s="98">
        <v>393</v>
      </c>
      <c r="J4107" s="98" t="s">
        <v>1976</v>
      </c>
      <c r="K4107" s="98" t="s">
        <v>3715</v>
      </c>
      <c r="L4107" s="105" t="str">
        <f t="shared" si="670"/>
        <v>Mill Creek</v>
      </c>
      <c r="M4107" s="105" t="str">
        <f t="shared" si="671"/>
        <v>Derate</v>
      </c>
      <c r="N4107" s="105" t="str">
        <f t="shared" si="672"/>
        <v>Coal</v>
      </c>
      <c r="O4107" s="105">
        <f>IFERROR(VLOOKUP(A4107,Lookup!$J$5:$P$19,7,FALSE),0)</f>
        <v>3</v>
      </c>
      <c r="P4107" s="159">
        <f t="shared" si="673"/>
        <v>2016</v>
      </c>
      <c r="Q4107" s="159">
        <f t="shared" si="674"/>
        <v>1</v>
      </c>
      <c r="R4107" s="160">
        <f t="shared" si="675"/>
        <v>1.03333333338378</v>
      </c>
      <c r="S4107" s="158">
        <f t="shared" si="676"/>
        <v>0.25161544524475021</v>
      </c>
      <c r="T4107" s="161">
        <f t="shared" si="677"/>
        <v>98.884869981186839</v>
      </c>
      <c r="U4107" s="158">
        <f t="shared" si="679"/>
        <v>95.695035460992912</v>
      </c>
      <c r="V4107" s="160">
        <f t="shared" si="678"/>
        <v>96</v>
      </c>
    </row>
    <row r="4108" spans="1:22" x14ac:dyDescent="0.25">
      <c r="A4108" s="98" t="s">
        <v>29</v>
      </c>
      <c r="B4108" s="98" t="s">
        <v>79</v>
      </c>
      <c r="C4108" s="98">
        <v>13</v>
      </c>
      <c r="D4108" s="98">
        <v>9999</v>
      </c>
      <c r="E4108" s="157">
        <v>42405.342361111114</v>
      </c>
      <c r="F4108" s="157">
        <v>42405.557638888888</v>
      </c>
      <c r="G4108" s="98">
        <v>0</v>
      </c>
      <c r="H4108" s="98">
        <v>423</v>
      </c>
      <c r="I4108" s="98">
        <v>393</v>
      </c>
      <c r="J4108" s="98" t="s">
        <v>2261</v>
      </c>
      <c r="K4108" s="98" t="s">
        <v>3716</v>
      </c>
      <c r="L4108" s="105" t="str">
        <f t="shared" si="670"/>
        <v>Mill Creek</v>
      </c>
      <c r="M4108" s="105" t="str">
        <f t="shared" si="671"/>
        <v>Other</v>
      </c>
      <c r="N4108" s="105" t="str">
        <f t="shared" si="672"/>
        <v>Coal</v>
      </c>
      <c r="O4108" s="105">
        <f>IFERROR(VLOOKUP(A4108,Lookup!$J$5:$P$19,7,FALSE),0)</f>
        <v>3</v>
      </c>
      <c r="P4108" s="159">
        <f t="shared" si="673"/>
        <v>2016</v>
      </c>
      <c r="Q4108" s="159">
        <f t="shared" si="674"/>
        <v>2</v>
      </c>
      <c r="R4108" s="160">
        <f t="shared" si="675"/>
        <v>5.1666666665696539</v>
      </c>
      <c r="S4108" s="158">
        <f t="shared" si="676"/>
        <v>5.1666666665696539</v>
      </c>
      <c r="T4108" s="161">
        <f t="shared" si="677"/>
        <v>2030.499999961874</v>
      </c>
      <c r="U4108" s="158">
        <f t="shared" si="679"/>
        <v>393</v>
      </c>
      <c r="V4108" s="160">
        <f t="shared" si="678"/>
        <v>393</v>
      </c>
    </row>
    <row r="4109" spans="1:22" x14ac:dyDescent="0.25">
      <c r="A4109" s="98" t="s">
        <v>29</v>
      </c>
      <c r="B4109" s="98" t="s">
        <v>17</v>
      </c>
      <c r="C4109" s="98">
        <v>14</v>
      </c>
      <c r="D4109" s="98">
        <v>1850</v>
      </c>
      <c r="E4109" s="157">
        <v>42409.522916666669</v>
      </c>
      <c r="F4109" s="157">
        <v>42410.340277777781</v>
      </c>
      <c r="G4109" s="98">
        <v>404</v>
      </c>
      <c r="H4109" s="98">
        <v>423</v>
      </c>
      <c r="I4109" s="98">
        <v>393</v>
      </c>
      <c r="J4109" s="98" t="s">
        <v>2263</v>
      </c>
      <c r="K4109" s="98" t="s">
        <v>62</v>
      </c>
      <c r="L4109" s="105" t="str">
        <f t="shared" si="670"/>
        <v>Mill Creek</v>
      </c>
      <c r="M4109" s="105" t="str">
        <f t="shared" si="671"/>
        <v>Derate</v>
      </c>
      <c r="N4109" s="105" t="str">
        <f t="shared" si="672"/>
        <v>Coal</v>
      </c>
      <c r="O4109" s="105">
        <f>IFERROR(VLOOKUP(A4109,Lookup!$J$5:$P$19,7,FALSE),0)</f>
        <v>3</v>
      </c>
      <c r="P4109" s="159">
        <f t="shared" si="673"/>
        <v>2016</v>
      </c>
      <c r="Q4109" s="159">
        <f t="shared" si="674"/>
        <v>2</v>
      </c>
      <c r="R4109" s="160">
        <f t="shared" si="675"/>
        <v>19.616666666697711</v>
      </c>
      <c r="S4109" s="158">
        <f t="shared" si="676"/>
        <v>0.88112687155379787</v>
      </c>
      <c r="T4109" s="161">
        <f t="shared" si="677"/>
        <v>346.28286052064254</v>
      </c>
      <c r="U4109" s="158">
        <f t="shared" si="679"/>
        <v>17.652482269503547</v>
      </c>
      <c r="V4109" s="160">
        <f t="shared" si="678"/>
        <v>18</v>
      </c>
    </row>
    <row r="4110" spans="1:22" x14ac:dyDescent="0.25">
      <c r="A4110" s="98" t="s">
        <v>29</v>
      </c>
      <c r="B4110" s="98" t="s">
        <v>17</v>
      </c>
      <c r="C4110" s="98">
        <v>15</v>
      </c>
      <c r="D4110" s="98">
        <v>3869</v>
      </c>
      <c r="E4110" s="157">
        <v>42413.592361111114</v>
      </c>
      <c r="F4110" s="157">
        <v>42414.378472222219</v>
      </c>
      <c r="G4110" s="98">
        <v>340</v>
      </c>
      <c r="H4110" s="98">
        <v>423</v>
      </c>
      <c r="I4110" s="98">
        <v>393</v>
      </c>
      <c r="J4110" s="98" t="s">
        <v>2240</v>
      </c>
      <c r="K4110" s="98" t="s">
        <v>3717</v>
      </c>
      <c r="L4110" s="105" t="str">
        <f t="shared" si="670"/>
        <v>Mill Creek</v>
      </c>
      <c r="M4110" s="105" t="str">
        <f t="shared" si="671"/>
        <v>Derate</v>
      </c>
      <c r="N4110" s="105" t="str">
        <f t="shared" si="672"/>
        <v>Coal</v>
      </c>
      <c r="O4110" s="105">
        <f>IFERROR(VLOOKUP(A4110,Lookup!$J$5:$P$19,7,FALSE),0)</f>
        <v>3</v>
      </c>
      <c r="P4110" s="159">
        <f t="shared" si="673"/>
        <v>2016</v>
      </c>
      <c r="Q4110" s="159">
        <f t="shared" si="674"/>
        <v>2</v>
      </c>
      <c r="R4110" s="160">
        <f t="shared" si="675"/>
        <v>18.866666666523088</v>
      </c>
      <c r="S4110" s="158">
        <f t="shared" si="676"/>
        <v>3.7019700551333719</v>
      </c>
      <c r="T4110" s="161">
        <f t="shared" si="677"/>
        <v>1454.8742316674152</v>
      </c>
      <c r="U4110" s="158">
        <f t="shared" si="679"/>
        <v>77.113475177304963</v>
      </c>
      <c r="V4110" s="160">
        <f t="shared" si="678"/>
        <v>77</v>
      </c>
    </row>
    <row r="4111" spans="1:22" x14ac:dyDescent="0.25">
      <c r="A4111" s="98" t="s">
        <v>29</v>
      </c>
      <c r="B4111" s="98" t="s">
        <v>17</v>
      </c>
      <c r="C4111" s="98">
        <v>16</v>
      </c>
      <c r="D4111" s="98">
        <v>360</v>
      </c>
      <c r="E4111" s="157">
        <v>42422.425000000003</v>
      </c>
      <c r="F4111" s="157">
        <v>42422.624305555553</v>
      </c>
      <c r="G4111" s="98">
        <v>325</v>
      </c>
      <c r="H4111" s="98">
        <v>423</v>
      </c>
      <c r="I4111" s="98">
        <v>393</v>
      </c>
      <c r="J4111" s="98" t="s">
        <v>229</v>
      </c>
      <c r="K4111" s="98" t="s">
        <v>3718</v>
      </c>
      <c r="L4111" s="105" t="str">
        <f t="shared" si="670"/>
        <v>Mill Creek</v>
      </c>
      <c r="M4111" s="105" t="str">
        <f t="shared" si="671"/>
        <v>Derate</v>
      </c>
      <c r="N4111" s="105" t="str">
        <f t="shared" si="672"/>
        <v>Coal</v>
      </c>
      <c r="O4111" s="105">
        <f>IFERROR(VLOOKUP(A4111,Lookup!$J$5:$P$19,7,FALSE),0)</f>
        <v>3</v>
      </c>
      <c r="P4111" s="159">
        <f t="shared" si="673"/>
        <v>2016</v>
      </c>
      <c r="Q4111" s="159">
        <f t="shared" si="674"/>
        <v>2</v>
      </c>
      <c r="R4111" s="160">
        <f t="shared" si="675"/>
        <v>4.783333333209157</v>
      </c>
      <c r="S4111" s="158">
        <f t="shared" si="676"/>
        <v>1.1081954294432563</v>
      </c>
      <c r="T4111" s="161">
        <f t="shared" si="677"/>
        <v>435.52080377119972</v>
      </c>
      <c r="U4111" s="158">
        <f t="shared" si="679"/>
        <v>91.049645390070921</v>
      </c>
      <c r="V4111" s="160">
        <f t="shared" si="678"/>
        <v>91</v>
      </c>
    </row>
    <row r="4112" spans="1:22" x14ac:dyDescent="0.25">
      <c r="A4112" s="98" t="s">
        <v>29</v>
      </c>
      <c r="B4112" s="98" t="s">
        <v>105</v>
      </c>
      <c r="C4112" s="98">
        <v>17</v>
      </c>
      <c r="D4112" s="98">
        <v>260</v>
      </c>
      <c r="E4112" s="157">
        <v>42429.916666666664</v>
      </c>
      <c r="F4112" s="157">
        <v>42430.222916666666</v>
      </c>
      <c r="G4112" s="98">
        <v>330</v>
      </c>
      <c r="H4112" s="98">
        <v>423</v>
      </c>
      <c r="I4112" s="98">
        <v>393</v>
      </c>
      <c r="J4112" s="98" t="s">
        <v>1973</v>
      </c>
      <c r="K4112" s="98" t="s">
        <v>3719</v>
      </c>
      <c r="L4112" s="105" t="str">
        <f t="shared" si="670"/>
        <v>Mill Creek</v>
      </c>
      <c r="M4112" s="105" t="str">
        <f t="shared" si="671"/>
        <v>Derate</v>
      </c>
      <c r="N4112" s="105" t="str">
        <f t="shared" si="672"/>
        <v>Coal</v>
      </c>
      <c r="O4112" s="105">
        <f>IFERROR(VLOOKUP(A4112,Lookup!$J$5:$P$19,7,FALSE),0)</f>
        <v>3</v>
      </c>
      <c r="P4112" s="159">
        <f t="shared" si="673"/>
        <v>2016</v>
      </c>
      <c r="Q4112" s="159">
        <f t="shared" si="674"/>
        <v>2</v>
      </c>
      <c r="R4112" s="160">
        <f t="shared" si="675"/>
        <v>7.3500000000349246</v>
      </c>
      <c r="S4112" s="158">
        <f t="shared" si="676"/>
        <v>1.615957446816189</v>
      </c>
      <c r="T4112" s="161">
        <f t="shared" si="677"/>
        <v>635.07127659876232</v>
      </c>
      <c r="U4112" s="158">
        <f t="shared" si="679"/>
        <v>86.40425531914893</v>
      </c>
      <c r="V4112" s="160">
        <f t="shared" si="678"/>
        <v>86</v>
      </c>
    </row>
    <row r="4113" spans="1:22" x14ac:dyDescent="0.25">
      <c r="A4113" s="98" t="s">
        <v>29</v>
      </c>
      <c r="B4113" s="98" t="s">
        <v>105</v>
      </c>
      <c r="C4113" s="98">
        <v>18</v>
      </c>
      <c r="D4113" s="98">
        <v>260</v>
      </c>
      <c r="E4113" s="157">
        <v>42431.958333333336</v>
      </c>
      <c r="F4113" s="157">
        <v>42432.288194444445</v>
      </c>
      <c r="G4113" s="98">
        <v>330</v>
      </c>
      <c r="H4113" s="98">
        <v>423</v>
      </c>
      <c r="I4113" s="98">
        <v>393</v>
      </c>
      <c r="J4113" s="98" t="s">
        <v>1973</v>
      </c>
      <c r="K4113" s="98" t="s">
        <v>3720</v>
      </c>
      <c r="L4113" s="105" t="str">
        <f t="shared" si="670"/>
        <v>Mill Creek</v>
      </c>
      <c r="M4113" s="105" t="str">
        <f t="shared" si="671"/>
        <v>Derate</v>
      </c>
      <c r="N4113" s="105" t="str">
        <f t="shared" si="672"/>
        <v>Coal</v>
      </c>
      <c r="O4113" s="105">
        <f>IFERROR(VLOOKUP(A4113,Lookup!$J$5:$P$19,7,FALSE),0)</f>
        <v>3</v>
      </c>
      <c r="P4113" s="159">
        <f t="shared" si="673"/>
        <v>2016</v>
      </c>
      <c r="Q4113" s="159">
        <f t="shared" si="674"/>
        <v>3</v>
      </c>
      <c r="R4113" s="160">
        <f t="shared" si="675"/>
        <v>7.9166666666278616</v>
      </c>
      <c r="S4113" s="158">
        <f t="shared" si="676"/>
        <v>1.7405437352160547</v>
      </c>
      <c r="T4113" s="161">
        <f t="shared" si="677"/>
        <v>684.03368793990944</v>
      </c>
      <c r="U4113" s="158">
        <f t="shared" si="679"/>
        <v>86.40425531914893</v>
      </c>
      <c r="V4113" s="160">
        <f t="shared" si="678"/>
        <v>86</v>
      </c>
    </row>
    <row r="4114" spans="1:22" x14ac:dyDescent="0.25">
      <c r="A4114" s="98" t="s">
        <v>29</v>
      </c>
      <c r="B4114" s="98" t="s">
        <v>17</v>
      </c>
      <c r="C4114" s="98">
        <v>19</v>
      </c>
      <c r="D4114" s="98">
        <v>1850</v>
      </c>
      <c r="E4114" s="157">
        <v>42435.777777777781</v>
      </c>
      <c r="F4114" s="157">
        <v>42436.15902777778</v>
      </c>
      <c r="G4114" s="98">
        <v>350</v>
      </c>
      <c r="H4114" s="98">
        <v>423</v>
      </c>
      <c r="I4114" s="98">
        <v>393</v>
      </c>
      <c r="J4114" s="98" t="s">
        <v>2263</v>
      </c>
      <c r="K4114" s="98" t="s">
        <v>62</v>
      </c>
      <c r="L4114" s="105" t="str">
        <f t="shared" si="670"/>
        <v>Mill Creek</v>
      </c>
      <c r="M4114" s="105" t="str">
        <f t="shared" si="671"/>
        <v>Derate</v>
      </c>
      <c r="N4114" s="105" t="str">
        <f t="shared" si="672"/>
        <v>Coal</v>
      </c>
      <c r="O4114" s="105">
        <f>IFERROR(VLOOKUP(A4114,Lookup!$J$5:$P$19,7,FALSE),0)</f>
        <v>3</v>
      </c>
      <c r="P4114" s="159">
        <f t="shared" si="673"/>
        <v>2016</v>
      </c>
      <c r="Q4114" s="159">
        <f t="shared" si="674"/>
        <v>3</v>
      </c>
      <c r="R4114" s="160">
        <f t="shared" si="675"/>
        <v>9.1499999999650754</v>
      </c>
      <c r="S4114" s="158">
        <f t="shared" si="676"/>
        <v>1.57907801417837</v>
      </c>
      <c r="T4114" s="161">
        <f t="shared" si="677"/>
        <v>620.57765957209938</v>
      </c>
      <c r="U4114" s="158">
        <f t="shared" si="679"/>
        <v>67.822695035460995</v>
      </c>
      <c r="V4114" s="160">
        <f t="shared" si="678"/>
        <v>68</v>
      </c>
    </row>
    <row r="4115" spans="1:22" x14ac:dyDescent="0.25">
      <c r="A4115" s="98" t="s">
        <v>29</v>
      </c>
      <c r="B4115" s="98" t="s">
        <v>17</v>
      </c>
      <c r="C4115" s="98">
        <v>20</v>
      </c>
      <c r="D4115" s="98">
        <v>1850</v>
      </c>
      <c r="E4115" s="157">
        <v>42436.15902777778</v>
      </c>
      <c r="F4115" s="157">
        <v>42437.477777777778</v>
      </c>
      <c r="G4115" s="98">
        <v>300</v>
      </c>
      <c r="H4115" s="98">
        <v>423</v>
      </c>
      <c r="I4115" s="98">
        <v>393</v>
      </c>
      <c r="J4115" s="98" t="s">
        <v>2263</v>
      </c>
      <c r="K4115" s="98" t="s">
        <v>62</v>
      </c>
      <c r="L4115" s="105" t="str">
        <f t="shared" si="670"/>
        <v>Mill Creek</v>
      </c>
      <c r="M4115" s="105" t="str">
        <f t="shared" si="671"/>
        <v>Derate</v>
      </c>
      <c r="N4115" s="105" t="str">
        <f t="shared" si="672"/>
        <v>Coal</v>
      </c>
      <c r="O4115" s="105">
        <f>IFERROR(VLOOKUP(A4115,Lookup!$J$5:$P$19,7,FALSE),0)</f>
        <v>3</v>
      </c>
      <c r="P4115" s="159">
        <f t="shared" si="673"/>
        <v>2016</v>
      </c>
      <c r="Q4115" s="159">
        <f t="shared" si="674"/>
        <v>3</v>
      </c>
      <c r="R4115" s="160">
        <f t="shared" si="675"/>
        <v>31.649999999965075</v>
      </c>
      <c r="S4115" s="158">
        <f t="shared" si="676"/>
        <v>9.2031914893515463</v>
      </c>
      <c r="T4115" s="161">
        <f t="shared" si="677"/>
        <v>3616.8542553151578</v>
      </c>
      <c r="U4115" s="158">
        <f t="shared" si="679"/>
        <v>114.27659574468085</v>
      </c>
      <c r="V4115" s="160">
        <f t="shared" si="678"/>
        <v>114</v>
      </c>
    </row>
    <row r="4116" spans="1:22" x14ac:dyDescent="0.25">
      <c r="A4116" s="98" t="s">
        <v>29</v>
      </c>
      <c r="B4116" s="98" t="s">
        <v>20</v>
      </c>
      <c r="C4116" s="98">
        <v>21</v>
      </c>
      <c r="D4116" s="98">
        <v>3110</v>
      </c>
      <c r="E4116" s="157">
        <v>42437.477777777778</v>
      </c>
      <c r="F4116" s="162">
        <v>42439.272916666669</v>
      </c>
      <c r="G4116" s="98">
        <v>0</v>
      </c>
      <c r="H4116" s="98">
        <v>423</v>
      </c>
      <c r="I4116" s="98">
        <v>393</v>
      </c>
      <c r="J4116" s="98" t="s">
        <v>2119</v>
      </c>
      <c r="K4116" s="98" t="s">
        <v>42</v>
      </c>
      <c r="L4116" s="105" t="str">
        <f t="shared" si="670"/>
        <v>Mill Creek</v>
      </c>
      <c r="M4116" s="105" t="str">
        <f t="shared" si="671"/>
        <v>Maintenance</v>
      </c>
      <c r="N4116" s="105" t="str">
        <f t="shared" si="672"/>
        <v>Coal</v>
      </c>
      <c r="O4116" s="105">
        <f>IFERROR(VLOOKUP(A4116,Lookup!$J$5:$P$19,7,FALSE),0)</f>
        <v>3</v>
      </c>
      <c r="P4116" s="159">
        <f t="shared" si="673"/>
        <v>2016</v>
      </c>
      <c r="Q4116" s="159">
        <f t="shared" si="674"/>
        <v>3</v>
      </c>
      <c r="R4116" s="160">
        <f t="shared" si="675"/>
        <v>43.083333333372138</v>
      </c>
      <c r="S4116" s="158">
        <f t="shared" si="676"/>
        <v>43.083333333372138</v>
      </c>
      <c r="T4116" s="161">
        <f t="shared" si="677"/>
        <v>16931.75000001525</v>
      </c>
      <c r="U4116" s="158">
        <f t="shared" si="679"/>
        <v>393</v>
      </c>
      <c r="V4116" s="160">
        <f t="shared" si="678"/>
        <v>393</v>
      </c>
    </row>
    <row r="4117" spans="1:22" x14ac:dyDescent="0.25">
      <c r="A4117" s="98" t="s">
        <v>29</v>
      </c>
      <c r="B4117" s="98" t="s">
        <v>20</v>
      </c>
      <c r="C4117" s="98">
        <v>22</v>
      </c>
      <c r="D4117" s="98">
        <v>1060</v>
      </c>
      <c r="E4117" s="157">
        <v>42439.759027777778</v>
      </c>
      <c r="F4117" s="157">
        <v>42441.001388888886</v>
      </c>
      <c r="G4117" s="98">
        <v>0</v>
      </c>
      <c r="H4117" s="98">
        <v>423</v>
      </c>
      <c r="I4117" s="98">
        <v>393</v>
      </c>
      <c r="J4117" s="98" t="s">
        <v>2179</v>
      </c>
      <c r="K4117" s="98" t="s">
        <v>3721</v>
      </c>
      <c r="L4117" s="105" t="str">
        <f t="shared" si="670"/>
        <v>Mill Creek</v>
      </c>
      <c r="M4117" s="105" t="str">
        <f t="shared" si="671"/>
        <v>Maintenance</v>
      </c>
      <c r="N4117" s="105" t="str">
        <f t="shared" si="672"/>
        <v>Coal</v>
      </c>
      <c r="O4117" s="105">
        <f>IFERROR(VLOOKUP(A4117,Lookup!$J$5:$P$19,7,FALSE),0)</f>
        <v>3</v>
      </c>
      <c r="P4117" s="159">
        <f t="shared" si="673"/>
        <v>2016</v>
      </c>
      <c r="Q4117" s="159">
        <f t="shared" si="674"/>
        <v>3</v>
      </c>
      <c r="R4117" s="160">
        <f t="shared" si="675"/>
        <v>29.816666666592937</v>
      </c>
      <c r="S4117" s="158">
        <f t="shared" si="676"/>
        <v>29.816666666592937</v>
      </c>
      <c r="T4117" s="161">
        <f t="shared" si="677"/>
        <v>11717.949999971024</v>
      </c>
      <c r="U4117" s="158">
        <f t="shared" si="679"/>
        <v>393</v>
      </c>
      <c r="V4117" s="160">
        <f t="shared" si="678"/>
        <v>393</v>
      </c>
    </row>
    <row r="4118" spans="1:22" x14ac:dyDescent="0.25">
      <c r="A4118" s="98" t="s">
        <v>29</v>
      </c>
      <c r="B4118" s="98" t="s">
        <v>79</v>
      </c>
      <c r="C4118" s="98">
        <v>28</v>
      </c>
      <c r="D4118" s="98">
        <v>1850</v>
      </c>
      <c r="E4118" s="157">
        <v>42441.001388888886</v>
      </c>
      <c r="F4118" s="157">
        <v>42441.052083333336</v>
      </c>
      <c r="G4118" s="98">
        <v>0</v>
      </c>
      <c r="H4118" s="98">
        <v>423</v>
      </c>
      <c r="I4118" s="98">
        <v>393</v>
      </c>
      <c r="J4118" s="98" t="s">
        <v>2263</v>
      </c>
      <c r="K4118" s="98" t="s">
        <v>3722</v>
      </c>
      <c r="L4118" s="105" t="str">
        <f t="shared" si="670"/>
        <v>Mill Creek</v>
      </c>
      <c r="M4118" s="105" t="str">
        <f t="shared" si="671"/>
        <v>Other</v>
      </c>
      <c r="N4118" s="105" t="str">
        <f t="shared" si="672"/>
        <v>Coal</v>
      </c>
      <c r="O4118" s="105">
        <f>IFERROR(VLOOKUP(A4118,Lookup!$J$5:$P$19,7,FALSE),0)</f>
        <v>3</v>
      </c>
      <c r="P4118" s="159">
        <f t="shared" si="673"/>
        <v>2016</v>
      </c>
      <c r="Q4118" s="159">
        <f t="shared" si="674"/>
        <v>3</v>
      </c>
      <c r="R4118" s="160">
        <f t="shared" si="675"/>
        <v>1.216666666790843</v>
      </c>
      <c r="S4118" s="158">
        <f t="shared" si="676"/>
        <v>1.216666666790843</v>
      </c>
      <c r="T4118" s="161">
        <f t="shared" si="677"/>
        <v>478.1500000488013</v>
      </c>
      <c r="U4118" s="158">
        <f t="shared" si="679"/>
        <v>393</v>
      </c>
      <c r="V4118" s="160">
        <f t="shared" si="678"/>
        <v>393</v>
      </c>
    </row>
    <row r="4119" spans="1:22" x14ac:dyDescent="0.25">
      <c r="A4119" s="98" t="s">
        <v>29</v>
      </c>
      <c r="B4119" s="98" t="s">
        <v>17</v>
      </c>
      <c r="C4119" s="98">
        <v>23</v>
      </c>
      <c r="D4119" s="98">
        <v>3412</v>
      </c>
      <c r="E4119" s="157">
        <v>42441.052083333336</v>
      </c>
      <c r="F4119" s="157">
        <v>42441.75277777778</v>
      </c>
      <c r="G4119" s="98">
        <v>125</v>
      </c>
      <c r="H4119" s="98">
        <v>423</v>
      </c>
      <c r="I4119" s="98">
        <v>393</v>
      </c>
      <c r="J4119" s="98" t="s">
        <v>2162</v>
      </c>
      <c r="K4119" s="98" t="s">
        <v>3723</v>
      </c>
      <c r="L4119" s="105" t="str">
        <f t="shared" si="670"/>
        <v>Mill Creek</v>
      </c>
      <c r="M4119" s="105" t="str">
        <f t="shared" si="671"/>
        <v>Derate</v>
      </c>
      <c r="N4119" s="105" t="str">
        <f t="shared" si="672"/>
        <v>Coal</v>
      </c>
      <c r="O4119" s="105">
        <f>IFERROR(VLOOKUP(A4119,Lookup!$J$5:$P$19,7,FALSE),0)</f>
        <v>3</v>
      </c>
      <c r="P4119" s="159">
        <f t="shared" si="673"/>
        <v>2016</v>
      </c>
      <c r="Q4119" s="159">
        <f t="shared" si="674"/>
        <v>3</v>
      </c>
      <c r="R4119" s="160">
        <f t="shared" si="675"/>
        <v>16.816666666651145</v>
      </c>
      <c r="S4119" s="158">
        <f t="shared" si="676"/>
        <v>11.847202521659671</v>
      </c>
      <c r="T4119" s="161">
        <f t="shared" si="677"/>
        <v>4655.9505910122507</v>
      </c>
      <c r="U4119" s="158">
        <f t="shared" si="679"/>
        <v>276.86524822695037</v>
      </c>
      <c r="V4119" s="160">
        <f t="shared" si="678"/>
        <v>277</v>
      </c>
    </row>
    <row r="4120" spans="1:22" x14ac:dyDescent="0.25">
      <c r="A4120" s="98" t="s">
        <v>29</v>
      </c>
      <c r="B4120" s="98" t="s">
        <v>17</v>
      </c>
      <c r="C4120" s="98">
        <v>24</v>
      </c>
      <c r="D4120" s="98">
        <v>3412</v>
      </c>
      <c r="E4120" s="157">
        <v>42441.75277777778</v>
      </c>
      <c r="F4120" s="157">
        <v>42443.558333333334</v>
      </c>
      <c r="G4120" s="98">
        <v>160</v>
      </c>
      <c r="H4120" s="98">
        <v>423</v>
      </c>
      <c r="I4120" s="98">
        <v>393</v>
      </c>
      <c r="J4120" s="98" t="s">
        <v>2162</v>
      </c>
      <c r="K4120" s="98" t="s">
        <v>3723</v>
      </c>
      <c r="L4120" s="105" t="str">
        <f t="shared" si="670"/>
        <v>Mill Creek</v>
      </c>
      <c r="M4120" s="105" t="str">
        <f t="shared" si="671"/>
        <v>Derate</v>
      </c>
      <c r="N4120" s="105" t="str">
        <f t="shared" si="672"/>
        <v>Coal</v>
      </c>
      <c r="O4120" s="105">
        <f>IFERROR(VLOOKUP(A4120,Lookup!$J$5:$P$19,7,FALSE),0)</f>
        <v>3</v>
      </c>
      <c r="P4120" s="159">
        <f t="shared" si="673"/>
        <v>2016</v>
      </c>
      <c r="Q4120" s="159">
        <f t="shared" si="674"/>
        <v>3</v>
      </c>
      <c r="R4120" s="160">
        <f t="shared" si="675"/>
        <v>43.333333333313931</v>
      </c>
      <c r="S4120" s="158">
        <f t="shared" si="676"/>
        <v>26.942474389270835</v>
      </c>
      <c r="T4120" s="161">
        <f t="shared" si="677"/>
        <v>10588.392434983438</v>
      </c>
      <c r="U4120" s="158">
        <f t="shared" si="679"/>
        <v>244.34751773049646</v>
      </c>
      <c r="V4120" s="160">
        <f t="shared" si="678"/>
        <v>244</v>
      </c>
    </row>
    <row r="4121" spans="1:22" x14ac:dyDescent="0.25">
      <c r="A4121" s="98" t="s">
        <v>29</v>
      </c>
      <c r="B4121" s="98" t="s">
        <v>17</v>
      </c>
      <c r="C4121" s="98">
        <v>25</v>
      </c>
      <c r="D4121" s="98">
        <v>1850</v>
      </c>
      <c r="E4121" s="157">
        <v>42443.558333333334</v>
      </c>
      <c r="F4121" s="157">
        <v>42444.208333333336</v>
      </c>
      <c r="G4121" s="98">
        <v>328</v>
      </c>
      <c r="H4121" s="98">
        <v>423</v>
      </c>
      <c r="I4121" s="98">
        <v>393</v>
      </c>
      <c r="J4121" s="98" t="s">
        <v>2263</v>
      </c>
      <c r="K4121" s="98" t="s">
        <v>62</v>
      </c>
      <c r="L4121" s="105" t="str">
        <f t="shared" si="670"/>
        <v>Mill Creek</v>
      </c>
      <c r="M4121" s="105" t="str">
        <f t="shared" si="671"/>
        <v>Derate</v>
      </c>
      <c r="N4121" s="105" t="str">
        <f t="shared" si="672"/>
        <v>Coal</v>
      </c>
      <c r="O4121" s="105">
        <f>IFERROR(VLOOKUP(A4121,Lookup!$J$5:$P$19,7,FALSE),0)</f>
        <v>3</v>
      </c>
      <c r="P4121" s="159">
        <f t="shared" si="673"/>
        <v>2016</v>
      </c>
      <c r="Q4121" s="159">
        <f t="shared" si="674"/>
        <v>3</v>
      </c>
      <c r="R4121" s="160">
        <f t="shared" si="675"/>
        <v>15.600000000034925</v>
      </c>
      <c r="S4121" s="158">
        <f t="shared" si="676"/>
        <v>3.5035460992986236</v>
      </c>
      <c r="T4121" s="161">
        <f t="shared" si="677"/>
        <v>1376.8936170243592</v>
      </c>
      <c r="U4121" s="158">
        <f t="shared" si="679"/>
        <v>88.262411347517727</v>
      </c>
      <c r="V4121" s="160">
        <f t="shared" si="678"/>
        <v>88</v>
      </c>
    </row>
    <row r="4122" spans="1:22" x14ac:dyDescent="0.25">
      <c r="A4122" s="98" t="s">
        <v>29</v>
      </c>
      <c r="B4122" s="98" t="s">
        <v>17</v>
      </c>
      <c r="C4122" s="98">
        <v>26</v>
      </c>
      <c r="D4122" s="98">
        <v>1850</v>
      </c>
      <c r="E4122" s="157">
        <v>42444.208333333336</v>
      </c>
      <c r="F4122" s="157">
        <v>42444.493750000001</v>
      </c>
      <c r="G4122" s="98">
        <v>385</v>
      </c>
      <c r="H4122" s="98">
        <v>423</v>
      </c>
      <c r="I4122" s="98">
        <v>393</v>
      </c>
      <c r="J4122" s="98" t="s">
        <v>2263</v>
      </c>
      <c r="K4122" s="98" t="s">
        <v>62</v>
      </c>
      <c r="L4122" s="105" t="str">
        <f t="shared" si="670"/>
        <v>Mill Creek</v>
      </c>
      <c r="M4122" s="105" t="str">
        <f t="shared" si="671"/>
        <v>Derate</v>
      </c>
      <c r="N4122" s="105" t="str">
        <f t="shared" si="672"/>
        <v>Coal</v>
      </c>
      <c r="O4122" s="105">
        <f>IFERROR(VLOOKUP(A4122,Lookup!$J$5:$P$19,7,FALSE),0)</f>
        <v>3</v>
      </c>
      <c r="P4122" s="159">
        <f t="shared" si="673"/>
        <v>2016</v>
      </c>
      <c r="Q4122" s="159">
        <f t="shared" si="674"/>
        <v>3</v>
      </c>
      <c r="R4122" s="160">
        <f t="shared" si="675"/>
        <v>6.8499999999767169</v>
      </c>
      <c r="S4122" s="158">
        <f t="shared" si="676"/>
        <v>0.61536643025795568</v>
      </c>
      <c r="T4122" s="161">
        <f t="shared" si="677"/>
        <v>241.83900709137657</v>
      </c>
      <c r="U4122" s="158">
        <f t="shared" si="679"/>
        <v>35.304964539007095</v>
      </c>
      <c r="V4122" s="160">
        <f t="shared" si="678"/>
        <v>35</v>
      </c>
    </row>
    <row r="4123" spans="1:22" x14ac:dyDescent="0.25">
      <c r="A4123" s="98" t="s">
        <v>29</v>
      </c>
      <c r="B4123" s="98" t="s">
        <v>17</v>
      </c>
      <c r="C4123" s="98">
        <v>29</v>
      </c>
      <c r="D4123" s="98">
        <v>1850</v>
      </c>
      <c r="E4123" s="157">
        <v>42444.493750000001</v>
      </c>
      <c r="F4123" s="157">
        <v>42444.50277777778</v>
      </c>
      <c r="G4123" s="98">
        <v>405</v>
      </c>
      <c r="H4123" s="98">
        <v>423</v>
      </c>
      <c r="I4123" s="98">
        <v>393</v>
      </c>
      <c r="J4123" s="98" t="s">
        <v>2263</v>
      </c>
      <c r="K4123" s="98" t="s">
        <v>62</v>
      </c>
      <c r="L4123" s="105" t="str">
        <f t="shared" si="670"/>
        <v>Mill Creek</v>
      </c>
      <c r="M4123" s="105" t="str">
        <f t="shared" si="671"/>
        <v>Derate</v>
      </c>
      <c r="N4123" s="105" t="str">
        <f t="shared" si="672"/>
        <v>Coal</v>
      </c>
      <c r="O4123" s="105">
        <f>IFERROR(VLOOKUP(A4123,Lookup!$J$5:$P$19,7,FALSE),0)</f>
        <v>3</v>
      </c>
      <c r="P4123" s="159">
        <f t="shared" si="673"/>
        <v>2016</v>
      </c>
      <c r="Q4123" s="159">
        <f t="shared" si="674"/>
        <v>3</v>
      </c>
      <c r="R4123" s="160">
        <f t="shared" si="675"/>
        <v>0.21666666667442769</v>
      </c>
      <c r="S4123" s="158">
        <f t="shared" si="676"/>
        <v>9.2198581563586249E-3</v>
      </c>
      <c r="T4123" s="161">
        <f t="shared" si="677"/>
        <v>3.6234042554489396</v>
      </c>
      <c r="U4123" s="158">
        <f t="shared" si="679"/>
        <v>16.723404255319149</v>
      </c>
      <c r="V4123" s="160">
        <f t="shared" si="678"/>
        <v>17</v>
      </c>
    </row>
    <row r="4124" spans="1:22" x14ac:dyDescent="0.25">
      <c r="A4124" s="98" t="s">
        <v>29</v>
      </c>
      <c r="B4124" s="98" t="s">
        <v>15</v>
      </c>
      <c r="C4124" s="98">
        <v>30</v>
      </c>
      <c r="D4124" s="98">
        <v>3620</v>
      </c>
      <c r="E4124" s="157">
        <v>42444.754861111112</v>
      </c>
      <c r="F4124" s="157">
        <v>42454.09097222222</v>
      </c>
      <c r="G4124" s="98">
        <v>0</v>
      </c>
      <c r="H4124" s="98">
        <v>423</v>
      </c>
      <c r="I4124" s="98">
        <v>393</v>
      </c>
      <c r="J4124" s="98" t="s">
        <v>2092</v>
      </c>
      <c r="K4124" s="98" t="s">
        <v>3724</v>
      </c>
      <c r="L4124" s="105" t="str">
        <f t="shared" si="670"/>
        <v>Mill Creek</v>
      </c>
      <c r="M4124" s="105" t="str">
        <f t="shared" si="671"/>
        <v>Outage</v>
      </c>
      <c r="N4124" s="105" t="str">
        <f t="shared" si="672"/>
        <v>Coal</v>
      </c>
      <c r="O4124" s="105">
        <f>IFERROR(VLOOKUP(A4124,Lookup!$J$5:$P$19,7,FALSE),0)</f>
        <v>3</v>
      </c>
      <c r="P4124" s="159">
        <f t="shared" si="673"/>
        <v>2016</v>
      </c>
      <c r="Q4124" s="159">
        <f t="shared" si="674"/>
        <v>3</v>
      </c>
      <c r="R4124" s="160">
        <f t="shared" si="675"/>
        <v>224.06666666659294</v>
      </c>
      <c r="S4124" s="158">
        <f t="shared" si="676"/>
        <v>224.06666666659294</v>
      </c>
      <c r="T4124" s="161">
        <f t="shared" si="677"/>
        <v>88058.199999971024</v>
      </c>
      <c r="U4124" s="158">
        <f t="shared" si="679"/>
        <v>393</v>
      </c>
      <c r="V4124" s="160">
        <f t="shared" si="678"/>
        <v>393</v>
      </c>
    </row>
    <row r="4125" spans="1:22" x14ac:dyDescent="0.25">
      <c r="A4125" s="98" t="s">
        <v>29</v>
      </c>
      <c r="B4125" s="98" t="s">
        <v>79</v>
      </c>
      <c r="C4125" s="98">
        <v>31</v>
      </c>
      <c r="D4125" s="98">
        <v>1850</v>
      </c>
      <c r="E4125" s="157">
        <v>42454.09097222222</v>
      </c>
      <c r="F4125" s="157">
        <v>42455.104166666664</v>
      </c>
      <c r="G4125" s="98">
        <v>0</v>
      </c>
      <c r="H4125" s="98">
        <v>423</v>
      </c>
      <c r="I4125" s="98">
        <v>393</v>
      </c>
      <c r="J4125" s="98" t="s">
        <v>2263</v>
      </c>
      <c r="K4125" s="98" t="s">
        <v>3559</v>
      </c>
      <c r="L4125" s="105" t="str">
        <f t="shared" si="670"/>
        <v>Mill Creek</v>
      </c>
      <c r="M4125" s="105" t="str">
        <f t="shared" si="671"/>
        <v>Other</v>
      </c>
      <c r="N4125" s="105" t="str">
        <f t="shared" si="672"/>
        <v>Coal</v>
      </c>
      <c r="O4125" s="105">
        <f>IFERROR(VLOOKUP(A4125,Lookup!$J$5:$P$19,7,FALSE),0)</f>
        <v>3</v>
      </c>
      <c r="P4125" s="159">
        <f t="shared" si="673"/>
        <v>2016</v>
      </c>
      <c r="Q4125" s="159">
        <f t="shared" si="674"/>
        <v>3</v>
      </c>
      <c r="R4125" s="160">
        <f t="shared" si="675"/>
        <v>24.316666666651145</v>
      </c>
      <c r="S4125" s="158">
        <f t="shared" si="676"/>
        <v>24.316666666651145</v>
      </c>
      <c r="T4125" s="161">
        <f t="shared" si="677"/>
        <v>9556.4499999938998</v>
      </c>
      <c r="U4125" s="158">
        <f t="shared" si="679"/>
        <v>393</v>
      </c>
      <c r="V4125" s="160">
        <f t="shared" si="678"/>
        <v>393</v>
      </c>
    </row>
    <row r="4126" spans="1:22" x14ac:dyDescent="0.25">
      <c r="A4126" s="98" t="s">
        <v>29</v>
      </c>
      <c r="B4126" s="98" t="s">
        <v>17</v>
      </c>
      <c r="C4126" s="98">
        <v>32</v>
      </c>
      <c r="D4126" s="98">
        <v>1850</v>
      </c>
      <c r="E4126" s="157">
        <v>42455.104166666664</v>
      </c>
      <c r="F4126" s="157">
        <v>42456.78125</v>
      </c>
      <c r="G4126" s="98">
        <v>280</v>
      </c>
      <c r="H4126" s="98">
        <v>423</v>
      </c>
      <c r="I4126" s="98">
        <v>393</v>
      </c>
      <c r="J4126" s="98" t="s">
        <v>2263</v>
      </c>
      <c r="K4126" s="98" t="s">
        <v>62</v>
      </c>
      <c r="L4126" s="105" t="str">
        <f t="shared" si="670"/>
        <v>Mill Creek</v>
      </c>
      <c r="M4126" s="105" t="str">
        <f t="shared" si="671"/>
        <v>Derate</v>
      </c>
      <c r="N4126" s="105" t="str">
        <f t="shared" si="672"/>
        <v>Coal</v>
      </c>
      <c r="O4126" s="105">
        <f>IFERROR(VLOOKUP(A4126,Lookup!$J$5:$P$19,7,FALSE),0)</f>
        <v>3</v>
      </c>
      <c r="P4126" s="159">
        <f t="shared" si="673"/>
        <v>2016</v>
      </c>
      <c r="Q4126" s="159">
        <f t="shared" si="674"/>
        <v>3</v>
      </c>
      <c r="R4126" s="160">
        <f t="shared" si="675"/>
        <v>40.250000000058208</v>
      </c>
      <c r="S4126" s="158">
        <f t="shared" si="676"/>
        <v>13.606973995291545</v>
      </c>
      <c r="T4126" s="161">
        <f t="shared" si="677"/>
        <v>5347.5407801495776</v>
      </c>
      <c r="U4126" s="158">
        <f t="shared" si="679"/>
        <v>132.8581560283688</v>
      </c>
      <c r="V4126" s="160">
        <f t="shared" si="678"/>
        <v>133</v>
      </c>
    </row>
    <row r="4127" spans="1:22" x14ac:dyDescent="0.25">
      <c r="A4127" s="98" t="s">
        <v>29</v>
      </c>
      <c r="B4127" s="98" t="s">
        <v>17</v>
      </c>
      <c r="C4127" s="98">
        <v>33</v>
      </c>
      <c r="D4127" s="98">
        <v>1488</v>
      </c>
      <c r="E4127" s="157">
        <v>42456.78125</v>
      </c>
      <c r="F4127" s="157">
        <v>42456.8125</v>
      </c>
      <c r="G4127" s="98">
        <v>265</v>
      </c>
      <c r="H4127" s="98">
        <v>423</v>
      </c>
      <c r="I4127" s="98">
        <v>393</v>
      </c>
      <c r="J4127" s="98" t="s">
        <v>2284</v>
      </c>
      <c r="K4127" s="98" t="s">
        <v>3725</v>
      </c>
      <c r="L4127" s="105" t="str">
        <f t="shared" si="670"/>
        <v>Mill Creek</v>
      </c>
      <c r="M4127" s="105" t="str">
        <f t="shared" si="671"/>
        <v>Derate</v>
      </c>
      <c r="N4127" s="105" t="str">
        <f t="shared" si="672"/>
        <v>Coal</v>
      </c>
      <c r="O4127" s="105">
        <f>IFERROR(VLOOKUP(A4127,Lookup!$J$5:$P$19,7,FALSE),0)</f>
        <v>3</v>
      </c>
      <c r="P4127" s="159">
        <f t="shared" si="673"/>
        <v>2016</v>
      </c>
      <c r="Q4127" s="159">
        <f t="shared" si="674"/>
        <v>3</v>
      </c>
      <c r="R4127" s="160">
        <f t="shared" si="675"/>
        <v>0.75</v>
      </c>
      <c r="S4127" s="158">
        <f t="shared" si="676"/>
        <v>0.28014184397163122</v>
      </c>
      <c r="T4127" s="161">
        <f t="shared" si="677"/>
        <v>110.09574468085107</v>
      </c>
      <c r="U4127" s="158">
        <f t="shared" si="679"/>
        <v>146.79432624113474</v>
      </c>
      <c r="V4127" s="160">
        <f t="shared" si="678"/>
        <v>147</v>
      </c>
    </row>
    <row r="4128" spans="1:22" x14ac:dyDescent="0.25">
      <c r="A4128" s="98" t="s">
        <v>29</v>
      </c>
      <c r="B4128" s="98" t="s">
        <v>17</v>
      </c>
      <c r="C4128" s="98">
        <v>34</v>
      </c>
      <c r="D4128" s="98">
        <v>1488</v>
      </c>
      <c r="E4128" s="157">
        <v>42456.8125</v>
      </c>
      <c r="F4128" s="157">
        <v>42456.90902777778</v>
      </c>
      <c r="G4128" s="98">
        <v>200</v>
      </c>
      <c r="H4128" s="98">
        <v>423</v>
      </c>
      <c r="I4128" s="98">
        <v>393</v>
      </c>
      <c r="J4128" s="98" t="s">
        <v>2284</v>
      </c>
      <c r="K4128" s="98" t="s">
        <v>3726</v>
      </c>
      <c r="L4128" s="105" t="str">
        <f t="shared" si="670"/>
        <v>Mill Creek</v>
      </c>
      <c r="M4128" s="105" t="str">
        <f t="shared" si="671"/>
        <v>Derate</v>
      </c>
      <c r="N4128" s="105" t="str">
        <f t="shared" si="672"/>
        <v>Coal</v>
      </c>
      <c r="O4128" s="105">
        <f>IFERROR(VLOOKUP(A4128,Lookup!$J$5:$P$19,7,FALSE),0)</f>
        <v>3</v>
      </c>
      <c r="P4128" s="159">
        <f t="shared" si="673"/>
        <v>2016</v>
      </c>
      <c r="Q4128" s="159">
        <f t="shared" si="674"/>
        <v>3</v>
      </c>
      <c r="R4128" s="160">
        <f t="shared" si="675"/>
        <v>2.3166666667093523</v>
      </c>
      <c r="S4128" s="158">
        <f t="shared" si="676"/>
        <v>1.221315996870415</v>
      </c>
      <c r="T4128" s="161">
        <f t="shared" si="677"/>
        <v>479.9771867700731</v>
      </c>
      <c r="U4128" s="158">
        <f t="shared" si="679"/>
        <v>207.18439716312056</v>
      </c>
      <c r="V4128" s="160">
        <f t="shared" si="678"/>
        <v>207</v>
      </c>
    </row>
    <row r="4129" spans="1:22" x14ac:dyDescent="0.25">
      <c r="A4129" s="98" t="s">
        <v>29</v>
      </c>
      <c r="B4129" s="98" t="s">
        <v>17</v>
      </c>
      <c r="C4129" s="98">
        <v>35</v>
      </c>
      <c r="D4129" s="98">
        <v>1850</v>
      </c>
      <c r="E4129" s="157">
        <v>42456.90902777778</v>
      </c>
      <c r="F4129" s="157">
        <v>42457.371527777781</v>
      </c>
      <c r="G4129" s="98">
        <v>280</v>
      </c>
      <c r="H4129" s="98">
        <v>423</v>
      </c>
      <c r="I4129" s="98">
        <v>393</v>
      </c>
      <c r="J4129" s="98" t="s">
        <v>2263</v>
      </c>
      <c r="K4129" s="98" t="s">
        <v>62</v>
      </c>
      <c r="L4129" s="105" t="str">
        <f t="shared" si="670"/>
        <v>Mill Creek</v>
      </c>
      <c r="M4129" s="105" t="str">
        <f t="shared" si="671"/>
        <v>Derate</v>
      </c>
      <c r="N4129" s="105" t="str">
        <f t="shared" si="672"/>
        <v>Coal</v>
      </c>
      <c r="O4129" s="105">
        <f>IFERROR(VLOOKUP(A4129,Lookup!$J$5:$P$19,7,FALSE),0)</f>
        <v>3</v>
      </c>
      <c r="P4129" s="159">
        <f t="shared" si="673"/>
        <v>2016</v>
      </c>
      <c r="Q4129" s="159">
        <f t="shared" si="674"/>
        <v>3</v>
      </c>
      <c r="R4129" s="160">
        <f t="shared" si="675"/>
        <v>11.100000000034925</v>
      </c>
      <c r="S4129" s="158">
        <f t="shared" si="676"/>
        <v>3.7524822695153528</v>
      </c>
      <c r="T4129" s="161">
        <f t="shared" si="677"/>
        <v>1474.7255319195338</v>
      </c>
      <c r="U4129" s="158">
        <f t="shared" si="679"/>
        <v>132.8581560283688</v>
      </c>
      <c r="V4129" s="160">
        <f t="shared" si="678"/>
        <v>133</v>
      </c>
    </row>
    <row r="4130" spans="1:22" x14ac:dyDescent="0.25">
      <c r="A4130" s="98" t="s">
        <v>29</v>
      </c>
      <c r="B4130" s="98" t="s">
        <v>17</v>
      </c>
      <c r="C4130" s="98">
        <v>36</v>
      </c>
      <c r="D4130" s="98">
        <v>1850</v>
      </c>
      <c r="E4130" s="157">
        <v>42457.371527777781</v>
      </c>
      <c r="F4130" s="157">
        <v>42458.488194444442</v>
      </c>
      <c r="G4130" s="98">
        <v>250</v>
      </c>
      <c r="H4130" s="98">
        <v>423</v>
      </c>
      <c r="I4130" s="98">
        <v>393</v>
      </c>
      <c r="J4130" s="98" t="s">
        <v>2263</v>
      </c>
      <c r="K4130" s="98" t="s">
        <v>62</v>
      </c>
      <c r="L4130" s="105" t="str">
        <f t="shared" si="670"/>
        <v>Mill Creek</v>
      </c>
      <c r="M4130" s="105" t="str">
        <f t="shared" si="671"/>
        <v>Derate</v>
      </c>
      <c r="N4130" s="105" t="str">
        <f t="shared" si="672"/>
        <v>Coal</v>
      </c>
      <c r="O4130" s="105">
        <f>IFERROR(VLOOKUP(A4130,Lookup!$J$5:$P$19,7,FALSE),0)</f>
        <v>3</v>
      </c>
      <c r="P4130" s="159">
        <f t="shared" si="673"/>
        <v>2016</v>
      </c>
      <c r="Q4130" s="159">
        <f t="shared" si="674"/>
        <v>3</v>
      </c>
      <c r="R4130" s="160">
        <f t="shared" si="675"/>
        <v>26.799999999871943</v>
      </c>
      <c r="S4130" s="158">
        <f t="shared" si="676"/>
        <v>10.96075650112966</v>
      </c>
      <c r="T4130" s="161">
        <f t="shared" si="677"/>
        <v>4307.5773049439567</v>
      </c>
      <c r="U4130" s="158">
        <f t="shared" si="679"/>
        <v>160.73049645390071</v>
      </c>
      <c r="V4130" s="160">
        <f t="shared" si="678"/>
        <v>161</v>
      </c>
    </row>
    <row r="4131" spans="1:22" x14ac:dyDescent="0.25">
      <c r="A4131" s="98" t="s">
        <v>29</v>
      </c>
      <c r="B4131" s="98" t="s">
        <v>17</v>
      </c>
      <c r="C4131" s="98">
        <v>37</v>
      </c>
      <c r="D4131" s="98">
        <v>1850</v>
      </c>
      <c r="E4131" s="157">
        <v>42458.488194444442</v>
      </c>
      <c r="F4131" s="157">
        <v>42458.845833333333</v>
      </c>
      <c r="G4131" s="98">
        <v>270</v>
      </c>
      <c r="H4131" s="98">
        <v>423</v>
      </c>
      <c r="I4131" s="98">
        <v>393</v>
      </c>
      <c r="J4131" s="98" t="s">
        <v>2263</v>
      </c>
      <c r="K4131" s="98" t="s">
        <v>62</v>
      </c>
      <c r="L4131" s="105" t="str">
        <f t="shared" si="670"/>
        <v>Mill Creek</v>
      </c>
      <c r="M4131" s="105" t="str">
        <f t="shared" si="671"/>
        <v>Derate</v>
      </c>
      <c r="N4131" s="105" t="str">
        <f t="shared" si="672"/>
        <v>Coal</v>
      </c>
      <c r="O4131" s="105">
        <f>IFERROR(VLOOKUP(A4131,Lookup!$J$5:$P$19,7,FALSE),0)</f>
        <v>3</v>
      </c>
      <c r="P4131" s="159">
        <f t="shared" si="673"/>
        <v>2016</v>
      </c>
      <c r="Q4131" s="159">
        <f t="shared" si="674"/>
        <v>3</v>
      </c>
      <c r="R4131" s="160">
        <f t="shared" si="675"/>
        <v>8.5833333333721384</v>
      </c>
      <c r="S4131" s="158">
        <f t="shared" si="676"/>
        <v>3.1046099290920499</v>
      </c>
      <c r="T4131" s="161">
        <f t="shared" si="677"/>
        <v>1220.1117021331756</v>
      </c>
      <c r="U4131" s="158">
        <f t="shared" si="679"/>
        <v>142.14893617021278</v>
      </c>
      <c r="V4131" s="160">
        <f t="shared" si="678"/>
        <v>142</v>
      </c>
    </row>
    <row r="4132" spans="1:22" x14ac:dyDescent="0.25">
      <c r="A4132" s="98" t="s">
        <v>29</v>
      </c>
      <c r="B4132" s="98" t="s">
        <v>17</v>
      </c>
      <c r="C4132" s="98">
        <v>38</v>
      </c>
      <c r="D4132" s="98">
        <v>1850</v>
      </c>
      <c r="E4132" s="157">
        <v>42458.845833333333</v>
      </c>
      <c r="F4132" s="157">
        <v>42461.004166666666</v>
      </c>
      <c r="G4132" s="98">
        <v>320</v>
      </c>
      <c r="H4132" s="98">
        <v>423</v>
      </c>
      <c r="I4132" s="98">
        <v>393</v>
      </c>
      <c r="J4132" s="98" t="s">
        <v>2263</v>
      </c>
      <c r="K4132" s="98" t="s">
        <v>62</v>
      </c>
      <c r="L4132" s="105" t="str">
        <f t="shared" si="670"/>
        <v>Mill Creek</v>
      </c>
      <c r="M4132" s="105" t="str">
        <f t="shared" si="671"/>
        <v>Derate</v>
      </c>
      <c r="N4132" s="105" t="str">
        <f t="shared" si="672"/>
        <v>Coal</v>
      </c>
      <c r="O4132" s="105">
        <f>IFERROR(VLOOKUP(A4132,Lookup!$J$5:$P$19,7,FALSE),0)</f>
        <v>3</v>
      </c>
      <c r="P4132" s="159">
        <f t="shared" si="673"/>
        <v>2016</v>
      </c>
      <c r="Q4132" s="159">
        <f t="shared" si="674"/>
        <v>3</v>
      </c>
      <c r="R4132" s="160">
        <f t="shared" si="675"/>
        <v>51.799999999988358</v>
      </c>
      <c r="S4132" s="158">
        <f t="shared" si="676"/>
        <v>12.613238770682745</v>
      </c>
      <c r="T4132" s="161">
        <f t="shared" si="677"/>
        <v>4957.0028368783187</v>
      </c>
      <c r="U4132" s="158">
        <f t="shared" si="679"/>
        <v>95.695035460992912</v>
      </c>
      <c r="V4132" s="160">
        <f t="shared" si="678"/>
        <v>96</v>
      </c>
    </row>
    <row r="4133" spans="1:22" x14ac:dyDescent="0.25">
      <c r="A4133" s="98" t="s">
        <v>29</v>
      </c>
      <c r="B4133" s="98" t="s">
        <v>20</v>
      </c>
      <c r="C4133" s="98">
        <v>39</v>
      </c>
      <c r="D4133" s="98">
        <v>3110</v>
      </c>
      <c r="E4133" s="157">
        <v>42461.004166666666</v>
      </c>
      <c r="F4133" s="157">
        <v>42462.63958333333</v>
      </c>
      <c r="G4133" s="98">
        <v>0</v>
      </c>
      <c r="H4133" s="98">
        <v>423</v>
      </c>
      <c r="I4133" s="98">
        <v>393</v>
      </c>
      <c r="J4133" s="98" t="s">
        <v>2119</v>
      </c>
      <c r="K4133" s="98" t="s">
        <v>42</v>
      </c>
      <c r="L4133" s="105" t="str">
        <f t="shared" ref="L4133:L4196" si="680">IF(OR(A4133="BR1",A4133="BR2",A4133="BR3",A4133="BR5",A4133="BR6",A4133="BR7",A4133="BR8",A4133="BR9",A4133="BR10",A4133="BR11"),"Brown",IF(OR(A4133="CR4",A4133="CR5",A4133="CR6",A4133="CR11"),"Cane Run",IF(OR(A4133="GH1",A4133="GH2",A4133="GH3",A4133="GH4"),"Ghent",IF(OR(A4133="GR3",A4133="GR4"),"Green River",IF(OR(A4133="MC1",A4133="MC2",A4133="MC3",A4133="MC4"),"Mill Creek",IF(OR(A4133="TC1",A4133="TC2",A4133="TC5",A4133="TC6",A4133="TC7",A4133="TC8",A4133="TC9",A4133="TC10"),"Trimble",IF(A4133="TY3","Tyrone",IF(OR(A4133="HA1",A4133="HA2",A4133="HA3"),"Haeflin",IF(OR(A4133="PR11",A4133="PR12",A4133="PR13"),"Paddy's Run","Zorn")))))))))</f>
        <v>Mill Creek</v>
      </c>
      <c r="M4133" s="105" t="str">
        <f t="shared" ref="M4133:M4196" si="681">IF(OR(B4133="D1",B4133="D2",B4133="D3",B4133="D4",B4133="PD"),"Derate",IF(OR(B4133="SF",B4133="U1",B4133="U2",B4133="U3"),"Outage",IF(OR(B4133="ME",B4133="MO"),"Maintenance","Other")))</f>
        <v>Maintenance</v>
      </c>
      <c r="N4133" s="105" t="str">
        <f t="shared" ref="N4133:N4196" si="682">IF(OR(A4133="BR1",A4133="BR2",A4133="BR3",A4133="CR4",A4133="CR5",A4133="CR6",A4133="GH1",A4133="GH2",A4133="GH3",A4133="GH4",A4133="GR3",A4133="GR4",A4133="MC1",A4133="MC2",A4133="MC3",A4133="MC4",A4133="TC1",A4133="TC2",A4133="TY3"),"Coal","Gas")</f>
        <v>Coal</v>
      </c>
      <c r="O4133" s="105">
        <f>IFERROR(VLOOKUP(A4133,Lookup!$J$5:$P$19,7,FALSE),0)</f>
        <v>3</v>
      </c>
      <c r="P4133" s="159">
        <f t="shared" ref="P4133:P4196" si="683">YEAR(E4133)</f>
        <v>2016</v>
      </c>
      <c r="Q4133" s="159">
        <f t="shared" ref="Q4133:Q4196" si="684">MONTH(E4133)</f>
        <v>4</v>
      </c>
      <c r="R4133" s="160">
        <f t="shared" ref="R4133:R4196" si="685">(F4133-E4133)*24</f>
        <v>39.249999999941792</v>
      </c>
      <c r="S4133" s="158">
        <f t="shared" ref="S4133:S4196" si="686">R4133*(H4133-G4133)/H4133</f>
        <v>39.249999999941792</v>
      </c>
      <c r="T4133" s="161">
        <f t="shared" ref="T4133:T4196" si="687">S4133*I4133</f>
        <v>15425.249999977124</v>
      </c>
      <c r="U4133" s="158">
        <f t="shared" si="679"/>
        <v>393</v>
      </c>
      <c r="V4133" s="160">
        <f t="shared" ref="V4133:V4196" si="688">ROUND(U4133,0)</f>
        <v>393</v>
      </c>
    </row>
    <row r="4134" spans="1:22" x14ac:dyDescent="0.25">
      <c r="A4134" s="98" t="s">
        <v>29</v>
      </c>
      <c r="B4134" s="98" t="s">
        <v>79</v>
      </c>
      <c r="C4134" s="98">
        <v>40</v>
      </c>
      <c r="D4134" s="98">
        <v>1850</v>
      </c>
      <c r="E4134" s="157">
        <v>42462.63958333333</v>
      </c>
      <c r="F4134" s="157">
        <v>42462.972916666666</v>
      </c>
      <c r="G4134" s="98">
        <v>0</v>
      </c>
      <c r="H4134" s="98">
        <v>423</v>
      </c>
      <c r="I4134" s="98">
        <v>393</v>
      </c>
      <c r="J4134" s="98" t="s">
        <v>2263</v>
      </c>
      <c r="K4134" s="98" t="s">
        <v>3727</v>
      </c>
      <c r="L4134" s="105" t="str">
        <f t="shared" si="680"/>
        <v>Mill Creek</v>
      </c>
      <c r="M4134" s="105" t="str">
        <f t="shared" si="681"/>
        <v>Other</v>
      </c>
      <c r="N4134" s="105" t="str">
        <f t="shared" si="682"/>
        <v>Coal</v>
      </c>
      <c r="O4134" s="105">
        <f>IFERROR(VLOOKUP(A4134,Lookup!$J$5:$P$19,7,FALSE),0)</f>
        <v>3</v>
      </c>
      <c r="P4134" s="159">
        <f t="shared" si="683"/>
        <v>2016</v>
      </c>
      <c r="Q4134" s="159">
        <f t="shared" si="684"/>
        <v>4</v>
      </c>
      <c r="R4134" s="160">
        <f t="shared" si="685"/>
        <v>8.0000000000582077</v>
      </c>
      <c r="S4134" s="158">
        <f t="shared" si="686"/>
        <v>8.0000000000582077</v>
      </c>
      <c r="T4134" s="161">
        <f t="shared" si="687"/>
        <v>3144.0000000228756</v>
      </c>
      <c r="U4134" s="158">
        <f t="shared" ref="U4134:U4197" si="689">IF(G4134&gt;0,MAX((H4134-G4134),0)*I4134/H4134,I4134)</f>
        <v>393</v>
      </c>
      <c r="V4134" s="160">
        <f t="shared" si="688"/>
        <v>393</v>
      </c>
    </row>
    <row r="4135" spans="1:22" x14ac:dyDescent="0.25">
      <c r="A4135" s="98" t="s">
        <v>29</v>
      </c>
      <c r="B4135" s="98" t="s">
        <v>17</v>
      </c>
      <c r="C4135" s="98">
        <v>41</v>
      </c>
      <c r="D4135" s="98">
        <v>1850</v>
      </c>
      <c r="E4135" s="157">
        <v>42462.972916666666</v>
      </c>
      <c r="F4135" s="157">
        <v>42463.458333333336</v>
      </c>
      <c r="G4135" s="98">
        <v>295</v>
      </c>
      <c r="H4135" s="98">
        <v>423</v>
      </c>
      <c r="I4135" s="98">
        <v>393</v>
      </c>
      <c r="J4135" s="98" t="s">
        <v>2263</v>
      </c>
      <c r="K4135" s="98" t="s">
        <v>3728</v>
      </c>
      <c r="L4135" s="105" t="str">
        <f t="shared" si="680"/>
        <v>Mill Creek</v>
      </c>
      <c r="M4135" s="105" t="str">
        <f t="shared" si="681"/>
        <v>Derate</v>
      </c>
      <c r="N4135" s="105" t="str">
        <f t="shared" si="682"/>
        <v>Coal</v>
      </c>
      <c r="O4135" s="105">
        <f>IFERROR(VLOOKUP(A4135,Lookup!$J$5:$P$19,7,FALSE),0)</f>
        <v>3</v>
      </c>
      <c r="P4135" s="159">
        <f t="shared" si="683"/>
        <v>2016</v>
      </c>
      <c r="Q4135" s="159">
        <f t="shared" si="684"/>
        <v>4</v>
      </c>
      <c r="R4135" s="160">
        <f t="shared" si="685"/>
        <v>11.650000000081491</v>
      </c>
      <c r="S4135" s="158">
        <f t="shared" si="686"/>
        <v>3.5252955082988908</v>
      </c>
      <c r="T4135" s="161">
        <f t="shared" si="687"/>
        <v>1385.4411347614641</v>
      </c>
      <c r="U4135" s="158">
        <f t="shared" si="689"/>
        <v>118.92198581560284</v>
      </c>
      <c r="V4135" s="160">
        <f t="shared" si="688"/>
        <v>119</v>
      </c>
    </row>
    <row r="4136" spans="1:22" x14ac:dyDescent="0.25">
      <c r="A4136" s="98" t="s">
        <v>29</v>
      </c>
      <c r="B4136" s="98" t="s">
        <v>17</v>
      </c>
      <c r="C4136" s="98">
        <v>42</v>
      </c>
      <c r="D4136" s="98">
        <v>1850</v>
      </c>
      <c r="E4136" s="157">
        <v>42463.458333333336</v>
      </c>
      <c r="F4136" s="157">
        <v>42464.481944444444</v>
      </c>
      <c r="G4136" s="98">
        <v>325</v>
      </c>
      <c r="H4136" s="98">
        <v>423</v>
      </c>
      <c r="I4136" s="98">
        <v>393</v>
      </c>
      <c r="J4136" s="98" t="s">
        <v>2263</v>
      </c>
      <c r="K4136" s="98" t="s">
        <v>3728</v>
      </c>
      <c r="L4136" s="105" t="str">
        <f t="shared" si="680"/>
        <v>Mill Creek</v>
      </c>
      <c r="M4136" s="105" t="str">
        <f t="shared" si="681"/>
        <v>Derate</v>
      </c>
      <c r="N4136" s="105" t="str">
        <f t="shared" si="682"/>
        <v>Coal</v>
      </c>
      <c r="O4136" s="105">
        <f>IFERROR(VLOOKUP(A4136,Lookup!$J$5:$P$19,7,FALSE),0)</f>
        <v>3</v>
      </c>
      <c r="P4136" s="159">
        <f t="shared" si="683"/>
        <v>2016</v>
      </c>
      <c r="Q4136" s="159">
        <f t="shared" si="684"/>
        <v>4</v>
      </c>
      <c r="R4136" s="160">
        <f t="shared" si="685"/>
        <v>24.566666666592937</v>
      </c>
      <c r="S4136" s="158">
        <f t="shared" si="686"/>
        <v>5.6915681638915077</v>
      </c>
      <c r="T4136" s="161">
        <f t="shared" si="687"/>
        <v>2236.7862884093624</v>
      </c>
      <c r="U4136" s="158">
        <f t="shared" si="689"/>
        <v>91.049645390070921</v>
      </c>
      <c r="V4136" s="160">
        <f t="shared" si="688"/>
        <v>91</v>
      </c>
    </row>
    <row r="4137" spans="1:22" x14ac:dyDescent="0.25">
      <c r="A4137" s="98" t="s">
        <v>29</v>
      </c>
      <c r="B4137" s="98" t="s">
        <v>17</v>
      </c>
      <c r="C4137" s="98">
        <v>43</v>
      </c>
      <c r="D4137" s="98">
        <v>1850</v>
      </c>
      <c r="E4137" s="157">
        <v>42464.481944444444</v>
      </c>
      <c r="F4137" s="157">
        <v>42464.52847222222</v>
      </c>
      <c r="G4137" s="98">
        <v>395</v>
      </c>
      <c r="H4137" s="98">
        <v>423</v>
      </c>
      <c r="I4137" s="98">
        <v>393</v>
      </c>
      <c r="J4137" s="98" t="s">
        <v>2263</v>
      </c>
      <c r="K4137" s="98" t="s">
        <v>3728</v>
      </c>
      <c r="L4137" s="105" t="str">
        <f t="shared" si="680"/>
        <v>Mill Creek</v>
      </c>
      <c r="M4137" s="105" t="str">
        <f t="shared" si="681"/>
        <v>Derate</v>
      </c>
      <c r="N4137" s="105" t="str">
        <f t="shared" si="682"/>
        <v>Coal</v>
      </c>
      <c r="O4137" s="105">
        <f>IFERROR(VLOOKUP(A4137,Lookup!$J$5:$P$19,7,FALSE),0)</f>
        <v>3</v>
      </c>
      <c r="P4137" s="159">
        <f t="shared" si="683"/>
        <v>2016</v>
      </c>
      <c r="Q4137" s="159">
        <f t="shared" si="684"/>
        <v>4</v>
      </c>
      <c r="R4137" s="160">
        <f t="shared" si="685"/>
        <v>1.1166666666395031</v>
      </c>
      <c r="S4137" s="158">
        <f t="shared" si="686"/>
        <v>7.3916469659352446E-2</v>
      </c>
      <c r="T4137" s="161">
        <f t="shared" si="687"/>
        <v>29.04917257612551</v>
      </c>
      <c r="U4137" s="158">
        <f t="shared" si="689"/>
        <v>26.01418439716312</v>
      </c>
      <c r="V4137" s="160">
        <f t="shared" si="688"/>
        <v>26</v>
      </c>
    </row>
    <row r="4138" spans="1:22" x14ac:dyDescent="0.25">
      <c r="A4138" s="98" t="s">
        <v>29</v>
      </c>
      <c r="B4138" s="98" t="s">
        <v>17</v>
      </c>
      <c r="C4138" s="98">
        <v>44</v>
      </c>
      <c r="D4138" s="98">
        <v>1850</v>
      </c>
      <c r="E4138" s="162">
        <v>42464.52847222222</v>
      </c>
      <c r="F4138" s="157">
        <v>42464.643055555556</v>
      </c>
      <c r="G4138" s="98">
        <v>410</v>
      </c>
      <c r="H4138" s="98">
        <v>423</v>
      </c>
      <c r="I4138" s="98">
        <v>393</v>
      </c>
      <c r="J4138" s="98" t="s">
        <v>2263</v>
      </c>
      <c r="K4138" s="98" t="s">
        <v>3728</v>
      </c>
      <c r="L4138" s="105" t="str">
        <f t="shared" si="680"/>
        <v>Mill Creek</v>
      </c>
      <c r="M4138" s="105" t="str">
        <f t="shared" si="681"/>
        <v>Derate</v>
      </c>
      <c r="N4138" s="105" t="str">
        <f t="shared" si="682"/>
        <v>Coal</v>
      </c>
      <c r="O4138" s="105">
        <f>IFERROR(VLOOKUP(A4138,Lookup!$J$5:$P$19,7,FALSE),0)</f>
        <v>3</v>
      </c>
      <c r="P4138" s="159">
        <f t="shared" si="683"/>
        <v>2016</v>
      </c>
      <c r="Q4138" s="159">
        <f t="shared" si="684"/>
        <v>4</v>
      </c>
      <c r="R4138" s="160">
        <f t="shared" si="685"/>
        <v>2.7500000000582077</v>
      </c>
      <c r="S4138" s="158">
        <f t="shared" si="686"/>
        <v>8.4515366432048933E-2</v>
      </c>
      <c r="T4138" s="161">
        <f t="shared" si="687"/>
        <v>33.214539007795231</v>
      </c>
      <c r="U4138" s="158">
        <f t="shared" si="689"/>
        <v>12.078014184397164</v>
      </c>
      <c r="V4138" s="160">
        <f t="shared" si="688"/>
        <v>12</v>
      </c>
    </row>
    <row r="4139" spans="1:22" x14ac:dyDescent="0.25">
      <c r="A4139" s="98" t="s">
        <v>29</v>
      </c>
      <c r="B4139" s="98" t="s">
        <v>17</v>
      </c>
      <c r="C4139" s="98">
        <v>45</v>
      </c>
      <c r="D4139" s="98">
        <v>1850</v>
      </c>
      <c r="E4139" s="157">
        <v>42464.643055555556</v>
      </c>
      <c r="F4139" s="157">
        <v>42465.055555555555</v>
      </c>
      <c r="G4139" s="98">
        <v>390</v>
      </c>
      <c r="H4139" s="98">
        <v>423</v>
      </c>
      <c r="I4139" s="98">
        <v>393</v>
      </c>
      <c r="J4139" s="98" t="s">
        <v>2263</v>
      </c>
      <c r="K4139" s="98" t="s">
        <v>3728</v>
      </c>
      <c r="L4139" s="105" t="str">
        <f t="shared" si="680"/>
        <v>Mill Creek</v>
      </c>
      <c r="M4139" s="105" t="str">
        <f t="shared" si="681"/>
        <v>Derate</v>
      </c>
      <c r="N4139" s="105" t="str">
        <f t="shared" si="682"/>
        <v>Coal</v>
      </c>
      <c r="O4139" s="105">
        <f>IFERROR(VLOOKUP(A4139,Lookup!$J$5:$P$19,7,FALSE),0)</f>
        <v>3</v>
      </c>
      <c r="P4139" s="159">
        <f t="shared" si="683"/>
        <v>2016</v>
      </c>
      <c r="Q4139" s="159">
        <f t="shared" si="684"/>
        <v>4</v>
      </c>
      <c r="R4139" s="160">
        <f t="shared" si="685"/>
        <v>9.8999999999650754</v>
      </c>
      <c r="S4139" s="158">
        <f t="shared" si="686"/>
        <v>0.77234042552919024</v>
      </c>
      <c r="T4139" s="161">
        <f t="shared" si="687"/>
        <v>303.52978723297178</v>
      </c>
      <c r="U4139" s="158">
        <f t="shared" si="689"/>
        <v>30.659574468085108</v>
      </c>
      <c r="V4139" s="160">
        <f t="shared" si="688"/>
        <v>31</v>
      </c>
    </row>
    <row r="4140" spans="1:22" x14ac:dyDescent="0.25">
      <c r="A4140" s="98" t="s">
        <v>29</v>
      </c>
      <c r="B4140" s="98" t="s">
        <v>17</v>
      </c>
      <c r="C4140" s="98">
        <v>46</v>
      </c>
      <c r="D4140" s="98">
        <v>1850</v>
      </c>
      <c r="E4140" s="162">
        <v>42465.418055555558</v>
      </c>
      <c r="F4140" s="157">
        <v>42466.03125</v>
      </c>
      <c r="G4140" s="98">
        <v>382</v>
      </c>
      <c r="H4140" s="98">
        <v>423</v>
      </c>
      <c r="I4140" s="98">
        <v>393</v>
      </c>
      <c r="J4140" s="98" t="s">
        <v>2263</v>
      </c>
      <c r="K4140" s="98" t="s">
        <v>3728</v>
      </c>
      <c r="L4140" s="105" t="str">
        <f t="shared" si="680"/>
        <v>Mill Creek</v>
      </c>
      <c r="M4140" s="105" t="str">
        <f t="shared" si="681"/>
        <v>Derate</v>
      </c>
      <c r="N4140" s="105" t="str">
        <f t="shared" si="682"/>
        <v>Coal</v>
      </c>
      <c r="O4140" s="105">
        <f>IFERROR(VLOOKUP(A4140,Lookup!$J$5:$P$19,7,FALSE),0)</f>
        <v>3</v>
      </c>
      <c r="P4140" s="159">
        <f t="shared" si="683"/>
        <v>2016</v>
      </c>
      <c r="Q4140" s="159">
        <f t="shared" si="684"/>
        <v>4</v>
      </c>
      <c r="R4140" s="160">
        <f t="shared" si="685"/>
        <v>14.71666666661622</v>
      </c>
      <c r="S4140" s="158">
        <f t="shared" si="686"/>
        <v>1.4264381402630379</v>
      </c>
      <c r="T4140" s="161">
        <f t="shared" si="687"/>
        <v>560.59018912337388</v>
      </c>
      <c r="U4140" s="158">
        <f t="shared" si="689"/>
        <v>38.092198581560282</v>
      </c>
      <c r="V4140" s="160">
        <f t="shared" si="688"/>
        <v>38</v>
      </c>
    </row>
    <row r="4141" spans="1:22" x14ac:dyDescent="0.25">
      <c r="A4141" s="98" t="s">
        <v>29</v>
      </c>
      <c r="B4141" s="98" t="s">
        <v>17</v>
      </c>
      <c r="C4141" s="98">
        <v>47</v>
      </c>
      <c r="D4141" s="98">
        <v>1850</v>
      </c>
      <c r="E4141" s="157">
        <v>42466.03125</v>
      </c>
      <c r="F4141" s="157">
        <v>42466.290277777778</v>
      </c>
      <c r="G4141" s="98">
        <v>400</v>
      </c>
      <c r="H4141" s="98">
        <v>423</v>
      </c>
      <c r="I4141" s="98">
        <v>393</v>
      </c>
      <c r="J4141" s="98" t="s">
        <v>2263</v>
      </c>
      <c r="K4141" s="98" t="s">
        <v>3728</v>
      </c>
      <c r="L4141" s="105" t="str">
        <f t="shared" si="680"/>
        <v>Mill Creek</v>
      </c>
      <c r="M4141" s="105" t="str">
        <f t="shared" si="681"/>
        <v>Derate</v>
      </c>
      <c r="N4141" s="105" t="str">
        <f t="shared" si="682"/>
        <v>Coal</v>
      </c>
      <c r="O4141" s="105">
        <f>IFERROR(VLOOKUP(A4141,Lookup!$J$5:$P$19,7,FALSE),0)</f>
        <v>3</v>
      </c>
      <c r="P4141" s="159">
        <f t="shared" si="683"/>
        <v>2016</v>
      </c>
      <c r="Q4141" s="159">
        <f t="shared" si="684"/>
        <v>4</v>
      </c>
      <c r="R4141" s="160">
        <f t="shared" si="685"/>
        <v>6.2166666666744277</v>
      </c>
      <c r="S4141" s="158">
        <f t="shared" si="686"/>
        <v>0.33802206461823131</v>
      </c>
      <c r="T4141" s="161">
        <f t="shared" si="687"/>
        <v>132.8426713949649</v>
      </c>
      <c r="U4141" s="158">
        <f t="shared" si="689"/>
        <v>21.368794326241133</v>
      </c>
      <c r="V4141" s="160">
        <f t="shared" si="688"/>
        <v>21</v>
      </c>
    </row>
    <row r="4142" spans="1:22" x14ac:dyDescent="0.25">
      <c r="A4142" s="98" t="s">
        <v>29</v>
      </c>
      <c r="B4142" s="98" t="s">
        <v>79</v>
      </c>
      <c r="C4142" s="98">
        <v>48</v>
      </c>
      <c r="D4142" s="98">
        <v>8460</v>
      </c>
      <c r="E4142" s="157">
        <v>42466.416666666664</v>
      </c>
      <c r="F4142" s="157">
        <v>42466.472916666666</v>
      </c>
      <c r="G4142" s="98">
        <v>0</v>
      </c>
      <c r="H4142" s="98">
        <v>423</v>
      </c>
      <c r="I4142" s="98">
        <v>393</v>
      </c>
      <c r="J4142" s="98" t="s">
        <v>2651</v>
      </c>
      <c r="K4142" s="98" t="s">
        <v>3729</v>
      </c>
      <c r="L4142" s="105" t="str">
        <f t="shared" si="680"/>
        <v>Mill Creek</v>
      </c>
      <c r="M4142" s="105" t="str">
        <f t="shared" si="681"/>
        <v>Other</v>
      </c>
      <c r="N4142" s="105" t="str">
        <f t="shared" si="682"/>
        <v>Coal</v>
      </c>
      <c r="O4142" s="105">
        <f>IFERROR(VLOOKUP(A4142,Lookup!$J$5:$P$19,7,FALSE),0)</f>
        <v>3</v>
      </c>
      <c r="P4142" s="159">
        <f t="shared" si="683"/>
        <v>2016</v>
      </c>
      <c r="Q4142" s="159">
        <f t="shared" si="684"/>
        <v>4</v>
      </c>
      <c r="R4142" s="160">
        <f t="shared" si="685"/>
        <v>1.3500000000349246</v>
      </c>
      <c r="S4142" s="158">
        <f t="shared" si="686"/>
        <v>1.3500000000349246</v>
      </c>
      <c r="T4142" s="161">
        <f t="shared" si="687"/>
        <v>530.55000001372537</v>
      </c>
      <c r="U4142" s="158">
        <f t="shared" si="689"/>
        <v>393</v>
      </c>
      <c r="V4142" s="160">
        <f t="shared" si="688"/>
        <v>393</v>
      </c>
    </row>
    <row r="4143" spans="1:22" x14ac:dyDescent="0.25">
      <c r="A4143" s="98" t="s">
        <v>29</v>
      </c>
      <c r="B4143" s="98" t="s">
        <v>38</v>
      </c>
      <c r="C4143" s="98">
        <v>49</v>
      </c>
      <c r="D4143" s="98">
        <v>8440</v>
      </c>
      <c r="E4143" s="157">
        <v>42469.623611111114</v>
      </c>
      <c r="F4143" s="157">
        <v>42524.838888888888</v>
      </c>
      <c r="G4143" s="98">
        <v>0</v>
      </c>
      <c r="H4143" s="98">
        <v>423</v>
      </c>
      <c r="I4143" s="98">
        <v>393</v>
      </c>
      <c r="J4143" s="98" t="s">
        <v>2715</v>
      </c>
      <c r="K4143" s="98" t="s">
        <v>3730</v>
      </c>
      <c r="L4143" s="105" t="str">
        <f t="shared" si="680"/>
        <v>Mill Creek</v>
      </c>
      <c r="M4143" s="105" t="str">
        <f t="shared" si="681"/>
        <v>Other</v>
      </c>
      <c r="N4143" s="105" t="str">
        <f t="shared" si="682"/>
        <v>Coal</v>
      </c>
      <c r="O4143" s="105">
        <f>IFERROR(VLOOKUP(A4143,Lookup!$J$5:$P$19,7,FALSE),0)</f>
        <v>3</v>
      </c>
      <c r="P4143" s="159">
        <f t="shared" si="683"/>
        <v>2016</v>
      </c>
      <c r="Q4143" s="159">
        <f t="shared" si="684"/>
        <v>4</v>
      </c>
      <c r="R4143" s="160">
        <f t="shared" si="685"/>
        <v>1325.1666666665697</v>
      </c>
      <c r="S4143" s="158">
        <f t="shared" si="686"/>
        <v>1325.1666666665699</v>
      </c>
      <c r="T4143" s="161">
        <f t="shared" si="687"/>
        <v>520790.49999996199</v>
      </c>
      <c r="U4143" s="158">
        <f t="shared" si="689"/>
        <v>393</v>
      </c>
      <c r="V4143" s="160">
        <f t="shared" si="688"/>
        <v>393</v>
      </c>
    </row>
    <row r="4144" spans="1:22" x14ac:dyDescent="0.25">
      <c r="A4144" s="98" t="s">
        <v>29</v>
      </c>
      <c r="B4144" s="98" t="s">
        <v>18</v>
      </c>
      <c r="C4144" s="98">
        <v>50</v>
      </c>
      <c r="D4144" s="98">
        <v>1475</v>
      </c>
      <c r="E4144" s="157">
        <v>42524.838888888888</v>
      </c>
      <c r="F4144" s="157">
        <v>42525.669444444444</v>
      </c>
      <c r="G4144" s="98">
        <v>0</v>
      </c>
      <c r="H4144" s="98">
        <v>423</v>
      </c>
      <c r="I4144" s="98">
        <v>393</v>
      </c>
      <c r="J4144" s="98" t="s">
        <v>1989</v>
      </c>
      <c r="K4144" s="98" t="s">
        <v>3731</v>
      </c>
      <c r="L4144" s="105" t="str">
        <f t="shared" si="680"/>
        <v>Mill Creek</v>
      </c>
      <c r="M4144" s="105" t="str">
        <f t="shared" si="681"/>
        <v>Outage</v>
      </c>
      <c r="N4144" s="105" t="str">
        <f t="shared" si="682"/>
        <v>Coal</v>
      </c>
      <c r="O4144" s="105">
        <f>IFERROR(VLOOKUP(A4144,Lookup!$J$5:$P$19,7,FALSE),0)</f>
        <v>3</v>
      </c>
      <c r="P4144" s="159">
        <f t="shared" si="683"/>
        <v>2016</v>
      </c>
      <c r="Q4144" s="159">
        <f t="shared" si="684"/>
        <v>6</v>
      </c>
      <c r="R4144" s="160">
        <f t="shared" si="685"/>
        <v>19.933333333348855</v>
      </c>
      <c r="S4144" s="158">
        <f t="shared" si="686"/>
        <v>19.933333333348855</v>
      </c>
      <c r="T4144" s="161">
        <f t="shared" si="687"/>
        <v>7833.8000000061002</v>
      </c>
      <c r="U4144" s="158">
        <f t="shared" si="689"/>
        <v>393</v>
      </c>
      <c r="V4144" s="160">
        <f t="shared" si="688"/>
        <v>393</v>
      </c>
    </row>
    <row r="4145" spans="1:22" x14ac:dyDescent="0.25">
      <c r="A4145" s="98" t="s">
        <v>29</v>
      </c>
      <c r="B4145" s="98" t="s">
        <v>15</v>
      </c>
      <c r="C4145" s="98">
        <v>51</v>
      </c>
      <c r="D4145" s="98">
        <v>1475</v>
      </c>
      <c r="E4145" s="157">
        <v>42527.479166666664</v>
      </c>
      <c r="F4145" s="157">
        <v>42527.530555555553</v>
      </c>
      <c r="G4145" s="98">
        <v>0</v>
      </c>
      <c r="H4145" s="98">
        <v>423</v>
      </c>
      <c r="I4145" s="98">
        <v>393</v>
      </c>
      <c r="J4145" s="98" t="s">
        <v>1989</v>
      </c>
      <c r="K4145" s="98" t="s">
        <v>3732</v>
      </c>
      <c r="L4145" s="105" t="str">
        <f t="shared" si="680"/>
        <v>Mill Creek</v>
      </c>
      <c r="M4145" s="105" t="str">
        <f t="shared" si="681"/>
        <v>Outage</v>
      </c>
      <c r="N4145" s="105" t="str">
        <f t="shared" si="682"/>
        <v>Coal</v>
      </c>
      <c r="O4145" s="105">
        <f>IFERROR(VLOOKUP(A4145,Lookup!$J$5:$P$19,7,FALSE),0)</f>
        <v>3</v>
      </c>
      <c r="P4145" s="159">
        <f t="shared" si="683"/>
        <v>2016</v>
      </c>
      <c r="Q4145" s="159">
        <f t="shared" si="684"/>
        <v>6</v>
      </c>
      <c r="R4145" s="160">
        <f t="shared" si="685"/>
        <v>1.2333333333372138</v>
      </c>
      <c r="S4145" s="158">
        <f t="shared" si="686"/>
        <v>1.2333333333372138</v>
      </c>
      <c r="T4145" s="161">
        <f t="shared" si="687"/>
        <v>484.70000000152504</v>
      </c>
      <c r="U4145" s="158">
        <f t="shared" si="689"/>
        <v>393</v>
      </c>
      <c r="V4145" s="160">
        <f t="shared" si="688"/>
        <v>393</v>
      </c>
    </row>
    <row r="4146" spans="1:22" x14ac:dyDescent="0.25">
      <c r="A4146" s="98" t="s">
        <v>29</v>
      </c>
      <c r="B4146" s="98" t="s">
        <v>17</v>
      </c>
      <c r="C4146" s="98">
        <v>52</v>
      </c>
      <c r="D4146" s="98">
        <v>380</v>
      </c>
      <c r="E4146" s="157">
        <v>42529.176388888889</v>
      </c>
      <c r="F4146" s="157">
        <v>42529.206944444442</v>
      </c>
      <c r="G4146" s="98">
        <v>330</v>
      </c>
      <c r="H4146" s="98">
        <v>423</v>
      </c>
      <c r="I4146" s="98">
        <v>393</v>
      </c>
      <c r="J4146" s="98" t="s">
        <v>2017</v>
      </c>
      <c r="K4146" s="98" t="s">
        <v>3733</v>
      </c>
      <c r="L4146" s="105" t="str">
        <f t="shared" si="680"/>
        <v>Mill Creek</v>
      </c>
      <c r="M4146" s="105" t="str">
        <f t="shared" si="681"/>
        <v>Derate</v>
      </c>
      <c r="N4146" s="105" t="str">
        <f t="shared" si="682"/>
        <v>Coal</v>
      </c>
      <c r="O4146" s="105">
        <f>IFERROR(VLOOKUP(A4146,Lookup!$J$5:$P$19,7,FALSE),0)</f>
        <v>3</v>
      </c>
      <c r="P4146" s="159">
        <f t="shared" si="683"/>
        <v>2016</v>
      </c>
      <c r="Q4146" s="159">
        <f t="shared" si="684"/>
        <v>6</v>
      </c>
      <c r="R4146" s="160">
        <f t="shared" si="685"/>
        <v>0.73333333327900618</v>
      </c>
      <c r="S4146" s="158">
        <f t="shared" si="686"/>
        <v>0.16122931440885951</v>
      </c>
      <c r="T4146" s="161">
        <f t="shared" si="687"/>
        <v>63.363120562681786</v>
      </c>
      <c r="U4146" s="158">
        <f t="shared" si="689"/>
        <v>86.40425531914893</v>
      </c>
      <c r="V4146" s="160">
        <f t="shared" si="688"/>
        <v>86</v>
      </c>
    </row>
    <row r="4147" spans="1:22" x14ac:dyDescent="0.25">
      <c r="A4147" s="98" t="s">
        <v>29</v>
      </c>
      <c r="B4147" s="98" t="s">
        <v>79</v>
      </c>
      <c r="C4147" s="98">
        <v>53</v>
      </c>
      <c r="D4147" s="98">
        <v>8010</v>
      </c>
      <c r="E4147" s="157">
        <v>42536.034722222219</v>
      </c>
      <c r="F4147" s="157">
        <v>42536.195833333331</v>
      </c>
      <c r="G4147" s="98">
        <v>0</v>
      </c>
      <c r="H4147" s="98">
        <v>423</v>
      </c>
      <c r="I4147" s="98">
        <v>393</v>
      </c>
      <c r="J4147" s="98" t="s">
        <v>3581</v>
      </c>
      <c r="K4147" s="98" t="s">
        <v>3582</v>
      </c>
      <c r="L4147" s="105" t="str">
        <f t="shared" si="680"/>
        <v>Mill Creek</v>
      </c>
      <c r="M4147" s="105" t="str">
        <f t="shared" si="681"/>
        <v>Other</v>
      </c>
      <c r="N4147" s="105" t="str">
        <f t="shared" si="682"/>
        <v>Coal</v>
      </c>
      <c r="O4147" s="105">
        <f>IFERROR(VLOOKUP(A4147,Lookup!$J$5:$P$19,7,FALSE),0)</f>
        <v>3</v>
      </c>
      <c r="P4147" s="159">
        <f t="shared" si="683"/>
        <v>2016</v>
      </c>
      <c r="Q4147" s="159">
        <f t="shared" si="684"/>
        <v>6</v>
      </c>
      <c r="R4147" s="160">
        <f t="shared" si="685"/>
        <v>3.8666666666977108</v>
      </c>
      <c r="S4147" s="158">
        <f t="shared" si="686"/>
        <v>3.8666666666977108</v>
      </c>
      <c r="T4147" s="161">
        <f t="shared" si="687"/>
        <v>1519.6000000122003</v>
      </c>
      <c r="U4147" s="158">
        <f t="shared" si="689"/>
        <v>393</v>
      </c>
      <c r="V4147" s="160">
        <f t="shared" si="688"/>
        <v>393</v>
      </c>
    </row>
    <row r="4148" spans="1:22" x14ac:dyDescent="0.25">
      <c r="A4148" s="98" t="s">
        <v>29</v>
      </c>
      <c r="B4148" s="98" t="s">
        <v>20</v>
      </c>
      <c r="C4148" s="98">
        <v>54</v>
      </c>
      <c r="D4148" s="98">
        <v>1512</v>
      </c>
      <c r="E4148" s="157">
        <v>42538.035416666666</v>
      </c>
      <c r="F4148" s="157">
        <v>42539.244444444441</v>
      </c>
      <c r="G4148" s="98">
        <v>0</v>
      </c>
      <c r="H4148" s="98">
        <v>423</v>
      </c>
      <c r="I4148" s="98">
        <v>393</v>
      </c>
      <c r="J4148" s="98" t="s">
        <v>2023</v>
      </c>
      <c r="K4148" s="98" t="s">
        <v>3734</v>
      </c>
      <c r="L4148" s="105" t="str">
        <f t="shared" si="680"/>
        <v>Mill Creek</v>
      </c>
      <c r="M4148" s="105" t="str">
        <f t="shared" si="681"/>
        <v>Maintenance</v>
      </c>
      <c r="N4148" s="105" t="str">
        <f t="shared" si="682"/>
        <v>Coal</v>
      </c>
      <c r="O4148" s="105">
        <f>IFERROR(VLOOKUP(A4148,Lookup!$J$5:$P$19,7,FALSE),0)</f>
        <v>3</v>
      </c>
      <c r="P4148" s="159">
        <f t="shared" si="683"/>
        <v>2016</v>
      </c>
      <c r="Q4148" s="159">
        <f t="shared" si="684"/>
        <v>6</v>
      </c>
      <c r="R4148" s="160">
        <f t="shared" si="685"/>
        <v>29.016666666604578</v>
      </c>
      <c r="S4148" s="158">
        <f t="shared" si="686"/>
        <v>29.016666666604578</v>
      </c>
      <c r="T4148" s="161">
        <f t="shared" si="687"/>
        <v>11403.549999975599</v>
      </c>
      <c r="U4148" s="158">
        <f t="shared" si="689"/>
        <v>393</v>
      </c>
      <c r="V4148" s="160">
        <f t="shared" si="688"/>
        <v>393</v>
      </c>
    </row>
    <row r="4149" spans="1:22" x14ac:dyDescent="0.25">
      <c r="A4149" s="98" t="s">
        <v>29</v>
      </c>
      <c r="B4149" s="98" t="s">
        <v>15</v>
      </c>
      <c r="C4149" s="98">
        <v>55</v>
      </c>
      <c r="D4149" s="98">
        <v>1470</v>
      </c>
      <c r="E4149" s="157">
        <v>42546.623611111114</v>
      </c>
      <c r="F4149" s="157">
        <v>42546.871527777781</v>
      </c>
      <c r="G4149" s="98">
        <v>0</v>
      </c>
      <c r="H4149" s="98">
        <v>423</v>
      </c>
      <c r="I4149" s="98">
        <v>393</v>
      </c>
      <c r="J4149" s="98" t="s">
        <v>2005</v>
      </c>
      <c r="K4149" s="98" t="s">
        <v>3735</v>
      </c>
      <c r="L4149" s="105" t="str">
        <f t="shared" si="680"/>
        <v>Mill Creek</v>
      </c>
      <c r="M4149" s="105" t="str">
        <f t="shared" si="681"/>
        <v>Outage</v>
      </c>
      <c r="N4149" s="105" t="str">
        <f t="shared" si="682"/>
        <v>Coal</v>
      </c>
      <c r="O4149" s="105">
        <f>IFERROR(VLOOKUP(A4149,Lookup!$J$5:$P$19,7,FALSE),0)</f>
        <v>3</v>
      </c>
      <c r="P4149" s="159">
        <f t="shared" si="683"/>
        <v>2016</v>
      </c>
      <c r="Q4149" s="159">
        <f t="shared" si="684"/>
        <v>6</v>
      </c>
      <c r="R4149" s="160">
        <f t="shared" si="685"/>
        <v>5.9500000000116415</v>
      </c>
      <c r="S4149" s="158">
        <f t="shared" si="686"/>
        <v>5.9500000000116415</v>
      </c>
      <c r="T4149" s="161">
        <f t="shared" si="687"/>
        <v>2338.3500000045751</v>
      </c>
      <c r="U4149" s="158">
        <f t="shared" si="689"/>
        <v>393</v>
      </c>
      <c r="V4149" s="160">
        <f t="shared" si="688"/>
        <v>393</v>
      </c>
    </row>
    <row r="4150" spans="1:22" x14ac:dyDescent="0.25">
      <c r="A4150" s="98" t="s">
        <v>29</v>
      </c>
      <c r="B4150" s="98" t="s">
        <v>105</v>
      </c>
      <c r="C4150" s="98">
        <v>70</v>
      </c>
      <c r="D4150" s="98">
        <v>310</v>
      </c>
      <c r="E4150" s="157">
        <v>42552</v>
      </c>
      <c r="F4150" s="157">
        <v>42552.181944444441</v>
      </c>
      <c r="G4150" s="98">
        <v>330</v>
      </c>
      <c r="H4150" s="98">
        <v>423</v>
      </c>
      <c r="I4150" s="98">
        <v>393</v>
      </c>
      <c r="J4150" s="98" t="s">
        <v>1966</v>
      </c>
      <c r="K4150" s="98" t="s">
        <v>4309</v>
      </c>
      <c r="L4150" s="105" t="str">
        <f t="shared" si="680"/>
        <v>Mill Creek</v>
      </c>
      <c r="M4150" s="105" t="str">
        <f t="shared" si="681"/>
        <v>Derate</v>
      </c>
      <c r="N4150" s="105" t="str">
        <f t="shared" si="682"/>
        <v>Coal</v>
      </c>
      <c r="O4150" s="105">
        <f>IFERROR(VLOOKUP(A4150,Lookup!$J$5:$P$19,7,FALSE),0)</f>
        <v>3</v>
      </c>
      <c r="P4150" s="159">
        <f t="shared" si="683"/>
        <v>2016</v>
      </c>
      <c r="Q4150" s="159">
        <f t="shared" si="684"/>
        <v>7</v>
      </c>
      <c r="R4150" s="160">
        <f t="shared" si="685"/>
        <v>4.3666666665812954</v>
      </c>
      <c r="S4150" s="158">
        <f t="shared" si="686"/>
        <v>0.96004728130510752</v>
      </c>
      <c r="T4150" s="161">
        <f t="shared" si="687"/>
        <v>377.29858155290725</v>
      </c>
      <c r="U4150" s="158">
        <f t="shared" si="689"/>
        <v>86.40425531914893</v>
      </c>
      <c r="V4150" s="160">
        <f t="shared" si="688"/>
        <v>86</v>
      </c>
    </row>
    <row r="4151" spans="1:22" x14ac:dyDescent="0.25">
      <c r="A4151" s="98" t="s">
        <v>29</v>
      </c>
      <c r="B4151" s="98" t="s">
        <v>105</v>
      </c>
      <c r="C4151" s="98">
        <v>57</v>
      </c>
      <c r="D4151" s="98">
        <v>260</v>
      </c>
      <c r="E4151" s="157">
        <v>42556.984027777777</v>
      </c>
      <c r="F4151" s="157">
        <v>42557.022916666669</v>
      </c>
      <c r="G4151" s="98">
        <v>350</v>
      </c>
      <c r="H4151" s="98">
        <v>423</v>
      </c>
      <c r="I4151" s="98">
        <v>393</v>
      </c>
      <c r="J4151" s="98" t="s">
        <v>1973</v>
      </c>
      <c r="K4151" s="98" t="s">
        <v>4310</v>
      </c>
      <c r="L4151" s="105" t="str">
        <f t="shared" si="680"/>
        <v>Mill Creek</v>
      </c>
      <c r="M4151" s="105" t="str">
        <f t="shared" si="681"/>
        <v>Derate</v>
      </c>
      <c r="N4151" s="105" t="str">
        <f t="shared" si="682"/>
        <v>Coal</v>
      </c>
      <c r="O4151" s="105">
        <f>IFERROR(VLOOKUP(A4151,Lookup!$J$5:$P$19,7,FALSE),0)</f>
        <v>3</v>
      </c>
      <c r="P4151" s="159">
        <f t="shared" si="683"/>
        <v>2016</v>
      </c>
      <c r="Q4151" s="159">
        <f t="shared" si="684"/>
        <v>7</v>
      </c>
      <c r="R4151" s="160">
        <f t="shared" si="685"/>
        <v>0.93333333340706304</v>
      </c>
      <c r="S4151" s="158">
        <f t="shared" si="686"/>
        <v>0.16107171002060425</v>
      </c>
      <c r="T4151" s="161">
        <f t="shared" si="687"/>
        <v>63.301182038097473</v>
      </c>
      <c r="U4151" s="158">
        <f t="shared" si="689"/>
        <v>67.822695035460995</v>
      </c>
      <c r="V4151" s="160">
        <f t="shared" si="688"/>
        <v>68</v>
      </c>
    </row>
    <row r="4152" spans="1:22" x14ac:dyDescent="0.25">
      <c r="A4152" s="98" t="s">
        <v>29</v>
      </c>
      <c r="B4152" s="98" t="s">
        <v>79</v>
      </c>
      <c r="C4152" s="98">
        <v>58</v>
      </c>
      <c r="D4152" s="98">
        <v>9999</v>
      </c>
      <c r="E4152" s="157">
        <v>42557.022916666669</v>
      </c>
      <c r="F4152" s="157">
        <v>42557.084722222222</v>
      </c>
      <c r="G4152" s="98">
        <v>0</v>
      </c>
      <c r="H4152" s="98">
        <v>423</v>
      </c>
      <c r="I4152" s="98">
        <v>393</v>
      </c>
      <c r="J4152" s="98" t="s">
        <v>2261</v>
      </c>
      <c r="K4152" s="98" t="s">
        <v>4311</v>
      </c>
      <c r="L4152" s="105" t="str">
        <f t="shared" si="680"/>
        <v>Mill Creek</v>
      </c>
      <c r="M4152" s="105" t="str">
        <f t="shared" si="681"/>
        <v>Other</v>
      </c>
      <c r="N4152" s="105" t="str">
        <f t="shared" si="682"/>
        <v>Coal</v>
      </c>
      <c r="O4152" s="105">
        <f>IFERROR(VLOOKUP(A4152,Lookup!$J$5:$P$19,7,FALSE),0)</f>
        <v>3</v>
      </c>
      <c r="P4152" s="159">
        <f t="shared" si="683"/>
        <v>2016</v>
      </c>
      <c r="Q4152" s="159">
        <f t="shared" si="684"/>
        <v>7</v>
      </c>
      <c r="R4152" s="160">
        <f t="shared" si="685"/>
        <v>1.4833333332790062</v>
      </c>
      <c r="S4152" s="158">
        <f t="shared" si="686"/>
        <v>1.4833333332790062</v>
      </c>
      <c r="T4152" s="161">
        <f t="shared" si="687"/>
        <v>582.94999997864943</v>
      </c>
      <c r="U4152" s="158">
        <f t="shared" si="689"/>
        <v>393</v>
      </c>
      <c r="V4152" s="160">
        <f t="shared" si="688"/>
        <v>393</v>
      </c>
    </row>
    <row r="4153" spans="1:22" x14ac:dyDescent="0.25">
      <c r="A4153" s="98" t="s">
        <v>29</v>
      </c>
      <c r="B4153" s="98" t="s">
        <v>79</v>
      </c>
      <c r="C4153" s="98">
        <v>59</v>
      </c>
      <c r="D4153" s="98">
        <v>9999</v>
      </c>
      <c r="E4153" s="157">
        <v>42557.084722222222</v>
      </c>
      <c r="F4153" s="157">
        <v>42557.166666666664</v>
      </c>
      <c r="G4153" s="98">
        <v>0</v>
      </c>
      <c r="H4153" s="98">
        <v>423</v>
      </c>
      <c r="I4153" s="98">
        <v>393</v>
      </c>
      <c r="J4153" s="98" t="s">
        <v>2261</v>
      </c>
      <c r="K4153" s="98" t="s">
        <v>4311</v>
      </c>
      <c r="L4153" s="105" t="str">
        <f t="shared" si="680"/>
        <v>Mill Creek</v>
      </c>
      <c r="M4153" s="105" t="str">
        <f t="shared" si="681"/>
        <v>Other</v>
      </c>
      <c r="N4153" s="105" t="str">
        <f t="shared" si="682"/>
        <v>Coal</v>
      </c>
      <c r="O4153" s="105">
        <f>IFERROR(VLOOKUP(A4153,Lookup!$J$5:$P$19,7,FALSE),0)</f>
        <v>3</v>
      </c>
      <c r="P4153" s="159">
        <f t="shared" si="683"/>
        <v>2016</v>
      </c>
      <c r="Q4153" s="159">
        <f t="shared" si="684"/>
        <v>7</v>
      </c>
      <c r="R4153" s="160">
        <f t="shared" si="685"/>
        <v>1.96666666661622</v>
      </c>
      <c r="S4153" s="158">
        <f t="shared" si="686"/>
        <v>1.96666666661622</v>
      </c>
      <c r="T4153" s="161">
        <f t="shared" si="687"/>
        <v>772.89999998017447</v>
      </c>
      <c r="U4153" s="158">
        <f t="shared" si="689"/>
        <v>393</v>
      </c>
      <c r="V4153" s="160">
        <f t="shared" si="688"/>
        <v>393</v>
      </c>
    </row>
    <row r="4154" spans="1:22" x14ac:dyDescent="0.25">
      <c r="A4154" s="98" t="s">
        <v>29</v>
      </c>
      <c r="B4154" s="98" t="s">
        <v>79</v>
      </c>
      <c r="C4154" s="98">
        <v>60</v>
      </c>
      <c r="D4154" s="98">
        <v>9999</v>
      </c>
      <c r="E4154" s="157">
        <v>42557.166666666664</v>
      </c>
      <c r="F4154" s="157">
        <v>42557.253472222219</v>
      </c>
      <c r="G4154" s="98">
        <v>0</v>
      </c>
      <c r="H4154" s="98">
        <v>423</v>
      </c>
      <c r="I4154" s="98">
        <v>393</v>
      </c>
      <c r="J4154" s="98" t="s">
        <v>2261</v>
      </c>
      <c r="K4154" s="98" t="s">
        <v>4311</v>
      </c>
      <c r="L4154" s="105" t="str">
        <f t="shared" si="680"/>
        <v>Mill Creek</v>
      </c>
      <c r="M4154" s="105" t="str">
        <f t="shared" si="681"/>
        <v>Other</v>
      </c>
      <c r="N4154" s="105" t="str">
        <f t="shared" si="682"/>
        <v>Coal</v>
      </c>
      <c r="O4154" s="105">
        <f>IFERROR(VLOOKUP(A4154,Lookup!$J$5:$P$19,7,FALSE),0)</f>
        <v>3</v>
      </c>
      <c r="P4154" s="159">
        <f t="shared" si="683"/>
        <v>2016</v>
      </c>
      <c r="Q4154" s="159">
        <f t="shared" si="684"/>
        <v>7</v>
      </c>
      <c r="R4154" s="160">
        <f t="shared" si="685"/>
        <v>2.0833333333139308</v>
      </c>
      <c r="S4154" s="158">
        <f t="shared" si="686"/>
        <v>2.0833333333139308</v>
      </c>
      <c r="T4154" s="161">
        <f t="shared" si="687"/>
        <v>818.7499999923748</v>
      </c>
      <c r="U4154" s="158">
        <f t="shared" si="689"/>
        <v>393</v>
      </c>
      <c r="V4154" s="160">
        <f t="shared" si="688"/>
        <v>393</v>
      </c>
    </row>
    <row r="4155" spans="1:22" x14ac:dyDescent="0.25">
      <c r="A4155" s="98" t="s">
        <v>29</v>
      </c>
      <c r="B4155" s="98" t="s">
        <v>17</v>
      </c>
      <c r="C4155" s="98">
        <v>61</v>
      </c>
      <c r="D4155" s="98">
        <v>380</v>
      </c>
      <c r="E4155" s="162">
        <v>42557.604166666664</v>
      </c>
      <c r="F4155" s="157">
        <v>42557.611805555556</v>
      </c>
      <c r="G4155" s="98">
        <v>345</v>
      </c>
      <c r="H4155" s="98">
        <v>423</v>
      </c>
      <c r="I4155" s="98">
        <v>393</v>
      </c>
      <c r="J4155" s="98" t="s">
        <v>2017</v>
      </c>
      <c r="K4155" s="98" t="s">
        <v>4312</v>
      </c>
      <c r="L4155" s="105" t="str">
        <f t="shared" si="680"/>
        <v>Mill Creek</v>
      </c>
      <c r="M4155" s="105" t="str">
        <f t="shared" si="681"/>
        <v>Derate</v>
      </c>
      <c r="N4155" s="105" t="str">
        <f t="shared" si="682"/>
        <v>Coal</v>
      </c>
      <c r="O4155" s="105">
        <f>IFERROR(VLOOKUP(A4155,Lookup!$J$5:$P$19,7,FALSE),0)</f>
        <v>3</v>
      </c>
      <c r="P4155" s="159">
        <f t="shared" si="683"/>
        <v>2016</v>
      </c>
      <c r="Q4155" s="159">
        <f t="shared" si="684"/>
        <v>7</v>
      </c>
      <c r="R4155" s="160">
        <f t="shared" si="685"/>
        <v>0.18333333340706304</v>
      </c>
      <c r="S4155" s="158">
        <f t="shared" si="686"/>
        <v>3.3806146585699567E-2</v>
      </c>
      <c r="T4155" s="161">
        <f t="shared" si="687"/>
        <v>13.285815608179931</v>
      </c>
      <c r="U4155" s="158">
        <f t="shared" si="689"/>
        <v>72.468085106382972</v>
      </c>
      <c r="V4155" s="160">
        <f t="shared" si="688"/>
        <v>72</v>
      </c>
    </row>
    <row r="4156" spans="1:22" x14ac:dyDescent="0.25">
      <c r="A4156" s="98" t="s">
        <v>29</v>
      </c>
      <c r="B4156" s="98" t="s">
        <v>79</v>
      </c>
      <c r="C4156" s="98">
        <v>62</v>
      </c>
      <c r="D4156" s="98">
        <v>9656</v>
      </c>
      <c r="E4156" s="157">
        <v>42558.131944444445</v>
      </c>
      <c r="F4156" s="157">
        <v>42558.146527777775</v>
      </c>
      <c r="G4156" s="98">
        <v>0</v>
      </c>
      <c r="H4156" s="98">
        <v>423</v>
      </c>
      <c r="I4156" s="98">
        <v>393</v>
      </c>
      <c r="J4156" s="98" t="s">
        <v>299</v>
      </c>
      <c r="K4156" s="98" t="s">
        <v>4313</v>
      </c>
      <c r="L4156" s="105" t="str">
        <f t="shared" si="680"/>
        <v>Mill Creek</v>
      </c>
      <c r="M4156" s="105" t="str">
        <f t="shared" si="681"/>
        <v>Other</v>
      </c>
      <c r="N4156" s="105" t="str">
        <f t="shared" si="682"/>
        <v>Coal</v>
      </c>
      <c r="O4156" s="105">
        <f>IFERROR(VLOOKUP(A4156,Lookup!$J$5:$P$19,7,FALSE),0)</f>
        <v>3</v>
      </c>
      <c r="P4156" s="159">
        <f t="shared" si="683"/>
        <v>2016</v>
      </c>
      <c r="Q4156" s="159">
        <f t="shared" si="684"/>
        <v>7</v>
      </c>
      <c r="R4156" s="160">
        <f t="shared" si="685"/>
        <v>0.34999999991850927</v>
      </c>
      <c r="S4156" s="158">
        <f t="shared" si="686"/>
        <v>0.34999999991850927</v>
      </c>
      <c r="T4156" s="161">
        <f t="shared" si="687"/>
        <v>137.54999996797414</v>
      </c>
      <c r="U4156" s="158">
        <f t="shared" si="689"/>
        <v>393</v>
      </c>
      <c r="V4156" s="160">
        <f t="shared" si="688"/>
        <v>393</v>
      </c>
    </row>
    <row r="4157" spans="1:22" x14ac:dyDescent="0.25">
      <c r="A4157" s="98" t="s">
        <v>29</v>
      </c>
      <c r="B4157" s="98" t="s">
        <v>79</v>
      </c>
      <c r="C4157" s="98">
        <v>63</v>
      </c>
      <c r="D4157" s="98">
        <v>9656</v>
      </c>
      <c r="E4157" s="157">
        <v>42558.166666666664</v>
      </c>
      <c r="F4157" s="157">
        <v>42558.229166666664</v>
      </c>
      <c r="G4157" s="98">
        <v>0</v>
      </c>
      <c r="H4157" s="98">
        <v>423</v>
      </c>
      <c r="I4157" s="98">
        <v>393</v>
      </c>
      <c r="J4157" s="98" t="s">
        <v>299</v>
      </c>
      <c r="K4157" s="98" t="s">
        <v>4313</v>
      </c>
      <c r="L4157" s="105" t="str">
        <f t="shared" si="680"/>
        <v>Mill Creek</v>
      </c>
      <c r="M4157" s="105" t="str">
        <f t="shared" si="681"/>
        <v>Other</v>
      </c>
      <c r="N4157" s="105" t="str">
        <f t="shared" si="682"/>
        <v>Coal</v>
      </c>
      <c r="O4157" s="105">
        <f>IFERROR(VLOOKUP(A4157,Lookup!$J$5:$P$19,7,FALSE),0)</f>
        <v>3</v>
      </c>
      <c r="P4157" s="159">
        <f t="shared" si="683"/>
        <v>2016</v>
      </c>
      <c r="Q4157" s="159">
        <f t="shared" si="684"/>
        <v>7</v>
      </c>
      <c r="R4157" s="160">
        <f t="shared" si="685"/>
        <v>1.5</v>
      </c>
      <c r="S4157" s="158">
        <f t="shared" si="686"/>
        <v>1.5</v>
      </c>
      <c r="T4157" s="161">
        <f t="shared" si="687"/>
        <v>589.5</v>
      </c>
      <c r="U4157" s="158">
        <f t="shared" si="689"/>
        <v>393</v>
      </c>
      <c r="V4157" s="160">
        <f t="shared" si="688"/>
        <v>393</v>
      </c>
    </row>
    <row r="4158" spans="1:22" x14ac:dyDescent="0.25">
      <c r="A4158" s="98" t="s">
        <v>29</v>
      </c>
      <c r="B4158" s="98" t="s">
        <v>105</v>
      </c>
      <c r="C4158" s="98">
        <v>64</v>
      </c>
      <c r="D4158" s="98">
        <v>260</v>
      </c>
      <c r="E4158" s="157">
        <v>42558.913194444445</v>
      </c>
      <c r="F4158" s="157">
        <v>42558.979166666664</v>
      </c>
      <c r="G4158" s="98">
        <v>330</v>
      </c>
      <c r="H4158" s="98">
        <v>423</v>
      </c>
      <c r="I4158" s="98">
        <v>393</v>
      </c>
      <c r="J4158" s="98" t="s">
        <v>1973</v>
      </c>
      <c r="K4158" s="98" t="s">
        <v>4314</v>
      </c>
      <c r="L4158" s="105" t="str">
        <f t="shared" si="680"/>
        <v>Mill Creek</v>
      </c>
      <c r="M4158" s="105" t="str">
        <f t="shared" si="681"/>
        <v>Derate</v>
      </c>
      <c r="N4158" s="105" t="str">
        <f t="shared" si="682"/>
        <v>Coal</v>
      </c>
      <c r="O4158" s="105">
        <f>IFERROR(VLOOKUP(A4158,Lookup!$J$5:$P$19,7,FALSE),0)</f>
        <v>3</v>
      </c>
      <c r="P4158" s="159">
        <f t="shared" si="683"/>
        <v>2016</v>
      </c>
      <c r="Q4158" s="159">
        <f t="shared" si="684"/>
        <v>7</v>
      </c>
      <c r="R4158" s="160">
        <f t="shared" si="685"/>
        <v>1.5833333332557231</v>
      </c>
      <c r="S4158" s="158">
        <f t="shared" si="686"/>
        <v>0.34810874702785399</v>
      </c>
      <c r="T4158" s="161">
        <f t="shared" si="687"/>
        <v>136.80673758194661</v>
      </c>
      <c r="U4158" s="158">
        <f t="shared" si="689"/>
        <v>86.40425531914893</v>
      </c>
      <c r="V4158" s="160">
        <f t="shared" si="688"/>
        <v>86</v>
      </c>
    </row>
    <row r="4159" spans="1:22" x14ac:dyDescent="0.25">
      <c r="A4159" s="98" t="s">
        <v>29</v>
      </c>
      <c r="B4159" s="98" t="s">
        <v>79</v>
      </c>
      <c r="C4159" s="98">
        <v>65</v>
      </c>
      <c r="D4159" s="98">
        <v>9620</v>
      </c>
      <c r="E4159" s="157">
        <v>42558.979166666664</v>
      </c>
      <c r="F4159" s="157">
        <v>42559.106249999997</v>
      </c>
      <c r="G4159" s="98">
        <v>0</v>
      </c>
      <c r="H4159" s="98">
        <v>423</v>
      </c>
      <c r="I4159" s="98">
        <v>393</v>
      </c>
      <c r="J4159" s="98" t="s">
        <v>2029</v>
      </c>
      <c r="K4159" s="98" t="s">
        <v>4315</v>
      </c>
      <c r="L4159" s="105" t="str">
        <f t="shared" si="680"/>
        <v>Mill Creek</v>
      </c>
      <c r="M4159" s="105" t="str">
        <f t="shared" si="681"/>
        <v>Other</v>
      </c>
      <c r="N4159" s="105" t="str">
        <f t="shared" si="682"/>
        <v>Coal</v>
      </c>
      <c r="O4159" s="105">
        <f>IFERROR(VLOOKUP(A4159,Lookup!$J$5:$P$19,7,FALSE),0)</f>
        <v>3</v>
      </c>
      <c r="P4159" s="159">
        <f t="shared" si="683"/>
        <v>2016</v>
      </c>
      <c r="Q4159" s="159">
        <f t="shared" si="684"/>
        <v>7</v>
      </c>
      <c r="R4159" s="160">
        <f t="shared" si="685"/>
        <v>3.0499999999883585</v>
      </c>
      <c r="S4159" s="158">
        <f t="shared" si="686"/>
        <v>3.0499999999883585</v>
      </c>
      <c r="T4159" s="161">
        <f t="shared" si="687"/>
        <v>1198.6499999954249</v>
      </c>
      <c r="U4159" s="158">
        <f t="shared" si="689"/>
        <v>393</v>
      </c>
      <c r="V4159" s="160">
        <f t="shared" si="688"/>
        <v>393</v>
      </c>
    </row>
    <row r="4160" spans="1:22" x14ac:dyDescent="0.25">
      <c r="A4160" s="98" t="s">
        <v>29</v>
      </c>
      <c r="B4160" s="98" t="s">
        <v>79</v>
      </c>
      <c r="C4160" s="98">
        <v>66</v>
      </c>
      <c r="D4160" s="98">
        <v>9620</v>
      </c>
      <c r="E4160" s="157">
        <v>42559.13958333333</v>
      </c>
      <c r="F4160" s="157">
        <v>42559.260416666664</v>
      </c>
      <c r="G4160" s="98">
        <v>0</v>
      </c>
      <c r="H4160" s="98">
        <v>423</v>
      </c>
      <c r="I4160" s="98">
        <v>393</v>
      </c>
      <c r="J4160" s="98" t="s">
        <v>2029</v>
      </c>
      <c r="K4160" s="98" t="s">
        <v>4316</v>
      </c>
      <c r="L4160" s="105" t="str">
        <f t="shared" si="680"/>
        <v>Mill Creek</v>
      </c>
      <c r="M4160" s="105" t="str">
        <f t="shared" si="681"/>
        <v>Other</v>
      </c>
      <c r="N4160" s="105" t="str">
        <f t="shared" si="682"/>
        <v>Coal</v>
      </c>
      <c r="O4160" s="105">
        <f>IFERROR(VLOOKUP(A4160,Lookup!$J$5:$P$19,7,FALSE),0)</f>
        <v>3</v>
      </c>
      <c r="P4160" s="159">
        <f t="shared" si="683"/>
        <v>2016</v>
      </c>
      <c r="Q4160" s="159">
        <f t="shared" si="684"/>
        <v>7</v>
      </c>
      <c r="R4160" s="160">
        <f t="shared" si="685"/>
        <v>2.9000000000232831</v>
      </c>
      <c r="S4160" s="158">
        <f t="shared" si="686"/>
        <v>2.9000000000232831</v>
      </c>
      <c r="T4160" s="161">
        <f t="shared" si="687"/>
        <v>1139.7000000091502</v>
      </c>
      <c r="U4160" s="158">
        <f t="shared" si="689"/>
        <v>393</v>
      </c>
      <c r="V4160" s="160">
        <f t="shared" si="688"/>
        <v>393</v>
      </c>
    </row>
    <row r="4161" spans="1:22" x14ac:dyDescent="0.25">
      <c r="A4161" s="98" t="s">
        <v>29</v>
      </c>
      <c r="B4161" s="98" t="s">
        <v>17</v>
      </c>
      <c r="C4161" s="98">
        <v>67</v>
      </c>
      <c r="D4161" s="98">
        <v>300</v>
      </c>
      <c r="E4161" s="157">
        <v>42561.370138888888</v>
      </c>
      <c r="F4161" s="157">
        <v>42561.411805555559</v>
      </c>
      <c r="G4161" s="98">
        <v>325</v>
      </c>
      <c r="H4161" s="98">
        <v>423</v>
      </c>
      <c r="I4161" s="98">
        <v>393</v>
      </c>
      <c r="J4161" s="98" t="s">
        <v>1977</v>
      </c>
      <c r="K4161" s="98" t="s">
        <v>4317</v>
      </c>
      <c r="L4161" s="105" t="str">
        <f t="shared" si="680"/>
        <v>Mill Creek</v>
      </c>
      <c r="M4161" s="105" t="str">
        <f t="shared" si="681"/>
        <v>Derate</v>
      </c>
      <c r="N4161" s="105" t="str">
        <f t="shared" si="682"/>
        <v>Coal</v>
      </c>
      <c r="O4161" s="105">
        <f>IFERROR(VLOOKUP(A4161,Lookup!$J$5:$P$19,7,FALSE),0)</f>
        <v>3</v>
      </c>
      <c r="P4161" s="159">
        <f t="shared" si="683"/>
        <v>2016</v>
      </c>
      <c r="Q4161" s="159">
        <f t="shared" si="684"/>
        <v>7</v>
      </c>
      <c r="R4161" s="160">
        <f t="shared" si="685"/>
        <v>1.0000000001164153</v>
      </c>
      <c r="S4161" s="158">
        <f t="shared" si="686"/>
        <v>0.23167848702460686</v>
      </c>
      <c r="T4161" s="161">
        <f t="shared" si="687"/>
        <v>91.049645400670499</v>
      </c>
      <c r="U4161" s="158">
        <f t="shared" si="689"/>
        <v>91.049645390070921</v>
      </c>
      <c r="V4161" s="160">
        <f t="shared" si="688"/>
        <v>91</v>
      </c>
    </row>
    <row r="4162" spans="1:22" x14ac:dyDescent="0.25">
      <c r="A4162" s="98" t="s">
        <v>29</v>
      </c>
      <c r="B4162" s="98" t="s">
        <v>105</v>
      </c>
      <c r="C4162" s="98">
        <v>68</v>
      </c>
      <c r="D4162" s="98">
        <v>262</v>
      </c>
      <c r="E4162" s="157">
        <v>42561.958333333336</v>
      </c>
      <c r="F4162" s="157">
        <v>42562.086805555555</v>
      </c>
      <c r="G4162" s="98">
        <v>340</v>
      </c>
      <c r="H4162" s="98">
        <v>423</v>
      </c>
      <c r="I4162" s="98">
        <v>393</v>
      </c>
      <c r="J4162" s="98" t="s">
        <v>2640</v>
      </c>
      <c r="K4162" s="98" t="s">
        <v>4318</v>
      </c>
      <c r="L4162" s="105" t="str">
        <f t="shared" si="680"/>
        <v>Mill Creek</v>
      </c>
      <c r="M4162" s="105" t="str">
        <f t="shared" si="681"/>
        <v>Derate</v>
      </c>
      <c r="N4162" s="105" t="str">
        <f t="shared" si="682"/>
        <v>Coal</v>
      </c>
      <c r="O4162" s="105">
        <f>IFERROR(VLOOKUP(A4162,Lookup!$J$5:$P$19,7,FALSE),0)</f>
        <v>3</v>
      </c>
      <c r="P4162" s="159">
        <f t="shared" si="683"/>
        <v>2016</v>
      </c>
      <c r="Q4162" s="159">
        <f t="shared" si="684"/>
        <v>7</v>
      </c>
      <c r="R4162" s="160">
        <f t="shared" si="685"/>
        <v>3.0833333332557231</v>
      </c>
      <c r="S4162" s="158">
        <f t="shared" si="686"/>
        <v>0.60500394009509462</v>
      </c>
      <c r="T4162" s="161">
        <f t="shared" si="687"/>
        <v>237.76654845737218</v>
      </c>
      <c r="U4162" s="158">
        <f t="shared" si="689"/>
        <v>77.113475177304963</v>
      </c>
      <c r="V4162" s="160">
        <f t="shared" si="688"/>
        <v>77</v>
      </c>
    </row>
    <row r="4163" spans="1:22" x14ac:dyDescent="0.25">
      <c r="A4163" s="98" t="s">
        <v>29</v>
      </c>
      <c r="B4163" s="98" t="s">
        <v>15</v>
      </c>
      <c r="C4163" s="98">
        <v>69</v>
      </c>
      <c r="D4163" s="98">
        <v>9900</v>
      </c>
      <c r="E4163" s="157">
        <v>42566.111111111109</v>
      </c>
      <c r="F4163" s="157">
        <v>42566.254861111112</v>
      </c>
      <c r="G4163" s="98">
        <v>0</v>
      </c>
      <c r="H4163" s="98">
        <v>423</v>
      </c>
      <c r="I4163" s="98">
        <v>393</v>
      </c>
      <c r="J4163" s="98" t="s">
        <v>1996</v>
      </c>
      <c r="K4163" s="98" t="s">
        <v>4319</v>
      </c>
      <c r="L4163" s="105" t="str">
        <f t="shared" si="680"/>
        <v>Mill Creek</v>
      </c>
      <c r="M4163" s="105" t="str">
        <f t="shared" si="681"/>
        <v>Outage</v>
      </c>
      <c r="N4163" s="105" t="str">
        <f t="shared" si="682"/>
        <v>Coal</v>
      </c>
      <c r="O4163" s="105">
        <f>IFERROR(VLOOKUP(A4163,Lookup!$J$5:$P$19,7,FALSE),0)</f>
        <v>3</v>
      </c>
      <c r="P4163" s="159">
        <f t="shared" si="683"/>
        <v>2016</v>
      </c>
      <c r="Q4163" s="159">
        <f t="shared" si="684"/>
        <v>7</v>
      </c>
      <c r="R4163" s="160">
        <f t="shared" si="685"/>
        <v>3.4500000000698492</v>
      </c>
      <c r="S4163" s="158">
        <f t="shared" si="686"/>
        <v>3.4500000000698492</v>
      </c>
      <c r="T4163" s="161">
        <f t="shared" si="687"/>
        <v>1355.8500000274507</v>
      </c>
      <c r="U4163" s="158">
        <f t="shared" si="689"/>
        <v>393</v>
      </c>
      <c r="V4163" s="160">
        <f t="shared" si="688"/>
        <v>393</v>
      </c>
    </row>
    <row r="4164" spans="1:22" x14ac:dyDescent="0.25">
      <c r="A4164" s="98" t="s">
        <v>29</v>
      </c>
      <c r="B4164" s="98" t="s">
        <v>17</v>
      </c>
      <c r="C4164" s="98">
        <v>71</v>
      </c>
      <c r="D4164" s="98">
        <v>385</v>
      </c>
      <c r="E4164" s="157">
        <v>42572.217361111114</v>
      </c>
      <c r="F4164" s="157">
        <v>42572.280555555553</v>
      </c>
      <c r="G4164" s="98">
        <v>122</v>
      </c>
      <c r="H4164" s="98">
        <v>423</v>
      </c>
      <c r="I4164" s="98">
        <v>393</v>
      </c>
      <c r="J4164" s="98" t="s">
        <v>228</v>
      </c>
      <c r="K4164" s="98" t="s">
        <v>4320</v>
      </c>
      <c r="L4164" s="105" t="str">
        <f t="shared" si="680"/>
        <v>Mill Creek</v>
      </c>
      <c r="M4164" s="105" t="str">
        <f t="shared" si="681"/>
        <v>Derate</v>
      </c>
      <c r="N4164" s="105" t="str">
        <f t="shared" si="682"/>
        <v>Coal</v>
      </c>
      <c r="O4164" s="105">
        <f>IFERROR(VLOOKUP(A4164,Lookup!$J$5:$P$19,7,FALSE),0)</f>
        <v>3</v>
      </c>
      <c r="P4164" s="159">
        <f t="shared" si="683"/>
        <v>2016</v>
      </c>
      <c r="Q4164" s="159">
        <f t="shared" si="684"/>
        <v>7</v>
      </c>
      <c r="R4164" s="160">
        <f t="shared" si="685"/>
        <v>1.5166666665463708</v>
      </c>
      <c r="S4164" s="158">
        <f t="shared" si="686"/>
        <v>1.0792356185117202</v>
      </c>
      <c r="T4164" s="161">
        <f t="shared" si="687"/>
        <v>424.13959807510605</v>
      </c>
      <c r="U4164" s="158">
        <f t="shared" si="689"/>
        <v>279.65248226950354</v>
      </c>
      <c r="V4164" s="160">
        <f t="shared" si="688"/>
        <v>280</v>
      </c>
    </row>
    <row r="4165" spans="1:22" x14ac:dyDescent="0.25">
      <c r="A4165" s="98" t="s">
        <v>29</v>
      </c>
      <c r="B4165" s="98" t="s">
        <v>79</v>
      </c>
      <c r="C4165" s="98">
        <v>72</v>
      </c>
      <c r="D4165" s="98">
        <v>1999</v>
      </c>
      <c r="E4165" s="157">
        <v>42577.958333333336</v>
      </c>
      <c r="F4165" s="157">
        <v>42578.069444444445</v>
      </c>
      <c r="G4165" s="98">
        <v>0</v>
      </c>
      <c r="H4165" s="98">
        <v>423</v>
      </c>
      <c r="I4165" s="98">
        <v>393</v>
      </c>
      <c r="J4165" s="98" t="s">
        <v>2108</v>
      </c>
      <c r="K4165" s="98" t="s">
        <v>4321</v>
      </c>
      <c r="L4165" s="105" t="str">
        <f t="shared" si="680"/>
        <v>Mill Creek</v>
      </c>
      <c r="M4165" s="105" t="str">
        <f t="shared" si="681"/>
        <v>Other</v>
      </c>
      <c r="N4165" s="105" t="str">
        <f t="shared" si="682"/>
        <v>Coal</v>
      </c>
      <c r="O4165" s="105">
        <f>IFERROR(VLOOKUP(A4165,Lookup!$J$5:$P$19,7,FALSE),0)</f>
        <v>3</v>
      </c>
      <c r="P4165" s="159">
        <f t="shared" si="683"/>
        <v>2016</v>
      </c>
      <c r="Q4165" s="159">
        <f t="shared" si="684"/>
        <v>7</v>
      </c>
      <c r="R4165" s="160">
        <f t="shared" si="685"/>
        <v>2.6666666666278616</v>
      </c>
      <c r="S4165" s="158">
        <f t="shared" si="686"/>
        <v>2.6666666666278616</v>
      </c>
      <c r="T4165" s="161">
        <f t="shared" si="687"/>
        <v>1047.9999999847496</v>
      </c>
      <c r="U4165" s="158">
        <f t="shared" si="689"/>
        <v>393</v>
      </c>
      <c r="V4165" s="160">
        <f t="shared" si="688"/>
        <v>393</v>
      </c>
    </row>
    <row r="4166" spans="1:22" x14ac:dyDescent="0.25">
      <c r="A4166" s="98" t="s">
        <v>29</v>
      </c>
      <c r="B4166" s="98" t="s">
        <v>17</v>
      </c>
      <c r="C4166" s="98">
        <v>73</v>
      </c>
      <c r="D4166" s="98">
        <v>260</v>
      </c>
      <c r="E4166" s="157">
        <v>42578.268750000003</v>
      </c>
      <c r="F4166" s="157">
        <v>42578.311111111114</v>
      </c>
      <c r="G4166" s="98">
        <v>370</v>
      </c>
      <c r="H4166" s="98">
        <v>423</v>
      </c>
      <c r="I4166" s="98">
        <v>393</v>
      </c>
      <c r="J4166" s="98" t="s">
        <v>1973</v>
      </c>
      <c r="K4166" s="98" t="s">
        <v>4322</v>
      </c>
      <c r="L4166" s="105" t="str">
        <f t="shared" si="680"/>
        <v>Mill Creek</v>
      </c>
      <c r="M4166" s="105" t="str">
        <f t="shared" si="681"/>
        <v>Derate</v>
      </c>
      <c r="N4166" s="105" t="str">
        <f t="shared" si="682"/>
        <v>Coal</v>
      </c>
      <c r="O4166" s="105">
        <f>IFERROR(VLOOKUP(A4166,Lookup!$J$5:$P$19,7,FALSE),0)</f>
        <v>3</v>
      </c>
      <c r="P4166" s="159">
        <f t="shared" si="683"/>
        <v>2016</v>
      </c>
      <c r="Q4166" s="159">
        <f t="shared" si="684"/>
        <v>7</v>
      </c>
      <c r="R4166" s="160">
        <f t="shared" si="685"/>
        <v>1.0166666666627862</v>
      </c>
      <c r="S4166" s="158">
        <f t="shared" si="686"/>
        <v>0.12738376674498267</v>
      </c>
      <c r="T4166" s="161">
        <f t="shared" si="687"/>
        <v>50.06182033077819</v>
      </c>
      <c r="U4166" s="158">
        <f t="shared" si="689"/>
        <v>49.241134751773046</v>
      </c>
      <c r="V4166" s="160">
        <f t="shared" si="688"/>
        <v>49</v>
      </c>
    </row>
    <row r="4167" spans="1:22" x14ac:dyDescent="0.25">
      <c r="A4167" s="98" t="s">
        <v>29</v>
      </c>
      <c r="B4167" s="98" t="s">
        <v>79</v>
      </c>
      <c r="C4167" s="98">
        <v>74</v>
      </c>
      <c r="D4167" s="98">
        <v>1999</v>
      </c>
      <c r="E4167" s="157">
        <v>42579.000694444447</v>
      </c>
      <c r="F4167" s="157">
        <v>42579.097222222219</v>
      </c>
      <c r="G4167" s="98">
        <v>0</v>
      </c>
      <c r="H4167" s="98">
        <v>423</v>
      </c>
      <c r="I4167" s="98">
        <v>393</v>
      </c>
      <c r="J4167" s="98" t="s">
        <v>2108</v>
      </c>
      <c r="K4167" s="98" t="s">
        <v>4321</v>
      </c>
      <c r="L4167" s="105" t="str">
        <f t="shared" si="680"/>
        <v>Mill Creek</v>
      </c>
      <c r="M4167" s="105" t="str">
        <f t="shared" si="681"/>
        <v>Other</v>
      </c>
      <c r="N4167" s="105" t="str">
        <f t="shared" si="682"/>
        <v>Coal</v>
      </c>
      <c r="O4167" s="105">
        <f>IFERROR(VLOOKUP(A4167,Lookup!$J$5:$P$19,7,FALSE),0)</f>
        <v>3</v>
      </c>
      <c r="P4167" s="159">
        <f t="shared" si="683"/>
        <v>2016</v>
      </c>
      <c r="Q4167" s="159">
        <f t="shared" si="684"/>
        <v>7</v>
      </c>
      <c r="R4167" s="160">
        <f t="shared" si="685"/>
        <v>2.3166666665347293</v>
      </c>
      <c r="S4167" s="158">
        <f t="shared" si="686"/>
        <v>2.3166666665347293</v>
      </c>
      <c r="T4167" s="161">
        <f t="shared" si="687"/>
        <v>910.44999994814862</v>
      </c>
      <c r="U4167" s="158">
        <f t="shared" si="689"/>
        <v>393</v>
      </c>
      <c r="V4167" s="160">
        <f t="shared" si="688"/>
        <v>393</v>
      </c>
    </row>
    <row r="4168" spans="1:22" x14ac:dyDescent="0.25">
      <c r="A4168" s="98" t="s">
        <v>29</v>
      </c>
      <c r="B4168" s="98" t="s">
        <v>15</v>
      </c>
      <c r="C4168" s="98">
        <v>75</v>
      </c>
      <c r="D4168" s="98">
        <v>8656</v>
      </c>
      <c r="E4168" s="157">
        <v>42586.512499999997</v>
      </c>
      <c r="F4168" s="157">
        <v>42587.12222222222</v>
      </c>
      <c r="G4168" s="98">
        <v>0</v>
      </c>
      <c r="H4168" s="98">
        <v>423</v>
      </c>
      <c r="I4168" s="98">
        <v>393</v>
      </c>
      <c r="J4168" s="98" t="s">
        <v>2557</v>
      </c>
      <c r="K4168" s="98" t="s">
        <v>4323</v>
      </c>
      <c r="L4168" s="105" t="str">
        <f t="shared" si="680"/>
        <v>Mill Creek</v>
      </c>
      <c r="M4168" s="105" t="str">
        <f t="shared" si="681"/>
        <v>Outage</v>
      </c>
      <c r="N4168" s="105" t="str">
        <f t="shared" si="682"/>
        <v>Coal</v>
      </c>
      <c r="O4168" s="105">
        <f>IFERROR(VLOOKUP(A4168,Lookup!$J$5:$P$19,7,FALSE),0)</f>
        <v>3</v>
      </c>
      <c r="P4168" s="159">
        <f t="shared" si="683"/>
        <v>2016</v>
      </c>
      <c r="Q4168" s="159">
        <f t="shared" si="684"/>
        <v>8</v>
      </c>
      <c r="R4168" s="160">
        <f t="shared" si="685"/>
        <v>14.633333333360497</v>
      </c>
      <c r="S4168" s="158">
        <f t="shared" si="686"/>
        <v>14.633333333360497</v>
      </c>
      <c r="T4168" s="161">
        <f t="shared" si="687"/>
        <v>5750.9000000106753</v>
      </c>
      <c r="U4168" s="158">
        <f t="shared" si="689"/>
        <v>393</v>
      </c>
      <c r="V4168" s="160">
        <f t="shared" si="688"/>
        <v>393</v>
      </c>
    </row>
    <row r="4169" spans="1:22" x14ac:dyDescent="0.25">
      <c r="A4169" s="98" t="s">
        <v>29</v>
      </c>
      <c r="B4169" s="98" t="s">
        <v>17</v>
      </c>
      <c r="C4169" s="98">
        <v>76</v>
      </c>
      <c r="D4169" s="98">
        <v>1530</v>
      </c>
      <c r="E4169" s="157">
        <v>42587.479166666664</v>
      </c>
      <c r="F4169" s="157">
        <v>42587.493055555555</v>
      </c>
      <c r="G4169" s="98">
        <v>362</v>
      </c>
      <c r="H4169" s="98">
        <v>423</v>
      </c>
      <c r="I4169" s="98">
        <v>393</v>
      </c>
      <c r="J4169" s="98" t="s">
        <v>4324</v>
      </c>
      <c r="K4169" s="98" t="s">
        <v>4325</v>
      </c>
      <c r="L4169" s="105" t="str">
        <f t="shared" si="680"/>
        <v>Mill Creek</v>
      </c>
      <c r="M4169" s="105" t="str">
        <f t="shared" si="681"/>
        <v>Derate</v>
      </c>
      <c r="N4169" s="105" t="str">
        <f t="shared" si="682"/>
        <v>Coal</v>
      </c>
      <c r="O4169" s="105">
        <f>IFERROR(VLOOKUP(A4169,Lookup!$J$5:$P$19,7,FALSE),0)</f>
        <v>3</v>
      </c>
      <c r="P4169" s="159">
        <f t="shared" si="683"/>
        <v>2016</v>
      </c>
      <c r="Q4169" s="159">
        <f t="shared" si="684"/>
        <v>8</v>
      </c>
      <c r="R4169" s="160">
        <f t="shared" si="685"/>
        <v>0.33333333337213844</v>
      </c>
      <c r="S4169" s="158">
        <f t="shared" si="686"/>
        <v>4.8069345947282377E-2</v>
      </c>
      <c r="T4169" s="161">
        <f t="shared" si="687"/>
        <v>18.891252957281974</v>
      </c>
      <c r="U4169" s="158">
        <f t="shared" si="689"/>
        <v>56.673758865248224</v>
      </c>
      <c r="V4169" s="160">
        <f t="shared" si="688"/>
        <v>57</v>
      </c>
    </row>
    <row r="4170" spans="1:22" x14ac:dyDescent="0.25">
      <c r="A4170" s="98" t="s">
        <v>29</v>
      </c>
      <c r="B4170" s="98" t="s">
        <v>79</v>
      </c>
      <c r="C4170" s="98">
        <v>77</v>
      </c>
      <c r="D4170" s="98">
        <v>4490</v>
      </c>
      <c r="E4170" s="157">
        <v>42599.8125</v>
      </c>
      <c r="F4170" s="157">
        <v>42599.916666666664</v>
      </c>
      <c r="G4170" s="98">
        <v>0</v>
      </c>
      <c r="H4170" s="98">
        <v>423</v>
      </c>
      <c r="I4170" s="98">
        <v>393</v>
      </c>
      <c r="J4170" s="98" t="s">
        <v>2084</v>
      </c>
      <c r="K4170" s="98" t="s">
        <v>4218</v>
      </c>
      <c r="L4170" s="105" t="str">
        <f t="shared" si="680"/>
        <v>Mill Creek</v>
      </c>
      <c r="M4170" s="105" t="str">
        <f t="shared" si="681"/>
        <v>Other</v>
      </c>
      <c r="N4170" s="105" t="str">
        <f t="shared" si="682"/>
        <v>Coal</v>
      </c>
      <c r="O4170" s="105">
        <f>IFERROR(VLOOKUP(A4170,Lookup!$J$5:$P$19,7,FALSE),0)</f>
        <v>3</v>
      </c>
      <c r="P4170" s="159">
        <f t="shared" si="683"/>
        <v>2016</v>
      </c>
      <c r="Q4170" s="159">
        <f t="shared" si="684"/>
        <v>8</v>
      </c>
      <c r="R4170" s="160">
        <f t="shared" si="685"/>
        <v>2.4999999999417923</v>
      </c>
      <c r="S4170" s="158">
        <f t="shared" si="686"/>
        <v>2.4999999999417923</v>
      </c>
      <c r="T4170" s="161">
        <f t="shared" si="687"/>
        <v>982.49999997712439</v>
      </c>
      <c r="U4170" s="158">
        <f t="shared" si="689"/>
        <v>393</v>
      </c>
      <c r="V4170" s="160">
        <f t="shared" si="688"/>
        <v>393</v>
      </c>
    </row>
    <row r="4171" spans="1:22" x14ac:dyDescent="0.25">
      <c r="A4171" s="98" t="s">
        <v>29</v>
      </c>
      <c r="B4171" s="98" t="s">
        <v>79</v>
      </c>
      <c r="C4171" s="98">
        <v>78</v>
      </c>
      <c r="D4171" s="98">
        <v>4490</v>
      </c>
      <c r="E4171" s="157">
        <v>42599.916666666664</v>
      </c>
      <c r="F4171" s="157">
        <v>42599.958333333336</v>
      </c>
      <c r="G4171" s="98">
        <v>0</v>
      </c>
      <c r="H4171" s="98">
        <v>423</v>
      </c>
      <c r="I4171" s="98">
        <v>393</v>
      </c>
      <c r="J4171" s="98" t="s">
        <v>2084</v>
      </c>
      <c r="K4171" s="98" t="s">
        <v>4218</v>
      </c>
      <c r="L4171" s="105" t="str">
        <f t="shared" si="680"/>
        <v>Mill Creek</v>
      </c>
      <c r="M4171" s="105" t="str">
        <f t="shared" si="681"/>
        <v>Other</v>
      </c>
      <c r="N4171" s="105" t="str">
        <f t="shared" si="682"/>
        <v>Coal</v>
      </c>
      <c r="O4171" s="105">
        <f>IFERROR(VLOOKUP(A4171,Lookup!$J$5:$P$19,7,FALSE),0)</f>
        <v>3</v>
      </c>
      <c r="P4171" s="159">
        <f t="shared" si="683"/>
        <v>2016</v>
      </c>
      <c r="Q4171" s="159">
        <f t="shared" si="684"/>
        <v>8</v>
      </c>
      <c r="R4171" s="160">
        <f t="shared" si="685"/>
        <v>1.0000000001164153</v>
      </c>
      <c r="S4171" s="158">
        <f t="shared" si="686"/>
        <v>1.0000000001164153</v>
      </c>
      <c r="T4171" s="161">
        <f t="shared" si="687"/>
        <v>393.00000004575122</v>
      </c>
      <c r="U4171" s="158">
        <f t="shared" si="689"/>
        <v>393</v>
      </c>
      <c r="V4171" s="160">
        <f t="shared" si="688"/>
        <v>393</v>
      </c>
    </row>
    <row r="4172" spans="1:22" x14ac:dyDescent="0.25">
      <c r="A4172" s="98" t="s">
        <v>29</v>
      </c>
      <c r="B4172" s="98" t="s">
        <v>105</v>
      </c>
      <c r="C4172" s="98">
        <v>79</v>
      </c>
      <c r="D4172" s="98">
        <v>310</v>
      </c>
      <c r="E4172" s="157">
        <v>42599.958333333336</v>
      </c>
      <c r="F4172" s="157">
        <v>42600.020833333336</v>
      </c>
      <c r="G4172" s="98">
        <v>320</v>
      </c>
      <c r="H4172" s="98">
        <v>423</v>
      </c>
      <c r="I4172" s="98">
        <v>393</v>
      </c>
      <c r="J4172" s="98" t="s">
        <v>1966</v>
      </c>
      <c r="K4172" s="98" t="s">
        <v>4280</v>
      </c>
      <c r="L4172" s="105" t="str">
        <f t="shared" si="680"/>
        <v>Mill Creek</v>
      </c>
      <c r="M4172" s="105" t="str">
        <f t="shared" si="681"/>
        <v>Derate</v>
      </c>
      <c r="N4172" s="105" t="str">
        <f t="shared" si="682"/>
        <v>Coal</v>
      </c>
      <c r="O4172" s="105">
        <f>IFERROR(VLOOKUP(A4172,Lookup!$J$5:$P$19,7,FALSE),0)</f>
        <v>3</v>
      </c>
      <c r="P4172" s="159">
        <f t="shared" si="683"/>
        <v>2016</v>
      </c>
      <c r="Q4172" s="159">
        <f t="shared" si="684"/>
        <v>8</v>
      </c>
      <c r="R4172" s="160">
        <f t="shared" si="685"/>
        <v>1.5</v>
      </c>
      <c r="S4172" s="158">
        <f t="shared" si="686"/>
        <v>0.36524822695035464</v>
      </c>
      <c r="T4172" s="161">
        <f t="shared" si="687"/>
        <v>143.54255319148936</v>
      </c>
      <c r="U4172" s="158">
        <f t="shared" si="689"/>
        <v>95.695035460992912</v>
      </c>
      <c r="V4172" s="160">
        <f t="shared" si="688"/>
        <v>96</v>
      </c>
    </row>
    <row r="4173" spans="1:22" x14ac:dyDescent="0.25">
      <c r="A4173" s="98" t="s">
        <v>29</v>
      </c>
      <c r="B4173" s="98" t="s">
        <v>79</v>
      </c>
      <c r="C4173" s="98">
        <v>80</v>
      </c>
      <c r="D4173" s="98">
        <v>4490</v>
      </c>
      <c r="E4173" s="157">
        <v>42600.020833333336</v>
      </c>
      <c r="F4173" s="157">
        <v>42600.104166666664</v>
      </c>
      <c r="G4173" s="98">
        <v>0</v>
      </c>
      <c r="H4173" s="98">
        <v>423</v>
      </c>
      <c r="I4173" s="98">
        <v>393</v>
      </c>
      <c r="J4173" s="98" t="s">
        <v>2084</v>
      </c>
      <c r="K4173" s="98" t="s">
        <v>4218</v>
      </c>
      <c r="L4173" s="105" t="str">
        <f t="shared" si="680"/>
        <v>Mill Creek</v>
      </c>
      <c r="M4173" s="105" t="str">
        <f t="shared" si="681"/>
        <v>Other</v>
      </c>
      <c r="N4173" s="105" t="str">
        <f t="shared" si="682"/>
        <v>Coal</v>
      </c>
      <c r="O4173" s="105">
        <f>IFERROR(VLOOKUP(A4173,Lookup!$J$5:$P$19,7,FALSE),0)</f>
        <v>3</v>
      </c>
      <c r="P4173" s="159">
        <f t="shared" si="683"/>
        <v>2016</v>
      </c>
      <c r="Q4173" s="159">
        <f t="shared" si="684"/>
        <v>8</v>
      </c>
      <c r="R4173" s="160">
        <f t="shared" si="685"/>
        <v>1.9999999998835847</v>
      </c>
      <c r="S4173" s="158">
        <f t="shared" si="686"/>
        <v>1.9999999998835847</v>
      </c>
      <c r="T4173" s="161">
        <f t="shared" si="687"/>
        <v>785.99999995424878</v>
      </c>
      <c r="U4173" s="158">
        <f t="shared" si="689"/>
        <v>393</v>
      </c>
      <c r="V4173" s="160">
        <f t="shared" si="688"/>
        <v>393</v>
      </c>
    </row>
    <row r="4174" spans="1:22" x14ac:dyDescent="0.25">
      <c r="A4174" s="98" t="s">
        <v>29</v>
      </c>
      <c r="B4174" s="98" t="s">
        <v>17</v>
      </c>
      <c r="C4174" s="98">
        <v>81</v>
      </c>
      <c r="D4174" s="98">
        <v>260</v>
      </c>
      <c r="E4174" s="157">
        <v>42601.292361111111</v>
      </c>
      <c r="F4174" s="157">
        <v>42601.501388888886</v>
      </c>
      <c r="G4174" s="98">
        <v>330</v>
      </c>
      <c r="H4174" s="98">
        <v>423</v>
      </c>
      <c r="I4174" s="98">
        <v>393</v>
      </c>
      <c r="J4174" s="98" t="s">
        <v>1973</v>
      </c>
      <c r="K4174" s="98" t="s">
        <v>4326</v>
      </c>
      <c r="L4174" s="105" t="str">
        <f t="shared" si="680"/>
        <v>Mill Creek</v>
      </c>
      <c r="M4174" s="105" t="str">
        <f t="shared" si="681"/>
        <v>Derate</v>
      </c>
      <c r="N4174" s="105" t="str">
        <f t="shared" si="682"/>
        <v>Coal</v>
      </c>
      <c r="O4174" s="105">
        <f>IFERROR(VLOOKUP(A4174,Lookup!$J$5:$P$19,7,FALSE),0)</f>
        <v>3</v>
      </c>
      <c r="P4174" s="159">
        <f t="shared" si="683"/>
        <v>2016</v>
      </c>
      <c r="Q4174" s="159">
        <f t="shared" si="684"/>
        <v>8</v>
      </c>
      <c r="R4174" s="160">
        <f t="shared" si="685"/>
        <v>5.0166666666045785</v>
      </c>
      <c r="S4174" s="158">
        <f t="shared" si="686"/>
        <v>1.1029550827286663</v>
      </c>
      <c r="T4174" s="161">
        <f t="shared" si="687"/>
        <v>433.46134751236582</v>
      </c>
      <c r="U4174" s="158">
        <f t="shared" si="689"/>
        <v>86.40425531914893</v>
      </c>
      <c r="V4174" s="160">
        <f t="shared" si="688"/>
        <v>86</v>
      </c>
    </row>
    <row r="4175" spans="1:22" x14ac:dyDescent="0.25">
      <c r="A4175" s="98" t="s">
        <v>29</v>
      </c>
      <c r="B4175" s="98" t="s">
        <v>17</v>
      </c>
      <c r="C4175" s="98">
        <v>82</v>
      </c>
      <c r="D4175" s="98">
        <v>250</v>
      </c>
      <c r="E4175" s="157">
        <v>42606.597916666666</v>
      </c>
      <c r="F4175" s="157">
        <v>42606.631249999999</v>
      </c>
      <c r="G4175" s="98">
        <v>350</v>
      </c>
      <c r="H4175" s="98">
        <v>423</v>
      </c>
      <c r="I4175" s="98">
        <v>393</v>
      </c>
      <c r="J4175" s="98" t="s">
        <v>1978</v>
      </c>
      <c r="K4175" s="98" t="s">
        <v>4327</v>
      </c>
      <c r="L4175" s="105" t="str">
        <f t="shared" si="680"/>
        <v>Mill Creek</v>
      </c>
      <c r="M4175" s="105" t="str">
        <f t="shared" si="681"/>
        <v>Derate</v>
      </c>
      <c r="N4175" s="105" t="str">
        <f t="shared" si="682"/>
        <v>Coal</v>
      </c>
      <c r="O4175" s="105">
        <f>IFERROR(VLOOKUP(A4175,Lookup!$J$5:$P$19,7,FALSE),0)</f>
        <v>3</v>
      </c>
      <c r="P4175" s="159">
        <f t="shared" si="683"/>
        <v>2016</v>
      </c>
      <c r="Q4175" s="159">
        <f t="shared" si="684"/>
        <v>8</v>
      </c>
      <c r="R4175" s="160">
        <f t="shared" si="685"/>
        <v>0.79999999998835847</v>
      </c>
      <c r="S4175" s="158">
        <f t="shared" si="686"/>
        <v>0.13806146571903113</v>
      </c>
      <c r="T4175" s="161">
        <f t="shared" si="687"/>
        <v>54.258156027579233</v>
      </c>
      <c r="U4175" s="158">
        <f t="shared" si="689"/>
        <v>67.822695035460995</v>
      </c>
      <c r="V4175" s="160">
        <f t="shared" si="688"/>
        <v>68</v>
      </c>
    </row>
    <row r="4176" spans="1:22" x14ac:dyDescent="0.25">
      <c r="A4176" s="98" t="s">
        <v>29</v>
      </c>
      <c r="B4176" s="98" t="s">
        <v>17</v>
      </c>
      <c r="C4176" s="98">
        <v>83</v>
      </c>
      <c r="D4176" s="98">
        <v>250</v>
      </c>
      <c r="E4176" s="157">
        <v>42606.631249999999</v>
      </c>
      <c r="F4176" s="157">
        <v>42606.730555555558</v>
      </c>
      <c r="G4176" s="98">
        <v>400</v>
      </c>
      <c r="H4176" s="98">
        <v>423</v>
      </c>
      <c r="I4176" s="98">
        <v>393</v>
      </c>
      <c r="J4176" s="98" t="s">
        <v>1978</v>
      </c>
      <c r="K4176" s="98" t="s">
        <v>4327</v>
      </c>
      <c r="L4176" s="105" t="str">
        <f t="shared" si="680"/>
        <v>Mill Creek</v>
      </c>
      <c r="M4176" s="105" t="str">
        <f t="shared" si="681"/>
        <v>Derate</v>
      </c>
      <c r="N4176" s="105" t="str">
        <f t="shared" si="682"/>
        <v>Coal</v>
      </c>
      <c r="O4176" s="105">
        <f>IFERROR(VLOOKUP(A4176,Lookup!$J$5:$P$19,7,FALSE),0)</f>
        <v>3</v>
      </c>
      <c r="P4176" s="159">
        <f t="shared" si="683"/>
        <v>2016</v>
      </c>
      <c r="Q4176" s="159">
        <f t="shared" si="684"/>
        <v>8</v>
      </c>
      <c r="R4176" s="160">
        <f t="shared" si="685"/>
        <v>2.3833333334187046</v>
      </c>
      <c r="S4176" s="158">
        <f t="shared" si="686"/>
        <v>0.12959022853104069</v>
      </c>
      <c r="T4176" s="161">
        <f t="shared" si="687"/>
        <v>50.928959812698992</v>
      </c>
      <c r="U4176" s="158">
        <f t="shared" si="689"/>
        <v>21.368794326241133</v>
      </c>
      <c r="V4176" s="160">
        <f t="shared" si="688"/>
        <v>21</v>
      </c>
    </row>
    <row r="4177" spans="1:22" x14ac:dyDescent="0.25">
      <c r="A4177" s="98" t="s">
        <v>29</v>
      </c>
      <c r="B4177" s="98" t="s">
        <v>105</v>
      </c>
      <c r="C4177" s="98">
        <v>84</v>
      </c>
      <c r="D4177" s="98">
        <v>310</v>
      </c>
      <c r="E4177" s="157">
        <v>42607.958333333336</v>
      </c>
      <c r="F4177" s="157">
        <v>42608.494444444441</v>
      </c>
      <c r="G4177" s="98">
        <v>330</v>
      </c>
      <c r="H4177" s="98">
        <v>423</v>
      </c>
      <c r="I4177" s="98">
        <v>393</v>
      </c>
      <c r="J4177" s="98" t="s">
        <v>1966</v>
      </c>
      <c r="K4177" s="98" t="s">
        <v>4328</v>
      </c>
      <c r="L4177" s="105" t="str">
        <f t="shared" si="680"/>
        <v>Mill Creek</v>
      </c>
      <c r="M4177" s="105" t="str">
        <f t="shared" si="681"/>
        <v>Derate</v>
      </c>
      <c r="N4177" s="105" t="str">
        <f t="shared" si="682"/>
        <v>Coal</v>
      </c>
      <c r="O4177" s="105">
        <f>IFERROR(VLOOKUP(A4177,Lookup!$J$5:$P$19,7,FALSE),0)</f>
        <v>3</v>
      </c>
      <c r="P4177" s="159">
        <f t="shared" si="683"/>
        <v>2016</v>
      </c>
      <c r="Q4177" s="159">
        <f t="shared" si="684"/>
        <v>8</v>
      </c>
      <c r="R4177" s="160">
        <f t="shared" si="685"/>
        <v>12.866666666523088</v>
      </c>
      <c r="S4177" s="158">
        <f t="shared" si="686"/>
        <v>2.828841607533445</v>
      </c>
      <c r="T4177" s="161">
        <f t="shared" si="687"/>
        <v>1111.7347517606438</v>
      </c>
      <c r="U4177" s="158">
        <f t="shared" si="689"/>
        <v>86.40425531914893</v>
      </c>
      <c r="V4177" s="160">
        <f t="shared" si="688"/>
        <v>86</v>
      </c>
    </row>
    <row r="4178" spans="1:22" x14ac:dyDescent="0.25">
      <c r="A4178" s="98" t="s">
        <v>29</v>
      </c>
      <c r="B4178" s="98" t="s">
        <v>17</v>
      </c>
      <c r="C4178" s="98">
        <v>85</v>
      </c>
      <c r="D4178" s="98">
        <v>3979</v>
      </c>
      <c r="E4178" s="157">
        <v>42609.53125</v>
      </c>
      <c r="F4178" s="157">
        <v>42609.598611111112</v>
      </c>
      <c r="G4178" s="98">
        <v>395</v>
      </c>
      <c r="H4178" s="98">
        <v>423</v>
      </c>
      <c r="I4178" s="98">
        <v>393</v>
      </c>
      <c r="J4178" s="98" t="s">
        <v>2103</v>
      </c>
      <c r="K4178" s="98" t="s">
        <v>4329</v>
      </c>
      <c r="L4178" s="105" t="str">
        <f t="shared" si="680"/>
        <v>Mill Creek</v>
      </c>
      <c r="M4178" s="105" t="str">
        <f t="shared" si="681"/>
        <v>Derate</v>
      </c>
      <c r="N4178" s="105" t="str">
        <f t="shared" si="682"/>
        <v>Coal</v>
      </c>
      <c r="O4178" s="105">
        <f>IFERROR(VLOOKUP(A4178,Lookup!$J$5:$P$19,7,FALSE),0)</f>
        <v>3</v>
      </c>
      <c r="P4178" s="159">
        <f t="shared" si="683"/>
        <v>2016</v>
      </c>
      <c r="Q4178" s="159">
        <f t="shared" si="684"/>
        <v>8</v>
      </c>
      <c r="R4178" s="160">
        <f t="shared" si="685"/>
        <v>1.6166666666977108</v>
      </c>
      <c r="S4178" s="158">
        <f t="shared" si="686"/>
        <v>0.10701339637715343</v>
      </c>
      <c r="T4178" s="161">
        <f t="shared" si="687"/>
        <v>42.056264776221298</v>
      </c>
      <c r="U4178" s="158">
        <f t="shared" si="689"/>
        <v>26.01418439716312</v>
      </c>
      <c r="V4178" s="160">
        <f t="shared" si="688"/>
        <v>26</v>
      </c>
    </row>
    <row r="4179" spans="1:22" x14ac:dyDescent="0.25">
      <c r="A4179" s="98" t="s">
        <v>29</v>
      </c>
      <c r="B4179" s="98" t="s">
        <v>105</v>
      </c>
      <c r="C4179" s="98">
        <v>86</v>
      </c>
      <c r="D4179" s="98">
        <v>310</v>
      </c>
      <c r="E4179" s="157">
        <v>42633.958333333336</v>
      </c>
      <c r="F4179" s="157">
        <v>42634.243750000001</v>
      </c>
      <c r="G4179" s="98">
        <v>330</v>
      </c>
      <c r="H4179" s="98">
        <v>423</v>
      </c>
      <c r="I4179" s="98">
        <v>393</v>
      </c>
      <c r="J4179" s="98" t="s">
        <v>1966</v>
      </c>
      <c r="K4179" s="98" t="s">
        <v>4330</v>
      </c>
      <c r="L4179" s="105" t="str">
        <f t="shared" si="680"/>
        <v>Mill Creek</v>
      </c>
      <c r="M4179" s="105" t="str">
        <f t="shared" si="681"/>
        <v>Derate</v>
      </c>
      <c r="N4179" s="105" t="str">
        <f t="shared" si="682"/>
        <v>Coal</v>
      </c>
      <c r="O4179" s="105">
        <f>IFERROR(VLOOKUP(A4179,Lookup!$J$5:$P$19,7,FALSE),0)</f>
        <v>3</v>
      </c>
      <c r="P4179" s="159">
        <f t="shared" si="683"/>
        <v>2016</v>
      </c>
      <c r="Q4179" s="159">
        <f t="shared" si="684"/>
        <v>9</v>
      </c>
      <c r="R4179" s="160">
        <f t="shared" si="685"/>
        <v>6.8499999999767169</v>
      </c>
      <c r="S4179" s="158">
        <f t="shared" si="686"/>
        <v>1.5060283687892073</v>
      </c>
      <c r="T4179" s="161">
        <f t="shared" si="687"/>
        <v>591.86914893415849</v>
      </c>
      <c r="U4179" s="158">
        <f t="shared" si="689"/>
        <v>86.40425531914893</v>
      </c>
      <c r="V4179" s="160">
        <f t="shared" si="688"/>
        <v>86</v>
      </c>
    </row>
    <row r="4180" spans="1:22" x14ac:dyDescent="0.25">
      <c r="A4180" s="98" t="s">
        <v>29</v>
      </c>
      <c r="B4180" s="98" t="s">
        <v>105</v>
      </c>
      <c r="C4180" s="98">
        <v>87</v>
      </c>
      <c r="D4180" s="98">
        <v>310</v>
      </c>
      <c r="E4180" s="157">
        <v>42634.958333333336</v>
      </c>
      <c r="F4180" s="157">
        <v>42635.188888888886</v>
      </c>
      <c r="G4180" s="98">
        <v>330</v>
      </c>
      <c r="H4180" s="98">
        <v>423</v>
      </c>
      <c r="I4180" s="98">
        <v>393</v>
      </c>
      <c r="J4180" s="98" t="s">
        <v>1966</v>
      </c>
      <c r="K4180" s="98" t="s">
        <v>4330</v>
      </c>
      <c r="L4180" s="105" t="str">
        <f t="shared" si="680"/>
        <v>Mill Creek</v>
      </c>
      <c r="M4180" s="105" t="str">
        <f t="shared" si="681"/>
        <v>Derate</v>
      </c>
      <c r="N4180" s="105" t="str">
        <f t="shared" si="682"/>
        <v>Coal</v>
      </c>
      <c r="O4180" s="105">
        <f>IFERROR(VLOOKUP(A4180,Lookup!$J$5:$P$19,7,FALSE),0)</f>
        <v>3</v>
      </c>
      <c r="P4180" s="159">
        <f t="shared" si="683"/>
        <v>2016</v>
      </c>
      <c r="Q4180" s="159">
        <f t="shared" si="684"/>
        <v>9</v>
      </c>
      <c r="R4180" s="160">
        <f t="shared" si="685"/>
        <v>5.533333333209157</v>
      </c>
      <c r="S4180" s="158">
        <f t="shared" si="686"/>
        <v>1.2165484633296728</v>
      </c>
      <c r="T4180" s="161">
        <f t="shared" si="687"/>
        <v>478.10354608856142</v>
      </c>
      <c r="U4180" s="158">
        <f t="shared" si="689"/>
        <v>86.40425531914893</v>
      </c>
      <c r="V4180" s="160">
        <f t="shared" si="688"/>
        <v>86</v>
      </c>
    </row>
    <row r="4181" spans="1:22" x14ac:dyDescent="0.25">
      <c r="A4181" s="98" t="s">
        <v>29</v>
      </c>
      <c r="B4181" s="98" t="s">
        <v>105</v>
      </c>
      <c r="C4181" s="98">
        <v>88</v>
      </c>
      <c r="D4181" s="98">
        <v>3410</v>
      </c>
      <c r="E4181" s="157">
        <v>42637.916666666664</v>
      </c>
      <c r="F4181" s="157">
        <v>42638.244444444441</v>
      </c>
      <c r="G4181" s="98">
        <v>130</v>
      </c>
      <c r="H4181" s="98">
        <v>423</v>
      </c>
      <c r="I4181" s="98">
        <v>393</v>
      </c>
      <c r="J4181" s="98" t="s">
        <v>1983</v>
      </c>
      <c r="K4181" s="98" t="s">
        <v>4331</v>
      </c>
      <c r="L4181" s="105" t="str">
        <f t="shared" si="680"/>
        <v>Mill Creek</v>
      </c>
      <c r="M4181" s="105" t="str">
        <f t="shared" si="681"/>
        <v>Derate</v>
      </c>
      <c r="N4181" s="105" t="str">
        <f t="shared" si="682"/>
        <v>Coal</v>
      </c>
      <c r="O4181" s="105">
        <f>IFERROR(VLOOKUP(A4181,Lookup!$J$5:$P$19,7,FALSE),0)</f>
        <v>3</v>
      </c>
      <c r="P4181" s="159">
        <f t="shared" si="683"/>
        <v>2016</v>
      </c>
      <c r="Q4181" s="159">
        <f t="shared" si="684"/>
        <v>9</v>
      </c>
      <c r="R4181" s="160">
        <f t="shared" si="685"/>
        <v>7.8666666666395031</v>
      </c>
      <c r="S4181" s="158">
        <f t="shared" si="686"/>
        <v>5.4490149724004127</v>
      </c>
      <c r="T4181" s="161">
        <f t="shared" si="687"/>
        <v>2141.4628841533622</v>
      </c>
      <c r="U4181" s="158">
        <f t="shared" si="689"/>
        <v>272.21985815602835</v>
      </c>
      <c r="V4181" s="160">
        <f t="shared" si="688"/>
        <v>272</v>
      </c>
    </row>
    <row r="4182" spans="1:22" x14ac:dyDescent="0.25">
      <c r="A4182" s="98" t="s">
        <v>29</v>
      </c>
      <c r="B4182" s="98" t="s">
        <v>105</v>
      </c>
      <c r="C4182" s="98">
        <v>89</v>
      </c>
      <c r="D4182" s="98">
        <v>310</v>
      </c>
      <c r="E4182" s="157">
        <v>42639.958333333336</v>
      </c>
      <c r="F4182" s="157">
        <v>42640.217361111114</v>
      </c>
      <c r="G4182" s="98">
        <v>330</v>
      </c>
      <c r="H4182" s="98">
        <v>423</v>
      </c>
      <c r="I4182" s="98">
        <v>393</v>
      </c>
      <c r="J4182" s="98" t="s">
        <v>1966</v>
      </c>
      <c r="K4182" s="98" t="s">
        <v>4332</v>
      </c>
      <c r="L4182" s="105" t="str">
        <f t="shared" si="680"/>
        <v>Mill Creek</v>
      </c>
      <c r="M4182" s="105" t="str">
        <f t="shared" si="681"/>
        <v>Derate</v>
      </c>
      <c r="N4182" s="105" t="str">
        <f t="shared" si="682"/>
        <v>Coal</v>
      </c>
      <c r="O4182" s="105">
        <f>IFERROR(VLOOKUP(A4182,Lookup!$J$5:$P$19,7,FALSE),0)</f>
        <v>3</v>
      </c>
      <c r="P4182" s="159">
        <f t="shared" si="683"/>
        <v>2016</v>
      </c>
      <c r="Q4182" s="159">
        <f t="shared" si="684"/>
        <v>9</v>
      </c>
      <c r="R4182" s="160">
        <f t="shared" si="685"/>
        <v>6.2166666666744277</v>
      </c>
      <c r="S4182" s="158">
        <f t="shared" si="686"/>
        <v>1.3667848699780656</v>
      </c>
      <c r="T4182" s="161">
        <f t="shared" si="687"/>
        <v>537.1464539013798</v>
      </c>
      <c r="U4182" s="158">
        <f t="shared" si="689"/>
        <v>86.40425531914893</v>
      </c>
      <c r="V4182" s="160">
        <f t="shared" si="688"/>
        <v>86</v>
      </c>
    </row>
    <row r="4183" spans="1:22" x14ac:dyDescent="0.25">
      <c r="A4183" s="98" t="s">
        <v>29</v>
      </c>
      <c r="B4183" s="98" t="s">
        <v>105</v>
      </c>
      <c r="C4183" s="98">
        <v>90</v>
      </c>
      <c r="D4183" s="98">
        <v>250</v>
      </c>
      <c r="E4183" s="157">
        <v>42640.958333333336</v>
      </c>
      <c r="F4183" s="157">
        <v>42641.236805555556</v>
      </c>
      <c r="G4183" s="98">
        <v>330</v>
      </c>
      <c r="H4183" s="98">
        <v>423</v>
      </c>
      <c r="I4183" s="98">
        <v>393</v>
      </c>
      <c r="J4183" s="98" t="s">
        <v>1978</v>
      </c>
      <c r="K4183" s="98" t="s">
        <v>4333</v>
      </c>
      <c r="L4183" s="105" t="str">
        <f t="shared" si="680"/>
        <v>Mill Creek</v>
      </c>
      <c r="M4183" s="105" t="str">
        <f t="shared" si="681"/>
        <v>Derate</v>
      </c>
      <c r="N4183" s="105" t="str">
        <f t="shared" si="682"/>
        <v>Coal</v>
      </c>
      <c r="O4183" s="105">
        <f>IFERROR(VLOOKUP(A4183,Lookup!$J$5:$P$19,7,FALSE),0)</f>
        <v>3</v>
      </c>
      <c r="P4183" s="159">
        <f t="shared" si="683"/>
        <v>2016</v>
      </c>
      <c r="Q4183" s="159">
        <f t="shared" si="684"/>
        <v>9</v>
      </c>
      <c r="R4183" s="160">
        <f t="shared" si="685"/>
        <v>6.6833333332906477</v>
      </c>
      <c r="S4183" s="158">
        <f t="shared" si="686"/>
        <v>1.4693853427802133</v>
      </c>
      <c r="T4183" s="161">
        <f t="shared" si="687"/>
        <v>577.46843971262376</v>
      </c>
      <c r="U4183" s="158">
        <f t="shared" si="689"/>
        <v>86.40425531914893</v>
      </c>
      <c r="V4183" s="160">
        <f t="shared" si="688"/>
        <v>86</v>
      </c>
    </row>
    <row r="4184" spans="1:22" x14ac:dyDescent="0.25">
      <c r="A4184" s="98" t="s">
        <v>29</v>
      </c>
      <c r="B4184" s="98" t="s">
        <v>105</v>
      </c>
      <c r="C4184" s="98">
        <v>91</v>
      </c>
      <c r="D4184" s="98">
        <v>310</v>
      </c>
      <c r="E4184" s="157">
        <v>42641.958333333336</v>
      </c>
      <c r="F4184" s="157">
        <v>42642.236805555556</v>
      </c>
      <c r="G4184" s="98">
        <v>330</v>
      </c>
      <c r="H4184" s="98">
        <v>423</v>
      </c>
      <c r="I4184" s="98">
        <v>393</v>
      </c>
      <c r="J4184" s="98" t="s">
        <v>1966</v>
      </c>
      <c r="K4184" s="98" t="s">
        <v>4334</v>
      </c>
      <c r="L4184" s="105" t="str">
        <f t="shared" si="680"/>
        <v>Mill Creek</v>
      </c>
      <c r="M4184" s="105" t="str">
        <f t="shared" si="681"/>
        <v>Derate</v>
      </c>
      <c r="N4184" s="105" t="str">
        <f t="shared" si="682"/>
        <v>Coal</v>
      </c>
      <c r="O4184" s="105">
        <f>IFERROR(VLOOKUP(A4184,Lookup!$J$5:$P$19,7,FALSE),0)</f>
        <v>3</v>
      </c>
      <c r="P4184" s="159">
        <f t="shared" si="683"/>
        <v>2016</v>
      </c>
      <c r="Q4184" s="159">
        <f t="shared" si="684"/>
        <v>9</v>
      </c>
      <c r="R4184" s="160">
        <f t="shared" si="685"/>
        <v>6.6833333332906477</v>
      </c>
      <c r="S4184" s="158">
        <f t="shared" si="686"/>
        <v>1.4693853427802133</v>
      </c>
      <c r="T4184" s="161">
        <f t="shared" si="687"/>
        <v>577.46843971262376</v>
      </c>
      <c r="U4184" s="158">
        <f t="shared" si="689"/>
        <v>86.40425531914893</v>
      </c>
      <c r="V4184" s="160">
        <f t="shared" si="688"/>
        <v>86</v>
      </c>
    </row>
    <row r="4185" spans="1:22" x14ac:dyDescent="0.25">
      <c r="A4185" s="98" t="s">
        <v>29</v>
      </c>
      <c r="B4185" s="98" t="s">
        <v>17</v>
      </c>
      <c r="C4185" s="98">
        <v>92</v>
      </c>
      <c r="D4185" s="98">
        <v>360</v>
      </c>
      <c r="E4185" s="157">
        <v>42653.294444444444</v>
      </c>
      <c r="F4185" s="157">
        <v>42653.348611111112</v>
      </c>
      <c r="G4185" s="98">
        <v>330</v>
      </c>
      <c r="H4185" s="98">
        <v>423</v>
      </c>
      <c r="I4185" s="98">
        <v>393</v>
      </c>
      <c r="J4185" s="98" t="s">
        <v>229</v>
      </c>
      <c r="K4185" s="98" t="s">
        <v>4335</v>
      </c>
      <c r="L4185" s="105" t="str">
        <f t="shared" si="680"/>
        <v>Mill Creek</v>
      </c>
      <c r="M4185" s="105" t="str">
        <f t="shared" si="681"/>
        <v>Derate</v>
      </c>
      <c r="N4185" s="105" t="str">
        <f t="shared" si="682"/>
        <v>Coal</v>
      </c>
      <c r="O4185" s="105">
        <f>IFERROR(VLOOKUP(A4185,Lookup!$J$5:$P$19,7,FALSE),0)</f>
        <v>3</v>
      </c>
      <c r="P4185" s="159">
        <f t="shared" si="683"/>
        <v>2016</v>
      </c>
      <c r="Q4185" s="159">
        <f t="shared" si="684"/>
        <v>10</v>
      </c>
      <c r="R4185" s="160">
        <f t="shared" si="685"/>
        <v>1.3000000000465661</v>
      </c>
      <c r="S4185" s="158">
        <f t="shared" si="686"/>
        <v>0.28581560284711738</v>
      </c>
      <c r="T4185" s="161">
        <f t="shared" si="687"/>
        <v>112.32553191891714</v>
      </c>
      <c r="U4185" s="158">
        <f t="shared" si="689"/>
        <v>86.40425531914893</v>
      </c>
      <c r="V4185" s="160">
        <f t="shared" si="688"/>
        <v>86</v>
      </c>
    </row>
    <row r="4186" spans="1:22" x14ac:dyDescent="0.25">
      <c r="A4186" s="98" t="s">
        <v>29</v>
      </c>
      <c r="B4186" s="98" t="s">
        <v>38</v>
      </c>
      <c r="C4186" s="98">
        <v>93</v>
      </c>
      <c r="D4186" s="98">
        <v>8450</v>
      </c>
      <c r="E4186" s="157">
        <v>42664.927777777775</v>
      </c>
      <c r="F4186" s="157">
        <v>42673.470833333333</v>
      </c>
      <c r="G4186" s="98">
        <v>0</v>
      </c>
      <c r="H4186" s="98">
        <v>423</v>
      </c>
      <c r="I4186" s="98">
        <v>393</v>
      </c>
      <c r="J4186" s="98" t="s">
        <v>2033</v>
      </c>
      <c r="K4186" s="98" t="s">
        <v>94</v>
      </c>
      <c r="L4186" s="105" t="str">
        <f t="shared" si="680"/>
        <v>Mill Creek</v>
      </c>
      <c r="M4186" s="105" t="str">
        <f t="shared" si="681"/>
        <v>Other</v>
      </c>
      <c r="N4186" s="105" t="str">
        <f t="shared" si="682"/>
        <v>Coal</v>
      </c>
      <c r="O4186" s="105">
        <f>IFERROR(VLOOKUP(A4186,Lookup!$J$5:$P$19,7,FALSE),0)</f>
        <v>3</v>
      </c>
      <c r="P4186" s="159">
        <f t="shared" si="683"/>
        <v>2016</v>
      </c>
      <c r="Q4186" s="159">
        <f t="shared" si="684"/>
        <v>10</v>
      </c>
      <c r="R4186" s="160">
        <f t="shared" si="685"/>
        <v>205.03333333338378</v>
      </c>
      <c r="S4186" s="158">
        <f t="shared" si="686"/>
        <v>205.03333333338378</v>
      </c>
      <c r="T4186" s="161">
        <f t="shared" si="687"/>
        <v>80578.100000019826</v>
      </c>
      <c r="U4186" s="158">
        <f t="shared" si="689"/>
        <v>393</v>
      </c>
      <c r="V4186" s="160">
        <f t="shared" si="688"/>
        <v>393</v>
      </c>
    </row>
    <row r="4187" spans="1:22" x14ac:dyDescent="0.25">
      <c r="A4187" s="98" t="s">
        <v>29</v>
      </c>
      <c r="B4187" s="98" t="s">
        <v>15</v>
      </c>
      <c r="C4187" s="98">
        <v>94</v>
      </c>
      <c r="D4187" s="98">
        <v>1480</v>
      </c>
      <c r="E4187" s="157">
        <v>42673.681944444441</v>
      </c>
      <c r="F4187" s="157">
        <v>42673.979166666664</v>
      </c>
      <c r="G4187" s="98">
        <v>0</v>
      </c>
      <c r="H4187" s="98">
        <v>423</v>
      </c>
      <c r="I4187" s="98">
        <v>393</v>
      </c>
      <c r="J4187" s="98" t="s">
        <v>1972</v>
      </c>
      <c r="K4187" s="98" t="s">
        <v>4336</v>
      </c>
      <c r="L4187" s="105" t="str">
        <f t="shared" si="680"/>
        <v>Mill Creek</v>
      </c>
      <c r="M4187" s="105" t="str">
        <f t="shared" si="681"/>
        <v>Outage</v>
      </c>
      <c r="N4187" s="105" t="str">
        <f t="shared" si="682"/>
        <v>Coal</v>
      </c>
      <c r="O4187" s="105">
        <f>IFERROR(VLOOKUP(A4187,Lookup!$J$5:$P$19,7,FALSE),0)</f>
        <v>3</v>
      </c>
      <c r="P4187" s="159">
        <f t="shared" si="683"/>
        <v>2016</v>
      </c>
      <c r="Q4187" s="159">
        <f t="shared" si="684"/>
        <v>10</v>
      </c>
      <c r="R4187" s="160">
        <f t="shared" si="685"/>
        <v>7.1333333333604969</v>
      </c>
      <c r="S4187" s="158">
        <f t="shared" si="686"/>
        <v>7.1333333333604969</v>
      </c>
      <c r="T4187" s="161">
        <f t="shared" si="687"/>
        <v>2803.4000000106753</v>
      </c>
      <c r="U4187" s="158">
        <f t="shared" si="689"/>
        <v>393</v>
      </c>
      <c r="V4187" s="160">
        <f t="shared" si="688"/>
        <v>393</v>
      </c>
    </row>
    <row r="4188" spans="1:22" x14ac:dyDescent="0.25">
      <c r="A4188" s="98" t="s">
        <v>29</v>
      </c>
      <c r="B4188" s="98" t="s">
        <v>105</v>
      </c>
      <c r="C4188" s="98">
        <v>95</v>
      </c>
      <c r="D4188" s="98">
        <v>310</v>
      </c>
      <c r="E4188" s="157">
        <v>42681.9375</v>
      </c>
      <c r="F4188" s="157">
        <v>42682.228472222225</v>
      </c>
      <c r="G4188" s="98">
        <v>330</v>
      </c>
      <c r="H4188" s="98">
        <v>423</v>
      </c>
      <c r="I4188" s="98">
        <v>393</v>
      </c>
      <c r="J4188" s="98" t="s">
        <v>1966</v>
      </c>
      <c r="K4188" s="98" t="s">
        <v>4337</v>
      </c>
      <c r="L4188" s="105" t="str">
        <f t="shared" si="680"/>
        <v>Mill Creek</v>
      </c>
      <c r="M4188" s="105" t="str">
        <f t="shared" si="681"/>
        <v>Derate</v>
      </c>
      <c r="N4188" s="105" t="str">
        <f t="shared" si="682"/>
        <v>Coal</v>
      </c>
      <c r="O4188" s="105">
        <f>IFERROR(VLOOKUP(A4188,Lookup!$J$5:$P$19,7,FALSE),0)</f>
        <v>3</v>
      </c>
      <c r="P4188" s="159">
        <f t="shared" si="683"/>
        <v>2016</v>
      </c>
      <c r="Q4188" s="159">
        <f t="shared" si="684"/>
        <v>11</v>
      </c>
      <c r="R4188" s="160">
        <f t="shared" si="685"/>
        <v>6.9833333333954215</v>
      </c>
      <c r="S4188" s="158">
        <f t="shared" si="686"/>
        <v>1.5353427896117593</v>
      </c>
      <c r="T4188" s="161">
        <f t="shared" si="687"/>
        <v>603.3897163174214</v>
      </c>
      <c r="U4188" s="158">
        <f t="shared" si="689"/>
        <v>86.40425531914893</v>
      </c>
      <c r="V4188" s="160">
        <f t="shared" si="688"/>
        <v>86</v>
      </c>
    </row>
    <row r="4189" spans="1:22" x14ac:dyDescent="0.25">
      <c r="A4189" s="98" t="s">
        <v>29</v>
      </c>
      <c r="B4189" s="98" t="s">
        <v>17</v>
      </c>
      <c r="C4189" s="98">
        <v>96</v>
      </c>
      <c r="D4189" s="98">
        <v>270</v>
      </c>
      <c r="E4189" s="157">
        <v>42686.318749999999</v>
      </c>
      <c r="F4189" s="157">
        <v>42686.402777777781</v>
      </c>
      <c r="G4189" s="98">
        <v>370</v>
      </c>
      <c r="H4189" s="98">
        <v>423</v>
      </c>
      <c r="I4189" s="98">
        <v>393</v>
      </c>
      <c r="J4189" s="98" t="s">
        <v>2031</v>
      </c>
      <c r="K4189" s="98" t="s">
        <v>4338</v>
      </c>
      <c r="L4189" s="105" t="str">
        <f t="shared" si="680"/>
        <v>Mill Creek</v>
      </c>
      <c r="M4189" s="105" t="str">
        <f t="shared" si="681"/>
        <v>Derate</v>
      </c>
      <c r="N4189" s="105" t="str">
        <f t="shared" si="682"/>
        <v>Coal</v>
      </c>
      <c r="O4189" s="105">
        <f>IFERROR(VLOOKUP(A4189,Lookup!$J$5:$P$19,7,FALSE),0)</f>
        <v>3</v>
      </c>
      <c r="P4189" s="159">
        <f t="shared" si="683"/>
        <v>2016</v>
      </c>
      <c r="Q4189" s="159">
        <f t="shared" si="684"/>
        <v>11</v>
      </c>
      <c r="R4189" s="160">
        <f t="shared" si="685"/>
        <v>2.0166666667792015</v>
      </c>
      <c r="S4189" s="158">
        <f t="shared" si="686"/>
        <v>0.25267927503380067</v>
      </c>
      <c r="T4189" s="161">
        <f t="shared" si="687"/>
        <v>99.302955088283667</v>
      </c>
      <c r="U4189" s="158">
        <f t="shared" si="689"/>
        <v>49.241134751773046</v>
      </c>
      <c r="V4189" s="160">
        <f t="shared" si="688"/>
        <v>49</v>
      </c>
    </row>
    <row r="4190" spans="1:22" x14ac:dyDescent="0.25">
      <c r="A4190" s="98" t="s">
        <v>29</v>
      </c>
      <c r="B4190" s="98" t="s">
        <v>17</v>
      </c>
      <c r="C4190" s="98">
        <v>97</v>
      </c>
      <c r="D4190" s="98">
        <v>360</v>
      </c>
      <c r="E4190" s="157">
        <v>42686.555555555555</v>
      </c>
      <c r="F4190" s="157">
        <v>42686.583333333336</v>
      </c>
      <c r="G4190" s="98">
        <v>370</v>
      </c>
      <c r="H4190" s="98">
        <v>423</v>
      </c>
      <c r="I4190" s="98">
        <v>393</v>
      </c>
      <c r="J4190" s="98" t="s">
        <v>229</v>
      </c>
      <c r="K4190" s="98" t="s">
        <v>4339</v>
      </c>
      <c r="L4190" s="105" t="str">
        <f t="shared" si="680"/>
        <v>Mill Creek</v>
      </c>
      <c r="M4190" s="105" t="str">
        <f t="shared" si="681"/>
        <v>Derate</v>
      </c>
      <c r="N4190" s="105" t="str">
        <f t="shared" si="682"/>
        <v>Coal</v>
      </c>
      <c r="O4190" s="105">
        <f>IFERROR(VLOOKUP(A4190,Lookup!$J$5:$P$19,7,FALSE),0)</f>
        <v>3</v>
      </c>
      <c r="P4190" s="159">
        <f t="shared" si="683"/>
        <v>2016</v>
      </c>
      <c r="Q4190" s="159">
        <f t="shared" si="684"/>
        <v>11</v>
      </c>
      <c r="R4190" s="160">
        <f t="shared" si="685"/>
        <v>0.66666666674427688</v>
      </c>
      <c r="S4190" s="158">
        <f t="shared" si="686"/>
        <v>8.3530338859212003E-2</v>
      </c>
      <c r="T4190" s="161">
        <f t="shared" si="687"/>
        <v>32.827423171670318</v>
      </c>
      <c r="U4190" s="158">
        <f t="shared" si="689"/>
        <v>49.241134751773046</v>
      </c>
      <c r="V4190" s="160">
        <f t="shared" si="688"/>
        <v>49</v>
      </c>
    </row>
    <row r="4191" spans="1:22" x14ac:dyDescent="0.25">
      <c r="A4191" s="98" t="s">
        <v>29</v>
      </c>
      <c r="B4191" s="98" t="s">
        <v>15</v>
      </c>
      <c r="C4191" s="98">
        <v>98</v>
      </c>
      <c r="D4191" s="98">
        <v>9300</v>
      </c>
      <c r="E4191" s="157">
        <v>42688.364583333336</v>
      </c>
      <c r="F4191" s="157">
        <v>42688.463194444441</v>
      </c>
      <c r="G4191" s="98">
        <v>0</v>
      </c>
      <c r="H4191" s="98">
        <v>423</v>
      </c>
      <c r="I4191" s="98">
        <v>393</v>
      </c>
      <c r="J4191" s="98" t="s">
        <v>2290</v>
      </c>
      <c r="K4191" s="98" t="s">
        <v>4340</v>
      </c>
      <c r="L4191" s="105" t="str">
        <f t="shared" si="680"/>
        <v>Mill Creek</v>
      </c>
      <c r="M4191" s="105" t="str">
        <f t="shared" si="681"/>
        <v>Outage</v>
      </c>
      <c r="N4191" s="105" t="str">
        <f t="shared" si="682"/>
        <v>Coal</v>
      </c>
      <c r="O4191" s="105">
        <f>IFERROR(VLOOKUP(A4191,Lookup!$J$5:$P$19,7,FALSE),0)</f>
        <v>3</v>
      </c>
      <c r="P4191" s="159">
        <f t="shared" si="683"/>
        <v>2016</v>
      </c>
      <c r="Q4191" s="159">
        <f t="shared" si="684"/>
        <v>11</v>
      </c>
      <c r="R4191" s="160">
        <f t="shared" si="685"/>
        <v>2.3666666665230878</v>
      </c>
      <c r="S4191" s="158">
        <f t="shared" si="686"/>
        <v>2.3666666665230878</v>
      </c>
      <c r="T4191" s="161">
        <f t="shared" si="687"/>
        <v>930.09999994357349</v>
      </c>
      <c r="U4191" s="158">
        <f t="shared" si="689"/>
        <v>393</v>
      </c>
      <c r="V4191" s="160">
        <f t="shared" si="688"/>
        <v>393</v>
      </c>
    </row>
    <row r="4192" spans="1:22" x14ac:dyDescent="0.25">
      <c r="A4192" s="98" t="s">
        <v>29</v>
      </c>
      <c r="B4192" s="98" t="s">
        <v>105</v>
      </c>
      <c r="C4192" s="98">
        <v>99</v>
      </c>
      <c r="D4192" s="98">
        <v>250</v>
      </c>
      <c r="E4192" s="157">
        <v>42691.958333333336</v>
      </c>
      <c r="F4192" s="157">
        <v>42692.215277777781</v>
      </c>
      <c r="G4192" s="98">
        <v>340</v>
      </c>
      <c r="H4192" s="98">
        <v>423</v>
      </c>
      <c r="I4192" s="98">
        <v>393</v>
      </c>
      <c r="J4192" s="98" t="s">
        <v>1978</v>
      </c>
      <c r="K4192" s="98" t="s">
        <v>4337</v>
      </c>
      <c r="L4192" s="105" t="str">
        <f t="shared" si="680"/>
        <v>Mill Creek</v>
      </c>
      <c r="M4192" s="105" t="str">
        <f t="shared" si="681"/>
        <v>Derate</v>
      </c>
      <c r="N4192" s="105" t="str">
        <f t="shared" si="682"/>
        <v>Coal</v>
      </c>
      <c r="O4192" s="105">
        <f>IFERROR(VLOOKUP(A4192,Lookup!$J$5:$P$19,7,FALSE),0)</f>
        <v>3</v>
      </c>
      <c r="P4192" s="159">
        <f t="shared" si="683"/>
        <v>2016</v>
      </c>
      <c r="Q4192" s="159">
        <f t="shared" si="684"/>
        <v>11</v>
      </c>
      <c r="R4192" s="160">
        <f t="shared" si="685"/>
        <v>6.1666666666860692</v>
      </c>
      <c r="S4192" s="158">
        <f t="shared" si="686"/>
        <v>1.2100078802244534</v>
      </c>
      <c r="T4192" s="161">
        <f t="shared" si="687"/>
        <v>475.53309692821017</v>
      </c>
      <c r="U4192" s="158">
        <f t="shared" si="689"/>
        <v>77.113475177304963</v>
      </c>
      <c r="V4192" s="160">
        <f t="shared" si="688"/>
        <v>77</v>
      </c>
    </row>
    <row r="4193" spans="1:22" x14ac:dyDescent="0.25">
      <c r="A4193" s="98" t="s">
        <v>29</v>
      </c>
      <c r="B4193" s="98" t="s">
        <v>17</v>
      </c>
      <c r="C4193" s="98">
        <v>100</v>
      </c>
      <c r="D4193" s="98">
        <v>264</v>
      </c>
      <c r="E4193" s="157">
        <v>42695.213194444441</v>
      </c>
      <c r="F4193" s="157">
        <v>42695.314583333333</v>
      </c>
      <c r="G4193" s="98">
        <v>330</v>
      </c>
      <c r="H4193" s="98">
        <v>423</v>
      </c>
      <c r="I4193" s="98">
        <v>393</v>
      </c>
      <c r="J4193" s="98" t="s">
        <v>2008</v>
      </c>
      <c r="K4193" s="98" t="s">
        <v>4341</v>
      </c>
      <c r="L4193" s="105" t="str">
        <f t="shared" si="680"/>
        <v>Mill Creek</v>
      </c>
      <c r="M4193" s="105" t="str">
        <f t="shared" si="681"/>
        <v>Derate</v>
      </c>
      <c r="N4193" s="105" t="str">
        <f t="shared" si="682"/>
        <v>Coal</v>
      </c>
      <c r="O4193" s="105">
        <f>IFERROR(VLOOKUP(A4193,Lookup!$J$5:$P$19,7,FALSE),0)</f>
        <v>3</v>
      </c>
      <c r="P4193" s="159">
        <f t="shared" si="683"/>
        <v>2016</v>
      </c>
      <c r="Q4193" s="159">
        <f t="shared" si="684"/>
        <v>11</v>
      </c>
      <c r="R4193" s="160">
        <f t="shared" si="685"/>
        <v>2.433333333407063</v>
      </c>
      <c r="S4193" s="158">
        <f t="shared" si="686"/>
        <v>0.53498817968524082</v>
      </c>
      <c r="T4193" s="161">
        <f t="shared" si="687"/>
        <v>210.25035461629963</v>
      </c>
      <c r="U4193" s="158">
        <f t="shared" si="689"/>
        <v>86.40425531914893</v>
      </c>
      <c r="V4193" s="160">
        <f t="shared" si="688"/>
        <v>86</v>
      </c>
    </row>
    <row r="4194" spans="1:22" x14ac:dyDescent="0.25">
      <c r="A4194" s="98" t="s">
        <v>29</v>
      </c>
      <c r="B4194" s="98" t="s">
        <v>105</v>
      </c>
      <c r="C4194" s="98">
        <v>101</v>
      </c>
      <c r="D4194" s="98">
        <v>250</v>
      </c>
      <c r="E4194" s="157">
        <v>42711.958333333336</v>
      </c>
      <c r="F4194" s="157">
        <v>42712.143055555556</v>
      </c>
      <c r="G4194" s="98">
        <v>330</v>
      </c>
      <c r="H4194" s="98">
        <v>423</v>
      </c>
      <c r="I4194" s="98">
        <v>393</v>
      </c>
      <c r="J4194" s="98" t="s">
        <v>1978</v>
      </c>
      <c r="K4194" s="98" t="s">
        <v>4330</v>
      </c>
      <c r="L4194" s="105" t="str">
        <f t="shared" si="680"/>
        <v>Mill Creek</v>
      </c>
      <c r="M4194" s="105" t="str">
        <f t="shared" si="681"/>
        <v>Derate</v>
      </c>
      <c r="N4194" s="105" t="str">
        <f t="shared" si="682"/>
        <v>Coal</v>
      </c>
      <c r="O4194" s="105">
        <f>IFERROR(VLOOKUP(A4194,Lookup!$J$5:$P$19,7,FALSE),0)</f>
        <v>3</v>
      </c>
      <c r="P4194" s="159">
        <f t="shared" si="683"/>
        <v>2016</v>
      </c>
      <c r="Q4194" s="159">
        <f t="shared" si="684"/>
        <v>12</v>
      </c>
      <c r="R4194" s="160">
        <f t="shared" si="685"/>
        <v>4.4333333332906477</v>
      </c>
      <c r="S4194" s="158">
        <f t="shared" si="686"/>
        <v>0.97470449171638351</v>
      </c>
      <c r="T4194" s="161">
        <f t="shared" si="687"/>
        <v>383.05886524453871</v>
      </c>
      <c r="U4194" s="158">
        <f t="shared" si="689"/>
        <v>86.40425531914893</v>
      </c>
      <c r="V4194" s="160">
        <f t="shared" si="688"/>
        <v>86</v>
      </c>
    </row>
    <row r="4195" spans="1:22" x14ac:dyDescent="0.25">
      <c r="A4195" s="98" t="s">
        <v>29</v>
      </c>
      <c r="B4195" s="98" t="s">
        <v>105</v>
      </c>
      <c r="C4195" s="98">
        <v>102</v>
      </c>
      <c r="D4195" s="98">
        <v>310</v>
      </c>
      <c r="E4195" s="157">
        <v>42717.958333333336</v>
      </c>
      <c r="F4195" s="157">
        <v>42718.215277777781</v>
      </c>
      <c r="G4195" s="98">
        <v>330</v>
      </c>
      <c r="H4195" s="98">
        <v>423</v>
      </c>
      <c r="I4195" s="98">
        <v>393</v>
      </c>
      <c r="J4195" s="98" t="s">
        <v>1966</v>
      </c>
      <c r="K4195" s="98" t="s">
        <v>4330</v>
      </c>
      <c r="L4195" s="105" t="str">
        <f t="shared" si="680"/>
        <v>Mill Creek</v>
      </c>
      <c r="M4195" s="105" t="str">
        <f t="shared" si="681"/>
        <v>Derate</v>
      </c>
      <c r="N4195" s="105" t="str">
        <f t="shared" si="682"/>
        <v>Coal</v>
      </c>
      <c r="O4195" s="105">
        <f>IFERROR(VLOOKUP(A4195,Lookup!$J$5:$P$19,7,FALSE),0)</f>
        <v>3</v>
      </c>
      <c r="P4195" s="159">
        <f t="shared" si="683"/>
        <v>2016</v>
      </c>
      <c r="Q4195" s="159">
        <f t="shared" si="684"/>
        <v>12</v>
      </c>
      <c r="R4195" s="160">
        <f t="shared" si="685"/>
        <v>6.1666666666860692</v>
      </c>
      <c r="S4195" s="158">
        <f t="shared" si="686"/>
        <v>1.3557919621792067</v>
      </c>
      <c r="T4195" s="161">
        <f t="shared" si="687"/>
        <v>532.82624113642828</v>
      </c>
      <c r="U4195" s="158">
        <f t="shared" si="689"/>
        <v>86.40425531914893</v>
      </c>
      <c r="V4195" s="160">
        <f t="shared" si="688"/>
        <v>86</v>
      </c>
    </row>
    <row r="4196" spans="1:22" x14ac:dyDescent="0.25">
      <c r="A4196" s="98" t="s">
        <v>29</v>
      </c>
      <c r="B4196" s="98" t="s">
        <v>15</v>
      </c>
      <c r="C4196" s="98">
        <v>103</v>
      </c>
      <c r="D4196" s="98">
        <v>3416</v>
      </c>
      <c r="E4196" s="157">
        <v>42722.777777777781</v>
      </c>
      <c r="F4196" s="157">
        <v>42722.888194444444</v>
      </c>
      <c r="G4196" s="98">
        <v>0</v>
      </c>
      <c r="H4196" s="98">
        <v>423</v>
      </c>
      <c r="I4196" s="98">
        <v>393</v>
      </c>
      <c r="J4196" s="98" t="s">
        <v>2164</v>
      </c>
      <c r="K4196" s="98" t="s">
        <v>4342</v>
      </c>
      <c r="L4196" s="105" t="str">
        <f t="shared" si="680"/>
        <v>Mill Creek</v>
      </c>
      <c r="M4196" s="105" t="str">
        <f t="shared" si="681"/>
        <v>Outage</v>
      </c>
      <c r="N4196" s="105" t="str">
        <f t="shared" si="682"/>
        <v>Coal</v>
      </c>
      <c r="O4196" s="105">
        <f>IFERROR(VLOOKUP(A4196,Lookup!$J$5:$P$19,7,FALSE),0)</f>
        <v>3</v>
      </c>
      <c r="P4196" s="159">
        <f t="shared" si="683"/>
        <v>2016</v>
      </c>
      <c r="Q4196" s="159">
        <f t="shared" si="684"/>
        <v>12</v>
      </c>
      <c r="R4196" s="160">
        <f t="shared" si="685"/>
        <v>2.6499999999068677</v>
      </c>
      <c r="S4196" s="158">
        <f t="shared" si="686"/>
        <v>2.6499999999068677</v>
      </c>
      <c r="T4196" s="161">
        <f t="shared" si="687"/>
        <v>1041.449999963399</v>
      </c>
      <c r="U4196" s="158">
        <f t="shared" si="689"/>
        <v>393</v>
      </c>
      <c r="V4196" s="160">
        <f t="shared" si="688"/>
        <v>393</v>
      </c>
    </row>
    <row r="4197" spans="1:22" x14ac:dyDescent="0.25">
      <c r="A4197" s="98" t="s">
        <v>29</v>
      </c>
      <c r="B4197" s="98" t="s">
        <v>105</v>
      </c>
      <c r="C4197" s="98">
        <v>104</v>
      </c>
      <c r="D4197" s="98">
        <v>310</v>
      </c>
      <c r="E4197" s="157">
        <v>42724.959722222222</v>
      </c>
      <c r="F4197" s="157">
        <v>42725.145138888889</v>
      </c>
      <c r="G4197" s="98">
        <v>330</v>
      </c>
      <c r="H4197" s="98">
        <v>423</v>
      </c>
      <c r="I4197" s="98">
        <v>393</v>
      </c>
      <c r="J4197" s="98" t="s">
        <v>1966</v>
      </c>
      <c r="K4197" s="98" t="s">
        <v>4332</v>
      </c>
      <c r="L4197" s="105" t="str">
        <f t="shared" ref="L4197:L4260" si="690">IF(OR(A4197="BR1",A4197="BR2",A4197="BR3",A4197="BR5",A4197="BR6",A4197="BR7",A4197="BR8",A4197="BR9",A4197="BR10",A4197="BR11"),"Brown",IF(OR(A4197="CR4",A4197="CR5",A4197="CR6",A4197="CR11"),"Cane Run",IF(OR(A4197="GH1",A4197="GH2",A4197="GH3",A4197="GH4"),"Ghent",IF(OR(A4197="GR3",A4197="GR4"),"Green River",IF(OR(A4197="MC1",A4197="MC2",A4197="MC3",A4197="MC4"),"Mill Creek",IF(OR(A4197="TC1",A4197="TC2",A4197="TC5",A4197="TC6",A4197="TC7",A4197="TC8",A4197="TC9",A4197="TC10"),"Trimble",IF(A4197="TY3","Tyrone",IF(OR(A4197="HA1",A4197="HA2",A4197="HA3"),"Haeflin",IF(OR(A4197="PR11",A4197="PR12",A4197="PR13"),"Paddy's Run","Zorn")))))))))</f>
        <v>Mill Creek</v>
      </c>
      <c r="M4197" s="105" t="str">
        <f t="shared" ref="M4197:M4260" si="691">IF(OR(B4197="D1",B4197="D2",B4197="D3",B4197="D4",B4197="PD"),"Derate",IF(OR(B4197="SF",B4197="U1",B4197="U2",B4197="U3"),"Outage",IF(OR(B4197="ME",B4197="MO"),"Maintenance","Other")))</f>
        <v>Derate</v>
      </c>
      <c r="N4197" s="105" t="str">
        <f t="shared" ref="N4197:N4260" si="692">IF(OR(A4197="BR1",A4197="BR2",A4197="BR3",A4197="CR4",A4197="CR5",A4197="CR6",A4197="GH1",A4197="GH2",A4197="GH3",A4197="GH4",A4197="GR3",A4197="GR4",A4197="MC1",A4197="MC2",A4197="MC3",A4197="MC4",A4197="TC1",A4197="TC2",A4197="TY3"),"Coal","Gas")</f>
        <v>Coal</v>
      </c>
      <c r="O4197" s="105">
        <f>IFERROR(VLOOKUP(A4197,Lookup!$J$5:$P$19,7,FALSE),0)</f>
        <v>3</v>
      </c>
      <c r="P4197" s="159">
        <f t="shared" ref="P4197:P4260" si="693">YEAR(E4197)</f>
        <v>2016</v>
      </c>
      <c r="Q4197" s="159">
        <f t="shared" ref="Q4197:Q4260" si="694">MONTH(E4197)</f>
        <v>12</v>
      </c>
      <c r="R4197" s="160">
        <f t="shared" ref="R4197:R4260" si="695">(F4197-E4197)*24</f>
        <v>4.4500000000116415</v>
      </c>
      <c r="S4197" s="158">
        <f t="shared" ref="S4197:S4260" si="696">R4197*(H4197-G4197)/H4197</f>
        <v>0.97836879432880064</v>
      </c>
      <c r="T4197" s="161">
        <f t="shared" ref="T4197:T4260" si="697">S4197*I4197</f>
        <v>384.49893617121865</v>
      </c>
      <c r="U4197" s="158">
        <f t="shared" si="689"/>
        <v>86.40425531914893</v>
      </c>
      <c r="V4197" s="160">
        <f t="shared" ref="V4197:V4260" si="698">ROUND(U4197,0)</f>
        <v>86</v>
      </c>
    </row>
    <row r="4198" spans="1:22" x14ac:dyDescent="0.25">
      <c r="A4198" s="98" t="s">
        <v>29</v>
      </c>
      <c r="B4198" s="98" t="s">
        <v>105</v>
      </c>
      <c r="C4198" s="98">
        <v>1</v>
      </c>
      <c r="D4198" s="98">
        <v>310</v>
      </c>
      <c r="E4198" s="157">
        <v>42758.958333333336</v>
      </c>
      <c r="F4198" s="157">
        <v>42759.35833333333</v>
      </c>
      <c r="G4198" s="98">
        <v>325</v>
      </c>
      <c r="H4198" s="98">
        <v>423</v>
      </c>
      <c r="I4198" s="98">
        <v>393</v>
      </c>
      <c r="J4198" s="98" t="s">
        <v>1966</v>
      </c>
      <c r="K4198" s="98" t="s">
        <v>4330</v>
      </c>
      <c r="L4198" s="105" t="str">
        <f t="shared" si="690"/>
        <v>Mill Creek</v>
      </c>
      <c r="M4198" s="105" t="str">
        <f t="shared" si="691"/>
        <v>Derate</v>
      </c>
      <c r="N4198" s="105" t="str">
        <f t="shared" si="692"/>
        <v>Coal</v>
      </c>
      <c r="O4198" s="105">
        <f>IFERROR(VLOOKUP(A4198,Lookup!$J$5:$P$19,7,FALSE),0)</f>
        <v>3</v>
      </c>
      <c r="P4198" s="159">
        <f t="shared" si="693"/>
        <v>2017</v>
      </c>
      <c r="Q4198" s="159">
        <f t="shared" si="694"/>
        <v>1</v>
      </c>
      <c r="R4198" s="160">
        <f t="shared" si="695"/>
        <v>9.5999999998603016</v>
      </c>
      <c r="S4198" s="158">
        <f t="shared" si="696"/>
        <v>2.2241134751449398</v>
      </c>
      <c r="T4198" s="161">
        <f t="shared" si="697"/>
        <v>874.07659573196133</v>
      </c>
      <c r="U4198" s="158">
        <f t="shared" ref="U4198:U4261" si="699">IF(G4198&gt;0,MAX((H4198-G4198),0)*I4198/H4198,I4198)</f>
        <v>91.049645390070921</v>
      </c>
      <c r="V4198" s="160">
        <f t="shared" si="698"/>
        <v>91</v>
      </c>
    </row>
    <row r="4199" spans="1:22" x14ac:dyDescent="0.25">
      <c r="A4199" s="98" t="s">
        <v>29</v>
      </c>
      <c r="B4199" s="98" t="s">
        <v>105</v>
      </c>
      <c r="C4199" s="98">
        <v>2</v>
      </c>
      <c r="D4199" s="98">
        <v>310</v>
      </c>
      <c r="E4199" s="157">
        <v>42767.958333333336</v>
      </c>
      <c r="F4199" s="157">
        <v>42768.222222222219</v>
      </c>
      <c r="G4199" s="98">
        <v>330</v>
      </c>
      <c r="H4199" s="98">
        <v>423</v>
      </c>
      <c r="I4199" s="98">
        <v>393</v>
      </c>
      <c r="J4199" s="98" t="s">
        <v>1966</v>
      </c>
      <c r="K4199" s="98" t="s">
        <v>4343</v>
      </c>
      <c r="L4199" s="105" t="str">
        <f t="shared" si="690"/>
        <v>Mill Creek</v>
      </c>
      <c r="M4199" s="105" t="str">
        <f t="shared" si="691"/>
        <v>Derate</v>
      </c>
      <c r="N4199" s="105" t="str">
        <f t="shared" si="692"/>
        <v>Coal</v>
      </c>
      <c r="O4199" s="105">
        <f>IFERROR(VLOOKUP(A4199,Lookup!$J$5:$P$19,7,FALSE),0)</f>
        <v>3</v>
      </c>
      <c r="P4199" s="159">
        <f t="shared" si="693"/>
        <v>2017</v>
      </c>
      <c r="Q4199" s="159">
        <f t="shared" si="694"/>
        <v>2</v>
      </c>
      <c r="R4199" s="160">
        <f t="shared" si="695"/>
        <v>6.3333333331975155</v>
      </c>
      <c r="S4199" s="158">
        <f t="shared" si="696"/>
        <v>1.3924349881498084</v>
      </c>
      <c r="T4199" s="161">
        <f t="shared" si="697"/>
        <v>547.22695034287472</v>
      </c>
      <c r="U4199" s="158">
        <f t="shared" si="699"/>
        <v>86.40425531914893</v>
      </c>
      <c r="V4199" s="160">
        <f t="shared" si="698"/>
        <v>86</v>
      </c>
    </row>
    <row r="4200" spans="1:22" x14ac:dyDescent="0.25">
      <c r="A4200" s="98" t="s">
        <v>29</v>
      </c>
      <c r="B4200" s="98" t="s">
        <v>105</v>
      </c>
      <c r="C4200" s="98">
        <v>3</v>
      </c>
      <c r="D4200" s="98">
        <v>310</v>
      </c>
      <c r="E4200" s="157">
        <v>42768.958333333336</v>
      </c>
      <c r="F4200" s="157">
        <v>42769.277777777781</v>
      </c>
      <c r="G4200" s="98">
        <v>330</v>
      </c>
      <c r="H4200" s="98">
        <v>423</v>
      </c>
      <c r="I4200" s="98">
        <v>393</v>
      </c>
      <c r="J4200" s="98" t="s">
        <v>1966</v>
      </c>
      <c r="K4200" s="98" t="s">
        <v>4344</v>
      </c>
      <c r="L4200" s="105" t="str">
        <f t="shared" si="690"/>
        <v>Mill Creek</v>
      </c>
      <c r="M4200" s="105" t="str">
        <f t="shared" si="691"/>
        <v>Derate</v>
      </c>
      <c r="N4200" s="105" t="str">
        <f t="shared" si="692"/>
        <v>Coal</v>
      </c>
      <c r="O4200" s="105">
        <f>IFERROR(VLOOKUP(A4200,Lookup!$J$5:$P$19,7,FALSE),0)</f>
        <v>3</v>
      </c>
      <c r="P4200" s="159">
        <f t="shared" si="693"/>
        <v>2017</v>
      </c>
      <c r="Q4200" s="159">
        <f t="shared" si="694"/>
        <v>2</v>
      </c>
      <c r="R4200" s="160">
        <f t="shared" si="695"/>
        <v>7.6666666666860692</v>
      </c>
      <c r="S4200" s="158">
        <f t="shared" si="696"/>
        <v>1.6855791962217599</v>
      </c>
      <c r="T4200" s="161">
        <f t="shared" si="697"/>
        <v>662.43262411515161</v>
      </c>
      <c r="U4200" s="158">
        <f t="shared" si="699"/>
        <v>86.40425531914893</v>
      </c>
      <c r="V4200" s="160">
        <f t="shared" si="698"/>
        <v>86</v>
      </c>
    </row>
    <row r="4201" spans="1:22" x14ac:dyDescent="0.25">
      <c r="A4201" s="98" t="s">
        <v>29</v>
      </c>
      <c r="B4201" s="98" t="s">
        <v>79</v>
      </c>
      <c r="C4201" s="98">
        <v>4</v>
      </c>
      <c r="D4201" s="98">
        <v>4490</v>
      </c>
      <c r="E4201" s="157">
        <v>42769.333333333336</v>
      </c>
      <c r="F4201" s="157">
        <v>42769.390972222223</v>
      </c>
      <c r="G4201" s="98">
        <v>0</v>
      </c>
      <c r="H4201" s="98">
        <v>423</v>
      </c>
      <c r="I4201" s="98">
        <v>393</v>
      </c>
      <c r="J4201" s="98" t="s">
        <v>2084</v>
      </c>
      <c r="K4201" s="98" t="s">
        <v>4295</v>
      </c>
      <c r="L4201" s="105" t="str">
        <f t="shared" si="690"/>
        <v>Mill Creek</v>
      </c>
      <c r="M4201" s="105" t="str">
        <f t="shared" si="691"/>
        <v>Other</v>
      </c>
      <c r="N4201" s="105" t="str">
        <f t="shared" si="692"/>
        <v>Coal</v>
      </c>
      <c r="O4201" s="105">
        <f>IFERROR(VLOOKUP(A4201,Lookup!$J$5:$P$19,7,FALSE),0)</f>
        <v>3</v>
      </c>
      <c r="P4201" s="159">
        <f t="shared" si="693"/>
        <v>2017</v>
      </c>
      <c r="Q4201" s="159">
        <f t="shared" si="694"/>
        <v>2</v>
      </c>
      <c r="R4201" s="160">
        <f t="shared" si="695"/>
        <v>1.3833333333022892</v>
      </c>
      <c r="S4201" s="158">
        <f t="shared" si="696"/>
        <v>1.3833333333022892</v>
      </c>
      <c r="T4201" s="161">
        <f t="shared" si="697"/>
        <v>543.64999998779967</v>
      </c>
      <c r="U4201" s="158">
        <f t="shared" si="699"/>
        <v>393</v>
      </c>
      <c r="V4201" s="160">
        <f t="shared" si="698"/>
        <v>393</v>
      </c>
    </row>
    <row r="4202" spans="1:22" x14ac:dyDescent="0.25">
      <c r="A4202" s="98" t="s">
        <v>29</v>
      </c>
      <c r="B4202" s="98" t="s">
        <v>105</v>
      </c>
      <c r="C4202" s="98">
        <v>5</v>
      </c>
      <c r="D4202" s="98">
        <v>310</v>
      </c>
      <c r="E4202" s="157">
        <v>42771.958333333336</v>
      </c>
      <c r="F4202" s="157">
        <v>42772.220833333333</v>
      </c>
      <c r="G4202" s="98">
        <v>330</v>
      </c>
      <c r="H4202" s="98">
        <v>423</v>
      </c>
      <c r="I4202" s="98">
        <v>393</v>
      </c>
      <c r="J4202" s="98" t="s">
        <v>1966</v>
      </c>
      <c r="K4202" s="98" t="s">
        <v>4345</v>
      </c>
      <c r="L4202" s="105" t="str">
        <f t="shared" si="690"/>
        <v>Mill Creek</v>
      </c>
      <c r="M4202" s="105" t="str">
        <f t="shared" si="691"/>
        <v>Derate</v>
      </c>
      <c r="N4202" s="105" t="str">
        <f t="shared" si="692"/>
        <v>Coal</v>
      </c>
      <c r="O4202" s="105">
        <f>IFERROR(VLOOKUP(A4202,Lookup!$J$5:$P$19,7,FALSE),0)</f>
        <v>3</v>
      </c>
      <c r="P4202" s="159">
        <f t="shared" si="693"/>
        <v>2017</v>
      </c>
      <c r="Q4202" s="159">
        <f t="shared" si="694"/>
        <v>2</v>
      </c>
      <c r="R4202" s="160">
        <f t="shared" si="695"/>
        <v>6.2999999999301508</v>
      </c>
      <c r="S4202" s="158">
        <f t="shared" si="696"/>
        <v>1.3851063829633665</v>
      </c>
      <c r="T4202" s="161">
        <f t="shared" si="697"/>
        <v>544.34680850460302</v>
      </c>
      <c r="U4202" s="158">
        <f t="shared" si="699"/>
        <v>86.40425531914893</v>
      </c>
      <c r="V4202" s="160">
        <f t="shared" si="698"/>
        <v>86</v>
      </c>
    </row>
    <row r="4203" spans="1:22" x14ac:dyDescent="0.25">
      <c r="A4203" s="98" t="s">
        <v>29</v>
      </c>
      <c r="B4203" s="98" t="s">
        <v>79</v>
      </c>
      <c r="C4203" s="98">
        <v>6</v>
      </c>
      <c r="D4203" s="98">
        <v>9999</v>
      </c>
      <c r="E4203" s="157">
        <v>42775.3125</v>
      </c>
      <c r="F4203" s="157">
        <v>42775.604861111111</v>
      </c>
      <c r="G4203" s="98">
        <v>0</v>
      </c>
      <c r="H4203" s="98">
        <v>423</v>
      </c>
      <c r="I4203" s="98">
        <v>393</v>
      </c>
      <c r="J4203" s="98" t="s">
        <v>2261</v>
      </c>
      <c r="K4203" s="98" t="s">
        <v>4295</v>
      </c>
      <c r="L4203" s="105" t="str">
        <f t="shared" si="690"/>
        <v>Mill Creek</v>
      </c>
      <c r="M4203" s="105" t="str">
        <f t="shared" si="691"/>
        <v>Other</v>
      </c>
      <c r="N4203" s="105" t="str">
        <f t="shared" si="692"/>
        <v>Coal</v>
      </c>
      <c r="O4203" s="105">
        <f>IFERROR(VLOOKUP(A4203,Lookup!$J$5:$P$19,7,FALSE),0)</f>
        <v>3</v>
      </c>
      <c r="P4203" s="159">
        <f t="shared" si="693"/>
        <v>2017</v>
      </c>
      <c r="Q4203" s="159">
        <f t="shared" si="694"/>
        <v>2</v>
      </c>
      <c r="R4203" s="160">
        <f t="shared" si="695"/>
        <v>7.0166666666627862</v>
      </c>
      <c r="S4203" s="158">
        <f t="shared" si="696"/>
        <v>7.0166666666627862</v>
      </c>
      <c r="T4203" s="161">
        <f t="shared" si="697"/>
        <v>2757.549999998475</v>
      </c>
      <c r="U4203" s="158">
        <f t="shared" si="699"/>
        <v>393</v>
      </c>
      <c r="V4203" s="160">
        <f t="shared" si="698"/>
        <v>393</v>
      </c>
    </row>
    <row r="4204" spans="1:22" x14ac:dyDescent="0.25">
      <c r="A4204" s="98" t="s">
        <v>29</v>
      </c>
      <c r="B4204" s="98" t="s">
        <v>15</v>
      </c>
      <c r="C4204" s="98">
        <v>7</v>
      </c>
      <c r="D4204" s="98">
        <v>370</v>
      </c>
      <c r="E4204" s="157">
        <v>42792.950694444444</v>
      </c>
      <c r="F4204" s="157">
        <v>42793.125694444447</v>
      </c>
      <c r="G4204" s="98">
        <v>0</v>
      </c>
      <c r="H4204" s="98">
        <v>423</v>
      </c>
      <c r="I4204" s="98">
        <v>393</v>
      </c>
      <c r="J4204" s="98" t="s">
        <v>1995</v>
      </c>
      <c r="K4204" s="98" t="s">
        <v>4346</v>
      </c>
      <c r="L4204" s="105" t="str">
        <f t="shared" si="690"/>
        <v>Mill Creek</v>
      </c>
      <c r="M4204" s="105" t="str">
        <f t="shared" si="691"/>
        <v>Outage</v>
      </c>
      <c r="N4204" s="105" t="str">
        <f t="shared" si="692"/>
        <v>Coal</v>
      </c>
      <c r="O4204" s="105">
        <f>IFERROR(VLOOKUP(A4204,Lookup!$J$5:$P$19,7,FALSE),0)</f>
        <v>3</v>
      </c>
      <c r="P4204" s="159">
        <f t="shared" si="693"/>
        <v>2017</v>
      </c>
      <c r="Q4204" s="159">
        <f t="shared" si="694"/>
        <v>2</v>
      </c>
      <c r="R4204" s="160">
        <f t="shared" si="695"/>
        <v>4.2000000000698492</v>
      </c>
      <c r="S4204" s="158">
        <f t="shared" si="696"/>
        <v>4.2000000000698492</v>
      </c>
      <c r="T4204" s="161">
        <f t="shared" si="697"/>
        <v>1650.6000000274507</v>
      </c>
      <c r="U4204" s="158">
        <f t="shared" si="699"/>
        <v>393</v>
      </c>
      <c r="V4204" s="160">
        <f t="shared" si="698"/>
        <v>393</v>
      </c>
    </row>
    <row r="4205" spans="1:22" x14ac:dyDescent="0.25">
      <c r="A4205" s="98" t="s">
        <v>29</v>
      </c>
      <c r="B4205" s="98" t="s">
        <v>105</v>
      </c>
      <c r="C4205" s="98">
        <v>8</v>
      </c>
      <c r="D4205" s="98">
        <v>310</v>
      </c>
      <c r="E4205" s="157">
        <v>42799.984027777777</v>
      </c>
      <c r="F4205" s="157">
        <v>42800.068749999999</v>
      </c>
      <c r="G4205" s="98">
        <v>330</v>
      </c>
      <c r="H4205" s="98">
        <v>423</v>
      </c>
      <c r="I4205" s="98">
        <v>393</v>
      </c>
      <c r="J4205" s="98" t="s">
        <v>1966</v>
      </c>
      <c r="K4205" s="98" t="s">
        <v>4330</v>
      </c>
      <c r="L4205" s="105" t="str">
        <f t="shared" si="690"/>
        <v>Mill Creek</v>
      </c>
      <c r="M4205" s="105" t="str">
        <f t="shared" si="691"/>
        <v>Derate</v>
      </c>
      <c r="N4205" s="105" t="str">
        <f t="shared" si="692"/>
        <v>Coal</v>
      </c>
      <c r="O4205" s="105">
        <f>IFERROR(VLOOKUP(A4205,Lookup!$J$5:$P$19,7,FALSE),0)</f>
        <v>3</v>
      </c>
      <c r="P4205" s="159">
        <f t="shared" si="693"/>
        <v>2017</v>
      </c>
      <c r="Q4205" s="159">
        <f t="shared" si="694"/>
        <v>3</v>
      </c>
      <c r="R4205" s="160">
        <f t="shared" si="695"/>
        <v>2.0333333333255723</v>
      </c>
      <c r="S4205" s="158">
        <f t="shared" si="696"/>
        <v>0.44704491725597689</v>
      </c>
      <c r="T4205" s="161">
        <f t="shared" si="697"/>
        <v>175.68865248159892</v>
      </c>
      <c r="U4205" s="158">
        <f t="shared" si="699"/>
        <v>86.40425531914893</v>
      </c>
      <c r="V4205" s="160">
        <f t="shared" si="698"/>
        <v>86</v>
      </c>
    </row>
    <row r="4206" spans="1:22" x14ac:dyDescent="0.25">
      <c r="A4206" s="98" t="s">
        <v>29</v>
      </c>
      <c r="B4206" s="98" t="s">
        <v>79</v>
      </c>
      <c r="C4206" s="98">
        <v>9</v>
      </c>
      <c r="D4206" s="98">
        <v>370</v>
      </c>
      <c r="E4206" s="157">
        <v>42804.953472222223</v>
      </c>
      <c r="F4206" s="162">
        <v>42805.248611111114</v>
      </c>
      <c r="G4206" s="98">
        <v>0</v>
      </c>
      <c r="H4206" s="98">
        <v>423</v>
      </c>
      <c r="I4206" s="98">
        <v>393</v>
      </c>
      <c r="J4206" s="98" t="s">
        <v>1995</v>
      </c>
      <c r="K4206" s="98" t="s">
        <v>4347</v>
      </c>
      <c r="L4206" s="105" t="str">
        <f t="shared" si="690"/>
        <v>Mill Creek</v>
      </c>
      <c r="M4206" s="105" t="str">
        <f t="shared" si="691"/>
        <v>Other</v>
      </c>
      <c r="N4206" s="105" t="str">
        <f t="shared" si="692"/>
        <v>Coal</v>
      </c>
      <c r="O4206" s="105">
        <f>IFERROR(VLOOKUP(A4206,Lookup!$J$5:$P$19,7,FALSE),0)</f>
        <v>3</v>
      </c>
      <c r="P4206" s="159">
        <f t="shared" si="693"/>
        <v>2017</v>
      </c>
      <c r="Q4206" s="159">
        <f t="shared" si="694"/>
        <v>3</v>
      </c>
      <c r="R4206" s="160">
        <f t="shared" si="695"/>
        <v>7.0833333333721384</v>
      </c>
      <c r="S4206" s="158">
        <f t="shared" si="696"/>
        <v>7.0833333333721384</v>
      </c>
      <c r="T4206" s="161">
        <f t="shared" si="697"/>
        <v>2783.7500000152504</v>
      </c>
      <c r="U4206" s="158">
        <f t="shared" si="699"/>
        <v>393</v>
      </c>
      <c r="V4206" s="160">
        <f t="shared" si="698"/>
        <v>393</v>
      </c>
    </row>
    <row r="4207" spans="1:22" x14ac:dyDescent="0.25">
      <c r="A4207" s="98" t="s">
        <v>29</v>
      </c>
      <c r="B4207" s="98" t="s">
        <v>79</v>
      </c>
      <c r="C4207" s="98">
        <v>10</v>
      </c>
      <c r="D4207" s="98">
        <v>370</v>
      </c>
      <c r="E4207" s="157">
        <v>42805.938888888886</v>
      </c>
      <c r="F4207" s="157">
        <v>42806.047222222223</v>
      </c>
      <c r="G4207" s="98">
        <v>0</v>
      </c>
      <c r="H4207" s="98">
        <v>423</v>
      </c>
      <c r="I4207" s="98">
        <v>393</v>
      </c>
      <c r="J4207" s="98" t="s">
        <v>1995</v>
      </c>
      <c r="K4207" s="98" t="s">
        <v>4347</v>
      </c>
      <c r="L4207" s="105" t="str">
        <f t="shared" si="690"/>
        <v>Mill Creek</v>
      </c>
      <c r="M4207" s="105" t="str">
        <f t="shared" si="691"/>
        <v>Other</v>
      </c>
      <c r="N4207" s="105" t="str">
        <f t="shared" si="692"/>
        <v>Coal</v>
      </c>
      <c r="O4207" s="105">
        <f>IFERROR(VLOOKUP(A4207,Lookup!$J$5:$P$19,7,FALSE),0)</f>
        <v>3</v>
      </c>
      <c r="P4207" s="159">
        <f t="shared" si="693"/>
        <v>2017</v>
      </c>
      <c r="Q4207" s="159">
        <f t="shared" si="694"/>
        <v>3</v>
      </c>
      <c r="R4207" s="160">
        <f t="shared" si="695"/>
        <v>2.6000000000931323</v>
      </c>
      <c r="S4207" s="158">
        <f t="shared" si="696"/>
        <v>2.6000000000931323</v>
      </c>
      <c r="T4207" s="161">
        <f t="shared" si="697"/>
        <v>1021.800000036601</v>
      </c>
      <c r="U4207" s="158">
        <f t="shared" si="699"/>
        <v>393</v>
      </c>
      <c r="V4207" s="160">
        <f t="shared" si="698"/>
        <v>393</v>
      </c>
    </row>
    <row r="4208" spans="1:22" x14ac:dyDescent="0.25">
      <c r="A4208" s="98" t="s">
        <v>29</v>
      </c>
      <c r="B4208" s="98" t="s">
        <v>38</v>
      </c>
      <c r="C4208" s="98">
        <v>11</v>
      </c>
      <c r="D4208" s="98">
        <v>520</v>
      </c>
      <c r="E4208" s="157">
        <v>42811.918749999997</v>
      </c>
      <c r="F4208" s="157">
        <v>42819.130555555559</v>
      </c>
      <c r="G4208" s="98">
        <v>0</v>
      </c>
      <c r="H4208" s="98">
        <v>423</v>
      </c>
      <c r="I4208" s="98">
        <v>393</v>
      </c>
      <c r="J4208" s="98" t="s">
        <v>3330</v>
      </c>
      <c r="K4208" s="98" t="s">
        <v>4348</v>
      </c>
      <c r="L4208" s="105" t="str">
        <f t="shared" si="690"/>
        <v>Mill Creek</v>
      </c>
      <c r="M4208" s="105" t="str">
        <f t="shared" si="691"/>
        <v>Other</v>
      </c>
      <c r="N4208" s="105" t="str">
        <f t="shared" si="692"/>
        <v>Coal</v>
      </c>
      <c r="O4208" s="105">
        <f>IFERROR(VLOOKUP(A4208,Lookup!$J$5:$P$19,7,FALSE),0)</f>
        <v>3</v>
      </c>
      <c r="P4208" s="159">
        <f t="shared" si="693"/>
        <v>2017</v>
      </c>
      <c r="Q4208" s="159">
        <f t="shared" si="694"/>
        <v>3</v>
      </c>
      <c r="R4208" s="160">
        <f t="shared" si="695"/>
        <v>173.08333333348855</v>
      </c>
      <c r="S4208" s="158">
        <f t="shared" si="696"/>
        <v>173.08333333348855</v>
      </c>
      <c r="T4208" s="161">
        <f t="shared" si="697"/>
        <v>68021.750000061002</v>
      </c>
      <c r="U4208" s="158">
        <f t="shared" si="699"/>
        <v>393</v>
      </c>
      <c r="V4208" s="160">
        <f t="shared" si="698"/>
        <v>393</v>
      </c>
    </row>
    <row r="4209" spans="1:22" x14ac:dyDescent="0.25">
      <c r="A4209" s="98" t="s">
        <v>29</v>
      </c>
      <c r="B4209" s="98" t="s">
        <v>17</v>
      </c>
      <c r="C4209" s="98">
        <v>12</v>
      </c>
      <c r="D4209" s="98">
        <v>280</v>
      </c>
      <c r="E4209" s="157">
        <v>42819.84375</v>
      </c>
      <c r="F4209" s="157">
        <v>42820.070138888892</v>
      </c>
      <c r="G4209" s="98">
        <v>360</v>
      </c>
      <c r="H4209" s="98">
        <v>423</v>
      </c>
      <c r="I4209" s="98">
        <v>393</v>
      </c>
      <c r="J4209" s="98" t="s">
        <v>1988</v>
      </c>
      <c r="K4209" s="98" t="s">
        <v>4349</v>
      </c>
      <c r="L4209" s="105" t="str">
        <f t="shared" si="690"/>
        <v>Mill Creek</v>
      </c>
      <c r="M4209" s="105" t="str">
        <f t="shared" si="691"/>
        <v>Derate</v>
      </c>
      <c r="N4209" s="105" t="str">
        <f t="shared" si="692"/>
        <v>Coal</v>
      </c>
      <c r="O4209" s="105">
        <f>IFERROR(VLOOKUP(A4209,Lookup!$J$5:$P$19,7,FALSE),0)</f>
        <v>3</v>
      </c>
      <c r="P4209" s="159">
        <f t="shared" si="693"/>
        <v>2017</v>
      </c>
      <c r="Q4209" s="159">
        <f t="shared" si="694"/>
        <v>3</v>
      </c>
      <c r="R4209" s="160">
        <f t="shared" si="695"/>
        <v>5.433333333407063</v>
      </c>
      <c r="S4209" s="158">
        <f t="shared" si="696"/>
        <v>0.80921985816700936</v>
      </c>
      <c r="T4209" s="161">
        <f t="shared" si="697"/>
        <v>318.02340425963467</v>
      </c>
      <c r="U4209" s="158">
        <f t="shared" si="699"/>
        <v>58.531914893617021</v>
      </c>
      <c r="V4209" s="160">
        <f t="shared" si="698"/>
        <v>59</v>
      </c>
    </row>
    <row r="4210" spans="1:22" x14ac:dyDescent="0.25">
      <c r="A4210" s="98" t="s">
        <v>29</v>
      </c>
      <c r="B4210" s="98" t="s">
        <v>79</v>
      </c>
      <c r="C4210" s="98">
        <v>13</v>
      </c>
      <c r="D4210" s="98">
        <v>1990</v>
      </c>
      <c r="E4210" s="157">
        <v>42842.964583333334</v>
      </c>
      <c r="F4210" s="157">
        <v>42843.192361111112</v>
      </c>
      <c r="G4210" s="98">
        <v>0</v>
      </c>
      <c r="H4210" s="98">
        <v>423</v>
      </c>
      <c r="I4210" s="98">
        <v>393</v>
      </c>
      <c r="J4210" s="98" t="s">
        <v>2114</v>
      </c>
      <c r="K4210" s="98" t="s">
        <v>4350</v>
      </c>
      <c r="L4210" s="105" t="str">
        <f t="shared" si="690"/>
        <v>Mill Creek</v>
      </c>
      <c r="M4210" s="105" t="str">
        <f t="shared" si="691"/>
        <v>Other</v>
      </c>
      <c r="N4210" s="105" t="str">
        <f t="shared" si="692"/>
        <v>Coal</v>
      </c>
      <c r="O4210" s="105">
        <f>IFERROR(VLOOKUP(A4210,Lookup!$J$5:$P$19,7,FALSE),0)</f>
        <v>3</v>
      </c>
      <c r="P4210" s="159">
        <f t="shared" si="693"/>
        <v>2017</v>
      </c>
      <c r="Q4210" s="159">
        <f t="shared" si="694"/>
        <v>4</v>
      </c>
      <c r="R4210" s="160">
        <f t="shared" si="695"/>
        <v>5.4666666666744277</v>
      </c>
      <c r="S4210" s="158">
        <f t="shared" si="696"/>
        <v>5.4666666666744277</v>
      </c>
      <c r="T4210" s="161">
        <f t="shared" si="697"/>
        <v>2148.4000000030501</v>
      </c>
      <c r="U4210" s="158">
        <f t="shared" si="699"/>
        <v>393</v>
      </c>
      <c r="V4210" s="160">
        <f t="shared" si="698"/>
        <v>393</v>
      </c>
    </row>
    <row r="4211" spans="1:22" x14ac:dyDescent="0.25">
      <c r="A4211" s="98" t="s">
        <v>29</v>
      </c>
      <c r="B4211" s="98" t="s">
        <v>79</v>
      </c>
      <c r="C4211" s="98">
        <v>14</v>
      </c>
      <c r="D4211" s="98">
        <v>1990</v>
      </c>
      <c r="E4211" s="157">
        <v>42843.958333333336</v>
      </c>
      <c r="F4211" s="157">
        <v>42844.197916666664</v>
      </c>
      <c r="G4211" s="98">
        <v>0</v>
      </c>
      <c r="H4211" s="98">
        <v>423</v>
      </c>
      <c r="I4211" s="98">
        <v>393</v>
      </c>
      <c r="J4211" s="98" t="s">
        <v>2114</v>
      </c>
      <c r="K4211" s="98" t="s">
        <v>4350</v>
      </c>
      <c r="L4211" s="105" t="str">
        <f t="shared" si="690"/>
        <v>Mill Creek</v>
      </c>
      <c r="M4211" s="105" t="str">
        <f t="shared" si="691"/>
        <v>Other</v>
      </c>
      <c r="N4211" s="105" t="str">
        <f t="shared" si="692"/>
        <v>Coal</v>
      </c>
      <c r="O4211" s="105">
        <f>IFERROR(VLOOKUP(A4211,Lookup!$J$5:$P$19,7,FALSE),0)</f>
        <v>3</v>
      </c>
      <c r="P4211" s="159">
        <f t="shared" si="693"/>
        <v>2017</v>
      </c>
      <c r="Q4211" s="159">
        <f t="shared" si="694"/>
        <v>4</v>
      </c>
      <c r="R4211" s="160">
        <f t="shared" si="695"/>
        <v>5.7499999998835847</v>
      </c>
      <c r="S4211" s="158">
        <f t="shared" si="696"/>
        <v>5.7499999998835847</v>
      </c>
      <c r="T4211" s="161">
        <f t="shared" si="697"/>
        <v>2259.7499999542488</v>
      </c>
      <c r="U4211" s="158">
        <f t="shared" si="699"/>
        <v>393</v>
      </c>
      <c r="V4211" s="160">
        <f t="shared" si="698"/>
        <v>393</v>
      </c>
    </row>
    <row r="4212" spans="1:22" x14ac:dyDescent="0.25">
      <c r="A4212" s="98" t="s">
        <v>29</v>
      </c>
      <c r="B4212" s="98" t="s">
        <v>105</v>
      </c>
      <c r="C4212" s="98">
        <v>15</v>
      </c>
      <c r="D4212" s="98">
        <v>310</v>
      </c>
      <c r="E4212" s="157">
        <v>42845.958333333336</v>
      </c>
      <c r="F4212" s="157">
        <v>42846.158333333333</v>
      </c>
      <c r="G4212" s="98">
        <v>330</v>
      </c>
      <c r="H4212" s="98">
        <v>423</v>
      </c>
      <c r="I4212" s="98">
        <v>393</v>
      </c>
      <c r="J4212" s="98" t="s">
        <v>1966</v>
      </c>
      <c r="K4212" s="98" t="s">
        <v>4330</v>
      </c>
      <c r="L4212" s="105" t="str">
        <f t="shared" si="690"/>
        <v>Mill Creek</v>
      </c>
      <c r="M4212" s="105" t="str">
        <f t="shared" si="691"/>
        <v>Derate</v>
      </c>
      <c r="N4212" s="105" t="str">
        <f t="shared" si="692"/>
        <v>Coal</v>
      </c>
      <c r="O4212" s="105">
        <f>IFERROR(VLOOKUP(A4212,Lookup!$J$5:$P$19,7,FALSE),0)</f>
        <v>3</v>
      </c>
      <c r="P4212" s="159">
        <f t="shared" si="693"/>
        <v>2017</v>
      </c>
      <c r="Q4212" s="159">
        <f t="shared" si="694"/>
        <v>4</v>
      </c>
      <c r="R4212" s="160">
        <f t="shared" si="695"/>
        <v>4.7999999999301508</v>
      </c>
      <c r="S4212" s="158">
        <f t="shared" si="696"/>
        <v>1.0553191489208134</v>
      </c>
      <c r="T4212" s="161">
        <f t="shared" si="697"/>
        <v>414.74042552587963</v>
      </c>
      <c r="U4212" s="158">
        <f t="shared" si="699"/>
        <v>86.40425531914893</v>
      </c>
      <c r="V4212" s="160">
        <f t="shared" si="698"/>
        <v>86</v>
      </c>
    </row>
    <row r="4213" spans="1:22" x14ac:dyDescent="0.25">
      <c r="A4213" s="98" t="s">
        <v>29</v>
      </c>
      <c r="B4213" s="98" t="s">
        <v>105</v>
      </c>
      <c r="C4213" s="98">
        <v>16</v>
      </c>
      <c r="D4213" s="98">
        <v>310</v>
      </c>
      <c r="E4213" s="157">
        <v>42848.958333333336</v>
      </c>
      <c r="F4213" s="157">
        <v>42849.143750000003</v>
      </c>
      <c r="G4213" s="98">
        <v>330</v>
      </c>
      <c r="H4213" s="98">
        <v>423</v>
      </c>
      <c r="I4213" s="98">
        <v>393</v>
      </c>
      <c r="J4213" s="98" t="s">
        <v>1966</v>
      </c>
      <c r="K4213" s="98" t="s">
        <v>4351</v>
      </c>
      <c r="L4213" s="105" t="str">
        <f t="shared" si="690"/>
        <v>Mill Creek</v>
      </c>
      <c r="M4213" s="105" t="str">
        <f t="shared" si="691"/>
        <v>Derate</v>
      </c>
      <c r="N4213" s="105" t="str">
        <f t="shared" si="692"/>
        <v>Coal</v>
      </c>
      <c r="O4213" s="105">
        <f>IFERROR(VLOOKUP(A4213,Lookup!$J$5:$P$19,7,FALSE),0)</f>
        <v>3</v>
      </c>
      <c r="P4213" s="159">
        <f t="shared" si="693"/>
        <v>2017</v>
      </c>
      <c r="Q4213" s="159">
        <f t="shared" si="694"/>
        <v>4</v>
      </c>
      <c r="R4213" s="160">
        <f t="shared" si="695"/>
        <v>4.4500000000116415</v>
      </c>
      <c r="S4213" s="158">
        <f t="shared" si="696"/>
        <v>0.97836879432880064</v>
      </c>
      <c r="T4213" s="161">
        <f t="shared" si="697"/>
        <v>384.49893617121865</v>
      </c>
      <c r="U4213" s="158">
        <f t="shared" si="699"/>
        <v>86.40425531914893</v>
      </c>
      <c r="V4213" s="160">
        <f t="shared" si="698"/>
        <v>86</v>
      </c>
    </row>
    <row r="4214" spans="1:22" x14ac:dyDescent="0.25">
      <c r="A4214" s="98" t="s">
        <v>29</v>
      </c>
      <c r="B4214" s="98" t="s">
        <v>105</v>
      </c>
      <c r="C4214" s="98">
        <v>17</v>
      </c>
      <c r="D4214" s="98">
        <v>310</v>
      </c>
      <c r="E4214" s="157">
        <v>42855.958333333336</v>
      </c>
      <c r="F4214" s="157">
        <v>42856.208333333336</v>
      </c>
      <c r="G4214" s="98">
        <v>340</v>
      </c>
      <c r="H4214" s="98">
        <v>423</v>
      </c>
      <c r="I4214" s="98">
        <v>393</v>
      </c>
      <c r="J4214" s="98" t="s">
        <v>1966</v>
      </c>
      <c r="K4214" s="98" t="s">
        <v>4343</v>
      </c>
      <c r="L4214" s="105" t="str">
        <f t="shared" si="690"/>
        <v>Mill Creek</v>
      </c>
      <c r="M4214" s="105" t="str">
        <f t="shared" si="691"/>
        <v>Derate</v>
      </c>
      <c r="N4214" s="105" t="str">
        <f t="shared" si="692"/>
        <v>Coal</v>
      </c>
      <c r="O4214" s="105">
        <f>IFERROR(VLOOKUP(A4214,Lookup!$J$5:$P$19,7,FALSE),0)</f>
        <v>3</v>
      </c>
      <c r="P4214" s="159">
        <f t="shared" si="693"/>
        <v>2017</v>
      </c>
      <c r="Q4214" s="159">
        <f t="shared" si="694"/>
        <v>4</v>
      </c>
      <c r="R4214" s="160">
        <f t="shared" si="695"/>
        <v>6</v>
      </c>
      <c r="S4214" s="158">
        <f t="shared" si="696"/>
        <v>1.177304964539007</v>
      </c>
      <c r="T4214" s="161">
        <f t="shared" si="697"/>
        <v>462.68085106382978</v>
      </c>
      <c r="U4214" s="158">
        <f t="shared" si="699"/>
        <v>77.113475177304963</v>
      </c>
      <c r="V4214" s="160">
        <f t="shared" si="698"/>
        <v>77</v>
      </c>
    </row>
    <row r="4215" spans="1:22" x14ac:dyDescent="0.25">
      <c r="A4215" s="98" t="s">
        <v>29</v>
      </c>
      <c r="B4215" s="98" t="s">
        <v>105</v>
      </c>
      <c r="C4215" s="98">
        <v>19</v>
      </c>
      <c r="D4215" s="98">
        <v>310</v>
      </c>
      <c r="E4215" s="157">
        <v>42856.916666666664</v>
      </c>
      <c r="F4215" s="157">
        <v>42857.109722222223</v>
      </c>
      <c r="G4215" s="98">
        <v>340</v>
      </c>
      <c r="H4215" s="98">
        <v>423</v>
      </c>
      <c r="I4215" s="98">
        <v>393</v>
      </c>
      <c r="J4215" s="98" t="s">
        <v>1966</v>
      </c>
      <c r="K4215" s="98" t="s">
        <v>4343</v>
      </c>
      <c r="L4215" s="105" t="str">
        <f t="shared" si="690"/>
        <v>Mill Creek</v>
      </c>
      <c r="M4215" s="105" t="str">
        <f t="shared" si="691"/>
        <v>Derate</v>
      </c>
      <c r="N4215" s="105" t="str">
        <f t="shared" si="692"/>
        <v>Coal</v>
      </c>
      <c r="O4215" s="105">
        <f>IFERROR(VLOOKUP(A4215,Lookup!$J$5:$P$19,7,FALSE),0)</f>
        <v>3</v>
      </c>
      <c r="P4215" s="159">
        <f t="shared" si="693"/>
        <v>2017</v>
      </c>
      <c r="Q4215" s="159">
        <f t="shared" si="694"/>
        <v>5</v>
      </c>
      <c r="R4215" s="160">
        <f t="shared" si="695"/>
        <v>4.6333333334187046</v>
      </c>
      <c r="S4215" s="158">
        <f t="shared" si="696"/>
        <v>0.90914105596631789</v>
      </c>
      <c r="T4215" s="161">
        <f t="shared" si="697"/>
        <v>357.29243499476291</v>
      </c>
      <c r="U4215" s="158">
        <f t="shared" si="699"/>
        <v>77.113475177304963</v>
      </c>
      <c r="V4215" s="160">
        <f t="shared" si="698"/>
        <v>77</v>
      </c>
    </row>
    <row r="4216" spans="1:22" x14ac:dyDescent="0.25">
      <c r="A4216" s="98" t="s">
        <v>29</v>
      </c>
      <c r="B4216" s="98" t="s">
        <v>105</v>
      </c>
      <c r="C4216" s="98">
        <v>20</v>
      </c>
      <c r="D4216" s="98">
        <v>312</v>
      </c>
      <c r="E4216" s="162">
        <v>42857.916666666664</v>
      </c>
      <c r="F4216" s="157">
        <v>42858.166666666664</v>
      </c>
      <c r="G4216" s="98">
        <v>340</v>
      </c>
      <c r="H4216" s="98">
        <v>423</v>
      </c>
      <c r="I4216" s="98">
        <v>393</v>
      </c>
      <c r="J4216" s="98" t="s">
        <v>2169</v>
      </c>
      <c r="K4216" s="98" t="s">
        <v>4343</v>
      </c>
      <c r="L4216" s="105" t="str">
        <f t="shared" si="690"/>
        <v>Mill Creek</v>
      </c>
      <c r="M4216" s="105" t="str">
        <f t="shared" si="691"/>
        <v>Derate</v>
      </c>
      <c r="N4216" s="105" t="str">
        <f t="shared" si="692"/>
        <v>Coal</v>
      </c>
      <c r="O4216" s="105">
        <f>IFERROR(VLOOKUP(A4216,Lookup!$J$5:$P$19,7,FALSE),0)</f>
        <v>3</v>
      </c>
      <c r="P4216" s="159">
        <f t="shared" si="693"/>
        <v>2017</v>
      </c>
      <c r="Q4216" s="159">
        <f t="shared" si="694"/>
        <v>5</v>
      </c>
      <c r="R4216" s="160">
        <f t="shared" si="695"/>
        <v>6</v>
      </c>
      <c r="S4216" s="158">
        <f t="shared" si="696"/>
        <v>1.177304964539007</v>
      </c>
      <c r="T4216" s="161">
        <f t="shared" si="697"/>
        <v>462.68085106382978</v>
      </c>
      <c r="U4216" s="158">
        <f t="shared" si="699"/>
        <v>77.113475177304963</v>
      </c>
      <c r="V4216" s="160">
        <f t="shared" si="698"/>
        <v>77</v>
      </c>
    </row>
    <row r="4217" spans="1:22" x14ac:dyDescent="0.25">
      <c r="A4217" s="98" t="s">
        <v>29</v>
      </c>
      <c r="B4217" s="98" t="s">
        <v>105</v>
      </c>
      <c r="C4217" s="98">
        <v>22</v>
      </c>
      <c r="D4217" s="98">
        <v>310</v>
      </c>
      <c r="E4217" s="157">
        <v>42858.916666666664</v>
      </c>
      <c r="F4217" s="157">
        <v>42859.161111111112</v>
      </c>
      <c r="G4217" s="98">
        <v>340</v>
      </c>
      <c r="H4217" s="98">
        <v>423</v>
      </c>
      <c r="I4217" s="98">
        <v>393</v>
      </c>
      <c r="J4217" s="98" t="s">
        <v>1966</v>
      </c>
      <c r="K4217" s="98" t="s">
        <v>4332</v>
      </c>
      <c r="L4217" s="105" t="str">
        <f t="shared" si="690"/>
        <v>Mill Creek</v>
      </c>
      <c r="M4217" s="105" t="str">
        <f t="shared" si="691"/>
        <v>Derate</v>
      </c>
      <c r="N4217" s="105" t="str">
        <f t="shared" si="692"/>
        <v>Coal</v>
      </c>
      <c r="O4217" s="105">
        <f>IFERROR(VLOOKUP(A4217,Lookup!$J$5:$P$19,7,FALSE),0)</f>
        <v>3</v>
      </c>
      <c r="P4217" s="159">
        <f t="shared" si="693"/>
        <v>2017</v>
      </c>
      <c r="Q4217" s="159">
        <f t="shared" si="694"/>
        <v>5</v>
      </c>
      <c r="R4217" s="160">
        <f t="shared" si="695"/>
        <v>5.8666666667559184</v>
      </c>
      <c r="S4217" s="158">
        <f t="shared" si="696"/>
        <v>1.1511426320112086</v>
      </c>
      <c r="T4217" s="161">
        <f t="shared" si="697"/>
        <v>452.39905438040495</v>
      </c>
      <c r="U4217" s="158">
        <f t="shared" si="699"/>
        <v>77.113475177304963</v>
      </c>
      <c r="V4217" s="160">
        <f t="shared" si="698"/>
        <v>77</v>
      </c>
    </row>
    <row r="4218" spans="1:22" x14ac:dyDescent="0.25">
      <c r="A4218" s="98" t="s">
        <v>29</v>
      </c>
      <c r="B4218" s="98" t="s">
        <v>105</v>
      </c>
      <c r="C4218" s="98">
        <v>23</v>
      </c>
      <c r="D4218" s="98">
        <v>310</v>
      </c>
      <c r="E4218" s="157">
        <v>42859.916666666664</v>
      </c>
      <c r="F4218" s="157">
        <v>42860.157638888886</v>
      </c>
      <c r="G4218" s="98">
        <v>340</v>
      </c>
      <c r="H4218" s="98">
        <v>423</v>
      </c>
      <c r="I4218" s="98">
        <v>393</v>
      </c>
      <c r="J4218" s="98" t="s">
        <v>1966</v>
      </c>
      <c r="K4218" s="98" t="s">
        <v>4344</v>
      </c>
      <c r="L4218" s="105" t="str">
        <f t="shared" si="690"/>
        <v>Mill Creek</v>
      </c>
      <c r="M4218" s="105" t="str">
        <f t="shared" si="691"/>
        <v>Derate</v>
      </c>
      <c r="N4218" s="105" t="str">
        <f t="shared" si="692"/>
        <v>Coal</v>
      </c>
      <c r="O4218" s="105">
        <f>IFERROR(VLOOKUP(A4218,Lookup!$J$5:$P$19,7,FALSE),0)</f>
        <v>3</v>
      </c>
      <c r="P4218" s="159">
        <f t="shared" si="693"/>
        <v>2017</v>
      </c>
      <c r="Q4218" s="159">
        <f t="shared" si="694"/>
        <v>5</v>
      </c>
      <c r="R4218" s="160">
        <f t="shared" si="695"/>
        <v>5.7833333333255723</v>
      </c>
      <c r="S4218" s="158">
        <f t="shared" si="696"/>
        <v>1.1347911741513534</v>
      </c>
      <c r="T4218" s="161">
        <f t="shared" si="697"/>
        <v>445.97293144148188</v>
      </c>
      <c r="U4218" s="158">
        <f t="shared" si="699"/>
        <v>77.113475177304963</v>
      </c>
      <c r="V4218" s="160">
        <f t="shared" si="698"/>
        <v>77</v>
      </c>
    </row>
    <row r="4219" spans="1:22" x14ac:dyDescent="0.25">
      <c r="A4219" s="98" t="s">
        <v>29</v>
      </c>
      <c r="B4219" s="98" t="s">
        <v>105</v>
      </c>
      <c r="C4219" s="98">
        <v>24</v>
      </c>
      <c r="D4219" s="98">
        <v>310</v>
      </c>
      <c r="E4219" s="157">
        <v>42864.916666666664</v>
      </c>
      <c r="F4219" s="157">
        <v>42865.138888888891</v>
      </c>
      <c r="G4219" s="98">
        <v>340</v>
      </c>
      <c r="H4219" s="98">
        <v>423</v>
      </c>
      <c r="I4219" s="98">
        <v>393</v>
      </c>
      <c r="J4219" s="98" t="s">
        <v>1966</v>
      </c>
      <c r="K4219" s="98" t="s">
        <v>4344</v>
      </c>
      <c r="L4219" s="105" t="str">
        <f t="shared" si="690"/>
        <v>Mill Creek</v>
      </c>
      <c r="M4219" s="105" t="str">
        <f t="shared" si="691"/>
        <v>Derate</v>
      </c>
      <c r="N4219" s="105" t="str">
        <f t="shared" si="692"/>
        <v>Coal</v>
      </c>
      <c r="O4219" s="105">
        <f>IFERROR(VLOOKUP(A4219,Lookup!$J$5:$P$19,7,FALSE),0)</f>
        <v>3</v>
      </c>
      <c r="P4219" s="159">
        <f t="shared" si="693"/>
        <v>2017</v>
      </c>
      <c r="Q4219" s="159">
        <f t="shared" si="694"/>
        <v>5</v>
      </c>
      <c r="R4219" s="160">
        <f t="shared" si="695"/>
        <v>5.3333333334303461</v>
      </c>
      <c r="S4219" s="158">
        <f t="shared" si="696"/>
        <v>1.0464933018314864</v>
      </c>
      <c r="T4219" s="161">
        <f t="shared" si="697"/>
        <v>411.27186761977413</v>
      </c>
      <c r="U4219" s="158">
        <f t="shared" si="699"/>
        <v>77.113475177304963</v>
      </c>
      <c r="V4219" s="160">
        <f t="shared" si="698"/>
        <v>77</v>
      </c>
    </row>
    <row r="4220" spans="1:22" x14ac:dyDescent="0.25">
      <c r="A4220" s="98" t="s">
        <v>29</v>
      </c>
      <c r="B4220" s="98" t="s">
        <v>105</v>
      </c>
      <c r="C4220" s="98">
        <v>25</v>
      </c>
      <c r="D4220" s="98">
        <v>310</v>
      </c>
      <c r="E4220" s="157">
        <v>42866.934027777781</v>
      </c>
      <c r="F4220" s="157">
        <v>42867.180555555555</v>
      </c>
      <c r="G4220" s="98">
        <v>340</v>
      </c>
      <c r="H4220" s="98">
        <v>423</v>
      </c>
      <c r="I4220" s="98">
        <v>393</v>
      </c>
      <c r="J4220" s="98" t="s">
        <v>1966</v>
      </c>
      <c r="K4220" s="98" t="s">
        <v>4330</v>
      </c>
      <c r="L4220" s="105" t="str">
        <f t="shared" si="690"/>
        <v>Mill Creek</v>
      </c>
      <c r="M4220" s="105" t="str">
        <f t="shared" si="691"/>
        <v>Derate</v>
      </c>
      <c r="N4220" s="105" t="str">
        <f t="shared" si="692"/>
        <v>Coal</v>
      </c>
      <c r="O4220" s="105">
        <f>IFERROR(VLOOKUP(A4220,Lookup!$J$5:$P$19,7,FALSE),0)</f>
        <v>3</v>
      </c>
      <c r="P4220" s="159">
        <f t="shared" si="693"/>
        <v>2017</v>
      </c>
      <c r="Q4220" s="159">
        <f t="shared" si="694"/>
        <v>5</v>
      </c>
      <c r="R4220" s="160">
        <f t="shared" si="695"/>
        <v>5.9166666665696539</v>
      </c>
      <c r="S4220" s="158">
        <f t="shared" si="696"/>
        <v>1.1609535066791519</v>
      </c>
      <c r="T4220" s="161">
        <f t="shared" si="697"/>
        <v>456.25472812490671</v>
      </c>
      <c r="U4220" s="158">
        <f t="shared" si="699"/>
        <v>77.113475177304963</v>
      </c>
      <c r="V4220" s="160">
        <f t="shared" si="698"/>
        <v>77</v>
      </c>
    </row>
    <row r="4221" spans="1:22" x14ac:dyDescent="0.25">
      <c r="A4221" s="98" t="s">
        <v>29</v>
      </c>
      <c r="B4221" s="98" t="s">
        <v>15</v>
      </c>
      <c r="C4221" s="98">
        <v>26</v>
      </c>
      <c r="D4221" s="98">
        <v>520</v>
      </c>
      <c r="E4221" s="157">
        <v>42875.053472222222</v>
      </c>
      <c r="F4221" s="157">
        <v>42875.695138888892</v>
      </c>
      <c r="G4221" s="98">
        <v>0</v>
      </c>
      <c r="H4221" s="98">
        <v>423</v>
      </c>
      <c r="I4221" s="98">
        <v>393</v>
      </c>
      <c r="J4221" s="98" t="s">
        <v>3330</v>
      </c>
      <c r="K4221" s="98" t="s">
        <v>4352</v>
      </c>
      <c r="L4221" s="105" t="str">
        <f t="shared" si="690"/>
        <v>Mill Creek</v>
      </c>
      <c r="M4221" s="105" t="str">
        <f t="shared" si="691"/>
        <v>Outage</v>
      </c>
      <c r="N4221" s="105" t="str">
        <f t="shared" si="692"/>
        <v>Coal</v>
      </c>
      <c r="O4221" s="105">
        <f>IFERROR(VLOOKUP(A4221,Lookup!$J$5:$P$19,7,FALSE),0)</f>
        <v>3</v>
      </c>
      <c r="P4221" s="159">
        <f t="shared" si="693"/>
        <v>2017</v>
      </c>
      <c r="Q4221" s="159">
        <f t="shared" si="694"/>
        <v>5</v>
      </c>
      <c r="R4221" s="160">
        <f t="shared" si="695"/>
        <v>15.400000000081491</v>
      </c>
      <c r="S4221" s="158">
        <f t="shared" si="696"/>
        <v>15.400000000081491</v>
      </c>
      <c r="T4221" s="161">
        <f t="shared" si="697"/>
        <v>6052.2000000320259</v>
      </c>
      <c r="U4221" s="158">
        <f t="shared" si="699"/>
        <v>393</v>
      </c>
      <c r="V4221" s="160">
        <f t="shared" si="698"/>
        <v>393</v>
      </c>
    </row>
    <row r="4222" spans="1:22" x14ac:dyDescent="0.25">
      <c r="A4222" s="98" t="s">
        <v>29</v>
      </c>
      <c r="B4222" s="98" t="s">
        <v>20</v>
      </c>
      <c r="C4222" s="98">
        <v>27</v>
      </c>
      <c r="D4222" s="98">
        <v>1487</v>
      </c>
      <c r="E4222" s="157">
        <v>42875.695138888892</v>
      </c>
      <c r="F4222" s="157">
        <v>42878.000694444447</v>
      </c>
      <c r="G4222" s="98">
        <v>0</v>
      </c>
      <c r="H4222" s="98">
        <v>423</v>
      </c>
      <c r="I4222" s="98">
        <v>393</v>
      </c>
      <c r="J4222" s="98" t="s">
        <v>2285</v>
      </c>
      <c r="K4222" s="98" t="s">
        <v>4353</v>
      </c>
      <c r="L4222" s="105" t="str">
        <f t="shared" si="690"/>
        <v>Mill Creek</v>
      </c>
      <c r="M4222" s="105" t="str">
        <f t="shared" si="691"/>
        <v>Maintenance</v>
      </c>
      <c r="N4222" s="105" t="str">
        <f t="shared" si="692"/>
        <v>Coal</v>
      </c>
      <c r="O4222" s="105">
        <f>IFERROR(VLOOKUP(A4222,Lookup!$J$5:$P$19,7,FALSE),0)</f>
        <v>3</v>
      </c>
      <c r="P4222" s="159">
        <f t="shared" si="693"/>
        <v>2017</v>
      </c>
      <c r="Q4222" s="159">
        <f t="shared" si="694"/>
        <v>5</v>
      </c>
      <c r="R4222" s="160">
        <f t="shared" si="695"/>
        <v>55.333333333313931</v>
      </c>
      <c r="S4222" s="158">
        <f t="shared" si="696"/>
        <v>55.333333333313931</v>
      </c>
      <c r="T4222" s="161">
        <f t="shared" si="697"/>
        <v>21745.999999992375</v>
      </c>
      <c r="U4222" s="158">
        <f t="shared" si="699"/>
        <v>393</v>
      </c>
      <c r="V4222" s="160">
        <f t="shared" si="698"/>
        <v>393</v>
      </c>
    </row>
    <row r="4223" spans="1:22" x14ac:dyDescent="0.25">
      <c r="A4223" s="98" t="s">
        <v>29</v>
      </c>
      <c r="B4223" s="98" t="s">
        <v>15</v>
      </c>
      <c r="C4223" s="98">
        <v>28</v>
      </c>
      <c r="D4223" s="98">
        <v>800</v>
      </c>
      <c r="E4223" s="157">
        <v>42880.251388888886</v>
      </c>
      <c r="F4223" s="157">
        <v>42880.302083333336</v>
      </c>
      <c r="G4223" s="98">
        <v>0</v>
      </c>
      <c r="H4223" s="98">
        <v>423</v>
      </c>
      <c r="I4223" s="98">
        <v>393</v>
      </c>
      <c r="J4223" s="98" t="s">
        <v>2197</v>
      </c>
      <c r="K4223" s="98" t="s">
        <v>4354</v>
      </c>
      <c r="L4223" s="105" t="str">
        <f t="shared" si="690"/>
        <v>Mill Creek</v>
      </c>
      <c r="M4223" s="105" t="str">
        <f t="shared" si="691"/>
        <v>Outage</v>
      </c>
      <c r="N4223" s="105" t="str">
        <f t="shared" si="692"/>
        <v>Coal</v>
      </c>
      <c r="O4223" s="105">
        <f>IFERROR(VLOOKUP(A4223,Lookup!$J$5:$P$19,7,FALSE),0)</f>
        <v>3</v>
      </c>
      <c r="P4223" s="159">
        <f t="shared" si="693"/>
        <v>2017</v>
      </c>
      <c r="Q4223" s="159">
        <f t="shared" si="694"/>
        <v>5</v>
      </c>
      <c r="R4223" s="160">
        <f t="shared" si="695"/>
        <v>1.216666666790843</v>
      </c>
      <c r="S4223" s="158">
        <f t="shared" si="696"/>
        <v>1.216666666790843</v>
      </c>
      <c r="T4223" s="161">
        <f t="shared" si="697"/>
        <v>478.1500000488013</v>
      </c>
      <c r="U4223" s="158">
        <f t="shared" si="699"/>
        <v>393</v>
      </c>
      <c r="V4223" s="160">
        <f t="shared" si="698"/>
        <v>393</v>
      </c>
    </row>
    <row r="4224" spans="1:22" x14ac:dyDescent="0.25">
      <c r="A4224" s="98" t="s">
        <v>29</v>
      </c>
      <c r="B4224" s="98" t="s">
        <v>15</v>
      </c>
      <c r="C4224" s="98">
        <v>29</v>
      </c>
      <c r="D4224" s="98">
        <v>1475</v>
      </c>
      <c r="E4224" s="157">
        <v>42894.381249999999</v>
      </c>
      <c r="F4224" s="157">
        <v>42894.536805555559</v>
      </c>
      <c r="G4224" s="98">
        <v>0</v>
      </c>
      <c r="H4224" s="98">
        <v>423</v>
      </c>
      <c r="I4224" s="98">
        <v>393</v>
      </c>
      <c r="J4224" s="98" t="s">
        <v>1989</v>
      </c>
      <c r="K4224" s="98" t="s">
        <v>4355</v>
      </c>
      <c r="L4224" s="105" t="str">
        <f t="shared" si="690"/>
        <v>Mill Creek</v>
      </c>
      <c r="M4224" s="105" t="str">
        <f t="shared" si="691"/>
        <v>Outage</v>
      </c>
      <c r="N4224" s="105" t="str">
        <f t="shared" si="692"/>
        <v>Coal</v>
      </c>
      <c r="O4224" s="105">
        <f>IFERROR(VLOOKUP(A4224,Lookup!$J$5:$P$19,7,FALSE),0)</f>
        <v>3</v>
      </c>
      <c r="P4224" s="159">
        <f t="shared" si="693"/>
        <v>2017</v>
      </c>
      <c r="Q4224" s="159">
        <f t="shared" si="694"/>
        <v>6</v>
      </c>
      <c r="R4224" s="160">
        <f t="shared" si="695"/>
        <v>3.7333333334536292</v>
      </c>
      <c r="S4224" s="158">
        <f t="shared" si="696"/>
        <v>3.7333333334536292</v>
      </c>
      <c r="T4224" s="161">
        <f t="shared" si="697"/>
        <v>1467.2000000472763</v>
      </c>
      <c r="U4224" s="158">
        <f t="shared" si="699"/>
        <v>393</v>
      </c>
      <c r="V4224" s="160">
        <f t="shared" si="698"/>
        <v>393</v>
      </c>
    </row>
    <row r="4225" spans="1:22" x14ac:dyDescent="0.25">
      <c r="A4225" s="98" t="s">
        <v>29</v>
      </c>
      <c r="B4225" s="98" t="s">
        <v>17</v>
      </c>
      <c r="C4225" s="98">
        <v>30</v>
      </c>
      <c r="D4225" s="98">
        <v>1850</v>
      </c>
      <c r="E4225" s="157">
        <v>42894.786805555559</v>
      </c>
      <c r="F4225" s="157">
        <v>42894.977083333331</v>
      </c>
      <c r="G4225" s="98">
        <v>355</v>
      </c>
      <c r="H4225" s="98">
        <v>423</v>
      </c>
      <c r="I4225" s="98">
        <v>393</v>
      </c>
      <c r="J4225" s="98" t="s">
        <v>2263</v>
      </c>
      <c r="K4225" s="98" t="s">
        <v>4274</v>
      </c>
      <c r="L4225" s="105" t="str">
        <f t="shared" si="690"/>
        <v>Mill Creek</v>
      </c>
      <c r="M4225" s="105" t="str">
        <f t="shared" si="691"/>
        <v>Derate</v>
      </c>
      <c r="N4225" s="105" t="str">
        <f t="shared" si="692"/>
        <v>Coal</v>
      </c>
      <c r="O4225" s="105">
        <f>IFERROR(VLOOKUP(A4225,Lookup!$J$5:$P$19,7,FALSE),0)</f>
        <v>3</v>
      </c>
      <c r="P4225" s="159">
        <f t="shared" si="693"/>
        <v>2017</v>
      </c>
      <c r="Q4225" s="159">
        <f t="shared" si="694"/>
        <v>6</v>
      </c>
      <c r="R4225" s="160">
        <f t="shared" si="695"/>
        <v>4.5666666665347293</v>
      </c>
      <c r="S4225" s="158">
        <f t="shared" si="696"/>
        <v>0.73412135537674139</v>
      </c>
      <c r="T4225" s="161">
        <f t="shared" si="697"/>
        <v>288.50969266305935</v>
      </c>
      <c r="U4225" s="158">
        <f t="shared" si="699"/>
        <v>63.177304964539005</v>
      </c>
      <c r="V4225" s="160">
        <f t="shared" si="698"/>
        <v>63</v>
      </c>
    </row>
    <row r="4226" spans="1:22" x14ac:dyDescent="0.25">
      <c r="A4226" s="98" t="s">
        <v>29</v>
      </c>
      <c r="B4226" s="98" t="s">
        <v>17</v>
      </c>
      <c r="C4226" s="98">
        <v>31</v>
      </c>
      <c r="D4226" s="98">
        <v>310</v>
      </c>
      <c r="E4226" s="157">
        <v>42897.273611111108</v>
      </c>
      <c r="F4226" s="157">
        <v>42897.305555555555</v>
      </c>
      <c r="G4226" s="98">
        <v>370</v>
      </c>
      <c r="H4226" s="98">
        <v>423</v>
      </c>
      <c r="I4226" s="98">
        <v>393</v>
      </c>
      <c r="J4226" s="98" t="s">
        <v>1966</v>
      </c>
      <c r="K4226" s="98" t="s">
        <v>4356</v>
      </c>
      <c r="L4226" s="105" t="str">
        <f t="shared" si="690"/>
        <v>Mill Creek</v>
      </c>
      <c r="M4226" s="105" t="str">
        <f t="shared" si="691"/>
        <v>Derate</v>
      </c>
      <c r="N4226" s="105" t="str">
        <f t="shared" si="692"/>
        <v>Coal</v>
      </c>
      <c r="O4226" s="105">
        <f>IFERROR(VLOOKUP(A4226,Lookup!$J$5:$P$19,7,FALSE),0)</f>
        <v>3</v>
      </c>
      <c r="P4226" s="159">
        <f t="shared" si="693"/>
        <v>2017</v>
      </c>
      <c r="Q4226" s="159">
        <f t="shared" si="694"/>
        <v>6</v>
      </c>
      <c r="R4226" s="160">
        <f t="shared" si="695"/>
        <v>0.76666666672099382</v>
      </c>
      <c r="S4226" s="158">
        <f t="shared" si="696"/>
        <v>9.6059889683717897E-2</v>
      </c>
      <c r="T4226" s="161">
        <f t="shared" si="697"/>
        <v>37.751536645701137</v>
      </c>
      <c r="U4226" s="158">
        <f t="shared" si="699"/>
        <v>49.241134751773046</v>
      </c>
      <c r="V4226" s="160">
        <f t="shared" si="698"/>
        <v>49</v>
      </c>
    </row>
    <row r="4227" spans="1:22" x14ac:dyDescent="0.25">
      <c r="A4227" s="98" t="s">
        <v>29</v>
      </c>
      <c r="B4227" s="98" t="s">
        <v>17</v>
      </c>
      <c r="C4227" s="98">
        <v>32</v>
      </c>
      <c r="D4227" s="98">
        <v>1456</v>
      </c>
      <c r="E4227" s="157">
        <v>42902.585416666669</v>
      </c>
      <c r="F4227" s="157">
        <v>42902.916666666664</v>
      </c>
      <c r="G4227" s="98">
        <v>405</v>
      </c>
      <c r="H4227" s="98">
        <v>423</v>
      </c>
      <c r="I4227" s="98">
        <v>393</v>
      </c>
      <c r="J4227" s="98" t="s">
        <v>3994</v>
      </c>
      <c r="K4227" s="98" t="s">
        <v>4357</v>
      </c>
      <c r="L4227" s="105" t="str">
        <f t="shared" si="690"/>
        <v>Mill Creek</v>
      </c>
      <c r="M4227" s="105" t="str">
        <f t="shared" si="691"/>
        <v>Derate</v>
      </c>
      <c r="N4227" s="105" t="str">
        <f t="shared" si="692"/>
        <v>Coal</v>
      </c>
      <c r="O4227" s="105">
        <f>IFERROR(VLOOKUP(A4227,Lookup!$J$5:$P$19,7,FALSE),0)</f>
        <v>3</v>
      </c>
      <c r="P4227" s="159">
        <f t="shared" si="693"/>
        <v>2017</v>
      </c>
      <c r="Q4227" s="159">
        <f t="shared" si="694"/>
        <v>6</v>
      </c>
      <c r="R4227" s="160">
        <f t="shared" si="695"/>
        <v>7.9499999998952262</v>
      </c>
      <c r="S4227" s="158">
        <f t="shared" si="696"/>
        <v>0.33829787233596709</v>
      </c>
      <c r="T4227" s="161">
        <f t="shared" si="697"/>
        <v>132.95106382803507</v>
      </c>
      <c r="U4227" s="158">
        <f t="shared" si="699"/>
        <v>16.723404255319149</v>
      </c>
      <c r="V4227" s="160">
        <f t="shared" si="698"/>
        <v>17</v>
      </c>
    </row>
    <row r="4228" spans="1:22" x14ac:dyDescent="0.25">
      <c r="A4228" s="98" t="s">
        <v>29</v>
      </c>
      <c r="B4228" s="98" t="s">
        <v>105</v>
      </c>
      <c r="C4228" s="98">
        <v>33</v>
      </c>
      <c r="D4228" s="98">
        <v>1456</v>
      </c>
      <c r="E4228" s="157">
        <v>42902.916666666664</v>
      </c>
      <c r="F4228" s="157">
        <v>42902.989583333336</v>
      </c>
      <c r="G4228" s="98">
        <v>200</v>
      </c>
      <c r="H4228" s="98">
        <v>423</v>
      </c>
      <c r="I4228" s="98">
        <v>393</v>
      </c>
      <c r="J4228" s="98" t="s">
        <v>3994</v>
      </c>
      <c r="K4228" s="98" t="s">
        <v>4357</v>
      </c>
      <c r="L4228" s="105" t="str">
        <f t="shared" si="690"/>
        <v>Mill Creek</v>
      </c>
      <c r="M4228" s="105" t="str">
        <f t="shared" si="691"/>
        <v>Derate</v>
      </c>
      <c r="N4228" s="105" t="str">
        <f t="shared" si="692"/>
        <v>Coal</v>
      </c>
      <c r="O4228" s="105">
        <f>IFERROR(VLOOKUP(A4228,Lookup!$J$5:$P$19,7,FALSE),0)</f>
        <v>3</v>
      </c>
      <c r="P4228" s="159">
        <f t="shared" si="693"/>
        <v>2017</v>
      </c>
      <c r="Q4228" s="159">
        <f t="shared" si="694"/>
        <v>6</v>
      </c>
      <c r="R4228" s="160">
        <f t="shared" si="695"/>
        <v>1.7500000001164153</v>
      </c>
      <c r="S4228" s="158">
        <f t="shared" si="696"/>
        <v>0.92257683221267284</v>
      </c>
      <c r="T4228" s="161">
        <f t="shared" si="697"/>
        <v>362.57269505958044</v>
      </c>
      <c r="U4228" s="158">
        <f t="shared" si="699"/>
        <v>207.18439716312056</v>
      </c>
      <c r="V4228" s="160">
        <f t="shared" si="698"/>
        <v>207</v>
      </c>
    </row>
    <row r="4229" spans="1:22" x14ac:dyDescent="0.25">
      <c r="A4229" s="98" t="s">
        <v>29</v>
      </c>
      <c r="B4229" s="98" t="s">
        <v>17</v>
      </c>
      <c r="C4229" s="98">
        <v>34</v>
      </c>
      <c r="D4229" s="98">
        <v>380</v>
      </c>
      <c r="E4229" s="157">
        <v>42907.126388888886</v>
      </c>
      <c r="F4229" s="157">
        <v>42907.147916666669</v>
      </c>
      <c r="G4229" s="98">
        <v>230</v>
      </c>
      <c r="H4229" s="98">
        <v>423</v>
      </c>
      <c r="I4229" s="98">
        <v>393</v>
      </c>
      <c r="J4229" s="98" t="s">
        <v>2017</v>
      </c>
      <c r="K4229" s="98" t="s">
        <v>4358</v>
      </c>
      <c r="L4229" s="105" t="str">
        <f t="shared" si="690"/>
        <v>Mill Creek</v>
      </c>
      <c r="M4229" s="105" t="str">
        <f t="shared" si="691"/>
        <v>Derate</v>
      </c>
      <c r="N4229" s="105" t="str">
        <f t="shared" si="692"/>
        <v>Coal</v>
      </c>
      <c r="O4229" s="105">
        <f>IFERROR(VLOOKUP(A4229,Lookup!$J$5:$P$19,7,FALSE),0)</f>
        <v>3</v>
      </c>
      <c r="P4229" s="159">
        <f t="shared" si="693"/>
        <v>2017</v>
      </c>
      <c r="Q4229" s="159">
        <f t="shared" si="694"/>
        <v>6</v>
      </c>
      <c r="R4229" s="160">
        <f t="shared" si="695"/>
        <v>0.51666666677920148</v>
      </c>
      <c r="S4229" s="158">
        <f t="shared" si="696"/>
        <v>0.23573680068176331</v>
      </c>
      <c r="T4229" s="161">
        <f t="shared" si="697"/>
        <v>92.644562667932973</v>
      </c>
      <c r="U4229" s="158">
        <f t="shared" si="699"/>
        <v>179.31205673758865</v>
      </c>
      <c r="V4229" s="160">
        <f t="shared" si="698"/>
        <v>179</v>
      </c>
    </row>
    <row r="4230" spans="1:22" x14ac:dyDescent="0.25">
      <c r="A4230" s="98" t="s">
        <v>29</v>
      </c>
      <c r="B4230" s="98" t="s">
        <v>17</v>
      </c>
      <c r="C4230" s="98">
        <v>35</v>
      </c>
      <c r="D4230" s="98">
        <v>310</v>
      </c>
      <c r="E4230" s="157">
        <v>42910.546527777777</v>
      </c>
      <c r="F4230" s="157">
        <v>42910.75</v>
      </c>
      <c r="G4230" s="98">
        <v>365</v>
      </c>
      <c r="H4230" s="98">
        <v>423</v>
      </c>
      <c r="I4230" s="98">
        <v>393</v>
      </c>
      <c r="J4230" s="98" t="s">
        <v>1966</v>
      </c>
      <c r="K4230" s="98" t="s">
        <v>4359</v>
      </c>
      <c r="L4230" s="105" t="str">
        <f t="shared" si="690"/>
        <v>Mill Creek</v>
      </c>
      <c r="M4230" s="105" t="str">
        <f t="shared" si="691"/>
        <v>Derate</v>
      </c>
      <c r="N4230" s="105" t="str">
        <f t="shared" si="692"/>
        <v>Coal</v>
      </c>
      <c r="O4230" s="105">
        <f>IFERROR(VLOOKUP(A4230,Lookup!$J$5:$P$19,7,FALSE),0)</f>
        <v>3</v>
      </c>
      <c r="P4230" s="159">
        <f t="shared" si="693"/>
        <v>2017</v>
      </c>
      <c r="Q4230" s="159">
        <f t="shared" si="694"/>
        <v>6</v>
      </c>
      <c r="R4230" s="160">
        <f t="shared" si="695"/>
        <v>4.8833333333604969</v>
      </c>
      <c r="S4230" s="158">
        <f t="shared" si="696"/>
        <v>0.66958234830947716</v>
      </c>
      <c r="T4230" s="161">
        <f t="shared" si="697"/>
        <v>263.14586288562452</v>
      </c>
      <c r="U4230" s="158">
        <f t="shared" si="699"/>
        <v>53.886524822695037</v>
      </c>
      <c r="V4230" s="160">
        <f t="shared" si="698"/>
        <v>54</v>
      </c>
    </row>
    <row r="4231" spans="1:22" x14ac:dyDescent="0.25">
      <c r="A4231" s="98" t="s">
        <v>29</v>
      </c>
      <c r="B4231" s="98" t="s">
        <v>17</v>
      </c>
      <c r="C4231" s="98">
        <v>36</v>
      </c>
      <c r="D4231" s="98">
        <v>250</v>
      </c>
      <c r="E4231" s="157">
        <v>42911.868055555555</v>
      </c>
      <c r="F4231" s="157">
        <v>42912.199305555558</v>
      </c>
      <c r="G4231" s="98">
        <v>340</v>
      </c>
      <c r="H4231" s="98">
        <v>423</v>
      </c>
      <c r="I4231" s="98">
        <v>393</v>
      </c>
      <c r="J4231" s="98" t="s">
        <v>1978</v>
      </c>
      <c r="K4231" s="98" t="s">
        <v>4360</v>
      </c>
      <c r="L4231" s="105" t="str">
        <f t="shared" si="690"/>
        <v>Mill Creek</v>
      </c>
      <c r="M4231" s="105" t="str">
        <f t="shared" si="691"/>
        <v>Derate</v>
      </c>
      <c r="N4231" s="105" t="str">
        <f t="shared" si="692"/>
        <v>Coal</v>
      </c>
      <c r="O4231" s="105">
        <f>IFERROR(VLOOKUP(A4231,Lookup!$J$5:$P$19,7,FALSE),0)</f>
        <v>3</v>
      </c>
      <c r="P4231" s="159">
        <f t="shared" si="693"/>
        <v>2017</v>
      </c>
      <c r="Q4231" s="159">
        <f t="shared" si="694"/>
        <v>6</v>
      </c>
      <c r="R4231" s="160">
        <f t="shared" si="695"/>
        <v>7.9500000000698492</v>
      </c>
      <c r="S4231" s="158">
        <f t="shared" si="696"/>
        <v>1.55992907802789</v>
      </c>
      <c r="T4231" s="161">
        <f t="shared" si="697"/>
        <v>613.05212766496084</v>
      </c>
      <c r="U4231" s="158">
        <f t="shared" si="699"/>
        <v>77.113475177304963</v>
      </c>
      <c r="V4231" s="160">
        <f t="shared" si="698"/>
        <v>77</v>
      </c>
    </row>
    <row r="4232" spans="1:22" x14ac:dyDescent="0.25">
      <c r="A4232" s="98" t="s">
        <v>29</v>
      </c>
      <c r="B4232" s="98" t="s">
        <v>105</v>
      </c>
      <c r="C4232" s="98">
        <v>37</v>
      </c>
      <c r="D4232" s="98">
        <v>310</v>
      </c>
      <c r="E4232" s="157">
        <v>42922.958333333336</v>
      </c>
      <c r="F4232" s="157">
        <v>42923.205555555556</v>
      </c>
      <c r="G4232" s="98">
        <v>340</v>
      </c>
      <c r="H4232" s="98">
        <v>423</v>
      </c>
      <c r="I4232" s="98">
        <v>393</v>
      </c>
      <c r="J4232" s="98" t="s">
        <v>1966</v>
      </c>
      <c r="K4232" s="98" t="s">
        <v>4330</v>
      </c>
      <c r="L4232" s="105" t="str">
        <f t="shared" si="690"/>
        <v>Mill Creek</v>
      </c>
      <c r="M4232" s="105" t="str">
        <f t="shared" si="691"/>
        <v>Derate</v>
      </c>
      <c r="N4232" s="105" t="str">
        <f t="shared" si="692"/>
        <v>Coal</v>
      </c>
      <c r="O4232" s="105">
        <f>IFERROR(VLOOKUP(A4232,Lookup!$J$5:$P$19,7,FALSE),0)</f>
        <v>3</v>
      </c>
      <c r="P4232" s="159">
        <f t="shared" si="693"/>
        <v>2017</v>
      </c>
      <c r="Q4232" s="159">
        <f t="shared" si="694"/>
        <v>7</v>
      </c>
      <c r="R4232" s="160">
        <f t="shared" si="695"/>
        <v>5.9333333332906477</v>
      </c>
      <c r="S4232" s="158">
        <f t="shared" si="696"/>
        <v>1.1642237982579757</v>
      </c>
      <c r="T4232" s="161">
        <f t="shared" si="697"/>
        <v>457.53995271538446</v>
      </c>
      <c r="U4232" s="158">
        <f t="shared" si="699"/>
        <v>77.113475177304963</v>
      </c>
      <c r="V4232" s="160">
        <f t="shared" si="698"/>
        <v>77</v>
      </c>
    </row>
    <row r="4233" spans="1:22" x14ac:dyDescent="0.25">
      <c r="A4233" s="98" t="s">
        <v>29</v>
      </c>
      <c r="B4233" s="98" t="s">
        <v>105</v>
      </c>
      <c r="C4233" s="98">
        <v>38</v>
      </c>
      <c r="D4233" s="98">
        <v>310</v>
      </c>
      <c r="E4233" s="157">
        <v>42927.958333333336</v>
      </c>
      <c r="F4233" s="157">
        <v>42928.166666666664</v>
      </c>
      <c r="G4233" s="98">
        <v>330</v>
      </c>
      <c r="H4233" s="98">
        <v>423</v>
      </c>
      <c r="I4233" s="98">
        <v>393</v>
      </c>
      <c r="J4233" s="98" t="s">
        <v>1966</v>
      </c>
      <c r="K4233" s="98" t="s">
        <v>4332</v>
      </c>
      <c r="L4233" s="105" t="str">
        <f t="shared" si="690"/>
        <v>Mill Creek</v>
      </c>
      <c r="M4233" s="105" t="str">
        <f t="shared" si="691"/>
        <v>Derate</v>
      </c>
      <c r="N4233" s="105" t="str">
        <f t="shared" si="692"/>
        <v>Coal</v>
      </c>
      <c r="O4233" s="105">
        <f>IFERROR(VLOOKUP(A4233,Lookup!$J$5:$P$19,7,FALSE),0)</f>
        <v>3</v>
      </c>
      <c r="P4233" s="159">
        <f t="shared" si="693"/>
        <v>2017</v>
      </c>
      <c r="Q4233" s="159">
        <f t="shared" si="694"/>
        <v>7</v>
      </c>
      <c r="R4233" s="160">
        <f t="shared" si="695"/>
        <v>4.9999999998835847</v>
      </c>
      <c r="S4233" s="158">
        <f t="shared" si="696"/>
        <v>1.099290780116249</v>
      </c>
      <c r="T4233" s="161">
        <f t="shared" si="697"/>
        <v>432.02127658568588</v>
      </c>
      <c r="U4233" s="158">
        <f t="shared" si="699"/>
        <v>86.40425531914893</v>
      </c>
      <c r="V4233" s="160">
        <f t="shared" si="698"/>
        <v>86</v>
      </c>
    </row>
    <row r="4234" spans="1:22" x14ac:dyDescent="0.25">
      <c r="A4234" s="98" t="s">
        <v>29</v>
      </c>
      <c r="B4234" s="98" t="s">
        <v>105</v>
      </c>
      <c r="C4234" s="98">
        <v>39</v>
      </c>
      <c r="D4234" s="98">
        <v>310</v>
      </c>
      <c r="E4234" s="157">
        <v>42928.166666666664</v>
      </c>
      <c r="F4234" s="157">
        <v>42928.203472222223</v>
      </c>
      <c r="G4234" s="98">
        <v>330</v>
      </c>
      <c r="H4234" s="98">
        <v>423</v>
      </c>
      <c r="I4234" s="98">
        <v>393</v>
      </c>
      <c r="J4234" s="98" t="s">
        <v>1966</v>
      </c>
      <c r="K4234" s="98" t="s">
        <v>4826</v>
      </c>
      <c r="L4234" s="105" t="str">
        <f t="shared" si="690"/>
        <v>Mill Creek</v>
      </c>
      <c r="M4234" s="105" t="str">
        <f t="shared" si="691"/>
        <v>Derate</v>
      </c>
      <c r="N4234" s="105" t="str">
        <f t="shared" si="692"/>
        <v>Coal</v>
      </c>
      <c r="O4234" s="105">
        <f>IFERROR(VLOOKUP(A4234,Lookup!$J$5:$P$19,7,FALSE),0)</f>
        <v>3</v>
      </c>
      <c r="P4234" s="159">
        <f t="shared" si="693"/>
        <v>2017</v>
      </c>
      <c r="Q4234" s="159">
        <f t="shared" si="694"/>
        <v>7</v>
      </c>
      <c r="R4234" s="160">
        <f t="shared" si="695"/>
        <v>0.88333333341870457</v>
      </c>
      <c r="S4234" s="158">
        <f t="shared" si="696"/>
        <v>0.19420803784382867</v>
      </c>
      <c r="T4234" s="161">
        <f t="shared" si="697"/>
        <v>76.323758872624666</v>
      </c>
      <c r="U4234" s="158">
        <f t="shared" si="699"/>
        <v>86.40425531914893</v>
      </c>
      <c r="V4234" s="160">
        <f t="shared" si="698"/>
        <v>86</v>
      </c>
    </row>
    <row r="4235" spans="1:22" x14ac:dyDescent="0.25">
      <c r="A4235" s="98" t="s">
        <v>29</v>
      </c>
      <c r="B4235" s="98" t="s">
        <v>17</v>
      </c>
      <c r="C4235" s="98">
        <v>40</v>
      </c>
      <c r="D4235" s="98">
        <v>250</v>
      </c>
      <c r="E4235" s="157">
        <v>42928.237500000003</v>
      </c>
      <c r="F4235" s="157">
        <v>42928.269444444442</v>
      </c>
      <c r="G4235" s="98">
        <v>320</v>
      </c>
      <c r="H4235" s="98">
        <v>423</v>
      </c>
      <c r="I4235" s="98">
        <v>393</v>
      </c>
      <c r="J4235" s="98" t="s">
        <v>1978</v>
      </c>
      <c r="K4235" s="98" t="s">
        <v>4827</v>
      </c>
      <c r="L4235" s="105" t="str">
        <f t="shared" si="690"/>
        <v>Mill Creek</v>
      </c>
      <c r="M4235" s="105" t="str">
        <f t="shared" si="691"/>
        <v>Derate</v>
      </c>
      <c r="N4235" s="105" t="str">
        <f t="shared" si="692"/>
        <v>Coal</v>
      </c>
      <c r="O4235" s="105">
        <f>IFERROR(VLOOKUP(A4235,Lookup!$J$5:$P$19,7,FALSE),0)</f>
        <v>3</v>
      </c>
      <c r="P4235" s="159">
        <f t="shared" si="693"/>
        <v>2017</v>
      </c>
      <c r="Q4235" s="159">
        <f t="shared" si="694"/>
        <v>7</v>
      </c>
      <c r="R4235" s="160">
        <f t="shared" si="695"/>
        <v>0.76666666654637083</v>
      </c>
      <c r="S4235" s="158">
        <f t="shared" si="696"/>
        <v>0.18668242707866714</v>
      </c>
      <c r="T4235" s="161">
        <f t="shared" si="697"/>
        <v>73.366193841916186</v>
      </c>
      <c r="U4235" s="158">
        <f t="shared" si="699"/>
        <v>95.695035460992912</v>
      </c>
      <c r="V4235" s="160">
        <f t="shared" si="698"/>
        <v>96</v>
      </c>
    </row>
    <row r="4236" spans="1:22" x14ac:dyDescent="0.25">
      <c r="A4236" s="98" t="s">
        <v>29</v>
      </c>
      <c r="B4236" s="98" t="s">
        <v>105</v>
      </c>
      <c r="C4236" s="98">
        <v>41</v>
      </c>
      <c r="D4236" s="98">
        <v>310</v>
      </c>
      <c r="E4236" s="157">
        <v>42928.958333333336</v>
      </c>
      <c r="F4236" s="157">
        <v>42929.118750000001</v>
      </c>
      <c r="G4236" s="98">
        <v>320</v>
      </c>
      <c r="H4236" s="98">
        <v>423</v>
      </c>
      <c r="I4236" s="98">
        <v>393</v>
      </c>
      <c r="J4236" s="98" t="s">
        <v>1966</v>
      </c>
      <c r="K4236" s="98" t="s">
        <v>4343</v>
      </c>
      <c r="L4236" s="105" t="str">
        <f t="shared" si="690"/>
        <v>Mill Creek</v>
      </c>
      <c r="M4236" s="105" t="str">
        <f t="shared" si="691"/>
        <v>Derate</v>
      </c>
      <c r="N4236" s="105" t="str">
        <f t="shared" si="692"/>
        <v>Coal</v>
      </c>
      <c r="O4236" s="105">
        <f>IFERROR(VLOOKUP(A4236,Lookup!$J$5:$P$19,7,FALSE),0)</f>
        <v>3</v>
      </c>
      <c r="P4236" s="159">
        <f t="shared" si="693"/>
        <v>2017</v>
      </c>
      <c r="Q4236" s="159">
        <f t="shared" si="694"/>
        <v>7</v>
      </c>
      <c r="R4236" s="160">
        <f t="shared" si="695"/>
        <v>3.8499999999767169</v>
      </c>
      <c r="S4236" s="158">
        <f t="shared" si="696"/>
        <v>0.93747044916690747</v>
      </c>
      <c r="T4236" s="161">
        <f t="shared" si="697"/>
        <v>368.42588652259462</v>
      </c>
      <c r="U4236" s="158">
        <f t="shared" si="699"/>
        <v>95.695035460992912</v>
      </c>
      <c r="V4236" s="160">
        <f t="shared" si="698"/>
        <v>96</v>
      </c>
    </row>
    <row r="4237" spans="1:22" x14ac:dyDescent="0.25">
      <c r="A4237" s="98" t="s">
        <v>29</v>
      </c>
      <c r="B4237" s="98" t="s">
        <v>17</v>
      </c>
      <c r="C4237" s="98">
        <v>42</v>
      </c>
      <c r="D4237" s="98">
        <v>340</v>
      </c>
      <c r="E4237" s="157">
        <v>42929.118750000001</v>
      </c>
      <c r="F4237" s="157">
        <v>42929.694444444445</v>
      </c>
      <c r="G4237" s="98">
        <v>320</v>
      </c>
      <c r="H4237" s="98">
        <v>423</v>
      </c>
      <c r="I4237" s="98">
        <v>393</v>
      </c>
      <c r="J4237" s="98" t="s">
        <v>1970</v>
      </c>
      <c r="K4237" s="98" t="s">
        <v>4828</v>
      </c>
      <c r="L4237" s="105" t="str">
        <f t="shared" si="690"/>
        <v>Mill Creek</v>
      </c>
      <c r="M4237" s="105" t="str">
        <f t="shared" si="691"/>
        <v>Derate</v>
      </c>
      <c r="N4237" s="105" t="str">
        <f t="shared" si="692"/>
        <v>Coal</v>
      </c>
      <c r="O4237" s="105">
        <f>IFERROR(VLOOKUP(A4237,Lookup!$J$5:$P$19,7,FALSE),0)</f>
        <v>3</v>
      </c>
      <c r="P4237" s="159">
        <f t="shared" si="693"/>
        <v>2017</v>
      </c>
      <c r="Q4237" s="159">
        <f t="shared" si="694"/>
        <v>7</v>
      </c>
      <c r="R4237" s="160">
        <f t="shared" si="695"/>
        <v>13.816666666651145</v>
      </c>
      <c r="S4237" s="158">
        <f t="shared" si="696"/>
        <v>3.3643420015722647</v>
      </c>
      <c r="T4237" s="161">
        <f t="shared" si="697"/>
        <v>1322.1864066179</v>
      </c>
      <c r="U4237" s="158">
        <f t="shared" si="699"/>
        <v>95.695035460992912</v>
      </c>
      <c r="V4237" s="160">
        <f t="shared" si="698"/>
        <v>96</v>
      </c>
    </row>
    <row r="4238" spans="1:22" x14ac:dyDescent="0.25">
      <c r="A4238" s="98" t="s">
        <v>29</v>
      </c>
      <c r="B4238" s="98" t="s">
        <v>105</v>
      </c>
      <c r="C4238" s="98">
        <v>43</v>
      </c>
      <c r="D4238" s="98">
        <v>310</v>
      </c>
      <c r="E4238" s="157">
        <v>42932.958333333336</v>
      </c>
      <c r="F4238" s="157">
        <v>42933.166666666664</v>
      </c>
      <c r="G4238" s="98">
        <v>350</v>
      </c>
      <c r="H4238" s="98">
        <v>423</v>
      </c>
      <c r="I4238" s="98">
        <v>393</v>
      </c>
      <c r="J4238" s="98" t="s">
        <v>1966</v>
      </c>
      <c r="K4238" s="98" t="s">
        <v>4344</v>
      </c>
      <c r="L4238" s="105" t="str">
        <f t="shared" si="690"/>
        <v>Mill Creek</v>
      </c>
      <c r="M4238" s="105" t="str">
        <f t="shared" si="691"/>
        <v>Derate</v>
      </c>
      <c r="N4238" s="105" t="str">
        <f t="shared" si="692"/>
        <v>Coal</v>
      </c>
      <c r="O4238" s="105">
        <f>IFERROR(VLOOKUP(A4238,Lookup!$J$5:$P$19,7,FALSE),0)</f>
        <v>3</v>
      </c>
      <c r="P4238" s="159">
        <f t="shared" si="693"/>
        <v>2017</v>
      </c>
      <c r="Q4238" s="159">
        <f t="shared" si="694"/>
        <v>7</v>
      </c>
      <c r="R4238" s="160">
        <f t="shared" si="695"/>
        <v>4.9999999998835847</v>
      </c>
      <c r="S4238" s="158">
        <f t="shared" si="696"/>
        <v>0.86288416073641061</v>
      </c>
      <c r="T4238" s="161">
        <f t="shared" si="697"/>
        <v>339.11347516940936</v>
      </c>
      <c r="U4238" s="158">
        <f t="shared" si="699"/>
        <v>67.822695035460995</v>
      </c>
      <c r="V4238" s="160">
        <f t="shared" si="698"/>
        <v>68</v>
      </c>
    </row>
    <row r="4239" spans="1:22" x14ac:dyDescent="0.25">
      <c r="A4239" s="98" t="s">
        <v>29</v>
      </c>
      <c r="B4239" s="98" t="s">
        <v>105</v>
      </c>
      <c r="C4239" s="98">
        <v>45</v>
      </c>
      <c r="D4239" s="98">
        <v>310</v>
      </c>
      <c r="E4239" s="157">
        <v>42933.916666666664</v>
      </c>
      <c r="F4239" s="157">
        <v>42934.17291666667</v>
      </c>
      <c r="G4239" s="98">
        <v>350</v>
      </c>
      <c r="H4239" s="98">
        <v>423</v>
      </c>
      <c r="I4239" s="98">
        <v>393</v>
      </c>
      <c r="J4239" s="98" t="s">
        <v>1966</v>
      </c>
      <c r="K4239" s="98" t="s">
        <v>4343</v>
      </c>
      <c r="L4239" s="105" t="str">
        <f t="shared" si="690"/>
        <v>Mill Creek</v>
      </c>
      <c r="M4239" s="105" t="str">
        <f t="shared" si="691"/>
        <v>Derate</v>
      </c>
      <c r="N4239" s="105" t="str">
        <f t="shared" si="692"/>
        <v>Coal</v>
      </c>
      <c r="O4239" s="105">
        <f>IFERROR(VLOOKUP(A4239,Lookup!$J$5:$P$19,7,FALSE),0)</f>
        <v>3</v>
      </c>
      <c r="P4239" s="159">
        <f t="shared" si="693"/>
        <v>2017</v>
      </c>
      <c r="Q4239" s="159">
        <f t="shared" si="694"/>
        <v>7</v>
      </c>
      <c r="R4239" s="160">
        <f t="shared" si="695"/>
        <v>6.1500000001396984</v>
      </c>
      <c r="S4239" s="158">
        <f t="shared" si="696"/>
        <v>1.0613475177546052</v>
      </c>
      <c r="T4239" s="161">
        <f t="shared" si="697"/>
        <v>417.10957447755987</v>
      </c>
      <c r="U4239" s="158">
        <f t="shared" si="699"/>
        <v>67.822695035460995</v>
      </c>
      <c r="V4239" s="160">
        <f t="shared" si="698"/>
        <v>68</v>
      </c>
    </row>
    <row r="4240" spans="1:22" x14ac:dyDescent="0.25">
      <c r="A4240" s="98" t="s">
        <v>29</v>
      </c>
      <c r="B4240" s="98" t="s">
        <v>17</v>
      </c>
      <c r="C4240" s="98">
        <v>46</v>
      </c>
      <c r="D4240" s="98">
        <v>250</v>
      </c>
      <c r="E4240" s="157">
        <v>42943.675000000003</v>
      </c>
      <c r="F4240" s="157">
        <v>42943.708333333336</v>
      </c>
      <c r="G4240" s="98">
        <v>380</v>
      </c>
      <c r="H4240" s="98">
        <v>423</v>
      </c>
      <c r="I4240" s="98">
        <v>393</v>
      </c>
      <c r="J4240" s="98" t="s">
        <v>1978</v>
      </c>
      <c r="K4240" s="98" t="s">
        <v>4829</v>
      </c>
      <c r="L4240" s="105" t="str">
        <f t="shared" si="690"/>
        <v>Mill Creek</v>
      </c>
      <c r="M4240" s="105" t="str">
        <f t="shared" si="691"/>
        <v>Derate</v>
      </c>
      <c r="N4240" s="105" t="str">
        <f t="shared" si="692"/>
        <v>Coal</v>
      </c>
      <c r="O4240" s="105">
        <f>IFERROR(VLOOKUP(A4240,Lookup!$J$5:$P$19,7,FALSE),0)</f>
        <v>3</v>
      </c>
      <c r="P4240" s="159">
        <f t="shared" si="693"/>
        <v>2017</v>
      </c>
      <c r="Q4240" s="159">
        <f t="shared" si="694"/>
        <v>7</v>
      </c>
      <c r="R4240" s="160">
        <f t="shared" si="695"/>
        <v>0.79999999998835847</v>
      </c>
      <c r="S4240" s="158">
        <f t="shared" si="696"/>
        <v>8.1323877067374498E-2</v>
      </c>
      <c r="T4240" s="161">
        <f t="shared" si="697"/>
        <v>31.960283687478178</v>
      </c>
      <c r="U4240" s="158">
        <f t="shared" si="699"/>
        <v>39.950354609929079</v>
      </c>
      <c r="V4240" s="160">
        <f t="shared" si="698"/>
        <v>40</v>
      </c>
    </row>
    <row r="4241" spans="1:22" x14ac:dyDescent="0.25">
      <c r="A4241" s="98" t="s">
        <v>29</v>
      </c>
      <c r="B4241" s="98" t="s">
        <v>105</v>
      </c>
      <c r="C4241" s="98">
        <v>47</v>
      </c>
      <c r="D4241" s="98">
        <v>590</v>
      </c>
      <c r="E4241" s="157">
        <v>42951.895833333336</v>
      </c>
      <c r="F4241" s="157">
        <v>42952.416666666664</v>
      </c>
      <c r="G4241" s="98">
        <v>116</v>
      </c>
      <c r="H4241" s="98">
        <v>423</v>
      </c>
      <c r="I4241" s="98">
        <v>393</v>
      </c>
      <c r="J4241" s="98" t="s">
        <v>2116</v>
      </c>
      <c r="K4241" s="98" t="s">
        <v>4830</v>
      </c>
      <c r="L4241" s="105" t="str">
        <f t="shared" si="690"/>
        <v>Mill Creek</v>
      </c>
      <c r="M4241" s="105" t="str">
        <f t="shared" si="691"/>
        <v>Derate</v>
      </c>
      <c r="N4241" s="105" t="str">
        <f t="shared" si="692"/>
        <v>Coal</v>
      </c>
      <c r="O4241" s="105">
        <f>IFERROR(VLOOKUP(A4241,Lookup!$J$5:$P$19,7,FALSE),0)</f>
        <v>3</v>
      </c>
      <c r="P4241" s="159">
        <f t="shared" si="693"/>
        <v>2017</v>
      </c>
      <c r="Q4241" s="159">
        <f t="shared" si="694"/>
        <v>8</v>
      </c>
      <c r="R4241" s="160">
        <f t="shared" si="695"/>
        <v>12.499999999883585</v>
      </c>
      <c r="S4241" s="158">
        <f t="shared" si="696"/>
        <v>9.0721040188280391</v>
      </c>
      <c r="T4241" s="161">
        <f t="shared" si="697"/>
        <v>3565.3368793994196</v>
      </c>
      <c r="U4241" s="158">
        <f t="shared" si="699"/>
        <v>285.22695035460993</v>
      </c>
      <c r="V4241" s="160">
        <f t="shared" si="698"/>
        <v>285</v>
      </c>
    </row>
    <row r="4242" spans="1:22" x14ac:dyDescent="0.25">
      <c r="A4242" s="98" t="s">
        <v>29</v>
      </c>
      <c r="B4242" s="98" t="s">
        <v>105</v>
      </c>
      <c r="C4242" s="98">
        <v>48</v>
      </c>
      <c r="D4242" s="98">
        <v>310</v>
      </c>
      <c r="E4242" s="157">
        <v>42954.984027777777</v>
      </c>
      <c r="F4242" s="157">
        <v>42955.183333333334</v>
      </c>
      <c r="G4242" s="98">
        <v>320</v>
      </c>
      <c r="H4242" s="98">
        <v>423</v>
      </c>
      <c r="I4242" s="98">
        <v>393</v>
      </c>
      <c r="J4242" s="98" t="s">
        <v>1966</v>
      </c>
      <c r="K4242" s="98" t="s">
        <v>4330</v>
      </c>
      <c r="L4242" s="105" t="str">
        <f t="shared" si="690"/>
        <v>Mill Creek</v>
      </c>
      <c r="M4242" s="105" t="str">
        <f t="shared" si="691"/>
        <v>Derate</v>
      </c>
      <c r="N4242" s="105" t="str">
        <f t="shared" si="692"/>
        <v>Coal</v>
      </c>
      <c r="O4242" s="105">
        <f>IFERROR(VLOOKUP(A4242,Lookup!$J$5:$P$19,7,FALSE),0)</f>
        <v>3</v>
      </c>
      <c r="P4242" s="159">
        <f t="shared" si="693"/>
        <v>2017</v>
      </c>
      <c r="Q4242" s="159">
        <f t="shared" si="694"/>
        <v>8</v>
      </c>
      <c r="R4242" s="160">
        <f t="shared" si="695"/>
        <v>4.78333333338378</v>
      </c>
      <c r="S4242" s="158">
        <f t="shared" si="696"/>
        <v>1.1647360126206368</v>
      </c>
      <c r="T4242" s="161">
        <f t="shared" si="697"/>
        <v>457.74125295991024</v>
      </c>
      <c r="U4242" s="158">
        <f t="shared" si="699"/>
        <v>95.695035460992912</v>
      </c>
      <c r="V4242" s="160">
        <f t="shared" si="698"/>
        <v>96</v>
      </c>
    </row>
    <row r="4243" spans="1:22" x14ac:dyDescent="0.25">
      <c r="A4243" s="98" t="s">
        <v>29</v>
      </c>
      <c r="B4243" s="98" t="s">
        <v>105</v>
      </c>
      <c r="C4243" s="98">
        <v>49</v>
      </c>
      <c r="D4243" s="98">
        <v>310</v>
      </c>
      <c r="E4243" s="157">
        <v>42955.906944444447</v>
      </c>
      <c r="F4243" s="157">
        <v>42956.036805555559</v>
      </c>
      <c r="G4243" s="98">
        <v>320</v>
      </c>
      <c r="H4243" s="98">
        <v>423</v>
      </c>
      <c r="I4243" s="98">
        <v>393</v>
      </c>
      <c r="J4243" s="98" t="s">
        <v>1966</v>
      </c>
      <c r="K4243" s="98" t="s">
        <v>4344</v>
      </c>
      <c r="L4243" s="105" t="str">
        <f t="shared" si="690"/>
        <v>Mill Creek</v>
      </c>
      <c r="M4243" s="105" t="str">
        <f t="shared" si="691"/>
        <v>Derate</v>
      </c>
      <c r="N4243" s="105" t="str">
        <f t="shared" si="692"/>
        <v>Coal</v>
      </c>
      <c r="O4243" s="105">
        <f>IFERROR(VLOOKUP(A4243,Lookup!$J$5:$P$19,7,FALSE),0)</f>
        <v>3</v>
      </c>
      <c r="P4243" s="159">
        <f t="shared" si="693"/>
        <v>2017</v>
      </c>
      <c r="Q4243" s="159">
        <f t="shared" si="694"/>
        <v>8</v>
      </c>
      <c r="R4243" s="160">
        <f t="shared" si="695"/>
        <v>3.1166666666977108</v>
      </c>
      <c r="S4243" s="158">
        <f t="shared" si="696"/>
        <v>0.75890464933774049</v>
      </c>
      <c r="T4243" s="161">
        <f t="shared" si="697"/>
        <v>298.24952718973202</v>
      </c>
      <c r="U4243" s="158">
        <f t="shared" si="699"/>
        <v>95.695035460992912</v>
      </c>
      <c r="V4243" s="160">
        <f t="shared" si="698"/>
        <v>96</v>
      </c>
    </row>
    <row r="4244" spans="1:22" x14ac:dyDescent="0.25">
      <c r="A4244" s="98" t="s">
        <v>29</v>
      </c>
      <c r="B4244" s="98" t="s">
        <v>17</v>
      </c>
      <c r="C4244" s="98">
        <v>50</v>
      </c>
      <c r="D4244" s="98">
        <v>310</v>
      </c>
      <c r="E4244" s="157">
        <v>42956.036805555559</v>
      </c>
      <c r="F4244" s="157">
        <v>42956.219444444447</v>
      </c>
      <c r="G4244" s="98">
        <v>225</v>
      </c>
      <c r="H4244" s="98">
        <v>423</v>
      </c>
      <c r="I4244" s="98">
        <v>393</v>
      </c>
      <c r="J4244" s="98" t="s">
        <v>1966</v>
      </c>
      <c r="K4244" s="98" t="s">
        <v>4831</v>
      </c>
      <c r="L4244" s="105" t="str">
        <f t="shared" si="690"/>
        <v>Mill Creek</v>
      </c>
      <c r="M4244" s="105" t="str">
        <f t="shared" si="691"/>
        <v>Derate</v>
      </c>
      <c r="N4244" s="105" t="str">
        <f t="shared" si="692"/>
        <v>Coal</v>
      </c>
      <c r="O4244" s="105">
        <f>IFERROR(VLOOKUP(A4244,Lookup!$J$5:$P$19,7,FALSE),0)</f>
        <v>3</v>
      </c>
      <c r="P4244" s="159">
        <f t="shared" si="693"/>
        <v>2017</v>
      </c>
      <c r="Q4244" s="159">
        <f t="shared" si="694"/>
        <v>8</v>
      </c>
      <c r="R4244" s="160">
        <f t="shared" si="695"/>
        <v>4.3833333333022892</v>
      </c>
      <c r="S4244" s="158">
        <f t="shared" si="696"/>
        <v>2.0517730496308588</v>
      </c>
      <c r="T4244" s="161">
        <f t="shared" si="697"/>
        <v>806.34680850492748</v>
      </c>
      <c r="U4244" s="158">
        <f t="shared" si="699"/>
        <v>183.95744680851064</v>
      </c>
      <c r="V4244" s="160">
        <f t="shared" si="698"/>
        <v>184</v>
      </c>
    </row>
    <row r="4245" spans="1:22" x14ac:dyDescent="0.25">
      <c r="A4245" s="98" t="s">
        <v>29</v>
      </c>
      <c r="B4245" s="98" t="s">
        <v>17</v>
      </c>
      <c r="C4245" s="98">
        <v>51</v>
      </c>
      <c r="D4245" s="98">
        <v>310</v>
      </c>
      <c r="E4245" s="157">
        <v>42956.219444444447</v>
      </c>
      <c r="F4245" s="157">
        <v>42956.267361111109</v>
      </c>
      <c r="G4245" s="98">
        <v>330</v>
      </c>
      <c r="H4245" s="98">
        <v>423</v>
      </c>
      <c r="I4245" s="98">
        <v>393</v>
      </c>
      <c r="J4245" s="98" t="s">
        <v>1966</v>
      </c>
      <c r="K4245" s="98" t="s">
        <v>4832</v>
      </c>
      <c r="L4245" s="105" t="str">
        <f t="shared" si="690"/>
        <v>Mill Creek</v>
      </c>
      <c r="M4245" s="105" t="str">
        <f t="shared" si="691"/>
        <v>Derate</v>
      </c>
      <c r="N4245" s="105" t="str">
        <f t="shared" si="692"/>
        <v>Coal</v>
      </c>
      <c r="O4245" s="105">
        <f>IFERROR(VLOOKUP(A4245,Lookup!$J$5:$P$19,7,FALSE),0)</f>
        <v>3</v>
      </c>
      <c r="P4245" s="159">
        <f t="shared" si="693"/>
        <v>2017</v>
      </c>
      <c r="Q4245" s="159">
        <f t="shared" si="694"/>
        <v>8</v>
      </c>
      <c r="R4245" s="160">
        <f t="shared" si="695"/>
        <v>1.1499999999068677</v>
      </c>
      <c r="S4245" s="158">
        <f t="shared" si="696"/>
        <v>0.25283687941214822</v>
      </c>
      <c r="T4245" s="161">
        <f t="shared" si="697"/>
        <v>99.364893608974256</v>
      </c>
      <c r="U4245" s="158">
        <f t="shared" si="699"/>
        <v>86.40425531914893</v>
      </c>
      <c r="V4245" s="160">
        <f t="shared" si="698"/>
        <v>86</v>
      </c>
    </row>
    <row r="4246" spans="1:22" x14ac:dyDescent="0.25">
      <c r="A4246" s="98" t="s">
        <v>29</v>
      </c>
      <c r="B4246" s="98" t="s">
        <v>105</v>
      </c>
      <c r="C4246" s="98">
        <v>52</v>
      </c>
      <c r="D4246" s="98">
        <v>310</v>
      </c>
      <c r="E4246" s="157">
        <v>42956.916666666664</v>
      </c>
      <c r="F4246" s="157">
        <v>42957.074305555558</v>
      </c>
      <c r="G4246" s="98">
        <v>330</v>
      </c>
      <c r="H4246" s="98">
        <v>423</v>
      </c>
      <c r="I4246" s="98">
        <v>393</v>
      </c>
      <c r="J4246" s="98" t="s">
        <v>1966</v>
      </c>
      <c r="K4246" s="98" t="s">
        <v>4343</v>
      </c>
      <c r="L4246" s="105" t="str">
        <f t="shared" si="690"/>
        <v>Mill Creek</v>
      </c>
      <c r="M4246" s="105" t="str">
        <f t="shared" si="691"/>
        <v>Derate</v>
      </c>
      <c r="N4246" s="105" t="str">
        <f t="shared" si="692"/>
        <v>Coal</v>
      </c>
      <c r="O4246" s="105">
        <f>IFERROR(VLOOKUP(A4246,Lookup!$J$5:$P$19,7,FALSE),0)</f>
        <v>3</v>
      </c>
      <c r="P4246" s="159">
        <f t="shared" si="693"/>
        <v>2017</v>
      </c>
      <c r="Q4246" s="159">
        <f t="shared" si="694"/>
        <v>8</v>
      </c>
      <c r="R4246" s="160">
        <f t="shared" si="695"/>
        <v>3.7833333334419876</v>
      </c>
      <c r="S4246" s="158">
        <f t="shared" si="696"/>
        <v>0.83179669033121717</v>
      </c>
      <c r="T4246" s="161">
        <f t="shared" si="697"/>
        <v>326.89609930016837</v>
      </c>
      <c r="U4246" s="158">
        <f t="shared" si="699"/>
        <v>86.40425531914893</v>
      </c>
      <c r="V4246" s="160">
        <f t="shared" si="698"/>
        <v>86</v>
      </c>
    </row>
    <row r="4247" spans="1:22" x14ac:dyDescent="0.25">
      <c r="A4247" s="98" t="s">
        <v>29</v>
      </c>
      <c r="B4247" s="98" t="s">
        <v>105</v>
      </c>
      <c r="C4247" s="98">
        <v>53</v>
      </c>
      <c r="D4247" s="98">
        <v>310</v>
      </c>
      <c r="E4247" s="157">
        <v>42960.958333333336</v>
      </c>
      <c r="F4247" s="157">
        <v>42961.055555555555</v>
      </c>
      <c r="G4247" s="98">
        <v>320</v>
      </c>
      <c r="H4247" s="98">
        <v>423</v>
      </c>
      <c r="I4247" s="98">
        <v>393</v>
      </c>
      <c r="J4247" s="98" t="s">
        <v>1966</v>
      </c>
      <c r="K4247" s="98" t="s">
        <v>4343</v>
      </c>
      <c r="L4247" s="105" t="str">
        <f t="shared" si="690"/>
        <v>Mill Creek</v>
      </c>
      <c r="M4247" s="105" t="str">
        <f t="shared" si="691"/>
        <v>Derate</v>
      </c>
      <c r="N4247" s="105" t="str">
        <f t="shared" si="692"/>
        <v>Coal</v>
      </c>
      <c r="O4247" s="105">
        <f>IFERROR(VLOOKUP(A4247,Lookup!$J$5:$P$19,7,FALSE),0)</f>
        <v>3</v>
      </c>
      <c r="P4247" s="159">
        <f t="shared" si="693"/>
        <v>2017</v>
      </c>
      <c r="Q4247" s="159">
        <f t="shared" si="694"/>
        <v>8</v>
      </c>
      <c r="R4247" s="160">
        <f t="shared" si="695"/>
        <v>2.3333333332557231</v>
      </c>
      <c r="S4247" s="158">
        <f t="shared" si="696"/>
        <v>0.56816390857054255</v>
      </c>
      <c r="T4247" s="161">
        <f t="shared" si="697"/>
        <v>223.28841606822323</v>
      </c>
      <c r="U4247" s="158">
        <f t="shared" si="699"/>
        <v>95.695035460992912</v>
      </c>
      <c r="V4247" s="160">
        <f t="shared" si="698"/>
        <v>96</v>
      </c>
    </row>
    <row r="4248" spans="1:22" x14ac:dyDescent="0.25">
      <c r="A4248" s="98" t="s">
        <v>29</v>
      </c>
      <c r="B4248" s="98" t="s">
        <v>105</v>
      </c>
      <c r="C4248" s="98">
        <v>54</v>
      </c>
      <c r="D4248" s="98">
        <v>310</v>
      </c>
      <c r="E4248" s="157">
        <v>42962.916666666664</v>
      </c>
      <c r="F4248" s="157">
        <v>42963.1875</v>
      </c>
      <c r="G4248" s="98">
        <v>330</v>
      </c>
      <c r="H4248" s="98">
        <v>423</v>
      </c>
      <c r="I4248" s="98">
        <v>393</v>
      </c>
      <c r="J4248" s="98" t="s">
        <v>1966</v>
      </c>
      <c r="K4248" s="98" t="s">
        <v>4343</v>
      </c>
      <c r="L4248" s="105" t="str">
        <f t="shared" si="690"/>
        <v>Mill Creek</v>
      </c>
      <c r="M4248" s="105" t="str">
        <f t="shared" si="691"/>
        <v>Derate</v>
      </c>
      <c r="N4248" s="105" t="str">
        <f t="shared" si="692"/>
        <v>Coal</v>
      </c>
      <c r="O4248" s="105">
        <f>IFERROR(VLOOKUP(A4248,Lookup!$J$5:$P$19,7,FALSE),0)</f>
        <v>3</v>
      </c>
      <c r="P4248" s="159">
        <f t="shared" si="693"/>
        <v>2017</v>
      </c>
      <c r="Q4248" s="159">
        <f t="shared" si="694"/>
        <v>8</v>
      </c>
      <c r="R4248" s="160">
        <f t="shared" si="695"/>
        <v>6.5000000000582077</v>
      </c>
      <c r="S4248" s="158">
        <f t="shared" si="696"/>
        <v>1.4290780141971946</v>
      </c>
      <c r="T4248" s="161">
        <f t="shared" si="697"/>
        <v>561.6276595794975</v>
      </c>
      <c r="U4248" s="158">
        <f t="shared" si="699"/>
        <v>86.40425531914893</v>
      </c>
      <c r="V4248" s="160">
        <f t="shared" si="698"/>
        <v>86</v>
      </c>
    </row>
    <row r="4249" spans="1:22" x14ac:dyDescent="0.25">
      <c r="A4249" s="98" t="s">
        <v>29</v>
      </c>
      <c r="B4249" s="98" t="s">
        <v>105</v>
      </c>
      <c r="C4249" s="98">
        <v>56</v>
      </c>
      <c r="D4249" s="98">
        <v>260</v>
      </c>
      <c r="E4249" s="157">
        <v>42964.916666666664</v>
      </c>
      <c r="F4249" s="157">
        <v>42965.054166666669</v>
      </c>
      <c r="G4249" s="98">
        <v>330</v>
      </c>
      <c r="H4249" s="98">
        <v>423</v>
      </c>
      <c r="I4249" s="98">
        <v>393</v>
      </c>
      <c r="J4249" s="98" t="s">
        <v>1973</v>
      </c>
      <c r="K4249" s="98" t="s">
        <v>4833</v>
      </c>
      <c r="L4249" s="105" t="str">
        <f t="shared" si="690"/>
        <v>Mill Creek</v>
      </c>
      <c r="M4249" s="105" t="str">
        <f t="shared" si="691"/>
        <v>Derate</v>
      </c>
      <c r="N4249" s="105" t="str">
        <f t="shared" si="692"/>
        <v>Coal</v>
      </c>
      <c r="O4249" s="105">
        <f>IFERROR(VLOOKUP(A4249,Lookup!$J$5:$P$19,7,FALSE),0)</f>
        <v>3</v>
      </c>
      <c r="P4249" s="159">
        <f t="shared" si="693"/>
        <v>2017</v>
      </c>
      <c r="Q4249" s="159">
        <f t="shared" si="694"/>
        <v>8</v>
      </c>
      <c r="R4249" s="160">
        <f t="shared" si="695"/>
        <v>3.3000000001047738</v>
      </c>
      <c r="S4249" s="158">
        <f t="shared" si="696"/>
        <v>0.72553191491665237</v>
      </c>
      <c r="T4249" s="161">
        <f t="shared" si="697"/>
        <v>285.13404256224436</v>
      </c>
      <c r="U4249" s="158">
        <f t="shared" si="699"/>
        <v>86.40425531914893</v>
      </c>
      <c r="V4249" s="160">
        <f t="shared" si="698"/>
        <v>86</v>
      </c>
    </row>
    <row r="4250" spans="1:22" x14ac:dyDescent="0.25">
      <c r="A4250" s="98" t="s">
        <v>29</v>
      </c>
      <c r="B4250" s="98" t="s">
        <v>17</v>
      </c>
      <c r="C4250" s="98">
        <v>57</v>
      </c>
      <c r="D4250" s="98">
        <v>3210</v>
      </c>
      <c r="E4250" s="157">
        <v>42967.571527777778</v>
      </c>
      <c r="F4250" s="157">
        <v>42967.746527777781</v>
      </c>
      <c r="G4250" s="98">
        <v>400</v>
      </c>
      <c r="H4250" s="98">
        <v>423</v>
      </c>
      <c r="I4250" s="98">
        <v>393</v>
      </c>
      <c r="J4250" s="98" t="s">
        <v>2048</v>
      </c>
      <c r="K4250" s="98" t="s">
        <v>40</v>
      </c>
      <c r="L4250" s="105" t="str">
        <f t="shared" si="690"/>
        <v>Mill Creek</v>
      </c>
      <c r="M4250" s="105" t="str">
        <f t="shared" si="691"/>
        <v>Derate</v>
      </c>
      <c r="N4250" s="105" t="str">
        <f t="shared" si="692"/>
        <v>Coal</v>
      </c>
      <c r="O4250" s="105">
        <f>IFERROR(VLOOKUP(A4250,Lookup!$J$5:$P$19,7,FALSE),0)</f>
        <v>3</v>
      </c>
      <c r="P4250" s="159">
        <f t="shared" si="693"/>
        <v>2017</v>
      </c>
      <c r="Q4250" s="159">
        <f t="shared" si="694"/>
        <v>8</v>
      </c>
      <c r="R4250" s="160">
        <f t="shared" si="695"/>
        <v>4.2000000000698492</v>
      </c>
      <c r="S4250" s="158">
        <f t="shared" si="696"/>
        <v>0.22836879433003909</v>
      </c>
      <c r="T4250" s="161">
        <f t="shared" si="697"/>
        <v>89.748936171705367</v>
      </c>
      <c r="U4250" s="158">
        <f t="shared" si="699"/>
        <v>21.368794326241133</v>
      </c>
      <c r="V4250" s="160">
        <f t="shared" si="698"/>
        <v>21</v>
      </c>
    </row>
    <row r="4251" spans="1:22" x14ac:dyDescent="0.25">
      <c r="A4251" s="98" t="s">
        <v>29</v>
      </c>
      <c r="B4251" s="98" t="s">
        <v>17</v>
      </c>
      <c r="C4251" s="98">
        <v>58</v>
      </c>
      <c r="D4251" s="98">
        <v>3210</v>
      </c>
      <c r="E4251" s="157">
        <v>42968.527777777781</v>
      </c>
      <c r="F4251" s="157">
        <v>42968.625</v>
      </c>
      <c r="G4251" s="98">
        <v>406</v>
      </c>
      <c r="H4251" s="98">
        <v>423</v>
      </c>
      <c r="I4251" s="98">
        <v>393</v>
      </c>
      <c r="J4251" s="98" t="s">
        <v>2048</v>
      </c>
      <c r="K4251" s="98" t="s">
        <v>4834</v>
      </c>
      <c r="L4251" s="105" t="str">
        <f t="shared" si="690"/>
        <v>Mill Creek</v>
      </c>
      <c r="M4251" s="105" t="str">
        <f t="shared" si="691"/>
        <v>Derate</v>
      </c>
      <c r="N4251" s="105" t="str">
        <f t="shared" si="692"/>
        <v>Coal</v>
      </c>
      <c r="O4251" s="105">
        <f>IFERROR(VLOOKUP(A4251,Lookup!$J$5:$P$19,7,FALSE),0)</f>
        <v>3</v>
      </c>
      <c r="P4251" s="159">
        <f t="shared" si="693"/>
        <v>2017</v>
      </c>
      <c r="Q4251" s="159">
        <f t="shared" si="694"/>
        <v>8</v>
      </c>
      <c r="R4251" s="160">
        <f t="shared" si="695"/>
        <v>2.3333333332557231</v>
      </c>
      <c r="S4251" s="158">
        <f t="shared" si="696"/>
        <v>9.3774625686400215E-2</v>
      </c>
      <c r="T4251" s="161">
        <f t="shared" si="697"/>
        <v>36.853427894755285</v>
      </c>
      <c r="U4251" s="158">
        <f t="shared" si="699"/>
        <v>15.794326241134751</v>
      </c>
      <c r="V4251" s="160">
        <f t="shared" si="698"/>
        <v>16</v>
      </c>
    </row>
    <row r="4252" spans="1:22" x14ac:dyDescent="0.25">
      <c r="A4252" s="98" t="s">
        <v>29</v>
      </c>
      <c r="B4252" s="98" t="s">
        <v>17</v>
      </c>
      <c r="C4252" s="98">
        <v>59</v>
      </c>
      <c r="D4252" s="98">
        <v>3210</v>
      </c>
      <c r="E4252" s="157">
        <v>42968.625</v>
      </c>
      <c r="F4252" s="157">
        <v>42969.229166666664</v>
      </c>
      <c r="G4252" s="98">
        <v>400</v>
      </c>
      <c r="H4252" s="98">
        <v>423</v>
      </c>
      <c r="I4252" s="98">
        <v>393</v>
      </c>
      <c r="J4252" s="98" t="s">
        <v>2048</v>
      </c>
      <c r="K4252" s="98" t="s">
        <v>4834</v>
      </c>
      <c r="L4252" s="105" t="str">
        <f t="shared" si="690"/>
        <v>Mill Creek</v>
      </c>
      <c r="M4252" s="105" t="str">
        <f t="shared" si="691"/>
        <v>Derate</v>
      </c>
      <c r="N4252" s="105" t="str">
        <f t="shared" si="692"/>
        <v>Coal</v>
      </c>
      <c r="O4252" s="105">
        <f>IFERROR(VLOOKUP(A4252,Lookup!$J$5:$P$19,7,FALSE),0)</f>
        <v>3</v>
      </c>
      <c r="P4252" s="159">
        <f t="shared" si="693"/>
        <v>2017</v>
      </c>
      <c r="Q4252" s="159">
        <f t="shared" si="694"/>
        <v>8</v>
      </c>
      <c r="R4252" s="160">
        <f t="shared" si="695"/>
        <v>14.499999999941792</v>
      </c>
      <c r="S4252" s="158">
        <f t="shared" si="696"/>
        <v>0.78841607564695326</v>
      </c>
      <c r="T4252" s="161">
        <f t="shared" si="697"/>
        <v>309.84751772925262</v>
      </c>
      <c r="U4252" s="158">
        <f t="shared" si="699"/>
        <v>21.368794326241133</v>
      </c>
      <c r="V4252" s="160">
        <f t="shared" si="698"/>
        <v>21</v>
      </c>
    </row>
    <row r="4253" spans="1:22" x14ac:dyDescent="0.25">
      <c r="A4253" s="98" t="s">
        <v>29</v>
      </c>
      <c r="B4253" s="98" t="s">
        <v>17</v>
      </c>
      <c r="C4253" s="98">
        <v>60</v>
      </c>
      <c r="D4253" s="98">
        <v>3210</v>
      </c>
      <c r="E4253" s="157">
        <v>42969.34375</v>
      </c>
      <c r="F4253" s="157">
        <v>42969.59652777778</v>
      </c>
      <c r="G4253" s="98">
        <v>400</v>
      </c>
      <c r="H4253" s="98">
        <v>423</v>
      </c>
      <c r="I4253" s="98">
        <v>393</v>
      </c>
      <c r="J4253" s="98" t="s">
        <v>2048</v>
      </c>
      <c r="K4253" s="98" t="s">
        <v>4834</v>
      </c>
      <c r="L4253" s="105" t="str">
        <f t="shared" si="690"/>
        <v>Mill Creek</v>
      </c>
      <c r="M4253" s="105" t="str">
        <f t="shared" si="691"/>
        <v>Derate</v>
      </c>
      <c r="N4253" s="105" t="str">
        <f t="shared" si="692"/>
        <v>Coal</v>
      </c>
      <c r="O4253" s="105">
        <f>IFERROR(VLOOKUP(A4253,Lookup!$J$5:$P$19,7,FALSE),0)</f>
        <v>3</v>
      </c>
      <c r="P4253" s="159">
        <f t="shared" si="693"/>
        <v>2017</v>
      </c>
      <c r="Q4253" s="159">
        <f t="shared" si="694"/>
        <v>8</v>
      </c>
      <c r="R4253" s="160">
        <f t="shared" si="695"/>
        <v>6.0666666667093523</v>
      </c>
      <c r="S4253" s="158">
        <f t="shared" si="696"/>
        <v>0.32986603625133593</v>
      </c>
      <c r="T4253" s="161">
        <f t="shared" si="697"/>
        <v>129.63735224677501</v>
      </c>
      <c r="U4253" s="158">
        <f t="shared" si="699"/>
        <v>21.368794326241133</v>
      </c>
      <c r="V4253" s="160">
        <f t="shared" si="698"/>
        <v>21</v>
      </c>
    </row>
    <row r="4254" spans="1:22" x14ac:dyDescent="0.25">
      <c r="A4254" s="98" t="s">
        <v>29</v>
      </c>
      <c r="B4254" s="98" t="s">
        <v>105</v>
      </c>
      <c r="C4254" s="98">
        <v>61</v>
      </c>
      <c r="D4254" s="98">
        <v>3210</v>
      </c>
      <c r="E4254" s="157">
        <v>42969.958333333336</v>
      </c>
      <c r="F4254" s="157">
        <v>42969.982638888891</v>
      </c>
      <c r="G4254" s="98">
        <v>200</v>
      </c>
      <c r="H4254" s="98">
        <v>423</v>
      </c>
      <c r="I4254" s="98">
        <v>393</v>
      </c>
      <c r="J4254" s="98" t="s">
        <v>2048</v>
      </c>
      <c r="K4254" s="98" t="s">
        <v>4835</v>
      </c>
      <c r="L4254" s="105" t="str">
        <f t="shared" si="690"/>
        <v>Mill Creek</v>
      </c>
      <c r="M4254" s="105" t="str">
        <f t="shared" si="691"/>
        <v>Derate</v>
      </c>
      <c r="N4254" s="105" t="str">
        <f t="shared" si="692"/>
        <v>Coal</v>
      </c>
      <c r="O4254" s="105">
        <f>IFERROR(VLOOKUP(A4254,Lookup!$J$5:$P$19,7,FALSE),0)</f>
        <v>3</v>
      </c>
      <c r="P4254" s="159">
        <f t="shared" si="693"/>
        <v>2017</v>
      </c>
      <c r="Q4254" s="159">
        <f t="shared" si="694"/>
        <v>8</v>
      </c>
      <c r="R4254" s="160">
        <f t="shared" si="695"/>
        <v>0.58333333331393078</v>
      </c>
      <c r="S4254" s="158">
        <f t="shared" si="696"/>
        <v>0.30752561070687129</v>
      </c>
      <c r="T4254" s="161">
        <f t="shared" si="697"/>
        <v>120.85756500780042</v>
      </c>
      <c r="U4254" s="158">
        <f t="shared" si="699"/>
        <v>207.18439716312056</v>
      </c>
      <c r="V4254" s="160">
        <f t="shared" si="698"/>
        <v>207</v>
      </c>
    </row>
    <row r="4255" spans="1:22" x14ac:dyDescent="0.25">
      <c r="A4255" s="98" t="s">
        <v>29</v>
      </c>
      <c r="B4255" s="98" t="s">
        <v>105</v>
      </c>
      <c r="C4255" s="98">
        <v>62</v>
      </c>
      <c r="D4255" s="98">
        <v>3210</v>
      </c>
      <c r="E4255" s="157">
        <v>42970.958333333336</v>
      </c>
      <c r="F4255" s="157">
        <v>42971.083333333336</v>
      </c>
      <c r="G4255" s="98">
        <v>200</v>
      </c>
      <c r="H4255" s="98">
        <v>423</v>
      </c>
      <c r="I4255" s="98">
        <v>393</v>
      </c>
      <c r="J4255" s="98" t="s">
        <v>2048</v>
      </c>
      <c r="K4255" s="98" t="s">
        <v>4835</v>
      </c>
      <c r="L4255" s="105" t="str">
        <f t="shared" si="690"/>
        <v>Mill Creek</v>
      </c>
      <c r="M4255" s="105" t="str">
        <f t="shared" si="691"/>
        <v>Derate</v>
      </c>
      <c r="N4255" s="105" t="str">
        <f t="shared" si="692"/>
        <v>Coal</v>
      </c>
      <c r="O4255" s="105">
        <f>IFERROR(VLOOKUP(A4255,Lookup!$J$5:$P$19,7,FALSE),0)</f>
        <v>3</v>
      </c>
      <c r="P4255" s="159">
        <f t="shared" si="693"/>
        <v>2017</v>
      </c>
      <c r="Q4255" s="159">
        <f t="shared" si="694"/>
        <v>8</v>
      </c>
      <c r="R4255" s="160">
        <f t="shared" si="695"/>
        <v>3</v>
      </c>
      <c r="S4255" s="158">
        <f t="shared" si="696"/>
        <v>1.5815602836879432</v>
      </c>
      <c r="T4255" s="161">
        <f t="shared" si="697"/>
        <v>621.55319148936167</v>
      </c>
      <c r="U4255" s="158">
        <f t="shared" si="699"/>
        <v>207.18439716312056</v>
      </c>
      <c r="V4255" s="160">
        <f t="shared" si="698"/>
        <v>207</v>
      </c>
    </row>
    <row r="4256" spans="1:22" x14ac:dyDescent="0.25">
      <c r="A4256" s="98" t="s">
        <v>29</v>
      </c>
      <c r="B4256" s="98" t="s">
        <v>105</v>
      </c>
      <c r="C4256" s="98">
        <v>63</v>
      </c>
      <c r="D4256" s="98">
        <v>310</v>
      </c>
      <c r="E4256" s="157">
        <v>42976.063888888886</v>
      </c>
      <c r="F4256" s="157">
        <v>42976.12777777778</v>
      </c>
      <c r="G4256" s="98">
        <v>350</v>
      </c>
      <c r="H4256" s="98">
        <v>423</v>
      </c>
      <c r="I4256" s="98">
        <v>393</v>
      </c>
      <c r="J4256" s="98" t="s">
        <v>1966</v>
      </c>
      <c r="K4256" s="98" t="s">
        <v>4330</v>
      </c>
      <c r="L4256" s="105" t="str">
        <f t="shared" si="690"/>
        <v>Mill Creek</v>
      </c>
      <c r="M4256" s="105" t="str">
        <f t="shared" si="691"/>
        <v>Derate</v>
      </c>
      <c r="N4256" s="105" t="str">
        <f t="shared" si="692"/>
        <v>Coal</v>
      </c>
      <c r="O4256" s="105">
        <f>IFERROR(VLOOKUP(A4256,Lookup!$J$5:$P$19,7,FALSE),0)</f>
        <v>3</v>
      </c>
      <c r="P4256" s="159">
        <f t="shared" si="693"/>
        <v>2017</v>
      </c>
      <c r="Q4256" s="159">
        <f t="shared" si="694"/>
        <v>8</v>
      </c>
      <c r="R4256" s="160">
        <f t="shared" si="695"/>
        <v>1.5333333334419876</v>
      </c>
      <c r="S4256" s="158">
        <f t="shared" si="696"/>
        <v>0.26461780931741158</v>
      </c>
      <c r="T4256" s="161">
        <f t="shared" si="697"/>
        <v>103.99479906174275</v>
      </c>
      <c r="U4256" s="158">
        <f t="shared" si="699"/>
        <v>67.822695035460995</v>
      </c>
      <c r="V4256" s="160">
        <f t="shared" si="698"/>
        <v>68</v>
      </c>
    </row>
    <row r="4257" spans="1:22" x14ac:dyDescent="0.25">
      <c r="A4257" s="98" t="s">
        <v>29</v>
      </c>
      <c r="B4257" s="98" t="s">
        <v>105</v>
      </c>
      <c r="C4257" s="98">
        <v>64</v>
      </c>
      <c r="D4257" s="98">
        <v>310</v>
      </c>
      <c r="E4257" s="157">
        <v>42978.946527777778</v>
      </c>
      <c r="F4257" s="157">
        <v>42979.138194444444</v>
      </c>
      <c r="G4257" s="98">
        <v>325</v>
      </c>
      <c r="H4257" s="98">
        <v>423</v>
      </c>
      <c r="I4257" s="98">
        <v>393</v>
      </c>
      <c r="J4257" s="98" t="s">
        <v>1966</v>
      </c>
      <c r="K4257" s="98" t="s">
        <v>4330</v>
      </c>
      <c r="L4257" s="105" t="str">
        <f t="shared" si="690"/>
        <v>Mill Creek</v>
      </c>
      <c r="M4257" s="105" t="str">
        <f t="shared" si="691"/>
        <v>Derate</v>
      </c>
      <c r="N4257" s="105" t="str">
        <f t="shared" si="692"/>
        <v>Coal</v>
      </c>
      <c r="O4257" s="105">
        <f>IFERROR(VLOOKUP(A4257,Lookup!$J$5:$P$19,7,FALSE),0)</f>
        <v>3</v>
      </c>
      <c r="P4257" s="159">
        <f t="shared" si="693"/>
        <v>2017</v>
      </c>
      <c r="Q4257" s="159">
        <f t="shared" si="694"/>
        <v>8</v>
      </c>
      <c r="R4257" s="160">
        <f t="shared" si="695"/>
        <v>4.5999999999767169</v>
      </c>
      <c r="S4257" s="158">
        <f t="shared" si="696"/>
        <v>1.0657210401837311</v>
      </c>
      <c r="T4257" s="161">
        <f t="shared" si="697"/>
        <v>418.82836879220633</v>
      </c>
      <c r="U4257" s="158">
        <f t="shared" si="699"/>
        <v>91.049645390070921</v>
      </c>
      <c r="V4257" s="160">
        <f t="shared" si="698"/>
        <v>91</v>
      </c>
    </row>
    <row r="4258" spans="1:22" x14ac:dyDescent="0.25">
      <c r="A4258" s="98" t="s">
        <v>29</v>
      </c>
      <c r="B4258" s="98" t="s">
        <v>17</v>
      </c>
      <c r="C4258" s="98">
        <v>65</v>
      </c>
      <c r="D4258" s="98">
        <v>3210</v>
      </c>
      <c r="E4258" s="157">
        <v>42998.536111111112</v>
      </c>
      <c r="F4258" s="157">
        <v>42998.865972222222</v>
      </c>
      <c r="G4258" s="98">
        <v>399</v>
      </c>
      <c r="H4258" s="98">
        <v>423</v>
      </c>
      <c r="I4258" s="98">
        <v>393</v>
      </c>
      <c r="J4258" s="98" t="s">
        <v>2048</v>
      </c>
      <c r="K4258" s="98" t="s">
        <v>4834</v>
      </c>
      <c r="L4258" s="105" t="str">
        <f t="shared" si="690"/>
        <v>Mill Creek</v>
      </c>
      <c r="M4258" s="105" t="str">
        <f t="shared" si="691"/>
        <v>Derate</v>
      </c>
      <c r="N4258" s="105" t="str">
        <f t="shared" si="692"/>
        <v>Coal</v>
      </c>
      <c r="O4258" s="105">
        <f>IFERROR(VLOOKUP(A4258,Lookup!$J$5:$P$19,7,FALSE),0)</f>
        <v>3</v>
      </c>
      <c r="P4258" s="159">
        <f t="shared" si="693"/>
        <v>2017</v>
      </c>
      <c r="Q4258" s="159">
        <f t="shared" si="694"/>
        <v>9</v>
      </c>
      <c r="R4258" s="160">
        <f t="shared" si="695"/>
        <v>7.9166666666278616</v>
      </c>
      <c r="S4258" s="158">
        <f t="shared" si="696"/>
        <v>0.4491725768299496</v>
      </c>
      <c r="T4258" s="161">
        <f t="shared" si="697"/>
        <v>176.52482269417018</v>
      </c>
      <c r="U4258" s="158">
        <f t="shared" si="699"/>
        <v>22.297872340425531</v>
      </c>
      <c r="V4258" s="160">
        <f t="shared" si="698"/>
        <v>22</v>
      </c>
    </row>
    <row r="4259" spans="1:22" x14ac:dyDescent="0.25">
      <c r="A4259" s="98" t="s">
        <v>29</v>
      </c>
      <c r="B4259" s="98" t="s">
        <v>17</v>
      </c>
      <c r="C4259" s="98">
        <v>66</v>
      </c>
      <c r="D4259" s="98">
        <v>3210</v>
      </c>
      <c r="E4259" s="157">
        <v>42999.541666666664</v>
      </c>
      <c r="F4259" s="157">
        <v>42999.859027777777</v>
      </c>
      <c r="G4259" s="98">
        <v>403</v>
      </c>
      <c r="H4259" s="98">
        <v>423</v>
      </c>
      <c r="I4259" s="98">
        <v>393</v>
      </c>
      <c r="J4259" s="98" t="s">
        <v>2048</v>
      </c>
      <c r="K4259" s="98" t="s">
        <v>4834</v>
      </c>
      <c r="L4259" s="105" t="str">
        <f t="shared" si="690"/>
        <v>Mill Creek</v>
      </c>
      <c r="M4259" s="105" t="str">
        <f t="shared" si="691"/>
        <v>Derate</v>
      </c>
      <c r="N4259" s="105" t="str">
        <f t="shared" si="692"/>
        <v>Coal</v>
      </c>
      <c r="O4259" s="105">
        <f>IFERROR(VLOOKUP(A4259,Lookup!$J$5:$P$19,7,FALSE),0)</f>
        <v>3</v>
      </c>
      <c r="P4259" s="159">
        <f t="shared" si="693"/>
        <v>2017</v>
      </c>
      <c r="Q4259" s="159">
        <f t="shared" si="694"/>
        <v>9</v>
      </c>
      <c r="R4259" s="160">
        <f t="shared" si="695"/>
        <v>7.6166666666977108</v>
      </c>
      <c r="S4259" s="158">
        <f t="shared" si="696"/>
        <v>0.36012608353180664</v>
      </c>
      <c r="T4259" s="161">
        <f t="shared" si="697"/>
        <v>141.529550828</v>
      </c>
      <c r="U4259" s="158">
        <f t="shared" si="699"/>
        <v>18.581560283687942</v>
      </c>
      <c r="V4259" s="160">
        <f t="shared" si="698"/>
        <v>19</v>
      </c>
    </row>
    <row r="4260" spans="1:22" x14ac:dyDescent="0.25">
      <c r="A4260" s="98" t="s">
        <v>29</v>
      </c>
      <c r="B4260" s="98" t="s">
        <v>17</v>
      </c>
      <c r="C4260" s="98">
        <v>67</v>
      </c>
      <c r="D4260" s="98">
        <v>3210</v>
      </c>
      <c r="E4260" s="157">
        <v>43000.5</v>
      </c>
      <c r="F4260" s="157">
        <v>43000.887499999997</v>
      </c>
      <c r="G4260" s="98">
        <v>404</v>
      </c>
      <c r="H4260" s="98">
        <v>423</v>
      </c>
      <c r="I4260" s="98">
        <v>393</v>
      </c>
      <c r="J4260" s="98" t="s">
        <v>2048</v>
      </c>
      <c r="K4260" s="98" t="s">
        <v>4834</v>
      </c>
      <c r="L4260" s="105" t="str">
        <f t="shared" si="690"/>
        <v>Mill Creek</v>
      </c>
      <c r="M4260" s="105" t="str">
        <f t="shared" si="691"/>
        <v>Derate</v>
      </c>
      <c r="N4260" s="105" t="str">
        <f t="shared" si="692"/>
        <v>Coal</v>
      </c>
      <c r="O4260" s="105">
        <f>IFERROR(VLOOKUP(A4260,Lookup!$J$5:$P$19,7,FALSE),0)</f>
        <v>3</v>
      </c>
      <c r="P4260" s="159">
        <f t="shared" si="693"/>
        <v>2017</v>
      </c>
      <c r="Q4260" s="159">
        <f t="shared" si="694"/>
        <v>9</v>
      </c>
      <c r="R4260" s="160">
        <f t="shared" si="695"/>
        <v>9.2999999999301508</v>
      </c>
      <c r="S4260" s="158">
        <f t="shared" si="696"/>
        <v>0.41773049645076327</v>
      </c>
      <c r="T4260" s="161">
        <f t="shared" si="697"/>
        <v>164.16808510514997</v>
      </c>
      <c r="U4260" s="158">
        <f t="shared" si="699"/>
        <v>17.652482269503547</v>
      </c>
      <c r="V4260" s="160">
        <f t="shared" si="698"/>
        <v>18</v>
      </c>
    </row>
    <row r="4261" spans="1:22" x14ac:dyDescent="0.25">
      <c r="A4261" s="98" t="s">
        <v>29</v>
      </c>
      <c r="B4261" s="98" t="s">
        <v>105</v>
      </c>
      <c r="C4261" s="98">
        <v>68</v>
      </c>
      <c r="D4261" s="98">
        <v>250</v>
      </c>
      <c r="E4261" s="157">
        <v>43002.916666666664</v>
      </c>
      <c r="F4261" s="157">
        <v>43003.149305555555</v>
      </c>
      <c r="G4261" s="98">
        <v>325</v>
      </c>
      <c r="H4261" s="98">
        <v>423</v>
      </c>
      <c r="I4261" s="98">
        <v>393</v>
      </c>
      <c r="J4261" s="98" t="s">
        <v>1978</v>
      </c>
      <c r="K4261" s="98" t="s">
        <v>4836</v>
      </c>
      <c r="L4261" s="105" t="str">
        <f t="shared" ref="L4261:L4324" si="700">IF(OR(A4261="BR1",A4261="BR2",A4261="BR3",A4261="BR5",A4261="BR6",A4261="BR7",A4261="BR8",A4261="BR9",A4261="BR10",A4261="BR11"),"Brown",IF(OR(A4261="CR4",A4261="CR5",A4261="CR6",A4261="CR11"),"Cane Run",IF(OR(A4261="GH1",A4261="GH2",A4261="GH3",A4261="GH4"),"Ghent",IF(OR(A4261="GR3",A4261="GR4"),"Green River",IF(OR(A4261="MC1",A4261="MC2",A4261="MC3",A4261="MC4"),"Mill Creek",IF(OR(A4261="TC1",A4261="TC2",A4261="TC5",A4261="TC6",A4261="TC7",A4261="TC8",A4261="TC9",A4261="TC10"),"Trimble",IF(A4261="TY3","Tyrone",IF(OR(A4261="HA1",A4261="HA2",A4261="HA3"),"Haeflin",IF(OR(A4261="PR11",A4261="PR12",A4261="PR13"),"Paddy's Run","Zorn")))))))))</f>
        <v>Mill Creek</v>
      </c>
      <c r="M4261" s="105" t="str">
        <f t="shared" ref="M4261:M4324" si="701">IF(OR(B4261="D1",B4261="D2",B4261="D3",B4261="D4",B4261="PD"),"Derate",IF(OR(B4261="SF",B4261="U1",B4261="U2",B4261="U3"),"Outage",IF(OR(B4261="ME",B4261="MO"),"Maintenance","Other")))</f>
        <v>Derate</v>
      </c>
      <c r="N4261" s="105" t="str">
        <f t="shared" ref="N4261:N4324" si="702">IF(OR(A4261="BR1",A4261="BR2",A4261="BR3",A4261="CR4",A4261="CR5",A4261="CR6",A4261="GH1",A4261="GH2",A4261="GH3",A4261="GH4",A4261="GR3",A4261="GR4",A4261="MC1",A4261="MC2",A4261="MC3",A4261="MC4",A4261="TC1",A4261="TC2",A4261="TY3"),"Coal","Gas")</f>
        <v>Coal</v>
      </c>
      <c r="O4261" s="105">
        <f>IFERROR(VLOOKUP(A4261,Lookup!$J$5:$P$19,7,FALSE),0)</f>
        <v>3</v>
      </c>
      <c r="P4261" s="159">
        <f t="shared" ref="P4261:P4324" si="703">YEAR(E4261)</f>
        <v>2017</v>
      </c>
      <c r="Q4261" s="159">
        <f t="shared" ref="Q4261:Q4324" si="704">MONTH(E4261)</f>
        <v>9</v>
      </c>
      <c r="R4261" s="160">
        <f t="shared" ref="R4261:R4324" si="705">(F4261-E4261)*24</f>
        <v>5.5833333333721384</v>
      </c>
      <c r="S4261" s="158">
        <f t="shared" ref="S4261:S4324" si="706">R4261*(H4261-G4261)/H4261</f>
        <v>1.2935382190791243</v>
      </c>
      <c r="T4261" s="161">
        <f t="shared" ref="T4261:T4324" si="707">S4261*I4261</f>
        <v>508.36052009809583</v>
      </c>
      <c r="U4261" s="158">
        <f t="shared" si="699"/>
        <v>91.049645390070921</v>
      </c>
      <c r="V4261" s="160">
        <f t="shared" ref="V4261:V4324" si="708">ROUND(U4261,0)</f>
        <v>91</v>
      </c>
    </row>
    <row r="4262" spans="1:22" x14ac:dyDescent="0.25">
      <c r="A4262" s="98" t="s">
        <v>29</v>
      </c>
      <c r="B4262" s="98" t="s">
        <v>17</v>
      </c>
      <c r="C4262" s="98">
        <v>69</v>
      </c>
      <c r="D4262" s="98">
        <v>3210</v>
      </c>
      <c r="E4262" s="157">
        <v>43003.518055555556</v>
      </c>
      <c r="F4262" s="157">
        <v>43003.786111111112</v>
      </c>
      <c r="G4262" s="98">
        <v>407</v>
      </c>
      <c r="H4262" s="98">
        <v>423</v>
      </c>
      <c r="I4262" s="98">
        <v>393</v>
      </c>
      <c r="J4262" s="98" t="s">
        <v>2048</v>
      </c>
      <c r="K4262" s="98" t="s">
        <v>4834</v>
      </c>
      <c r="L4262" s="105" t="str">
        <f t="shared" si="700"/>
        <v>Mill Creek</v>
      </c>
      <c r="M4262" s="105" t="str">
        <f t="shared" si="701"/>
        <v>Derate</v>
      </c>
      <c r="N4262" s="105" t="str">
        <f t="shared" si="702"/>
        <v>Coal</v>
      </c>
      <c r="O4262" s="105">
        <f>IFERROR(VLOOKUP(A4262,Lookup!$J$5:$P$19,7,FALSE),0)</f>
        <v>3</v>
      </c>
      <c r="P4262" s="159">
        <f t="shared" si="703"/>
        <v>2017</v>
      </c>
      <c r="Q4262" s="159">
        <f t="shared" si="704"/>
        <v>9</v>
      </c>
      <c r="R4262" s="160">
        <f t="shared" si="705"/>
        <v>6.4333333333488554</v>
      </c>
      <c r="S4262" s="158">
        <f t="shared" si="706"/>
        <v>0.24334121355456664</v>
      </c>
      <c r="T4262" s="161">
        <f t="shared" si="707"/>
        <v>95.633096926944688</v>
      </c>
      <c r="U4262" s="158">
        <f t="shared" ref="U4262:U4325" si="709">IF(G4262&gt;0,MAX((H4262-G4262),0)*I4262/H4262,I4262)</f>
        <v>14.865248226950355</v>
      </c>
      <c r="V4262" s="160">
        <f t="shared" si="708"/>
        <v>15</v>
      </c>
    </row>
    <row r="4263" spans="1:22" x14ac:dyDescent="0.25">
      <c r="A4263" s="98" t="s">
        <v>29</v>
      </c>
      <c r="B4263" s="98" t="s">
        <v>17</v>
      </c>
      <c r="C4263" s="98">
        <v>70</v>
      </c>
      <c r="D4263" s="98">
        <v>3210</v>
      </c>
      <c r="E4263" s="157">
        <v>43005.473611111112</v>
      </c>
      <c r="F4263" s="157">
        <v>43005.939583333333</v>
      </c>
      <c r="G4263" s="98">
        <v>410</v>
      </c>
      <c r="H4263" s="98">
        <v>423</v>
      </c>
      <c r="I4263" s="98">
        <v>393</v>
      </c>
      <c r="J4263" s="98" t="s">
        <v>2048</v>
      </c>
      <c r="K4263" s="98" t="s">
        <v>4834</v>
      </c>
      <c r="L4263" s="105" t="str">
        <f t="shared" si="700"/>
        <v>Mill Creek</v>
      </c>
      <c r="M4263" s="105" t="str">
        <f t="shared" si="701"/>
        <v>Derate</v>
      </c>
      <c r="N4263" s="105" t="str">
        <f t="shared" si="702"/>
        <v>Coal</v>
      </c>
      <c r="O4263" s="105">
        <f>IFERROR(VLOOKUP(A4263,Lookup!$J$5:$P$19,7,FALSE),0)</f>
        <v>3</v>
      </c>
      <c r="P4263" s="159">
        <f t="shared" si="703"/>
        <v>2017</v>
      </c>
      <c r="Q4263" s="159">
        <f t="shared" si="704"/>
        <v>9</v>
      </c>
      <c r="R4263" s="160">
        <f t="shared" si="705"/>
        <v>11.183333333290648</v>
      </c>
      <c r="S4263" s="158">
        <f t="shared" si="706"/>
        <v>0.34369582348174565</v>
      </c>
      <c r="T4263" s="161">
        <f t="shared" si="707"/>
        <v>135.07245862832605</v>
      </c>
      <c r="U4263" s="158">
        <f t="shared" si="709"/>
        <v>12.078014184397164</v>
      </c>
      <c r="V4263" s="160">
        <f t="shared" si="708"/>
        <v>12</v>
      </c>
    </row>
    <row r="4264" spans="1:22" x14ac:dyDescent="0.25">
      <c r="A4264" s="98" t="s">
        <v>29</v>
      </c>
      <c r="B4264" s="98" t="s">
        <v>105</v>
      </c>
      <c r="C4264" s="98">
        <v>71</v>
      </c>
      <c r="D4264" s="98">
        <v>335</v>
      </c>
      <c r="E4264" s="157">
        <v>43007.916666666664</v>
      </c>
      <c r="F4264" s="157">
        <v>43008.3</v>
      </c>
      <c r="G4264" s="98">
        <v>330</v>
      </c>
      <c r="H4264" s="98">
        <v>423</v>
      </c>
      <c r="I4264" s="98">
        <v>393</v>
      </c>
      <c r="J4264" s="98" t="s">
        <v>2131</v>
      </c>
      <c r="K4264" s="98" t="s">
        <v>4837</v>
      </c>
      <c r="L4264" s="105" t="str">
        <f t="shared" si="700"/>
        <v>Mill Creek</v>
      </c>
      <c r="M4264" s="105" t="str">
        <f t="shared" si="701"/>
        <v>Derate</v>
      </c>
      <c r="N4264" s="105" t="str">
        <f t="shared" si="702"/>
        <v>Coal</v>
      </c>
      <c r="O4264" s="105">
        <f>IFERROR(VLOOKUP(A4264,Lookup!$J$5:$P$19,7,FALSE),0)</f>
        <v>3</v>
      </c>
      <c r="P4264" s="159">
        <f t="shared" si="703"/>
        <v>2017</v>
      </c>
      <c r="Q4264" s="159">
        <f t="shared" si="704"/>
        <v>9</v>
      </c>
      <c r="R4264" s="160">
        <f t="shared" si="705"/>
        <v>9.2000000001280569</v>
      </c>
      <c r="S4264" s="158">
        <f t="shared" si="706"/>
        <v>2.0226950354891473</v>
      </c>
      <c r="T4264" s="161">
        <f t="shared" si="707"/>
        <v>794.91914894723493</v>
      </c>
      <c r="U4264" s="158">
        <f t="shared" si="709"/>
        <v>86.40425531914893</v>
      </c>
      <c r="V4264" s="160">
        <f t="shared" si="708"/>
        <v>86</v>
      </c>
    </row>
    <row r="4265" spans="1:22" x14ac:dyDescent="0.25">
      <c r="A4265" s="98" t="s">
        <v>29</v>
      </c>
      <c r="B4265" s="98" t="s">
        <v>105</v>
      </c>
      <c r="C4265" s="98">
        <v>72</v>
      </c>
      <c r="D4265" s="98">
        <v>335</v>
      </c>
      <c r="E4265" s="157">
        <v>43008.916666666664</v>
      </c>
      <c r="F4265" s="157">
        <v>43009.21875</v>
      </c>
      <c r="G4265" s="98">
        <v>330</v>
      </c>
      <c r="H4265" s="98">
        <v>423</v>
      </c>
      <c r="I4265" s="98">
        <v>393</v>
      </c>
      <c r="J4265" s="98" t="s">
        <v>2131</v>
      </c>
      <c r="K4265" s="98" t="s">
        <v>4838</v>
      </c>
      <c r="L4265" s="105" t="str">
        <f t="shared" si="700"/>
        <v>Mill Creek</v>
      </c>
      <c r="M4265" s="105" t="str">
        <f t="shared" si="701"/>
        <v>Derate</v>
      </c>
      <c r="N4265" s="105" t="str">
        <f t="shared" si="702"/>
        <v>Coal</v>
      </c>
      <c r="O4265" s="105">
        <f>IFERROR(VLOOKUP(A4265,Lookup!$J$5:$P$19,7,FALSE),0)</f>
        <v>3</v>
      </c>
      <c r="P4265" s="159">
        <f t="shared" si="703"/>
        <v>2017</v>
      </c>
      <c r="Q4265" s="159">
        <f t="shared" si="704"/>
        <v>9</v>
      </c>
      <c r="R4265" s="160">
        <f t="shared" si="705"/>
        <v>7.2500000000582077</v>
      </c>
      <c r="S4265" s="158">
        <f t="shared" si="706"/>
        <v>1.5939716312184713</v>
      </c>
      <c r="T4265" s="161">
        <f t="shared" si="707"/>
        <v>626.43085106885917</v>
      </c>
      <c r="U4265" s="158">
        <f t="shared" si="709"/>
        <v>86.40425531914893</v>
      </c>
      <c r="V4265" s="160">
        <f t="shared" si="708"/>
        <v>86</v>
      </c>
    </row>
    <row r="4266" spans="1:22" x14ac:dyDescent="0.25">
      <c r="A4266" s="98" t="s">
        <v>29</v>
      </c>
      <c r="B4266" s="98" t="s">
        <v>17</v>
      </c>
      <c r="C4266" s="98">
        <v>73</v>
      </c>
      <c r="D4266" s="98">
        <v>385</v>
      </c>
      <c r="E4266" s="157">
        <v>43009.243055555555</v>
      </c>
      <c r="F4266" s="157">
        <v>43009.255555555559</v>
      </c>
      <c r="G4266" s="98">
        <v>350</v>
      </c>
      <c r="H4266" s="98">
        <v>423</v>
      </c>
      <c r="I4266" s="98">
        <v>393</v>
      </c>
      <c r="J4266" s="98" t="s">
        <v>228</v>
      </c>
      <c r="K4266" s="98" t="s">
        <v>4839</v>
      </c>
      <c r="L4266" s="105" t="str">
        <f t="shared" si="700"/>
        <v>Mill Creek</v>
      </c>
      <c r="M4266" s="105" t="str">
        <f t="shared" si="701"/>
        <v>Derate</v>
      </c>
      <c r="N4266" s="105" t="str">
        <f t="shared" si="702"/>
        <v>Coal</v>
      </c>
      <c r="O4266" s="105">
        <f>IFERROR(VLOOKUP(A4266,Lookup!$J$5:$P$19,7,FALSE),0)</f>
        <v>3</v>
      </c>
      <c r="P4266" s="159">
        <f t="shared" si="703"/>
        <v>2017</v>
      </c>
      <c r="Q4266" s="159">
        <f t="shared" si="704"/>
        <v>10</v>
      </c>
      <c r="R4266" s="160">
        <f t="shared" si="705"/>
        <v>0.30000000010477379</v>
      </c>
      <c r="S4266" s="158">
        <f t="shared" si="706"/>
        <v>5.1773049663471599E-2</v>
      </c>
      <c r="T4266" s="161">
        <f t="shared" si="707"/>
        <v>20.346808517744339</v>
      </c>
      <c r="U4266" s="158">
        <f t="shared" si="709"/>
        <v>67.822695035460995</v>
      </c>
      <c r="V4266" s="160">
        <f t="shared" si="708"/>
        <v>68</v>
      </c>
    </row>
    <row r="4267" spans="1:22" x14ac:dyDescent="0.25">
      <c r="A4267" s="98" t="s">
        <v>29</v>
      </c>
      <c r="B4267" s="98" t="s">
        <v>17</v>
      </c>
      <c r="C4267" s="98">
        <v>74</v>
      </c>
      <c r="D4267" s="98">
        <v>310</v>
      </c>
      <c r="E4267" s="157">
        <v>43017.2</v>
      </c>
      <c r="F4267" s="157">
        <v>43017.237500000003</v>
      </c>
      <c r="G4267" s="98">
        <v>330</v>
      </c>
      <c r="H4267" s="98">
        <v>423</v>
      </c>
      <c r="I4267" s="98">
        <v>393</v>
      </c>
      <c r="J4267" s="98" t="s">
        <v>1966</v>
      </c>
      <c r="K4267" s="98" t="s">
        <v>4840</v>
      </c>
      <c r="L4267" s="105" t="str">
        <f t="shared" si="700"/>
        <v>Mill Creek</v>
      </c>
      <c r="M4267" s="105" t="str">
        <f t="shared" si="701"/>
        <v>Derate</v>
      </c>
      <c r="N4267" s="105" t="str">
        <f t="shared" si="702"/>
        <v>Coal</v>
      </c>
      <c r="O4267" s="105">
        <f>IFERROR(VLOOKUP(A4267,Lookup!$J$5:$P$19,7,FALSE),0)</f>
        <v>3</v>
      </c>
      <c r="P4267" s="159">
        <f t="shared" si="703"/>
        <v>2017</v>
      </c>
      <c r="Q4267" s="159">
        <f t="shared" si="704"/>
        <v>10</v>
      </c>
      <c r="R4267" s="160">
        <f t="shared" si="705"/>
        <v>0.90000000013969839</v>
      </c>
      <c r="S4267" s="158">
        <f t="shared" si="706"/>
        <v>0.19787234045624574</v>
      </c>
      <c r="T4267" s="161">
        <f t="shared" si="707"/>
        <v>77.763829799304574</v>
      </c>
      <c r="U4267" s="158">
        <f t="shared" si="709"/>
        <v>86.40425531914893</v>
      </c>
      <c r="V4267" s="160">
        <f t="shared" si="708"/>
        <v>86</v>
      </c>
    </row>
    <row r="4268" spans="1:22" x14ac:dyDescent="0.25">
      <c r="A4268" s="98" t="s">
        <v>29</v>
      </c>
      <c r="B4268" s="98" t="s">
        <v>105</v>
      </c>
      <c r="C4268" s="98">
        <v>75</v>
      </c>
      <c r="D4268" s="98">
        <v>310</v>
      </c>
      <c r="E4268" s="157">
        <v>43017.958333333336</v>
      </c>
      <c r="F4268" s="157">
        <v>43018.167361111111</v>
      </c>
      <c r="G4268" s="98">
        <v>330</v>
      </c>
      <c r="H4268" s="98">
        <v>423</v>
      </c>
      <c r="I4268" s="98">
        <v>393</v>
      </c>
      <c r="J4268" s="98" t="s">
        <v>1966</v>
      </c>
      <c r="K4268" s="98" t="s">
        <v>4344</v>
      </c>
      <c r="L4268" s="105" t="str">
        <f t="shared" si="700"/>
        <v>Mill Creek</v>
      </c>
      <c r="M4268" s="105" t="str">
        <f t="shared" si="701"/>
        <v>Derate</v>
      </c>
      <c r="N4268" s="105" t="str">
        <f t="shared" si="702"/>
        <v>Coal</v>
      </c>
      <c r="O4268" s="105">
        <f>IFERROR(VLOOKUP(A4268,Lookup!$J$5:$P$19,7,FALSE),0)</f>
        <v>3</v>
      </c>
      <c r="P4268" s="159">
        <f t="shared" si="703"/>
        <v>2017</v>
      </c>
      <c r="Q4268" s="159">
        <f t="shared" si="704"/>
        <v>10</v>
      </c>
      <c r="R4268" s="160">
        <f t="shared" si="705"/>
        <v>5.0166666666045785</v>
      </c>
      <c r="S4268" s="158">
        <f t="shared" si="706"/>
        <v>1.1029550827286663</v>
      </c>
      <c r="T4268" s="161">
        <f t="shared" si="707"/>
        <v>433.46134751236582</v>
      </c>
      <c r="U4268" s="158">
        <f t="shared" si="709"/>
        <v>86.40425531914893</v>
      </c>
      <c r="V4268" s="160">
        <f t="shared" si="708"/>
        <v>86</v>
      </c>
    </row>
    <row r="4269" spans="1:22" x14ac:dyDescent="0.25">
      <c r="A4269" s="98" t="s">
        <v>29</v>
      </c>
      <c r="B4269" s="98" t="s">
        <v>105</v>
      </c>
      <c r="C4269" s="98">
        <v>77</v>
      </c>
      <c r="D4269" s="98">
        <v>310</v>
      </c>
      <c r="E4269" s="157">
        <v>43018.9375</v>
      </c>
      <c r="F4269" s="157">
        <v>43019.146527777775</v>
      </c>
      <c r="G4269" s="98">
        <v>330</v>
      </c>
      <c r="H4269" s="98">
        <v>423</v>
      </c>
      <c r="I4269" s="98">
        <v>393</v>
      </c>
      <c r="J4269" s="98" t="s">
        <v>1966</v>
      </c>
      <c r="K4269" s="98" t="s">
        <v>4332</v>
      </c>
      <c r="L4269" s="105" t="str">
        <f t="shared" si="700"/>
        <v>Mill Creek</v>
      </c>
      <c r="M4269" s="105" t="str">
        <f t="shared" si="701"/>
        <v>Derate</v>
      </c>
      <c r="N4269" s="105" t="str">
        <f t="shared" si="702"/>
        <v>Coal</v>
      </c>
      <c r="O4269" s="105">
        <f>IFERROR(VLOOKUP(A4269,Lookup!$J$5:$P$19,7,FALSE),0)</f>
        <v>3</v>
      </c>
      <c r="P4269" s="159">
        <f t="shared" si="703"/>
        <v>2017</v>
      </c>
      <c r="Q4269" s="159">
        <f t="shared" si="704"/>
        <v>10</v>
      </c>
      <c r="R4269" s="160">
        <f t="shared" si="705"/>
        <v>5.0166666666045785</v>
      </c>
      <c r="S4269" s="158">
        <f t="shared" si="706"/>
        <v>1.1029550827286663</v>
      </c>
      <c r="T4269" s="161">
        <f t="shared" si="707"/>
        <v>433.46134751236582</v>
      </c>
      <c r="U4269" s="158">
        <f t="shared" si="709"/>
        <v>86.40425531914893</v>
      </c>
      <c r="V4269" s="160">
        <f t="shared" si="708"/>
        <v>86</v>
      </c>
    </row>
    <row r="4270" spans="1:22" x14ac:dyDescent="0.25">
      <c r="A4270" s="98" t="s">
        <v>29</v>
      </c>
      <c r="B4270" s="98" t="s">
        <v>17</v>
      </c>
      <c r="C4270" s="98">
        <v>78</v>
      </c>
      <c r="D4270" s="98">
        <v>335</v>
      </c>
      <c r="E4270" s="157">
        <v>43019.214583333334</v>
      </c>
      <c r="F4270" s="157">
        <v>43019.236111111109</v>
      </c>
      <c r="G4270" s="98">
        <v>340</v>
      </c>
      <c r="H4270" s="98">
        <v>423</v>
      </c>
      <c r="I4270" s="98">
        <v>393</v>
      </c>
      <c r="J4270" s="98" t="s">
        <v>2131</v>
      </c>
      <c r="K4270" s="98" t="s">
        <v>4841</v>
      </c>
      <c r="L4270" s="105" t="str">
        <f t="shared" si="700"/>
        <v>Mill Creek</v>
      </c>
      <c r="M4270" s="105" t="str">
        <f t="shared" si="701"/>
        <v>Derate</v>
      </c>
      <c r="N4270" s="105" t="str">
        <f t="shared" si="702"/>
        <v>Coal</v>
      </c>
      <c r="O4270" s="105">
        <f>IFERROR(VLOOKUP(A4270,Lookup!$J$5:$P$19,7,FALSE),0)</f>
        <v>3</v>
      </c>
      <c r="P4270" s="159">
        <f t="shared" si="703"/>
        <v>2017</v>
      </c>
      <c r="Q4270" s="159">
        <f t="shared" si="704"/>
        <v>10</v>
      </c>
      <c r="R4270" s="160">
        <f t="shared" si="705"/>
        <v>0.5166666666045785</v>
      </c>
      <c r="S4270" s="158">
        <f t="shared" si="706"/>
        <v>0.10137903860089838</v>
      </c>
      <c r="T4270" s="161">
        <f t="shared" si="707"/>
        <v>39.84196217015306</v>
      </c>
      <c r="U4270" s="158">
        <f t="shared" si="709"/>
        <v>77.113475177304963</v>
      </c>
      <c r="V4270" s="160">
        <f t="shared" si="708"/>
        <v>77</v>
      </c>
    </row>
    <row r="4271" spans="1:22" x14ac:dyDescent="0.25">
      <c r="A4271" s="98" t="s">
        <v>29</v>
      </c>
      <c r="B4271" s="98" t="s">
        <v>105</v>
      </c>
      <c r="C4271" s="98">
        <v>79</v>
      </c>
      <c r="D4271" s="98">
        <v>310</v>
      </c>
      <c r="E4271" s="157">
        <v>43019.90625</v>
      </c>
      <c r="F4271" s="157">
        <v>43020.136805555558</v>
      </c>
      <c r="G4271" s="98">
        <v>340</v>
      </c>
      <c r="H4271" s="98">
        <v>423</v>
      </c>
      <c r="I4271" s="98">
        <v>393</v>
      </c>
      <c r="J4271" s="98" t="s">
        <v>1966</v>
      </c>
      <c r="K4271" s="98" t="s">
        <v>4330</v>
      </c>
      <c r="L4271" s="105" t="str">
        <f t="shared" si="700"/>
        <v>Mill Creek</v>
      </c>
      <c r="M4271" s="105" t="str">
        <f t="shared" si="701"/>
        <v>Derate</v>
      </c>
      <c r="N4271" s="105" t="str">
        <f t="shared" si="702"/>
        <v>Coal</v>
      </c>
      <c r="O4271" s="105">
        <f>IFERROR(VLOOKUP(A4271,Lookup!$J$5:$P$19,7,FALSE),0)</f>
        <v>3</v>
      </c>
      <c r="P4271" s="159">
        <f t="shared" si="703"/>
        <v>2017</v>
      </c>
      <c r="Q4271" s="159">
        <f t="shared" si="704"/>
        <v>10</v>
      </c>
      <c r="R4271" s="160">
        <f t="shared" si="705"/>
        <v>5.53333333338378</v>
      </c>
      <c r="S4271" s="158">
        <f t="shared" si="706"/>
        <v>1.0857368006403161</v>
      </c>
      <c r="T4271" s="161">
        <f t="shared" si="707"/>
        <v>426.69456265164422</v>
      </c>
      <c r="U4271" s="158">
        <f t="shared" si="709"/>
        <v>77.113475177304963</v>
      </c>
      <c r="V4271" s="160">
        <f t="shared" si="708"/>
        <v>77</v>
      </c>
    </row>
    <row r="4272" spans="1:22" x14ac:dyDescent="0.25">
      <c r="A4272" s="98" t="s">
        <v>29</v>
      </c>
      <c r="B4272" s="98" t="s">
        <v>17</v>
      </c>
      <c r="C4272" s="98">
        <v>80</v>
      </c>
      <c r="D4272" s="98">
        <v>250</v>
      </c>
      <c r="E4272" s="157">
        <v>43040.504166666666</v>
      </c>
      <c r="F4272" s="157">
        <v>43040.539583333331</v>
      </c>
      <c r="G4272" s="98">
        <v>340</v>
      </c>
      <c r="H4272" s="98">
        <v>423</v>
      </c>
      <c r="I4272" s="98">
        <v>393</v>
      </c>
      <c r="J4272" s="98" t="s">
        <v>1978</v>
      </c>
      <c r="K4272" s="98" t="s">
        <v>4842</v>
      </c>
      <c r="L4272" s="105" t="str">
        <f t="shared" si="700"/>
        <v>Mill Creek</v>
      </c>
      <c r="M4272" s="105" t="str">
        <f t="shared" si="701"/>
        <v>Derate</v>
      </c>
      <c r="N4272" s="105" t="str">
        <f t="shared" si="702"/>
        <v>Coal</v>
      </c>
      <c r="O4272" s="105">
        <f>IFERROR(VLOOKUP(A4272,Lookup!$J$5:$P$19,7,FALSE),0)</f>
        <v>3</v>
      </c>
      <c r="P4272" s="159">
        <f t="shared" si="703"/>
        <v>2017</v>
      </c>
      <c r="Q4272" s="159">
        <f t="shared" si="704"/>
        <v>11</v>
      </c>
      <c r="R4272" s="160">
        <f t="shared" si="705"/>
        <v>0.84999999997671694</v>
      </c>
      <c r="S4272" s="158">
        <f t="shared" si="706"/>
        <v>0.16678486997179079</v>
      </c>
      <c r="T4272" s="161">
        <f t="shared" si="707"/>
        <v>65.546453898913782</v>
      </c>
      <c r="U4272" s="158">
        <f t="shared" si="709"/>
        <v>77.113475177304963</v>
      </c>
      <c r="V4272" s="160">
        <f t="shared" si="708"/>
        <v>77</v>
      </c>
    </row>
    <row r="4273" spans="1:22" x14ac:dyDescent="0.25">
      <c r="A4273" s="98" t="s">
        <v>29</v>
      </c>
      <c r="B4273" s="98" t="s">
        <v>17</v>
      </c>
      <c r="C4273" s="98">
        <v>81</v>
      </c>
      <c r="D4273" s="98">
        <v>3210</v>
      </c>
      <c r="E4273" s="157">
        <v>43044.982638888891</v>
      </c>
      <c r="F4273" s="157">
        <v>43045.111111111109</v>
      </c>
      <c r="G4273" s="98">
        <v>375</v>
      </c>
      <c r="H4273" s="98">
        <v>423</v>
      </c>
      <c r="I4273" s="98">
        <v>393</v>
      </c>
      <c r="J4273" s="98" t="s">
        <v>2048</v>
      </c>
      <c r="K4273" s="98" t="s">
        <v>4834</v>
      </c>
      <c r="L4273" s="105" t="str">
        <f t="shared" si="700"/>
        <v>Mill Creek</v>
      </c>
      <c r="M4273" s="105" t="str">
        <f t="shared" si="701"/>
        <v>Derate</v>
      </c>
      <c r="N4273" s="105" t="str">
        <f t="shared" si="702"/>
        <v>Coal</v>
      </c>
      <c r="O4273" s="105">
        <f>IFERROR(VLOOKUP(A4273,Lookup!$J$5:$P$19,7,FALSE),0)</f>
        <v>3</v>
      </c>
      <c r="P4273" s="159">
        <f t="shared" si="703"/>
        <v>2017</v>
      </c>
      <c r="Q4273" s="159">
        <f t="shared" si="704"/>
        <v>11</v>
      </c>
      <c r="R4273" s="160">
        <f t="shared" si="705"/>
        <v>3.0833333332557231</v>
      </c>
      <c r="S4273" s="158">
        <f t="shared" si="706"/>
        <v>0.34988179668150049</v>
      </c>
      <c r="T4273" s="161">
        <f t="shared" si="707"/>
        <v>137.50354609582971</v>
      </c>
      <c r="U4273" s="158">
        <f t="shared" si="709"/>
        <v>44.595744680851062</v>
      </c>
      <c r="V4273" s="160">
        <f t="shared" si="708"/>
        <v>45</v>
      </c>
    </row>
    <row r="4274" spans="1:22" x14ac:dyDescent="0.25">
      <c r="A4274" s="98" t="s">
        <v>29</v>
      </c>
      <c r="B4274" s="98" t="s">
        <v>79</v>
      </c>
      <c r="C4274" s="98">
        <v>82</v>
      </c>
      <c r="D4274" s="98">
        <v>3690</v>
      </c>
      <c r="E4274" s="157">
        <v>43051.5</v>
      </c>
      <c r="F4274" s="157">
        <v>43051.57708333333</v>
      </c>
      <c r="G4274" s="98">
        <v>0</v>
      </c>
      <c r="H4274" s="98">
        <v>423</v>
      </c>
      <c r="I4274" s="98">
        <v>393</v>
      </c>
      <c r="J4274" s="98" t="s">
        <v>450</v>
      </c>
      <c r="K4274" s="98" t="s">
        <v>4843</v>
      </c>
      <c r="L4274" s="105" t="str">
        <f t="shared" si="700"/>
        <v>Mill Creek</v>
      </c>
      <c r="M4274" s="105" t="str">
        <f t="shared" si="701"/>
        <v>Other</v>
      </c>
      <c r="N4274" s="105" t="str">
        <f t="shared" si="702"/>
        <v>Coal</v>
      </c>
      <c r="O4274" s="105">
        <f>IFERROR(VLOOKUP(A4274,Lookup!$J$5:$P$19,7,FALSE),0)</f>
        <v>3</v>
      </c>
      <c r="P4274" s="159">
        <f t="shared" si="703"/>
        <v>2017</v>
      </c>
      <c r="Q4274" s="159">
        <f t="shared" si="704"/>
        <v>11</v>
      </c>
      <c r="R4274" s="160">
        <f t="shared" si="705"/>
        <v>1.8499999999185093</v>
      </c>
      <c r="S4274" s="158">
        <f t="shared" si="706"/>
        <v>1.8499999999185093</v>
      </c>
      <c r="T4274" s="161">
        <f t="shared" si="707"/>
        <v>727.04999996797414</v>
      </c>
      <c r="U4274" s="158">
        <f t="shared" si="709"/>
        <v>393</v>
      </c>
      <c r="V4274" s="160">
        <f t="shared" si="708"/>
        <v>393</v>
      </c>
    </row>
    <row r="4275" spans="1:22" x14ac:dyDescent="0.25">
      <c r="A4275" s="98" t="s">
        <v>29</v>
      </c>
      <c r="B4275" s="98" t="s">
        <v>105</v>
      </c>
      <c r="C4275" s="98">
        <v>83</v>
      </c>
      <c r="D4275" s="98">
        <v>260</v>
      </c>
      <c r="E4275" s="157">
        <v>43060.958333333336</v>
      </c>
      <c r="F4275" s="157">
        <v>43061.166666666664</v>
      </c>
      <c r="G4275" s="98">
        <v>325</v>
      </c>
      <c r="H4275" s="98">
        <v>423</v>
      </c>
      <c r="I4275" s="98">
        <v>393</v>
      </c>
      <c r="J4275" s="98" t="s">
        <v>1973</v>
      </c>
      <c r="K4275" s="98" t="s">
        <v>4844</v>
      </c>
      <c r="L4275" s="105" t="str">
        <f t="shared" si="700"/>
        <v>Mill Creek</v>
      </c>
      <c r="M4275" s="105" t="str">
        <f t="shared" si="701"/>
        <v>Derate</v>
      </c>
      <c r="N4275" s="105" t="str">
        <f t="shared" si="702"/>
        <v>Coal</v>
      </c>
      <c r="O4275" s="105">
        <f>IFERROR(VLOOKUP(A4275,Lookup!$J$5:$P$19,7,FALSE),0)</f>
        <v>3</v>
      </c>
      <c r="P4275" s="159">
        <f t="shared" si="703"/>
        <v>2017</v>
      </c>
      <c r="Q4275" s="159">
        <f t="shared" si="704"/>
        <v>11</v>
      </c>
      <c r="R4275" s="160">
        <f t="shared" si="705"/>
        <v>4.9999999998835847</v>
      </c>
      <c r="S4275" s="158">
        <f t="shared" si="706"/>
        <v>1.1583924349612087</v>
      </c>
      <c r="T4275" s="161">
        <f t="shared" si="707"/>
        <v>455.248226939755</v>
      </c>
      <c r="U4275" s="158">
        <f t="shared" si="709"/>
        <v>91.049645390070921</v>
      </c>
      <c r="V4275" s="160">
        <f t="shared" si="708"/>
        <v>91</v>
      </c>
    </row>
    <row r="4276" spans="1:22" x14ac:dyDescent="0.25">
      <c r="A4276" s="98" t="s">
        <v>29</v>
      </c>
      <c r="B4276" s="98" t="s">
        <v>79</v>
      </c>
      <c r="C4276" s="98">
        <v>85</v>
      </c>
      <c r="D4276" s="98">
        <v>3650</v>
      </c>
      <c r="E4276" s="157">
        <v>43063.375</v>
      </c>
      <c r="F4276" s="157">
        <v>43063.600694444445</v>
      </c>
      <c r="G4276" s="98">
        <v>0</v>
      </c>
      <c r="H4276" s="98">
        <v>423</v>
      </c>
      <c r="I4276" s="98">
        <v>393</v>
      </c>
      <c r="J4276" s="98" t="s">
        <v>2294</v>
      </c>
      <c r="K4276" s="98" t="s">
        <v>4845</v>
      </c>
      <c r="L4276" s="105" t="str">
        <f t="shared" si="700"/>
        <v>Mill Creek</v>
      </c>
      <c r="M4276" s="105" t="str">
        <f t="shared" si="701"/>
        <v>Other</v>
      </c>
      <c r="N4276" s="105" t="str">
        <f t="shared" si="702"/>
        <v>Coal</v>
      </c>
      <c r="O4276" s="105">
        <f>IFERROR(VLOOKUP(A4276,Lookup!$J$5:$P$19,7,FALSE),0)</f>
        <v>3</v>
      </c>
      <c r="P4276" s="159">
        <f t="shared" si="703"/>
        <v>2017</v>
      </c>
      <c r="Q4276" s="159">
        <f t="shared" si="704"/>
        <v>11</v>
      </c>
      <c r="R4276" s="160">
        <f t="shared" si="705"/>
        <v>5.4166666666860692</v>
      </c>
      <c r="S4276" s="158">
        <f t="shared" si="706"/>
        <v>5.4166666666860692</v>
      </c>
      <c r="T4276" s="161">
        <f t="shared" si="707"/>
        <v>2128.7500000076252</v>
      </c>
      <c r="U4276" s="158">
        <f t="shared" si="709"/>
        <v>393</v>
      </c>
      <c r="V4276" s="160">
        <f t="shared" si="708"/>
        <v>393</v>
      </c>
    </row>
    <row r="4277" spans="1:22" x14ac:dyDescent="0.25">
      <c r="A4277" s="98" t="s">
        <v>29</v>
      </c>
      <c r="B4277" s="98" t="s">
        <v>15</v>
      </c>
      <c r="C4277" s="98">
        <v>86</v>
      </c>
      <c r="D4277" s="98">
        <v>110</v>
      </c>
      <c r="E4277" s="157">
        <v>43064.105555555558</v>
      </c>
      <c r="F4277" s="157">
        <v>43064.702777777777</v>
      </c>
      <c r="G4277" s="98">
        <v>0</v>
      </c>
      <c r="H4277" s="98">
        <v>423</v>
      </c>
      <c r="I4277" s="98">
        <v>393</v>
      </c>
      <c r="J4277" s="98" t="s">
        <v>2046</v>
      </c>
      <c r="K4277" s="98" t="s">
        <v>4846</v>
      </c>
      <c r="L4277" s="105" t="str">
        <f t="shared" si="700"/>
        <v>Mill Creek</v>
      </c>
      <c r="M4277" s="105" t="str">
        <f t="shared" si="701"/>
        <v>Outage</v>
      </c>
      <c r="N4277" s="105" t="str">
        <f t="shared" si="702"/>
        <v>Coal</v>
      </c>
      <c r="O4277" s="105">
        <f>IFERROR(VLOOKUP(A4277,Lookup!$J$5:$P$19,7,FALSE),0)</f>
        <v>3</v>
      </c>
      <c r="P4277" s="159">
        <f t="shared" si="703"/>
        <v>2017</v>
      </c>
      <c r="Q4277" s="159">
        <f t="shared" si="704"/>
        <v>11</v>
      </c>
      <c r="R4277" s="160">
        <f t="shared" si="705"/>
        <v>14.333333333255723</v>
      </c>
      <c r="S4277" s="158">
        <f t="shared" si="706"/>
        <v>14.333333333255723</v>
      </c>
      <c r="T4277" s="161">
        <f t="shared" si="707"/>
        <v>5632.9999999694992</v>
      </c>
      <c r="U4277" s="158">
        <f t="shared" si="709"/>
        <v>393</v>
      </c>
      <c r="V4277" s="160">
        <f t="shared" si="708"/>
        <v>393</v>
      </c>
    </row>
    <row r="4278" spans="1:22" x14ac:dyDescent="0.25">
      <c r="A4278" s="98" t="s">
        <v>29</v>
      </c>
      <c r="B4278" s="98" t="s">
        <v>17</v>
      </c>
      <c r="C4278" s="98">
        <v>87</v>
      </c>
      <c r="D4278" s="98">
        <v>1850</v>
      </c>
      <c r="E4278" s="157">
        <v>43065.055555555555</v>
      </c>
      <c r="F4278" s="157">
        <v>43065.128472222219</v>
      </c>
      <c r="G4278" s="98">
        <v>385</v>
      </c>
      <c r="H4278" s="98">
        <v>423</v>
      </c>
      <c r="I4278" s="98">
        <v>393</v>
      </c>
      <c r="J4278" s="98" t="s">
        <v>2263</v>
      </c>
      <c r="K4278" s="98" t="s">
        <v>4274</v>
      </c>
      <c r="L4278" s="105" t="str">
        <f t="shared" si="700"/>
        <v>Mill Creek</v>
      </c>
      <c r="M4278" s="105" t="str">
        <f t="shared" si="701"/>
        <v>Derate</v>
      </c>
      <c r="N4278" s="105" t="str">
        <f t="shared" si="702"/>
        <v>Coal</v>
      </c>
      <c r="O4278" s="105">
        <f>IFERROR(VLOOKUP(A4278,Lookup!$J$5:$P$19,7,FALSE),0)</f>
        <v>3</v>
      </c>
      <c r="P4278" s="159">
        <f t="shared" si="703"/>
        <v>2017</v>
      </c>
      <c r="Q4278" s="159">
        <f t="shared" si="704"/>
        <v>11</v>
      </c>
      <c r="R4278" s="160">
        <f t="shared" si="705"/>
        <v>1.7499999999417923</v>
      </c>
      <c r="S4278" s="158">
        <f t="shared" si="706"/>
        <v>0.15721040188602389</v>
      </c>
      <c r="T4278" s="161">
        <f t="shared" si="707"/>
        <v>61.78368794120739</v>
      </c>
      <c r="U4278" s="158">
        <f t="shared" si="709"/>
        <v>35.304964539007095</v>
      </c>
      <c r="V4278" s="160">
        <f t="shared" si="708"/>
        <v>35</v>
      </c>
    </row>
    <row r="4279" spans="1:22" x14ac:dyDescent="0.25">
      <c r="A4279" s="98" t="s">
        <v>29</v>
      </c>
      <c r="B4279" s="98" t="s">
        <v>79</v>
      </c>
      <c r="C4279" s="98">
        <v>88</v>
      </c>
      <c r="D4279" s="98">
        <v>4842</v>
      </c>
      <c r="E4279" s="157">
        <v>43074.581944444442</v>
      </c>
      <c r="F4279" s="157">
        <v>43074.65902777778</v>
      </c>
      <c r="G4279" s="98">
        <v>0</v>
      </c>
      <c r="H4279" s="98">
        <v>423</v>
      </c>
      <c r="I4279" s="98">
        <v>393</v>
      </c>
      <c r="J4279" s="98" t="s">
        <v>60</v>
      </c>
      <c r="K4279" s="98" t="s">
        <v>4847</v>
      </c>
      <c r="L4279" s="105" t="str">
        <f t="shared" si="700"/>
        <v>Mill Creek</v>
      </c>
      <c r="M4279" s="105" t="str">
        <f t="shared" si="701"/>
        <v>Other</v>
      </c>
      <c r="N4279" s="105" t="str">
        <f t="shared" si="702"/>
        <v>Coal</v>
      </c>
      <c r="O4279" s="105">
        <f>IFERROR(VLOOKUP(A4279,Lookup!$J$5:$P$19,7,FALSE),0)</f>
        <v>3</v>
      </c>
      <c r="P4279" s="159">
        <f t="shared" si="703"/>
        <v>2017</v>
      </c>
      <c r="Q4279" s="159">
        <f t="shared" si="704"/>
        <v>12</v>
      </c>
      <c r="R4279" s="160">
        <f t="shared" si="705"/>
        <v>1.8500000000931323</v>
      </c>
      <c r="S4279" s="158">
        <f t="shared" si="706"/>
        <v>1.8500000000931323</v>
      </c>
      <c r="T4279" s="161">
        <f t="shared" si="707"/>
        <v>727.05000003660098</v>
      </c>
      <c r="U4279" s="158">
        <f t="shared" si="709"/>
        <v>393</v>
      </c>
      <c r="V4279" s="160">
        <f t="shared" si="708"/>
        <v>393</v>
      </c>
    </row>
    <row r="4280" spans="1:22" x14ac:dyDescent="0.25">
      <c r="A4280" s="98" t="s">
        <v>29</v>
      </c>
      <c r="B4280" s="98" t="s">
        <v>17</v>
      </c>
      <c r="C4280" s="98">
        <v>89</v>
      </c>
      <c r="D4280" s="98">
        <v>385</v>
      </c>
      <c r="E4280" s="157">
        <v>43082.165277777778</v>
      </c>
      <c r="F4280" s="157">
        <v>43082.186111111114</v>
      </c>
      <c r="G4280" s="98">
        <v>365</v>
      </c>
      <c r="H4280" s="98">
        <v>423</v>
      </c>
      <c r="I4280" s="98">
        <v>393</v>
      </c>
      <c r="J4280" s="98" t="s">
        <v>228</v>
      </c>
      <c r="K4280" s="98" t="s">
        <v>4848</v>
      </c>
      <c r="L4280" s="105" t="str">
        <f t="shared" si="700"/>
        <v>Mill Creek</v>
      </c>
      <c r="M4280" s="105" t="str">
        <f t="shared" si="701"/>
        <v>Derate</v>
      </c>
      <c r="N4280" s="105" t="str">
        <f t="shared" si="702"/>
        <v>Coal</v>
      </c>
      <c r="O4280" s="105">
        <f>IFERROR(VLOOKUP(A4280,Lookup!$J$5:$P$19,7,FALSE),0)</f>
        <v>3</v>
      </c>
      <c r="P4280" s="159">
        <f t="shared" si="703"/>
        <v>2017</v>
      </c>
      <c r="Q4280" s="159">
        <f t="shared" si="704"/>
        <v>12</v>
      </c>
      <c r="R4280" s="160">
        <f t="shared" si="705"/>
        <v>0.50000000005820766</v>
      </c>
      <c r="S4280" s="158">
        <f t="shared" si="706"/>
        <v>6.8557919629730596E-2</v>
      </c>
      <c r="T4280" s="161">
        <f t="shared" si="707"/>
        <v>26.943262414484124</v>
      </c>
      <c r="U4280" s="158">
        <f t="shared" si="709"/>
        <v>53.886524822695037</v>
      </c>
      <c r="V4280" s="160">
        <f t="shared" si="708"/>
        <v>54</v>
      </c>
    </row>
    <row r="4281" spans="1:22" x14ac:dyDescent="0.25">
      <c r="A4281" s="98" t="s">
        <v>29</v>
      </c>
      <c r="B4281" s="98" t="s">
        <v>105</v>
      </c>
      <c r="C4281" s="98">
        <v>90</v>
      </c>
      <c r="D4281" s="98">
        <v>260</v>
      </c>
      <c r="E4281" s="157">
        <v>43084.95</v>
      </c>
      <c r="F4281" s="157">
        <v>43085.5</v>
      </c>
      <c r="G4281" s="98">
        <v>330</v>
      </c>
      <c r="H4281" s="98">
        <v>423</v>
      </c>
      <c r="I4281" s="98">
        <v>393</v>
      </c>
      <c r="J4281" s="98" t="s">
        <v>1973</v>
      </c>
      <c r="K4281" s="98" t="s">
        <v>4844</v>
      </c>
      <c r="L4281" s="105" t="str">
        <f t="shared" si="700"/>
        <v>Mill Creek</v>
      </c>
      <c r="M4281" s="105" t="str">
        <f t="shared" si="701"/>
        <v>Derate</v>
      </c>
      <c r="N4281" s="105" t="str">
        <f t="shared" si="702"/>
        <v>Coal</v>
      </c>
      <c r="O4281" s="105">
        <f>IFERROR(VLOOKUP(A4281,Lookup!$J$5:$P$19,7,FALSE),0)</f>
        <v>3</v>
      </c>
      <c r="P4281" s="159">
        <f t="shared" si="703"/>
        <v>2017</v>
      </c>
      <c r="Q4281" s="159">
        <f t="shared" si="704"/>
        <v>12</v>
      </c>
      <c r="R4281" s="160">
        <f t="shared" si="705"/>
        <v>13.200000000069849</v>
      </c>
      <c r="S4281" s="158">
        <f t="shared" si="706"/>
        <v>2.9021276595898251</v>
      </c>
      <c r="T4281" s="161">
        <f t="shared" si="707"/>
        <v>1140.5361702188013</v>
      </c>
      <c r="U4281" s="158">
        <f t="shared" si="709"/>
        <v>86.40425531914893</v>
      </c>
      <c r="V4281" s="160">
        <f t="shared" si="708"/>
        <v>86</v>
      </c>
    </row>
    <row r="4282" spans="1:22" x14ac:dyDescent="0.25">
      <c r="A4282" s="98" t="s">
        <v>29</v>
      </c>
      <c r="B4282" s="98" t="s">
        <v>105</v>
      </c>
      <c r="C4282" s="98">
        <v>92</v>
      </c>
      <c r="D4282" s="98">
        <v>260</v>
      </c>
      <c r="E4282" s="157">
        <v>43087.916666666664</v>
      </c>
      <c r="F4282" s="157">
        <v>43088.046527777777</v>
      </c>
      <c r="G4282" s="98">
        <v>330</v>
      </c>
      <c r="H4282" s="98">
        <v>423</v>
      </c>
      <c r="I4282" s="98">
        <v>393</v>
      </c>
      <c r="J4282" s="98" t="s">
        <v>1973</v>
      </c>
      <c r="K4282" s="98" t="s">
        <v>4332</v>
      </c>
      <c r="L4282" s="105" t="str">
        <f t="shared" si="700"/>
        <v>Mill Creek</v>
      </c>
      <c r="M4282" s="105" t="str">
        <f t="shared" si="701"/>
        <v>Derate</v>
      </c>
      <c r="N4282" s="105" t="str">
        <f t="shared" si="702"/>
        <v>Coal</v>
      </c>
      <c r="O4282" s="105">
        <f>IFERROR(VLOOKUP(A4282,Lookup!$J$5:$P$19,7,FALSE),0)</f>
        <v>3</v>
      </c>
      <c r="P4282" s="159">
        <f t="shared" si="703"/>
        <v>2017</v>
      </c>
      <c r="Q4282" s="159">
        <f t="shared" si="704"/>
        <v>12</v>
      </c>
      <c r="R4282" s="160">
        <f t="shared" si="705"/>
        <v>3.1166666666977108</v>
      </c>
      <c r="S4282" s="158">
        <f t="shared" si="706"/>
        <v>0.68522458629524141</v>
      </c>
      <c r="T4282" s="161">
        <f t="shared" si="707"/>
        <v>269.29326241402987</v>
      </c>
      <c r="U4282" s="158">
        <f t="shared" si="709"/>
        <v>86.40425531914893</v>
      </c>
      <c r="V4282" s="160">
        <f t="shared" si="708"/>
        <v>86</v>
      </c>
    </row>
    <row r="4283" spans="1:22" x14ac:dyDescent="0.25">
      <c r="A4283" s="98" t="s">
        <v>29</v>
      </c>
      <c r="B4283" s="98" t="s">
        <v>105</v>
      </c>
      <c r="C4283" s="98">
        <v>93</v>
      </c>
      <c r="D4283" s="98">
        <v>260</v>
      </c>
      <c r="E4283" s="157">
        <v>43088.958333333336</v>
      </c>
      <c r="F4283" s="157">
        <v>43089.148611111108</v>
      </c>
      <c r="G4283" s="98">
        <v>340</v>
      </c>
      <c r="H4283" s="98">
        <v>423</v>
      </c>
      <c r="I4283" s="98">
        <v>393</v>
      </c>
      <c r="J4283" s="98" t="s">
        <v>1973</v>
      </c>
      <c r="K4283" s="98" t="s">
        <v>4844</v>
      </c>
      <c r="L4283" s="105" t="str">
        <f t="shared" si="700"/>
        <v>Mill Creek</v>
      </c>
      <c r="M4283" s="105" t="str">
        <f t="shared" si="701"/>
        <v>Derate</v>
      </c>
      <c r="N4283" s="105" t="str">
        <f t="shared" si="702"/>
        <v>Coal</v>
      </c>
      <c r="O4283" s="105">
        <f>IFERROR(VLOOKUP(A4283,Lookup!$J$5:$P$19,7,FALSE),0)</f>
        <v>3</v>
      </c>
      <c r="P4283" s="159">
        <f t="shared" si="703"/>
        <v>2017</v>
      </c>
      <c r="Q4283" s="159">
        <f t="shared" si="704"/>
        <v>12</v>
      </c>
      <c r="R4283" s="160">
        <f t="shared" si="705"/>
        <v>4.5666666665347293</v>
      </c>
      <c r="S4283" s="158">
        <f t="shared" si="706"/>
        <v>0.89605988965102257</v>
      </c>
      <c r="T4283" s="161">
        <f t="shared" si="707"/>
        <v>352.15153663285184</v>
      </c>
      <c r="U4283" s="158">
        <f t="shared" si="709"/>
        <v>77.113475177304963</v>
      </c>
      <c r="V4283" s="160">
        <f t="shared" si="708"/>
        <v>77</v>
      </c>
    </row>
    <row r="4284" spans="1:22" x14ac:dyDescent="0.25">
      <c r="A4284" s="98" t="s">
        <v>29</v>
      </c>
      <c r="B4284" s="98" t="s">
        <v>105</v>
      </c>
      <c r="C4284" s="98">
        <v>94</v>
      </c>
      <c r="D4284" s="98">
        <v>260</v>
      </c>
      <c r="E4284" s="157">
        <v>43089.958333333336</v>
      </c>
      <c r="F4284" s="157">
        <v>43090.032638888886</v>
      </c>
      <c r="G4284" s="98">
        <v>340</v>
      </c>
      <c r="H4284" s="98">
        <v>423</v>
      </c>
      <c r="I4284" s="98">
        <v>393</v>
      </c>
      <c r="J4284" s="98" t="s">
        <v>1973</v>
      </c>
      <c r="K4284" s="98" t="s">
        <v>4849</v>
      </c>
      <c r="L4284" s="105" t="str">
        <f t="shared" si="700"/>
        <v>Mill Creek</v>
      </c>
      <c r="M4284" s="105" t="str">
        <f t="shared" si="701"/>
        <v>Derate</v>
      </c>
      <c r="N4284" s="105" t="str">
        <f t="shared" si="702"/>
        <v>Coal</v>
      </c>
      <c r="O4284" s="105">
        <f>IFERROR(VLOOKUP(A4284,Lookup!$J$5:$P$19,7,FALSE),0)</f>
        <v>3</v>
      </c>
      <c r="P4284" s="159">
        <f t="shared" si="703"/>
        <v>2017</v>
      </c>
      <c r="Q4284" s="159">
        <f t="shared" si="704"/>
        <v>12</v>
      </c>
      <c r="R4284" s="160">
        <f t="shared" si="705"/>
        <v>1.783333333209157</v>
      </c>
      <c r="S4284" s="158">
        <f t="shared" si="706"/>
        <v>0.34992119776917263</v>
      </c>
      <c r="T4284" s="161">
        <f t="shared" si="707"/>
        <v>137.51903072328486</v>
      </c>
      <c r="U4284" s="158">
        <f t="shared" si="709"/>
        <v>77.113475177304963</v>
      </c>
      <c r="V4284" s="160">
        <f t="shared" si="708"/>
        <v>77</v>
      </c>
    </row>
    <row r="4285" spans="1:22" x14ac:dyDescent="0.25">
      <c r="A4285" s="98" t="s">
        <v>29</v>
      </c>
      <c r="B4285" s="98" t="s">
        <v>105</v>
      </c>
      <c r="C4285" s="98">
        <v>95</v>
      </c>
      <c r="D4285" s="98">
        <v>260</v>
      </c>
      <c r="E4285" s="157">
        <v>43090.901388888888</v>
      </c>
      <c r="F4285" s="157">
        <v>43091.753472222219</v>
      </c>
      <c r="G4285" s="98">
        <v>340</v>
      </c>
      <c r="H4285" s="98">
        <v>423</v>
      </c>
      <c r="I4285" s="98">
        <v>393</v>
      </c>
      <c r="J4285" s="98" t="s">
        <v>1973</v>
      </c>
      <c r="K4285" s="98" t="s">
        <v>4850</v>
      </c>
      <c r="L4285" s="105" t="str">
        <f t="shared" si="700"/>
        <v>Mill Creek</v>
      </c>
      <c r="M4285" s="105" t="str">
        <f t="shared" si="701"/>
        <v>Derate</v>
      </c>
      <c r="N4285" s="105" t="str">
        <f t="shared" si="702"/>
        <v>Coal</v>
      </c>
      <c r="O4285" s="105">
        <f>IFERROR(VLOOKUP(A4285,Lookup!$J$5:$P$19,7,FALSE),0)</f>
        <v>3</v>
      </c>
      <c r="P4285" s="159">
        <f t="shared" si="703"/>
        <v>2017</v>
      </c>
      <c r="Q4285" s="159">
        <f t="shared" si="704"/>
        <v>12</v>
      </c>
      <c r="R4285" s="160">
        <f t="shared" si="705"/>
        <v>20.449999999953434</v>
      </c>
      <c r="S4285" s="158">
        <f t="shared" si="706"/>
        <v>4.012647754127979</v>
      </c>
      <c r="T4285" s="161">
        <f t="shared" si="707"/>
        <v>1576.9705673722958</v>
      </c>
      <c r="U4285" s="158">
        <f t="shared" si="709"/>
        <v>77.113475177304963</v>
      </c>
      <c r="V4285" s="160">
        <f t="shared" si="708"/>
        <v>77</v>
      </c>
    </row>
    <row r="4286" spans="1:22" x14ac:dyDescent="0.25">
      <c r="A4286" s="98" t="s">
        <v>29</v>
      </c>
      <c r="B4286" s="98" t="s">
        <v>17</v>
      </c>
      <c r="C4286" s="98">
        <v>96</v>
      </c>
      <c r="D4286" s="98">
        <v>250</v>
      </c>
      <c r="E4286" s="157">
        <v>43094.442361111112</v>
      </c>
      <c r="F4286" s="157">
        <v>43094.5625</v>
      </c>
      <c r="G4286" s="98">
        <v>340</v>
      </c>
      <c r="H4286" s="98">
        <v>423</v>
      </c>
      <c r="I4286" s="98">
        <v>393</v>
      </c>
      <c r="J4286" s="98" t="s">
        <v>1978</v>
      </c>
      <c r="K4286" s="98" t="s">
        <v>4851</v>
      </c>
      <c r="L4286" s="105" t="str">
        <f t="shared" si="700"/>
        <v>Mill Creek</v>
      </c>
      <c r="M4286" s="105" t="str">
        <f t="shared" si="701"/>
        <v>Derate</v>
      </c>
      <c r="N4286" s="105" t="str">
        <f t="shared" si="702"/>
        <v>Coal</v>
      </c>
      <c r="O4286" s="105">
        <f>IFERROR(VLOOKUP(A4286,Lookup!$J$5:$P$19,7,FALSE),0)</f>
        <v>3</v>
      </c>
      <c r="P4286" s="159">
        <f t="shared" si="703"/>
        <v>2017</v>
      </c>
      <c r="Q4286" s="159">
        <f t="shared" si="704"/>
        <v>12</v>
      </c>
      <c r="R4286" s="160">
        <f t="shared" si="705"/>
        <v>2.8833333333022892</v>
      </c>
      <c r="S4286" s="158">
        <f t="shared" si="706"/>
        <v>0.56576044128626479</v>
      </c>
      <c r="T4286" s="161">
        <f t="shared" si="707"/>
        <v>222.34385342550206</v>
      </c>
      <c r="U4286" s="158">
        <f t="shared" si="709"/>
        <v>77.113475177304963</v>
      </c>
      <c r="V4286" s="160">
        <f t="shared" si="708"/>
        <v>77</v>
      </c>
    </row>
    <row r="4287" spans="1:22" x14ac:dyDescent="0.25">
      <c r="A4287" s="98" t="s">
        <v>29</v>
      </c>
      <c r="B4287" s="98" t="s">
        <v>17</v>
      </c>
      <c r="C4287" s="98">
        <v>97</v>
      </c>
      <c r="D4287" s="98">
        <v>250</v>
      </c>
      <c r="E4287" s="157">
        <v>43094.5625</v>
      </c>
      <c r="F4287" s="157">
        <v>43094.798611111109</v>
      </c>
      <c r="G4287" s="98">
        <v>230</v>
      </c>
      <c r="H4287" s="98">
        <v>423</v>
      </c>
      <c r="I4287" s="98">
        <v>393</v>
      </c>
      <c r="J4287" s="98" t="s">
        <v>1978</v>
      </c>
      <c r="K4287" s="98" t="s">
        <v>4852</v>
      </c>
      <c r="L4287" s="105" t="str">
        <f t="shared" si="700"/>
        <v>Mill Creek</v>
      </c>
      <c r="M4287" s="105" t="str">
        <f t="shared" si="701"/>
        <v>Derate</v>
      </c>
      <c r="N4287" s="105" t="str">
        <f t="shared" si="702"/>
        <v>Coal</v>
      </c>
      <c r="O4287" s="105">
        <f>IFERROR(VLOOKUP(A4287,Lookup!$J$5:$P$19,7,FALSE),0)</f>
        <v>3</v>
      </c>
      <c r="P4287" s="159">
        <f t="shared" si="703"/>
        <v>2017</v>
      </c>
      <c r="Q4287" s="159">
        <f t="shared" si="704"/>
        <v>12</v>
      </c>
      <c r="R4287" s="160">
        <f t="shared" si="705"/>
        <v>5.6666666666278616</v>
      </c>
      <c r="S4287" s="158">
        <f t="shared" si="706"/>
        <v>2.585500393993327</v>
      </c>
      <c r="T4287" s="161">
        <f t="shared" si="707"/>
        <v>1016.1016548393775</v>
      </c>
      <c r="U4287" s="158">
        <f t="shared" si="709"/>
        <v>179.31205673758865</v>
      </c>
      <c r="V4287" s="160">
        <f t="shared" si="708"/>
        <v>179</v>
      </c>
    </row>
    <row r="4288" spans="1:22" x14ac:dyDescent="0.25">
      <c r="A4288" s="98" t="s">
        <v>29</v>
      </c>
      <c r="B4288" s="98" t="s">
        <v>17</v>
      </c>
      <c r="C4288" s="98">
        <v>98</v>
      </c>
      <c r="D4288" s="98">
        <v>250</v>
      </c>
      <c r="E4288" s="157">
        <v>43094.798611111109</v>
      </c>
      <c r="F4288" s="162">
        <v>43094.927083333336</v>
      </c>
      <c r="G4288" s="98">
        <v>340</v>
      </c>
      <c r="H4288" s="98">
        <v>423</v>
      </c>
      <c r="I4288" s="98">
        <v>393</v>
      </c>
      <c r="J4288" s="98" t="s">
        <v>1978</v>
      </c>
      <c r="K4288" s="98" t="s">
        <v>4853</v>
      </c>
      <c r="L4288" s="105" t="str">
        <f t="shared" si="700"/>
        <v>Mill Creek</v>
      </c>
      <c r="M4288" s="105" t="str">
        <f t="shared" si="701"/>
        <v>Derate</v>
      </c>
      <c r="N4288" s="105" t="str">
        <f t="shared" si="702"/>
        <v>Coal</v>
      </c>
      <c r="O4288" s="105">
        <f>IFERROR(VLOOKUP(A4288,Lookup!$J$5:$P$19,7,FALSE),0)</f>
        <v>3</v>
      </c>
      <c r="P4288" s="159">
        <f t="shared" si="703"/>
        <v>2017</v>
      </c>
      <c r="Q4288" s="159">
        <f t="shared" si="704"/>
        <v>12</v>
      </c>
      <c r="R4288" s="160">
        <f t="shared" si="705"/>
        <v>3.0833333334303461</v>
      </c>
      <c r="S4288" s="158">
        <f t="shared" si="706"/>
        <v>0.60500394012935865</v>
      </c>
      <c r="T4288" s="161">
        <f t="shared" si="707"/>
        <v>237.76654847083796</v>
      </c>
      <c r="U4288" s="158">
        <f t="shared" si="709"/>
        <v>77.113475177304963</v>
      </c>
      <c r="V4288" s="160">
        <f t="shared" si="708"/>
        <v>77</v>
      </c>
    </row>
    <row r="4289" spans="1:22" x14ac:dyDescent="0.25">
      <c r="A4289" s="98" t="s">
        <v>29</v>
      </c>
      <c r="B4289" s="98" t="s">
        <v>105</v>
      </c>
      <c r="C4289" s="98">
        <v>1</v>
      </c>
      <c r="D4289" s="98">
        <v>250</v>
      </c>
      <c r="E4289" s="157">
        <v>43103.958333333336</v>
      </c>
      <c r="F4289" s="157">
        <v>43104.109722222223</v>
      </c>
      <c r="G4289" s="98">
        <v>330</v>
      </c>
      <c r="H4289" s="98">
        <v>423</v>
      </c>
      <c r="I4289" s="98">
        <v>393</v>
      </c>
      <c r="J4289" s="98" t="s">
        <v>1978</v>
      </c>
      <c r="K4289" s="98" t="s">
        <v>4854</v>
      </c>
      <c r="L4289" s="105" t="str">
        <f t="shared" si="700"/>
        <v>Mill Creek</v>
      </c>
      <c r="M4289" s="105" t="str">
        <f t="shared" si="701"/>
        <v>Derate</v>
      </c>
      <c r="N4289" s="105" t="str">
        <f t="shared" si="702"/>
        <v>Coal</v>
      </c>
      <c r="O4289" s="105">
        <f>IFERROR(VLOOKUP(A4289,Lookup!$J$5:$P$19,7,FALSE),0)</f>
        <v>3</v>
      </c>
      <c r="P4289" s="159">
        <f t="shared" si="703"/>
        <v>2018</v>
      </c>
      <c r="Q4289" s="159">
        <f t="shared" si="704"/>
        <v>1</v>
      </c>
      <c r="R4289" s="160">
        <f t="shared" si="705"/>
        <v>3.6333333333022892</v>
      </c>
      <c r="S4289" s="158">
        <f t="shared" si="706"/>
        <v>0.79881796689624796</v>
      </c>
      <c r="T4289" s="161">
        <f t="shared" si="707"/>
        <v>313.93546099022547</v>
      </c>
      <c r="U4289" s="158">
        <f t="shared" si="709"/>
        <v>86.40425531914893</v>
      </c>
      <c r="V4289" s="160">
        <f t="shared" si="708"/>
        <v>86</v>
      </c>
    </row>
    <row r="4290" spans="1:22" x14ac:dyDescent="0.25">
      <c r="A4290" s="98" t="s">
        <v>29</v>
      </c>
      <c r="B4290" s="98" t="s">
        <v>105</v>
      </c>
      <c r="C4290" s="98">
        <v>2</v>
      </c>
      <c r="D4290" s="98">
        <v>253</v>
      </c>
      <c r="E4290" s="157">
        <v>43107.916666666664</v>
      </c>
      <c r="F4290" s="157">
        <v>43108.111111111109</v>
      </c>
      <c r="G4290" s="98">
        <v>330</v>
      </c>
      <c r="H4290" s="98">
        <v>423</v>
      </c>
      <c r="I4290" s="98">
        <v>393</v>
      </c>
      <c r="J4290" s="98" t="s">
        <v>1999</v>
      </c>
      <c r="K4290" s="98" t="s">
        <v>4855</v>
      </c>
      <c r="L4290" s="105" t="str">
        <f t="shared" si="700"/>
        <v>Mill Creek</v>
      </c>
      <c r="M4290" s="105" t="str">
        <f t="shared" si="701"/>
        <v>Derate</v>
      </c>
      <c r="N4290" s="105" t="str">
        <f t="shared" si="702"/>
        <v>Coal</v>
      </c>
      <c r="O4290" s="105">
        <f>IFERROR(VLOOKUP(A4290,Lookup!$J$5:$P$19,7,FALSE),0)</f>
        <v>3</v>
      </c>
      <c r="P4290" s="159">
        <f t="shared" si="703"/>
        <v>2018</v>
      </c>
      <c r="Q4290" s="159">
        <f t="shared" si="704"/>
        <v>1</v>
      </c>
      <c r="R4290" s="160">
        <f t="shared" si="705"/>
        <v>4.6666666666860692</v>
      </c>
      <c r="S4290" s="158">
        <f t="shared" si="706"/>
        <v>1.0260047281366536</v>
      </c>
      <c r="T4290" s="161">
        <f t="shared" si="707"/>
        <v>403.21985815770483</v>
      </c>
      <c r="U4290" s="158">
        <f t="shared" si="709"/>
        <v>86.40425531914893</v>
      </c>
      <c r="V4290" s="160">
        <f t="shared" si="708"/>
        <v>86</v>
      </c>
    </row>
    <row r="4291" spans="1:22" x14ac:dyDescent="0.25">
      <c r="A4291" s="98" t="s">
        <v>29</v>
      </c>
      <c r="B4291" s="98" t="s">
        <v>17</v>
      </c>
      <c r="C4291" s="98">
        <v>3</v>
      </c>
      <c r="D4291" s="98">
        <v>350</v>
      </c>
      <c r="E4291" s="157">
        <v>43109.241666666669</v>
      </c>
      <c r="F4291" s="157">
        <v>43109.283333333333</v>
      </c>
      <c r="G4291" s="98">
        <v>330</v>
      </c>
      <c r="H4291" s="98">
        <v>423</v>
      </c>
      <c r="I4291" s="98">
        <v>393</v>
      </c>
      <c r="J4291" s="98" t="s">
        <v>1976</v>
      </c>
      <c r="K4291" s="98" t="s">
        <v>4856</v>
      </c>
      <c r="L4291" s="105" t="str">
        <f t="shared" si="700"/>
        <v>Mill Creek</v>
      </c>
      <c r="M4291" s="105" t="str">
        <f t="shared" si="701"/>
        <v>Derate</v>
      </c>
      <c r="N4291" s="105" t="str">
        <f t="shared" si="702"/>
        <v>Coal</v>
      </c>
      <c r="O4291" s="105">
        <f>IFERROR(VLOOKUP(A4291,Lookup!$J$5:$P$19,7,FALSE),0)</f>
        <v>3</v>
      </c>
      <c r="P4291" s="159">
        <f t="shared" si="703"/>
        <v>2018</v>
      </c>
      <c r="Q4291" s="159">
        <f t="shared" si="704"/>
        <v>1</v>
      </c>
      <c r="R4291" s="160">
        <f t="shared" si="705"/>
        <v>0.99999999994179234</v>
      </c>
      <c r="S4291" s="158">
        <f t="shared" si="706"/>
        <v>0.21985815601557138</v>
      </c>
      <c r="T4291" s="161">
        <f t="shared" si="707"/>
        <v>86.404255314119553</v>
      </c>
      <c r="U4291" s="158">
        <f t="shared" si="709"/>
        <v>86.40425531914893</v>
      </c>
      <c r="V4291" s="160">
        <f t="shared" si="708"/>
        <v>86</v>
      </c>
    </row>
    <row r="4292" spans="1:22" x14ac:dyDescent="0.25">
      <c r="A4292" s="98" t="s">
        <v>29</v>
      </c>
      <c r="B4292" s="98" t="s">
        <v>105</v>
      </c>
      <c r="C4292" s="98">
        <v>4</v>
      </c>
      <c r="D4292" s="98">
        <v>310</v>
      </c>
      <c r="E4292" s="157">
        <v>43109.958333333336</v>
      </c>
      <c r="F4292" s="157">
        <v>43110.166666666664</v>
      </c>
      <c r="G4292" s="98">
        <v>330</v>
      </c>
      <c r="H4292" s="98">
        <v>423</v>
      </c>
      <c r="I4292" s="98">
        <v>393</v>
      </c>
      <c r="J4292" s="98" t="s">
        <v>1966</v>
      </c>
      <c r="K4292" s="98" t="s">
        <v>4857</v>
      </c>
      <c r="L4292" s="105" t="str">
        <f t="shared" si="700"/>
        <v>Mill Creek</v>
      </c>
      <c r="M4292" s="105" t="str">
        <f t="shared" si="701"/>
        <v>Derate</v>
      </c>
      <c r="N4292" s="105" t="str">
        <f t="shared" si="702"/>
        <v>Coal</v>
      </c>
      <c r="O4292" s="105">
        <f>IFERROR(VLOOKUP(A4292,Lookup!$J$5:$P$19,7,FALSE),0)</f>
        <v>3</v>
      </c>
      <c r="P4292" s="159">
        <f t="shared" si="703"/>
        <v>2018</v>
      </c>
      <c r="Q4292" s="159">
        <f t="shared" si="704"/>
        <v>1</v>
      </c>
      <c r="R4292" s="160">
        <f t="shared" si="705"/>
        <v>4.9999999998835847</v>
      </c>
      <c r="S4292" s="158">
        <f t="shared" si="706"/>
        <v>1.099290780116249</v>
      </c>
      <c r="T4292" s="161">
        <f t="shared" si="707"/>
        <v>432.02127658568588</v>
      </c>
      <c r="U4292" s="158">
        <f t="shared" si="709"/>
        <v>86.40425531914893</v>
      </c>
      <c r="V4292" s="160">
        <f t="shared" si="708"/>
        <v>86</v>
      </c>
    </row>
    <row r="4293" spans="1:22" x14ac:dyDescent="0.25">
      <c r="A4293" s="98" t="s">
        <v>29</v>
      </c>
      <c r="B4293" s="98" t="s">
        <v>105</v>
      </c>
      <c r="C4293" s="98">
        <v>6</v>
      </c>
      <c r="D4293" s="98">
        <v>310</v>
      </c>
      <c r="E4293" s="157">
        <v>43110.958333333336</v>
      </c>
      <c r="F4293" s="157">
        <v>43111.166666666664</v>
      </c>
      <c r="G4293" s="98">
        <v>330</v>
      </c>
      <c r="H4293" s="98">
        <v>423</v>
      </c>
      <c r="I4293" s="98">
        <v>393</v>
      </c>
      <c r="J4293" s="98" t="s">
        <v>1966</v>
      </c>
      <c r="K4293" s="98" t="s">
        <v>4337</v>
      </c>
      <c r="L4293" s="105" t="str">
        <f t="shared" si="700"/>
        <v>Mill Creek</v>
      </c>
      <c r="M4293" s="105" t="str">
        <f t="shared" si="701"/>
        <v>Derate</v>
      </c>
      <c r="N4293" s="105" t="str">
        <f t="shared" si="702"/>
        <v>Coal</v>
      </c>
      <c r="O4293" s="105">
        <f>IFERROR(VLOOKUP(A4293,Lookup!$J$5:$P$19,7,FALSE),0)</f>
        <v>3</v>
      </c>
      <c r="P4293" s="159">
        <f t="shared" si="703"/>
        <v>2018</v>
      </c>
      <c r="Q4293" s="159">
        <f t="shared" si="704"/>
        <v>1</v>
      </c>
      <c r="R4293" s="160">
        <f t="shared" si="705"/>
        <v>4.9999999998835847</v>
      </c>
      <c r="S4293" s="158">
        <f t="shared" si="706"/>
        <v>1.099290780116249</v>
      </c>
      <c r="T4293" s="161">
        <f t="shared" si="707"/>
        <v>432.02127658568588</v>
      </c>
      <c r="U4293" s="158">
        <f t="shared" si="709"/>
        <v>86.40425531914893</v>
      </c>
      <c r="V4293" s="160">
        <f t="shared" si="708"/>
        <v>86</v>
      </c>
    </row>
    <row r="4294" spans="1:22" x14ac:dyDescent="0.25">
      <c r="A4294" s="98" t="s">
        <v>29</v>
      </c>
      <c r="B4294" s="98" t="s">
        <v>105</v>
      </c>
      <c r="C4294" s="98">
        <v>8</v>
      </c>
      <c r="D4294" s="98">
        <v>310</v>
      </c>
      <c r="E4294" s="157">
        <v>43111.916666666664</v>
      </c>
      <c r="F4294" s="157">
        <v>43112.166666666664</v>
      </c>
      <c r="G4294" s="98">
        <v>330</v>
      </c>
      <c r="H4294" s="98">
        <v>423</v>
      </c>
      <c r="I4294" s="98">
        <v>393</v>
      </c>
      <c r="J4294" s="98" t="s">
        <v>1966</v>
      </c>
      <c r="K4294" s="98" t="s">
        <v>4858</v>
      </c>
      <c r="L4294" s="105" t="str">
        <f t="shared" si="700"/>
        <v>Mill Creek</v>
      </c>
      <c r="M4294" s="105" t="str">
        <f t="shared" si="701"/>
        <v>Derate</v>
      </c>
      <c r="N4294" s="105" t="str">
        <f t="shared" si="702"/>
        <v>Coal</v>
      </c>
      <c r="O4294" s="105">
        <f>IFERROR(VLOOKUP(A4294,Lookup!$J$5:$P$19,7,FALSE),0)</f>
        <v>3</v>
      </c>
      <c r="P4294" s="159">
        <f t="shared" si="703"/>
        <v>2018</v>
      </c>
      <c r="Q4294" s="159">
        <f t="shared" si="704"/>
        <v>1</v>
      </c>
      <c r="R4294" s="160">
        <f t="shared" si="705"/>
        <v>6</v>
      </c>
      <c r="S4294" s="158">
        <f t="shared" si="706"/>
        <v>1.3191489361702127</v>
      </c>
      <c r="T4294" s="161">
        <f t="shared" si="707"/>
        <v>518.42553191489355</v>
      </c>
      <c r="U4294" s="158">
        <f t="shared" si="709"/>
        <v>86.40425531914893</v>
      </c>
      <c r="V4294" s="160">
        <f t="shared" si="708"/>
        <v>86</v>
      </c>
    </row>
    <row r="4295" spans="1:22" x14ac:dyDescent="0.25">
      <c r="A4295" s="98" t="s">
        <v>29</v>
      </c>
      <c r="B4295" s="98" t="s">
        <v>105</v>
      </c>
      <c r="C4295" s="98">
        <v>10</v>
      </c>
      <c r="D4295" s="98">
        <v>310</v>
      </c>
      <c r="E4295" s="157">
        <v>43121.916666666664</v>
      </c>
      <c r="F4295" s="157">
        <v>43122.166666666664</v>
      </c>
      <c r="G4295" s="98">
        <v>330</v>
      </c>
      <c r="H4295" s="98">
        <v>423</v>
      </c>
      <c r="I4295" s="98">
        <v>393</v>
      </c>
      <c r="J4295" s="98" t="s">
        <v>1966</v>
      </c>
      <c r="K4295" s="98" t="s">
        <v>4859</v>
      </c>
      <c r="L4295" s="105" t="str">
        <f t="shared" si="700"/>
        <v>Mill Creek</v>
      </c>
      <c r="M4295" s="105" t="str">
        <f t="shared" si="701"/>
        <v>Derate</v>
      </c>
      <c r="N4295" s="105" t="str">
        <f t="shared" si="702"/>
        <v>Coal</v>
      </c>
      <c r="O4295" s="105">
        <f>IFERROR(VLOOKUP(A4295,Lookup!$J$5:$P$19,7,FALSE),0)</f>
        <v>3</v>
      </c>
      <c r="P4295" s="159">
        <f t="shared" si="703"/>
        <v>2018</v>
      </c>
      <c r="Q4295" s="159">
        <f t="shared" si="704"/>
        <v>1</v>
      </c>
      <c r="R4295" s="160">
        <f t="shared" si="705"/>
        <v>6</v>
      </c>
      <c r="S4295" s="158">
        <f t="shared" si="706"/>
        <v>1.3191489361702127</v>
      </c>
      <c r="T4295" s="161">
        <f t="shared" si="707"/>
        <v>518.42553191489355</v>
      </c>
      <c r="U4295" s="158">
        <f t="shared" si="709"/>
        <v>86.40425531914893</v>
      </c>
      <c r="V4295" s="160">
        <f t="shared" si="708"/>
        <v>86</v>
      </c>
    </row>
    <row r="4296" spans="1:22" x14ac:dyDescent="0.25">
      <c r="A4296" s="98" t="s">
        <v>29</v>
      </c>
      <c r="B4296" s="98" t="s">
        <v>105</v>
      </c>
      <c r="C4296" s="98">
        <v>12</v>
      </c>
      <c r="D4296" s="98">
        <v>260</v>
      </c>
      <c r="E4296" s="157">
        <v>43125.875</v>
      </c>
      <c r="F4296" s="157">
        <v>43126.208333333336</v>
      </c>
      <c r="G4296" s="98">
        <v>330</v>
      </c>
      <c r="H4296" s="98">
        <v>423</v>
      </c>
      <c r="I4296" s="98">
        <v>393</v>
      </c>
      <c r="J4296" s="98" t="s">
        <v>1973</v>
      </c>
      <c r="K4296" s="98" t="s">
        <v>4844</v>
      </c>
      <c r="L4296" s="105" t="str">
        <f t="shared" si="700"/>
        <v>Mill Creek</v>
      </c>
      <c r="M4296" s="105" t="str">
        <f t="shared" si="701"/>
        <v>Derate</v>
      </c>
      <c r="N4296" s="105" t="str">
        <f t="shared" si="702"/>
        <v>Coal</v>
      </c>
      <c r="O4296" s="105">
        <f>IFERROR(VLOOKUP(A4296,Lookup!$J$5:$P$19,7,FALSE),0)</f>
        <v>3</v>
      </c>
      <c r="P4296" s="159">
        <f t="shared" si="703"/>
        <v>2018</v>
      </c>
      <c r="Q4296" s="159">
        <f t="shared" si="704"/>
        <v>1</v>
      </c>
      <c r="R4296" s="160">
        <f t="shared" si="705"/>
        <v>8.0000000000582077</v>
      </c>
      <c r="S4296" s="158">
        <f t="shared" si="706"/>
        <v>1.7588652482397478</v>
      </c>
      <c r="T4296" s="161">
        <f t="shared" si="707"/>
        <v>691.23404255822084</v>
      </c>
      <c r="U4296" s="158">
        <f t="shared" si="709"/>
        <v>86.40425531914893</v>
      </c>
      <c r="V4296" s="160">
        <f t="shared" si="708"/>
        <v>86</v>
      </c>
    </row>
    <row r="4297" spans="1:22" x14ac:dyDescent="0.25">
      <c r="A4297" s="98" t="s">
        <v>29</v>
      </c>
      <c r="B4297" s="98" t="s">
        <v>105</v>
      </c>
      <c r="C4297" s="98">
        <v>14</v>
      </c>
      <c r="D4297" s="98">
        <v>255</v>
      </c>
      <c r="E4297" s="157">
        <v>43128.9375</v>
      </c>
      <c r="F4297" s="157">
        <v>43129.161111111112</v>
      </c>
      <c r="G4297" s="98">
        <v>330</v>
      </c>
      <c r="H4297" s="98">
        <v>423</v>
      </c>
      <c r="I4297" s="98">
        <v>393</v>
      </c>
      <c r="J4297" s="98" t="s">
        <v>2124</v>
      </c>
      <c r="K4297" s="98" t="s">
        <v>4860</v>
      </c>
      <c r="L4297" s="105" t="str">
        <f t="shared" si="700"/>
        <v>Mill Creek</v>
      </c>
      <c r="M4297" s="105" t="str">
        <f t="shared" si="701"/>
        <v>Derate</v>
      </c>
      <c r="N4297" s="105" t="str">
        <f t="shared" si="702"/>
        <v>Coal</v>
      </c>
      <c r="O4297" s="105">
        <f>IFERROR(VLOOKUP(A4297,Lookup!$J$5:$P$19,7,FALSE),0)</f>
        <v>3</v>
      </c>
      <c r="P4297" s="159">
        <f t="shared" si="703"/>
        <v>2018</v>
      </c>
      <c r="Q4297" s="159">
        <f t="shared" si="704"/>
        <v>1</v>
      </c>
      <c r="R4297" s="160">
        <f t="shared" si="705"/>
        <v>5.3666666666977108</v>
      </c>
      <c r="S4297" s="158">
        <f t="shared" si="706"/>
        <v>1.1799054373590712</v>
      </c>
      <c r="T4297" s="161">
        <f t="shared" si="707"/>
        <v>463.70283688211498</v>
      </c>
      <c r="U4297" s="158">
        <f t="shared" si="709"/>
        <v>86.40425531914893</v>
      </c>
      <c r="V4297" s="160">
        <f t="shared" si="708"/>
        <v>86</v>
      </c>
    </row>
    <row r="4298" spans="1:22" x14ac:dyDescent="0.25">
      <c r="A4298" s="98" t="s">
        <v>29</v>
      </c>
      <c r="B4298" s="98" t="s">
        <v>17</v>
      </c>
      <c r="C4298" s="98">
        <v>15</v>
      </c>
      <c r="D4298" s="98">
        <v>250</v>
      </c>
      <c r="E4298" s="157">
        <v>43129.279166666667</v>
      </c>
      <c r="F4298" s="157">
        <v>43129.548611111109</v>
      </c>
      <c r="G4298" s="98">
        <v>340</v>
      </c>
      <c r="H4298" s="98">
        <v>423</v>
      </c>
      <c r="I4298" s="98">
        <v>393</v>
      </c>
      <c r="J4298" s="98" t="s">
        <v>1978</v>
      </c>
      <c r="K4298" s="98" t="s">
        <v>4851</v>
      </c>
      <c r="L4298" s="105" t="str">
        <f t="shared" si="700"/>
        <v>Mill Creek</v>
      </c>
      <c r="M4298" s="105" t="str">
        <f t="shared" si="701"/>
        <v>Derate</v>
      </c>
      <c r="N4298" s="105" t="str">
        <f t="shared" si="702"/>
        <v>Coal</v>
      </c>
      <c r="O4298" s="105">
        <f>IFERROR(VLOOKUP(A4298,Lookup!$J$5:$P$19,7,FALSE),0)</f>
        <v>3</v>
      </c>
      <c r="P4298" s="159">
        <f t="shared" si="703"/>
        <v>2018</v>
      </c>
      <c r="Q4298" s="159">
        <f t="shared" si="704"/>
        <v>1</v>
      </c>
      <c r="R4298" s="160">
        <f t="shared" si="705"/>
        <v>6.46666666661622</v>
      </c>
      <c r="S4298" s="158">
        <f t="shared" si="706"/>
        <v>1.268873128437698</v>
      </c>
      <c r="T4298" s="161">
        <f t="shared" si="707"/>
        <v>498.66713947601528</v>
      </c>
      <c r="U4298" s="158">
        <f t="shared" si="709"/>
        <v>77.113475177304963</v>
      </c>
      <c r="V4298" s="160">
        <f t="shared" si="708"/>
        <v>77</v>
      </c>
    </row>
    <row r="4299" spans="1:22" x14ac:dyDescent="0.25">
      <c r="A4299" s="98" t="s">
        <v>29</v>
      </c>
      <c r="B4299" s="98" t="s">
        <v>17</v>
      </c>
      <c r="C4299" s="98">
        <v>16</v>
      </c>
      <c r="D4299" s="98">
        <v>3110</v>
      </c>
      <c r="E4299" s="157">
        <v>43136.376388888886</v>
      </c>
      <c r="F4299" s="157">
        <v>43136.430555555555</v>
      </c>
      <c r="G4299" s="98">
        <v>375</v>
      </c>
      <c r="H4299" s="98">
        <v>423</v>
      </c>
      <c r="I4299" s="98">
        <v>393</v>
      </c>
      <c r="J4299" s="98" t="s">
        <v>2119</v>
      </c>
      <c r="K4299" s="98" t="s">
        <v>4861</v>
      </c>
      <c r="L4299" s="105" t="str">
        <f t="shared" si="700"/>
        <v>Mill Creek</v>
      </c>
      <c r="M4299" s="105" t="str">
        <f t="shared" si="701"/>
        <v>Derate</v>
      </c>
      <c r="N4299" s="105" t="str">
        <f t="shared" si="702"/>
        <v>Coal</v>
      </c>
      <c r="O4299" s="105">
        <f>IFERROR(VLOOKUP(A4299,Lookup!$J$5:$P$19,7,FALSE),0)</f>
        <v>3</v>
      </c>
      <c r="P4299" s="159">
        <f t="shared" si="703"/>
        <v>2018</v>
      </c>
      <c r="Q4299" s="159">
        <f t="shared" si="704"/>
        <v>2</v>
      </c>
      <c r="R4299" s="160">
        <f t="shared" si="705"/>
        <v>1.3000000000465661</v>
      </c>
      <c r="S4299" s="158">
        <f t="shared" si="706"/>
        <v>0.147517730501738</v>
      </c>
      <c r="T4299" s="161">
        <f t="shared" si="707"/>
        <v>57.974468087183034</v>
      </c>
      <c r="U4299" s="158">
        <f t="shared" si="709"/>
        <v>44.595744680851062</v>
      </c>
      <c r="V4299" s="160">
        <f t="shared" si="708"/>
        <v>45</v>
      </c>
    </row>
    <row r="4300" spans="1:22" x14ac:dyDescent="0.25">
      <c r="A4300" s="98" t="s">
        <v>29</v>
      </c>
      <c r="B4300" s="98" t="s">
        <v>20</v>
      </c>
      <c r="C4300" s="98">
        <v>17</v>
      </c>
      <c r="D4300" s="98">
        <v>3110</v>
      </c>
      <c r="E4300" s="157">
        <v>43136.941666666666</v>
      </c>
      <c r="F4300" s="157">
        <v>43137.890972222223</v>
      </c>
      <c r="G4300" s="98">
        <v>0</v>
      </c>
      <c r="H4300" s="98">
        <v>423</v>
      </c>
      <c r="I4300" s="98">
        <v>393</v>
      </c>
      <c r="J4300" s="98" t="s">
        <v>2119</v>
      </c>
      <c r="K4300" s="98" t="s">
        <v>1566</v>
      </c>
      <c r="L4300" s="105" t="str">
        <f t="shared" si="700"/>
        <v>Mill Creek</v>
      </c>
      <c r="M4300" s="105" t="str">
        <f t="shared" si="701"/>
        <v>Maintenance</v>
      </c>
      <c r="N4300" s="105" t="str">
        <f t="shared" si="702"/>
        <v>Coal</v>
      </c>
      <c r="O4300" s="105">
        <f>IFERROR(VLOOKUP(A4300,Lookup!$J$5:$P$19,7,FALSE),0)</f>
        <v>3</v>
      </c>
      <c r="P4300" s="159">
        <f t="shared" si="703"/>
        <v>2018</v>
      </c>
      <c r="Q4300" s="159">
        <f t="shared" si="704"/>
        <v>2</v>
      </c>
      <c r="R4300" s="160">
        <f t="shared" si="705"/>
        <v>22.78333333338378</v>
      </c>
      <c r="S4300" s="158">
        <f t="shared" si="706"/>
        <v>22.78333333338378</v>
      </c>
      <c r="T4300" s="161">
        <f t="shared" si="707"/>
        <v>8953.8500000198255</v>
      </c>
      <c r="U4300" s="158">
        <f t="shared" si="709"/>
        <v>393</v>
      </c>
      <c r="V4300" s="160">
        <f t="shared" si="708"/>
        <v>393</v>
      </c>
    </row>
    <row r="4301" spans="1:22" x14ac:dyDescent="0.25">
      <c r="A4301" s="98" t="s">
        <v>29</v>
      </c>
      <c r="B4301" s="98" t="s">
        <v>17</v>
      </c>
      <c r="C4301" s="98">
        <v>18</v>
      </c>
      <c r="D4301" s="98">
        <v>3110</v>
      </c>
      <c r="E4301" s="157">
        <v>43138.224305555559</v>
      </c>
      <c r="F4301" s="157">
        <v>43139.219444444447</v>
      </c>
      <c r="G4301" s="98">
        <v>298</v>
      </c>
      <c r="H4301" s="98">
        <v>423</v>
      </c>
      <c r="I4301" s="98">
        <v>393</v>
      </c>
      <c r="J4301" s="98" t="s">
        <v>2119</v>
      </c>
      <c r="K4301" s="98" t="s">
        <v>4862</v>
      </c>
      <c r="L4301" s="105" t="str">
        <f t="shared" si="700"/>
        <v>Mill Creek</v>
      </c>
      <c r="M4301" s="105" t="str">
        <f t="shared" si="701"/>
        <v>Derate</v>
      </c>
      <c r="N4301" s="105" t="str">
        <f t="shared" si="702"/>
        <v>Coal</v>
      </c>
      <c r="O4301" s="105">
        <f>IFERROR(VLOOKUP(A4301,Lookup!$J$5:$P$19,7,FALSE),0)</f>
        <v>3</v>
      </c>
      <c r="P4301" s="159">
        <f t="shared" si="703"/>
        <v>2018</v>
      </c>
      <c r="Q4301" s="159">
        <f t="shared" si="704"/>
        <v>2</v>
      </c>
      <c r="R4301" s="160">
        <f t="shared" si="705"/>
        <v>23.883333333302289</v>
      </c>
      <c r="S4301" s="158">
        <f t="shared" si="706"/>
        <v>7.0577226162240807</v>
      </c>
      <c r="T4301" s="161">
        <f t="shared" si="707"/>
        <v>2773.6849881760636</v>
      </c>
      <c r="U4301" s="158">
        <f t="shared" si="709"/>
        <v>116.13475177304964</v>
      </c>
      <c r="V4301" s="160">
        <f t="shared" si="708"/>
        <v>116</v>
      </c>
    </row>
    <row r="4302" spans="1:22" x14ac:dyDescent="0.25">
      <c r="A4302" s="98" t="s">
        <v>29</v>
      </c>
      <c r="B4302" s="98" t="s">
        <v>17</v>
      </c>
      <c r="C4302" s="98">
        <v>19</v>
      </c>
      <c r="D4302" s="98">
        <v>3112</v>
      </c>
      <c r="E4302" s="157">
        <v>43150.590277777781</v>
      </c>
      <c r="F4302" s="157">
        <v>43150.942361111112</v>
      </c>
      <c r="G4302" s="98">
        <v>385</v>
      </c>
      <c r="H4302" s="98">
        <v>423</v>
      </c>
      <c r="I4302" s="98">
        <v>393</v>
      </c>
      <c r="J4302" s="98" t="s">
        <v>4562</v>
      </c>
      <c r="K4302" s="98" t="s">
        <v>4863</v>
      </c>
      <c r="L4302" s="105" t="str">
        <f t="shared" si="700"/>
        <v>Mill Creek</v>
      </c>
      <c r="M4302" s="105" t="str">
        <f t="shared" si="701"/>
        <v>Derate</v>
      </c>
      <c r="N4302" s="105" t="str">
        <f t="shared" si="702"/>
        <v>Coal</v>
      </c>
      <c r="O4302" s="105">
        <f>IFERROR(VLOOKUP(A4302,Lookup!$J$5:$P$19,7,FALSE),0)</f>
        <v>3</v>
      </c>
      <c r="P4302" s="159">
        <f t="shared" si="703"/>
        <v>2018</v>
      </c>
      <c r="Q4302" s="159">
        <f t="shared" si="704"/>
        <v>2</v>
      </c>
      <c r="R4302" s="160">
        <f t="shared" si="705"/>
        <v>8.4499999999534339</v>
      </c>
      <c r="S4302" s="158">
        <f t="shared" si="706"/>
        <v>0.75910165484215242</v>
      </c>
      <c r="T4302" s="161">
        <f t="shared" si="707"/>
        <v>298.32695035296592</v>
      </c>
      <c r="U4302" s="158">
        <f t="shared" si="709"/>
        <v>35.304964539007095</v>
      </c>
      <c r="V4302" s="160">
        <f t="shared" si="708"/>
        <v>35</v>
      </c>
    </row>
    <row r="4303" spans="1:22" x14ac:dyDescent="0.25">
      <c r="A4303" s="98" t="s">
        <v>29</v>
      </c>
      <c r="B4303" s="98" t="s">
        <v>15</v>
      </c>
      <c r="C4303" s="98">
        <v>20</v>
      </c>
      <c r="D4303" s="98">
        <v>1050</v>
      </c>
      <c r="E4303" s="157">
        <v>43150.942361111112</v>
      </c>
      <c r="F4303" s="157">
        <v>43153.386111111111</v>
      </c>
      <c r="G4303" s="98">
        <v>0</v>
      </c>
      <c r="H4303" s="98">
        <v>423</v>
      </c>
      <c r="I4303" s="98">
        <v>393</v>
      </c>
      <c r="J4303" s="98" t="s">
        <v>2112</v>
      </c>
      <c r="K4303" s="98" t="s">
        <v>4864</v>
      </c>
      <c r="L4303" s="105" t="str">
        <f t="shared" si="700"/>
        <v>Mill Creek</v>
      </c>
      <c r="M4303" s="105" t="str">
        <f t="shared" si="701"/>
        <v>Outage</v>
      </c>
      <c r="N4303" s="105" t="str">
        <f t="shared" si="702"/>
        <v>Coal</v>
      </c>
      <c r="O4303" s="105">
        <f>IFERROR(VLOOKUP(A4303,Lookup!$J$5:$P$19,7,FALSE),0)</f>
        <v>3</v>
      </c>
      <c r="P4303" s="159">
        <f t="shared" si="703"/>
        <v>2018</v>
      </c>
      <c r="Q4303" s="159">
        <f t="shared" si="704"/>
        <v>2</v>
      </c>
      <c r="R4303" s="160">
        <f t="shared" si="705"/>
        <v>58.649999999965075</v>
      </c>
      <c r="S4303" s="158">
        <f t="shared" si="706"/>
        <v>58.649999999965075</v>
      </c>
      <c r="T4303" s="161">
        <f t="shared" si="707"/>
        <v>23049.449999986275</v>
      </c>
      <c r="U4303" s="158">
        <f t="shared" si="709"/>
        <v>393</v>
      </c>
      <c r="V4303" s="160">
        <f t="shared" si="708"/>
        <v>393</v>
      </c>
    </row>
    <row r="4304" spans="1:22" x14ac:dyDescent="0.25">
      <c r="A4304" s="98" t="s">
        <v>29</v>
      </c>
      <c r="B4304" s="98" t="s">
        <v>17</v>
      </c>
      <c r="C4304" s="98">
        <v>21</v>
      </c>
      <c r="D4304" s="98">
        <v>1850</v>
      </c>
      <c r="E4304" s="157">
        <v>43153.886111111111</v>
      </c>
      <c r="F4304" s="157">
        <v>43154.173611111109</v>
      </c>
      <c r="G4304" s="98">
        <v>350</v>
      </c>
      <c r="H4304" s="98">
        <v>423</v>
      </c>
      <c r="I4304" s="98">
        <v>393</v>
      </c>
      <c r="J4304" s="98" t="s">
        <v>2263</v>
      </c>
      <c r="K4304" s="98" t="s">
        <v>4274</v>
      </c>
      <c r="L4304" s="105" t="str">
        <f t="shared" si="700"/>
        <v>Mill Creek</v>
      </c>
      <c r="M4304" s="105" t="str">
        <f t="shared" si="701"/>
        <v>Derate</v>
      </c>
      <c r="N4304" s="105" t="str">
        <f t="shared" si="702"/>
        <v>Coal</v>
      </c>
      <c r="O4304" s="105">
        <f>IFERROR(VLOOKUP(A4304,Lookup!$J$5:$P$19,7,FALSE),0)</f>
        <v>3</v>
      </c>
      <c r="P4304" s="159">
        <f t="shared" si="703"/>
        <v>2018</v>
      </c>
      <c r="Q4304" s="159">
        <f t="shared" si="704"/>
        <v>2</v>
      </c>
      <c r="R4304" s="160">
        <f t="shared" si="705"/>
        <v>6.8999999999650754</v>
      </c>
      <c r="S4304" s="158">
        <f t="shared" si="706"/>
        <v>1.1907801418379445</v>
      </c>
      <c r="T4304" s="161">
        <f t="shared" si="707"/>
        <v>467.97659574231216</v>
      </c>
      <c r="U4304" s="158">
        <f t="shared" si="709"/>
        <v>67.822695035460995</v>
      </c>
      <c r="V4304" s="160">
        <f t="shared" si="708"/>
        <v>68</v>
      </c>
    </row>
    <row r="4305" spans="1:22" x14ac:dyDescent="0.25">
      <c r="A4305" s="98" t="s">
        <v>29</v>
      </c>
      <c r="B4305" s="98" t="s">
        <v>17</v>
      </c>
      <c r="C4305" s="98">
        <v>22</v>
      </c>
      <c r="D4305" s="98">
        <v>1850</v>
      </c>
      <c r="E4305" s="157">
        <v>43155.745138888888</v>
      </c>
      <c r="F4305" s="157">
        <v>43155.788194444445</v>
      </c>
      <c r="G4305" s="98">
        <v>401</v>
      </c>
      <c r="H4305" s="98">
        <v>423</v>
      </c>
      <c r="I4305" s="98">
        <v>393</v>
      </c>
      <c r="J4305" s="98" t="s">
        <v>2263</v>
      </c>
      <c r="K4305" s="98" t="s">
        <v>41</v>
      </c>
      <c r="L4305" s="105" t="str">
        <f t="shared" si="700"/>
        <v>Mill Creek</v>
      </c>
      <c r="M4305" s="105" t="str">
        <f t="shared" si="701"/>
        <v>Derate</v>
      </c>
      <c r="N4305" s="105" t="str">
        <f t="shared" si="702"/>
        <v>Coal</v>
      </c>
      <c r="O4305" s="105">
        <f>IFERROR(VLOOKUP(A4305,Lookup!$J$5:$P$19,7,FALSE),0)</f>
        <v>3</v>
      </c>
      <c r="P4305" s="159">
        <f t="shared" si="703"/>
        <v>2018</v>
      </c>
      <c r="Q4305" s="159">
        <f t="shared" si="704"/>
        <v>2</v>
      </c>
      <c r="R4305" s="160">
        <f t="shared" si="705"/>
        <v>1.03333333338378</v>
      </c>
      <c r="S4305" s="158">
        <f t="shared" si="706"/>
        <v>5.3743104809558295E-2</v>
      </c>
      <c r="T4305" s="161">
        <f t="shared" si="707"/>
        <v>21.12104019015641</v>
      </c>
      <c r="U4305" s="158">
        <f t="shared" si="709"/>
        <v>20.439716312056738</v>
      </c>
      <c r="V4305" s="160">
        <f t="shared" si="708"/>
        <v>20</v>
      </c>
    </row>
    <row r="4306" spans="1:22" x14ac:dyDescent="0.25">
      <c r="A4306" s="98" t="s">
        <v>29</v>
      </c>
      <c r="B4306" s="98" t="s">
        <v>105</v>
      </c>
      <c r="C4306" s="98">
        <v>23</v>
      </c>
      <c r="D4306" s="98">
        <v>1455</v>
      </c>
      <c r="E4306" s="157">
        <v>43160.958333333336</v>
      </c>
      <c r="F4306" s="157">
        <v>43160.978472222225</v>
      </c>
      <c r="G4306" s="98">
        <v>240</v>
      </c>
      <c r="H4306" s="98">
        <v>423</v>
      </c>
      <c r="I4306" s="98">
        <v>393</v>
      </c>
      <c r="J4306" s="98" t="s">
        <v>1990</v>
      </c>
      <c r="K4306" s="98" t="s">
        <v>4865</v>
      </c>
      <c r="L4306" s="105" t="str">
        <f t="shared" si="700"/>
        <v>Mill Creek</v>
      </c>
      <c r="M4306" s="105" t="str">
        <f t="shared" si="701"/>
        <v>Derate</v>
      </c>
      <c r="N4306" s="105" t="str">
        <f t="shared" si="702"/>
        <v>Coal</v>
      </c>
      <c r="O4306" s="105">
        <f>IFERROR(VLOOKUP(A4306,Lookup!$J$5:$P$19,7,FALSE),0)</f>
        <v>3</v>
      </c>
      <c r="P4306" s="159">
        <f t="shared" si="703"/>
        <v>2018</v>
      </c>
      <c r="Q4306" s="159">
        <f t="shared" si="704"/>
        <v>3</v>
      </c>
      <c r="R4306" s="160">
        <f t="shared" si="705"/>
        <v>0.48333333333721384</v>
      </c>
      <c r="S4306" s="158">
        <f t="shared" si="706"/>
        <v>0.20910165484801449</v>
      </c>
      <c r="T4306" s="161">
        <f t="shared" si="707"/>
        <v>82.176950355269696</v>
      </c>
      <c r="U4306" s="158">
        <f t="shared" si="709"/>
        <v>170.02127659574469</v>
      </c>
      <c r="V4306" s="160">
        <f t="shared" si="708"/>
        <v>170</v>
      </c>
    </row>
    <row r="4307" spans="1:22" x14ac:dyDescent="0.25">
      <c r="A4307" s="98" t="s">
        <v>29</v>
      </c>
      <c r="B4307" s="98" t="s">
        <v>17</v>
      </c>
      <c r="C4307" s="98">
        <v>24</v>
      </c>
      <c r="D4307" s="98">
        <v>262</v>
      </c>
      <c r="E4307" s="157">
        <v>43172.293055555558</v>
      </c>
      <c r="F4307" s="157">
        <v>43172.724999999999</v>
      </c>
      <c r="G4307" s="98">
        <v>340</v>
      </c>
      <c r="H4307" s="98">
        <v>423</v>
      </c>
      <c r="I4307" s="98">
        <v>393</v>
      </c>
      <c r="J4307" s="98" t="s">
        <v>2640</v>
      </c>
      <c r="K4307" s="98" t="s">
        <v>4866</v>
      </c>
      <c r="L4307" s="105" t="str">
        <f t="shared" si="700"/>
        <v>Mill Creek</v>
      </c>
      <c r="M4307" s="105" t="str">
        <f t="shared" si="701"/>
        <v>Derate</v>
      </c>
      <c r="N4307" s="105" t="str">
        <f t="shared" si="702"/>
        <v>Coal</v>
      </c>
      <c r="O4307" s="105">
        <f>IFERROR(VLOOKUP(A4307,Lookup!$J$5:$P$19,7,FALSE),0)</f>
        <v>3</v>
      </c>
      <c r="P4307" s="159">
        <f t="shared" si="703"/>
        <v>2018</v>
      </c>
      <c r="Q4307" s="159">
        <f t="shared" si="704"/>
        <v>3</v>
      </c>
      <c r="R4307" s="160">
        <f t="shared" si="705"/>
        <v>10.366666666581295</v>
      </c>
      <c r="S4307" s="158">
        <f t="shared" si="706"/>
        <v>2.0341213553811999</v>
      </c>
      <c r="T4307" s="161">
        <f t="shared" si="707"/>
        <v>799.40969266481159</v>
      </c>
      <c r="U4307" s="158">
        <f t="shared" si="709"/>
        <v>77.113475177304963</v>
      </c>
      <c r="V4307" s="160">
        <f t="shared" si="708"/>
        <v>77</v>
      </c>
    </row>
    <row r="4308" spans="1:22" x14ac:dyDescent="0.25">
      <c r="A4308" s="98" t="s">
        <v>29</v>
      </c>
      <c r="B4308" s="98" t="s">
        <v>38</v>
      </c>
      <c r="C4308" s="98">
        <v>25</v>
      </c>
      <c r="D4308" s="98">
        <v>1801</v>
      </c>
      <c r="E4308" s="157">
        <v>43189.915972222225</v>
      </c>
      <c r="F4308" s="157">
        <v>43220</v>
      </c>
      <c r="H4308" s="98">
        <v>423</v>
      </c>
      <c r="I4308" s="98">
        <v>393</v>
      </c>
      <c r="J4308" s="98" t="s">
        <v>2021</v>
      </c>
      <c r="K4308" s="98" t="s">
        <v>4867</v>
      </c>
      <c r="L4308" s="105" t="str">
        <f t="shared" si="700"/>
        <v>Mill Creek</v>
      </c>
      <c r="M4308" s="105" t="str">
        <f t="shared" si="701"/>
        <v>Other</v>
      </c>
      <c r="N4308" s="105" t="str">
        <f t="shared" si="702"/>
        <v>Coal</v>
      </c>
      <c r="O4308" s="105">
        <f>IFERROR(VLOOKUP(A4308,Lookup!$J$5:$P$19,7,FALSE),0)</f>
        <v>3</v>
      </c>
      <c r="P4308" s="159">
        <f t="shared" si="703"/>
        <v>2018</v>
      </c>
      <c r="Q4308" s="159">
        <f t="shared" si="704"/>
        <v>3</v>
      </c>
      <c r="R4308" s="160">
        <f t="shared" si="705"/>
        <v>722.01666666660458</v>
      </c>
      <c r="S4308" s="158">
        <f t="shared" si="706"/>
        <v>722.01666666660458</v>
      </c>
      <c r="T4308" s="161">
        <f t="shared" si="707"/>
        <v>283752.5499999756</v>
      </c>
      <c r="U4308" s="158">
        <f t="shared" si="709"/>
        <v>393</v>
      </c>
      <c r="V4308" s="160">
        <f t="shared" si="708"/>
        <v>393</v>
      </c>
    </row>
    <row r="4309" spans="1:22" x14ac:dyDescent="0.25">
      <c r="A4309" s="98" t="s">
        <v>25</v>
      </c>
      <c r="B4309" s="98" t="s">
        <v>15</v>
      </c>
      <c r="C4309" s="98">
        <v>1</v>
      </c>
      <c r="D4309" s="98">
        <v>1060</v>
      </c>
      <c r="E4309" s="157">
        <v>41275</v>
      </c>
      <c r="F4309" s="157">
        <v>41276.135416666664</v>
      </c>
      <c r="G4309" s="98">
        <v>0</v>
      </c>
      <c r="H4309" s="98">
        <v>521</v>
      </c>
      <c r="I4309" s="98">
        <v>482</v>
      </c>
      <c r="J4309" s="98" t="s">
        <v>2179</v>
      </c>
      <c r="K4309" s="98" t="s">
        <v>53</v>
      </c>
      <c r="L4309" s="105" t="str">
        <f t="shared" si="700"/>
        <v>Mill Creek</v>
      </c>
      <c r="M4309" s="105" t="str">
        <f t="shared" si="701"/>
        <v>Outage</v>
      </c>
      <c r="N4309" s="105" t="str">
        <f t="shared" si="702"/>
        <v>Coal</v>
      </c>
      <c r="O4309" s="105">
        <f>IFERROR(VLOOKUP(A4309,Lookup!$J$5:$P$19,7,FALSE),0)</f>
        <v>3</v>
      </c>
      <c r="P4309" s="159">
        <f t="shared" si="703"/>
        <v>2013</v>
      </c>
      <c r="Q4309" s="159">
        <f t="shared" si="704"/>
        <v>1</v>
      </c>
      <c r="R4309" s="160">
        <f t="shared" si="705"/>
        <v>27.249999999941792</v>
      </c>
      <c r="S4309" s="158">
        <f t="shared" si="706"/>
        <v>27.249999999941792</v>
      </c>
      <c r="T4309" s="161">
        <f t="shared" si="707"/>
        <v>13134.499999971944</v>
      </c>
      <c r="U4309" s="158">
        <f t="shared" si="709"/>
        <v>482</v>
      </c>
      <c r="V4309" s="160">
        <f t="shared" si="708"/>
        <v>482</v>
      </c>
    </row>
    <row r="4310" spans="1:22" x14ac:dyDescent="0.25">
      <c r="A4310" s="98" t="s">
        <v>25</v>
      </c>
      <c r="B4310" s="98" t="s">
        <v>79</v>
      </c>
      <c r="C4310" s="98">
        <v>2</v>
      </c>
      <c r="D4310" s="98">
        <v>1850</v>
      </c>
      <c r="E4310" s="157">
        <v>41276.135416666664</v>
      </c>
      <c r="F4310" s="157">
        <v>41276.633333333331</v>
      </c>
      <c r="G4310" s="98">
        <v>0</v>
      </c>
      <c r="H4310" s="98">
        <v>521</v>
      </c>
      <c r="I4310" s="98">
        <v>482</v>
      </c>
      <c r="J4310" s="98" t="s">
        <v>2263</v>
      </c>
      <c r="K4310" s="98" t="s">
        <v>85</v>
      </c>
      <c r="L4310" s="105" t="str">
        <f t="shared" si="700"/>
        <v>Mill Creek</v>
      </c>
      <c r="M4310" s="105" t="str">
        <f t="shared" si="701"/>
        <v>Other</v>
      </c>
      <c r="N4310" s="105" t="str">
        <f t="shared" si="702"/>
        <v>Coal</v>
      </c>
      <c r="O4310" s="105">
        <f>IFERROR(VLOOKUP(A4310,Lookup!$J$5:$P$19,7,FALSE),0)</f>
        <v>3</v>
      </c>
      <c r="P4310" s="159">
        <f t="shared" si="703"/>
        <v>2013</v>
      </c>
      <c r="Q4310" s="159">
        <f t="shared" si="704"/>
        <v>1</v>
      </c>
      <c r="R4310" s="160">
        <f t="shared" si="705"/>
        <v>11.950000000011642</v>
      </c>
      <c r="S4310" s="158">
        <f t="shared" si="706"/>
        <v>11.950000000011642</v>
      </c>
      <c r="T4310" s="161">
        <f t="shared" si="707"/>
        <v>5759.9000000056112</v>
      </c>
      <c r="U4310" s="158">
        <f t="shared" si="709"/>
        <v>482</v>
      </c>
      <c r="V4310" s="160">
        <f t="shared" si="708"/>
        <v>482</v>
      </c>
    </row>
    <row r="4311" spans="1:22" x14ac:dyDescent="0.25">
      <c r="A4311" s="98" t="s">
        <v>25</v>
      </c>
      <c r="B4311" s="98" t="s">
        <v>17</v>
      </c>
      <c r="C4311" s="98">
        <v>3</v>
      </c>
      <c r="D4311" s="98">
        <v>1850</v>
      </c>
      <c r="E4311" s="157">
        <v>41276.633333333331</v>
      </c>
      <c r="F4311" s="157">
        <v>41276.916666666664</v>
      </c>
      <c r="G4311" s="98">
        <v>365</v>
      </c>
      <c r="H4311" s="98">
        <v>521</v>
      </c>
      <c r="I4311" s="98">
        <v>482</v>
      </c>
      <c r="J4311" s="98" t="s">
        <v>2263</v>
      </c>
      <c r="K4311" s="98" t="s">
        <v>41</v>
      </c>
      <c r="L4311" s="105" t="str">
        <f t="shared" si="700"/>
        <v>Mill Creek</v>
      </c>
      <c r="M4311" s="105" t="str">
        <f t="shared" si="701"/>
        <v>Derate</v>
      </c>
      <c r="N4311" s="105" t="str">
        <f t="shared" si="702"/>
        <v>Coal</v>
      </c>
      <c r="O4311" s="105">
        <f>IFERROR(VLOOKUP(A4311,Lookup!$J$5:$P$19,7,FALSE),0)</f>
        <v>3</v>
      </c>
      <c r="P4311" s="159">
        <f t="shared" si="703"/>
        <v>2013</v>
      </c>
      <c r="Q4311" s="159">
        <f t="shared" si="704"/>
        <v>1</v>
      </c>
      <c r="R4311" s="160">
        <f t="shared" si="705"/>
        <v>6.7999999999883585</v>
      </c>
      <c r="S4311" s="158">
        <f t="shared" si="706"/>
        <v>2.0360844529715623</v>
      </c>
      <c r="T4311" s="161">
        <f t="shared" si="707"/>
        <v>981.39270633229296</v>
      </c>
      <c r="U4311" s="158">
        <f t="shared" si="709"/>
        <v>144.32245681381957</v>
      </c>
      <c r="V4311" s="160">
        <f t="shared" si="708"/>
        <v>144</v>
      </c>
    </row>
    <row r="4312" spans="1:22" x14ac:dyDescent="0.25">
      <c r="A4312" s="98" t="s">
        <v>25</v>
      </c>
      <c r="B4312" s="98" t="s">
        <v>17</v>
      </c>
      <c r="C4312" s="98">
        <v>4</v>
      </c>
      <c r="D4312" s="98">
        <v>1850</v>
      </c>
      <c r="E4312" s="157">
        <v>41276.916666666664</v>
      </c>
      <c r="F4312" s="157">
        <v>41276.999305555553</v>
      </c>
      <c r="G4312" s="98">
        <v>385</v>
      </c>
      <c r="H4312" s="98">
        <v>521</v>
      </c>
      <c r="I4312" s="98">
        <v>482</v>
      </c>
      <c r="J4312" s="98" t="s">
        <v>2263</v>
      </c>
      <c r="K4312" s="98" t="s">
        <v>41</v>
      </c>
      <c r="L4312" s="105" t="str">
        <f t="shared" si="700"/>
        <v>Mill Creek</v>
      </c>
      <c r="M4312" s="105" t="str">
        <f t="shared" si="701"/>
        <v>Derate</v>
      </c>
      <c r="N4312" s="105" t="str">
        <f t="shared" si="702"/>
        <v>Coal</v>
      </c>
      <c r="O4312" s="105">
        <f>IFERROR(VLOOKUP(A4312,Lookup!$J$5:$P$19,7,FALSE),0)</f>
        <v>3</v>
      </c>
      <c r="P4312" s="159">
        <f t="shared" si="703"/>
        <v>2013</v>
      </c>
      <c r="Q4312" s="159">
        <f t="shared" si="704"/>
        <v>1</v>
      </c>
      <c r="R4312" s="160">
        <f t="shared" si="705"/>
        <v>1.9833333333372138</v>
      </c>
      <c r="S4312" s="158">
        <f t="shared" si="706"/>
        <v>0.5177223288557794</v>
      </c>
      <c r="T4312" s="161">
        <f t="shared" si="707"/>
        <v>249.54216250848566</v>
      </c>
      <c r="U4312" s="158">
        <f t="shared" si="709"/>
        <v>125.81957773512477</v>
      </c>
      <c r="V4312" s="160">
        <f t="shared" si="708"/>
        <v>126</v>
      </c>
    </row>
    <row r="4313" spans="1:22" x14ac:dyDescent="0.25">
      <c r="A4313" s="98" t="s">
        <v>25</v>
      </c>
      <c r="B4313" s="98" t="s">
        <v>17</v>
      </c>
      <c r="C4313" s="98">
        <v>5</v>
      </c>
      <c r="D4313" s="98">
        <v>1850</v>
      </c>
      <c r="E4313" s="157">
        <v>41276.999305555553</v>
      </c>
      <c r="F4313" s="157">
        <v>41277.055555555555</v>
      </c>
      <c r="G4313" s="98">
        <v>460</v>
      </c>
      <c r="H4313" s="98">
        <v>521</v>
      </c>
      <c r="I4313" s="98">
        <v>482</v>
      </c>
      <c r="J4313" s="98" t="s">
        <v>2263</v>
      </c>
      <c r="K4313" s="98" t="s">
        <v>41</v>
      </c>
      <c r="L4313" s="105" t="str">
        <f t="shared" si="700"/>
        <v>Mill Creek</v>
      </c>
      <c r="M4313" s="105" t="str">
        <f t="shared" si="701"/>
        <v>Derate</v>
      </c>
      <c r="N4313" s="105" t="str">
        <f t="shared" si="702"/>
        <v>Coal</v>
      </c>
      <c r="O4313" s="105">
        <f>IFERROR(VLOOKUP(A4313,Lookup!$J$5:$P$19,7,FALSE),0)</f>
        <v>3</v>
      </c>
      <c r="P4313" s="159">
        <f t="shared" si="703"/>
        <v>2013</v>
      </c>
      <c r="Q4313" s="159">
        <f t="shared" si="704"/>
        <v>1</v>
      </c>
      <c r="R4313" s="160">
        <f t="shared" si="705"/>
        <v>1.3500000000349246</v>
      </c>
      <c r="S4313" s="158">
        <f t="shared" si="706"/>
        <v>0.15806142034957851</v>
      </c>
      <c r="T4313" s="161">
        <f t="shared" si="707"/>
        <v>76.185604608496845</v>
      </c>
      <c r="U4313" s="158">
        <f t="shared" si="709"/>
        <v>56.433781190019197</v>
      </c>
      <c r="V4313" s="160">
        <f t="shared" si="708"/>
        <v>56</v>
      </c>
    </row>
    <row r="4314" spans="1:22" x14ac:dyDescent="0.25">
      <c r="A4314" s="98" t="s">
        <v>25</v>
      </c>
      <c r="B4314" s="98" t="s">
        <v>17</v>
      </c>
      <c r="C4314" s="98">
        <v>6</v>
      </c>
      <c r="D4314" s="98">
        <v>1850</v>
      </c>
      <c r="E4314" s="157">
        <v>41277.055555555555</v>
      </c>
      <c r="F4314" s="157">
        <v>41277.215277777781</v>
      </c>
      <c r="G4314" s="98">
        <v>485</v>
      </c>
      <c r="H4314" s="98">
        <v>521</v>
      </c>
      <c r="I4314" s="98">
        <v>482</v>
      </c>
      <c r="J4314" s="98" t="s">
        <v>2263</v>
      </c>
      <c r="K4314" s="98" t="s">
        <v>41</v>
      </c>
      <c r="L4314" s="105" t="str">
        <f t="shared" si="700"/>
        <v>Mill Creek</v>
      </c>
      <c r="M4314" s="105" t="str">
        <f t="shared" si="701"/>
        <v>Derate</v>
      </c>
      <c r="N4314" s="105" t="str">
        <f t="shared" si="702"/>
        <v>Coal</v>
      </c>
      <c r="O4314" s="105">
        <f>IFERROR(VLOOKUP(A4314,Lookup!$J$5:$P$19,7,FALSE),0)</f>
        <v>3</v>
      </c>
      <c r="P4314" s="159">
        <f t="shared" si="703"/>
        <v>2013</v>
      </c>
      <c r="Q4314" s="159">
        <f t="shared" si="704"/>
        <v>1</v>
      </c>
      <c r="R4314" s="160">
        <f t="shared" si="705"/>
        <v>3.8333333334303461</v>
      </c>
      <c r="S4314" s="158">
        <f t="shared" si="706"/>
        <v>0.26487523992992795</v>
      </c>
      <c r="T4314" s="161">
        <f t="shared" si="707"/>
        <v>127.66986564622528</v>
      </c>
      <c r="U4314" s="158">
        <f t="shared" si="709"/>
        <v>33.305182341650671</v>
      </c>
      <c r="V4314" s="160">
        <f t="shared" si="708"/>
        <v>33</v>
      </c>
    </row>
    <row r="4315" spans="1:22" x14ac:dyDescent="0.25">
      <c r="A4315" s="98" t="s">
        <v>25</v>
      </c>
      <c r="B4315" s="98" t="s">
        <v>17</v>
      </c>
      <c r="C4315" s="98">
        <v>7</v>
      </c>
      <c r="D4315" s="98">
        <v>310</v>
      </c>
      <c r="E4315" s="162">
        <v>41277.220138888886</v>
      </c>
      <c r="F4315" s="157">
        <v>41277.334027777775</v>
      </c>
      <c r="G4315" s="98">
        <v>425</v>
      </c>
      <c r="H4315" s="98">
        <v>521</v>
      </c>
      <c r="I4315" s="98">
        <v>482</v>
      </c>
      <c r="J4315" s="98" t="s">
        <v>1966</v>
      </c>
      <c r="K4315" s="98" t="s">
        <v>693</v>
      </c>
      <c r="L4315" s="105" t="str">
        <f t="shared" si="700"/>
        <v>Mill Creek</v>
      </c>
      <c r="M4315" s="105" t="str">
        <f t="shared" si="701"/>
        <v>Derate</v>
      </c>
      <c r="N4315" s="105" t="str">
        <f t="shared" si="702"/>
        <v>Coal</v>
      </c>
      <c r="O4315" s="105">
        <f>IFERROR(VLOOKUP(A4315,Lookup!$J$5:$P$19,7,FALSE),0)</f>
        <v>3</v>
      </c>
      <c r="P4315" s="159">
        <f t="shared" si="703"/>
        <v>2013</v>
      </c>
      <c r="Q4315" s="159">
        <f t="shared" si="704"/>
        <v>1</v>
      </c>
      <c r="R4315" s="160">
        <f t="shared" si="705"/>
        <v>2.7333333333372138</v>
      </c>
      <c r="S4315" s="158">
        <f t="shared" si="706"/>
        <v>0.5036468330141507</v>
      </c>
      <c r="T4315" s="161">
        <f t="shared" si="707"/>
        <v>242.75777351282065</v>
      </c>
      <c r="U4315" s="158">
        <f t="shared" si="709"/>
        <v>88.813819577735131</v>
      </c>
      <c r="V4315" s="160">
        <f t="shared" si="708"/>
        <v>89</v>
      </c>
    </row>
    <row r="4316" spans="1:22" x14ac:dyDescent="0.25">
      <c r="A4316" s="98" t="s">
        <v>25</v>
      </c>
      <c r="B4316" s="98" t="s">
        <v>17</v>
      </c>
      <c r="C4316" s="98">
        <v>8</v>
      </c>
      <c r="D4316" s="98">
        <v>9270</v>
      </c>
      <c r="E4316" s="157">
        <v>41288.013194444444</v>
      </c>
      <c r="F4316" s="157">
        <v>41288.162499999999</v>
      </c>
      <c r="G4316" s="98">
        <v>425</v>
      </c>
      <c r="H4316" s="98">
        <v>521</v>
      </c>
      <c r="I4316" s="98">
        <v>482</v>
      </c>
      <c r="J4316" s="98" t="s">
        <v>2006</v>
      </c>
      <c r="K4316" s="98" t="s">
        <v>694</v>
      </c>
      <c r="L4316" s="105" t="str">
        <f t="shared" si="700"/>
        <v>Mill Creek</v>
      </c>
      <c r="M4316" s="105" t="str">
        <f t="shared" si="701"/>
        <v>Derate</v>
      </c>
      <c r="N4316" s="105" t="str">
        <f t="shared" si="702"/>
        <v>Coal</v>
      </c>
      <c r="O4316" s="105">
        <f>IFERROR(VLOOKUP(A4316,Lookup!$J$5:$P$19,7,FALSE),0)</f>
        <v>3</v>
      </c>
      <c r="P4316" s="159">
        <f t="shared" si="703"/>
        <v>2013</v>
      </c>
      <c r="Q4316" s="159">
        <f t="shared" si="704"/>
        <v>1</v>
      </c>
      <c r="R4316" s="160">
        <f t="shared" si="705"/>
        <v>3.5833333333139308</v>
      </c>
      <c r="S4316" s="158">
        <f t="shared" si="706"/>
        <v>0.66026871400794118</v>
      </c>
      <c r="T4316" s="161">
        <f t="shared" si="707"/>
        <v>318.24952015182765</v>
      </c>
      <c r="U4316" s="158">
        <f t="shared" si="709"/>
        <v>88.813819577735131</v>
      </c>
      <c r="V4316" s="160">
        <f t="shared" si="708"/>
        <v>89</v>
      </c>
    </row>
    <row r="4317" spans="1:22" x14ac:dyDescent="0.25">
      <c r="A4317" s="98" t="s">
        <v>25</v>
      </c>
      <c r="B4317" s="98" t="s">
        <v>17</v>
      </c>
      <c r="C4317" s="98">
        <v>9</v>
      </c>
      <c r="D4317" s="98">
        <v>9270</v>
      </c>
      <c r="E4317" s="157">
        <v>41288.295138888891</v>
      </c>
      <c r="F4317" s="157">
        <v>41288.365972222222</v>
      </c>
      <c r="G4317" s="98">
        <v>425</v>
      </c>
      <c r="H4317" s="98">
        <v>521</v>
      </c>
      <c r="I4317" s="98">
        <v>482</v>
      </c>
      <c r="J4317" s="98" t="s">
        <v>2006</v>
      </c>
      <c r="K4317" s="98" t="s">
        <v>95</v>
      </c>
      <c r="L4317" s="105" t="str">
        <f t="shared" si="700"/>
        <v>Mill Creek</v>
      </c>
      <c r="M4317" s="105" t="str">
        <f t="shared" si="701"/>
        <v>Derate</v>
      </c>
      <c r="N4317" s="105" t="str">
        <f t="shared" si="702"/>
        <v>Coal</v>
      </c>
      <c r="O4317" s="105">
        <f>IFERROR(VLOOKUP(A4317,Lookup!$J$5:$P$19,7,FALSE),0)</f>
        <v>3</v>
      </c>
      <c r="P4317" s="159">
        <f t="shared" si="703"/>
        <v>2013</v>
      </c>
      <c r="Q4317" s="159">
        <f t="shared" si="704"/>
        <v>1</v>
      </c>
      <c r="R4317" s="160">
        <f t="shared" si="705"/>
        <v>1.6999999999534339</v>
      </c>
      <c r="S4317" s="158">
        <f t="shared" si="706"/>
        <v>0.31324376198758092</v>
      </c>
      <c r="T4317" s="161">
        <f t="shared" si="707"/>
        <v>150.98349327801401</v>
      </c>
      <c r="U4317" s="158">
        <f t="shared" si="709"/>
        <v>88.813819577735131</v>
      </c>
      <c r="V4317" s="160">
        <f t="shared" si="708"/>
        <v>89</v>
      </c>
    </row>
    <row r="4318" spans="1:22" x14ac:dyDescent="0.25">
      <c r="A4318" s="98" t="s">
        <v>25</v>
      </c>
      <c r="B4318" s="98" t="s">
        <v>17</v>
      </c>
      <c r="C4318" s="98">
        <v>10</v>
      </c>
      <c r="D4318" s="98">
        <v>9270</v>
      </c>
      <c r="E4318" s="157">
        <v>41288.365972222222</v>
      </c>
      <c r="F4318" s="157">
        <v>41289.082638888889</v>
      </c>
      <c r="G4318" s="98">
        <v>420</v>
      </c>
      <c r="H4318" s="98">
        <v>521</v>
      </c>
      <c r="I4318" s="98">
        <v>482</v>
      </c>
      <c r="J4318" s="98" t="s">
        <v>2006</v>
      </c>
      <c r="K4318" s="98" t="s">
        <v>95</v>
      </c>
      <c r="L4318" s="105" t="str">
        <f t="shared" si="700"/>
        <v>Mill Creek</v>
      </c>
      <c r="M4318" s="105" t="str">
        <f t="shared" si="701"/>
        <v>Derate</v>
      </c>
      <c r="N4318" s="105" t="str">
        <f t="shared" si="702"/>
        <v>Coal</v>
      </c>
      <c r="O4318" s="105">
        <f>IFERROR(VLOOKUP(A4318,Lookup!$J$5:$P$19,7,FALSE),0)</f>
        <v>3</v>
      </c>
      <c r="P4318" s="159">
        <f t="shared" si="703"/>
        <v>2013</v>
      </c>
      <c r="Q4318" s="159">
        <f t="shared" si="704"/>
        <v>1</v>
      </c>
      <c r="R4318" s="160">
        <f t="shared" si="705"/>
        <v>17.200000000011642</v>
      </c>
      <c r="S4318" s="158">
        <f t="shared" si="706"/>
        <v>3.3343570057604142</v>
      </c>
      <c r="T4318" s="161">
        <f t="shared" si="707"/>
        <v>1607.1600767765196</v>
      </c>
      <c r="U4318" s="158">
        <f t="shared" si="709"/>
        <v>93.439539347408825</v>
      </c>
      <c r="V4318" s="160">
        <f t="shared" si="708"/>
        <v>93</v>
      </c>
    </row>
    <row r="4319" spans="1:22" x14ac:dyDescent="0.25">
      <c r="A4319" s="98" t="s">
        <v>25</v>
      </c>
      <c r="B4319" s="98" t="s">
        <v>15</v>
      </c>
      <c r="C4319" s="98">
        <v>11</v>
      </c>
      <c r="D4319" s="98">
        <v>4267</v>
      </c>
      <c r="E4319" s="157">
        <v>41289.082638888889</v>
      </c>
      <c r="F4319" s="157">
        <v>41289.210416666669</v>
      </c>
      <c r="G4319" s="98">
        <v>0</v>
      </c>
      <c r="H4319" s="98">
        <v>521</v>
      </c>
      <c r="I4319" s="98">
        <v>482</v>
      </c>
      <c r="J4319" s="98" t="s">
        <v>2025</v>
      </c>
      <c r="K4319" s="98" t="s">
        <v>695</v>
      </c>
      <c r="L4319" s="105" t="str">
        <f t="shared" si="700"/>
        <v>Mill Creek</v>
      </c>
      <c r="M4319" s="105" t="str">
        <f t="shared" si="701"/>
        <v>Outage</v>
      </c>
      <c r="N4319" s="105" t="str">
        <f t="shared" si="702"/>
        <v>Coal</v>
      </c>
      <c r="O4319" s="105">
        <f>IFERROR(VLOOKUP(A4319,Lookup!$J$5:$P$19,7,FALSE),0)</f>
        <v>3</v>
      </c>
      <c r="P4319" s="159">
        <f t="shared" si="703"/>
        <v>2013</v>
      </c>
      <c r="Q4319" s="159">
        <f t="shared" si="704"/>
        <v>1</v>
      </c>
      <c r="R4319" s="160">
        <f t="shared" si="705"/>
        <v>3.0666666667093523</v>
      </c>
      <c r="S4319" s="158">
        <f t="shared" si="706"/>
        <v>3.0666666667093523</v>
      </c>
      <c r="T4319" s="161">
        <f t="shared" si="707"/>
        <v>1478.1333333539078</v>
      </c>
      <c r="U4319" s="158">
        <f t="shared" si="709"/>
        <v>482</v>
      </c>
      <c r="V4319" s="160">
        <f t="shared" si="708"/>
        <v>482</v>
      </c>
    </row>
    <row r="4320" spans="1:22" x14ac:dyDescent="0.25">
      <c r="A4320" s="98" t="s">
        <v>25</v>
      </c>
      <c r="B4320" s="98" t="s">
        <v>79</v>
      </c>
      <c r="C4320" s="98">
        <v>12</v>
      </c>
      <c r="D4320" s="98">
        <v>1850</v>
      </c>
      <c r="E4320" s="157">
        <v>41289.210416666669</v>
      </c>
      <c r="F4320" s="157">
        <v>41289.22152777778</v>
      </c>
      <c r="G4320" s="98">
        <v>0</v>
      </c>
      <c r="H4320" s="98">
        <v>521</v>
      </c>
      <c r="I4320" s="98">
        <v>482</v>
      </c>
      <c r="J4320" s="98" t="s">
        <v>2263</v>
      </c>
      <c r="K4320" s="98" t="s">
        <v>87</v>
      </c>
      <c r="L4320" s="105" t="str">
        <f t="shared" si="700"/>
        <v>Mill Creek</v>
      </c>
      <c r="M4320" s="105" t="str">
        <f t="shared" si="701"/>
        <v>Other</v>
      </c>
      <c r="N4320" s="105" t="str">
        <f t="shared" si="702"/>
        <v>Coal</v>
      </c>
      <c r="O4320" s="105">
        <f>IFERROR(VLOOKUP(A4320,Lookup!$J$5:$P$19,7,FALSE),0)</f>
        <v>3</v>
      </c>
      <c r="P4320" s="159">
        <f t="shared" si="703"/>
        <v>2013</v>
      </c>
      <c r="Q4320" s="159">
        <f t="shared" si="704"/>
        <v>1</v>
      </c>
      <c r="R4320" s="160">
        <f t="shared" si="705"/>
        <v>0.26666666666278616</v>
      </c>
      <c r="S4320" s="158">
        <f t="shared" si="706"/>
        <v>0.26666666666278616</v>
      </c>
      <c r="T4320" s="161">
        <f t="shared" si="707"/>
        <v>128.53333333146293</v>
      </c>
      <c r="U4320" s="158">
        <f t="shared" si="709"/>
        <v>482</v>
      </c>
      <c r="V4320" s="160">
        <f t="shared" si="708"/>
        <v>482</v>
      </c>
    </row>
    <row r="4321" spans="1:22" x14ac:dyDescent="0.25">
      <c r="A4321" s="98" t="s">
        <v>25</v>
      </c>
      <c r="B4321" s="98" t="s">
        <v>15</v>
      </c>
      <c r="C4321" s="98">
        <v>13</v>
      </c>
      <c r="D4321" s="98">
        <v>800</v>
      </c>
      <c r="E4321" s="157">
        <v>41289.22152777778</v>
      </c>
      <c r="F4321" s="157">
        <v>41289.290277777778</v>
      </c>
      <c r="G4321" s="98">
        <v>0</v>
      </c>
      <c r="H4321" s="98">
        <v>521</v>
      </c>
      <c r="I4321" s="98">
        <v>482</v>
      </c>
      <c r="J4321" s="98" t="s">
        <v>2197</v>
      </c>
      <c r="K4321" s="98" t="s">
        <v>44</v>
      </c>
      <c r="L4321" s="105" t="str">
        <f t="shared" si="700"/>
        <v>Mill Creek</v>
      </c>
      <c r="M4321" s="105" t="str">
        <f t="shared" si="701"/>
        <v>Outage</v>
      </c>
      <c r="N4321" s="105" t="str">
        <f t="shared" si="702"/>
        <v>Coal</v>
      </c>
      <c r="O4321" s="105">
        <f>IFERROR(VLOOKUP(A4321,Lookup!$J$5:$P$19,7,FALSE),0)</f>
        <v>3</v>
      </c>
      <c r="P4321" s="159">
        <f t="shared" si="703"/>
        <v>2013</v>
      </c>
      <c r="Q4321" s="159">
        <f t="shared" si="704"/>
        <v>1</v>
      </c>
      <c r="R4321" s="160">
        <f t="shared" si="705"/>
        <v>1.6499999999650754</v>
      </c>
      <c r="S4321" s="158">
        <f t="shared" si="706"/>
        <v>1.6499999999650754</v>
      </c>
      <c r="T4321" s="161">
        <f t="shared" si="707"/>
        <v>795.29999998316634</v>
      </c>
      <c r="U4321" s="158">
        <f t="shared" si="709"/>
        <v>482</v>
      </c>
      <c r="V4321" s="160">
        <f t="shared" si="708"/>
        <v>482</v>
      </c>
    </row>
    <row r="4322" spans="1:22" x14ac:dyDescent="0.25">
      <c r="A4322" s="98" t="s">
        <v>25</v>
      </c>
      <c r="B4322" s="98" t="s">
        <v>79</v>
      </c>
      <c r="C4322" s="98">
        <v>14</v>
      </c>
      <c r="D4322" s="98">
        <v>1850</v>
      </c>
      <c r="E4322" s="157">
        <v>41289.290277777778</v>
      </c>
      <c r="F4322" s="157">
        <v>41289.548611111109</v>
      </c>
      <c r="G4322" s="98">
        <v>0</v>
      </c>
      <c r="H4322" s="98">
        <v>521</v>
      </c>
      <c r="I4322" s="98">
        <v>482</v>
      </c>
      <c r="J4322" s="98" t="s">
        <v>2263</v>
      </c>
      <c r="K4322" s="98" t="s">
        <v>87</v>
      </c>
      <c r="L4322" s="105" t="str">
        <f t="shared" si="700"/>
        <v>Mill Creek</v>
      </c>
      <c r="M4322" s="105" t="str">
        <f t="shared" si="701"/>
        <v>Other</v>
      </c>
      <c r="N4322" s="105" t="str">
        <f t="shared" si="702"/>
        <v>Coal</v>
      </c>
      <c r="O4322" s="105">
        <f>IFERROR(VLOOKUP(A4322,Lookup!$J$5:$P$19,7,FALSE),0)</f>
        <v>3</v>
      </c>
      <c r="P4322" s="159">
        <f t="shared" si="703"/>
        <v>2013</v>
      </c>
      <c r="Q4322" s="159">
        <f t="shared" si="704"/>
        <v>1</v>
      </c>
      <c r="R4322" s="160">
        <f t="shared" si="705"/>
        <v>6.1999999999534339</v>
      </c>
      <c r="S4322" s="158">
        <f t="shared" si="706"/>
        <v>6.1999999999534339</v>
      </c>
      <c r="T4322" s="161">
        <f t="shared" si="707"/>
        <v>2988.3999999775551</v>
      </c>
      <c r="U4322" s="158">
        <f t="shared" si="709"/>
        <v>482</v>
      </c>
      <c r="V4322" s="160">
        <f t="shared" si="708"/>
        <v>482</v>
      </c>
    </row>
    <row r="4323" spans="1:22" x14ac:dyDescent="0.25">
      <c r="A4323" s="98" t="s">
        <v>25</v>
      </c>
      <c r="B4323" s="98" t="s">
        <v>17</v>
      </c>
      <c r="C4323" s="98">
        <v>15</v>
      </c>
      <c r="D4323" s="98">
        <v>310</v>
      </c>
      <c r="E4323" s="157">
        <v>41289.548611111109</v>
      </c>
      <c r="F4323" s="157">
        <v>41290.293055555558</v>
      </c>
      <c r="G4323" s="98">
        <v>400</v>
      </c>
      <c r="H4323" s="98">
        <v>521</v>
      </c>
      <c r="I4323" s="98">
        <v>482</v>
      </c>
      <c r="J4323" s="98" t="s">
        <v>1966</v>
      </c>
      <c r="K4323" s="98" t="s">
        <v>696</v>
      </c>
      <c r="L4323" s="105" t="str">
        <f t="shared" si="700"/>
        <v>Mill Creek</v>
      </c>
      <c r="M4323" s="105" t="str">
        <f t="shared" si="701"/>
        <v>Derate</v>
      </c>
      <c r="N4323" s="105" t="str">
        <f t="shared" si="702"/>
        <v>Coal</v>
      </c>
      <c r="O4323" s="105">
        <f>IFERROR(VLOOKUP(A4323,Lookup!$J$5:$P$19,7,FALSE),0)</f>
        <v>3</v>
      </c>
      <c r="P4323" s="159">
        <f t="shared" si="703"/>
        <v>2013</v>
      </c>
      <c r="Q4323" s="159">
        <f t="shared" si="704"/>
        <v>1</v>
      </c>
      <c r="R4323" s="160">
        <f t="shared" si="705"/>
        <v>17.866666666755918</v>
      </c>
      <c r="S4323" s="158">
        <f t="shared" si="706"/>
        <v>4.1494561740450404</v>
      </c>
      <c r="T4323" s="161">
        <f t="shared" si="707"/>
        <v>2000.0378758897095</v>
      </c>
      <c r="U4323" s="158">
        <f t="shared" si="709"/>
        <v>111.94241842610364</v>
      </c>
      <c r="V4323" s="160">
        <f t="shared" si="708"/>
        <v>112</v>
      </c>
    </row>
    <row r="4324" spans="1:22" x14ac:dyDescent="0.25">
      <c r="A4324" s="98" t="s">
        <v>25</v>
      </c>
      <c r="B4324" s="98" t="s">
        <v>17</v>
      </c>
      <c r="C4324" s="98">
        <v>16</v>
      </c>
      <c r="D4324" s="98">
        <v>310</v>
      </c>
      <c r="E4324" s="157">
        <v>41290.293055555558</v>
      </c>
      <c r="F4324" s="157">
        <v>41290.609027777777</v>
      </c>
      <c r="G4324" s="98">
        <v>410</v>
      </c>
      <c r="H4324" s="98">
        <v>521</v>
      </c>
      <c r="I4324" s="98">
        <v>482</v>
      </c>
      <c r="J4324" s="98" t="s">
        <v>1966</v>
      </c>
      <c r="K4324" s="98" t="s">
        <v>696</v>
      </c>
      <c r="L4324" s="105" t="str">
        <f t="shared" si="700"/>
        <v>Mill Creek</v>
      </c>
      <c r="M4324" s="105" t="str">
        <f t="shared" si="701"/>
        <v>Derate</v>
      </c>
      <c r="N4324" s="105" t="str">
        <f t="shared" si="702"/>
        <v>Coal</v>
      </c>
      <c r="O4324" s="105">
        <f>IFERROR(VLOOKUP(A4324,Lookup!$J$5:$P$19,7,FALSE),0)</f>
        <v>3</v>
      </c>
      <c r="P4324" s="159">
        <f t="shared" si="703"/>
        <v>2013</v>
      </c>
      <c r="Q4324" s="159">
        <f t="shared" si="704"/>
        <v>1</v>
      </c>
      <c r="R4324" s="160">
        <f t="shared" si="705"/>
        <v>7.5833333332557231</v>
      </c>
      <c r="S4324" s="158">
        <f t="shared" si="706"/>
        <v>1.6156429942253077</v>
      </c>
      <c r="T4324" s="161">
        <f t="shared" si="707"/>
        <v>778.7399232165983</v>
      </c>
      <c r="U4324" s="158">
        <f t="shared" si="709"/>
        <v>102.69097888675624</v>
      </c>
      <c r="V4324" s="160">
        <f t="shared" si="708"/>
        <v>103</v>
      </c>
    </row>
    <row r="4325" spans="1:22" x14ac:dyDescent="0.25">
      <c r="A4325" s="98" t="s">
        <v>25</v>
      </c>
      <c r="B4325" s="98" t="s">
        <v>17</v>
      </c>
      <c r="C4325" s="98">
        <v>17</v>
      </c>
      <c r="D4325" s="98">
        <v>9270</v>
      </c>
      <c r="E4325" s="157">
        <v>41290.434027777781</v>
      </c>
      <c r="F4325" s="157">
        <v>41290.555555555555</v>
      </c>
      <c r="G4325" s="98">
        <v>340</v>
      </c>
      <c r="H4325" s="98">
        <v>521</v>
      </c>
      <c r="I4325" s="98">
        <v>482</v>
      </c>
      <c r="J4325" s="98" t="s">
        <v>2006</v>
      </c>
      <c r="K4325" s="98" t="s">
        <v>697</v>
      </c>
      <c r="L4325" s="105" t="str">
        <f t="shared" ref="L4325:L4388" si="710">IF(OR(A4325="BR1",A4325="BR2",A4325="BR3",A4325="BR5",A4325="BR6",A4325="BR7",A4325="BR8",A4325="BR9",A4325="BR10",A4325="BR11"),"Brown",IF(OR(A4325="CR4",A4325="CR5",A4325="CR6",A4325="CR11"),"Cane Run",IF(OR(A4325="GH1",A4325="GH2",A4325="GH3",A4325="GH4"),"Ghent",IF(OR(A4325="GR3",A4325="GR4"),"Green River",IF(OR(A4325="MC1",A4325="MC2",A4325="MC3",A4325="MC4"),"Mill Creek",IF(OR(A4325="TC1",A4325="TC2",A4325="TC5",A4325="TC6",A4325="TC7",A4325="TC8",A4325="TC9",A4325="TC10"),"Trimble",IF(A4325="TY3","Tyrone",IF(OR(A4325="HA1",A4325="HA2",A4325="HA3"),"Haeflin",IF(OR(A4325="PR11",A4325="PR12",A4325="PR13"),"Paddy's Run","Zorn")))))))))</f>
        <v>Mill Creek</v>
      </c>
      <c r="M4325" s="105" t="str">
        <f t="shared" ref="M4325:M4388" si="711">IF(OR(B4325="D1",B4325="D2",B4325="D3",B4325="D4",B4325="PD"),"Derate",IF(OR(B4325="SF",B4325="U1",B4325="U2",B4325="U3"),"Outage",IF(OR(B4325="ME",B4325="MO"),"Maintenance","Other")))</f>
        <v>Derate</v>
      </c>
      <c r="N4325" s="105" t="str">
        <f t="shared" ref="N4325:N4388" si="712">IF(OR(A4325="BR1",A4325="BR2",A4325="BR3",A4325="CR4",A4325="CR5",A4325="CR6",A4325="GH1",A4325="GH2",A4325="GH3",A4325="GH4",A4325="GR3",A4325="GR4",A4325="MC1",A4325="MC2",A4325="MC3",A4325="MC4",A4325="TC1",A4325="TC2",A4325="TY3"),"Coal","Gas")</f>
        <v>Coal</v>
      </c>
      <c r="O4325" s="105">
        <f>IFERROR(VLOOKUP(A4325,Lookup!$J$5:$P$19,7,FALSE),0)</f>
        <v>3</v>
      </c>
      <c r="P4325" s="159">
        <f t="shared" ref="P4325:P4388" si="713">YEAR(E4325)</f>
        <v>2013</v>
      </c>
      <c r="Q4325" s="159">
        <f t="shared" ref="Q4325:Q4388" si="714">MONTH(E4325)</f>
        <v>1</v>
      </c>
      <c r="R4325" s="160">
        <f t="shared" ref="R4325:R4388" si="715">(F4325-E4325)*24</f>
        <v>2.9166666665696539</v>
      </c>
      <c r="S4325" s="158">
        <f t="shared" ref="S4325:S4388" si="716">R4325*(H4325-G4325)/H4325</f>
        <v>1.0132757517257338</v>
      </c>
      <c r="T4325" s="161">
        <f t="shared" ref="T4325:T4388" si="717">S4325*I4325</f>
        <v>488.39891233180367</v>
      </c>
      <c r="U4325" s="158">
        <f t="shared" si="709"/>
        <v>167.45105566218811</v>
      </c>
      <c r="V4325" s="160">
        <f t="shared" ref="V4325:V4388" si="718">ROUND(U4325,0)</f>
        <v>167</v>
      </c>
    </row>
    <row r="4326" spans="1:22" x14ac:dyDescent="0.25">
      <c r="A4326" s="98" t="s">
        <v>25</v>
      </c>
      <c r="B4326" s="98" t="s">
        <v>17</v>
      </c>
      <c r="C4326" s="98">
        <v>18</v>
      </c>
      <c r="D4326" s="98">
        <v>9270</v>
      </c>
      <c r="E4326" s="157">
        <v>41290.555555555555</v>
      </c>
      <c r="F4326" s="157">
        <v>41290.609027777777</v>
      </c>
      <c r="G4326" s="98">
        <v>305</v>
      </c>
      <c r="H4326" s="98">
        <v>521</v>
      </c>
      <c r="I4326" s="98">
        <v>482</v>
      </c>
      <c r="J4326" s="98" t="s">
        <v>2006</v>
      </c>
      <c r="K4326" s="98" t="s">
        <v>697</v>
      </c>
      <c r="L4326" s="105" t="str">
        <f t="shared" si="710"/>
        <v>Mill Creek</v>
      </c>
      <c r="M4326" s="105" t="str">
        <f t="shared" si="711"/>
        <v>Derate</v>
      </c>
      <c r="N4326" s="105" t="str">
        <f t="shared" si="712"/>
        <v>Coal</v>
      </c>
      <c r="O4326" s="105">
        <f>IFERROR(VLOOKUP(A4326,Lookup!$J$5:$P$19,7,FALSE),0)</f>
        <v>3</v>
      </c>
      <c r="P4326" s="159">
        <f t="shared" si="713"/>
        <v>2013</v>
      </c>
      <c r="Q4326" s="159">
        <f t="shared" si="714"/>
        <v>1</v>
      </c>
      <c r="R4326" s="160">
        <f t="shared" si="715"/>
        <v>1.2833333333255723</v>
      </c>
      <c r="S4326" s="158">
        <f t="shared" si="716"/>
        <v>0.53205374279908568</v>
      </c>
      <c r="T4326" s="161">
        <f t="shared" si="717"/>
        <v>256.44990402915931</v>
      </c>
      <c r="U4326" s="158">
        <f t="shared" ref="U4326:U4389" si="719">IF(G4326&gt;0,MAX((H4326-G4326),0)*I4326/H4326,I4326)</f>
        <v>199.83109404990404</v>
      </c>
      <c r="V4326" s="160">
        <f t="shared" si="718"/>
        <v>200</v>
      </c>
    </row>
    <row r="4327" spans="1:22" x14ac:dyDescent="0.25">
      <c r="A4327" s="98" t="s">
        <v>25</v>
      </c>
      <c r="B4327" s="98" t="s">
        <v>17</v>
      </c>
      <c r="C4327" s="98">
        <v>19</v>
      </c>
      <c r="D4327" s="98">
        <v>310</v>
      </c>
      <c r="E4327" s="157">
        <v>41290.609027777777</v>
      </c>
      <c r="F4327" s="157">
        <v>41290.666666666664</v>
      </c>
      <c r="G4327" s="98">
        <v>405</v>
      </c>
      <c r="H4327" s="98">
        <v>521</v>
      </c>
      <c r="I4327" s="98">
        <v>482</v>
      </c>
      <c r="J4327" s="98" t="s">
        <v>1966</v>
      </c>
      <c r="K4327" s="98" t="s">
        <v>696</v>
      </c>
      <c r="L4327" s="105" t="str">
        <f t="shared" si="710"/>
        <v>Mill Creek</v>
      </c>
      <c r="M4327" s="105" t="str">
        <f t="shared" si="711"/>
        <v>Derate</v>
      </c>
      <c r="N4327" s="105" t="str">
        <f t="shared" si="712"/>
        <v>Coal</v>
      </c>
      <c r="O4327" s="105">
        <f>IFERROR(VLOOKUP(A4327,Lookup!$J$5:$P$19,7,FALSE),0)</f>
        <v>3</v>
      </c>
      <c r="P4327" s="159">
        <f t="shared" si="713"/>
        <v>2013</v>
      </c>
      <c r="Q4327" s="159">
        <f t="shared" si="714"/>
        <v>1</v>
      </c>
      <c r="R4327" s="160">
        <f t="shared" si="715"/>
        <v>1.3833333333022892</v>
      </c>
      <c r="S4327" s="158">
        <f t="shared" si="716"/>
        <v>0.30799744081202601</v>
      </c>
      <c r="T4327" s="161">
        <f t="shared" si="717"/>
        <v>148.45476647139654</v>
      </c>
      <c r="U4327" s="158">
        <f t="shared" si="719"/>
        <v>107.31669865642995</v>
      </c>
      <c r="V4327" s="160">
        <f t="shared" si="718"/>
        <v>107</v>
      </c>
    </row>
    <row r="4328" spans="1:22" x14ac:dyDescent="0.25">
      <c r="A4328" s="98" t="s">
        <v>25</v>
      </c>
      <c r="B4328" s="98" t="s">
        <v>17</v>
      </c>
      <c r="C4328" s="98">
        <v>20</v>
      </c>
      <c r="D4328" s="98">
        <v>1710</v>
      </c>
      <c r="E4328" s="157">
        <v>41290.666666666664</v>
      </c>
      <c r="F4328" s="157">
        <v>41291.461111111108</v>
      </c>
      <c r="G4328" s="98">
        <v>523</v>
      </c>
      <c r="H4328" s="98">
        <v>521</v>
      </c>
      <c r="I4328" s="98">
        <v>482</v>
      </c>
      <c r="J4328" s="98" t="s">
        <v>2020</v>
      </c>
      <c r="K4328" s="98" t="s">
        <v>248</v>
      </c>
      <c r="L4328" s="105" t="str">
        <f t="shared" si="710"/>
        <v>Mill Creek</v>
      </c>
      <c r="M4328" s="105" t="str">
        <f t="shared" si="711"/>
        <v>Derate</v>
      </c>
      <c r="N4328" s="105" t="str">
        <f t="shared" si="712"/>
        <v>Coal</v>
      </c>
      <c r="O4328" s="105">
        <f>IFERROR(VLOOKUP(A4328,Lookup!$J$5:$P$19,7,FALSE),0)</f>
        <v>3</v>
      </c>
      <c r="P4328" s="159">
        <f t="shared" si="713"/>
        <v>2013</v>
      </c>
      <c r="Q4328" s="159">
        <f t="shared" si="714"/>
        <v>1</v>
      </c>
      <c r="R4328" s="160">
        <f t="shared" si="715"/>
        <v>19.066666666651145</v>
      </c>
      <c r="S4328" s="158">
        <f t="shared" si="716"/>
        <v>-7.3192578374860442E-2</v>
      </c>
      <c r="T4328" s="161">
        <f t="shared" si="717"/>
        <v>-35.27882277668273</v>
      </c>
      <c r="U4328" s="158">
        <f t="shared" si="719"/>
        <v>0</v>
      </c>
      <c r="V4328" s="160">
        <f t="shared" si="718"/>
        <v>0</v>
      </c>
    </row>
    <row r="4329" spans="1:22" x14ac:dyDescent="0.25">
      <c r="A4329" s="98" t="s">
        <v>25</v>
      </c>
      <c r="B4329" s="98" t="s">
        <v>17</v>
      </c>
      <c r="C4329" s="98">
        <v>21</v>
      </c>
      <c r="D4329" s="98">
        <v>4609</v>
      </c>
      <c r="E4329" s="157">
        <v>41292.585416666669</v>
      </c>
      <c r="F4329" s="157">
        <v>41292.600694444445</v>
      </c>
      <c r="G4329" s="98">
        <v>420</v>
      </c>
      <c r="H4329" s="98">
        <v>521</v>
      </c>
      <c r="I4329" s="98">
        <v>482</v>
      </c>
      <c r="J4329" s="98" t="s">
        <v>2105</v>
      </c>
      <c r="K4329" s="98" t="s">
        <v>698</v>
      </c>
      <c r="L4329" s="105" t="str">
        <f t="shared" si="710"/>
        <v>Mill Creek</v>
      </c>
      <c r="M4329" s="105" t="str">
        <f t="shared" si="711"/>
        <v>Derate</v>
      </c>
      <c r="N4329" s="105" t="str">
        <f t="shared" si="712"/>
        <v>Coal</v>
      </c>
      <c r="O4329" s="105">
        <f>IFERROR(VLOOKUP(A4329,Lookup!$J$5:$P$19,7,FALSE),0)</f>
        <v>3</v>
      </c>
      <c r="P4329" s="159">
        <f t="shared" si="713"/>
        <v>2013</v>
      </c>
      <c r="Q4329" s="159">
        <f t="shared" si="714"/>
        <v>1</v>
      </c>
      <c r="R4329" s="160">
        <f t="shared" si="715"/>
        <v>0.36666666663950309</v>
      </c>
      <c r="S4329" s="158">
        <f t="shared" si="716"/>
        <v>7.1081253993454538E-2</v>
      </c>
      <c r="T4329" s="161">
        <f t="shared" si="717"/>
        <v>34.261164424845084</v>
      </c>
      <c r="U4329" s="158">
        <f t="shared" si="719"/>
        <v>93.439539347408825</v>
      </c>
      <c r="V4329" s="160">
        <f t="shared" si="718"/>
        <v>93</v>
      </c>
    </row>
    <row r="4330" spans="1:22" x14ac:dyDescent="0.25">
      <c r="A4330" s="98" t="s">
        <v>25</v>
      </c>
      <c r="B4330" s="98" t="s">
        <v>105</v>
      </c>
      <c r="C4330" s="98">
        <v>22</v>
      </c>
      <c r="D4330" s="98">
        <v>310</v>
      </c>
      <c r="E4330" s="157">
        <v>41295.875</v>
      </c>
      <c r="F4330" s="157">
        <v>41296.000694444447</v>
      </c>
      <c r="G4330" s="98">
        <v>410</v>
      </c>
      <c r="H4330" s="98">
        <v>521</v>
      </c>
      <c r="I4330" s="98">
        <v>482</v>
      </c>
      <c r="J4330" s="98" t="s">
        <v>1966</v>
      </c>
      <c r="K4330" s="98" t="s">
        <v>699</v>
      </c>
      <c r="L4330" s="105" t="str">
        <f t="shared" si="710"/>
        <v>Mill Creek</v>
      </c>
      <c r="M4330" s="105" t="str">
        <f t="shared" si="711"/>
        <v>Derate</v>
      </c>
      <c r="N4330" s="105" t="str">
        <f t="shared" si="712"/>
        <v>Coal</v>
      </c>
      <c r="O4330" s="105">
        <f>IFERROR(VLOOKUP(A4330,Lookup!$J$5:$P$19,7,FALSE),0)</f>
        <v>3</v>
      </c>
      <c r="P4330" s="159">
        <f t="shared" si="713"/>
        <v>2013</v>
      </c>
      <c r="Q4330" s="159">
        <f t="shared" si="714"/>
        <v>1</v>
      </c>
      <c r="R4330" s="160">
        <f t="shared" si="715"/>
        <v>3.0166666667209938</v>
      </c>
      <c r="S4330" s="158">
        <f t="shared" si="716"/>
        <v>0.64270633398470312</v>
      </c>
      <c r="T4330" s="161">
        <f t="shared" si="717"/>
        <v>309.7844529806269</v>
      </c>
      <c r="U4330" s="158">
        <f t="shared" si="719"/>
        <v>102.69097888675624</v>
      </c>
      <c r="V4330" s="160">
        <f t="shared" si="718"/>
        <v>103</v>
      </c>
    </row>
    <row r="4331" spans="1:22" x14ac:dyDescent="0.25">
      <c r="A4331" s="98" t="s">
        <v>25</v>
      </c>
      <c r="B4331" s="98" t="s">
        <v>17</v>
      </c>
      <c r="C4331" s="98">
        <v>23</v>
      </c>
      <c r="D4331" s="98">
        <v>1710</v>
      </c>
      <c r="E4331" s="157">
        <v>41299.388888888891</v>
      </c>
      <c r="F4331" s="157">
        <v>41300.898611111108</v>
      </c>
      <c r="G4331" s="98">
        <v>520</v>
      </c>
      <c r="H4331" s="98">
        <v>521</v>
      </c>
      <c r="I4331" s="98">
        <v>482</v>
      </c>
      <c r="J4331" s="98" t="s">
        <v>2020</v>
      </c>
      <c r="K4331" s="98" t="s">
        <v>248</v>
      </c>
      <c r="L4331" s="105" t="str">
        <f t="shared" si="710"/>
        <v>Mill Creek</v>
      </c>
      <c r="M4331" s="105" t="str">
        <f t="shared" si="711"/>
        <v>Derate</v>
      </c>
      <c r="N4331" s="105" t="str">
        <f t="shared" si="712"/>
        <v>Coal</v>
      </c>
      <c r="O4331" s="105">
        <f>IFERROR(VLOOKUP(A4331,Lookup!$J$5:$P$19,7,FALSE),0)</f>
        <v>3</v>
      </c>
      <c r="P4331" s="159">
        <f t="shared" si="713"/>
        <v>2013</v>
      </c>
      <c r="Q4331" s="159">
        <f t="shared" si="714"/>
        <v>1</v>
      </c>
      <c r="R4331" s="160">
        <f t="shared" si="715"/>
        <v>36.233333333220799</v>
      </c>
      <c r="S4331" s="158">
        <f t="shared" si="716"/>
        <v>6.9545745361268327E-2</v>
      </c>
      <c r="T4331" s="161">
        <f t="shared" si="717"/>
        <v>33.521049264131335</v>
      </c>
      <c r="U4331" s="158">
        <f t="shared" si="719"/>
        <v>0.92514395393474091</v>
      </c>
      <c r="V4331" s="160">
        <f t="shared" si="718"/>
        <v>1</v>
      </c>
    </row>
    <row r="4332" spans="1:22" x14ac:dyDescent="0.25">
      <c r="A4332" s="98" t="s">
        <v>25</v>
      </c>
      <c r="B4332" s="98" t="s">
        <v>15</v>
      </c>
      <c r="C4332" s="98">
        <v>24</v>
      </c>
      <c r="D4332" s="98">
        <v>1040</v>
      </c>
      <c r="E4332" s="157">
        <v>41300.898611111108</v>
      </c>
      <c r="F4332" s="157">
        <v>41303.211805555555</v>
      </c>
      <c r="G4332" s="98">
        <v>0</v>
      </c>
      <c r="H4332" s="98">
        <v>521</v>
      </c>
      <c r="I4332" s="98">
        <v>482</v>
      </c>
      <c r="J4332" s="98" t="s">
        <v>2001</v>
      </c>
      <c r="K4332" s="98" t="s">
        <v>254</v>
      </c>
      <c r="L4332" s="105" t="str">
        <f t="shared" si="710"/>
        <v>Mill Creek</v>
      </c>
      <c r="M4332" s="105" t="str">
        <f t="shared" si="711"/>
        <v>Outage</v>
      </c>
      <c r="N4332" s="105" t="str">
        <f t="shared" si="712"/>
        <v>Coal</v>
      </c>
      <c r="O4332" s="105">
        <f>IFERROR(VLOOKUP(A4332,Lookup!$J$5:$P$19,7,FALSE),0)</f>
        <v>3</v>
      </c>
      <c r="P4332" s="159">
        <f t="shared" si="713"/>
        <v>2013</v>
      </c>
      <c r="Q4332" s="159">
        <f t="shared" si="714"/>
        <v>1</v>
      </c>
      <c r="R4332" s="160">
        <f t="shared" si="715"/>
        <v>55.516666666720994</v>
      </c>
      <c r="S4332" s="158">
        <f t="shared" si="716"/>
        <v>55.516666666720994</v>
      </c>
      <c r="T4332" s="161">
        <f t="shared" si="717"/>
        <v>26759.033333359519</v>
      </c>
      <c r="U4332" s="158">
        <f t="shared" si="719"/>
        <v>482</v>
      </c>
      <c r="V4332" s="160">
        <f t="shared" si="718"/>
        <v>482</v>
      </c>
    </row>
    <row r="4333" spans="1:22" x14ac:dyDescent="0.25">
      <c r="A4333" s="98" t="s">
        <v>25</v>
      </c>
      <c r="B4333" s="98" t="s">
        <v>79</v>
      </c>
      <c r="C4333" s="98">
        <v>25</v>
      </c>
      <c r="D4333" s="98">
        <v>1850</v>
      </c>
      <c r="E4333" s="157">
        <v>41303.211805555555</v>
      </c>
      <c r="F4333" s="157">
        <v>41303.255555555559</v>
      </c>
      <c r="G4333" s="98">
        <v>0</v>
      </c>
      <c r="H4333" s="98">
        <v>521</v>
      </c>
      <c r="I4333" s="98">
        <v>482</v>
      </c>
      <c r="J4333" s="98" t="s">
        <v>2263</v>
      </c>
      <c r="K4333" s="98" t="s">
        <v>85</v>
      </c>
      <c r="L4333" s="105" t="str">
        <f t="shared" si="710"/>
        <v>Mill Creek</v>
      </c>
      <c r="M4333" s="105" t="str">
        <f t="shared" si="711"/>
        <v>Other</v>
      </c>
      <c r="N4333" s="105" t="str">
        <f t="shared" si="712"/>
        <v>Coal</v>
      </c>
      <c r="O4333" s="105">
        <f>IFERROR(VLOOKUP(A4333,Lookup!$J$5:$P$19,7,FALSE),0)</f>
        <v>3</v>
      </c>
      <c r="P4333" s="159">
        <f t="shared" si="713"/>
        <v>2013</v>
      </c>
      <c r="Q4333" s="159">
        <f t="shared" si="714"/>
        <v>1</v>
      </c>
      <c r="R4333" s="160">
        <f t="shared" si="715"/>
        <v>1.0500000001047738</v>
      </c>
      <c r="S4333" s="158">
        <f t="shared" si="716"/>
        <v>1.0500000001047738</v>
      </c>
      <c r="T4333" s="161">
        <f t="shared" si="717"/>
        <v>506.10000005050097</v>
      </c>
      <c r="U4333" s="158">
        <f t="shared" si="719"/>
        <v>482</v>
      </c>
      <c r="V4333" s="160">
        <f t="shared" si="718"/>
        <v>482</v>
      </c>
    </row>
    <row r="4334" spans="1:22" x14ac:dyDescent="0.25">
      <c r="A4334" s="98" t="s">
        <v>25</v>
      </c>
      <c r="B4334" s="98" t="s">
        <v>15</v>
      </c>
      <c r="C4334" s="98">
        <v>26</v>
      </c>
      <c r="D4334" s="98">
        <v>4650</v>
      </c>
      <c r="E4334" s="157">
        <v>41303.255555555559</v>
      </c>
      <c r="F4334" s="157">
        <v>41303.504861111112</v>
      </c>
      <c r="G4334" s="98">
        <v>0</v>
      </c>
      <c r="H4334" s="98">
        <v>521</v>
      </c>
      <c r="I4334" s="98">
        <v>482</v>
      </c>
      <c r="J4334" s="98" t="s">
        <v>2242</v>
      </c>
      <c r="K4334" s="98" t="s">
        <v>700</v>
      </c>
      <c r="L4334" s="105" t="str">
        <f t="shared" si="710"/>
        <v>Mill Creek</v>
      </c>
      <c r="M4334" s="105" t="str">
        <f t="shared" si="711"/>
        <v>Outage</v>
      </c>
      <c r="N4334" s="105" t="str">
        <f t="shared" si="712"/>
        <v>Coal</v>
      </c>
      <c r="O4334" s="105">
        <f>IFERROR(VLOOKUP(A4334,Lookup!$J$5:$P$19,7,FALSE),0)</f>
        <v>3</v>
      </c>
      <c r="P4334" s="159">
        <f t="shared" si="713"/>
        <v>2013</v>
      </c>
      <c r="Q4334" s="159">
        <f t="shared" si="714"/>
        <v>1</v>
      </c>
      <c r="R4334" s="160">
        <f t="shared" si="715"/>
        <v>5.9833333332790062</v>
      </c>
      <c r="S4334" s="158">
        <f t="shared" si="716"/>
        <v>5.9833333332790062</v>
      </c>
      <c r="T4334" s="161">
        <f t="shared" si="717"/>
        <v>2883.966666640481</v>
      </c>
      <c r="U4334" s="158">
        <f t="shared" si="719"/>
        <v>482</v>
      </c>
      <c r="V4334" s="160">
        <f t="shared" si="718"/>
        <v>482</v>
      </c>
    </row>
    <row r="4335" spans="1:22" x14ac:dyDescent="0.25">
      <c r="A4335" s="98" t="s">
        <v>25</v>
      </c>
      <c r="B4335" s="98" t="s">
        <v>79</v>
      </c>
      <c r="C4335" s="98">
        <v>27</v>
      </c>
      <c r="D4335" s="98">
        <v>1850</v>
      </c>
      <c r="E4335" s="157">
        <v>41303.504861111112</v>
      </c>
      <c r="F4335" s="157">
        <v>41303.958333333336</v>
      </c>
      <c r="G4335" s="98">
        <v>0</v>
      </c>
      <c r="H4335" s="98">
        <v>521</v>
      </c>
      <c r="I4335" s="98">
        <v>482</v>
      </c>
      <c r="J4335" s="98" t="s">
        <v>2263</v>
      </c>
      <c r="K4335" s="98" t="s">
        <v>85</v>
      </c>
      <c r="L4335" s="105" t="str">
        <f t="shared" si="710"/>
        <v>Mill Creek</v>
      </c>
      <c r="M4335" s="105" t="str">
        <f t="shared" si="711"/>
        <v>Other</v>
      </c>
      <c r="N4335" s="105" t="str">
        <f t="shared" si="712"/>
        <v>Coal</v>
      </c>
      <c r="O4335" s="105">
        <f>IFERROR(VLOOKUP(A4335,Lookup!$J$5:$P$19,7,FALSE),0)</f>
        <v>3</v>
      </c>
      <c r="P4335" s="159">
        <f t="shared" si="713"/>
        <v>2013</v>
      </c>
      <c r="Q4335" s="159">
        <f t="shared" si="714"/>
        <v>1</v>
      </c>
      <c r="R4335" s="160">
        <f t="shared" si="715"/>
        <v>10.883333333360497</v>
      </c>
      <c r="S4335" s="158">
        <f t="shared" si="716"/>
        <v>10.883333333360497</v>
      </c>
      <c r="T4335" s="161">
        <f t="shared" si="717"/>
        <v>5245.7666666797595</v>
      </c>
      <c r="U4335" s="158">
        <f t="shared" si="719"/>
        <v>482</v>
      </c>
      <c r="V4335" s="160">
        <f t="shared" si="718"/>
        <v>482</v>
      </c>
    </row>
    <row r="4336" spans="1:22" x14ac:dyDescent="0.25">
      <c r="A4336" s="98" t="s">
        <v>25</v>
      </c>
      <c r="B4336" s="98" t="s">
        <v>17</v>
      </c>
      <c r="C4336" s="98">
        <v>28</v>
      </c>
      <c r="D4336" s="98">
        <v>1850</v>
      </c>
      <c r="E4336" s="157">
        <v>41303.958333333336</v>
      </c>
      <c r="F4336" s="157">
        <v>41304.194444444445</v>
      </c>
      <c r="G4336" s="98">
        <v>435</v>
      </c>
      <c r="H4336" s="98">
        <v>521</v>
      </c>
      <c r="I4336" s="98">
        <v>482</v>
      </c>
      <c r="J4336" s="98" t="s">
        <v>2263</v>
      </c>
      <c r="K4336" s="98" t="s">
        <v>41</v>
      </c>
      <c r="L4336" s="105" t="str">
        <f t="shared" si="710"/>
        <v>Mill Creek</v>
      </c>
      <c r="M4336" s="105" t="str">
        <f t="shared" si="711"/>
        <v>Derate</v>
      </c>
      <c r="N4336" s="105" t="str">
        <f t="shared" si="712"/>
        <v>Coal</v>
      </c>
      <c r="O4336" s="105">
        <f>IFERROR(VLOOKUP(A4336,Lookup!$J$5:$P$19,7,FALSE),0)</f>
        <v>3</v>
      </c>
      <c r="P4336" s="159">
        <f t="shared" si="713"/>
        <v>2013</v>
      </c>
      <c r="Q4336" s="159">
        <f t="shared" si="714"/>
        <v>1</v>
      </c>
      <c r="R4336" s="160">
        <f t="shared" si="715"/>
        <v>5.6666666666278616</v>
      </c>
      <c r="S4336" s="158">
        <f t="shared" si="716"/>
        <v>0.935380678176576</v>
      </c>
      <c r="T4336" s="161">
        <f t="shared" si="717"/>
        <v>450.85348688110963</v>
      </c>
      <c r="U4336" s="158">
        <f t="shared" si="719"/>
        <v>79.562380038387715</v>
      </c>
      <c r="V4336" s="160">
        <f t="shared" si="718"/>
        <v>80</v>
      </c>
    </row>
    <row r="4337" spans="1:22" x14ac:dyDescent="0.25">
      <c r="A4337" s="98" t="s">
        <v>25</v>
      </c>
      <c r="B4337" s="98" t="s">
        <v>105</v>
      </c>
      <c r="C4337" s="98">
        <v>29</v>
      </c>
      <c r="D4337" s="98">
        <v>360</v>
      </c>
      <c r="E4337" s="157">
        <v>41311.953472222223</v>
      </c>
      <c r="F4337" s="157">
        <v>41312.038194444445</v>
      </c>
      <c r="G4337" s="98">
        <v>420</v>
      </c>
      <c r="H4337" s="98">
        <v>521</v>
      </c>
      <c r="I4337" s="98">
        <v>482</v>
      </c>
      <c r="J4337" s="98" t="s">
        <v>229</v>
      </c>
      <c r="K4337" s="98" t="s">
        <v>701</v>
      </c>
      <c r="L4337" s="105" t="str">
        <f t="shared" si="710"/>
        <v>Mill Creek</v>
      </c>
      <c r="M4337" s="105" t="str">
        <f t="shared" si="711"/>
        <v>Derate</v>
      </c>
      <c r="N4337" s="105" t="str">
        <f t="shared" si="712"/>
        <v>Coal</v>
      </c>
      <c r="O4337" s="105">
        <f>IFERROR(VLOOKUP(A4337,Lookup!$J$5:$P$19,7,FALSE),0)</f>
        <v>3</v>
      </c>
      <c r="P4337" s="159">
        <f t="shared" si="713"/>
        <v>2013</v>
      </c>
      <c r="Q4337" s="159">
        <f t="shared" si="714"/>
        <v>2</v>
      </c>
      <c r="R4337" s="160">
        <f t="shared" si="715"/>
        <v>2.0333333333255723</v>
      </c>
      <c r="S4337" s="158">
        <f t="shared" si="716"/>
        <v>0.39417786308230862</v>
      </c>
      <c r="T4337" s="161">
        <f t="shared" si="717"/>
        <v>189.99373000567275</v>
      </c>
      <c r="U4337" s="158">
        <f t="shared" si="719"/>
        <v>93.439539347408825</v>
      </c>
      <c r="V4337" s="160">
        <f t="shared" si="718"/>
        <v>93</v>
      </c>
    </row>
    <row r="4338" spans="1:22" x14ac:dyDescent="0.25">
      <c r="A4338" s="98" t="s">
        <v>25</v>
      </c>
      <c r="B4338" s="98" t="s">
        <v>17</v>
      </c>
      <c r="C4338" s="98">
        <v>30</v>
      </c>
      <c r="D4338" s="98">
        <v>360</v>
      </c>
      <c r="E4338" s="157">
        <v>41312.038194444445</v>
      </c>
      <c r="F4338" s="157">
        <v>41312.184027777781</v>
      </c>
      <c r="G4338" s="98">
        <v>420</v>
      </c>
      <c r="H4338" s="98">
        <v>521</v>
      </c>
      <c r="I4338" s="98">
        <v>482</v>
      </c>
      <c r="J4338" s="98" t="s">
        <v>229</v>
      </c>
      <c r="K4338" s="98" t="s">
        <v>702</v>
      </c>
      <c r="L4338" s="105" t="str">
        <f t="shared" si="710"/>
        <v>Mill Creek</v>
      </c>
      <c r="M4338" s="105" t="str">
        <f t="shared" si="711"/>
        <v>Derate</v>
      </c>
      <c r="N4338" s="105" t="str">
        <f t="shared" si="712"/>
        <v>Coal</v>
      </c>
      <c r="O4338" s="105">
        <f>IFERROR(VLOOKUP(A4338,Lookup!$J$5:$P$19,7,FALSE),0)</f>
        <v>3</v>
      </c>
      <c r="P4338" s="159">
        <f t="shared" si="713"/>
        <v>2013</v>
      </c>
      <c r="Q4338" s="159">
        <f t="shared" si="714"/>
        <v>2</v>
      </c>
      <c r="R4338" s="160">
        <f t="shared" si="715"/>
        <v>3.5000000000582077</v>
      </c>
      <c r="S4338" s="158">
        <f t="shared" si="716"/>
        <v>0.67850287908997886</v>
      </c>
      <c r="T4338" s="161">
        <f t="shared" si="717"/>
        <v>327.03838772136982</v>
      </c>
      <c r="U4338" s="158">
        <f t="shared" si="719"/>
        <v>93.439539347408825</v>
      </c>
      <c r="V4338" s="160">
        <f t="shared" si="718"/>
        <v>93</v>
      </c>
    </row>
    <row r="4339" spans="1:22" x14ac:dyDescent="0.25">
      <c r="A4339" s="98" t="s">
        <v>25</v>
      </c>
      <c r="B4339" s="98" t="s">
        <v>105</v>
      </c>
      <c r="C4339" s="98">
        <v>31</v>
      </c>
      <c r="D4339" s="98">
        <v>250</v>
      </c>
      <c r="E4339" s="157">
        <v>41322.927083333336</v>
      </c>
      <c r="F4339" s="157">
        <v>41323.0625</v>
      </c>
      <c r="G4339" s="98">
        <v>425</v>
      </c>
      <c r="H4339" s="98">
        <v>521</v>
      </c>
      <c r="I4339" s="98">
        <v>482</v>
      </c>
      <c r="J4339" s="98" t="s">
        <v>1978</v>
      </c>
      <c r="K4339" s="98" t="s">
        <v>703</v>
      </c>
      <c r="L4339" s="105" t="str">
        <f t="shared" si="710"/>
        <v>Mill Creek</v>
      </c>
      <c r="M4339" s="105" t="str">
        <f t="shared" si="711"/>
        <v>Derate</v>
      </c>
      <c r="N4339" s="105" t="str">
        <f t="shared" si="712"/>
        <v>Coal</v>
      </c>
      <c r="O4339" s="105">
        <f>IFERROR(VLOOKUP(A4339,Lookup!$J$5:$P$19,7,FALSE),0)</f>
        <v>3</v>
      </c>
      <c r="P4339" s="159">
        <f t="shared" si="713"/>
        <v>2013</v>
      </c>
      <c r="Q4339" s="159">
        <f t="shared" si="714"/>
        <v>2</v>
      </c>
      <c r="R4339" s="160">
        <f t="shared" si="715"/>
        <v>3.2499999999417923</v>
      </c>
      <c r="S4339" s="158">
        <f t="shared" si="716"/>
        <v>0.59884836851134748</v>
      </c>
      <c r="T4339" s="161">
        <f t="shared" si="717"/>
        <v>288.64491362246946</v>
      </c>
      <c r="U4339" s="158">
        <f t="shared" si="719"/>
        <v>88.813819577735131</v>
      </c>
      <c r="V4339" s="160">
        <f t="shared" si="718"/>
        <v>89</v>
      </c>
    </row>
    <row r="4340" spans="1:22" x14ac:dyDescent="0.25">
      <c r="A4340" s="98" t="s">
        <v>25</v>
      </c>
      <c r="B4340" s="98" t="s">
        <v>15</v>
      </c>
      <c r="C4340" s="98">
        <v>32</v>
      </c>
      <c r="D4340" s="98">
        <v>1050</v>
      </c>
      <c r="E4340" s="157">
        <v>41323.898611111108</v>
      </c>
      <c r="F4340" s="157">
        <v>41325.85</v>
      </c>
      <c r="G4340" s="98">
        <v>0</v>
      </c>
      <c r="H4340" s="98">
        <v>521</v>
      </c>
      <c r="I4340" s="98">
        <v>482</v>
      </c>
      <c r="J4340" s="98" t="s">
        <v>2112</v>
      </c>
      <c r="K4340" s="98" t="s">
        <v>646</v>
      </c>
      <c r="L4340" s="105" t="str">
        <f t="shared" si="710"/>
        <v>Mill Creek</v>
      </c>
      <c r="M4340" s="105" t="str">
        <f t="shared" si="711"/>
        <v>Outage</v>
      </c>
      <c r="N4340" s="105" t="str">
        <f t="shared" si="712"/>
        <v>Coal</v>
      </c>
      <c r="O4340" s="105">
        <f>IFERROR(VLOOKUP(A4340,Lookup!$J$5:$P$19,7,FALSE),0)</f>
        <v>3</v>
      </c>
      <c r="P4340" s="159">
        <f t="shared" si="713"/>
        <v>2013</v>
      </c>
      <c r="Q4340" s="159">
        <f t="shared" si="714"/>
        <v>2</v>
      </c>
      <c r="R4340" s="160">
        <f t="shared" si="715"/>
        <v>46.833333333372138</v>
      </c>
      <c r="S4340" s="158">
        <f t="shared" si="716"/>
        <v>46.833333333372138</v>
      </c>
      <c r="T4340" s="161">
        <f t="shared" si="717"/>
        <v>22573.666666685371</v>
      </c>
      <c r="U4340" s="158">
        <f t="shared" si="719"/>
        <v>482</v>
      </c>
      <c r="V4340" s="160">
        <f t="shared" si="718"/>
        <v>482</v>
      </c>
    </row>
    <row r="4341" spans="1:22" x14ac:dyDescent="0.25">
      <c r="A4341" s="98" t="s">
        <v>25</v>
      </c>
      <c r="B4341" s="98" t="s">
        <v>79</v>
      </c>
      <c r="C4341" s="98">
        <v>33</v>
      </c>
      <c r="D4341" s="98">
        <v>1850</v>
      </c>
      <c r="E4341" s="157">
        <v>41325.85</v>
      </c>
      <c r="F4341" s="157">
        <v>41326.364583333336</v>
      </c>
      <c r="G4341" s="98">
        <v>0</v>
      </c>
      <c r="H4341" s="98">
        <v>521</v>
      </c>
      <c r="I4341" s="98">
        <v>482</v>
      </c>
      <c r="J4341" s="98" t="s">
        <v>2263</v>
      </c>
      <c r="K4341" s="98" t="s">
        <v>85</v>
      </c>
      <c r="L4341" s="105" t="str">
        <f t="shared" si="710"/>
        <v>Mill Creek</v>
      </c>
      <c r="M4341" s="105" t="str">
        <f t="shared" si="711"/>
        <v>Other</v>
      </c>
      <c r="N4341" s="105" t="str">
        <f t="shared" si="712"/>
        <v>Coal</v>
      </c>
      <c r="O4341" s="105">
        <f>IFERROR(VLOOKUP(A4341,Lookup!$J$5:$P$19,7,FALSE),0)</f>
        <v>3</v>
      </c>
      <c r="P4341" s="159">
        <f t="shared" si="713"/>
        <v>2013</v>
      </c>
      <c r="Q4341" s="159">
        <f t="shared" si="714"/>
        <v>2</v>
      </c>
      <c r="R4341" s="160">
        <f t="shared" si="715"/>
        <v>12.350000000093132</v>
      </c>
      <c r="S4341" s="158">
        <f t="shared" si="716"/>
        <v>12.350000000093132</v>
      </c>
      <c r="T4341" s="161">
        <f t="shared" si="717"/>
        <v>5952.7000000448897</v>
      </c>
      <c r="U4341" s="158">
        <f t="shared" si="719"/>
        <v>482</v>
      </c>
      <c r="V4341" s="160">
        <f t="shared" si="718"/>
        <v>482</v>
      </c>
    </row>
    <row r="4342" spans="1:22" x14ac:dyDescent="0.25">
      <c r="A4342" s="98" t="s">
        <v>25</v>
      </c>
      <c r="B4342" s="98" t="s">
        <v>17</v>
      </c>
      <c r="C4342" s="98">
        <v>34</v>
      </c>
      <c r="D4342" s="98">
        <v>1850</v>
      </c>
      <c r="E4342" s="157">
        <v>41326.364583333336</v>
      </c>
      <c r="F4342" s="157">
        <v>41326.631944444445</v>
      </c>
      <c r="G4342" s="98">
        <v>390</v>
      </c>
      <c r="H4342" s="98">
        <v>521</v>
      </c>
      <c r="I4342" s="98">
        <v>482</v>
      </c>
      <c r="J4342" s="98" t="s">
        <v>2263</v>
      </c>
      <c r="K4342" s="98" t="s">
        <v>41</v>
      </c>
      <c r="L4342" s="105" t="str">
        <f t="shared" si="710"/>
        <v>Mill Creek</v>
      </c>
      <c r="M4342" s="105" t="str">
        <f t="shared" si="711"/>
        <v>Derate</v>
      </c>
      <c r="N4342" s="105" t="str">
        <f t="shared" si="712"/>
        <v>Coal</v>
      </c>
      <c r="O4342" s="105">
        <f>IFERROR(VLOOKUP(A4342,Lookup!$J$5:$P$19,7,FALSE),0)</f>
        <v>3</v>
      </c>
      <c r="P4342" s="159">
        <f t="shared" si="713"/>
        <v>2013</v>
      </c>
      <c r="Q4342" s="159">
        <f t="shared" si="714"/>
        <v>2</v>
      </c>
      <c r="R4342" s="160">
        <f t="shared" si="715"/>
        <v>6.4166666666278616</v>
      </c>
      <c r="S4342" s="158">
        <f t="shared" si="716"/>
        <v>1.6134037108027828</v>
      </c>
      <c r="T4342" s="161">
        <f t="shared" si="717"/>
        <v>777.66058860694125</v>
      </c>
      <c r="U4342" s="158">
        <f t="shared" si="719"/>
        <v>121.19385796545106</v>
      </c>
      <c r="V4342" s="160">
        <f t="shared" si="718"/>
        <v>121</v>
      </c>
    </row>
    <row r="4343" spans="1:22" x14ac:dyDescent="0.25">
      <c r="A4343" s="98" t="s">
        <v>25</v>
      </c>
      <c r="B4343" s="98" t="s">
        <v>17</v>
      </c>
      <c r="C4343" s="98">
        <v>35</v>
      </c>
      <c r="D4343" s="98">
        <v>1850</v>
      </c>
      <c r="E4343" s="157">
        <v>41326.631944444445</v>
      </c>
      <c r="F4343" s="157">
        <v>41326.709722222222</v>
      </c>
      <c r="G4343" s="98">
        <v>506</v>
      </c>
      <c r="H4343" s="98">
        <v>521</v>
      </c>
      <c r="I4343" s="98">
        <v>482</v>
      </c>
      <c r="J4343" s="98" t="s">
        <v>2263</v>
      </c>
      <c r="K4343" s="98" t="s">
        <v>41</v>
      </c>
      <c r="L4343" s="105" t="str">
        <f t="shared" si="710"/>
        <v>Mill Creek</v>
      </c>
      <c r="M4343" s="105" t="str">
        <f t="shared" si="711"/>
        <v>Derate</v>
      </c>
      <c r="N4343" s="105" t="str">
        <f t="shared" si="712"/>
        <v>Coal</v>
      </c>
      <c r="O4343" s="105">
        <f>IFERROR(VLOOKUP(A4343,Lookup!$J$5:$P$19,7,FALSE),0)</f>
        <v>3</v>
      </c>
      <c r="P4343" s="159">
        <f t="shared" si="713"/>
        <v>2013</v>
      </c>
      <c r="Q4343" s="159">
        <f t="shared" si="714"/>
        <v>2</v>
      </c>
      <c r="R4343" s="160">
        <f t="shared" si="715"/>
        <v>1.8666666666395031</v>
      </c>
      <c r="S4343" s="158">
        <f t="shared" si="716"/>
        <v>5.3742802302480894E-2</v>
      </c>
      <c r="T4343" s="161">
        <f t="shared" si="717"/>
        <v>25.904030709795791</v>
      </c>
      <c r="U4343" s="158">
        <f t="shared" si="719"/>
        <v>13.877159309021113</v>
      </c>
      <c r="V4343" s="160">
        <f t="shared" si="718"/>
        <v>14</v>
      </c>
    </row>
    <row r="4344" spans="1:22" x14ac:dyDescent="0.25">
      <c r="A4344" s="98" t="s">
        <v>25</v>
      </c>
      <c r="B4344" s="98" t="s">
        <v>15</v>
      </c>
      <c r="C4344" s="98">
        <v>36</v>
      </c>
      <c r="D4344" s="98">
        <v>1480</v>
      </c>
      <c r="E4344" s="157">
        <v>41332.550000000003</v>
      </c>
      <c r="F4344" s="157">
        <v>41332.705555555556</v>
      </c>
      <c r="G4344" s="98">
        <v>0</v>
      </c>
      <c r="H4344" s="98">
        <v>521</v>
      </c>
      <c r="I4344" s="98">
        <v>482</v>
      </c>
      <c r="J4344" s="98" t="s">
        <v>1972</v>
      </c>
      <c r="K4344" s="98" t="s">
        <v>704</v>
      </c>
      <c r="L4344" s="105" t="str">
        <f t="shared" si="710"/>
        <v>Mill Creek</v>
      </c>
      <c r="M4344" s="105" t="str">
        <f t="shared" si="711"/>
        <v>Outage</v>
      </c>
      <c r="N4344" s="105" t="str">
        <f t="shared" si="712"/>
        <v>Coal</v>
      </c>
      <c r="O4344" s="105">
        <f>IFERROR(VLOOKUP(A4344,Lookup!$J$5:$P$19,7,FALSE),0)</f>
        <v>3</v>
      </c>
      <c r="P4344" s="159">
        <f t="shared" si="713"/>
        <v>2013</v>
      </c>
      <c r="Q4344" s="159">
        <f t="shared" si="714"/>
        <v>2</v>
      </c>
      <c r="R4344" s="160">
        <f t="shared" si="715"/>
        <v>3.7333333332790062</v>
      </c>
      <c r="S4344" s="158">
        <f t="shared" si="716"/>
        <v>3.7333333332790062</v>
      </c>
      <c r="T4344" s="161">
        <f t="shared" si="717"/>
        <v>1799.466666640481</v>
      </c>
      <c r="U4344" s="158">
        <f t="shared" si="719"/>
        <v>482</v>
      </c>
      <c r="V4344" s="160">
        <f t="shared" si="718"/>
        <v>482</v>
      </c>
    </row>
    <row r="4345" spans="1:22" x14ac:dyDescent="0.25">
      <c r="A4345" s="98" t="s">
        <v>25</v>
      </c>
      <c r="B4345" s="98" t="s">
        <v>18</v>
      </c>
      <c r="C4345" s="98">
        <v>37</v>
      </c>
      <c r="D4345" s="98">
        <v>800</v>
      </c>
      <c r="E4345" s="157">
        <v>41332.705555555556</v>
      </c>
      <c r="F4345" s="157">
        <v>41332.890277777777</v>
      </c>
      <c r="G4345" s="98">
        <v>0</v>
      </c>
      <c r="H4345" s="98">
        <v>521</v>
      </c>
      <c r="I4345" s="98">
        <v>482</v>
      </c>
      <c r="J4345" s="98" t="s">
        <v>2197</v>
      </c>
      <c r="K4345" s="98" t="s">
        <v>705</v>
      </c>
      <c r="L4345" s="105" t="str">
        <f t="shared" si="710"/>
        <v>Mill Creek</v>
      </c>
      <c r="M4345" s="105" t="str">
        <f t="shared" si="711"/>
        <v>Outage</v>
      </c>
      <c r="N4345" s="105" t="str">
        <f t="shared" si="712"/>
        <v>Coal</v>
      </c>
      <c r="O4345" s="105">
        <f>IFERROR(VLOOKUP(A4345,Lookup!$J$5:$P$19,7,FALSE),0)</f>
        <v>3</v>
      </c>
      <c r="P4345" s="159">
        <f t="shared" si="713"/>
        <v>2013</v>
      </c>
      <c r="Q4345" s="159">
        <f t="shared" si="714"/>
        <v>2</v>
      </c>
      <c r="R4345" s="160">
        <f t="shared" si="715"/>
        <v>4.4333333332906477</v>
      </c>
      <c r="S4345" s="158">
        <f t="shared" si="716"/>
        <v>4.4333333332906477</v>
      </c>
      <c r="T4345" s="161">
        <f t="shared" si="717"/>
        <v>2136.8666666460922</v>
      </c>
      <c r="U4345" s="158">
        <f t="shared" si="719"/>
        <v>482</v>
      </c>
      <c r="V4345" s="160">
        <f t="shared" si="718"/>
        <v>482</v>
      </c>
    </row>
    <row r="4346" spans="1:22" x14ac:dyDescent="0.25">
      <c r="A4346" s="98" t="s">
        <v>25</v>
      </c>
      <c r="B4346" s="98" t="s">
        <v>17</v>
      </c>
      <c r="C4346" s="98">
        <v>38</v>
      </c>
      <c r="D4346" s="98">
        <v>8560</v>
      </c>
      <c r="E4346" s="157">
        <v>41333.215277777781</v>
      </c>
      <c r="F4346" s="157">
        <v>41333.241666666669</v>
      </c>
      <c r="G4346" s="98">
        <v>440</v>
      </c>
      <c r="H4346" s="98">
        <v>521</v>
      </c>
      <c r="I4346" s="98">
        <v>482</v>
      </c>
      <c r="J4346" s="98" t="s">
        <v>1971</v>
      </c>
      <c r="K4346" s="98" t="s">
        <v>706</v>
      </c>
      <c r="L4346" s="105" t="str">
        <f t="shared" si="710"/>
        <v>Mill Creek</v>
      </c>
      <c r="M4346" s="105" t="str">
        <f t="shared" si="711"/>
        <v>Derate</v>
      </c>
      <c r="N4346" s="105" t="str">
        <f t="shared" si="712"/>
        <v>Coal</v>
      </c>
      <c r="O4346" s="105">
        <f>IFERROR(VLOOKUP(A4346,Lookup!$J$5:$P$19,7,FALSE),0)</f>
        <v>3</v>
      </c>
      <c r="P4346" s="159">
        <f t="shared" si="713"/>
        <v>2013</v>
      </c>
      <c r="Q4346" s="159">
        <f t="shared" si="714"/>
        <v>2</v>
      </c>
      <c r="R4346" s="160">
        <f t="shared" si="715"/>
        <v>0.63333333330228925</v>
      </c>
      <c r="S4346" s="158">
        <f t="shared" si="716"/>
        <v>9.8464491357937486E-2</v>
      </c>
      <c r="T4346" s="161">
        <f t="shared" si="717"/>
        <v>47.459884834525866</v>
      </c>
      <c r="U4346" s="158">
        <f t="shared" si="719"/>
        <v>74.936660268714007</v>
      </c>
      <c r="V4346" s="160">
        <f t="shared" si="718"/>
        <v>75</v>
      </c>
    </row>
    <row r="4347" spans="1:22" x14ac:dyDescent="0.25">
      <c r="A4347" s="98" t="s">
        <v>25</v>
      </c>
      <c r="B4347" s="98" t="s">
        <v>17</v>
      </c>
      <c r="C4347" s="98">
        <v>39</v>
      </c>
      <c r="D4347" s="98">
        <v>8560</v>
      </c>
      <c r="E4347" s="157">
        <v>41333.241666666669</v>
      </c>
      <c r="F4347" s="157">
        <v>41333.337500000001</v>
      </c>
      <c r="G4347" s="98">
        <v>425</v>
      </c>
      <c r="H4347" s="98">
        <v>521</v>
      </c>
      <c r="I4347" s="98">
        <v>482</v>
      </c>
      <c r="J4347" s="98" t="s">
        <v>1971</v>
      </c>
      <c r="K4347" s="98" t="s">
        <v>707</v>
      </c>
      <c r="L4347" s="105" t="str">
        <f t="shared" si="710"/>
        <v>Mill Creek</v>
      </c>
      <c r="M4347" s="105" t="str">
        <f t="shared" si="711"/>
        <v>Derate</v>
      </c>
      <c r="N4347" s="105" t="str">
        <f t="shared" si="712"/>
        <v>Coal</v>
      </c>
      <c r="O4347" s="105">
        <f>IFERROR(VLOOKUP(A4347,Lookup!$J$5:$P$19,7,FALSE),0)</f>
        <v>3</v>
      </c>
      <c r="P4347" s="159">
        <f t="shared" si="713"/>
        <v>2013</v>
      </c>
      <c r="Q4347" s="159">
        <f t="shared" si="714"/>
        <v>2</v>
      </c>
      <c r="R4347" s="160">
        <f t="shared" si="715"/>
        <v>2.2999999999883585</v>
      </c>
      <c r="S4347" s="158">
        <f t="shared" si="716"/>
        <v>0.42380038387501423</v>
      </c>
      <c r="T4347" s="161">
        <f t="shared" si="717"/>
        <v>204.27178502775686</v>
      </c>
      <c r="U4347" s="158">
        <f t="shared" si="719"/>
        <v>88.813819577735131</v>
      </c>
      <c r="V4347" s="160">
        <f t="shared" si="718"/>
        <v>89</v>
      </c>
    </row>
    <row r="4348" spans="1:22" x14ac:dyDescent="0.25">
      <c r="A4348" s="98" t="s">
        <v>25</v>
      </c>
      <c r="B4348" s="98" t="s">
        <v>17</v>
      </c>
      <c r="C4348" s="98">
        <v>40</v>
      </c>
      <c r="D4348" s="98">
        <v>1710</v>
      </c>
      <c r="E4348" s="157">
        <v>41333.416666666664</v>
      </c>
      <c r="F4348" s="157">
        <v>41334.538888888892</v>
      </c>
      <c r="G4348" s="98">
        <v>521</v>
      </c>
      <c r="H4348" s="98">
        <v>521</v>
      </c>
      <c r="I4348" s="98">
        <v>482</v>
      </c>
      <c r="J4348" s="98" t="s">
        <v>2020</v>
      </c>
      <c r="K4348" s="98" t="s">
        <v>708</v>
      </c>
      <c r="L4348" s="105" t="str">
        <f t="shared" si="710"/>
        <v>Mill Creek</v>
      </c>
      <c r="M4348" s="105" t="str">
        <f t="shared" si="711"/>
        <v>Derate</v>
      </c>
      <c r="N4348" s="105" t="str">
        <f t="shared" si="712"/>
        <v>Coal</v>
      </c>
      <c r="O4348" s="105">
        <f>IFERROR(VLOOKUP(A4348,Lookup!$J$5:$P$19,7,FALSE),0)</f>
        <v>3</v>
      </c>
      <c r="P4348" s="159">
        <f t="shared" si="713"/>
        <v>2013</v>
      </c>
      <c r="Q4348" s="159">
        <f t="shared" si="714"/>
        <v>2</v>
      </c>
      <c r="R4348" s="160">
        <f t="shared" si="715"/>
        <v>26.933333333465271</v>
      </c>
      <c r="S4348" s="158">
        <f t="shared" si="716"/>
        <v>0</v>
      </c>
      <c r="T4348" s="161">
        <f t="shared" si="717"/>
        <v>0</v>
      </c>
      <c r="U4348" s="158">
        <f t="shared" si="719"/>
        <v>0</v>
      </c>
      <c r="V4348" s="160">
        <f t="shared" si="718"/>
        <v>0</v>
      </c>
    </row>
    <row r="4349" spans="1:22" x14ac:dyDescent="0.25">
      <c r="A4349" s="98" t="s">
        <v>25</v>
      </c>
      <c r="B4349" s="98" t="s">
        <v>38</v>
      </c>
      <c r="C4349" s="98">
        <v>41</v>
      </c>
      <c r="D4349" s="98">
        <v>1801</v>
      </c>
      <c r="E4349" s="157">
        <v>41334.538888888892</v>
      </c>
      <c r="F4349" s="157">
        <v>41350.85833333333</v>
      </c>
      <c r="G4349" s="98">
        <v>0</v>
      </c>
      <c r="H4349" s="98">
        <v>521</v>
      </c>
      <c r="I4349" s="98">
        <v>482</v>
      </c>
      <c r="J4349" s="98" t="s">
        <v>2021</v>
      </c>
      <c r="K4349" s="98" t="s">
        <v>94</v>
      </c>
      <c r="L4349" s="105" t="str">
        <f t="shared" si="710"/>
        <v>Mill Creek</v>
      </c>
      <c r="M4349" s="105" t="str">
        <f t="shared" si="711"/>
        <v>Other</v>
      </c>
      <c r="N4349" s="105" t="str">
        <f t="shared" si="712"/>
        <v>Coal</v>
      </c>
      <c r="O4349" s="105">
        <f>IFERROR(VLOOKUP(A4349,Lookup!$J$5:$P$19,7,FALSE),0)</f>
        <v>3</v>
      </c>
      <c r="P4349" s="159">
        <f t="shared" si="713"/>
        <v>2013</v>
      </c>
      <c r="Q4349" s="159">
        <f t="shared" si="714"/>
        <v>3</v>
      </c>
      <c r="R4349" s="160">
        <f t="shared" si="715"/>
        <v>391.66666666651145</v>
      </c>
      <c r="S4349" s="158">
        <f t="shared" si="716"/>
        <v>391.66666666651145</v>
      </c>
      <c r="T4349" s="161">
        <f t="shared" si="717"/>
        <v>188783.33333325852</v>
      </c>
      <c r="U4349" s="158">
        <f t="shared" si="719"/>
        <v>482</v>
      </c>
      <c r="V4349" s="160">
        <f t="shared" si="718"/>
        <v>482</v>
      </c>
    </row>
    <row r="4350" spans="1:22" x14ac:dyDescent="0.25">
      <c r="A4350" s="98" t="s">
        <v>25</v>
      </c>
      <c r="B4350" s="98" t="s">
        <v>79</v>
      </c>
      <c r="C4350" s="98">
        <v>42</v>
      </c>
      <c r="D4350" s="98">
        <v>1850</v>
      </c>
      <c r="E4350" s="157">
        <v>41350.85833333333</v>
      </c>
      <c r="F4350" s="157">
        <v>41351.530555555553</v>
      </c>
      <c r="G4350" s="98">
        <v>0</v>
      </c>
      <c r="H4350" s="98">
        <v>521</v>
      </c>
      <c r="I4350" s="98">
        <v>482</v>
      </c>
      <c r="J4350" s="98" t="s">
        <v>2263</v>
      </c>
      <c r="K4350" s="98" t="s">
        <v>88</v>
      </c>
      <c r="L4350" s="105" t="str">
        <f t="shared" si="710"/>
        <v>Mill Creek</v>
      </c>
      <c r="M4350" s="105" t="str">
        <f t="shared" si="711"/>
        <v>Other</v>
      </c>
      <c r="N4350" s="105" t="str">
        <f t="shared" si="712"/>
        <v>Coal</v>
      </c>
      <c r="O4350" s="105">
        <f>IFERROR(VLOOKUP(A4350,Lookup!$J$5:$P$19,7,FALSE),0)</f>
        <v>3</v>
      </c>
      <c r="P4350" s="159">
        <f t="shared" si="713"/>
        <v>2013</v>
      </c>
      <c r="Q4350" s="159">
        <f t="shared" si="714"/>
        <v>3</v>
      </c>
      <c r="R4350" s="160">
        <f t="shared" si="715"/>
        <v>16.133333333360497</v>
      </c>
      <c r="S4350" s="158">
        <f t="shared" si="716"/>
        <v>16.133333333360497</v>
      </c>
      <c r="T4350" s="161">
        <f t="shared" si="717"/>
        <v>7776.2666666797595</v>
      </c>
      <c r="U4350" s="158">
        <f t="shared" si="719"/>
        <v>482</v>
      </c>
      <c r="V4350" s="160">
        <f t="shared" si="718"/>
        <v>482</v>
      </c>
    </row>
    <row r="4351" spans="1:22" x14ac:dyDescent="0.25">
      <c r="A4351" s="98" t="s">
        <v>25</v>
      </c>
      <c r="B4351" s="98" t="s">
        <v>15</v>
      </c>
      <c r="C4351" s="98">
        <v>43</v>
      </c>
      <c r="D4351" s="98">
        <v>8125</v>
      </c>
      <c r="E4351" s="157">
        <v>41351.530555555553</v>
      </c>
      <c r="F4351" s="157">
        <v>41351.679861111108</v>
      </c>
      <c r="G4351" s="98">
        <v>0</v>
      </c>
      <c r="H4351" s="98">
        <v>521</v>
      </c>
      <c r="I4351" s="98">
        <v>482</v>
      </c>
      <c r="J4351" s="98" t="s">
        <v>2267</v>
      </c>
      <c r="K4351" s="98" t="s">
        <v>709</v>
      </c>
      <c r="L4351" s="105" t="str">
        <f t="shared" si="710"/>
        <v>Mill Creek</v>
      </c>
      <c r="M4351" s="105" t="str">
        <f t="shared" si="711"/>
        <v>Outage</v>
      </c>
      <c r="N4351" s="105" t="str">
        <f t="shared" si="712"/>
        <v>Coal</v>
      </c>
      <c r="O4351" s="105">
        <f>IFERROR(VLOOKUP(A4351,Lookup!$J$5:$P$19,7,FALSE),0)</f>
        <v>3</v>
      </c>
      <c r="P4351" s="159">
        <f t="shared" si="713"/>
        <v>2013</v>
      </c>
      <c r="Q4351" s="159">
        <f t="shared" si="714"/>
        <v>3</v>
      </c>
      <c r="R4351" s="160">
        <f t="shared" si="715"/>
        <v>3.5833333333139308</v>
      </c>
      <c r="S4351" s="158">
        <f t="shared" si="716"/>
        <v>3.5833333333139308</v>
      </c>
      <c r="T4351" s="161">
        <f t="shared" si="717"/>
        <v>1727.1666666573146</v>
      </c>
      <c r="U4351" s="158">
        <f t="shared" si="719"/>
        <v>482</v>
      </c>
      <c r="V4351" s="160">
        <f t="shared" si="718"/>
        <v>482</v>
      </c>
    </row>
    <row r="4352" spans="1:22" x14ac:dyDescent="0.25">
      <c r="A4352" s="98" t="s">
        <v>25</v>
      </c>
      <c r="B4352" s="98" t="s">
        <v>79</v>
      </c>
      <c r="C4352" s="98">
        <v>44</v>
      </c>
      <c r="D4352" s="98">
        <v>1850</v>
      </c>
      <c r="E4352" s="157">
        <v>41351.679861111108</v>
      </c>
      <c r="F4352" s="157">
        <v>41351.989583333336</v>
      </c>
      <c r="G4352" s="98">
        <v>0</v>
      </c>
      <c r="H4352" s="98">
        <v>521</v>
      </c>
      <c r="I4352" s="98">
        <v>482</v>
      </c>
      <c r="J4352" s="98" t="s">
        <v>2263</v>
      </c>
      <c r="K4352" s="98" t="s">
        <v>86</v>
      </c>
      <c r="L4352" s="105" t="str">
        <f t="shared" si="710"/>
        <v>Mill Creek</v>
      </c>
      <c r="M4352" s="105" t="str">
        <f t="shared" si="711"/>
        <v>Other</v>
      </c>
      <c r="N4352" s="105" t="str">
        <f t="shared" si="712"/>
        <v>Coal</v>
      </c>
      <c r="O4352" s="105">
        <f>IFERROR(VLOOKUP(A4352,Lookup!$J$5:$P$19,7,FALSE),0)</f>
        <v>3</v>
      </c>
      <c r="P4352" s="159">
        <f t="shared" si="713"/>
        <v>2013</v>
      </c>
      <c r="Q4352" s="159">
        <f t="shared" si="714"/>
        <v>3</v>
      </c>
      <c r="R4352" s="160">
        <f t="shared" si="715"/>
        <v>7.4333333334652707</v>
      </c>
      <c r="S4352" s="158">
        <f t="shared" si="716"/>
        <v>7.4333333334652707</v>
      </c>
      <c r="T4352" s="161">
        <f t="shared" si="717"/>
        <v>3582.8666667302605</v>
      </c>
      <c r="U4352" s="158">
        <f t="shared" si="719"/>
        <v>482</v>
      </c>
      <c r="V4352" s="160">
        <f t="shared" si="718"/>
        <v>482</v>
      </c>
    </row>
    <row r="4353" spans="1:22" x14ac:dyDescent="0.25">
      <c r="A4353" s="98" t="s">
        <v>25</v>
      </c>
      <c r="B4353" s="98" t="s">
        <v>17</v>
      </c>
      <c r="C4353" s="98">
        <v>45</v>
      </c>
      <c r="D4353" s="98">
        <v>310</v>
      </c>
      <c r="E4353" s="157">
        <v>41351.989583333336</v>
      </c>
      <c r="F4353" s="157">
        <v>41352.115277777775</v>
      </c>
      <c r="G4353" s="98">
        <v>430</v>
      </c>
      <c r="H4353" s="98">
        <v>521</v>
      </c>
      <c r="I4353" s="98">
        <v>482</v>
      </c>
      <c r="J4353" s="98" t="s">
        <v>1966</v>
      </c>
      <c r="K4353" s="98" t="s">
        <v>710</v>
      </c>
      <c r="L4353" s="105" t="str">
        <f t="shared" si="710"/>
        <v>Mill Creek</v>
      </c>
      <c r="M4353" s="105" t="str">
        <f t="shared" si="711"/>
        <v>Derate</v>
      </c>
      <c r="N4353" s="105" t="str">
        <f t="shared" si="712"/>
        <v>Coal</v>
      </c>
      <c r="O4353" s="105">
        <f>IFERROR(VLOOKUP(A4353,Lookup!$J$5:$P$19,7,FALSE),0)</f>
        <v>3</v>
      </c>
      <c r="P4353" s="159">
        <f t="shared" si="713"/>
        <v>2013</v>
      </c>
      <c r="Q4353" s="159">
        <f t="shared" si="714"/>
        <v>3</v>
      </c>
      <c r="R4353" s="160">
        <f t="shared" si="715"/>
        <v>3.0166666665463708</v>
      </c>
      <c r="S4353" s="158">
        <f t="shared" si="716"/>
        <v>0.52690339089389582</v>
      </c>
      <c r="T4353" s="161">
        <f t="shared" si="717"/>
        <v>253.96743441085778</v>
      </c>
      <c r="U4353" s="158">
        <f t="shared" si="719"/>
        <v>84.188099808061423</v>
      </c>
      <c r="V4353" s="160">
        <f t="shared" si="718"/>
        <v>84</v>
      </c>
    </row>
    <row r="4354" spans="1:22" x14ac:dyDescent="0.25">
      <c r="A4354" s="98" t="s">
        <v>25</v>
      </c>
      <c r="B4354" s="98" t="s">
        <v>17</v>
      </c>
      <c r="C4354" s="98">
        <v>46</v>
      </c>
      <c r="D4354" s="98">
        <v>9270</v>
      </c>
      <c r="E4354" s="157">
        <v>41352.168055555558</v>
      </c>
      <c r="F4354" s="157">
        <v>41352.517361111109</v>
      </c>
      <c r="G4354" s="98">
        <v>430</v>
      </c>
      <c r="H4354" s="98">
        <v>521</v>
      </c>
      <c r="I4354" s="98">
        <v>482</v>
      </c>
      <c r="J4354" s="98" t="s">
        <v>2006</v>
      </c>
      <c r="K4354" s="98" t="s">
        <v>72</v>
      </c>
      <c r="L4354" s="105" t="str">
        <f t="shared" si="710"/>
        <v>Mill Creek</v>
      </c>
      <c r="M4354" s="105" t="str">
        <f t="shared" si="711"/>
        <v>Derate</v>
      </c>
      <c r="N4354" s="105" t="str">
        <f t="shared" si="712"/>
        <v>Coal</v>
      </c>
      <c r="O4354" s="105">
        <f>IFERROR(VLOOKUP(A4354,Lookup!$J$5:$P$19,7,FALSE),0)</f>
        <v>3</v>
      </c>
      <c r="P4354" s="159">
        <f t="shared" si="713"/>
        <v>2013</v>
      </c>
      <c r="Q4354" s="159">
        <f t="shared" si="714"/>
        <v>3</v>
      </c>
      <c r="R4354" s="160">
        <f t="shared" si="715"/>
        <v>8.3833333332440816</v>
      </c>
      <c r="S4354" s="158">
        <f t="shared" si="716"/>
        <v>1.4642674344053963</v>
      </c>
      <c r="T4354" s="161">
        <f t="shared" si="717"/>
        <v>705.77690338340096</v>
      </c>
      <c r="U4354" s="158">
        <f t="shared" si="719"/>
        <v>84.188099808061423</v>
      </c>
      <c r="V4354" s="160">
        <f t="shared" si="718"/>
        <v>84</v>
      </c>
    </row>
    <row r="4355" spans="1:22" x14ac:dyDescent="0.25">
      <c r="A4355" s="98" t="s">
        <v>25</v>
      </c>
      <c r="B4355" s="98" t="s">
        <v>105</v>
      </c>
      <c r="C4355" s="98">
        <v>47</v>
      </c>
      <c r="D4355" s="98">
        <v>3412</v>
      </c>
      <c r="E4355" s="157">
        <v>41356.916666666664</v>
      </c>
      <c r="F4355" s="157">
        <v>41357.351388888892</v>
      </c>
      <c r="G4355" s="98">
        <v>100</v>
      </c>
      <c r="H4355" s="98">
        <v>521</v>
      </c>
      <c r="I4355" s="98">
        <v>482</v>
      </c>
      <c r="J4355" s="98" t="s">
        <v>2162</v>
      </c>
      <c r="K4355" s="98" t="s">
        <v>711</v>
      </c>
      <c r="L4355" s="105" t="str">
        <f t="shared" si="710"/>
        <v>Mill Creek</v>
      </c>
      <c r="M4355" s="105" t="str">
        <f t="shared" si="711"/>
        <v>Derate</v>
      </c>
      <c r="N4355" s="105" t="str">
        <f t="shared" si="712"/>
        <v>Coal</v>
      </c>
      <c r="O4355" s="105">
        <f>IFERROR(VLOOKUP(A4355,Lookup!$J$5:$P$19,7,FALSE),0)</f>
        <v>3</v>
      </c>
      <c r="P4355" s="159">
        <f t="shared" si="713"/>
        <v>2013</v>
      </c>
      <c r="Q4355" s="159">
        <f t="shared" si="714"/>
        <v>3</v>
      </c>
      <c r="R4355" s="160">
        <f t="shared" si="715"/>
        <v>10.433333333465271</v>
      </c>
      <c r="S4355" s="158">
        <f t="shared" si="716"/>
        <v>8.4307741523778859</v>
      </c>
      <c r="T4355" s="161">
        <f t="shared" si="717"/>
        <v>4063.6331414461411</v>
      </c>
      <c r="U4355" s="158">
        <f t="shared" si="719"/>
        <v>389.4856046065259</v>
      </c>
      <c r="V4355" s="160">
        <f t="shared" si="718"/>
        <v>389</v>
      </c>
    </row>
    <row r="4356" spans="1:22" x14ac:dyDescent="0.25">
      <c r="A4356" s="98" t="s">
        <v>25</v>
      </c>
      <c r="B4356" s="98" t="s">
        <v>15</v>
      </c>
      <c r="C4356" s="98">
        <v>48</v>
      </c>
      <c r="D4356" s="98">
        <v>800</v>
      </c>
      <c r="E4356" s="157">
        <v>41357.351388888892</v>
      </c>
      <c r="F4356" s="157">
        <v>41357.440972222219</v>
      </c>
      <c r="G4356" s="98">
        <v>0</v>
      </c>
      <c r="H4356" s="98">
        <v>521</v>
      </c>
      <c r="I4356" s="98">
        <v>482</v>
      </c>
      <c r="J4356" s="98" t="s">
        <v>2197</v>
      </c>
      <c r="K4356" s="98" t="s">
        <v>44</v>
      </c>
      <c r="L4356" s="105" t="str">
        <f t="shared" si="710"/>
        <v>Mill Creek</v>
      </c>
      <c r="M4356" s="105" t="str">
        <f t="shared" si="711"/>
        <v>Outage</v>
      </c>
      <c r="N4356" s="105" t="str">
        <f t="shared" si="712"/>
        <v>Coal</v>
      </c>
      <c r="O4356" s="105">
        <f>IFERROR(VLOOKUP(A4356,Lookup!$J$5:$P$19,7,FALSE),0)</f>
        <v>3</v>
      </c>
      <c r="P4356" s="159">
        <f t="shared" si="713"/>
        <v>2013</v>
      </c>
      <c r="Q4356" s="159">
        <f t="shared" si="714"/>
        <v>3</v>
      </c>
      <c r="R4356" s="160">
        <f t="shared" si="715"/>
        <v>2.1499999998486601</v>
      </c>
      <c r="S4356" s="158">
        <f t="shared" si="716"/>
        <v>2.1499999998486601</v>
      </c>
      <c r="T4356" s="161">
        <f t="shared" si="717"/>
        <v>1036.2999999270542</v>
      </c>
      <c r="U4356" s="158">
        <f t="shared" si="719"/>
        <v>482</v>
      </c>
      <c r="V4356" s="160">
        <f t="shared" si="718"/>
        <v>482</v>
      </c>
    </row>
    <row r="4357" spans="1:22" x14ac:dyDescent="0.25">
      <c r="A4357" s="98" t="s">
        <v>25</v>
      </c>
      <c r="B4357" s="98" t="s">
        <v>79</v>
      </c>
      <c r="C4357" s="98">
        <v>49</v>
      </c>
      <c r="D4357" s="98">
        <v>1850</v>
      </c>
      <c r="E4357" s="157">
        <v>41357.440972222219</v>
      </c>
      <c r="F4357" s="157">
        <v>41357.690972222219</v>
      </c>
      <c r="G4357" s="98">
        <v>0</v>
      </c>
      <c r="H4357" s="98">
        <v>521</v>
      </c>
      <c r="I4357" s="98">
        <v>482</v>
      </c>
      <c r="J4357" s="98" t="s">
        <v>2263</v>
      </c>
      <c r="K4357" s="98" t="s">
        <v>87</v>
      </c>
      <c r="L4357" s="105" t="str">
        <f t="shared" si="710"/>
        <v>Mill Creek</v>
      </c>
      <c r="M4357" s="105" t="str">
        <f t="shared" si="711"/>
        <v>Other</v>
      </c>
      <c r="N4357" s="105" t="str">
        <f t="shared" si="712"/>
        <v>Coal</v>
      </c>
      <c r="O4357" s="105">
        <f>IFERROR(VLOOKUP(A4357,Lookup!$J$5:$P$19,7,FALSE),0)</f>
        <v>3</v>
      </c>
      <c r="P4357" s="159">
        <f t="shared" si="713"/>
        <v>2013</v>
      </c>
      <c r="Q4357" s="159">
        <f t="shared" si="714"/>
        <v>3</v>
      </c>
      <c r="R4357" s="160">
        <f t="shared" si="715"/>
        <v>6</v>
      </c>
      <c r="S4357" s="158">
        <f t="shared" si="716"/>
        <v>6</v>
      </c>
      <c r="T4357" s="161">
        <f t="shared" si="717"/>
        <v>2892</v>
      </c>
      <c r="U4357" s="158">
        <f t="shared" si="719"/>
        <v>482</v>
      </c>
      <c r="V4357" s="160">
        <f t="shared" si="718"/>
        <v>482</v>
      </c>
    </row>
    <row r="4358" spans="1:22" x14ac:dyDescent="0.25">
      <c r="A4358" s="98" t="s">
        <v>25</v>
      </c>
      <c r="B4358" s="98" t="s">
        <v>17</v>
      </c>
      <c r="C4358" s="98">
        <v>50</v>
      </c>
      <c r="D4358" s="98">
        <v>1850</v>
      </c>
      <c r="E4358" s="157">
        <v>41357.690972222219</v>
      </c>
      <c r="F4358" s="157">
        <v>41357.829861111109</v>
      </c>
      <c r="G4358" s="98">
        <v>410</v>
      </c>
      <c r="H4358" s="98">
        <v>521</v>
      </c>
      <c r="I4358" s="98">
        <v>482</v>
      </c>
      <c r="J4358" s="98" t="s">
        <v>2263</v>
      </c>
      <c r="K4358" s="98" t="s">
        <v>41</v>
      </c>
      <c r="L4358" s="105" t="str">
        <f t="shared" si="710"/>
        <v>Mill Creek</v>
      </c>
      <c r="M4358" s="105" t="str">
        <f t="shared" si="711"/>
        <v>Derate</v>
      </c>
      <c r="N4358" s="105" t="str">
        <f t="shared" si="712"/>
        <v>Coal</v>
      </c>
      <c r="O4358" s="105">
        <f>IFERROR(VLOOKUP(A4358,Lookup!$J$5:$P$19,7,FALSE),0)</f>
        <v>3</v>
      </c>
      <c r="P4358" s="159">
        <f t="shared" si="713"/>
        <v>2013</v>
      </c>
      <c r="Q4358" s="159">
        <f t="shared" si="714"/>
        <v>3</v>
      </c>
      <c r="R4358" s="160">
        <f t="shared" si="715"/>
        <v>3.3333333333721384</v>
      </c>
      <c r="S4358" s="158">
        <f t="shared" si="716"/>
        <v>0.71017274472995651</v>
      </c>
      <c r="T4358" s="161">
        <f t="shared" si="717"/>
        <v>342.30326295983906</v>
      </c>
      <c r="U4358" s="158">
        <f t="shared" si="719"/>
        <v>102.69097888675624</v>
      </c>
      <c r="V4358" s="160">
        <f t="shared" si="718"/>
        <v>103</v>
      </c>
    </row>
    <row r="4359" spans="1:22" x14ac:dyDescent="0.25">
      <c r="A4359" s="98" t="s">
        <v>25</v>
      </c>
      <c r="B4359" s="98" t="s">
        <v>17</v>
      </c>
      <c r="C4359" s="98">
        <v>51</v>
      </c>
      <c r="D4359" s="98">
        <v>8551</v>
      </c>
      <c r="E4359" s="157">
        <v>41357.829861111109</v>
      </c>
      <c r="F4359" s="157">
        <v>41357.918749999997</v>
      </c>
      <c r="G4359" s="98">
        <v>390</v>
      </c>
      <c r="H4359" s="98">
        <v>521</v>
      </c>
      <c r="I4359" s="98">
        <v>482</v>
      </c>
      <c r="J4359" s="98" t="s">
        <v>1981</v>
      </c>
      <c r="K4359" s="98" t="s">
        <v>712</v>
      </c>
      <c r="L4359" s="105" t="str">
        <f t="shared" si="710"/>
        <v>Mill Creek</v>
      </c>
      <c r="M4359" s="105" t="str">
        <f t="shared" si="711"/>
        <v>Derate</v>
      </c>
      <c r="N4359" s="105" t="str">
        <f t="shared" si="712"/>
        <v>Coal</v>
      </c>
      <c r="O4359" s="105">
        <f>IFERROR(VLOOKUP(A4359,Lookup!$J$5:$P$19,7,FALSE),0)</f>
        <v>3</v>
      </c>
      <c r="P4359" s="159">
        <f t="shared" si="713"/>
        <v>2013</v>
      </c>
      <c r="Q4359" s="159">
        <f t="shared" si="714"/>
        <v>3</v>
      </c>
      <c r="R4359" s="160">
        <f t="shared" si="715"/>
        <v>2.1333333333022892</v>
      </c>
      <c r="S4359" s="158">
        <f t="shared" si="716"/>
        <v>0.5364043505999998</v>
      </c>
      <c r="T4359" s="161">
        <f t="shared" si="717"/>
        <v>258.54689698919992</v>
      </c>
      <c r="U4359" s="158">
        <f t="shared" si="719"/>
        <v>121.19385796545106</v>
      </c>
      <c r="V4359" s="160">
        <f t="shared" si="718"/>
        <v>121</v>
      </c>
    </row>
    <row r="4360" spans="1:22" x14ac:dyDescent="0.25">
      <c r="A4360" s="98" t="s">
        <v>25</v>
      </c>
      <c r="B4360" s="98" t="s">
        <v>15</v>
      </c>
      <c r="C4360" s="98">
        <v>52</v>
      </c>
      <c r="D4360" s="98">
        <v>4730</v>
      </c>
      <c r="E4360" s="157">
        <v>41357.918749999997</v>
      </c>
      <c r="F4360" s="157">
        <v>41358.370833333334</v>
      </c>
      <c r="G4360" s="98">
        <v>0</v>
      </c>
      <c r="H4360" s="98">
        <v>521</v>
      </c>
      <c r="I4360" s="98">
        <v>482</v>
      </c>
      <c r="J4360" s="98" t="s">
        <v>2241</v>
      </c>
      <c r="K4360" s="98" t="s">
        <v>713</v>
      </c>
      <c r="L4360" s="105" t="str">
        <f t="shared" si="710"/>
        <v>Mill Creek</v>
      </c>
      <c r="M4360" s="105" t="str">
        <f t="shared" si="711"/>
        <v>Outage</v>
      </c>
      <c r="N4360" s="105" t="str">
        <f t="shared" si="712"/>
        <v>Coal</v>
      </c>
      <c r="O4360" s="105">
        <f>IFERROR(VLOOKUP(A4360,Lookup!$J$5:$P$19,7,FALSE),0)</f>
        <v>3</v>
      </c>
      <c r="P4360" s="159">
        <f t="shared" si="713"/>
        <v>2013</v>
      </c>
      <c r="Q4360" s="159">
        <f t="shared" si="714"/>
        <v>3</v>
      </c>
      <c r="R4360" s="160">
        <f t="shared" si="715"/>
        <v>10.850000000093132</v>
      </c>
      <c r="S4360" s="158">
        <f t="shared" si="716"/>
        <v>10.850000000093132</v>
      </c>
      <c r="T4360" s="161">
        <f t="shared" si="717"/>
        <v>5229.7000000448897</v>
      </c>
      <c r="U4360" s="158">
        <f t="shared" si="719"/>
        <v>482</v>
      </c>
      <c r="V4360" s="160">
        <f t="shared" si="718"/>
        <v>482</v>
      </c>
    </row>
    <row r="4361" spans="1:22" x14ac:dyDescent="0.25">
      <c r="A4361" s="98" t="s">
        <v>25</v>
      </c>
      <c r="B4361" s="98" t="s">
        <v>79</v>
      </c>
      <c r="C4361" s="98">
        <v>53</v>
      </c>
      <c r="D4361" s="98">
        <v>1850</v>
      </c>
      <c r="E4361" s="157">
        <v>41358.370833333334</v>
      </c>
      <c r="F4361" s="157">
        <v>41358.708333333336</v>
      </c>
      <c r="G4361" s="98">
        <v>0</v>
      </c>
      <c r="H4361" s="98">
        <v>521</v>
      </c>
      <c r="I4361" s="98">
        <v>482</v>
      </c>
      <c r="J4361" s="98" t="s">
        <v>2263</v>
      </c>
      <c r="K4361" s="98" t="s">
        <v>86</v>
      </c>
      <c r="L4361" s="105" t="str">
        <f t="shared" si="710"/>
        <v>Mill Creek</v>
      </c>
      <c r="M4361" s="105" t="str">
        <f t="shared" si="711"/>
        <v>Other</v>
      </c>
      <c r="N4361" s="105" t="str">
        <f t="shared" si="712"/>
        <v>Coal</v>
      </c>
      <c r="O4361" s="105">
        <f>IFERROR(VLOOKUP(A4361,Lookup!$J$5:$P$19,7,FALSE),0)</f>
        <v>3</v>
      </c>
      <c r="P4361" s="159">
        <f t="shared" si="713"/>
        <v>2013</v>
      </c>
      <c r="Q4361" s="159">
        <f t="shared" si="714"/>
        <v>3</v>
      </c>
      <c r="R4361" s="160">
        <f t="shared" si="715"/>
        <v>8.1000000000349246</v>
      </c>
      <c r="S4361" s="158">
        <f t="shared" si="716"/>
        <v>8.1000000000349246</v>
      </c>
      <c r="T4361" s="161">
        <f t="shared" si="717"/>
        <v>3904.2000000168337</v>
      </c>
      <c r="U4361" s="158">
        <f t="shared" si="719"/>
        <v>482</v>
      </c>
      <c r="V4361" s="160">
        <f t="shared" si="718"/>
        <v>482</v>
      </c>
    </row>
    <row r="4362" spans="1:22" x14ac:dyDescent="0.25">
      <c r="A4362" s="98" t="s">
        <v>25</v>
      </c>
      <c r="B4362" s="98" t="s">
        <v>17</v>
      </c>
      <c r="C4362" s="98">
        <v>54</v>
      </c>
      <c r="D4362" s="98">
        <v>1850</v>
      </c>
      <c r="E4362" s="157">
        <v>41358.708333333336</v>
      </c>
      <c r="F4362" s="157">
        <v>41359.138888888891</v>
      </c>
      <c r="G4362" s="98">
        <v>379</v>
      </c>
      <c r="H4362" s="98">
        <v>521</v>
      </c>
      <c r="I4362" s="98">
        <v>482</v>
      </c>
      <c r="J4362" s="98" t="s">
        <v>2263</v>
      </c>
      <c r="K4362" s="98" t="s">
        <v>41</v>
      </c>
      <c r="L4362" s="105" t="str">
        <f t="shared" si="710"/>
        <v>Mill Creek</v>
      </c>
      <c r="M4362" s="105" t="str">
        <f t="shared" si="711"/>
        <v>Derate</v>
      </c>
      <c r="N4362" s="105" t="str">
        <f t="shared" si="712"/>
        <v>Coal</v>
      </c>
      <c r="O4362" s="105">
        <f>IFERROR(VLOOKUP(A4362,Lookup!$J$5:$P$19,7,FALSE),0)</f>
        <v>3</v>
      </c>
      <c r="P4362" s="159">
        <f t="shared" si="713"/>
        <v>2013</v>
      </c>
      <c r="Q4362" s="159">
        <f t="shared" si="714"/>
        <v>3</v>
      </c>
      <c r="R4362" s="160">
        <f t="shared" si="715"/>
        <v>10.333333333313931</v>
      </c>
      <c r="S4362" s="158">
        <f t="shared" si="716"/>
        <v>2.8163787587918967</v>
      </c>
      <c r="T4362" s="161">
        <f t="shared" si="717"/>
        <v>1357.4945617376943</v>
      </c>
      <c r="U4362" s="158">
        <f t="shared" si="719"/>
        <v>131.37044145873321</v>
      </c>
      <c r="V4362" s="160">
        <f t="shared" si="718"/>
        <v>131</v>
      </c>
    </row>
    <row r="4363" spans="1:22" x14ac:dyDescent="0.25">
      <c r="A4363" s="98" t="s">
        <v>25</v>
      </c>
      <c r="B4363" s="98" t="s">
        <v>17</v>
      </c>
      <c r="C4363" s="98">
        <v>55</v>
      </c>
      <c r="D4363" s="98">
        <v>4499</v>
      </c>
      <c r="E4363" s="157">
        <v>41370.229166666664</v>
      </c>
      <c r="F4363" s="157">
        <v>41370.535416666666</v>
      </c>
      <c r="G4363" s="98">
        <v>200</v>
      </c>
      <c r="H4363" s="98">
        <v>521</v>
      </c>
      <c r="I4363" s="98">
        <v>482</v>
      </c>
      <c r="J4363" s="98" t="s">
        <v>2082</v>
      </c>
      <c r="K4363" s="98" t="s">
        <v>714</v>
      </c>
      <c r="L4363" s="105" t="str">
        <f t="shared" si="710"/>
        <v>Mill Creek</v>
      </c>
      <c r="M4363" s="105" t="str">
        <f t="shared" si="711"/>
        <v>Derate</v>
      </c>
      <c r="N4363" s="105" t="str">
        <f t="shared" si="712"/>
        <v>Coal</v>
      </c>
      <c r="O4363" s="105">
        <f>IFERROR(VLOOKUP(A4363,Lookup!$J$5:$P$19,7,FALSE),0)</f>
        <v>3</v>
      </c>
      <c r="P4363" s="159">
        <f t="shared" si="713"/>
        <v>2013</v>
      </c>
      <c r="Q4363" s="159">
        <f t="shared" si="714"/>
        <v>4</v>
      </c>
      <c r="R4363" s="160">
        <f t="shared" si="715"/>
        <v>7.3500000000349246</v>
      </c>
      <c r="S4363" s="158">
        <f t="shared" si="716"/>
        <v>4.5285028791002127</v>
      </c>
      <c r="T4363" s="161">
        <f t="shared" si="717"/>
        <v>2182.7383877263023</v>
      </c>
      <c r="U4363" s="158">
        <f t="shared" si="719"/>
        <v>296.97120921305185</v>
      </c>
      <c r="V4363" s="160">
        <f t="shared" si="718"/>
        <v>297</v>
      </c>
    </row>
    <row r="4364" spans="1:22" x14ac:dyDescent="0.25">
      <c r="A4364" s="98" t="s">
        <v>25</v>
      </c>
      <c r="B4364" s="98" t="s">
        <v>20</v>
      </c>
      <c r="C4364" s="98">
        <v>56</v>
      </c>
      <c r="D4364" s="98">
        <v>4550</v>
      </c>
      <c r="E4364" s="157">
        <v>41370.535416666666</v>
      </c>
      <c r="F4364" s="157">
        <v>41376.306250000001</v>
      </c>
      <c r="G4364" s="98">
        <v>0</v>
      </c>
      <c r="H4364" s="98">
        <v>521</v>
      </c>
      <c r="I4364" s="98">
        <v>482</v>
      </c>
      <c r="J4364" s="98" t="s">
        <v>2278</v>
      </c>
      <c r="K4364" s="98" t="s">
        <v>715</v>
      </c>
      <c r="L4364" s="105" t="str">
        <f t="shared" si="710"/>
        <v>Mill Creek</v>
      </c>
      <c r="M4364" s="105" t="str">
        <f t="shared" si="711"/>
        <v>Maintenance</v>
      </c>
      <c r="N4364" s="105" t="str">
        <f t="shared" si="712"/>
        <v>Coal</v>
      </c>
      <c r="O4364" s="105">
        <f>IFERROR(VLOOKUP(A4364,Lookup!$J$5:$P$19,7,FALSE),0)</f>
        <v>3</v>
      </c>
      <c r="P4364" s="159">
        <f t="shared" si="713"/>
        <v>2013</v>
      </c>
      <c r="Q4364" s="159">
        <f t="shared" si="714"/>
        <v>4</v>
      </c>
      <c r="R4364" s="160">
        <f t="shared" si="715"/>
        <v>138.50000000005821</v>
      </c>
      <c r="S4364" s="158">
        <f t="shared" si="716"/>
        <v>138.50000000005821</v>
      </c>
      <c r="T4364" s="161">
        <f t="shared" si="717"/>
        <v>66757.000000028056</v>
      </c>
      <c r="U4364" s="158">
        <f t="shared" si="719"/>
        <v>482</v>
      </c>
      <c r="V4364" s="160">
        <f t="shared" si="718"/>
        <v>482</v>
      </c>
    </row>
    <row r="4365" spans="1:22" x14ac:dyDescent="0.25">
      <c r="A4365" s="98" t="s">
        <v>25</v>
      </c>
      <c r="B4365" s="98" t="s">
        <v>79</v>
      </c>
      <c r="C4365" s="98">
        <v>57</v>
      </c>
      <c r="D4365" s="98">
        <v>1850</v>
      </c>
      <c r="E4365" s="157">
        <v>41376.306250000001</v>
      </c>
      <c r="F4365" s="157">
        <v>41377.069444444445</v>
      </c>
      <c r="G4365" s="98">
        <v>0</v>
      </c>
      <c r="H4365" s="98">
        <v>521</v>
      </c>
      <c r="I4365" s="98">
        <v>482</v>
      </c>
      <c r="J4365" s="98" t="s">
        <v>2263</v>
      </c>
      <c r="K4365" s="98" t="s">
        <v>88</v>
      </c>
      <c r="L4365" s="105" t="str">
        <f t="shared" si="710"/>
        <v>Mill Creek</v>
      </c>
      <c r="M4365" s="105" t="str">
        <f t="shared" si="711"/>
        <v>Other</v>
      </c>
      <c r="N4365" s="105" t="str">
        <f t="shared" si="712"/>
        <v>Coal</v>
      </c>
      <c r="O4365" s="105">
        <f>IFERROR(VLOOKUP(A4365,Lookup!$J$5:$P$19,7,FALSE),0)</f>
        <v>3</v>
      </c>
      <c r="P4365" s="159">
        <f t="shared" si="713"/>
        <v>2013</v>
      </c>
      <c r="Q4365" s="159">
        <f t="shared" si="714"/>
        <v>4</v>
      </c>
      <c r="R4365" s="160">
        <f t="shared" si="715"/>
        <v>18.316666666651145</v>
      </c>
      <c r="S4365" s="158">
        <f t="shared" si="716"/>
        <v>18.316666666651145</v>
      </c>
      <c r="T4365" s="161">
        <f t="shared" si="717"/>
        <v>8828.6333333258517</v>
      </c>
      <c r="U4365" s="158">
        <f t="shared" si="719"/>
        <v>482</v>
      </c>
      <c r="V4365" s="160">
        <f t="shared" si="718"/>
        <v>482</v>
      </c>
    </row>
    <row r="4366" spans="1:22" x14ac:dyDescent="0.25">
      <c r="A4366" s="98" t="s">
        <v>25</v>
      </c>
      <c r="B4366" s="98" t="s">
        <v>17</v>
      </c>
      <c r="C4366" s="98">
        <v>58</v>
      </c>
      <c r="D4366" s="98">
        <v>4613</v>
      </c>
      <c r="E4366" s="157">
        <v>41377.069444444445</v>
      </c>
      <c r="F4366" s="157">
        <v>41377.164583333331</v>
      </c>
      <c r="G4366" s="98">
        <v>441</v>
      </c>
      <c r="H4366" s="98">
        <v>521</v>
      </c>
      <c r="I4366" s="98">
        <v>482</v>
      </c>
      <c r="J4366" s="98" t="s">
        <v>2496</v>
      </c>
      <c r="K4366" s="98" t="s">
        <v>716</v>
      </c>
      <c r="L4366" s="105" t="str">
        <f t="shared" si="710"/>
        <v>Mill Creek</v>
      </c>
      <c r="M4366" s="105" t="str">
        <f t="shared" si="711"/>
        <v>Derate</v>
      </c>
      <c r="N4366" s="105" t="str">
        <f t="shared" si="712"/>
        <v>Coal</v>
      </c>
      <c r="O4366" s="105">
        <f>IFERROR(VLOOKUP(A4366,Lookup!$J$5:$P$19,7,FALSE),0)</f>
        <v>3</v>
      </c>
      <c r="P4366" s="159">
        <f t="shared" si="713"/>
        <v>2013</v>
      </c>
      <c r="Q4366" s="159">
        <f t="shared" si="714"/>
        <v>4</v>
      </c>
      <c r="R4366" s="160">
        <f t="shared" si="715"/>
        <v>2.2833333332673647</v>
      </c>
      <c r="S4366" s="158">
        <f t="shared" si="716"/>
        <v>0.35060780549210974</v>
      </c>
      <c r="T4366" s="161">
        <f t="shared" si="717"/>
        <v>168.99296224719689</v>
      </c>
      <c r="U4366" s="158">
        <f t="shared" si="719"/>
        <v>74.011516314779271</v>
      </c>
      <c r="V4366" s="160">
        <f t="shared" si="718"/>
        <v>74</v>
      </c>
    </row>
    <row r="4367" spans="1:22" x14ac:dyDescent="0.25">
      <c r="A4367" s="98" t="s">
        <v>25</v>
      </c>
      <c r="B4367" s="98" t="s">
        <v>33</v>
      </c>
      <c r="C4367" s="98">
        <v>59</v>
      </c>
      <c r="D4367" s="98">
        <v>4613</v>
      </c>
      <c r="E4367" s="157">
        <v>41377.164583333331</v>
      </c>
      <c r="F4367" s="157">
        <v>41381.800000000003</v>
      </c>
      <c r="G4367" s="98">
        <v>0</v>
      </c>
      <c r="H4367" s="98">
        <v>521</v>
      </c>
      <c r="I4367" s="98">
        <v>482</v>
      </c>
      <c r="J4367" s="98" t="s">
        <v>2496</v>
      </c>
      <c r="K4367" s="98" t="s">
        <v>716</v>
      </c>
      <c r="L4367" s="105" t="str">
        <f t="shared" si="710"/>
        <v>Mill Creek</v>
      </c>
      <c r="M4367" s="105" t="str">
        <f t="shared" si="711"/>
        <v>Outage</v>
      </c>
      <c r="N4367" s="105" t="str">
        <f t="shared" si="712"/>
        <v>Coal</v>
      </c>
      <c r="O4367" s="105">
        <f>IFERROR(VLOOKUP(A4367,Lookup!$J$5:$P$19,7,FALSE),0)</f>
        <v>3</v>
      </c>
      <c r="P4367" s="159">
        <f t="shared" si="713"/>
        <v>2013</v>
      </c>
      <c r="Q4367" s="159">
        <f t="shared" si="714"/>
        <v>4</v>
      </c>
      <c r="R4367" s="160">
        <f t="shared" si="715"/>
        <v>111.25000000011642</v>
      </c>
      <c r="S4367" s="158">
        <f t="shared" si="716"/>
        <v>111.25000000011642</v>
      </c>
      <c r="T4367" s="161">
        <f t="shared" si="717"/>
        <v>53622.500000056112</v>
      </c>
      <c r="U4367" s="158">
        <f t="shared" si="719"/>
        <v>482</v>
      </c>
      <c r="V4367" s="160">
        <f t="shared" si="718"/>
        <v>482</v>
      </c>
    </row>
    <row r="4368" spans="1:22" x14ac:dyDescent="0.25">
      <c r="A4368" s="98" t="s">
        <v>25</v>
      </c>
      <c r="B4368" s="98" t="s">
        <v>18</v>
      </c>
      <c r="C4368" s="98">
        <v>60</v>
      </c>
      <c r="D4368" s="98">
        <v>4550</v>
      </c>
      <c r="E4368" s="157">
        <v>41381.800000000003</v>
      </c>
      <c r="F4368" s="157">
        <v>41387.305555555555</v>
      </c>
      <c r="G4368" s="98">
        <v>0</v>
      </c>
      <c r="H4368" s="98">
        <v>521</v>
      </c>
      <c r="I4368" s="98">
        <v>482</v>
      </c>
      <c r="J4368" s="98" t="s">
        <v>2278</v>
      </c>
      <c r="K4368" s="98" t="s">
        <v>715</v>
      </c>
      <c r="L4368" s="105" t="str">
        <f t="shared" si="710"/>
        <v>Mill Creek</v>
      </c>
      <c r="M4368" s="105" t="str">
        <f t="shared" si="711"/>
        <v>Outage</v>
      </c>
      <c r="N4368" s="105" t="str">
        <f t="shared" si="712"/>
        <v>Coal</v>
      </c>
      <c r="O4368" s="105">
        <f>IFERROR(VLOOKUP(A4368,Lookup!$J$5:$P$19,7,FALSE),0)</f>
        <v>3</v>
      </c>
      <c r="P4368" s="159">
        <f t="shared" si="713"/>
        <v>2013</v>
      </c>
      <c r="Q4368" s="159">
        <f t="shared" si="714"/>
        <v>4</v>
      </c>
      <c r="R4368" s="160">
        <f t="shared" si="715"/>
        <v>132.13333333324408</v>
      </c>
      <c r="S4368" s="158">
        <f t="shared" si="716"/>
        <v>132.13333333324408</v>
      </c>
      <c r="T4368" s="161">
        <f t="shared" si="717"/>
        <v>63688.266666623647</v>
      </c>
      <c r="U4368" s="158">
        <f t="shared" si="719"/>
        <v>482</v>
      </c>
      <c r="V4368" s="160">
        <f t="shared" si="718"/>
        <v>482</v>
      </c>
    </row>
    <row r="4369" spans="1:22" x14ac:dyDescent="0.25">
      <c r="A4369" s="98" t="s">
        <v>25</v>
      </c>
      <c r="B4369" s="98" t="s">
        <v>79</v>
      </c>
      <c r="C4369" s="98">
        <v>61</v>
      </c>
      <c r="D4369" s="98">
        <v>1850</v>
      </c>
      <c r="E4369" s="157">
        <v>41387.305555555555</v>
      </c>
      <c r="F4369" s="157">
        <v>41387.888194444444</v>
      </c>
      <c r="G4369" s="98">
        <v>0</v>
      </c>
      <c r="H4369" s="98">
        <v>521</v>
      </c>
      <c r="I4369" s="98">
        <v>482</v>
      </c>
      <c r="J4369" s="98" t="s">
        <v>2263</v>
      </c>
      <c r="K4369" s="98" t="s">
        <v>88</v>
      </c>
      <c r="L4369" s="105" t="str">
        <f t="shared" si="710"/>
        <v>Mill Creek</v>
      </c>
      <c r="M4369" s="105" t="str">
        <f t="shared" si="711"/>
        <v>Other</v>
      </c>
      <c r="N4369" s="105" t="str">
        <f t="shared" si="712"/>
        <v>Coal</v>
      </c>
      <c r="O4369" s="105">
        <f>IFERROR(VLOOKUP(A4369,Lookup!$J$5:$P$19,7,FALSE),0)</f>
        <v>3</v>
      </c>
      <c r="P4369" s="159">
        <f t="shared" si="713"/>
        <v>2013</v>
      </c>
      <c r="Q4369" s="159">
        <f t="shared" si="714"/>
        <v>4</v>
      </c>
      <c r="R4369" s="160">
        <f t="shared" si="715"/>
        <v>13.983333333337214</v>
      </c>
      <c r="S4369" s="158">
        <f t="shared" si="716"/>
        <v>13.983333333337214</v>
      </c>
      <c r="T4369" s="161">
        <f t="shared" si="717"/>
        <v>6739.9666666685371</v>
      </c>
      <c r="U4369" s="158">
        <f t="shared" si="719"/>
        <v>482</v>
      </c>
      <c r="V4369" s="160">
        <f t="shared" si="718"/>
        <v>482</v>
      </c>
    </row>
    <row r="4370" spans="1:22" x14ac:dyDescent="0.25">
      <c r="A4370" s="98" t="s">
        <v>25</v>
      </c>
      <c r="B4370" s="98" t="s">
        <v>15</v>
      </c>
      <c r="C4370" s="98">
        <v>62</v>
      </c>
      <c r="D4370" s="98">
        <v>4730</v>
      </c>
      <c r="E4370" s="157">
        <v>41387.888194444444</v>
      </c>
      <c r="F4370" s="157">
        <v>41388.474305555559</v>
      </c>
      <c r="G4370" s="98">
        <v>0</v>
      </c>
      <c r="H4370" s="98">
        <v>521</v>
      </c>
      <c r="I4370" s="98">
        <v>482</v>
      </c>
      <c r="J4370" s="98" t="s">
        <v>2241</v>
      </c>
      <c r="K4370" s="98" t="s">
        <v>717</v>
      </c>
      <c r="L4370" s="105" t="str">
        <f t="shared" si="710"/>
        <v>Mill Creek</v>
      </c>
      <c r="M4370" s="105" t="str">
        <f t="shared" si="711"/>
        <v>Outage</v>
      </c>
      <c r="N4370" s="105" t="str">
        <f t="shared" si="712"/>
        <v>Coal</v>
      </c>
      <c r="O4370" s="105">
        <f>IFERROR(VLOOKUP(A4370,Lookup!$J$5:$P$19,7,FALSE),0)</f>
        <v>3</v>
      </c>
      <c r="P4370" s="159">
        <f t="shared" si="713"/>
        <v>2013</v>
      </c>
      <c r="Q4370" s="159">
        <f t="shared" si="714"/>
        <v>4</v>
      </c>
      <c r="R4370" s="160">
        <f t="shared" si="715"/>
        <v>14.06666666676756</v>
      </c>
      <c r="S4370" s="158">
        <f t="shared" si="716"/>
        <v>14.06666666676756</v>
      </c>
      <c r="T4370" s="161">
        <f t="shared" si="717"/>
        <v>6780.1333333819639</v>
      </c>
      <c r="U4370" s="158">
        <f t="shared" si="719"/>
        <v>482</v>
      </c>
      <c r="V4370" s="160">
        <f t="shared" si="718"/>
        <v>482</v>
      </c>
    </row>
    <row r="4371" spans="1:22" x14ac:dyDescent="0.25">
      <c r="A4371" s="98" t="s">
        <v>25</v>
      </c>
      <c r="B4371" s="98" t="s">
        <v>79</v>
      </c>
      <c r="C4371" s="98">
        <v>63</v>
      </c>
      <c r="D4371" s="98">
        <v>1850</v>
      </c>
      <c r="E4371" s="157">
        <v>41388.474305555559</v>
      </c>
      <c r="F4371" s="157">
        <v>41388.833333333336</v>
      </c>
      <c r="G4371" s="98">
        <v>0</v>
      </c>
      <c r="H4371" s="98">
        <v>521</v>
      </c>
      <c r="I4371" s="98">
        <v>482</v>
      </c>
      <c r="J4371" s="98" t="s">
        <v>2263</v>
      </c>
      <c r="K4371" s="98" t="s">
        <v>86</v>
      </c>
      <c r="L4371" s="105" t="str">
        <f t="shared" si="710"/>
        <v>Mill Creek</v>
      </c>
      <c r="M4371" s="105" t="str">
        <f t="shared" si="711"/>
        <v>Other</v>
      </c>
      <c r="N4371" s="105" t="str">
        <f t="shared" si="712"/>
        <v>Coal</v>
      </c>
      <c r="O4371" s="105">
        <f>IFERROR(VLOOKUP(A4371,Lookup!$J$5:$P$19,7,FALSE),0)</f>
        <v>3</v>
      </c>
      <c r="P4371" s="159">
        <f t="shared" si="713"/>
        <v>2013</v>
      </c>
      <c r="Q4371" s="159">
        <f t="shared" si="714"/>
        <v>4</v>
      </c>
      <c r="R4371" s="160">
        <f t="shared" si="715"/>
        <v>8.6166666666395031</v>
      </c>
      <c r="S4371" s="158">
        <f t="shared" si="716"/>
        <v>8.6166666666395031</v>
      </c>
      <c r="T4371" s="161">
        <f t="shared" si="717"/>
        <v>4153.2333333202405</v>
      </c>
      <c r="U4371" s="158">
        <f t="shared" si="719"/>
        <v>482</v>
      </c>
      <c r="V4371" s="160">
        <f t="shared" si="718"/>
        <v>482</v>
      </c>
    </row>
    <row r="4372" spans="1:22" x14ac:dyDescent="0.25">
      <c r="A4372" s="98" t="s">
        <v>25</v>
      </c>
      <c r="B4372" s="98" t="s">
        <v>17</v>
      </c>
      <c r="C4372" s="98">
        <v>64</v>
      </c>
      <c r="D4372" s="98">
        <v>1850</v>
      </c>
      <c r="E4372" s="157">
        <v>41388.833333333336</v>
      </c>
      <c r="F4372" s="157">
        <v>41389.021527777775</v>
      </c>
      <c r="G4372" s="98">
        <v>400</v>
      </c>
      <c r="H4372" s="98">
        <v>521</v>
      </c>
      <c r="I4372" s="98">
        <v>482</v>
      </c>
      <c r="J4372" s="98" t="s">
        <v>2263</v>
      </c>
      <c r="K4372" s="98" t="s">
        <v>41</v>
      </c>
      <c r="L4372" s="105" t="str">
        <f t="shared" si="710"/>
        <v>Mill Creek</v>
      </c>
      <c r="M4372" s="105" t="str">
        <f t="shared" si="711"/>
        <v>Derate</v>
      </c>
      <c r="N4372" s="105" t="str">
        <f t="shared" si="712"/>
        <v>Coal</v>
      </c>
      <c r="O4372" s="105">
        <f>IFERROR(VLOOKUP(A4372,Lookup!$J$5:$P$19,7,FALSE),0)</f>
        <v>3</v>
      </c>
      <c r="P4372" s="159">
        <f t="shared" si="713"/>
        <v>2013</v>
      </c>
      <c r="Q4372" s="159">
        <f t="shared" si="714"/>
        <v>4</v>
      </c>
      <c r="R4372" s="160">
        <f t="shared" si="715"/>
        <v>4.5166666665463708</v>
      </c>
      <c r="S4372" s="158">
        <f t="shared" si="716"/>
        <v>1.0489763275472377</v>
      </c>
      <c r="T4372" s="161">
        <f t="shared" si="717"/>
        <v>505.60658987776856</v>
      </c>
      <c r="U4372" s="158">
        <f t="shared" si="719"/>
        <v>111.94241842610364</v>
      </c>
      <c r="V4372" s="160">
        <f t="shared" si="718"/>
        <v>112</v>
      </c>
    </row>
    <row r="4373" spans="1:22" x14ac:dyDescent="0.25">
      <c r="A4373" s="98" t="s">
        <v>25</v>
      </c>
      <c r="B4373" s="98" t="s">
        <v>17</v>
      </c>
      <c r="C4373" s="98">
        <v>65</v>
      </c>
      <c r="D4373" s="98">
        <v>1850</v>
      </c>
      <c r="E4373" s="157">
        <v>41394.822916666664</v>
      </c>
      <c r="F4373" s="157">
        <v>41394.861111111109</v>
      </c>
      <c r="G4373" s="98">
        <v>511</v>
      </c>
      <c r="H4373" s="98">
        <v>521</v>
      </c>
      <c r="I4373" s="98">
        <v>482</v>
      </c>
      <c r="J4373" s="98" t="s">
        <v>2263</v>
      </c>
      <c r="K4373" s="98" t="s">
        <v>41</v>
      </c>
      <c r="L4373" s="105" t="str">
        <f t="shared" si="710"/>
        <v>Mill Creek</v>
      </c>
      <c r="M4373" s="105" t="str">
        <f t="shared" si="711"/>
        <v>Derate</v>
      </c>
      <c r="N4373" s="105" t="str">
        <f t="shared" si="712"/>
        <v>Coal</v>
      </c>
      <c r="O4373" s="105">
        <f>IFERROR(VLOOKUP(A4373,Lookup!$J$5:$P$19,7,FALSE),0)</f>
        <v>3</v>
      </c>
      <c r="P4373" s="159">
        <f t="shared" si="713"/>
        <v>2013</v>
      </c>
      <c r="Q4373" s="159">
        <f t="shared" si="714"/>
        <v>4</v>
      </c>
      <c r="R4373" s="160">
        <f t="shared" si="715"/>
        <v>0.91666666668606922</v>
      </c>
      <c r="S4373" s="158">
        <f t="shared" si="716"/>
        <v>1.7594369802035877E-2</v>
      </c>
      <c r="T4373" s="161">
        <f t="shared" si="717"/>
        <v>8.480486244581293</v>
      </c>
      <c r="U4373" s="158">
        <f t="shared" si="719"/>
        <v>9.2514395393474089</v>
      </c>
      <c r="V4373" s="160">
        <f t="shared" si="718"/>
        <v>9</v>
      </c>
    </row>
    <row r="4374" spans="1:22" x14ac:dyDescent="0.25">
      <c r="A4374" s="98" t="s">
        <v>25</v>
      </c>
      <c r="B4374" s="98" t="s">
        <v>17</v>
      </c>
      <c r="C4374" s="98">
        <v>66</v>
      </c>
      <c r="D4374" s="98">
        <v>1850</v>
      </c>
      <c r="E4374" s="157">
        <v>41394.861111111109</v>
      </c>
      <c r="F4374" s="157">
        <v>41395.236111111109</v>
      </c>
      <c r="G4374" s="98">
        <v>450</v>
      </c>
      <c r="H4374" s="98">
        <v>521</v>
      </c>
      <c r="I4374" s="98">
        <v>482</v>
      </c>
      <c r="J4374" s="98" t="s">
        <v>2263</v>
      </c>
      <c r="K4374" s="98" t="s">
        <v>41</v>
      </c>
      <c r="L4374" s="105" t="str">
        <f t="shared" si="710"/>
        <v>Mill Creek</v>
      </c>
      <c r="M4374" s="105" t="str">
        <f t="shared" si="711"/>
        <v>Derate</v>
      </c>
      <c r="N4374" s="105" t="str">
        <f t="shared" si="712"/>
        <v>Coal</v>
      </c>
      <c r="O4374" s="105">
        <f>IFERROR(VLOOKUP(A4374,Lookup!$J$5:$P$19,7,FALSE),0)</f>
        <v>3</v>
      </c>
      <c r="P4374" s="159">
        <f t="shared" si="713"/>
        <v>2013</v>
      </c>
      <c r="Q4374" s="159">
        <f t="shared" si="714"/>
        <v>4</v>
      </c>
      <c r="R4374" s="160">
        <f t="shared" si="715"/>
        <v>9</v>
      </c>
      <c r="S4374" s="158">
        <f t="shared" si="716"/>
        <v>1.2264875239923225</v>
      </c>
      <c r="T4374" s="161">
        <f t="shared" si="717"/>
        <v>591.16698656429946</v>
      </c>
      <c r="U4374" s="158">
        <f t="shared" si="719"/>
        <v>65.685220729366605</v>
      </c>
      <c r="V4374" s="160">
        <f t="shared" si="718"/>
        <v>66</v>
      </c>
    </row>
    <row r="4375" spans="1:22" x14ac:dyDescent="0.25">
      <c r="A4375" s="98" t="s">
        <v>25</v>
      </c>
      <c r="B4375" s="98" t="s">
        <v>17</v>
      </c>
      <c r="C4375" s="98">
        <v>67</v>
      </c>
      <c r="D4375" s="98">
        <v>1850</v>
      </c>
      <c r="E4375" s="157">
        <v>41395.236111111109</v>
      </c>
      <c r="F4375" s="157">
        <v>41395.42083333333</v>
      </c>
      <c r="G4375" s="98">
        <v>400</v>
      </c>
      <c r="H4375" s="98">
        <v>521</v>
      </c>
      <c r="I4375" s="98">
        <v>482</v>
      </c>
      <c r="J4375" s="98" t="s">
        <v>2263</v>
      </c>
      <c r="K4375" s="98" t="s">
        <v>41</v>
      </c>
      <c r="L4375" s="105" t="str">
        <f t="shared" si="710"/>
        <v>Mill Creek</v>
      </c>
      <c r="M4375" s="105" t="str">
        <f t="shared" si="711"/>
        <v>Derate</v>
      </c>
      <c r="N4375" s="105" t="str">
        <f t="shared" si="712"/>
        <v>Coal</v>
      </c>
      <c r="O4375" s="105">
        <f>IFERROR(VLOOKUP(A4375,Lookup!$J$5:$P$19,7,FALSE),0)</f>
        <v>3</v>
      </c>
      <c r="P4375" s="159">
        <f t="shared" si="713"/>
        <v>2013</v>
      </c>
      <c r="Q4375" s="159">
        <f t="shared" si="714"/>
        <v>5</v>
      </c>
      <c r="R4375" s="160">
        <f t="shared" si="715"/>
        <v>4.4333333332906477</v>
      </c>
      <c r="S4375" s="158">
        <f t="shared" si="716"/>
        <v>1.0296225207834326</v>
      </c>
      <c r="T4375" s="161">
        <f t="shared" si="717"/>
        <v>496.27805501761452</v>
      </c>
      <c r="U4375" s="158">
        <f t="shared" si="719"/>
        <v>111.94241842610364</v>
      </c>
      <c r="V4375" s="160">
        <f t="shared" si="718"/>
        <v>112</v>
      </c>
    </row>
    <row r="4376" spans="1:22" x14ac:dyDescent="0.25">
      <c r="A4376" s="98" t="s">
        <v>25</v>
      </c>
      <c r="B4376" s="98" t="s">
        <v>15</v>
      </c>
      <c r="C4376" s="98">
        <v>68</v>
      </c>
      <c r="D4376" s="98">
        <v>3110</v>
      </c>
      <c r="E4376" s="157">
        <v>41395.42083333333</v>
      </c>
      <c r="F4376" s="157">
        <v>41396.925694444442</v>
      </c>
      <c r="G4376" s="98">
        <v>0</v>
      </c>
      <c r="H4376" s="98">
        <v>521</v>
      </c>
      <c r="I4376" s="98">
        <v>482</v>
      </c>
      <c r="J4376" s="98" t="s">
        <v>2119</v>
      </c>
      <c r="K4376" s="98" t="s">
        <v>55</v>
      </c>
      <c r="L4376" s="105" t="str">
        <f t="shared" si="710"/>
        <v>Mill Creek</v>
      </c>
      <c r="M4376" s="105" t="str">
        <f t="shared" si="711"/>
        <v>Outage</v>
      </c>
      <c r="N4376" s="105" t="str">
        <f t="shared" si="712"/>
        <v>Coal</v>
      </c>
      <c r="O4376" s="105">
        <f>IFERROR(VLOOKUP(A4376,Lookup!$J$5:$P$19,7,FALSE),0)</f>
        <v>3</v>
      </c>
      <c r="P4376" s="159">
        <f t="shared" si="713"/>
        <v>2013</v>
      </c>
      <c r="Q4376" s="159">
        <f t="shared" si="714"/>
        <v>5</v>
      </c>
      <c r="R4376" s="160">
        <f t="shared" si="715"/>
        <v>36.116666666697711</v>
      </c>
      <c r="S4376" s="158">
        <f t="shared" si="716"/>
        <v>36.116666666697711</v>
      </c>
      <c r="T4376" s="161">
        <f t="shared" si="717"/>
        <v>17408.233333348297</v>
      </c>
      <c r="U4376" s="158">
        <f t="shared" si="719"/>
        <v>482</v>
      </c>
      <c r="V4376" s="160">
        <f t="shared" si="718"/>
        <v>482</v>
      </c>
    </row>
    <row r="4377" spans="1:22" x14ac:dyDescent="0.25">
      <c r="A4377" s="98" t="s">
        <v>25</v>
      </c>
      <c r="B4377" s="98" t="s">
        <v>79</v>
      </c>
      <c r="C4377" s="98">
        <v>69</v>
      </c>
      <c r="D4377" s="98">
        <v>1850</v>
      </c>
      <c r="E4377" s="157">
        <v>41396.925694444442</v>
      </c>
      <c r="F4377" s="157">
        <v>41397.320138888892</v>
      </c>
      <c r="G4377" s="98">
        <v>0</v>
      </c>
      <c r="H4377" s="98">
        <v>521</v>
      </c>
      <c r="I4377" s="98">
        <v>482</v>
      </c>
      <c r="J4377" s="98" t="s">
        <v>2263</v>
      </c>
      <c r="K4377" s="98" t="s">
        <v>86</v>
      </c>
      <c r="L4377" s="105" t="str">
        <f t="shared" si="710"/>
        <v>Mill Creek</v>
      </c>
      <c r="M4377" s="105" t="str">
        <f t="shared" si="711"/>
        <v>Other</v>
      </c>
      <c r="N4377" s="105" t="str">
        <f t="shared" si="712"/>
        <v>Coal</v>
      </c>
      <c r="O4377" s="105">
        <f>IFERROR(VLOOKUP(A4377,Lookup!$J$5:$P$19,7,FALSE),0)</f>
        <v>3</v>
      </c>
      <c r="P4377" s="159">
        <f t="shared" si="713"/>
        <v>2013</v>
      </c>
      <c r="Q4377" s="159">
        <f t="shared" si="714"/>
        <v>5</v>
      </c>
      <c r="R4377" s="160">
        <f t="shared" si="715"/>
        <v>9.466666666790843</v>
      </c>
      <c r="S4377" s="158">
        <f t="shared" si="716"/>
        <v>9.466666666790843</v>
      </c>
      <c r="T4377" s="161">
        <f t="shared" si="717"/>
        <v>4562.9333333931863</v>
      </c>
      <c r="U4377" s="158">
        <f t="shared" si="719"/>
        <v>482</v>
      </c>
      <c r="V4377" s="160">
        <f t="shared" si="718"/>
        <v>482</v>
      </c>
    </row>
    <row r="4378" spans="1:22" x14ac:dyDescent="0.25">
      <c r="A4378" s="98" t="s">
        <v>25</v>
      </c>
      <c r="B4378" s="98" t="s">
        <v>17</v>
      </c>
      <c r="C4378" s="98">
        <v>70</v>
      </c>
      <c r="D4378" s="98">
        <v>1850</v>
      </c>
      <c r="E4378" s="157">
        <v>41397.320138888892</v>
      </c>
      <c r="F4378" s="157">
        <v>41397.931250000001</v>
      </c>
      <c r="G4378" s="98">
        <v>447</v>
      </c>
      <c r="H4378" s="98">
        <v>521</v>
      </c>
      <c r="I4378" s="98">
        <v>482</v>
      </c>
      <c r="J4378" s="98" t="s">
        <v>2263</v>
      </c>
      <c r="K4378" s="98" t="s">
        <v>41</v>
      </c>
      <c r="L4378" s="105" t="str">
        <f t="shared" si="710"/>
        <v>Mill Creek</v>
      </c>
      <c r="M4378" s="105" t="str">
        <f t="shared" si="711"/>
        <v>Derate</v>
      </c>
      <c r="N4378" s="105" t="str">
        <f t="shared" si="712"/>
        <v>Coal</v>
      </c>
      <c r="O4378" s="105">
        <f>IFERROR(VLOOKUP(A4378,Lookup!$J$5:$P$19,7,FALSE),0)</f>
        <v>3</v>
      </c>
      <c r="P4378" s="159">
        <f t="shared" si="713"/>
        <v>2013</v>
      </c>
      <c r="Q4378" s="159">
        <f t="shared" si="714"/>
        <v>5</v>
      </c>
      <c r="R4378" s="160">
        <f t="shared" si="715"/>
        <v>14.666666666627862</v>
      </c>
      <c r="S4378" s="158">
        <f t="shared" si="716"/>
        <v>2.0831733845114431</v>
      </c>
      <c r="T4378" s="161">
        <f t="shared" si="717"/>
        <v>1004.0895713345155</v>
      </c>
      <c r="U4378" s="158">
        <f t="shared" si="719"/>
        <v>68.460652591170827</v>
      </c>
      <c r="V4378" s="160">
        <f t="shared" si="718"/>
        <v>68</v>
      </c>
    </row>
    <row r="4379" spans="1:22" x14ac:dyDescent="0.25">
      <c r="A4379" s="98" t="s">
        <v>25</v>
      </c>
      <c r="B4379" s="98" t="s">
        <v>17</v>
      </c>
      <c r="C4379" s="98">
        <v>71</v>
      </c>
      <c r="D4379" s="98">
        <v>1710</v>
      </c>
      <c r="E4379" s="157">
        <v>41408.768750000003</v>
      </c>
      <c r="F4379" s="157">
        <v>41408.799305555556</v>
      </c>
      <c r="G4379" s="98">
        <v>510</v>
      </c>
      <c r="H4379" s="98">
        <v>521</v>
      </c>
      <c r="I4379" s="98">
        <v>482</v>
      </c>
      <c r="J4379" s="98" t="s">
        <v>2020</v>
      </c>
      <c r="K4379" s="98" t="s">
        <v>718</v>
      </c>
      <c r="L4379" s="105" t="str">
        <f t="shared" si="710"/>
        <v>Mill Creek</v>
      </c>
      <c r="M4379" s="105" t="str">
        <f t="shared" si="711"/>
        <v>Derate</v>
      </c>
      <c r="N4379" s="105" t="str">
        <f t="shared" si="712"/>
        <v>Coal</v>
      </c>
      <c r="O4379" s="105">
        <f>IFERROR(VLOOKUP(A4379,Lookup!$J$5:$P$19,7,FALSE),0)</f>
        <v>3</v>
      </c>
      <c r="P4379" s="159">
        <f t="shared" si="713"/>
        <v>2013</v>
      </c>
      <c r="Q4379" s="159">
        <f t="shared" si="714"/>
        <v>5</v>
      </c>
      <c r="R4379" s="160">
        <f t="shared" si="715"/>
        <v>0.73333333327900618</v>
      </c>
      <c r="S4379" s="158">
        <f t="shared" si="716"/>
        <v>1.5483045424316829E-2</v>
      </c>
      <c r="T4379" s="161">
        <f t="shared" si="717"/>
        <v>7.4628278945207116</v>
      </c>
      <c r="U4379" s="158">
        <f t="shared" si="719"/>
        <v>10.17658349328215</v>
      </c>
      <c r="V4379" s="160">
        <f t="shared" si="718"/>
        <v>10</v>
      </c>
    </row>
    <row r="4380" spans="1:22" x14ac:dyDescent="0.25">
      <c r="A4380" s="98" t="s">
        <v>25</v>
      </c>
      <c r="B4380" s="98" t="s">
        <v>79</v>
      </c>
      <c r="C4380" s="98">
        <v>72</v>
      </c>
      <c r="D4380" s="98">
        <v>1160</v>
      </c>
      <c r="E4380" s="157">
        <v>41414</v>
      </c>
      <c r="F4380" s="157">
        <v>41414.166666666664</v>
      </c>
      <c r="G4380" s="98">
        <v>0</v>
      </c>
      <c r="H4380" s="98">
        <v>521</v>
      </c>
      <c r="I4380" s="98">
        <v>482</v>
      </c>
      <c r="J4380" s="98" t="s">
        <v>2273</v>
      </c>
      <c r="K4380" s="98" t="s">
        <v>51</v>
      </c>
      <c r="L4380" s="105" t="str">
        <f t="shared" si="710"/>
        <v>Mill Creek</v>
      </c>
      <c r="M4380" s="105" t="str">
        <f t="shared" si="711"/>
        <v>Other</v>
      </c>
      <c r="N4380" s="105" t="str">
        <f t="shared" si="712"/>
        <v>Coal</v>
      </c>
      <c r="O4380" s="105">
        <f>IFERROR(VLOOKUP(A4380,Lookup!$J$5:$P$19,7,FALSE),0)</f>
        <v>3</v>
      </c>
      <c r="P4380" s="159">
        <f t="shared" si="713"/>
        <v>2013</v>
      </c>
      <c r="Q4380" s="159">
        <f t="shared" si="714"/>
        <v>5</v>
      </c>
      <c r="R4380" s="160">
        <f t="shared" si="715"/>
        <v>3.9999999999417923</v>
      </c>
      <c r="S4380" s="158">
        <f t="shared" si="716"/>
        <v>3.9999999999417923</v>
      </c>
      <c r="T4380" s="161">
        <f t="shared" si="717"/>
        <v>1927.9999999719439</v>
      </c>
      <c r="U4380" s="158">
        <f t="shared" si="719"/>
        <v>482</v>
      </c>
      <c r="V4380" s="160">
        <f t="shared" si="718"/>
        <v>482</v>
      </c>
    </row>
    <row r="4381" spans="1:22" x14ac:dyDescent="0.25">
      <c r="A4381" s="98" t="s">
        <v>25</v>
      </c>
      <c r="B4381" s="98" t="s">
        <v>105</v>
      </c>
      <c r="C4381" s="98">
        <v>73</v>
      </c>
      <c r="D4381" s="98">
        <v>1160</v>
      </c>
      <c r="E4381" s="157">
        <v>41414.9375</v>
      </c>
      <c r="F4381" s="157">
        <v>41415.164583333331</v>
      </c>
      <c r="G4381" s="98">
        <v>300</v>
      </c>
      <c r="H4381" s="98">
        <v>521</v>
      </c>
      <c r="I4381" s="98">
        <v>482</v>
      </c>
      <c r="J4381" s="98" t="s">
        <v>2273</v>
      </c>
      <c r="K4381" s="98" t="s">
        <v>719</v>
      </c>
      <c r="L4381" s="105" t="str">
        <f t="shared" si="710"/>
        <v>Mill Creek</v>
      </c>
      <c r="M4381" s="105" t="str">
        <f t="shared" si="711"/>
        <v>Derate</v>
      </c>
      <c r="N4381" s="105" t="str">
        <f t="shared" si="712"/>
        <v>Coal</v>
      </c>
      <c r="O4381" s="105">
        <f>IFERROR(VLOOKUP(A4381,Lookup!$J$5:$P$19,7,FALSE),0)</f>
        <v>3</v>
      </c>
      <c r="P4381" s="159">
        <f t="shared" si="713"/>
        <v>2013</v>
      </c>
      <c r="Q4381" s="159">
        <f t="shared" si="714"/>
        <v>5</v>
      </c>
      <c r="R4381" s="160">
        <f t="shared" si="715"/>
        <v>5.4499999999534339</v>
      </c>
      <c r="S4381" s="158">
        <f t="shared" si="716"/>
        <v>2.3118042226289996</v>
      </c>
      <c r="T4381" s="161">
        <f t="shared" si="717"/>
        <v>1114.2896353071778</v>
      </c>
      <c r="U4381" s="158">
        <f t="shared" si="719"/>
        <v>204.45681381957775</v>
      </c>
      <c r="V4381" s="160">
        <f t="shared" si="718"/>
        <v>204</v>
      </c>
    </row>
    <row r="4382" spans="1:22" x14ac:dyDescent="0.25">
      <c r="A4382" s="98" t="s">
        <v>25</v>
      </c>
      <c r="B4382" s="98" t="s">
        <v>15</v>
      </c>
      <c r="C4382" s="98">
        <v>74</v>
      </c>
      <c r="D4382" s="98">
        <v>4619</v>
      </c>
      <c r="E4382" s="157">
        <v>41415.511805555558</v>
      </c>
      <c r="F4382" s="157">
        <v>41417.25</v>
      </c>
      <c r="G4382" s="98">
        <v>0</v>
      </c>
      <c r="H4382" s="98">
        <v>521</v>
      </c>
      <c r="I4382" s="98">
        <v>482</v>
      </c>
      <c r="J4382" s="98" t="s">
        <v>2086</v>
      </c>
      <c r="K4382" s="98" t="s">
        <v>720</v>
      </c>
      <c r="L4382" s="105" t="str">
        <f t="shared" si="710"/>
        <v>Mill Creek</v>
      </c>
      <c r="M4382" s="105" t="str">
        <f t="shared" si="711"/>
        <v>Outage</v>
      </c>
      <c r="N4382" s="105" t="str">
        <f t="shared" si="712"/>
        <v>Coal</v>
      </c>
      <c r="O4382" s="105">
        <f>IFERROR(VLOOKUP(A4382,Lookup!$J$5:$P$19,7,FALSE),0)</f>
        <v>3</v>
      </c>
      <c r="P4382" s="159">
        <f t="shared" si="713"/>
        <v>2013</v>
      </c>
      <c r="Q4382" s="159">
        <f t="shared" si="714"/>
        <v>5</v>
      </c>
      <c r="R4382" s="160">
        <f t="shared" si="715"/>
        <v>41.71666666661622</v>
      </c>
      <c r="S4382" s="158">
        <f t="shared" si="716"/>
        <v>41.71666666661622</v>
      </c>
      <c r="T4382" s="161">
        <f t="shared" si="717"/>
        <v>20107.433333309018</v>
      </c>
      <c r="U4382" s="158">
        <f t="shared" si="719"/>
        <v>482</v>
      </c>
      <c r="V4382" s="160">
        <f t="shared" si="718"/>
        <v>482</v>
      </c>
    </row>
    <row r="4383" spans="1:22" x14ac:dyDescent="0.25">
      <c r="A4383" s="98" t="s">
        <v>25</v>
      </c>
      <c r="B4383" s="98" t="s">
        <v>20</v>
      </c>
      <c r="C4383" s="98">
        <v>75</v>
      </c>
      <c r="D4383" s="98">
        <v>8100</v>
      </c>
      <c r="E4383" s="157">
        <v>41417.25</v>
      </c>
      <c r="F4383" s="157">
        <v>41417.881944444445</v>
      </c>
      <c r="G4383" s="98">
        <v>0</v>
      </c>
      <c r="H4383" s="98">
        <v>521</v>
      </c>
      <c r="I4383" s="98">
        <v>482</v>
      </c>
      <c r="J4383" s="98" t="s">
        <v>2260</v>
      </c>
      <c r="K4383" s="98" t="s">
        <v>721</v>
      </c>
      <c r="L4383" s="105" t="str">
        <f t="shared" si="710"/>
        <v>Mill Creek</v>
      </c>
      <c r="M4383" s="105" t="str">
        <f t="shared" si="711"/>
        <v>Maintenance</v>
      </c>
      <c r="N4383" s="105" t="str">
        <f t="shared" si="712"/>
        <v>Coal</v>
      </c>
      <c r="O4383" s="105">
        <f>IFERROR(VLOOKUP(A4383,Lookup!$J$5:$P$19,7,FALSE),0)</f>
        <v>3</v>
      </c>
      <c r="P4383" s="159">
        <f t="shared" si="713"/>
        <v>2013</v>
      </c>
      <c r="Q4383" s="159">
        <f t="shared" si="714"/>
        <v>5</v>
      </c>
      <c r="R4383" s="160">
        <f t="shared" si="715"/>
        <v>15.166666666686069</v>
      </c>
      <c r="S4383" s="158">
        <f t="shared" si="716"/>
        <v>15.166666666686069</v>
      </c>
      <c r="T4383" s="161">
        <f t="shared" si="717"/>
        <v>7310.3333333426854</v>
      </c>
      <c r="U4383" s="158">
        <f t="shared" si="719"/>
        <v>482</v>
      </c>
      <c r="V4383" s="160">
        <f t="shared" si="718"/>
        <v>482</v>
      </c>
    </row>
    <row r="4384" spans="1:22" x14ac:dyDescent="0.25">
      <c r="A4384" s="98" t="s">
        <v>25</v>
      </c>
      <c r="B4384" s="98" t="s">
        <v>79</v>
      </c>
      <c r="C4384" s="98">
        <v>76</v>
      </c>
      <c r="D4384" s="98">
        <v>1850</v>
      </c>
      <c r="E4384" s="157">
        <v>41417.881944444445</v>
      </c>
      <c r="F4384" s="157">
        <v>41418.204861111109</v>
      </c>
      <c r="G4384" s="98">
        <v>0</v>
      </c>
      <c r="H4384" s="98">
        <v>521</v>
      </c>
      <c r="I4384" s="98">
        <v>482</v>
      </c>
      <c r="J4384" s="98" t="s">
        <v>2263</v>
      </c>
      <c r="K4384" s="98" t="s">
        <v>85</v>
      </c>
      <c r="L4384" s="105" t="str">
        <f t="shared" si="710"/>
        <v>Mill Creek</v>
      </c>
      <c r="M4384" s="105" t="str">
        <f t="shared" si="711"/>
        <v>Other</v>
      </c>
      <c r="N4384" s="105" t="str">
        <f t="shared" si="712"/>
        <v>Coal</v>
      </c>
      <c r="O4384" s="105">
        <f>IFERROR(VLOOKUP(A4384,Lookup!$J$5:$P$19,7,FALSE),0)</f>
        <v>3</v>
      </c>
      <c r="P4384" s="159">
        <f t="shared" si="713"/>
        <v>2013</v>
      </c>
      <c r="Q4384" s="159">
        <f t="shared" si="714"/>
        <v>5</v>
      </c>
      <c r="R4384" s="160">
        <f t="shared" si="715"/>
        <v>7.7499999999417923</v>
      </c>
      <c r="S4384" s="158">
        <f t="shared" si="716"/>
        <v>7.7499999999417923</v>
      </c>
      <c r="T4384" s="161">
        <f t="shared" si="717"/>
        <v>3735.4999999719439</v>
      </c>
      <c r="U4384" s="158">
        <f t="shared" si="719"/>
        <v>482</v>
      </c>
      <c r="V4384" s="160">
        <f t="shared" si="718"/>
        <v>482</v>
      </c>
    </row>
    <row r="4385" spans="1:22" x14ac:dyDescent="0.25">
      <c r="A4385" s="98" t="s">
        <v>25</v>
      </c>
      <c r="B4385" s="98" t="s">
        <v>17</v>
      </c>
      <c r="C4385" s="98">
        <v>77</v>
      </c>
      <c r="D4385" s="98">
        <v>4619</v>
      </c>
      <c r="E4385" s="157">
        <v>41418.204861111109</v>
      </c>
      <c r="F4385" s="157">
        <v>41418.338194444441</v>
      </c>
      <c r="G4385" s="98">
        <v>400</v>
      </c>
      <c r="H4385" s="98">
        <v>521</v>
      </c>
      <c r="I4385" s="98">
        <v>482</v>
      </c>
      <c r="J4385" s="98" t="s">
        <v>2086</v>
      </c>
      <c r="K4385" s="98" t="s">
        <v>722</v>
      </c>
      <c r="L4385" s="105" t="str">
        <f t="shared" si="710"/>
        <v>Mill Creek</v>
      </c>
      <c r="M4385" s="105" t="str">
        <f t="shared" si="711"/>
        <v>Derate</v>
      </c>
      <c r="N4385" s="105" t="str">
        <f t="shared" si="712"/>
        <v>Coal</v>
      </c>
      <c r="O4385" s="105">
        <f>IFERROR(VLOOKUP(A4385,Lookup!$J$5:$P$19,7,FALSE),0)</f>
        <v>3</v>
      </c>
      <c r="P4385" s="159">
        <f t="shared" si="713"/>
        <v>2013</v>
      </c>
      <c r="Q4385" s="159">
        <f t="shared" si="714"/>
        <v>5</v>
      </c>
      <c r="R4385" s="160">
        <f t="shared" si="715"/>
        <v>3.1999999999534339</v>
      </c>
      <c r="S4385" s="158">
        <f t="shared" si="716"/>
        <v>0.74318618041145013</v>
      </c>
      <c r="T4385" s="161">
        <f t="shared" si="717"/>
        <v>358.21573895831898</v>
      </c>
      <c r="U4385" s="158">
        <f t="shared" si="719"/>
        <v>111.94241842610364</v>
      </c>
      <c r="V4385" s="160">
        <f t="shared" si="718"/>
        <v>112</v>
      </c>
    </row>
    <row r="4386" spans="1:22" x14ac:dyDescent="0.25">
      <c r="A4386" s="98" t="s">
        <v>25</v>
      </c>
      <c r="B4386" s="98" t="s">
        <v>33</v>
      </c>
      <c r="C4386" s="98">
        <v>78</v>
      </c>
      <c r="D4386" s="98">
        <v>4619</v>
      </c>
      <c r="E4386" s="157">
        <v>41418.338194444441</v>
      </c>
      <c r="F4386" s="157">
        <v>41419.227777777778</v>
      </c>
      <c r="G4386" s="98">
        <v>0</v>
      </c>
      <c r="H4386" s="98">
        <v>521</v>
      </c>
      <c r="I4386" s="98">
        <v>482</v>
      </c>
      <c r="J4386" s="98" t="s">
        <v>2086</v>
      </c>
      <c r="K4386" s="98" t="s">
        <v>722</v>
      </c>
      <c r="L4386" s="105" t="str">
        <f t="shared" si="710"/>
        <v>Mill Creek</v>
      </c>
      <c r="M4386" s="105" t="str">
        <f t="shared" si="711"/>
        <v>Outage</v>
      </c>
      <c r="N4386" s="105" t="str">
        <f t="shared" si="712"/>
        <v>Coal</v>
      </c>
      <c r="O4386" s="105">
        <f>IFERROR(VLOOKUP(A4386,Lookup!$J$5:$P$19,7,FALSE),0)</f>
        <v>3</v>
      </c>
      <c r="P4386" s="159">
        <f t="shared" si="713"/>
        <v>2013</v>
      </c>
      <c r="Q4386" s="159">
        <f t="shared" si="714"/>
        <v>5</v>
      </c>
      <c r="R4386" s="160">
        <f t="shared" si="715"/>
        <v>21.350000000093132</v>
      </c>
      <c r="S4386" s="158">
        <f t="shared" si="716"/>
        <v>21.350000000093132</v>
      </c>
      <c r="T4386" s="161">
        <f t="shared" si="717"/>
        <v>10290.70000004489</v>
      </c>
      <c r="U4386" s="158">
        <f t="shared" si="719"/>
        <v>482</v>
      </c>
      <c r="V4386" s="160">
        <f t="shared" si="718"/>
        <v>482</v>
      </c>
    </row>
    <row r="4387" spans="1:22" x14ac:dyDescent="0.25">
      <c r="A4387" s="98" t="s">
        <v>25</v>
      </c>
      <c r="B4387" s="98" t="s">
        <v>79</v>
      </c>
      <c r="C4387" s="98">
        <v>79</v>
      </c>
      <c r="D4387" s="98">
        <v>1850</v>
      </c>
      <c r="E4387" s="157">
        <v>41419.227777777778</v>
      </c>
      <c r="F4387" s="157">
        <v>41419.474305555559</v>
      </c>
      <c r="G4387" s="98">
        <v>0</v>
      </c>
      <c r="H4387" s="98">
        <v>521</v>
      </c>
      <c r="I4387" s="98">
        <v>482</v>
      </c>
      <c r="J4387" s="98" t="s">
        <v>2263</v>
      </c>
      <c r="K4387" s="98" t="s">
        <v>86</v>
      </c>
      <c r="L4387" s="105" t="str">
        <f t="shared" si="710"/>
        <v>Mill Creek</v>
      </c>
      <c r="M4387" s="105" t="str">
        <f t="shared" si="711"/>
        <v>Other</v>
      </c>
      <c r="N4387" s="105" t="str">
        <f t="shared" si="712"/>
        <v>Coal</v>
      </c>
      <c r="O4387" s="105">
        <f>IFERROR(VLOOKUP(A4387,Lookup!$J$5:$P$19,7,FALSE),0)</f>
        <v>3</v>
      </c>
      <c r="P4387" s="159">
        <f t="shared" si="713"/>
        <v>2013</v>
      </c>
      <c r="Q4387" s="159">
        <f t="shared" si="714"/>
        <v>5</v>
      </c>
      <c r="R4387" s="160">
        <f t="shared" si="715"/>
        <v>5.9166666667442769</v>
      </c>
      <c r="S4387" s="158">
        <f t="shared" si="716"/>
        <v>5.9166666667442769</v>
      </c>
      <c r="T4387" s="161">
        <f t="shared" si="717"/>
        <v>2851.8333333707415</v>
      </c>
      <c r="U4387" s="158">
        <f t="shared" si="719"/>
        <v>482</v>
      </c>
      <c r="V4387" s="160">
        <f t="shared" si="718"/>
        <v>482</v>
      </c>
    </row>
    <row r="4388" spans="1:22" x14ac:dyDescent="0.25">
      <c r="A4388" s="98" t="s">
        <v>25</v>
      </c>
      <c r="B4388" s="98" t="s">
        <v>15</v>
      </c>
      <c r="C4388" s="98">
        <v>80</v>
      </c>
      <c r="D4388" s="98">
        <v>800</v>
      </c>
      <c r="E4388" s="157">
        <v>41419.504861111112</v>
      </c>
      <c r="F4388" s="157">
        <v>41419.606944444444</v>
      </c>
      <c r="G4388" s="98">
        <v>0</v>
      </c>
      <c r="H4388" s="98">
        <v>521</v>
      </c>
      <c r="I4388" s="98">
        <v>482</v>
      </c>
      <c r="J4388" s="98" t="s">
        <v>2197</v>
      </c>
      <c r="K4388" s="98" t="s">
        <v>36</v>
      </c>
      <c r="L4388" s="105" t="str">
        <f t="shared" si="710"/>
        <v>Mill Creek</v>
      </c>
      <c r="M4388" s="105" t="str">
        <f t="shared" si="711"/>
        <v>Outage</v>
      </c>
      <c r="N4388" s="105" t="str">
        <f t="shared" si="712"/>
        <v>Coal</v>
      </c>
      <c r="O4388" s="105">
        <f>IFERROR(VLOOKUP(A4388,Lookup!$J$5:$P$19,7,FALSE),0)</f>
        <v>3</v>
      </c>
      <c r="P4388" s="159">
        <f t="shared" si="713"/>
        <v>2013</v>
      </c>
      <c r="Q4388" s="159">
        <f t="shared" si="714"/>
        <v>5</v>
      </c>
      <c r="R4388" s="160">
        <f t="shared" si="715"/>
        <v>2.4499999999534339</v>
      </c>
      <c r="S4388" s="158">
        <f t="shared" si="716"/>
        <v>2.4499999999534339</v>
      </c>
      <c r="T4388" s="161">
        <f t="shared" si="717"/>
        <v>1180.8999999775551</v>
      </c>
      <c r="U4388" s="158">
        <f t="shared" si="719"/>
        <v>482</v>
      </c>
      <c r="V4388" s="160">
        <f t="shared" si="718"/>
        <v>482</v>
      </c>
    </row>
    <row r="4389" spans="1:22" x14ac:dyDescent="0.25">
      <c r="A4389" s="98" t="s">
        <v>25</v>
      </c>
      <c r="B4389" s="98" t="s">
        <v>79</v>
      </c>
      <c r="C4389" s="98">
        <v>81</v>
      </c>
      <c r="D4389" s="98">
        <v>1850</v>
      </c>
      <c r="E4389" s="157">
        <v>41419.606944444444</v>
      </c>
      <c r="F4389" s="157">
        <v>41419.856944444444</v>
      </c>
      <c r="G4389" s="98">
        <v>0</v>
      </c>
      <c r="H4389" s="98">
        <v>521</v>
      </c>
      <c r="I4389" s="98">
        <v>482</v>
      </c>
      <c r="J4389" s="98" t="s">
        <v>2263</v>
      </c>
      <c r="K4389" s="98" t="s">
        <v>87</v>
      </c>
      <c r="L4389" s="105" t="str">
        <f t="shared" ref="L4389:L4452" si="720">IF(OR(A4389="BR1",A4389="BR2",A4389="BR3",A4389="BR5",A4389="BR6",A4389="BR7",A4389="BR8",A4389="BR9",A4389="BR10",A4389="BR11"),"Brown",IF(OR(A4389="CR4",A4389="CR5",A4389="CR6",A4389="CR11"),"Cane Run",IF(OR(A4389="GH1",A4389="GH2",A4389="GH3",A4389="GH4"),"Ghent",IF(OR(A4389="GR3",A4389="GR4"),"Green River",IF(OR(A4389="MC1",A4389="MC2",A4389="MC3",A4389="MC4"),"Mill Creek",IF(OR(A4389="TC1",A4389="TC2",A4389="TC5",A4389="TC6",A4389="TC7",A4389="TC8",A4389="TC9",A4389="TC10"),"Trimble",IF(A4389="TY3","Tyrone",IF(OR(A4389="HA1",A4389="HA2",A4389="HA3"),"Haeflin",IF(OR(A4389="PR11",A4389="PR12",A4389="PR13"),"Paddy's Run","Zorn")))))))))</f>
        <v>Mill Creek</v>
      </c>
      <c r="M4389" s="105" t="str">
        <f t="shared" ref="M4389:M4452" si="721">IF(OR(B4389="D1",B4389="D2",B4389="D3",B4389="D4",B4389="PD"),"Derate",IF(OR(B4389="SF",B4389="U1",B4389="U2",B4389="U3"),"Outage",IF(OR(B4389="ME",B4389="MO"),"Maintenance","Other")))</f>
        <v>Other</v>
      </c>
      <c r="N4389" s="105" t="str">
        <f t="shared" ref="N4389:N4452" si="722">IF(OR(A4389="BR1",A4389="BR2",A4389="BR3",A4389="CR4",A4389="CR5",A4389="CR6",A4389="GH1",A4389="GH2",A4389="GH3",A4389="GH4",A4389="GR3",A4389="GR4",A4389="MC1",A4389="MC2",A4389="MC3",A4389="MC4",A4389="TC1",A4389="TC2",A4389="TY3"),"Coal","Gas")</f>
        <v>Coal</v>
      </c>
      <c r="O4389" s="105">
        <f>IFERROR(VLOOKUP(A4389,Lookup!$J$5:$P$19,7,FALSE),0)</f>
        <v>3</v>
      </c>
      <c r="P4389" s="159">
        <f t="shared" ref="P4389:P4452" si="723">YEAR(E4389)</f>
        <v>2013</v>
      </c>
      <c r="Q4389" s="159">
        <f t="shared" ref="Q4389:Q4452" si="724">MONTH(E4389)</f>
        <v>5</v>
      </c>
      <c r="R4389" s="160">
        <f t="shared" ref="R4389:R4452" si="725">(F4389-E4389)*24</f>
        <v>6</v>
      </c>
      <c r="S4389" s="158">
        <f t="shared" ref="S4389:S4452" si="726">R4389*(H4389-G4389)/H4389</f>
        <v>6</v>
      </c>
      <c r="T4389" s="161">
        <f t="shared" ref="T4389:T4452" si="727">S4389*I4389</f>
        <v>2892</v>
      </c>
      <c r="U4389" s="158">
        <f t="shared" si="719"/>
        <v>482</v>
      </c>
      <c r="V4389" s="160">
        <f t="shared" ref="V4389:V4452" si="728">ROUND(U4389,0)</f>
        <v>482</v>
      </c>
    </row>
    <row r="4390" spans="1:22" x14ac:dyDescent="0.25">
      <c r="A4390" s="98" t="s">
        <v>25</v>
      </c>
      <c r="B4390" s="98" t="s">
        <v>17</v>
      </c>
      <c r="C4390" s="98">
        <v>82</v>
      </c>
      <c r="D4390" s="98">
        <v>1850</v>
      </c>
      <c r="E4390" s="157">
        <v>41419.856944444444</v>
      </c>
      <c r="F4390" s="157">
        <v>41419.909722222219</v>
      </c>
      <c r="G4390" s="98">
        <v>400</v>
      </c>
      <c r="H4390" s="98">
        <v>521</v>
      </c>
      <c r="I4390" s="98">
        <v>482</v>
      </c>
      <c r="J4390" s="98" t="s">
        <v>2263</v>
      </c>
      <c r="K4390" s="98" t="s">
        <v>41</v>
      </c>
      <c r="L4390" s="105" t="str">
        <f t="shared" si="720"/>
        <v>Mill Creek</v>
      </c>
      <c r="M4390" s="105" t="str">
        <f t="shared" si="721"/>
        <v>Derate</v>
      </c>
      <c r="N4390" s="105" t="str">
        <f t="shared" si="722"/>
        <v>Coal</v>
      </c>
      <c r="O4390" s="105">
        <f>IFERROR(VLOOKUP(A4390,Lookup!$J$5:$P$19,7,FALSE),0)</f>
        <v>3</v>
      </c>
      <c r="P4390" s="159">
        <f t="shared" si="723"/>
        <v>2013</v>
      </c>
      <c r="Q4390" s="159">
        <f t="shared" si="724"/>
        <v>5</v>
      </c>
      <c r="R4390" s="160">
        <f t="shared" si="725"/>
        <v>1.2666666666045785</v>
      </c>
      <c r="S4390" s="158">
        <f t="shared" si="726"/>
        <v>0.29417786306939347</v>
      </c>
      <c r="T4390" s="161">
        <f t="shared" si="727"/>
        <v>141.79372999944766</v>
      </c>
      <c r="U4390" s="158">
        <f t="shared" ref="U4390:U4453" si="729">IF(G4390&gt;0,MAX((H4390-G4390),0)*I4390/H4390,I4390)</f>
        <v>111.94241842610364</v>
      </c>
      <c r="V4390" s="160">
        <f t="shared" si="728"/>
        <v>112</v>
      </c>
    </row>
    <row r="4391" spans="1:22" x14ac:dyDescent="0.25">
      <c r="A4391" s="98" t="s">
        <v>25</v>
      </c>
      <c r="B4391" s="98" t="s">
        <v>17</v>
      </c>
      <c r="C4391" s="98">
        <v>83</v>
      </c>
      <c r="D4391" s="98">
        <v>3499</v>
      </c>
      <c r="E4391" s="157">
        <v>41431.570833333331</v>
      </c>
      <c r="F4391" s="157">
        <v>41432.565972222219</v>
      </c>
      <c r="G4391" s="98">
        <v>511</v>
      </c>
      <c r="H4391" s="98">
        <v>521</v>
      </c>
      <c r="I4391" s="98">
        <v>482</v>
      </c>
      <c r="J4391" s="98" t="s">
        <v>2188</v>
      </c>
      <c r="K4391" s="98" t="s">
        <v>2890</v>
      </c>
      <c r="L4391" s="105" t="str">
        <f t="shared" si="720"/>
        <v>Mill Creek</v>
      </c>
      <c r="M4391" s="105" t="str">
        <f t="shared" si="721"/>
        <v>Derate</v>
      </c>
      <c r="N4391" s="105" t="str">
        <f t="shared" si="722"/>
        <v>Coal</v>
      </c>
      <c r="O4391" s="105">
        <f>IFERROR(VLOOKUP(A4391,Lookup!$J$5:$P$19,7,FALSE),0)</f>
        <v>3</v>
      </c>
      <c r="P4391" s="159">
        <f t="shared" si="723"/>
        <v>2013</v>
      </c>
      <c r="Q4391" s="159">
        <f t="shared" si="724"/>
        <v>6</v>
      </c>
      <c r="R4391" s="160">
        <f t="shared" si="725"/>
        <v>23.883333333302289</v>
      </c>
      <c r="S4391" s="158">
        <f t="shared" si="726"/>
        <v>0.45841330774092687</v>
      </c>
      <c r="T4391" s="161">
        <f t="shared" si="727"/>
        <v>220.95521433112674</v>
      </c>
      <c r="U4391" s="158">
        <f t="shared" si="729"/>
        <v>9.2514395393474089</v>
      </c>
      <c r="V4391" s="160">
        <f t="shared" si="728"/>
        <v>9</v>
      </c>
    </row>
    <row r="4392" spans="1:22" x14ac:dyDescent="0.25">
      <c r="A4392" s="98" t="s">
        <v>25</v>
      </c>
      <c r="B4392" s="98" t="s">
        <v>17</v>
      </c>
      <c r="C4392" s="98">
        <v>84</v>
      </c>
      <c r="D4392" s="98">
        <v>3499</v>
      </c>
      <c r="E4392" s="157">
        <v>41432.565972222219</v>
      </c>
      <c r="F4392" s="157">
        <v>41432.604166666664</v>
      </c>
      <c r="G4392" s="98">
        <v>500</v>
      </c>
      <c r="H4392" s="98">
        <v>521</v>
      </c>
      <c r="I4392" s="98">
        <v>482</v>
      </c>
      <c r="J4392" s="98" t="s">
        <v>2188</v>
      </c>
      <c r="K4392" s="98" t="s">
        <v>2890</v>
      </c>
      <c r="L4392" s="105" t="str">
        <f t="shared" si="720"/>
        <v>Mill Creek</v>
      </c>
      <c r="M4392" s="105" t="str">
        <f t="shared" si="721"/>
        <v>Derate</v>
      </c>
      <c r="N4392" s="105" t="str">
        <f t="shared" si="722"/>
        <v>Coal</v>
      </c>
      <c r="O4392" s="105">
        <f>IFERROR(VLOOKUP(A4392,Lookup!$J$5:$P$19,7,FALSE),0)</f>
        <v>3</v>
      </c>
      <c r="P4392" s="159">
        <f t="shared" si="723"/>
        <v>2013</v>
      </c>
      <c r="Q4392" s="159">
        <f t="shared" si="724"/>
        <v>6</v>
      </c>
      <c r="R4392" s="160">
        <f t="shared" si="725"/>
        <v>0.91666666668606922</v>
      </c>
      <c r="S4392" s="158">
        <f t="shared" si="726"/>
        <v>3.6948176584275343E-2</v>
      </c>
      <c r="T4392" s="161">
        <f t="shared" si="727"/>
        <v>17.809021113620716</v>
      </c>
      <c r="U4392" s="158">
        <f t="shared" si="729"/>
        <v>19.428023032629557</v>
      </c>
      <c r="V4392" s="160">
        <f t="shared" si="728"/>
        <v>19</v>
      </c>
    </row>
    <row r="4393" spans="1:22" x14ac:dyDescent="0.25">
      <c r="A4393" s="98" t="s">
        <v>25</v>
      </c>
      <c r="B4393" s="98" t="s">
        <v>17</v>
      </c>
      <c r="C4393" s="98">
        <v>85</v>
      </c>
      <c r="D4393" s="98">
        <v>3499</v>
      </c>
      <c r="E4393" s="157">
        <v>41432.604166666664</v>
      </c>
      <c r="F4393" s="157">
        <v>41436.513888888891</v>
      </c>
      <c r="G4393" s="98">
        <v>513</v>
      </c>
      <c r="H4393" s="98">
        <v>521</v>
      </c>
      <c r="I4393" s="98">
        <v>482</v>
      </c>
      <c r="J4393" s="98" t="s">
        <v>2188</v>
      </c>
      <c r="K4393" s="98" t="s">
        <v>2890</v>
      </c>
      <c r="L4393" s="105" t="str">
        <f t="shared" si="720"/>
        <v>Mill Creek</v>
      </c>
      <c r="M4393" s="105" t="str">
        <f t="shared" si="721"/>
        <v>Derate</v>
      </c>
      <c r="N4393" s="105" t="str">
        <f t="shared" si="722"/>
        <v>Coal</v>
      </c>
      <c r="O4393" s="105">
        <f>IFERROR(VLOOKUP(A4393,Lookup!$J$5:$P$19,7,FALSE),0)</f>
        <v>3</v>
      </c>
      <c r="P4393" s="159">
        <f t="shared" si="723"/>
        <v>2013</v>
      </c>
      <c r="Q4393" s="159">
        <f t="shared" si="724"/>
        <v>6</v>
      </c>
      <c r="R4393" s="160">
        <f t="shared" si="725"/>
        <v>93.833333333430346</v>
      </c>
      <c r="S4393" s="158">
        <f t="shared" si="726"/>
        <v>1.440818937941349</v>
      </c>
      <c r="T4393" s="161">
        <f t="shared" si="727"/>
        <v>694.47472808773023</v>
      </c>
      <c r="U4393" s="158">
        <f t="shared" si="729"/>
        <v>7.4011516314779273</v>
      </c>
      <c r="V4393" s="160">
        <f t="shared" si="728"/>
        <v>7</v>
      </c>
    </row>
    <row r="4394" spans="1:22" x14ac:dyDescent="0.25">
      <c r="A4394" s="98" t="s">
        <v>25</v>
      </c>
      <c r="B4394" s="98" t="s">
        <v>105</v>
      </c>
      <c r="C4394" s="98">
        <v>86</v>
      </c>
      <c r="D4394" s="98">
        <v>3412</v>
      </c>
      <c r="E4394" s="157">
        <v>41439.833333333336</v>
      </c>
      <c r="F4394" s="157">
        <v>41439.841666666667</v>
      </c>
      <c r="G4394" s="98">
        <v>170</v>
      </c>
      <c r="H4394" s="98">
        <v>521</v>
      </c>
      <c r="I4394" s="98">
        <v>482</v>
      </c>
      <c r="J4394" s="98" t="s">
        <v>2162</v>
      </c>
      <c r="K4394" s="98" t="s">
        <v>723</v>
      </c>
      <c r="L4394" s="105" t="str">
        <f t="shared" si="720"/>
        <v>Mill Creek</v>
      </c>
      <c r="M4394" s="105" t="str">
        <f t="shared" si="721"/>
        <v>Derate</v>
      </c>
      <c r="N4394" s="105" t="str">
        <f t="shared" si="722"/>
        <v>Coal</v>
      </c>
      <c r="O4394" s="105">
        <f>IFERROR(VLOOKUP(A4394,Lookup!$J$5:$P$19,7,FALSE),0)</f>
        <v>3</v>
      </c>
      <c r="P4394" s="159">
        <f t="shared" si="723"/>
        <v>2013</v>
      </c>
      <c r="Q4394" s="159">
        <f t="shared" si="724"/>
        <v>6</v>
      </c>
      <c r="R4394" s="160">
        <f t="shared" si="725"/>
        <v>0.19999999995343387</v>
      </c>
      <c r="S4394" s="158">
        <f t="shared" si="726"/>
        <v>0.13474088288609459</v>
      </c>
      <c r="T4394" s="161">
        <f t="shared" si="727"/>
        <v>64.945105551097598</v>
      </c>
      <c r="U4394" s="158">
        <f t="shared" si="729"/>
        <v>324.72552783109404</v>
      </c>
      <c r="V4394" s="160">
        <f t="shared" si="728"/>
        <v>325</v>
      </c>
    </row>
    <row r="4395" spans="1:22" x14ac:dyDescent="0.25">
      <c r="A4395" s="98" t="s">
        <v>25</v>
      </c>
      <c r="B4395" s="98" t="s">
        <v>15</v>
      </c>
      <c r="C4395" s="98">
        <v>87</v>
      </c>
      <c r="D4395" s="98">
        <v>800</v>
      </c>
      <c r="E4395" s="157">
        <v>41439.841666666667</v>
      </c>
      <c r="F4395" s="157">
        <v>41439.929166666669</v>
      </c>
      <c r="G4395" s="98">
        <v>0</v>
      </c>
      <c r="H4395" s="98">
        <v>521</v>
      </c>
      <c r="I4395" s="98">
        <v>482</v>
      </c>
      <c r="J4395" s="98" t="s">
        <v>2197</v>
      </c>
      <c r="K4395" s="98" t="s">
        <v>50</v>
      </c>
      <c r="L4395" s="105" t="str">
        <f t="shared" si="720"/>
        <v>Mill Creek</v>
      </c>
      <c r="M4395" s="105" t="str">
        <f t="shared" si="721"/>
        <v>Outage</v>
      </c>
      <c r="N4395" s="105" t="str">
        <f t="shared" si="722"/>
        <v>Coal</v>
      </c>
      <c r="O4395" s="105">
        <f>IFERROR(VLOOKUP(A4395,Lookup!$J$5:$P$19,7,FALSE),0)</f>
        <v>3</v>
      </c>
      <c r="P4395" s="159">
        <f t="shared" si="723"/>
        <v>2013</v>
      </c>
      <c r="Q4395" s="159">
        <f t="shared" si="724"/>
        <v>6</v>
      </c>
      <c r="R4395" s="160">
        <f t="shared" si="725"/>
        <v>2.1000000000349246</v>
      </c>
      <c r="S4395" s="158">
        <f t="shared" si="726"/>
        <v>2.1000000000349246</v>
      </c>
      <c r="T4395" s="161">
        <f t="shared" si="727"/>
        <v>1012.2000000168337</v>
      </c>
      <c r="U4395" s="158">
        <f t="shared" si="729"/>
        <v>482</v>
      </c>
      <c r="V4395" s="160">
        <f t="shared" si="728"/>
        <v>482</v>
      </c>
    </row>
    <row r="4396" spans="1:22" x14ac:dyDescent="0.25">
      <c r="A4396" s="98" t="s">
        <v>25</v>
      </c>
      <c r="B4396" s="98" t="s">
        <v>79</v>
      </c>
      <c r="C4396" s="98">
        <v>88</v>
      </c>
      <c r="D4396" s="98">
        <v>1850</v>
      </c>
      <c r="E4396" s="157">
        <v>41439.929166666669</v>
      </c>
      <c r="F4396" s="157">
        <v>41440.041666666664</v>
      </c>
      <c r="G4396" s="98">
        <v>0</v>
      </c>
      <c r="H4396" s="98">
        <v>521</v>
      </c>
      <c r="I4396" s="98">
        <v>482</v>
      </c>
      <c r="J4396" s="98" t="s">
        <v>2263</v>
      </c>
      <c r="K4396" s="98" t="s">
        <v>87</v>
      </c>
      <c r="L4396" s="105" t="str">
        <f t="shared" si="720"/>
        <v>Mill Creek</v>
      </c>
      <c r="M4396" s="105" t="str">
        <f t="shared" si="721"/>
        <v>Other</v>
      </c>
      <c r="N4396" s="105" t="str">
        <f t="shared" si="722"/>
        <v>Coal</v>
      </c>
      <c r="O4396" s="105">
        <f>IFERROR(VLOOKUP(A4396,Lookup!$J$5:$P$19,7,FALSE),0)</f>
        <v>3</v>
      </c>
      <c r="P4396" s="159">
        <f t="shared" si="723"/>
        <v>2013</v>
      </c>
      <c r="Q4396" s="159">
        <f t="shared" si="724"/>
        <v>6</v>
      </c>
      <c r="R4396" s="160">
        <f t="shared" si="725"/>
        <v>2.6999999998952262</v>
      </c>
      <c r="S4396" s="158">
        <f t="shared" si="726"/>
        <v>2.6999999998952262</v>
      </c>
      <c r="T4396" s="161">
        <f t="shared" si="727"/>
        <v>1301.399999949499</v>
      </c>
      <c r="U4396" s="158">
        <f t="shared" si="729"/>
        <v>482</v>
      </c>
      <c r="V4396" s="160">
        <f t="shared" si="728"/>
        <v>482</v>
      </c>
    </row>
    <row r="4397" spans="1:22" x14ac:dyDescent="0.25">
      <c r="A4397" s="98" t="s">
        <v>25</v>
      </c>
      <c r="B4397" s="98" t="s">
        <v>105</v>
      </c>
      <c r="C4397" s="98">
        <v>89</v>
      </c>
      <c r="D4397" s="98">
        <v>3412</v>
      </c>
      <c r="E4397" s="157">
        <v>41440.041666666664</v>
      </c>
      <c r="F4397" s="157">
        <v>41440.330555555556</v>
      </c>
      <c r="G4397" s="98">
        <v>125</v>
      </c>
      <c r="H4397" s="98">
        <v>521</v>
      </c>
      <c r="I4397" s="98">
        <v>482</v>
      </c>
      <c r="J4397" s="98" t="s">
        <v>2162</v>
      </c>
      <c r="K4397" s="98" t="s">
        <v>723</v>
      </c>
      <c r="L4397" s="105" t="str">
        <f t="shared" si="720"/>
        <v>Mill Creek</v>
      </c>
      <c r="M4397" s="105" t="str">
        <f t="shared" si="721"/>
        <v>Derate</v>
      </c>
      <c r="N4397" s="105" t="str">
        <f t="shared" si="722"/>
        <v>Coal</v>
      </c>
      <c r="O4397" s="105">
        <f>IFERROR(VLOOKUP(A4397,Lookup!$J$5:$P$19,7,FALSE),0)</f>
        <v>3</v>
      </c>
      <c r="P4397" s="159">
        <f t="shared" si="723"/>
        <v>2013</v>
      </c>
      <c r="Q4397" s="159">
        <f t="shared" si="724"/>
        <v>6</v>
      </c>
      <c r="R4397" s="160">
        <f t="shared" si="725"/>
        <v>6.933333333407063</v>
      </c>
      <c r="S4397" s="158">
        <f t="shared" si="726"/>
        <v>5.2698656430502817</v>
      </c>
      <c r="T4397" s="161">
        <f t="shared" si="727"/>
        <v>2540.0752399502358</v>
      </c>
      <c r="U4397" s="158">
        <f t="shared" si="729"/>
        <v>366.35700575815741</v>
      </c>
      <c r="V4397" s="160">
        <f t="shared" si="728"/>
        <v>366</v>
      </c>
    </row>
    <row r="4398" spans="1:22" x14ac:dyDescent="0.25">
      <c r="A4398" s="98" t="s">
        <v>25</v>
      </c>
      <c r="B4398" s="98" t="s">
        <v>17</v>
      </c>
      <c r="C4398" s="98">
        <v>90</v>
      </c>
      <c r="D4398" s="98">
        <v>3123</v>
      </c>
      <c r="E4398" s="157">
        <v>41441.464583333334</v>
      </c>
      <c r="F4398" s="157">
        <v>41441.520138888889</v>
      </c>
      <c r="G4398" s="98">
        <v>420</v>
      </c>
      <c r="H4398" s="98">
        <v>521</v>
      </c>
      <c r="I4398" s="98">
        <v>482</v>
      </c>
      <c r="J4398" s="98" t="s">
        <v>2652</v>
      </c>
      <c r="K4398" s="98" t="s">
        <v>724</v>
      </c>
      <c r="L4398" s="105" t="str">
        <f t="shared" si="720"/>
        <v>Mill Creek</v>
      </c>
      <c r="M4398" s="105" t="str">
        <f t="shared" si="721"/>
        <v>Derate</v>
      </c>
      <c r="N4398" s="105" t="str">
        <f t="shared" si="722"/>
        <v>Coal</v>
      </c>
      <c r="O4398" s="105">
        <f>IFERROR(VLOOKUP(A4398,Lookup!$J$5:$P$19,7,FALSE),0)</f>
        <v>3</v>
      </c>
      <c r="P4398" s="159">
        <f t="shared" si="723"/>
        <v>2013</v>
      </c>
      <c r="Q4398" s="159">
        <f t="shared" si="724"/>
        <v>6</v>
      </c>
      <c r="R4398" s="160">
        <f t="shared" si="725"/>
        <v>1.3333333333139308</v>
      </c>
      <c r="S4398" s="158">
        <f t="shared" si="726"/>
        <v>0.25847728726431285</v>
      </c>
      <c r="T4398" s="161">
        <f t="shared" si="727"/>
        <v>124.58605246139879</v>
      </c>
      <c r="U4398" s="158">
        <f t="shared" si="729"/>
        <v>93.439539347408825</v>
      </c>
      <c r="V4398" s="160">
        <f t="shared" si="728"/>
        <v>93</v>
      </c>
    </row>
    <row r="4399" spans="1:22" x14ac:dyDescent="0.25">
      <c r="A4399" s="98" t="s">
        <v>25</v>
      </c>
      <c r="B4399" s="98" t="s">
        <v>15</v>
      </c>
      <c r="C4399" s="98">
        <v>91</v>
      </c>
      <c r="D4399" s="98">
        <v>3662</v>
      </c>
      <c r="E4399" s="157">
        <v>41444.67083333333</v>
      </c>
      <c r="F4399" s="157">
        <v>41444.738194444442</v>
      </c>
      <c r="G4399" s="98">
        <v>0</v>
      </c>
      <c r="H4399" s="98">
        <v>521</v>
      </c>
      <c r="I4399" s="98">
        <v>482</v>
      </c>
      <c r="J4399" s="98" t="s">
        <v>2166</v>
      </c>
      <c r="K4399" s="98" t="s">
        <v>725</v>
      </c>
      <c r="L4399" s="105" t="str">
        <f t="shared" si="720"/>
        <v>Mill Creek</v>
      </c>
      <c r="M4399" s="105" t="str">
        <f t="shared" si="721"/>
        <v>Outage</v>
      </c>
      <c r="N4399" s="105" t="str">
        <f t="shared" si="722"/>
        <v>Coal</v>
      </c>
      <c r="O4399" s="105">
        <f>IFERROR(VLOOKUP(A4399,Lookup!$J$5:$P$19,7,FALSE),0)</f>
        <v>3</v>
      </c>
      <c r="P4399" s="159">
        <f t="shared" si="723"/>
        <v>2013</v>
      </c>
      <c r="Q4399" s="159">
        <f t="shared" si="724"/>
        <v>6</v>
      </c>
      <c r="R4399" s="160">
        <f t="shared" si="725"/>
        <v>1.6166666666977108</v>
      </c>
      <c r="S4399" s="158">
        <f t="shared" si="726"/>
        <v>1.6166666666977108</v>
      </c>
      <c r="T4399" s="161">
        <f t="shared" si="727"/>
        <v>779.23333334829658</v>
      </c>
      <c r="U4399" s="158">
        <f t="shared" si="729"/>
        <v>482</v>
      </c>
      <c r="V4399" s="160">
        <f t="shared" si="728"/>
        <v>482</v>
      </c>
    </row>
    <row r="4400" spans="1:22" x14ac:dyDescent="0.25">
      <c r="A4400" s="98" t="s">
        <v>25</v>
      </c>
      <c r="B4400" s="98" t="s">
        <v>79</v>
      </c>
      <c r="C4400" s="98">
        <v>92</v>
      </c>
      <c r="D4400" s="98">
        <v>1850</v>
      </c>
      <c r="E4400" s="157">
        <v>41444.738194444442</v>
      </c>
      <c r="F4400" s="157">
        <v>41444.852083333331</v>
      </c>
      <c r="G4400" s="98">
        <v>0</v>
      </c>
      <c r="H4400" s="98">
        <v>521</v>
      </c>
      <c r="I4400" s="98">
        <v>482</v>
      </c>
      <c r="J4400" s="98" t="s">
        <v>2263</v>
      </c>
      <c r="K4400" s="98" t="s">
        <v>87</v>
      </c>
      <c r="L4400" s="105" t="str">
        <f t="shared" si="720"/>
        <v>Mill Creek</v>
      </c>
      <c r="M4400" s="105" t="str">
        <f t="shared" si="721"/>
        <v>Other</v>
      </c>
      <c r="N4400" s="105" t="str">
        <f t="shared" si="722"/>
        <v>Coal</v>
      </c>
      <c r="O4400" s="105">
        <f>IFERROR(VLOOKUP(A4400,Lookup!$J$5:$P$19,7,FALSE),0)</f>
        <v>3</v>
      </c>
      <c r="P4400" s="159">
        <f t="shared" si="723"/>
        <v>2013</v>
      </c>
      <c r="Q4400" s="159">
        <f t="shared" si="724"/>
        <v>6</v>
      </c>
      <c r="R4400" s="160">
        <f t="shared" si="725"/>
        <v>2.7333333333372138</v>
      </c>
      <c r="S4400" s="158">
        <f t="shared" si="726"/>
        <v>2.7333333333372138</v>
      </c>
      <c r="T4400" s="161">
        <f t="shared" si="727"/>
        <v>1317.4666666685371</v>
      </c>
      <c r="U4400" s="158">
        <f t="shared" si="729"/>
        <v>482</v>
      </c>
      <c r="V4400" s="160">
        <f t="shared" si="728"/>
        <v>482</v>
      </c>
    </row>
    <row r="4401" spans="1:22" x14ac:dyDescent="0.25">
      <c r="A4401" s="98" t="s">
        <v>25</v>
      </c>
      <c r="B4401" s="98" t="s">
        <v>17</v>
      </c>
      <c r="C4401" s="98">
        <v>93</v>
      </c>
      <c r="D4401" s="98">
        <v>3149</v>
      </c>
      <c r="E4401" s="157">
        <v>41450.563888888886</v>
      </c>
      <c r="F4401" s="157">
        <v>41450.747916666667</v>
      </c>
      <c r="G4401" s="98">
        <v>507</v>
      </c>
      <c r="H4401" s="98">
        <v>521</v>
      </c>
      <c r="I4401" s="98">
        <v>482</v>
      </c>
      <c r="J4401" s="98" t="s">
        <v>2034</v>
      </c>
      <c r="K4401" s="98" t="s">
        <v>40</v>
      </c>
      <c r="L4401" s="105" t="str">
        <f t="shared" si="720"/>
        <v>Mill Creek</v>
      </c>
      <c r="M4401" s="105" t="str">
        <f t="shared" si="721"/>
        <v>Derate</v>
      </c>
      <c r="N4401" s="105" t="str">
        <f t="shared" si="722"/>
        <v>Coal</v>
      </c>
      <c r="O4401" s="105">
        <f>IFERROR(VLOOKUP(A4401,Lookup!$J$5:$P$19,7,FALSE),0)</f>
        <v>3</v>
      </c>
      <c r="P4401" s="159">
        <f t="shared" si="723"/>
        <v>2013</v>
      </c>
      <c r="Q4401" s="159">
        <f t="shared" si="724"/>
        <v>6</v>
      </c>
      <c r="R4401" s="160">
        <f t="shared" si="725"/>
        <v>4.4166666667442769</v>
      </c>
      <c r="S4401" s="158">
        <f t="shared" si="726"/>
        <v>0.11868202175512452</v>
      </c>
      <c r="T4401" s="161">
        <f t="shared" si="727"/>
        <v>57.204734485970015</v>
      </c>
      <c r="U4401" s="158">
        <f t="shared" si="729"/>
        <v>12.952015355086372</v>
      </c>
      <c r="V4401" s="160">
        <f t="shared" si="728"/>
        <v>13</v>
      </c>
    </row>
    <row r="4402" spans="1:22" x14ac:dyDescent="0.25">
      <c r="A4402" s="98" t="s">
        <v>25</v>
      </c>
      <c r="B4402" s="98" t="s">
        <v>17</v>
      </c>
      <c r="C4402" s="98">
        <v>94</v>
      </c>
      <c r="D4402" s="98">
        <v>1710</v>
      </c>
      <c r="E4402" s="157">
        <v>41450.747916666667</v>
      </c>
      <c r="F4402" s="157">
        <v>41452.559027777781</v>
      </c>
      <c r="G4402" s="98">
        <v>511</v>
      </c>
      <c r="H4402" s="98">
        <v>521</v>
      </c>
      <c r="I4402" s="98">
        <v>482</v>
      </c>
      <c r="J4402" s="98" t="s">
        <v>2020</v>
      </c>
      <c r="K4402" s="98" t="s">
        <v>718</v>
      </c>
      <c r="L4402" s="105" t="str">
        <f t="shared" si="720"/>
        <v>Mill Creek</v>
      </c>
      <c r="M4402" s="105" t="str">
        <f t="shared" si="721"/>
        <v>Derate</v>
      </c>
      <c r="N4402" s="105" t="str">
        <f t="shared" si="722"/>
        <v>Coal</v>
      </c>
      <c r="O4402" s="105">
        <f>IFERROR(VLOOKUP(A4402,Lookup!$J$5:$P$19,7,FALSE),0)</f>
        <v>3</v>
      </c>
      <c r="P4402" s="159">
        <f t="shared" si="723"/>
        <v>2013</v>
      </c>
      <c r="Q4402" s="159">
        <f t="shared" si="724"/>
        <v>6</v>
      </c>
      <c r="R4402" s="160">
        <f t="shared" si="725"/>
        <v>43.466666666732635</v>
      </c>
      <c r="S4402" s="158">
        <f t="shared" si="726"/>
        <v>0.83429302623287205</v>
      </c>
      <c r="T4402" s="161">
        <f t="shared" si="727"/>
        <v>402.12923864424431</v>
      </c>
      <c r="U4402" s="158">
        <f t="shared" si="729"/>
        <v>9.2514395393474089</v>
      </c>
      <c r="V4402" s="160">
        <f t="shared" si="728"/>
        <v>9</v>
      </c>
    </row>
    <row r="4403" spans="1:22" x14ac:dyDescent="0.25">
      <c r="A4403" s="98" t="s">
        <v>25</v>
      </c>
      <c r="B4403" s="98" t="s">
        <v>17</v>
      </c>
      <c r="C4403" s="98">
        <v>95</v>
      </c>
      <c r="D4403" s="98">
        <v>1710</v>
      </c>
      <c r="E4403" s="157">
        <v>41452.559027777781</v>
      </c>
      <c r="F4403" s="157">
        <v>41453.947222222225</v>
      </c>
      <c r="G4403" s="98">
        <v>504</v>
      </c>
      <c r="H4403" s="98">
        <v>521</v>
      </c>
      <c r="I4403" s="98">
        <v>482</v>
      </c>
      <c r="J4403" s="98" t="s">
        <v>2020</v>
      </c>
      <c r="K4403" s="98" t="s">
        <v>718</v>
      </c>
      <c r="L4403" s="105" t="str">
        <f t="shared" si="720"/>
        <v>Mill Creek</v>
      </c>
      <c r="M4403" s="105" t="str">
        <f t="shared" si="721"/>
        <v>Derate</v>
      </c>
      <c r="N4403" s="105" t="str">
        <f t="shared" si="722"/>
        <v>Coal</v>
      </c>
      <c r="O4403" s="105">
        <f>IFERROR(VLOOKUP(A4403,Lookup!$J$5:$P$19,7,FALSE),0)</f>
        <v>3</v>
      </c>
      <c r="P4403" s="159">
        <f t="shared" si="723"/>
        <v>2013</v>
      </c>
      <c r="Q4403" s="159">
        <f t="shared" si="724"/>
        <v>6</v>
      </c>
      <c r="R4403" s="160">
        <f t="shared" si="725"/>
        <v>33.316666666651145</v>
      </c>
      <c r="S4403" s="158">
        <f t="shared" si="726"/>
        <v>1.0871081253993655</v>
      </c>
      <c r="T4403" s="161">
        <f t="shared" si="727"/>
        <v>523.98611644249422</v>
      </c>
      <c r="U4403" s="158">
        <f t="shared" si="729"/>
        <v>15.727447216890596</v>
      </c>
      <c r="V4403" s="160">
        <f t="shared" si="728"/>
        <v>16</v>
      </c>
    </row>
    <row r="4404" spans="1:22" x14ac:dyDescent="0.25">
      <c r="A4404" s="98" t="s">
        <v>25</v>
      </c>
      <c r="B4404" s="98" t="s">
        <v>17</v>
      </c>
      <c r="C4404" s="98">
        <v>96</v>
      </c>
      <c r="D4404" s="98">
        <v>260</v>
      </c>
      <c r="E4404" s="157">
        <v>41453.326388888891</v>
      </c>
      <c r="F4404" s="157">
        <v>41453.342361111114</v>
      </c>
      <c r="G4404" s="98">
        <v>325</v>
      </c>
      <c r="H4404" s="98">
        <v>521</v>
      </c>
      <c r="I4404" s="98">
        <v>482</v>
      </c>
      <c r="J4404" s="98" t="s">
        <v>1973</v>
      </c>
      <c r="K4404" s="98" t="s">
        <v>726</v>
      </c>
      <c r="L4404" s="105" t="str">
        <f t="shared" si="720"/>
        <v>Mill Creek</v>
      </c>
      <c r="M4404" s="105" t="str">
        <f t="shared" si="721"/>
        <v>Derate</v>
      </c>
      <c r="N4404" s="105" t="str">
        <f t="shared" si="722"/>
        <v>Coal</v>
      </c>
      <c r="O4404" s="105">
        <f>IFERROR(VLOOKUP(A4404,Lookup!$J$5:$P$19,7,FALSE),0)</f>
        <v>3</v>
      </c>
      <c r="P4404" s="159">
        <f t="shared" si="723"/>
        <v>2013</v>
      </c>
      <c r="Q4404" s="159">
        <f t="shared" si="724"/>
        <v>6</v>
      </c>
      <c r="R4404" s="160">
        <f t="shared" si="725"/>
        <v>0.38333333336049691</v>
      </c>
      <c r="S4404" s="158">
        <f t="shared" si="726"/>
        <v>0.14420985285730786</v>
      </c>
      <c r="T4404" s="161">
        <f t="shared" si="727"/>
        <v>69.509149077222389</v>
      </c>
      <c r="U4404" s="158">
        <f t="shared" si="729"/>
        <v>181.32821497120921</v>
      </c>
      <c r="V4404" s="160">
        <f t="shared" si="728"/>
        <v>181</v>
      </c>
    </row>
    <row r="4405" spans="1:22" x14ac:dyDescent="0.25">
      <c r="A4405" s="98" t="s">
        <v>25</v>
      </c>
      <c r="B4405" s="98" t="s">
        <v>20</v>
      </c>
      <c r="C4405" s="98">
        <v>97</v>
      </c>
      <c r="D4405" s="98">
        <v>1000</v>
      </c>
      <c r="E4405" s="157">
        <v>41453.947222222225</v>
      </c>
      <c r="F4405" s="157">
        <v>41455.575694444444</v>
      </c>
      <c r="G4405" s="98">
        <v>0</v>
      </c>
      <c r="H4405" s="98">
        <v>521</v>
      </c>
      <c r="I4405" s="98">
        <v>482</v>
      </c>
      <c r="J4405" s="98" t="s">
        <v>2002</v>
      </c>
      <c r="K4405" s="98" t="s">
        <v>71</v>
      </c>
      <c r="L4405" s="105" t="str">
        <f t="shared" si="720"/>
        <v>Mill Creek</v>
      </c>
      <c r="M4405" s="105" t="str">
        <f t="shared" si="721"/>
        <v>Maintenance</v>
      </c>
      <c r="N4405" s="105" t="str">
        <f t="shared" si="722"/>
        <v>Coal</v>
      </c>
      <c r="O4405" s="105">
        <f>IFERROR(VLOOKUP(A4405,Lookup!$J$5:$P$19,7,FALSE),0)</f>
        <v>3</v>
      </c>
      <c r="P4405" s="159">
        <f t="shared" si="723"/>
        <v>2013</v>
      </c>
      <c r="Q4405" s="159">
        <f t="shared" si="724"/>
        <v>6</v>
      </c>
      <c r="R4405" s="160">
        <f t="shared" si="725"/>
        <v>39.083333333255723</v>
      </c>
      <c r="S4405" s="158">
        <f t="shared" si="726"/>
        <v>39.083333333255723</v>
      </c>
      <c r="T4405" s="161">
        <f t="shared" si="727"/>
        <v>18838.166666629259</v>
      </c>
      <c r="U4405" s="158">
        <f t="shared" si="729"/>
        <v>482</v>
      </c>
      <c r="V4405" s="160">
        <f t="shared" si="728"/>
        <v>482</v>
      </c>
    </row>
    <row r="4406" spans="1:22" x14ac:dyDescent="0.25">
      <c r="A4406" s="98" t="s">
        <v>25</v>
      </c>
      <c r="B4406" s="98" t="s">
        <v>79</v>
      </c>
      <c r="C4406" s="98">
        <v>98</v>
      </c>
      <c r="D4406" s="98">
        <v>1850</v>
      </c>
      <c r="E4406" s="157">
        <v>41455.575694444444</v>
      </c>
      <c r="F4406" s="157">
        <v>41455.9375</v>
      </c>
      <c r="G4406" s="98">
        <v>0</v>
      </c>
      <c r="H4406" s="98">
        <v>521</v>
      </c>
      <c r="I4406" s="98">
        <v>482</v>
      </c>
      <c r="J4406" s="98" t="s">
        <v>2263</v>
      </c>
      <c r="K4406" s="98" t="s">
        <v>86</v>
      </c>
      <c r="L4406" s="105" t="str">
        <f t="shared" si="720"/>
        <v>Mill Creek</v>
      </c>
      <c r="M4406" s="105" t="str">
        <f t="shared" si="721"/>
        <v>Other</v>
      </c>
      <c r="N4406" s="105" t="str">
        <f t="shared" si="722"/>
        <v>Coal</v>
      </c>
      <c r="O4406" s="105">
        <f>IFERROR(VLOOKUP(A4406,Lookup!$J$5:$P$19,7,FALSE),0)</f>
        <v>3</v>
      </c>
      <c r="P4406" s="159">
        <f t="shared" si="723"/>
        <v>2013</v>
      </c>
      <c r="Q4406" s="159">
        <f t="shared" si="724"/>
        <v>6</v>
      </c>
      <c r="R4406" s="160">
        <f t="shared" si="725"/>
        <v>8.6833333333488554</v>
      </c>
      <c r="S4406" s="158">
        <f t="shared" si="726"/>
        <v>8.6833333333488554</v>
      </c>
      <c r="T4406" s="161">
        <f t="shared" si="727"/>
        <v>4185.3666666741483</v>
      </c>
      <c r="U4406" s="158">
        <f t="shared" si="729"/>
        <v>482</v>
      </c>
      <c r="V4406" s="160">
        <f t="shared" si="728"/>
        <v>482</v>
      </c>
    </row>
    <row r="4407" spans="1:22" x14ac:dyDescent="0.25">
      <c r="A4407" s="98" t="s">
        <v>25</v>
      </c>
      <c r="B4407" s="98" t="s">
        <v>17</v>
      </c>
      <c r="C4407" s="98">
        <v>99</v>
      </c>
      <c r="D4407" s="98">
        <v>250</v>
      </c>
      <c r="E4407" s="157">
        <v>41455.9375</v>
      </c>
      <c r="F4407" s="157">
        <v>41456.339583333334</v>
      </c>
      <c r="G4407" s="98">
        <v>425</v>
      </c>
      <c r="H4407" s="98">
        <v>521</v>
      </c>
      <c r="I4407" s="98">
        <v>482</v>
      </c>
      <c r="J4407" s="98" t="s">
        <v>1978</v>
      </c>
      <c r="K4407" s="98" t="s">
        <v>727</v>
      </c>
      <c r="L4407" s="105" t="str">
        <f t="shared" si="720"/>
        <v>Mill Creek</v>
      </c>
      <c r="M4407" s="105" t="str">
        <f t="shared" si="721"/>
        <v>Derate</v>
      </c>
      <c r="N4407" s="105" t="str">
        <f t="shared" si="722"/>
        <v>Coal</v>
      </c>
      <c r="O4407" s="105">
        <f>IFERROR(VLOOKUP(A4407,Lookup!$J$5:$P$19,7,FALSE),0)</f>
        <v>3</v>
      </c>
      <c r="P4407" s="159">
        <f t="shared" si="723"/>
        <v>2013</v>
      </c>
      <c r="Q4407" s="159">
        <f t="shared" si="724"/>
        <v>6</v>
      </c>
      <c r="R4407" s="160">
        <f t="shared" si="725"/>
        <v>9.6500000000232831</v>
      </c>
      <c r="S4407" s="158">
        <f t="shared" si="726"/>
        <v>1.7781190019236759</v>
      </c>
      <c r="T4407" s="161">
        <f t="shared" si="727"/>
        <v>857.05335892721178</v>
      </c>
      <c r="U4407" s="158">
        <f t="shared" si="729"/>
        <v>88.813819577735131</v>
      </c>
      <c r="V4407" s="160">
        <f t="shared" si="728"/>
        <v>89</v>
      </c>
    </row>
    <row r="4408" spans="1:22" x14ac:dyDescent="0.25">
      <c r="A4408" s="98" t="s">
        <v>25</v>
      </c>
      <c r="B4408" s="98" t="s">
        <v>17</v>
      </c>
      <c r="C4408" s="98">
        <v>100</v>
      </c>
      <c r="D4408" s="98">
        <v>385</v>
      </c>
      <c r="E4408" s="157">
        <v>41456.305555555555</v>
      </c>
      <c r="F4408" s="157">
        <v>41456.339583333334</v>
      </c>
      <c r="G4408" s="98">
        <v>305</v>
      </c>
      <c r="H4408" s="98">
        <v>521</v>
      </c>
      <c r="I4408" s="98">
        <v>482</v>
      </c>
      <c r="J4408" s="98" t="s">
        <v>228</v>
      </c>
      <c r="K4408" s="98" t="s">
        <v>728</v>
      </c>
      <c r="L4408" s="105" t="str">
        <f t="shared" si="720"/>
        <v>Mill Creek</v>
      </c>
      <c r="M4408" s="105" t="str">
        <f t="shared" si="721"/>
        <v>Derate</v>
      </c>
      <c r="N4408" s="105" t="str">
        <f t="shared" si="722"/>
        <v>Coal</v>
      </c>
      <c r="O4408" s="105">
        <f>IFERROR(VLOOKUP(A4408,Lookup!$J$5:$P$19,7,FALSE),0)</f>
        <v>3</v>
      </c>
      <c r="P4408" s="159">
        <f t="shared" si="723"/>
        <v>2013</v>
      </c>
      <c r="Q4408" s="159">
        <f t="shared" si="724"/>
        <v>7</v>
      </c>
      <c r="R4408" s="160">
        <f t="shared" si="725"/>
        <v>0.81666666670935228</v>
      </c>
      <c r="S4408" s="158">
        <f t="shared" si="726"/>
        <v>0.33857965452825356</v>
      </c>
      <c r="T4408" s="161">
        <f t="shared" si="727"/>
        <v>163.19539348261821</v>
      </c>
      <c r="U4408" s="158">
        <f t="shared" si="729"/>
        <v>199.83109404990404</v>
      </c>
      <c r="V4408" s="160">
        <f t="shared" si="728"/>
        <v>200</v>
      </c>
    </row>
    <row r="4409" spans="1:22" x14ac:dyDescent="0.25">
      <c r="A4409" s="98" t="s">
        <v>25</v>
      </c>
      <c r="B4409" s="98" t="s">
        <v>17</v>
      </c>
      <c r="C4409" s="98">
        <v>101</v>
      </c>
      <c r="D4409" s="98">
        <v>250</v>
      </c>
      <c r="E4409" s="157">
        <v>41456.339583333334</v>
      </c>
      <c r="F4409" s="157">
        <v>41456.356249999997</v>
      </c>
      <c r="G4409" s="98">
        <v>430</v>
      </c>
      <c r="H4409" s="98">
        <v>521</v>
      </c>
      <c r="I4409" s="98">
        <v>482</v>
      </c>
      <c r="J4409" s="98" t="s">
        <v>1978</v>
      </c>
      <c r="K4409" s="98" t="s">
        <v>727</v>
      </c>
      <c r="L4409" s="105" t="str">
        <f t="shared" si="720"/>
        <v>Mill Creek</v>
      </c>
      <c r="M4409" s="105" t="str">
        <f t="shared" si="721"/>
        <v>Derate</v>
      </c>
      <c r="N4409" s="105" t="str">
        <f t="shared" si="722"/>
        <v>Coal</v>
      </c>
      <c r="O4409" s="105">
        <f>IFERROR(VLOOKUP(A4409,Lookup!$J$5:$P$19,7,FALSE),0)</f>
        <v>3</v>
      </c>
      <c r="P4409" s="159">
        <f t="shared" si="723"/>
        <v>2013</v>
      </c>
      <c r="Q4409" s="159">
        <f t="shared" si="724"/>
        <v>7</v>
      </c>
      <c r="R4409" s="160">
        <f t="shared" si="725"/>
        <v>0.39999999990686774</v>
      </c>
      <c r="S4409" s="158">
        <f t="shared" si="726"/>
        <v>6.9865642977974984E-2</v>
      </c>
      <c r="T4409" s="161">
        <f t="shared" si="727"/>
        <v>33.675239915383941</v>
      </c>
      <c r="U4409" s="158">
        <f t="shared" si="729"/>
        <v>84.188099808061423</v>
      </c>
      <c r="V4409" s="160">
        <f t="shared" si="728"/>
        <v>84</v>
      </c>
    </row>
    <row r="4410" spans="1:22" x14ac:dyDescent="0.25">
      <c r="A4410" s="98" t="s">
        <v>25</v>
      </c>
      <c r="B4410" s="98" t="s">
        <v>17</v>
      </c>
      <c r="C4410" s="98">
        <v>102</v>
      </c>
      <c r="D4410" s="98">
        <v>1710</v>
      </c>
      <c r="E4410" s="157">
        <v>41456.582638888889</v>
      </c>
      <c r="F4410" s="157">
        <v>41457.06527777778</v>
      </c>
      <c r="G4410" s="98">
        <v>509</v>
      </c>
      <c r="H4410" s="98">
        <v>521</v>
      </c>
      <c r="I4410" s="98">
        <v>482</v>
      </c>
      <c r="J4410" s="98" t="s">
        <v>2020</v>
      </c>
      <c r="K4410" s="98" t="s">
        <v>718</v>
      </c>
      <c r="L4410" s="105" t="str">
        <f t="shared" si="720"/>
        <v>Mill Creek</v>
      </c>
      <c r="M4410" s="105" t="str">
        <f t="shared" si="721"/>
        <v>Derate</v>
      </c>
      <c r="N4410" s="105" t="str">
        <f t="shared" si="722"/>
        <v>Coal</v>
      </c>
      <c r="O4410" s="105">
        <f>IFERROR(VLOOKUP(A4410,Lookup!$J$5:$P$19,7,FALSE),0)</f>
        <v>3</v>
      </c>
      <c r="P4410" s="159">
        <f t="shared" si="723"/>
        <v>2013</v>
      </c>
      <c r="Q4410" s="159">
        <f t="shared" si="724"/>
        <v>7</v>
      </c>
      <c r="R4410" s="160">
        <f t="shared" si="725"/>
        <v>11.583333333372138</v>
      </c>
      <c r="S4410" s="158">
        <f t="shared" si="726"/>
        <v>0.26679462572066348</v>
      </c>
      <c r="T4410" s="161">
        <f t="shared" si="727"/>
        <v>128.59500959735979</v>
      </c>
      <c r="U4410" s="158">
        <f t="shared" si="729"/>
        <v>11.101727447216891</v>
      </c>
      <c r="V4410" s="160">
        <f t="shared" si="728"/>
        <v>11</v>
      </c>
    </row>
    <row r="4411" spans="1:22" x14ac:dyDescent="0.25">
      <c r="A4411" s="98" t="s">
        <v>25</v>
      </c>
      <c r="B4411" s="98" t="s">
        <v>15</v>
      </c>
      <c r="C4411" s="98">
        <v>103</v>
      </c>
      <c r="D4411" s="98">
        <v>4268</v>
      </c>
      <c r="E4411" s="157">
        <v>41457.06527777778</v>
      </c>
      <c r="F4411" s="157">
        <v>41457.135416666664</v>
      </c>
      <c r="G4411" s="98">
        <v>0</v>
      </c>
      <c r="H4411" s="98">
        <v>521</v>
      </c>
      <c r="I4411" s="98">
        <v>482</v>
      </c>
      <c r="J4411" s="98" t="s">
        <v>2127</v>
      </c>
      <c r="K4411" s="98" t="s">
        <v>729</v>
      </c>
      <c r="L4411" s="105" t="str">
        <f t="shared" si="720"/>
        <v>Mill Creek</v>
      </c>
      <c r="M4411" s="105" t="str">
        <f t="shared" si="721"/>
        <v>Outage</v>
      </c>
      <c r="N4411" s="105" t="str">
        <f t="shared" si="722"/>
        <v>Coal</v>
      </c>
      <c r="O4411" s="105">
        <f>IFERROR(VLOOKUP(A4411,Lookup!$J$5:$P$19,7,FALSE),0)</f>
        <v>3</v>
      </c>
      <c r="P4411" s="159">
        <f t="shared" si="723"/>
        <v>2013</v>
      </c>
      <c r="Q4411" s="159">
        <f t="shared" si="724"/>
        <v>7</v>
      </c>
      <c r="R4411" s="160">
        <f t="shared" si="725"/>
        <v>1.6833333332324401</v>
      </c>
      <c r="S4411" s="158">
        <f t="shared" si="726"/>
        <v>1.6833333332324401</v>
      </c>
      <c r="T4411" s="161">
        <f t="shared" si="727"/>
        <v>811.36666661803611</v>
      </c>
      <c r="U4411" s="158">
        <f t="shared" si="729"/>
        <v>482</v>
      </c>
      <c r="V4411" s="160">
        <f t="shared" si="728"/>
        <v>482</v>
      </c>
    </row>
    <row r="4412" spans="1:22" x14ac:dyDescent="0.25">
      <c r="A4412" s="98" t="s">
        <v>25</v>
      </c>
      <c r="B4412" s="98" t="s">
        <v>79</v>
      </c>
      <c r="C4412" s="98">
        <v>104</v>
      </c>
      <c r="D4412" s="98">
        <v>1850</v>
      </c>
      <c r="E4412" s="157">
        <v>41457.135416666664</v>
      </c>
      <c r="F4412" s="157">
        <v>41457.386805555558</v>
      </c>
      <c r="G4412" s="98">
        <v>0</v>
      </c>
      <c r="H4412" s="98">
        <v>521</v>
      </c>
      <c r="I4412" s="98">
        <v>482</v>
      </c>
      <c r="J4412" s="98" t="s">
        <v>2263</v>
      </c>
      <c r="K4412" s="98" t="s">
        <v>87</v>
      </c>
      <c r="L4412" s="105" t="str">
        <f t="shared" si="720"/>
        <v>Mill Creek</v>
      </c>
      <c r="M4412" s="105" t="str">
        <f t="shared" si="721"/>
        <v>Other</v>
      </c>
      <c r="N4412" s="105" t="str">
        <f t="shared" si="722"/>
        <v>Coal</v>
      </c>
      <c r="O4412" s="105">
        <f>IFERROR(VLOOKUP(A4412,Lookup!$J$5:$P$19,7,FALSE),0)</f>
        <v>3</v>
      </c>
      <c r="P4412" s="159">
        <f t="shared" si="723"/>
        <v>2013</v>
      </c>
      <c r="Q4412" s="159">
        <f t="shared" si="724"/>
        <v>7</v>
      </c>
      <c r="R4412" s="160">
        <f t="shared" si="725"/>
        <v>6.0333333334419876</v>
      </c>
      <c r="S4412" s="158">
        <f t="shared" si="726"/>
        <v>6.0333333334419876</v>
      </c>
      <c r="T4412" s="161">
        <f t="shared" si="727"/>
        <v>2908.066666719038</v>
      </c>
      <c r="U4412" s="158">
        <f t="shared" si="729"/>
        <v>482</v>
      </c>
      <c r="V4412" s="160">
        <f t="shared" si="728"/>
        <v>482</v>
      </c>
    </row>
    <row r="4413" spans="1:22" x14ac:dyDescent="0.25">
      <c r="A4413" s="98" t="s">
        <v>25</v>
      </c>
      <c r="B4413" s="98" t="s">
        <v>17</v>
      </c>
      <c r="C4413" s="98">
        <v>105</v>
      </c>
      <c r="D4413" s="98">
        <v>1850</v>
      </c>
      <c r="E4413" s="157">
        <v>41457.386805555558</v>
      </c>
      <c r="F4413" s="157">
        <v>41457.397916666669</v>
      </c>
      <c r="G4413" s="98">
        <v>483</v>
      </c>
      <c r="H4413" s="98">
        <v>521</v>
      </c>
      <c r="I4413" s="98">
        <v>482</v>
      </c>
      <c r="J4413" s="98" t="s">
        <v>2263</v>
      </c>
      <c r="K4413" s="98" t="s">
        <v>41</v>
      </c>
      <c r="L4413" s="105" t="str">
        <f t="shared" si="720"/>
        <v>Mill Creek</v>
      </c>
      <c r="M4413" s="105" t="str">
        <f t="shared" si="721"/>
        <v>Derate</v>
      </c>
      <c r="N4413" s="105" t="str">
        <f t="shared" si="722"/>
        <v>Coal</v>
      </c>
      <c r="O4413" s="105">
        <f>IFERROR(VLOOKUP(A4413,Lookup!$J$5:$P$19,7,FALSE),0)</f>
        <v>3</v>
      </c>
      <c r="P4413" s="159">
        <f t="shared" si="723"/>
        <v>2013</v>
      </c>
      <c r="Q4413" s="159">
        <f t="shared" si="724"/>
        <v>7</v>
      </c>
      <c r="R4413" s="160">
        <f t="shared" si="725"/>
        <v>0.26666666666278616</v>
      </c>
      <c r="S4413" s="158">
        <f t="shared" si="726"/>
        <v>1.9449776071374037E-2</v>
      </c>
      <c r="T4413" s="161">
        <f t="shared" si="727"/>
        <v>9.3747920664022857</v>
      </c>
      <c r="U4413" s="158">
        <f t="shared" si="729"/>
        <v>35.155470249520157</v>
      </c>
      <c r="V4413" s="160">
        <f t="shared" si="728"/>
        <v>35</v>
      </c>
    </row>
    <row r="4414" spans="1:22" x14ac:dyDescent="0.25">
      <c r="A4414" s="98" t="s">
        <v>25</v>
      </c>
      <c r="B4414" s="98" t="s">
        <v>17</v>
      </c>
      <c r="C4414" s="98">
        <v>106</v>
      </c>
      <c r="D4414" s="98">
        <v>1710</v>
      </c>
      <c r="E4414" s="157">
        <v>41457.42083333333</v>
      </c>
      <c r="F4414" s="157">
        <v>41457.484027777777</v>
      </c>
      <c r="G4414" s="98">
        <v>485</v>
      </c>
      <c r="H4414" s="98">
        <v>521</v>
      </c>
      <c r="I4414" s="98">
        <v>482</v>
      </c>
      <c r="J4414" s="98" t="s">
        <v>2020</v>
      </c>
      <c r="K4414" s="98" t="s">
        <v>730</v>
      </c>
      <c r="L4414" s="105" t="str">
        <f t="shared" si="720"/>
        <v>Mill Creek</v>
      </c>
      <c r="M4414" s="105" t="str">
        <f t="shared" si="721"/>
        <v>Derate</v>
      </c>
      <c r="N4414" s="105" t="str">
        <f t="shared" si="722"/>
        <v>Coal</v>
      </c>
      <c r="O4414" s="105">
        <f>IFERROR(VLOOKUP(A4414,Lookup!$J$5:$P$19,7,FALSE),0)</f>
        <v>3</v>
      </c>
      <c r="P4414" s="159">
        <f t="shared" si="723"/>
        <v>2013</v>
      </c>
      <c r="Q4414" s="159">
        <f t="shared" si="724"/>
        <v>7</v>
      </c>
      <c r="R4414" s="160">
        <f t="shared" si="725"/>
        <v>1.5166666667209938</v>
      </c>
      <c r="S4414" s="158">
        <f t="shared" si="726"/>
        <v>0.10479846449511665</v>
      </c>
      <c r="T4414" s="161">
        <f t="shared" si="727"/>
        <v>50.512859886646226</v>
      </c>
      <c r="U4414" s="158">
        <f t="shared" si="729"/>
        <v>33.305182341650671</v>
      </c>
      <c r="V4414" s="160">
        <f t="shared" si="728"/>
        <v>33</v>
      </c>
    </row>
    <row r="4415" spans="1:22" x14ac:dyDescent="0.25">
      <c r="A4415" s="98" t="s">
        <v>25</v>
      </c>
      <c r="B4415" s="98" t="s">
        <v>17</v>
      </c>
      <c r="C4415" s="98">
        <v>107</v>
      </c>
      <c r="D4415" s="98">
        <v>1710</v>
      </c>
      <c r="E4415" s="157">
        <v>41457.484027777777</v>
      </c>
      <c r="F4415" s="157">
        <v>41458.67083333333</v>
      </c>
      <c r="G4415" s="98">
        <v>510</v>
      </c>
      <c r="H4415" s="98">
        <v>521</v>
      </c>
      <c r="I4415" s="98">
        <v>482</v>
      </c>
      <c r="J4415" s="98" t="s">
        <v>2020</v>
      </c>
      <c r="K4415" s="98" t="s">
        <v>718</v>
      </c>
      <c r="L4415" s="105" t="str">
        <f t="shared" si="720"/>
        <v>Mill Creek</v>
      </c>
      <c r="M4415" s="105" t="str">
        <f t="shared" si="721"/>
        <v>Derate</v>
      </c>
      <c r="N4415" s="105" t="str">
        <f t="shared" si="722"/>
        <v>Coal</v>
      </c>
      <c r="O4415" s="105">
        <f>IFERROR(VLOOKUP(A4415,Lookup!$J$5:$P$19,7,FALSE),0)</f>
        <v>3</v>
      </c>
      <c r="P4415" s="159">
        <f t="shared" si="723"/>
        <v>2013</v>
      </c>
      <c r="Q4415" s="159">
        <f t="shared" si="724"/>
        <v>7</v>
      </c>
      <c r="R4415" s="160">
        <f t="shared" si="725"/>
        <v>28.483333333279006</v>
      </c>
      <c r="S4415" s="158">
        <f t="shared" si="726"/>
        <v>0.60137555981971025</v>
      </c>
      <c r="T4415" s="161">
        <f t="shared" si="727"/>
        <v>289.86301983310034</v>
      </c>
      <c r="U4415" s="158">
        <f t="shared" si="729"/>
        <v>10.17658349328215</v>
      </c>
      <c r="V4415" s="160">
        <f t="shared" si="728"/>
        <v>10</v>
      </c>
    </row>
    <row r="4416" spans="1:22" x14ac:dyDescent="0.25">
      <c r="A4416" s="98" t="s">
        <v>25</v>
      </c>
      <c r="B4416" s="98" t="s">
        <v>15</v>
      </c>
      <c r="C4416" s="98">
        <v>108</v>
      </c>
      <c r="D4416" s="98">
        <v>4730</v>
      </c>
      <c r="E4416" s="157">
        <v>41458.67083333333</v>
      </c>
      <c r="F4416" s="157">
        <v>41458.830555555556</v>
      </c>
      <c r="G4416" s="98">
        <v>0</v>
      </c>
      <c r="H4416" s="98">
        <v>521</v>
      </c>
      <c r="I4416" s="98">
        <v>482</v>
      </c>
      <c r="J4416" s="98" t="s">
        <v>2241</v>
      </c>
      <c r="K4416" s="98" t="s">
        <v>731</v>
      </c>
      <c r="L4416" s="105" t="str">
        <f t="shared" si="720"/>
        <v>Mill Creek</v>
      </c>
      <c r="M4416" s="105" t="str">
        <f t="shared" si="721"/>
        <v>Outage</v>
      </c>
      <c r="N4416" s="105" t="str">
        <f t="shared" si="722"/>
        <v>Coal</v>
      </c>
      <c r="O4416" s="105">
        <f>IFERROR(VLOOKUP(A4416,Lookup!$J$5:$P$19,7,FALSE),0)</f>
        <v>3</v>
      </c>
      <c r="P4416" s="159">
        <f t="shared" si="723"/>
        <v>2013</v>
      </c>
      <c r="Q4416" s="159">
        <f t="shared" si="724"/>
        <v>7</v>
      </c>
      <c r="R4416" s="160">
        <f t="shared" si="725"/>
        <v>3.8333333334303461</v>
      </c>
      <c r="S4416" s="158">
        <f t="shared" si="726"/>
        <v>3.8333333334303461</v>
      </c>
      <c r="T4416" s="161">
        <f t="shared" si="727"/>
        <v>1847.6666667134268</v>
      </c>
      <c r="U4416" s="158">
        <f t="shared" si="729"/>
        <v>482</v>
      </c>
      <c r="V4416" s="160">
        <f t="shared" si="728"/>
        <v>482</v>
      </c>
    </row>
    <row r="4417" spans="1:22" x14ac:dyDescent="0.25">
      <c r="A4417" s="98" t="s">
        <v>25</v>
      </c>
      <c r="B4417" s="98" t="s">
        <v>79</v>
      </c>
      <c r="C4417" s="98">
        <v>109</v>
      </c>
      <c r="D4417" s="98">
        <v>1850</v>
      </c>
      <c r="E4417" s="157">
        <v>41458.830555555556</v>
      </c>
      <c r="F4417" s="157">
        <v>41459.037499999999</v>
      </c>
      <c r="G4417" s="98">
        <v>0</v>
      </c>
      <c r="H4417" s="98">
        <v>521</v>
      </c>
      <c r="I4417" s="98">
        <v>482</v>
      </c>
      <c r="J4417" s="98" t="s">
        <v>2263</v>
      </c>
      <c r="K4417" s="98" t="s">
        <v>87</v>
      </c>
      <c r="L4417" s="105" t="str">
        <f t="shared" si="720"/>
        <v>Mill Creek</v>
      </c>
      <c r="M4417" s="105" t="str">
        <f t="shared" si="721"/>
        <v>Other</v>
      </c>
      <c r="N4417" s="105" t="str">
        <f t="shared" si="722"/>
        <v>Coal</v>
      </c>
      <c r="O4417" s="105">
        <f>IFERROR(VLOOKUP(A4417,Lookup!$J$5:$P$19,7,FALSE),0)</f>
        <v>3</v>
      </c>
      <c r="P4417" s="159">
        <f t="shared" si="723"/>
        <v>2013</v>
      </c>
      <c r="Q4417" s="159">
        <f t="shared" si="724"/>
        <v>7</v>
      </c>
      <c r="R4417" s="160">
        <f t="shared" si="725"/>
        <v>4.96666666661622</v>
      </c>
      <c r="S4417" s="158">
        <f t="shared" si="726"/>
        <v>4.96666666661622</v>
      </c>
      <c r="T4417" s="161">
        <f t="shared" si="727"/>
        <v>2393.9333333090181</v>
      </c>
      <c r="U4417" s="158">
        <f t="shared" si="729"/>
        <v>482</v>
      </c>
      <c r="V4417" s="160">
        <f t="shared" si="728"/>
        <v>482</v>
      </c>
    </row>
    <row r="4418" spans="1:22" x14ac:dyDescent="0.25">
      <c r="A4418" s="98" t="s">
        <v>25</v>
      </c>
      <c r="B4418" s="98" t="s">
        <v>17</v>
      </c>
      <c r="C4418" s="98">
        <v>110</v>
      </c>
      <c r="D4418" s="98">
        <v>310</v>
      </c>
      <c r="E4418" s="157">
        <v>41461.326388888891</v>
      </c>
      <c r="F4418" s="157">
        <v>41461.456250000003</v>
      </c>
      <c r="G4418" s="98">
        <v>425</v>
      </c>
      <c r="H4418" s="98">
        <v>521</v>
      </c>
      <c r="I4418" s="98">
        <v>482</v>
      </c>
      <c r="J4418" s="98" t="s">
        <v>1966</v>
      </c>
      <c r="K4418" s="98" t="s">
        <v>732</v>
      </c>
      <c r="L4418" s="105" t="str">
        <f t="shared" si="720"/>
        <v>Mill Creek</v>
      </c>
      <c r="M4418" s="105" t="str">
        <f t="shared" si="721"/>
        <v>Derate</v>
      </c>
      <c r="N4418" s="105" t="str">
        <f t="shared" si="722"/>
        <v>Coal</v>
      </c>
      <c r="O4418" s="105">
        <f>IFERROR(VLOOKUP(A4418,Lookup!$J$5:$P$19,7,FALSE),0)</f>
        <v>3</v>
      </c>
      <c r="P4418" s="159">
        <f t="shared" si="723"/>
        <v>2013</v>
      </c>
      <c r="Q4418" s="159">
        <f t="shared" si="724"/>
        <v>7</v>
      </c>
      <c r="R4418" s="160">
        <f t="shared" si="725"/>
        <v>3.1166666666977108</v>
      </c>
      <c r="S4418" s="158">
        <f t="shared" si="726"/>
        <v>0.57428023033201581</v>
      </c>
      <c r="T4418" s="161">
        <f t="shared" si="727"/>
        <v>276.80307102003161</v>
      </c>
      <c r="U4418" s="158">
        <f t="shared" si="729"/>
        <v>88.813819577735131</v>
      </c>
      <c r="V4418" s="160">
        <f t="shared" si="728"/>
        <v>89</v>
      </c>
    </row>
    <row r="4419" spans="1:22" x14ac:dyDescent="0.25">
      <c r="A4419" s="98" t="s">
        <v>25</v>
      </c>
      <c r="B4419" s="98" t="s">
        <v>105</v>
      </c>
      <c r="C4419" s="98">
        <v>111</v>
      </c>
      <c r="D4419" s="98">
        <v>250</v>
      </c>
      <c r="E4419" s="157">
        <v>41462.916666666664</v>
      </c>
      <c r="F4419" s="157">
        <v>41463.227083333331</v>
      </c>
      <c r="G4419" s="98">
        <v>425</v>
      </c>
      <c r="H4419" s="98">
        <v>521</v>
      </c>
      <c r="I4419" s="98">
        <v>482</v>
      </c>
      <c r="J4419" s="98" t="s">
        <v>1978</v>
      </c>
      <c r="K4419" s="98" t="s">
        <v>116</v>
      </c>
      <c r="L4419" s="105" t="str">
        <f t="shared" si="720"/>
        <v>Mill Creek</v>
      </c>
      <c r="M4419" s="105" t="str">
        <f t="shared" si="721"/>
        <v>Derate</v>
      </c>
      <c r="N4419" s="105" t="str">
        <f t="shared" si="722"/>
        <v>Coal</v>
      </c>
      <c r="O4419" s="105">
        <f>IFERROR(VLOOKUP(A4419,Lookup!$J$5:$P$19,7,FALSE),0)</f>
        <v>3</v>
      </c>
      <c r="P4419" s="159">
        <f t="shared" si="723"/>
        <v>2013</v>
      </c>
      <c r="Q4419" s="159">
        <f t="shared" si="724"/>
        <v>7</v>
      </c>
      <c r="R4419" s="160">
        <f t="shared" si="725"/>
        <v>7.4500000000116415</v>
      </c>
      <c r="S4419" s="158">
        <f t="shared" si="726"/>
        <v>1.3727447216912045</v>
      </c>
      <c r="T4419" s="161">
        <f t="shared" si="727"/>
        <v>661.66295585516059</v>
      </c>
      <c r="U4419" s="158">
        <f t="shared" si="729"/>
        <v>88.813819577735131</v>
      </c>
      <c r="V4419" s="160">
        <f t="shared" si="728"/>
        <v>89</v>
      </c>
    </row>
    <row r="4420" spans="1:22" x14ac:dyDescent="0.25">
      <c r="A4420" s="98" t="s">
        <v>25</v>
      </c>
      <c r="B4420" s="98" t="s">
        <v>17</v>
      </c>
      <c r="C4420" s="98">
        <v>112</v>
      </c>
      <c r="D4420" s="98">
        <v>1710</v>
      </c>
      <c r="E4420" s="157">
        <v>41463.440972222219</v>
      </c>
      <c r="F4420" s="157">
        <v>41463.9375</v>
      </c>
      <c r="G4420" s="98">
        <v>509</v>
      </c>
      <c r="H4420" s="98">
        <v>521</v>
      </c>
      <c r="I4420" s="98">
        <v>482</v>
      </c>
      <c r="J4420" s="98" t="s">
        <v>2020</v>
      </c>
      <c r="K4420" s="98" t="s">
        <v>718</v>
      </c>
      <c r="L4420" s="105" t="str">
        <f t="shared" si="720"/>
        <v>Mill Creek</v>
      </c>
      <c r="M4420" s="105" t="str">
        <f t="shared" si="721"/>
        <v>Derate</v>
      </c>
      <c r="N4420" s="105" t="str">
        <f t="shared" si="722"/>
        <v>Coal</v>
      </c>
      <c r="O4420" s="105">
        <f>IFERROR(VLOOKUP(A4420,Lookup!$J$5:$P$19,7,FALSE),0)</f>
        <v>3</v>
      </c>
      <c r="P4420" s="159">
        <f t="shared" si="723"/>
        <v>2013</v>
      </c>
      <c r="Q4420" s="159">
        <f t="shared" si="724"/>
        <v>7</v>
      </c>
      <c r="R4420" s="160">
        <f t="shared" si="725"/>
        <v>11.916666666744277</v>
      </c>
      <c r="S4420" s="158">
        <f t="shared" si="726"/>
        <v>0.27447216890773768</v>
      </c>
      <c r="T4420" s="161">
        <f t="shared" si="727"/>
        <v>132.29558541352955</v>
      </c>
      <c r="U4420" s="158">
        <f t="shared" si="729"/>
        <v>11.101727447216891</v>
      </c>
      <c r="V4420" s="160">
        <f t="shared" si="728"/>
        <v>11</v>
      </c>
    </row>
    <row r="4421" spans="1:22" x14ac:dyDescent="0.25">
      <c r="A4421" s="98" t="s">
        <v>25</v>
      </c>
      <c r="B4421" s="98" t="s">
        <v>105</v>
      </c>
      <c r="C4421" s="98">
        <v>113</v>
      </c>
      <c r="D4421" s="98">
        <v>250</v>
      </c>
      <c r="E4421" s="157">
        <v>41463.9375</v>
      </c>
      <c r="F4421" s="157">
        <v>41464.128472222219</v>
      </c>
      <c r="G4421" s="98">
        <v>425</v>
      </c>
      <c r="H4421" s="98">
        <v>521</v>
      </c>
      <c r="I4421" s="98">
        <v>482</v>
      </c>
      <c r="J4421" s="98" t="s">
        <v>1978</v>
      </c>
      <c r="K4421" s="98" t="s">
        <v>253</v>
      </c>
      <c r="L4421" s="105" t="str">
        <f t="shared" si="720"/>
        <v>Mill Creek</v>
      </c>
      <c r="M4421" s="105" t="str">
        <f t="shared" si="721"/>
        <v>Derate</v>
      </c>
      <c r="N4421" s="105" t="str">
        <f t="shared" si="722"/>
        <v>Coal</v>
      </c>
      <c r="O4421" s="105">
        <f>IFERROR(VLOOKUP(A4421,Lookup!$J$5:$P$19,7,FALSE),0)</f>
        <v>3</v>
      </c>
      <c r="P4421" s="159">
        <f t="shared" si="723"/>
        <v>2013</v>
      </c>
      <c r="Q4421" s="159">
        <f t="shared" si="724"/>
        <v>7</v>
      </c>
      <c r="R4421" s="160">
        <f t="shared" si="725"/>
        <v>4.5833333332557231</v>
      </c>
      <c r="S4421" s="158">
        <f t="shared" si="726"/>
        <v>0.8445297504655459</v>
      </c>
      <c r="T4421" s="161">
        <f t="shared" si="727"/>
        <v>407.06333972439313</v>
      </c>
      <c r="U4421" s="158">
        <f t="shared" si="729"/>
        <v>88.813819577735131</v>
      </c>
      <c r="V4421" s="160">
        <f t="shared" si="728"/>
        <v>89</v>
      </c>
    </row>
    <row r="4422" spans="1:22" x14ac:dyDescent="0.25">
      <c r="A4422" s="98" t="s">
        <v>25</v>
      </c>
      <c r="B4422" s="98" t="s">
        <v>17</v>
      </c>
      <c r="C4422" s="98">
        <v>114</v>
      </c>
      <c r="D4422" s="98">
        <v>1710</v>
      </c>
      <c r="E4422" s="157">
        <v>41464.408333333333</v>
      </c>
      <c r="F4422" s="157">
        <v>41464.508333333331</v>
      </c>
      <c r="G4422" s="98">
        <v>511</v>
      </c>
      <c r="H4422" s="98">
        <v>521</v>
      </c>
      <c r="I4422" s="98">
        <v>482</v>
      </c>
      <c r="J4422" s="98" t="s">
        <v>2020</v>
      </c>
      <c r="K4422" s="98" t="s">
        <v>718</v>
      </c>
      <c r="L4422" s="105" t="str">
        <f t="shared" si="720"/>
        <v>Mill Creek</v>
      </c>
      <c r="M4422" s="105" t="str">
        <f t="shared" si="721"/>
        <v>Derate</v>
      </c>
      <c r="N4422" s="105" t="str">
        <f t="shared" si="722"/>
        <v>Coal</v>
      </c>
      <c r="O4422" s="105">
        <f>IFERROR(VLOOKUP(A4422,Lookup!$J$5:$P$19,7,FALSE),0)</f>
        <v>3</v>
      </c>
      <c r="P4422" s="159">
        <f t="shared" si="723"/>
        <v>2013</v>
      </c>
      <c r="Q4422" s="159">
        <f t="shared" si="724"/>
        <v>7</v>
      </c>
      <c r="R4422" s="160">
        <f t="shared" si="725"/>
        <v>2.3999999999650754</v>
      </c>
      <c r="S4422" s="158">
        <f t="shared" si="726"/>
        <v>4.6065259116412197E-2</v>
      </c>
      <c r="T4422" s="161">
        <f t="shared" si="727"/>
        <v>22.203454894110678</v>
      </c>
      <c r="U4422" s="158">
        <f t="shared" si="729"/>
        <v>9.2514395393474089</v>
      </c>
      <c r="V4422" s="160">
        <f t="shared" si="728"/>
        <v>9</v>
      </c>
    </row>
    <row r="4423" spans="1:22" x14ac:dyDescent="0.25">
      <c r="A4423" s="98" t="s">
        <v>25</v>
      </c>
      <c r="B4423" s="98" t="s">
        <v>17</v>
      </c>
      <c r="C4423" s="98">
        <v>115</v>
      </c>
      <c r="D4423" s="98">
        <v>3149</v>
      </c>
      <c r="E4423" s="157">
        <v>41464.508333333331</v>
      </c>
      <c r="F4423" s="157">
        <v>41464.958333333336</v>
      </c>
      <c r="G4423" s="98">
        <v>500</v>
      </c>
      <c r="H4423" s="98">
        <v>521</v>
      </c>
      <c r="I4423" s="98">
        <v>482</v>
      </c>
      <c r="J4423" s="98" t="s">
        <v>2034</v>
      </c>
      <c r="K4423" s="98" t="s">
        <v>40</v>
      </c>
      <c r="L4423" s="105" t="str">
        <f t="shared" si="720"/>
        <v>Mill Creek</v>
      </c>
      <c r="M4423" s="105" t="str">
        <f t="shared" si="721"/>
        <v>Derate</v>
      </c>
      <c r="N4423" s="105" t="str">
        <f t="shared" si="722"/>
        <v>Coal</v>
      </c>
      <c r="O4423" s="105">
        <f>IFERROR(VLOOKUP(A4423,Lookup!$J$5:$P$19,7,FALSE),0)</f>
        <v>3</v>
      </c>
      <c r="P4423" s="159">
        <f t="shared" si="723"/>
        <v>2013</v>
      </c>
      <c r="Q4423" s="159">
        <f t="shared" si="724"/>
        <v>7</v>
      </c>
      <c r="R4423" s="160">
        <f t="shared" si="725"/>
        <v>10.800000000104774</v>
      </c>
      <c r="S4423" s="158">
        <f t="shared" si="726"/>
        <v>0.43531669866065309</v>
      </c>
      <c r="T4423" s="161">
        <f t="shared" si="727"/>
        <v>209.82264875443479</v>
      </c>
      <c r="U4423" s="158">
        <f t="shared" si="729"/>
        <v>19.428023032629557</v>
      </c>
      <c r="V4423" s="160">
        <f t="shared" si="728"/>
        <v>19</v>
      </c>
    </row>
    <row r="4424" spans="1:22" x14ac:dyDescent="0.25">
      <c r="A4424" s="98" t="s">
        <v>25</v>
      </c>
      <c r="B4424" s="98" t="s">
        <v>105</v>
      </c>
      <c r="C4424" s="98">
        <v>116</v>
      </c>
      <c r="D4424" s="98">
        <v>250</v>
      </c>
      <c r="E4424" s="157">
        <v>41464.958333333336</v>
      </c>
      <c r="F4424" s="157">
        <v>41465.174305555556</v>
      </c>
      <c r="G4424" s="98">
        <v>425</v>
      </c>
      <c r="H4424" s="98">
        <v>521</v>
      </c>
      <c r="I4424" s="98">
        <v>482</v>
      </c>
      <c r="J4424" s="98" t="s">
        <v>1978</v>
      </c>
      <c r="K4424" s="98" t="s">
        <v>251</v>
      </c>
      <c r="L4424" s="105" t="str">
        <f t="shared" si="720"/>
        <v>Mill Creek</v>
      </c>
      <c r="M4424" s="105" t="str">
        <f t="shared" si="721"/>
        <v>Derate</v>
      </c>
      <c r="N4424" s="105" t="str">
        <f t="shared" si="722"/>
        <v>Coal</v>
      </c>
      <c r="O4424" s="105">
        <f>IFERROR(VLOOKUP(A4424,Lookup!$J$5:$P$19,7,FALSE),0)</f>
        <v>3</v>
      </c>
      <c r="P4424" s="159">
        <f t="shared" si="723"/>
        <v>2013</v>
      </c>
      <c r="Q4424" s="159">
        <f t="shared" si="724"/>
        <v>7</v>
      </c>
      <c r="R4424" s="160">
        <f t="shared" si="725"/>
        <v>5.1833333332906477</v>
      </c>
      <c r="S4424" s="158">
        <f t="shared" si="726"/>
        <v>0.95508637235297922</v>
      </c>
      <c r="T4424" s="161">
        <f t="shared" si="727"/>
        <v>460.35163147413596</v>
      </c>
      <c r="U4424" s="158">
        <f t="shared" si="729"/>
        <v>88.813819577735131</v>
      </c>
      <c r="V4424" s="160">
        <f t="shared" si="728"/>
        <v>89</v>
      </c>
    </row>
    <row r="4425" spans="1:22" x14ac:dyDescent="0.25">
      <c r="A4425" s="98" t="s">
        <v>25</v>
      </c>
      <c r="B4425" s="98" t="s">
        <v>17</v>
      </c>
      <c r="C4425" s="98">
        <v>117</v>
      </c>
      <c r="D4425" s="98">
        <v>310</v>
      </c>
      <c r="E4425" s="157">
        <v>41465.174305555556</v>
      </c>
      <c r="F4425" s="157">
        <v>41465.979166666664</v>
      </c>
      <c r="G4425" s="98">
        <v>425</v>
      </c>
      <c r="H4425" s="98">
        <v>521</v>
      </c>
      <c r="I4425" s="98">
        <v>482</v>
      </c>
      <c r="J4425" s="98" t="s">
        <v>1966</v>
      </c>
      <c r="K4425" s="98" t="s">
        <v>733</v>
      </c>
      <c r="L4425" s="105" t="str">
        <f t="shared" si="720"/>
        <v>Mill Creek</v>
      </c>
      <c r="M4425" s="105" t="str">
        <f t="shared" si="721"/>
        <v>Derate</v>
      </c>
      <c r="N4425" s="105" t="str">
        <f t="shared" si="722"/>
        <v>Coal</v>
      </c>
      <c r="O4425" s="105">
        <f>IFERROR(VLOOKUP(A4425,Lookup!$J$5:$P$19,7,FALSE),0)</f>
        <v>3</v>
      </c>
      <c r="P4425" s="159">
        <f t="shared" si="723"/>
        <v>2013</v>
      </c>
      <c r="Q4425" s="159">
        <f t="shared" si="724"/>
        <v>7</v>
      </c>
      <c r="R4425" s="160">
        <f t="shared" si="725"/>
        <v>19.316666666592937</v>
      </c>
      <c r="S4425" s="158">
        <f t="shared" si="726"/>
        <v>3.5593090210996583</v>
      </c>
      <c r="T4425" s="161">
        <f t="shared" si="727"/>
        <v>1715.5869481700354</v>
      </c>
      <c r="U4425" s="158">
        <f t="shared" si="729"/>
        <v>88.813819577735131</v>
      </c>
      <c r="V4425" s="160">
        <f t="shared" si="728"/>
        <v>89</v>
      </c>
    </row>
    <row r="4426" spans="1:22" x14ac:dyDescent="0.25">
      <c r="A4426" s="98" t="s">
        <v>25</v>
      </c>
      <c r="B4426" s="98" t="s">
        <v>105</v>
      </c>
      <c r="C4426" s="98">
        <v>118</v>
      </c>
      <c r="D4426" s="98">
        <v>3662</v>
      </c>
      <c r="E4426" s="157">
        <v>41465.979166666664</v>
      </c>
      <c r="F4426" s="157">
        <v>41466.317361111112</v>
      </c>
      <c r="G4426" s="98">
        <v>180</v>
      </c>
      <c r="H4426" s="98">
        <v>521</v>
      </c>
      <c r="I4426" s="98">
        <v>482</v>
      </c>
      <c r="J4426" s="98" t="s">
        <v>2166</v>
      </c>
      <c r="K4426" s="98" t="s">
        <v>734</v>
      </c>
      <c r="L4426" s="105" t="str">
        <f t="shared" si="720"/>
        <v>Mill Creek</v>
      </c>
      <c r="M4426" s="105" t="str">
        <f t="shared" si="721"/>
        <v>Derate</v>
      </c>
      <c r="N4426" s="105" t="str">
        <f t="shared" si="722"/>
        <v>Coal</v>
      </c>
      <c r="O4426" s="105">
        <f>IFERROR(VLOOKUP(A4426,Lookup!$J$5:$P$19,7,FALSE),0)</f>
        <v>3</v>
      </c>
      <c r="P4426" s="159">
        <f t="shared" si="723"/>
        <v>2013</v>
      </c>
      <c r="Q4426" s="159">
        <f t="shared" si="724"/>
        <v>7</v>
      </c>
      <c r="R4426" s="160">
        <f t="shared" si="725"/>
        <v>8.1166666667559184</v>
      </c>
      <c r="S4426" s="158">
        <f t="shared" si="726"/>
        <v>5.312444017972684</v>
      </c>
      <c r="T4426" s="161">
        <f t="shared" si="727"/>
        <v>2560.5980166628337</v>
      </c>
      <c r="U4426" s="158">
        <f t="shared" si="729"/>
        <v>315.47408829174663</v>
      </c>
      <c r="V4426" s="160">
        <f t="shared" si="728"/>
        <v>315</v>
      </c>
    </row>
    <row r="4427" spans="1:22" x14ac:dyDescent="0.25">
      <c r="A4427" s="98" t="s">
        <v>25</v>
      </c>
      <c r="B4427" s="98" t="s">
        <v>17</v>
      </c>
      <c r="C4427" s="98">
        <v>119</v>
      </c>
      <c r="D4427" s="98">
        <v>1710</v>
      </c>
      <c r="E4427" s="157">
        <v>41466.555555555555</v>
      </c>
      <c r="F4427" s="157">
        <v>41468.706944444442</v>
      </c>
      <c r="G4427" s="98">
        <v>505</v>
      </c>
      <c r="H4427" s="98">
        <v>521</v>
      </c>
      <c r="I4427" s="98">
        <v>482</v>
      </c>
      <c r="J4427" s="98" t="s">
        <v>2020</v>
      </c>
      <c r="K4427" s="98" t="s">
        <v>718</v>
      </c>
      <c r="L4427" s="105" t="str">
        <f t="shared" si="720"/>
        <v>Mill Creek</v>
      </c>
      <c r="M4427" s="105" t="str">
        <f t="shared" si="721"/>
        <v>Derate</v>
      </c>
      <c r="N4427" s="105" t="str">
        <f t="shared" si="722"/>
        <v>Coal</v>
      </c>
      <c r="O4427" s="105">
        <f>IFERROR(VLOOKUP(A4427,Lookup!$J$5:$P$19,7,FALSE),0)</f>
        <v>3</v>
      </c>
      <c r="P4427" s="159">
        <f t="shared" si="723"/>
        <v>2013</v>
      </c>
      <c r="Q4427" s="159">
        <f t="shared" si="724"/>
        <v>7</v>
      </c>
      <c r="R4427" s="160">
        <f t="shared" si="725"/>
        <v>51.633333333302289</v>
      </c>
      <c r="S4427" s="158">
        <f t="shared" si="726"/>
        <v>1.5856685860515098</v>
      </c>
      <c r="T4427" s="161">
        <f t="shared" si="727"/>
        <v>764.29225847682778</v>
      </c>
      <c r="U4427" s="158">
        <f t="shared" si="729"/>
        <v>14.802303262955855</v>
      </c>
      <c r="V4427" s="160">
        <f t="shared" si="728"/>
        <v>15</v>
      </c>
    </row>
    <row r="4428" spans="1:22" x14ac:dyDescent="0.25">
      <c r="A4428" s="98" t="s">
        <v>25</v>
      </c>
      <c r="B4428" s="98" t="s">
        <v>17</v>
      </c>
      <c r="C4428" s="98">
        <v>120</v>
      </c>
      <c r="D4428" s="98">
        <v>1710</v>
      </c>
      <c r="E4428" s="157">
        <v>41468.706944444442</v>
      </c>
      <c r="F4428" s="157">
        <v>41469.861111111109</v>
      </c>
      <c r="G4428" s="98">
        <v>515</v>
      </c>
      <c r="H4428" s="98">
        <v>521</v>
      </c>
      <c r="I4428" s="98">
        <v>482</v>
      </c>
      <c r="J4428" s="98" t="s">
        <v>2020</v>
      </c>
      <c r="K4428" s="98" t="s">
        <v>718</v>
      </c>
      <c r="L4428" s="105" t="str">
        <f t="shared" si="720"/>
        <v>Mill Creek</v>
      </c>
      <c r="M4428" s="105" t="str">
        <f t="shared" si="721"/>
        <v>Derate</v>
      </c>
      <c r="N4428" s="105" t="str">
        <f t="shared" si="722"/>
        <v>Coal</v>
      </c>
      <c r="O4428" s="105">
        <f>IFERROR(VLOOKUP(A4428,Lookup!$J$5:$P$19,7,FALSE),0)</f>
        <v>3</v>
      </c>
      <c r="P4428" s="159">
        <f t="shared" si="723"/>
        <v>2013</v>
      </c>
      <c r="Q4428" s="159">
        <f t="shared" si="724"/>
        <v>7</v>
      </c>
      <c r="R4428" s="160">
        <f t="shared" si="725"/>
        <v>27.700000000011642</v>
      </c>
      <c r="S4428" s="158">
        <f t="shared" si="726"/>
        <v>0.31900191938593059</v>
      </c>
      <c r="T4428" s="161">
        <f t="shared" si="727"/>
        <v>153.75892514401855</v>
      </c>
      <c r="U4428" s="158">
        <f t="shared" si="729"/>
        <v>5.5508637236084457</v>
      </c>
      <c r="V4428" s="160">
        <f t="shared" si="728"/>
        <v>6</v>
      </c>
    </row>
    <row r="4429" spans="1:22" x14ac:dyDescent="0.25">
      <c r="A4429" s="98" t="s">
        <v>25</v>
      </c>
      <c r="B4429" s="98" t="s">
        <v>17</v>
      </c>
      <c r="C4429" s="98">
        <v>121</v>
      </c>
      <c r="D4429" s="98">
        <v>1710</v>
      </c>
      <c r="E4429" s="157">
        <v>41469.861111111109</v>
      </c>
      <c r="F4429" s="157">
        <v>41471.460416666669</v>
      </c>
      <c r="G4429" s="98">
        <v>510</v>
      </c>
      <c r="H4429" s="98">
        <v>521</v>
      </c>
      <c r="I4429" s="98">
        <v>482</v>
      </c>
      <c r="J4429" s="98" t="s">
        <v>2020</v>
      </c>
      <c r="K4429" s="98" t="s">
        <v>718</v>
      </c>
      <c r="L4429" s="105" t="str">
        <f t="shared" si="720"/>
        <v>Mill Creek</v>
      </c>
      <c r="M4429" s="105" t="str">
        <f t="shared" si="721"/>
        <v>Derate</v>
      </c>
      <c r="N4429" s="105" t="str">
        <f t="shared" si="722"/>
        <v>Coal</v>
      </c>
      <c r="O4429" s="105">
        <f>IFERROR(VLOOKUP(A4429,Lookup!$J$5:$P$19,7,FALSE),0)</f>
        <v>3</v>
      </c>
      <c r="P4429" s="159">
        <f t="shared" si="723"/>
        <v>2013</v>
      </c>
      <c r="Q4429" s="159">
        <f t="shared" si="724"/>
        <v>7</v>
      </c>
      <c r="R4429" s="160">
        <f t="shared" si="725"/>
        <v>38.383333333418705</v>
      </c>
      <c r="S4429" s="158">
        <f t="shared" si="726"/>
        <v>0.81039667306642182</v>
      </c>
      <c r="T4429" s="161">
        <f t="shared" si="727"/>
        <v>390.61119641801531</v>
      </c>
      <c r="U4429" s="158">
        <f t="shared" si="729"/>
        <v>10.17658349328215</v>
      </c>
      <c r="V4429" s="160">
        <f t="shared" si="728"/>
        <v>10</v>
      </c>
    </row>
    <row r="4430" spans="1:22" x14ac:dyDescent="0.25">
      <c r="A4430" s="98" t="s">
        <v>25</v>
      </c>
      <c r="B4430" s="98" t="s">
        <v>105</v>
      </c>
      <c r="C4430" s="98">
        <v>122</v>
      </c>
      <c r="D4430" s="98">
        <v>250</v>
      </c>
      <c r="E4430" s="157">
        <v>41470.958333333336</v>
      </c>
      <c r="F4430" s="157">
        <v>41471.162499999999</v>
      </c>
      <c r="G4430" s="98">
        <v>425</v>
      </c>
      <c r="H4430" s="98">
        <v>521</v>
      </c>
      <c r="I4430" s="98">
        <v>482</v>
      </c>
      <c r="J4430" s="98" t="s">
        <v>1978</v>
      </c>
      <c r="K4430" s="98" t="s">
        <v>1622</v>
      </c>
      <c r="L4430" s="105" t="str">
        <f t="shared" si="720"/>
        <v>Mill Creek</v>
      </c>
      <c r="M4430" s="105" t="str">
        <f t="shared" si="721"/>
        <v>Derate</v>
      </c>
      <c r="N4430" s="105" t="str">
        <f t="shared" si="722"/>
        <v>Coal</v>
      </c>
      <c r="O4430" s="105">
        <f>IFERROR(VLOOKUP(A4430,Lookup!$J$5:$P$19,7,FALSE),0)</f>
        <v>3</v>
      </c>
      <c r="P4430" s="159">
        <f t="shared" si="723"/>
        <v>2013</v>
      </c>
      <c r="Q4430" s="159">
        <f t="shared" si="724"/>
        <v>7</v>
      </c>
      <c r="R4430" s="160">
        <f t="shared" si="725"/>
        <v>4.8999999999068677</v>
      </c>
      <c r="S4430" s="158">
        <f t="shared" si="726"/>
        <v>0.90287907867765704</v>
      </c>
      <c r="T4430" s="161">
        <f t="shared" si="727"/>
        <v>435.18771592263067</v>
      </c>
      <c r="U4430" s="158">
        <f t="shared" si="729"/>
        <v>88.813819577735131</v>
      </c>
      <c r="V4430" s="160">
        <f t="shared" si="728"/>
        <v>89</v>
      </c>
    </row>
    <row r="4431" spans="1:22" x14ac:dyDescent="0.25">
      <c r="A4431" s="98" t="s">
        <v>25</v>
      </c>
      <c r="B4431" s="98" t="s">
        <v>17</v>
      </c>
      <c r="C4431" s="98">
        <v>123</v>
      </c>
      <c r="D4431" s="98">
        <v>1710</v>
      </c>
      <c r="E4431" s="157">
        <v>41471.460416666669</v>
      </c>
      <c r="F4431" s="157">
        <v>41473.25</v>
      </c>
      <c r="G4431" s="98">
        <v>504</v>
      </c>
      <c r="H4431" s="98">
        <v>521</v>
      </c>
      <c r="I4431" s="98">
        <v>482</v>
      </c>
      <c r="J4431" s="98" t="s">
        <v>2020</v>
      </c>
      <c r="K4431" s="98" t="s">
        <v>718</v>
      </c>
      <c r="L4431" s="105" t="str">
        <f t="shared" si="720"/>
        <v>Mill Creek</v>
      </c>
      <c r="M4431" s="105" t="str">
        <f t="shared" si="721"/>
        <v>Derate</v>
      </c>
      <c r="N4431" s="105" t="str">
        <f t="shared" si="722"/>
        <v>Coal</v>
      </c>
      <c r="O4431" s="105">
        <f>IFERROR(VLOOKUP(A4431,Lookup!$J$5:$P$19,7,FALSE),0)</f>
        <v>3</v>
      </c>
      <c r="P4431" s="159">
        <f t="shared" si="723"/>
        <v>2013</v>
      </c>
      <c r="Q4431" s="159">
        <f t="shared" si="724"/>
        <v>7</v>
      </c>
      <c r="R4431" s="160">
        <f t="shared" si="725"/>
        <v>42.949999999953434</v>
      </c>
      <c r="S4431" s="158">
        <f t="shared" si="726"/>
        <v>1.4014395393458894</v>
      </c>
      <c r="T4431" s="161">
        <f t="shared" si="727"/>
        <v>675.4938579647187</v>
      </c>
      <c r="U4431" s="158">
        <f t="shared" si="729"/>
        <v>15.727447216890596</v>
      </c>
      <c r="V4431" s="160">
        <f t="shared" si="728"/>
        <v>16</v>
      </c>
    </row>
    <row r="4432" spans="1:22" x14ac:dyDescent="0.25">
      <c r="A4432" s="98" t="s">
        <v>25</v>
      </c>
      <c r="B4432" s="98" t="s">
        <v>17</v>
      </c>
      <c r="C4432" s="98">
        <v>124</v>
      </c>
      <c r="D4432" s="98">
        <v>1710</v>
      </c>
      <c r="E4432" s="157">
        <v>41473.25</v>
      </c>
      <c r="F4432" s="157">
        <v>41473.412499999999</v>
      </c>
      <c r="G4432" s="98">
        <v>510</v>
      </c>
      <c r="H4432" s="98">
        <v>521</v>
      </c>
      <c r="I4432" s="98">
        <v>482</v>
      </c>
      <c r="J4432" s="98" t="s">
        <v>2020</v>
      </c>
      <c r="K4432" s="98" t="s">
        <v>718</v>
      </c>
      <c r="L4432" s="105" t="str">
        <f t="shared" si="720"/>
        <v>Mill Creek</v>
      </c>
      <c r="M4432" s="105" t="str">
        <f t="shared" si="721"/>
        <v>Derate</v>
      </c>
      <c r="N4432" s="105" t="str">
        <f t="shared" si="722"/>
        <v>Coal</v>
      </c>
      <c r="O4432" s="105">
        <f>IFERROR(VLOOKUP(A4432,Lookup!$J$5:$P$19,7,FALSE),0)</f>
        <v>3</v>
      </c>
      <c r="P4432" s="159">
        <f t="shared" si="723"/>
        <v>2013</v>
      </c>
      <c r="Q4432" s="159">
        <f t="shared" si="724"/>
        <v>7</v>
      </c>
      <c r="R4432" s="160">
        <f t="shared" si="725"/>
        <v>3.8999999999650754</v>
      </c>
      <c r="S4432" s="158">
        <f t="shared" si="726"/>
        <v>8.234165067104765E-2</v>
      </c>
      <c r="T4432" s="161">
        <f t="shared" si="727"/>
        <v>39.688675623444965</v>
      </c>
      <c r="U4432" s="158">
        <f t="shared" si="729"/>
        <v>10.17658349328215</v>
      </c>
      <c r="V4432" s="160">
        <f t="shared" si="728"/>
        <v>10</v>
      </c>
    </row>
    <row r="4433" spans="1:22" x14ac:dyDescent="0.25">
      <c r="A4433" s="98" t="s">
        <v>25</v>
      </c>
      <c r="B4433" s="98" t="s">
        <v>17</v>
      </c>
      <c r="C4433" s="98">
        <v>125</v>
      </c>
      <c r="D4433" s="98">
        <v>1710</v>
      </c>
      <c r="E4433" s="157">
        <v>41473.412499999999</v>
      </c>
      <c r="F4433" s="157">
        <v>41474.367361111108</v>
      </c>
      <c r="G4433" s="98">
        <v>506</v>
      </c>
      <c r="H4433" s="98">
        <v>521</v>
      </c>
      <c r="I4433" s="98">
        <v>482</v>
      </c>
      <c r="J4433" s="98" t="s">
        <v>2020</v>
      </c>
      <c r="K4433" s="98" t="s">
        <v>718</v>
      </c>
      <c r="L4433" s="105" t="str">
        <f t="shared" si="720"/>
        <v>Mill Creek</v>
      </c>
      <c r="M4433" s="105" t="str">
        <f t="shared" si="721"/>
        <v>Derate</v>
      </c>
      <c r="N4433" s="105" t="str">
        <f t="shared" si="722"/>
        <v>Coal</v>
      </c>
      <c r="O4433" s="105">
        <f>IFERROR(VLOOKUP(A4433,Lookup!$J$5:$P$19,7,FALSE),0)</f>
        <v>3</v>
      </c>
      <c r="P4433" s="159">
        <f t="shared" si="723"/>
        <v>2013</v>
      </c>
      <c r="Q4433" s="159">
        <f t="shared" si="724"/>
        <v>7</v>
      </c>
      <c r="R4433" s="160">
        <f t="shared" si="725"/>
        <v>22.916666666627862</v>
      </c>
      <c r="S4433" s="158">
        <f t="shared" si="726"/>
        <v>0.65978886756126276</v>
      </c>
      <c r="T4433" s="161">
        <f t="shared" si="727"/>
        <v>318.01823416452868</v>
      </c>
      <c r="U4433" s="158">
        <f t="shared" si="729"/>
        <v>13.877159309021113</v>
      </c>
      <c r="V4433" s="160">
        <f t="shared" si="728"/>
        <v>14</v>
      </c>
    </row>
    <row r="4434" spans="1:22" x14ac:dyDescent="0.25">
      <c r="A4434" s="98" t="s">
        <v>25</v>
      </c>
      <c r="B4434" s="98" t="s">
        <v>17</v>
      </c>
      <c r="C4434" s="98">
        <v>126</v>
      </c>
      <c r="D4434" s="98">
        <v>1710</v>
      </c>
      <c r="E4434" s="157">
        <v>41474.448611111111</v>
      </c>
      <c r="F4434" s="157">
        <v>41477.84375</v>
      </c>
      <c r="G4434" s="98">
        <v>512</v>
      </c>
      <c r="H4434" s="98">
        <v>521</v>
      </c>
      <c r="I4434" s="98">
        <v>482</v>
      </c>
      <c r="J4434" s="98" t="s">
        <v>2020</v>
      </c>
      <c r="K4434" s="98" t="s">
        <v>718</v>
      </c>
      <c r="L4434" s="105" t="str">
        <f t="shared" si="720"/>
        <v>Mill Creek</v>
      </c>
      <c r="M4434" s="105" t="str">
        <f t="shared" si="721"/>
        <v>Derate</v>
      </c>
      <c r="N4434" s="105" t="str">
        <f t="shared" si="722"/>
        <v>Coal</v>
      </c>
      <c r="O4434" s="105">
        <f>IFERROR(VLOOKUP(A4434,Lookup!$J$5:$P$19,7,FALSE),0)</f>
        <v>3</v>
      </c>
      <c r="P4434" s="159">
        <f t="shared" si="723"/>
        <v>2013</v>
      </c>
      <c r="Q4434" s="159">
        <f t="shared" si="724"/>
        <v>7</v>
      </c>
      <c r="R4434" s="160">
        <f t="shared" si="725"/>
        <v>81.483333333337214</v>
      </c>
      <c r="S4434" s="158">
        <f t="shared" si="726"/>
        <v>1.4075815738964201</v>
      </c>
      <c r="T4434" s="161">
        <f t="shared" si="727"/>
        <v>678.45431861807447</v>
      </c>
      <c r="U4434" s="158">
        <f t="shared" si="729"/>
        <v>8.3262955854126677</v>
      </c>
      <c r="V4434" s="160">
        <f t="shared" si="728"/>
        <v>8</v>
      </c>
    </row>
    <row r="4435" spans="1:22" x14ac:dyDescent="0.25">
      <c r="A4435" s="98" t="s">
        <v>25</v>
      </c>
      <c r="B4435" s="98" t="s">
        <v>105</v>
      </c>
      <c r="C4435" s="98">
        <v>127</v>
      </c>
      <c r="D4435" s="98">
        <v>260</v>
      </c>
      <c r="E4435" s="162">
        <v>41477.916666666664</v>
      </c>
      <c r="F4435" s="157">
        <v>41478.138888888891</v>
      </c>
      <c r="G4435" s="98">
        <v>425</v>
      </c>
      <c r="H4435" s="98">
        <v>521</v>
      </c>
      <c r="I4435" s="98">
        <v>482</v>
      </c>
      <c r="J4435" s="98" t="s">
        <v>1973</v>
      </c>
      <c r="K4435" s="98" t="s">
        <v>1623</v>
      </c>
      <c r="L4435" s="105" t="str">
        <f t="shared" si="720"/>
        <v>Mill Creek</v>
      </c>
      <c r="M4435" s="105" t="str">
        <f t="shared" si="721"/>
        <v>Derate</v>
      </c>
      <c r="N4435" s="105" t="str">
        <f t="shared" si="722"/>
        <v>Coal</v>
      </c>
      <c r="O4435" s="105">
        <f>IFERROR(VLOOKUP(A4435,Lookup!$J$5:$P$19,7,FALSE),0)</f>
        <v>3</v>
      </c>
      <c r="P4435" s="159">
        <f t="shared" si="723"/>
        <v>2013</v>
      </c>
      <c r="Q4435" s="159">
        <f t="shared" si="724"/>
        <v>7</v>
      </c>
      <c r="R4435" s="160">
        <f t="shared" si="725"/>
        <v>5.3333333334303461</v>
      </c>
      <c r="S4435" s="158">
        <f t="shared" si="726"/>
        <v>0.98272552784896972</v>
      </c>
      <c r="T4435" s="161">
        <f t="shared" si="727"/>
        <v>473.67370442320339</v>
      </c>
      <c r="U4435" s="158">
        <f t="shared" si="729"/>
        <v>88.813819577735131</v>
      </c>
      <c r="V4435" s="160">
        <f t="shared" si="728"/>
        <v>89</v>
      </c>
    </row>
    <row r="4436" spans="1:22" x14ac:dyDescent="0.25">
      <c r="A4436" s="98" t="s">
        <v>25</v>
      </c>
      <c r="B4436" s="98" t="s">
        <v>17</v>
      </c>
      <c r="C4436" s="98">
        <v>128</v>
      </c>
      <c r="D4436" s="98">
        <v>385</v>
      </c>
      <c r="E4436" s="157">
        <v>41478.427083333336</v>
      </c>
      <c r="F4436" s="157">
        <v>41478.438888888886</v>
      </c>
      <c r="G4436" s="98">
        <v>440</v>
      </c>
      <c r="H4436" s="98">
        <v>521</v>
      </c>
      <c r="I4436" s="98">
        <v>482</v>
      </c>
      <c r="J4436" s="98" t="s">
        <v>228</v>
      </c>
      <c r="K4436" s="98" t="s">
        <v>1624</v>
      </c>
      <c r="L4436" s="105" t="str">
        <f t="shared" si="720"/>
        <v>Mill Creek</v>
      </c>
      <c r="M4436" s="105" t="str">
        <f t="shared" si="721"/>
        <v>Derate</v>
      </c>
      <c r="N4436" s="105" t="str">
        <f t="shared" si="722"/>
        <v>Coal</v>
      </c>
      <c r="O4436" s="105">
        <f>IFERROR(VLOOKUP(A4436,Lookup!$J$5:$P$19,7,FALSE),0)</f>
        <v>3</v>
      </c>
      <c r="P4436" s="159">
        <f t="shared" si="723"/>
        <v>2013</v>
      </c>
      <c r="Q4436" s="159">
        <f t="shared" si="724"/>
        <v>7</v>
      </c>
      <c r="R4436" s="160">
        <f t="shared" si="725"/>
        <v>0.28333333320915699</v>
      </c>
      <c r="S4436" s="158">
        <f t="shared" si="726"/>
        <v>4.4049904011404448E-2</v>
      </c>
      <c r="T4436" s="161">
        <f t="shared" si="727"/>
        <v>21.232053733496944</v>
      </c>
      <c r="U4436" s="158">
        <f t="shared" si="729"/>
        <v>74.936660268714007</v>
      </c>
      <c r="V4436" s="160">
        <f t="shared" si="728"/>
        <v>75</v>
      </c>
    </row>
    <row r="4437" spans="1:22" x14ac:dyDescent="0.25">
      <c r="A4437" s="98" t="s">
        <v>25</v>
      </c>
      <c r="B4437" s="98" t="s">
        <v>17</v>
      </c>
      <c r="C4437" s="98">
        <v>129</v>
      </c>
      <c r="D4437" s="98">
        <v>1710</v>
      </c>
      <c r="E4437" s="157">
        <v>41478.527777777781</v>
      </c>
      <c r="F4437" s="157">
        <v>41483.720833333333</v>
      </c>
      <c r="G4437" s="98">
        <v>514</v>
      </c>
      <c r="H4437" s="98">
        <v>521</v>
      </c>
      <c r="I4437" s="98">
        <v>482</v>
      </c>
      <c r="J4437" s="98" t="s">
        <v>2020</v>
      </c>
      <c r="K4437" s="98" t="s">
        <v>718</v>
      </c>
      <c r="L4437" s="105" t="str">
        <f t="shared" si="720"/>
        <v>Mill Creek</v>
      </c>
      <c r="M4437" s="105" t="str">
        <f t="shared" si="721"/>
        <v>Derate</v>
      </c>
      <c r="N4437" s="105" t="str">
        <f t="shared" si="722"/>
        <v>Coal</v>
      </c>
      <c r="O4437" s="105">
        <f>IFERROR(VLOOKUP(A4437,Lookup!$J$5:$P$19,7,FALSE),0)</f>
        <v>3</v>
      </c>
      <c r="P4437" s="159">
        <f t="shared" si="723"/>
        <v>2013</v>
      </c>
      <c r="Q4437" s="159">
        <f t="shared" si="724"/>
        <v>7</v>
      </c>
      <c r="R4437" s="160">
        <f t="shared" si="725"/>
        <v>124.63333333324408</v>
      </c>
      <c r="S4437" s="158">
        <f t="shared" si="726"/>
        <v>1.6745361484313024</v>
      </c>
      <c r="T4437" s="161">
        <f t="shared" si="727"/>
        <v>807.12642354388777</v>
      </c>
      <c r="U4437" s="158">
        <f t="shared" si="729"/>
        <v>6.4760076775431861</v>
      </c>
      <c r="V4437" s="160">
        <f t="shared" si="728"/>
        <v>6</v>
      </c>
    </row>
    <row r="4438" spans="1:22" x14ac:dyDescent="0.25">
      <c r="A4438" s="98" t="s">
        <v>25</v>
      </c>
      <c r="B4438" s="98" t="s">
        <v>79</v>
      </c>
      <c r="C4438" s="98">
        <v>130</v>
      </c>
      <c r="D4438" s="98">
        <v>9999</v>
      </c>
      <c r="E4438" s="157">
        <v>41487.357638888891</v>
      </c>
      <c r="F4438" s="157">
        <v>41487.548611111109</v>
      </c>
      <c r="G4438" s="98">
        <v>0</v>
      </c>
      <c r="H4438" s="98">
        <v>521</v>
      </c>
      <c r="I4438" s="98">
        <v>482</v>
      </c>
      <c r="J4438" s="98" t="s">
        <v>2261</v>
      </c>
      <c r="K4438" s="98" t="s">
        <v>1356</v>
      </c>
      <c r="L4438" s="105" t="str">
        <f t="shared" si="720"/>
        <v>Mill Creek</v>
      </c>
      <c r="M4438" s="105" t="str">
        <f t="shared" si="721"/>
        <v>Other</v>
      </c>
      <c r="N4438" s="105" t="str">
        <f t="shared" si="722"/>
        <v>Coal</v>
      </c>
      <c r="O4438" s="105">
        <f>IFERROR(VLOOKUP(A4438,Lookup!$J$5:$P$19,7,FALSE),0)</f>
        <v>3</v>
      </c>
      <c r="P4438" s="159">
        <f t="shared" si="723"/>
        <v>2013</v>
      </c>
      <c r="Q4438" s="159">
        <f t="shared" si="724"/>
        <v>8</v>
      </c>
      <c r="R4438" s="160">
        <f t="shared" si="725"/>
        <v>4.5833333332557231</v>
      </c>
      <c r="S4438" s="158">
        <f t="shared" si="726"/>
        <v>4.5833333332557231</v>
      </c>
      <c r="T4438" s="161">
        <f t="shared" si="727"/>
        <v>2209.1666666292585</v>
      </c>
      <c r="U4438" s="158">
        <f t="shared" si="729"/>
        <v>482</v>
      </c>
      <c r="V4438" s="160">
        <f t="shared" si="728"/>
        <v>482</v>
      </c>
    </row>
    <row r="4439" spans="1:22" x14ac:dyDescent="0.25">
      <c r="A4439" s="98" t="s">
        <v>25</v>
      </c>
      <c r="B4439" s="98" t="s">
        <v>17</v>
      </c>
      <c r="C4439" s="98">
        <v>131</v>
      </c>
      <c r="D4439" s="98">
        <v>310</v>
      </c>
      <c r="E4439" s="157">
        <v>41487.711805555555</v>
      </c>
      <c r="F4439" s="157">
        <v>41488.451388888891</v>
      </c>
      <c r="G4439" s="98">
        <v>430</v>
      </c>
      <c r="H4439" s="98">
        <v>521</v>
      </c>
      <c r="I4439" s="98">
        <v>482</v>
      </c>
      <c r="J4439" s="98" t="s">
        <v>1966</v>
      </c>
      <c r="K4439" s="98" t="s">
        <v>1625</v>
      </c>
      <c r="L4439" s="105" t="str">
        <f t="shared" si="720"/>
        <v>Mill Creek</v>
      </c>
      <c r="M4439" s="105" t="str">
        <f t="shared" si="721"/>
        <v>Derate</v>
      </c>
      <c r="N4439" s="105" t="str">
        <f t="shared" si="722"/>
        <v>Coal</v>
      </c>
      <c r="O4439" s="105">
        <f>IFERROR(VLOOKUP(A4439,Lookup!$J$5:$P$19,7,FALSE),0)</f>
        <v>3</v>
      </c>
      <c r="P4439" s="159">
        <f t="shared" si="723"/>
        <v>2013</v>
      </c>
      <c r="Q4439" s="159">
        <f t="shared" si="724"/>
        <v>8</v>
      </c>
      <c r="R4439" s="160">
        <f t="shared" si="725"/>
        <v>17.750000000058208</v>
      </c>
      <c r="S4439" s="158">
        <f t="shared" si="726"/>
        <v>3.1002879078796486</v>
      </c>
      <c r="T4439" s="161">
        <f t="shared" si="727"/>
        <v>1494.3387715979907</v>
      </c>
      <c r="U4439" s="158">
        <f t="shared" si="729"/>
        <v>84.188099808061423</v>
      </c>
      <c r="V4439" s="160">
        <f t="shared" si="728"/>
        <v>84</v>
      </c>
    </row>
    <row r="4440" spans="1:22" x14ac:dyDescent="0.25">
      <c r="A4440" s="98" t="s">
        <v>25</v>
      </c>
      <c r="B4440" s="98" t="s">
        <v>105</v>
      </c>
      <c r="C4440" s="98">
        <v>132</v>
      </c>
      <c r="D4440" s="98">
        <v>260</v>
      </c>
      <c r="E4440" s="157">
        <v>41490.8125</v>
      </c>
      <c r="F4440" s="157">
        <v>41491.116666666669</v>
      </c>
      <c r="G4440" s="98">
        <v>420</v>
      </c>
      <c r="H4440" s="98">
        <v>521</v>
      </c>
      <c r="I4440" s="98">
        <v>482</v>
      </c>
      <c r="J4440" s="98" t="s">
        <v>1973</v>
      </c>
      <c r="K4440" s="98" t="s">
        <v>1626</v>
      </c>
      <c r="L4440" s="105" t="str">
        <f t="shared" si="720"/>
        <v>Mill Creek</v>
      </c>
      <c r="M4440" s="105" t="str">
        <f t="shared" si="721"/>
        <v>Derate</v>
      </c>
      <c r="N4440" s="105" t="str">
        <f t="shared" si="722"/>
        <v>Coal</v>
      </c>
      <c r="O4440" s="105">
        <f>IFERROR(VLOOKUP(A4440,Lookup!$J$5:$P$19,7,FALSE),0)</f>
        <v>3</v>
      </c>
      <c r="P4440" s="159">
        <f t="shared" si="723"/>
        <v>2013</v>
      </c>
      <c r="Q4440" s="159">
        <f t="shared" si="724"/>
        <v>8</v>
      </c>
      <c r="R4440" s="160">
        <f t="shared" si="725"/>
        <v>7.3000000000465661</v>
      </c>
      <c r="S4440" s="158">
        <f t="shared" si="726"/>
        <v>1.4151631478017335</v>
      </c>
      <c r="T4440" s="161">
        <f t="shared" si="727"/>
        <v>682.10863724043554</v>
      </c>
      <c r="U4440" s="158">
        <f t="shared" si="729"/>
        <v>93.439539347408825</v>
      </c>
      <c r="V4440" s="160">
        <f t="shared" si="728"/>
        <v>93</v>
      </c>
    </row>
    <row r="4441" spans="1:22" x14ac:dyDescent="0.25">
      <c r="A4441" s="98" t="s">
        <v>25</v>
      </c>
      <c r="B4441" s="98" t="s">
        <v>17</v>
      </c>
      <c r="C4441" s="98">
        <v>133</v>
      </c>
      <c r="D4441" s="98">
        <v>260</v>
      </c>
      <c r="E4441" s="157">
        <v>41491.23333333333</v>
      </c>
      <c r="F4441" s="157">
        <v>41491.588194444441</v>
      </c>
      <c r="G4441" s="98">
        <v>430</v>
      </c>
      <c r="H4441" s="98">
        <v>521</v>
      </c>
      <c r="I4441" s="98">
        <v>482</v>
      </c>
      <c r="J4441" s="98" t="s">
        <v>1973</v>
      </c>
      <c r="K4441" s="98" t="s">
        <v>1627</v>
      </c>
      <c r="L4441" s="105" t="str">
        <f t="shared" si="720"/>
        <v>Mill Creek</v>
      </c>
      <c r="M4441" s="105" t="str">
        <f t="shared" si="721"/>
        <v>Derate</v>
      </c>
      <c r="N4441" s="105" t="str">
        <f t="shared" si="722"/>
        <v>Coal</v>
      </c>
      <c r="O4441" s="105">
        <f>IFERROR(VLOOKUP(A4441,Lookup!$J$5:$P$19,7,FALSE),0)</f>
        <v>3</v>
      </c>
      <c r="P4441" s="159">
        <f t="shared" si="723"/>
        <v>2013</v>
      </c>
      <c r="Q4441" s="159">
        <f t="shared" si="724"/>
        <v>8</v>
      </c>
      <c r="R4441" s="160">
        <f t="shared" si="725"/>
        <v>8.5166666666627862</v>
      </c>
      <c r="S4441" s="158">
        <f t="shared" si="726"/>
        <v>1.4875559820850548</v>
      </c>
      <c r="T4441" s="161">
        <f t="shared" si="727"/>
        <v>717.00198336499636</v>
      </c>
      <c r="U4441" s="158">
        <f t="shared" si="729"/>
        <v>84.188099808061423</v>
      </c>
      <c r="V4441" s="160">
        <f t="shared" si="728"/>
        <v>84</v>
      </c>
    </row>
    <row r="4442" spans="1:22" x14ac:dyDescent="0.25">
      <c r="A4442" s="98" t="s">
        <v>25</v>
      </c>
      <c r="B4442" s="98" t="s">
        <v>17</v>
      </c>
      <c r="C4442" s="98">
        <v>134</v>
      </c>
      <c r="D4442" s="98">
        <v>310</v>
      </c>
      <c r="E4442" s="157">
        <v>41491.731944444444</v>
      </c>
      <c r="F4442" s="157">
        <v>41494.154166666667</v>
      </c>
      <c r="G4442" s="98">
        <v>455</v>
      </c>
      <c r="H4442" s="98">
        <v>521</v>
      </c>
      <c r="I4442" s="98">
        <v>482</v>
      </c>
      <c r="J4442" s="98" t="s">
        <v>1966</v>
      </c>
      <c r="K4442" s="98" t="s">
        <v>1628</v>
      </c>
      <c r="L4442" s="105" t="str">
        <f t="shared" si="720"/>
        <v>Mill Creek</v>
      </c>
      <c r="M4442" s="105" t="str">
        <f t="shared" si="721"/>
        <v>Derate</v>
      </c>
      <c r="N4442" s="105" t="str">
        <f t="shared" si="722"/>
        <v>Coal</v>
      </c>
      <c r="O4442" s="105">
        <f>IFERROR(VLOOKUP(A4442,Lookup!$J$5:$P$19,7,FALSE),0)</f>
        <v>3</v>
      </c>
      <c r="P4442" s="159">
        <f t="shared" si="723"/>
        <v>2013</v>
      </c>
      <c r="Q4442" s="159">
        <f t="shared" si="724"/>
        <v>8</v>
      </c>
      <c r="R4442" s="160">
        <f t="shared" si="725"/>
        <v>58.133333333360497</v>
      </c>
      <c r="S4442" s="158">
        <f t="shared" si="726"/>
        <v>7.3642994241877018</v>
      </c>
      <c r="T4442" s="161">
        <f t="shared" si="727"/>
        <v>3549.5923224584722</v>
      </c>
      <c r="U4442" s="158">
        <f t="shared" si="729"/>
        <v>61.059500959692897</v>
      </c>
      <c r="V4442" s="160">
        <f t="shared" si="728"/>
        <v>61</v>
      </c>
    </row>
    <row r="4443" spans="1:22" x14ac:dyDescent="0.25">
      <c r="A4443" s="98" t="s">
        <v>25</v>
      </c>
      <c r="B4443" s="98" t="s">
        <v>17</v>
      </c>
      <c r="C4443" s="98">
        <v>135</v>
      </c>
      <c r="D4443" s="98">
        <v>3149</v>
      </c>
      <c r="E4443" s="157">
        <v>41494.613888888889</v>
      </c>
      <c r="F4443" s="157">
        <v>41494.719444444447</v>
      </c>
      <c r="G4443" s="98">
        <v>485</v>
      </c>
      <c r="H4443" s="98">
        <v>521</v>
      </c>
      <c r="I4443" s="98">
        <v>482</v>
      </c>
      <c r="J4443" s="98" t="s">
        <v>2034</v>
      </c>
      <c r="K4443" s="98" t="s">
        <v>40</v>
      </c>
      <c r="L4443" s="105" t="str">
        <f t="shared" si="720"/>
        <v>Mill Creek</v>
      </c>
      <c r="M4443" s="105" t="str">
        <f t="shared" si="721"/>
        <v>Derate</v>
      </c>
      <c r="N4443" s="105" t="str">
        <f t="shared" si="722"/>
        <v>Coal</v>
      </c>
      <c r="O4443" s="105">
        <f>IFERROR(VLOOKUP(A4443,Lookup!$J$5:$P$19,7,FALSE),0)</f>
        <v>3</v>
      </c>
      <c r="P4443" s="159">
        <f t="shared" si="723"/>
        <v>2013</v>
      </c>
      <c r="Q4443" s="159">
        <f t="shared" si="724"/>
        <v>8</v>
      </c>
      <c r="R4443" s="160">
        <f t="shared" si="725"/>
        <v>2.53333333338378</v>
      </c>
      <c r="S4443" s="158">
        <f t="shared" si="726"/>
        <v>0.17504798464839938</v>
      </c>
      <c r="T4443" s="161">
        <f t="shared" si="727"/>
        <v>84.373128600528503</v>
      </c>
      <c r="U4443" s="158">
        <f t="shared" si="729"/>
        <v>33.305182341650671</v>
      </c>
      <c r="V4443" s="160">
        <f t="shared" si="728"/>
        <v>33</v>
      </c>
    </row>
    <row r="4444" spans="1:22" x14ac:dyDescent="0.25">
      <c r="A4444" s="98" t="s">
        <v>25</v>
      </c>
      <c r="B4444" s="98" t="s">
        <v>17</v>
      </c>
      <c r="C4444" s="98">
        <v>136</v>
      </c>
      <c r="D4444" s="98">
        <v>3149</v>
      </c>
      <c r="E4444" s="157">
        <v>41494.719444444447</v>
      </c>
      <c r="F4444" s="157">
        <v>41494.847222222219</v>
      </c>
      <c r="G4444" s="98">
        <v>505</v>
      </c>
      <c r="H4444" s="98">
        <v>521</v>
      </c>
      <c r="I4444" s="98">
        <v>482</v>
      </c>
      <c r="J4444" s="98" t="s">
        <v>2034</v>
      </c>
      <c r="K4444" s="98" t="s">
        <v>40</v>
      </c>
      <c r="L4444" s="105" t="str">
        <f t="shared" si="720"/>
        <v>Mill Creek</v>
      </c>
      <c r="M4444" s="105" t="str">
        <f t="shared" si="721"/>
        <v>Derate</v>
      </c>
      <c r="N4444" s="105" t="str">
        <f t="shared" si="722"/>
        <v>Coal</v>
      </c>
      <c r="O4444" s="105">
        <f>IFERROR(VLOOKUP(A4444,Lookup!$J$5:$P$19,7,FALSE),0)</f>
        <v>3</v>
      </c>
      <c r="P4444" s="159">
        <f t="shared" si="723"/>
        <v>2013</v>
      </c>
      <c r="Q4444" s="159">
        <f t="shared" si="724"/>
        <v>8</v>
      </c>
      <c r="R4444" s="160">
        <f t="shared" si="725"/>
        <v>3.0666666665347293</v>
      </c>
      <c r="S4444" s="158">
        <f t="shared" si="726"/>
        <v>9.4177863079761365E-2</v>
      </c>
      <c r="T4444" s="161">
        <f t="shared" si="727"/>
        <v>45.393730004444976</v>
      </c>
      <c r="U4444" s="158">
        <f t="shared" si="729"/>
        <v>14.802303262955855</v>
      </c>
      <c r="V4444" s="160">
        <f t="shared" si="728"/>
        <v>15</v>
      </c>
    </row>
    <row r="4445" spans="1:22" x14ac:dyDescent="0.25">
      <c r="A4445" s="98" t="s">
        <v>25</v>
      </c>
      <c r="B4445" s="98" t="s">
        <v>17</v>
      </c>
      <c r="C4445" s="98">
        <v>137</v>
      </c>
      <c r="D4445" s="98">
        <v>1710</v>
      </c>
      <c r="E4445" s="157">
        <v>41494.847222222219</v>
      </c>
      <c r="F4445" s="157">
        <v>41497.455555555556</v>
      </c>
      <c r="G4445" s="98">
        <v>514</v>
      </c>
      <c r="H4445" s="98">
        <v>521</v>
      </c>
      <c r="I4445" s="98">
        <v>482</v>
      </c>
      <c r="J4445" s="98" t="s">
        <v>2020</v>
      </c>
      <c r="K4445" s="98" t="s">
        <v>718</v>
      </c>
      <c r="L4445" s="105" t="str">
        <f t="shared" si="720"/>
        <v>Mill Creek</v>
      </c>
      <c r="M4445" s="105" t="str">
        <f t="shared" si="721"/>
        <v>Derate</v>
      </c>
      <c r="N4445" s="105" t="str">
        <f t="shared" si="722"/>
        <v>Coal</v>
      </c>
      <c r="O4445" s="105">
        <f>IFERROR(VLOOKUP(A4445,Lookup!$J$5:$P$19,7,FALSE),0)</f>
        <v>3</v>
      </c>
      <c r="P4445" s="159">
        <f t="shared" si="723"/>
        <v>2013</v>
      </c>
      <c r="Q4445" s="159">
        <f t="shared" si="724"/>
        <v>8</v>
      </c>
      <c r="R4445" s="160">
        <f t="shared" si="725"/>
        <v>62.600000000093132</v>
      </c>
      <c r="S4445" s="158">
        <f t="shared" si="726"/>
        <v>0.84107485604731658</v>
      </c>
      <c r="T4445" s="161">
        <f t="shared" si="727"/>
        <v>405.39808061480659</v>
      </c>
      <c r="U4445" s="158">
        <f t="shared" si="729"/>
        <v>6.4760076775431861</v>
      </c>
      <c r="V4445" s="160">
        <f t="shared" si="728"/>
        <v>6</v>
      </c>
    </row>
    <row r="4446" spans="1:22" x14ac:dyDescent="0.25">
      <c r="A4446" s="98" t="s">
        <v>25</v>
      </c>
      <c r="B4446" s="98" t="s">
        <v>17</v>
      </c>
      <c r="C4446" s="98">
        <v>138</v>
      </c>
      <c r="D4446" s="98">
        <v>335</v>
      </c>
      <c r="E4446" s="157">
        <v>41497.455555555556</v>
      </c>
      <c r="F4446" s="157">
        <v>41497.666666666664</v>
      </c>
      <c r="G4446" s="98">
        <v>235</v>
      </c>
      <c r="H4446" s="98">
        <v>521</v>
      </c>
      <c r="I4446" s="98">
        <v>482</v>
      </c>
      <c r="J4446" s="98" t="s">
        <v>2131</v>
      </c>
      <c r="K4446" s="98" t="s">
        <v>1629</v>
      </c>
      <c r="L4446" s="105" t="str">
        <f t="shared" si="720"/>
        <v>Mill Creek</v>
      </c>
      <c r="M4446" s="105" t="str">
        <f t="shared" si="721"/>
        <v>Derate</v>
      </c>
      <c r="N4446" s="105" t="str">
        <f t="shared" si="722"/>
        <v>Coal</v>
      </c>
      <c r="O4446" s="105">
        <f>IFERROR(VLOOKUP(A4446,Lookup!$J$5:$P$19,7,FALSE),0)</f>
        <v>3</v>
      </c>
      <c r="P4446" s="159">
        <f t="shared" si="723"/>
        <v>2013</v>
      </c>
      <c r="Q4446" s="159">
        <f t="shared" si="724"/>
        <v>8</v>
      </c>
      <c r="R4446" s="160">
        <f t="shared" si="725"/>
        <v>5.066666666592937</v>
      </c>
      <c r="S4446" s="158">
        <f t="shared" si="726"/>
        <v>2.7813179782064874</v>
      </c>
      <c r="T4446" s="161">
        <f t="shared" si="727"/>
        <v>1340.595265495527</v>
      </c>
      <c r="U4446" s="158">
        <f t="shared" si="729"/>
        <v>264.59117082533589</v>
      </c>
      <c r="V4446" s="160">
        <f t="shared" si="728"/>
        <v>265</v>
      </c>
    </row>
    <row r="4447" spans="1:22" x14ac:dyDescent="0.25">
      <c r="A4447" s="98" t="s">
        <v>25</v>
      </c>
      <c r="B4447" s="98" t="s">
        <v>17</v>
      </c>
      <c r="C4447" s="98">
        <v>139</v>
      </c>
      <c r="D4447" s="98">
        <v>1710</v>
      </c>
      <c r="E4447" s="157">
        <v>41497.666666666664</v>
      </c>
      <c r="F4447" s="157">
        <v>41498.432638888888</v>
      </c>
      <c r="G4447" s="98">
        <v>500</v>
      </c>
      <c r="H4447" s="98">
        <v>521</v>
      </c>
      <c r="I4447" s="98">
        <v>482</v>
      </c>
      <c r="J4447" s="98" t="s">
        <v>2020</v>
      </c>
      <c r="K4447" s="98" t="s">
        <v>718</v>
      </c>
      <c r="L4447" s="105" t="str">
        <f t="shared" si="720"/>
        <v>Mill Creek</v>
      </c>
      <c r="M4447" s="105" t="str">
        <f t="shared" si="721"/>
        <v>Derate</v>
      </c>
      <c r="N4447" s="105" t="str">
        <f t="shared" si="722"/>
        <v>Coal</v>
      </c>
      <c r="O4447" s="105">
        <f>IFERROR(VLOOKUP(A4447,Lookup!$J$5:$P$19,7,FALSE),0)</f>
        <v>3</v>
      </c>
      <c r="P4447" s="159">
        <f t="shared" si="723"/>
        <v>2013</v>
      </c>
      <c r="Q4447" s="159">
        <f t="shared" si="724"/>
        <v>8</v>
      </c>
      <c r="R4447" s="160">
        <f t="shared" si="725"/>
        <v>18.383333333360497</v>
      </c>
      <c r="S4447" s="158">
        <f t="shared" si="726"/>
        <v>0.74097888675733292</v>
      </c>
      <c r="T4447" s="161">
        <f t="shared" si="727"/>
        <v>357.15182341703445</v>
      </c>
      <c r="U4447" s="158">
        <f t="shared" si="729"/>
        <v>19.428023032629557</v>
      </c>
      <c r="V4447" s="160">
        <f t="shared" si="728"/>
        <v>19</v>
      </c>
    </row>
    <row r="4448" spans="1:22" x14ac:dyDescent="0.25">
      <c r="A4448" s="98" t="s">
        <v>25</v>
      </c>
      <c r="B4448" s="98" t="s">
        <v>17</v>
      </c>
      <c r="C4448" s="98">
        <v>140</v>
      </c>
      <c r="D4448" s="98">
        <v>1710</v>
      </c>
      <c r="E4448" s="157">
        <v>41498.432638888888</v>
      </c>
      <c r="F4448" s="157">
        <v>41498.481249999997</v>
      </c>
      <c r="G4448" s="98">
        <v>503</v>
      </c>
      <c r="H4448" s="98">
        <v>521</v>
      </c>
      <c r="I4448" s="98">
        <v>482</v>
      </c>
      <c r="J4448" s="98" t="s">
        <v>2020</v>
      </c>
      <c r="K4448" s="98" t="s">
        <v>718</v>
      </c>
      <c r="L4448" s="105" t="str">
        <f t="shared" si="720"/>
        <v>Mill Creek</v>
      </c>
      <c r="M4448" s="105" t="str">
        <f t="shared" si="721"/>
        <v>Derate</v>
      </c>
      <c r="N4448" s="105" t="str">
        <f t="shared" si="722"/>
        <v>Coal</v>
      </c>
      <c r="O4448" s="105">
        <f>IFERROR(VLOOKUP(A4448,Lookup!$J$5:$P$19,7,FALSE),0)</f>
        <v>3</v>
      </c>
      <c r="P4448" s="159">
        <f t="shared" si="723"/>
        <v>2013</v>
      </c>
      <c r="Q4448" s="159">
        <f t="shared" si="724"/>
        <v>8</v>
      </c>
      <c r="R4448" s="160">
        <f t="shared" si="725"/>
        <v>1.1666666666278616</v>
      </c>
      <c r="S4448" s="158">
        <f t="shared" si="726"/>
        <v>4.0307101726106541E-2</v>
      </c>
      <c r="T4448" s="161">
        <f t="shared" si="727"/>
        <v>19.428023031983354</v>
      </c>
      <c r="U4448" s="158">
        <f t="shared" si="729"/>
        <v>16.652591170825335</v>
      </c>
      <c r="V4448" s="160">
        <f t="shared" si="728"/>
        <v>17</v>
      </c>
    </row>
    <row r="4449" spans="1:22" x14ac:dyDescent="0.25">
      <c r="A4449" s="98" t="s">
        <v>25</v>
      </c>
      <c r="B4449" s="98" t="s">
        <v>17</v>
      </c>
      <c r="C4449" s="98">
        <v>141</v>
      </c>
      <c r="D4449" s="98">
        <v>3149</v>
      </c>
      <c r="E4449" s="157">
        <v>41498.481249999997</v>
      </c>
      <c r="F4449" s="157">
        <v>41498.515972222223</v>
      </c>
      <c r="G4449" s="98">
        <v>496</v>
      </c>
      <c r="H4449" s="98">
        <v>521</v>
      </c>
      <c r="I4449" s="98">
        <v>482</v>
      </c>
      <c r="J4449" s="98" t="s">
        <v>2034</v>
      </c>
      <c r="K4449" s="98" t="s">
        <v>40</v>
      </c>
      <c r="L4449" s="105" t="str">
        <f t="shared" si="720"/>
        <v>Mill Creek</v>
      </c>
      <c r="M4449" s="105" t="str">
        <f t="shared" si="721"/>
        <v>Derate</v>
      </c>
      <c r="N4449" s="105" t="str">
        <f t="shared" si="722"/>
        <v>Coal</v>
      </c>
      <c r="O4449" s="105">
        <f>IFERROR(VLOOKUP(A4449,Lookup!$J$5:$P$19,7,FALSE),0)</f>
        <v>3</v>
      </c>
      <c r="P4449" s="159">
        <f t="shared" si="723"/>
        <v>2013</v>
      </c>
      <c r="Q4449" s="159">
        <f t="shared" si="724"/>
        <v>8</v>
      </c>
      <c r="R4449" s="160">
        <f t="shared" si="725"/>
        <v>0.8333333334303461</v>
      </c>
      <c r="S4449" s="158">
        <f t="shared" si="726"/>
        <v>3.9987204099344822E-2</v>
      </c>
      <c r="T4449" s="161">
        <f t="shared" si="727"/>
        <v>19.273832375884204</v>
      </c>
      <c r="U4449" s="158">
        <f t="shared" si="729"/>
        <v>23.128598848368522</v>
      </c>
      <c r="V4449" s="160">
        <f t="shared" si="728"/>
        <v>23</v>
      </c>
    </row>
    <row r="4450" spans="1:22" x14ac:dyDescent="0.25">
      <c r="A4450" s="98" t="s">
        <v>25</v>
      </c>
      <c r="B4450" s="98" t="s">
        <v>17</v>
      </c>
      <c r="C4450" s="98">
        <v>142</v>
      </c>
      <c r="D4450" s="98">
        <v>3149</v>
      </c>
      <c r="E4450" s="157">
        <v>41498.515972222223</v>
      </c>
      <c r="F4450" s="157">
        <v>41498.53125</v>
      </c>
      <c r="G4450" s="98">
        <v>485</v>
      </c>
      <c r="H4450" s="98">
        <v>521</v>
      </c>
      <c r="I4450" s="98">
        <v>482</v>
      </c>
      <c r="J4450" s="98" t="s">
        <v>2034</v>
      </c>
      <c r="K4450" s="98" t="s">
        <v>40</v>
      </c>
      <c r="L4450" s="105" t="str">
        <f t="shared" si="720"/>
        <v>Mill Creek</v>
      </c>
      <c r="M4450" s="105" t="str">
        <f t="shared" si="721"/>
        <v>Derate</v>
      </c>
      <c r="N4450" s="105" t="str">
        <f t="shared" si="722"/>
        <v>Coal</v>
      </c>
      <c r="O4450" s="105">
        <f>IFERROR(VLOOKUP(A4450,Lookup!$J$5:$P$19,7,FALSE),0)</f>
        <v>3</v>
      </c>
      <c r="P4450" s="159">
        <f t="shared" si="723"/>
        <v>2013</v>
      </c>
      <c r="Q4450" s="159">
        <f t="shared" si="724"/>
        <v>8</v>
      </c>
      <c r="R4450" s="160">
        <f t="shared" si="725"/>
        <v>0.36666666663950309</v>
      </c>
      <c r="S4450" s="158">
        <f t="shared" si="726"/>
        <v>2.5335892512518447E-2</v>
      </c>
      <c r="T4450" s="161">
        <f t="shared" si="727"/>
        <v>12.211900191033891</v>
      </c>
      <c r="U4450" s="158">
        <f t="shared" si="729"/>
        <v>33.305182341650671</v>
      </c>
      <c r="V4450" s="160">
        <f t="shared" si="728"/>
        <v>33</v>
      </c>
    </row>
    <row r="4451" spans="1:22" x14ac:dyDescent="0.25">
      <c r="A4451" s="98" t="s">
        <v>25</v>
      </c>
      <c r="B4451" s="98" t="s">
        <v>17</v>
      </c>
      <c r="C4451" s="98">
        <v>143</v>
      </c>
      <c r="D4451" s="98">
        <v>3149</v>
      </c>
      <c r="E4451" s="157">
        <v>41498.53125</v>
      </c>
      <c r="F4451" s="157">
        <v>41498.729166666664</v>
      </c>
      <c r="G4451" s="98">
        <v>482</v>
      </c>
      <c r="H4451" s="98">
        <v>521</v>
      </c>
      <c r="I4451" s="98">
        <v>482</v>
      </c>
      <c r="J4451" s="98" t="s">
        <v>2034</v>
      </c>
      <c r="K4451" s="98" t="s">
        <v>40</v>
      </c>
      <c r="L4451" s="105" t="str">
        <f t="shared" si="720"/>
        <v>Mill Creek</v>
      </c>
      <c r="M4451" s="105" t="str">
        <f t="shared" si="721"/>
        <v>Derate</v>
      </c>
      <c r="N4451" s="105" t="str">
        <f t="shared" si="722"/>
        <v>Coal</v>
      </c>
      <c r="O4451" s="105">
        <f>IFERROR(VLOOKUP(A4451,Lookup!$J$5:$P$19,7,FALSE),0)</f>
        <v>3</v>
      </c>
      <c r="P4451" s="159">
        <f t="shared" si="723"/>
        <v>2013</v>
      </c>
      <c r="Q4451" s="159">
        <f t="shared" si="724"/>
        <v>8</v>
      </c>
      <c r="R4451" s="160">
        <f t="shared" si="725"/>
        <v>4.7499999999417923</v>
      </c>
      <c r="S4451" s="158">
        <f t="shared" si="726"/>
        <v>0.35556621880562361</v>
      </c>
      <c r="T4451" s="161">
        <f t="shared" si="727"/>
        <v>171.38291746431059</v>
      </c>
      <c r="U4451" s="158">
        <f t="shared" si="729"/>
        <v>36.080614203454893</v>
      </c>
      <c r="V4451" s="160">
        <f t="shared" si="728"/>
        <v>36</v>
      </c>
    </row>
    <row r="4452" spans="1:22" x14ac:dyDescent="0.25">
      <c r="A4452" s="98" t="s">
        <v>25</v>
      </c>
      <c r="B4452" s="98" t="s">
        <v>17</v>
      </c>
      <c r="C4452" s="98">
        <v>144</v>
      </c>
      <c r="D4452" s="98">
        <v>1710</v>
      </c>
      <c r="E4452" s="157">
        <v>41498.729166666664</v>
      </c>
      <c r="F4452" s="157">
        <v>41499.522222222222</v>
      </c>
      <c r="G4452" s="98">
        <v>502</v>
      </c>
      <c r="H4452" s="98">
        <v>521</v>
      </c>
      <c r="I4452" s="98">
        <v>482</v>
      </c>
      <c r="J4452" s="98" t="s">
        <v>2020</v>
      </c>
      <c r="K4452" s="98" t="s">
        <v>718</v>
      </c>
      <c r="L4452" s="105" t="str">
        <f t="shared" si="720"/>
        <v>Mill Creek</v>
      </c>
      <c r="M4452" s="105" t="str">
        <f t="shared" si="721"/>
        <v>Derate</v>
      </c>
      <c r="N4452" s="105" t="str">
        <f t="shared" si="722"/>
        <v>Coal</v>
      </c>
      <c r="O4452" s="105">
        <f>IFERROR(VLOOKUP(A4452,Lookup!$J$5:$P$19,7,FALSE),0)</f>
        <v>3</v>
      </c>
      <c r="P4452" s="159">
        <f t="shared" si="723"/>
        <v>2013</v>
      </c>
      <c r="Q4452" s="159">
        <f t="shared" si="724"/>
        <v>8</v>
      </c>
      <c r="R4452" s="160">
        <f t="shared" si="725"/>
        <v>19.03333333338378</v>
      </c>
      <c r="S4452" s="158">
        <f t="shared" si="726"/>
        <v>0.69411388355910142</v>
      </c>
      <c r="T4452" s="161">
        <f t="shared" si="727"/>
        <v>334.56289187548691</v>
      </c>
      <c r="U4452" s="158">
        <f t="shared" si="729"/>
        <v>17.577735124760078</v>
      </c>
      <c r="V4452" s="160">
        <f t="shared" si="728"/>
        <v>18</v>
      </c>
    </row>
    <row r="4453" spans="1:22" x14ac:dyDescent="0.25">
      <c r="A4453" s="98" t="s">
        <v>25</v>
      </c>
      <c r="B4453" s="98" t="s">
        <v>17</v>
      </c>
      <c r="C4453" s="98">
        <v>145</v>
      </c>
      <c r="D4453" s="98">
        <v>1710</v>
      </c>
      <c r="E4453" s="157">
        <v>41499.522222222222</v>
      </c>
      <c r="F4453" s="157">
        <v>41502.883333333331</v>
      </c>
      <c r="G4453" s="98">
        <v>510</v>
      </c>
      <c r="H4453" s="98">
        <v>521</v>
      </c>
      <c r="I4453" s="98">
        <v>482</v>
      </c>
      <c r="J4453" s="98" t="s">
        <v>2020</v>
      </c>
      <c r="K4453" s="98" t="s">
        <v>718</v>
      </c>
      <c r="L4453" s="105" t="str">
        <f t="shared" ref="L4453:L4516" si="730">IF(OR(A4453="BR1",A4453="BR2",A4453="BR3",A4453="BR5",A4453="BR6",A4453="BR7",A4453="BR8",A4453="BR9",A4453="BR10",A4453="BR11"),"Brown",IF(OR(A4453="CR4",A4453="CR5",A4453="CR6",A4453="CR11"),"Cane Run",IF(OR(A4453="GH1",A4453="GH2",A4453="GH3",A4453="GH4"),"Ghent",IF(OR(A4453="GR3",A4453="GR4"),"Green River",IF(OR(A4453="MC1",A4453="MC2",A4453="MC3",A4453="MC4"),"Mill Creek",IF(OR(A4453="TC1",A4453="TC2",A4453="TC5",A4453="TC6",A4453="TC7",A4453="TC8",A4453="TC9",A4453="TC10"),"Trimble",IF(A4453="TY3","Tyrone",IF(OR(A4453="HA1",A4453="HA2",A4453="HA3"),"Haeflin",IF(OR(A4453="PR11",A4453="PR12",A4453="PR13"),"Paddy's Run","Zorn")))))))))</f>
        <v>Mill Creek</v>
      </c>
      <c r="M4453" s="105" t="str">
        <f t="shared" ref="M4453:M4516" si="731">IF(OR(B4453="D1",B4453="D2",B4453="D3",B4453="D4",B4453="PD"),"Derate",IF(OR(B4453="SF",B4453="U1",B4453="U2",B4453="U3"),"Outage",IF(OR(B4453="ME",B4453="MO"),"Maintenance","Other")))</f>
        <v>Derate</v>
      </c>
      <c r="N4453" s="105" t="str">
        <f t="shared" ref="N4453:N4516" si="732">IF(OR(A4453="BR1",A4453="BR2",A4453="BR3",A4453="CR4",A4453="CR5",A4453="CR6",A4453="GH1",A4453="GH2",A4453="GH3",A4453="GH4",A4453="GR3",A4453="GR4",A4453="MC1",A4453="MC2",A4453="MC3",A4453="MC4",A4453="TC1",A4453="TC2",A4453="TY3"),"Coal","Gas")</f>
        <v>Coal</v>
      </c>
      <c r="O4453" s="105">
        <f>IFERROR(VLOOKUP(A4453,Lookup!$J$5:$P$19,7,FALSE),0)</f>
        <v>3</v>
      </c>
      <c r="P4453" s="159">
        <f t="shared" ref="P4453:P4516" si="733">YEAR(E4453)</f>
        <v>2013</v>
      </c>
      <c r="Q4453" s="159">
        <f t="shared" ref="Q4453:Q4516" si="734">MONTH(E4453)</f>
        <v>8</v>
      </c>
      <c r="R4453" s="160">
        <f t="shared" ref="R4453:R4516" si="735">(F4453-E4453)*24</f>
        <v>80.666666666627862</v>
      </c>
      <c r="S4453" s="158">
        <f t="shared" ref="S4453:S4516" si="736">R4453*(H4453-G4453)/H4453</f>
        <v>1.7031349968002043</v>
      </c>
      <c r="T4453" s="161">
        <f t="shared" ref="T4453:T4516" si="737">S4453*I4453</f>
        <v>820.91106845769843</v>
      </c>
      <c r="U4453" s="158">
        <f t="shared" si="729"/>
        <v>10.17658349328215</v>
      </c>
      <c r="V4453" s="160">
        <f t="shared" ref="V4453:V4516" si="738">ROUND(U4453,0)</f>
        <v>10</v>
      </c>
    </row>
    <row r="4454" spans="1:22" x14ac:dyDescent="0.25">
      <c r="A4454" s="98" t="s">
        <v>25</v>
      </c>
      <c r="B4454" s="98" t="s">
        <v>20</v>
      </c>
      <c r="C4454" s="98">
        <v>146</v>
      </c>
      <c r="D4454" s="98">
        <v>8230</v>
      </c>
      <c r="E4454" s="157">
        <v>41502.883333333331</v>
      </c>
      <c r="F4454" s="157">
        <v>41505.072916666664</v>
      </c>
      <c r="G4454" s="98">
        <v>0</v>
      </c>
      <c r="H4454" s="98">
        <v>521</v>
      </c>
      <c r="I4454" s="98">
        <v>482</v>
      </c>
      <c r="J4454" s="98" t="s">
        <v>2037</v>
      </c>
      <c r="K4454" s="98" t="s">
        <v>1630</v>
      </c>
      <c r="L4454" s="105" t="str">
        <f t="shared" si="730"/>
        <v>Mill Creek</v>
      </c>
      <c r="M4454" s="105" t="str">
        <f t="shared" si="731"/>
        <v>Maintenance</v>
      </c>
      <c r="N4454" s="105" t="str">
        <f t="shared" si="732"/>
        <v>Coal</v>
      </c>
      <c r="O4454" s="105">
        <f>IFERROR(VLOOKUP(A4454,Lookup!$J$5:$P$19,7,FALSE),0)</f>
        <v>3</v>
      </c>
      <c r="P4454" s="159">
        <f t="shared" si="733"/>
        <v>2013</v>
      </c>
      <c r="Q4454" s="159">
        <f t="shared" si="734"/>
        <v>8</v>
      </c>
      <c r="R4454" s="160">
        <f t="shared" si="735"/>
        <v>52.549999999988358</v>
      </c>
      <c r="S4454" s="158">
        <f t="shared" si="736"/>
        <v>52.549999999988358</v>
      </c>
      <c r="T4454" s="161">
        <f t="shared" si="737"/>
        <v>25329.099999994389</v>
      </c>
      <c r="U4454" s="158">
        <f t="shared" ref="U4454:U4517" si="739">IF(G4454&gt;0,MAX((H4454-G4454),0)*I4454/H4454,I4454)</f>
        <v>482</v>
      </c>
      <c r="V4454" s="160">
        <f t="shared" si="738"/>
        <v>482</v>
      </c>
    </row>
    <row r="4455" spans="1:22" x14ac:dyDescent="0.25">
      <c r="A4455" s="98" t="s">
        <v>25</v>
      </c>
      <c r="B4455" s="98" t="s">
        <v>79</v>
      </c>
      <c r="C4455" s="98">
        <v>147</v>
      </c>
      <c r="D4455" s="98">
        <v>1850</v>
      </c>
      <c r="E4455" s="157">
        <v>41505.072916666664</v>
      </c>
      <c r="F4455" s="157">
        <v>41505.576388888891</v>
      </c>
      <c r="G4455" s="98">
        <v>0</v>
      </c>
      <c r="H4455" s="98">
        <v>521</v>
      </c>
      <c r="I4455" s="98">
        <v>482</v>
      </c>
      <c r="J4455" s="98" t="s">
        <v>2263</v>
      </c>
      <c r="K4455" s="98" t="s">
        <v>85</v>
      </c>
      <c r="L4455" s="105" t="str">
        <f t="shared" si="730"/>
        <v>Mill Creek</v>
      </c>
      <c r="M4455" s="105" t="str">
        <f t="shared" si="731"/>
        <v>Other</v>
      </c>
      <c r="N4455" s="105" t="str">
        <f t="shared" si="732"/>
        <v>Coal</v>
      </c>
      <c r="O4455" s="105">
        <f>IFERROR(VLOOKUP(A4455,Lookup!$J$5:$P$19,7,FALSE),0)</f>
        <v>3</v>
      </c>
      <c r="P4455" s="159">
        <f t="shared" si="733"/>
        <v>2013</v>
      </c>
      <c r="Q4455" s="159">
        <f t="shared" si="734"/>
        <v>8</v>
      </c>
      <c r="R4455" s="160">
        <f t="shared" si="735"/>
        <v>12.083333333430346</v>
      </c>
      <c r="S4455" s="158">
        <f t="shared" si="736"/>
        <v>12.083333333430346</v>
      </c>
      <c r="T4455" s="161">
        <f t="shared" si="737"/>
        <v>5824.1666667134268</v>
      </c>
      <c r="U4455" s="158">
        <f t="shared" si="739"/>
        <v>482</v>
      </c>
      <c r="V4455" s="160">
        <f t="shared" si="738"/>
        <v>482</v>
      </c>
    </row>
    <row r="4456" spans="1:22" x14ac:dyDescent="0.25">
      <c r="A4456" s="98" t="s">
        <v>25</v>
      </c>
      <c r="B4456" s="98" t="s">
        <v>17</v>
      </c>
      <c r="C4456" s="98">
        <v>148</v>
      </c>
      <c r="D4456" s="98">
        <v>1710</v>
      </c>
      <c r="E4456" s="157">
        <v>41505.576388888891</v>
      </c>
      <c r="F4456" s="157">
        <v>41505.701388888891</v>
      </c>
      <c r="G4456" s="98">
        <v>513</v>
      </c>
      <c r="H4456" s="98">
        <v>521</v>
      </c>
      <c r="I4456" s="98">
        <v>482</v>
      </c>
      <c r="J4456" s="98" t="s">
        <v>2020</v>
      </c>
      <c r="K4456" s="98" t="s">
        <v>718</v>
      </c>
      <c r="L4456" s="105" t="str">
        <f t="shared" si="730"/>
        <v>Mill Creek</v>
      </c>
      <c r="M4456" s="105" t="str">
        <f t="shared" si="731"/>
        <v>Derate</v>
      </c>
      <c r="N4456" s="105" t="str">
        <f t="shared" si="732"/>
        <v>Coal</v>
      </c>
      <c r="O4456" s="105">
        <f>IFERROR(VLOOKUP(A4456,Lookup!$J$5:$P$19,7,FALSE),0)</f>
        <v>3</v>
      </c>
      <c r="P4456" s="159">
        <f t="shared" si="733"/>
        <v>2013</v>
      </c>
      <c r="Q4456" s="159">
        <f t="shared" si="734"/>
        <v>8</v>
      </c>
      <c r="R4456" s="160">
        <f t="shared" si="735"/>
        <v>3</v>
      </c>
      <c r="S4456" s="158">
        <f t="shared" si="736"/>
        <v>4.6065259117082535E-2</v>
      </c>
      <c r="T4456" s="161">
        <f t="shared" si="737"/>
        <v>22.203454894433783</v>
      </c>
      <c r="U4456" s="158">
        <f t="shared" si="739"/>
        <v>7.4011516314779273</v>
      </c>
      <c r="V4456" s="160">
        <f t="shared" si="738"/>
        <v>7</v>
      </c>
    </row>
    <row r="4457" spans="1:22" x14ac:dyDescent="0.25">
      <c r="A4457" s="98" t="s">
        <v>25</v>
      </c>
      <c r="B4457" s="98" t="s">
        <v>15</v>
      </c>
      <c r="C4457" s="98">
        <v>149</v>
      </c>
      <c r="D4457" s="98">
        <v>4609</v>
      </c>
      <c r="E4457" s="157">
        <v>41506.444444444445</v>
      </c>
      <c r="F4457" s="157">
        <v>41506.576388888891</v>
      </c>
      <c r="G4457" s="98">
        <v>0</v>
      </c>
      <c r="H4457" s="98">
        <v>521</v>
      </c>
      <c r="I4457" s="98">
        <v>482</v>
      </c>
      <c r="J4457" s="98" t="s">
        <v>2105</v>
      </c>
      <c r="K4457" s="98" t="s">
        <v>1631</v>
      </c>
      <c r="L4457" s="105" t="str">
        <f t="shared" si="730"/>
        <v>Mill Creek</v>
      </c>
      <c r="M4457" s="105" t="str">
        <f t="shared" si="731"/>
        <v>Outage</v>
      </c>
      <c r="N4457" s="105" t="str">
        <f t="shared" si="732"/>
        <v>Coal</v>
      </c>
      <c r="O4457" s="105">
        <f>IFERROR(VLOOKUP(A4457,Lookup!$J$5:$P$19,7,FALSE),0)</f>
        <v>3</v>
      </c>
      <c r="P4457" s="159">
        <f t="shared" si="733"/>
        <v>2013</v>
      </c>
      <c r="Q4457" s="159">
        <f t="shared" si="734"/>
        <v>8</v>
      </c>
      <c r="R4457" s="160">
        <f t="shared" si="735"/>
        <v>3.1666666666860692</v>
      </c>
      <c r="S4457" s="158">
        <f t="shared" si="736"/>
        <v>3.1666666666860692</v>
      </c>
      <c r="T4457" s="161">
        <f t="shared" si="737"/>
        <v>1526.3333333426854</v>
      </c>
      <c r="U4457" s="158">
        <f t="shared" si="739"/>
        <v>482</v>
      </c>
      <c r="V4457" s="160">
        <f t="shared" si="738"/>
        <v>482</v>
      </c>
    </row>
    <row r="4458" spans="1:22" x14ac:dyDescent="0.25">
      <c r="A4458" s="98" t="s">
        <v>25</v>
      </c>
      <c r="B4458" s="98" t="s">
        <v>79</v>
      </c>
      <c r="C4458" s="98">
        <v>150</v>
      </c>
      <c r="D4458" s="98">
        <v>1850</v>
      </c>
      <c r="E4458" s="157">
        <v>41506.576388888891</v>
      </c>
      <c r="F4458" s="157">
        <v>41506.807638888888</v>
      </c>
      <c r="G4458" s="98">
        <v>0</v>
      </c>
      <c r="H4458" s="98">
        <v>521</v>
      </c>
      <c r="I4458" s="98">
        <v>482</v>
      </c>
      <c r="J4458" s="98" t="s">
        <v>2263</v>
      </c>
      <c r="K4458" s="98" t="s">
        <v>87</v>
      </c>
      <c r="L4458" s="105" t="str">
        <f t="shared" si="730"/>
        <v>Mill Creek</v>
      </c>
      <c r="M4458" s="105" t="str">
        <f t="shared" si="731"/>
        <v>Other</v>
      </c>
      <c r="N4458" s="105" t="str">
        <f t="shared" si="732"/>
        <v>Coal</v>
      </c>
      <c r="O4458" s="105">
        <f>IFERROR(VLOOKUP(A4458,Lookup!$J$5:$P$19,7,FALSE),0)</f>
        <v>3</v>
      </c>
      <c r="P4458" s="159">
        <f t="shared" si="733"/>
        <v>2013</v>
      </c>
      <c r="Q4458" s="159">
        <f t="shared" si="734"/>
        <v>8</v>
      </c>
      <c r="R4458" s="160">
        <f t="shared" si="735"/>
        <v>5.5499999999301508</v>
      </c>
      <c r="S4458" s="158">
        <f t="shared" si="736"/>
        <v>5.5499999999301508</v>
      </c>
      <c r="T4458" s="161">
        <f t="shared" si="737"/>
        <v>2675.0999999663327</v>
      </c>
      <c r="U4458" s="158">
        <f t="shared" si="739"/>
        <v>482</v>
      </c>
      <c r="V4458" s="160">
        <f t="shared" si="738"/>
        <v>482</v>
      </c>
    </row>
    <row r="4459" spans="1:22" x14ac:dyDescent="0.25">
      <c r="A4459" s="98" t="s">
        <v>25</v>
      </c>
      <c r="B4459" s="98" t="s">
        <v>17</v>
      </c>
      <c r="C4459" s="98">
        <v>151</v>
      </c>
      <c r="D4459" s="98">
        <v>3149</v>
      </c>
      <c r="E4459" s="157">
        <v>41509.576388888891</v>
      </c>
      <c r="F4459" s="157">
        <v>41509.763888888891</v>
      </c>
      <c r="G4459" s="98">
        <v>512</v>
      </c>
      <c r="H4459" s="98">
        <v>521</v>
      </c>
      <c r="I4459" s="98">
        <v>482</v>
      </c>
      <c r="J4459" s="98" t="s">
        <v>2034</v>
      </c>
      <c r="K4459" s="98" t="s">
        <v>40</v>
      </c>
      <c r="L4459" s="105" t="str">
        <f t="shared" si="730"/>
        <v>Mill Creek</v>
      </c>
      <c r="M4459" s="105" t="str">
        <f t="shared" si="731"/>
        <v>Derate</v>
      </c>
      <c r="N4459" s="105" t="str">
        <f t="shared" si="732"/>
        <v>Coal</v>
      </c>
      <c r="O4459" s="105">
        <f>IFERROR(VLOOKUP(A4459,Lookup!$J$5:$P$19,7,FALSE),0)</f>
        <v>3</v>
      </c>
      <c r="P4459" s="159">
        <f t="shared" si="733"/>
        <v>2013</v>
      </c>
      <c r="Q4459" s="159">
        <f t="shared" si="734"/>
        <v>8</v>
      </c>
      <c r="R4459" s="160">
        <f t="shared" si="735"/>
        <v>4.5</v>
      </c>
      <c r="S4459" s="158">
        <f t="shared" si="736"/>
        <v>7.7735124760076782E-2</v>
      </c>
      <c r="T4459" s="161">
        <f t="shared" si="737"/>
        <v>37.468330134357011</v>
      </c>
      <c r="U4459" s="158">
        <f t="shared" si="739"/>
        <v>8.3262955854126677</v>
      </c>
      <c r="V4459" s="160">
        <f t="shared" si="738"/>
        <v>8</v>
      </c>
    </row>
    <row r="4460" spans="1:22" x14ac:dyDescent="0.25">
      <c r="A4460" s="98" t="s">
        <v>25</v>
      </c>
      <c r="B4460" s="98" t="s">
        <v>17</v>
      </c>
      <c r="C4460" s="98">
        <v>152</v>
      </c>
      <c r="D4460" s="98">
        <v>1710</v>
      </c>
      <c r="E4460" s="157">
        <v>41512.659722222219</v>
      </c>
      <c r="F4460" s="157">
        <v>41512.878472222219</v>
      </c>
      <c r="G4460" s="98">
        <v>511</v>
      </c>
      <c r="H4460" s="98">
        <v>521</v>
      </c>
      <c r="I4460" s="98">
        <v>482</v>
      </c>
      <c r="J4460" s="98" t="s">
        <v>2020</v>
      </c>
      <c r="K4460" s="98" t="s">
        <v>718</v>
      </c>
      <c r="L4460" s="105" t="str">
        <f t="shared" si="730"/>
        <v>Mill Creek</v>
      </c>
      <c r="M4460" s="105" t="str">
        <f t="shared" si="731"/>
        <v>Derate</v>
      </c>
      <c r="N4460" s="105" t="str">
        <f t="shared" si="732"/>
        <v>Coal</v>
      </c>
      <c r="O4460" s="105">
        <f>IFERROR(VLOOKUP(A4460,Lookup!$J$5:$P$19,7,FALSE),0)</f>
        <v>3</v>
      </c>
      <c r="P4460" s="159">
        <f t="shared" si="733"/>
        <v>2013</v>
      </c>
      <c r="Q4460" s="159">
        <f t="shared" si="734"/>
        <v>8</v>
      </c>
      <c r="R4460" s="160">
        <f t="shared" si="735"/>
        <v>5.25</v>
      </c>
      <c r="S4460" s="158">
        <f t="shared" si="736"/>
        <v>0.10076775431861804</v>
      </c>
      <c r="T4460" s="161">
        <f t="shared" si="737"/>
        <v>48.570057581573892</v>
      </c>
      <c r="U4460" s="158">
        <f t="shared" si="739"/>
        <v>9.2514395393474089</v>
      </c>
      <c r="V4460" s="160">
        <f t="shared" si="738"/>
        <v>9</v>
      </c>
    </row>
    <row r="4461" spans="1:22" x14ac:dyDescent="0.25">
      <c r="A4461" s="98" t="s">
        <v>25</v>
      </c>
      <c r="B4461" s="98" t="s">
        <v>17</v>
      </c>
      <c r="C4461" s="98">
        <v>153</v>
      </c>
      <c r="D4461" s="98">
        <v>1710</v>
      </c>
      <c r="E4461" s="157">
        <v>41513.573611111111</v>
      </c>
      <c r="F4461" s="157">
        <v>41515.958333333336</v>
      </c>
      <c r="G4461" s="98">
        <v>510</v>
      </c>
      <c r="H4461" s="98">
        <v>521</v>
      </c>
      <c r="I4461" s="98">
        <v>482</v>
      </c>
      <c r="J4461" s="98" t="s">
        <v>2020</v>
      </c>
      <c r="K4461" s="98" t="s">
        <v>718</v>
      </c>
      <c r="L4461" s="105" t="str">
        <f t="shared" si="730"/>
        <v>Mill Creek</v>
      </c>
      <c r="M4461" s="105" t="str">
        <f t="shared" si="731"/>
        <v>Derate</v>
      </c>
      <c r="N4461" s="105" t="str">
        <f t="shared" si="732"/>
        <v>Coal</v>
      </c>
      <c r="O4461" s="105">
        <f>IFERROR(VLOOKUP(A4461,Lookup!$J$5:$P$19,7,FALSE),0)</f>
        <v>3</v>
      </c>
      <c r="P4461" s="159">
        <f t="shared" si="733"/>
        <v>2013</v>
      </c>
      <c r="Q4461" s="159">
        <f t="shared" si="734"/>
        <v>8</v>
      </c>
      <c r="R4461" s="160">
        <f t="shared" si="735"/>
        <v>57.233333333395422</v>
      </c>
      <c r="S4461" s="158">
        <f t="shared" si="736"/>
        <v>1.2083813179795579</v>
      </c>
      <c r="T4461" s="161">
        <f t="shared" si="737"/>
        <v>582.43979526614692</v>
      </c>
      <c r="U4461" s="158">
        <f t="shared" si="739"/>
        <v>10.17658349328215</v>
      </c>
      <c r="V4461" s="160">
        <f t="shared" si="738"/>
        <v>10</v>
      </c>
    </row>
    <row r="4462" spans="1:22" x14ac:dyDescent="0.25">
      <c r="A4462" s="98" t="s">
        <v>25</v>
      </c>
      <c r="B4462" s="98" t="s">
        <v>105</v>
      </c>
      <c r="C4462" s="98">
        <v>154</v>
      </c>
      <c r="D4462" s="98">
        <v>250</v>
      </c>
      <c r="E4462" s="157">
        <v>41515.958333333336</v>
      </c>
      <c r="F4462" s="157">
        <v>41516.166666666664</v>
      </c>
      <c r="G4462" s="98">
        <v>425</v>
      </c>
      <c r="H4462" s="98">
        <v>521</v>
      </c>
      <c r="I4462" s="98">
        <v>482</v>
      </c>
      <c r="J4462" s="98" t="s">
        <v>1978</v>
      </c>
      <c r="K4462" s="98" t="s">
        <v>1632</v>
      </c>
      <c r="L4462" s="105" t="str">
        <f t="shared" si="730"/>
        <v>Mill Creek</v>
      </c>
      <c r="M4462" s="105" t="str">
        <f t="shared" si="731"/>
        <v>Derate</v>
      </c>
      <c r="N4462" s="105" t="str">
        <f t="shared" si="732"/>
        <v>Coal</v>
      </c>
      <c r="O4462" s="105">
        <f>IFERROR(VLOOKUP(A4462,Lookup!$J$5:$P$19,7,FALSE),0)</f>
        <v>3</v>
      </c>
      <c r="P4462" s="159">
        <f t="shared" si="733"/>
        <v>2013</v>
      </c>
      <c r="Q4462" s="159">
        <f t="shared" si="734"/>
        <v>8</v>
      </c>
      <c r="R4462" s="160">
        <f t="shared" si="735"/>
        <v>4.9999999998835847</v>
      </c>
      <c r="S4462" s="158">
        <f t="shared" si="736"/>
        <v>0.92130518232019987</v>
      </c>
      <c r="T4462" s="161">
        <f t="shared" si="737"/>
        <v>444.06909787833632</v>
      </c>
      <c r="U4462" s="158">
        <f t="shared" si="739"/>
        <v>88.813819577735131</v>
      </c>
      <c r="V4462" s="160">
        <f t="shared" si="738"/>
        <v>89</v>
      </c>
    </row>
    <row r="4463" spans="1:22" x14ac:dyDescent="0.25">
      <c r="A4463" s="98" t="s">
        <v>25</v>
      </c>
      <c r="B4463" s="98" t="s">
        <v>17</v>
      </c>
      <c r="C4463" s="98">
        <v>155</v>
      </c>
      <c r="D4463" s="98">
        <v>8590</v>
      </c>
      <c r="E4463" s="157">
        <v>41516.895833333336</v>
      </c>
      <c r="F4463" s="157">
        <v>41516.9375</v>
      </c>
      <c r="G4463" s="98">
        <v>425</v>
      </c>
      <c r="H4463" s="98">
        <v>521</v>
      </c>
      <c r="I4463" s="98">
        <v>482</v>
      </c>
      <c r="J4463" s="98" t="s">
        <v>2249</v>
      </c>
      <c r="K4463" s="98" t="s">
        <v>1633</v>
      </c>
      <c r="L4463" s="105" t="str">
        <f t="shared" si="730"/>
        <v>Mill Creek</v>
      </c>
      <c r="M4463" s="105" t="str">
        <f t="shared" si="731"/>
        <v>Derate</v>
      </c>
      <c r="N4463" s="105" t="str">
        <f t="shared" si="732"/>
        <v>Coal</v>
      </c>
      <c r="O4463" s="105">
        <f>IFERROR(VLOOKUP(A4463,Lookup!$J$5:$P$19,7,FALSE),0)</f>
        <v>3</v>
      </c>
      <c r="P4463" s="159">
        <f t="shared" si="733"/>
        <v>2013</v>
      </c>
      <c r="Q4463" s="159">
        <f t="shared" si="734"/>
        <v>8</v>
      </c>
      <c r="R4463" s="160">
        <f t="shared" si="735"/>
        <v>0.99999999994179234</v>
      </c>
      <c r="S4463" s="158">
        <f t="shared" si="736"/>
        <v>0.18426103645760472</v>
      </c>
      <c r="T4463" s="161">
        <f t="shared" si="737"/>
        <v>88.813819572565478</v>
      </c>
      <c r="U4463" s="158">
        <f t="shared" si="739"/>
        <v>88.813819577735131</v>
      </c>
      <c r="V4463" s="160">
        <f t="shared" si="738"/>
        <v>89</v>
      </c>
    </row>
    <row r="4464" spans="1:22" x14ac:dyDescent="0.25">
      <c r="A4464" s="98" t="s">
        <v>25</v>
      </c>
      <c r="B4464" s="98" t="s">
        <v>17</v>
      </c>
      <c r="C4464" s="98">
        <v>156</v>
      </c>
      <c r="D4464" s="98">
        <v>8590</v>
      </c>
      <c r="E4464" s="157">
        <v>41516.9375</v>
      </c>
      <c r="F4464" s="157">
        <v>41517.259722222225</v>
      </c>
      <c r="G4464" s="98">
        <v>330</v>
      </c>
      <c r="H4464" s="98">
        <v>521</v>
      </c>
      <c r="I4464" s="98">
        <v>482</v>
      </c>
      <c r="J4464" s="98" t="s">
        <v>2249</v>
      </c>
      <c r="K4464" s="98" t="s">
        <v>1633</v>
      </c>
      <c r="L4464" s="105" t="str">
        <f t="shared" si="730"/>
        <v>Mill Creek</v>
      </c>
      <c r="M4464" s="105" t="str">
        <f t="shared" si="731"/>
        <v>Derate</v>
      </c>
      <c r="N4464" s="105" t="str">
        <f t="shared" si="732"/>
        <v>Coal</v>
      </c>
      <c r="O4464" s="105">
        <f>IFERROR(VLOOKUP(A4464,Lookup!$J$5:$P$19,7,FALSE),0)</f>
        <v>3</v>
      </c>
      <c r="P4464" s="159">
        <f t="shared" si="733"/>
        <v>2013</v>
      </c>
      <c r="Q4464" s="159">
        <f t="shared" si="734"/>
        <v>8</v>
      </c>
      <c r="R4464" s="160">
        <f t="shared" si="735"/>
        <v>7.7333333333954215</v>
      </c>
      <c r="S4464" s="158">
        <f t="shared" si="736"/>
        <v>2.8350607805729857</v>
      </c>
      <c r="T4464" s="161">
        <f t="shared" si="737"/>
        <v>1366.4992962361791</v>
      </c>
      <c r="U4464" s="158">
        <f t="shared" si="739"/>
        <v>176.7024952015355</v>
      </c>
      <c r="V4464" s="160">
        <f t="shared" si="738"/>
        <v>177</v>
      </c>
    </row>
    <row r="4465" spans="1:22" x14ac:dyDescent="0.25">
      <c r="A4465" s="98" t="s">
        <v>25</v>
      </c>
      <c r="B4465" s="98" t="s">
        <v>17</v>
      </c>
      <c r="C4465" s="98">
        <v>157</v>
      </c>
      <c r="D4465" s="98">
        <v>8590</v>
      </c>
      <c r="E4465" s="157">
        <v>41517.259722222225</v>
      </c>
      <c r="F4465" s="157">
        <v>41517.305555555555</v>
      </c>
      <c r="G4465" s="98">
        <v>410</v>
      </c>
      <c r="H4465" s="98">
        <v>521</v>
      </c>
      <c r="I4465" s="98">
        <v>482</v>
      </c>
      <c r="J4465" s="98" t="s">
        <v>2249</v>
      </c>
      <c r="K4465" s="98" t="s">
        <v>1633</v>
      </c>
      <c r="L4465" s="105" t="str">
        <f t="shared" si="730"/>
        <v>Mill Creek</v>
      </c>
      <c r="M4465" s="105" t="str">
        <f t="shared" si="731"/>
        <v>Derate</v>
      </c>
      <c r="N4465" s="105" t="str">
        <f t="shared" si="732"/>
        <v>Coal</v>
      </c>
      <c r="O4465" s="105">
        <f>IFERROR(VLOOKUP(A4465,Lookup!$J$5:$P$19,7,FALSE),0)</f>
        <v>3</v>
      </c>
      <c r="P4465" s="159">
        <f t="shared" si="733"/>
        <v>2013</v>
      </c>
      <c r="Q4465" s="159">
        <f t="shared" si="734"/>
        <v>8</v>
      </c>
      <c r="R4465" s="160">
        <f t="shared" si="735"/>
        <v>1.0999999999185093</v>
      </c>
      <c r="S4465" s="158">
        <f t="shared" si="736"/>
        <v>0.23435700574079565</v>
      </c>
      <c r="T4465" s="161">
        <f t="shared" si="737"/>
        <v>112.96007676706351</v>
      </c>
      <c r="U4465" s="158">
        <f t="shared" si="739"/>
        <v>102.69097888675624</v>
      </c>
      <c r="V4465" s="160">
        <f t="shared" si="738"/>
        <v>103</v>
      </c>
    </row>
    <row r="4466" spans="1:22" x14ac:dyDescent="0.25">
      <c r="A4466" s="98" t="s">
        <v>25</v>
      </c>
      <c r="B4466" s="98" t="s">
        <v>15</v>
      </c>
      <c r="C4466" s="98">
        <v>158</v>
      </c>
      <c r="D4466" s="98">
        <v>1415</v>
      </c>
      <c r="E4466" s="157">
        <v>41523.269444444442</v>
      </c>
      <c r="F4466" s="157">
        <v>41523.359027777777</v>
      </c>
      <c r="G4466" s="98">
        <v>0</v>
      </c>
      <c r="H4466" s="98">
        <v>521</v>
      </c>
      <c r="I4466" s="98">
        <v>482</v>
      </c>
      <c r="J4466" s="98" t="s">
        <v>2184</v>
      </c>
      <c r="K4466" s="98" t="s">
        <v>1634</v>
      </c>
      <c r="L4466" s="105" t="str">
        <f t="shared" si="730"/>
        <v>Mill Creek</v>
      </c>
      <c r="M4466" s="105" t="str">
        <f t="shared" si="731"/>
        <v>Outage</v>
      </c>
      <c r="N4466" s="105" t="str">
        <f t="shared" si="732"/>
        <v>Coal</v>
      </c>
      <c r="O4466" s="105">
        <f>IFERROR(VLOOKUP(A4466,Lookup!$J$5:$P$19,7,FALSE),0)</f>
        <v>3</v>
      </c>
      <c r="P4466" s="159">
        <f t="shared" si="733"/>
        <v>2013</v>
      </c>
      <c r="Q4466" s="159">
        <f t="shared" si="734"/>
        <v>9</v>
      </c>
      <c r="R4466" s="160">
        <f t="shared" si="735"/>
        <v>2.1500000000232831</v>
      </c>
      <c r="S4466" s="158">
        <f t="shared" si="736"/>
        <v>2.1500000000232831</v>
      </c>
      <c r="T4466" s="161">
        <f t="shared" si="737"/>
        <v>1036.3000000112224</v>
      </c>
      <c r="U4466" s="158">
        <f t="shared" si="739"/>
        <v>482</v>
      </c>
      <c r="V4466" s="160">
        <f t="shared" si="738"/>
        <v>482</v>
      </c>
    </row>
    <row r="4467" spans="1:22" x14ac:dyDescent="0.25">
      <c r="A4467" s="98" t="s">
        <v>25</v>
      </c>
      <c r="B4467" s="98" t="s">
        <v>79</v>
      </c>
      <c r="C4467" s="98">
        <v>159</v>
      </c>
      <c r="D4467" s="98">
        <v>1850</v>
      </c>
      <c r="E4467" s="157">
        <v>41523.359027777777</v>
      </c>
      <c r="F4467" s="157">
        <v>41523.743055555555</v>
      </c>
      <c r="G4467" s="98">
        <v>0</v>
      </c>
      <c r="H4467" s="98">
        <v>521</v>
      </c>
      <c r="I4467" s="98">
        <v>482</v>
      </c>
      <c r="J4467" s="98" t="s">
        <v>2263</v>
      </c>
      <c r="K4467" s="98" t="s">
        <v>87</v>
      </c>
      <c r="L4467" s="105" t="str">
        <f t="shared" si="730"/>
        <v>Mill Creek</v>
      </c>
      <c r="M4467" s="105" t="str">
        <f t="shared" si="731"/>
        <v>Other</v>
      </c>
      <c r="N4467" s="105" t="str">
        <f t="shared" si="732"/>
        <v>Coal</v>
      </c>
      <c r="O4467" s="105">
        <f>IFERROR(VLOOKUP(A4467,Lookup!$J$5:$P$19,7,FALSE),0)</f>
        <v>3</v>
      </c>
      <c r="P4467" s="159">
        <f t="shared" si="733"/>
        <v>2013</v>
      </c>
      <c r="Q4467" s="159">
        <f t="shared" si="734"/>
        <v>9</v>
      </c>
      <c r="R4467" s="160">
        <f t="shared" si="735"/>
        <v>9.2166666666744277</v>
      </c>
      <c r="S4467" s="158">
        <f t="shared" si="736"/>
        <v>9.2166666666744277</v>
      </c>
      <c r="T4467" s="161">
        <f t="shared" si="737"/>
        <v>4442.4333333370741</v>
      </c>
      <c r="U4467" s="158">
        <f t="shared" si="739"/>
        <v>482</v>
      </c>
      <c r="V4467" s="160">
        <f t="shared" si="738"/>
        <v>482</v>
      </c>
    </row>
    <row r="4468" spans="1:22" x14ac:dyDescent="0.25">
      <c r="A4468" s="98" t="s">
        <v>25</v>
      </c>
      <c r="B4468" s="98" t="s">
        <v>17</v>
      </c>
      <c r="C4468" s="98">
        <v>160</v>
      </c>
      <c r="D4468" s="98">
        <v>1710</v>
      </c>
      <c r="E4468" s="157">
        <v>41526.505555555559</v>
      </c>
      <c r="F4468" s="157">
        <v>41527.379861111112</v>
      </c>
      <c r="G4468" s="98">
        <v>511</v>
      </c>
      <c r="H4468" s="98">
        <v>521</v>
      </c>
      <c r="I4468" s="98">
        <v>482</v>
      </c>
      <c r="J4468" s="98" t="s">
        <v>2020</v>
      </c>
      <c r="K4468" s="98" t="s">
        <v>718</v>
      </c>
      <c r="L4468" s="105" t="str">
        <f t="shared" si="730"/>
        <v>Mill Creek</v>
      </c>
      <c r="M4468" s="105" t="str">
        <f t="shared" si="731"/>
        <v>Derate</v>
      </c>
      <c r="N4468" s="105" t="str">
        <f t="shared" si="732"/>
        <v>Coal</v>
      </c>
      <c r="O4468" s="105">
        <f>IFERROR(VLOOKUP(A4468,Lookup!$J$5:$P$19,7,FALSE),0)</f>
        <v>3</v>
      </c>
      <c r="P4468" s="159">
        <f t="shared" si="733"/>
        <v>2013</v>
      </c>
      <c r="Q4468" s="159">
        <f t="shared" si="734"/>
        <v>9</v>
      </c>
      <c r="R4468" s="160">
        <f t="shared" si="735"/>
        <v>20.983333333279006</v>
      </c>
      <c r="S4468" s="158">
        <f t="shared" si="736"/>
        <v>0.4027511196406719</v>
      </c>
      <c r="T4468" s="161">
        <f t="shared" si="737"/>
        <v>194.12603966680385</v>
      </c>
      <c r="U4468" s="158">
        <f t="shared" si="739"/>
        <v>9.2514395393474089</v>
      </c>
      <c r="V4468" s="160">
        <f t="shared" si="738"/>
        <v>9</v>
      </c>
    </row>
    <row r="4469" spans="1:22" x14ac:dyDescent="0.25">
      <c r="A4469" s="98" t="s">
        <v>25</v>
      </c>
      <c r="B4469" s="98" t="s">
        <v>17</v>
      </c>
      <c r="C4469" s="98">
        <v>161</v>
      </c>
      <c r="D4469" s="98">
        <v>1710</v>
      </c>
      <c r="E4469" s="157">
        <v>41527.379861111112</v>
      </c>
      <c r="F4469" s="157">
        <v>41527.46875</v>
      </c>
      <c r="G4469" s="98">
        <v>515</v>
      </c>
      <c r="H4469" s="98">
        <v>521</v>
      </c>
      <c r="I4469" s="98">
        <v>482</v>
      </c>
      <c r="J4469" s="98" t="s">
        <v>2020</v>
      </c>
      <c r="K4469" s="98" t="s">
        <v>718</v>
      </c>
      <c r="L4469" s="105" t="str">
        <f t="shared" si="730"/>
        <v>Mill Creek</v>
      </c>
      <c r="M4469" s="105" t="str">
        <f t="shared" si="731"/>
        <v>Derate</v>
      </c>
      <c r="N4469" s="105" t="str">
        <f t="shared" si="732"/>
        <v>Coal</v>
      </c>
      <c r="O4469" s="105">
        <f>IFERROR(VLOOKUP(A4469,Lookup!$J$5:$P$19,7,FALSE),0)</f>
        <v>3</v>
      </c>
      <c r="P4469" s="159">
        <f t="shared" si="733"/>
        <v>2013</v>
      </c>
      <c r="Q4469" s="159">
        <f t="shared" si="734"/>
        <v>9</v>
      </c>
      <c r="R4469" s="160">
        <f t="shared" si="735"/>
        <v>2.1333333333022892</v>
      </c>
      <c r="S4469" s="158">
        <f t="shared" si="736"/>
        <v>2.4568138195419836E-2</v>
      </c>
      <c r="T4469" s="161">
        <f t="shared" si="737"/>
        <v>11.84184261019236</v>
      </c>
      <c r="U4469" s="158">
        <f t="shared" si="739"/>
        <v>5.5508637236084457</v>
      </c>
      <c r="V4469" s="160">
        <f t="shared" si="738"/>
        <v>6</v>
      </c>
    </row>
    <row r="4470" spans="1:22" x14ac:dyDescent="0.25">
      <c r="A4470" s="98" t="s">
        <v>25</v>
      </c>
      <c r="B4470" s="98" t="s">
        <v>17</v>
      </c>
      <c r="C4470" s="98">
        <v>162</v>
      </c>
      <c r="D4470" s="98">
        <v>1710</v>
      </c>
      <c r="E4470" s="157">
        <v>41527.46875</v>
      </c>
      <c r="F4470" s="157">
        <v>41529.542361111111</v>
      </c>
      <c r="G4470" s="98">
        <v>508</v>
      </c>
      <c r="H4470" s="98">
        <v>521</v>
      </c>
      <c r="I4470" s="98">
        <v>482</v>
      </c>
      <c r="J4470" s="98" t="s">
        <v>2020</v>
      </c>
      <c r="K4470" s="98" t="s">
        <v>718</v>
      </c>
      <c r="L4470" s="105" t="str">
        <f t="shared" si="730"/>
        <v>Mill Creek</v>
      </c>
      <c r="M4470" s="105" t="str">
        <f t="shared" si="731"/>
        <v>Derate</v>
      </c>
      <c r="N4470" s="105" t="str">
        <f t="shared" si="732"/>
        <v>Coal</v>
      </c>
      <c r="O4470" s="105">
        <f>IFERROR(VLOOKUP(A4470,Lookup!$J$5:$P$19,7,FALSE),0)</f>
        <v>3</v>
      </c>
      <c r="P4470" s="159">
        <f t="shared" si="733"/>
        <v>2013</v>
      </c>
      <c r="Q4470" s="159">
        <f t="shared" si="734"/>
        <v>9</v>
      </c>
      <c r="R4470" s="160">
        <f t="shared" si="735"/>
        <v>49.766666666662786</v>
      </c>
      <c r="S4470" s="158">
        <f t="shared" si="736"/>
        <v>1.241778630838035</v>
      </c>
      <c r="T4470" s="161">
        <f t="shared" si="737"/>
        <v>598.53730006393289</v>
      </c>
      <c r="U4470" s="158">
        <f t="shared" si="739"/>
        <v>12.026871401151631</v>
      </c>
      <c r="V4470" s="160">
        <f t="shared" si="738"/>
        <v>12</v>
      </c>
    </row>
    <row r="4471" spans="1:22" x14ac:dyDescent="0.25">
      <c r="A4471" s="98" t="s">
        <v>25</v>
      </c>
      <c r="B4471" s="98" t="s">
        <v>105</v>
      </c>
      <c r="C4471" s="98">
        <v>163</v>
      </c>
      <c r="D4471" s="98">
        <v>310</v>
      </c>
      <c r="E4471" s="157">
        <v>41534.916666666664</v>
      </c>
      <c r="F4471" s="157">
        <v>41535.09375</v>
      </c>
      <c r="G4471" s="98">
        <v>425</v>
      </c>
      <c r="H4471" s="98">
        <v>521</v>
      </c>
      <c r="I4471" s="98">
        <v>482</v>
      </c>
      <c r="J4471" s="98" t="s">
        <v>1966</v>
      </c>
      <c r="K4471" s="98" t="s">
        <v>1635</v>
      </c>
      <c r="L4471" s="105" t="str">
        <f t="shared" si="730"/>
        <v>Mill Creek</v>
      </c>
      <c r="M4471" s="105" t="str">
        <f t="shared" si="731"/>
        <v>Derate</v>
      </c>
      <c r="N4471" s="105" t="str">
        <f t="shared" si="732"/>
        <v>Coal</v>
      </c>
      <c r="O4471" s="105">
        <f>IFERROR(VLOOKUP(A4471,Lookup!$J$5:$P$19,7,FALSE),0)</f>
        <v>3</v>
      </c>
      <c r="P4471" s="159">
        <f t="shared" si="733"/>
        <v>2013</v>
      </c>
      <c r="Q4471" s="159">
        <f t="shared" si="734"/>
        <v>9</v>
      </c>
      <c r="R4471" s="160">
        <f t="shared" si="735"/>
        <v>4.2500000000582077</v>
      </c>
      <c r="S4471" s="158">
        <f t="shared" si="736"/>
        <v>0.78310940500112847</v>
      </c>
      <c r="T4471" s="161">
        <f t="shared" si="737"/>
        <v>377.45873321054393</v>
      </c>
      <c r="U4471" s="158">
        <f t="shared" si="739"/>
        <v>88.813819577735131</v>
      </c>
      <c r="V4471" s="160">
        <f t="shared" si="738"/>
        <v>89</v>
      </c>
    </row>
    <row r="4472" spans="1:22" x14ac:dyDescent="0.25">
      <c r="A4472" s="98" t="s">
        <v>25</v>
      </c>
      <c r="B4472" s="98" t="s">
        <v>105</v>
      </c>
      <c r="C4472" s="98">
        <v>164</v>
      </c>
      <c r="D4472" s="98">
        <v>310</v>
      </c>
      <c r="E4472" s="157">
        <v>41535.916666666664</v>
      </c>
      <c r="F4472" s="157">
        <v>41536.136111111111</v>
      </c>
      <c r="G4472" s="98">
        <v>435</v>
      </c>
      <c r="H4472" s="98">
        <v>521</v>
      </c>
      <c r="I4472" s="98">
        <v>482</v>
      </c>
      <c r="J4472" s="98" t="s">
        <v>1966</v>
      </c>
      <c r="K4472" s="98" t="s">
        <v>1636</v>
      </c>
      <c r="L4472" s="105" t="str">
        <f t="shared" si="730"/>
        <v>Mill Creek</v>
      </c>
      <c r="M4472" s="105" t="str">
        <f t="shared" si="731"/>
        <v>Derate</v>
      </c>
      <c r="N4472" s="105" t="str">
        <f t="shared" si="732"/>
        <v>Coal</v>
      </c>
      <c r="O4472" s="105">
        <f>IFERROR(VLOOKUP(A4472,Lookup!$J$5:$P$19,7,FALSE),0)</f>
        <v>3</v>
      </c>
      <c r="P4472" s="159">
        <f t="shared" si="733"/>
        <v>2013</v>
      </c>
      <c r="Q4472" s="159">
        <f t="shared" si="734"/>
        <v>9</v>
      </c>
      <c r="R4472" s="160">
        <f t="shared" si="735"/>
        <v>5.2666666667209938</v>
      </c>
      <c r="S4472" s="158">
        <f t="shared" si="736"/>
        <v>0.86935380679079743</v>
      </c>
      <c r="T4472" s="161">
        <f t="shared" si="737"/>
        <v>419.02853487316435</v>
      </c>
      <c r="U4472" s="158">
        <f t="shared" si="739"/>
        <v>79.562380038387715</v>
      </c>
      <c r="V4472" s="160">
        <f t="shared" si="738"/>
        <v>80</v>
      </c>
    </row>
    <row r="4473" spans="1:22" x14ac:dyDescent="0.25">
      <c r="A4473" s="98" t="s">
        <v>25</v>
      </c>
      <c r="B4473" s="98" t="s">
        <v>17</v>
      </c>
      <c r="C4473" s="98">
        <v>165</v>
      </c>
      <c r="D4473" s="98">
        <v>385</v>
      </c>
      <c r="E4473" s="157">
        <v>41546.279861111114</v>
      </c>
      <c r="F4473" s="157">
        <v>41546.355555555558</v>
      </c>
      <c r="G4473" s="98">
        <v>425</v>
      </c>
      <c r="H4473" s="98">
        <v>521</v>
      </c>
      <c r="I4473" s="98">
        <v>482</v>
      </c>
      <c r="J4473" s="98" t="s">
        <v>228</v>
      </c>
      <c r="K4473" s="98" t="s">
        <v>1637</v>
      </c>
      <c r="L4473" s="105" t="str">
        <f t="shared" si="730"/>
        <v>Mill Creek</v>
      </c>
      <c r="M4473" s="105" t="str">
        <f t="shared" si="731"/>
        <v>Derate</v>
      </c>
      <c r="N4473" s="105" t="str">
        <f t="shared" si="732"/>
        <v>Coal</v>
      </c>
      <c r="O4473" s="105">
        <f>IFERROR(VLOOKUP(A4473,Lookup!$J$5:$P$19,7,FALSE),0)</f>
        <v>3</v>
      </c>
      <c r="P4473" s="159">
        <f t="shared" si="733"/>
        <v>2013</v>
      </c>
      <c r="Q4473" s="159">
        <f t="shared" si="734"/>
        <v>9</v>
      </c>
      <c r="R4473" s="160">
        <f t="shared" si="735"/>
        <v>1.8166666666511446</v>
      </c>
      <c r="S4473" s="158">
        <f t="shared" si="736"/>
        <v>0.3347408829146063</v>
      </c>
      <c r="T4473" s="161">
        <f t="shared" si="737"/>
        <v>161.34510556484022</v>
      </c>
      <c r="U4473" s="158">
        <f t="shared" si="739"/>
        <v>88.813819577735131</v>
      </c>
      <c r="V4473" s="160">
        <f t="shared" si="738"/>
        <v>89</v>
      </c>
    </row>
    <row r="4474" spans="1:22" x14ac:dyDescent="0.25">
      <c r="A4474" s="98" t="s">
        <v>25</v>
      </c>
      <c r="B4474" s="98" t="s">
        <v>17</v>
      </c>
      <c r="C4474" s="98">
        <v>166</v>
      </c>
      <c r="D4474" s="98">
        <v>1488</v>
      </c>
      <c r="E4474" s="157">
        <v>41547.467361111114</v>
      </c>
      <c r="F4474" s="157">
        <v>41548</v>
      </c>
      <c r="G4474" s="98">
        <v>500</v>
      </c>
      <c r="H4474" s="98">
        <v>521</v>
      </c>
      <c r="I4474" s="98">
        <v>482</v>
      </c>
      <c r="J4474" s="98" t="s">
        <v>2284</v>
      </c>
      <c r="K4474" s="98" t="s">
        <v>52</v>
      </c>
      <c r="L4474" s="105" t="str">
        <f t="shared" si="730"/>
        <v>Mill Creek</v>
      </c>
      <c r="M4474" s="105" t="str">
        <f t="shared" si="731"/>
        <v>Derate</v>
      </c>
      <c r="N4474" s="105" t="str">
        <f t="shared" si="732"/>
        <v>Coal</v>
      </c>
      <c r="O4474" s="105">
        <f>IFERROR(VLOOKUP(A4474,Lookup!$J$5:$P$19,7,FALSE),0)</f>
        <v>3</v>
      </c>
      <c r="P4474" s="159">
        <f t="shared" si="733"/>
        <v>2013</v>
      </c>
      <c r="Q4474" s="159">
        <f t="shared" si="734"/>
        <v>9</v>
      </c>
      <c r="R4474" s="160">
        <f t="shared" si="735"/>
        <v>12.783333333267365</v>
      </c>
      <c r="S4474" s="158">
        <f t="shared" si="736"/>
        <v>0.5152591170798746</v>
      </c>
      <c r="T4474" s="161">
        <f t="shared" si="737"/>
        <v>248.35489443249955</v>
      </c>
      <c r="U4474" s="158">
        <f t="shared" si="739"/>
        <v>19.428023032629557</v>
      </c>
      <c r="V4474" s="160">
        <f t="shared" si="738"/>
        <v>19</v>
      </c>
    </row>
    <row r="4475" spans="1:22" x14ac:dyDescent="0.25">
      <c r="A4475" s="98" t="s">
        <v>25</v>
      </c>
      <c r="B4475" s="98" t="s">
        <v>17</v>
      </c>
      <c r="C4475" s="98">
        <v>167</v>
      </c>
      <c r="D4475" s="98">
        <v>1488</v>
      </c>
      <c r="E4475" s="157">
        <v>41548</v>
      </c>
      <c r="F4475" s="157">
        <v>41554.907638888886</v>
      </c>
      <c r="G4475" s="98">
        <v>500</v>
      </c>
      <c r="H4475" s="98">
        <v>521</v>
      </c>
      <c r="I4475" s="98">
        <v>482</v>
      </c>
      <c r="J4475" s="98" t="s">
        <v>2284</v>
      </c>
      <c r="K4475" s="98" t="s">
        <v>52</v>
      </c>
      <c r="L4475" s="105" t="str">
        <f t="shared" si="730"/>
        <v>Mill Creek</v>
      </c>
      <c r="M4475" s="105" t="str">
        <f t="shared" si="731"/>
        <v>Derate</v>
      </c>
      <c r="N4475" s="105" t="str">
        <f t="shared" si="732"/>
        <v>Coal</v>
      </c>
      <c r="O4475" s="105">
        <f>IFERROR(VLOOKUP(A4475,Lookup!$J$5:$P$19,7,FALSE),0)</f>
        <v>3</v>
      </c>
      <c r="P4475" s="159">
        <f t="shared" si="733"/>
        <v>2013</v>
      </c>
      <c r="Q4475" s="159">
        <f t="shared" si="734"/>
        <v>10</v>
      </c>
      <c r="R4475" s="160">
        <f t="shared" si="735"/>
        <v>165.78333333326736</v>
      </c>
      <c r="S4475" s="158">
        <f t="shared" si="736"/>
        <v>6.6822456813792988</v>
      </c>
      <c r="T4475" s="161">
        <f t="shared" si="737"/>
        <v>3220.842418424822</v>
      </c>
      <c r="U4475" s="158">
        <f t="shared" si="739"/>
        <v>19.428023032629557</v>
      </c>
      <c r="V4475" s="160">
        <f t="shared" si="738"/>
        <v>19</v>
      </c>
    </row>
    <row r="4476" spans="1:22" x14ac:dyDescent="0.25">
      <c r="A4476" s="98" t="s">
        <v>25</v>
      </c>
      <c r="B4476" s="98" t="s">
        <v>20</v>
      </c>
      <c r="C4476" s="98">
        <v>168</v>
      </c>
      <c r="D4476" s="98">
        <v>1488</v>
      </c>
      <c r="E4476" s="157">
        <v>41554.907638888886</v>
      </c>
      <c r="F4476" s="157">
        <v>41559.009027777778</v>
      </c>
      <c r="G4476" s="98">
        <v>0</v>
      </c>
      <c r="H4476" s="98">
        <v>521</v>
      </c>
      <c r="I4476" s="98">
        <v>482</v>
      </c>
      <c r="J4476" s="98" t="s">
        <v>2284</v>
      </c>
      <c r="K4476" s="98" t="s">
        <v>54</v>
      </c>
      <c r="L4476" s="105" t="str">
        <f t="shared" si="730"/>
        <v>Mill Creek</v>
      </c>
      <c r="M4476" s="105" t="str">
        <f t="shared" si="731"/>
        <v>Maintenance</v>
      </c>
      <c r="N4476" s="105" t="str">
        <f t="shared" si="732"/>
        <v>Coal</v>
      </c>
      <c r="O4476" s="105">
        <f>IFERROR(VLOOKUP(A4476,Lookup!$J$5:$P$19,7,FALSE),0)</f>
        <v>3</v>
      </c>
      <c r="P4476" s="159">
        <f t="shared" si="733"/>
        <v>2013</v>
      </c>
      <c r="Q4476" s="159">
        <f t="shared" si="734"/>
        <v>10</v>
      </c>
      <c r="R4476" s="160">
        <f t="shared" si="735"/>
        <v>98.433333333407063</v>
      </c>
      <c r="S4476" s="158">
        <f t="shared" si="736"/>
        <v>98.433333333407063</v>
      </c>
      <c r="T4476" s="161">
        <f t="shared" si="737"/>
        <v>47444.866666702204</v>
      </c>
      <c r="U4476" s="158">
        <f t="shared" si="739"/>
        <v>482</v>
      </c>
      <c r="V4476" s="160">
        <f t="shared" si="738"/>
        <v>482</v>
      </c>
    </row>
    <row r="4477" spans="1:22" x14ac:dyDescent="0.25">
      <c r="A4477" s="98" t="s">
        <v>25</v>
      </c>
      <c r="B4477" s="98" t="s">
        <v>79</v>
      </c>
      <c r="C4477" s="98">
        <v>169</v>
      </c>
      <c r="D4477" s="98">
        <v>1850</v>
      </c>
      <c r="E4477" s="157">
        <v>41559.009027777778</v>
      </c>
      <c r="F4477" s="157">
        <v>41559.806944444441</v>
      </c>
      <c r="G4477" s="98">
        <v>0</v>
      </c>
      <c r="H4477" s="98">
        <v>521</v>
      </c>
      <c r="I4477" s="98">
        <v>482</v>
      </c>
      <c r="J4477" s="98" t="s">
        <v>2263</v>
      </c>
      <c r="K4477" s="98" t="s">
        <v>88</v>
      </c>
      <c r="L4477" s="105" t="str">
        <f t="shared" si="730"/>
        <v>Mill Creek</v>
      </c>
      <c r="M4477" s="105" t="str">
        <f t="shared" si="731"/>
        <v>Other</v>
      </c>
      <c r="N4477" s="105" t="str">
        <f t="shared" si="732"/>
        <v>Coal</v>
      </c>
      <c r="O4477" s="105">
        <f>IFERROR(VLOOKUP(A4477,Lookup!$J$5:$P$19,7,FALSE),0)</f>
        <v>3</v>
      </c>
      <c r="P4477" s="159">
        <f t="shared" si="733"/>
        <v>2013</v>
      </c>
      <c r="Q4477" s="159">
        <f t="shared" si="734"/>
        <v>10</v>
      </c>
      <c r="R4477" s="160">
        <f t="shared" si="735"/>
        <v>19.149999999906868</v>
      </c>
      <c r="S4477" s="158">
        <f t="shared" si="736"/>
        <v>19.149999999906868</v>
      </c>
      <c r="T4477" s="161">
        <f t="shared" si="737"/>
        <v>9230.2999999551103</v>
      </c>
      <c r="U4477" s="158">
        <f t="shared" si="739"/>
        <v>482</v>
      </c>
      <c r="V4477" s="160">
        <f t="shared" si="738"/>
        <v>482</v>
      </c>
    </row>
    <row r="4478" spans="1:22" x14ac:dyDescent="0.25">
      <c r="A4478" s="98" t="s">
        <v>25</v>
      </c>
      <c r="B4478" s="98" t="s">
        <v>17</v>
      </c>
      <c r="C4478" s="98">
        <v>170</v>
      </c>
      <c r="D4478" s="98">
        <v>4609</v>
      </c>
      <c r="E4478" s="157">
        <v>41560.665277777778</v>
      </c>
      <c r="F4478" s="157">
        <v>41560.770138888889</v>
      </c>
      <c r="G4478" s="98">
        <v>420</v>
      </c>
      <c r="H4478" s="98">
        <v>521</v>
      </c>
      <c r="I4478" s="98">
        <v>482</v>
      </c>
      <c r="J4478" s="98" t="s">
        <v>2105</v>
      </c>
      <c r="K4478" s="98" t="s">
        <v>1638</v>
      </c>
      <c r="L4478" s="105" t="str">
        <f t="shared" si="730"/>
        <v>Mill Creek</v>
      </c>
      <c r="M4478" s="105" t="str">
        <f t="shared" si="731"/>
        <v>Derate</v>
      </c>
      <c r="N4478" s="105" t="str">
        <f t="shared" si="732"/>
        <v>Coal</v>
      </c>
      <c r="O4478" s="105">
        <f>IFERROR(VLOOKUP(A4478,Lookup!$J$5:$P$19,7,FALSE),0)</f>
        <v>3</v>
      </c>
      <c r="P4478" s="159">
        <f t="shared" si="733"/>
        <v>2013</v>
      </c>
      <c r="Q4478" s="159">
        <f t="shared" si="734"/>
        <v>10</v>
      </c>
      <c r="R4478" s="160">
        <f t="shared" si="735"/>
        <v>2.5166666666627862</v>
      </c>
      <c r="S4478" s="158">
        <f t="shared" si="736"/>
        <v>0.48787587971773783</v>
      </c>
      <c r="T4478" s="161">
        <f t="shared" si="737"/>
        <v>235.15617402394963</v>
      </c>
      <c r="U4478" s="158">
        <f t="shared" si="739"/>
        <v>93.439539347408825</v>
      </c>
      <c r="V4478" s="160">
        <f t="shared" si="738"/>
        <v>93</v>
      </c>
    </row>
    <row r="4479" spans="1:22" x14ac:dyDescent="0.25">
      <c r="A4479" s="98" t="s">
        <v>25</v>
      </c>
      <c r="B4479" s="98" t="s">
        <v>17</v>
      </c>
      <c r="C4479" s="98">
        <v>171</v>
      </c>
      <c r="D4479" s="98">
        <v>4609</v>
      </c>
      <c r="E4479" s="157">
        <v>41560.770138888889</v>
      </c>
      <c r="F4479" s="157">
        <v>41561.25</v>
      </c>
      <c r="G4479" s="98">
        <v>430</v>
      </c>
      <c r="H4479" s="98">
        <v>521</v>
      </c>
      <c r="I4479" s="98">
        <v>482</v>
      </c>
      <c r="J4479" s="98" t="s">
        <v>2105</v>
      </c>
      <c r="K4479" s="98" t="s">
        <v>1638</v>
      </c>
      <c r="L4479" s="105" t="str">
        <f t="shared" si="730"/>
        <v>Mill Creek</v>
      </c>
      <c r="M4479" s="105" t="str">
        <f t="shared" si="731"/>
        <v>Derate</v>
      </c>
      <c r="N4479" s="105" t="str">
        <f t="shared" si="732"/>
        <v>Coal</v>
      </c>
      <c r="O4479" s="105">
        <f>IFERROR(VLOOKUP(A4479,Lookup!$J$5:$P$19,7,FALSE),0)</f>
        <v>3</v>
      </c>
      <c r="P4479" s="159">
        <f t="shared" si="733"/>
        <v>2013</v>
      </c>
      <c r="Q4479" s="159">
        <f t="shared" si="734"/>
        <v>10</v>
      </c>
      <c r="R4479" s="160">
        <f t="shared" si="735"/>
        <v>11.516666666662786</v>
      </c>
      <c r="S4479" s="158">
        <f t="shared" si="736"/>
        <v>2.0115483045418685</v>
      </c>
      <c r="T4479" s="161">
        <f t="shared" si="737"/>
        <v>969.5662827891806</v>
      </c>
      <c r="U4479" s="158">
        <f t="shared" si="739"/>
        <v>84.188099808061423</v>
      </c>
      <c r="V4479" s="160">
        <f t="shared" si="738"/>
        <v>84</v>
      </c>
    </row>
    <row r="4480" spans="1:22" x14ac:dyDescent="0.25">
      <c r="A4480" s="98" t="s">
        <v>25</v>
      </c>
      <c r="B4480" s="98" t="s">
        <v>17</v>
      </c>
      <c r="C4480" s="98">
        <v>172</v>
      </c>
      <c r="D4480" s="98">
        <v>4609</v>
      </c>
      <c r="E4480" s="157">
        <v>41561.25</v>
      </c>
      <c r="F4480" s="157">
        <v>41561.333333333336</v>
      </c>
      <c r="G4480" s="98">
        <v>300</v>
      </c>
      <c r="H4480" s="98">
        <v>521</v>
      </c>
      <c r="I4480" s="98">
        <v>482</v>
      </c>
      <c r="J4480" s="98" t="s">
        <v>2105</v>
      </c>
      <c r="K4480" s="98" t="s">
        <v>1638</v>
      </c>
      <c r="L4480" s="105" t="str">
        <f t="shared" si="730"/>
        <v>Mill Creek</v>
      </c>
      <c r="M4480" s="105" t="str">
        <f t="shared" si="731"/>
        <v>Derate</v>
      </c>
      <c r="N4480" s="105" t="str">
        <f t="shared" si="732"/>
        <v>Coal</v>
      </c>
      <c r="O4480" s="105">
        <f>IFERROR(VLOOKUP(A4480,Lookup!$J$5:$P$19,7,FALSE),0)</f>
        <v>3</v>
      </c>
      <c r="P4480" s="159">
        <f t="shared" si="733"/>
        <v>2013</v>
      </c>
      <c r="Q4480" s="159">
        <f t="shared" si="734"/>
        <v>10</v>
      </c>
      <c r="R4480" s="160">
        <f t="shared" si="735"/>
        <v>2.0000000000582077</v>
      </c>
      <c r="S4480" s="158">
        <f t="shared" si="736"/>
        <v>0.84836852209762748</v>
      </c>
      <c r="T4480" s="161">
        <f t="shared" si="737"/>
        <v>408.91362765105646</v>
      </c>
      <c r="U4480" s="158">
        <f t="shared" si="739"/>
        <v>204.45681381957775</v>
      </c>
      <c r="V4480" s="160">
        <f t="shared" si="738"/>
        <v>204</v>
      </c>
    </row>
    <row r="4481" spans="1:22" x14ac:dyDescent="0.25">
      <c r="A4481" s="98" t="s">
        <v>25</v>
      </c>
      <c r="B4481" s="98" t="s">
        <v>17</v>
      </c>
      <c r="C4481" s="98">
        <v>173</v>
      </c>
      <c r="D4481" s="98">
        <v>4609</v>
      </c>
      <c r="E4481" s="157">
        <v>41561.333333333336</v>
      </c>
      <c r="F4481" s="157">
        <v>41561.416666666664</v>
      </c>
      <c r="G4481" s="98">
        <v>480</v>
      </c>
      <c r="H4481" s="98">
        <v>521</v>
      </c>
      <c r="I4481" s="98">
        <v>482</v>
      </c>
      <c r="J4481" s="98" t="s">
        <v>2105</v>
      </c>
      <c r="K4481" s="98" t="s">
        <v>1638</v>
      </c>
      <c r="L4481" s="105" t="str">
        <f t="shared" si="730"/>
        <v>Mill Creek</v>
      </c>
      <c r="M4481" s="105" t="str">
        <f t="shared" si="731"/>
        <v>Derate</v>
      </c>
      <c r="N4481" s="105" t="str">
        <f t="shared" si="732"/>
        <v>Coal</v>
      </c>
      <c r="O4481" s="105">
        <f>IFERROR(VLOOKUP(A4481,Lookup!$J$5:$P$19,7,FALSE),0)</f>
        <v>3</v>
      </c>
      <c r="P4481" s="159">
        <f t="shared" si="733"/>
        <v>2013</v>
      </c>
      <c r="Q4481" s="159">
        <f t="shared" si="734"/>
        <v>10</v>
      </c>
      <c r="R4481" s="160">
        <f t="shared" si="735"/>
        <v>1.9999999998835847</v>
      </c>
      <c r="S4481" s="158">
        <f t="shared" si="736"/>
        <v>0.15738963530753738</v>
      </c>
      <c r="T4481" s="161">
        <f t="shared" si="737"/>
        <v>75.861804218233019</v>
      </c>
      <c r="U4481" s="158">
        <f t="shared" si="739"/>
        <v>37.930902111324379</v>
      </c>
      <c r="V4481" s="160">
        <f t="shared" si="738"/>
        <v>38</v>
      </c>
    </row>
    <row r="4482" spans="1:22" x14ac:dyDescent="0.25">
      <c r="A4482" s="98" t="s">
        <v>25</v>
      </c>
      <c r="B4482" s="98" t="s">
        <v>17</v>
      </c>
      <c r="C4482" s="98">
        <v>174</v>
      </c>
      <c r="D4482" s="98">
        <v>1710</v>
      </c>
      <c r="E4482" s="157">
        <v>41561.416666666664</v>
      </c>
      <c r="F4482" s="157">
        <v>41564.927777777775</v>
      </c>
      <c r="G4482" s="98">
        <v>520</v>
      </c>
      <c r="H4482" s="98">
        <v>521</v>
      </c>
      <c r="I4482" s="98">
        <v>482</v>
      </c>
      <c r="J4482" s="98" t="s">
        <v>2020</v>
      </c>
      <c r="K4482" s="98" t="s">
        <v>718</v>
      </c>
      <c r="L4482" s="105" t="str">
        <f t="shared" si="730"/>
        <v>Mill Creek</v>
      </c>
      <c r="M4482" s="105" t="str">
        <f t="shared" si="731"/>
        <v>Derate</v>
      </c>
      <c r="N4482" s="105" t="str">
        <f t="shared" si="732"/>
        <v>Coal</v>
      </c>
      <c r="O4482" s="105">
        <f>IFERROR(VLOOKUP(A4482,Lookup!$J$5:$P$19,7,FALSE),0)</f>
        <v>3</v>
      </c>
      <c r="P4482" s="159">
        <f t="shared" si="733"/>
        <v>2013</v>
      </c>
      <c r="Q4482" s="159">
        <f t="shared" si="734"/>
        <v>10</v>
      </c>
      <c r="R4482" s="160">
        <f t="shared" si="735"/>
        <v>84.266666666662786</v>
      </c>
      <c r="S4482" s="158">
        <f t="shared" si="736"/>
        <v>0.16174024312219346</v>
      </c>
      <c r="T4482" s="161">
        <f t="shared" si="737"/>
        <v>77.95879718489725</v>
      </c>
      <c r="U4482" s="158">
        <f t="shared" si="739"/>
        <v>0.92514395393474091</v>
      </c>
      <c r="V4482" s="160">
        <f t="shared" si="738"/>
        <v>1</v>
      </c>
    </row>
    <row r="4483" spans="1:22" x14ac:dyDescent="0.25">
      <c r="A4483" s="98" t="s">
        <v>25</v>
      </c>
      <c r="B4483" s="98" t="s">
        <v>20</v>
      </c>
      <c r="C4483" s="98">
        <v>175</v>
      </c>
      <c r="D4483" s="98">
        <v>4609</v>
      </c>
      <c r="E4483" s="157">
        <v>41564.927777777775</v>
      </c>
      <c r="F4483" s="157">
        <v>41565.966666666667</v>
      </c>
      <c r="G4483" s="98">
        <v>0</v>
      </c>
      <c r="H4483" s="98">
        <v>521</v>
      </c>
      <c r="I4483" s="98">
        <v>482</v>
      </c>
      <c r="J4483" s="98" t="s">
        <v>2105</v>
      </c>
      <c r="K4483" s="98" t="s">
        <v>1639</v>
      </c>
      <c r="L4483" s="105" t="str">
        <f t="shared" si="730"/>
        <v>Mill Creek</v>
      </c>
      <c r="M4483" s="105" t="str">
        <f t="shared" si="731"/>
        <v>Maintenance</v>
      </c>
      <c r="N4483" s="105" t="str">
        <f t="shared" si="732"/>
        <v>Coal</v>
      </c>
      <c r="O4483" s="105">
        <f>IFERROR(VLOOKUP(A4483,Lookup!$J$5:$P$19,7,FALSE),0)</f>
        <v>3</v>
      </c>
      <c r="P4483" s="159">
        <f t="shared" si="733"/>
        <v>2013</v>
      </c>
      <c r="Q4483" s="159">
        <f t="shared" si="734"/>
        <v>10</v>
      </c>
      <c r="R4483" s="160">
        <f t="shared" si="735"/>
        <v>24.933333333407063</v>
      </c>
      <c r="S4483" s="158">
        <f t="shared" si="736"/>
        <v>24.933333333407063</v>
      </c>
      <c r="T4483" s="161">
        <f t="shared" si="737"/>
        <v>12017.866666702204</v>
      </c>
      <c r="U4483" s="158">
        <f t="shared" si="739"/>
        <v>482</v>
      </c>
      <c r="V4483" s="160">
        <f t="shared" si="738"/>
        <v>482</v>
      </c>
    </row>
    <row r="4484" spans="1:22" x14ac:dyDescent="0.25">
      <c r="A4484" s="98" t="s">
        <v>25</v>
      </c>
      <c r="B4484" s="98" t="s">
        <v>79</v>
      </c>
      <c r="C4484" s="98">
        <v>176</v>
      </c>
      <c r="D4484" s="98">
        <v>1850</v>
      </c>
      <c r="E4484" s="157">
        <v>41565.966666666667</v>
      </c>
      <c r="F4484" s="157">
        <v>41566.67291666667</v>
      </c>
      <c r="G4484" s="98">
        <v>0</v>
      </c>
      <c r="H4484" s="98">
        <v>521</v>
      </c>
      <c r="I4484" s="98">
        <v>482</v>
      </c>
      <c r="J4484" s="98" t="s">
        <v>2263</v>
      </c>
      <c r="K4484" s="98" t="s">
        <v>86</v>
      </c>
      <c r="L4484" s="105" t="str">
        <f t="shared" si="730"/>
        <v>Mill Creek</v>
      </c>
      <c r="M4484" s="105" t="str">
        <f t="shared" si="731"/>
        <v>Other</v>
      </c>
      <c r="N4484" s="105" t="str">
        <f t="shared" si="732"/>
        <v>Coal</v>
      </c>
      <c r="O4484" s="105">
        <f>IFERROR(VLOOKUP(A4484,Lookup!$J$5:$P$19,7,FALSE),0)</f>
        <v>3</v>
      </c>
      <c r="P4484" s="159">
        <f t="shared" si="733"/>
        <v>2013</v>
      </c>
      <c r="Q4484" s="159">
        <f t="shared" si="734"/>
        <v>10</v>
      </c>
      <c r="R4484" s="160">
        <f t="shared" si="735"/>
        <v>16.950000000069849</v>
      </c>
      <c r="S4484" s="158">
        <f t="shared" si="736"/>
        <v>16.950000000069849</v>
      </c>
      <c r="T4484" s="161">
        <f t="shared" si="737"/>
        <v>8169.9000000336673</v>
      </c>
      <c r="U4484" s="158">
        <f t="shared" si="739"/>
        <v>482</v>
      </c>
      <c r="V4484" s="160">
        <f t="shared" si="738"/>
        <v>482</v>
      </c>
    </row>
    <row r="4485" spans="1:22" x14ac:dyDescent="0.25">
      <c r="A4485" s="98" t="s">
        <v>25</v>
      </c>
      <c r="B4485" s="98" t="s">
        <v>15</v>
      </c>
      <c r="C4485" s="98">
        <v>177</v>
      </c>
      <c r="D4485" s="98">
        <v>1060</v>
      </c>
      <c r="E4485" s="157">
        <v>41582.665972222225</v>
      </c>
      <c r="F4485" s="157">
        <v>41587.161111111112</v>
      </c>
      <c r="G4485" s="98">
        <v>0</v>
      </c>
      <c r="H4485" s="98">
        <v>521</v>
      </c>
      <c r="I4485" s="98">
        <v>482</v>
      </c>
      <c r="J4485" s="98" t="s">
        <v>2179</v>
      </c>
      <c r="K4485" s="98" t="s">
        <v>1640</v>
      </c>
      <c r="L4485" s="105" t="str">
        <f t="shared" si="730"/>
        <v>Mill Creek</v>
      </c>
      <c r="M4485" s="105" t="str">
        <f t="shared" si="731"/>
        <v>Outage</v>
      </c>
      <c r="N4485" s="105" t="str">
        <f t="shared" si="732"/>
        <v>Coal</v>
      </c>
      <c r="O4485" s="105">
        <f>IFERROR(VLOOKUP(A4485,Lookup!$J$5:$P$19,7,FALSE),0)</f>
        <v>3</v>
      </c>
      <c r="P4485" s="159">
        <f t="shared" si="733"/>
        <v>2013</v>
      </c>
      <c r="Q4485" s="159">
        <f t="shared" si="734"/>
        <v>11</v>
      </c>
      <c r="R4485" s="160">
        <f t="shared" si="735"/>
        <v>107.88333333330229</v>
      </c>
      <c r="S4485" s="158">
        <f t="shared" si="736"/>
        <v>107.88333333330229</v>
      </c>
      <c r="T4485" s="161">
        <f t="shared" si="737"/>
        <v>51999.766666651703</v>
      </c>
      <c r="U4485" s="158">
        <f t="shared" si="739"/>
        <v>482</v>
      </c>
      <c r="V4485" s="160">
        <f t="shared" si="738"/>
        <v>482</v>
      </c>
    </row>
    <row r="4486" spans="1:22" x14ac:dyDescent="0.25">
      <c r="A4486" s="98" t="s">
        <v>25</v>
      </c>
      <c r="B4486" s="98" t="s">
        <v>17</v>
      </c>
      <c r="C4486" s="98">
        <v>178</v>
      </c>
      <c r="D4486" s="98">
        <v>300</v>
      </c>
      <c r="E4486" s="157">
        <v>41587.75</v>
      </c>
      <c r="F4486" s="157">
        <v>41587.822916666664</v>
      </c>
      <c r="G4486" s="98">
        <v>465</v>
      </c>
      <c r="H4486" s="98">
        <v>521</v>
      </c>
      <c r="I4486" s="98">
        <v>482</v>
      </c>
      <c r="J4486" s="98" t="s">
        <v>1977</v>
      </c>
      <c r="K4486" s="98" t="s">
        <v>1641</v>
      </c>
      <c r="L4486" s="105" t="str">
        <f t="shared" si="730"/>
        <v>Mill Creek</v>
      </c>
      <c r="M4486" s="105" t="str">
        <f t="shared" si="731"/>
        <v>Derate</v>
      </c>
      <c r="N4486" s="105" t="str">
        <f t="shared" si="732"/>
        <v>Coal</v>
      </c>
      <c r="O4486" s="105">
        <f>IFERROR(VLOOKUP(A4486,Lookup!$J$5:$P$19,7,FALSE),0)</f>
        <v>3</v>
      </c>
      <c r="P4486" s="159">
        <f t="shared" si="733"/>
        <v>2013</v>
      </c>
      <c r="Q4486" s="159">
        <f t="shared" si="734"/>
        <v>11</v>
      </c>
      <c r="R4486" s="160">
        <f t="shared" si="735"/>
        <v>1.7499999999417923</v>
      </c>
      <c r="S4486" s="158">
        <f t="shared" si="736"/>
        <v>0.18809980805516385</v>
      </c>
      <c r="T4486" s="161">
        <f t="shared" si="737"/>
        <v>90.664107482588975</v>
      </c>
      <c r="U4486" s="158">
        <f t="shared" si="739"/>
        <v>51.808061420345489</v>
      </c>
      <c r="V4486" s="160">
        <f t="shared" si="738"/>
        <v>52</v>
      </c>
    </row>
    <row r="4487" spans="1:22" x14ac:dyDescent="0.25">
      <c r="A4487" s="98" t="s">
        <v>25</v>
      </c>
      <c r="B4487" s="98" t="s">
        <v>17</v>
      </c>
      <c r="C4487" s="98">
        <v>179</v>
      </c>
      <c r="D4487" s="98">
        <v>9620</v>
      </c>
      <c r="E4487" s="157">
        <v>41589.536111111112</v>
      </c>
      <c r="F4487" s="157">
        <v>41589.746527777781</v>
      </c>
      <c r="G4487" s="98">
        <v>410</v>
      </c>
      <c r="H4487" s="98">
        <v>521</v>
      </c>
      <c r="I4487" s="98">
        <v>482</v>
      </c>
      <c r="J4487" s="98" t="s">
        <v>2029</v>
      </c>
      <c r="K4487" s="98" t="s">
        <v>1642</v>
      </c>
      <c r="L4487" s="105" t="str">
        <f t="shared" si="730"/>
        <v>Mill Creek</v>
      </c>
      <c r="M4487" s="105" t="str">
        <f t="shared" si="731"/>
        <v>Derate</v>
      </c>
      <c r="N4487" s="105" t="str">
        <f t="shared" si="732"/>
        <v>Coal</v>
      </c>
      <c r="O4487" s="105">
        <f>IFERROR(VLOOKUP(A4487,Lookup!$J$5:$P$19,7,FALSE),0)</f>
        <v>3</v>
      </c>
      <c r="P4487" s="159">
        <f t="shared" si="733"/>
        <v>2013</v>
      </c>
      <c r="Q4487" s="159">
        <f t="shared" si="734"/>
        <v>11</v>
      </c>
      <c r="R4487" s="160">
        <f t="shared" si="735"/>
        <v>5.0500000000465661</v>
      </c>
      <c r="S4487" s="158">
        <f t="shared" si="736"/>
        <v>1.0759117082632799</v>
      </c>
      <c r="T4487" s="161">
        <f t="shared" si="737"/>
        <v>518.58944338290087</v>
      </c>
      <c r="U4487" s="158">
        <f t="shared" si="739"/>
        <v>102.69097888675624</v>
      </c>
      <c r="V4487" s="160">
        <f t="shared" si="738"/>
        <v>103</v>
      </c>
    </row>
    <row r="4488" spans="1:22" x14ac:dyDescent="0.25">
      <c r="A4488" s="98" t="s">
        <v>25</v>
      </c>
      <c r="B4488" s="98" t="s">
        <v>17</v>
      </c>
      <c r="C4488" s="98">
        <v>180</v>
      </c>
      <c r="D4488" s="98">
        <v>9620</v>
      </c>
      <c r="E4488" s="157">
        <v>41589.746527777781</v>
      </c>
      <c r="F4488" s="157">
        <v>41589.934027777781</v>
      </c>
      <c r="G4488" s="98">
        <v>320</v>
      </c>
      <c r="H4488" s="98">
        <v>521</v>
      </c>
      <c r="I4488" s="98">
        <v>482</v>
      </c>
      <c r="J4488" s="98" t="s">
        <v>2029</v>
      </c>
      <c r="K4488" s="98" t="s">
        <v>1642</v>
      </c>
      <c r="L4488" s="105" t="str">
        <f t="shared" si="730"/>
        <v>Mill Creek</v>
      </c>
      <c r="M4488" s="105" t="str">
        <f t="shared" si="731"/>
        <v>Derate</v>
      </c>
      <c r="N4488" s="105" t="str">
        <f t="shared" si="732"/>
        <v>Coal</v>
      </c>
      <c r="O4488" s="105">
        <f>IFERROR(VLOOKUP(A4488,Lookup!$J$5:$P$19,7,FALSE),0)</f>
        <v>3</v>
      </c>
      <c r="P4488" s="159">
        <f t="shared" si="733"/>
        <v>2013</v>
      </c>
      <c r="Q4488" s="159">
        <f t="shared" si="734"/>
        <v>11</v>
      </c>
      <c r="R4488" s="160">
        <f t="shared" si="735"/>
        <v>4.5</v>
      </c>
      <c r="S4488" s="158">
        <f t="shared" si="736"/>
        <v>1.7360844529750479</v>
      </c>
      <c r="T4488" s="161">
        <f t="shared" si="737"/>
        <v>836.79270633397311</v>
      </c>
      <c r="U4488" s="158">
        <f t="shared" si="739"/>
        <v>185.95393474088291</v>
      </c>
      <c r="V4488" s="160">
        <f t="shared" si="738"/>
        <v>186</v>
      </c>
    </row>
    <row r="4489" spans="1:22" x14ac:dyDescent="0.25">
      <c r="A4489" s="98" t="s">
        <v>25</v>
      </c>
      <c r="B4489" s="98" t="s">
        <v>17</v>
      </c>
      <c r="C4489" s="98">
        <v>181</v>
      </c>
      <c r="D4489" s="98">
        <v>9620</v>
      </c>
      <c r="E4489" s="157">
        <v>41589.934027777781</v>
      </c>
      <c r="F4489" s="157">
        <v>41589.944444444445</v>
      </c>
      <c r="G4489" s="98">
        <v>420</v>
      </c>
      <c r="H4489" s="98">
        <v>521</v>
      </c>
      <c r="I4489" s="98">
        <v>482</v>
      </c>
      <c r="J4489" s="98" t="s">
        <v>2029</v>
      </c>
      <c r="K4489" s="98" t="s">
        <v>1642</v>
      </c>
      <c r="L4489" s="105" t="str">
        <f t="shared" si="730"/>
        <v>Mill Creek</v>
      </c>
      <c r="M4489" s="105" t="str">
        <f t="shared" si="731"/>
        <v>Derate</v>
      </c>
      <c r="N4489" s="105" t="str">
        <f t="shared" si="732"/>
        <v>Coal</v>
      </c>
      <c r="O4489" s="105">
        <f>IFERROR(VLOOKUP(A4489,Lookup!$J$5:$P$19,7,FALSE),0)</f>
        <v>3</v>
      </c>
      <c r="P4489" s="159">
        <f t="shared" si="733"/>
        <v>2013</v>
      </c>
      <c r="Q4489" s="159">
        <f t="shared" si="734"/>
        <v>11</v>
      </c>
      <c r="R4489" s="160">
        <f t="shared" si="735"/>
        <v>0.24999999994179234</v>
      </c>
      <c r="S4489" s="158">
        <f t="shared" si="736"/>
        <v>4.8464491351479899E-2</v>
      </c>
      <c r="T4489" s="161">
        <f t="shared" si="737"/>
        <v>23.359884831413311</v>
      </c>
      <c r="U4489" s="158">
        <f t="shared" si="739"/>
        <v>93.439539347408825</v>
      </c>
      <c r="V4489" s="160">
        <f t="shared" si="738"/>
        <v>93</v>
      </c>
    </row>
    <row r="4490" spans="1:22" x14ac:dyDescent="0.25">
      <c r="A4490" s="98" t="s">
        <v>25</v>
      </c>
      <c r="B4490" s="98" t="s">
        <v>17</v>
      </c>
      <c r="C4490" s="98">
        <v>182</v>
      </c>
      <c r="D4490" s="98">
        <v>270</v>
      </c>
      <c r="E4490" s="157">
        <v>41590.069444444445</v>
      </c>
      <c r="F4490" s="157">
        <v>41590.28402777778</v>
      </c>
      <c r="G4490" s="98">
        <v>440</v>
      </c>
      <c r="H4490" s="98">
        <v>521</v>
      </c>
      <c r="I4490" s="98">
        <v>482</v>
      </c>
      <c r="J4490" s="98" t="s">
        <v>2031</v>
      </c>
      <c r="K4490" s="98" t="s">
        <v>1643</v>
      </c>
      <c r="L4490" s="105" t="str">
        <f t="shared" si="730"/>
        <v>Mill Creek</v>
      </c>
      <c r="M4490" s="105" t="str">
        <f t="shared" si="731"/>
        <v>Derate</v>
      </c>
      <c r="N4490" s="105" t="str">
        <f t="shared" si="732"/>
        <v>Coal</v>
      </c>
      <c r="O4490" s="105">
        <f>IFERROR(VLOOKUP(A4490,Lookup!$J$5:$P$19,7,FALSE),0)</f>
        <v>3</v>
      </c>
      <c r="P4490" s="159">
        <f t="shared" si="733"/>
        <v>2013</v>
      </c>
      <c r="Q4490" s="159">
        <f t="shared" si="734"/>
        <v>11</v>
      </c>
      <c r="R4490" s="160">
        <f t="shared" si="735"/>
        <v>5.1500000000232831</v>
      </c>
      <c r="S4490" s="158">
        <f t="shared" si="736"/>
        <v>0.80067178503241065</v>
      </c>
      <c r="T4490" s="161">
        <f t="shared" si="737"/>
        <v>385.92380038562192</v>
      </c>
      <c r="U4490" s="158">
        <f t="shared" si="739"/>
        <v>74.936660268714007</v>
      </c>
      <c r="V4490" s="160">
        <f t="shared" si="738"/>
        <v>75</v>
      </c>
    </row>
    <row r="4491" spans="1:22" x14ac:dyDescent="0.25">
      <c r="A4491" s="98" t="s">
        <v>25</v>
      </c>
      <c r="B4491" s="98" t="s">
        <v>17</v>
      </c>
      <c r="C4491" s="98">
        <v>183</v>
      </c>
      <c r="D4491" s="98">
        <v>380</v>
      </c>
      <c r="E4491" s="157">
        <v>41590.309027777781</v>
      </c>
      <c r="F4491" s="157">
        <v>41590.357638888891</v>
      </c>
      <c r="G4491" s="98">
        <v>440</v>
      </c>
      <c r="H4491" s="98">
        <v>521</v>
      </c>
      <c r="I4491" s="98">
        <v>482</v>
      </c>
      <c r="J4491" s="98" t="s">
        <v>2017</v>
      </c>
      <c r="K4491" s="98" t="s">
        <v>1644</v>
      </c>
      <c r="L4491" s="105" t="str">
        <f t="shared" si="730"/>
        <v>Mill Creek</v>
      </c>
      <c r="M4491" s="105" t="str">
        <f t="shared" si="731"/>
        <v>Derate</v>
      </c>
      <c r="N4491" s="105" t="str">
        <f t="shared" si="732"/>
        <v>Coal</v>
      </c>
      <c r="O4491" s="105">
        <f>IFERROR(VLOOKUP(A4491,Lookup!$J$5:$P$19,7,FALSE),0)</f>
        <v>3</v>
      </c>
      <c r="P4491" s="159">
        <f t="shared" si="733"/>
        <v>2013</v>
      </c>
      <c r="Q4491" s="159">
        <f t="shared" si="734"/>
        <v>11</v>
      </c>
      <c r="R4491" s="160">
        <f t="shared" si="735"/>
        <v>1.1666666666278616</v>
      </c>
      <c r="S4491" s="158">
        <f t="shared" si="736"/>
        <v>0.18138195776747942</v>
      </c>
      <c r="T4491" s="161">
        <f t="shared" si="737"/>
        <v>87.426103643925089</v>
      </c>
      <c r="U4491" s="158">
        <f t="shared" si="739"/>
        <v>74.936660268714007</v>
      </c>
      <c r="V4491" s="160">
        <f t="shared" si="738"/>
        <v>75</v>
      </c>
    </row>
    <row r="4492" spans="1:22" x14ac:dyDescent="0.25">
      <c r="A4492" s="98" t="s">
        <v>25</v>
      </c>
      <c r="B4492" s="98" t="s">
        <v>17</v>
      </c>
      <c r="C4492" s="98">
        <v>184</v>
      </c>
      <c r="D4492" s="98">
        <v>1710</v>
      </c>
      <c r="E4492" s="157">
        <v>41591.333333333336</v>
      </c>
      <c r="F4492" s="157">
        <v>41591.398611111108</v>
      </c>
      <c r="G4492" s="98">
        <v>517</v>
      </c>
      <c r="H4492" s="98">
        <v>521</v>
      </c>
      <c r="I4492" s="98">
        <v>482</v>
      </c>
      <c r="J4492" s="98" t="s">
        <v>2020</v>
      </c>
      <c r="K4492" s="98" t="s">
        <v>1645</v>
      </c>
      <c r="L4492" s="105" t="str">
        <f t="shared" si="730"/>
        <v>Mill Creek</v>
      </c>
      <c r="M4492" s="105" t="str">
        <f t="shared" si="731"/>
        <v>Derate</v>
      </c>
      <c r="N4492" s="105" t="str">
        <f t="shared" si="732"/>
        <v>Coal</v>
      </c>
      <c r="O4492" s="105">
        <f>IFERROR(VLOOKUP(A4492,Lookup!$J$5:$P$19,7,FALSE),0)</f>
        <v>3</v>
      </c>
      <c r="P4492" s="159">
        <f t="shared" si="733"/>
        <v>2013</v>
      </c>
      <c r="Q4492" s="159">
        <f t="shared" si="734"/>
        <v>11</v>
      </c>
      <c r="R4492" s="160">
        <f t="shared" si="735"/>
        <v>1.5666666665347293</v>
      </c>
      <c r="S4492" s="158">
        <f t="shared" si="736"/>
        <v>1.2028150990669707E-2</v>
      </c>
      <c r="T4492" s="161">
        <f t="shared" si="737"/>
        <v>5.7975687775027991</v>
      </c>
      <c r="U4492" s="158">
        <f t="shared" si="739"/>
        <v>3.7005758157389637</v>
      </c>
      <c r="V4492" s="160">
        <f t="shared" si="738"/>
        <v>4</v>
      </c>
    </row>
    <row r="4493" spans="1:22" x14ac:dyDescent="0.25">
      <c r="A4493" s="98" t="s">
        <v>25</v>
      </c>
      <c r="B4493" s="98" t="s">
        <v>17</v>
      </c>
      <c r="C4493" s="98">
        <v>185</v>
      </c>
      <c r="D4493" s="98">
        <v>385</v>
      </c>
      <c r="E4493" s="157">
        <v>41593.569444444445</v>
      </c>
      <c r="F4493" s="157">
        <v>41593.579861111109</v>
      </c>
      <c r="G4493" s="98">
        <v>420</v>
      </c>
      <c r="H4493" s="98">
        <v>521</v>
      </c>
      <c r="I4493" s="98">
        <v>482</v>
      </c>
      <c r="J4493" s="98" t="s">
        <v>228</v>
      </c>
      <c r="K4493" s="98" t="s">
        <v>1646</v>
      </c>
      <c r="L4493" s="105" t="str">
        <f t="shared" si="730"/>
        <v>Mill Creek</v>
      </c>
      <c r="M4493" s="105" t="str">
        <f t="shared" si="731"/>
        <v>Derate</v>
      </c>
      <c r="N4493" s="105" t="str">
        <f t="shared" si="732"/>
        <v>Coal</v>
      </c>
      <c r="O4493" s="105">
        <f>IFERROR(VLOOKUP(A4493,Lookup!$J$5:$P$19,7,FALSE),0)</f>
        <v>3</v>
      </c>
      <c r="P4493" s="159">
        <f t="shared" si="733"/>
        <v>2013</v>
      </c>
      <c r="Q4493" s="159">
        <f t="shared" si="734"/>
        <v>11</v>
      </c>
      <c r="R4493" s="160">
        <f t="shared" si="735"/>
        <v>0.24999999994179234</v>
      </c>
      <c r="S4493" s="158">
        <f t="shared" si="736"/>
        <v>4.8464491351479899E-2</v>
      </c>
      <c r="T4493" s="161">
        <f t="shared" si="737"/>
        <v>23.359884831413311</v>
      </c>
      <c r="U4493" s="158">
        <f t="shared" si="739"/>
        <v>93.439539347408825</v>
      </c>
      <c r="V4493" s="160">
        <f t="shared" si="738"/>
        <v>93</v>
      </c>
    </row>
    <row r="4494" spans="1:22" x14ac:dyDescent="0.25">
      <c r="A4494" s="98" t="s">
        <v>25</v>
      </c>
      <c r="B4494" s="98" t="s">
        <v>79</v>
      </c>
      <c r="C4494" s="98">
        <v>186</v>
      </c>
      <c r="D4494" s="98">
        <v>8460</v>
      </c>
      <c r="E4494" s="157">
        <v>41596.5</v>
      </c>
      <c r="F4494" s="157">
        <v>41596.529166666667</v>
      </c>
      <c r="G4494" s="98">
        <v>0</v>
      </c>
      <c r="H4494" s="98">
        <v>521</v>
      </c>
      <c r="I4494" s="98">
        <v>482</v>
      </c>
      <c r="J4494" s="98" t="s">
        <v>2651</v>
      </c>
      <c r="K4494" s="98" t="s">
        <v>1647</v>
      </c>
      <c r="L4494" s="105" t="str">
        <f t="shared" si="730"/>
        <v>Mill Creek</v>
      </c>
      <c r="M4494" s="105" t="str">
        <f t="shared" si="731"/>
        <v>Other</v>
      </c>
      <c r="N4494" s="105" t="str">
        <f t="shared" si="732"/>
        <v>Coal</v>
      </c>
      <c r="O4494" s="105">
        <f>IFERROR(VLOOKUP(A4494,Lookup!$J$5:$P$19,7,FALSE),0)</f>
        <v>3</v>
      </c>
      <c r="P4494" s="159">
        <f t="shared" si="733"/>
        <v>2013</v>
      </c>
      <c r="Q4494" s="159">
        <f t="shared" si="734"/>
        <v>11</v>
      </c>
      <c r="R4494" s="160">
        <f t="shared" si="735"/>
        <v>0.70000000001164153</v>
      </c>
      <c r="S4494" s="158">
        <f t="shared" si="736"/>
        <v>0.70000000001164153</v>
      </c>
      <c r="T4494" s="161">
        <f t="shared" si="737"/>
        <v>337.40000000561122</v>
      </c>
      <c r="U4494" s="158">
        <f t="shared" si="739"/>
        <v>482</v>
      </c>
      <c r="V4494" s="160">
        <f t="shared" si="738"/>
        <v>482</v>
      </c>
    </row>
    <row r="4495" spans="1:22" x14ac:dyDescent="0.25">
      <c r="A4495" s="98" t="s">
        <v>25</v>
      </c>
      <c r="B4495" s="98" t="s">
        <v>17</v>
      </c>
      <c r="C4495" s="98">
        <v>187</v>
      </c>
      <c r="D4495" s="98">
        <v>1710</v>
      </c>
      <c r="E4495" s="162">
        <v>41596.529166666667</v>
      </c>
      <c r="F4495" s="157">
        <v>41597.5</v>
      </c>
      <c r="G4495" s="98">
        <v>517</v>
      </c>
      <c r="H4495" s="98">
        <v>521</v>
      </c>
      <c r="I4495" s="98">
        <v>482</v>
      </c>
      <c r="J4495" s="98" t="s">
        <v>2020</v>
      </c>
      <c r="K4495" s="98" t="s">
        <v>718</v>
      </c>
      <c r="L4495" s="105" t="str">
        <f t="shared" si="730"/>
        <v>Mill Creek</v>
      </c>
      <c r="M4495" s="105" t="str">
        <f t="shared" si="731"/>
        <v>Derate</v>
      </c>
      <c r="N4495" s="105" t="str">
        <f t="shared" si="732"/>
        <v>Coal</v>
      </c>
      <c r="O4495" s="105">
        <f>IFERROR(VLOOKUP(A4495,Lookup!$J$5:$P$19,7,FALSE),0)</f>
        <v>3</v>
      </c>
      <c r="P4495" s="159">
        <f t="shared" si="733"/>
        <v>2013</v>
      </c>
      <c r="Q4495" s="159">
        <f t="shared" si="734"/>
        <v>11</v>
      </c>
      <c r="R4495" s="160">
        <f t="shared" si="735"/>
        <v>23.299999999988358</v>
      </c>
      <c r="S4495" s="158">
        <f t="shared" si="736"/>
        <v>0.17888675623791447</v>
      </c>
      <c r="T4495" s="161">
        <f t="shared" si="737"/>
        <v>86.223416506674781</v>
      </c>
      <c r="U4495" s="158">
        <f t="shared" si="739"/>
        <v>3.7005758157389637</v>
      </c>
      <c r="V4495" s="160">
        <f t="shared" si="738"/>
        <v>4</v>
      </c>
    </row>
    <row r="4496" spans="1:22" x14ac:dyDescent="0.25">
      <c r="A4496" s="98" t="s">
        <v>25</v>
      </c>
      <c r="B4496" s="98" t="s">
        <v>17</v>
      </c>
      <c r="C4496" s="98">
        <v>188</v>
      </c>
      <c r="D4496" s="98">
        <v>360</v>
      </c>
      <c r="E4496" s="157">
        <v>41596.836111111108</v>
      </c>
      <c r="F4496" s="157">
        <v>41596.878472222219</v>
      </c>
      <c r="G4496" s="98">
        <v>430</v>
      </c>
      <c r="H4496" s="98">
        <v>521</v>
      </c>
      <c r="I4496" s="98">
        <v>482</v>
      </c>
      <c r="J4496" s="98" t="s">
        <v>229</v>
      </c>
      <c r="K4496" s="98" t="s">
        <v>1648</v>
      </c>
      <c r="L4496" s="105" t="str">
        <f t="shared" si="730"/>
        <v>Mill Creek</v>
      </c>
      <c r="M4496" s="105" t="str">
        <f t="shared" si="731"/>
        <v>Derate</v>
      </c>
      <c r="N4496" s="105" t="str">
        <f t="shared" si="732"/>
        <v>Coal</v>
      </c>
      <c r="O4496" s="105">
        <f>IFERROR(VLOOKUP(A4496,Lookup!$J$5:$P$19,7,FALSE),0)</f>
        <v>3</v>
      </c>
      <c r="P4496" s="159">
        <f t="shared" si="733"/>
        <v>2013</v>
      </c>
      <c r="Q4496" s="159">
        <f t="shared" si="734"/>
        <v>11</v>
      </c>
      <c r="R4496" s="160">
        <f t="shared" si="735"/>
        <v>1.0166666666627862</v>
      </c>
      <c r="S4496" s="158">
        <f t="shared" si="736"/>
        <v>0.17757517594302022</v>
      </c>
      <c r="T4496" s="161">
        <f t="shared" si="737"/>
        <v>85.591234804535745</v>
      </c>
      <c r="U4496" s="158">
        <f t="shared" si="739"/>
        <v>84.188099808061423</v>
      </c>
      <c r="V4496" s="160">
        <f t="shared" si="738"/>
        <v>84</v>
      </c>
    </row>
    <row r="4497" spans="1:22" x14ac:dyDescent="0.25">
      <c r="A4497" s="98" t="s">
        <v>25</v>
      </c>
      <c r="B4497" s="98" t="s">
        <v>79</v>
      </c>
      <c r="C4497" s="98">
        <v>189</v>
      </c>
      <c r="D4497" s="98">
        <v>8460</v>
      </c>
      <c r="E4497" s="157">
        <v>41597.322916666664</v>
      </c>
      <c r="F4497" s="157">
        <v>41597.652777777781</v>
      </c>
      <c r="G4497" s="98">
        <v>0</v>
      </c>
      <c r="H4497" s="98">
        <v>521</v>
      </c>
      <c r="I4497" s="98">
        <v>482</v>
      </c>
      <c r="J4497" s="98" t="s">
        <v>2651</v>
      </c>
      <c r="K4497" s="98" t="s">
        <v>1647</v>
      </c>
      <c r="L4497" s="105" t="str">
        <f t="shared" si="730"/>
        <v>Mill Creek</v>
      </c>
      <c r="M4497" s="105" t="str">
        <f t="shared" si="731"/>
        <v>Other</v>
      </c>
      <c r="N4497" s="105" t="str">
        <f t="shared" si="732"/>
        <v>Coal</v>
      </c>
      <c r="O4497" s="105">
        <f>IFERROR(VLOOKUP(A4497,Lookup!$J$5:$P$19,7,FALSE),0)</f>
        <v>3</v>
      </c>
      <c r="P4497" s="159">
        <f t="shared" si="733"/>
        <v>2013</v>
      </c>
      <c r="Q4497" s="159">
        <f t="shared" si="734"/>
        <v>11</v>
      </c>
      <c r="R4497" s="160">
        <f t="shared" si="735"/>
        <v>7.9166666668024845</v>
      </c>
      <c r="S4497" s="158">
        <f t="shared" si="736"/>
        <v>7.9166666668024845</v>
      </c>
      <c r="T4497" s="161">
        <f t="shared" si="737"/>
        <v>3815.8333333987975</v>
      </c>
      <c r="U4497" s="158">
        <f t="shared" si="739"/>
        <v>482</v>
      </c>
      <c r="V4497" s="160">
        <f t="shared" si="738"/>
        <v>482</v>
      </c>
    </row>
    <row r="4498" spans="1:22" x14ac:dyDescent="0.25">
      <c r="A4498" s="98" t="s">
        <v>25</v>
      </c>
      <c r="B4498" s="98" t="s">
        <v>17</v>
      </c>
      <c r="C4498" s="98">
        <v>190</v>
      </c>
      <c r="D4498" s="98">
        <v>1710</v>
      </c>
      <c r="E4498" s="157">
        <v>41597.5</v>
      </c>
      <c r="F4498" s="157">
        <v>41597.75</v>
      </c>
      <c r="G4498" s="98">
        <v>520</v>
      </c>
      <c r="H4498" s="98">
        <v>521</v>
      </c>
      <c r="I4498" s="98">
        <v>482</v>
      </c>
      <c r="J4498" s="98" t="s">
        <v>2020</v>
      </c>
      <c r="K4498" s="98" t="s">
        <v>718</v>
      </c>
      <c r="L4498" s="105" t="str">
        <f t="shared" si="730"/>
        <v>Mill Creek</v>
      </c>
      <c r="M4498" s="105" t="str">
        <f t="shared" si="731"/>
        <v>Derate</v>
      </c>
      <c r="N4498" s="105" t="str">
        <f t="shared" si="732"/>
        <v>Coal</v>
      </c>
      <c r="O4498" s="105">
        <f>IFERROR(VLOOKUP(A4498,Lookup!$J$5:$P$19,7,FALSE),0)</f>
        <v>3</v>
      </c>
      <c r="P4498" s="159">
        <f t="shared" si="733"/>
        <v>2013</v>
      </c>
      <c r="Q4498" s="159">
        <f t="shared" si="734"/>
        <v>11</v>
      </c>
      <c r="R4498" s="160">
        <f t="shared" si="735"/>
        <v>6</v>
      </c>
      <c r="S4498" s="158">
        <f t="shared" si="736"/>
        <v>1.1516314779270634E-2</v>
      </c>
      <c r="T4498" s="161">
        <f t="shared" si="737"/>
        <v>5.5508637236084457</v>
      </c>
      <c r="U4498" s="158">
        <f t="shared" si="739"/>
        <v>0.92514395393474091</v>
      </c>
      <c r="V4498" s="160">
        <f t="shared" si="738"/>
        <v>1</v>
      </c>
    </row>
    <row r="4499" spans="1:22" x14ac:dyDescent="0.25">
      <c r="A4499" s="98" t="s">
        <v>25</v>
      </c>
      <c r="B4499" s="98" t="s">
        <v>79</v>
      </c>
      <c r="C4499" s="98">
        <v>191</v>
      </c>
      <c r="D4499" s="98">
        <v>8460</v>
      </c>
      <c r="E4499" s="157">
        <v>41598.041666666664</v>
      </c>
      <c r="F4499" s="157">
        <v>41598.199999999997</v>
      </c>
      <c r="G4499" s="98">
        <v>0</v>
      </c>
      <c r="H4499" s="98">
        <v>521</v>
      </c>
      <c r="I4499" s="98">
        <v>482</v>
      </c>
      <c r="J4499" s="98" t="s">
        <v>2651</v>
      </c>
      <c r="K4499" s="98" t="s">
        <v>1649</v>
      </c>
      <c r="L4499" s="105" t="str">
        <f t="shared" si="730"/>
        <v>Mill Creek</v>
      </c>
      <c r="M4499" s="105" t="str">
        <f t="shared" si="731"/>
        <v>Other</v>
      </c>
      <c r="N4499" s="105" t="str">
        <f t="shared" si="732"/>
        <v>Coal</v>
      </c>
      <c r="O4499" s="105">
        <f>IFERROR(VLOOKUP(A4499,Lookup!$J$5:$P$19,7,FALSE),0)</f>
        <v>3</v>
      </c>
      <c r="P4499" s="159">
        <f t="shared" si="733"/>
        <v>2013</v>
      </c>
      <c r="Q4499" s="159">
        <f t="shared" si="734"/>
        <v>11</v>
      </c>
      <c r="R4499" s="160">
        <f t="shared" si="735"/>
        <v>3.7999999999883585</v>
      </c>
      <c r="S4499" s="158">
        <f t="shared" si="736"/>
        <v>3.7999999999883585</v>
      </c>
      <c r="T4499" s="161">
        <f t="shared" si="737"/>
        <v>1831.5999999943888</v>
      </c>
      <c r="U4499" s="158">
        <f t="shared" si="739"/>
        <v>482</v>
      </c>
      <c r="V4499" s="160">
        <f t="shared" si="738"/>
        <v>482</v>
      </c>
    </row>
    <row r="4500" spans="1:22" x14ac:dyDescent="0.25">
      <c r="A4500" s="98" t="s">
        <v>25</v>
      </c>
      <c r="B4500" s="98" t="s">
        <v>79</v>
      </c>
      <c r="C4500" s="98">
        <v>192</v>
      </c>
      <c r="D4500" s="98">
        <v>8460</v>
      </c>
      <c r="E4500" s="157">
        <v>41598.357638888891</v>
      </c>
      <c r="F4500" s="157">
        <v>41598.625</v>
      </c>
      <c r="G4500" s="98">
        <v>0</v>
      </c>
      <c r="H4500" s="98">
        <v>521</v>
      </c>
      <c r="I4500" s="98">
        <v>482</v>
      </c>
      <c r="J4500" s="98" t="s">
        <v>2651</v>
      </c>
      <c r="K4500" s="98" t="s">
        <v>1650</v>
      </c>
      <c r="L4500" s="105" t="str">
        <f t="shared" si="730"/>
        <v>Mill Creek</v>
      </c>
      <c r="M4500" s="105" t="str">
        <f t="shared" si="731"/>
        <v>Other</v>
      </c>
      <c r="N4500" s="105" t="str">
        <f t="shared" si="732"/>
        <v>Coal</v>
      </c>
      <c r="O4500" s="105">
        <f>IFERROR(VLOOKUP(A4500,Lookup!$J$5:$P$19,7,FALSE),0)</f>
        <v>3</v>
      </c>
      <c r="P4500" s="159">
        <f t="shared" si="733"/>
        <v>2013</v>
      </c>
      <c r="Q4500" s="159">
        <f t="shared" si="734"/>
        <v>11</v>
      </c>
      <c r="R4500" s="160">
        <f t="shared" si="735"/>
        <v>6.4166666666278616</v>
      </c>
      <c r="S4500" s="158">
        <f t="shared" si="736"/>
        <v>6.4166666666278616</v>
      </c>
      <c r="T4500" s="161">
        <f t="shared" si="737"/>
        <v>3092.8333333146293</v>
      </c>
      <c r="U4500" s="158">
        <f t="shared" si="739"/>
        <v>482</v>
      </c>
      <c r="V4500" s="160">
        <f t="shared" si="738"/>
        <v>482</v>
      </c>
    </row>
    <row r="4501" spans="1:22" x14ac:dyDescent="0.25">
      <c r="A4501" s="98" t="s">
        <v>25</v>
      </c>
      <c r="B4501" s="98" t="s">
        <v>17</v>
      </c>
      <c r="C4501" s="98">
        <v>193</v>
      </c>
      <c r="D4501" s="98">
        <v>310</v>
      </c>
      <c r="E4501" s="157">
        <v>41599.75</v>
      </c>
      <c r="F4501" s="157">
        <v>41599.833333333336</v>
      </c>
      <c r="G4501" s="98">
        <v>465</v>
      </c>
      <c r="H4501" s="98">
        <v>521</v>
      </c>
      <c r="I4501" s="98">
        <v>482</v>
      </c>
      <c r="J4501" s="98" t="s">
        <v>1966</v>
      </c>
      <c r="K4501" s="98" t="s">
        <v>1651</v>
      </c>
      <c r="L4501" s="105" t="str">
        <f t="shared" si="730"/>
        <v>Mill Creek</v>
      </c>
      <c r="M4501" s="105" t="str">
        <f t="shared" si="731"/>
        <v>Derate</v>
      </c>
      <c r="N4501" s="105" t="str">
        <f t="shared" si="732"/>
        <v>Coal</v>
      </c>
      <c r="O4501" s="105">
        <f>IFERROR(VLOOKUP(A4501,Lookup!$J$5:$P$19,7,FALSE),0)</f>
        <v>3</v>
      </c>
      <c r="P4501" s="159">
        <f t="shared" si="733"/>
        <v>2013</v>
      </c>
      <c r="Q4501" s="159">
        <f t="shared" si="734"/>
        <v>11</v>
      </c>
      <c r="R4501" s="160">
        <f t="shared" si="735"/>
        <v>2.0000000000582077</v>
      </c>
      <c r="S4501" s="158">
        <f t="shared" si="736"/>
        <v>0.21497120921930832</v>
      </c>
      <c r="T4501" s="161">
        <f t="shared" si="737"/>
        <v>103.61612284370661</v>
      </c>
      <c r="U4501" s="158">
        <f t="shared" si="739"/>
        <v>51.808061420345489</v>
      </c>
      <c r="V4501" s="160">
        <f t="shared" si="738"/>
        <v>52</v>
      </c>
    </row>
    <row r="4502" spans="1:22" x14ac:dyDescent="0.25">
      <c r="A4502" s="98" t="s">
        <v>25</v>
      </c>
      <c r="B4502" s="98" t="s">
        <v>17</v>
      </c>
      <c r="C4502" s="98">
        <v>194</v>
      </c>
      <c r="D4502" s="98">
        <v>1710</v>
      </c>
      <c r="E4502" s="157">
        <v>41605.347222222219</v>
      </c>
      <c r="F4502" s="157">
        <v>41607.159722222219</v>
      </c>
      <c r="G4502" s="98">
        <v>520</v>
      </c>
      <c r="H4502" s="98">
        <v>521</v>
      </c>
      <c r="I4502" s="98">
        <v>482</v>
      </c>
      <c r="J4502" s="98" t="s">
        <v>2020</v>
      </c>
      <c r="K4502" s="98" t="s">
        <v>718</v>
      </c>
      <c r="L4502" s="105" t="str">
        <f t="shared" si="730"/>
        <v>Mill Creek</v>
      </c>
      <c r="M4502" s="105" t="str">
        <f t="shared" si="731"/>
        <v>Derate</v>
      </c>
      <c r="N4502" s="105" t="str">
        <f t="shared" si="732"/>
        <v>Coal</v>
      </c>
      <c r="O4502" s="105">
        <f>IFERROR(VLOOKUP(A4502,Lookup!$J$5:$P$19,7,FALSE),0)</f>
        <v>3</v>
      </c>
      <c r="P4502" s="159">
        <f t="shared" si="733"/>
        <v>2013</v>
      </c>
      <c r="Q4502" s="159">
        <f t="shared" si="734"/>
        <v>11</v>
      </c>
      <c r="R4502" s="160">
        <f t="shared" si="735"/>
        <v>43.5</v>
      </c>
      <c r="S4502" s="158">
        <f t="shared" si="736"/>
        <v>8.3493282149712092E-2</v>
      </c>
      <c r="T4502" s="161">
        <f t="shared" si="737"/>
        <v>40.243761996161226</v>
      </c>
      <c r="U4502" s="158">
        <f t="shared" si="739"/>
        <v>0.92514395393474091</v>
      </c>
      <c r="V4502" s="160">
        <f t="shared" si="738"/>
        <v>1</v>
      </c>
    </row>
    <row r="4503" spans="1:22" x14ac:dyDescent="0.25">
      <c r="A4503" s="98" t="s">
        <v>25</v>
      </c>
      <c r="B4503" s="98" t="s">
        <v>17</v>
      </c>
      <c r="C4503" s="98">
        <v>195</v>
      </c>
      <c r="D4503" s="98">
        <v>1710</v>
      </c>
      <c r="E4503" s="157">
        <v>41607.159722222219</v>
      </c>
      <c r="F4503" s="157">
        <v>41614.783333333333</v>
      </c>
      <c r="G4503" s="98">
        <v>523</v>
      </c>
      <c r="H4503" s="98">
        <v>521</v>
      </c>
      <c r="I4503" s="98">
        <v>482</v>
      </c>
      <c r="J4503" s="98" t="s">
        <v>2020</v>
      </c>
      <c r="K4503" s="98" t="s">
        <v>718</v>
      </c>
      <c r="L4503" s="105" t="str">
        <f t="shared" si="730"/>
        <v>Mill Creek</v>
      </c>
      <c r="M4503" s="105" t="str">
        <f t="shared" si="731"/>
        <v>Derate</v>
      </c>
      <c r="N4503" s="105" t="str">
        <f t="shared" si="732"/>
        <v>Coal</v>
      </c>
      <c r="O4503" s="105">
        <f>IFERROR(VLOOKUP(A4503,Lookup!$J$5:$P$19,7,FALSE),0)</f>
        <v>3</v>
      </c>
      <c r="P4503" s="159">
        <f t="shared" si="733"/>
        <v>2013</v>
      </c>
      <c r="Q4503" s="159">
        <f t="shared" si="734"/>
        <v>11</v>
      </c>
      <c r="R4503" s="160">
        <f t="shared" si="735"/>
        <v>182.96666666673264</v>
      </c>
      <c r="S4503" s="158">
        <f t="shared" si="736"/>
        <v>-0.70236724248265892</v>
      </c>
      <c r="T4503" s="161">
        <f t="shared" si="737"/>
        <v>-338.54101087664162</v>
      </c>
      <c r="U4503" s="158">
        <f t="shared" si="739"/>
        <v>0</v>
      </c>
      <c r="V4503" s="160">
        <f t="shared" si="738"/>
        <v>0</v>
      </c>
    </row>
    <row r="4504" spans="1:22" x14ac:dyDescent="0.25">
      <c r="A4504" s="98" t="s">
        <v>25</v>
      </c>
      <c r="B4504" s="98" t="s">
        <v>17</v>
      </c>
      <c r="C4504" s="98">
        <v>196</v>
      </c>
      <c r="D4504" s="98">
        <v>1710</v>
      </c>
      <c r="E4504" s="157">
        <v>41614.809027777781</v>
      </c>
      <c r="F4504" s="157">
        <v>41615.463194444441</v>
      </c>
      <c r="G4504" s="98">
        <v>516</v>
      </c>
      <c r="H4504" s="98">
        <v>521</v>
      </c>
      <c r="I4504" s="98">
        <v>482</v>
      </c>
      <c r="J4504" s="98" t="s">
        <v>2020</v>
      </c>
      <c r="K4504" s="98" t="s">
        <v>718</v>
      </c>
      <c r="L4504" s="105" t="str">
        <f t="shared" si="730"/>
        <v>Mill Creek</v>
      </c>
      <c r="M4504" s="105" t="str">
        <f t="shared" si="731"/>
        <v>Derate</v>
      </c>
      <c r="N4504" s="105" t="str">
        <f t="shared" si="732"/>
        <v>Coal</v>
      </c>
      <c r="O4504" s="105">
        <f>IFERROR(VLOOKUP(A4504,Lookup!$J$5:$P$19,7,FALSE),0)</f>
        <v>3</v>
      </c>
      <c r="P4504" s="159">
        <f t="shared" si="733"/>
        <v>2013</v>
      </c>
      <c r="Q4504" s="159">
        <f t="shared" si="734"/>
        <v>12</v>
      </c>
      <c r="R4504" s="160">
        <f t="shared" si="735"/>
        <v>15.699999999837019</v>
      </c>
      <c r="S4504" s="158">
        <f t="shared" si="736"/>
        <v>0.15067178502722667</v>
      </c>
      <c r="T4504" s="161">
        <f t="shared" si="737"/>
        <v>72.623800383123253</v>
      </c>
      <c r="U4504" s="158">
        <f t="shared" si="739"/>
        <v>4.6257197696737045</v>
      </c>
      <c r="V4504" s="160">
        <f t="shared" si="738"/>
        <v>5</v>
      </c>
    </row>
    <row r="4505" spans="1:22" x14ac:dyDescent="0.25">
      <c r="A4505" s="98" t="s">
        <v>25</v>
      </c>
      <c r="B4505" s="98" t="s">
        <v>17</v>
      </c>
      <c r="C4505" s="98">
        <v>197</v>
      </c>
      <c r="D4505" s="98">
        <v>3341</v>
      </c>
      <c r="E4505" s="157">
        <v>41615.077777777777</v>
      </c>
      <c r="F4505" s="157">
        <v>41615.180555555555</v>
      </c>
      <c r="G4505" s="98">
        <v>450</v>
      </c>
      <c r="H4505" s="98">
        <v>521</v>
      </c>
      <c r="I4505" s="98">
        <v>482</v>
      </c>
      <c r="J4505" s="98" t="s">
        <v>2104</v>
      </c>
      <c r="K4505" s="98" t="s">
        <v>1652</v>
      </c>
      <c r="L4505" s="105" t="str">
        <f t="shared" si="730"/>
        <v>Mill Creek</v>
      </c>
      <c r="M4505" s="105" t="str">
        <f t="shared" si="731"/>
        <v>Derate</v>
      </c>
      <c r="N4505" s="105" t="str">
        <f t="shared" si="732"/>
        <v>Coal</v>
      </c>
      <c r="O4505" s="105">
        <f>IFERROR(VLOOKUP(A4505,Lookup!$J$5:$P$19,7,FALSE),0)</f>
        <v>3</v>
      </c>
      <c r="P4505" s="159">
        <f t="shared" si="733"/>
        <v>2013</v>
      </c>
      <c r="Q4505" s="159">
        <f t="shared" si="734"/>
        <v>12</v>
      </c>
      <c r="R4505" s="160">
        <f t="shared" si="735"/>
        <v>2.4666666666744277</v>
      </c>
      <c r="S4505" s="158">
        <f t="shared" si="736"/>
        <v>0.33614843250265714</v>
      </c>
      <c r="T4505" s="161">
        <f t="shared" si="737"/>
        <v>162.02354446628073</v>
      </c>
      <c r="U4505" s="158">
        <f t="shared" si="739"/>
        <v>65.685220729366605</v>
      </c>
      <c r="V4505" s="160">
        <f t="shared" si="738"/>
        <v>66</v>
      </c>
    </row>
    <row r="4506" spans="1:22" x14ac:dyDescent="0.25">
      <c r="A4506" s="98" t="s">
        <v>25</v>
      </c>
      <c r="B4506" s="98" t="s">
        <v>17</v>
      </c>
      <c r="C4506" s="98">
        <v>198</v>
      </c>
      <c r="D4506" s="98">
        <v>385</v>
      </c>
      <c r="E4506" s="157">
        <v>41618.254861111112</v>
      </c>
      <c r="F4506" s="157">
        <v>41618.272916666669</v>
      </c>
      <c r="G4506" s="98">
        <v>420</v>
      </c>
      <c r="H4506" s="98">
        <v>521</v>
      </c>
      <c r="I4506" s="98">
        <v>482</v>
      </c>
      <c r="J4506" s="98" t="s">
        <v>228</v>
      </c>
      <c r="K4506" s="98" t="s">
        <v>1653</v>
      </c>
      <c r="L4506" s="105" t="str">
        <f t="shared" si="730"/>
        <v>Mill Creek</v>
      </c>
      <c r="M4506" s="105" t="str">
        <f t="shared" si="731"/>
        <v>Derate</v>
      </c>
      <c r="N4506" s="105" t="str">
        <f t="shared" si="732"/>
        <v>Coal</v>
      </c>
      <c r="O4506" s="105">
        <f>IFERROR(VLOOKUP(A4506,Lookup!$J$5:$P$19,7,FALSE),0)</f>
        <v>3</v>
      </c>
      <c r="P4506" s="159">
        <f t="shared" si="733"/>
        <v>2013</v>
      </c>
      <c r="Q4506" s="159">
        <f t="shared" si="734"/>
        <v>12</v>
      </c>
      <c r="R4506" s="160">
        <f t="shared" si="735"/>
        <v>0.43333333334885538</v>
      </c>
      <c r="S4506" s="158">
        <f t="shared" si="736"/>
        <v>8.4005118365133191E-2</v>
      </c>
      <c r="T4506" s="161">
        <f t="shared" si="737"/>
        <v>40.490467051994202</v>
      </c>
      <c r="U4506" s="158">
        <f t="shared" si="739"/>
        <v>93.439539347408825</v>
      </c>
      <c r="V4506" s="160">
        <f t="shared" si="738"/>
        <v>93</v>
      </c>
    </row>
    <row r="4507" spans="1:22" x14ac:dyDescent="0.25">
      <c r="A4507" s="98" t="s">
        <v>25</v>
      </c>
      <c r="B4507" s="98" t="s">
        <v>17</v>
      </c>
      <c r="C4507" s="98">
        <v>199</v>
      </c>
      <c r="D4507" s="98">
        <v>385</v>
      </c>
      <c r="E4507" s="157">
        <v>41618.272916666669</v>
      </c>
      <c r="F4507" s="157">
        <v>41618.294444444444</v>
      </c>
      <c r="G4507" s="98">
        <v>430</v>
      </c>
      <c r="H4507" s="98">
        <v>521</v>
      </c>
      <c r="I4507" s="98">
        <v>482</v>
      </c>
      <c r="J4507" s="98" t="s">
        <v>228</v>
      </c>
      <c r="K4507" s="98" t="s">
        <v>1653</v>
      </c>
      <c r="L4507" s="105" t="str">
        <f t="shared" si="730"/>
        <v>Mill Creek</v>
      </c>
      <c r="M4507" s="105" t="str">
        <f t="shared" si="731"/>
        <v>Derate</v>
      </c>
      <c r="N4507" s="105" t="str">
        <f t="shared" si="732"/>
        <v>Coal</v>
      </c>
      <c r="O4507" s="105">
        <f>IFERROR(VLOOKUP(A4507,Lookup!$J$5:$P$19,7,FALSE),0)</f>
        <v>3</v>
      </c>
      <c r="P4507" s="159">
        <f t="shared" si="733"/>
        <v>2013</v>
      </c>
      <c r="Q4507" s="159">
        <f t="shared" si="734"/>
        <v>12</v>
      </c>
      <c r="R4507" s="160">
        <f t="shared" si="735"/>
        <v>0.5166666666045785</v>
      </c>
      <c r="S4507" s="158">
        <f t="shared" si="736"/>
        <v>9.0243122190051137E-2</v>
      </c>
      <c r="T4507" s="161">
        <f t="shared" si="737"/>
        <v>43.497184895604647</v>
      </c>
      <c r="U4507" s="158">
        <f t="shared" si="739"/>
        <v>84.188099808061423</v>
      </c>
      <c r="V4507" s="160">
        <f t="shared" si="738"/>
        <v>84</v>
      </c>
    </row>
    <row r="4508" spans="1:22" x14ac:dyDescent="0.25">
      <c r="A4508" s="98" t="s">
        <v>25</v>
      </c>
      <c r="B4508" s="98" t="s">
        <v>105</v>
      </c>
      <c r="C4508" s="98">
        <v>200</v>
      </c>
      <c r="D4508" s="98">
        <v>385</v>
      </c>
      <c r="E4508" s="157">
        <v>41618.586805555555</v>
      </c>
      <c r="F4508" s="157">
        <v>41618.673611111109</v>
      </c>
      <c r="G4508" s="98">
        <v>430</v>
      </c>
      <c r="H4508" s="98">
        <v>521</v>
      </c>
      <c r="I4508" s="98">
        <v>482</v>
      </c>
      <c r="J4508" s="98" t="s">
        <v>228</v>
      </c>
      <c r="K4508" s="98" t="s">
        <v>1654</v>
      </c>
      <c r="L4508" s="105" t="str">
        <f t="shared" si="730"/>
        <v>Mill Creek</v>
      </c>
      <c r="M4508" s="105" t="str">
        <f t="shared" si="731"/>
        <v>Derate</v>
      </c>
      <c r="N4508" s="105" t="str">
        <f t="shared" si="732"/>
        <v>Coal</v>
      </c>
      <c r="O4508" s="105">
        <f>IFERROR(VLOOKUP(A4508,Lookup!$J$5:$P$19,7,FALSE),0)</f>
        <v>3</v>
      </c>
      <c r="P4508" s="159">
        <f t="shared" si="733"/>
        <v>2013</v>
      </c>
      <c r="Q4508" s="159">
        <f t="shared" si="734"/>
        <v>12</v>
      </c>
      <c r="R4508" s="160">
        <f t="shared" si="735"/>
        <v>2.0833333333139308</v>
      </c>
      <c r="S4508" s="158">
        <f t="shared" si="736"/>
        <v>0.36388355725828736</v>
      </c>
      <c r="T4508" s="161">
        <f t="shared" si="737"/>
        <v>175.3918745984945</v>
      </c>
      <c r="U4508" s="158">
        <f t="shared" si="739"/>
        <v>84.188099808061423</v>
      </c>
      <c r="V4508" s="160">
        <f t="shared" si="738"/>
        <v>84</v>
      </c>
    </row>
    <row r="4509" spans="1:22" x14ac:dyDescent="0.25">
      <c r="A4509" s="98" t="s">
        <v>25</v>
      </c>
      <c r="B4509" s="98" t="s">
        <v>105</v>
      </c>
      <c r="C4509" s="98">
        <v>201</v>
      </c>
      <c r="D4509" s="98">
        <v>3235</v>
      </c>
      <c r="E4509" s="157">
        <v>41621.916666666664</v>
      </c>
      <c r="F4509" s="157">
        <v>41621.944444444445</v>
      </c>
      <c r="G4509" s="98">
        <v>330</v>
      </c>
      <c r="H4509" s="98">
        <v>521</v>
      </c>
      <c r="I4509" s="98">
        <v>482</v>
      </c>
      <c r="J4509" s="98" t="s">
        <v>2745</v>
      </c>
      <c r="K4509" s="98" t="s">
        <v>247</v>
      </c>
      <c r="L4509" s="105" t="str">
        <f t="shared" si="730"/>
        <v>Mill Creek</v>
      </c>
      <c r="M4509" s="105" t="str">
        <f t="shared" si="731"/>
        <v>Derate</v>
      </c>
      <c r="N4509" s="105" t="str">
        <f t="shared" si="732"/>
        <v>Coal</v>
      </c>
      <c r="O4509" s="105">
        <f>IFERROR(VLOOKUP(A4509,Lookup!$J$5:$P$19,7,FALSE),0)</f>
        <v>3</v>
      </c>
      <c r="P4509" s="159">
        <f t="shared" si="733"/>
        <v>2013</v>
      </c>
      <c r="Q4509" s="159">
        <f t="shared" si="734"/>
        <v>12</v>
      </c>
      <c r="R4509" s="160">
        <f t="shared" si="735"/>
        <v>0.66666666674427688</v>
      </c>
      <c r="S4509" s="158">
        <f t="shared" si="736"/>
        <v>0.24440179145519556</v>
      </c>
      <c r="T4509" s="161">
        <f t="shared" si="737"/>
        <v>117.80166348140426</v>
      </c>
      <c r="U4509" s="158">
        <f t="shared" si="739"/>
        <v>176.7024952015355</v>
      </c>
      <c r="V4509" s="160">
        <f t="shared" si="738"/>
        <v>177</v>
      </c>
    </row>
    <row r="4510" spans="1:22" x14ac:dyDescent="0.25">
      <c r="A4510" s="98" t="s">
        <v>25</v>
      </c>
      <c r="B4510" s="98" t="s">
        <v>17</v>
      </c>
      <c r="C4510" s="98">
        <v>202</v>
      </c>
      <c r="D4510" s="98">
        <v>3149</v>
      </c>
      <c r="E4510" s="157">
        <v>41622.4375</v>
      </c>
      <c r="F4510" s="157">
        <v>41624.279861111114</v>
      </c>
      <c r="G4510" s="98">
        <v>518</v>
      </c>
      <c r="H4510" s="98">
        <v>521</v>
      </c>
      <c r="I4510" s="98">
        <v>482</v>
      </c>
      <c r="J4510" s="98" t="s">
        <v>2034</v>
      </c>
      <c r="K4510" s="98" t="s">
        <v>40</v>
      </c>
      <c r="L4510" s="105" t="str">
        <f t="shared" si="730"/>
        <v>Mill Creek</v>
      </c>
      <c r="M4510" s="105" t="str">
        <f t="shared" si="731"/>
        <v>Derate</v>
      </c>
      <c r="N4510" s="105" t="str">
        <f t="shared" si="732"/>
        <v>Coal</v>
      </c>
      <c r="O4510" s="105">
        <f>IFERROR(VLOOKUP(A4510,Lookup!$J$5:$P$19,7,FALSE),0)</f>
        <v>3</v>
      </c>
      <c r="P4510" s="159">
        <f t="shared" si="733"/>
        <v>2013</v>
      </c>
      <c r="Q4510" s="159">
        <f t="shared" si="734"/>
        <v>12</v>
      </c>
      <c r="R4510" s="160">
        <f t="shared" si="735"/>
        <v>44.216666666732635</v>
      </c>
      <c r="S4510" s="158">
        <f t="shared" si="736"/>
        <v>0.2546065259120881</v>
      </c>
      <c r="T4510" s="161">
        <f t="shared" si="737"/>
        <v>122.72034548962647</v>
      </c>
      <c r="U4510" s="158">
        <f t="shared" si="739"/>
        <v>2.7754318618042229</v>
      </c>
      <c r="V4510" s="160">
        <f t="shared" si="738"/>
        <v>3</v>
      </c>
    </row>
    <row r="4511" spans="1:22" x14ac:dyDescent="0.25">
      <c r="A4511" s="98" t="s">
        <v>25</v>
      </c>
      <c r="B4511" s="98" t="s">
        <v>79</v>
      </c>
      <c r="C4511" s="98">
        <v>203</v>
      </c>
      <c r="D4511" s="98">
        <v>1160</v>
      </c>
      <c r="E4511" s="157">
        <v>41625.020833333336</v>
      </c>
      <c r="F4511" s="157">
        <v>41625.223611111112</v>
      </c>
      <c r="G4511" s="98">
        <v>0</v>
      </c>
      <c r="H4511" s="98">
        <v>521</v>
      </c>
      <c r="I4511" s="98">
        <v>482</v>
      </c>
      <c r="J4511" s="98" t="s">
        <v>2273</v>
      </c>
      <c r="K4511" s="98" t="s">
        <v>1655</v>
      </c>
      <c r="L4511" s="105" t="str">
        <f t="shared" si="730"/>
        <v>Mill Creek</v>
      </c>
      <c r="M4511" s="105" t="str">
        <f t="shared" si="731"/>
        <v>Other</v>
      </c>
      <c r="N4511" s="105" t="str">
        <f t="shared" si="732"/>
        <v>Coal</v>
      </c>
      <c r="O4511" s="105">
        <f>IFERROR(VLOOKUP(A4511,Lookup!$J$5:$P$19,7,FALSE),0)</f>
        <v>3</v>
      </c>
      <c r="P4511" s="159">
        <f t="shared" si="733"/>
        <v>2013</v>
      </c>
      <c r="Q4511" s="159">
        <f t="shared" si="734"/>
        <v>12</v>
      </c>
      <c r="R4511" s="160">
        <f t="shared" si="735"/>
        <v>4.8666666666395031</v>
      </c>
      <c r="S4511" s="158">
        <f t="shared" si="736"/>
        <v>4.8666666666395031</v>
      </c>
      <c r="T4511" s="161">
        <f t="shared" si="737"/>
        <v>2345.7333333202405</v>
      </c>
      <c r="U4511" s="158">
        <f t="shared" si="739"/>
        <v>482</v>
      </c>
      <c r="V4511" s="160">
        <f t="shared" si="738"/>
        <v>482</v>
      </c>
    </row>
    <row r="4512" spans="1:22" x14ac:dyDescent="0.25">
      <c r="A4512" s="98" t="s">
        <v>25</v>
      </c>
      <c r="B4512" s="98" t="s">
        <v>17</v>
      </c>
      <c r="C4512" s="98">
        <v>204</v>
      </c>
      <c r="D4512" s="98">
        <v>3340</v>
      </c>
      <c r="E4512" s="157">
        <v>41626.729166666664</v>
      </c>
      <c r="F4512" s="157">
        <v>41626.760416666664</v>
      </c>
      <c r="G4512" s="98">
        <v>493</v>
      </c>
      <c r="H4512" s="98">
        <v>521</v>
      </c>
      <c r="I4512" s="98">
        <v>482</v>
      </c>
      <c r="J4512" s="98" t="s">
        <v>2389</v>
      </c>
      <c r="K4512" s="98" t="s">
        <v>1656</v>
      </c>
      <c r="L4512" s="105" t="str">
        <f t="shared" si="730"/>
        <v>Mill Creek</v>
      </c>
      <c r="M4512" s="105" t="str">
        <f t="shared" si="731"/>
        <v>Derate</v>
      </c>
      <c r="N4512" s="105" t="str">
        <f t="shared" si="732"/>
        <v>Coal</v>
      </c>
      <c r="O4512" s="105">
        <f>IFERROR(VLOOKUP(A4512,Lookup!$J$5:$P$19,7,FALSE),0)</f>
        <v>3</v>
      </c>
      <c r="P4512" s="159">
        <f t="shared" si="733"/>
        <v>2013</v>
      </c>
      <c r="Q4512" s="159">
        <f t="shared" si="734"/>
        <v>12</v>
      </c>
      <c r="R4512" s="160">
        <f t="shared" si="735"/>
        <v>0.75</v>
      </c>
      <c r="S4512" s="158">
        <f t="shared" si="736"/>
        <v>4.0307101727447218E-2</v>
      </c>
      <c r="T4512" s="161">
        <f t="shared" si="737"/>
        <v>19.428023032629561</v>
      </c>
      <c r="U4512" s="158">
        <f t="shared" si="739"/>
        <v>25.904030710172744</v>
      </c>
      <c r="V4512" s="160">
        <f t="shared" si="738"/>
        <v>26</v>
      </c>
    </row>
    <row r="4513" spans="1:22" x14ac:dyDescent="0.25">
      <c r="A4513" s="98" t="s">
        <v>25</v>
      </c>
      <c r="B4513" s="98" t="s">
        <v>17</v>
      </c>
      <c r="C4513" s="98">
        <v>205</v>
      </c>
      <c r="D4513" s="98">
        <v>3340</v>
      </c>
      <c r="E4513" s="157">
        <v>41626.760416666664</v>
      </c>
      <c r="F4513" s="157">
        <v>41626.840277777781</v>
      </c>
      <c r="G4513" s="98">
        <v>340</v>
      </c>
      <c r="H4513" s="98">
        <v>521</v>
      </c>
      <c r="I4513" s="98">
        <v>482</v>
      </c>
      <c r="J4513" s="98" t="s">
        <v>2389</v>
      </c>
      <c r="K4513" s="98" t="s">
        <v>1657</v>
      </c>
      <c r="L4513" s="105" t="str">
        <f t="shared" si="730"/>
        <v>Mill Creek</v>
      </c>
      <c r="M4513" s="105" t="str">
        <f t="shared" si="731"/>
        <v>Derate</v>
      </c>
      <c r="N4513" s="105" t="str">
        <f t="shared" si="732"/>
        <v>Coal</v>
      </c>
      <c r="O4513" s="105">
        <f>IFERROR(VLOOKUP(A4513,Lookup!$J$5:$P$19,7,FALSE),0)</f>
        <v>3</v>
      </c>
      <c r="P4513" s="159">
        <f t="shared" si="733"/>
        <v>2013</v>
      </c>
      <c r="Q4513" s="159">
        <f t="shared" si="734"/>
        <v>12</v>
      </c>
      <c r="R4513" s="160">
        <f t="shared" si="735"/>
        <v>1.9166666668024845</v>
      </c>
      <c r="S4513" s="158">
        <f t="shared" si="736"/>
        <v>0.66586692263195724</v>
      </c>
      <c r="T4513" s="161">
        <f t="shared" si="737"/>
        <v>320.94785670860341</v>
      </c>
      <c r="U4513" s="158">
        <f t="shared" si="739"/>
        <v>167.45105566218811</v>
      </c>
      <c r="V4513" s="160">
        <f t="shared" si="738"/>
        <v>167</v>
      </c>
    </row>
    <row r="4514" spans="1:22" x14ac:dyDescent="0.25">
      <c r="A4514" s="98" t="s">
        <v>25</v>
      </c>
      <c r="B4514" s="98" t="s">
        <v>17</v>
      </c>
      <c r="C4514" s="98">
        <v>206</v>
      </c>
      <c r="D4514" s="98">
        <v>3340</v>
      </c>
      <c r="E4514" s="157">
        <v>41626.840277777781</v>
      </c>
      <c r="F4514" s="157">
        <v>41627.945833333331</v>
      </c>
      <c r="G4514" s="98">
        <v>330</v>
      </c>
      <c r="H4514" s="98">
        <v>521</v>
      </c>
      <c r="I4514" s="98">
        <v>482</v>
      </c>
      <c r="J4514" s="98" t="s">
        <v>2389</v>
      </c>
      <c r="K4514" s="98" t="s">
        <v>1658</v>
      </c>
      <c r="L4514" s="105" t="str">
        <f t="shared" si="730"/>
        <v>Mill Creek</v>
      </c>
      <c r="M4514" s="105" t="str">
        <f t="shared" si="731"/>
        <v>Derate</v>
      </c>
      <c r="N4514" s="105" t="str">
        <f t="shared" si="732"/>
        <v>Coal</v>
      </c>
      <c r="O4514" s="105">
        <f>IFERROR(VLOOKUP(A4514,Lookup!$J$5:$P$19,7,FALSE),0)</f>
        <v>3</v>
      </c>
      <c r="P4514" s="159">
        <f t="shared" si="733"/>
        <v>2013</v>
      </c>
      <c r="Q4514" s="159">
        <f t="shared" si="734"/>
        <v>12</v>
      </c>
      <c r="R4514" s="160">
        <f t="shared" si="735"/>
        <v>26.533333333209157</v>
      </c>
      <c r="S4514" s="158">
        <f t="shared" si="736"/>
        <v>9.727191298738866</v>
      </c>
      <c r="T4514" s="161">
        <f t="shared" si="737"/>
        <v>4688.5062059921338</v>
      </c>
      <c r="U4514" s="158">
        <f t="shared" si="739"/>
        <v>176.7024952015355</v>
      </c>
      <c r="V4514" s="160">
        <f t="shared" si="738"/>
        <v>177</v>
      </c>
    </row>
    <row r="4515" spans="1:22" x14ac:dyDescent="0.25">
      <c r="A4515" s="98" t="s">
        <v>25</v>
      </c>
      <c r="B4515" s="98" t="s">
        <v>20</v>
      </c>
      <c r="C4515" s="98">
        <v>207</v>
      </c>
      <c r="D4515" s="98">
        <v>3340</v>
      </c>
      <c r="E4515" s="157">
        <v>41627.945833333331</v>
      </c>
      <c r="F4515" s="157">
        <v>41631.347916666666</v>
      </c>
      <c r="G4515" s="98">
        <v>0</v>
      </c>
      <c r="H4515" s="98">
        <v>521</v>
      </c>
      <c r="I4515" s="98">
        <v>482</v>
      </c>
      <c r="J4515" s="98" t="s">
        <v>2389</v>
      </c>
      <c r="K4515" s="98" t="s">
        <v>1659</v>
      </c>
      <c r="L4515" s="105" t="str">
        <f t="shared" si="730"/>
        <v>Mill Creek</v>
      </c>
      <c r="M4515" s="105" t="str">
        <f t="shared" si="731"/>
        <v>Maintenance</v>
      </c>
      <c r="N4515" s="105" t="str">
        <f t="shared" si="732"/>
        <v>Coal</v>
      </c>
      <c r="O4515" s="105">
        <f>IFERROR(VLOOKUP(A4515,Lookup!$J$5:$P$19,7,FALSE),0)</f>
        <v>3</v>
      </c>
      <c r="P4515" s="159">
        <f t="shared" si="733"/>
        <v>2013</v>
      </c>
      <c r="Q4515" s="159">
        <f t="shared" si="734"/>
        <v>12</v>
      </c>
      <c r="R4515" s="160">
        <f t="shared" si="735"/>
        <v>81.650000000023283</v>
      </c>
      <c r="S4515" s="158">
        <f t="shared" si="736"/>
        <v>81.650000000023283</v>
      </c>
      <c r="T4515" s="161">
        <f t="shared" si="737"/>
        <v>39355.300000011222</v>
      </c>
      <c r="U4515" s="158">
        <f t="shared" si="739"/>
        <v>482</v>
      </c>
      <c r="V4515" s="160">
        <f t="shared" si="738"/>
        <v>482</v>
      </c>
    </row>
    <row r="4516" spans="1:22" x14ac:dyDescent="0.25">
      <c r="A4516" s="98" t="s">
        <v>25</v>
      </c>
      <c r="B4516" s="98" t="s">
        <v>17</v>
      </c>
      <c r="C4516" s="98">
        <v>208</v>
      </c>
      <c r="D4516" s="98">
        <v>1850</v>
      </c>
      <c r="E4516" s="157">
        <v>41631.854166666664</v>
      </c>
      <c r="F4516" s="157">
        <v>41631.979166666664</v>
      </c>
      <c r="G4516" s="98">
        <v>330</v>
      </c>
      <c r="H4516" s="98">
        <v>521</v>
      </c>
      <c r="I4516" s="98">
        <v>482</v>
      </c>
      <c r="J4516" s="98" t="s">
        <v>2263</v>
      </c>
      <c r="K4516" s="98" t="s">
        <v>41</v>
      </c>
      <c r="L4516" s="105" t="str">
        <f t="shared" si="730"/>
        <v>Mill Creek</v>
      </c>
      <c r="M4516" s="105" t="str">
        <f t="shared" si="731"/>
        <v>Derate</v>
      </c>
      <c r="N4516" s="105" t="str">
        <f t="shared" si="732"/>
        <v>Coal</v>
      </c>
      <c r="O4516" s="105">
        <f>IFERROR(VLOOKUP(A4516,Lookup!$J$5:$P$19,7,FALSE),0)</f>
        <v>3</v>
      </c>
      <c r="P4516" s="159">
        <f t="shared" si="733"/>
        <v>2013</v>
      </c>
      <c r="Q4516" s="159">
        <f t="shared" si="734"/>
        <v>12</v>
      </c>
      <c r="R4516" s="160">
        <f t="shared" si="735"/>
        <v>3</v>
      </c>
      <c r="S4516" s="158">
        <f t="shared" si="736"/>
        <v>1.0998080614203456</v>
      </c>
      <c r="T4516" s="161">
        <f t="shared" si="737"/>
        <v>530.10748560460661</v>
      </c>
      <c r="U4516" s="158">
        <f t="shared" si="739"/>
        <v>176.7024952015355</v>
      </c>
      <c r="V4516" s="160">
        <f t="shared" si="738"/>
        <v>177</v>
      </c>
    </row>
    <row r="4517" spans="1:22" x14ac:dyDescent="0.25">
      <c r="A4517" s="98" t="s">
        <v>25</v>
      </c>
      <c r="B4517" s="98" t="s">
        <v>17</v>
      </c>
      <c r="C4517" s="98">
        <v>209</v>
      </c>
      <c r="D4517" s="98">
        <v>1850</v>
      </c>
      <c r="E4517" s="157">
        <v>41631.979166666664</v>
      </c>
      <c r="F4517" s="157">
        <v>41632.40625</v>
      </c>
      <c r="G4517" s="98">
        <v>460</v>
      </c>
      <c r="H4517" s="98">
        <v>521</v>
      </c>
      <c r="I4517" s="98">
        <v>482</v>
      </c>
      <c r="J4517" s="98" t="s">
        <v>2263</v>
      </c>
      <c r="K4517" s="98" t="s">
        <v>41</v>
      </c>
      <c r="L4517" s="105" t="str">
        <f t="shared" ref="L4517:L4580" si="740">IF(OR(A4517="BR1",A4517="BR2",A4517="BR3",A4517="BR5",A4517="BR6",A4517="BR7",A4517="BR8",A4517="BR9",A4517="BR10",A4517="BR11"),"Brown",IF(OR(A4517="CR4",A4517="CR5",A4517="CR6",A4517="CR11"),"Cane Run",IF(OR(A4517="GH1",A4517="GH2",A4517="GH3",A4517="GH4"),"Ghent",IF(OR(A4517="GR3",A4517="GR4"),"Green River",IF(OR(A4517="MC1",A4517="MC2",A4517="MC3",A4517="MC4"),"Mill Creek",IF(OR(A4517="TC1",A4517="TC2",A4517="TC5",A4517="TC6",A4517="TC7",A4517="TC8",A4517="TC9",A4517="TC10"),"Trimble",IF(A4517="TY3","Tyrone",IF(OR(A4517="HA1",A4517="HA2",A4517="HA3"),"Haeflin",IF(OR(A4517="PR11",A4517="PR12",A4517="PR13"),"Paddy's Run","Zorn")))))))))</f>
        <v>Mill Creek</v>
      </c>
      <c r="M4517" s="105" t="str">
        <f t="shared" ref="M4517:M4580" si="741">IF(OR(B4517="D1",B4517="D2",B4517="D3",B4517="D4",B4517="PD"),"Derate",IF(OR(B4517="SF",B4517="U1",B4517="U2",B4517="U3"),"Outage",IF(OR(B4517="ME",B4517="MO"),"Maintenance","Other")))</f>
        <v>Derate</v>
      </c>
      <c r="N4517" s="105" t="str">
        <f t="shared" ref="N4517:N4580" si="742">IF(OR(A4517="BR1",A4517="BR2",A4517="BR3",A4517="CR4",A4517="CR5",A4517="CR6",A4517="GH1",A4517="GH2",A4517="GH3",A4517="GH4",A4517="GR3",A4517="GR4",A4517="MC1",A4517="MC2",A4517="MC3",A4517="MC4",A4517="TC1",A4517="TC2",A4517="TY3"),"Coal","Gas")</f>
        <v>Coal</v>
      </c>
      <c r="O4517" s="105">
        <f>IFERROR(VLOOKUP(A4517,Lookup!$J$5:$P$19,7,FALSE),0)</f>
        <v>3</v>
      </c>
      <c r="P4517" s="159">
        <f t="shared" ref="P4517:P4580" si="743">YEAR(E4517)</f>
        <v>2013</v>
      </c>
      <c r="Q4517" s="159">
        <f t="shared" ref="Q4517:Q4580" si="744">MONTH(E4517)</f>
        <v>12</v>
      </c>
      <c r="R4517" s="160">
        <f t="shared" ref="R4517:R4580" si="745">(F4517-E4517)*24</f>
        <v>10.250000000058208</v>
      </c>
      <c r="S4517" s="158">
        <f t="shared" ref="S4517:S4580" si="746">R4517*(H4517-G4517)/H4517</f>
        <v>1.2000959692966424</v>
      </c>
      <c r="T4517" s="161">
        <f t="shared" ref="T4517:T4580" si="747">S4517*I4517</f>
        <v>578.44625720098168</v>
      </c>
      <c r="U4517" s="158">
        <f t="shared" si="739"/>
        <v>56.433781190019197</v>
      </c>
      <c r="V4517" s="160">
        <f t="shared" ref="V4517:V4580" si="748">ROUND(U4517,0)</f>
        <v>56</v>
      </c>
    </row>
    <row r="4518" spans="1:22" x14ac:dyDescent="0.25">
      <c r="A4518" s="98" t="s">
        <v>25</v>
      </c>
      <c r="B4518" s="98" t="s">
        <v>17</v>
      </c>
      <c r="C4518" s="98">
        <v>210</v>
      </c>
      <c r="D4518" s="98">
        <v>1710</v>
      </c>
      <c r="E4518" s="157">
        <v>41632.40625</v>
      </c>
      <c r="F4518" s="157">
        <v>41634.435416666667</v>
      </c>
      <c r="G4518" s="98">
        <v>522</v>
      </c>
      <c r="H4518" s="98">
        <v>521</v>
      </c>
      <c r="I4518" s="98">
        <v>482</v>
      </c>
      <c r="J4518" s="98" t="s">
        <v>2020</v>
      </c>
      <c r="K4518" s="98" t="s">
        <v>1660</v>
      </c>
      <c r="L4518" s="105" t="str">
        <f t="shared" si="740"/>
        <v>Mill Creek</v>
      </c>
      <c r="M4518" s="105" t="str">
        <f t="shared" si="741"/>
        <v>Derate</v>
      </c>
      <c r="N4518" s="105" t="str">
        <f t="shared" si="742"/>
        <v>Coal</v>
      </c>
      <c r="O4518" s="105">
        <f>IFERROR(VLOOKUP(A4518,Lookup!$J$5:$P$19,7,FALSE),0)</f>
        <v>3</v>
      </c>
      <c r="P4518" s="159">
        <f t="shared" si="743"/>
        <v>2013</v>
      </c>
      <c r="Q4518" s="159">
        <f t="shared" si="744"/>
        <v>12</v>
      </c>
      <c r="R4518" s="160">
        <f t="shared" si="745"/>
        <v>48.700000000011642</v>
      </c>
      <c r="S4518" s="158">
        <f t="shared" si="746"/>
        <v>-9.3474088291768981E-2</v>
      </c>
      <c r="T4518" s="161">
        <f t="shared" si="747"/>
        <v>-45.05451055663265</v>
      </c>
      <c r="U4518" s="158">
        <f t="shared" ref="U4518:U4581" si="749">IF(G4518&gt;0,MAX((H4518-G4518),0)*I4518/H4518,I4518)</f>
        <v>0</v>
      </c>
      <c r="V4518" s="160">
        <f t="shared" si="748"/>
        <v>0</v>
      </c>
    </row>
    <row r="4519" spans="1:22" x14ac:dyDescent="0.25">
      <c r="A4519" s="98" t="s">
        <v>25</v>
      </c>
      <c r="B4519" s="98" t="s">
        <v>17</v>
      </c>
      <c r="C4519" s="98">
        <v>211</v>
      </c>
      <c r="D4519" s="98">
        <v>3149</v>
      </c>
      <c r="E4519" s="157">
        <v>41634.435416666667</v>
      </c>
      <c r="F4519" s="157">
        <v>41634.460416666669</v>
      </c>
      <c r="G4519" s="98">
        <v>484</v>
      </c>
      <c r="H4519" s="98">
        <v>521</v>
      </c>
      <c r="I4519" s="98">
        <v>482</v>
      </c>
      <c r="J4519" s="98" t="s">
        <v>2034</v>
      </c>
      <c r="K4519" s="98" t="s">
        <v>1661</v>
      </c>
      <c r="L4519" s="105" t="str">
        <f t="shared" si="740"/>
        <v>Mill Creek</v>
      </c>
      <c r="M4519" s="105" t="str">
        <f t="shared" si="741"/>
        <v>Derate</v>
      </c>
      <c r="N4519" s="105" t="str">
        <f t="shared" si="742"/>
        <v>Coal</v>
      </c>
      <c r="O4519" s="105">
        <f>IFERROR(VLOOKUP(A4519,Lookup!$J$5:$P$19,7,FALSE),0)</f>
        <v>3</v>
      </c>
      <c r="P4519" s="159">
        <f t="shared" si="743"/>
        <v>2013</v>
      </c>
      <c r="Q4519" s="159">
        <f t="shared" si="744"/>
        <v>12</v>
      </c>
      <c r="R4519" s="160">
        <f t="shared" si="745"/>
        <v>0.6000000000349246</v>
      </c>
      <c r="S4519" s="158">
        <f t="shared" si="746"/>
        <v>4.2610364685781596E-2</v>
      </c>
      <c r="T4519" s="161">
        <f t="shared" si="747"/>
        <v>20.538195778546729</v>
      </c>
      <c r="U4519" s="158">
        <f t="shared" si="749"/>
        <v>34.230326295585414</v>
      </c>
      <c r="V4519" s="160">
        <f t="shared" si="748"/>
        <v>34</v>
      </c>
    </row>
    <row r="4520" spans="1:22" x14ac:dyDescent="0.25">
      <c r="A4520" s="98" t="s">
        <v>25</v>
      </c>
      <c r="B4520" s="98" t="s">
        <v>17</v>
      </c>
      <c r="C4520" s="98">
        <v>212</v>
      </c>
      <c r="D4520" s="98">
        <v>3149</v>
      </c>
      <c r="E4520" s="157">
        <v>41634.460416666669</v>
      </c>
      <c r="F4520" s="157">
        <v>41634.769444444442</v>
      </c>
      <c r="G4520" s="98">
        <v>480</v>
      </c>
      <c r="H4520" s="98">
        <v>521</v>
      </c>
      <c r="I4520" s="98">
        <v>482</v>
      </c>
      <c r="J4520" s="98" t="s">
        <v>2034</v>
      </c>
      <c r="K4520" s="98" t="s">
        <v>1661</v>
      </c>
      <c r="L4520" s="105" t="str">
        <f t="shared" si="740"/>
        <v>Mill Creek</v>
      </c>
      <c r="M4520" s="105" t="str">
        <f t="shared" si="741"/>
        <v>Derate</v>
      </c>
      <c r="N4520" s="105" t="str">
        <f t="shared" si="742"/>
        <v>Coal</v>
      </c>
      <c r="O4520" s="105">
        <f>IFERROR(VLOOKUP(A4520,Lookup!$J$5:$P$19,7,FALSE),0)</f>
        <v>3</v>
      </c>
      <c r="P4520" s="159">
        <f t="shared" si="743"/>
        <v>2013</v>
      </c>
      <c r="Q4520" s="159">
        <f t="shared" si="744"/>
        <v>12</v>
      </c>
      <c r="R4520" s="160">
        <f t="shared" si="745"/>
        <v>7.4166666665696539</v>
      </c>
      <c r="S4520" s="158">
        <f t="shared" si="746"/>
        <v>0.58365323095845645</v>
      </c>
      <c r="T4520" s="161">
        <f t="shared" si="747"/>
        <v>281.32085732197601</v>
      </c>
      <c r="U4520" s="158">
        <f t="shared" si="749"/>
        <v>37.930902111324379</v>
      </c>
      <c r="V4520" s="160">
        <f t="shared" si="748"/>
        <v>38</v>
      </c>
    </row>
    <row r="4521" spans="1:22" x14ac:dyDescent="0.25">
      <c r="A4521" s="98" t="s">
        <v>25</v>
      </c>
      <c r="B4521" s="98" t="s">
        <v>17</v>
      </c>
      <c r="C4521" s="98">
        <v>213</v>
      </c>
      <c r="D4521" s="98">
        <v>3235</v>
      </c>
      <c r="E4521" s="157">
        <v>41634.769444444442</v>
      </c>
      <c r="F4521" s="157">
        <v>41635.972222222219</v>
      </c>
      <c r="G4521" s="98">
        <v>425</v>
      </c>
      <c r="H4521" s="98">
        <v>521</v>
      </c>
      <c r="I4521" s="98">
        <v>482</v>
      </c>
      <c r="J4521" s="98" t="s">
        <v>2745</v>
      </c>
      <c r="K4521" s="98" t="s">
        <v>1662</v>
      </c>
      <c r="L4521" s="105" t="str">
        <f t="shared" si="740"/>
        <v>Mill Creek</v>
      </c>
      <c r="M4521" s="105" t="str">
        <f t="shared" si="741"/>
        <v>Derate</v>
      </c>
      <c r="N4521" s="105" t="str">
        <f t="shared" si="742"/>
        <v>Coal</v>
      </c>
      <c r="O4521" s="105">
        <f>IFERROR(VLOOKUP(A4521,Lookup!$J$5:$P$19,7,FALSE),0)</f>
        <v>3</v>
      </c>
      <c r="P4521" s="159">
        <f t="shared" si="743"/>
        <v>2013</v>
      </c>
      <c r="Q4521" s="159">
        <f t="shared" si="744"/>
        <v>12</v>
      </c>
      <c r="R4521" s="160">
        <f t="shared" si="745"/>
        <v>28.866666666639503</v>
      </c>
      <c r="S4521" s="158">
        <f t="shared" si="746"/>
        <v>5.3190019193807911</v>
      </c>
      <c r="T4521" s="161">
        <f t="shared" si="747"/>
        <v>2563.7589251415411</v>
      </c>
      <c r="U4521" s="158">
        <f t="shared" si="749"/>
        <v>88.813819577735131</v>
      </c>
      <c r="V4521" s="160">
        <f t="shared" si="748"/>
        <v>89</v>
      </c>
    </row>
    <row r="4522" spans="1:22" x14ac:dyDescent="0.25">
      <c r="A4522" s="98" t="s">
        <v>25</v>
      </c>
      <c r="B4522" s="98" t="s">
        <v>105</v>
      </c>
      <c r="C4522" s="98">
        <v>214</v>
      </c>
      <c r="D4522" s="98">
        <v>3235</v>
      </c>
      <c r="E4522" s="157">
        <v>41635.972222222219</v>
      </c>
      <c r="F4522" s="157">
        <v>41636.039583333331</v>
      </c>
      <c r="G4522" s="98">
        <v>335</v>
      </c>
      <c r="H4522" s="98">
        <v>521</v>
      </c>
      <c r="I4522" s="98">
        <v>482</v>
      </c>
      <c r="J4522" s="98" t="s">
        <v>2745</v>
      </c>
      <c r="K4522" s="98" t="s">
        <v>1663</v>
      </c>
      <c r="L4522" s="105" t="str">
        <f t="shared" si="740"/>
        <v>Mill Creek</v>
      </c>
      <c r="M4522" s="105" t="str">
        <f t="shared" si="741"/>
        <v>Derate</v>
      </c>
      <c r="N4522" s="105" t="str">
        <f t="shared" si="742"/>
        <v>Coal</v>
      </c>
      <c r="O4522" s="105">
        <f>IFERROR(VLOOKUP(A4522,Lookup!$J$5:$P$19,7,FALSE),0)</f>
        <v>3</v>
      </c>
      <c r="P4522" s="159">
        <f t="shared" si="743"/>
        <v>2013</v>
      </c>
      <c r="Q4522" s="159">
        <f t="shared" si="744"/>
        <v>12</v>
      </c>
      <c r="R4522" s="160">
        <f t="shared" si="745"/>
        <v>1.6166666666977108</v>
      </c>
      <c r="S4522" s="158">
        <f t="shared" si="746"/>
        <v>0.57715930903219614</v>
      </c>
      <c r="T4522" s="161">
        <f t="shared" si="747"/>
        <v>278.19078695351857</v>
      </c>
      <c r="U4522" s="158">
        <f t="shared" si="749"/>
        <v>172.07677543186179</v>
      </c>
      <c r="V4522" s="160">
        <f t="shared" si="748"/>
        <v>172</v>
      </c>
    </row>
    <row r="4523" spans="1:22" x14ac:dyDescent="0.25">
      <c r="A4523" s="98" t="s">
        <v>25</v>
      </c>
      <c r="B4523" s="98" t="s">
        <v>17</v>
      </c>
      <c r="C4523" s="98">
        <v>215</v>
      </c>
      <c r="D4523" s="98">
        <v>1710</v>
      </c>
      <c r="E4523" s="157">
        <v>41636.039583333331</v>
      </c>
      <c r="F4523" s="157">
        <v>41636.043749999997</v>
      </c>
      <c r="G4523" s="98">
        <v>522</v>
      </c>
      <c r="H4523" s="98">
        <v>521</v>
      </c>
      <c r="I4523" s="98">
        <v>482</v>
      </c>
      <c r="J4523" s="98" t="s">
        <v>2020</v>
      </c>
      <c r="K4523" s="98" t="s">
        <v>1660</v>
      </c>
      <c r="L4523" s="105" t="str">
        <f t="shared" si="740"/>
        <v>Mill Creek</v>
      </c>
      <c r="M4523" s="105" t="str">
        <f t="shared" si="741"/>
        <v>Derate</v>
      </c>
      <c r="N4523" s="105" t="str">
        <f t="shared" si="742"/>
        <v>Coal</v>
      </c>
      <c r="O4523" s="105">
        <f>IFERROR(VLOOKUP(A4523,Lookup!$J$5:$P$19,7,FALSE),0)</f>
        <v>3</v>
      </c>
      <c r="P4523" s="159">
        <f t="shared" si="743"/>
        <v>2013</v>
      </c>
      <c r="Q4523" s="159">
        <f t="shared" si="744"/>
        <v>12</v>
      </c>
      <c r="R4523" s="160">
        <f t="shared" si="745"/>
        <v>9.9999999976716936E-2</v>
      </c>
      <c r="S4523" s="158">
        <f t="shared" si="746"/>
        <v>-1.9193857960982138E-4</v>
      </c>
      <c r="T4523" s="161">
        <f t="shared" si="747"/>
        <v>-9.25143953719339E-2</v>
      </c>
      <c r="U4523" s="158">
        <f t="shared" si="749"/>
        <v>0</v>
      </c>
      <c r="V4523" s="160">
        <f t="shared" si="748"/>
        <v>0</v>
      </c>
    </row>
    <row r="4524" spans="1:22" x14ac:dyDescent="0.25">
      <c r="A4524" s="98" t="s">
        <v>25</v>
      </c>
      <c r="B4524" s="98" t="s">
        <v>15</v>
      </c>
      <c r="C4524" s="98">
        <v>216</v>
      </c>
      <c r="D4524" s="98">
        <v>4730</v>
      </c>
      <c r="E4524" s="157">
        <v>41636.043749999997</v>
      </c>
      <c r="F4524" s="157">
        <v>41638.868055555555</v>
      </c>
      <c r="G4524" s="98">
        <v>0</v>
      </c>
      <c r="H4524" s="98">
        <v>521</v>
      </c>
      <c r="I4524" s="98">
        <v>482</v>
      </c>
      <c r="J4524" s="98" t="s">
        <v>2241</v>
      </c>
      <c r="K4524" s="98" t="s">
        <v>1664</v>
      </c>
      <c r="L4524" s="105" t="str">
        <f t="shared" si="740"/>
        <v>Mill Creek</v>
      </c>
      <c r="M4524" s="105" t="str">
        <f t="shared" si="741"/>
        <v>Outage</v>
      </c>
      <c r="N4524" s="105" t="str">
        <f t="shared" si="742"/>
        <v>Coal</v>
      </c>
      <c r="O4524" s="105">
        <f>IFERROR(VLOOKUP(A4524,Lookup!$J$5:$P$19,7,FALSE),0)</f>
        <v>3</v>
      </c>
      <c r="P4524" s="159">
        <f t="shared" si="743"/>
        <v>2013</v>
      </c>
      <c r="Q4524" s="159">
        <f t="shared" si="744"/>
        <v>12</v>
      </c>
      <c r="R4524" s="160">
        <f t="shared" si="745"/>
        <v>67.78333333338378</v>
      </c>
      <c r="S4524" s="158">
        <f t="shared" si="746"/>
        <v>67.78333333338378</v>
      </c>
      <c r="T4524" s="161">
        <f t="shared" si="747"/>
        <v>32671.566666690982</v>
      </c>
      <c r="U4524" s="158">
        <f t="shared" si="749"/>
        <v>482</v>
      </c>
      <c r="V4524" s="160">
        <f t="shared" si="748"/>
        <v>482</v>
      </c>
    </row>
    <row r="4525" spans="1:22" x14ac:dyDescent="0.25">
      <c r="A4525" s="98" t="s">
        <v>25</v>
      </c>
      <c r="B4525" s="98" t="s">
        <v>79</v>
      </c>
      <c r="C4525" s="98">
        <v>217</v>
      </c>
      <c r="D4525" s="98">
        <v>1850</v>
      </c>
      <c r="E4525" s="157">
        <v>41638.868055555555</v>
      </c>
      <c r="F4525" s="157">
        <v>41639.371527777781</v>
      </c>
      <c r="G4525" s="98">
        <v>0</v>
      </c>
      <c r="H4525" s="98">
        <v>521</v>
      </c>
      <c r="I4525" s="98">
        <v>482</v>
      </c>
      <c r="J4525" s="98" t="s">
        <v>2263</v>
      </c>
      <c r="K4525" s="98" t="s">
        <v>85</v>
      </c>
      <c r="L4525" s="105" t="str">
        <f t="shared" si="740"/>
        <v>Mill Creek</v>
      </c>
      <c r="M4525" s="105" t="str">
        <f t="shared" si="741"/>
        <v>Other</v>
      </c>
      <c r="N4525" s="105" t="str">
        <f t="shared" si="742"/>
        <v>Coal</v>
      </c>
      <c r="O4525" s="105">
        <f>IFERROR(VLOOKUP(A4525,Lookup!$J$5:$P$19,7,FALSE),0)</f>
        <v>3</v>
      </c>
      <c r="P4525" s="159">
        <f t="shared" si="743"/>
        <v>2013</v>
      </c>
      <c r="Q4525" s="159">
        <f t="shared" si="744"/>
        <v>12</v>
      </c>
      <c r="R4525" s="160">
        <f t="shared" si="745"/>
        <v>12.083333333430346</v>
      </c>
      <c r="S4525" s="158">
        <f t="shared" si="746"/>
        <v>12.083333333430346</v>
      </c>
      <c r="T4525" s="161">
        <f t="shared" si="747"/>
        <v>5824.1666667134268</v>
      </c>
      <c r="U4525" s="158">
        <f t="shared" si="749"/>
        <v>482</v>
      </c>
      <c r="V4525" s="160">
        <f t="shared" si="748"/>
        <v>482</v>
      </c>
    </row>
    <row r="4526" spans="1:22" x14ac:dyDescent="0.25">
      <c r="A4526" s="98" t="s">
        <v>25</v>
      </c>
      <c r="B4526" s="98" t="s">
        <v>17</v>
      </c>
      <c r="C4526" s="98">
        <v>218</v>
      </c>
      <c r="D4526" s="98">
        <v>95</v>
      </c>
      <c r="E4526" s="157">
        <v>41639.371527777781</v>
      </c>
      <c r="F4526" s="157">
        <v>41639.655555555553</v>
      </c>
      <c r="G4526" s="98">
        <v>430</v>
      </c>
      <c r="H4526" s="98">
        <v>521</v>
      </c>
      <c r="I4526" s="98">
        <v>482</v>
      </c>
      <c r="J4526" s="98" t="s">
        <v>1998</v>
      </c>
      <c r="K4526" s="98" t="s">
        <v>1665</v>
      </c>
      <c r="L4526" s="105" t="str">
        <f t="shared" si="740"/>
        <v>Mill Creek</v>
      </c>
      <c r="M4526" s="105" t="str">
        <f t="shared" si="741"/>
        <v>Derate</v>
      </c>
      <c r="N4526" s="105" t="str">
        <f t="shared" si="742"/>
        <v>Coal</v>
      </c>
      <c r="O4526" s="105">
        <f>IFERROR(VLOOKUP(A4526,Lookup!$J$5:$P$19,7,FALSE),0)</f>
        <v>3</v>
      </c>
      <c r="P4526" s="159">
        <f t="shared" si="743"/>
        <v>2013</v>
      </c>
      <c r="Q4526" s="159">
        <f t="shared" si="744"/>
        <v>12</v>
      </c>
      <c r="R4526" s="160">
        <f t="shared" si="745"/>
        <v>6.8166666665347293</v>
      </c>
      <c r="S4526" s="158">
        <f t="shared" si="746"/>
        <v>1.1906269993371601</v>
      </c>
      <c r="T4526" s="161">
        <f t="shared" si="747"/>
        <v>573.8822136805112</v>
      </c>
      <c r="U4526" s="158">
        <f t="shared" si="749"/>
        <v>84.188099808061423</v>
      </c>
      <c r="V4526" s="160">
        <f t="shared" si="748"/>
        <v>84</v>
      </c>
    </row>
    <row r="4527" spans="1:22" x14ac:dyDescent="0.25">
      <c r="A4527" s="98" t="s">
        <v>25</v>
      </c>
      <c r="B4527" s="98" t="s">
        <v>17</v>
      </c>
      <c r="C4527" s="98">
        <v>219</v>
      </c>
      <c r="D4527" s="98">
        <v>360</v>
      </c>
      <c r="E4527" s="157">
        <v>41639.979166666664</v>
      </c>
      <c r="F4527" s="157">
        <v>41640</v>
      </c>
      <c r="G4527" s="98">
        <v>420</v>
      </c>
      <c r="H4527" s="98">
        <v>521</v>
      </c>
      <c r="I4527" s="98">
        <v>482</v>
      </c>
      <c r="J4527" s="98" t="s">
        <v>229</v>
      </c>
      <c r="K4527" s="98" t="s">
        <v>1666</v>
      </c>
      <c r="L4527" s="105" t="str">
        <f t="shared" si="740"/>
        <v>Mill Creek</v>
      </c>
      <c r="M4527" s="105" t="str">
        <f t="shared" si="741"/>
        <v>Derate</v>
      </c>
      <c r="N4527" s="105" t="str">
        <f t="shared" si="742"/>
        <v>Coal</v>
      </c>
      <c r="O4527" s="105">
        <f>IFERROR(VLOOKUP(A4527,Lookup!$J$5:$P$19,7,FALSE),0)</f>
        <v>3</v>
      </c>
      <c r="P4527" s="159">
        <f t="shared" si="743"/>
        <v>2013</v>
      </c>
      <c r="Q4527" s="159">
        <f t="shared" si="744"/>
        <v>12</v>
      </c>
      <c r="R4527" s="160">
        <f t="shared" si="745"/>
        <v>0.50000000005820766</v>
      </c>
      <c r="S4527" s="158">
        <f t="shared" si="746"/>
        <v>9.6928982736811845E-2</v>
      </c>
      <c r="T4527" s="161">
        <f t="shared" si="747"/>
        <v>46.719769679143312</v>
      </c>
      <c r="U4527" s="158">
        <f t="shared" si="749"/>
        <v>93.439539347408825</v>
      </c>
      <c r="V4527" s="160">
        <f t="shared" si="748"/>
        <v>93</v>
      </c>
    </row>
    <row r="4528" spans="1:22" x14ac:dyDescent="0.25">
      <c r="A4528" s="98" t="s">
        <v>25</v>
      </c>
      <c r="B4528" s="98" t="s">
        <v>17</v>
      </c>
      <c r="C4528" s="98">
        <v>1</v>
      </c>
      <c r="D4528" s="98">
        <v>360</v>
      </c>
      <c r="E4528" s="157">
        <v>41640</v>
      </c>
      <c r="F4528" s="157">
        <v>41640.145833333336</v>
      </c>
      <c r="G4528" s="98">
        <v>420</v>
      </c>
      <c r="H4528" s="98">
        <v>521</v>
      </c>
      <c r="I4528" s="98">
        <v>482</v>
      </c>
      <c r="J4528" s="98" t="s">
        <v>229</v>
      </c>
      <c r="K4528" s="98" t="s">
        <v>1666</v>
      </c>
      <c r="L4528" s="105" t="str">
        <f t="shared" si="740"/>
        <v>Mill Creek</v>
      </c>
      <c r="M4528" s="105" t="str">
        <f t="shared" si="741"/>
        <v>Derate</v>
      </c>
      <c r="N4528" s="105" t="str">
        <f t="shared" si="742"/>
        <v>Coal</v>
      </c>
      <c r="O4528" s="105">
        <f>IFERROR(VLOOKUP(A4528,Lookup!$J$5:$P$19,7,FALSE),0)</f>
        <v>3</v>
      </c>
      <c r="P4528" s="159">
        <f t="shared" si="743"/>
        <v>2014</v>
      </c>
      <c r="Q4528" s="159">
        <f t="shared" si="744"/>
        <v>1</v>
      </c>
      <c r="R4528" s="160">
        <f t="shared" si="745"/>
        <v>3.5000000000582077</v>
      </c>
      <c r="S4528" s="158">
        <f t="shared" si="746"/>
        <v>0.67850287908997886</v>
      </c>
      <c r="T4528" s="161">
        <f t="shared" si="747"/>
        <v>327.03838772136982</v>
      </c>
      <c r="U4528" s="158">
        <f t="shared" si="749"/>
        <v>93.439539347408825</v>
      </c>
      <c r="V4528" s="160">
        <f t="shared" si="748"/>
        <v>93</v>
      </c>
    </row>
    <row r="4529" spans="1:22" x14ac:dyDescent="0.25">
      <c r="A4529" s="98" t="s">
        <v>25</v>
      </c>
      <c r="B4529" s="98" t="s">
        <v>17</v>
      </c>
      <c r="C4529" s="98">
        <v>2</v>
      </c>
      <c r="D4529" s="98">
        <v>4261</v>
      </c>
      <c r="E4529" s="157">
        <v>41641.481944444444</v>
      </c>
      <c r="F4529" s="157">
        <v>41641.507638888892</v>
      </c>
      <c r="G4529" s="98">
        <v>500</v>
      </c>
      <c r="H4529" s="98">
        <v>521</v>
      </c>
      <c r="I4529" s="98">
        <v>482</v>
      </c>
      <c r="J4529" s="98" t="s">
        <v>1985</v>
      </c>
      <c r="K4529" s="98" t="s">
        <v>1667</v>
      </c>
      <c r="L4529" s="105" t="str">
        <f t="shared" si="740"/>
        <v>Mill Creek</v>
      </c>
      <c r="M4529" s="105" t="str">
        <f t="shared" si="741"/>
        <v>Derate</v>
      </c>
      <c r="N4529" s="105" t="str">
        <f t="shared" si="742"/>
        <v>Coal</v>
      </c>
      <c r="O4529" s="105">
        <f>IFERROR(VLOOKUP(A4529,Lookup!$J$5:$P$19,7,FALSE),0)</f>
        <v>3</v>
      </c>
      <c r="P4529" s="159">
        <f t="shared" si="743"/>
        <v>2014</v>
      </c>
      <c r="Q4529" s="159">
        <f t="shared" si="744"/>
        <v>1</v>
      </c>
      <c r="R4529" s="160">
        <f t="shared" si="745"/>
        <v>0.61666666675591841</v>
      </c>
      <c r="S4529" s="158">
        <f t="shared" si="746"/>
        <v>2.4856046068856597E-2</v>
      </c>
      <c r="T4529" s="161">
        <f t="shared" si="747"/>
        <v>11.98061420518888</v>
      </c>
      <c r="U4529" s="158">
        <f t="shared" si="749"/>
        <v>19.428023032629557</v>
      </c>
      <c r="V4529" s="160">
        <f t="shared" si="748"/>
        <v>19</v>
      </c>
    </row>
    <row r="4530" spans="1:22" x14ac:dyDescent="0.25">
      <c r="A4530" s="98" t="s">
        <v>25</v>
      </c>
      <c r="B4530" s="98" t="s">
        <v>17</v>
      </c>
      <c r="C4530" s="98">
        <v>3</v>
      </c>
      <c r="D4530" s="98">
        <v>380</v>
      </c>
      <c r="E4530" s="157">
        <v>41645.236111111109</v>
      </c>
      <c r="F4530" s="157">
        <v>41645.241666666669</v>
      </c>
      <c r="G4530" s="98">
        <v>255</v>
      </c>
      <c r="H4530" s="98">
        <v>521</v>
      </c>
      <c r="I4530" s="98">
        <v>482</v>
      </c>
      <c r="J4530" s="98" t="s">
        <v>2017</v>
      </c>
      <c r="K4530" s="98" t="s">
        <v>1668</v>
      </c>
      <c r="L4530" s="105" t="str">
        <f t="shared" si="740"/>
        <v>Mill Creek</v>
      </c>
      <c r="M4530" s="105" t="str">
        <f t="shared" si="741"/>
        <v>Derate</v>
      </c>
      <c r="N4530" s="105" t="str">
        <f t="shared" si="742"/>
        <v>Coal</v>
      </c>
      <c r="O4530" s="105">
        <f>IFERROR(VLOOKUP(A4530,Lookup!$J$5:$P$19,7,FALSE),0)</f>
        <v>3</v>
      </c>
      <c r="P4530" s="159">
        <f t="shared" si="743"/>
        <v>2014</v>
      </c>
      <c r="Q4530" s="159">
        <f t="shared" si="744"/>
        <v>1</v>
      </c>
      <c r="R4530" s="160">
        <f t="shared" si="745"/>
        <v>0.13333333341870457</v>
      </c>
      <c r="S4530" s="158">
        <f t="shared" si="746"/>
        <v>6.8074216294386591E-2</v>
      </c>
      <c r="T4530" s="161">
        <f t="shared" si="747"/>
        <v>32.81177225389434</v>
      </c>
      <c r="U4530" s="158">
        <f t="shared" si="749"/>
        <v>246.08829174664106</v>
      </c>
      <c r="V4530" s="160">
        <f t="shared" si="748"/>
        <v>246</v>
      </c>
    </row>
    <row r="4531" spans="1:22" x14ac:dyDescent="0.25">
      <c r="A4531" s="98" t="s">
        <v>25</v>
      </c>
      <c r="B4531" s="98" t="s">
        <v>17</v>
      </c>
      <c r="C4531" s="98">
        <v>4</v>
      </c>
      <c r="D4531" s="98">
        <v>380</v>
      </c>
      <c r="E4531" s="157">
        <v>41645.277777777781</v>
      </c>
      <c r="F4531" s="157">
        <v>41645.371527777781</v>
      </c>
      <c r="G4531" s="98">
        <v>340</v>
      </c>
      <c r="H4531" s="98">
        <v>521</v>
      </c>
      <c r="I4531" s="98">
        <v>482</v>
      </c>
      <c r="J4531" s="98" t="s">
        <v>2017</v>
      </c>
      <c r="K4531" s="98" t="s">
        <v>1669</v>
      </c>
      <c r="L4531" s="105" t="str">
        <f t="shared" si="740"/>
        <v>Mill Creek</v>
      </c>
      <c r="M4531" s="105" t="str">
        <f t="shared" si="741"/>
        <v>Derate</v>
      </c>
      <c r="N4531" s="105" t="str">
        <f t="shared" si="742"/>
        <v>Coal</v>
      </c>
      <c r="O4531" s="105">
        <f>IFERROR(VLOOKUP(A4531,Lookup!$J$5:$P$19,7,FALSE),0)</f>
        <v>3</v>
      </c>
      <c r="P4531" s="159">
        <f t="shared" si="743"/>
        <v>2014</v>
      </c>
      <c r="Q4531" s="159">
        <f t="shared" si="744"/>
        <v>1</v>
      </c>
      <c r="R4531" s="160">
        <f t="shared" si="745"/>
        <v>2.25</v>
      </c>
      <c r="S4531" s="158">
        <f t="shared" si="746"/>
        <v>0.78166986564299423</v>
      </c>
      <c r="T4531" s="161">
        <f t="shared" si="747"/>
        <v>376.76487523992324</v>
      </c>
      <c r="U4531" s="158">
        <f t="shared" si="749"/>
        <v>167.45105566218811</v>
      </c>
      <c r="V4531" s="160">
        <f t="shared" si="748"/>
        <v>167</v>
      </c>
    </row>
    <row r="4532" spans="1:22" x14ac:dyDescent="0.25">
      <c r="A4532" s="98" t="s">
        <v>25</v>
      </c>
      <c r="B4532" s="98" t="s">
        <v>17</v>
      </c>
      <c r="C4532" s="98">
        <v>5</v>
      </c>
      <c r="D4532" s="98">
        <v>380</v>
      </c>
      <c r="E4532" s="157">
        <v>41645.371527777781</v>
      </c>
      <c r="F4532" s="157">
        <v>41645.520833333336</v>
      </c>
      <c r="G4532" s="98">
        <v>420</v>
      </c>
      <c r="H4532" s="98">
        <v>521</v>
      </c>
      <c r="I4532" s="98">
        <v>482</v>
      </c>
      <c r="J4532" s="98" t="s">
        <v>2017</v>
      </c>
      <c r="K4532" s="98" t="s">
        <v>1670</v>
      </c>
      <c r="L4532" s="105" t="str">
        <f t="shared" si="740"/>
        <v>Mill Creek</v>
      </c>
      <c r="M4532" s="105" t="str">
        <f t="shared" si="741"/>
        <v>Derate</v>
      </c>
      <c r="N4532" s="105" t="str">
        <f t="shared" si="742"/>
        <v>Coal</v>
      </c>
      <c r="O4532" s="105">
        <f>IFERROR(VLOOKUP(A4532,Lookup!$J$5:$P$19,7,FALSE),0)</f>
        <v>3</v>
      </c>
      <c r="P4532" s="159">
        <f t="shared" si="743"/>
        <v>2014</v>
      </c>
      <c r="Q4532" s="159">
        <f t="shared" si="744"/>
        <v>1</v>
      </c>
      <c r="R4532" s="160">
        <f t="shared" si="745"/>
        <v>3.5833333333139308</v>
      </c>
      <c r="S4532" s="158">
        <f t="shared" si="746"/>
        <v>0.69465770952918815</v>
      </c>
      <c r="T4532" s="161">
        <f t="shared" si="747"/>
        <v>334.82501599306869</v>
      </c>
      <c r="U4532" s="158">
        <f t="shared" si="749"/>
        <v>93.439539347408825</v>
      </c>
      <c r="V4532" s="160">
        <f t="shared" si="748"/>
        <v>93</v>
      </c>
    </row>
    <row r="4533" spans="1:22" x14ac:dyDescent="0.25">
      <c r="A4533" s="98" t="s">
        <v>25</v>
      </c>
      <c r="B4533" s="98" t="s">
        <v>105</v>
      </c>
      <c r="C4533" s="98">
        <v>6</v>
      </c>
      <c r="D4533" s="98">
        <v>360</v>
      </c>
      <c r="E4533" s="157">
        <v>41647.875</v>
      </c>
      <c r="F4533" s="157">
        <v>41647.913194444445</v>
      </c>
      <c r="G4533" s="98">
        <v>410</v>
      </c>
      <c r="H4533" s="98">
        <v>521</v>
      </c>
      <c r="I4533" s="98">
        <v>482</v>
      </c>
      <c r="J4533" s="98" t="s">
        <v>229</v>
      </c>
      <c r="K4533" s="98" t="s">
        <v>1671</v>
      </c>
      <c r="L4533" s="105" t="str">
        <f t="shared" si="740"/>
        <v>Mill Creek</v>
      </c>
      <c r="M4533" s="105" t="str">
        <f t="shared" si="741"/>
        <v>Derate</v>
      </c>
      <c r="N4533" s="105" t="str">
        <f t="shared" si="742"/>
        <v>Coal</v>
      </c>
      <c r="O4533" s="105">
        <f>IFERROR(VLOOKUP(A4533,Lookup!$J$5:$P$19,7,FALSE),0)</f>
        <v>3</v>
      </c>
      <c r="P4533" s="159">
        <f t="shared" si="743"/>
        <v>2014</v>
      </c>
      <c r="Q4533" s="159">
        <f t="shared" si="744"/>
        <v>1</v>
      </c>
      <c r="R4533" s="160">
        <f t="shared" si="745"/>
        <v>0.91666666668606922</v>
      </c>
      <c r="S4533" s="158">
        <f t="shared" si="746"/>
        <v>0.19529750480259825</v>
      </c>
      <c r="T4533" s="161">
        <f t="shared" si="747"/>
        <v>94.13339731485236</v>
      </c>
      <c r="U4533" s="158">
        <f t="shared" si="749"/>
        <v>102.69097888675624</v>
      </c>
      <c r="V4533" s="160">
        <f t="shared" si="748"/>
        <v>103</v>
      </c>
    </row>
    <row r="4534" spans="1:22" x14ac:dyDescent="0.25">
      <c r="A4534" s="98" t="s">
        <v>25</v>
      </c>
      <c r="B4534" s="98" t="s">
        <v>17</v>
      </c>
      <c r="C4534" s="98">
        <v>7</v>
      </c>
      <c r="D4534" s="98">
        <v>250</v>
      </c>
      <c r="E4534" s="157">
        <v>41647.913194444445</v>
      </c>
      <c r="F4534" s="157">
        <v>41648.208333333336</v>
      </c>
      <c r="G4534" s="98">
        <v>410</v>
      </c>
      <c r="H4534" s="98">
        <v>521</v>
      </c>
      <c r="I4534" s="98">
        <v>482</v>
      </c>
      <c r="J4534" s="98" t="s">
        <v>1978</v>
      </c>
      <c r="K4534" s="98" t="s">
        <v>1672</v>
      </c>
      <c r="L4534" s="105" t="str">
        <f t="shared" si="740"/>
        <v>Mill Creek</v>
      </c>
      <c r="M4534" s="105" t="str">
        <f t="shared" si="741"/>
        <v>Derate</v>
      </c>
      <c r="N4534" s="105" t="str">
        <f t="shared" si="742"/>
        <v>Coal</v>
      </c>
      <c r="O4534" s="105">
        <f>IFERROR(VLOOKUP(A4534,Lookup!$J$5:$P$19,7,FALSE),0)</f>
        <v>3</v>
      </c>
      <c r="P4534" s="159">
        <f t="shared" si="743"/>
        <v>2014</v>
      </c>
      <c r="Q4534" s="159">
        <f t="shared" si="744"/>
        <v>1</v>
      </c>
      <c r="R4534" s="160">
        <f t="shared" si="745"/>
        <v>7.0833333333721384</v>
      </c>
      <c r="S4534" s="158">
        <f t="shared" si="746"/>
        <v>1.5091170825418567</v>
      </c>
      <c r="T4534" s="161">
        <f t="shared" si="747"/>
        <v>727.3944337851749</v>
      </c>
      <c r="U4534" s="158">
        <f t="shared" si="749"/>
        <v>102.69097888675624</v>
      </c>
      <c r="V4534" s="160">
        <f t="shared" si="748"/>
        <v>103</v>
      </c>
    </row>
    <row r="4535" spans="1:22" x14ac:dyDescent="0.25">
      <c r="A4535" s="98" t="s">
        <v>25</v>
      </c>
      <c r="B4535" s="98" t="s">
        <v>17</v>
      </c>
      <c r="C4535" s="98">
        <v>8</v>
      </c>
      <c r="D4535" s="98">
        <v>310</v>
      </c>
      <c r="E4535" s="157">
        <v>41648.291666666664</v>
      </c>
      <c r="F4535" s="157">
        <v>41648.359722222223</v>
      </c>
      <c r="G4535" s="98">
        <v>475</v>
      </c>
      <c r="H4535" s="98">
        <v>521</v>
      </c>
      <c r="I4535" s="98">
        <v>482</v>
      </c>
      <c r="J4535" s="98" t="s">
        <v>1966</v>
      </c>
      <c r="K4535" s="98" t="s">
        <v>710</v>
      </c>
      <c r="L4535" s="105" t="str">
        <f t="shared" si="740"/>
        <v>Mill Creek</v>
      </c>
      <c r="M4535" s="105" t="str">
        <f t="shared" si="741"/>
        <v>Derate</v>
      </c>
      <c r="N4535" s="105" t="str">
        <f t="shared" si="742"/>
        <v>Coal</v>
      </c>
      <c r="O4535" s="105">
        <f>IFERROR(VLOOKUP(A4535,Lookup!$J$5:$P$19,7,FALSE),0)</f>
        <v>3</v>
      </c>
      <c r="P4535" s="159">
        <f t="shared" si="743"/>
        <v>2014</v>
      </c>
      <c r="Q4535" s="159">
        <f t="shared" si="744"/>
        <v>1</v>
      </c>
      <c r="R4535" s="160">
        <f t="shared" si="745"/>
        <v>1.6333333334187046</v>
      </c>
      <c r="S4535" s="158">
        <f t="shared" si="746"/>
        <v>0.14420985285462651</v>
      </c>
      <c r="T4535" s="161">
        <f t="shared" si="747"/>
        <v>69.509149075929983</v>
      </c>
      <c r="U4535" s="158">
        <f t="shared" si="749"/>
        <v>42.55662188099808</v>
      </c>
      <c r="V4535" s="160">
        <f t="shared" si="748"/>
        <v>43</v>
      </c>
    </row>
    <row r="4536" spans="1:22" x14ac:dyDescent="0.25">
      <c r="A4536" s="98" t="s">
        <v>25</v>
      </c>
      <c r="B4536" s="98" t="s">
        <v>17</v>
      </c>
      <c r="C4536" s="98">
        <v>9</v>
      </c>
      <c r="D4536" s="98">
        <v>360</v>
      </c>
      <c r="E4536" s="157">
        <v>41651.116666666669</v>
      </c>
      <c r="F4536" s="157">
        <v>41651.397916666669</v>
      </c>
      <c r="G4536" s="98">
        <v>430</v>
      </c>
      <c r="H4536" s="98">
        <v>521</v>
      </c>
      <c r="I4536" s="98">
        <v>482</v>
      </c>
      <c r="J4536" s="98" t="s">
        <v>229</v>
      </c>
      <c r="K4536" s="98" t="s">
        <v>1673</v>
      </c>
      <c r="L4536" s="105" t="str">
        <f t="shared" si="740"/>
        <v>Mill Creek</v>
      </c>
      <c r="M4536" s="105" t="str">
        <f t="shared" si="741"/>
        <v>Derate</v>
      </c>
      <c r="N4536" s="105" t="str">
        <f t="shared" si="742"/>
        <v>Coal</v>
      </c>
      <c r="O4536" s="105">
        <f>IFERROR(VLOOKUP(A4536,Lookup!$J$5:$P$19,7,FALSE),0)</f>
        <v>3</v>
      </c>
      <c r="P4536" s="159">
        <f t="shared" si="743"/>
        <v>2014</v>
      </c>
      <c r="Q4536" s="159">
        <f t="shared" si="744"/>
        <v>1</v>
      </c>
      <c r="R4536" s="160">
        <f t="shared" si="745"/>
        <v>6.75</v>
      </c>
      <c r="S4536" s="158">
        <f t="shared" si="746"/>
        <v>1.1789827255278311</v>
      </c>
      <c r="T4536" s="161">
        <f t="shared" si="747"/>
        <v>568.26967370441457</v>
      </c>
      <c r="U4536" s="158">
        <f t="shared" si="749"/>
        <v>84.188099808061423</v>
      </c>
      <c r="V4536" s="160">
        <f t="shared" si="748"/>
        <v>84</v>
      </c>
    </row>
    <row r="4537" spans="1:22" x14ac:dyDescent="0.25">
      <c r="A4537" s="98" t="s">
        <v>25</v>
      </c>
      <c r="B4537" s="98" t="s">
        <v>79</v>
      </c>
      <c r="C4537" s="98">
        <v>10</v>
      </c>
      <c r="D4537" s="98">
        <v>1160</v>
      </c>
      <c r="E4537" s="157">
        <v>41657.875</v>
      </c>
      <c r="F4537" s="157">
        <v>41658.320138888892</v>
      </c>
      <c r="G4537" s="98">
        <v>0</v>
      </c>
      <c r="H4537" s="98">
        <v>521</v>
      </c>
      <c r="I4537" s="98">
        <v>482</v>
      </c>
      <c r="J4537" s="98" t="s">
        <v>2273</v>
      </c>
      <c r="K4537" s="98" t="s">
        <v>1409</v>
      </c>
      <c r="L4537" s="105" t="str">
        <f t="shared" si="740"/>
        <v>Mill Creek</v>
      </c>
      <c r="M4537" s="105" t="str">
        <f t="shared" si="741"/>
        <v>Other</v>
      </c>
      <c r="N4537" s="105" t="str">
        <f t="shared" si="742"/>
        <v>Coal</v>
      </c>
      <c r="O4537" s="105">
        <f>IFERROR(VLOOKUP(A4537,Lookup!$J$5:$P$19,7,FALSE),0)</f>
        <v>3</v>
      </c>
      <c r="P4537" s="159">
        <f t="shared" si="743"/>
        <v>2014</v>
      </c>
      <c r="Q4537" s="159">
        <f t="shared" si="744"/>
        <v>1</v>
      </c>
      <c r="R4537" s="160">
        <f t="shared" si="745"/>
        <v>10.683333333407063</v>
      </c>
      <c r="S4537" s="158">
        <f t="shared" si="746"/>
        <v>10.683333333407063</v>
      </c>
      <c r="T4537" s="161">
        <f t="shared" si="747"/>
        <v>5149.3666667022044</v>
      </c>
      <c r="U4537" s="158">
        <f t="shared" si="749"/>
        <v>482</v>
      </c>
      <c r="V4537" s="160">
        <f t="shared" si="748"/>
        <v>482</v>
      </c>
    </row>
    <row r="4538" spans="1:22" x14ac:dyDescent="0.25">
      <c r="A4538" s="98" t="s">
        <v>25</v>
      </c>
      <c r="B4538" s="98" t="s">
        <v>79</v>
      </c>
      <c r="C4538" s="98">
        <v>11</v>
      </c>
      <c r="D4538" s="98">
        <v>8825</v>
      </c>
      <c r="E4538" s="157">
        <v>41661.440972222219</v>
      </c>
      <c r="F4538" s="157">
        <v>41661.833333333336</v>
      </c>
      <c r="G4538" s="98">
        <v>0</v>
      </c>
      <c r="H4538" s="98">
        <v>521</v>
      </c>
      <c r="I4538" s="98">
        <v>482</v>
      </c>
      <c r="J4538" s="98" t="s">
        <v>2187</v>
      </c>
      <c r="K4538" s="98" t="s">
        <v>1674</v>
      </c>
      <c r="L4538" s="105" t="str">
        <f t="shared" si="740"/>
        <v>Mill Creek</v>
      </c>
      <c r="M4538" s="105" t="str">
        <f t="shared" si="741"/>
        <v>Other</v>
      </c>
      <c r="N4538" s="105" t="str">
        <f t="shared" si="742"/>
        <v>Coal</v>
      </c>
      <c r="O4538" s="105">
        <f>IFERROR(VLOOKUP(A4538,Lookup!$J$5:$P$19,7,FALSE),0)</f>
        <v>3</v>
      </c>
      <c r="P4538" s="159">
        <f t="shared" si="743"/>
        <v>2014</v>
      </c>
      <c r="Q4538" s="159">
        <f t="shared" si="744"/>
        <v>1</v>
      </c>
      <c r="R4538" s="160">
        <f t="shared" si="745"/>
        <v>9.4166666668024845</v>
      </c>
      <c r="S4538" s="158">
        <f t="shared" si="746"/>
        <v>9.4166666668024845</v>
      </c>
      <c r="T4538" s="161">
        <f t="shared" si="747"/>
        <v>4538.8333333987975</v>
      </c>
      <c r="U4538" s="158">
        <f t="shared" si="749"/>
        <v>482</v>
      </c>
      <c r="V4538" s="160">
        <f t="shared" si="748"/>
        <v>482</v>
      </c>
    </row>
    <row r="4539" spans="1:22" x14ac:dyDescent="0.25">
      <c r="A4539" s="98" t="s">
        <v>25</v>
      </c>
      <c r="B4539" s="98" t="s">
        <v>79</v>
      </c>
      <c r="C4539" s="98">
        <v>12</v>
      </c>
      <c r="D4539" s="98">
        <v>8825</v>
      </c>
      <c r="E4539" s="157">
        <v>41662.365972222222</v>
      </c>
      <c r="F4539" s="157">
        <v>41662.631944444445</v>
      </c>
      <c r="G4539" s="98">
        <v>0</v>
      </c>
      <c r="H4539" s="98">
        <v>521</v>
      </c>
      <c r="I4539" s="98">
        <v>482</v>
      </c>
      <c r="J4539" s="98" t="s">
        <v>2187</v>
      </c>
      <c r="K4539" s="98" t="s">
        <v>1674</v>
      </c>
      <c r="L4539" s="105" t="str">
        <f t="shared" si="740"/>
        <v>Mill Creek</v>
      </c>
      <c r="M4539" s="105" t="str">
        <f t="shared" si="741"/>
        <v>Other</v>
      </c>
      <c r="N4539" s="105" t="str">
        <f t="shared" si="742"/>
        <v>Coal</v>
      </c>
      <c r="O4539" s="105">
        <f>IFERROR(VLOOKUP(A4539,Lookup!$J$5:$P$19,7,FALSE),0)</f>
        <v>3</v>
      </c>
      <c r="P4539" s="159">
        <f t="shared" si="743"/>
        <v>2014</v>
      </c>
      <c r="Q4539" s="159">
        <f t="shared" si="744"/>
        <v>1</v>
      </c>
      <c r="R4539" s="160">
        <f t="shared" si="745"/>
        <v>6.3833333333604969</v>
      </c>
      <c r="S4539" s="158">
        <f t="shared" si="746"/>
        <v>6.3833333333604969</v>
      </c>
      <c r="T4539" s="161">
        <f t="shared" si="747"/>
        <v>3076.7666666797595</v>
      </c>
      <c r="U4539" s="158">
        <f t="shared" si="749"/>
        <v>482</v>
      </c>
      <c r="V4539" s="160">
        <f t="shared" si="748"/>
        <v>482</v>
      </c>
    </row>
    <row r="4540" spans="1:22" x14ac:dyDescent="0.25">
      <c r="A4540" s="98" t="s">
        <v>25</v>
      </c>
      <c r="B4540" s="98" t="s">
        <v>79</v>
      </c>
      <c r="C4540" s="98">
        <v>13</v>
      </c>
      <c r="D4540" s="98">
        <v>8825</v>
      </c>
      <c r="E4540" s="157">
        <v>41663.513888888891</v>
      </c>
      <c r="F4540" s="157">
        <v>41663.751388888886</v>
      </c>
      <c r="G4540" s="98">
        <v>0</v>
      </c>
      <c r="H4540" s="98">
        <v>521</v>
      </c>
      <c r="I4540" s="98">
        <v>482</v>
      </c>
      <c r="J4540" s="98" t="s">
        <v>2187</v>
      </c>
      <c r="K4540" s="98" t="s">
        <v>1675</v>
      </c>
      <c r="L4540" s="105" t="str">
        <f t="shared" si="740"/>
        <v>Mill Creek</v>
      </c>
      <c r="M4540" s="105" t="str">
        <f t="shared" si="741"/>
        <v>Other</v>
      </c>
      <c r="N4540" s="105" t="str">
        <f t="shared" si="742"/>
        <v>Coal</v>
      </c>
      <c r="O4540" s="105">
        <f>IFERROR(VLOOKUP(A4540,Lookup!$J$5:$P$19,7,FALSE),0)</f>
        <v>3</v>
      </c>
      <c r="P4540" s="159">
        <f t="shared" si="743"/>
        <v>2014</v>
      </c>
      <c r="Q4540" s="159">
        <f t="shared" si="744"/>
        <v>1</v>
      </c>
      <c r="R4540" s="160">
        <f t="shared" si="745"/>
        <v>5.6999999998952262</v>
      </c>
      <c r="S4540" s="158">
        <f t="shared" si="746"/>
        <v>5.6999999998952262</v>
      </c>
      <c r="T4540" s="161">
        <f t="shared" si="747"/>
        <v>2747.399999949499</v>
      </c>
      <c r="U4540" s="158">
        <f t="shared" si="749"/>
        <v>482</v>
      </c>
      <c r="V4540" s="160">
        <f t="shared" si="748"/>
        <v>482</v>
      </c>
    </row>
    <row r="4541" spans="1:22" x14ac:dyDescent="0.25">
      <c r="A4541" s="98" t="s">
        <v>25</v>
      </c>
      <c r="B4541" s="98" t="s">
        <v>79</v>
      </c>
      <c r="C4541" s="98">
        <v>14</v>
      </c>
      <c r="D4541" s="98">
        <v>1160</v>
      </c>
      <c r="E4541" s="157">
        <v>41665.482638888891</v>
      </c>
      <c r="F4541" s="157">
        <v>41666.243055555555</v>
      </c>
      <c r="G4541" s="98">
        <v>0</v>
      </c>
      <c r="H4541" s="98">
        <v>521</v>
      </c>
      <c r="I4541" s="98">
        <v>482</v>
      </c>
      <c r="J4541" s="98" t="s">
        <v>2273</v>
      </c>
      <c r="K4541" s="98" t="s">
        <v>1409</v>
      </c>
      <c r="L4541" s="105" t="str">
        <f t="shared" si="740"/>
        <v>Mill Creek</v>
      </c>
      <c r="M4541" s="105" t="str">
        <f t="shared" si="741"/>
        <v>Other</v>
      </c>
      <c r="N4541" s="105" t="str">
        <f t="shared" si="742"/>
        <v>Coal</v>
      </c>
      <c r="O4541" s="105">
        <f>IFERROR(VLOOKUP(A4541,Lookup!$J$5:$P$19,7,FALSE),0)</f>
        <v>3</v>
      </c>
      <c r="P4541" s="159">
        <f t="shared" si="743"/>
        <v>2014</v>
      </c>
      <c r="Q4541" s="159">
        <f t="shared" si="744"/>
        <v>1</v>
      </c>
      <c r="R4541" s="160">
        <f t="shared" si="745"/>
        <v>18.249999999941792</v>
      </c>
      <c r="S4541" s="158">
        <f t="shared" si="746"/>
        <v>18.249999999941792</v>
      </c>
      <c r="T4541" s="161">
        <f t="shared" si="747"/>
        <v>8796.4999999719439</v>
      </c>
      <c r="U4541" s="158">
        <f t="shared" si="749"/>
        <v>482</v>
      </c>
      <c r="V4541" s="160">
        <f t="shared" si="748"/>
        <v>482</v>
      </c>
    </row>
    <row r="4542" spans="1:22" x14ac:dyDescent="0.25">
      <c r="A4542" s="98" t="s">
        <v>25</v>
      </c>
      <c r="B4542" s="98" t="s">
        <v>17</v>
      </c>
      <c r="C4542" s="98">
        <v>15</v>
      </c>
      <c r="D4542" s="98">
        <v>310</v>
      </c>
      <c r="E4542" s="157">
        <v>41669.104166666664</v>
      </c>
      <c r="F4542" s="157">
        <v>41669.288194444445</v>
      </c>
      <c r="G4542" s="98">
        <v>420</v>
      </c>
      <c r="H4542" s="98">
        <v>521</v>
      </c>
      <c r="I4542" s="98">
        <v>482</v>
      </c>
      <c r="J4542" s="98" t="s">
        <v>1966</v>
      </c>
      <c r="K4542" s="98" t="s">
        <v>1676</v>
      </c>
      <c r="L4542" s="105" t="str">
        <f t="shared" si="740"/>
        <v>Mill Creek</v>
      </c>
      <c r="M4542" s="105" t="str">
        <f t="shared" si="741"/>
        <v>Derate</v>
      </c>
      <c r="N4542" s="105" t="str">
        <f t="shared" si="742"/>
        <v>Coal</v>
      </c>
      <c r="O4542" s="105">
        <f>IFERROR(VLOOKUP(A4542,Lookup!$J$5:$P$19,7,FALSE),0)</f>
        <v>3</v>
      </c>
      <c r="P4542" s="159">
        <f t="shared" si="743"/>
        <v>2014</v>
      </c>
      <c r="Q4542" s="159">
        <f t="shared" si="744"/>
        <v>1</v>
      </c>
      <c r="R4542" s="160">
        <f t="shared" si="745"/>
        <v>4.4166666667442769</v>
      </c>
      <c r="S4542" s="158">
        <f t="shared" si="746"/>
        <v>0.8562060140905412</v>
      </c>
      <c r="T4542" s="161">
        <f t="shared" si="747"/>
        <v>412.69129879164086</v>
      </c>
      <c r="U4542" s="158">
        <f t="shared" si="749"/>
        <v>93.439539347408825</v>
      </c>
      <c r="V4542" s="160">
        <f t="shared" si="748"/>
        <v>93</v>
      </c>
    </row>
    <row r="4543" spans="1:22" x14ac:dyDescent="0.25">
      <c r="A4543" s="98" t="s">
        <v>25</v>
      </c>
      <c r="B4543" s="98" t="s">
        <v>105</v>
      </c>
      <c r="C4543" s="98">
        <v>16</v>
      </c>
      <c r="D4543" s="98">
        <v>310</v>
      </c>
      <c r="E4543" s="157">
        <v>41672.958333333336</v>
      </c>
      <c r="F4543" s="157">
        <v>41673.163194444445</v>
      </c>
      <c r="G4543" s="98">
        <v>420</v>
      </c>
      <c r="H4543" s="98">
        <v>521</v>
      </c>
      <c r="I4543" s="98">
        <v>482</v>
      </c>
      <c r="J4543" s="98" t="s">
        <v>1966</v>
      </c>
      <c r="K4543" s="98" t="s">
        <v>115</v>
      </c>
      <c r="L4543" s="105" t="str">
        <f t="shared" si="740"/>
        <v>Mill Creek</v>
      </c>
      <c r="M4543" s="105" t="str">
        <f t="shared" si="741"/>
        <v>Derate</v>
      </c>
      <c r="N4543" s="105" t="str">
        <f t="shared" si="742"/>
        <v>Coal</v>
      </c>
      <c r="O4543" s="105">
        <f>IFERROR(VLOOKUP(A4543,Lookup!$J$5:$P$19,7,FALSE),0)</f>
        <v>3</v>
      </c>
      <c r="P4543" s="159">
        <f t="shared" si="743"/>
        <v>2014</v>
      </c>
      <c r="Q4543" s="159">
        <f t="shared" si="744"/>
        <v>2</v>
      </c>
      <c r="R4543" s="160">
        <f t="shared" si="745"/>
        <v>4.9166666666278616</v>
      </c>
      <c r="S4543" s="158">
        <f t="shared" si="746"/>
        <v>0.953134996793501</v>
      </c>
      <c r="T4543" s="161">
        <f t="shared" si="747"/>
        <v>459.41106845446745</v>
      </c>
      <c r="U4543" s="158">
        <f t="shared" si="749"/>
        <v>93.439539347408825</v>
      </c>
      <c r="V4543" s="160">
        <f t="shared" si="748"/>
        <v>93</v>
      </c>
    </row>
    <row r="4544" spans="1:22" x14ac:dyDescent="0.25">
      <c r="A4544" s="98" t="s">
        <v>25</v>
      </c>
      <c r="B4544" s="98" t="s">
        <v>17</v>
      </c>
      <c r="C4544" s="98">
        <v>17</v>
      </c>
      <c r="D4544" s="98">
        <v>360</v>
      </c>
      <c r="E4544" s="157">
        <v>41673.163194444445</v>
      </c>
      <c r="F4544" s="157">
        <v>41673.255555555559</v>
      </c>
      <c r="G4544" s="98">
        <v>330</v>
      </c>
      <c r="H4544" s="98">
        <v>521</v>
      </c>
      <c r="I4544" s="98">
        <v>482</v>
      </c>
      <c r="J4544" s="98" t="s">
        <v>229</v>
      </c>
      <c r="K4544" s="98" t="s">
        <v>1677</v>
      </c>
      <c r="L4544" s="105" t="str">
        <f t="shared" si="740"/>
        <v>Mill Creek</v>
      </c>
      <c r="M4544" s="105" t="str">
        <f t="shared" si="741"/>
        <v>Derate</v>
      </c>
      <c r="N4544" s="105" t="str">
        <f t="shared" si="742"/>
        <v>Coal</v>
      </c>
      <c r="O4544" s="105">
        <f>IFERROR(VLOOKUP(A4544,Lookup!$J$5:$P$19,7,FALSE),0)</f>
        <v>3</v>
      </c>
      <c r="P4544" s="159">
        <f t="shared" si="743"/>
        <v>2014</v>
      </c>
      <c r="Q4544" s="159">
        <f t="shared" si="744"/>
        <v>2</v>
      </c>
      <c r="R4544" s="160">
        <f t="shared" si="745"/>
        <v>2.2166666667326353</v>
      </c>
      <c r="S4544" s="158">
        <f t="shared" si="746"/>
        <v>0.81263595651810627</v>
      </c>
      <c r="T4544" s="161">
        <f t="shared" si="747"/>
        <v>391.69053104172724</v>
      </c>
      <c r="U4544" s="158">
        <f t="shared" si="749"/>
        <v>176.7024952015355</v>
      </c>
      <c r="V4544" s="160">
        <f t="shared" si="748"/>
        <v>177</v>
      </c>
    </row>
    <row r="4545" spans="1:22" x14ac:dyDescent="0.25">
      <c r="A4545" s="98" t="s">
        <v>25</v>
      </c>
      <c r="B4545" s="98" t="s">
        <v>17</v>
      </c>
      <c r="C4545" s="98">
        <v>18</v>
      </c>
      <c r="D4545" s="98">
        <v>1710</v>
      </c>
      <c r="E4545" s="157">
        <v>41674.604166666664</v>
      </c>
      <c r="F4545" s="157">
        <v>41689.25</v>
      </c>
      <c r="G4545" s="98">
        <v>518</v>
      </c>
      <c r="H4545" s="98">
        <v>521</v>
      </c>
      <c r="I4545" s="98">
        <v>482</v>
      </c>
      <c r="J4545" s="98" t="s">
        <v>2020</v>
      </c>
      <c r="K4545" s="98" t="s">
        <v>1660</v>
      </c>
      <c r="L4545" s="105" t="str">
        <f t="shared" si="740"/>
        <v>Mill Creek</v>
      </c>
      <c r="M4545" s="105" t="str">
        <f t="shared" si="741"/>
        <v>Derate</v>
      </c>
      <c r="N4545" s="105" t="str">
        <f t="shared" si="742"/>
        <v>Coal</v>
      </c>
      <c r="O4545" s="105">
        <f>IFERROR(VLOOKUP(A4545,Lookup!$J$5:$P$19,7,FALSE),0)</f>
        <v>3</v>
      </c>
      <c r="P4545" s="159">
        <f t="shared" si="743"/>
        <v>2014</v>
      </c>
      <c r="Q4545" s="159">
        <f t="shared" si="744"/>
        <v>2</v>
      </c>
      <c r="R4545" s="160">
        <f t="shared" si="745"/>
        <v>351.50000000005821</v>
      </c>
      <c r="S4545" s="158">
        <f t="shared" si="746"/>
        <v>2.0239923224571488</v>
      </c>
      <c r="T4545" s="161">
        <f t="shared" si="747"/>
        <v>975.56429942434568</v>
      </c>
      <c r="U4545" s="158">
        <f t="shared" si="749"/>
        <v>2.7754318618042229</v>
      </c>
      <c r="V4545" s="160">
        <f t="shared" si="748"/>
        <v>3</v>
      </c>
    </row>
    <row r="4546" spans="1:22" x14ac:dyDescent="0.25">
      <c r="A4546" s="98" t="s">
        <v>25</v>
      </c>
      <c r="B4546" s="98" t="s">
        <v>17</v>
      </c>
      <c r="C4546" s="98">
        <v>19</v>
      </c>
      <c r="D4546" s="98">
        <v>310</v>
      </c>
      <c r="E4546" s="157">
        <v>41677.284722222219</v>
      </c>
      <c r="F4546" s="157">
        <v>41677.295138888891</v>
      </c>
      <c r="G4546" s="98">
        <v>460</v>
      </c>
      <c r="H4546" s="98">
        <v>521</v>
      </c>
      <c r="I4546" s="98">
        <v>482</v>
      </c>
      <c r="J4546" s="98" t="s">
        <v>1966</v>
      </c>
      <c r="K4546" s="98" t="s">
        <v>1678</v>
      </c>
      <c r="L4546" s="105" t="str">
        <f t="shared" si="740"/>
        <v>Mill Creek</v>
      </c>
      <c r="M4546" s="105" t="str">
        <f t="shared" si="741"/>
        <v>Derate</v>
      </c>
      <c r="N4546" s="105" t="str">
        <f t="shared" si="742"/>
        <v>Coal</v>
      </c>
      <c r="O4546" s="105">
        <f>IFERROR(VLOOKUP(A4546,Lookup!$J$5:$P$19,7,FALSE),0)</f>
        <v>3</v>
      </c>
      <c r="P4546" s="159">
        <f t="shared" si="743"/>
        <v>2014</v>
      </c>
      <c r="Q4546" s="159">
        <f t="shared" si="744"/>
        <v>2</v>
      </c>
      <c r="R4546" s="160">
        <f t="shared" si="745"/>
        <v>0.25000000011641532</v>
      </c>
      <c r="S4546" s="158">
        <f t="shared" si="746"/>
        <v>2.9270633410943062E-2</v>
      </c>
      <c r="T4546" s="161">
        <f t="shared" si="747"/>
        <v>14.108445304074555</v>
      </c>
      <c r="U4546" s="158">
        <f t="shared" si="749"/>
        <v>56.433781190019197</v>
      </c>
      <c r="V4546" s="160">
        <f t="shared" si="748"/>
        <v>56</v>
      </c>
    </row>
    <row r="4547" spans="1:22" x14ac:dyDescent="0.25">
      <c r="A4547" s="98" t="s">
        <v>25</v>
      </c>
      <c r="B4547" s="98" t="s">
        <v>17</v>
      </c>
      <c r="C4547" s="98">
        <v>20</v>
      </c>
      <c r="D4547" s="98">
        <v>250</v>
      </c>
      <c r="E4547" s="157">
        <v>41681.381944444445</v>
      </c>
      <c r="F4547" s="157">
        <v>41681.388888888891</v>
      </c>
      <c r="G4547" s="98">
        <v>430</v>
      </c>
      <c r="H4547" s="98">
        <v>521</v>
      </c>
      <c r="I4547" s="98">
        <v>482</v>
      </c>
      <c r="J4547" s="98" t="s">
        <v>1978</v>
      </c>
      <c r="K4547" s="98" t="s">
        <v>1679</v>
      </c>
      <c r="L4547" s="105" t="str">
        <f t="shared" si="740"/>
        <v>Mill Creek</v>
      </c>
      <c r="M4547" s="105" t="str">
        <f t="shared" si="741"/>
        <v>Derate</v>
      </c>
      <c r="N4547" s="105" t="str">
        <f t="shared" si="742"/>
        <v>Coal</v>
      </c>
      <c r="O4547" s="105">
        <f>IFERROR(VLOOKUP(A4547,Lookup!$J$5:$P$19,7,FALSE),0)</f>
        <v>3</v>
      </c>
      <c r="P4547" s="159">
        <f t="shared" si="743"/>
        <v>2014</v>
      </c>
      <c r="Q4547" s="159">
        <f t="shared" si="744"/>
        <v>2</v>
      </c>
      <c r="R4547" s="160">
        <f t="shared" si="745"/>
        <v>0.16666666668606922</v>
      </c>
      <c r="S4547" s="158">
        <f t="shared" si="746"/>
        <v>2.9110684584323032E-2</v>
      </c>
      <c r="T4547" s="161">
        <f t="shared" si="747"/>
        <v>14.031349969643701</v>
      </c>
      <c r="U4547" s="158">
        <f t="shared" si="749"/>
        <v>84.188099808061423</v>
      </c>
      <c r="V4547" s="160">
        <f t="shared" si="748"/>
        <v>84</v>
      </c>
    </row>
    <row r="4548" spans="1:22" x14ac:dyDescent="0.25">
      <c r="A4548" s="98" t="s">
        <v>25</v>
      </c>
      <c r="B4548" s="98" t="s">
        <v>79</v>
      </c>
      <c r="C4548" s="98">
        <v>21</v>
      </c>
      <c r="D4548" s="98">
        <v>1160</v>
      </c>
      <c r="E4548" s="157">
        <v>41682.999305555553</v>
      </c>
      <c r="F4548" s="157">
        <v>41683.180555555555</v>
      </c>
      <c r="G4548" s="98">
        <v>0</v>
      </c>
      <c r="H4548" s="98">
        <v>521</v>
      </c>
      <c r="I4548" s="98">
        <v>482</v>
      </c>
      <c r="J4548" s="98" t="s">
        <v>2273</v>
      </c>
      <c r="K4548" s="98" t="s">
        <v>1411</v>
      </c>
      <c r="L4548" s="105" t="str">
        <f t="shared" si="740"/>
        <v>Mill Creek</v>
      </c>
      <c r="M4548" s="105" t="str">
        <f t="shared" si="741"/>
        <v>Other</v>
      </c>
      <c r="N4548" s="105" t="str">
        <f t="shared" si="742"/>
        <v>Coal</v>
      </c>
      <c r="O4548" s="105">
        <f>IFERROR(VLOOKUP(A4548,Lookup!$J$5:$P$19,7,FALSE),0)</f>
        <v>3</v>
      </c>
      <c r="P4548" s="159">
        <f t="shared" si="743"/>
        <v>2014</v>
      </c>
      <c r="Q4548" s="159">
        <f t="shared" si="744"/>
        <v>2</v>
      </c>
      <c r="R4548" s="160">
        <f t="shared" si="745"/>
        <v>4.3500000000349246</v>
      </c>
      <c r="S4548" s="158">
        <f t="shared" si="746"/>
        <v>4.3500000000349246</v>
      </c>
      <c r="T4548" s="161">
        <f t="shared" si="747"/>
        <v>2096.7000000168337</v>
      </c>
      <c r="U4548" s="158">
        <f t="shared" si="749"/>
        <v>482</v>
      </c>
      <c r="V4548" s="160">
        <f t="shared" si="748"/>
        <v>482</v>
      </c>
    </row>
    <row r="4549" spans="1:22" x14ac:dyDescent="0.25">
      <c r="A4549" s="98" t="s">
        <v>25</v>
      </c>
      <c r="B4549" s="98" t="s">
        <v>105</v>
      </c>
      <c r="C4549" s="98">
        <v>22</v>
      </c>
      <c r="D4549" s="98">
        <v>8160</v>
      </c>
      <c r="E4549" s="157">
        <v>41687.833333333336</v>
      </c>
      <c r="F4549" s="157">
        <v>41688.01666666667</v>
      </c>
      <c r="G4549" s="98">
        <v>330</v>
      </c>
      <c r="H4549" s="98">
        <v>521</v>
      </c>
      <c r="I4549" s="98">
        <v>482</v>
      </c>
      <c r="J4549" s="98" t="s">
        <v>2245</v>
      </c>
      <c r="K4549" s="98" t="s">
        <v>1587</v>
      </c>
      <c r="L4549" s="105" t="str">
        <f t="shared" si="740"/>
        <v>Mill Creek</v>
      </c>
      <c r="M4549" s="105" t="str">
        <f t="shared" si="741"/>
        <v>Derate</v>
      </c>
      <c r="N4549" s="105" t="str">
        <f t="shared" si="742"/>
        <v>Coal</v>
      </c>
      <c r="O4549" s="105">
        <f>IFERROR(VLOOKUP(A4549,Lookup!$J$5:$P$19,7,FALSE),0)</f>
        <v>3</v>
      </c>
      <c r="P4549" s="159">
        <f t="shared" si="743"/>
        <v>2014</v>
      </c>
      <c r="Q4549" s="159">
        <f t="shared" si="744"/>
        <v>2</v>
      </c>
      <c r="R4549" s="160">
        <f t="shared" si="745"/>
        <v>4.4000000000232831</v>
      </c>
      <c r="S4549" s="158">
        <f t="shared" si="746"/>
        <v>1.6130518234250424</v>
      </c>
      <c r="T4549" s="161">
        <f t="shared" si="747"/>
        <v>777.49097889087045</v>
      </c>
      <c r="U4549" s="158">
        <f t="shared" si="749"/>
        <v>176.7024952015355</v>
      </c>
      <c r="V4549" s="160">
        <f t="shared" si="748"/>
        <v>177</v>
      </c>
    </row>
    <row r="4550" spans="1:22" x14ac:dyDescent="0.25">
      <c r="A4550" s="98" t="s">
        <v>25</v>
      </c>
      <c r="B4550" s="98" t="s">
        <v>79</v>
      </c>
      <c r="C4550" s="98">
        <v>23</v>
      </c>
      <c r="D4550" s="98">
        <v>4490</v>
      </c>
      <c r="E4550" s="157">
        <v>41689.25</v>
      </c>
      <c r="F4550" s="157">
        <v>41689.520833333336</v>
      </c>
      <c r="G4550" s="98">
        <v>0</v>
      </c>
      <c r="H4550" s="98">
        <v>521</v>
      </c>
      <c r="I4550" s="98">
        <v>482</v>
      </c>
      <c r="J4550" s="98" t="s">
        <v>2084</v>
      </c>
      <c r="K4550" s="98" t="s">
        <v>1356</v>
      </c>
      <c r="L4550" s="105" t="str">
        <f t="shared" si="740"/>
        <v>Mill Creek</v>
      </c>
      <c r="M4550" s="105" t="str">
        <f t="shared" si="741"/>
        <v>Other</v>
      </c>
      <c r="N4550" s="105" t="str">
        <f t="shared" si="742"/>
        <v>Coal</v>
      </c>
      <c r="O4550" s="105">
        <f>IFERROR(VLOOKUP(A4550,Lookup!$J$5:$P$19,7,FALSE),0)</f>
        <v>3</v>
      </c>
      <c r="P4550" s="159">
        <f t="shared" si="743"/>
        <v>2014</v>
      </c>
      <c r="Q4550" s="159">
        <f t="shared" si="744"/>
        <v>2</v>
      </c>
      <c r="R4550" s="160">
        <f t="shared" si="745"/>
        <v>6.5000000000582077</v>
      </c>
      <c r="S4550" s="158">
        <f t="shared" si="746"/>
        <v>6.5000000000582077</v>
      </c>
      <c r="T4550" s="161">
        <f t="shared" si="747"/>
        <v>3133.0000000280561</v>
      </c>
      <c r="U4550" s="158">
        <f t="shared" si="749"/>
        <v>482</v>
      </c>
      <c r="V4550" s="160">
        <f t="shared" si="748"/>
        <v>482</v>
      </c>
    </row>
    <row r="4551" spans="1:22" x14ac:dyDescent="0.25">
      <c r="A4551" s="98" t="s">
        <v>25</v>
      </c>
      <c r="B4551" s="98" t="s">
        <v>17</v>
      </c>
      <c r="C4551" s="98">
        <v>24</v>
      </c>
      <c r="D4551" s="98">
        <v>1710</v>
      </c>
      <c r="E4551" s="157">
        <v>41689.737500000003</v>
      </c>
      <c r="F4551" s="157">
        <v>41691.425694444442</v>
      </c>
      <c r="G4551" s="98">
        <v>518</v>
      </c>
      <c r="H4551" s="98">
        <v>521</v>
      </c>
      <c r="I4551" s="98">
        <v>482</v>
      </c>
      <c r="J4551" s="98" t="s">
        <v>2020</v>
      </c>
      <c r="K4551" s="98" t="s">
        <v>718</v>
      </c>
      <c r="L4551" s="105" t="str">
        <f t="shared" si="740"/>
        <v>Mill Creek</v>
      </c>
      <c r="M4551" s="105" t="str">
        <f t="shared" si="741"/>
        <v>Derate</v>
      </c>
      <c r="N4551" s="105" t="str">
        <f t="shared" si="742"/>
        <v>Coal</v>
      </c>
      <c r="O4551" s="105">
        <f>IFERROR(VLOOKUP(A4551,Lookup!$J$5:$P$19,7,FALSE),0)</f>
        <v>3</v>
      </c>
      <c r="P4551" s="159">
        <f t="shared" si="743"/>
        <v>2014</v>
      </c>
      <c r="Q4551" s="159">
        <f t="shared" si="744"/>
        <v>2</v>
      </c>
      <c r="R4551" s="160">
        <f t="shared" si="745"/>
        <v>40.516666666546371</v>
      </c>
      <c r="S4551" s="158">
        <f t="shared" si="746"/>
        <v>0.23330134356936491</v>
      </c>
      <c r="T4551" s="161">
        <f t="shared" si="747"/>
        <v>112.45124760043389</v>
      </c>
      <c r="U4551" s="158">
        <f t="shared" si="749"/>
        <v>2.7754318618042229</v>
      </c>
      <c r="V4551" s="160">
        <f t="shared" si="748"/>
        <v>3</v>
      </c>
    </row>
    <row r="4552" spans="1:22" x14ac:dyDescent="0.25">
      <c r="A4552" s="98" t="s">
        <v>25</v>
      </c>
      <c r="B4552" s="98" t="s">
        <v>79</v>
      </c>
      <c r="C4552" s="98">
        <v>25</v>
      </c>
      <c r="D4552" s="98">
        <v>1160</v>
      </c>
      <c r="E4552" s="157">
        <v>41690.958333333336</v>
      </c>
      <c r="F4552" s="157">
        <v>41691.166666666664</v>
      </c>
      <c r="G4552" s="98">
        <v>0</v>
      </c>
      <c r="H4552" s="98">
        <v>521</v>
      </c>
      <c r="I4552" s="98">
        <v>482</v>
      </c>
      <c r="J4552" s="98" t="s">
        <v>2273</v>
      </c>
      <c r="K4552" s="98" t="s">
        <v>1411</v>
      </c>
      <c r="L4552" s="105" t="str">
        <f t="shared" si="740"/>
        <v>Mill Creek</v>
      </c>
      <c r="M4552" s="105" t="str">
        <f t="shared" si="741"/>
        <v>Other</v>
      </c>
      <c r="N4552" s="105" t="str">
        <f t="shared" si="742"/>
        <v>Coal</v>
      </c>
      <c r="O4552" s="105">
        <f>IFERROR(VLOOKUP(A4552,Lookup!$J$5:$P$19,7,FALSE),0)</f>
        <v>3</v>
      </c>
      <c r="P4552" s="159">
        <f t="shared" si="743"/>
        <v>2014</v>
      </c>
      <c r="Q4552" s="159">
        <f t="shared" si="744"/>
        <v>2</v>
      </c>
      <c r="R4552" s="160">
        <f t="shared" si="745"/>
        <v>4.9999999998835847</v>
      </c>
      <c r="S4552" s="158">
        <f t="shared" si="746"/>
        <v>4.9999999998835847</v>
      </c>
      <c r="T4552" s="161">
        <f t="shared" si="747"/>
        <v>2409.9999999438878</v>
      </c>
      <c r="U4552" s="158">
        <f t="shared" si="749"/>
        <v>482</v>
      </c>
      <c r="V4552" s="160">
        <f t="shared" si="748"/>
        <v>482</v>
      </c>
    </row>
    <row r="4553" spans="1:22" x14ac:dyDescent="0.25">
      <c r="A4553" s="98" t="s">
        <v>25</v>
      </c>
      <c r="B4553" s="98" t="s">
        <v>17</v>
      </c>
      <c r="C4553" s="98">
        <v>26</v>
      </c>
      <c r="D4553" s="98">
        <v>1710</v>
      </c>
      <c r="E4553" s="157">
        <v>41691.425694444442</v>
      </c>
      <c r="F4553" s="157">
        <v>41702.27847222222</v>
      </c>
      <c r="G4553" s="98">
        <v>522</v>
      </c>
      <c r="H4553" s="98">
        <v>521</v>
      </c>
      <c r="I4553" s="98">
        <v>482</v>
      </c>
      <c r="J4553" s="98" t="s">
        <v>2020</v>
      </c>
      <c r="K4553" s="98" t="s">
        <v>718</v>
      </c>
      <c r="L4553" s="105" t="str">
        <f t="shared" si="740"/>
        <v>Mill Creek</v>
      </c>
      <c r="M4553" s="105" t="str">
        <f t="shared" si="741"/>
        <v>Derate</v>
      </c>
      <c r="N4553" s="105" t="str">
        <f t="shared" si="742"/>
        <v>Coal</v>
      </c>
      <c r="O4553" s="105">
        <f>IFERROR(VLOOKUP(A4553,Lookup!$J$5:$P$19,7,FALSE),0)</f>
        <v>3</v>
      </c>
      <c r="P4553" s="159">
        <f t="shared" si="743"/>
        <v>2014</v>
      </c>
      <c r="Q4553" s="159">
        <f t="shared" si="744"/>
        <v>2</v>
      </c>
      <c r="R4553" s="160">
        <f t="shared" si="745"/>
        <v>260.46666666667443</v>
      </c>
      <c r="S4553" s="158">
        <f t="shared" si="746"/>
        <v>-0.49993602047346342</v>
      </c>
      <c r="T4553" s="161">
        <f t="shared" si="747"/>
        <v>-240.96916186820937</v>
      </c>
      <c r="U4553" s="158">
        <f t="shared" si="749"/>
        <v>0</v>
      </c>
      <c r="V4553" s="160">
        <f t="shared" si="748"/>
        <v>0</v>
      </c>
    </row>
    <row r="4554" spans="1:22" x14ac:dyDescent="0.25">
      <c r="A4554" s="98" t="s">
        <v>25</v>
      </c>
      <c r="B4554" s="98" t="s">
        <v>17</v>
      </c>
      <c r="C4554" s="98">
        <v>27</v>
      </c>
      <c r="D4554" s="98">
        <v>4460</v>
      </c>
      <c r="E4554" s="157">
        <v>41693.166666666664</v>
      </c>
      <c r="F4554" s="157">
        <v>41693.189583333333</v>
      </c>
      <c r="G4554" s="98">
        <v>220</v>
      </c>
      <c r="H4554" s="98">
        <v>521</v>
      </c>
      <c r="I4554" s="98">
        <v>482</v>
      </c>
      <c r="J4554" s="98" t="s">
        <v>2556</v>
      </c>
      <c r="K4554" s="98" t="s">
        <v>1680</v>
      </c>
      <c r="L4554" s="105" t="str">
        <f t="shared" si="740"/>
        <v>Mill Creek</v>
      </c>
      <c r="M4554" s="105" t="str">
        <f t="shared" si="741"/>
        <v>Derate</v>
      </c>
      <c r="N4554" s="105" t="str">
        <f t="shared" si="742"/>
        <v>Coal</v>
      </c>
      <c r="O4554" s="105">
        <f>IFERROR(VLOOKUP(A4554,Lookup!$J$5:$P$19,7,FALSE),0)</f>
        <v>3</v>
      </c>
      <c r="P4554" s="159">
        <f t="shared" si="743"/>
        <v>2014</v>
      </c>
      <c r="Q4554" s="159">
        <f t="shared" si="744"/>
        <v>2</v>
      </c>
      <c r="R4554" s="160">
        <f t="shared" si="745"/>
        <v>0.55000000004656613</v>
      </c>
      <c r="S4554" s="158">
        <f t="shared" si="746"/>
        <v>0.31775431864494513</v>
      </c>
      <c r="T4554" s="161">
        <f t="shared" si="747"/>
        <v>153.15758158686356</v>
      </c>
      <c r="U4554" s="158">
        <f t="shared" si="749"/>
        <v>278.46833013435702</v>
      </c>
      <c r="V4554" s="160">
        <f t="shared" si="748"/>
        <v>278</v>
      </c>
    </row>
    <row r="4555" spans="1:22" x14ac:dyDescent="0.25">
      <c r="A4555" s="98" t="s">
        <v>25</v>
      </c>
      <c r="B4555" s="98" t="s">
        <v>17</v>
      </c>
      <c r="C4555" s="98">
        <v>28</v>
      </c>
      <c r="D4555" s="98">
        <v>1520</v>
      </c>
      <c r="E4555" s="157">
        <v>41695.344444444447</v>
      </c>
      <c r="F4555" s="157">
        <v>41695.375</v>
      </c>
      <c r="G4555" s="98">
        <v>475</v>
      </c>
      <c r="H4555" s="98">
        <v>521</v>
      </c>
      <c r="I4555" s="98">
        <v>482</v>
      </c>
      <c r="J4555" s="98" t="s">
        <v>2393</v>
      </c>
      <c r="K4555" s="98" t="s">
        <v>1681</v>
      </c>
      <c r="L4555" s="105" t="str">
        <f t="shared" si="740"/>
        <v>Mill Creek</v>
      </c>
      <c r="M4555" s="105" t="str">
        <f t="shared" si="741"/>
        <v>Derate</v>
      </c>
      <c r="N4555" s="105" t="str">
        <f t="shared" si="742"/>
        <v>Coal</v>
      </c>
      <c r="O4555" s="105">
        <f>IFERROR(VLOOKUP(A4555,Lookup!$J$5:$P$19,7,FALSE),0)</f>
        <v>3</v>
      </c>
      <c r="P4555" s="159">
        <f t="shared" si="743"/>
        <v>2014</v>
      </c>
      <c r="Q4555" s="159">
        <f t="shared" si="744"/>
        <v>2</v>
      </c>
      <c r="R4555" s="160">
        <f t="shared" si="745"/>
        <v>0.73333333327900618</v>
      </c>
      <c r="S4555" s="158">
        <f t="shared" si="746"/>
        <v>6.4747280865324927E-2</v>
      </c>
      <c r="T4555" s="161">
        <f t="shared" si="747"/>
        <v>31.208189377086615</v>
      </c>
      <c r="U4555" s="158">
        <f t="shared" si="749"/>
        <v>42.55662188099808</v>
      </c>
      <c r="V4555" s="160">
        <f t="shared" si="748"/>
        <v>43</v>
      </c>
    </row>
    <row r="4556" spans="1:22" x14ac:dyDescent="0.25">
      <c r="A4556" s="98" t="s">
        <v>25</v>
      </c>
      <c r="B4556" s="98" t="s">
        <v>17</v>
      </c>
      <c r="C4556" s="98">
        <v>29</v>
      </c>
      <c r="D4556" s="98">
        <v>250</v>
      </c>
      <c r="E4556" s="157">
        <v>41699.791666666664</v>
      </c>
      <c r="F4556" s="157">
        <v>41699.940972222219</v>
      </c>
      <c r="G4556" s="98">
        <v>430</v>
      </c>
      <c r="H4556" s="98">
        <v>521</v>
      </c>
      <c r="I4556" s="98">
        <v>482</v>
      </c>
      <c r="J4556" s="98" t="s">
        <v>1978</v>
      </c>
      <c r="K4556" s="98" t="s">
        <v>1682</v>
      </c>
      <c r="L4556" s="105" t="str">
        <f t="shared" si="740"/>
        <v>Mill Creek</v>
      </c>
      <c r="M4556" s="105" t="str">
        <f t="shared" si="741"/>
        <v>Derate</v>
      </c>
      <c r="N4556" s="105" t="str">
        <f t="shared" si="742"/>
        <v>Coal</v>
      </c>
      <c r="O4556" s="105">
        <f>IFERROR(VLOOKUP(A4556,Lookup!$J$5:$P$19,7,FALSE),0)</f>
        <v>3</v>
      </c>
      <c r="P4556" s="159">
        <f t="shared" si="743"/>
        <v>2014</v>
      </c>
      <c r="Q4556" s="159">
        <f t="shared" si="744"/>
        <v>3</v>
      </c>
      <c r="R4556" s="160">
        <f t="shared" si="745"/>
        <v>3.5833333333139308</v>
      </c>
      <c r="S4556" s="158">
        <f t="shared" si="746"/>
        <v>0.62587971848669421</v>
      </c>
      <c r="T4556" s="161">
        <f t="shared" si="747"/>
        <v>301.67402431058662</v>
      </c>
      <c r="U4556" s="158">
        <f t="shared" si="749"/>
        <v>84.188099808061423</v>
      </c>
      <c r="V4556" s="160">
        <f t="shared" si="748"/>
        <v>84</v>
      </c>
    </row>
    <row r="4557" spans="1:22" x14ac:dyDescent="0.25">
      <c r="A4557" s="98" t="s">
        <v>25</v>
      </c>
      <c r="B4557" s="98" t="s">
        <v>17</v>
      </c>
      <c r="C4557" s="98">
        <v>30</v>
      </c>
      <c r="D4557" s="98">
        <v>360</v>
      </c>
      <c r="E4557" s="157">
        <v>41700.486805555556</v>
      </c>
      <c r="F4557" s="157">
        <v>41700.509722222225</v>
      </c>
      <c r="G4557" s="98">
        <v>445</v>
      </c>
      <c r="H4557" s="98">
        <v>521</v>
      </c>
      <c r="I4557" s="98">
        <v>482</v>
      </c>
      <c r="J4557" s="98" t="s">
        <v>229</v>
      </c>
      <c r="K4557" s="98" t="s">
        <v>1683</v>
      </c>
      <c r="L4557" s="105" t="str">
        <f t="shared" si="740"/>
        <v>Mill Creek</v>
      </c>
      <c r="M4557" s="105" t="str">
        <f t="shared" si="741"/>
        <v>Derate</v>
      </c>
      <c r="N4557" s="105" t="str">
        <f t="shared" si="742"/>
        <v>Coal</v>
      </c>
      <c r="O4557" s="105">
        <f>IFERROR(VLOOKUP(A4557,Lookup!$J$5:$P$19,7,FALSE),0)</f>
        <v>3</v>
      </c>
      <c r="P4557" s="159">
        <f t="shared" si="743"/>
        <v>2014</v>
      </c>
      <c r="Q4557" s="159">
        <f t="shared" si="744"/>
        <v>3</v>
      </c>
      <c r="R4557" s="160">
        <f t="shared" si="745"/>
        <v>0.55000000004656613</v>
      </c>
      <c r="S4557" s="158">
        <f t="shared" si="746"/>
        <v>8.0230326302378169E-2</v>
      </c>
      <c r="T4557" s="161">
        <f t="shared" si="747"/>
        <v>38.67101727774628</v>
      </c>
      <c r="U4557" s="158">
        <f t="shared" si="749"/>
        <v>70.310940499040314</v>
      </c>
      <c r="V4557" s="160">
        <f t="shared" si="748"/>
        <v>70</v>
      </c>
    </row>
    <row r="4558" spans="1:22" x14ac:dyDescent="0.25">
      <c r="A4558" s="98" t="s">
        <v>25</v>
      </c>
      <c r="B4558" s="98" t="s">
        <v>17</v>
      </c>
      <c r="C4558" s="98">
        <v>31</v>
      </c>
      <c r="D4558" s="98">
        <v>1710</v>
      </c>
      <c r="E4558" s="157">
        <v>41702.364583333336</v>
      </c>
      <c r="F4558" s="157">
        <v>41710.759722222225</v>
      </c>
      <c r="G4558" s="98">
        <v>522</v>
      </c>
      <c r="H4558" s="98">
        <v>521</v>
      </c>
      <c r="I4558" s="98">
        <v>482</v>
      </c>
      <c r="J4558" s="98" t="s">
        <v>2020</v>
      </c>
      <c r="K4558" s="98" t="s">
        <v>718</v>
      </c>
      <c r="L4558" s="105" t="str">
        <f t="shared" si="740"/>
        <v>Mill Creek</v>
      </c>
      <c r="M4558" s="105" t="str">
        <f t="shared" si="741"/>
        <v>Derate</v>
      </c>
      <c r="N4558" s="105" t="str">
        <f t="shared" si="742"/>
        <v>Coal</v>
      </c>
      <c r="O4558" s="105">
        <f>IFERROR(VLOOKUP(A4558,Lookup!$J$5:$P$19,7,FALSE),0)</f>
        <v>3</v>
      </c>
      <c r="P4558" s="159">
        <f t="shared" si="743"/>
        <v>2014</v>
      </c>
      <c r="Q4558" s="159">
        <f t="shared" si="744"/>
        <v>3</v>
      </c>
      <c r="R4558" s="160">
        <f t="shared" si="745"/>
        <v>201.48333333333721</v>
      </c>
      <c r="S4558" s="158">
        <f t="shared" si="746"/>
        <v>-0.38672424824057045</v>
      </c>
      <c r="T4558" s="161">
        <f t="shared" si="747"/>
        <v>-186.40108765195495</v>
      </c>
      <c r="U4558" s="158">
        <f t="shared" si="749"/>
        <v>0</v>
      </c>
      <c r="V4558" s="160">
        <f t="shared" si="748"/>
        <v>0</v>
      </c>
    </row>
    <row r="4559" spans="1:22" x14ac:dyDescent="0.25">
      <c r="A4559" s="98" t="s">
        <v>25</v>
      </c>
      <c r="B4559" s="98" t="s">
        <v>17</v>
      </c>
      <c r="C4559" s="98">
        <v>32</v>
      </c>
      <c r="D4559" s="98">
        <v>876</v>
      </c>
      <c r="E4559" s="157">
        <v>41705.972222222219</v>
      </c>
      <c r="F4559" s="157">
        <v>41706.163194444445</v>
      </c>
      <c r="G4559" s="98">
        <v>320</v>
      </c>
      <c r="H4559" s="98">
        <v>521</v>
      </c>
      <c r="I4559" s="98">
        <v>482</v>
      </c>
      <c r="J4559" s="98" t="s">
        <v>2655</v>
      </c>
      <c r="K4559" s="98" t="s">
        <v>1684</v>
      </c>
      <c r="L4559" s="105" t="str">
        <f t="shared" si="740"/>
        <v>Mill Creek</v>
      </c>
      <c r="M4559" s="105" t="str">
        <f t="shared" si="741"/>
        <v>Derate</v>
      </c>
      <c r="N4559" s="105" t="str">
        <f t="shared" si="742"/>
        <v>Coal</v>
      </c>
      <c r="O4559" s="105">
        <f>IFERROR(VLOOKUP(A4559,Lookup!$J$5:$P$19,7,FALSE),0)</f>
        <v>3</v>
      </c>
      <c r="P4559" s="159">
        <f t="shared" si="743"/>
        <v>2014</v>
      </c>
      <c r="Q4559" s="159">
        <f t="shared" si="744"/>
        <v>3</v>
      </c>
      <c r="R4559" s="160">
        <f t="shared" si="745"/>
        <v>4.5833333334303461</v>
      </c>
      <c r="S4559" s="158">
        <f t="shared" si="746"/>
        <v>1.7682341651046056</v>
      </c>
      <c r="T4559" s="161">
        <f t="shared" si="747"/>
        <v>852.28886758041995</v>
      </c>
      <c r="U4559" s="158">
        <f t="shared" si="749"/>
        <v>185.95393474088291</v>
      </c>
      <c r="V4559" s="160">
        <f t="shared" si="748"/>
        <v>186</v>
      </c>
    </row>
    <row r="4560" spans="1:22" x14ac:dyDescent="0.25">
      <c r="A4560" s="98" t="s">
        <v>25</v>
      </c>
      <c r="B4560" s="98" t="s">
        <v>105</v>
      </c>
      <c r="C4560" s="98">
        <v>33</v>
      </c>
      <c r="D4560" s="98">
        <v>8160</v>
      </c>
      <c r="E4560" s="157">
        <v>41706.979166666664</v>
      </c>
      <c r="F4560" s="157">
        <v>41707.275000000001</v>
      </c>
      <c r="G4560" s="98">
        <v>340</v>
      </c>
      <c r="H4560" s="98">
        <v>521</v>
      </c>
      <c r="I4560" s="98">
        <v>482</v>
      </c>
      <c r="J4560" s="98" t="s">
        <v>2245</v>
      </c>
      <c r="K4560" s="98" t="s">
        <v>1593</v>
      </c>
      <c r="L4560" s="105" t="str">
        <f t="shared" si="740"/>
        <v>Mill Creek</v>
      </c>
      <c r="M4560" s="105" t="str">
        <f t="shared" si="741"/>
        <v>Derate</v>
      </c>
      <c r="N4560" s="105" t="str">
        <f t="shared" si="742"/>
        <v>Coal</v>
      </c>
      <c r="O4560" s="105">
        <f>IFERROR(VLOOKUP(A4560,Lookup!$J$5:$P$19,7,FALSE),0)</f>
        <v>3</v>
      </c>
      <c r="P4560" s="159">
        <f t="shared" si="743"/>
        <v>2014</v>
      </c>
      <c r="Q4560" s="159">
        <f t="shared" si="744"/>
        <v>3</v>
      </c>
      <c r="R4560" s="160">
        <f t="shared" si="745"/>
        <v>7.1000000000931323</v>
      </c>
      <c r="S4560" s="158">
        <f t="shared" si="746"/>
        <v>2.46660268717247</v>
      </c>
      <c r="T4560" s="161">
        <f t="shared" si="747"/>
        <v>1188.9024952171305</v>
      </c>
      <c r="U4560" s="158">
        <f t="shared" si="749"/>
        <v>167.45105566218811</v>
      </c>
      <c r="V4560" s="160">
        <f t="shared" si="748"/>
        <v>167</v>
      </c>
    </row>
    <row r="4561" spans="1:22" x14ac:dyDescent="0.25">
      <c r="A4561" s="98" t="s">
        <v>25</v>
      </c>
      <c r="B4561" s="98" t="s">
        <v>17</v>
      </c>
      <c r="C4561" s="98">
        <v>34</v>
      </c>
      <c r="D4561" s="98">
        <v>1710</v>
      </c>
      <c r="E4561" s="157">
        <v>41711.260416666664</v>
      </c>
      <c r="F4561" s="157">
        <v>41712.990972222222</v>
      </c>
      <c r="G4561" s="98">
        <v>522</v>
      </c>
      <c r="H4561" s="98">
        <v>521</v>
      </c>
      <c r="I4561" s="98">
        <v>482</v>
      </c>
      <c r="J4561" s="98" t="s">
        <v>2020</v>
      </c>
      <c r="K4561" s="98" t="s">
        <v>718</v>
      </c>
      <c r="L4561" s="105" t="str">
        <f t="shared" si="740"/>
        <v>Mill Creek</v>
      </c>
      <c r="M4561" s="105" t="str">
        <f t="shared" si="741"/>
        <v>Derate</v>
      </c>
      <c r="N4561" s="105" t="str">
        <f t="shared" si="742"/>
        <v>Coal</v>
      </c>
      <c r="O4561" s="105">
        <f>IFERROR(VLOOKUP(A4561,Lookup!$J$5:$P$19,7,FALSE),0)</f>
        <v>3</v>
      </c>
      <c r="P4561" s="159">
        <f t="shared" si="743"/>
        <v>2014</v>
      </c>
      <c r="Q4561" s="159">
        <f t="shared" si="744"/>
        <v>3</v>
      </c>
      <c r="R4561" s="160">
        <f t="shared" si="745"/>
        <v>41.53333333338378</v>
      </c>
      <c r="S4561" s="158">
        <f t="shared" si="746"/>
        <v>-7.9718490083270213E-2</v>
      </c>
      <c r="T4561" s="161">
        <f t="shared" si="747"/>
        <v>-38.424312220136244</v>
      </c>
      <c r="U4561" s="158">
        <f t="shared" si="749"/>
        <v>0</v>
      </c>
      <c r="V4561" s="160">
        <f t="shared" si="748"/>
        <v>0</v>
      </c>
    </row>
    <row r="4562" spans="1:22" x14ac:dyDescent="0.25">
      <c r="A4562" s="98" t="s">
        <v>25</v>
      </c>
      <c r="B4562" s="98" t="s">
        <v>38</v>
      </c>
      <c r="C4562" s="98">
        <v>35</v>
      </c>
      <c r="D4562" s="98">
        <v>1801</v>
      </c>
      <c r="E4562" s="157">
        <v>41712.990972222222</v>
      </c>
      <c r="F4562" s="157">
        <v>41728.802083333336</v>
      </c>
      <c r="G4562" s="98">
        <v>0</v>
      </c>
      <c r="H4562" s="98">
        <v>521</v>
      </c>
      <c r="I4562" s="98">
        <v>482</v>
      </c>
      <c r="J4562" s="98" t="s">
        <v>2021</v>
      </c>
      <c r="K4562" s="98" t="s">
        <v>65</v>
      </c>
      <c r="L4562" s="105" t="str">
        <f t="shared" si="740"/>
        <v>Mill Creek</v>
      </c>
      <c r="M4562" s="105" t="str">
        <f t="shared" si="741"/>
        <v>Other</v>
      </c>
      <c r="N4562" s="105" t="str">
        <f t="shared" si="742"/>
        <v>Coal</v>
      </c>
      <c r="O4562" s="105">
        <f>IFERROR(VLOOKUP(A4562,Lookup!$J$5:$P$19,7,FALSE),0)</f>
        <v>3</v>
      </c>
      <c r="P4562" s="159">
        <f t="shared" si="743"/>
        <v>2014</v>
      </c>
      <c r="Q4562" s="159">
        <f t="shared" si="744"/>
        <v>3</v>
      </c>
      <c r="R4562" s="160">
        <f t="shared" si="745"/>
        <v>379.46666666673264</v>
      </c>
      <c r="S4562" s="158">
        <f t="shared" si="746"/>
        <v>379.46666666673264</v>
      </c>
      <c r="T4562" s="161">
        <f t="shared" si="747"/>
        <v>182902.93333336513</v>
      </c>
      <c r="U4562" s="158">
        <f t="shared" si="749"/>
        <v>482</v>
      </c>
      <c r="V4562" s="160">
        <f t="shared" si="748"/>
        <v>482</v>
      </c>
    </row>
    <row r="4563" spans="1:22" x14ac:dyDescent="0.25">
      <c r="A4563" s="98" t="s">
        <v>25</v>
      </c>
      <c r="B4563" s="98" t="s">
        <v>79</v>
      </c>
      <c r="C4563" s="98">
        <v>36</v>
      </c>
      <c r="D4563" s="98">
        <v>1850</v>
      </c>
      <c r="E4563" s="157">
        <v>41728.802083333336</v>
      </c>
      <c r="F4563" s="157">
        <v>41729.8125</v>
      </c>
      <c r="G4563" s="98">
        <v>0</v>
      </c>
      <c r="H4563" s="98">
        <v>521</v>
      </c>
      <c r="I4563" s="98">
        <v>482</v>
      </c>
      <c r="J4563" s="98" t="s">
        <v>2263</v>
      </c>
      <c r="K4563" s="98" t="s">
        <v>88</v>
      </c>
      <c r="L4563" s="105" t="str">
        <f t="shared" si="740"/>
        <v>Mill Creek</v>
      </c>
      <c r="M4563" s="105" t="str">
        <f t="shared" si="741"/>
        <v>Other</v>
      </c>
      <c r="N4563" s="105" t="str">
        <f t="shared" si="742"/>
        <v>Coal</v>
      </c>
      <c r="O4563" s="105">
        <f>IFERROR(VLOOKUP(A4563,Lookup!$J$5:$P$19,7,FALSE),0)</f>
        <v>3</v>
      </c>
      <c r="P4563" s="159">
        <f t="shared" si="743"/>
        <v>2014</v>
      </c>
      <c r="Q4563" s="159">
        <f t="shared" si="744"/>
        <v>3</v>
      </c>
      <c r="R4563" s="160">
        <f t="shared" si="745"/>
        <v>24.249999999941792</v>
      </c>
      <c r="S4563" s="158">
        <f t="shared" si="746"/>
        <v>24.249999999941792</v>
      </c>
      <c r="T4563" s="161">
        <f t="shared" si="747"/>
        <v>11688.499999971944</v>
      </c>
      <c r="U4563" s="158">
        <f t="shared" si="749"/>
        <v>482</v>
      </c>
      <c r="V4563" s="160">
        <f t="shared" si="748"/>
        <v>482</v>
      </c>
    </row>
    <row r="4564" spans="1:22" x14ac:dyDescent="0.25">
      <c r="A4564" s="98" t="s">
        <v>25</v>
      </c>
      <c r="B4564" s="98" t="s">
        <v>17</v>
      </c>
      <c r="C4564" s="98">
        <v>37</v>
      </c>
      <c r="D4564" s="98">
        <v>1850</v>
      </c>
      <c r="E4564" s="157">
        <v>41729.8125</v>
      </c>
      <c r="F4564" s="157">
        <v>41730.149305555555</v>
      </c>
      <c r="G4564" s="98">
        <v>335</v>
      </c>
      <c r="H4564" s="98">
        <v>521</v>
      </c>
      <c r="I4564" s="98">
        <v>482</v>
      </c>
      <c r="J4564" s="98" t="s">
        <v>2263</v>
      </c>
      <c r="K4564" s="98" t="s">
        <v>41</v>
      </c>
      <c r="L4564" s="105" t="str">
        <f t="shared" si="740"/>
        <v>Mill Creek</v>
      </c>
      <c r="M4564" s="105" t="str">
        <f t="shared" si="741"/>
        <v>Derate</v>
      </c>
      <c r="N4564" s="105" t="str">
        <f t="shared" si="742"/>
        <v>Coal</v>
      </c>
      <c r="O4564" s="105">
        <f>IFERROR(VLOOKUP(A4564,Lookup!$J$5:$P$19,7,FALSE),0)</f>
        <v>3</v>
      </c>
      <c r="P4564" s="159">
        <f t="shared" si="743"/>
        <v>2014</v>
      </c>
      <c r="Q4564" s="159">
        <f t="shared" si="744"/>
        <v>3</v>
      </c>
      <c r="R4564" s="160">
        <f t="shared" si="745"/>
        <v>8.0833333333139308</v>
      </c>
      <c r="S4564" s="158">
        <f t="shared" si="746"/>
        <v>2.8857965450986396</v>
      </c>
      <c r="T4564" s="161">
        <f t="shared" si="747"/>
        <v>1390.9539347375444</v>
      </c>
      <c r="U4564" s="158">
        <f t="shared" si="749"/>
        <v>172.07677543186179</v>
      </c>
      <c r="V4564" s="160">
        <f t="shared" si="748"/>
        <v>172</v>
      </c>
    </row>
    <row r="4565" spans="1:22" x14ac:dyDescent="0.25">
      <c r="A4565" s="98" t="s">
        <v>25</v>
      </c>
      <c r="B4565" s="98" t="s">
        <v>17</v>
      </c>
      <c r="C4565" s="98">
        <v>38</v>
      </c>
      <c r="D4565" s="98">
        <v>1850</v>
      </c>
      <c r="E4565" s="157">
        <v>41730.149305555555</v>
      </c>
      <c r="F4565" s="157">
        <v>41730.5</v>
      </c>
      <c r="G4565" s="98">
        <v>392</v>
      </c>
      <c r="H4565" s="98">
        <v>521</v>
      </c>
      <c r="I4565" s="98">
        <v>482</v>
      </c>
      <c r="J4565" s="98" t="s">
        <v>2263</v>
      </c>
      <c r="K4565" s="98" t="s">
        <v>41</v>
      </c>
      <c r="L4565" s="105" t="str">
        <f t="shared" si="740"/>
        <v>Mill Creek</v>
      </c>
      <c r="M4565" s="105" t="str">
        <f t="shared" si="741"/>
        <v>Derate</v>
      </c>
      <c r="N4565" s="105" t="str">
        <f t="shared" si="742"/>
        <v>Coal</v>
      </c>
      <c r="O4565" s="105">
        <f>IFERROR(VLOOKUP(A4565,Lookup!$J$5:$P$19,7,FALSE),0)</f>
        <v>3</v>
      </c>
      <c r="P4565" s="159">
        <f t="shared" si="743"/>
        <v>2014</v>
      </c>
      <c r="Q4565" s="159">
        <f t="shared" si="744"/>
        <v>4</v>
      </c>
      <c r="R4565" s="160">
        <f t="shared" si="745"/>
        <v>8.4166666666860692</v>
      </c>
      <c r="S4565" s="158">
        <f t="shared" si="746"/>
        <v>2.0839731286036525</v>
      </c>
      <c r="T4565" s="161">
        <f t="shared" si="747"/>
        <v>1004.4750479869605</v>
      </c>
      <c r="U4565" s="158">
        <f t="shared" si="749"/>
        <v>119.34357005758157</v>
      </c>
      <c r="V4565" s="160">
        <f t="shared" si="748"/>
        <v>119</v>
      </c>
    </row>
    <row r="4566" spans="1:22" x14ac:dyDescent="0.25">
      <c r="A4566" s="98" t="s">
        <v>25</v>
      </c>
      <c r="B4566" s="98" t="s">
        <v>17</v>
      </c>
      <c r="C4566" s="98">
        <v>39</v>
      </c>
      <c r="D4566" s="98">
        <v>1850</v>
      </c>
      <c r="E4566" s="157">
        <v>41730.5</v>
      </c>
      <c r="F4566" s="157">
        <v>41730.828472222223</v>
      </c>
      <c r="G4566" s="98">
        <v>472</v>
      </c>
      <c r="H4566" s="98">
        <v>521</v>
      </c>
      <c r="I4566" s="98">
        <v>482</v>
      </c>
      <c r="J4566" s="98" t="s">
        <v>2263</v>
      </c>
      <c r="K4566" s="98" t="s">
        <v>41</v>
      </c>
      <c r="L4566" s="105" t="str">
        <f t="shared" si="740"/>
        <v>Mill Creek</v>
      </c>
      <c r="M4566" s="105" t="str">
        <f t="shared" si="741"/>
        <v>Derate</v>
      </c>
      <c r="N4566" s="105" t="str">
        <f t="shared" si="742"/>
        <v>Coal</v>
      </c>
      <c r="O4566" s="105">
        <f>IFERROR(VLOOKUP(A4566,Lookup!$J$5:$P$19,7,FALSE),0)</f>
        <v>3</v>
      </c>
      <c r="P4566" s="159">
        <f t="shared" si="743"/>
        <v>2014</v>
      </c>
      <c r="Q4566" s="159">
        <f t="shared" si="744"/>
        <v>4</v>
      </c>
      <c r="R4566" s="160">
        <f t="shared" si="745"/>
        <v>7.8833333333604969</v>
      </c>
      <c r="S4566" s="158">
        <f t="shared" si="746"/>
        <v>0.74142674344465331</v>
      </c>
      <c r="T4566" s="161">
        <f t="shared" si="747"/>
        <v>357.36769034032289</v>
      </c>
      <c r="U4566" s="158">
        <f t="shared" si="749"/>
        <v>45.332053742802302</v>
      </c>
      <c r="V4566" s="160">
        <f t="shared" si="748"/>
        <v>45</v>
      </c>
    </row>
    <row r="4567" spans="1:22" x14ac:dyDescent="0.25">
      <c r="A4567" s="98" t="s">
        <v>25</v>
      </c>
      <c r="B4567" s="98" t="s">
        <v>17</v>
      </c>
      <c r="C4567" s="98">
        <v>40</v>
      </c>
      <c r="D4567" s="98">
        <v>1710</v>
      </c>
      <c r="E4567" s="157">
        <v>41730.828472222223</v>
      </c>
      <c r="F4567" s="157">
        <v>41731.256944444445</v>
      </c>
      <c r="G4567" s="98">
        <v>499</v>
      </c>
      <c r="H4567" s="98">
        <v>521</v>
      </c>
      <c r="I4567" s="98">
        <v>482</v>
      </c>
      <c r="J4567" s="98" t="s">
        <v>2020</v>
      </c>
      <c r="K4567" s="98" t="s">
        <v>718</v>
      </c>
      <c r="L4567" s="105" t="str">
        <f t="shared" si="740"/>
        <v>Mill Creek</v>
      </c>
      <c r="M4567" s="105" t="str">
        <f t="shared" si="741"/>
        <v>Derate</v>
      </c>
      <c r="N4567" s="105" t="str">
        <f t="shared" si="742"/>
        <v>Coal</v>
      </c>
      <c r="O4567" s="105">
        <f>IFERROR(VLOOKUP(A4567,Lookup!$J$5:$P$19,7,FALSE),0)</f>
        <v>3</v>
      </c>
      <c r="P4567" s="159">
        <f t="shared" si="743"/>
        <v>2014</v>
      </c>
      <c r="Q4567" s="159">
        <f t="shared" si="744"/>
        <v>4</v>
      </c>
      <c r="R4567" s="160">
        <f t="shared" si="745"/>
        <v>10.283333333325572</v>
      </c>
      <c r="S4567" s="158">
        <f t="shared" si="746"/>
        <v>0.43422904670472667</v>
      </c>
      <c r="T4567" s="161">
        <f t="shared" si="747"/>
        <v>209.29840051167827</v>
      </c>
      <c r="U4567" s="158">
        <f t="shared" si="749"/>
        <v>20.3531669865643</v>
      </c>
      <c r="V4567" s="160">
        <f t="shared" si="748"/>
        <v>20</v>
      </c>
    </row>
    <row r="4568" spans="1:22" x14ac:dyDescent="0.25">
      <c r="A4568" s="98" t="s">
        <v>25</v>
      </c>
      <c r="B4568" s="98" t="s">
        <v>17</v>
      </c>
      <c r="C4568" s="98">
        <v>41</v>
      </c>
      <c r="D4568" s="98">
        <v>800</v>
      </c>
      <c r="E4568" s="157">
        <v>41731.354166666664</v>
      </c>
      <c r="F4568" s="157">
        <v>41731.757638888892</v>
      </c>
      <c r="G4568" s="98">
        <v>492</v>
      </c>
      <c r="H4568" s="98">
        <v>521</v>
      </c>
      <c r="I4568" s="98">
        <v>482</v>
      </c>
      <c r="J4568" s="98" t="s">
        <v>2197</v>
      </c>
      <c r="K4568" s="98" t="s">
        <v>1685</v>
      </c>
      <c r="L4568" s="105" t="str">
        <f t="shared" si="740"/>
        <v>Mill Creek</v>
      </c>
      <c r="M4568" s="105" t="str">
        <f t="shared" si="741"/>
        <v>Derate</v>
      </c>
      <c r="N4568" s="105" t="str">
        <f t="shared" si="742"/>
        <v>Coal</v>
      </c>
      <c r="O4568" s="105">
        <f>IFERROR(VLOOKUP(A4568,Lookup!$J$5:$P$19,7,FALSE),0)</f>
        <v>3</v>
      </c>
      <c r="P4568" s="159">
        <f t="shared" si="743"/>
        <v>2014</v>
      </c>
      <c r="Q4568" s="159">
        <f t="shared" si="744"/>
        <v>4</v>
      </c>
      <c r="R4568" s="160">
        <f t="shared" si="745"/>
        <v>9.6833333334652707</v>
      </c>
      <c r="S4568" s="158">
        <f t="shared" si="746"/>
        <v>0.53899552144048535</v>
      </c>
      <c r="T4568" s="161">
        <f t="shared" si="747"/>
        <v>259.79584133431393</v>
      </c>
      <c r="U4568" s="158">
        <f t="shared" si="749"/>
        <v>26.829174664107487</v>
      </c>
      <c r="V4568" s="160">
        <f t="shared" si="748"/>
        <v>27</v>
      </c>
    </row>
    <row r="4569" spans="1:22" x14ac:dyDescent="0.25">
      <c r="A4569" s="98" t="s">
        <v>25</v>
      </c>
      <c r="B4569" s="98" t="s">
        <v>17</v>
      </c>
      <c r="C4569" s="98">
        <v>42</v>
      </c>
      <c r="D4569" s="98">
        <v>1710</v>
      </c>
      <c r="E4569" s="157">
        <v>41731.757638888892</v>
      </c>
      <c r="F4569" s="157">
        <v>41731.829861111109</v>
      </c>
      <c r="G4569" s="98">
        <v>507</v>
      </c>
      <c r="H4569" s="98">
        <v>521</v>
      </c>
      <c r="I4569" s="98">
        <v>482</v>
      </c>
      <c r="J4569" s="98" t="s">
        <v>2020</v>
      </c>
      <c r="K4569" s="98" t="s">
        <v>718</v>
      </c>
      <c r="L4569" s="105" t="str">
        <f t="shared" si="740"/>
        <v>Mill Creek</v>
      </c>
      <c r="M4569" s="105" t="str">
        <f t="shared" si="741"/>
        <v>Derate</v>
      </c>
      <c r="N4569" s="105" t="str">
        <f t="shared" si="742"/>
        <v>Coal</v>
      </c>
      <c r="O4569" s="105">
        <f>IFERROR(VLOOKUP(A4569,Lookup!$J$5:$P$19,7,FALSE),0)</f>
        <v>3</v>
      </c>
      <c r="P4569" s="159">
        <f t="shared" si="743"/>
        <v>2014</v>
      </c>
      <c r="Q4569" s="159">
        <f t="shared" si="744"/>
        <v>4</v>
      </c>
      <c r="R4569" s="160">
        <f t="shared" si="745"/>
        <v>1.7333333332207985</v>
      </c>
      <c r="S4569" s="158">
        <f t="shared" si="746"/>
        <v>4.6577095326470593E-2</v>
      </c>
      <c r="T4569" s="161">
        <f t="shared" si="747"/>
        <v>22.450159947358827</v>
      </c>
      <c r="U4569" s="158">
        <f t="shared" si="749"/>
        <v>12.952015355086372</v>
      </c>
      <c r="V4569" s="160">
        <f t="shared" si="748"/>
        <v>13</v>
      </c>
    </row>
    <row r="4570" spans="1:22" x14ac:dyDescent="0.25">
      <c r="A4570" s="98" t="s">
        <v>25</v>
      </c>
      <c r="B4570" s="98" t="s">
        <v>105</v>
      </c>
      <c r="C4570" s="98">
        <v>43</v>
      </c>
      <c r="D4570" s="98">
        <v>310</v>
      </c>
      <c r="E4570" s="157">
        <v>41732.895833333336</v>
      </c>
      <c r="F4570" s="157">
        <v>41733.120833333334</v>
      </c>
      <c r="G4570" s="98">
        <v>407</v>
      </c>
      <c r="H4570" s="98">
        <v>521</v>
      </c>
      <c r="I4570" s="98">
        <v>482</v>
      </c>
      <c r="J4570" s="98" t="s">
        <v>1966</v>
      </c>
      <c r="K4570" s="98" t="s">
        <v>1686</v>
      </c>
      <c r="L4570" s="105" t="str">
        <f t="shared" si="740"/>
        <v>Mill Creek</v>
      </c>
      <c r="M4570" s="105" t="str">
        <f t="shared" si="741"/>
        <v>Derate</v>
      </c>
      <c r="N4570" s="105" t="str">
        <f t="shared" si="742"/>
        <v>Coal</v>
      </c>
      <c r="O4570" s="105">
        <f>IFERROR(VLOOKUP(A4570,Lookup!$J$5:$P$19,7,FALSE),0)</f>
        <v>3</v>
      </c>
      <c r="P4570" s="159">
        <f t="shared" si="743"/>
        <v>2014</v>
      </c>
      <c r="Q4570" s="159">
        <f t="shared" si="744"/>
        <v>4</v>
      </c>
      <c r="R4570" s="160">
        <f t="shared" si="745"/>
        <v>5.3999999999650754</v>
      </c>
      <c r="S4570" s="158">
        <f t="shared" si="746"/>
        <v>1.1815738963455251</v>
      </c>
      <c r="T4570" s="161">
        <f t="shared" si="747"/>
        <v>569.51861803854308</v>
      </c>
      <c r="U4570" s="158">
        <f t="shared" si="749"/>
        <v>105.46641074856046</v>
      </c>
      <c r="V4570" s="160">
        <f t="shared" si="748"/>
        <v>105</v>
      </c>
    </row>
    <row r="4571" spans="1:22" x14ac:dyDescent="0.25">
      <c r="A4571" s="98" t="s">
        <v>25</v>
      </c>
      <c r="B4571" s="98" t="s">
        <v>17</v>
      </c>
      <c r="C4571" s="98">
        <v>44</v>
      </c>
      <c r="D4571" s="98">
        <v>310</v>
      </c>
      <c r="E4571" s="157">
        <v>41733.25</v>
      </c>
      <c r="F4571" s="157">
        <v>41733.383333333331</v>
      </c>
      <c r="G4571" s="98">
        <v>430</v>
      </c>
      <c r="H4571" s="98">
        <v>521</v>
      </c>
      <c r="I4571" s="98">
        <v>482</v>
      </c>
      <c r="J4571" s="98" t="s">
        <v>1966</v>
      </c>
      <c r="K4571" s="98" t="s">
        <v>1687</v>
      </c>
      <c r="L4571" s="105" t="str">
        <f t="shared" si="740"/>
        <v>Mill Creek</v>
      </c>
      <c r="M4571" s="105" t="str">
        <f t="shared" si="741"/>
        <v>Derate</v>
      </c>
      <c r="N4571" s="105" t="str">
        <f t="shared" si="742"/>
        <v>Coal</v>
      </c>
      <c r="O4571" s="105">
        <f>IFERROR(VLOOKUP(A4571,Lookup!$J$5:$P$19,7,FALSE),0)</f>
        <v>3</v>
      </c>
      <c r="P4571" s="159">
        <f t="shared" si="743"/>
        <v>2014</v>
      </c>
      <c r="Q4571" s="159">
        <f t="shared" si="744"/>
        <v>4</v>
      </c>
      <c r="R4571" s="160">
        <f t="shared" si="745"/>
        <v>3.1999999999534339</v>
      </c>
      <c r="S4571" s="158">
        <f t="shared" si="746"/>
        <v>0.55892514394580128</v>
      </c>
      <c r="T4571" s="161">
        <f t="shared" si="747"/>
        <v>269.40191938187621</v>
      </c>
      <c r="U4571" s="158">
        <f t="shared" si="749"/>
        <v>84.188099808061423</v>
      </c>
      <c r="V4571" s="160">
        <f t="shared" si="748"/>
        <v>84</v>
      </c>
    </row>
    <row r="4572" spans="1:22" x14ac:dyDescent="0.25">
      <c r="A4572" s="98" t="s">
        <v>25</v>
      </c>
      <c r="B4572" s="98" t="s">
        <v>105</v>
      </c>
      <c r="C4572" s="98">
        <v>45</v>
      </c>
      <c r="D4572" s="98">
        <v>310</v>
      </c>
      <c r="E4572" s="157">
        <v>41735.875</v>
      </c>
      <c r="F4572" s="157">
        <v>41736.231944444444</v>
      </c>
      <c r="G4572" s="98">
        <v>430</v>
      </c>
      <c r="H4572" s="98">
        <v>521</v>
      </c>
      <c r="I4572" s="98">
        <v>482</v>
      </c>
      <c r="J4572" s="98" t="s">
        <v>1966</v>
      </c>
      <c r="K4572" s="98" t="s">
        <v>255</v>
      </c>
      <c r="L4572" s="105" t="str">
        <f t="shared" si="740"/>
        <v>Mill Creek</v>
      </c>
      <c r="M4572" s="105" t="str">
        <f t="shared" si="741"/>
        <v>Derate</v>
      </c>
      <c r="N4572" s="105" t="str">
        <f t="shared" si="742"/>
        <v>Coal</v>
      </c>
      <c r="O4572" s="105">
        <f>IFERROR(VLOOKUP(A4572,Lookup!$J$5:$P$19,7,FALSE),0)</f>
        <v>3</v>
      </c>
      <c r="P4572" s="159">
        <f t="shared" si="743"/>
        <v>2014</v>
      </c>
      <c r="Q4572" s="159">
        <f t="shared" si="744"/>
        <v>4</v>
      </c>
      <c r="R4572" s="160">
        <f t="shared" si="745"/>
        <v>8.5666666666511446</v>
      </c>
      <c r="S4572" s="158">
        <f t="shared" si="746"/>
        <v>1.4962891874573017</v>
      </c>
      <c r="T4572" s="161">
        <f t="shared" si="747"/>
        <v>721.21138835441946</v>
      </c>
      <c r="U4572" s="158">
        <f t="shared" si="749"/>
        <v>84.188099808061423</v>
      </c>
      <c r="V4572" s="160">
        <f t="shared" si="748"/>
        <v>84</v>
      </c>
    </row>
    <row r="4573" spans="1:22" x14ac:dyDescent="0.25">
      <c r="A4573" s="98" t="s">
        <v>25</v>
      </c>
      <c r="B4573" s="98" t="s">
        <v>105</v>
      </c>
      <c r="C4573" s="98">
        <v>46</v>
      </c>
      <c r="D4573" s="98">
        <v>310</v>
      </c>
      <c r="E4573" s="157">
        <v>41736.930555555555</v>
      </c>
      <c r="F4573" s="157">
        <v>41737.166666666664</v>
      </c>
      <c r="G4573" s="98">
        <v>430</v>
      </c>
      <c r="H4573" s="98">
        <v>521</v>
      </c>
      <c r="I4573" s="98">
        <v>482</v>
      </c>
      <c r="J4573" s="98" t="s">
        <v>1966</v>
      </c>
      <c r="K4573" s="98" t="s">
        <v>114</v>
      </c>
      <c r="L4573" s="105" t="str">
        <f t="shared" si="740"/>
        <v>Mill Creek</v>
      </c>
      <c r="M4573" s="105" t="str">
        <f t="shared" si="741"/>
        <v>Derate</v>
      </c>
      <c r="N4573" s="105" t="str">
        <f t="shared" si="742"/>
        <v>Coal</v>
      </c>
      <c r="O4573" s="105">
        <f>IFERROR(VLOOKUP(A4573,Lookup!$J$5:$P$19,7,FALSE),0)</f>
        <v>3</v>
      </c>
      <c r="P4573" s="159">
        <f t="shared" si="743"/>
        <v>2014</v>
      </c>
      <c r="Q4573" s="159">
        <f t="shared" si="744"/>
        <v>4</v>
      </c>
      <c r="R4573" s="160">
        <f t="shared" si="745"/>
        <v>5.6666666666278616</v>
      </c>
      <c r="S4573" s="158">
        <f t="shared" si="746"/>
        <v>0.98976327574498157</v>
      </c>
      <c r="T4573" s="161">
        <f t="shared" si="747"/>
        <v>477.06589890908111</v>
      </c>
      <c r="U4573" s="158">
        <f t="shared" si="749"/>
        <v>84.188099808061423</v>
      </c>
      <c r="V4573" s="160">
        <f t="shared" si="748"/>
        <v>84</v>
      </c>
    </row>
    <row r="4574" spans="1:22" x14ac:dyDescent="0.25">
      <c r="A4574" s="98" t="s">
        <v>25</v>
      </c>
      <c r="B4574" s="98" t="s">
        <v>17</v>
      </c>
      <c r="C4574" s="98">
        <v>47</v>
      </c>
      <c r="D4574" s="98">
        <v>310</v>
      </c>
      <c r="E4574" s="157">
        <v>41737.166666666664</v>
      </c>
      <c r="F4574" s="157">
        <v>41737.239583333336</v>
      </c>
      <c r="G4574" s="98">
        <v>430</v>
      </c>
      <c r="H4574" s="98">
        <v>521</v>
      </c>
      <c r="I4574" s="98">
        <v>482</v>
      </c>
      <c r="J4574" s="98" t="s">
        <v>1966</v>
      </c>
      <c r="K4574" s="98" t="s">
        <v>1688</v>
      </c>
      <c r="L4574" s="105" t="str">
        <f t="shared" si="740"/>
        <v>Mill Creek</v>
      </c>
      <c r="M4574" s="105" t="str">
        <f t="shared" si="741"/>
        <v>Derate</v>
      </c>
      <c r="N4574" s="105" t="str">
        <f t="shared" si="742"/>
        <v>Coal</v>
      </c>
      <c r="O4574" s="105">
        <f>IFERROR(VLOOKUP(A4574,Lookup!$J$5:$P$19,7,FALSE),0)</f>
        <v>3</v>
      </c>
      <c r="P4574" s="159">
        <f t="shared" si="743"/>
        <v>2014</v>
      </c>
      <c r="Q4574" s="159">
        <f t="shared" si="744"/>
        <v>4</v>
      </c>
      <c r="R4574" s="160">
        <f t="shared" si="745"/>
        <v>1.7500000001164153</v>
      </c>
      <c r="S4574" s="158">
        <f t="shared" si="746"/>
        <v>0.30566218812014162</v>
      </c>
      <c r="T4574" s="161">
        <f t="shared" si="747"/>
        <v>147.32917467390826</v>
      </c>
      <c r="U4574" s="158">
        <f t="shared" si="749"/>
        <v>84.188099808061423</v>
      </c>
      <c r="V4574" s="160">
        <f t="shared" si="748"/>
        <v>84</v>
      </c>
    </row>
    <row r="4575" spans="1:22" x14ac:dyDescent="0.25">
      <c r="A4575" s="98" t="s">
        <v>25</v>
      </c>
      <c r="B4575" s="98" t="s">
        <v>17</v>
      </c>
      <c r="C4575" s="98">
        <v>48</v>
      </c>
      <c r="D4575" s="98">
        <v>310</v>
      </c>
      <c r="E4575" s="157">
        <v>41737.239583333336</v>
      </c>
      <c r="F4575" s="157">
        <v>41737.302083333336</v>
      </c>
      <c r="G4575" s="98">
        <v>485</v>
      </c>
      <c r="H4575" s="98">
        <v>521</v>
      </c>
      <c r="I4575" s="98">
        <v>482</v>
      </c>
      <c r="J4575" s="98" t="s">
        <v>1966</v>
      </c>
      <c r="K4575" s="98" t="s">
        <v>1689</v>
      </c>
      <c r="L4575" s="105" t="str">
        <f t="shared" si="740"/>
        <v>Mill Creek</v>
      </c>
      <c r="M4575" s="105" t="str">
        <f t="shared" si="741"/>
        <v>Derate</v>
      </c>
      <c r="N4575" s="105" t="str">
        <f t="shared" si="742"/>
        <v>Coal</v>
      </c>
      <c r="O4575" s="105">
        <f>IFERROR(VLOOKUP(A4575,Lookup!$J$5:$P$19,7,FALSE),0)</f>
        <v>3</v>
      </c>
      <c r="P4575" s="159">
        <f t="shared" si="743"/>
        <v>2014</v>
      </c>
      <c r="Q4575" s="159">
        <f t="shared" si="744"/>
        <v>4</v>
      </c>
      <c r="R4575" s="160">
        <f t="shared" si="745"/>
        <v>1.5</v>
      </c>
      <c r="S4575" s="158">
        <f t="shared" si="746"/>
        <v>0.1036468330134357</v>
      </c>
      <c r="T4575" s="161">
        <f t="shared" si="747"/>
        <v>49.95777351247601</v>
      </c>
      <c r="U4575" s="158">
        <f t="shared" si="749"/>
        <v>33.305182341650671</v>
      </c>
      <c r="V4575" s="160">
        <f t="shared" si="748"/>
        <v>33</v>
      </c>
    </row>
    <row r="4576" spans="1:22" x14ac:dyDescent="0.25">
      <c r="A4576" s="98" t="s">
        <v>25</v>
      </c>
      <c r="B4576" s="98" t="s">
        <v>79</v>
      </c>
      <c r="C4576" s="98">
        <v>49</v>
      </c>
      <c r="D4576" s="98">
        <v>9620</v>
      </c>
      <c r="E4576" s="157">
        <v>41737.354166666664</v>
      </c>
      <c r="F4576" s="157">
        <v>41737.563194444447</v>
      </c>
      <c r="G4576" s="98">
        <v>0</v>
      </c>
      <c r="H4576" s="98">
        <v>521</v>
      </c>
      <c r="I4576" s="98">
        <v>482</v>
      </c>
      <c r="J4576" s="98" t="s">
        <v>2029</v>
      </c>
      <c r="K4576" s="98" t="s">
        <v>1489</v>
      </c>
      <c r="L4576" s="105" t="str">
        <f t="shared" si="740"/>
        <v>Mill Creek</v>
      </c>
      <c r="M4576" s="105" t="str">
        <f t="shared" si="741"/>
        <v>Other</v>
      </c>
      <c r="N4576" s="105" t="str">
        <f t="shared" si="742"/>
        <v>Coal</v>
      </c>
      <c r="O4576" s="105">
        <f>IFERROR(VLOOKUP(A4576,Lookup!$J$5:$P$19,7,FALSE),0)</f>
        <v>3</v>
      </c>
      <c r="P4576" s="159">
        <f t="shared" si="743"/>
        <v>2014</v>
      </c>
      <c r="Q4576" s="159">
        <f t="shared" si="744"/>
        <v>4</v>
      </c>
      <c r="R4576" s="160">
        <f t="shared" si="745"/>
        <v>5.0166666667792015</v>
      </c>
      <c r="S4576" s="158">
        <f t="shared" si="746"/>
        <v>5.0166666667792015</v>
      </c>
      <c r="T4576" s="161">
        <f t="shared" si="747"/>
        <v>2418.0333333875751</v>
      </c>
      <c r="U4576" s="158">
        <f t="shared" si="749"/>
        <v>482</v>
      </c>
      <c r="V4576" s="160">
        <f t="shared" si="748"/>
        <v>482</v>
      </c>
    </row>
    <row r="4577" spans="1:22" x14ac:dyDescent="0.25">
      <c r="A4577" s="98" t="s">
        <v>25</v>
      </c>
      <c r="B4577" s="98" t="s">
        <v>79</v>
      </c>
      <c r="C4577" s="98">
        <v>50</v>
      </c>
      <c r="D4577" s="98">
        <v>9620</v>
      </c>
      <c r="E4577" s="157">
        <v>41738.305555555555</v>
      </c>
      <c r="F4577" s="157">
        <v>41738.453472222223</v>
      </c>
      <c r="G4577" s="98">
        <v>0</v>
      </c>
      <c r="H4577" s="98">
        <v>521</v>
      </c>
      <c r="I4577" s="98">
        <v>482</v>
      </c>
      <c r="J4577" s="98" t="s">
        <v>2029</v>
      </c>
      <c r="K4577" s="98" t="s">
        <v>1489</v>
      </c>
      <c r="L4577" s="105" t="str">
        <f t="shared" si="740"/>
        <v>Mill Creek</v>
      </c>
      <c r="M4577" s="105" t="str">
        <f t="shared" si="741"/>
        <v>Other</v>
      </c>
      <c r="N4577" s="105" t="str">
        <f t="shared" si="742"/>
        <v>Coal</v>
      </c>
      <c r="O4577" s="105">
        <f>IFERROR(VLOOKUP(A4577,Lookup!$J$5:$P$19,7,FALSE),0)</f>
        <v>3</v>
      </c>
      <c r="P4577" s="159">
        <f t="shared" si="743"/>
        <v>2014</v>
      </c>
      <c r="Q4577" s="159">
        <f t="shared" si="744"/>
        <v>4</v>
      </c>
      <c r="R4577" s="160">
        <f t="shared" si="745"/>
        <v>3.5500000000465661</v>
      </c>
      <c r="S4577" s="158">
        <f t="shared" si="746"/>
        <v>3.5500000000465661</v>
      </c>
      <c r="T4577" s="161">
        <f t="shared" si="747"/>
        <v>1711.1000000224449</v>
      </c>
      <c r="U4577" s="158">
        <f t="shared" si="749"/>
        <v>482</v>
      </c>
      <c r="V4577" s="160">
        <f t="shared" si="748"/>
        <v>482</v>
      </c>
    </row>
    <row r="4578" spans="1:22" x14ac:dyDescent="0.25">
      <c r="A4578" s="98" t="s">
        <v>25</v>
      </c>
      <c r="B4578" s="98" t="s">
        <v>105</v>
      </c>
      <c r="C4578" s="98">
        <v>51</v>
      </c>
      <c r="D4578" s="98">
        <v>1160</v>
      </c>
      <c r="E4578" s="157">
        <v>41738.907638888886</v>
      </c>
      <c r="F4578" s="157">
        <v>41739.160416666666</v>
      </c>
      <c r="G4578" s="98">
        <v>300</v>
      </c>
      <c r="H4578" s="98">
        <v>521</v>
      </c>
      <c r="I4578" s="98">
        <v>482</v>
      </c>
      <c r="J4578" s="98" t="s">
        <v>2273</v>
      </c>
      <c r="K4578" s="98" t="s">
        <v>1411</v>
      </c>
      <c r="L4578" s="105" t="str">
        <f t="shared" si="740"/>
        <v>Mill Creek</v>
      </c>
      <c r="M4578" s="105" t="str">
        <f t="shared" si="741"/>
        <v>Derate</v>
      </c>
      <c r="N4578" s="105" t="str">
        <f t="shared" si="742"/>
        <v>Coal</v>
      </c>
      <c r="O4578" s="105">
        <f>IFERROR(VLOOKUP(A4578,Lookup!$J$5:$P$19,7,FALSE),0)</f>
        <v>3</v>
      </c>
      <c r="P4578" s="159">
        <f t="shared" si="743"/>
        <v>2014</v>
      </c>
      <c r="Q4578" s="159">
        <f t="shared" si="744"/>
        <v>4</v>
      </c>
      <c r="R4578" s="160">
        <f t="shared" si="745"/>
        <v>6.0666666667093523</v>
      </c>
      <c r="S4578" s="158">
        <f t="shared" si="746"/>
        <v>2.573384516972681</v>
      </c>
      <c r="T4578" s="161">
        <f t="shared" si="747"/>
        <v>1240.3713371808321</v>
      </c>
      <c r="U4578" s="158">
        <f t="shared" si="749"/>
        <v>204.45681381957775</v>
      </c>
      <c r="V4578" s="160">
        <f t="shared" si="748"/>
        <v>204</v>
      </c>
    </row>
    <row r="4579" spans="1:22" x14ac:dyDescent="0.25">
      <c r="A4579" s="98" t="s">
        <v>25</v>
      </c>
      <c r="B4579" s="98" t="s">
        <v>79</v>
      </c>
      <c r="C4579" s="98">
        <v>52</v>
      </c>
      <c r="D4579" s="98">
        <v>9620</v>
      </c>
      <c r="E4579" s="157">
        <v>41739.270833333336</v>
      </c>
      <c r="F4579" s="157">
        <v>41739.290277777778</v>
      </c>
      <c r="G4579" s="98">
        <v>0</v>
      </c>
      <c r="H4579" s="98">
        <v>521</v>
      </c>
      <c r="I4579" s="98">
        <v>482</v>
      </c>
      <c r="J4579" s="98" t="s">
        <v>2029</v>
      </c>
      <c r="K4579" s="98" t="s">
        <v>1489</v>
      </c>
      <c r="L4579" s="105" t="str">
        <f t="shared" si="740"/>
        <v>Mill Creek</v>
      </c>
      <c r="M4579" s="105" t="str">
        <f t="shared" si="741"/>
        <v>Other</v>
      </c>
      <c r="N4579" s="105" t="str">
        <f t="shared" si="742"/>
        <v>Coal</v>
      </c>
      <c r="O4579" s="105">
        <f>IFERROR(VLOOKUP(A4579,Lookup!$J$5:$P$19,7,FALSE),0)</f>
        <v>3</v>
      </c>
      <c r="P4579" s="159">
        <f t="shared" si="743"/>
        <v>2014</v>
      </c>
      <c r="Q4579" s="159">
        <f t="shared" si="744"/>
        <v>4</v>
      </c>
      <c r="R4579" s="160">
        <f t="shared" si="745"/>
        <v>0.46666666661622003</v>
      </c>
      <c r="S4579" s="158">
        <f t="shared" si="746"/>
        <v>0.46666666661622003</v>
      </c>
      <c r="T4579" s="161">
        <f t="shared" si="747"/>
        <v>224.93333330901805</v>
      </c>
      <c r="U4579" s="158">
        <f t="shared" si="749"/>
        <v>482</v>
      </c>
      <c r="V4579" s="160">
        <f t="shared" si="748"/>
        <v>482</v>
      </c>
    </row>
    <row r="4580" spans="1:22" x14ac:dyDescent="0.25">
      <c r="A4580" s="98" t="s">
        <v>25</v>
      </c>
      <c r="B4580" s="98" t="s">
        <v>105</v>
      </c>
      <c r="C4580" s="98">
        <v>53</v>
      </c>
      <c r="D4580" s="98">
        <v>1160</v>
      </c>
      <c r="E4580" s="157">
        <v>41739.916666666664</v>
      </c>
      <c r="F4580" s="157">
        <v>41740.145833333336</v>
      </c>
      <c r="G4580" s="98">
        <v>300</v>
      </c>
      <c r="H4580" s="98">
        <v>521</v>
      </c>
      <c r="I4580" s="98">
        <v>482</v>
      </c>
      <c r="J4580" s="98" t="s">
        <v>2273</v>
      </c>
      <c r="K4580" s="98" t="s">
        <v>1411</v>
      </c>
      <c r="L4580" s="105" t="str">
        <f t="shared" si="740"/>
        <v>Mill Creek</v>
      </c>
      <c r="M4580" s="105" t="str">
        <f t="shared" si="741"/>
        <v>Derate</v>
      </c>
      <c r="N4580" s="105" t="str">
        <f t="shared" si="742"/>
        <v>Coal</v>
      </c>
      <c r="O4580" s="105">
        <f>IFERROR(VLOOKUP(A4580,Lookup!$J$5:$P$19,7,FALSE),0)</f>
        <v>3</v>
      </c>
      <c r="P4580" s="159">
        <f t="shared" si="743"/>
        <v>2014</v>
      </c>
      <c r="Q4580" s="159">
        <f t="shared" si="744"/>
        <v>4</v>
      </c>
      <c r="R4580" s="160">
        <f t="shared" si="745"/>
        <v>5.5000000001164153</v>
      </c>
      <c r="S4580" s="158">
        <f t="shared" si="746"/>
        <v>2.3330134357499572</v>
      </c>
      <c r="T4580" s="161">
        <f t="shared" si="747"/>
        <v>1124.5124760314793</v>
      </c>
      <c r="U4580" s="158">
        <f t="shared" si="749"/>
        <v>204.45681381957775</v>
      </c>
      <c r="V4580" s="160">
        <f t="shared" si="748"/>
        <v>204</v>
      </c>
    </row>
    <row r="4581" spans="1:22" x14ac:dyDescent="0.25">
      <c r="A4581" s="98" t="s">
        <v>25</v>
      </c>
      <c r="B4581" s="98" t="s">
        <v>79</v>
      </c>
      <c r="C4581" s="98">
        <v>54</v>
      </c>
      <c r="D4581" s="98">
        <v>9620</v>
      </c>
      <c r="E4581" s="157">
        <v>41740.291666666664</v>
      </c>
      <c r="F4581" s="157">
        <v>41740.527083333334</v>
      </c>
      <c r="G4581" s="98">
        <v>0</v>
      </c>
      <c r="H4581" s="98">
        <v>521</v>
      </c>
      <c r="I4581" s="98">
        <v>482</v>
      </c>
      <c r="J4581" s="98" t="s">
        <v>2029</v>
      </c>
      <c r="K4581" s="98" t="s">
        <v>1489</v>
      </c>
      <c r="L4581" s="105" t="str">
        <f t="shared" ref="L4581:L4644" si="750">IF(OR(A4581="BR1",A4581="BR2",A4581="BR3",A4581="BR5",A4581="BR6",A4581="BR7",A4581="BR8",A4581="BR9",A4581="BR10",A4581="BR11"),"Brown",IF(OR(A4581="CR4",A4581="CR5",A4581="CR6",A4581="CR11"),"Cane Run",IF(OR(A4581="GH1",A4581="GH2",A4581="GH3",A4581="GH4"),"Ghent",IF(OR(A4581="GR3",A4581="GR4"),"Green River",IF(OR(A4581="MC1",A4581="MC2",A4581="MC3",A4581="MC4"),"Mill Creek",IF(OR(A4581="TC1",A4581="TC2",A4581="TC5",A4581="TC6",A4581="TC7",A4581="TC8",A4581="TC9",A4581="TC10"),"Trimble",IF(A4581="TY3","Tyrone",IF(OR(A4581="HA1",A4581="HA2",A4581="HA3"),"Haeflin",IF(OR(A4581="PR11",A4581="PR12",A4581="PR13"),"Paddy's Run","Zorn")))))))))</f>
        <v>Mill Creek</v>
      </c>
      <c r="M4581" s="105" t="str">
        <f t="shared" ref="M4581:M4644" si="751">IF(OR(B4581="D1",B4581="D2",B4581="D3",B4581="D4",B4581="PD"),"Derate",IF(OR(B4581="SF",B4581="U1",B4581="U2",B4581="U3"),"Outage",IF(OR(B4581="ME",B4581="MO"),"Maintenance","Other")))</f>
        <v>Other</v>
      </c>
      <c r="N4581" s="105" t="str">
        <f t="shared" ref="N4581:N4644" si="752">IF(OR(A4581="BR1",A4581="BR2",A4581="BR3",A4581="CR4",A4581="CR5",A4581="CR6",A4581="GH1",A4581="GH2",A4581="GH3",A4581="GH4",A4581="GR3",A4581="GR4",A4581="MC1",A4581="MC2",A4581="MC3",A4581="MC4",A4581="TC1",A4581="TC2",A4581="TY3"),"Coal","Gas")</f>
        <v>Coal</v>
      </c>
      <c r="O4581" s="105">
        <f>IFERROR(VLOOKUP(A4581,Lookup!$J$5:$P$19,7,FALSE),0)</f>
        <v>3</v>
      </c>
      <c r="P4581" s="159">
        <f t="shared" ref="P4581:P4644" si="753">YEAR(E4581)</f>
        <v>2014</v>
      </c>
      <c r="Q4581" s="159">
        <f t="shared" ref="Q4581:Q4644" si="754">MONTH(E4581)</f>
        <v>4</v>
      </c>
      <c r="R4581" s="160">
        <f t="shared" ref="R4581:R4644" si="755">(F4581-E4581)*24</f>
        <v>5.6500000000814907</v>
      </c>
      <c r="S4581" s="158">
        <f t="shared" ref="S4581:S4644" si="756">R4581*(H4581-G4581)/H4581</f>
        <v>5.6500000000814907</v>
      </c>
      <c r="T4581" s="161">
        <f t="shared" ref="T4581:T4644" si="757">S4581*I4581</f>
        <v>2723.3000000392785</v>
      </c>
      <c r="U4581" s="158">
        <f t="shared" si="749"/>
        <v>482</v>
      </c>
      <c r="V4581" s="160">
        <f t="shared" ref="V4581:V4644" si="758">ROUND(U4581,0)</f>
        <v>482</v>
      </c>
    </row>
    <row r="4582" spans="1:22" x14ac:dyDescent="0.25">
      <c r="A4582" s="98" t="s">
        <v>25</v>
      </c>
      <c r="B4582" s="98" t="s">
        <v>17</v>
      </c>
      <c r="C4582" s="98">
        <v>55</v>
      </c>
      <c r="D4582" s="98">
        <v>310</v>
      </c>
      <c r="E4582" s="157">
        <v>41740.527083333334</v>
      </c>
      <c r="F4582" s="157">
        <v>41740.661111111112</v>
      </c>
      <c r="G4582" s="98">
        <v>450</v>
      </c>
      <c r="H4582" s="98">
        <v>521</v>
      </c>
      <c r="I4582" s="98">
        <v>482</v>
      </c>
      <c r="J4582" s="98" t="s">
        <v>1966</v>
      </c>
      <c r="K4582" s="98" t="s">
        <v>1690</v>
      </c>
      <c r="L4582" s="105" t="str">
        <f t="shared" si="750"/>
        <v>Mill Creek</v>
      </c>
      <c r="M4582" s="105" t="str">
        <f t="shared" si="751"/>
        <v>Derate</v>
      </c>
      <c r="N4582" s="105" t="str">
        <f t="shared" si="752"/>
        <v>Coal</v>
      </c>
      <c r="O4582" s="105">
        <f>IFERROR(VLOOKUP(A4582,Lookup!$J$5:$P$19,7,FALSE),0)</f>
        <v>3</v>
      </c>
      <c r="P4582" s="159">
        <f t="shared" si="753"/>
        <v>2014</v>
      </c>
      <c r="Q4582" s="159">
        <f t="shared" si="754"/>
        <v>4</v>
      </c>
      <c r="R4582" s="160">
        <f t="shared" si="755"/>
        <v>3.2166666666744277</v>
      </c>
      <c r="S4582" s="158">
        <f t="shared" si="756"/>
        <v>0.43835572616868401</v>
      </c>
      <c r="T4582" s="161">
        <f t="shared" si="757"/>
        <v>211.28746001330569</v>
      </c>
      <c r="U4582" s="158">
        <f t="shared" ref="U4582:U4645" si="759">IF(G4582&gt;0,MAX((H4582-G4582),0)*I4582/H4582,I4582)</f>
        <v>65.685220729366605</v>
      </c>
      <c r="V4582" s="160">
        <f t="shared" si="758"/>
        <v>66</v>
      </c>
    </row>
    <row r="4583" spans="1:22" x14ac:dyDescent="0.25">
      <c r="A4583" s="98" t="s">
        <v>25</v>
      </c>
      <c r="B4583" s="98" t="s">
        <v>79</v>
      </c>
      <c r="C4583" s="98">
        <v>56</v>
      </c>
      <c r="D4583" s="98">
        <v>9620</v>
      </c>
      <c r="E4583" s="157">
        <v>41740.661111111112</v>
      </c>
      <c r="F4583" s="157">
        <v>41740.676388888889</v>
      </c>
      <c r="G4583" s="98">
        <v>0</v>
      </c>
      <c r="H4583" s="98">
        <v>521</v>
      </c>
      <c r="I4583" s="98">
        <v>482</v>
      </c>
      <c r="J4583" s="98" t="s">
        <v>2029</v>
      </c>
      <c r="K4583" s="98" t="s">
        <v>1489</v>
      </c>
      <c r="L4583" s="105" t="str">
        <f t="shared" si="750"/>
        <v>Mill Creek</v>
      </c>
      <c r="M4583" s="105" t="str">
        <f t="shared" si="751"/>
        <v>Other</v>
      </c>
      <c r="N4583" s="105" t="str">
        <f t="shared" si="752"/>
        <v>Coal</v>
      </c>
      <c r="O4583" s="105">
        <f>IFERROR(VLOOKUP(A4583,Lookup!$J$5:$P$19,7,FALSE),0)</f>
        <v>3</v>
      </c>
      <c r="P4583" s="159">
        <f t="shared" si="753"/>
        <v>2014</v>
      </c>
      <c r="Q4583" s="159">
        <f t="shared" si="754"/>
        <v>4</v>
      </c>
      <c r="R4583" s="160">
        <f t="shared" si="755"/>
        <v>0.36666666663950309</v>
      </c>
      <c r="S4583" s="158">
        <f t="shared" si="756"/>
        <v>0.36666666663950309</v>
      </c>
      <c r="T4583" s="161">
        <f t="shared" si="757"/>
        <v>176.73333332024049</v>
      </c>
      <c r="U4583" s="158">
        <f t="shared" si="759"/>
        <v>482</v>
      </c>
      <c r="V4583" s="160">
        <f t="shared" si="758"/>
        <v>482</v>
      </c>
    </row>
    <row r="4584" spans="1:22" x14ac:dyDescent="0.25">
      <c r="A4584" s="98" t="s">
        <v>25</v>
      </c>
      <c r="B4584" s="98" t="s">
        <v>105</v>
      </c>
      <c r="C4584" s="98">
        <v>57</v>
      </c>
      <c r="D4584" s="98">
        <v>1160</v>
      </c>
      <c r="E4584" s="157">
        <v>41740.934027777781</v>
      </c>
      <c r="F4584" s="157">
        <v>41741.177083333336</v>
      </c>
      <c r="G4584" s="98">
        <v>300</v>
      </c>
      <c r="H4584" s="98">
        <v>521</v>
      </c>
      <c r="I4584" s="98">
        <v>482</v>
      </c>
      <c r="J4584" s="98" t="s">
        <v>2273</v>
      </c>
      <c r="K4584" s="98" t="s">
        <v>1411</v>
      </c>
      <c r="L4584" s="105" t="str">
        <f t="shared" si="750"/>
        <v>Mill Creek</v>
      </c>
      <c r="M4584" s="105" t="str">
        <f t="shared" si="751"/>
        <v>Derate</v>
      </c>
      <c r="N4584" s="105" t="str">
        <f t="shared" si="752"/>
        <v>Coal</v>
      </c>
      <c r="O4584" s="105">
        <f>IFERROR(VLOOKUP(A4584,Lookup!$J$5:$P$19,7,FALSE),0)</f>
        <v>3</v>
      </c>
      <c r="P4584" s="159">
        <f t="shared" si="753"/>
        <v>2014</v>
      </c>
      <c r="Q4584" s="159">
        <f t="shared" si="754"/>
        <v>4</v>
      </c>
      <c r="R4584" s="160">
        <f t="shared" si="755"/>
        <v>5.8333333333139308</v>
      </c>
      <c r="S4584" s="158">
        <f t="shared" si="756"/>
        <v>2.4744081893711685</v>
      </c>
      <c r="T4584" s="161">
        <f t="shared" si="757"/>
        <v>1192.6647472769032</v>
      </c>
      <c r="U4584" s="158">
        <f t="shared" si="759"/>
        <v>204.45681381957775</v>
      </c>
      <c r="V4584" s="160">
        <f t="shared" si="758"/>
        <v>204</v>
      </c>
    </row>
    <row r="4585" spans="1:22" x14ac:dyDescent="0.25">
      <c r="A4585" s="98" t="s">
        <v>25</v>
      </c>
      <c r="B4585" s="98" t="s">
        <v>17</v>
      </c>
      <c r="C4585" s="98">
        <v>58</v>
      </c>
      <c r="D4585" s="98">
        <v>4309</v>
      </c>
      <c r="E4585" s="157">
        <v>41741.65</v>
      </c>
      <c r="F4585" s="157">
        <v>41741.729166666664</v>
      </c>
      <c r="G4585" s="98">
        <v>365</v>
      </c>
      <c r="H4585" s="98">
        <v>521</v>
      </c>
      <c r="I4585" s="98">
        <v>482</v>
      </c>
      <c r="J4585" s="98" t="s">
        <v>2266</v>
      </c>
      <c r="K4585" s="98" t="s">
        <v>1691</v>
      </c>
      <c r="L4585" s="105" t="str">
        <f t="shared" si="750"/>
        <v>Mill Creek</v>
      </c>
      <c r="M4585" s="105" t="str">
        <f t="shared" si="751"/>
        <v>Derate</v>
      </c>
      <c r="N4585" s="105" t="str">
        <f t="shared" si="752"/>
        <v>Coal</v>
      </c>
      <c r="O4585" s="105">
        <f>IFERROR(VLOOKUP(A4585,Lookup!$J$5:$P$19,7,FALSE),0)</f>
        <v>3</v>
      </c>
      <c r="P4585" s="159">
        <f t="shared" si="753"/>
        <v>2014</v>
      </c>
      <c r="Q4585" s="159">
        <f t="shared" si="754"/>
        <v>4</v>
      </c>
      <c r="R4585" s="160">
        <f t="shared" si="755"/>
        <v>1.8999999999068677</v>
      </c>
      <c r="S4585" s="158">
        <f t="shared" si="756"/>
        <v>0.5689059500680832</v>
      </c>
      <c r="T4585" s="161">
        <f t="shared" si="757"/>
        <v>274.21266793281609</v>
      </c>
      <c r="U4585" s="158">
        <f t="shared" si="759"/>
        <v>144.32245681381957</v>
      </c>
      <c r="V4585" s="160">
        <f t="shared" si="758"/>
        <v>144</v>
      </c>
    </row>
    <row r="4586" spans="1:22" x14ac:dyDescent="0.25">
      <c r="A4586" s="98" t="s">
        <v>25</v>
      </c>
      <c r="B4586" s="98" t="s">
        <v>105</v>
      </c>
      <c r="C4586" s="98">
        <v>59</v>
      </c>
      <c r="D4586" s="98">
        <v>1160</v>
      </c>
      <c r="E4586" s="157">
        <v>41741.885416666664</v>
      </c>
      <c r="F4586" s="157">
        <v>41742.166666666664</v>
      </c>
      <c r="G4586" s="98">
        <v>325</v>
      </c>
      <c r="H4586" s="98">
        <v>521</v>
      </c>
      <c r="I4586" s="98">
        <v>482</v>
      </c>
      <c r="J4586" s="98" t="s">
        <v>2273</v>
      </c>
      <c r="K4586" s="98" t="s">
        <v>1411</v>
      </c>
      <c r="L4586" s="105" t="str">
        <f t="shared" si="750"/>
        <v>Mill Creek</v>
      </c>
      <c r="M4586" s="105" t="str">
        <f t="shared" si="751"/>
        <v>Derate</v>
      </c>
      <c r="N4586" s="105" t="str">
        <f t="shared" si="752"/>
        <v>Coal</v>
      </c>
      <c r="O4586" s="105">
        <f>IFERROR(VLOOKUP(A4586,Lookup!$J$5:$P$19,7,FALSE),0)</f>
        <v>3</v>
      </c>
      <c r="P4586" s="159">
        <f t="shared" si="753"/>
        <v>2014</v>
      </c>
      <c r="Q4586" s="159">
        <f t="shared" si="754"/>
        <v>4</v>
      </c>
      <c r="R4586" s="160">
        <f t="shared" si="755"/>
        <v>6.75</v>
      </c>
      <c r="S4586" s="158">
        <f t="shared" si="756"/>
        <v>2.5393474088291748</v>
      </c>
      <c r="T4586" s="161">
        <f t="shared" si="757"/>
        <v>1223.9654510556622</v>
      </c>
      <c r="U4586" s="158">
        <f t="shared" si="759"/>
        <v>181.32821497120921</v>
      </c>
      <c r="V4586" s="160">
        <f t="shared" si="758"/>
        <v>181</v>
      </c>
    </row>
    <row r="4587" spans="1:22" x14ac:dyDescent="0.25">
      <c r="A4587" s="98" t="s">
        <v>25</v>
      </c>
      <c r="B4587" s="98" t="s">
        <v>15</v>
      </c>
      <c r="C4587" s="98">
        <v>60</v>
      </c>
      <c r="D4587" s="98">
        <v>4309</v>
      </c>
      <c r="E4587" s="157">
        <v>41742.685416666667</v>
      </c>
      <c r="F4587" s="157">
        <v>41742.752083333333</v>
      </c>
      <c r="G4587" s="98">
        <v>0</v>
      </c>
      <c r="H4587" s="98">
        <v>521</v>
      </c>
      <c r="I4587" s="98">
        <v>482</v>
      </c>
      <c r="J4587" s="98" t="s">
        <v>2266</v>
      </c>
      <c r="K4587" s="98" t="s">
        <v>1692</v>
      </c>
      <c r="L4587" s="105" t="str">
        <f t="shared" si="750"/>
        <v>Mill Creek</v>
      </c>
      <c r="M4587" s="105" t="str">
        <f t="shared" si="751"/>
        <v>Outage</v>
      </c>
      <c r="N4587" s="105" t="str">
        <f t="shared" si="752"/>
        <v>Coal</v>
      </c>
      <c r="O4587" s="105">
        <f>IFERROR(VLOOKUP(A4587,Lookup!$J$5:$P$19,7,FALSE),0)</f>
        <v>3</v>
      </c>
      <c r="P4587" s="159">
        <f t="shared" si="753"/>
        <v>2014</v>
      </c>
      <c r="Q4587" s="159">
        <f t="shared" si="754"/>
        <v>4</v>
      </c>
      <c r="R4587" s="160">
        <f t="shared" si="755"/>
        <v>1.5999999999767169</v>
      </c>
      <c r="S4587" s="158">
        <f t="shared" si="756"/>
        <v>1.5999999999767169</v>
      </c>
      <c r="T4587" s="161">
        <f t="shared" si="757"/>
        <v>771.19999998877756</v>
      </c>
      <c r="U4587" s="158">
        <f t="shared" si="759"/>
        <v>482</v>
      </c>
      <c r="V4587" s="160">
        <f t="shared" si="758"/>
        <v>482</v>
      </c>
    </row>
    <row r="4588" spans="1:22" x14ac:dyDescent="0.25">
      <c r="A4588" s="98" t="s">
        <v>25</v>
      </c>
      <c r="B4588" s="98" t="s">
        <v>79</v>
      </c>
      <c r="C4588" s="98">
        <v>61</v>
      </c>
      <c r="D4588" s="98">
        <v>1850</v>
      </c>
      <c r="E4588" s="157">
        <v>41742.752083333333</v>
      </c>
      <c r="F4588" s="157">
        <v>41743.097222222219</v>
      </c>
      <c r="G4588" s="98">
        <v>0</v>
      </c>
      <c r="H4588" s="98">
        <v>521</v>
      </c>
      <c r="I4588" s="98">
        <v>482</v>
      </c>
      <c r="J4588" s="98" t="s">
        <v>2263</v>
      </c>
      <c r="K4588" s="98" t="s">
        <v>87</v>
      </c>
      <c r="L4588" s="105" t="str">
        <f t="shared" si="750"/>
        <v>Mill Creek</v>
      </c>
      <c r="M4588" s="105" t="str">
        <f t="shared" si="751"/>
        <v>Other</v>
      </c>
      <c r="N4588" s="105" t="str">
        <f t="shared" si="752"/>
        <v>Coal</v>
      </c>
      <c r="O4588" s="105">
        <f>IFERROR(VLOOKUP(A4588,Lookup!$J$5:$P$19,7,FALSE),0)</f>
        <v>3</v>
      </c>
      <c r="P4588" s="159">
        <f t="shared" si="753"/>
        <v>2014</v>
      </c>
      <c r="Q4588" s="159">
        <f t="shared" si="754"/>
        <v>4</v>
      </c>
      <c r="R4588" s="160">
        <f t="shared" si="755"/>
        <v>8.2833333332673647</v>
      </c>
      <c r="S4588" s="158">
        <f t="shared" si="756"/>
        <v>8.2833333332673647</v>
      </c>
      <c r="T4588" s="161">
        <f t="shared" si="757"/>
        <v>3992.5666666348698</v>
      </c>
      <c r="U4588" s="158">
        <f t="shared" si="759"/>
        <v>482</v>
      </c>
      <c r="V4588" s="160">
        <f t="shared" si="758"/>
        <v>482</v>
      </c>
    </row>
    <row r="4589" spans="1:22" x14ac:dyDescent="0.25">
      <c r="A4589" s="98" t="s">
        <v>25</v>
      </c>
      <c r="B4589" s="98" t="s">
        <v>17</v>
      </c>
      <c r="C4589" s="98">
        <v>62</v>
      </c>
      <c r="D4589" s="98">
        <v>1850</v>
      </c>
      <c r="E4589" s="157">
        <v>41743.097222222219</v>
      </c>
      <c r="F4589" s="157">
        <v>41743.22152777778</v>
      </c>
      <c r="G4589" s="98">
        <v>400</v>
      </c>
      <c r="H4589" s="98">
        <v>521</v>
      </c>
      <c r="I4589" s="98">
        <v>482</v>
      </c>
      <c r="J4589" s="98" t="s">
        <v>2263</v>
      </c>
      <c r="K4589" s="98" t="s">
        <v>41</v>
      </c>
      <c r="L4589" s="105" t="str">
        <f t="shared" si="750"/>
        <v>Mill Creek</v>
      </c>
      <c r="M4589" s="105" t="str">
        <f t="shared" si="751"/>
        <v>Derate</v>
      </c>
      <c r="N4589" s="105" t="str">
        <f t="shared" si="752"/>
        <v>Coal</v>
      </c>
      <c r="O4589" s="105">
        <f>IFERROR(VLOOKUP(A4589,Lookup!$J$5:$P$19,7,FALSE),0)</f>
        <v>3</v>
      </c>
      <c r="P4589" s="159">
        <f t="shared" si="753"/>
        <v>2014</v>
      </c>
      <c r="Q4589" s="159">
        <f t="shared" si="754"/>
        <v>4</v>
      </c>
      <c r="R4589" s="160">
        <f t="shared" si="755"/>
        <v>2.9833333334536292</v>
      </c>
      <c r="S4589" s="158">
        <f t="shared" si="756"/>
        <v>0.69286628281744556</v>
      </c>
      <c r="T4589" s="161">
        <f t="shared" si="757"/>
        <v>333.96154831800874</v>
      </c>
      <c r="U4589" s="158">
        <f t="shared" si="759"/>
        <v>111.94241842610364</v>
      </c>
      <c r="V4589" s="160">
        <f t="shared" si="758"/>
        <v>112</v>
      </c>
    </row>
    <row r="4590" spans="1:22" x14ac:dyDescent="0.25">
      <c r="A4590" s="98" t="s">
        <v>25</v>
      </c>
      <c r="B4590" s="98" t="s">
        <v>17</v>
      </c>
      <c r="C4590" s="98">
        <v>63</v>
      </c>
      <c r="D4590" s="98">
        <v>3412</v>
      </c>
      <c r="E4590" s="157">
        <v>41743.3125</v>
      </c>
      <c r="F4590" s="157">
        <v>41743.40347222222</v>
      </c>
      <c r="G4590" s="98">
        <v>500</v>
      </c>
      <c r="H4590" s="98">
        <v>521</v>
      </c>
      <c r="I4590" s="98">
        <v>482</v>
      </c>
      <c r="J4590" s="98" t="s">
        <v>2162</v>
      </c>
      <c r="K4590" s="98" t="s">
        <v>1693</v>
      </c>
      <c r="L4590" s="105" t="str">
        <f t="shared" si="750"/>
        <v>Mill Creek</v>
      </c>
      <c r="M4590" s="105" t="str">
        <f t="shared" si="751"/>
        <v>Derate</v>
      </c>
      <c r="N4590" s="105" t="str">
        <f t="shared" si="752"/>
        <v>Coal</v>
      </c>
      <c r="O4590" s="105">
        <f>IFERROR(VLOOKUP(A4590,Lookup!$J$5:$P$19,7,FALSE),0)</f>
        <v>3</v>
      </c>
      <c r="P4590" s="159">
        <f t="shared" si="753"/>
        <v>2014</v>
      </c>
      <c r="Q4590" s="159">
        <f t="shared" si="754"/>
        <v>4</v>
      </c>
      <c r="R4590" s="160">
        <f t="shared" si="755"/>
        <v>2.1833333332906477</v>
      </c>
      <c r="S4590" s="158">
        <f t="shared" si="756"/>
        <v>8.8003838769872555E-2</v>
      </c>
      <c r="T4590" s="161">
        <f t="shared" si="757"/>
        <v>42.417850287078572</v>
      </c>
      <c r="U4590" s="158">
        <f t="shared" si="759"/>
        <v>19.428023032629557</v>
      </c>
      <c r="V4590" s="160">
        <f t="shared" si="758"/>
        <v>19</v>
      </c>
    </row>
    <row r="4591" spans="1:22" x14ac:dyDescent="0.25">
      <c r="A4591" s="98" t="s">
        <v>25</v>
      </c>
      <c r="B4591" s="98" t="s">
        <v>105</v>
      </c>
      <c r="C4591" s="98">
        <v>64</v>
      </c>
      <c r="D4591" s="98">
        <v>310</v>
      </c>
      <c r="E4591" s="157">
        <v>41746.916666666664</v>
      </c>
      <c r="F4591" s="157">
        <v>41747.142361111109</v>
      </c>
      <c r="G4591" s="98">
        <v>430</v>
      </c>
      <c r="H4591" s="98">
        <v>521</v>
      </c>
      <c r="I4591" s="98">
        <v>482</v>
      </c>
      <c r="J4591" s="98" t="s">
        <v>1966</v>
      </c>
      <c r="K4591" s="98" t="s">
        <v>115</v>
      </c>
      <c r="L4591" s="105" t="str">
        <f t="shared" si="750"/>
        <v>Mill Creek</v>
      </c>
      <c r="M4591" s="105" t="str">
        <f t="shared" si="751"/>
        <v>Derate</v>
      </c>
      <c r="N4591" s="105" t="str">
        <f t="shared" si="752"/>
        <v>Coal</v>
      </c>
      <c r="O4591" s="105">
        <f>IFERROR(VLOOKUP(A4591,Lookup!$J$5:$P$19,7,FALSE),0)</f>
        <v>3</v>
      </c>
      <c r="P4591" s="159">
        <f t="shared" si="753"/>
        <v>2014</v>
      </c>
      <c r="Q4591" s="159">
        <f t="shared" si="754"/>
        <v>4</v>
      </c>
      <c r="R4591" s="160">
        <f t="shared" si="755"/>
        <v>5.4166666666860692</v>
      </c>
      <c r="S4591" s="158">
        <f t="shared" si="756"/>
        <v>0.94609724888374724</v>
      </c>
      <c r="T4591" s="161">
        <f t="shared" si="757"/>
        <v>456.01887396196616</v>
      </c>
      <c r="U4591" s="158">
        <f t="shared" si="759"/>
        <v>84.188099808061423</v>
      </c>
      <c r="V4591" s="160">
        <f t="shared" si="758"/>
        <v>84</v>
      </c>
    </row>
    <row r="4592" spans="1:22" x14ac:dyDescent="0.25">
      <c r="A4592" s="98" t="s">
        <v>25</v>
      </c>
      <c r="B4592" s="98" t="s">
        <v>17</v>
      </c>
      <c r="C4592" s="98">
        <v>65</v>
      </c>
      <c r="D4592" s="98">
        <v>250</v>
      </c>
      <c r="E4592" s="157">
        <v>41747.388888888891</v>
      </c>
      <c r="F4592" s="157">
        <v>41747.895833333336</v>
      </c>
      <c r="G4592" s="98">
        <v>420</v>
      </c>
      <c r="H4592" s="98">
        <v>521</v>
      </c>
      <c r="I4592" s="98">
        <v>482</v>
      </c>
      <c r="J4592" s="98" t="s">
        <v>1978</v>
      </c>
      <c r="K4592" s="98" t="s">
        <v>1694</v>
      </c>
      <c r="L4592" s="105" t="str">
        <f t="shared" si="750"/>
        <v>Mill Creek</v>
      </c>
      <c r="M4592" s="105" t="str">
        <f t="shared" si="751"/>
        <v>Derate</v>
      </c>
      <c r="N4592" s="105" t="str">
        <f t="shared" si="752"/>
        <v>Coal</v>
      </c>
      <c r="O4592" s="105">
        <f>IFERROR(VLOOKUP(A4592,Lookup!$J$5:$P$19,7,FALSE),0)</f>
        <v>3</v>
      </c>
      <c r="P4592" s="159">
        <f t="shared" si="753"/>
        <v>2014</v>
      </c>
      <c r="Q4592" s="159">
        <f t="shared" si="754"/>
        <v>4</v>
      </c>
      <c r="R4592" s="160">
        <f t="shared" si="755"/>
        <v>12.166666666686069</v>
      </c>
      <c r="S4592" s="158">
        <f t="shared" si="756"/>
        <v>2.3586052463249385</v>
      </c>
      <c r="T4592" s="161">
        <f t="shared" si="757"/>
        <v>1136.8477287286203</v>
      </c>
      <c r="U4592" s="158">
        <f t="shared" si="759"/>
        <v>93.439539347408825</v>
      </c>
      <c r="V4592" s="160">
        <f t="shared" si="758"/>
        <v>93</v>
      </c>
    </row>
    <row r="4593" spans="1:22" x14ac:dyDescent="0.25">
      <c r="A4593" s="98" t="s">
        <v>25</v>
      </c>
      <c r="B4593" s="98" t="s">
        <v>79</v>
      </c>
      <c r="C4593" s="98">
        <v>66</v>
      </c>
      <c r="D4593" s="98">
        <v>1160</v>
      </c>
      <c r="E4593" s="157">
        <v>41749.892361111109</v>
      </c>
      <c r="F4593" s="157">
        <v>41750.125</v>
      </c>
      <c r="G4593" s="98">
        <v>0</v>
      </c>
      <c r="H4593" s="98">
        <v>521</v>
      </c>
      <c r="I4593" s="98">
        <v>482</v>
      </c>
      <c r="J4593" s="98" t="s">
        <v>2273</v>
      </c>
      <c r="K4593" s="98" t="s">
        <v>1411</v>
      </c>
      <c r="L4593" s="105" t="str">
        <f t="shared" si="750"/>
        <v>Mill Creek</v>
      </c>
      <c r="M4593" s="105" t="str">
        <f t="shared" si="751"/>
        <v>Other</v>
      </c>
      <c r="N4593" s="105" t="str">
        <f t="shared" si="752"/>
        <v>Coal</v>
      </c>
      <c r="O4593" s="105">
        <f>IFERROR(VLOOKUP(A4593,Lookup!$J$5:$P$19,7,FALSE),0)</f>
        <v>3</v>
      </c>
      <c r="P4593" s="159">
        <f t="shared" si="753"/>
        <v>2014</v>
      </c>
      <c r="Q4593" s="159">
        <f t="shared" si="754"/>
        <v>4</v>
      </c>
      <c r="R4593" s="160">
        <f t="shared" si="755"/>
        <v>5.5833333333721384</v>
      </c>
      <c r="S4593" s="158">
        <f t="shared" si="756"/>
        <v>5.5833333333721384</v>
      </c>
      <c r="T4593" s="161">
        <f t="shared" si="757"/>
        <v>2691.1666666853707</v>
      </c>
      <c r="U4593" s="158">
        <f t="shared" si="759"/>
        <v>482</v>
      </c>
      <c r="V4593" s="160">
        <f t="shared" si="758"/>
        <v>482</v>
      </c>
    </row>
    <row r="4594" spans="1:22" x14ac:dyDescent="0.25">
      <c r="A4594" s="98" t="s">
        <v>25</v>
      </c>
      <c r="B4594" s="98" t="s">
        <v>105</v>
      </c>
      <c r="C4594" s="98">
        <v>67</v>
      </c>
      <c r="D4594" s="98">
        <v>350</v>
      </c>
      <c r="E4594" s="157">
        <v>41750.958333333336</v>
      </c>
      <c r="F4594" s="157">
        <v>41751.015972222223</v>
      </c>
      <c r="G4594" s="98">
        <v>420</v>
      </c>
      <c r="H4594" s="98">
        <v>521</v>
      </c>
      <c r="I4594" s="98">
        <v>482</v>
      </c>
      <c r="J4594" s="98" t="s">
        <v>1976</v>
      </c>
      <c r="K4594" s="98" t="s">
        <v>1695</v>
      </c>
      <c r="L4594" s="105" t="str">
        <f t="shared" si="750"/>
        <v>Mill Creek</v>
      </c>
      <c r="M4594" s="105" t="str">
        <f t="shared" si="751"/>
        <v>Derate</v>
      </c>
      <c r="N4594" s="105" t="str">
        <f t="shared" si="752"/>
        <v>Coal</v>
      </c>
      <c r="O4594" s="105">
        <f>IFERROR(VLOOKUP(A4594,Lookup!$J$5:$P$19,7,FALSE),0)</f>
        <v>3</v>
      </c>
      <c r="P4594" s="159">
        <f t="shared" si="753"/>
        <v>2014</v>
      </c>
      <c r="Q4594" s="159">
        <f t="shared" si="754"/>
        <v>4</v>
      </c>
      <c r="R4594" s="160">
        <f t="shared" si="755"/>
        <v>1.3833333333022892</v>
      </c>
      <c r="S4594" s="158">
        <f t="shared" si="756"/>
        <v>0.26817018553460886</v>
      </c>
      <c r="T4594" s="161">
        <f t="shared" si="757"/>
        <v>129.25802942768146</v>
      </c>
      <c r="U4594" s="158">
        <f t="shared" si="759"/>
        <v>93.439539347408825</v>
      </c>
      <c r="V4594" s="160">
        <f t="shared" si="758"/>
        <v>93</v>
      </c>
    </row>
    <row r="4595" spans="1:22" x14ac:dyDescent="0.25">
      <c r="A4595" s="98" t="s">
        <v>25</v>
      </c>
      <c r="B4595" s="98" t="s">
        <v>105</v>
      </c>
      <c r="C4595" s="98">
        <v>68</v>
      </c>
      <c r="D4595" s="98">
        <v>310</v>
      </c>
      <c r="E4595" s="157">
        <v>41751.916666666664</v>
      </c>
      <c r="F4595" s="157">
        <v>41752.166666666664</v>
      </c>
      <c r="G4595" s="98">
        <v>430</v>
      </c>
      <c r="H4595" s="98">
        <v>521</v>
      </c>
      <c r="I4595" s="98">
        <v>482</v>
      </c>
      <c r="J4595" s="98" t="s">
        <v>1966</v>
      </c>
      <c r="K4595" s="98" t="s">
        <v>115</v>
      </c>
      <c r="L4595" s="105" t="str">
        <f t="shared" si="750"/>
        <v>Mill Creek</v>
      </c>
      <c r="M4595" s="105" t="str">
        <f t="shared" si="751"/>
        <v>Derate</v>
      </c>
      <c r="N4595" s="105" t="str">
        <f t="shared" si="752"/>
        <v>Coal</v>
      </c>
      <c r="O4595" s="105">
        <f>IFERROR(VLOOKUP(A4595,Lookup!$J$5:$P$19,7,FALSE),0)</f>
        <v>3</v>
      </c>
      <c r="P4595" s="159">
        <f t="shared" si="753"/>
        <v>2014</v>
      </c>
      <c r="Q4595" s="159">
        <f t="shared" si="754"/>
        <v>4</v>
      </c>
      <c r="R4595" s="160">
        <f t="shared" si="755"/>
        <v>6</v>
      </c>
      <c r="S4595" s="158">
        <f t="shared" si="756"/>
        <v>1.0479846449136276</v>
      </c>
      <c r="T4595" s="161">
        <f t="shared" si="757"/>
        <v>505.12859884836854</v>
      </c>
      <c r="U4595" s="158">
        <f t="shared" si="759"/>
        <v>84.188099808061423</v>
      </c>
      <c r="V4595" s="160">
        <f t="shared" si="758"/>
        <v>84</v>
      </c>
    </row>
    <row r="4596" spans="1:22" x14ac:dyDescent="0.25">
      <c r="A4596" s="98" t="s">
        <v>25</v>
      </c>
      <c r="B4596" s="98" t="s">
        <v>17</v>
      </c>
      <c r="C4596" s="98">
        <v>69</v>
      </c>
      <c r="D4596" s="98">
        <v>310</v>
      </c>
      <c r="E4596" s="162">
        <v>41752.166666666664</v>
      </c>
      <c r="F4596" s="157">
        <v>41752.427083333336</v>
      </c>
      <c r="G4596" s="98">
        <v>430</v>
      </c>
      <c r="H4596" s="98">
        <v>521</v>
      </c>
      <c r="I4596" s="98">
        <v>482</v>
      </c>
      <c r="J4596" s="98" t="s">
        <v>1966</v>
      </c>
      <c r="K4596" s="98" t="s">
        <v>1696</v>
      </c>
      <c r="L4596" s="105" t="str">
        <f t="shared" si="750"/>
        <v>Mill Creek</v>
      </c>
      <c r="M4596" s="105" t="str">
        <f t="shared" si="751"/>
        <v>Derate</v>
      </c>
      <c r="N4596" s="105" t="str">
        <f t="shared" si="752"/>
        <v>Coal</v>
      </c>
      <c r="O4596" s="105">
        <f>IFERROR(VLOOKUP(A4596,Lookup!$J$5:$P$19,7,FALSE),0)</f>
        <v>3</v>
      </c>
      <c r="P4596" s="159">
        <f t="shared" si="753"/>
        <v>2014</v>
      </c>
      <c r="Q4596" s="159">
        <f t="shared" si="754"/>
        <v>4</v>
      </c>
      <c r="R4596" s="160">
        <f t="shared" si="755"/>
        <v>6.2500000001164153</v>
      </c>
      <c r="S4596" s="158">
        <f t="shared" si="756"/>
        <v>1.0916506718053625</v>
      </c>
      <c r="T4596" s="161">
        <f t="shared" si="757"/>
        <v>526.17562381018467</v>
      </c>
      <c r="U4596" s="158">
        <f t="shared" si="759"/>
        <v>84.188099808061423</v>
      </c>
      <c r="V4596" s="160">
        <f t="shared" si="758"/>
        <v>84</v>
      </c>
    </row>
    <row r="4597" spans="1:22" x14ac:dyDescent="0.25">
      <c r="A4597" s="98" t="s">
        <v>25</v>
      </c>
      <c r="B4597" s="98" t="s">
        <v>17</v>
      </c>
      <c r="C4597" s="98">
        <v>70</v>
      </c>
      <c r="D4597" s="98">
        <v>310</v>
      </c>
      <c r="E4597" s="162">
        <v>41752.427083333336</v>
      </c>
      <c r="F4597" s="157">
        <v>41752.513888888891</v>
      </c>
      <c r="G4597" s="98">
        <v>512</v>
      </c>
      <c r="H4597" s="98">
        <v>521</v>
      </c>
      <c r="I4597" s="98">
        <v>482</v>
      </c>
      <c r="J4597" s="98" t="s">
        <v>1966</v>
      </c>
      <c r="K4597" s="98" t="s">
        <v>1697</v>
      </c>
      <c r="L4597" s="105" t="str">
        <f t="shared" si="750"/>
        <v>Mill Creek</v>
      </c>
      <c r="M4597" s="105" t="str">
        <f t="shared" si="751"/>
        <v>Derate</v>
      </c>
      <c r="N4597" s="105" t="str">
        <f t="shared" si="752"/>
        <v>Coal</v>
      </c>
      <c r="O4597" s="105">
        <f>IFERROR(VLOOKUP(A4597,Lookup!$J$5:$P$19,7,FALSE),0)</f>
        <v>3</v>
      </c>
      <c r="P4597" s="159">
        <f t="shared" si="753"/>
        <v>2014</v>
      </c>
      <c r="Q4597" s="159">
        <f t="shared" si="754"/>
        <v>4</v>
      </c>
      <c r="R4597" s="160">
        <f t="shared" si="755"/>
        <v>2.0833333333139308</v>
      </c>
      <c r="S4597" s="158">
        <f t="shared" si="756"/>
        <v>3.598848368488556E-2</v>
      </c>
      <c r="T4597" s="161">
        <f t="shared" si="757"/>
        <v>17.346449136114838</v>
      </c>
      <c r="U4597" s="158">
        <f t="shared" si="759"/>
        <v>8.3262955854126677</v>
      </c>
      <c r="V4597" s="160">
        <f t="shared" si="758"/>
        <v>8</v>
      </c>
    </row>
    <row r="4598" spans="1:22" x14ac:dyDescent="0.25">
      <c r="A4598" s="98" t="s">
        <v>25</v>
      </c>
      <c r="B4598" s="98" t="s">
        <v>79</v>
      </c>
      <c r="C4598" s="98">
        <v>71</v>
      </c>
      <c r="D4598" s="98">
        <v>1160</v>
      </c>
      <c r="E4598" s="157">
        <v>41755.916666666664</v>
      </c>
      <c r="F4598" s="157">
        <v>41756.3125</v>
      </c>
      <c r="G4598" s="98">
        <v>0</v>
      </c>
      <c r="H4598" s="98">
        <v>521</v>
      </c>
      <c r="I4598" s="98">
        <v>482</v>
      </c>
      <c r="J4598" s="98" t="s">
        <v>2273</v>
      </c>
      <c r="K4598" s="98" t="s">
        <v>1411</v>
      </c>
      <c r="L4598" s="105" t="str">
        <f t="shared" si="750"/>
        <v>Mill Creek</v>
      </c>
      <c r="M4598" s="105" t="str">
        <f t="shared" si="751"/>
        <v>Other</v>
      </c>
      <c r="N4598" s="105" t="str">
        <f t="shared" si="752"/>
        <v>Coal</v>
      </c>
      <c r="O4598" s="105">
        <f>IFERROR(VLOOKUP(A4598,Lookup!$J$5:$P$19,7,FALSE),0)</f>
        <v>3</v>
      </c>
      <c r="P4598" s="159">
        <f t="shared" si="753"/>
        <v>2014</v>
      </c>
      <c r="Q4598" s="159">
        <f t="shared" si="754"/>
        <v>4</v>
      </c>
      <c r="R4598" s="160">
        <f t="shared" si="755"/>
        <v>9.5000000000582077</v>
      </c>
      <c r="S4598" s="158">
        <f t="shared" si="756"/>
        <v>9.5000000000582077</v>
      </c>
      <c r="T4598" s="161">
        <f t="shared" si="757"/>
        <v>4579.0000000280561</v>
      </c>
      <c r="U4598" s="158">
        <f t="shared" si="759"/>
        <v>482</v>
      </c>
      <c r="V4598" s="160">
        <f t="shared" si="758"/>
        <v>482</v>
      </c>
    </row>
    <row r="4599" spans="1:22" x14ac:dyDescent="0.25">
      <c r="A4599" s="98" t="s">
        <v>25</v>
      </c>
      <c r="B4599" s="98" t="s">
        <v>17</v>
      </c>
      <c r="C4599" s="98">
        <v>72</v>
      </c>
      <c r="D4599" s="98">
        <v>3149</v>
      </c>
      <c r="E4599" s="157">
        <v>41756.583333333336</v>
      </c>
      <c r="F4599" s="157">
        <v>41756.666666666664</v>
      </c>
      <c r="G4599" s="98">
        <v>475</v>
      </c>
      <c r="H4599" s="98">
        <v>521</v>
      </c>
      <c r="I4599" s="98">
        <v>482</v>
      </c>
      <c r="J4599" s="98" t="s">
        <v>2034</v>
      </c>
      <c r="K4599" s="98" t="s">
        <v>1698</v>
      </c>
      <c r="L4599" s="105" t="str">
        <f t="shared" si="750"/>
        <v>Mill Creek</v>
      </c>
      <c r="M4599" s="105" t="str">
        <f t="shared" si="751"/>
        <v>Derate</v>
      </c>
      <c r="N4599" s="105" t="str">
        <f t="shared" si="752"/>
        <v>Coal</v>
      </c>
      <c r="O4599" s="105">
        <f>IFERROR(VLOOKUP(A4599,Lookup!$J$5:$P$19,7,FALSE),0)</f>
        <v>3</v>
      </c>
      <c r="P4599" s="159">
        <f t="shared" si="753"/>
        <v>2014</v>
      </c>
      <c r="Q4599" s="159">
        <f t="shared" si="754"/>
        <v>4</v>
      </c>
      <c r="R4599" s="160">
        <f t="shared" si="755"/>
        <v>1.9999999998835847</v>
      </c>
      <c r="S4599" s="158">
        <f t="shared" si="756"/>
        <v>0.1765834932718712</v>
      </c>
      <c r="T4599" s="161">
        <f t="shared" si="757"/>
        <v>85.113243757041914</v>
      </c>
      <c r="U4599" s="158">
        <f t="shared" si="759"/>
        <v>42.55662188099808</v>
      </c>
      <c r="V4599" s="160">
        <f t="shared" si="758"/>
        <v>43</v>
      </c>
    </row>
    <row r="4600" spans="1:22" x14ac:dyDescent="0.25">
      <c r="A4600" s="98" t="s">
        <v>25</v>
      </c>
      <c r="B4600" s="98" t="s">
        <v>17</v>
      </c>
      <c r="C4600" s="98">
        <v>73</v>
      </c>
      <c r="D4600" s="98">
        <v>3149</v>
      </c>
      <c r="E4600" s="157">
        <v>41756.666666666664</v>
      </c>
      <c r="F4600" s="157">
        <v>41757.245138888888</v>
      </c>
      <c r="G4600" s="98">
        <v>500</v>
      </c>
      <c r="H4600" s="98">
        <v>521</v>
      </c>
      <c r="I4600" s="98">
        <v>482</v>
      </c>
      <c r="J4600" s="98" t="s">
        <v>2034</v>
      </c>
      <c r="K4600" s="98" t="s">
        <v>1698</v>
      </c>
      <c r="L4600" s="105" t="str">
        <f t="shared" si="750"/>
        <v>Mill Creek</v>
      </c>
      <c r="M4600" s="105" t="str">
        <f t="shared" si="751"/>
        <v>Derate</v>
      </c>
      <c r="N4600" s="105" t="str">
        <f t="shared" si="752"/>
        <v>Coal</v>
      </c>
      <c r="O4600" s="105">
        <f>IFERROR(VLOOKUP(A4600,Lookup!$J$5:$P$19,7,FALSE),0)</f>
        <v>3</v>
      </c>
      <c r="P4600" s="159">
        <f t="shared" si="753"/>
        <v>2014</v>
      </c>
      <c r="Q4600" s="159">
        <f t="shared" si="754"/>
        <v>4</v>
      </c>
      <c r="R4600" s="160">
        <f t="shared" si="755"/>
        <v>13.883333333360497</v>
      </c>
      <c r="S4600" s="158">
        <f t="shared" si="756"/>
        <v>0.55959692898382041</v>
      </c>
      <c r="T4600" s="161">
        <f t="shared" si="757"/>
        <v>269.72571977020141</v>
      </c>
      <c r="U4600" s="158">
        <f t="shared" si="759"/>
        <v>19.428023032629557</v>
      </c>
      <c r="V4600" s="160">
        <f t="shared" si="758"/>
        <v>19</v>
      </c>
    </row>
    <row r="4601" spans="1:22" x14ac:dyDescent="0.25">
      <c r="A4601" s="98" t="s">
        <v>25</v>
      </c>
      <c r="B4601" s="98" t="s">
        <v>17</v>
      </c>
      <c r="C4601" s="98">
        <v>74</v>
      </c>
      <c r="D4601" s="98">
        <v>3149</v>
      </c>
      <c r="E4601" s="157">
        <v>41757.245138888888</v>
      </c>
      <c r="F4601" s="157">
        <v>41757.354861111111</v>
      </c>
      <c r="G4601" s="98">
        <v>510</v>
      </c>
      <c r="H4601" s="98">
        <v>521</v>
      </c>
      <c r="I4601" s="98">
        <v>482</v>
      </c>
      <c r="J4601" s="98" t="s">
        <v>2034</v>
      </c>
      <c r="K4601" s="98" t="s">
        <v>1698</v>
      </c>
      <c r="L4601" s="105" t="str">
        <f t="shared" si="750"/>
        <v>Mill Creek</v>
      </c>
      <c r="M4601" s="105" t="str">
        <f t="shared" si="751"/>
        <v>Derate</v>
      </c>
      <c r="N4601" s="105" t="str">
        <f t="shared" si="752"/>
        <v>Coal</v>
      </c>
      <c r="O4601" s="105">
        <f>IFERROR(VLOOKUP(A4601,Lookup!$J$5:$P$19,7,FALSE),0)</f>
        <v>3</v>
      </c>
      <c r="P4601" s="159">
        <f t="shared" si="753"/>
        <v>2014</v>
      </c>
      <c r="Q4601" s="159">
        <f t="shared" si="754"/>
        <v>4</v>
      </c>
      <c r="R4601" s="160">
        <f t="shared" si="755"/>
        <v>2.6333333333604969</v>
      </c>
      <c r="S4601" s="158">
        <f t="shared" si="756"/>
        <v>5.559820857383007E-2</v>
      </c>
      <c r="T4601" s="161">
        <f t="shared" si="757"/>
        <v>26.798336532586095</v>
      </c>
      <c r="U4601" s="158">
        <f t="shared" si="759"/>
        <v>10.17658349328215</v>
      </c>
      <c r="V4601" s="160">
        <f t="shared" si="758"/>
        <v>10</v>
      </c>
    </row>
    <row r="4602" spans="1:22" x14ac:dyDescent="0.25">
      <c r="A4602" s="98" t="s">
        <v>25</v>
      </c>
      <c r="B4602" s="98" t="s">
        <v>17</v>
      </c>
      <c r="C4602" s="98">
        <v>75</v>
      </c>
      <c r="D4602" s="98">
        <v>3149</v>
      </c>
      <c r="E4602" s="157">
        <v>41757.409722222219</v>
      </c>
      <c r="F4602" s="157">
        <v>41757.56527777778</v>
      </c>
      <c r="G4602" s="98">
        <v>495</v>
      </c>
      <c r="H4602" s="98">
        <v>521</v>
      </c>
      <c r="I4602" s="98">
        <v>482</v>
      </c>
      <c r="J4602" s="98" t="s">
        <v>2034</v>
      </c>
      <c r="K4602" s="98" t="s">
        <v>1698</v>
      </c>
      <c r="L4602" s="105" t="str">
        <f t="shared" si="750"/>
        <v>Mill Creek</v>
      </c>
      <c r="M4602" s="105" t="str">
        <f t="shared" si="751"/>
        <v>Derate</v>
      </c>
      <c r="N4602" s="105" t="str">
        <f t="shared" si="752"/>
        <v>Coal</v>
      </c>
      <c r="O4602" s="105">
        <f>IFERROR(VLOOKUP(A4602,Lookup!$J$5:$P$19,7,FALSE),0)</f>
        <v>3</v>
      </c>
      <c r="P4602" s="159">
        <f t="shared" si="753"/>
        <v>2014</v>
      </c>
      <c r="Q4602" s="159">
        <f t="shared" si="754"/>
        <v>4</v>
      </c>
      <c r="R4602" s="160">
        <f t="shared" si="755"/>
        <v>3.7333333334536292</v>
      </c>
      <c r="S4602" s="158">
        <f t="shared" si="756"/>
        <v>0.1863083813239815</v>
      </c>
      <c r="T4602" s="161">
        <f t="shared" si="757"/>
        <v>89.800639798159082</v>
      </c>
      <c r="U4602" s="158">
        <f t="shared" si="759"/>
        <v>24.053742802303262</v>
      </c>
      <c r="V4602" s="160">
        <f t="shared" si="758"/>
        <v>24</v>
      </c>
    </row>
    <row r="4603" spans="1:22" x14ac:dyDescent="0.25">
      <c r="A4603" s="98" t="s">
        <v>25</v>
      </c>
      <c r="B4603" s="98" t="s">
        <v>105</v>
      </c>
      <c r="C4603" s="98">
        <v>76</v>
      </c>
      <c r="D4603" s="98">
        <v>1160</v>
      </c>
      <c r="E4603" s="157">
        <v>41757.958333333336</v>
      </c>
      <c r="F4603" s="157">
        <v>41758.208333333336</v>
      </c>
      <c r="G4603" s="98">
        <v>330</v>
      </c>
      <c r="H4603" s="98">
        <v>521</v>
      </c>
      <c r="I4603" s="98">
        <v>482</v>
      </c>
      <c r="J4603" s="98" t="s">
        <v>2273</v>
      </c>
      <c r="K4603" s="98" t="s">
        <v>1411</v>
      </c>
      <c r="L4603" s="105" t="str">
        <f t="shared" si="750"/>
        <v>Mill Creek</v>
      </c>
      <c r="M4603" s="105" t="str">
        <f t="shared" si="751"/>
        <v>Derate</v>
      </c>
      <c r="N4603" s="105" t="str">
        <f t="shared" si="752"/>
        <v>Coal</v>
      </c>
      <c r="O4603" s="105">
        <f>IFERROR(VLOOKUP(A4603,Lookup!$J$5:$P$19,7,FALSE),0)</f>
        <v>3</v>
      </c>
      <c r="P4603" s="159">
        <f t="shared" si="753"/>
        <v>2014</v>
      </c>
      <c r="Q4603" s="159">
        <f t="shared" si="754"/>
        <v>4</v>
      </c>
      <c r="R4603" s="160">
        <f t="shared" si="755"/>
        <v>6</v>
      </c>
      <c r="S4603" s="158">
        <f t="shared" si="756"/>
        <v>2.1996161228406912</v>
      </c>
      <c r="T4603" s="161">
        <f t="shared" si="757"/>
        <v>1060.2149712092132</v>
      </c>
      <c r="U4603" s="158">
        <f t="shared" si="759"/>
        <v>176.7024952015355</v>
      </c>
      <c r="V4603" s="160">
        <f t="shared" si="758"/>
        <v>177</v>
      </c>
    </row>
    <row r="4604" spans="1:22" x14ac:dyDescent="0.25">
      <c r="A4604" s="98" t="s">
        <v>25</v>
      </c>
      <c r="B4604" s="98" t="s">
        <v>105</v>
      </c>
      <c r="C4604" s="98">
        <v>77</v>
      </c>
      <c r="D4604" s="98">
        <v>1160</v>
      </c>
      <c r="E4604" s="157">
        <v>41758.958333333336</v>
      </c>
      <c r="F4604" s="157">
        <v>41759.050694444442</v>
      </c>
      <c r="G4604" s="98">
        <v>325</v>
      </c>
      <c r="H4604" s="98">
        <v>521</v>
      </c>
      <c r="I4604" s="98">
        <v>482</v>
      </c>
      <c r="J4604" s="98" t="s">
        <v>2273</v>
      </c>
      <c r="K4604" s="98" t="s">
        <v>1411</v>
      </c>
      <c r="L4604" s="105" t="str">
        <f t="shared" si="750"/>
        <v>Mill Creek</v>
      </c>
      <c r="M4604" s="105" t="str">
        <f t="shared" si="751"/>
        <v>Derate</v>
      </c>
      <c r="N4604" s="105" t="str">
        <f t="shared" si="752"/>
        <v>Coal</v>
      </c>
      <c r="O4604" s="105">
        <f>IFERROR(VLOOKUP(A4604,Lookup!$J$5:$P$19,7,FALSE),0)</f>
        <v>3</v>
      </c>
      <c r="P4604" s="159">
        <f t="shared" si="753"/>
        <v>2014</v>
      </c>
      <c r="Q4604" s="159">
        <f t="shared" si="754"/>
        <v>4</v>
      </c>
      <c r="R4604" s="160">
        <f t="shared" si="755"/>
        <v>2.2166666665580124</v>
      </c>
      <c r="S4604" s="158">
        <f t="shared" si="756"/>
        <v>0.8339091490314211</v>
      </c>
      <c r="T4604" s="161">
        <f t="shared" si="757"/>
        <v>401.94420983314495</v>
      </c>
      <c r="U4604" s="158">
        <f t="shared" si="759"/>
        <v>181.32821497120921</v>
      </c>
      <c r="V4604" s="160">
        <f t="shared" si="758"/>
        <v>181</v>
      </c>
    </row>
    <row r="4605" spans="1:22" x14ac:dyDescent="0.25">
      <c r="A4605" s="98" t="s">
        <v>25</v>
      </c>
      <c r="B4605" s="98" t="s">
        <v>79</v>
      </c>
      <c r="C4605" s="98">
        <v>78</v>
      </c>
      <c r="D4605" s="98">
        <v>1160</v>
      </c>
      <c r="E4605" s="157">
        <v>41759.958333333336</v>
      </c>
      <c r="F4605" s="157">
        <v>41760.208333333336</v>
      </c>
      <c r="G4605" s="98">
        <v>0</v>
      </c>
      <c r="H4605" s="98">
        <v>521</v>
      </c>
      <c r="I4605" s="98">
        <v>482</v>
      </c>
      <c r="J4605" s="98" t="s">
        <v>2273</v>
      </c>
      <c r="K4605" s="98" t="s">
        <v>1411</v>
      </c>
      <c r="L4605" s="105" t="str">
        <f t="shared" si="750"/>
        <v>Mill Creek</v>
      </c>
      <c r="M4605" s="105" t="str">
        <f t="shared" si="751"/>
        <v>Other</v>
      </c>
      <c r="N4605" s="105" t="str">
        <f t="shared" si="752"/>
        <v>Coal</v>
      </c>
      <c r="O4605" s="105">
        <f>IFERROR(VLOOKUP(A4605,Lookup!$J$5:$P$19,7,FALSE),0)</f>
        <v>3</v>
      </c>
      <c r="P4605" s="159">
        <f t="shared" si="753"/>
        <v>2014</v>
      </c>
      <c r="Q4605" s="159">
        <f t="shared" si="754"/>
        <v>4</v>
      </c>
      <c r="R4605" s="160">
        <f t="shared" si="755"/>
        <v>6</v>
      </c>
      <c r="S4605" s="158">
        <f t="shared" si="756"/>
        <v>6</v>
      </c>
      <c r="T4605" s="161">
        <f t="shared" si="757"/>
        <v>2892</v>
      </c>
      <c r="U4605" s="158">
        <f t="shared" si="759"/>
        <v>482</v>
      </c>
      <c r="V4605" s="160">
        <f t="shared" si="758"/>
        <v>482</v>
      </c>
    </row>
    <row r="4606" spans="1:22" x14ac:dyDescent="0.25">
      <c r="A4606" s="98" t="s">
        <v>25</v>
      </c>
      <c r="B4606" s="98" t="s">
        <v>79</v>
      </c>
      <c r="C4606" s="98">
        <v>79</v>
      </c>
      <c r="D4606" s="98">
        <v>1160</v>
      </c>
      <c r="E4606" s="157">
        <v>41760.927083333336</v>
      </c>
      <c r="F4606" s="157">
        <v>41761.166666666664</v>
      </c>
      <c r="G4606" s="98">
        <v>0</v>
      </c>
      <c r="H4606" s="98">
        <v>521</v>
      </c>
      <c r="I4606" s="98">
        <v>482</v>
      </c>
      <c r="J4606" s="98" t="s">
        <v>2273</v>
      </c>
      <c r="K4606" s="98" t="s">
        <v>1411</v>
      </c>
      <c r="L4606" s="105" t="str">
        <f t="shared" si="750"/>
        <v>Mill Creek</v>
      </c>
      <c r="M4606" s="105" t="str">
        <f t="shared" si="751"/>
        <v>Other</v>
      </c>
      <c r="N4606" s="105" t="str">
        <f t="shared" si="752"/>
        <v>Coal</v>
      </c>
      <c r="O4606" s="105">
        <f>IFERROR(VLOOKUP(A4606,Lookup!$J$5:$P$19,7,FALSE),0)</f>
        <v>3</v>
      </c>
      <c r="P4606" s="159">
        <f t="shared" si="753"/>
        <v>2014</v>
      </c>
      <c r="Q4606" s="159">
        <f t="shared" si="754"/>
        <v>5</v>
      </c>
      <c r="R4606" s="160">
        <f t="shared" si="755"/>
        <v>5.7499999998835847</v>
      </c>
      <c r="S4606" s="158">
        <f t="shared" si="756"/>
        <v>5.7499999998835847</v>
      </c>
      <c r="T4606" s="161">
        <f t="shared" si="757"/>
        <v>2771.4999999438878</v>
      </c>
      <c r="U4606" s="158">
        <f t="shared" si="759"/>
        <v>482</v>
      </c>
      <c r="V4606" s="160">
        <f t="shared" si="758"/>
        <v>482</v>
      </c>
    </row>
    <row r="4607" spans="1:22" x14ac:dyDescent="0.25">
      <c r="A4607" s="98" t="s">
        <v>25</v>
      </c>
      <c r="B4607" s="98" t="s">
        <v>79</v>
      </c>
      <c r="C4607" s="98">
        <v>80</v>
      </c>
      <c r="D4607" s="98">
        <v>1160</v>
      </c>
      <c r="E4607" s="157">
        <v>41761.947916666664</v>
      </c>
      <c r="F4607" s="157">
        <v>41762.11041666667</v>
      </c>
      <c r="G4607" s="98">
        <v>0</v>
      </c>
      <c r="H4607" s="98">
        <v>521</v>
      </c>
      <c r="I4607" s="98">
        <v>482</v>
      </c>
      <c r="J4607" s="98" t="s">
        <v>2273</v>
      </c>
      <c r="K4607" s="98" t="s">
        <v>1699</v>
      </c>
      <c r="L4607" s="105" t="str">
        <f t="shared" si="750"/>
        <v>Mill Creek</v>
      </c>
      <c r="M4607" s="105" t="str">
        <f t="shared" si="751"/>
        <v>Other</v>
      </c>
      <c r="N4607" s="105" t="str">
        <f t="shared" si="752"/>
        <v>Coal</v>
      </c>
      <c r="O4607" s="105">
        <f>IFERROR(VLOOKUP(A4607,Lookup!$J$5:$P$19,7,FALSE),0)</f>
        <v>3</v>
      </c>
      <c r="P4607" s="159">
        <f t="shared" si="753"/>
        <v>2014</v>
      </c>
      <c r="Q4607" s="159">
        <f t="shared" si="754"/>
        <v>5</v>
      </c>
      <c r="R4607" s="160">
        <f t="shared" si="755"/>
        <v>3.9000000001396984</v>
      </c>
      <c r="S4607" s="158">
        <f t="shared" si="756"/>
        <v>3.9000000001396984</v>
      </c>
      <c r="T4607" s="161">
        <f t="shared" si="757"/>
        <v>1879.8000000673346</v>
      </c>
      <c r="U4607" s="158">
        <f t="shared" si="759"/>
        <v>482</v>
      </c>
      <c r="V4607" s="160">
        <f t="shared" si="758"/>
        <v>482</v>
      </c>
    </row>
    <row r="4608" spans="1:22" x14ac:dyDescent="0.25">
      <c r="A4608" s="98" t="s">
        <v>25</v>
      </c>
      <c r="B4608" s="98" t="s">
        <v>17</v>
      </c>
      <c r="C4608" s="98">
        <v>81</v>
      </c>
      <c r="D4608" s="98">
        <v>360</v>
      </c>
      <c r="E4608" s="157">
        <v>41765.621527777781</v>
      </c>
      <c r="F4608" s="157">
        <v>41765.916666666664</v>
      </c>
      <c r="G4608" s="98">
        <v>420</v>
      </c>
      <c r="H4608" s="98">
        <v>521</v>
      </c>
      <c r="I4608" s="98">
        <v>482</v>
      </c>
      <c r="J4608" s="98" t="s">
        <v>229</v>
      </c>
      <c r="K4608" s="98" t="s">
        <v>1700</v>
      </c>
      <c r="L4608" s="105" t="str">
        <f t="shared" si="750"/>
        <v>Mill Creek</v>
      </c>
      <c r="M4608" s="105" t="str">
        <f t="shared" si="751"/>
        <v>Derate</v>
      </c>
      <c r="N4608" s="105" t="str">
        <f t="shared" si="752"/>
        <v>Coal</v>
      </c>
      <c r="O4608" s="105">
        <f>IFERROR(VLOOKUP(A4608,Lookup!$J$5:$P$19,7,FALSE),0)</f>
        <v>3</v>
      </c>
      <c r="P4608" s="159">
        <f t="shared" si="753"/>
        <v>2014</v>
      </c>
      <c r="Q4608" s="159">
        <f t="shared" si="754"/>
        <v>5</v>
      </c>
      <c r="R4608" s="160">
        <f t="shared" si="755"/>
        <v>7.0833333331975155</v>
      </c>
      <c r="S4608" s="158">
        <f t="shared" si="756"/>
        <v>1.3731605885853149</v>
      </c>
      <c r="T4608" s="161">
        <f t="shared" si="757"/>
        <v>661.86340369812172</v>
      </c>
      <c r="U4608" s="158">
        <f t="shared" si="759"/>
        <v>93.439539347408825</v>
      </c>
      <c r="V4608" s="160">
        <f t="shared" si="758"/>
        <v>93</v>
      </c>
    </row>
    <row r="4609" spans="1:22" x14ac:dyDescent="0.25">
      <c r="A4609" s="98" t="s">
        <v>25</v>
      </c>
      <c r="B4609" s="98" t="s">
        <v>17</v>
      </c>
      <c r="C4609" s="98">
        <v>82</v>
      </c>
      <c r="D4609" s="98">
        <v>360</v>
      </c>
      <c r="E4609" s="157">
        <v>41766.277777777781</v>
      </c>
      <c r="F4609" s="157">
        <v>41766.465277777781</v>
      </c>
      <c r="G4609" s="98">
        <v>420</v>
      </c>
      <c r="H4609" s="98">
        <v>521</v>
      </c>
      <c r="I4609" s="98">
        <v>482</v>
      </c>
      <c r="J4609" s="98" t="s">
        <v>229</v>
      </c>
      <c r="K4609" s="98" t="s">
        <v>1701</v>
      </c>
      <c r="L4609" s="105" t="str">
        <f t="shared" si="750"/>
        <v>Mill Creek</v>
      </c>
      <c r="M4609" s="105" t="str">
        <f t="shared" si="751"/>
        <v>Derate</v>
      </c>
      <c r="N4609" s="105" t="str">
        <f t="shared" si="752"/>
        <v>Coal</v>
      </c>
      <c r="O4609" s="105">
        <f>IFERROR(VLOOKUP(A4609,Lookup!$J$5:$P$19,7,FALSE),0)</f>
        <v>3</v>
      </c>
      <c r="P4609" s="159">
        <f t="shared" si="753"/>
        <v>2014</v>
      </c>
      <c r="Q4609" s="159">
        <f t="shared" si="754"/>
        <v>5</v>
      </c>
      <c r="R4609" s="160">
        <f t="shared" si="755"/>
        <v>4.5</v>
      </c>
      <c r="S4609" s="158">
        <f t="shared" si="756"/>
        <v>0.87236084452975049</v>
      </c>
      <c r="T4609" s="161">
        <f t="shared" si="757"/>
        <v>420.47792706333973</v>
      </c>
      <c r="U4609" s="158">
        <f t="shared" si="759"/>
        <v>93.439539347408825</v>
      </c>
      <c r="V4609" s="160">
        <f t="shared" si="758"/>
        <v>93</v>
      </c>
    </row>
    <row r="4610" spans="1:22" x14ac:dyDescent="0.25">
      <c r="A4610" s="98" t="s">
        <v>25</v>
      </c>
      <c r="B4610" s="98" t="s">
        <v>17</v>
      </c>
      <c r="C4610" s="98">
        <v>83</v>
      </c>
      <c r="D4610" s="98">
        <v>3149</v>
      </c>
      <c r="E4610" s="157">
        <v>41771.381944444445</v>
      </c>
      <c r="F4610" s="157">
        <v>41771.736111111109</v>
      </c>
      <c r="G4610" s="98">
        <v>500</v>
      </c>
      <c r="H4610" s="98">
        <v>521</v>
      </c>
      <c r="I4610" s="98">
        <v>482</v>
      </c>
      <c r="J4610" s="98" t="s">
        <v>2034</v>
      </c>
      <c r="K4610" s="98" t="s">
        <v>40</v>
      </c>
      <c r="L4610" s="105" t="str">
        <f t="shared" si="750"/>
        <v>Mill Creek</v>
      </c>
      <c r="M4610" s="105" t="str">
        <f t="shared" si="751"/>
        <v>Derate</v>
      </c>
      <c r="N4610" s="105" t="str">
        <f t="shared" si="752"/>
        <v>Coal</v>
      </c>
      <c r="O4610" s="105">
        <f>IFERROR(VLOOKUP(A4610,Lookup!$J$5:$P$19,7,FALSE),0)</f>
        <v>3</v>
      </c>
      <c r="P4610" s="159">
        <f t="shared" si="753"/>
        <v>2014</v>
      </c>
      <c r="Q4610" s="159">
        <f t="shared" si="754"/>
        <v>5</v>
      </c>
      <c r="R4610" s="160">
        <f t="shared" si="755"/>
        <v>8.4999999999417923</v>
      </c>
      <c r="S4610" s="158">
        <f t="shared" si="756"/>
        <v>0.34261036468095518</v>
      </c>
      <c r="T4610" s="161">
        <f t="shared" si="757"/>
        <v>165.13819577622039</v>
      </c>
      <c r="U4610" s="158">
        <f t="shared" si="759"/>
        <v>19.428023032629557</v>
      </c>
      <c r="V4610" s="160">
        <f t="shared" si="758"/>
        <v>19</v>
      </c>
    </row>
    <row r="4611" spans="1:22" x14ac:dyDescent="0.25">
      <c r="A4611" s="98" t="s">
        <v>25</v>
      </c>
      <c r="B4611" s="98" t="s">
        <v>17</v>
      </c>
      <c r="C4611" s="98">
        <v>84</v>
      </c>
      <c r="D4611" s="98">
        <v>3149</v>
      </c>
      <c r="E4611" s="157">
        <v>41771.736111111109</v>
      </c>
      <c r="F4611" s="157">
        <v>41771.867361111108</v>
      </c>
      <c r="G4611" s="98">
        <v>512</v>
      </c>
      <c r="H4611" s="98">
        <v>521</v>
      </c>
      <c r="I4611" s="98">
        <v>482</v>
      </c>
      <c r="J4611" s="98" t="s">
        <v>2034</v>
      </c>
      <c r="K4611" s="98" t="s">
        <v>40</v>
      </c>
      <c r="L4611" s="105" t="str">
        <f t="shared" si="750"/>
        <v>Mill Creek</v>
      </c>
      <c r="M4611" s="105" t="str">
        <f t="shared" si="751"/>
        <v>Derate</v>
      </c>
      <c r="N4611" s="105" t="str">
        <f t="shared" si="752"/>
        <v>Coal</v>
      </c>
      <c r="O4611" s="105">
        <f>IFERROR(VLOOKUP(A4611,Lookup!$J$5:$P$19,7,FALSE),0)</f>
        <v>3</v>
      </c>
      <c r="P4611" s="159">
        <f t="shared" si="753"/>
        <v>2014</v>
      </c>
      <c r="Q4611" s="159">
        <f t="shared" si="754"/>
        <v>5</v>
      </c>
      <c r="R4611" s="160">
        <f t="shared" si="755"/>
        <v>3.1499999999650754</v>
      </c>
      <c r="S4611" s="158">
        <f t="shared" si="756"/>
        <v>5.4414587331450437E-2</v>
      </c>
      <c r="T4611" s="161">
        <f t="shared" si="757"/>
        <v>26.227831093759111</v>
      </c>
      <c r="U4611" s="158">
        <f t="shared" si="759"/>
        <v>8.3262955854126677</v>
      </c>
      <c r="V4611" s="160">
        <f t="shared" si="758"/>
        <v>8</v>
      </c>
    </row>
    <row r="4612" spans="1:22" x14ac:dyDescent="0.25">
      <c r="A4612" s="98" t="s">
        <v>25</v>
      </c>
      <c r="B4612" s="98" t="s">
        <v>105</v>
      </c>
      <c r="C4612" s="98">
        <v>85</v>
      </c>
      <c r="D4612" s="98">
        <v>310</v>
      </c>
      <c r="E4612" s="157">
        <v>41771.936111111114</v>
      </c>
      <c r="F4612" s="157">
        <v>41772.165277777778</v>
      </c>
      <c r="G4612" s="98">
        <v>420</v>
      </c>
      <c r="H4612" s="98">
        <v>521</v>
      </c>
      <c r="I4612" s="98">
        <v>482</v>
      </c>
      <c r="J4612" s="98" t="s">
        <v>1966</v>
      </c>
      <c r="K4612" s="98" t="s">
        <v>1702</v>
      </c>
      <c r="L4612" s="105" t="str">
        <f t="shared" si="750"/>
        <v>Mill Creek</v>
      </c>
      <c r="M4612" s="105" t="str">
        <f t="shared" si="751"/>
        <v>Derate</v>
      </c>
      <c r="N4612" s="105" t="str">
        <f t="shared" si="752"/>
        <v>Coal</v>
      </c>
      <c r="O4612" s="105">
        <f>IFERROR(VLOOKUP(A4612,Lookup!$J$5:$P$19,7,FALSE),0)</f>
        <v>3</v>
      </c>
      <c r="P4612" s="159">
        <f t="shared" si="753"/>
        <v>2014</v>
      </c>
      <c r="Q4612" s="159">
        <f t="shared" si="754"/>
        <v>5</v>
      </c>
      <c r="R4612" s="160">
        <f t="shared" si="755"/>
        <v>5.4999999999417923</v>
      </c>
      <c r="S4612" s="158">
        <f t="shared" si="756"/>
        <v>1.0662188099695222</v>
      </c>
      <c r="T4612" s="161">
        <f t="shared" si="757"/>
        <v>513.91746640530971</v>
      </c>
      <c r="U4612" s="158">
        <f t="shared" si="759"/>
        <v>93.439539347408825</v>
      </c>
      <c r="V4612" s="160">
        <f t="shared" si="758"/>
        <v>93</v>
      </c>
    </row>
    <row r="4613" spans="1:22" x14ac:dyDescent="0.25">
      <c r="A4613" s="98" t="s">
        <v>25</v>
      </c>
      <c r="B4613" s="98" t="s">
        <v>17</v>
      </c>
      <c r="C4613" s="98">
        <v>86</v>
      </c>
      <c r="D4613" s="98">
        <v>3149</v>
      </c>
      <c r="E4613" s="157">
        <v>41772.520833333336</v>
      </c>
      <c r="F4613" s="157">
        <v>41773.260416666664</v>
      </c>
      <c r="G4613" s="98">
        <v>510</v>
      </c>
      <c r="H4613" s="98">
        <v>521</v>
      </c>
      <c r="I4613" s="98">
        <v>482</v>
      </c>
      <c r="J4613" s="98" t="s">
        <v>2034</v>
      </c>
      <c r="K4613" s="98" t="s">
        <v>40</v>
      </c>
      <c r="L4613" s="105" t="str">
        <f t="shared" si="750"/>
        <v>Mill Creek</v>
      </c>
      <c r="M4613" s="105" t="str">
        <f t="shared" si="751"/>
        <v>Derate</v>
      </c>
      <c r="N4613" s="105" t="str">
        <f t="shared" si="752"/>
        <v>Coal</v>
      </c>
      <c r="O4613" s="105">
        <f>IFERROR(VLOOKUP(A4613,Lookup!$J$5:$P$19,7,FALSE),0)</f>
        <v>3</v>
      </c>
      <c r="P4613" s="159">
        <f t="shared" si="753"/>
        <v>2014</v>
      </c>
      <c r="Q4613" s="159">
        <f t="shared" si="754"/>
        <v>5</v>
      </c>
      <c r="R4613" s="160">
        <f t="shared" si="755"/>
        <v>17.749999999883585</v>
      </c>
      <c r="S4613" s="158">
        <f t="shared" si="756"/>
        <v>0.37476007677297396</v>
      </c>
      <c r="T4613" s="161">
        <f t="shared" si="757"/>
        <v>180.63435700457345</v>
      </c>
      <c r="U4613" s="158">
        <f t="shared" si="759"/>
        <v>10.17658349328215</v>
      </c>
      <c r="V4613" s="160">
        <f t="shared" si="758"/>
        <v>10</v>
      </c>
    </row>
    <row r="4614" spans="1:22" x14ac:dyDescent="0.25">
      <c r="A4614" s="98" t="s">
        <v>25</v>
      </c>
      <c r="B4614" s="98" t="s">
        <v>105</v>
      </c>
      <c r="C4614" s="98">
        <v>87</v>
      </c>
      <c r="D4614" s="98">
        <v>300</v>
      </c>
      <c r="E4614" s="157">
        <v>41772.924305555556</v>
      </c>
      <c r="F4614" s="157">
        <v>41773.000694444447</v>
      </c>
      <c r="G4614" s="98">
        <v>425</v>
      </c>
      <c r="H4614" s="98">
        <v>521</v>
      </c>
      <c r="I4614" s="98">
        <v>482</v>
      </c>
      <c r="J4614" s="98" t="s">
        <v>1977</v>
      </c>
      <c r="K4614" s="98" t="s">
        <v>1703</v>
      </c>
      <c r="L4614" s="105" t="str">
        <f t="shared" si="750"/>
        <v>Mill Creek</v>
      </c>
      <c r="M4614" s="105" t="str">
        <f t="shared" si="751"/>
        <v>Derate</v>
      </c>
      <c r="N4614" s="105" t="str">
        <f t="shared" si="752"/>
        <v>Coal</v>
      </c>
      <c r="O4614" s="105">
        <f>IFERROR(VLOOKUP(A4614,Lookup!$J$5:$P$19,7,FALSE),0)</f>
        <v>3</v>
      </c>
      <c r="P4614" s="159">
        <f t="shared" si="753"/>
        <v>2014</v>
      </c>
      <c r="Q4614" s="159">
        <f t="shared" si="754"/>
        <v>5</v>
      </c>
      <c r="R4614" s="160">
        <f t="shared" si="755"/>
        <v>1.8333333333721384</v>
      </c>
      <c r="S4614" s="158">
        <f t="shared" si="756"/>
        <v>0.33781190019908885</v>
      </c>
      <c r="T4614" s="161">
        <f t="shared" si="757"/>
        <v>162.82533589596082</v>
      </c>
      <c r="U4614" s="158">
        <f t="shared" si="759"/>
        <v>88.813819577735131</v>
      </c>
      <c r="V4614" s="160">
        <f t="shared" si="758"/>
        <v>89</v>
      </c>
    </row>
    <row r="4615" spans="1:22" x14ac:dyDescent="0.25">
      <c r="A4615" s="98" t="s">
        <v>25</v>
      </c>
      <c r="B4615" s="98" t="s">
        <v>105</v>
      </c>
      <c r="C4615" s="98">
        <v>88</v>
      </c>
      <c r="D4615" s="98">
        <v>3412</v>
      </c>
      <c r="E4615" s="157">
        <v>41773.984722222223</v>
      </c>
      <c r="F4615" s="157">
        <v>41774.345833333333</v>
      </c>
      <c r="G4615" s="98">
        <v>140</v>
      </c>
      <c r="H4615" s="98">
        <v>521</v>
      </c>
      <c r="I4615" s="98">
        <v>482</v>
      </c>
      <c r="J4615" s="98" t="s">
        <v>2162</v>
      </c>
      <c r="K4615" s="98" t="s">
        <v>1704</v>
      </c>
      <c r="L4615" s="105" t="str">
        <f t="shared" si="750"/>
        <v>Mill Creek</v>
      </c>
      <c r="M4615" s="105" t="str">
        <f t="shared" si="751"/>
        <v>Derate</v>
      </c>
      <c r="N4615" s="105" t="str">
        <f t="shared" si="752"/>
        <v>Coal</v>
      </c>
      <c r="O4615" s="105">
        <f>IFERROR(VLOOKUP(A4615,Lookup!$J$5:$P$19,7,FALSE),0)</f>
        <v>3</v>
      </c>
      <c r="P4615" s="159">
        <f t="shared" si="753"/>
        <v>2014</v>
      </c>
      <c r="Q4615" s="159">
        <f t="shared" si="754"/>
        <v>5</v>
      </c>
      <c r="R4615" s="160">
        <f t="shared" si="755"/>
        <v>8.6666666666278616</v>
      </c>
      <c r="S4615" s="158">
        <f t="shared" si="756"/>
        <v>6.3378119001635609</v>
      </c>
      <c r="T4615" s="161">
        <f t="shared" si="757"/>
        <v>3054.8253358788365</v>
      </c>
      <c r="U4615" s="158">
        <f t="shared" si="759"/>
        <v>352.47984644913629</v>
      </c>
      <c r="V4615" s="160">
        <f t="shared" si="758"/>
        <v>352</v>
      </c>
    </row>
    <row r="4616" spans="1:22" x14ac:dyDescent="0.25">
      <c r="A4616" s="98" t="s">
        <v>25</v>
      </c>
      <c r="B4616" s="98" t="s">
        <v>17</v>
      </c>
      <c r="C4616" s="98">
        <v>89</v>
      </c>
      <c r="D4616" s="98">
        <v>1710</v>
      </c>
      <c r="E4616" s="157">
        <v>41779.600694444445</v>
      </c>
      <c r="F4616" s="157">
        <v>41781.347916666666</v>
      </c>
      <c r="G4616" s="98">
        <v>510</v>
      </c>
      <c r="H4616" s="98">
        <v>521</v>
      </c>
      <c r="I4616" s="98">
        <v>482</v>
      </c>
      <c r="J4616" s="98" t="s">
        <v>2020</v>
      </c>
      <c r="K4616" s="98" t="s">
        <v>718</v>
      </c>
      <c r="L4616" s="105" t="str">
        <f t="shared" si="750"/>
        <v>Mill Creek</v>
      </c>
      <c r="M4616" s="105" t="str">
        <f t="shared" si="751"/>
        <v>Derate</v>
      </c>
      <c r="N4616" s="105" t="str">
        <f t="shared" si="752"/>
        <v>Coal</v>
      </c>
      <c r="O4616" s="105">
        <f>IFERROR(VLOOKUP(A4616,Lookup!$J$5:$P$19,7,FALSE),0)</f>
        <v>3</v>
      </c>
      <c r="P4616" s="159">
        <f t="shared" si="753"/>
        <v>2014</v>
      </c>
      <c r="Q4616" s="159">
        <f t="shared" si="754"/>
        <v>5</v>
      </c>
      <c r="R4616" s="160">
        <f t="shared" si="755"/>
        <v>41.933333333290648</v>
      </c>
      <c r="S4616" s="158">
        <f t="shared" si="756"/>
        <v>0.88534868841880443</v>
      </c>
      <c r="T4616" s="161">
        <f t="shared" si="757"/>
        <v>426.73806781786374</v>
      </c>
      <c r="U4616" s="158">
        <f t="shared" si="759"/>
        <v>10.17658349328215</v>
      </c>
      <c r="V4616" s="160">
        <f t="shared" si="758"/>
        <v>10</v>
      </c>
    </row>
    <row r="4617" spans="1:22" x14ac:dyDescent="0.25">
      <c r="A4617" s="98" t="s">
        <v>25</v>
      </c>
      <c r="B4617" s="98" t="s">
        <v>17</v>
      </c>
      <c r="C4617" s="98">
        <v>90</v>
      </c>
      <c r="D4617" s="98">
        <v>3149</v>
      </c>
      <c r="E4617" s="157">
        <v>41780.564583333333</v>
      </c>
      <c r="F4617" s="157">
        <v>41780.887499999997</v>
      </c>
      <c r="G4617" s="98">
        <v>495</v>
      </c>
      <c r="H4617" s="98">
        <v>521</v>
      </c>
      <c r="I4617" s="98">
        <v>482</v>
      </c>
      <c r="J4617" s="98" t="s">
        <v>2034</v>
      </c>
      <c r="K4617" s="98" t="s">
        <v>40</v>
      </c>
      <c r="L4617" s="105" t="str">
        <f t="shared" si="750"/>
        <v>Mill Creek</v>
      </c>
      <c r="M4617" s="105" t="str">
        <f t="shared" si="751"/>
        <v>Derate</v>
      </c>
      <c r="N4617" s="105" t="str">
        <f t="shared" si="752"/>
        <v>Coal</v>
      </c>
      <c r="O4617" s="105">
        <f>IFERROR(VLOOKUP(A4617,Lookup!$J$5:$P$19,7,FALSE),0)</f>
        <v>3</v>
      </c>
      <c r="P4617" s="159">
        <f t="shared" si="753"/>
        <v>2014</v>
      </c>
      <c r="Q4617" s="159">
        <f t="shared" si="754"/>
        <v>5</v>
      </c>
      <c r="R4617" s="160">
        <f t="shared" si="755"/>
        <v>7.7499999999417923</v>
      </c>
      <c r="S4617" s="158">
        <f t="shared" si="756"/>
        <v>0.38675623800093395</v>
      </c>
      <c r="T4617" s="161">
        <f t="shared" si="757"/>
        <v>186.41650671645016</v>
      </c>
      <c r="U4617" s="158">
        <f t="shared" si="759"/>
        <v>24.053742802303262</v>
      </c>
      <c r="V4617" s="160">
        <f t="shared" si="758"/>
        <v>24</v>
      </c>
    </row>
    <row r="4618" spans="1:22" x14ac:dyDescent="0.25">
      <c r="A4618" s="98" t="s">
        <v>25</v>
      </c>
      <c r="B4618" s="98" t="s">
        <v>17</v>
      </c>
      <c r="C4618" s="98">
        <v>91</v>
      </c>
      <c r="D4618" s="98">
        <v>1710</v>
      </c>
      <c r="E4618" s="157">
        <v>41781.347916666666</v>
      </c>
      <c r="F4618" s="157">
        <v>41781.363194444442</v>
      </c>
      <c r="G4618" s="98">
        <v>513</v>
      </c>
      <c r="H4618" s="98">
        <v>521</v>
      </c>
      <c r="I4618" s="98">
        <v>482</v>
      </c>
      <c r="J4618" s="98" t="s">
        <v>2020</v>
      </c>
      <c r="K4618" s="98" t="s">
        <v>718</v>
      </c>
      <c r="L4618" s="105" t="str">
        <f t="shared" si="750"/>
        <v>Mill Creek</v>
      </c>
      <c r="M4618" s="105" t="str">
        <f t="shared" si="751"/>
        <v>Derate</v>
      </c>
      <c r="N4618" s="105" t="str">
        <f t="shared" si="752"/>
        <v>Coal</v>
      </c>
      <c r="O4618" s="105">
        <f>IFERROR(VLOOKUP(A4618,Lookup!$J$5:$P$19,7,FALSE),0)</f>
        <v>3</v>
      </c>
      <c r="P4618" s="159">
        <f t="shared" si="753"/>
        <v>2014</v>
      </c>
      <c r="Q4618" s="159">
        <f t="shared" si="754"/>
        <v>5</v>
      </c>
      <c r="R4618" s="160">
        <f t="shared" si="755"/>
        <v>0.36666666663950309</v>
      </c>
      <c r="S4618" s="158">
        <f t="shared" si="756"/>
        <v>5.6301983361152106E-3</v>
      </c>
      <c r="T4618" s="161">
        <f t="shared" si="757"/>
        <v>2.7137555980075314</v>
      </c>
      <c r="U4618" s="158">
        <f t="shared" si="759"/>
        <v>7.4011516314779273</v>
      </c>
      <c r="V4618" s="160">
        <f t="shared" si="758"/>
        <v>7</v>
      </c>
    </row>
    <row r="4619" spans="1:22" x14ac:dyDescent="0.25">
      <c r="A4619" s="98" t="s">
        <v>25</v>
      </c>
      <c r="B4619" s="98" t="s">
        <v>17</v>
      </c>
      <c r="C4619" s="98">
        <v>92</v>
      </c>
      <c r="D4619" s="98">
        <v>3149</v>
      </c>
      <c r="E4619" s="157">
        <v>41781.56527777778</v>
      </c>
      <c r="F4619" s="157">
        <v>41782.24722222222</v>
      </c>
      <c r="G4619" s="98">
        <v>508</v>
      </c>
      <c r="H4619" s="98">
        <v>521</v>
      </c>
      <c r="I4619" s="98">
        <v>482</v>
      </c>
      <c r="J4619" s="98" t="s">
        <v>2034</v>
      </c>
      <c r="K4619" s="98" t="s">
        <v>40</v>
      </c>
      <c r="L4619" s="105" t="str">
        <f t="shared" si="750"/>
        <v>Mill Creek</v>
      </c>
      <c r="M4619" s="105" t="str">
        <f t="shared" si="751"/>
        <v>Derate</v>
      </c>
      <c r="N4619" s="105" t="str">
        <f t="shared" si="752"/>
        <v>Coal</v>
      </c>
      <c r="O4619" s="105">
        <f>IFERROR(VLOOKUP(A4619,Lookup!$J$5:$P$19,7,FALSE),0)</f>
        <v>3</v>
      </c>
      <c r="P4619" s="159">
        <f t="shared" si="753"/>
        <v>2014</v>
      </c>
      <c r="Q4619" s="159">
        <f t="shared" si="754"/>
        <v>5</v>
      </c>
      <c r="R4619" s="160">
        <f t="shared" si="755"/>
        <v>16.366666666581295</v>
      </c>
      <c r="S4619" s="158">
        <f t="shared" si="756"/>
        <v>0.40838131797611676</v>
      </c>
      <c r="T4619" s="161">
        <f t="shared" si="757"/>
        <v>196.83979526448829</v>
      </c>
      <c r="U4619" s="158">
        <f t="shared" si="759"/>
        <v>12.026871401151631</v>
      </c>
      <c r="V4619" s="160">
        <f t="shared" si="758"/>
        <v>12</v>
      </c>
    </row>
    <row r="4620" spans="1:22" x14ac:dyDescent="0.25">
      <c r="A4620" s="98" t="s">
        <v>25</v>
      </c>
      <c r="B4620" s="98" t="s">
        <v>17</v>
      </c>
      <c r="C4620" s="98">
        <v>93</v>
      </c>
      <c r="D4620" s="98">
        <v>250</v>
      </c>
      <c r="E4620" s="157">
        <v>41782.24722222222</v>
      </c>
      <c r="F4620" s="157">
        <v>41782.263888888891</v>
      </c>
      <c r="G4620" s="98">
        <v>460</v>
      </c>
      <c r="H4620" s="98">
        <v>521</v>
      </c>
      <c r="I4620" s="98">
        <v>482</v>
      </c>
      <c r="J4620" s="98" t="s">
        <v>1978</v>
      </c>
      <c r="K4620" s="98" t="s">
        <v>1705</v>
      </c>
      <c r="L4620" s="105" t="str">
        <f t="shared" si="750"/>
        <v>Mill Creek</v>
      </c>
      <c r="M4620" s="105" t="str">
        <f t="shared" si="751"/>
        <v>Derate</v>
      </c>
      <c r="N4620" s="105" t="str">
        <f t="shared" si="752"/>
        <v>Coal</v>
      </c>
      <c r="O4620" s="105">
        <f>IFERROR(VLOOKUP(A4620,Lookup!$J$5:$P$19,7,FALSE),0)</f>
        <v>3</v>
      </c>
      <c r="P4620" s="159">
        <f t="shared" si="753"/>
        <v>2014</v>
      </c>
      <c r="Q4620" s="159">
        <f t="shared" si="754"/>
        <v>5</v>
      </c>
      <c r="R4620" s="160">
        <f t="shared" si="755"/>
        <v>0.40000000008149073</v>
      </c>
      <c r="S4620" s="158">
        <f t="shared" si="756"/>
        <v>4.6833013445241718E-2</v>
      </c>
      <c r="T4620" s="161">
        <f t="shared" si="757"/>
        <v>22.573512480606507</v>
      </c>
      <c r="U4620" s="158">
        <f t="shared" si="759"/>
        <v>56.433781190019197</v>
      </c>
      <c r="V4620" s="160">
        <f t="shared" si="758"/>
        <v>56</v>
      </c>
    </row>
    <row r="4621" spans="1:22" x14ac:dyDescent="0.25">
      <c r="A4621" s="98" t="s">
        <v>25</v>
      </c>
      <c r="B4621" s="98" t="s">
        <v>17</v>
      </c>
      <c r="C4621" s="98">
        <v>94</v>
      </c>
      <c r="D4621" s="98">
        <v>250</v>
      </c>
      <c r="E4621" s="157">
        <v>41782.263888888891</v>
      </c>
      <c r="F4621" s="157">
        <v>41782.327777777777</v>
      </c>
      <c r="G4621" s="98">
        <v>440</v>
      </c>
      <c r="H4621" s="98">
        <v>521</v>
      </c>
      <c r="I4621" s="98">
        <v>482</v>
      </c>
      <c r="J4621" s="98" t="s">
        <v>1978</v>
      </c>
      <c r="K4621" s="98" t="s">
        <v>1705</v>
      </c>
      <c r="L4621" s="105" t="str">
        <f t="shared" si="750"/>
        <v>Mill Creek</v>
      </c>
      <c r="M4621" s="105" t="str">
        <f t="shared" si="751"/>
        <v>Derate</v>
      </c>
      <c r="N4621" s="105" t="str">
        <f t="shared" si="752"/>
        <v>Coal</v>
      </c>
      <c r="O4621" s="105">
        <f>IFERROR(VLOOKUP(A4621,Lookup!$J$5:$P$19,7,FALSE),0)</f>
        <v>3</v>
      </c>
      <c r="P4621" s="159">
        <f t="shared" si="753"/>
        <v>2014</v>
      </c>
      <c r="Q4621" s="159">
        <f t="shared" si="754"/>
        <v>5</v>
      </c>
      <c r="R4621" s="160">
        <f t="shared" si="755"/>
        <v>1.5333333332673647</v>
      </c>
      <c r="S4621" s="158">
        <f t="shared" si="756"/>
        <v>0.23838771592064595</v>
      </c>
      <c r="T4621" s="161">
        <f t="shared" si="757"/>
        <v>114.90287907375135</v>
      </c>
      <c r="U4621" s="158">
        <f t="shared" si="759"/>
        <v>74.936660268714007</v>
      </c>
      <c r="V4621" s="160">
        <f t="shared" si="758"/>
        <v>75</v>
      </c>
    </row>
    <row r="4622" spans="1:22" x14ac:dyDescent="0.25">
      <c r="A4622" s="98" t="s">
        <v>25</v>
      </c>
      <c r="B4622" s="98" t="s">
        <v>17</v>
      </c>
      <c r="C4622" s="98">
        <v>95</v>
      </c>
      <c r="D4622" s="98">
        <v>3149</v>
      </c>
      <c r="E4622" s="157">
        <v>41785.697916666664</v>
      </c>
      <c r="F4622" s="157">
        <v>41786.9375</v>
      </c>
      <c r="G4622" s="98">
        <v>495</v>
      </c>
      <c r="H4622" s="98">
        <v>521</v>
      </c>
      <c r="I4622" s="98">
        <v>482</v>
      </c>
      <c r="J4622" s="98" t="s">
        <v>2034</v>
      </c>
      <c r="K4622" s="98" t="s">
        <v>40</v>
      </c>
      <c r="L4622" s="105" t="str">
        <f t="shared" si="750"/>
        <v>Mill Creek</v>
      </c>
      <c r="M4622" s="105" t="str">
        <f t="shared" si="751"/>
        <v>Derate</v>
      </c>
      <c r="N4622" s="105" t="str">
        <f t="shared" si="752"/>
        <v>Coal</v>
      </c>
      <c r="O4622" s="105">
        <f>IFERROR(VLOOKUP(A4622,Lookup!$J$5:$P$19,7,FALSE),0)</f>
        <v>3</v>
      </c>
      <c r="P4622" s="159">
        <f t="shared" si="753"/>
        <v>2014</v>
      </c>
      <c r="Q4622" s="159">
        <f t="shared" si="754"/>
        <v>5</v>
      </c>
      <c r="R4622" s="160">
        <f t="shared" si="755"/>
        <v>29.750000000058208</v>
      </c>
      <c r="S4622" s="158">
        <f t="shared" si="756"/>
        <v>1.484644913630544</v>
      </c>
      <c r="T4622" s="161">
        <f t="shared" si="757"/>
        <v>715.59884836992217</v>
      </c>
      <c r="U4622" s="158">
        <f t="shared" si="759"/>
        <v>24.053742802303262</v>
      </c>
      <c r="V4622" s="160">
        <f t="shared" si="758"/>
        <v>24</v>
      </c>
    </row>
    <row r="4623" spans="1:22" x14ac:dyDescent="0.25">
      <c r="A4623" s="98" t="s">
        <v>25</v>
      </c>
      <c r="B4623" s="98" t="s">
        <v>17</v>
      </c>
      <c r="C4623" s="98">
        <v>96</v>
      </c>
      <c r="D4623" s="98">
        <v>1710</v>
      </c>
      <c r="E4623" s="157">
        <v>41786.357638888891</v>
      </c>
      <c r="F4623" s="157">
        <v>41786.504861111112</v>
      </c>
      <c r="G4623" s="98">
        <v>510</v>
      </c>
      <c r="H4623" s="98">
        <v>521</v>
      </c>
      <c r="I4623" s="98">
        <v>482</v>
      </c>
      <c r="J4623" s="98" t="s">
        <v>2020</v>
      </c>
      <c r="K4623" s="98" t="s">
        <v>1660</v>
      </c>
      <c r="L4623" s="105" t="str">
        <f t="shared" si="750"/>
        <v>Mill Creek</v>
      </c>
      <c r="M4623" s="105" t="str">
        <f t="shared" si="751"/>
        <v>Derate</v>
      </c>
      <c r="N4623" s="105" t="str">
        <f t="shared" si="752"/>
        <v>Coal</v>
      </c>
      <c r="O4623" s="105">
        <f>IFERROR(VLOOKUP(A4623,Lookup!$J$5:$P$19,7,FALSE),0)</f>
        <v>3</v>
      </c>
      <c r="P4623" s="159">
        <f t="shared" si="753"/>
        <v>2014</v>
      </c>
      <c r="Q4623" s="159">
        <f t="shared" si="754"/>
        <v>5</v>
      </c>
      <c r="R4623" s="160">
        <f t="shared" si="755"/>
        <v>3.5333333333255723</v>
      </c>
      <c r="S4623" s="158">
        <f t="shared" si="756"/>
        <v>7.4600127958889248E-2</v>
      </c>
      <c r="T4623" s="161">
        <f t="shared" si="757"/>
        <v>35.957261676184615</v>
      </c>
      <c r="U4623" s="158">
        <f t="shared" si="759"/>
        <v>10.17658349328215</v>
      </c>
      <c r="V4623" s="160">
        <f t="shared" si="758"/>
        <v>10</v>
      </c>
    </row>
    <row r="4624" spans="1:22" x14ac:dyDescent="0.25">
      <c r="A4624" s="98" t="s">
        <v>25</v>
      </c>
      <c r="B4624" s="98" t="s">
        <v>17</v>
      </c>
      <c r="C4624" s="98">
        <v>97</v>
      </c>
      <c r="D4624" s="98">
        <v>3149</v>
      </c>
      <c r="E4624" s="157">
        <v>41786.504861111112</v>
      </c>
      <c r="F4624" s="157">
        <v>41786.714583333334</v>
      </c>
      <c r="G4624" s="98">
        <v>495</v>
      </c>
      <c r="H4624" s="98">
        <v>521</v>
      </c>
      <c r="I4624" s="98">
        <v>482</v>
      </c>
      <c r="J4624" s="98" t="s">
        <v>2034</v>
      </c>
      <c r="K4624" s="98" t="s">
        <v>40</v>
      </c>
      <c r="L4624" s="105" t="str">
        <f t="shared" si="750"/>
        <v>Mill Creek</v>
      </c>
      <c r="M4624" s="105" t="str">
        <f t="shared" si="751"/>
        <v>Derate</v>
      </c>
      <c r="N4624" s="105" t="str">
        <f t="shared" si="752"/>
        <v>Coal</v>
      </c>
      <c r="O4624" s="105">
        <f>IFERROR(VLOOKUP(A4624,Lookup!$J$5:$P$19,7,FALSE),0)</f>
        <v>3</v>
      </c>
      <c r="P4624" s="159">
        <f t="shared" si="753"/>
        <v>2014</v>
      </c>
      <c r="Q4624" s="159">
        <f t="shared" si="754"/>
        <v>5</v>
      </c>
      <c r="R4624" s="160">
        <f t="shared" si="755"/>
        <v>5.0333333333255723</v>
      </c>
      <c r="S4624" s="158">
        <f t="shared" si="756"/>
        <v>0.2511836212408155</v>
      </c>
      <c r="T4624" s="161">
        <f t="shared" si="757"/>
        <v>121.07050543807307</v>
      </c>
      <c r="U4624" s="158">
        <f t="shared" si="759"/>
        <v>24.053742802303262</v>
      </c>
      <c r="V4624" s="160">
        <f t="shared" si="758"/>
        <v>24</v>
      </c>
    </row>
    <row r="4625" spans="1:22" x14ac:dyDescent="0.25">
      <c r="A4625" s="98" t="s">
        <v>25</v>
      </c>
      <c r="B4625" s="98" t="s">
        <v>17</v>
      </c>
      <c r="C4625" s="98">
        <v>98</v>
      </c>
      <c r="D4625" s="98">
        <v>3149</v>
      </c>
      <c r="E4625" s="157">
        <v>41786.714583333334</v>
      </c>
      <c r="F4625" s="157">
        <v>41786.76458333333</v>
      </c>
      <c r="G4625" s="98">
        <v>510</v>
      </c>
      <c r="H4625" s="98">
        <v>521</v>
      </c>
      <c r="I4625" s="98">
        <v>482</v>
      </c>
      <c r="J4625" s="98" t="s">
        <v>2034</v>
      </c>
      <c r="K4625" s="98" t="s">
        <v>40</v>
      </c>
      <c r="L4625" s="105" t="str">
        <f t="shared" si="750"/>
        <v>Mill Creek</v>
      </c>
      <c r="M4625" s="105" t="str">
        <f t="shared" si="751"/>
        <v>Derate</v>
      </c>
      <c r="N4625" s="105" t="str">
        <f t="shared" si="752"/>
        <v>Coal</v>
      </c>
      <c r="O4625" s="105">
        <f>IFERROR(VLOOKUP(A4625,Lookup!$J$5:$P$19,7,FALSE),0)</f>
        <v>3</v>
      </c>
      <c r="P4625" s="159">
        <f t="shared" si="753"/>
        <v>2014</v>
      </c>
      <c r="Q4625" s="159">
        <f t="shared" si="754"/>
        <v>5</v>
      </c>
      <c r="R4625" s="160">
        <f t="shared" si="755"/>
        <v>1.1999999998952262</v>
      </c>
      <c r="S4625" s="158">
        <f t="shared" si="756"/>
        <v>2.5335892512183281E-2</v>
      </c>
      <c r="T4625" s="161">
        <f t="shared" si="757"/>
        <v>12.211900190872342</v>
      </c>
      <c r="U4625" s="158">
        <f t="shared" si="759"/>
        <v>10.17658349328215</v>
      </c>
      <c r="V4625" s="160">
        <f t="shared" si="758"/>
        <v>10</v>
      </c>
    </row>
    <row r="4626" spans="1:22" x14ac:dyDescent="0.25">
      <c r="A4626" s="98" t="s">
        <v>25</v>
      </c>
      <c r="B4626" s="98" t="s">
        <v>17</v>
      </c>
      <c r="C4626" s="98">
        <v>99</v>
      </c>
      <c r="D4626" s="98">
        <v>3149</v>
      </c>
      <c r="E4626" s="157">
        <v>41786.76458333333</v>
      </c>
      <c r="F4626" s="157">
        <v>41786.893055555556</v>
      </c>
      <c r="G4626" s="98">
        <v>495</v>
      </c>
      <c r="H4626" s="98">
        <v>521</v>
      </c>
      <c r="I4626" s="98">
        <v>482</v>
      </c>
      <c r="J4626" s="98" t="s">
        <v>2034</v>
      </c>
      <c r="K4626" s="98" t="s">
        <v>40</v>
      </c>
      <c r="L4626" s="105" t="str">
        <f t="shared" si="750"/>
        <v>Mill Creek</v>
      </c>
      <c r="M4626" s="105" t="str">
        <f t="shared" si="751"/>
        <v>Derate</v>
      </c>
      <c r="N4626" s="105" t="str">
        <f t="shared" si="752"/>
        <v>Coal</v>
      </c>
      <c r="O4626" s="105">
        <f>IFERROR(VLOOKUP(A4626,Lookup!$J$5:$P$19,7,FALSE),0)</f>
        <v>3</v>
      </c>
      <c r="P4626" s="159">
        <f t="shared" si="753"/>
        <v>2014</v>
      </c>
      <c r="Q4626" s="159">
        <f t="shared" si="754"/>
        <v>5</v>
      </c>
      <c r="R4626" s="160">
        <f t="shared" si="755"/>
        <v>3.0833333334303461</v>
      </c>
      <c r="S4626" s="158">
        <f t="shared" si="756"/>
        <v>0.15387076136120728</v>
      </c>
      <c r="T4626" s="161">
        <f t="shared" si="757"/>
        <v>74.165706976101916</v>
      </c>
      <c r="U4626" s="158">
        <f t="shared" si="759"/>
        <v>24.053742802303262</v>
      </c>
      <c r="V4626" s="160">
        <f t="shared" si="758"/>
        <v>24</v>
      </c>
    </row>
    <row r="4627" spans="1:22" x14ac:dyDescent="0.25">
      <c r="A4627" s="98" t="s">
        <v>25</v>
      </c>
      <c r="B4627" s="98" t="s">
        <v>17</v>
      </c>
      <c r="C4627" s="98">
        <v>100</v>
      </c>
      <c r="D4627" s="98">
        <v>1710</v>
      </c>
      <c r="E4627" s="157">
        <v>41786.893055555556</v>
      </c>
      <c r="F4627" s="157">
        <v>41787.48541666667</v>
      </c>
      <c r="G4627" s="98">
        <v>510</v>
      </c>
      <c r="H4627" s="98">
        <v>521</v>
      </c>
      <c r="I4627" s="98">
        <v>482</v>
      </c>
      <c r="J4627" s="98" t="s">
        <v>2020</v>
      </c>
      <c r="K4627" s="98" t="s">
        <v>1660</v>
      </c>
      <c r="L4627" s="105" t="str">
        <f t="shared" si="750"/>
        <v>Mill Creek</v>
      </c>
      <c r="M4627" s="105" t="str">
        <f t="shared" si="751"/>
        <v>Derate</v>
      </c>
      <c r="N4627" s="105" t="str">
        <f t="shared" si="752"/>
        <v>Coal</v>
      </c>
      <c r="O4627" s="105">
        <f>IFERROR(VLOOKUP(A4627,Lookup!$J$5:$P$19,7,FALSE),0)</f>
        <v>3</v>
      </c>
      <c r="P4627" s="159">
        <f t="shared" si="753"/>
        <v>2014</v>
      </c>
      <c r="Q4627" s="159">
        <f t="shared" si="754"/>
        <v>5</v>
      </c>
      <c r="R4627" s="160">
        <f t="shared" si="755"/>
        <v>14.216666666732635</v>
      </c>
      <c r="S4627" s="158">
        <f t="shared" si="756"/>
        <v>0.30015994881777158</v>
      </c>
      <c r="T4627" s="161">
        <f t="shared" si="757"/>
        <v>144.67709533016591</v>
      </c>
      <c r="U4627" s="158">
        <f t="shared" si="759"/>
        <v>10.17658349328215</v>
      </c>
      <c r="V4627" s="160">
        <f t="shared" si="758"/>
        <v>10</v>
      </c>
    </row>
    <row r="4628" spans="1:22" x14ac:dyDescent="0.25">
      <c r="A4628" s="98" t="s">
        <v>25</v>
      </c>
      <c r="B4628" s="98" t="s">
        <v>17</v>
      </c>
      <c r="C4628" s="98">
        <v>101</v>
      </c>
      <c r="D4628" s="98">
        <v>3149</v>
      </c>
      <c r="E4628" s="157">
        <v>41787.48541666667</v>
      </c>
      <c r="F4628" s="157">
        <v>41787.627083333333</v>
      </c>
      <c r="G4628" s="98">
        <v>495</v>
      </c>
      <c r="H4628" s="98">
        <v>521</v>
      </c>
      <c r="I4628" s="98">
        <v>482</v>
      </c>
      <c r="J4628" s="98" t="s">
        <v>2034</v>
      </c>
      <c r="K4628" s="98" t="s">
        <v>40</v>
      </c>
      <c r="L4628" s="105" t="str">
        <f t="shared" si="750"/>
        <v>Mill Creek</v>
      </c>
      <c r="M4628" s="105" t="str">
        <f t="shared" si="751"/>
        <v>Derate</v>
      </c>
      <c r="N4628" s="105" t="str">
        <f t="shared" si="752"/>
        <v>Coal</v>
      </c>
      <c r="O4628" s="105">
        <f>IFERROR(VLOOKUP(A4628,Lookup!$J$5:$P$19,7,FALSE),0)</f>
        <v>3</v>
      </c>
      <c r="P4628" s="159">
        <f t="shared" si="753"/>
        <v>2014</v>
      </c>
      <c r="Q4628" s="159">
        <f t="shared" si="754"/>
        <v>5</v>
      </c>
      <c r="R4628" s="160">
        <f t="shared" si="755"/>
        <v>3.3999999999068677</v>
      </c>
      <c r="S4628" s="158">
        <f t="shared" si="756"/>
        <v>0.16967370440993965</v>
      </c>
      <c r="T4628" s="161">
        <f t="shared" si="757"/>
        <v>81.782725525590905</v>
      </c>
      <c r="U4628" s="158">
        <f t="shared" si="759"/>
        <v>24.053742802303262</v>
      </c>
      <c r="V4628" s="160">
        <f t="shared" si="758"/>
        <v>24</v>
      </c>
    </row>
    <row r="4629" spans="1:22" x14ac:dyDescent="0.25">
      <c r="A4629" s="98" t="s">
        <v>25</v>
      </c>
      <c r="B4629" s="98" t="s">
        <v>17</v>
      </c>
      <c r="C4629" s="98">
        <v>102</v>
      </c>
      <c r="D4629" s="98">
        <v>3149</v>
      </c>
      <c r="E4629" s="157">
        <v>41787.627083333333</v>
      </c>
      <c r="F4629" s="157">
        <v>41787.661805555559</v>
      </c>
      <c r="G4629" s="98">
        <v>502</v>
      </c>
      <c r="H4629" s="98">
        <v>521</v>
      </c>
      <c r="I4629" s="98">
        <v>482</v>
      </c>
      <c r="J4629" s="98" t="s">
        <v>2034</v>
      </c>
      <c r="K4629" s="98" t="s">
        <v>40</v>
      </c>
      <c r="L4629" s="105" t="str">
        <f t="shared" si="750"/>
        <v>Mill Creek</v>
      </c>
      <c r="M4629" s="105" t="str">
        <f t="shared" si="751"/>
        <v>Derate</v>
      </c>
      <c r="N4629" s="105" t="str">
        <f t="shared" si="752"/>
        <v>Coal</v>
      </c>
      <c r="O4629" s="105">
        <f>IFERROR(VLOOKUP(A4629,Lookup!$J$5:$P$19,7,FALSE),0)</f>
        <v>3</v>
      </c>
      <c r="P4629" s="159">
        <f t="shared" si="753"/>
        <v>2014</v>
      </c>
      <c r="Q4629" s="159">
        <f t="shared" si="754"/>
        <v>5</v>
      </c>
      <c r="R4629" s="160">
        <f t="shared" si="755"/>
        <v>0.8333333334303461</v>
      </c>
      <c r="S4629" s="158">
        <f t="shared" si="756"/>
        <v>3.0390275115502064E-2</v>
      </c>
      <c r="T4629" s="161">
        <f t="shared" si="757"/>
        <v>14.648112605671995</v>
      </c>
      <c r="U4629" s="158">
        <f t="shared" si="759"/>
        <v>17.577735124760078</v>
      </c>
      <c r="V4629" s="160">
        <f t="shared" si="758"/>
        <v>18</v>
      </c>
    </row>
    <row r="4630" spans="1:22" x14ac:dyDescent="0.25">
      <c r="A4630" s="98" t="s">
        <v>25</v>
      </c>
      <c r="B4630" s="98" t="s">
        <v>17</v>
      </c>
      <c r="C4630" s="98">
        <v>103</v>
      </c>
      <c r="D4630" s="98">
        <v>3149</v>
      </c>
      <c r="E4630" s="157">
        <v>41787.661805555559</v>
      </c>
      <c r="F4630" s="157">
        <v>41787.709027777775</v>
      </c>
      <c r="G4630" s="98">
        <v>492</v>
      </c>
      <c r="H4630" s="98">
        <v>521</v>
      </c>
      <c r="I4630" s="98">
        <v>482</v>
      </c>
      <c r="J4630" s="98" t="s">
        <v>2034</v>
      </c>
      <c r="K4630" s="98" t="s">
        <v>40</v>
      </c>
      <c r="L4630" s="105" t="str">
        <f t="shared" si="750"/>
        <v>Mill Creek</v>
      </c>
      <c r="M4630" s="105" t="str">
        <f t="shared" si="751"/>
        <v>Derate</v>
      </c>
      <c r="N4630" s="105" t="str">
        <f t="shared" si="752"/>
        <v>Coal</v>
      </c>
      <c r="O4630" s="105">
        <f>IFERROR(VLOOKUP(A4630,Lookup!$J$5:$P$19,7,FALSE),0)</f>
        <v>3</v>
      </c>
      <c r="P4630" s="159">
        <f t="shared" si="753"/>
        <v>2014</v>
      </c>
      <c r="Q4630" s="159">
        <f t="shared" si="754"/>
        <v>5</v>
      </c>
      <c r="R4630" s="160">
        <f t="shared" si="755"/>
        <v>1.1333333331858739</v>
      </c>
      <c r="S4630" s="158">
        <f t="shared" si="756"/>
        <v>6.3083813171574563E-2</v>
      </c>
      <c r="T4630" s="161">
        <f t="shared" si="757"/>
        <v>30.406397948698938</v>
      </c>
      <c r="U4630" s="158">
        <f t="shared" si="759"/>
        <v>26.829174664107487</v>
      </c>
      <c r="V4630" s="160">
        <f t="shared" si="758"/>
        <v>27</v>
      </c>
    </row>
    <row r="4631" spans="1:22" x14ac:dyDescent="0.25">
      <c r="A4631" s="98" t="s">
        <v>25</v>
      </c>
      <c r="B4631" s="98" t="s">
        <v>17</v>
      </c>
      <c r="C4631" s="98">
        <v>104</v>
      </c>
      <c r="D4631" s="98">
        <v>3149</v>
      </c>
      <c r="E4631" s="157">
        <v>41787.709027777775</v>
      </c>
      <c r="F4631" s="157">
        <v>41788.311805555553</v>
      </c>
      <c r="G4631" s="98">
        <v>473</v>
      </c>
      <c r="H4631" s="98">
        <v>521</v>
      </c>
      <c r="I4631" s="98">
        <v>482</v>
      </c>
      <c r="J4631" s="98" t="s">
        <v>2034</v>
      </c>
      <c r="K4631" s="98" t="s">
        <v>40</v>
      </c>
      <c r="L4631" s="105" t="str">
        <f t="shared" si="750"/>
        <v>Mill Creek</v>
      </c>
      <c r="M4631" s="105" t="str">
        <f t="shared" si="751"/>
        <v>Derate</v>
      </c>
      <c r="N4631" s="105" t="str">
        <f t="shared" si="752"/>
        <v>Coal</v>
      </c>
      <c r="O4631" s="105">
        <f>IFERROR(VLOOKUP(A4631,Lookup!$J$5:$P$19,7,FALSE),0)</f>
        <v>3</v>
      </c>
      <c r="P4631" s="159">
        <f t="shared" si="753"/>
        <v>2014</v>
      </c>
      <c r="Q4631" s="159">
        <f t="shared" si="754"/>
        <v>5</v>
      </c>
      <c r="R4631" s="160">
        <f t="shared" si="755"/>
        <v>14.466666666674428</v>
      </c>
      <c r="S4631" s="158">
        <f t="shared" si="756"/>
        <v>1.3328214971216363</v>
      </c>
      <c r="T4631" s="161">
        <f t="shared" si="757"/>
        <v>642.41996161262875</v>
      </c>
      <c r="U4631" s="158">
        <f t="shared" si="759"/>
        <v>44.406909788867566</v>
      </c>
      <c r="V4631" s="160">
        <f t="shared" si="758"/>
        <v>44</v>
      </c>
    </row>
    <row r="4632" spans="1:22" x14ac:dyDescent="0.25">
      <c r="A4632" s="98" t="s">
        <v>25</v>
      </c>
      <c r="B4632" s="98" t="s">
        <v>17</v>
      </c>
      <c r="C4632" s="98">
        <v>105</v>
      </c>
      <c r="D4632" s="98">
        <v>1710</v>
      </c>
      <c r="E4632" s="157">
        <v>41788.311805555553</v>
      </c>
      <c r="F4632" s="157">
        <v>41788.554166666669</v>
      </c>
      <c r="G4632" s="98">
        <v>515</v>
      </c>
      <c r="H4632" s="98">
        <v>521</v>
      </c>
      <c r="I4632" s="98">
        <v>482</v>
      </c>
      <c r="J4632" s="98" t="s">
        <v>2020</v>
      </c>
      <c r="K4632" s="98" t="s">
        <v>718</v>
      </c>
      <c r="L4632" s="105" t="str">
        <f t="shared" si="750"/>
        <v>Mill Creek</v>
      </c>
      <c r="M4632" s="105" t="str">
        <f t="shared" si="751"/>
        <v>Derate</v>
      </c>
      <c r="N4632" s="105" t="str">
        <f t="shared" si="752"/>
        <v>Coal</v>
      </c>
      <c r="O4632" s="105">
        <f>IFERROR(VLOOKUP(A4632,Lookup!$J$5:$P$19,7,FALSE),0)</f>
        <v>3</v>
      </c>
      <c r="P4632" s="159">
        <f t="shared" si="753"/>
        <v>2014</v>
      </c>
      <c r="Q4632" s="159">
        <f t="shared" si="754"/>
        <v>5</v>
      </c>
      <c r="R4632" s="160">
        <f t="shared" si="755"/>
        <v>5.8166666667675599</v>
      </c>
      <c r="S4632" s="158">
        <f t="shared" si="756"/>
        <v>6.6986564300586096E-2</v>
      </c>
      <c r="T4632" s="161">
        <f t="shared" si="757"/>
        <v>32.287523992882498</v>
      </c>
      <c r="U4632" s="158">
        <f t="shared" si="759"/>
        <v>5.5508637236084457</v>
      </c>
      <c r="V4632" s="160">
        <f t="shared" si="758"/>
        <v>6</v>
      </c>
    </row>
    <row r="4633" spans="1:22" x14ac:dyDescent="0.25">
      <c r="A4633" s="98" t="s">
        <v>25</v>
      </c>
      <c r="B4633" s="98" t="s">
        <v>17</v>
      </c>
      <c r="C4633" s="98">
        <v>106</v>
      </c>
      <c r="D4633" s="98">
        <v>3149</v>
      </c>
      <c r="E4633" s="157">
        <v>41788.554166666669</v>
      </c>
      <c r="F4633" s="157">
        <v>41788.662499999999</v>
      </c>
      <c r="G4633" s="98">
        <v>505</v>
      </c>
      <c r="H4633" s="98">
        <v>521</v>
      </c>
      <c r="I4633" s="98">
        <v>482</v>
      </c>
      <c r="J4633" s="98" t="s">
        <v>2034</v>
      </c>
      <c r="K4633" s="98" t="s">
        <v>40</v>
      </c>
      <c r="L4633" s="105" t="str">
        <f t="shared" si="750"/>
        <v>Mill Creek</v>
      </c>
      <c r="M4633" s="105" t="str">
        <f t="shared" si="751"/>
        <v>Derate</v>
      </c>
      <c r="N4633" s="105" t="str">
        <f t="shared" si="752"/>
        <v>Coal</v>
      </c>
      <c r="O4633" s="105">
        <f>IFERROR(VLOOKUP(A4633,Lookup!$J$5:$P$19,7,FALSE),0)</f>
        <v>3</v>
      </c>
      <c r="P4633" s="159">
        <f t="shared" si="753"/>
        <v>2014</v>
      </c>
      <c r="Q4633" s="159">
        <f t="shared" si="754"/>
        <v>5</v>
      </c>
      <c r="R4633" s="160">
        <f t="shared" si="755"/>
        <v>2.5999999999185093</v>
      </c>
      <c r="S4633" s="158">
        <f t="shared" si="756"/>
        <v>7.9846449133773797E-2</v>
      </c>
      <c r="T4633" s="161">
        <f t="shared" si="757"/>
        <v>38.485988482478973</v>
      </c>
      <c r="U4633" s="158">
        <f t="shared" si="759"/>
        <v>14.802303262955855</v>
      </c>
      <c r="V4633" s="160">
        <f t="shared" si="758"/>
        <v>15</v>
      </c>
    </row>
    <row r="4634" spans="1:22" x14ac:dyDescent="0.25">
      <c r="A4634" s="98" t="s">
        <v>25</v>
      </c>
      <c r="B4634" s="98" t="s">
        <v>17</v>
      </c>
      <c r="C4634" s="98">
        <v>107</v>
      </c>
      <c r="D4634" s="98">
        <v>3149</v>
      </c>
      <c r="E4634" s="157">
        <v>41788.662499999999</v>
      </c>
      <c r="F4634" s="157">
        <v>41789.352083333331</v>
      </c>
      <c r="G4634" s="98">
        <v>492</v>
      </c>
      <c r="H4634" s="98">
        <v>521</v>
      </c>
      <c r="I4634" s="98">
        <v>482</v>
      </c>
      <c r="J4634" s="98" t="s">
        <v>2034</v>
      </c>
      <c r="K4634" s="98" t="s">
        <v>40</v>
      </c>
      <c r="L4634" s="105" t="str">
        <f t="shared" si="750"/>
        <v>Mill Creek</v>
      </c>
      <c r="M4634" s="105" t="str">
        <f t="shared" si="751"/>
        <v>Derate</v>
      </c>
      <c r="N4634" s="105" t="str">
        <f t="shared" si="752"/>
        <v>Coal</v>
      </c>
      <c r="O4634" s="105">
        <f>IFERROR(VLOOKUP(A4634,Lookup!$J$5:$P$19,7,FALSE),0)</f>
        <v>3</v>
      </c>
      <c r="P4634" s="159">
        <f t="shared" si="753"/>
        <v>2014</v>
      </c>
      <c r="Q4634" s="159">
        <f t="shared" si="754"/>
        <v>5</v>
      </c>
      <c r="R4634" s="160">
        <f t="shared" si="755"/>
        <v>16.549999999988358</v>
      </c>
      <c r="S4634" s="158">
        <f t="shared" si="756"/>
        <v>0.92120921305117542</v>
      </c>
      <c r="T4634" s="161">
        <f t="shared" si="757"/>
        <v>444.02284069066656</v>
      </c>
      <c r="U4634" s="158">
        <f t="shared" si="759"/>
        <v>26.829174664107487</v>
      </c>
      <c r="V4634" s="160">
        <f t="shared" si="758"/>
        <v>27</v>
      </c>
    </row>
    <row r="4635" spans="1:22" x14ac:dyDescent="0.25">
      <c r="A4635" s="98" t="s">
        <v>25</v>
      </c>
      <c r="B4635" s="98" t="s">
        <v>17</v>
      </c>
      <c r="C4635" s="98">
        <v>108</v>
      </c>
      <c r="D4635" s="98">
        <v>1710</v>
      </c>
      <c r="E4635" s="157">
        <v>41789.352083333331</v>
      </c>
      <c r="F4635" s="157">
        <v>41789.402083333334</v>
      </c>
      <c r="G4635" s="98">
        <v>506</v>
      </c>
      <c r="H4635" s="98">
        <v>521</v>
      </c>
      <c r="I4635" s="98">
        <v>482</v>
      </c>
      <c r="J4635" s="98" t="s">
        <v>2020</v>
      </c>
      <c r="K4635" s="98" t="s">
        <v>718</v>
      </c>
      <c r="L4635" s="105" t="str">
        <f t="shared" si="750"/>
        <v>Mill Creek</v>
      </c>
      <c r="M4635" s="105" t="str">
        <f t="shared" si="751"/>
        <v>Derate</v>
      </c>
      <c r="N4635" s="105" t="str">
        <f t="shared" si="752"/>
        <v>Coal</v>
      </c>
      <c r="O4635" s="105">
        <f>IFERROR(VLOOKUP(A4635,Lookup!$J$5:$P$19,7,FALSE),0)</f>
        <v>3</v>
      </c>
      <c r="P4635" s="159">
        <f t="shared" si="753"/>
        <v>2014</v>
      </c>
      <c r="Q4635" s="159">
        <f t="shared" si="754"/>
        <v>5</v>
      </c>
      <c r="R4635" s="160">
        <f t="shared" si="755"/>
        <v>1.2000000000698492</v>
      </c>
      <c r="S4635" s="158">
        <f t="shared" si="756"/>
        <v>3.4548944339822911E-2</v>
      </c>
      <c r="T4635" s="161">
        <f t="shared" si="757"/>
        <v>16.652591171794644</v>
      </c>
      <c r="U4635" s="158">
        <f t="shared" si="759"/>
        <v>13.877159309021113</v>
      </c>
      <c r="V4635" s="160">
        <f t="shared" si="758"/>
        <v>14</v>
      </c>
    </row>
    <row r="4636" spans="1:22" x14ac:dyDescent="0.25">
      <c r="A4636" s="98" t="s">
        <v>25</v>
      </c>
      <c r="B4636" s="98" t="s">
        <v>17</v>
      </c>
      <c r="C4636" s="98">
        <v>109</v>
      </c>
      <c r="D4636" s="98">
        <v>3149</v>
      </c>
      <c r="E4636" s="157">
        <v>41789.402083333334</v>
      </c>
      <c r="F4636" s="157">
        <v>41789.618055555555</v>
      </c>
      <c r="G4636" s="98">
        <v>495</v>
      </c>
      <c r="H4636" s="98">
        <v>521</v>
      </c>
      <c r="I4636" s="98">
        <v>482</v>
      </c>
      <c r="J4636" s="98" t="s">
        <v>2034</v>
      </c>
      <c r="K4636" s="98" t="s">
        <v>40</v>
      </c>
      <c r="L4636" s="105" t="str">
        <f t="shared" si="750"/>
        <v>Mill Creek</v>
      </c>
      <c r="M4636" s="105" t="str">
        <f t="shared" si="751"/>
        <v>Derate</v>
      </c>
      <c r="N4636" s="105" t="str">
        <f t="shared" si="752"/>
        <v>Coal</v>
      </c>
      <c r="O4636" s="105">
        <f>IFERROR(VLOOKUP(A4636,Lookup!$J$5:$P$19,7,FALSE),0)</f>
        <v>3</v>
      </c>
      <c r="P4636" s="159">
        <f t="shared" si="753"/>
        <v>2014</v>
      </c>
      <c r="Q4636" s="159">
        <f t="shared" si="754"/>
        <v>5</v>
      </c>
      <c r="R4636" s="160">
        <f t="shared" si="755"/>
        <v>5.1833333332906477</v>
      </c>
      <c r="S4636" s="158">
        <f t="shared" si="756"/>
        <v>0.25866922584559854</v>
      </c>
      <c r="T4636" s="161">
        <f t="shared" si="757"/>
        <v>124.6785668575785</v>
      </c>
      <c r="U4636" s="158">
        <f t="shared" si="759"/>
        <v>24.053742802303262</v>
      </c>
      <c r="V4636" s="160">
        <f t="shared" si="758"/>
        <v>24</v>
      </c>
    </row>
    <row r="4637" spans="1:22" x14ac:dyDescent="0.25">
      <c r="A4637" s="98" t="s">
        <v>25</v>
      </c>
      <c r="B4637" s="98" t="s">
        <v>17</v>
      </c>
      <c r="C4637" s="98">
        <v>110</v>
      </c>
      <c r="D4637" s="98">
        <v>3149</v>
      </c>
      <c r="E4637" s="157">
        <v>41789.618055555555</v>
      </c>
      <c r="F4637" s="157">
        <v>41789.631249999999</v>
      </c>
      <c r="G4637" s="98">
        <v>490</v>
      </c>
      <c r="H4637" s="98">
        <v>521</v>
      </c>
      <c r="I4637" s="98">
        <v>482</v>
      </c>
      <c r="J4637" s="98" t="s">
        <v>2034</v>
      </c>
      <c r="K4637" s="98" t="s">
        <v>40</v>
      </c>
      <c r="L4637" s="105" t="str">
        <f t="shared" si="750"/>
        <v>Mill Creek</v>
      </c>
      <c r="M4637" s="105" t="str">
        <f t="shared" si="751"/>
        <v>Derate</v>
      </c>
      <c r="N4637" s="105" t="str">
        <f t="shared" si="752"/>
        <v>Coal</v>
      </c>
      <c r="O4637" s="105">
        <f>IFERROR(VLOOKUP(A4637,Lookup!$J$5:$P$19,7,FALSE),0)</f>
        <v>3</v>
      </c>
      <c r="P4637" s="159">
        <f t="shared" si="753"/>
        <v>2014</v>
      </c>
      <c r="Q4637" s="159">
        <f t="shared" si="754"/>
        <v>5</v>
      </c>
      <c r="R4637" s="160">
        <f t="shared" si="755"/>
        <v>0.31666666665114462</v>
      </c>
      <c r="S4637" s="158">
        <f t="shared" si="756"/>
        <v>1.884197056849421E-2</v>
      </c>
      <c r="T4637" s="161">
        <f t="shared" si="757"/>
        <v>9.0818298140142097</v>
      </c>
      <c r="U4637" s="158">
        <f t="shared" si="759"/>
        <v>28.679462571976966</v>
      </c>
      <c r="V4637" s="160">
        <f t="shared" si="758"/>
        <v>29</v>
      </c>
    </row>
    <row r="4638" spans="1:22" x14ac:dyDescent="0.25">
      <c r="A4638" s="98" t="s">
        <v>25</v>
      </c>
      <c r="B4638" s="98" t="s">
        <v>17</v>
      </c>
      <c r="C4638" s="98">
        <v>111</v>
      </c>
      <c r="D4638" s="98">
        <v>310</v>
      </c>
      <c r="E4638" s="157">
        <v>41789.631249999999</v>
      </c>
      <c r="F4638" s="157">
        <v>41789.736111111109</v>
      </c>
      <c r="G4638" s="98">
        <v>420</v>
      </c>
      <c r="H4638" s="98">
        <v>521</v>
      </c>
      <c r="I4638" s="98">
        <v>482</v>
      </c>
      <c r="J4638" s="98" t="s">
        <v>1966</v>
      </c>
      <c r="K4638" s="98" t="s">
        <v>1706</v>
      </c>
      <c r="L4638" s="105" t="str">
        <f t="shared" si="750"/>
        <v>Mill Creek</v>
      </c>
      <c r="M4638" s="105" t="str">
        <f t="shared" si="751"/>
        <v>Derate</v>
      </c>
      <c r="N4638" s="105" t="str">
        <f t="shared" si="752"/>
        <v>Coal</v>
      </c>
      <c r="O4638" s="105">
        <f>IFERROR(VLOOKUP(A4638,Lookup!$J$5:$P$19,7,FALSE),0)</f>
        <v>3</v>
      </c>
      <c r="P4638" s="159">
        <f t="shared" si="753"/>
        <v>2014</v>
      </c>
      <c r="Q4638" s="159">
        <f t="shared" si="754"/>
        <v>5</v>
      </c>
      <c r="R4638" s="160">
        <f t="shared" si="755"/>
        <v>2.5166666666627862</v>
      </c>
      <c r="S4638" s="158">
        <f t="shared" si="756"/>
        <v>0.48787587971773783</v>
      </c>
      <c r="T4638" s="161">
        <f t="shared" si="757"/>
        <v>235.15617402394963</v>
      </c>
      <c r="U4638" s="158">
        <f t="shared" si="759"/>
        <v>93.439539347408825</v>
      </c>
      <c r="V4638" s="160">
        <f t="shared" si="758"/>
        <v>93</v>
      </c>
    </row>
    <row r="4639" spans="1:22" x14ac:dyDescent="0.25">
      <c r="A4639" s="98" t="s">
        <v>25</v>
      </c>
      <c r="B4639" s="98" t="s">
        <v>17</v>
      </c>
      <c r="C4639" s="98">
        <v>112</v>
      </c>
      <c r="D4639" s="98">
        <v>3149</v>
      </c>
      <c r="E4639" s="157">
        <v>41789.736111111109</v>
      </c>
      <c r="F4639" s="157">
        <v>41789.955555555556</v>
      </c>
      <c r="G4639" s="98">
        <v>495</v>
      </c>
      <c r="H4639" s="98">
        <v>521</v>
      </c>
      <c r="I4639" s="98">
        <v>482</v>
      </c>
      <c r="J4639" s="98" t="s">
        <v>2034</v>
      </c>
      <c r="K4639" s="98" t="s">
        <v>40</v>
      </c>
      <c r="L4639" s="105" t="str">
        <f t="shared" si="750"/>
        <v>Mill Creek</v>
      </c>
      <c r="M4639" s="105" t="str">
        <f t="shared" si="751"/>
        <v>Derate</v>
      </c>
      <c r="N4639" s="105" t="str">
        <f t="shared" si="752"/>
        <v>Coal</v>
      </c>
      <c r="O4639" s="105">
        <f>IFERROR(VLOOKUP(A4639,Lookup!$J$5:$P$19,7,FALSE),0)</f>
        <v>3</v>
      </c>
      <c r="P4639" s="159">
        <f t="shared" si="753"/>
        <v>2014</v>
      </c>
      <c r="Q4639" s="159">
        <f t="shared" si="754"/>
        <v>5</v>
      </c>
      <c r="R4639" s="160">
        <f t="shared" si="755"/>
        <v>5.2666666667209938</v>
      </c>
      <c r="S4639" s="158">
        <f t="shared" si="756"/>
        <v>0.26282789507628762</v>
      </c>
      <c r="T4639" s="161">
        <f t="shared" si="757"/>
        <v>126.68304542677063</v>
      </c>
      <c r="U4639" s="158">
        <f t="shared" si="759"/>
        <v>24.053742802303262</v>
      </c>
      <c r="V4639" s="160">
        <f t="shared" si="758"/>
        <v>24</v>
      </c>
    </row>
    <row r="4640" spans="1:22" x14ac:dyDescent="0.25">
      <c r="A4640" s="98" t="s">
        <v>25</v>
      </c>
      <c r="B4640" s="98" t="s">
        <v>20</v>
      </c>
      <c r="C4640" s="98">
        <v>113</v>
      </c>
      <c r="D4640" s="98">
        <v>3113</v>
      </c>
      <c r="E4640" s="157">
        <v>41789.955555555556</v>
      </c>
      <c r="F4640" s="157">
        <v>41791.527083333334</v>
      </c>
      <c r="G4640" s="98">
        <v>0</v>
      </c>
      <c r="H4640" s="98">
        <v>521</v>
      </c>
      <c r="I4640" s="98">
        <v>482</v>
      </c>
      <c r="J4640" s="98" t="s">
        <v>2254</v>
      </c>
      <c r="K4640" s="98" t="s">
        <v>1707</v>
      </c>
      <c r="L4640" s="105" t="str">
        <f t="shared" si="750"/>
        <v>Mill Creek</v>
      </c>
      <c r="M4640" s="105" t="str">
        <f t="shared" si="751"/>
        <v>Maintenance</v>
      </c>
      <c r="N4640" s="105" t="str">
        <f t="shared" si="752"/>
        <v>Coal</v>
      </c>
      <c r="O4640" s="105">
        <f>IFERROR(VLOOKUP(A4640,Lookup!$J$5:$P$19,7,FALSE),0)</f>
        <v>3</v>
      </c>
      <c r="P4640" s="159">
        <f t="shared" si="753"/>
        <v>2014</v>
      </c>
      <c r="Q4640" s="159">
        <f t="shared" si="754"/>
        <v>5</v>
      </c>
      <c r="R4640" s="160">
        <f t="shared" si="755"/>
        <v>37.716666666674428</v>
      </c>
      <c r="S4640" s="158">
        <f t="shared" si="756"/>
        <v>37.716666666674428</v>
      </c>
      <c r="T4640" s="161">
        <f t="shared" si="757"/>
        <v>18179.433333337074</v>
      </c>
      <c r="U4640" s="158">
        <f t="shared" si="759"/>
        <v>482</v>
      </c>
      <c r="V4640" s="160">
        <f t="shared" si="758"/>
        <v>482</v>
      </c>
    </row>
    <row r="4641" spans="1:22" x14ac:dyDescent="0.25">
      <c r="A4641" s="98" t="s">
        <v>25</v>
      </c>
      <c r="B4641" s="98" t="s">
        <v>83</v>
      </c>
      <c r="C4641" s="98">
        <v>114</v>
      </c>
      <c r="D4641" s="98">
        <v>1040</v>
      </c>
      <c r="E4641" s="157">
        <v>41791.527083333334</v>
      </c>
      <c r="F4641" s="157">
        <v>41792.335416666669</v>
      </c>
      <c r="G4641" s="98">
        <v>0</v>
      </c>
      <c r="H4641" s="98">
        <v>521</v>
      </c>
      <c r="I4641" s="98">
        <v>482</v>
      </c>
      <c r="J4641" s="98" t="s">
        <v>2001</v>
      </c>
      <c r="K4641" s="98" t="s">
        <v>254</v>
      </c>
      <c r="L4641" s="105" t="str">
        <f t="shared" si="750"/>
        <v>Mill Creek</v>
      </c>
      <c r="M4641" s="105" t="str">
        <f t="shared" si="751"/>
        <v>Maintenance</v>
      </c>
      <c r="N4641" s="105" t="str">
        <f t="shared" si="752"/>
        <v>Coal</v>
      </c>
      <c r="O4641" s="105">
        <f>IFERROR(VLOOKUP(A4641,Lookup!$J$5:$P$19,7,FALSE),0)</f>
        <v>3</v>
      </c>
      <c r="P4641" s="159">
        <f t="shared" si="753"/>
        <v>2014</v>
      </c>
      <c r="Q4641" s="159">
        <f t="shared" si="754"/>
        <v>6</v>
      </c>
      <c r="R4641" s="160">
        <f t="shared" si="755"/>
        <v>19.400000000023283</v>
      </c>
      <c r="S4641" s="158">
        <f t="shared" si="756"/>
        <v>19.400000000023283</v>
      </c>
      <c r="T4641" s="161">
        <f t="shared" si="757"/>
        <v>9350.8000000112224</v>
      </c>
      <c r="U4641" s="158">
        <f t="shared" si="759"/>
        <v>482</v>
      </c>
      <c r="V4641" s="160">
        <f t="shared" si="758"/>
        <v>482</v>
      </c>
    </row>
    <row r="4642" spans="1:22" x14ac:dyDescent="0.25">
      <c r="A4642" s="98" t="s">
        <v>25</v>
      </c>
      <c r="B4642" s="98" t="s">
        <v>79</v>
      </c>
      <c r="C4642" s="98">
        <v>115</v>
      </c>
      <c r="D4642" s="98">
        <v>1850</v>
      </c>
      <c r="E4642" s="157">
        <v>41792.335416666669</v>
      </c>
      <c r="F4642" s="157">
        <v>41792.840277777781</v>
      </c>
      <c r="G4642" s="98">
        <v>0</v>
      </c>
      <c r="H4642" s="98">
        <v>521</v>
      </c>
      <c r="I4642" s="98">
        <v>482</v>
      </c>
      <c r="J4642" s="98" t="s">
        <v>2263</v>
      </c>
      <c r="K4642" s="98" t="s">
        <v>85</v>
      </c>
      <c r="L4642" s="105" t="str">
        <f t="shared" si="750"/>
        <v>Mill Creek</v>
      </c>
      <c r="M4642" s="105" t="str">
        <f t="shared" si="751"/>
        <v>Other</v>
      </c>
      <c r="N4642" s="105" t="str">
        <f t="shared" si="752"/>
        <v>Coal</v>
      </c>
      <c r="O4642" s="105">
        <f>IFERROR(VLOOKUP(A4642,Lookup!$J$5:$P$19,7,FALSE),0)</f>
        <v>3</v>
      </c>
      <c r="P4642" s="159">
        <f t="shared" si="753"/>
        <v>2014</v>
      </c>
      <c r="Q4642" s="159">
        <f t="shared" si="754"/>
        <v>6</v>
      </c>
      <c r="R4642" s="160">
        <f t="shared" si="755"/>
        <v>12.116666666697711</v>
      </c>
      <c r="S4642" s="158">
        <f t="shared" si="756"/>
        <v>12.116666666697711</v>
      </c>
      <c r="T4642" s="161">
        <f t="shared" si="757"/>
        <v>5840.2333333482966</v>
      </c>
      <c r="U4642" s="158">
        <f t="shared" si="759"/>
        <v>482</v>
      </c>
      <c r="V4642" s="160">
        <f t="shared" si="758"/>
        <v>482</v>
      </c>
    </row>
    <row r="4643" spans="1:22" x14ac:dyDescent="0.25">
      <c r="A4643" s="98" t="s">
        <v>25</v>
      </c>
      <c r="B4643" s="98" t="s">
        <v>17</v>
      </c>
      <c r="C4643" s="98">
        <v>116</v>
      </c>
      <c r="D4643" s="98">
        <v>1850</v>
      </c>
      <c r="E4643" s="157">
        <v>41792.840277777781</v>
      </c>
      <c r="F4643" s="157">
        <v>41793.075694444444</v>
      </c>
      <c r="G4643" s="98">
        <v>455</v>
      </c>
      <c r="H4643" s="98">
        <v>521</v>
      </c>
      <c r="I4643" s="98">
        <v>482</v>
      </c>
      <c r="J4643" s="98" t="s">
        <v>2263</v>
      </c>
      <c r="K4643" s="98" t="s">
        <v>41</v>
      </c>
      <c r="L4643" s="105" t="str">
        <f t="shared" si="750"/>
        <v>Mill Creek</v>
      </c>
      <c r="M4643" s="105" t="str">
        <f t="shared" si="751"/>
        <v>Derate</v>
      </c>
      <c r="N4643" s="105" t="str">
        <f t="shared" si="752"/>
        <v>Coal</v>
      </c>
      <c r="O4643" s="105">
        <f>IFERROR(VLOOKUP(A4643,Lookup!$J$5:$P$19,7,FALSE),0)</f>
        <v>3</v>
      </c>
      <c r="P4643" s="159">
        <f t="shared" si="753"/>
        <v>2014</v>
      </c>
      <c r="Q4643" s="159">
        <f t="shared" si="754"/>
        <v>6</v>
      </c>
      <c r="R4643" s="160">
        <f t="shared" si="755"/>
        <v>5.6499999999068677</v>
      </c>
      <c r="S4643" s="158">
        <f t="shared" si="756"/>
        <v>0.71573896351987187</v>
      </c>
      <c r="T4643" s="161">
        <f t="shared" si="757"/>
        <v>344.98618041657824</v>
      </c>
      <c r="U4643" s="158">
        <f t="shared" si="759"/>
        <v>61.059500959692897</v>
      </c>
      <c r="V4643" s="160">
        <f t="shared" si="758"/>
        <v>61</v>
      </c>
    </row>
    <row r="4644" spans="1:22" x14ac:dyDescent="0.25">
      <c r="A4644" s="98" t="s">
        <v>25</v>
      </c>
      <c r="B4644" s="98" t="s">
        <v>17</v>
      </c>
      <c r="C4644" s="98">
        <v>117</v>
      </c>
      <c r="D4644" s="98">
        <v>1850</v>
      </c>
      <c r="E4644" s="157">
        <v>41793.075694444444</v>
      </c>
      <c r="F4644" s="157">
        <v>41793.104861111111</v>
      </c>
      <c r="G4644" s="98">
        <v>485</v>
      </c>
      <c r="H4644" s="98">
        <v>521</v>
      </c>
      <c r="I4644" s="98">
        <v>482</v>
      </c>
      <c r="J4644" s="98" t="s">
        <v>2263</v>
      </c>
      <c r="K4644" s="98" t="s">
        <v>41</v>
      </c>
      <c r="L4644" s="105" t="str">
        <f t="shared" si="750"/>
        <v>Mill Creek</v>
      </c>
      <c r="M4644" s="105" t="str">
        <f t="shared" si="751"/>
        <v>Derate</v>
      </c>
      <c r="N4644" s="105" t="str">
        <f t="shared" si="752"/>
        <v>Coal</v>
      </c>
      <c r="O4644" s="105">
        <f>IFERROR(VLOOKUP(A4644,Lookup!$J$5:$P$19,7,FALSE),0)</f>
        <v>3</v>
      </c>
      <c r="P4644" s="159">
        <f t="shared" si="753"/>
        <v>2014</v>
      </c>
      <c r="Q4644" s="159">
        <f t="shared" si="754"/>
        <v>6</v>
      </c>
      <c r="R4644" s="160">
        <f t="shared" si="755"/>
        <v>0.70000000001164153</v>
      </c>
      <c r="S4644" s="158">
        <f t="shared" si="756"/>
        <v>4.8368522073741066E-2</v>
      </c>
      <c r="T4644" s="161">
        <f t="shared" si="757"/>
        <v>23.313627639543192</v>
      </c>
      <c r="U4644" s="158">
        <f t="shared" si="759"/>
        <v>33.305182341650671</v>
      </c>
      <c r="V4644" s="160">
        <f t="shared" si="758"/>
        <v>33</v>
      </c>
    </row>
    <row r="4645" spans="1:22" x14ac:dyDescent="0.25">
      <c r="A4645" s="98" t="s">
        <v>25</v>
      </c>
      <c r="B4645" s="98" t="s">
        <v>17</v>
      </c>
      <c r="C4645" s="98">
        <v>118</v>
      </c>
      <c r="D4645" s="98">
        <v>1710</v>
      </c>
      <c r="E4645" s="157">
        <v>41793.531944444447</v>
      </c>
      <c r="F4645" s="157">
        <v>41795.552777777775</v>
      </c>
      <c r="G4645" s="98">
        <v>501</v>
      </c>
      <c r="H4645" s="98">
        <v>521</v>
      </c>
      <c r="I4645" s="98">
        <v>482</v>
      </c>
      <c r="J4645" s="98" t="s">
        <v>2020</v>
      </c>
      <c r="K4645" s="98" t="s">
        <v>718</v>
      </c>
      <c r="L4645" s="105" t="str">
        <f t="shared" ref="L4645:L4708" si="760">IF(OR(A4645="BR1",A4645="BR2",A4645="BR3",A4645="BR5",A4645="BR6",A4645="BR7",A4645="BR8",A4645="BR9",A4645="BR10",A4645="BR11"),"Brown",IF(OR(A4645="CR4",A4645="CR5",A4645="CR6",A4645="CR11"),"Cane Run",IF(OR(A4645="GH1",A4645="GH2",A4645="GH3",A4645="GH4"),"Ghent",IF(OR(A4645="GR3",A4645="GR4"),"Green River",IF(OR(A4645="MC1",A4645="MC2",A4645="MC3",A4645="MC4"),"Mill Creek",IF(OR(A4645="TC1",A4645="TC2",A4645="TC5",A4645="TC6",A4645="TC7",A4645="TC8",A4645="TC9",A4645="TC10"),"Trimble",IF(A4645="TY3","Tyrone",IF(OR(A4645="HA1",A4645="HA2",A4645="HA3"),"Haeflin",IF(OR(A4645="PR11",A4645="PR12",A4645="PR13"),"Paddy's Run","Zorn")))))))))</f>
        <v>Mill Creek</v>
      </c>
      <c r="M4645" s="105" t="str">
        <f t="shared" ref="M4645:M4708" si="761">IF(OR(B4645="D1",B4645="D2",B4645="D3",B4645="D4",B4645="PD"),"Derate",IF(OR(B4645="SF",B4645="U1",B4645="U2",B4645="U3"),"Outage",IF(OR(B4645="ME",B4645="MO"),"Maintenance","Other")))</f>
        <v>Derate</v>
      </c>
      <c r="N4645" s="105" t="str">
        <f t="shared" ref="N4645:N4708" si="762">IF(OR(A4645="BR1",A4645="BR2",A4645="BR3",A4645="CR4",A4645="CR5",A4645="CR6",A4645="GH1",A4645="GH2",A4645="GH3",A4645="GH4",A4645="GR3",A4645="GR4",A4645="MC1",A4645="MC2",A4645="MC3",A4645="MC4",A4645="TC1",A4645="TC2",A4645="TY3"),"Coal","Gas")</f>
        <v>Coal</v>
      </c>
      <c r="O4645" s="105">
        <f>IFERROR(VLOOKUP(A4645,Lookup!$J$5:$P$19,7,FALSE),0)</f>
        <v>3</v>
      </c>
      <c r="P4645" s="159">
        <f t="shared" ref="P4645:P4708" si="763">YEAR(E4645)</f>
        <v>2014</v>
      </c>
      <c r="Q4645" s="159">
        <f t="shared" ref="Q4645:Q4708" si="764">MONTH(E4645)</f>
        <v>6</v>
      </c>
      <c r="R4645" s="160">
        <f t="shared" ref="R4645:R4708" si="765">(F4645-E4645)*24</f>
        <v>48.499999999883585</v>
      </c>
      <c r="S4645" s="158">
        <f t="shared" ref="S4645:S4708" si="766">R4645*(H4645-G4645)/H4645</f>
        <v>1.8618042226442835</v>
      </c>
      <c r="T4645" s="161">
        <f t="shared" ref="T4645:T4708" si="767">S4645*I4645</f>
        <v>897.38963531454465</v>
      </c>
      <c r="U4645" s="158">
        <f t="shared" si="759"/>
        <v>18.502879078694818</v>
      </c>
      <c r="V4645" s="160">
        <f t="shared" ref="V4645:V4708" si="768">ROUND(U4645,0)</f>
        <v>19</v>
      </c>
    </row>
    <row r="4646" spans="1:22" x14ac:dyDescent="0.25">
      <c r="A4646" s="98" t="s">
        <v>25</v>
      </c>
      <c r="B4646" s="98" t="s">
        <v>17</v>
      </c>
      <c r="C4646" s="98">
        <v>119</v>
      </c>
      <c r="D4646" s="98">
        <v>1710</v>
      </c>
      <c r="E4646" s="157">
        <v>41795.552777777775</v>
      </c>
      <c r="F4646" s="157">
        <v>41798.142361111109</v>
      </c>
      <c r="G4646" s="98">
        <v>510</v>
      </c>
      <c r="H4646" s="98">
        <v>521</v>
      </c>
      <c r="I4646" s="98">
        <v>482</v>
      </c>
      <c r="J4646" s="98" t="s">
        <v>2020</v>
      </c>
      <c r="K4646" s="98" t="s">
        <v>718</v>
      </c>
      <c r="L4646" s="105" t="str">
        <f t="shared" si="760"/>
        <v>Mill Creek</v>
      </c>
      <c r="M4646" s="105" t="str">
        <f t="shared" si="761"/>
        <v>Derate</v>
      </c>
      <c r="N4646" s="105" t="str">
        <f t="shared" si="762"/>
        <v>Coal</v>
      </c>
      <c r="O4646" s="105">
        <f>IFERROR(VLOOKUP(A4646,Lookup!$J$5:$P$19,7,FALSE),0)</f>
        <v>3</v>
      </c>
      <c r="P4646" s="159">
        <f t="shared" si="763"/>
        <v>2014</v>
      </c>
      <c r="Q4646" s="159">
        <f t="shared" si="764"/>
        <v>6</v>
      </c>
      <c r="R4646" s="160">
        <f t="shared" si="765"/>
        <v>62.150000000023283</v>
      </c>
      <c r="S4646" s="158">
        <f t="shared" si="766"/>
        <v>1.3121880998085531</v>
      </c>
      <c r="T4646" s="161">
        <f t="shared" si="767"/>
        <v>632.47466410772256</v>
      </c>
      <c r="U4646" s="158">
        <f t="shared" ref="U4646:U4709" si="769">IF(G4646&gt;0,MAX((H4646-G4646),0)*I4646/H4646,I4646)</f>
        <v>10.17658349328215</v>
      </c>
      <c r="V4646" s="160">
        <f t="shared" si="768"/>
        <v>10</v>
      </c>
    </row>
    <row r="4647" spans="1:22" x14ac:dyDescent="0.25">
      <c r="A4647" s="98" t="s">
        <v>25</v>
      </c>
      <c r="B4647" s="98" t="s">
        <v>15</v>
      </c>
      <c r="C4647" s="98">
        <v>120</v>
      </c>
      <c r="D4647" s="98">
        <v>1060</v>
      </c>
      <c r="E4647" s="157">
        <v>41798.142361111109</v>
      </c>
      <c r="F4647" s="157">
        <v>41799.677083333336</v>
      </c>
      <c r="G4647" s="98">
        <v>0</v>
      </c>
      <c r="H4647" s="98">
        <v>521</v>
      </c>
      <c r="I4647" s="98">
        <v>482</v>
      </c>
      <c r="J4647" s="98" t="s">
        <v>2179</v>
      </c>
      <c r="K4647" s="98" t="s">
        <v>53</v>
      </c>
      <c r="L4647" s="105" t="str">
        <f t="shared" si="760"/>
        <v>Mill Creek</v>
      </c>
      <c r="M4647" s="105" t="str">
        <f t="shared" si="761"/>
        <v>Outage</v>
      </c>
      <c r="N4647" s="105" t="str">
        <f t="shared" si="762"/>
        <v>Coal</v>
      </c>
      <c r="O4647" s="105">
        <f>IFERROR(VLOOKUP(A4647,Lookup!$J$5:$P$19,7,FALSE),0)</f>
        <v>3</v>
      </c>
      <c r="P4647" s="159">
        <f t="shared" si="763"/>
        <v>2014</v>
      </c>
      <c r="Q4647" s="159">
        <f t="shared" si="764"/>
        <v>6</v>
      </c>
      <c r="R4647" s="160">
        <f t="shared" si="765"/>
        <v>36.833333333430346</v>
      </c>
      <c r="S4647" s="158">
        <f t="shared" si="766"/>
        <v>36.833333333430346</v>
      </c>
      <c r="T4647" s="161">
        <f t="shared" si="767"/>
        <v>17753.666666713427</v>
      </c>
      <c r="U4647" s="158">
        <f t="shared" si="769"/>
        <v>482</v>
      </c>
      <c r="V4647" s="160">
        <f t="shared" si="768"/>
        <v>482</v>
      </c>
    </row>
    <row r="4648" spans="1:22" x14ac:dyDescent="0.25">
      <c r="A4648" s="98" t="s">
        <v>25</v>
      </c>
      <c r="B4648" s="98" t="s">
        <v>20</v>
      </c>
      <c r="C4648" s="98">
        <v>121</v>
      </c>
      <c r="D4648" s="98">
        <v>360</v>
      </c>
      <c r="E4648" s="157">
        <v>41799.677083333336</v>
      </c>
      <c r="F4648" s="157">
        <v>41800.768055555556</v>
      </c>
      <c r="G4648" s="98">
        <v>0</v>
      </c>
      <c r="H4648" s="98">
        <v>521</v>
      </c>
      <c r="I4648" s="98">
        <v>482</v>
      </c>
      <c r="J4648" s="98" t="s">
        <v>229</v>
      </c>
      <c r="K4648" s="98" t="s">
        <v>1708</v>
      </c>
      <c r="L4648" s="105" t="str">
        <f t="shared" si="760"/>
        <v>Mill Creek</v>
      </c>
      <c r="M4648" s="105" t="str">
        <f t="shared" si="761"/>
        <v>Maintenance</v>
      </c>
      <c r="N4648" s="105" t="str">
        <f t="shared" si="762"/>
        <v>Coal</v>
      </c>
      <c r="O4648" s="105">
        <f>IFERROR(VLOOKUP(A4648,Lookup!$J$5:$P$19,7,FALSE),0)</f>
        <v>3</v>
      </c>
      <c r="P4648" s="159">
        <f t="shared" si="763"/>
        <v>2014</v>
      </c>
      <c r="Q4648" s="159">
        <f t="shared" si="764"/>
        <v>6</v>
      </c>
      <c r="R4648" s="160">
        <f t="shared" si="765"/>
        <v>26.183333333290648</v>
      </c>
      <c r="S4648" s="158">
        <f t="shared" si="766"/>
        <v>26.183333333290648</v>
      </c>
      <c r="T4648" s="161">
        <f t="shared" si="767"/>
        <v>12620.366666646092</v>
      </c>
      <c r="U4648" s="158">
        <f t="shared" si="769"/>
        <v>482</v>
      </c>
      <c r="V4648" s="160">
        <f t="shared" si="768"/>
        <v>482</v>
      </c>
    </row>
    <row r="4649" spans="1:22" x14ac:dyDescent="0.25">
      <c r="A4649" s="98" t="s">
        <v>25</v>
      </c>
      <c r="B4649" s="98" t="s">
        <v>17</v>
      </c>
      <c r="C4649" s="98">
        <v>122</v>
      </c>
      <c r="D4649" s="98">
        <v>1850</v>
      </c>
      <c r="E4649" s="157">
        <v>41801.274305555555</v>
      </c>
      <c r="F4649" s="157">
        <v>41801.29791666667</v>
      </c>
      <c r="G4649" s="98">
        <v>482</v>
      </c>
      <c r="H4649" s="98">
        <v>521</v>
      </c>
      <c r="I4649" s="98">
        <v>482</v>
      </c>
      <c r="J4649" s="98" t="s">
        <v>2263</v>
      </c>
      <c r="K4649" s="98" t="s">
        <v>41</v>
      </c>
      <c r="L4649" s="105" t="str">
        <f t="shared" si="760"/>
        <v>Mill Creek</v>
      </c>
      <c r="M4649" s="105" t="str">
        <f t="shared" si="761"/>
        <v>Derate</v>
      </c>
      <c r="N4649" s="105" t="str">
        <f t="shared" si="762"/>
        <v>Coal</v>
      </c>
      <c r="O4649" s="105">
        <f>IFERROR(VLOOKUP(A4649,Lookup!$J$5:$P$19,7,FALSE),0)</f>
        <v>3</v>
      </c>
      <c r="P4649" s="159">
        <f t="shared" si="763"/>
        <v>2014</v>
      </c>
      <c r="Q4649" s="159">
        <f t="shared" si="764"/>
        <v>6</v>
      </c>
      <c r="R4649" s="160">
        <f t="shared" si="765"/>
        <v>0.56666666676755995</v>
      </c>
      <c r="S4649" s="158">
        <f t="shared" si="766"/>
        <v>4.2418426111199302E-2</v>
      </c>
      <c r="T4649" s="161">
        <f t="shared" si="767"/>
        <v>20.445681385598064</v>
      </c>
      <c r="U4649" s="158">
        <f t="shared" si="769"/>
        <v>36.080614203454893</v>
      </c>
      <c r="V4649" s="160">
        <f t="shared" si="768"/>
        <v>36</v>
      </c>
    </row>
    <row r="4650" spans="1:22" x14ac:dyDescent="0.25">
      <c r="A4650" s="98" t="s">
        <v>25</v>
      </c>
      <c r="B4650" s="98" t="s">
        <v>105</v>
      </c>
      <c r="C4650" s="98">
        <v>123</v>
      </c>
      <c r="D4650" s="98">
        <v>8125</v>
      </c>
      <c r="E4650" s="157">
        <v>41801.916666666664</v>
      </c>
      <c r="F4650" s="157">
        <v>41801.986805555556</v>
      </c>
      <c r="G4650" s="98">
        <v>380</v>
      </c>
      <c r="H4650" s="98">
        <v>521</v>
      </c>
      <c r="I4650" s="98">
        <v>482</v>
      </c>
      <c r="J4650" s="98" t="s">
        <v>2267</v>
      </c>
      <c r="K4650" s="98" t="s">
        <v>1709</v>
      </c>
      <c r="L4650" s="105" t="str">
        <f t="shared" si="760"/>
        <v>Mill Creek</v>
      </c>
      <c r="M4650" s="105" t="str">
        <f t="shared" si="761"/>
        <v>Derate</v>
      </c>
      <c r="N4650" s="105" t="str">
        <f t="shared" si="762"/>
        <v>Coal</v>
      </c>
      <c r="O4650" s="105">
        <f>IFERROR(VLOOKUP(A4650,Lookup!$J$5:$P$19,7,FALSE),0)</f>
        <v>3</v>
      </c>
      <c r="P4650" s="159">
        <f t="shared" si="763"/>
        <v>2014</v>
      </c>
      <c r="Q4650" s="159">
        <f t="shared" si="764"/>
        <v>6</v>
      </c>
      <c r="R4650" s="160">
        <f t="shared" si="765"/>
        <v>1.683333333407063</v>
      </c>
      <c r="S4650" s="158">
        <f t="shared" si="766"/>
        <v>0.45556621882993453</v>
      </c>
      <c r="T4650" s="161">
        <f t="shared" si="767"/>
        <v>219.58291747602846</v>
      </c>
      <c r="U4650" s="158">
        <f t="shared" si="769"/>
        <v>130.44529750479848</v>
      </c>
      <c r="V4650" s="160">
        <f t="shared" si="768"/>
        <v>130</v>
      </c>
    </row>
    <row r="4651" spans="1:22" x14ac:dyDescent="0.25">
      <c r="A4651" s="98" t="s">
        <v>25</v>
      </c>
      <c r="B4651" s="98" t="s">
        <v>105</v>
      </c>
      <c r="C4651" s="98">
        <v>124</v>
      </c>
      <c r="D4651" s="98">
        <v>1710</v>
      </c>
      <c r="E4651" s="157">
        <v>41802.458333333336</v>
      </c>
      <c r="F4651" s="157">
        <v>41802.513888888891</v>
      </c>
      <c r="G4651" s="98">
        <v>500</v>
      </c>
      <c r="H4651" s="98">
        <v>521</v>
      </c>
      <c r="I4651" s="98">
        <v>482</v>
      </c>
      <c r="J4651" s="98" t="s">
        <v>2020</v>
      </c>
      <c r="K4651" s="98" t="s">
        <v>1660</v>
      </c>
      <c r="L4651" s="105" t="str">
        <f t="shared" si="760"/>
        <v>Mill Creek</v>
      </c>
      <c r="M4651" s="105" t="str">
        <f t="shared" si="761"/>
        <v>Derate</v>
      </c>
      <c r="N4651" s="105" t="str">
        <f t="shared" si="762"/>
        <v>Coal</v>
      </c>
      <c r="O4651" s="105">
        <f>IFERROR(VLOOKUP(A4651,Lookup!$J$5:$P$19,7,FALSE),0)</f>
        <v>3</v>
      </c>
      <c r="P4651" s="159">
        <f t="shared" si="763"/>
        <v>2014</v>
      </c>
      <c r="Q4651" s="159">
        <f t="shared" si="764"/>
        <v>6</v>
      </c>
      <c r="R4651" s="160">
        <f t="shared" si="765"/>
        <v>1.3333333333139308</v>
      </c>
      <c r="S4651" s="158">
        <f t="shared" si="766"/>
        <v>5.3742802302480894E-2</v>
      </c>
      <c r="T4651" s="161">
        <f t="shared" si="767"/>
        <v>25.904030709795791</v>
      </c>
      <c r="U4651" s="158">
        <f t="shared" si="769"/>
        <v>19.428023032629557</v>
      </c>
      <c r="V4651" s="160">
        <f t="shared" si="768"/>
        <v>19</v>
      </c>
    </row>
    <row r="4652" spans="1:22" x14ac:dyDescent="0.25">
      <c r="A4652" s="98" t="s">
        <v>25</v>
      </c>
      <c r="B4652" s="98" t="s">
        <v>17</v>
      </c>
      <c r="C4652" s="98">
        <v>125</v>
      </c>
      <c r="D4652" s="98">
        <v>800</v>
      </c>
      <c r="E4652" s="157">
        <v>41802.513888888891</v>
      </c>
      <c r="F4652" s="157">
        <v>41802.546527777777</v>
      </c>
      <c r="G4652" s="98">
        <v>415</v>
      </c>
      <c r="H4652" s="98">
        <v>521</v>
      </c>
      <c r="I4652" s="98">
        <v>482</v>
      </c>
      <c r="J4652" s="98" t="s">
        <v>2197</v>
      </c>
      <c r="K4652" s="98" t="s">
        <v>1710</v>
      </c>
      <c r="L4652" s="105" t="str">
        <f t="shared" si="760"/>
        <v>Mill Creek</v>
      </c>
      <c r="M4652" s="105" t="str">
        <f t="shared" si="761"/>
        <v>Derate</v>
      </c>
      <c r="N4652" s="105" t="str">
        <f t="shared" si="762"/>
        <v>Coal</v>
      </c>
      <c r="O4652" s="105">
        <f>IFERROR(VLOOKUP(A4652,Lookup!$J$5:$P$19,7,FALSE),0)</f>
        <v>3</v>
      </c>
      <c r="P4652" s="159">
        <f t="shared" si="763"/>
        <v>2014</v>
      </c>
      <c r="Q4652" s="159">
        <f t="shared" si="764"/>
        <v>6</v>
      </c>
      <c r="R4652" s="160">
        <f t="shared" si="765"/>
        <v>0.78333333326736465</v>
      </c>
      <c r="S4652" s="158">
        <f t="shared" si="766"/>
        <v>0.15937300062637361</v>
      </c>
      <c r="T4652" s="161">
        <f t="shared" si="767"/>
        <v>76.817786301912079</v>
      </c>
      <c r="U4652" s="158">
        <f t="shared" si="769"/>
        <v>98.065259117082533</v>
      </c>
      <c r="V4652" s="160">
        <f t="shared" si="768"/>
        <v>98</v>
      </c>
    </row>
    <row r="4653" spans="1:22" x14ac:dyDescent="0.25">
      <c r="A4653" s="98" t="s">
        <v>25</v>
      </c>
      <c r="B4653" s="98" t="s">
        <v>17</v>
      </c>
      <c r="C4653" s="98">
        <v>126</v>
      </c>
      <c r="D4653" s="98">
        <v>800</v>
      </c>
      <c r="E4653" s="157">
        <v>41802.546527777777</v>
      </c>
      <c r="F4653" s="157">
        <v>41802.640277777777</v>
      </c>
      <c r="G4653" s="98">
        <v>465</v>
      </c>
      <c r="H4653" s="98">
        <v>521</v>
      </c>
      <c r="I4653" s="98">
        <v>482</v>
      </c>
      <c r="J4653" s="98" t="s">
        <v>2197</v>
      </c>
      <c r="K4653" s="98" t="s">
        <v>1710</v>
      </c>
      <c r="L4653" s="105" t="str">
        <f t="shared" si="760"/>
        <v>Mill Creek</v>
      </c>
      <c r="M4653" s="105" t="str">
        <f t="shared" si="761"/>
        <v>Derate</v>
      </c>
      <c r="N4653" s="105" t="str">
        <f t="shared" si="762"/>
        <v>Coal</v>
      </c>
      <c r="O4653" s="105">
        <f>IFERROR(VLOOKUP(A4653,Lookup!$J$5:$P$19,7,FALSE),0)</f>
        <v>3</v>
      </c>
      <c r="P4653" s="159">
        <f t="shared" si="763"/>
        <v>2014</v>
      </c>
      <c r="Q4653" s="159">
        <f t="shared" si="764"/>
        <v>6</v>
      </c>
      <c r="R4653" s="160">
        <f t="shared" si="765"/>
        <v>2.25</v>
      </c>
      <c r="S4653" s="158">
        <f t="shared" si="766"/>
        <v>0.2418426103646833</v>
      </c>
      <c r="T4653" s="161">
        <f t="shared" si="767"/>
        <v>116.56813819577735</v>
      </c>
      <c r="U4653" s="158">
        <f t="shared" si="769"/>
        <v>51.808061420345489</v>
      </c>
      <c r="V4653" s="160">
        <f t="shared" si="768"/>
        <v>52</v>
      </c>
    </row>
    <row r="4654" spans="1:22" x14ac:dyDescent="0.25">
      <c r="A4654" s="98" t="s">
        <v>25</v>
      </c>
      <c r="B4654" s="98" t="s">
        <v>17</v>
      </c>
      <c r="C4654" s="98">
        <v>127</v>
      </c>
      <c r="D4654" s="98">
        <v>800</v>
      </c>
      <c r="E4654" s="157">
        <v>41802.640277777777</v>
      </c>
      <c r="F4654" s="157">
        <v>41802.729166666664</v>
      </c>
      <c r="G4654" s="98">
        <v>490</v>
      </c>
      <c r="H4654" s="98">
        <v>521</v>
      </c>
      <c r="I4654" s="98">
        <v>482</v>
      </c>
      <c r="J4654" s="98" t="s">
        <v>2197</v>
      </c>
      <c r="K4654" s="98" t="s">
        <v>1710</v>
      </c>
      <c r="L4654" s="105" t="str">
        <f t="shared" si="760"/>
        <v>Mill Creek</v>
      </c>
      <c r="M4654" s="105" t="str">
        <f t="shared" si="761"/>
        <v>Derate</v>
      </c>
      <c r="N4654" s="105" t="str">
        <f t="shared" si="762"/>
        <v>Coal</v>
      </c>
      <c r="O4654" s="105">
        <f>IFERROR(VLOOKUP(A4654,Lookup!$J$5:$P$19,7,FALSE),0)</f>
        <v>3</v>
      </c>
      <c r="P4654" s="159">
        <f t="shared" si="763"/>
        <v>2014</v>
      </c>
      <c r="Q4654" s="159">
        <f t="shared" si="764"/>
        <v>6</v>
      </c>
      <c r="R4654" s="160">
        <f t="shared" si="765"/>
        <v>2.1333333333022892</v>
      </c>
      <c r="S4654" s="158">
        <f t="shared" si="766"/>
        <v>0.12693538067633583</v>
      </c>
      <c r="T4654" s="161">
        <f t="shared" si="767"/>
        <v>61.182853485993874</v>
      </c>
      <c r="U4654" s="158">
        <f t="shared" si="769"/>
        <v>28.679462571976966</v>
      </c>
      <c r="V4654" s="160">
        <f t="shared" si="768"/>
        <v>29</v>
      </c>
    </row>
    <row r="4655" spans="1:22" x14ac:dyDescent="0.25">
      <c r="A4655" s="98" t="s">
        <v>25</v>
      </c>
      <c r="B4655" s="98" t="s">
        <v>17</v>
      </c>
      <c r="C4655" s="98">
        <v>128</v>
      </c>
      <c r="D4655" s="98">
        <v>1710</v>
      </c>
      <c r="E4655" s="157">
        <v>41802.729166666664</v>
      </c>
      <c r="F4655" s="157">
        <v>41802.932638888888</v>
      </c>
      <c r="G4655" s="98">
        <v>500</v>
      </c>
      <c r="H4655" s="98">
        <v>521</v>
      </c>
      <c r="I4655" s="98">
        <v>482</v>
      </c>
      <c r="J4655" s="98" t="s">
        <v>2020</v>
      </c>
      <c r="K4655" s="98" t="s">
        <v>1660</v>
      </c>
      <c r="L4655" s="105" t="str">
        <f t="shared" si="760"/>
        <v>Mill Creek</v>
      </c>
      <c r="M4655" s="105" t="str">
        <f t="shared" si="761"/>
        <v>Derate</v>
      </c>
      <c r="N4655" s="105" t="str">
        <f t="shared" si="762"/>
        <v>Coal</v>
      </c>
      <c r="O4655" s="105">
        <f>IFERROR(VLOOKUP(A4655,Lookup!$J$5:$P$19,7,FALSE),0)</f>
        <v>3</v>
      </c>
      <c r="P4655" s="159">
        <f t="shared" si="763"/>
        <v>2014</v>
      </c>
      <c r="Q4655" s="159">
        <f t="shared" si="764"/>
        <v>6</v>
      </c>
      <c r="R4655" s="160">
        <f t="shared" si="765"/>
        <v>4.8833333333604969</v>
      </c>
      <c r="S4655" s="158">
        <f t="shared" si="766"/>
        <v>0.19683301343679546</v>
      </c>
      <c r="T4655" s="161">
        <f t="shared" si="767"/>
        <v>94.87351247653541</v>
      </c>
      <c r="U4655" s="158">
        <f t="shared" si="769"/>
        <v>19.428023032629557</v>
      </c>
      <c r="V4655" s="160">
        <f t="shared" si="768"/>
        <v>19</v>
      </c>
    </row>
    <row r="4656" spans="1:22" x14ac:dyDescent="0.25">
      <c r="A4656" s="98" t="s">
        <v>25</v>
      </c>
      <c r="B4656" s="98" t="s">
        <v>105</v>
      </c>
      <c r="C4656" s="98">
        <v>129</v>
      </c>
      <c r="D4656" s="98">
        <v>260</v>
      </c>
      <c r="E4656" s="157">
        <v>41802.932638888888</v>
      </c>
      <c r="F4656" s="157">
        <v>41803.177083333336</v>
      </c>
      <c r="G4656" s="98">
        <v>430</v>
      </c>
      <c r="H4656" s="98">
        <v>521</v>
      </c>
      <c r="I4656" s="98">
        <v>482</v>
      </c>
      <c r="J4656" s="98" t="s">
        <v>1973</v>
      </c>
      <c r="K4656" s="98" t="s">
        <v>1711</v>
      </c>
      <c r="L4656" s="105" t="str">
        <f t="shared" si="760"/>
        <v>Mill Creek</v>
      </c>
      <c r="M4656" s="105" t="str">
        <f t="shared" si="761"/>
        <v>Derate</v>
      </c>
      <c r="N4656" s="105" t="str">
        <f t="shared" si="762"/>
        <v>Coal</v>
      </c>
      <c r="O4656" s="105">
        <f>IFERROR(VLOOKUP(A4656,Lookup!$J$5:$P$19,7,FALSE),0)</f>
        <v>3</v>
      </c>
      <c r="P4656" s="159">
        <f t="shared" si="763"/>
        <v>2014</v>
      </c>
      <c r="Q4656" s="159">
        <f t="shared" si="764"/>
        <v>6</v>
      </c>
      <c r="R4656" s="160">
        <f t="shared" si="765"/>
        <v>5.8666666667559184</v>
      </c>
      <c r="S4656" s="158">
        <f t="shared" si="766"/>
        <v>1.0246960972644694</v>
      </c>
      <c r="T4656" s="161">
        <f t="shared" si="767"/>
        <v>493.90351888147427</v>
      </c>
      <c r="U4656" s="158">
        <f t="shared" si="769"/>
        <v>84.188099808061423</v>
      </c>
      <c r="V4656" s="160">
        <f t="shared" si="768"/>
        <v>84</v>
      </c>
    </row>
    <row r="4657" spans="1:22" x14ac:dyDescent="0.25">
      <c r="A4657" s="98" t="s">
        <v>25</v>
      </c>
      <c r="B4657" s="98" t="s">
        <v>17</v>
      </c>
      <c r="C4657" s="98">
        <v>130</v>
      </c>
      <c r="D4657" s="98">
        <v>1710</v>
      </c>
      <c r="E4657" s="157">
        <v>41803.177083333336</v>
      </c>
      <c r="F4657" s="157">
        <v>41809.458333333336</v>
      </c>
      <c r="G4657" s="98">
        <v>500</v>
      </c>
      <c r="H4657" s="98">
        <v>521</v>
      </c>
      <c r="I4657" s="98">
        <v>482</v>
      </c>
      <c r="J4657" s="98" t="s">
        <v>2020</v>
      </c>
      <c r="K4657" s="98" t="s">
        <v>718</v>
      </c>
      <c r="L4657" s="105" t="str">
        <f t="shared" si="760"/>
        <v>Mill Creek</v>
      </c>
      <c r="M4657" s="105" t="str">
        <f t="shared" si="761"/>
        <v>Derate</v>
      </c>
      <c r="N4657" s="105" t="str">
        <f t="shared" si="762"/>
        <v>Coal</v>
      </c>
      <c r="O4657" s="105">
        <f>IFERROR(VLOOKUP(A4657,Lookup!$J$5:$P$19,7,FALSE),0)</f>
        <v>3</v>
      </c>
      <c r="P4657" s="159">
        <f t="shared" si="763"/>
        <v>2014</v>
      </c>
      <c r="Q4657" s="159">
        <f t="shared" si="764"/>
        <v>6</v>
      </c>
      <c r="R4657" s="160">
        <f t="shared" si="765"/>
        <v>150.75</v>
      </c>
      <c r="S4657" s="158">
        <f t="shared" si="766"/>
        <v>6.0762955854126677</v>
      </c>
      <c r="T4657" s="161">
        <f t="shared" si="767"/>
        <v>2928.774472168906</v>
      </c>
      <c r="U4657" s="158">
        <f t="shared" si="769"/>
        <v>19.428023032629557</v>
      </c>
      <c r="V4657" s="160">
        <f t="shared" si="768"/>
        <v>19</v>
      </c>
    </row>
    <row r="4658" spans="1:22" x14ac:dyDescent="0.25">
      <c r="A4658" s="98" t="s">
        <v>25</v>
      </c>
      <c r="B4658" s="98" t="s">
        <v>105</v>
      </c>
      <c r="C4658" s="98">
        <v>131</v>
      </c>
      <c r="D4658" s="98">
        <v>8125</v>
      </c>
      <c r="E4658" s="157">
        <v>41805.916666666664</v>
      </c>
      <c r="F4658" s="157">
        <v>41806.130555555559</v>
      </c>
      <c r="G4658" s="98">
        <v>380</v>
      </c>
      <c r="H4658" s="98">
        <v>521</v>
      </c>
      <c r="I4658" s="98">
        <v>482</v>
      </c>
      <c r="J4658" s="98" t="s">
        <v>2267</v>
      </c>
      <c r="K4658" s="98" t="s">
        <v>1712</v>
      </c>
      <c r="L4658" s="105" t="str">
        <f t="shared" si="760"/>
        <v>Mill Creek</v>
      </c>
      <c r="M4658" s="105" t="str">
        <f t="shared" si="761"/>
        <v>Derate</v>
      </c>
      <c r="N4658" s="105" t="str">
        <f t="shared" si="762"/>
        <v>Coal</v>
      </c>
      <c r="O4658" s="105">
        <f>IFERROR(VLOOKUP(A4658,Lookup!$J$5:$P$19,7,FALSE),0)</f>
        <v>3</v>
      </c>
      <c r="P4658" s="159">
        <f t="shared" si="763"/>
        <v>2014</v>
      </c>
      <c r="Q4658" s="159">
        <f t="shared" si="764"/>
        <v>6</v>
      </c>
      <c r="R4658" s="160">
        <f t="shared" si="765"/>
        <v>5.1333333334769122</v>
      </c>
      <c r="S4658" s="158">
        <f t="shared" si="766"/>
        <v>1.3892514395782047</v>
      </c>
      <c r="T4658" s="161">
        <f t="shared" si="767"/>
        <v>669.61919387669468</v>
      </c>
      <c r="U4658" s="158">
        <f t="shared" si="769"/>
        <v>130.44529750479848</v>
      </c>
      <c r="V4658" s="160">
        <f t="shared" si="768"/>
        <v>130</v>
      </c>
    </row>
    <row r="4659" spans="1:22" x14ac:dyDescent="0.25">
      <c r="A4659" s="98" t="s">
        <v>25</v>
      </c>
      <c r="B4659" s="98" t="s">
        <v>105</v>
      </c>
      <c r="C4659" s="98">
        <v>132</v>
      </c>
      <c r="D4659" s="98">
        <v>8125</v>
      </c>
      <c r="E4659" s="157">
        <v>41807.958333333336</v>
      </c>
      <c r="F4659" s="157">
        <v>41808.128472222219</v>
      </c>
      <c r="G4659" s="98">
        <v>380</v>
      </c>
      <c r="H4659" s="98">
        <v>521</v>
      </c>
      <c r="I4659" s="98">
        <v>482</v>
      </c>
      <c r="J4659" s="98" t="s">
        <v>2267</v>
      </c>
      <c r="K4659" s="98" t="s">
        <v>1713</v>
      </c>
      <c r="L4659" s="105" t="str">
        <f t="shared" si="760"/>
        <v>Mill Creek</v>
      </c>
      <c r="M4659" s="105" t="str">
        <f t="shared" si="761"/>
        <v>Derate</v>
      </c>
      <c r="N4659" s="105" t="str">
        <f t="shared" si="762"/>
        <v>Coal</v>
      </c>
      <c r="O4659" s="105">
        <f>IFERROR(VLOOKUP(A4659,Lookup!$J$5:$P$19,7,FALSE),0)</f>
        <v>3</v>
      </c>
      <c r="P4659" s="159">
        <f t="shared" si="763"/>
        <v>2014</v>
      </c>
      <c r="Q4659" s="159">
        <f t="shared" si="764"/>
        <v>6</v>
      </c>
      <c r="R4659" s="160">
        <f t="shared" si="765"/>
        <v>4.0833333331975155</v>
      </c>
      <c r="S4659" s="158">
        <f t="shared" si="766"/>
        <v>1.1050863723240876</v>
      </c>
      <c r="T4659" s="161">
        <f t="shared" si="767"/>
        <v>532.65163146021018</v>
      </c>
      <c r="U4659" s="158">
        <f t="shared" si="769"/>
        <v>130.44529750479848</v>
      </c>
      <c r="V4659" s="160">
        <f t="shared" si="768"/>
        <v>130</v>
      </c>
    </row>
    <row r="4660" spans="1:22" x14ac:dyDescent="0.25">
      <c r="A4660" s="98" t="s">
        <v>25</v>
      </c>
      <c r="B4660" s="98" t="s">
        <v>105</v>
      </c>
      <c r="C4660" s="98">
        <v>133</v>
      </c>
      <c r="D4660" s="98">
        <v>8125</v>
      </c>
      <c r="E4660" s="157">
        <v>41808.958333333336</v>
      </c>
      <c r="F4660" s="157">
        <v>41809.228472222225</v>
      </c>
      <c r="G4660" s="98">
        <v>380</v>
      </c>
      <c r="H4660" s="98">
        <v>521</v>
      </c>
      <c r="I4660" s="98">
        <v>482</v>
      </c>
      <c r="J4660" s="98" t="s">
        <v>2267</v>
      </c>
      <c r="K4660" s="98" t="s">
        <v>1714</v>
      </c>
      <c r="L4660" s="105" t="str">
        <f t="shared" si="760"/>
        <v>Mill Creek</v>
      </c>
      <c r="M4660" s="105" t="str">
        <f t="shared" si="761"/>
        <v>Derate</v>
      </c>
      <c r="N4660" s="105" t="str">
        <f t="shared" si="762"/>
        <v>Coal</v>
      </c>
      <c r="O4660" s="105">
        <f>IFERROR(VLOOKUP(A4660,Lookup!$J$5:$P$19,7,FALSE),0)</f>
        <v>3</v>
      </c>
      <c r="P4660" s="159">
        <f t="shared" si="763"/>
        <v>2014</v>
      </c>
      <c r="Q4660" s="159">
        <f t="shared" si="764"/>
        <v>6</v>
      </c>
      <c r="R4660" s="160">
        <f t="shared" si="765"/>
        <v>6.4833333333372138</v>
      </c>
      <c r="S4660" s="158">
        <f t="shared" si="766"/>
        <v>1.7546065259127583</v>
      </c>
      <c r="T4660" s="161">
        <f t="shared" si="767"/>
        <v>845.72034548994952</v>
      </c>
      <c r="U4660" s="158">
        <f t="shared" si="769"/>
        <v>130.44529750479848</v>
      </c>
      <c r="V4660" s="160">
        <f t="shared" si="768"/>
        <v>130</v>
      </c>
    </row>
    <row r="4661" spans="1:22" x14ac:dyDescent="0.25">
      <c r="A4661" s="98" t="s">
        <v>25</v>
      </c>
      <c r="B4661" s="98" t="s">
        <v>17</v>
      </c>
      <c r="C4661" s="98">
        <v>134</v>
      </c>
      <c r="D4661" s="98">
        <v>1710</v>
      </c>
      <c r="E4661" s="157">
        <v>41809.458333333336</v>
      </c>
      <c r="F4661" s="157">
        <v>41812.916666666664</v>
      </c>
      <c r="G4661" s="98">
        <v>505</v>
      </c>
      <c r="H4661" s="98">
        <v>521</v>
      </c>
      <c r="I4661" s="98">
        <v>482</v>
      </c>
      <c r="J4661" s="98" t="s">
        <v>2020</v>
      </c>
      <c r="K4661" s="98" t="s">
        <v>718</v>
      </c>
      <c r="L4661" s="105" t="str">
        <f t="shared" si="760"/>
        <v>Mill Creek</v>
      </c>
      <c r="M4661" s="105" t="str">
        <f t="shared" si="761"/>
        <v>Derate</v>
      </c>
      <c r="N4661" s="105" t="str">
        <f t="shared" si="762"/>
        <v>Coal</v>
      </c>
      <c r="O4661" s="105">
        <f>IFERROR(VLOOKUP(A4661,Lookup!$J$5:$P$19,7,FALSE),0)</f>
        <v>3</v>
      </c>
      <c r="P4661" s="159">
        <f t="shared" si="763"/>
        <v>2014</v>
      </c>
      <c r="Q4661" s="159">
        <f t="shared" si="764"/>
        <v>6</v>
      </c>
      <c r="R4661" s="160">
        <f t="shared" si="765"/>
        <v>82.999999999883585</v>
      </c>
      <c r="S4661" s="158">
        <f t="shared" si="766"/>
        <v>2.548944337808325</v>
      </c>
      <c r="T4661" s="161">
        <f t="shared" si="767"/>
        <v>1228.5911708236126</v>
      </c>
      <c r="U4661" s="158">
        <f t="shared" si="769"/>
        <v>14.802303262955855</v>
      </c>
      <c r="V4661" s="160">
        <f t="shared" si="768"/>
        <v>15</v>
      </c>
    </row>
    <row r="4662" spans="1:22" x14ac:dyDescent="0.25">
      <c r="A4662" s="98" t="s">
        <v>25</v>
      </c>
      <c r="B4662" s="98" t="s">
        <v>105</v>
      </c>
      <c r="C4662" s="98">
        <v>135</v>
      </c>
      <c r="D4662" s="98">
        <v>310</v>
      </c>
      <c r="E4662" s="157">
        <v>41812.916666666664</v>
      </c>
      <c r="F4662" s="157">
        <v>41813.190972222219</v>
      </c>
      <c r="G4662" s="98">
        <v>472</v>
      </c>
      <c r="H4662" s="98">
        <v>521</v>
      </c>
      <c r="I4662" s="98">
        <v>482</v>
      </c>
      <c r="J4662" s="98" t="s">
        <v>1966</v>
      </c>
      <c r="K4662" s="98" t="s">
        <v>252</v>
      </c>
      <c r="L4662" s="105" t="str">
        <f t="shared" si="760"/>
        <v>Mill Creek</v>
      </c>
      <c r="M4662" s="105" t="str">
        <f t="shared" si="761"/>
        <v>Derate</v>
      </c>
      <c r="N4662" s="105" t="str">
        <f t="shared" si="762"/>
        <v>Coal</v>
      </c>
      <c r="O4662" s="105">
        <f>IFERROR(VLOOKUP(A4662,Lookup!$J$5:$P$19,7,FALSE),0)</f>
        <v>3</v>
      </c>
      <c r="P4662" s="159">
        <f t="shared" si="763"/>
        <v>2014</v>
      </c>
      <c r="Q4662" s="159">
        <f t="shared" si="764"/>
        <v>6</v>
      </c>
      <c r="R4662" s="160">
        <f t="shared" si="765"/>
        <v>6.5833333333139308</v>
      </c>
      <c r="S4662" s="158">
        <f t="shared" si="766"/>
        <v>0.61916186820035046</v>
      </c>
      <c r="T4662" s="161">
        <f t="shared" si="767"/>
        <v>298.43602047256894</v>
      </c>
      <c r="U4662" s="158">
        <f t="shared" si="769"/>
        <v>45.332053742802302</v>
      </c>
      <c r="V4662" s="160">
        <f t="shared" si="768"/>
        <v>45</v>
      </c>
    </row>
    <row r="4663" spans="1:22" x14ac:dyDescent="0.25">
      <c r="A4663" s="98" t="s">
        <v>25</v>
      </c>
      <c r="B4663" s="98" t="s">
        <v>17</v>
      </c>
      <c r="C4663" s="98">
        <v>136</v>
      </c>
      <c r="D4663" s="98">
        <v>1710</v>
      </c>
      <c r="E4663" s="157">
        <v>41813.190972222219</v>
      </c>
      <c r="F4663" s="157">
        <v>41820.54791666667</v>
      </c>
      <c r="G4663" s="98">
        <v>505</v>
      </c>
      <c r="H4663" s="98">
        <v>521</v>
      </c>
      <c r="I4663" s="98">
        <v>482</v>
      </c>
      <c r="J4663" s="98" t="s">
        <v>2020</v>
      </c>
      <c r="K4663" s="98" t="s">
        <v>718</v>
      </c>
      <c r="L4663" s="105" t="str">
        <f t="shared" si="760"/>
        <v>Mill Creek</v>
      </c>
      <c r="M4663" s="105" t="str">
        <f t="shared" si="761"/>
        <v>Derate</v>
      </c>
      <c r="N4663" s="105" t="str">
        <f t="shared" si="762"/>
        <v>Coal</v>
      </c>
      <c r="O4663" s="105">
        <f>IFERROR(VLOOKUP(A4663,Lookup!$J$5:$P$19,7,FALSE),0)</f>
        <v>3</v>
      </c>
      <c r="P4663" s="159">
        <f t="shared" si="763"/>
        <v>2014</v>
      </c>
      <c r="Q4663" s="159">
        <f t="shared" si="764"/>
        <v>6</v>
      </c>
      <c r="R4663" s="160">
        <f t="shared" si="765"/>
        <v>176.56666666682577</v>
      </c>
      <c r="S4663" s="158">
        <f t="shared" si="766"/>
        <v>5.422392834297912</v>
      </c>
      <c r="T4663" s="161">
        <f t="shared" si="767"/>
        <v>2613.5933461315935</v>
      </c>
      <c r="U4663" s="158">
        <f t="shared" si="769"/>
        <v>14.802303262955855</v>
      </c>
      <c r="V4663" s="160">
        <f t="shared" si="768"/>
        <v>15</v>
      </c>
    </row>
    <row r="4664" spans="1:22" x14ac:dyDescent="0.25">
      <c r="A4664" s="98" t="s">
        <v>25</v>
      </c>
      <c r="B4664" s="98" t="s">
        <v>17</v>
      </c>
      <c r="C4664" s="98">
        <v>137</v>
      </c>
      <c r="D4664" s="98">
        <v>310</v>
      </c>
      <c r="E4664" s="157">
        <v>41813.361111111109</v>
      </c>
      <c r="F4664" s="157">
        <v>41813.379861111112</v>
      </c>
      <c r="G4664" s="98">
        <v>420</v>
      </c>
      <c r="H4664" s="98">
        <v>521</v>
      </c>
      <c r="I4664" s="98">
        <v>482</v>
      </c>
      <c r="J4664" s="98" t="s">
        <v>1966</v>
      </c>
      <c r="K4664" s="98" t="s">
        <v>1715</v>
      </c>
      <c r="L4664" s="105" t="str">
        <f t="shared" si="760"/>
        <v>Mill Creek</v>
      </c>
      <c r="M4664" s="105" t="str">
        <f t="shared" si="761"/>
        <v>Derate</v>
      </c>
      <c r="N4664" s="105" t="str">
        <f t="shared" si="762"/>
        <v>Coal</v>
      </c>
      <c r="O4664" s="105">
        <f>IFERROR(VLOOKUP(A4664,Lookup!$J$5:$P$19,7,FALSE),0)</f>
        <v>3</v>
      </c>
      <c r="P4664" s="159">
        <f t="shared" si="763"/>
        <v>2014</v>
      </c>
      <c r="Q4664" s="159">
        <f t="shared" si="764"/>
        <v>6</v>
      </c>
      <c r="R4664" s="160">
        <f t="shared" si="765"/>
        <v>0.45000000006984919</v>
      </c>
      <c r="S4664" s="158">
        <f t="shared" si="766"/>
        <v>8.7236084466515873E-2</v>
      </c>
      <c r="T4664" s="161">
        <f t="shared" si="767"/>
        <v>42.047792712860648</v>
      </c>
      <c r="U4664" s="158">
        <f t="shared" si="769"/>
        <v>93.439539347408825</v>
      </c>
      <c r="V4664" s="160">
        <f t="shared" si="768"/>
        <v>93</v>
      </c>
    </row>
    <row r="4665" spans="1:22" x14ac:dyDescent="0.25">
      <c r="A4665" s="98" t="s">
        <v>25</v>
      </c>
      <c r="B4665" s="98" t="s">
        <v>17</v>
      </c>
      <c r="C4665" s="98">
        <v>138</v>
      </c>
      <c r="D4665" s="98">
        <v>3341</v>
      </c>
      <c r="E4665" s="157">
        <v>41816.631944444445</v>
      </c>
      <c r="F4665" s="157">
        <v>41816.697222222225</v>
      </c>
      <c r="G4665" s="98">
        <v>480</v>
      </c>
      <c r="H4665" s="98">
        <v>521</v>
      </c>
      <c r="I4665" s="98">
        <v>482</v>
      </c>
      <c r="J4665" s="98" t="s">
        <v>2104</v>
      </c>
      <c r="K4665" s="98" t="s">
        <v>1716</v>
      </c>
      <c r="L4665" s="105" t="str">
        <f t="shared" si="760"/>
        <v>Mill Creek</v>
      </c>
      <c r="M4665" s="105" t="str">
        <f t="shared" si="761"/>
        <v>Derate</v>
      </c>
      <c r="N4665" s="105" t="str">
        <f t="shared" si="762"/>
        <v>Coal</v>
      </c>
      <c r="O4665" s="105">
        <f>IFERROR(VLOOKUP(A4665,Lookup!$J$5:$P$19,7,FALSE),0)</f>
        <v>3</v>
      </c>
      <c r="P4665" s="159">
        <f t="shared" si="763"/>
        <v>2014</v>
      </c>
      <c r="Q4665" s="159">
        <f t="shared" si="764"/>
        <v>6</v>
      </c>
      <c r="R4665" s="160">
        <f t="shared" si="765"/>
        <v>1.5666666667093523</v>
      </c>
      <c r="S4665" s="158">
        <f t="shared" si="766"/>
        <v>0.12328854766810642</v>
      </c>
      <c r="T4665" s="161">
        <f t="shared" si="767"/>
        <v>59.425079976027291</v>
      </c>
      <c r="U4665" s="158">
        <f t="shared" si="769"/>
        <v>37.930902111324379</v>
      </c>
      <c r="V4665" s="160">
        <f t="shared" si="768"/>
        <v>38</v>
      </c>
    </row>
    <row r="4666" spans="1:22" x14ac:dyDescent="0.25">
      <c r="A4666" s="98" t="s">
        <v>25</v>
      </c>
      <c r="B4666" s="98" t="s">
        <v>17</v>
      </c>
      <c r="C4666" s="98">
        <v>139</v>
      </c>
      <c r="D4666" s="98">
        <v>3341</v>
      </c>
      <c r="E4666" s="157">
        <v>41817.423611111109</v>
      </c>
      <c r="F4666" s="157">
        <v>41817.490277777775</v>
      </c>
      <c r="G4666" s="98">
        <v>480</v>
      </c>
      <c r="H4666" s="98">
        <v>521</v>
      </c>
      <c r="I4666" s="98">
        <v>482</v>
      </c>
      <c r="J4666" s="98" t="s">
        <v>2104</v>
      </c>
      <c r="K4666" s="98" t="s">
        <v>1717</v>
      </c>
      <c r="L4666" s="105" t="str">
        <f t="shared" si="760"/>
        <v>Mill Creek</v>
      </c>
      <c r="M4666" s="105" t="str">
        <f t="shared" si="761"/>
        <v>Derate</v>
      </c>
      <c r="N4666" s="105" t="str">
        <f t="shared" si="762"/>
        <v>Coal</v>
      </c>
      <c r="O4666" s="105">
        <f>IFERROR(VLOOKUP(A4666,Lookup!$J$5:$P$19,7,FALSE),0)</f>
        <v>3</v>
      </c>
      <c r="P4666" s="159">
        <f t="shared" si="763"/>
        <v>2014</v>
      </c>
      <c r="Q4666" s="159">
        <f t="shared" si="764"/>
        <v>6</v>
      </c>
      <c r="R4666" s="160">
        <f t="shared" si="765"/>
        <v>1.5999999999767169</v>
      </c>
      <c r="S4666" s="158">
        <f t="shared" si="766"/>
        <v>0.12591170825152667</v>
      </c>
      <c r="T4666" s="161">
        <f t="shared" si="767"/>
        <v>60.689443377235854</v>
      </c>
      <c r="U4666" s="158">
        <f t="shared" si="769"/>
        <v>37.930902111324379</v>
      </c>
      <c r="V4666" s="160">
        <f t="shared" si="768"/>
        <v>38</v>
      </c>
    </row>
    <row r="4667" spans="1:22" x14ac:dyDescent="0.25">
      <c r="A4667" s="98" t="s">
        <v>25</v>
      </c>
      <c r="B4667" s="98" t="s">
        <v>17</v>
      </c>
      <c r="C4667" s="98">
        <v>140</v>
      </c>
      <c r="D4667" s="98">
        <v>3149</v>
      </c>
      <c r="E4667" s="157">
        <v>41820.54791666667</v>
      </c>
      <c r="F4667" s="157">
        <v>41821.306250000001</v>
      </c>
      <c r="G4667" s="98">
        <v>500</v>
      </c>
      <c r="H4667" s="98">
        <v>521</v>
      </c>
      <c r="I4667" s="98">
        <v>482</v>
      </c>
      <c r="J4667" s="98" t="s">
        <v>2034</v>
      </c>
      <c r="K4667" s="98" t="s">
        <v>40</v>
      </c>
      <c r="L4667" s="105" t="str">
        <f t="shared" si="760"/>
        <v>Mill Creek</v>
      </c>
      <c r="M4667" s="105" t="str">
        <f t="shared" si="761"/>
        <v>Derate</v>
      </c>
      <c r="N4667" s="105" t="str">
        <f t="shared" si="762"/>
        <v>Coal</v>
      </c>
      <c r="O4667" s="105">
        <f>IFERROR(VLOOKUP(A4667,Lookup!$J$5:$P$19,7,FALSE),0)</f>
        <v>3</v>
      </c>
      <c r="P4667" s="159">
        <f t="shared" si="763"/>
        <v>2014</v>
      </c>
      <c r="Q4667" s="159">
        <f t="shared" si="764"/>
        <v>6</v>
      </c>
      <c r="R4667" s="160">
        <f t="shared" si="765"/>
        <v>18.199999999953434</v>
      </c>
      <c r="S4667" s="158">
        <f t="shared" si="766"/>
        <v>0.7335892514376624</v>
      </c>
      <c r="T4667" s="161">
        <f t="shared" si="767"/>
        <v>353.59001919295326</v>
      </c>
      <c r="U4667" s="158">
        <f t="shared" si="769"/>
        <v>19.428023032629557</v>
      </c>
      <c r="V4667" s="160">
        <f t="shared" si="768"/>
        <v>19</v>
      </c>
    </row>
    <row r="4668" spans="1:22" x14ac:dyDescent="0.25">
      <c r="A4668" s="98" t="s">
        <v>25</v>
      </c>
      <c r="B4668" s="98" t="s">
        <v>17</v>
      </c>
      <c r="C4668" s="98">
        <v>141</v>
      </c>
      <c r="D4668" s="98">
        <v>1710</v>
      </c>
      <c r="E4668" s="157">
        <v>41821.306250000001</v>
      </c>
      <c r="F4668" s="157">
        <v>41821.34097222222</v>
      </c>
      <c r="G4668" s="98">
        <v>510</v>
      </c>
      <c r="H4668" s="98">
        <v>521</v>
      </c>
      <c r="I4668" s="98">
        <v>482</v>
      </c>
      <c r="J4668" s="98" t="s">
        <v>2020</v>
      </c>
      <c r="K4668" s="98" t="s">
        <v>718</v>
      </c>
      <c r="L4668" s="105" t="str">
        <f t="shared" si="760"/>
        <v>Mill Creek</v>
      </c>
      <c r="M4668" s="105" t="str">
        <f t="shared" si="761"/>
        <v>Derate</v>
      </c>
      <c r="N4668" s="105" t="str">
        <f t="shared" si="762"/>
        <v>Coal</v>
      </c>
      <c r="O4668" s="105">
        <f>IFERROR(VLOOKUP(A4668,Lookup!$J$5:$P$19,7,FALSE),0)</f>
        <v>3</v>
      </c>
      <c r="P4668" s="159">
        <f t="shared" si="763"/>
        <v>2014</v>
      </c>
      <c r="Q4668" s="159">
        <f t="shared" si="764"/>
        <v>7</v>
      </c>
      <c r="R4668" s="160">
        <f t="shared" si="765"/>
        <v>0.83333333325572312</v>
      </c>
      <c r="S4668" s="158">
        <f t="shared" si="766"/>
        <v>1.7594369800024864E-2</v>
      </c>
      <c r="T4668" s="161">
        <f t="shared" si="767"/>
        <v>8.4804862436119848</v>
      </c>
      <c r="U4668" s="158">
        <f t="shared" si="769"/>
        <v>10.17658349328215</v>
      </c>
      <c r="V4668" s="160">
        <f t="shared" si="768"/>
        <v>10</v>
      </c>
    </row>
    <row r="4669" spans="1:22" x14ac:dyDescent="0.25">
      <c r="A4669" s="98" t="s">
        <v>25</v>
      </c>
      <c r="B4669" s="98" t="s">
        <v>17</v>
      </c>
      <c r="C4669" s="98">
        <v>142</v>
      </c>
      <c r="D4669" s="98">
        <v>3149</v>
      </c>
      <c r="E4669" s="157">
        <v>41821.34097222222</v>
      </c>
      <c r="F4669" s="157">
        <v>41821.571527777778</v>
      </c>
      <c r="G4669" s="98">
        <v>505</v>
      </c>
      <c r="H4669" s="98">
        <v>521</v>
      </c>
      <c r="I4669" s="98">
        <v>482</v>
      </c>
      <c r="J4669" s="98" t="s">
        <v>2034</v>
      </c>
      <c r="K4669" s="98" t="s">
        <v>40</v>
      </c>
      <c r="L4669" s="105" t="str">
        <f t="shared" si="760"/>
        <v>Mill Creek</v>
      </c>
      <c r="M4669" s="105" t="str">
        <f t="shared" si="761"/>
        <v>Derate</v>
      </c>
      <c r="N4669" s="105" t="str">
        <f t="shared" si="762"/>
        <v>Coal</v>
      </c>
      <c r="O4669" s="105">
        <f>IFERROR(VLOOKUP(A4669,Lookup!$J$5:$P$19,7,FALSE),0)</f>
        <v>3</v>
      </c>
      <c r="P4669" s="159">
        <f t="shared" si="763"/>
        <v>2014</v>
      </c>
      <c r="Q4669" s="159">
        <f t="shared" si="764"/>
        <v>7</v>
      </c>
      <c r="R4669" s="160">
        <f t="shared" si="765"/>
        <v>5.53333333338378</v>
      </c>
      <c r="S4669" s="158">
        <f t="shared" si="766"/>
        <v>0.16992962252234256</v>
      </c>
      <c r="T4669" s="161">
        <f t="shared" si="767"/>
        <v>81.906078055769115</v>
      </c>
      <c r="U4669" s="158">
        <f t="shared" si="769"/>
        <v>14.802303262955855</v>
      </c>
      <c r="V4669" s="160">
        <f t="shared" si="768"/>
        <v>15</v>
      </c>
    </row>
    <row r="4670" spans="1:22" x14ac:dyDescent="0.25">
      <c r="A4670" s="98" t="s">
        <v>25</v>
      </c>
      <c r="B4670" s="98" t="s">
        <v>17</v>
      </c>
      <c r="C4670" s="98">
        <v>143</v>
      </c>
      <c r="D4670" s="98">
        <v>3149</v>
      </c>
      <c r="E4670" s="157">
        <v>41821.571527777778</v>
      </c>
      <c r="F4670" s="157">
        <v>41821.916666666664</v>
      </c>
      <c r="G4670" s="98">
        <v>495</v>
      </c>
      <c r="H4670" s="98">
        <v>521</v>
      </c>
      <c r="I4670" s="98">
        <v>482</v>
      </c>
      <c r="J4670" s="98" t="s">
        <v>2034</v>
      </c>
      <c r="K4670" s="98" t="s">
        <v>40</v>
      </c>
      <c r="L4670" s="105" t="str">
        <f t="shared" si="760"/>
        <v>Mill Creek</v>
      </c>
      <c r="M4670" s="105" t="str">
        <f t="shared" si="761"/>
        <v>Derate</v>
      </c>
      <c r="N4670" s="105" t="str">
        <f t="shared" si="762"/>
        <v>Coal</v>
      </c>
      <c r="O4670" s="105">
        <f>IFERROR(VLOOKUP(A4670,Lookup!$J$5:$P$19,7,FALSE),0)</f>
        <v>3</v>
      </c>
      <c r="P4670" s="159">
        <f t="shared" si="763"/>
        <v>2014</v>
      </c>
      <c r="Q4670" s="159">
        <f t="shared" si="764"/>
        <v>7</v>
      </c>
      <c r="R4670" s="160">
        <f t="shared" si="765"/>
        <v>8.2833333332673647</v>
      </c>
      <c r="S4670" s="158">
        <f t="shared" si="766"/>
        <v>0.41337172104597214</v>
      </c>
      <c r="T4670" s="161">
        <f t="shared" si="767"/>
        <v>199.24516954415859</v>
      </c>
      <c r="U4670" s="158">
        <f t="shared" si="769"/>
        <v>24.053742802303262</v>
      </c>
      <c r="V4670" s="160">
        <f t="shared" si="768"/>
        <v>24</v>
      </c>
    </row>
    <row r="4671" spans="1:22" x14ac:dyDescent="0.25">
      <c r="A4671" s="98" t="s">
        <v>25</v>
      </c>
      <c r="B4671" s="98" t="s">
        <v>105</v>
      </c>
      <c r="C4671" s="98">
        <v>144</v>
      </c>
      <c r="D4671" s="98">
        <v>250</v>
      </c>
      <c r="E4671" s="157">
        <v>41821.916666666664</v>
      </c>
      <c r="F4671" s="157">
        <v>41822.208333333336</v>
      </c>
      <c r="G4671" s="98">
        <v>430</v>
      </c>
      <c r="H4671" s="98">
        <v>521</v>
      </c>
      <c r="I4671" s="98">
        <v>482</v>
      </c>
      <c r="J4671" s="98" t="s">
        <v>1978</v>
      </c>
      <c r="K4671" s="98" t="s">
        <v>2891</v>
      </c>
      <c r="L4671" s="105" t="str">
        <f t="shared" si="760"/>
        <v>Mill Creek</v>
      </c>
      <c r="M4671" s="105" t="str">
        <f t="shared" si="761"/>
        <v>Derate</v>
      </c>
      <c r="N4671" s="105" t="str">
        <f t="shared" si="762"/>
        <v>Coal</v>
      </c>
      <c r="O4671" s="105">
        <f>IFERROR(VLOOKUP(A4671,Lookup!$J$5:$P$19,7,FALSE),0)</f>
        <v>3</v>
      </c>
      <c r="P4671" s="159">
        <f t="shared" si="763"/>
        <v>2014</v>
      </c>
      <c r="Q4671" s="159">
        <f t="shared" si="764"/>
        <v>7</v>
      </c>
      <c r="R4671" s="160">
        <f t="shared" si="765"/>
        <v>7.0000000001164153</v>
      </c>
      <c r="S4671" s="158">
        <f t="shared" si="766"/>
        <v>1.2226487524195657</v>
      </c>
      <c r="T4671" s="161">
        <f t="shared" si="767"/>
        <v>589.31669866623065</v>
      </c>
      <c r="U4671" s="158">
        <f t="shared" si="769"/>
        <v>84.188099808061423</v>
      </c>
      <c r="V4671" s="160">
        <f t="shared" si="768"/>
        <v>84</v>
      </c>
    </row>
    <row r="4672" spans="1:22" x14ac:dyDescent="0.25">
      <c r="A4672" s="98" t="s">
        <v>25</v>
      </c>
      <c r="B4672" s="98" t="s">
        <v>17</v>
      </c>
      <c r="C4672" s="98">
        <v>145</v>
      </c>
      <c r="D4672" s="98">
        <v>1710</v>
      </c>
      <c r="E4672" s="157">
        <v>41822.208333333336</v>
      </c>
      <c r="F4672" s="157">
        <v>41822.4375</v>
      </c>
      <c r="G4672" s="98">
        <v>500</v>
      </c>
      <c r="H4672" s="98">
        <v>521</v>
      </c>
      <c r="I4672" s="98">
        <v>482</v>
      </c>
      <c r="J4672" s="98" t="s">
        <v>2020</v>
      </c>
      <c r="K4672" s="98" t="s">
        <v>718</v>
      </c>
      <c r="L4672" s="105" t="str">
        <f t="shared" si="760"/>
        <v>Mill Creek</v>
      </c>
      <c r="M4672" s="105" t="str">
        <f t="shared" si="761"/>
        <v>Derate</v>
      </c>
      <c r="N4672" s="105" t="str">
        <f t="shared" si="762"/>
        <v>Coal</v>
      </c>
      <c r="O4672" s="105">
        <f>IFERROR(VLOOKUP(A4672,Lookup!$J$5:$P$19,7,FALSE),0)</f>
        <v>3</v>
      </c>
      <c r="P4672" s="159">
        <f t="shared" si="763"/>
        <v>2014</v>
      </c>
      <c r="Q4672" s="159">
        <f t="shared" si="764"/>
        <v>7</v>
      </c>
      <c r="R4672" s="160">
        <f t="shared" si="765"/>
        <v>5.4999999999417923</v>
      </c>
      <c r="S4672" s="158">
        <f t="shared" si="766"/>
        <v>0.22168905949861351</v>
      </c>
      <c r="T4672" s="161">
        <f t="shared" si="767"/>
        <v>106.85412667833171</v>
      </c>
      <c r="U4672" s="158">
        <f t="shared" si="769"/>
        <v>19.428023032629557</v>
      </c>
      <c r="V4672" s="160">
        <f t="shared" si="768"/>
        <v>19</v>
      </c>
    </row>
    <row r="4673" spans="1:22" x14ac:dyDescent="0.25">
      <c r="A4673" s="98" t="s">
        <v>25</v>
      </c>
      <c r="B4673" s="98" t="s">
        <v>17</v>
      </c>
      <c r="C4673" s="98">
        <v>146</v>
      </c>
      <c r="D4673" s="98">
        <v>1710</v>
      </c>
      <c r="E4673" s="157">
        <v>41822.4375</v>
      </c>
      <c r="F4673" s="157">
        <v>41826.519444444442</v>
      </c>
      <c r="G4673" s="98">
        <v>505</v>
      </c>
      <c r="H4673" s="98">
        <v>521</v>
      </c>
      <c r="I4673" s="98">
        <v>482</v>
      </c>
      <c r="J4673" s="98" t="s">
        <v>2020</v>
      </c>
      <c r="K4673" s="98" t="s">
        <v>718</v>
      </c>
      <c r="L4673" s="105" t="str">
        <f t="shared" si="760"/>
        <v>Mill Creek</v>
      </c>
      <c r="M4673" s="105" t="str">
        <f t="shared" si="761"/>
        <v>Derate</v>
      </c>
      <c r="N4673" s="105" t="str">
        <f t="shared" si="762"/>
        <v>Coal</v>
      </c>
      <c r="O4673" s="105">
        <f>IFERROR(VLOOKUP(A4673,Lookup!$J$5:$P$19,7,FALSE),0)</f>
        <v>3</v>
      </c>
      <c r="P4673" s="159">
        <f t="shared" si="763"/>
        <v>2014</v>
      </c>
      <c r="Q4673" s="159">
        <f t="shared" si="764"/>
        <v>7</v>
      </c>
      <c r="R4673" s="160">
        <f t="shared" si="765"/>
        <v>97.96666666661622</v>
      </c>
      <c r="S4673" s="158">
        <f t="shared" si="766"/>
        <v>3.0085732565563523</v>
      </c>
      <c r="T4673" s="161">
        <f t="shared" si="767"/>
        <v>1450.1323096601618</v>
      </c>
      <c r="U4673" s="158">
        <f t="shared" si="769"/>
        <v>14.802303262955855</v>
      </c>
      <c r="V4673" s="160">
        <f t="shared" si="768"/>
        <v>15</v>
      </c>
    </row>
    <row r="4674" spans="1:22" x14ac:dyDescent="0.25">
      <c r="A4674" s="98" t="s">
        <v>25</v>
      </c>
      <c r="B4674" s="98" t="s">
        <v>17</v>
      </c>
      <c r="C4674" s="98">
        <v>147</v>
      </c>
      <c r="D4674" s="98">
        <v>360</v>
      </c>
      <c r="E4674" s="157">
        <v>41826.519444444442</v>
      </c>
      <c r="F4674" s="157">
        <v>41826.553472222222</v>
      </c>
      <c r="G4674" s="98">
        <v>420</v>
      </c>
      <c r="H4674" s="98">
        <v>521</v>
      </c>
      <c r="I4674" s="98">
        <v>482</v>
      </c>
      <c r="J4674" s="98" t="s">
        <v>229</v>
      </c>
      <c r="K4674" s="98" t="s">
        <v>2892</v>
      </c>
      <c r="L4674" s="105" t="str">
        <f t="shared" si="760"/>
        <v>Mill Creek</v>
      </c>
      <c r="M4674" s="105" t="str">
        <f t="shared" si="761"/>
        <v>Derate</v>
      </c>
      <c r="N4674" s="105" t="str">
        <f t="shared" si="762"/>
        <v>Coal</v>
      </c>
      <c r="O4674" s="105">
        <f>IFERROR(VLOOKUP(A4674,Lookup!$J$5:$P$19,7,FALSE),0)</f>
        <v>3</v>
      </c>
      <c r="P4674" s="159">
        <f t="shared" si="763"/>
        <v>2014</v>
      </c>
      <c r="Q4674" s="159">
        <f t="shared" si="764"/>
        <v>7</v>
      </c>
      <c r="R4674" s="160">
        <f t="shared" si="765"/>
        <v>0.81666666670935228</v>
      </c>
      <c r="S4674" s="158">
        <f t="shared" si="766"/>
        <v>0.1583173384599704</v>
      </c>
      <c r="T4674" s="161">
        <f t="shared" si="767"/>
        <v>76.308957137705733</v>
      </c>
      <c r="U4674" s="158">
        <f t="shared" si="769"/>
        <v>93.439539347408825</v>
      </c>
      <c r="V4674" s="160">
        <f t="shared" si="768"/>
        <v>93</v>
      </c>
    </row>
    <row r="4675" spans="1:22" x14ac:dyDescent="0.25">
      <c r="A4675" s="98" t="s">
        <v>25</v>
      </c>
      <c r="B4675" s="98" t="s">
        <v>17</v>
      </c>
      <c r="C4675" s="98">
        <v>148</v>
      </c>
      <c r="D4675" s="98">
        <v>1710</v>
      </c>
      <c r="E4675" s="157">
        <v>41826.553472222222</v>
      </c>
      <c r="F4675" s="157">
        <v>41830.354166666664</v>
      </c>
      <c r="G4675" s="98">
        <v>505</v>
      </c>
      <c r="H4675" s="98">
        <v>521</v>
      </c>
      <c r="I4675" s="98">
        <v>482</v>
      </c>
      <c r="J4675" s="98" t="s">
        <v>2020</v>
      </c>
      <c r="K4675" s="98" t="s">
        <v>718</v>
      </c>
      <c r="L4675" s="105" t="str">
        <f t="shared" si="760"/>
        <v>Mill Creek</v>
      </c>
      <c r="M4675" s="105" t="str">
        <f t="shared" si="761"/>
        <v>Derate</v>
      </c>
      <c r="N4675" s="105" t="str">
        <f t="shared" si="762"/>
        <v>Coal</v>
      </c>
      <c r="O4675" s="105">
        <f>IFERROR(VLOOKUP(A4675,Lookup!$J$5:$P$19,7,FALSE),0)</f>
        <v>3</v>
      </c>
      <c r="P4675" s="159">
        <f t="shared" si="763"/>
        <v>2014</v>
      </c>
      <c r="Q4675" s="159">
        <f t="shared" si="764"/>
        <v>7</v>
      </c>
      <c r="R4675" s="160">
        <f t="shared" si="765"/>
        <v>91.21666666661622</v>
      </c>
      <c r="S4675" s="158">
        <f t="shared" si="766"/>
        <v>2.8012795905294809</v>
      </c>
      <c r="T4675" s="161">
        <f t="shared" si="767"/>
        <v>1350.2167626352098</v>
      </c>
      <c r="U4675" s="158">
        <f t="shared" si="769"/>
        <v>14.802303262955855</v>
      </c>
      <c r="V4675" s="160">
        <f t="shared" si="768"/>
        <v>15</v>
      </c>
    </row>
    <row r="4676" spans="1:22" x14ac:dyDescent="0.25">
      <c r="A4676" s="98" t="s">
        <v>25</v>
      </c>
      <c r="B4676" s="98" t="s">
        <v>17</v>
      </c>
      <c r="C4676" s="98">
        <v>149</v>
      </c>
      <c r="D4676" s="98">
        <v>270</v>
      </c>
      <c r="E4676" s="157">
        <v>41830.354166666664</v>
      </c>
      <c r="F4676" s="157">
        <v>41830.469444444447</v>
      </c>
      <c r="G4676" s="98">
        <v>420</v>
      </c>
      <c r="H4676" s="98">
        <v>521</v>
      </c>
      <c r="I4676" s="98">
        <v>482</v>
      </c>
      <c r="J4676" s="98" t="s">
        <v>2031</v>
      </c>
      <c r="K4676" s="98" t="s">
        <v>2893</v>
      </c>
      <c r="L4676" s="105" t="str">
        <f t="shared" si="760"/>
        <v>Mill Creek</v>
      </c>
      <c r="M4676" s="105" t="str">
        <f t="shared" si="761"/>
        <v>Derate</v>
      </c>
      <c r="N4676" s="105" t="str">
        <f t="shared" si="762"/>
        <v>Coal</v>
      </c>
      <c r="O4676" s="105">
        <f>IFERROR(VLOOKUP(A4676,Lookup!$J$5:$P$19,7,FALSE),0)</f>
        <v>3</v>
      </c>
      <c r="P4676" s="159">
        <f t="shared" si="763"/>
        <v>2014</v>
      </c>
      <c r="Q4676" s="159">
        <f t="shared" si="764"/>
        <v>7</v>
      </c>
      <c r="R4676" s="160">
        <f t="shared" si="765"/>
        <v>2.7666666667792015</v>
      </c>
      <c r="S4676" s="158">
        <f t="shared" si="766"/>
        <v>0.53634037110306976</v>
      </c>
      <c r="T4676" s="161">
        <f t="shared" si="767"/>
        <v>258.5160588716796</v>
      </c>
      <c r="U4676" s="158">
        <f t="shared" si="769"/>
        <v>93.439539347408825</v>
      </c>
      <c r="V4676" s="160">
        <f t="shared" si="768"/>
        <v>93</v>
      </c>
    </row>
    <row r="4677" spans="1:22" x14ac:dyDescent="0.25">
      <c r="A4677" s="98" t="s">
        <v>25</v>
      </c>
      <c r="B4677" s="98" t="s">
        <v>17</v>
      </c>
      <c r="C4677" s="98">
        <v>150</v>
      </c>
      <c r="D4677" s="98">
        <v>1710</v>
      </c>
      <c r="E4677" s="157">
        <v>41830.469444444447</v>
      </c>
      <c r="F4677" s="157">
        <v>41830.768750000003</v>
      </c>
      <c r="G4677" s="98">
        <v>505</v>
      </c>
      <c r="H4677" s="98">
        <v>521</v>
      </c>
      <c r="I4677" s="98">
        <v>482</v>
      </c>
      <c r="J4677" s="98" t="s">
        <v>2020</v>
      </c>
      <c r="K4677" s="98" t="s">
        <v>1660</v>
      </c>
      <c r="L4677" s="105" t="str">
        <f t="shared" si="760"/>
        <v>Mill Creek</v>
      </c>
      <c r="M4677" s="105" t="str">
        <f t="shared" si="761"/>
        <v>Derate</v>
      </c>
      <c r="N4677" s="105" t="str">
        <f t="shared" si="762"/>
        <v>Coal</v>
      </c>
      <c r="O4677" s="105">
        <f>IFERROR(VLOOKUP(A4677,Lookup!$J$5:$P$19,7,FALSE),0)</f>
        <v>3</v>
      </c>
      <c r="P4677" s="159">
        <f t="shared" si="763"/>
        <v>2014</v>
      </c>
      <c r="Q4677" s="159">
        <f t="shared" si="764"/>
        <v>7</v>
      </c>
      <c r="R4677" s="160">
        <f t="shared" si="765"/>
        <v>7.1833333333488554</v>
      </c>
      <c r="S4677" s="158">
        <f t="shared" si="766"/>
        <v>0.22060140755006083</v>
      </c>
      <c r="T4677" s="161">
        <f t="shared" si="767"/>
        <v>106.32987843912932</v>
      </c>
      <c r="U4677" s="158">
        <f t="shared" si="769"/>
        <v>14.802303262955855</v>
      </c>
      <c r="V4677" s="160">
        <f t="shared" si="768"/>
        <v>15</v>
      </c>
    </row>
    <row r="4678" spans="1:22" x14ac:dyDescent="0.25">
      <c r="A4678" s="98" t="s">
        <v>25</v>
      </c>
      <c r="B4678" s="98" t="s">
        <v>17</v>
      </c>
      <c r="C4678" s="98">
        <v>151</v>
      </c>
      <c r="D4678" s="98">
        <v>3341</v>
      </c>
      <c r="E4678" s="157">
        <v>41830.768750000003</v>
      </c>
      <c r="F4678" s="157">
        <v>41830.997916666667</v>
      </c>
      <c r="G4678" s="98">
        <v>300</v>
      </c>
      <c r="H4678" s="98">
        <v>521</v>
      </c>
      <c r="I4678" s="98">
        <v>482</v>
      </c>
      <c r="J4678" s="98" t="s">
        <v>2104</v>
      </c>
      <c r="K4678" s="98" t="s">
        <v>2894</v>
      </c>
      <c r="L4678" s="105" t="str">
        <f t="shared" si="760"/>
        <v>Mill Creek</v>
      </c>
      <c r="M4678" s="105" t="str">
        <f t="shared" si="761"/>
        <v>Derate</v>
      </c>
      <c r="N4678" s="105" t="str">
        <f t="shared" si="762"/>
        <v>Coal</v>
      </c>
      <c r="O4678" s="105">
        <f>IFERROR(VLOOKUP(A4678,Lookup!$J$5:$P$19,7,FALSE),0)</f>
        <v>3</v>
      </c>
      <c r="P4678" s="159">
        <f t="shared" si="763"/>
        <v>2014</v>
      </c>
      <c r="Q4678" s="159">
        <f t="shared" si="764"/>
        <v>7</v>
      </c>
      <c r="R4678" s="160">
        <f t="shared" si="765"/>
        <v>5.4999999999417923</v>
      </c>
      <c r="S4678" s="158">
        <f t="shared" si="766"/>
        <v>2.3330134356758849</v>
      </c>
      <c r="T4678" s="161">
        <f t="shared" si="767"/>
        <v>1124.5124759957766</v>
      </c>
      <c r="U4678" s="158">
        <f t="shared" si="769"/>
        <v>204.45681381957775</v>
      </c>
      <c r="V4678" s="160">
        <f t="shared" si="768"/>
        <v>204</v>
      </c>
    </row>
    <row r="4679" spans="1:22" x14ac:dyDescent="0.25">
      <c r="A4679" s="98" t="s">
        <v>25</v>
      </c>
      <c r="B4679" s="98" t="s">
        <v>17</v>
      </c>
      <c r="C4679" s="98">
        <v>152</v>
      </c>
      <c r="D4679" s="98">
        <v>3341</v>
      </c>
      <c r="E4679" s="157">
        <v>41830.997916666667</v>
      </c>
      <c r="F4679" s="157">
        <v>41831.175694444442</v>
      </c>
      <c r="G4679" s="98">
        <v>390</v>
      </c>
      <c r="H4679" s="98">
        <v>521</v>
      </c>
      <c r="I4679" s="98">
        <v>482</v>
      </c>
      <c r="J4679" s="98" t="s">
        <v>2104</v>
      </c>
      <c r="K4679" s="98" t="s">
        <v>2894</v>
      </c>
      <c r="L4679" s="105" t="str">
        <f t="shared" si="760"/>
        <v>Mill Creek</v>
      </c>
      <c r="M4679" s="105" t="str">
        <f t="shared" si="761"/>
        <v>Derate</v>
      </c>
      <c r="N4679" s="105" t="str">
        <f t="shared" si="762"/>
        <v>Coal</v>
      </c>
      <c r="O4679" s="105">
        <f>IFERROR(VLOOKUP(A4679,Lookup!$J$5:$P$19,7,FALSE),0)</f>
        <v>3</v>
      </c>
      <c r="P4679" s="159">
        <f t="shared" si="763"/>
        <v>2014</v>
      </c>
      <c r="Q4679" s="159">
        <f t="shared" si="764"/>
        <v>7</v>
      </c>
      <c r="R4679" s="160">
        <f t="shared" si="765"/>
        <v>4.2666666666045785</v>
      </c>
      <c r="S4679" s="158">
        <f t="shared" si="766"/>
        <v>1.0728087011999996</v>
      </c>
      <c r="T4679" s="161">
        <f t="shared" si="767"/>
        <v>517.09379397839984</v>
      </c>
      <c r="U4679" s="158">
        <f t="shared" si="769"/>
        <v>121.19385796545106</v>
      </c>
      <c r="V4679" s="160">
        <f t="shared" si="768"/>
        <v>121</v>
      </c>
    </row>
    <row r="4680" spans="1:22" x14ac:dyDescent="0.25">
      <c r="A4680" s="98" t="s">
        <v>25</v>
      </c>
      <c r="B4680" s="98" t="s">
        <v>17</v>
      </c>
      <c r="C4680" s="98">
        <v>153</v>
      </c>
      <c r="D4680" s="98">
        <v>3341</v>
      </c>
      <c r="E4680" s="157">
        <v>41831.175694444442</v>
      </c>
      <c r="F4680" s="157">
        <v>41831.291666666664</v>
      </c>
      <c r="G4680" s="98">
        <v>360</v>
      </c>
      <c r="H4680" s="98">
        <v>521</v>
      </c>
      <c r="I4680" s="98">
        <v>482</v>
      </c>
      <c r="J4680" s="98" t="s">
        <v>2104</v>
      </c>
      <c r="K4680" s="98" t="s">
        <v>2894</v>
      </c>
      <c r="L4680" s="105" t="str">
        <f t="shared" si="760"/>
        <v>Mill Creek</v>
      </c>
      <c r="M4680" s="105" t="str">
        <f t="shared" si="761"/>
        <v>Derate</v>
      </c>
      <c r="N4680" s="105" t="str">
        <f t="shared" si="762"/>
        <v>Coal</v>
      </c>
      <c r="O4680" s="105">
        <f>IFERROR(VLOOKUP(A4680,Lookup!$J$5:$P$19,7,FALSE),0)</f>
        <v>3</v>
      </c>
      <c r="P4680" s="159">
        <f t="shared" si="763"/>
        <v>2014</v>
      </c>
      <c r="Q4680" s="159">
        <f t="shared" si="764"/>
        <v>7</v>
      </c>
      <c r="R4680" s="160">
        <f t="shared" si="765"/>
        <v>2.7833333333255723</v>
      </c>
      <c r="S4680" s="158">
        <f t="shared" si="766"/>
        <v>0.86010876519273927</v>
      </c>
      <c r="T4680" s="161">
        <f t="shared" si="767"/>
        <v>414.5724248229003</v>
      </c>
      <c r="U4680" s="158">
        <f t="shared" si="769"/>
        <v>148.94817658349328</v>
      </c>
      <c r="V4680" s="160">
        <f t="shared" si="768"/>
        <v>149</v>
      </c>
    </row>
    <row r="4681" spans="1:22" x14ac:dyDescent="0.25">
      <c r="A4681" s="98" t="s">
        <v>25</v>
      </c>
      <c r="B4681" s="98" t="s">
        <v>17</v>
      </c>
      <c r="C4681" s="98">
        <v>154</v>
      </c>
      <c r="D4681" s="98">
        <v>3341</v>
      </c>
      <c r="E4681" s="157">
        <v>41831.291666666664</v>
      </c>
      <c r="F4681" s="157">
        <v>41831.370833333334</v>
      </c>
      <c r="G4681" s="98">
        <v>375</v>
      </c>
      <c r="H4681" s="98">
        <v>521</v>
      </c>
      <c r="I4681" s="98">
        <v>482</v>
      </c>
      <c r="J4681" s="98" t="s">
        <v>2104</v>
      </c>
      <c r="K4681" s="98" t="s">
        <v>2894</v>
      </c>
      <c r="L4681" s="105" t="str">
        <f t="shared" si="760"/>
        <v>Mill Creek</v>
      </c>
      <c r="M4681" s="105" t="str">
        <f t="shared" si="761"/>
        <v>Derate</v>
      </c>
      <c r="N4681" s="105" t="str">
        <f t="shared" si="762"/>
        <v>Coal</v>
      </c>
      <c r="O4681" s="105">
        <f>IFERROR(VLOOKUP(A4681,Lookup!$J$5:$P$19,7,FALSE),0)</f>
        <v>3</v>
      </c>
      <c r="P4681" s="159">
        <f t="shared" si="763"/>
        <v>2014</v>
      </c>
      <c r="Q4681" s="159">
        <f t="shared" si="764"/>
        <v>7</v>
      </c>
      <c r="R4681" s="160">
        <f t="shared" si="765"/>
        <v>1.9000000000814907</v>
      </c>
      <c r="S4681" s="158">
        <f t="shared" si="766"/>
        <v>0.5324376199844485</v>
      </c>
      <c r="T4681" s="161">
        <f t="shared" si="767"/>
        <v>256.63493283250415</v>
      </c>
      <c r="U4681" s="158">
        <f t="shared" si="769"/>
        <v>135.07101727447218</v>
      </c>
      <c r="V4681" s="160">
        <f t="shared" si="768"/>
        <v>135</v>
      </c>
    </row>
    <row r="4682" spans="1:22" x14ac:dyDescent="0.25">
      <c r="A4682" s="98" t="s">
        <v>25</v>
      </c>
      <c r="B4682" s="98" t="s">
        <v>17</v>
      </c>
      <c r="C4682" s="98">
        <v>155</v>
      </c>
      <c r="D4682" s="98">
        <v>3341</v>
      </c>
      <c r="E4682" s="157">
        <v>41831.370833333334</v>
      </c>
      <c r="F4682" s="157">
        <v>41831.392361111109</v>
      </c>
      <c r="G4682" s="98">
        <v>495</v>
      </c>
      <c r="H4682" s="98">
        <v>521</v>
      </c>
      <c r="I4682" s="98">
        <v>482</v>
      </c>
      <c r="J4682" s="98" t="s">
        <v>2104</v>
      </c>
      <c r="K4682" s="98" t="s">
        <v>2894</v>
      </c>
      <c r="L4682" s="105" t="str">
        <f t="shared" si="760"/>
        <v>Mill Creek</v>
      </c>
      <c r="M4682" s="105" t="str">
        <f t="shared" si="761"/>
        <v>Derate</v>
      </c>
      <c r="N4682" s="105" t="str">
        <f t="shared" si="762"/>
        <v>Coal</v>
      </c>
      <c r="O4682" s="105">
        <f>IFERROR(VLOOKUP(A4682,Lookup!$J$5:$P$19,7,FALSE),0)</f>
        <v>3</v>
      </c>
      <c r="P4682" s="159">
        <f t="shared" si="763"/>
        <v>2014</v>
      </c>
      <c r="Q4682" s="159">
        <f t="shared" si="764"/>
        <v>7</v>
      </c>
      <c r="R4682" s="160">
        <f t="shared" si="765"/>
        <v>0.5166666666045785</v>
      </c>
      <c r="S4682" s="158">
        <f t="shared" si="766"/>
        <v>2.5783749197157469E-2</v>
      </c>
      <c r="T4682" s="161">
        <f t="shared" si="767"/>
        <v>12.427767113029899</v>
      </c>
      <c r="U4682" s="158">
        <f t="shared" si="769"/>
        <v>24.053742802303262</v>
      </c>
      <c r="V4682" s="160">
        <f t="shared" si="768"/>
        <v>24</v>
      </c>
    </row>
    <row r="4683" spans="1:22" x14ac:dyDescent="0.25">
      <c r="A4683" s="98" t="s">
        <v>25</v>
      </c>
      <c r="B4683" s="98" t="s">
        <v>17</v>
      </c>
      <c r="C4683" s="98">
        <v>156</v>
      </c>
      <c r="D4683" s="98">
        <v>1710</v>
      </c>
      <c r="E4683" s="157">
        <v>41832.392361111109</v>
      </c>
      <c r="F4683" s="157">
        <v>41832.477083333331</v>
      </c>
      <c r="G4683" s="98">
        <v>505</v>
      </c>
      <c r="H4683" s="98">
        <v>521</v>
      </c>
      <c r="I4683" s="98">
        <v>482</v>
      </c>
      <c r="J4683" s="98" t="s">
        <v>2020</v>
      </c>
      <c r="K4683" s="98" t="s">
        <v>1660</v>
      </c>
      <c r="L4683" s="105" t="str">
        <f t="shared" si="760"/>
        <v>Mill Creek</v>
      </c>
      <c r="M4683" s="105" t="str">
        <f t="shared" si="761"/>
        <v>Derate</v>
      </c>
      <c r="N4683" s="105" t="str">
        <f t="shared" si="762"/>
        <v>Coal</v>
      </c>
      <c r="O4683" s="105">
        <f>IFERROR(VLOOKUP(A4683,Lookup!$J$5:$P$19,7,FALSE),0)</f>
        <v>3</v>
      </c>
      <c r="P4683" s="159">
        <f t="shared" si="763"/>
        <v>2014</v>
      </c>
      <c r="Q4683" s="159">
        <f t="shared" si="764"/>
        <v>7</v>
      </c>
      <c r="R4683" s="160">
        <f t="shared" si="765"/>
        <v>2.0333333333255723</v>
      </c>
      <c r="S4683" s="158">
        <f t="shared" si="766"/>
        <v>6.2444017914029093E-2</v>
      </c>
      <c r="T4683" s="161">
        <f t="shared" si="767"/>
        <v>30.098016634562022</v>
      </c>
      <c r="U4683" s="158">
        <f t="shared" si="769"/>
        <v>14.802303262955855</v>
      </c>
      <c r="V4683" s="160">
        <f t="shared" si="768"/>
        <v>15</v>
      </c>
    </row>
    <row r="4684" spans="1:22" x14ac:dyDescent="0.25">
      <c r="A4684" s="98" t="s">
        <v>25</v>
      </c>
      <c r="B4684" s="98" t="s">
        <v>17</v>
      </c>
      <c r="C4684" s="98">
        <v>157</v>
      </c>
      <c r="D4684" s="98">
        <v>1710</v>
      </c>
      <c r="E4684" s="157">
        <v>41832.477083333331</v>
      </c>
      <c r="F4684" s="157">
        <v>41832.755555555559</v>
      </c>
      <c r="G4684" s="98">
        <v>500</v>
      </c>
      <c r="H4684" s="98">
        <v>521</v>
      </c>
      <c r="I4684" s="98">
        <v>482</v>
      </c>
      <c r="J4684" s="98" t="s">
        <v>2020</v>
      </c>
      <c r="K4684" s="98" t="s">
        <v>1660</v>
      </c>
      <c r="L4684" s="105" t="str">
        <f t="shared" si="760"/>
        <v>Mill Creek</v>
      </c>
      <c r="M4684" s="105" t="str">
        <f t="shared" si="761"/>
        <v>Derate</v>
      </c>
      <c r="N4684" s="105" t="str">
        <f t="shared" si="762"/>
        <v>Coal</v>
      </c>
      <c r="O4684" s="105">
        <f>IFERROR(VLOOKUP(A4684,Lookup!$J$5:$P$19,7,FALSE),0)</f>
        <v>3</v>
      </c>
      <c r="P4684" s="159">
        <f t="shared" si="763"/>
        <v>2014</v>
      </c>
      <c r="Q4684" s="159">
        <f t="shared" si="764"/>
        <v>7</v>
      </c>
      <c r="R4684" s="160">
        <f t="shared" si="765"/>
        <v>6.6833333334652707</v>
      </c>
      <c r="S4684" s="158">
        <f t="shared" si="766"/>
        <v>0.26938579655042361</v>
      </c>
      <c r="T4684" s="161">
        <f t="shared" si="767"/>
        <v>129.84395393730418</v>
      </c>
      <c r="U4684" s="158">
        <f t="shared" si="769"/>
        <v>19.428023032629557</v>
      </c>
      <c r="V4684" s="160">
        <f t="shared" si="768"/>
        <v>19</v>
      </c>
    </row>
    <row r="4685" spans="1:22" x14ac:dyDescent="0.25">
      <c r="A4685" s="98" t="s">
        <v>25</v>
      </c>
      <c r="B4685" s="98" t="s">
        <v>17</v>
      </c>
      <c r="C4685" s="98">
        <v>158</v>
      </c>
      <c r="D4685" s="98">
        <v>3149</v>
      </c>
      <c r="E4685" s="157">
        <v>41832.755555555559</v>
      </c>
      <c r="F4685" s="157">
        <v>41832.840277777781</v>
      </c>
      <c r="G4685" s="98">
        <v>490</v>
      </c>
      <c r="H4685" s="98">
        <v>521</v>
      </c>
      <c r="I4685" s="98">
        <v>482</v>
      </c>
      <c r="J4685" s="98" t="s">
        <v>2034</v>
      </c>
      <c r="K4685" s="98" t="s">
        <v>40</v>
      </c>
      <c r="L4685" s="105" t="str">
        <f t="shared" si="760"/>
        <v>Mill Creek</v>
      </c>
      <c r="M4685" s="105" t="str">
        <f t="shared" si="761"/>
        <v>Derate</v>
      </c>
      <c r="N4685" s="105" t="str">
        <f t="shared" si="762"/>
        <v>Coal</v>
      </c>
      <c r="O4685" s="105">
        <f>IFERROR(VLOOKUP(A4685,Lookup!$J$5:$P$19,7,FALSE),0)</f>
        <v>3</v>
      </c>
      <c r="P4685" s="159">
        <f t="shared" si="763"/>
        <v>2014</v>
      </c>
      <c r="Q4685" s="159">
        <f t="shared" si="764"/>
        <v>7</v>
      </c>
      <c r="R4685" s="160">
        <f t="shared" si="765"/>
        <v>2.0333333333255723</v>
      </c>
      <c r="S4685" s="158">
        <f t="shared" si="766"/>
        <v>0.12098528470843137</v>
      </c>
      <c r="T4685" s="161">
        <f t="shared" si="767"/>
        <v>58.31490722946392</v>
      </c>
      <c r="U4685" s="158">
        <f t="shared" si="769"/>
        <v>28.679462571976966</v>
      </c>
      <c r="V4685" s="160">
        <f t="shared" si="768"/>
        <v>29</v>
      </c>
    </row>
    <row r="4686" spans="1:22" x14ac:dyDescent="0.25">
      <c r="A4686" s="98" t="s">
        <v>25</v>
      </c>
      <c r="B4686" s="98" t="s">
        <v>17</v>
      </c>
      <c r="C4686" s="98">
        <v>159</v>
      </c>
      <c r="D4686" s="98">
        <v>3149</v>
      </c>
      <c r="E4686" s="157">
        <v>41832.840277777781</v>
      </c>
      <c r="F4686" s="157">
        <v>41832.951388888891</v>
      </c>
      <c r="G4686" s="98">
        <v>480</v>
      </c>
      <c r="H4686" s="98">
        <v>521</v>
      </c>
      <c r="I4686" s="98">
        <v>482</v>
      </c>
      <c r="J4686" s="98" t="s">
        <v>2034</v>
      </c>
      <c r="K4686" s="98" t="s">
        <v>40</v>
      </c>
      <c r="L4686" s="105" t="str">
        <f t="shared" si="760"/>
        <v>Mill Creek</v>
      </c>
      <c r="M4686" s="105" t="str">
        <f t="shared" si="761"/>
        <v>Derate</v>
      </c>
      <c r="N4686" s="105" t="str">
        <f t="shared" si="762"/>
        <v>Coal</v>
      </c>
      <c r="O4686" s="105">
        <f>IFERROR(VLOOKUP(A4686,Lookup!$J$5:$P$19,7,FALSE),0)</f>
        <v>3</v>
      </c>
      <c r="P4686" s="159">
        <f t="shared" si="763"/>
        <v>2014</v>
      </c>
      <c r="Q4686" s="159">
        <f t="shared" si="764"/>
        <v>7</v>
      </c>
      <c r="R4686" s="160">
        <f t="shared" si="765"/>
        <v>2.6666666666278616</v>
      </c>
      <c r="S4686" s="158">
        <f t="shared" si="766"/>
        <v>0.20985284708587779</v>
      </c>
      <c r="T4686" s="161">
        <f t="shared" si="767"/>
        <v>101.1490722953931</v>
      </c>
      <c r="U4686" s="158">
        <f t="shared" si="769"/>
        <v>37.930902111324379</v>
      </c>
      <c r="V4686" s="160">
        <f t="shared" si="768"/>
        <v>38</v>
      </c>
    </row>
    <row r="4687" spans="1:22" x14ac:dyDescent="0.25">
      <c r="A4687" s="98" t="s">
        <v>25</v>
      </c>
      <c r="B4687" s="98" t="s">
        <v>17</v>
      </c>
      <c r="C4687" s="98">
        <v>160</v>
      </c>
      <c r="D4687" s="98">
        <v>3149</v>
      </c>
      <c r="E4687" s="157">
        <v>41832.951388888891</v>
      </c>
      <c r="F4687" s="157">
        <v>41833.377083333333</v>
      </c>
      <c r="G4687" s="98">
        <v>495</v>
      </c>
      <c r="H4687" s="98">
        <v>521</v>
      </c>
      <c r="I4687" s="98">
        <v>482</v>
      </c>
      <c r="J4687" s="98" t="s">
        <v>2034</v>
      </c>
      <c r="K4687" s="98" t="s">
        <v>40</v>
      </c>
      <c r="L4687" s="105" t="str">
        <f t="shared" si="760"/>
        <v>Mill Creek</v>
      </c>
      <c r="M4687" s="105" t="str">
        <f t="shared" si="761"/>
        <v>Derate</v>
      </c>
      <c r="N4687" s="105" t="str">
        <f t="shared" si="762"/>
        <v>Coal</v>
      </c>
      <c r="O4687" s="105">
        <f>IFERROR(VLOOKUP(A4687,Lookup!$J$5:$P$19,7,FALSE),0)</f>
        <v>3</v>
      </c>
      <c r="P4687" s="159">
        <f t="shared" si="763"/>
        <v>2014</v>
      </c>
      <c r="Q4687" s="159">
        <f t="shared" si="764"/>
        <v>7</v>
      </c>
      <c r="R4687" s="160">
        <f t="shared" si="765"/>
        <v>10.21666666661622</v>
      </c>
      <c r="S4687" s="158">
        <f t="shared" si="766"/>
        <v>0.5098528470864141</v>
      </c>
      <c r="T4687" s="161">
        <f t="shared" si="767"/>
        <v>245.74907229565159</v>
      </c>
      <c r="U4687" s="158">
        <f t="shared" si="769"/>
        <v>24.053742802303262</v>
      </c>
      <c r="V4687" s="160">
        <f t="shared" si="768"/>
        <v>24</v>
      </c>
    </row>
    <row r="4688" spans="1:22" x14ac:dyDescent="0.25">
      <c r="A4688" s="98" t="s">
        <v>25</v>
      </c>
      <c r="B4688" s="98" t="s">
        <v>17</v>
      </c>
      <c r="C4688" s="98">
        <v>161</v>
      </c>
      <c r="D4688" s="98">
        <v>3149</v>
      </c>
      <c r="E4688" s="157">
        <v>41833.377083333333</v>
      </c>
      <c r="F4688" s="157">
        <v>41833.430555555555</v>
      </c>
      <c r="G4688" s="98">
        <v>490</v>
      </c>
      <c r="H4688" s="98">
        <v>521</v>
      </c>
      <c r="I4688" s="98">
        <v>482</v>
      </c>
      <c r="J4688" s="98" t="s">
        <v>2034</v>
      </c>
      <c r="K4688" s="98" t="s">
        <v>40</v>
      </c>
      <c r="L4688" s="105" t="str">
        <f t="shared" si="760"/>
        <v>Mill Creek</v>
      </c>
      <c r="M4688" s="105" t="str">
        <f t="shared" si="761"/>
        <v>Derate</v>
      </c>
      <c r="N4688" s="105" t="str">
        <f t="shared" si="762"/>
        <v>Coal</v>
      </c>
      <c r="O4688" s="105">
        <f>IFERROR(VLOOKUP(A4688,Lookup!$J$5:$P$19,7,FALSE),0)</f>
        <v>3</v>
      </c>
      <c r="P4688" s="159">
        <f t="shared" si="763"/>
        <v>2014</v>
      </c>
      <c r="Q4688" s="159">
        <f t="shared" si="764"/>
        <v>7</v>
      </c>
      <c r="R4688" s="160">
        <f t="shared" si="765"/>
        <v>1.2833333333255723</v>
      </c>
      <c r="S4688" s="158">
        <f t="shared" si="766"/>
        <v>7.635956493875766E-2</v>
      </c>
      <c r="T4688" s="161">
        <f t="shared" si="767"/>
        <v>36.805310300481189</v>
      </c>
      <c r="U4688" s="158">
        <f t="shared" si="769"/>
        <v>28.679462571976966</v>
      </c>
      <c r="V4688" s="160">
        <f t="shared" si="768"/>
        <v>29</v>
      </c>
    </row>
    <row r="4689" spans="1:22" x14ac:dyDescent="0.25">
      <c r="A4689" s="98" t="s">
        <v>25</v>
      </c>
      <c r="B4689" s="98" t="s">
        <v>17</v>
      </c>
      <c r="C4689" s="98">
        <v>162</v>
      </c>
      <c r="D4689" s="98">
        <v>3149</v>
      </c>
      <c r="E4689" s="157">
        <v>41833.430555555555</v>
      </c>
      <c r="F4689" s="157">
        <v>41833.45416666667</v>
      </c>
      <c r="G4689" s="98">
        <v>480</v>
      </c>
      <c r="H4689" s="98">
        <v>521</v>
      </c>
      <c r="I4689" s="98">
        <v>482</v>
      </c>
      <c r="J4689" s="98" t="s">
        <v>2034</v>
      </c>
      <c r="K4689" s="98" t="s">
        <v>40</v>
      </c>
      <c r="L4689" s="105" t="str">
        <f t="shared" si="760"/>
        <v>Mill Creek</v>
      </c>
      <c r="M4689" s="105" t="str">
        <f t="shared" si="761"/>
        <v>Derate</v>
      </c>
      <c r="N4689" s="105" t="str">
        <f t="shared" si="762"/>
        <v>Coal</v>
      </c>
      <c r="O4689" s="105">
        <f>IFERROR(VLOOKUP(A4689,Lookup!$J$5:$P$19,7,FALSE),0)</f>
        <v>3</v>
      </c>
      <c r="P4689" s="159">
        <f t="shared" si="763"/>
        <v>2014</v>
      </c>
      <c r="Q4689" s="159">
        <f t="shared" si="764"/>
        <v>7</v>
      </c>
      <c r="R4689" s="160">
        <f t="shared" si="765"/>
        <v>0.56666666676755995</v>
      </c>
      <c r="S4689" s="158">
        <f t="shared" si="766"/>
        <v>4.459373001433773E-2</v>
      </c>
      <c r="T4689" s="161">
        <f t="shared" si="767"/>
        <v>21.494177866910785</v>
      </c>
      <c r="U4689" s="158">
        <f t="shared" si="769"/>
        <v>37.930902111324379</v>
      </c>
      <c r="V4689" s="160">
        <f t="shared" si="768"/>
        <v>38</v>
      </c>
    </row>
    <row r="4690" spans="1:22" x14ac:dyDescent="0.25">
      <c r="A4690" s="98" t="s">
        <v>25</v>
      </c>
      <c r="B4690" s="98" t="s">
        <v>17</v>
      </c>
      <c r="C4690" s="98">
        <v>163</v>
      </c>
      <c r="D4690" s="98">
        <v>3149</v>
      </c>
      <c r="E4690" s="157">
        <v>41833.45416666667</v>
      </c>
      <c r="F4690" s="157">
        <v>41834.488194444442</v>
      </c>
      <c r="G4690" s="98">
        <v>470</v>
      </c>
      <c r="H4690" s="98">
        <v>521</v>
      </c>
      <c r="I4690" s="98">
        <v>482</v>
      </c>
      <c r="J4690" s="98" t="s">
        <v>2034</v>
      </c>
      <c r="K4690" s="98" t="s">
        <v>40</v>
      </c>
      <c r="L4690" s="105" t="str">
        <f t="shared" si="760"/>
        <v>Mill Creek</v>
      </c>
      <c r="M4690" s="105" t="str">
        <f t="shared" si="761"/>
        <v>Derate</v>
      </c>
      <c r="N4690" s="105" t="str">
        <f t="shared" si="762"/>
        <v>Coal</v>
      </c>
      <c r="O4690" s="105">
        <f>IFERROR(VLOOKUP(A4690,Lookup!$J$5:$P$19,7,FALSE),0)</f>
        <v>3</v>
      </c>
      <c r="P4690" s="159">
        <f t="shared" si="763"/>
        <v>2014</v>
      </c>
      <c r="Q4690" s="159">
        <f t="shared" si="764"/>
        <v>7</v>
      </c>
      <c r="R4690" s="160">
        <f t="shared" si="765"/>
        <v>24.816666666534729</v>
      </c>
      <c r="S4690" s="158">
        <f t="shared" si="766"/>
        <v>2.4292706333843976</v>
      </c>
      <c r="T4690" s="161">
        <f t="shared" si="767"/>
        <v>1170.9084452912796</v>
      </c>
      <c r="U4690" s="158">
        <f t="shared" si="769"/>
        <v>47.182341650671788</v>
      </c>
      <c r="V4690" s="160">
        <f t="shared" si="768"/>
        <v>47</v>
      </c>
    </row>
    <row r="4691" spans="1:22" x14ac:dyDescent="0.25">
      <c r="A4691" s="98" t="s">
        <v>25</v>
      </c>
      <c r="B4691" s="98" t="s">
        <v>17</v>
      </c>
      <c r="C4691" s="98">
        <v>164</v>
      </c>
      <c r="D4691" s="98">
        <v>3149</v>
      </c>
      <c r="E4691" s="157">
        <v>41834.488194444442</v>
      </c>
      <c r="F4691" s="157">
        <v>41834.570833333331</v>
      </c>
      <c r="G4691" s="98">
        <v>490</v>
      </c>
      <c r="H4691" s="98">
        <v>521</v>
      </c>
      <c r="I4691" s="98">
        <v>482</v>
      </c>
      <c r="J4691" s="98" t="s">
        <v>2034</v>
      </c>
      <c r="K4691" s="98" t="s">
        <v>40</v>
      </c>
      <c r="L4691" s="105" t="str">
        <f t="shared" si="760"/>
        <v>Mill Creek</v>
      </c>
      <c r="M4691" s="105" t="str">
        <f t="shared" si="761"/>
        <v>Derate</v>
      </c>
      <c r="N4691" s="105" t="str">
        <f t="shared" si="762"/>
        <v>Coal</v>
      </c>
      <c r="O4691" s="105">
        <f>IFERROR(VLOOKUP(A4691,Lookup!$J$5:$P$19,7,FALSE),0)</f>
        <v>3</v>
      </c>
      <c r="P4691" s="159">
        <f t="shared" si="763"/>
        <v>2014</v>
      </c>
      <c r="Q4691" s="159">
        <f t="shared" si="764"/>
        <v>7</v>
      </c>
      <c r="R4691" s="160">
        <f t="shared" si="765"/>
        <v>1.9833333333372138</v>
      </c>
      <c r="S4691" s="158">
        <f t="shared" si="766"/>
        <v>0.11801023672447913</v>
      </c>
      <c r="T4691" s="161">
        <f t="shared" si="767"/>
        <v>56.880934101198946</v>
      </c>
      <c r="U4691" s="158">
        <f t="shared" si="769"/>
        <v>28.679462571976966</v>
      </c>
      <c r="V4691" s="160">
        <f t="shared" si="768"/>
        <v>29</v>
      </c>
    </row>
    <row r="4692" spans="1:22" x14ac:dyDescent="0.25">
      <c r="A4692" s="98" t="s">
        <v>25</v>
      </c>
      <c r="B4692" s="98" t="s">
        <v>17</v>
      </c>
      <c r="C4692" s="98">
        <v>165</v>
      </c>
      <c r="D4692" s="98">
        <v>3149</v>
      </c>
      <c r="E4692" s="157">
        <v>41834.570833333331</v>
      </c>
      <c r="F4692" s="157">
        <v>41834.975694444445</v>
      </c>
      <c r="G4692" s="98">
        <v>480</v>
      </c>
      <c r="H4692" s="98">
        <v>521</v>
      </c>
      <c r="I4692" s="98">
        <v>482</v>
      </c>
      <c r="J4692" s="98" t="s">
        <v>2034</v>
      </c>
      <c r="K4692" s="98" t="s">
        <v>40</v>
      </c>
      <c r="L4692" s="105" t="str">
        <f t="shared" si="760"/>
        <v>Mill Creek</v>
      </c>
      <c r="M4692" s="105" t="str">
        <f t="shared" si="761"/>
        <v>Derate</v>
      </c>
      <c r="N4692" s="105" t="str">
        <f t="shared" si="762"/>
        <v>Coal</v>
      </c>
      <c r="O4692" s="105">
        <f>IFERROR(VLOOKUP(A4692,Lookup!$J$5:$P$19,7,FALSE),0)</f>
        <v>3</v>
      </c>
      <c r="P4692" s="159">
        <f t="shared" si="763"/>
        <v>2014</v>
      </c>
      <c r="Q4692" s="159">
        <f t="shared" si="764"/>
        <v>7</v>
      </c>
      <c r="R4692" s="160">
        <f t="shared" si="765"/>
        <v>9.7166666667326353</v>
      </c>
      <c r="S4692" s="158">
        <f t="shared" si="766"/>
        <v>0.76465131158548572</v>
      </c>
      <c r="T4692" s="161">
        <f t="shared" si="767"/>
        <v>368.56193218420412</v>
      </c>
      <c r="U4692" s="158">
        <f t="shared" si="769"/>
        <v>37.930902111324379</v>
      </c>
      <c r="V4692" s="160">
        <f t="shared" si="768"/>
        <v>38</v>
      </c>
    </row>
    <row r="4693" spans="1:22" x14ac:dyDescent="0.25">
      <c r="A4693" s="98" t="s">
        <v>25</v>
      </c>
      <c r="B4693" s="98" t="s">
        <v>20</v>
      </c>
      <c r="C4693" s="98">
        <v>166</v>
      </c>
      <c r="D4693" s="98">
        <v>3340</v>
      </c>
      <c r="E4693" s="157">
        <v>41834.975694444445</v>
      </c>
      <c r="F4693" s="157">
        <v>41837.871527777781</v>
      </c>
      <c r="G4693" s="98">
        <v>0</v>
      </c>
      <c r="H4693" s="98">
        <v>521</v>
      </c>
      <c r="I4693" s="98">
        <v>482</v>
      </c>
      <c r="J4693" s="98" t="s">
        <v>2389</v>
      </c>
      <c r="K4693" s="98" t="s">
        <v>2895</v>
      </c>
      <c r="L4693" s="105" t="str">
        <f t="shared" si="760"/>
        <v>Mill Creek</v>
      </c>
      <c r="M4693" s="105" t="str">
        <f t="shared" si="761"/>
        <v>Maintenance</v>
      </c>
      <c r="N4693" s="105" t="str">
        <f t="shared" si="762"/>
        <v>Coal</v>
      </c>
      <c r="O4693" s="105">
        <f>IFERROR(VLOOKUP(A4693,Lookup!$J$5:$P$19,7,FALSE),0)</f>
        <v>3</v>
      </c>
      <c r="P4693" s="159">
        <f t="shared" si="763"/>
        <v>2014</v>
      </c>
      <c r="Q4693" s="159">
        <f t="shared" si="764"/>
        <v>7</v>
      </c>
      <c r="R4693" s="160">
        <f t="shared" si="765"/>
        <v>69.500000000058208</v>
      </c>
      <c r="S4693" s="158">
        <f t="shared" si="766"/>
        <v>69.500000000058208</v>
      </c>
      <c r="T4693" s="161">
        <f t="shared" si="767"/>
        <v>33499.000000028056</v>
      </c>
      <c r="U4693" s="158">
        <f t="shared" si="769"/>
        <v>482</v>
      </c>
      <c r="V4693" s="160">
        <f t="shared" si="768"/>
        <v>482</v>
      </c>
    </row>
    <row r="4694" spans="1:22" x14ac:dyDescent="0.25">
      <c r="A4694" s="98" t="s">
        <v>25</v>
      </c>
      <c r="B4694" s="98" t="s">
        <v>15</v>
      </c>
      <c r="C4694" s="98">
        <v>167</v>
      </c>
      <c r="D4694" s="98">
        <v>800</v>
      </c>
      <c r="E4694" s="157">
        <v>41837.913888888892</v>
      </c>
      <c r="F4694" s="157">
        <v>41837.976388888892</v>
      </c>
      <c r="G4694" s="98">
        <v>0</v>
      </c>
      <c r="H4694" s="98">
        <v>521</v>
      </c>
      <c r="I4694" s="98">
        <v>482</v>
      </c>
      <c r="J4694" s="98" t="s">
        <v>2197</v>
      </c>
      <c r="K4694" s="98" t="s">
        <v>2896</v>
      </c>
      <c r="L4694" s="105" t="str">
        <f t="shared" si="760"/>
        <v>Mill Creek</v>
      </c>
      <c r="M4694" s="105" t="str">
        <f t="shared" si="761"/>
        <v>Outage</v>
      </c>
      <c r="N4694" s="105" t="str">
        <f t="shared" si="762"/>
        <v>Coal</v>
      </c>
      <c r="O4694" s="105">
        <f>IFERROR(VLOOKUP(A4694,Lookup!$J$5:$P$19,7,FALSE),0)</f>
        <v>3</v>
      </c>
      <c r="P4694" s="159">
        <f t="shared" si="763"/>
        <v>2014</v>
      </c>
      <c r="Q4694" s="159">
        <f t="shared" si="764"/>
        <v>7</v>
      </c>
      <c r="R4694" s="160">
        <f t="shared" si="765"/>
        <v>1.5</v>
      </c>
      <c r="S4694" s="158">
        <f t="shared" si="766"/>
        <v>1.5</v>
      </c>
      <c r="T4694" s="161">
        <f t="shared" si="767"/>
        <v>723</v>
      </c>
      <c r="U4694" s="158">
        <f t="shared" si="769"/>
        <v>482</v>
      </c>
      <c r="V4694" s="160">
        <f t="shared" si="768"/>
        <v>482</v>
      </c>
    </row>
    <row r="4695" spans="1:22" x14ac:dyDescent="0.25">
      <c r="A4695" s="98" t="s">
        <v>25</v>
      </c>
      <c r="B4695" s="98" t="s">
        <v>17</v>
      </c>
      <c r="C4695" s="98">
        <v>168</v>
      </c>
      <c r="D4695" s="98">
        <v>4261</v>
      </c>
      <c r="E4695" s="157">
        <v>41838.241666666669</v>
      </c>
      <c r="F4695" s="157">
        <v>41838.257638888892</v>
      </c>
      <c r="G4695" s="98">
        <v>155</v>
      </c>
      <c r="H4695" s="98">
        <v>521</v>
      </c>
      <c r="I4695" s="98">
        <v>482</v>
      </c>
      <c r="J4695" s="98" t="s">
        <v>1985</v>
      </c>
      <c r="K4695" s="98" t="s">
        <v>2897</v>
      </c>
      <c r="L4695" s="105" t="str">
        <f t="shared" si="760"/>
        <v>Mill Creek</v>
      </c>
      <c r="M4695" s="105" t="str">
        <f t="shared" si="761"/>
        <v>Derate</v>
      </c>
      <c r="N4695" s="105" t="str">
        <f t="shared" si="762"/>
        <v>Coal</v>
      </c>
      <c r="O4695" s="105">
        <f>IFERROR(VLOOKUP(A4695,Lookup!$J$5:$P$19,7,FALSE),0)</f>
        <v>3</v>
      </c>
      <c r="P4695" s="159">
        <f t="shared" si="763"/>
        <v>2014</v>
      </c>
      <c r="Q4695" s="159">
        <f t="shared" si="764"/>
        <v>7</v>
      </c>
      <c r="R4695" s="160">
        <f t="shared" si="765"/>
        <v>0.38333333336049691</v>
      </c>
      <c r="S4695" s="158">
        <f t="shared" si="766"/>
        <v>0.26928982727436057</v>
      </c>
      <c r="T4695" s="161">
        <f t="shared" si="767"/>
        <v>129.7976967462418</v>
      </c>
      <c r="U4695" s="158">
        <f t="shared" si="769"/>
        <v>338.60268714011517</v>
      </c>
      <c r="V4695" s="160">
        <f t="shared" si="768"/>
        <v>339</v>
      </c>
    </row>
    <row r="4696" spans="1:22" x14ac:dyDescent="0.25">
      <c r="A4696" s="98" t="s">
        <v>25</v>
      </c>
      <c r="B4696" s="98" t="s">
        <v>17</v>
      </c>
      <c r="C4696" s="98">
        <v>169</v>
      </c>
      <c r="D4696" s="98">
        <v>1850</v>
      </c>
      <c r="E4696" s="157">
        <v>41838.43472222222</v>
      </c>
      <c r="F4696" s="157">
        <v>41838.590277777781</v>
      </c>
      <c r="G4696" s="98">
        <v>382</v>
      </c>
      <c r="H4696" s="98">
        <v>521</v>
      </c>
      <c r="I4696" s="98">
        <v>482</v>
      </c>
      <c r="J4696" s="98" t="s">
        <v>2263</v>
      </c>
      <c r="K4696" s="98" t="s">
        <v>41</v>
      </c>
      <c r="L4696" s="105" t="str">
        <f t="shared" si="760"/>
        <v>Mill Creek</v>
      </c>
      <c r="M4696" s="105" t="str">
        <f t="shared" si="761"/>
        <v>Derate</v>
      </c>
      <c r="N4696" s="105" t="str">
        <f t="shared" si="762"/>
        <v>Coal</v>
      </c>
      <c r="O4696" s="105">
        <f>IFERROR(VLOOKUP(A4696,Lookup!$J$5:$P$19,7,FALSE),0)</f>
        <v>3</v>
      </c>
      <c r="P4696" s="159">
        <f t="shared" si="763"/>
        <v>2014</v>
      </c>
      <c r="Q4696" s="159">
        <f t="shared" si="764"/>
        <v>7</v>
      </c>
      <c r="R4696" s="160">
        <f t="shared" si="765"/>
        <v>3.7333333334536292</v>
      </c>
      <c r="S4696" s="158">
        <f t="shared" si="766"/>
        <v>0.99603326938590109</v>
      </c>
      <c r="T4696" s="161">
        <f t="shared" si="767"/>
        <v>480.08803584400431</v>
      </c>
      <c r="U4696" s="158">
        <f t="shared" si="769"/>
        <v>128.59500959692897</v>
      </c>
      <c r="V4696" s="160">
        <f t="shared" si="768"/>
        <v>129</v>
      </c>
    </row>
    <row r="4697" spans="1:22" x14ac:dyDescent="0.25">
      <c r="A4697" s="98" t="s">
        <v>25</v>
      </c>
      <c r="B4697" s="98" t="s">
        <v>17</v>
      </c>
      <c r="C4697" s="98">
        <v>170</v>
      </c>
      <c r="D4697" s="98">
        <v>1850</v>
      </c>
      <c r="E4697" s="157">
        <v>41838.590277777781</v>
      </c>
      <c r="F4697" s="157">
        <v>41838.670138888891</v>
      </c>
      <c r="G4697" s="98">
        <v>490</v>
      </c>
      <c r="H4697" s="98">
        <v>521</v>
      </c>
      <c r="I4697" s="98">
        <v>482</v>
      </c>
      <c r="J4697" s="98" t="s">
        <v>2263</v>
      </c>
      <c r="K4697" s="98" t="s">
        <v>41</v>
      </c>
      <c r="L4697" s="105" t="str">
        <f t="shared" si="760"/>
        <v>Mill Creek</v>
      </c>
      <c r="M4697" s="105" t="str">
        <f t="shared" si="761"/>
        <v>Derate</v>
      </c>
      <c r="N4697" s="105" t="str">
        <f t="shared" si="762"/>
        <v>Coal</v>
      </c>
      <c r="O4697" s="105">
        <f>IFERROR(VLOOKUP(A4697,Lookup!$J$5:$P$19,7,FALSE),0)</f>
        <v>3</v>
      </c>
      <c r="P4697" s="159">
        <f t="shared" si="763"/>
        <v>2014</v>
      </c>
      <c r="Q4697" s="159">
        <f t="shared" si="764"/>
        <v>7</v>
      </c>
      <c r="R4697" s="160">
        <f t="shared" si="765"/>
        <v>1.9166666666278616</v>
      </c>
      <c r="S4697" s="158">
        <f t="shared" si="766"/>
        <v>0.11404350607574608</v>
      </c>
      <c r="T4697" s="161">
        <f t="shared" si="767"/>
        <v>54.968969928509608</v>
      </c>
      <c r="U4697" s="158">
        <f t="shared" si="769"/>
        <v>28.679462571976966</v>
      </c>
      <c r="V4697" s="160">
        <f t="shared" si="768"/>
        <v>29</v>
      </c>
    </row>
    <row r="4698" spans="1:22" x14ac:dyDescent="0.25">
      <c r="A4698" s="98" t="s">
        <v>25</v>
      </c>
      <c r="B4698" s="98" t="s">
        <v>17</v>
      </c>
      <c r="C4698" s="98">
        <v>171</v>
      </c>
      <c r="D4698" s="98">
        <v>1710</v>
      </c>
      <c r="E4698" s="157">
        <v>41838.670138888891</v>
      </c>
      <c r="F4698" s="157">
        <v>41839.56527777778</v>
      </c>
      <c r="G4698" s="98">
        <v>498</v>
      </c>
      <c r="H4698" s="98">
        <v>521</v>
      </c>
      <c r="I4698" s="98">
        <v>482</v>
      </c>
      <c r="J4698" s="98" t="s">
        <v>2020</v>
      </c>
      <c r="K4698" s="98" t="s">
        <v>718</v>
      </c>
      <c r="L4698" s="105" t="str">
        <f t="shared" si="760"/>
        <v>Mill Creek</v>
      </c>
      <c r="M4698" s="105" t="str">
        <f t="shared" si="761"/>
        <v>Derate</v>
      </c>
      <c r="N4698" s="105" t="str">
        <f t="shared" si="762"/>
        <v>Coal</v>
      </c>
      <c r="O4698" s="105">
        <f>IFERROR(VLOOKUP(A4698,Lookup!$J$5:$P$19,7,FALSE),0)</f>
        <v>3</v>
      </c>
      <c r="P4698" s="159">
        <f t="shared" si="763"/>
        <v>2014</v>
      </c>
      <c r="Q4698" s="159">
        <f t="shared" si="764"/>
        <v>7</v>
      </c>
      <c r="R4698" s="160">
        <f t="shared" si="765"/>
        <v>21.483333333337214</v>
      </c>
      <c r="S4698" s="158">
        <f t="shared" si="766"/>
        <v>0.94840051183638374</v>
      </c>
      <c r="T4698" s="161">
        <f t="shared" si="767"/>
        <v>457.12904670513694</v>
      </c>
      <c r="U4698" s="158">
        <f t="shared" si="769"/>
        <v>21.27831094049904</v>
      </c>
      <c r="V4698" s="160">
        <f t="shared" si="768"/>
        <v>21</v>
      </c>
    </row>
    <row r="4699" spans="1:22" x14ac:dyDescent="0.25">
      <c r="A4699" s="98" t="s">
        <v>25</v>
      </c>
      <c r="B4699" s="98" t="s">
        <v>17</v>
      </c>
      <c r="C4699" s="98">
        <v>172</v>
      </c>
      <c r="D4699" s="98">
        <v>1710</v>
      </c>
      <c r="E4699" s="157">
        <v>41839.56527777778</v>
      </c>
      <c r="F4699" s="157">
        <v>41845.071527777778</v>
      </c>
      <c r="G4699" s="98">
        <v>502</v>
      </c>
      <c r="H4699" s="98">
        <v>521</v>
      </c>
      <c r="I4699" s="98">
        <v>482</v>
      </c>
      <c r="J4699" s="98" t="s">
        <v>2020</v>
      </c>
      <c r="K4699" s="98" t="s">
        <v>718</v>
      </c>
      <c r="L4699" s="105" t="str">
        <f t="shared" si="760"/>
        <v>Mill Creek</v>
      </c>
      <c r="M4699" s="105" t="str">
        <f t="shared" si="761"/>
        <v>Derate</v>
      </c>
      <c r="N4699" s="105" t="str">
        <f t="shared" si="762"/>
        <v>Coal</v>
      </c>
      <c r="O4699" s="105">
        <f>IFERROR(VLOOKUP(A4699,Lookup!$J$5:$P$19,7,FALSE),0)</f>
        <v>3</v>
      </c>
      <c r="P4699" s="159">
        <f t="shared" si="763"/>
        <v>2014</v>
      </c>
      <c r="Q4699" s="159">
        <f t="shared" si="764"/>
        <v>7</v>
      </c>
      <c r="R4699" s="160">
        <f t="shared" si="765"/>
        <v>132.14999999996508</v>
      </c>
      <c r="S4699" s="158">
        <f t="shared" si="766"/>
        <v>4.8192898272540043</v>
      </c>
      <c r="T4699" s="161">
        <f t="shared" si="767"/>
        <v>2322.8976967364301</v>
      </c>
      <c r="U4699" s="158">
        <f t="shared" si="769"/>
        <v>17.577735124760078</v>
      </c>
      <c r="V4699" s="160">
        <f t="shared" si="768"/>
        <v>18</v>
      </c>
    </row>
    <row r="4700" spans="1:22" x14ac:dyDescent="0.25">
      <c r="A4700" s="98" t="s">
        <v>25</v>
      </c>
      <c r="B4700" s="98" t="s">
        <v>17</v>
      </c>
      <c r="C4700" s="98">
        <v>173</v>
      </c>
      <c r="D4700" s="98">
        <v>3149</v>
      </c>
      <c r="E4700" s="157">
        <v>41842.79791666667</v>
      </c>
      <c r="F4700" s="157">
        <v>41842.927083333336</v>
      </c>
      <c r="G4700" s="98">
        <v>490</v>
      </c>
      <c r="H4700" s="98">
        <v>521</v>
      </c>
      <c r="I4700" s="98">
        <v>482</v>
      </c>
      <c r="J4700" s="98" t="s">
        <v>2034</v>
      </c>
      <c r="K4700" s="98" t="s">
        <v>40</v>
      </c>
      <c r="L4700" s="105" t="str">
        <f t="shared" si="760"/>
        <v>Mill Creek</v>
      </c>
      <c r="M4700" s="105" t="str">
        <f t="shared" si="761"/>
        <v>Derate</v>
      </c>
      <c r="N4700" s="105" t="str">
        <f t="shared" si="762"/>
        <v>Coal</v>
      </c>
      <c r="O4700" s="105">
        <f>IFERROR(VLOOKUP(A4700,Lookup!$J$5:$P$19,7,FALSE),0)</f>
        <v>3</v>
      </c>
      <c r="P4700" s="159">
        <f t="shared" si="763"/>
        <v>2014</v>
      </c>
      <c r="Q4700" s="159">
        <f t="shared" si="764"/>
        <v>7</v>
      </c>
      <c r="R4700" s="160">
        <f t="shared" si="765"/>
        <v>3.0999999999767169</v>
      </c>
      <c r="S4700" s="158">
        <f t="shared" si="766"/>
        <v>0.18445297504659927</v>
      </c>
      <c r="T4700" s="161">
        <f t="shared" si="767"/>
        <v>88.906333972460843</v>
      </c>
      <c r="U4700" s="158">
        <f t="shared" si="769"/>
        <v>28.679462571976966</v>
      </c>
      <c r="V4700" s="160">
        <f t="shared" si="768"/>
        <v>29</v>
      </c>
    </row>
    <row r="4701" spans="1:22" x14ac:dyDescent="0.25">
      <c r="A4701" s="98" t="s">
        <v>25</v>
      </c>
      <c r="B4701" s="98" t="s">
        <v>105</v>
      </c>
      <c r="C4701" s="98">
        <v>174</v>
      </c>
      <c r="D4701" s="98">
        <v>310</v>
      </c>
      <c r="E4701" s="157">
        <v>41842.995138888888</v>
      </c>
      <c r="F4701" s="157">
        <v>41843.131249999999</v>
      </c>
      <c r="G4701" s="98">
        <v>425</v>
      </c>
      <c r="H4701" s="98">
        <v>521</v>
      </c>
      <c r="I4701" s="98">
        <v>482</v>
      </c>
      <c r="J4701" s="98" t="s">
        <v>1966</v>
      </c>
      <c r="K4701" s="98" t="s">
        <v>255</v>
      </c>
      <c r="L4701" s="105" t="str">
        <f t="shared" si="760"/>
        <v>Mill Creek</v>
      </c>
      <c r="M4701" s="105" t="str">
        <f t="shared" si="761"/>
        <v>Derate</v>
      </c>
      <c r="N4701" s="105" t="str">
        <f t="shared" si="762"/>
        <v>Coal</v>
      </c>
      <c r="O4701" s="105">
        <f>IFERROR(VLOOKUP(A4701,Lookup!$J$5:$P$19,7,FALSE),0)</f>
        <v>3</v>
      </c>
      <c r="P4701" s="159">
        <f t="shared" si="763"/>
        <v>2014</v>
      </c>
      <c r="Q4701" s="159">
        <f t="shared" si="764"/>
        <v>7</v>
      </c>
      <c r="R4701" s="160">
        <f t="shared" si="765"/>
        <v>3.2666666666627862</v>
      </c>
      <c r="S4701" s="158">
        <f t="shared" si="766"/>
        <v>0.60191938579583004</v>
      </c>
      <c r="T4701" s="161">
        <f t="shared" si="767"/>
        <v>290.12514395359005</v>
      </c>
      <c r="U4701" s="158">
        <f t="shared" si="769"/>
        <v>88.813819577735131</v>
      </c>
      <c r="V4701" s="160">
        <f t="shared" si="768"/>
        <v>89</v>
      </c>
    </row>
    <row r="4702" spans="1:22" x14ac:dyDescent="0.25">
      <c r="A4702" s="98" t="s">
        <v>25</v>
      </c>
      <c r="B4702" s="98" t="s">
        <v>15</v>
      </c>
      <c r="C4702" s="98">
        <v>175</v>
      </c>
      <c r="D4702" s="98">
        <v>1000</v>
      </c>
      <c r="E4702" s="157">
        <v>41845.071527777778</v>
      </c>
      <c r="F4702" s="157">
        <v>41847.715277777781</v>
      </c>
      <c r="G4702" s="98">
        <v>0</v>
      </c>
      <c r="H4702" s="98">
        <v>521</v>
      </c>
      <c r="I4702" s="98">
        <v>482</v>
      </c>
      <c r="J4702" s="98" t="s">
        <v>2002</v>
      </c>
      <c r="K4702" s="98" t="s">
        <v>2898</v>
      </c>
      <c r="L4702" s="105" t="str">
        <f t="shared" si="760"/>
        <v>Mill Creek</v>
      </c>
      <c r="M4702" s="105" t="str">
        <f t="shared" si="761"/>
        <v>Outage</v>
      </c>
      <c r="N4702" s="105" t="str">
        <f t="shared" si="762"/>
        <v>Coal</v>
      </c>
      <c r="O4702" s="105">
        <f>IFERROR(VLOOKUP(A4702,Lookup!$J$5:$P$19,7,FALSE),0)</f>
        <v>3</v>
      </c>
      <c r="P4702" s="159">
        <f t="shared" si="763"/>
        <v>2014</v>
      </c>
      <c r="Q4702" s="159">
        <f t="shared" si="764"/>
        <v>7</v>
      </c>
      <c r="R4702" s="160">
        <f t="shared" si="765"/>
        <v>63.450000000069849</v>
      </c>
      <c r="S4702" s="158">
        <f t="shared" si="766"/>
        <v>63.450000000069849</v>
      </c>
      <c r="T4702" s="161">
        <f t="shared" si="767"/>
        <v>30582.900000033667</v>
      </c>
      <c r="U4702" s="158">
        <f t="shared" si="769"/>
        <v>482</v>
      </c>
      <c r="V4702" s="160">
        <f t="shared" si="768"/>
        <v>482</v>
      </c>
    </row>
    <row r="4703" spans="1:22" x14ac:dyDescent="0.25">
      <c r="A4703" s="98" t="s">
        <v>25</v>
      </c>
      <c r="B4703" s="98" t="s">
        <v>79</v>
      </c>
      <c r="C4703" s="98">
        <v>176</v>
      </c>
      <c r="D4703" s="98">
        <v>1850</v>
      </c>
      <c r="E4703" s="157">
        <v>41847.715277777781</v>
      </c>
      <c r="F4703" s="157">
        <v>41847.729166666664</v>
      </c>
      <c r="G4703" s="98">
        <v>0</v>
      </c>
      <c r="H4703" s="98">
        <v>521</v>
      </c>
      <c r="I4703" s="98">
        <v>482</v>
      </c>
      <c r="J4703" s="98" t="s">
        <v>2263</v>
      </c>
      <c r="K4703" s="98" t="s">
        <v>85</v>
      </c>
      <c r="L4703" s="105" t="str">
        <f t="shared" si="760"/>
        <v>Mill Creek</v>
      </c>
      <c r="M4703" s="105" t="str">
        <f t="shared" si="761"/>
        <v>Other</v>
      </c>
      <c r="N4703" s="105" t="str">
        <f t="shared" si="762"/>
        <v>Coal</v>
      </c>
      <c r="O4703" s="105">
        <f>IFERROR(VLOOKUP(A4703,Lookup!$J$5:$P$19,7,FALSE),0)</f>
        <v>3</v>
      </c>
      <c r="P4703" s="159">
        <f t="shared" si="763"/>
        <v>2014</v>
      </c>
      <c r="Q4703" s="159">
        <f t="shared" si="764"/>
        <v>7</v>
      </c>
      <c r="R4703" s="160">
        <f t="shared" si="765"/>
        <v>0.33333333319751546</v>
      </c>
      <c r="S4703" s="158">
        <f t="shared" si="766"/>
        <v>0.33333333319751546</v>
      </c>
      <c r="T4703" s="161">
        <f t="shared" si="767"/>
        <v>160.66666660120245</v>
      </c>
      <c r="U4703" s="158">
        <f t="shared" si="769"/>
        <v>482</v>
      </c>
      <c r="V4703" s="160">
        <f t="shared" si="768"/>
        <v>482</v>
      </c>
    </row>
    <row r="4704" spans="1:22" x14ac:dyDescent="0.25">
      <c r="A4704" s="98" t="s">
        <v>25</v>
      </c>
      <c r="B4704" s="98" t="s">
        <v>15</v>
      </c>
      <c r="C4704" s="98">
        <v>177</v>
      </c>
      <c r="D4704" s="98">
        <v>800</v>
      </c>
      <c r="E4704" s="157">
        <v>41847.729166666664</v>
      </c>
      <c r="F4704" s="157">
        <v>41847.798611111109</v>
      </c>
      <c r="G4704" s="98">
        <v>0</v>
      </c>
      <c r="H4704" s="98">
        <v>521</v>
      </c>
      <c r="I4704" s="98">
        <v>482</v>
      </c>
      <c r="J4704" s="98" t="s">
        <v>2197</v>
      </c>
      <c r="K4704" s="98" t="s">
        <v>2899</v>
      </c>
      <c r="L4704" s="105" t="str">
        <f t="shared" si="760"/>
        <v>Mill Creek</v>
      </c>
      <c r="M4704" s="105" t="str">
        <f t="shared" si="761"/>
        <v>Outage</v>
      </c>
      <c r="N4704" s="105" t="str">
        <f t="shared" si="762"/>
        <v>Coal</v>
      </c>
      <c r="O4704" s="105">
        <f>IFERROR(VLOOKUP(A4704,Lookup!$J$5:$P$19,7,FALSE),0)</f>
        <v>3</v>
      </c>
      <c r="P4704" s="159">
        <f t="shared" si="763"/>
        <v>2014</v>
      </c>
      <c r="Q4704" s="159">
        <f t="shared" si="764"/>
        <v>7</v>
      </c>
      <c r="R4704" s="160">
        <f t="shared" si="765"/>
        <v>1.6666666666860692</v>
      </c>
      <c r="S4704" s="158">
        <f t="shared" si="766"/>
        <v>1.6666666666860692</v>
      </c>
      <c r="T4704" s="161">
        <f t="shared" si="767"/>
        <v>803.33333334268536</v>
      </c>
      <c r="U4704" s="158">
        <f t="shared" si="769"/>
        <v>482</v>
      </c>
      <c r="V4704" s="160">
        <f t="shared" si="768"/>
        <v>482</v>
      </c>
    </row>
    <row r="4705" spans="1:22" x14ac:dyDescent="0.25">
      <c r="A4705" s="98" t="s">
        <v>25</v>
      </c>
      <c r="B4705" s="98" t="s">
        <v>79</v>
      </c>
      <c r="C4705" s="98">
        <v>178</v>
      </c>
      <c r="D4705" s="98">
        <v>1850</v>
      </c>
      <c r="E4705" s="157">
        <v>41847.798611111109</v>
      </c>
      <c r="F4705" s="157">
        <v>41848.12777777778</v>
      </c>
      <c r="G4705" s="98">
        <v>0</v>
      </c>
      <c r="H4705" s="98">
        <v>521</v>
      </c>
      <c r="I4705" s="98">
        <v>482</v>
      </c>
      <c r="J4705" s="98" t="s">
        <v>2263</v>
      </c>
      <c r="K4705" s="98" t="s">
        <v>85</v>
      </c>
      <c r="L4705" s="105" t="str">
        <f t="shared" si="760"/>
        <v>Mill Creek</v>
      </c>
      <c r="M4705" s="105" t="str">
        <f t="shared" si="761"/>
        <v>Other</v>
      </c>
      <c r="N4705" s="105" t="str">
        <f t="shared" si="762"/>
        <v>Coal</v>
      </c>
      <c r="O4705" s="105">
        <f>IFERROR(VLOOKUP(A4705,Lookup!$J$5:$P$19,7,FALSE),0)</f>
        <v>3</v>
      </c>
      <c r="P4705" s="159">
        <f t="shared" si="763"/>
        <v>2014</v>
      </c>
      <c r="Q4705" s="159">
        <f t="shared" si="764"/>
        <v>7</v>
      </c>
      <c r="R4705" s="160">
        <f t="shared" si="765"/>
        <v>7.9000000000814907</v>
      </c>
      <c r="S4705" s="158">
        <f t="shared" si="766"/>
        <v>7.9000000000814907</v>
      </c>
      <c r="T4705" s="161">
        <f t="shared" si="767"/>
        <v>3807.8000000392785</v>
      </c>
      <c r="U4705" s="158">
        <f t="shared" si="769"/>
        <v>482</v>
      </c>
      <c r="V4705" s="160">
        <f t="shared" si="768"/>
        <v>482</v>
      </c>
    </row>
    <row r="4706" spans="1:22" x14ac:dyDescent="0.25">
      <c r="A4706" s="98" t="s">
        <v>25</v>
      </c>
      <c r="B4706" s="98" t="s">
        <v>15</v>
      </c>
      <c r="C4706" s="98">
        <v>179</v>
      </c>
      <c r="D4706" s="98">
        <v>800</v>
      </c>
      <c r="E4706" s="157">
        <v>41848.12777777778</v>
      </c>
      <c r="F4706" s="157">
        <v>41848.217361111114</v>
      </c>
      <c r="G4706" s="98">
        <v>0</v>
      </c>
      <c r="H4706" s="98">
        <v>521</v>
      </c>
      <c r="I4706" s="98">
        <v>482</v>
      </c>
      <c r="J4706" s="98" t="s">
        <v>2197</v>
      </c>
      <c r="K4706" s="98" t="s">
        <v>64</v>
      </c>
      <c r="L4706" s="105" t="str">
        <f t="shared" si="760"/>
        <v>Mill Creek</v>
      </c>
      <c r="M4706" s="105" t="str">
        <f t="shared" si="761"/>
        <v>Outage</v>
      </c>
      <c r="N4706" s="105" t="str">
        <f t="shared" si="762"/>
        <v>Coal</v>
      </c>
      <c r="O4706" s="105">
        <f>IFERROR(VLOOKUP(A4706,Lookup!$J$5:$P$19,7,FALSE),0)</f>
        <v>3</v>
      </c>
      <c r="P4706" s="159">
        <f t="shared" si="763"/>
        <v>2014</v>
      </c>
      <c r="Q4706" s="159">
        <f t="shared" si="764"/>
        <v>7</v>
      </c>
      <c r="R4706" s="160">
        <f t="shared" si="765"/>
        <v>2.1500000000232831</v>
      </c>
      <c r="S4706" s="158">
        <f t="shared" si="766"/>
        <v>2.1500000000232831</v>
      </c>
      <c r="T4706" s="161">
        <f t="shared" si="767"/>
        <v>1036.3000000112224</v>
      </c>
      <c r="U4706" s="158">
        <f t="shared" si="769"/>
        <v>482</v>
      </c>
      <c r="V4706" s="160">
        <f t="shared" si="768"/>
        <v>482</v>
      </c>
    </row>
    <row r="4707" spans="1:22" x14ac:dyDescent="0.25">
      <c r="A4707" s="98" t="s">
        <v>25</v>
      </c>
      <c r="B4707" s="98" t="s">
        <v>79</v>
      </c>
      <c r="C4707" s="98">
        <v>180</v>
      </c>
      <c r="D4707" s="98">
        <v>1850</v>
      </c>
      <c r="E4707" s="157">
        <v>41848.217361111114</v>
      </c>
      <c r="F4707" s="157">
        <v>41848.467361111114</v>
      </c>
      <c r="G4707" s="98">
        <v>0</v>
      </c>
      <c r="H4707" s="98">
        <v>521</v>
      </c>
      <c r="I4707" s="98">
        <v>482</v>
      </c>
      <c r="J4707" s="98" t="s">
        <v>2263</v>
      </c>
      <c r="K4707" s="98" t="s">
        <v>87</v>
      </c>
      <c r="L4707" s="105" t="str">
        <f t="shared" si="760"/>
        <v>Mill Creek</v>
      </c>
      <c r="M4707" s="105" t="str">
        <f t="shared" si="761"/>
        <v>Other</v>
      </c>
      <c r="N4707" s="105" t="str">
        <f t="shared" si="762"/>
        <v>Coal</v>
      </c>
      <c r="O4707" s="105">
        <f>IFERROR(VLOOKUP(A4707,Lookup!$J$5:$P$19,7,FALSE),0)</f>
        <v>3</v>
      </c>
      <c r="P4707" s="159">
        <f t="shared" si="763"/>
        <v>2014</v>
      </c>
      <c r="Q4707" s="159">
        <f t="shared" si="764"/>
        <v>7</v>
      </c>
      <c r="R4707" s="160">
        <f t="shared" si="765"/>
        <v>6</v>
      </c>
      <c r="S4707" s="158">
        <f t="shared" si="766"/>
        <v>6</v>
      </c>
      <c r="T4707" s="161">
        <f t="shared" si="767"/>
        <v>2892</v>
      </c>
      <c r="U4707" s="158">
        <f t="shared" si="769"/>
        <v>482</v>
      </c>
      <c r="V4707" s="160">
        <f t="shared" si="768"/>
        <v>482</v>
      </c>
    </row>
    <row r="4708" spans="1:22" x14ac:dyDescent="0.25">
      <c r="A4708" s="98" t="s">
        <v>25</v>
      </c>
      <c r="B4708" s="98" t="s">
        <v>17</v>
      </c>
      <c r="C4708" s="98">
        <v>181</v>
      </c>
      <c r="D4708" s="98">
        <v>1850</v>
      </c>
      <c r="E4708" s="157">
        <v>41848.467361111114</v>
      </c>
      <c r="F4708" s="157">
        <v>41848.635416666664</v>
      </c>
      <c r="G4708" s="98">
        <v>370</v>
      </c>
      <c r="H4708" s="98">
        <v>521</v>
      </c>
      <c r="I4708" s="98">
        <v>482</v>
      </c>
      <c r="J4708" s="98" t="s">
        <v>2263</v>
      </c>
      <c r="K4708" s="98" t="s">
        <v>41</v>
      </c>
      <c r="L4708" s="105" t="str">
        <f t="shared" si="760"/>
        <v>Mill Creek</v>
      </c>
      <c r="M4708" s="105" t="str">
        <f t="shared" si="761"/>
        <v>Derate</v>
      </c>
      <c r="N4708" s="105" t="str">
        <f t="shared" si="762"/>
        <v>Coal</v>
      </c>
      <c r="O4708" s="105">
        <f>IFERROR(VLOOKUP(A4708,Lookup!$J$5:$P$19,7,FALSE),0)</f>
        <v>3</v>
      </c>
      <c r="P4708" s="159">
        <f t="shared" si="763"/>
        <v>2014</v>
      </c>
      <c r="Q4708" s="159">
        <f t="shared" si="764"/>
        <v>7</v>
      </c>
      <c r="R4708" s="160">
        <f t="shared" si="765"/>
        <v>4.033333333209157</v>
      </c>
      <c r="S4708" s="158">
        <f t="shared" si="766"/>
        <v>1.168969929586531</v>
      </c>
      <c r="T4708" s="161">
        <f t="shared" si="767"/>
        <v>563.44350606070793</v>
      </c>
      <c r="U4708" s="158">
        <f t="shared" si="769"/>
        <v>139.69673704414586</v>
      </c>
      <c r="V4708" s="160">
        <f t="shared" si="768"/>
        <v>140</v>
      </c>
    </row>
    <row r="4709" spans="1:22" x14ac:dyDescent="0.25">
      <c r="A4709" s="98" t="s">
        <v>25</v>
      </c>
      <c r="B4709" s="98" t="s">
        <v>17</v>
      </c>
      <c r="C4709" s="98">
        <v>182</v>
      </c>
      <c r="D4709" s="98">
        <v>1850</v>
      </c>
      <c r="E4709" s="157">
        <v>41848.635416666664</v>
      </c>
      <c r="F4709" s="157">
        <v>41848.859722222223</v>
      </c>
      <c r="G4709" s="98">
        <v>485</v>
      </c>
      <c r="H4709" s="98">
        <v>521</v>
      </c>
      <c r="I4709" s="98">
        <v>482</v>
      </c>
      <c r="J4709" s="98" t="s">
        <v>2263</v>
      </c>
      <c r="K4709" s="98" t="s">
        <v>41</v>
      </c>
      <c r="L4709" s="105" t="str">
        <f t="shared" ref="L4709:L4772" si="770">IF(OR(A4709="BR1",A4709="BR2",A4709="BR3",A4709="BR5",A4709="BR6",A4709="BR7",A4709="BR8",A4709="BR9",A4709="BR10",A4709="BR11"),"Brown",IF(OR(A4709="CR4",A4709="CR5",A4709="CR6",A4709="CR11"),"Cane Run",IF(OR(A4709="GH1",A4709="GH2",A4709="GH3",A4709="GH4"),"Ghent",IF(OR(A4709="GR3",A4709="GR4"),"Green River",IF(OR(A4709="MC1",A4709="MC2",A4709="MC3",A4709="MC4"),"Mill Creek",IF(OR(A4709="TC1",A4709="TC2",A4709="TC5",A4709="TC6",A4709="TC7",A4709="TC8",A4709="TC9",A4709="TC10"),"Trimble",IF(A4709="TY3","Tyrone",IF(OR(A4709="HA1",A4709="HA2",A4709="HA3"),"Haeflin",IF(OR(A4709="PR11",A4709="PR12",A4709="PR13"),"Paddy's Run","Zorn")))))))))</f>
        <v>Mill Creek</v>
      </c>
      <c r="M4709" s="105" t="str">
        <f t="shared" ref="M4709:M4772" si="771">IF(OR(B4709="D1",B4709="D2",B4709="D3",B4709="D4",B4709="PD"),"Derate",IF(OR(B4709="SF",B4709="U1",B4709="U2",B4709="U3"),"Outage",IF(OR(B4709="ME",B4709="MO"),"Maintenance","Other")))</f>
        <v>Derate</v>
      </c>
      <c r="N4709" s="105" t="str">
        <f t="shared" ref="N4709:N4772" si="772">IF(OR(A4709="BR1",A4709="BR2",A4709="BR3",A4709="CR4",A4709="CR5",A4709="CR6",A4709="GH1",A4709="GH2",A4709="GH3",A4709="GH4",A4709="GR3",A4709="GR4",A4709="MC1",A4709="MC2",A4709="MC3",A4709="MC4",A4709="TC1",A4709="TC2",A4709="TY3"),"Coal","Gas")</f>
        <v>Coal</v>
      </c>
      <c r="O4709" s="105">
        <f>IFERROR(VLOOKUP(A4709,Lookup!$J$5:$P$19,7,FALSE),0)</f>
        <v>3</v>
      </c>
      <c r="P4709" s="159">
        <f t="shared" ref="P4709:P4772" si="773">YEAR(E4709)</f>
        <v>2014</v>
      </c>
      <c r="Q4709" s="159">
        <f t="shared" ref="Q4709:Q4772" si="774">MONTH(E4709)</f>
        <v>7</v>
      </c>
      <c r="R4709" s="160">
        <f t="shared" ref="R4709:R4772" si="775">(F4709-E4709)*24</f>
        <v>5.3833333334187046</v>
      </c>
      <c r="S4709" s="158">
        <f t="shared" ref="S4709:S4772" si="776">R4709*(H4709-G4709)/H4709</f>
        <v>0.37197696737634045</v>
      </c>
      <c r="T4709" s="161">
        <f t="shared" ref="T4709:T4772" si="777">S4709*I4709</f>
        <v>179.29289827539608</v>
      </c>
      <c r="U4709" s="158">
        <f t="shared" si="769"/>
        <v>33.305182341650671</v>
      </c>
      <c r="V4709" s="160">
        <f t="shared" ref="V4709:V4772" si="778">ROUND(U4709,0)</f>
        <v>33</v>
      </c>
    </row>
    <row r="4710" spans="1:22" x14ac:dyDescent="0.25">
      <c r="A4710" s="98" t="s">
        <v>25</v>
      </c>
      <c r="B4710" s="98" t="s">
        <v>17</v>
      </c>
      <c r="C4710" s="98">
        <v>183</v>
      </c>
      <c r="D4710" s="98">
        <v>1710</v>
      </c>
      <c r="E4710" s="157">
        <v>41848.859722222223</v>
      </c>
      <c r="F4710" s="157">
        <v>41849.1</v>
      </c>
      <c r="G4710" s="98">
        <v>498</v>
      </c>
      <c r="H4710" s="98">
        <v>521</v>
      </c>
      <c r="I4710" s="98">
        <v>482</v>
      </c>
      <c r="J4710" s="98" t="s">
        <v>2020</v>
      </c>
      <c r="K4710" s="98" t="s">
        <v>718</v>
      </c>
      <c r="L4710" s="105" t="str">
        <f t="shared" si="770"/>
        <v>Mill Creek</v>
      </c>
      <c r="M4710" s="105" t="str">
        <f t="shared" si="771"/>
        <v>Derate</v>
      </c>
      <c r="N4710" s="105" t="str">
        <f t="shared" si="772"/>
        <v>Coal</v>
      </c>
      <c r="O4710" s="105">
        <f>IFERROR(VLOOKUP(A4710,Lookup!$J$5:$P$19,7,FALSE),0)</f>
        <v>3</v>
      </c>
      <c r="P4710" s="159">
        <f t="shared" si="773"/>
        <v>2014</v>
      </c>
      <c r="Q4710" s="159">
        <f t="shared" si="774"/>
        <v>7</v>
      </c>
      <c r="R4710" s="160">
        <f t="shared" si="775"/>
        <v>5.7666666666045785</v>
      </c>
      <c r="S4710" s="158">
        <f t="shared" si="776"/>
        <v>0.25457453614569159</v>
      </c>
      <c r="T4710" s="161">
        <f t="shared" si="777"/>
        <v>122.70492642222335</v>
      </c>
      <c r="U4710" s="158">
        <f t="shared" ref="U4710:U4773" si="779">IF(G4710&gt;0,MAX((H4710-G4710),0)*I4710/H4710,I4710)</f>
        <v>21.27831094049904</v>
      </c>
      <c r="V4710" s="160">
        <f t="shared" si="778"/>
        <v>21</v>
      </c>
    </row>
    <row r="4711" spans="1:22" x14ac:dyDescent="0.25">
      <c r="A4711" s="98" t="s">
        <v>25</v>
      </c>
      <c r="B4711" s="98" t="s">
        <v>15</v>
      </c>
      <c r="C4711" s="98">
        <v>184</v>
      </c>
      <c r="D4711" s="98">
        <v>1060</v>
      </c>
      <c r="E4711" s="157">
        <v>41849.1</v>
      </c>
      <c r="F4711" s="157">
        <v>41851.414583333331</v>
      </c>
      <c r="G4711" s="98">
        <v>0</v>
      </c>
      <c r="H4711" s="98">
        <v>521</v>
      </c>
      <c r="I4711" s="98">
        <v>482</v>
      </c>
      <c r="J4711" s="98" t="s">
        <v>2179</v>
      </c>
      <c r="K4711" s="98" t="s">
        <v>53</v>
      </c>
      <c r="L4711" s="105" t="str">
        <f t="shared" si="770"/>
        <v>Mill Creek</v>
      </c>
      <c r="M4711" s="105" t="str">
        <f t="shared" si="771"/>
        <v>Outage</v>
      </c>
      <c r="N4711" s="105" t="str">
        <f t="shared" si="772"/>
        <v>Coal</v>
      </c>
      <c r="O4711" s="105">
        <f>IFERROR(VLOOKUP(A4711,Lookup!$J$5:$P$19,7,FALSE),0)</f>
        <v>3</v>
      </c>
      <c r="P4711" s="159">
        <f t="shared" si="773"/>
        <v>2014</v>
      </c>
      <c r="Q4711" s="159">
        <f t="shared" si="774"/>
        <v>7</v>
      </c>
      <c r="R4711" s="160">
        <f t="shared" si="775"/>
        <v>55.549999999988358</v>
      </c>
      <c r="S4711" s="158">
        <f t="shared" si="776"/>
        <v>55.549999999988358</v>
      </c>
      <c r="T4711" s="161">
        <f t="shared" si="777"/>
        <v>26775.099999994389</v>
      </c>
      <c r="U4711" s="158">
        <f t="shared" si="779"/>
        <v>482</v>
      </c>
      <c r="V4711" s="160">
        <f t="shared" si="778"/>
        <v>482</v>
      </c>
    </row>
    <row r="4712" spans="1:22" x14ac:dyDescent="0.25">
      <c r="A4712" s="98" t="s">
        <v>25</v>
      </c>
      <c r="B4712" s="98" t="s">
        <v>79</v>
      </c>
      <c r="C4712" s="98">
        <v>185</v>
      </c>
      <c r="D4712" s="98">
        <v>1850</v>
      </c>
      <c r="E4712" s="157">
        <v>41851.414583333331</v>
      </c>
      <c r="F4712" s="157">
        <v>41851.425694444442</v>
      </c>
      <c r="G4712" s="98">
        <v>0</v>
      </c>
      <c r="H4712" s="98">
        <v>521</v>
      </c>
      <c r="I4712" s="98">
        <v>482</v>
      </c>
      <c r="J4712" s="98" t="s">
        <v>2263</v>
      </c>
      <c r="K4712" s="98" t="s">
        <v>85</v>
      </c>
      <c r="L4712" s="105" t="str">
        <f t="shared" si="770"/>
        <v>Mill Creek</v>
      </c>
      <c r="M4712" s="105" t="str">
        <f t="shared" si="771"/>
        <v>Other</v>
      </c>
      <c r="N4712" s="105" t="str">
        <f t="shared" si="772"/>
        <v>Coal</v>
      </c>
      <c r="O4712" s="105">
        <f>IFERROR(VLOOKUP(A4712,Lookup!$J$5:$P$19,7,FALSE),0)</f>
        <v>3</v>
      </c>
      <c r="P4712" s="159">
        <f t="shared" si="773"/>
        <v>2014</v>
      </c>
      <c r="Q4712" s="159">
        <f t="shared" si="774"/>
        <v>7</v>
      </c>
      <c r="R4712" s="160">
        <f t="shared" si="775"/>
        <v>0.26666666666278616</v>
      </c>
      <c r="S4712" s="158">
        <f t="shared" si="776"/>
        <v>0.26666666666278616</v>
      </c>
      <c r="T4712" s="161">
        <f t="shared" si="777"/>
        <v>128.53333333146293</v>
      </c>
      <c r="U4712" s="158">
        <f t="shared" si="779"/>
        <v>482</v>
      </c>
      <c r="V4712" s="160">
        <f t="shared" si="778"/>
        <v>482</v>
      </c>
    </row>
    <row r="4713" spans="1:22" x14ac:dyDescent="0.25">
      <c r="A4713" s="98" t="s">
        <v>25</v>
      </c>
      <c r="B4713" s="98" t="s">
        <v>15</v>
      </c>
      <c r="C4713" s="98">
        <v>186</v>
      </c>
      <c r="D4713" s="98">
        <v>800</v>
      </c>
      <c r="E4713" s="157">
        <v>41851.425694444442</v>
      </c>
      <c r="F4713" s="157">
        <v>41851.484027777777</v>
      </c>
      <c r="G4713" s="98">
        <v>0</v>
      </c>
      <c r="H4713" s="98">
        <v>521</v>
      </c>
      <c r="I4713" s="98">
        <v>482</v>
      </c>
      <c r="J4713" s="98" t="s">
        <v>2197</v>
      </c>
      <c r="K4713" s="98" t="s">
        <v>2900</v>
      </c>
      <c r="L4713" s="105" t="str">
        <f t="shared" si="770"/>
        <v>Mill Creek</v>
      </c>
      <c r="M4713" s="105" t="str">
        <f t="shared" si="771"/>
        <v>Outage</v>
      </c>
      <c r="N4713" s="105" t="str">
        <f t="shared" si="772"/>
        <v>Coal</v>
      </c>
      <c r="O4713" s="105">
        <f>IFERROR(VLOOKUP(A4713,Lookup!$J$5:$P$19,7,FALSE),0)</f>
        <v>3</v>
      </c>
      <c r="P4713" s="159">
        <f t="shared" si="773"/>
        <v>2014</v>
      </c>
      <c r="Q4713" s="159">
        <f t="shared" si="774"/>
        <v>7</v>
      </c>
      <c r="R4713" s="160">
        <f t="shared" si="775"/>
        <v>1.4000000000232831</v>
      </c>
      <c r="S4713" s="158">
        <f t="shared" si="776"/>
        <v>1.4000000000232831</v>
      </c>
      <c r="T4713" s="161">
        <f t="shared" si="777"/>
        <v>674.80000001122244</v>
      </c>
      <c r="U4713" s="158">
        <f t="shared" si="779"/>
        <v>482</v>
      </c>
      <c r="V4713" s="160">
        <f t="shared" si="778"/>
        <v>482</v>
      </c>
    </row>
    <row r="4714" spans="1:22" x14ac:dyDescent="0.25">
      <c r="A4714" s="98" t="s">
        <v>25</v>
      </c>
      <c r="B4714" s="98" t="s">
        <v>79</v>
      </c>
      <c r="C4714" s="98">
        <v>187</v>
      </c>
      <c r="D4714" s="98">
        <v>1850</v>
      </c>
      <c r="E4714" s="157">
        <v>41851.484027777777</v>
      </c>
      <c r="F4714" s="157">
        <v>41851.864583333336</v>
      </c>
      <c r="G4714" s="98">
        <v>0</v>
      </c>
      <c r="H4714" s="98">
        <v>521</v>
      </c>
      <c r="I4714" s="98">
        <v>482</v>
      </c>
      <c r="J4714" s="98" t="s">
        <v>2263</v>
      </c>
      <c r="K4714" s="98" t="s">
        <v>85</v>
      </c>
      <c r="L4714" s="105" t="str">
        <f t="shared" si="770"/>
        <v>Mill Creek</v>
      </c>
      <c r="M4714" s="105" t="str">
        <f t="shared" si="771"/>
        <v>Other</v>
      </c>
      <c r="N4714" s="105" t="str">
        <f t="shared" si="772"/>
        <v>Coal</v>
      </c>
      <c r="O4714" s="105">
        <f>IFERROR(VLOOKUP(A4714,Lookup!$J$5:$P$19,7,FALSE),0)</f>
        <v>3</v>
      </c>
      <c r="P4714" s="159">
        <f t="shared" si="773"/>
        <v>2014</v>
      </c>
      <c r="Q4714" s="159">
        <f t="shared" si="774"/>
        <v>7</v>
      </c>
      <c r="R4714" s="160">
        <f t="shared" si="775"/>
        <v>9.1333333334187046</v>
      </c>
      <c r="S4714" s="158">
        <f t="shared" si="776"/>
        <v>9.1333333334187046</v>
      </c>
      <c r="T4714" s="161">
        <f t="shared" si="777"/>
        <v>4402.2666667078156</v>
      </c>
      <c r="U4714" s="158">
        <f t="shared" si="779"/>
        <v>482</v>
      </c>
      <c r="V4714" s="160">
        <f t="shared" si="778"/>
        <v>482</v>
      </c>
    </row>
    <row r="4715" spans="1:22" x14ac:dyDescent="0.25">
      <c r="A4715" s="98" t="s">
        <v>25</v>
      </c>
      <c r="B4715" s="98" t="s">
        <v>17</v>
      </c>
      <c r="C4715" s="98">
        <v>188</v>
      </c>
      <c r="D4715" s="98">
        <v>250</v>
      </c>
      <c r="E4715" s="157">
        <v>41851.864583333336</v>
      </c>
      <c r="F4715" s="157">
        <v>41852.041666666664</v>
      </c>
      <c r="G4715" s="98">
        <v>420</v>
      </c>
      <c r="H4715" s="98">
        <v>521</v>
      </c>
      <c r="I4715" s="98">
        <v>482</v>
      </c>
      <c r="J4715" s="98" t="s">
        <v>1978</v>
      </c>
      <c r="K4715" s="98" t="s">
        <v>2901</v>
      </c>
      <c r="L4715" s="105" t="str">
        <f t="shared" si="770"/>
        <v>Mill Creek</v>
      </c>
      <c r="M4715" s="105" t="str">
        <f t="shared" si="771"/>
        <v>Derate</v>
      </c>
      <c r="N4715" s="105" t="str">
        <f t="shared" si="772"/>
        <v>Coal</v>
      </c>
      <c r="O4715" s="105">
        <f>IFERROR(VLOOKUP(A4715,Lookup!$J$5:$P$19,7,FALSE),0)</f>
        <v>3</v>
      </c>
      <c r="P4715" s="159">
        <f t="shared" si="773"/>
        <v>2014</v>
      </c>
      <c r="Q4715" s="159">
        <f t="shared" si="774"/>
        <v>7</v>
      </c>
      <c r="R4715" s="160">
        <f t="shared" si="775"/>
        <v>4.2499999998835847</v>
      </c>
      <c r="S4715" s="158">
        <f t="shared" si="776"/>
        <v>0.82389635314441856</v>
      </c>
      <c r="T4715" s="161">
        <f t="shared" si="777"/>
        <v>397.11804221560976</v>
      </c>
      <c r="U4715" s="158">
        <f t="shared" si="779"/>
        <v>93.439539347408825</v>
      </c>
      <c r="V4715" s="160">
        <f t="shared" si="778"/>
        <v>93</v>
      </c>
    </row>
    <row r="4716" spans="1:22" x14ac:dyDescent="0.25">
      <c r="A4716" s="98" t="s">
        <v>25</v>
      </c>
      <c r="B4716" s="98" t="s">
        <v>17</v>
      </c>
      <c r="C4716" s="98">
        <v>189</v>
      </c>
      <c r="D4716" s="98">
        <v>8125</v>
      </c>
      <c r="E4716" s="157">
        <v>41852.408333333333</v>
      </c>
      <c r="F4716" s="157">
        <v>41852.919444444444</v>
      </c>
      <c r="G4716" s="98">
        <v>495</v>
      </c>
      <c r="H4716" s="98">
        <v>521</v>
      </c>
      <c r="I4716" s="98">
        <v>482</v>
      </c>
      <c r="J4716" s="98" t="s">
        <v>2267</v>
      </c>
      <c r="K4716" s="98" t="s">
        <v>2902</v>
      </c>
      <c r="L4716" s="105" t="str">
        <f t="shared" si="770"/>
        <v>Mill Creek</v>
      </c>
      <c r="M4716" s="105" t="str">
        <f t="shared" si="771"/>
        <v>Derate</v>
      </c>
      <c r="N4716" s="105" t="str">
        <f t="shared" si="772"/>
        <v>Coal</v>
      </c>
      <c r="O4716" s="105">
        <f>IFERROR(VLOOKUP(A4716,Lookup!$J$5:$P$19,7,FALSE),0)</f>
        <v>3</v>
      </c>
      <c r="P4716" s="159">
        <f t="shared" si="773"/>
        <v>2014</v>
      </c>
      <c r="Q4716" s="159">
        <f t="shared" si="774"/>
        <v>8</v>
      </c>
      <c r="R4716" s="160">
        <f t="shared" si="775"/>
        <v>12.266666666662786</v>
      </c>
      <c r="S4716" s="158">
        <f t="shared" si="776"/>
        <v>0.61215611004459203</v>
      </c>
      <c r="T4716" s="161">
        <f t="shared" si="777"/>
        <v>295.05924504149334</v>
      </c>
      <c r="U4716" s="158">
        <f t="shared" si="779"/>
        <v>24.053742802303262</v>
      </c>
      <c r="V4716" s="160">
        <f t="shared" si="778"/>
        <v>24</v>
      </c>
    </row>
    <row r="4717" spans="1:22" x14ac:dyDescent="0.25">
      <c r="A4717" s="98" t="s">
        <v>25</v>
      </c>
      <c r="B4717" s="98" t="s">
        <v>15</v>
      </c>
      <c r="C4717" s="98">
        <v>190</v>
      </c>
      <c r="D4717" s="98">
        <v>1060</v>
      </c>
      <c r="E4717" s="157">
        <v>41852.919444444444</v>
      </c>
      <c r="F4717" s="157">
        <v>41854.321527777778</v>
      </c>
      <c r="G4717" s="98">
        <v>0</v>
      </c>
      <c r="H4717" s="98">
        <v>521</v>
      </c>
      <c r="I4717" s="98">
        <v>482</v>
      </c>
      <c r="J4717" s="98" t="s">
        <v>2179</v>
      </c>
      <c r="K4717" s="98" t="s">
        <v>53</v>
      </c>
      <c r="L4717" s="105" t="str">
        <f t="shared" si="770"/>
        <v>Mill Creek</v>
      </c>
      <c r="M4717" s="105" t="str">
        <f t="shared" si="771"/>
        <v>Outage</v>
      </c>
      <c r="N4717" s="105" t="str">
        <f t="shared" si="772"/>
        <v>Coal</v>
      </c>
      <c r="O4717" s="105">
        <f>IFERROR(VLOOKUP(A4717,Lookup!$J$5:$P$19,7,FALSE),0)</f>
        <v>3</v>
      </c>
      <c r="P4717" s="159">
        <f t="shared" si="773"/>
        <v>2014</v>
      </c>
      <c r="Q4717" s="159">
        <f t="shared" si="774"/>
        <v>8</v>
      </c>
      <c r="R4717" s="160">
        <f t="shared" si="775"/>
        <v>33.650000000023283</v>
      </c>
      <c r="S4717" s="158">
        <f t="shared" si="776"/>
        <v>33.650000000023283</v>
      </c>
      <c r="T4717" s="161">
        <f t="shared" si="777"/>
        <v>16219.300000011222</v>
      </c>
      <c r="U4717" s="158">
        <f t="shared" si="779"/>
        <v>482</v>
      </c>
      <c r="V4717" s="160">
        <f t="shared" si="778"/>
        <v>482</v>
      </c>
    </row>
    <row r="4718" spans="1:22" x14ac:dyDescent="0.25">
      <c r="A4718" s="98" t="s">
        <v>25</v>
      </c>
      <c r="B4718" s="98" t="s">
        <v>79</v>
      </c>
      <c r="C4718" s="98">
        <v>191</v>
      </c>
      <c r="D4718" s="98">
        <v>1850</v>
      </c>
      <c r="E4718" s="157">
        <v>41854.321527777778</v>
      </c>
      <c r="F4718" s="157">
        <v>41854.818749999999</v>
      </c>
      <c r="G4718" s="98">
        <v>0</v>
      </c>
      <c r="H4718" s="98">
        <v>521</v>
      </c>
      <c r="I4718" s="98">
        <v>482</v>
      </c>
      <c r="J4718" s="98" t="s">
        <v>2263</v>
      </c>
      <c r="K4718" s="98" t="s">
        <v>86</v>
      </c>
      <c r="L4718" s="105" t="str">
        <f t="shared" si="770"/>
        <v>Mill Creek</v>
      </c>
      <c r="M4718" s="105" t="str">
        <f t="shared" si="771"/>
        <v>Other</v>
      </c>
      <c r="N4718" s="105" t="str">
        <f t="shared" si="772"/>
        <v>Coal</v>
      </c>
      <c r="O4718" s="105">
        <f>IFERROR(VLOOKUP(A4718,Lookup!$J$5:$P$19,7,FALSE),0)</f>
        <v>3</v>
      </c>
      <c r="P4718" s="159">
        <f t="shared" si="773"/>
        <v>2014</v>
      </c>
      <c r="Q4718" s="159">
        <f t="shared" si="774"/>
        <v>8</v>
      </c>
      <c r="R4718" s="160">
        <f t="shared" si="775"/>
        <v>11.933333333290648</v>
      </c>
      <c r="S4718" s="158">
        <f t="shared" si="776"/>
        <v>11.933333333290648</v>
      </c>
      <c r="T4718" s="161">
        <f t="shared" si="777"/>
        <v>5751.8666666460922</v>
      </c>
      <c r="U4718" s="158">
        <f t="shared" si="779"/>
        <v>482</v>
      </c>
      <c r="V4718" s="160">
        <f t="shared" si="778"/>
        <v>482</v>
      </c>
    </row>
    <row r="4719" spans="1:22" x14ac:dyDescent="0.25">
      <c r="A4719" s="98" t="s">
        <v>25</v>
      </c>
      <c r="B4719" s="98" t="s">
        <v>17</v>
      </c>
      <c r="C4719" s="98">
        <v>192</v>
      </c>
      <c r="D4719" s="98">
        <v>3499</v>
      </c>
      <c r="E4719" s="157">
        <v>41854.818749999999</v>
      </c>
      <c r="F4719" s="157">
        <v>41854.953472222223</v>
      </c>
      <c r="G4719" s="98">
        <v>485</v>
      </c>
      <c r="H4719" s="98">
        <v>521</v>
      </c>
      <c r="I4719" s="98">
        <v>482</v>
      </c>
      <c r="J4719" s="98" t="s">
        <v>2188</v>
      </c>
      <c r="K4719" s="98" t="s">
        <v>2903</v>
      </c>
      <c r="L4719" s="105" t="str">
        <f t="shared" si="770"/>
        <v>Mill Creek</v>
      </c>
      <c r="M4719" s="105" t="str">
        <f t="shared" si="771"/>
        <v>Derate</v>
      </c>
      <c r="N4719" s="105" t="str">
        <f t="shared" si="772"/>
        <v>Coal</v>
      </c>
      <c r="O4719" s="105">
        <f>IFERROR(VLOOKUP(A4719,Lookup!$J$5:$P$19,7,FALSE),0)</f>
        <v>3</v>
      </c>
      <c r="P4719" s="159">
        <f t="shared" si="773"/>
        <v>2014</v>
      </c>
      <c r="Q4719" s="159">
        <f t="shared" si="774"/>
        <v>8</v>
      </c>
      <c r="R4719" s="160">
        <f t="shared" si="775"/>
        <v>3.2333333333954215</v>
      </c>
      <c r="S4719" s="158">
        <f t="shared" si="776"/>
        <v>0.22341650672214045</v>
      </c>
      <c r="T4719" s="161">
        <f t="shared" si="777"/>
        <v>107.68675624007169</v>
      </c>
      <c r="U4719" s="158">
        <f t="shared" si="779"/>
        <v>33.305182341650671</v>
      </c>
      <c r="V4719" s="160">
        <f t="shared" si="778"/>
        <v>33</v>
      </c>
    </row>
    <row r="4720" spans="1:22" x14ac:dyDescent="0.25">
      <c r="A4720" s="98" t="s">
        <v>25</v>
      </c>
      <c r="B4720" s="98" t="s">
        <v>17</v>
      </c>
      <c r="C4720" s="98">
        <v>193</v>
      </c>
      <c r="D4720" s="98">
        <v>3499</v>
      </c>
      <c r="E4720" s="157">
        <v>41854.953472222223</v>
      </c>
      <c r="F4720" s="157">
        <v>41886.418749999997</v>
      </c>
      <c r="G4720" s="98">
        <v>496</v>
      </c>
      <c r="H4720" s="98">
        <v>521</v>
      </c>
      <c r="I4720" s="98">
        <v>482</v>
      </c>
      <c r="J4720" s="98" t="s">
        <v>2188</v>
      </c>
      <c r="K4720" s="98" t="s">
        <v>2903</v>
      </c>
      <c r="L4720" s="105" t="str">
        <f t="shared" si="770"/>
        <v>Mill Creek</v>
      </c>
      <c r="M4720" s="105" t="str">
        <f t="shared" si="771"/>
        <v>Derate</v>
      </c>
      <c r="N4720" s="105" t="str">
        <f t="shared" si="772"/>
        <v>Coal</v>
      </c>
      <c r="O4720" s="105">
        <f>IFERROR(VLOOKUP(A4720,Lookup!$J$5:$P$19,7,FALSE),0)</f>
        <v>3</v>
      </c>
      <c r="P4720" s="159">
        <f t="shared" si="773"/>
        <v>2014</v>
      </c>
      <c r="Q4720" s="159">
        <f t="shared" si="774"/>
        <v>8</v>
      </c>
      <c r="R4720" s="160">
        <f t="shared" si="775"/>
        <v>755.16666666656965</v>
      </c>
      <c r="S4720" s="158">
        <f t="shared" si="776"/>
        <v>36.236404350603152</v>
      </c>
      <c r="T4720" s="161">
        <f t="shared" si="777"/>
        <v>17465.946896990718</v>
      </c>
      <c r="U4720" s="158">
        <f t="shared" si="779"/>
        <v>23.128598848368522</v>
      </c>
      <c r="V4720" s="160">
        <f t="shared" si="778"/>
        <v>23</v>
      </c>
    </row>
    <row r="4721" spans="1:22" x14ac:dyDescent="0.25">
      <c r="A4721" s="98" t="s">
        <v>25</v>
      </c>
      <c r="B4721" s="98" t="s">
        <v>17</v>
      </c>
      <c r="C4721" s="98">
        <v>194</v>
      </c>
      <c r="D4721" s="98">
        <v>360</v>
      </c>
      <c r="E4721" s="157">
        <v>41858.694444444445</v>
      </c>
      <c r="F4721" s="157">
        <v>41858.732638888891</v>
      </c>
      <c r="G4721" s="98">
        <v>430</v>
      </c>
      <c r="H4721" s="98">
        <v>521</v>
      </c>
      <c r="I4721" s="98">
        <v>482</v>
      </c>
      <c r="J4721" s="98" t="s">
        <v>229</v>
      </c>
      <c r="K4721" s="98" t="s">
        <v>2904</v>
      </c>
      <c r="L4721" s="105" t="str">
        <f t="shared" si="770"/>
        <v>Mill Creek</v>
      </c>
      <c r="M4721" s="105" t="str">
        <f t="shared" si="771"/>
        <v>Derate</v>
      </c>
      <c r="N4721" s="105" t="str">
        <f t="shared" si="772"/>
        <v>Coal</v>
      </c>
      <c r="O4721" s="105">
        <f>IFERROR(VLOOKUP(A4721,Lookup!$J$5:$P$19,7,FALSE),0)</f>
        <v>3</v>
      </c>
      <c r="P4721" s="159">
        <f t="shared" si="773"/>
        <v>2014</v>
      </c>
      <c r="Q4721" s="159">
        <f t="shared" si="774"/>
        <v>8</v>
      </c>
      <c r="R4721" s="160">
        <f t="shared" si="775"/>
        <v>0.91666666668606922</v>
      </c>
      <c r="S4721" s="158">
        <f t="shared" si="776"/>
        <v>0.16010876519852649</v>
      </c>
      <c r="T4721" s="161">
        <f t="shared" si="777"/>
        <v>77.172424825689774</v>
      </c>
      <c r="U4721" s="158">
        <f t="shared" si="779"/>
        <v>84.188099808061423</v>
      </c>
      <c r="V4721" s="160">
        <f t="shared" si="778"/>
        <v>84</v>
      </c>
    </row>
    <row r="4722" spans="1:22" x14ac:dyDescent="0.25">
      <c r="A4722" s="98" t="s">
        <v>25</v>
      </c>
      <c r="B4722" s="98" t="s">
        <v>17</v>
      </c>
      <c r="C4722" s="98">
        <v>195</v>
      </c>
      <c r="D4722" s="98">
        <v>310</v>
      </c>
      <c r="E4722" s="157">
        <v>41859.288888888892</v>
      </c>
      <c r="F4722" s="157">
        <v>41859.414583333331</v>
      </c>
      <c r="G4722" s="98">
        <v>430</v>
      </c>
      <c r="H4722" s="98">
        <v>521</v>
      </c>
      <c r="I4722" s="98">
        <v>482</v>
      </c>
      <c r="J4722" s="98" t="s">
        <v>1966</v>
      </c>
      <c r="K4722" s="98" t="s">
        <v>2905</v>
      </c>
      <c r="L4722" s="105" t="str">
        <f t="shared" si="770"/>
        <v>Mill Creek</v>
      </c>
      <c r="M4722" s="105" t="str">
        <f t="shared" si="771"/>
        <v>Derate</v>
      </c>
      <c r="N4722" s="105" t="str">
        <f t="shared" si="772"/>
        <v>Coal</v>
      </c>
      <c r="O4722" s="105">
        <f>IFERROR(VLOOKUP(A4722,Lookup!$J$5:$P$19,7,FALSE),0)</f>
        <v>3</v>
      </c>
      <c r="P4722" s="159">
        <f t="shared" si="773"/>
        <v>2014</v>
      </c>
      <c r="Q4722" s="159">
        <f t="shared" si="774"/>
        <v>8</v>
      </c>
      <c r="R4722" s="160">
        <f t="shared" si="775"/>
        <v>3.0166666665463708</v>
      </c>
      <c r="S4722" s="158">
        <f t="shared" si="776"/>
        <v>0.52690339089389582</v>
      </c>
      <c r="T4722" s="161">
        <f t="shared" si="777"/>
        <v>253.96743441085778</v>
      </c>
      <c r="U4722" s="158">
        <f t="shared" si="779"/>
        <v>84.188099808061423</v>
      </c>
      <c r="V4722" s="160">
        <f t="shared" si="778"/>
        <v>84</v>
      </c>
    </row>
    <row r="4723" spans="1:22" x14ac:dyDescent="0.25">
      <c r="A4723" s="98" t="s">
        <v>25</v>
      </c>
      <c r="B4723" s="98" t="s">
        <v>17</v>
      </c>
      <c r="C4723" s="98">
        <v>196</v>
      </c>
      <c r="D4723" s="98">
        <v>8670</v>
      </c>
      <c r="E4723" s="157">
        <v>41861.706944444442</v>
      </c>
      <c r="F4723" s="157">
        <v>41861.75277777778</v>
      </c>
      <c r="G4723" s="98">
        <v>430</v>
      </c>
      <c r="H4723" s="98">
        <v>521</v>
      </c>
      <c r="I4723" s="98">
        <v>482</v>
      </c>
      <c r="J4723" s="98" t="s">
        <v>2648</v>
      </c>
      <c r="K4723" s="98" t="s">
        <v>2906</v>
      </c>
      <c r="L4723" s="105" t="str">
        <f t="shared" si="770"/>
        <v>Mill Creek</v>
      </c>
      <c r="M4723" s="105" t="str">
        <f t="shared" si="771"/>
        <v>Derate</v>
      </c>
      <c r="N4723" s="105" t="str">
        <f t="shared" si="772"/>
        <v>Coal</v>
      </c>
      <c r="O4723" s="105">
        <f>IFERROR(VLOOKUP(A4723,Lookup!$J$5:$P$19,7,FALSE),0)</f>
        <v>3</v>
      </c>
      <c r="P4723" s="159">
        <f t="shared" si="773"/>
        <v>2014</v>
      </c>
      <c r="Q4723" s="159">
        <f t="shared" si="774"/>
        <v>8</v>
      </c>
      <c r="R4723" s="160">
        <f t="shared" si="775"/>
        <v>1.1000000000931323</v>
      </c>
      <c r="S4723" s="158">
        <f t="shared" si="776"/>
        <v>0.19213051825043193</v>
      </c>
      <c r="T4723" s="161">
        <f t="shared" si="777"/>
        <v>92.606909796708194</v>
      </c>
      <c r="U4723" s="158">
        <f t="shared" si="779"/>
        <v>84.188099808061423</v>
      </c>
      <c r="V4723" s="160">
        <f t="shared" si="778"/>
        <v>84</v>
      </c>
    </row>
    <row r="4724" spans="1:22" x14ac:dyDescent="0.25">
      <c r="A4724" s="98" t="s">
        <v>25</v>
      </c>
      <c r="B4724" s="98" t="s">
        <v>105</v>
      </c>
      <c r="C4724" s="98">
        <v>197</v>
      </c>
      <c r="D4724" s="98">
        <v>1470</v>
      </c>
      <c r="E4724" s="157">
        <v>41869.916666666664</v>
      </c>
      <c r="F4724" s="157">
        <v>41870.107638888891</v>
      </c>
      <c r="G4724" s="98">
        <v>290</v>
      </c>
      <c r="H4724" s="98">
        <v>521</v>
      </c>
      <c r="I4724" s="98">
        <v>482</v>
      </c>
      <c r="J4724" s="98" t="s">
        <v>2005</v>
      </c>
      <c r="K4724" s="98" t="s">
        <v>2907</v>
      </c>
      <c r="L4724" s="105" t="str">
        <f t="shared" si="770"/>
        <v>Mill Creek</v>
      </c>
      <c r="M4724" s="105" t="str">
        <f t="shared" si="771"/>
        <v>Derate</v>
      </c>
      <c r="N4724" s="105" t="str">
        <f t="shared" si="772"/>
        <v>Coal</v>
      </c>
      <c r="O4724" s="105">
        <f>IFERROR(VLOOKUP(A4724,Lookup!$J$5:$P$19,7,FALSE),0)</f>
        <v>3</v>
      </c>
      <c r="P4724" s="159">
        <f t="shared" si="773"/>
        <v>2014</v>
      </c>
      <c r="Q4724" s="159">
        <f t="shared" si="774"/>
        <v>8</v>
      </c>
      <c r="R4724" s="160">
        <f t="shared" si="775"/>
        <v>4.5833333334303461</v>
      </c>
      <c r="S4724" s="158">
        <f t="shared" si="776"/>
        <v>2.0321497121351437</v>
      </c>
      <c r="T4724" s="161">
        <f t="shared" si="777"/>
        <v>979.49616124913928</v>
      </c>
      <c r="U4724" s="158">
        <f t="shared" si="779"/>
        <v>213.70825335892513</v>
      </c>
      <c r="V4724" s="160">
        <f t="shared" si="778"/>
        <v>214</v>
      </c>
    </row>
    <row r="4725" spans="1:22" x14ac:dyDescent="0.25">
      <c r="A4725" s="98" t="s">
        <v>25</v>
      </c>
      <c r="B4725" s="98" t="s">
        <v>17</v>
      </c>
      <c r="C4725" s="98">
        <v>198</v>
      </c>
      <c r="D4725" s="98">
        <v>3149</v>
      </c>
      <c r="E4725" s="157">
        <v>41871.597222222219</v>
      </c>
      <c r="F4725" s="157">
        <v>41871.706944444442</v>
      </c>
      <c r="G4725" s="98">
        <v>485</v>
      </c>
      <c r="H4725" s="98">
        <v>521</v>
      </c>
      <c r="I4725" s="98">
        <v>482</v>
      </c>
      <c r="J4725" s="98" t="s">
        <v>2034</v>
      </c>
      <c r="K4725" s="98" t="s">
        <v>40</v>
      </c>
      <c r="L4725" s="105" t="str">
        <f t="shared" si="770"/>
        <v>Mill Creek</v>
      </c>
      <c r="M4725" s="105" t="str">
        <f t="shared" si="771"/>
        <v>Derate</v>
      </c>
      <c r="N4725" s="105" t="str">
        <f t="shared" si="772"/>
        <v>Coal</v>
      </c>
      <c r="O4725" s="105">
        <f>IFERROR(VLOOKUP(A4725,Lookup!$J$5:$P$19,7,FALSE),0)</f>
        <v>3</v>
      </c>
      <c r="P4725" s="159">
        <f t="shared" si="773"/>
        <v>2014</v>
      </c>
      <c r="Q4725" s="159">
        <f t="shared" si="774"/>
        <v>8</v>
      </c>
      <c r="R4725" s="160">
        <f t="shared" si="775"/>
        <v>2.6333333333604969</v>
      </c>
      <c r="S4725" s="158">
        <f t="shared" si="776"/>
        <v>0.18195777351435297</v>
      </c>
      <c r="T4725" s="161">
        <f t="shared" si="777"/>
        <v>87.703646833918128</v>
      </c>
      <c r="U4725" s="158">
        <f t="shared" si="779"/>
        <v>33.305182341650671</v>
      </c>
      <c r="V4725" s="160">
        <f t="shared" si="778"/>
        <v>33</v>
      </c>
    </row>
    <row r="4726" spans="1:22" x14ac:dyDescent="0.25">
      <c r="A4726" s="98" t="s">
        <v>25</v>
      </c>
      <c r="B4726" s="98" t="s">
        <v>17</v>
      </c>
      <c r="C4726" s="98">
        <v>199</v>
      </c>
      <c r="D4726" s="98">
        <v>250</v>
      </c>
      <c r="E4726" s="157">
        <v>41873.347222222219</v>
      </c>
      <c r="F4726" s="157">
        <v>41873.413194444445</v>
      </c>
      <c r="G4726" s="98">
        <v>450</v>
      </c>
      <c r="H4726" s="98">
        <v>521</v>
      </c>
      <c r="I4726" s="98">
        <v>482</v>
      </c>
      <c r="J4726" s="98" t="s">
        <v>1978</v>
      </c>
      <c r="K4726" s="98" t="s">
        <v>2908</v>
      </c>
      <c r="L4726" s="105" t="str">
        <f t="shared" si="770"/>
        <v>Mill Creek</v>
      </c>
      <c r="M4726" s="105" t="str">
        <f t="shared" si="771"/>
        <v>Derate</v>
      </c>
      <c r="N4726" s="105" t="str">
        <f t="shared" si="772"/>
        <v>Coal</v>
      </c>
      <c r="O4726" s="105">
        <f>IFERROR(VLOOKUP(A4726,Lookup!$J$5:$P$19,7,FALSE),0)</f>
        <v>3</v>
      </c>
      <c r="P4726" s="159">
        <f t="shared" si="773"/>
        <v>2014</v>
      </c>
      <c r="Q4726" s="159">
        <f t="shared" si="774"/>
        <v>8</v>
      </c>
      <c r="R4726" s="160">
        <f t="shared" si="775"/>
        <v>1.5833333334303461</v>
      </c>
      <c r="S4726" s="158">
        <f t="shared" si="776"/>
        <v>0.21577095330816617</v>
      </c>
      <c r="T4726" s="161">
        <f t="shared" si="777"/>
        <v>104.00159949453609</v>
      </c>
      <c r="U4726" s="158">
        <f t="shared" si="779"/>
        <v>65.685220729366605</v>
      </c>
      <c r="V4726" s="160">
        <f t="shared" si="778"/>
        <v>66</v>
      </c>
    </row>
    <row r="4727" spans="1:22" x14ac:dyDescent="0.25">
      <c r="A4727" s="98" t="s">
        <v>25</v>
      </c>
      <c r="B4727" s="98" t="s">
        <v>17</v>
      </c>
      <c r="C4727" s="98">
        <v>200</v>
      </c>
      <c r="D4727" s="98">
        <v>3149</v>
      </c>
      <c r="E4727" s="157">
        <v>41873.637499999997</v>
      </c>
      <c r="F4727" s="157">
        <v>41875.523611111108</v>
      </c>
      <c r="G4727" s="98">
        <v>485</v>
      </c>
      <c r="H4727" s="98">
        <v>521</v>
      </c>
      <c r="I4727" s="98">
        <v>482</v>
      </c>
      <c r="J4727" s="98" t="s">
        <v>2034</v>
      </c>
      <c r="K4727" s="98" t="s">
        <v>40</v>
      </c>
      <c r="L4727" s="105" t="str">
        <f t="shared" si="770"/>
        <v>Mill Creek</v>
      </c>
      <c r="M4727" s="105" t="str">
        <f t="shared" si="771"/>
        <v>Derate</v>
      </c>
      <c r="N4727" s="105" t="str">
        <f t="shared" si="772"/>
        <v>Coal</v>
      </c>
      <c r="O4727" s="105">
        <f>IFERROR(VLOOKUP(A4727,Lookup!$J$5:$P$19,7,FALSE),0)</f>
        <v>3</v>
      </c>
      <c r="P4727" s="159">
        <f t="shared" si="773"/>
        <v>2014</v>
      </c>
      <c r="Q4727" s="159">
        <f t="shared" si="774"/>
        <v>8</v>
      </c>
      <c r="R4727" s="160">
        <f t="shared" si="775"/>
        <v>45.266666666662786</v>
      </c>
      <c r="S4727" s="158">
        <f t="shared" si="776"/>
        <v>3.1278310940496361</v>
      </c>
      <c r="T4727" s="161">
        <f t="shared" si="777"/>
        <v>1507.6145873319247</v>
      </c>
      <c r="U4727" s="158">
        <f t="shared" si="779"/>
        <v>33.305182341650671</v>
      </c>
      <c r="V4727" s="160">
        <f t="shared" si="778"/>
        <v>33</v>
      </c>
    </row>
    <row r="4728" spans="1:22" x14ac:dyDescent="0.25">
      <c r="A4728" s="98" t="s">
        <v>25</v>
      </c>
      <c r="B4728" s="98" t="s">
        <v>17</v>
      </c>
      <c r="C4728" s="98">
        <v>201</v>
      </c>
      <c r="D4728" s="98">
        <v>3149</v>
      </c>
      <c r="E4728" s="157">
        <v>41875.523611111108</v>
      </c>
      <c r="F4728" s="157">
        <v>41875.796527777777</v>
      </c>
      <c r="G4728" s="98">
        <v>475</v>
      </c>
      <c r="H4728" s="98">
        <v>521</v>
      </c>
      <c r="I4728" s="98">
        <v>482</v>
      </c>
      <c r="J4728" s="98" t="s">
        <v>2034</v>
      </c>
      <c r="K4728" s="98" t="s">
        <v>40</v>
      </c>
      <c r="L4728" s="105" t="str">
        <f t="shared" si="770"/>
        <v>Mill Creek</v>
      </c>
      <c r="M4728" s="105" t="str">
        <f t="shared" si="771"/>
        <v>Derate</v>
      </c>
      <c r="N4728" s="105" t="str">
        <f t="shared" si="772"/>
        <v>Coal</v>
      </c>
      <c r="O4728" s="105">
        <f>IFERROR(VLOOKUP(A4728,Lookup!$J$5:$P$19,7,FALSE),0)</f>
        <v>3</v>
      </c>
      <c r="P4728" s="159">
        <f t="shared" si="773"/>
        <v>2014</v>
      </c>
      <c r="Q4728" s="159">
        <f t="shared" si="774"/>
        <v>8</v>
      </c>
      <c r="R4728" s="160">
        <f t="shared" si="775"/>
        <v>6.5500000000465661</v>
      </c>
      <c r="S4728" s="158">
        <f t="shared" si="776"/>
        <v>0.57831094050315168</v>
      </c>
      <c r="T4728" s="161">
        <f t="shared" si="777"/>
        <v>278.74587332251912</v>
      </c>
      <c r="U4728" s="158">
        <f t="shared" si="779"/>
        <v>42.55662188099808</v>
      </c>
      <c r="V4728" s="160">
        <f t="shared" si="778"/>
        <v>43</v>
      </c>
    </row>
    <row r="4729" spans="1:22" x14ac:dyDescent="0.25">
      <c r="A4729" s="98" t="s">
        <v>25</v>
      </c>
      <c r="B4729" s="98" t="s">
        <v>17</v>
      </c>
      <c r="C4729" s="98">
        <v>202</v>
      </c>
      <c r="D4729" s="98">
        <v>3149</v>
      </c>
      <c r="E4729" s="157">
        <v>41875.796527777777</v>
      </c>
      <c r="F4729" s="157">
        <v>41876.412499999999</v>
      </c>
      <c r="G4729" s="98">
        <v>465</v>
      </c>
      <c r="H4729" s="98">
        <v>521</v>
      </c>
      <c r="I4729" s="98">
        <v>482</v>
      </c>
      <c r="J4729" s="98" t="s">
        <v>2034</v>
      </c>
      <c r="K4729" s="98" t="s">
        <v>40</v>
      </c>
      <c r="L4729" s="105" t="str">
        <f t="shared" si="770"/>
        <v>Mill Creek</v>
      </c>
      <c r="M4729" s="105" t="str">
        <f t="shared" si="771"/>
        <v>Derate</v>
      </c>
      <c r="N4729" s="105" t="str">
        <f t="shared" si="772"/>
        <v>Coal</v>
      </c>
      <c r="O4729" s="105">
        <f>IFERROR(VLOOKUP(A4729,Lookup!$J$5:$P$19,7,FALSE),0)</f>
        <v>3</v>
      </c>
      <c r="P4729" s="159">
        <f t="shared" si="773"/>
        <v>2014</v>
      </c>
      <c r="Q4729" s="159">
        <f t="shared" si="774"/>
        <v>8</v>
      </c>
      <c r="R4729" s="160">
        <f t="shared" si="775"/>
        <v>14.783333333325572</v>
      </c>
      <c r="S4729" s="158">
        <f t="shared" si="776"/>
        <v>1.5889955214323073</v>
      </c>
      <c r="T4729" s="161">
        <f t="shared" si="777"/>
        <v>765.89584133037215</v>
      </c>
      <c r="U4729" s="158">
        <f t="shared" si="779"/>
        <v>51.808061420345489</v>
      </c>
      <c r="V4729" s="160">
        <f t="shared" si="778"/>
        <v>52</v>
      </c>
    </row>
    <row r="4730" spans="1:22" x14ac:dyDescent="0.25">
      <c r="A4730" s="98" t="s">
        <v>25</v>
      </c>
      <c r="B4730" s="98" t="s">
        <v>17</v>
      </c>
      <c r="C4730" s="98">
        <v>203</v>
      </c>
      <c r="D4730" s="98">
        <v>3149</v>
      </c>
      <c r="E4730" s="157">
        <v>41876.412499999999</v>
      </c>
      <c r="F4730" s="157">
        <v>41876.441666666666</v>
      </c>
      <c r="G4730" s="98">
        <v>490</v>
      </c>
      <c r="H4730" s="98">
        <v>521</v>
      </c>
      <c r="I4730" s="98">
        <v>482</v>
      </c>
      <c r="J4730" s="98" t="s">
        <v>2034</v>
      </c>
      <c r="K4730" s="98" t="s">
        <v>40</v>
      </c>
      <c r="L4730" s="105" t="str">
        <f t="shared" si="770"/>
        <v>Mill Creek</v>
      </c>
      <c r="M4730" s="105" t="str">
        <f t="shared" si="771"/>
        <v>Derate</v>
      </c>
      <c r="N4730" s="105" t="str">
        <f t="shared" si="772"/>
        <v>Coal</v>
      </c>
      <c r="O4730" s="105">
        <f>IFERROR(VLOOKUP(A4730,Lookup!$J$5:$P$19,7,FALSE),0)</f>
        <v>3</v>
      </c>
      <c r="P4730" s="159">
        <f t="shared" si="773"/>
        <v>2014</v>
      </c>
      <c r="Q4730" s="159">
        <f t="shared" si="774"/>
        <v>8</v>
      </c>
      <c r="R4730" s="160">
        <f t="shared" si="775"/>
        <v>0.70000000001164153</v>
      </c>
      <c r="S4730" s="158">
        <f t="shared" si="776"/>
        <v>4.1650671785721474E-2</v>
      </c>
      <c r="T4730" s="161">
        <f t="shared" si="777"/>
        <v>20.07562380071775</v>
      </c>
      <c r="U4730" s="158">
        <f t="shared" si="779"/>
        <v>28.679462571976966</v>
      </c>
      <c r="V4730" s="160">
        <f t="shared" si="778"/>
        <v>29</v>
      </c>
    </row>
    <row r="4731" spans="1:22" x14ac:dyDescent="0.25">
      <c r="A4731" s="98" t="s">
        <v>25</v>
      </c>
      <c r="B4731" s="98" t="s">
        <v>17</v>
      </c>
      <c r="C4731" s="98">
        <v>204</v>
      </c>
      <c r="D4731" s="98">
        <v>3149</v>
      </c>
      <c r="E4731" s="157">
        <v>41876.441666666666</v>
      </c>
      <c r="F4731" s="157">
        <v>41876.48333333333</v>
      </c>
      <c r="G4731" s="98">
        <v>480</v>
      </c>
      <c r="H4731" s="98">
        <v>521</v>
      </c>
      <c r="I4731" s="98">
        <v>482</v>
      </c>
      <c r="J4731" s="98" t="s">
        <v>2034</v>
      </c>
      <c r="K4731" s="98" t="s">
        <v>40</v>
      </c>
      <c r="L4731" s="105" t="str">
        <f t="shared" si="770"/>
        <v>Mill Creek</v>
      </c>
      <c r="M4731" s="105" t="str">
        <f t="shared" si="771"/>
        <v>Derate</v>
      </c>
      <c r="N4731" s="105" t="str">
        <f t="shared" si="772"/>
        <v>Coal</v>
      </c>
      <c r="O4731" s="105">
        <f>IFERROR(VLOOKUP(A4731,Lookup!$J$5:$P$19,7,FALSE),0)</f>
        <v>3</v>
      </c>
      <c r="P4731" s="159">
        <f t="shared" si="773"/>
        <v>2014</v>
      </c>
      <c r="Q4731" s="159">
        <f t="shared" si="774"/>
        <v>8</v>
      </c>
      <c r="R4731" s="160">
        <f t="shared" si="775"/>
        <v>0.99999999994179234</v>
      </c>
      <c r="S4731" s="158">
        <f t="shared" si="776"/>
        <v>7.8694817653768692E-2</v>
      </c>
      <c r="T4731" s="161">
        <f t="shared" si="777"/>
        <v>37.930902109116509</v>
      </c>
      <c r="U4731" s="158">
        <f t="shared" si="779"/>
        <v>37.930902111324379</v>
      </c>
      <c r="V4731" s="160">
        <f t="shared" si="778"/>
        <v>38</v>
      </c>
    </row>
    <row r="4732" spans="1:22" x14ac:dyDescent="0.25">
      <c r="A4732" s="98" t="s">
        <v>25</v>
      </c>
      <c r="B4732" s="98" t="s">
        <v>17</v>
      </c>
      <c r="C4732" s="98">
        <v>205</v>
      </c>
      <c r="D4732" s="98">
        <v>3149</v>
      </c>
      <c r="E4732" s="157">
        <v>41876.48333333333</v>
      </c>
      <c r="F4732" s="157">
        <v>41877.322916666664</v>
      </c>
      <c r="G4732" s="98">
        <v>465</v>
      </c>
      <c r="H4732" s="98">
        <v>521</v>
      </c>
      <c r="I4732" s="98">
        <v>482</v>
      </c>
      <c r="J4732" s="98" t="s">
        <v>2034</v>
      </c>
      <c r="K4732" s="98" t="s">
        <v>40</v>
      </c>
      <c r="L4732" s="105" t="str">
        <f t="shared" si="770"/>
        <v>Mill Creek</v>
      </c>
      <c r="M4732" s="105" t="str">
        <f t="shared" si="771"/>
        <v>Derate</v>
      </c>
      <c r="N4732" s="105" t="str">
        <f t="shared" si="772"/>
        <v>Coal</v>
      </c>
      <c r="O4732" s="105">
        <f>IFERROR(VLOOKUP(A4732,Lookup!$J$5:$P$19,7,FALSE),0)</f>
        <v>3</v>
      </c>
      <c r="P4732" s="159">
        <f t="shared" si="773"/>
        <v>2014</v>
      </c>
      <c r="Q4732" s="159">
        <f t="shared" si="774"/>
        <v>8</v>
      </c>
      <c r="R4732" s="160">
        <f t="shared" si="775"/>
        <v>20.150000000023283</v>
      </c>
      <c r="S4732" s="158">
        <f t="shared" si="776"/>
        <v>2.1658349328239996</v>
      </c>
      <c r="T4732" s="161">
        <f t="shared" si="777"/>
        <v>1043.9324376211678</v>
      </c>
      <c r="U4732" s="158">
        <f t="shared" si="779"/>
        <v>51.808061420345489</v>
      </c>
      <c r="V4732" s="160">
        <f t="shared" si="778"/>
        <v>52</v>
      </c>
    </row>
    <row r="4733" spans="1:22" x14ac:dyDescent="0.25">
      <c r="A4733" s="98" t="s">
        <v>25</v>
      </c>
      <c r="B4733" s="98" t="s">
        <v>17</v>
      </c>
      <c r="C4733" s="98">
        <v>206</v>
      </c>
      <c r="D4733" s="98">
        <v>3149</v>
      </c>
      <c r="E4733" s="157">
        <v>41877.322916666664</v>
      </c>
      <c r="F4733" s="157">
        <v>41877.449305555558</v>
      </c>
      <c r="G4733" s="98">
        <v>490</v>
      </c>
      <c r="H4733" s="98">
        <v>521</v>
      </c>
      <c r="I4733" s="98">
        <v>482</v>
      </c>
      <c r="J4733" s="98" t="s">
        <v>2034</v>
      </c>
      <c r="K4733" s="98" t="s">
        <v>40</v>
      </c>
      <c r="L4733" s="105" t="str">
        <f t="shared" si="770"/>
        <v>Mill Creek</v>
      </c>
      <c r="M4733" s="105" t="str">
        <f t="shared" si="771"/>
        <v>Derate</v>
      </c>
      <c r="N4733" s="105" t="str">
        <f t="shared" si="772"/>
        <v>Coal</v>
      </c>
      <c r="O4733" s="105">
        <f>IFERROR(VLOOKUP(A4733,Lookup!$J$5:$P$19,7,FALSE),0)</f>
        <v>3</v>
      </c>
      <c r="P4733" s="159">
        <f t="shared" si="773"/>
        <v>2014</v>
      </c>
      <c r="Q4733" s="159">
        <f t="shared" si="774"/>
        <v>8</v>
      </c>
      <c r="R4733" s="160">
        <f t="shared" si="775"/>
        <v>3.0333333334419876</v>
      </c>
      <c r="S4733" s="158">
        <f t="shared" si="776"/>
        <v>0.18048624440825647</v>
      </c>
      <c r="T4733" s="161">
        <f t="shared" si="777"/>
        <v>86.994369804779623</v>
      </c>
      <c r="U4733" s="158">
        <f t="shared" si="779"/>
        <v>28.679462571976966</v>
      </c>
      <c r="V4733" s="160">
        <f t="shared" si="778"/>
        <v>29</v>
      </c>
    </row>
    <row r="4734" spans="1:22" x14ac:dyDescent="0.25">
      <c r="A4734" s="98" t="s">
        <v>25</v>
      </c>
      <c r="B4734" s="98" t="s">
        <v>17</v>
      </c>
      <c r="C4734" s="98">
        <v>207</v>
      </c>
      <c r="D4734" s="98">
        <v>3149</v>
      </c>
      <c r="E4734" s="157">
        <v>41877.449305555558</v>
      </c>
      <c r="F4734" s="157">
        <v>41877.576388888891</v>
      </c>
      <c r="G4734" s="98">
        <v>480</v>
      </c>
      <c r="H4734" s="98">
        <v>521</v>
      </c>
      <c r="I4734" s="98">
        <v>482</v>
      </c>
      <c r="J4734" s="98" t="s">
        <v>2034</v>
      </c>
      <c r="K4734" s="98" t="s">
        <v>40</v>
      </c>
      <c r="L4734" s="105" t="str">
        <f t="shared" si="770"/>
        <v>Mill Creek</v>
      </c>
      <c r="M4734" s="105" t="str">
        <f t="shared" si="771"/>
        <v>Derate</v>
      </c>
      <c r="N4734" s="105" t="str">
        <f t="shared" si="772"/>
        <v>Coal</v>
      </c>
      <c r="O4734" s="105">
        <f>IFERROR(VLOOKUP(A4734,Lookup!$J$5:$P$19,7,FALSE),0)</f>
        <v>3</v>
      </c>
      <c r="P4734" s="159">
        <f t="shared" si="773"/>
        <v>2014</v>
      </c>
      <c r="Q4734" s="159">
        <f t="shared" si="774"/>
        <v>8</v>
      </c>
      <c r="R4734" s="160">
        <f t="shared" si="775"/>
        <v>3.0499999999883585</v>
      </c>
      <c r="S4734" s="158">
        <f t="shared" si="776"/>
        <v>0.24001919385704931</v>
      </c>
      <c r="T4734" s="161">
        <f t="shared" si="777"/>
        <v>115.68925143909777</v>
      </c>
      <c r="U4734" s="158">
        <f t="shared" si="779"/>
        <v>37.930902111324379</v>
      </c>
      <c r="V4734" s="160">
        <f t="shared" si="778"/>
        <v>38</v>
      </c>
    </row>
    <row r="4735" spans="1:22" x14ac:dyDescent="0.25">
      <c r="A4735" s="98" t="s">
        <v>25</v>
      </c>
      <c r="B4735" s="98" t="s">
        <v>17</v>
      </c>
      <c r="C4735" s="98">
        <v>208</v>
      </c>
      <c r="D4735" s="98">
        <v>3149</v>
      </c>
      <c r="E4735" s="157">
        <v>41877.576388888891</v>
      </c>
      <c r="F4735" s="157">
        <v>41877.809027777781</v>
      </c>
      <c r="G4735" s="98">
        <v>470</v>
      </c>
      <c r="H4735" s="98">
        <v>521</v>
      </c>
      <c r="I4735" s="98">
        <v>482</v>
      </c>
      <c r="J4735" s="98" t="s">
        <v>2034</v>
      </c>
      <c r="K4735" s="98" t="s">
        <v>40</v>
      </c>
      <c r="L4735" s="105" t="str">
        <f t="shared" si="770"/>
        <v>Mill Creek</v>
      </c>
      <c r="M4735" s="105" t="str">
        <f t="shared" si="771"/>
        <v>Derate</v>
      </c>
      <c r="N4735" s="105" t="str">
        <f t="shared" si="772"/>
        <v>Coal</v>
      </c>
      <c r="O4735" s="105">
        <f>IFERROR(VLOOKUP(A4735,Lookup!$J$5:$P$19,7,FALSE),0)</f>
        <v>3</v>
      </c>
      <c r="P4735" s="159">
        <f t="shared" si="773"/>
        <v>2014</v>
      </c>
      <c r="Q4735" s="159">
        <f t="shared" si="774"/>
        <v>8</v>
      </c>
      <c r="R4735" s="160">
        <f t="shared" si="775"/>
        <v>5.5833333333721384</v>
      </c>
      <c r="S4735" s="158">
        <f t="shared" si="776"/>
        <v>0.54654510557001734</v>
      </c>
      <c r="T4735" s="161">
        <f t="shared" si="777"/>
        <v>263.43474088474835</v>
      </c>
      <c r="U4735" s="158">
        <f t="shared" si="779"/>
        <v>47.182341650671788</v>
      </c>
      <c r="V4735" s="160">
        <f t="shared" si="778"/>
        <v>47</v>
      </c>
    </row>
    <row r="4736" spans="1:22" x14ac:dyDescent="0.25">
      <c r="A4736" s="98" t="s">
        <v>25</v>
      </c>
      <c r="B4736" s="98" t="s">
        <v>17</v>
      </c>
      <c r="C4736" s="98">
        <v>209</v>
      </c>
      <c r="D4736" s="98">
        <v>3149</v>
      </c>
      <c r="E4736" s="157">
        <v>41877.809027777781</v>
      </c>
      <c r="F4736" s="157">
        <v>41877.916666666664</v>
      </c>
      <c r="G4736" s="98">
        <v>480</v>
      </c>
      <c r="H4736" s="98">
        <v>521</v>
      </c>
      <c r="I4736" s="98">
        <v>482</v>
      </c>
      <c r="J4736" s="98" t="s">
        <v>2034</v>
      </c>
      <c r="K4736" s="98" t="s">
        <v>40</v>
      </c>
      <c r="L4736" s="105" t="str">
        <f t="shared" si="770"/>
        <v>Mill Creek</v>
      </c>
      <c r="M4736" s="105" t="str">
        <f t="shared" si="771"/>
        <v>Derate</v>
      </c>
      <c r="N4736" s="105" t="str">
        <f t="shared" si="772"/>
        <v>Coal</v>
      </c>
      <c r="O4736" s="105">
        <f>IFERROR(VLOOKUP(A4736,Lookup!$J$5:$P$19,7,FALSE),0)</f>
        <v>3</v>
      </c>
      <c r="P4736" s="159">
        <f t="shared" si="773"/>
        <v>2014</v>
      </c>
      <c r="Q4736" s="159">
        <f t="shared" si="774"/>
        <v>8</v>
      </c>
      <c r="R4736" s="160">
        <f t="shared" si="775"/>
        <v>2.5833333331975155</v>
      </c>
      <c r="S4736" s="158">
        <f t="shared" si="776"/>
        <v>0.20329494560671427</v>
      </c>
      <c r="T4736" s="161">
        <f t="shared" si="777"/>
        <v>97.988163782436274</v>
      </c>
      <c r="U4736" s="158">
        <f t="shared" si="779"/>
        <v>37.930902111324379</v>
      </c>
      <c r="V4736" s="160">
        <f t="shared" si="778"/>
        <v>38</v>
      </c>
    </row>
    <row r="4737" spans="1:22" x14ac:dyDescent="0.25">
      <c r="A4737" s="98" t="s">
        <v>25</v>
      </c>
      <c r="B4737" s="98" t="s">
        <v>105</v>
      </c>
      <c r="C4737" s="98">
        <v>210</v>
      </c>
      <c r="D4737" s="98">
        <v>3240</v>
      </c>
      <c r="E4737" s="157">
        <v>41877.916666666664</v>
      </c>
      <c r="F4737" s="157">
        <v>41878.101388888892</v>
      </c>
      <c r="G4737" s="98">
        <v>280</v>
      </c>
      <c r="H4737" s="98">
        <v>521</v>
      </c>
      <c r="I4737" s="98">
        <v>482</v>
      </c>
      <c r="J4737" s="98" t="s">
        <v>2163</v>
      </c>
      <c r="K4737" s="98" t="s">
        <v>2909</v>
      </c>
      <c r="L4737" s="105" t="str">
        <f t="shared" si="770"/>
        <v>Mill Creek</v>
      </c>
      <c r="M4737" s="105" t="str">
        <f t="shared" si="771"/>
        <v>Derate</v>
      </c>
      <c r="N4737" s="105" t="str">
        <f t="shared" si="772"/>
        <v>Coal</v>
      </c>
      <c r="O4737" s="105">
        <f>IFERROR(VLOOKUP(A4737,Lookup!$J$5:$P$19,7,FALSE),0)</f>
        <v>3</v>
      </c>
      <c r="P4737" s="159">
        <f t="shared" si="773"/>
        <v>2014</v>
      </c>
      <c r="Q4737" s="159">
        <f t="shared" si="774"/>
        <v>8</v>
      </c>
      <c r="R4737" s="160">
        <f t="shared" si="775"/>
        <v>4.4333333334652707</v>
      </c>
      <c r="S4737" s="158">
        <f t="shared" si="776"/>
        <v>2.0507357646163729</v>
      </c>
      <c r="T4737" s="161">
        <f t="shared" si="777"/>
        <v>988.45463854509171</v>
      </c>
      <c r="U4737" s="158">
        <f t="shared" si="779"/>
        <v>222.95969289827255</v>
      </c>
      <c r="V4737" s="160">
        <f t="shared" si="778"/>
        <v>223</v>
      </c>
    </row>
    <row r="4738" spans="1:22" x14ac:dyDescent="0.25">
      <c r="A4738" s="98" t="s">
        <v>25</v>
      </c>
      <c r="B4738" s="98" t="s">
        <v>17</v>
      </c>
      <c r="C4738" s="98">
        <v>211</v>
      </c>
      <c r="D4738" s="98">
        <v>3149</v>
      </c>
      <c r="E4738" s="157">
        <v>41878.101388888892</v>
      </c>
      <c r="F4738" s="157">
        <v>41878.470833333333</v>
      </c>
      <c r="G4738" s="98">
        <v>480</v>
      </c>
      <c r="H4738" s="98">
        <v>521</v>
      </c>
      <c r="I4738" s="98">
        <v>482</v>
      </c>
      <c r="J4738" s="98" t="s">
        <v>2034</v>
      </c>
      <c r="K4738" s="98" t="s">
        <v>40</v>
      </c>
      <c r="L4738" s="105" t="str">
        <f t="shared" si="770"/>
        <v>Mill Creek</v>
      </c>
      <c r="M4738" s="105" t="str">
        <f t="shared" si="771"/>
        <v>Derate</v>
      </c>
      <c r="N4738" s="105" t="str">
        <f t="shared" si="772"/>
        <v>Coal</v>
      </c>
      <c r="O4738" s="105">
        <f>IFERROR(VLOOKUP(A4738,Lookup!$J$5:$P$19,7,FALSE),0)</f>
        <v>3</v>
      </c>
      <c r="P4738" s="159">
        <f t="shared" si="773"/>
        <v>2014</v>
      </c>
      <c r="Q4738" s="159">
        <f t="shared" si="774"/>
        <v>8</v>
      </c>
      <c r="R4738" s="160">
        <f t="shared" si="775"/>
        <v>8.8666666665812954</v>
      </c>
      <c r="S4738" s="158">
        <f t="shared" si="776"/>
        <v>0.69776071656397909</v>
      </c>
      <c r="T4738" s="161">
        <f t="shared" si="777"/>
        <v>336.32066538383793</v>
      </c>
      <c r="U4738" s="158">
        <f t="shared" si="779"/>
        <v>37.930902111324379</v>
      </c>
      <c r="V4738" s="160">
        <f t="shared" si="778"/>
        <v>38</v>
      </c>
    </row>
    <row r="4739" spans="1:22" x14ac:dyDescent="0.25">
      <c r="A4739" s="98" t="s">
        <v>25</v>
      </c>
      <c r="B4739" s="98" t="s">
        <v>17</v>
      </c>
      <c r="C4739" s="98">
        <v>212</v>
      </c>
      <c r="D4739" s="98">
        <v>3133</v>
      </c>
      <c r="E4739" s="157">
        <v>41878.470833333333</v>
      </c>
      <c r="F4739" s="157">
        <v>41878.499305555553</v>
      </c>
      <c r="G4739" s="98">
        <v>470</v>
      </c>
      <c r="H4739" s="98">
        <v>521</v>
      </c>
      <c r="I4739" s="98">
        <v>482</v>
      </c>
      <c r="J4739" s="98" t="s">
        <v>2181</v>
      </c>
      <c r="K4739" s="98" t="s">
        <v>2910</v>
      </c>
      <c r="L4739" s="105" t="str">
        <f t="shared" si="770"/>
        <v>Mill Creek</v>
      </c>
      <c r="M4739" s="105" t="str">
        <f t="shared" si="771"/>
        <v>Derate</v>
      </c>
      <c r="N4739" s="105" t="str">
        <f t="shared" si="772"/>
        <v>Coal</v>
      </c>
      <c r="O4739" s="105">
        <f>IFERROR(VLOOKUP(A4739,Lookup!$J$5:$P$19,7,FALSE),0)</f>
        <v>3</v>
      </c>
      <c r="P4739" s="159">
        <f t="shared" si="773"/>
        <v>2014</v>
      </c>
      <c r="Q4739" s="159">
        <f t="shared" si="774"/>
        <v>8</v>
      </c>
      <c r="R4739" s="160">
        <f t="shared" si="775"/>
        <v>0.68333333329064772</v>
      </c>
      <c r="S4739" s="158">
        <f t="shared" si="776"/>
        <v>6.6890595005418496E-2</v>
      </c>
      <c r="T4739" s="161">
        <f t="shared" si="777"/>
        <v>32.241266792611718</v>
      </c>
      <c r="U4739" s="158">
        <f t="shared" si="779"/>
        <v>47.182341650671788</v>
      </c>
      <c r="V4739" s="160">
        <f t="shared" si="778"/>
        <v>47</v>
      </c>
    </row>
    <row r="4740" spans="1:22" x14ac:dyDescent="0.25">
      <c r="A4740" s="98" t="s">
        <v>25</v>
      </c>
      <c r="B4740" s="98" t="s">
        <v>17</v>
      </c>
      <c r="C4740" s="98">
        <v>213</v>
      </c>
      <c r="D4740" s="98">
        <v>3149</v>
      </c>
      <c r="E4740" s="157">
        <v>41878.499305555553</v>
      </c>
      <c r="F4740" s="157">
        <v>41878.57916666667</v>
      </c>
      <c r="G4740" s="98">
        <v>480</v>
      </c>
      <c r="H4740" s="98">
        <v>521</v>
      </c>
      <c r="I4740" s="98">
        <v>482</v>
      </c>
      <c r="J4740" s="98" t="s">
        <v>2034</v>
      </c>
      <c r="K4740" s="98" t="s">
        <v>40</v>
      </c>
      <c r="L4740" s="105" t="str">
        <f t="shared" si="770"/>
        <v>Mill Creek</v>
      </c>
      <c r="M4740" s="105" t="str">
        <f t="shared" si="771"/>
        <v>Derate</v>
      </c>
      <c r="N4740" s="105" t="str">
        <f t="shared" si="772"/>
        <v>Coal</v>
      </c>
      <c r="O4740" s="105">
        <f>IFERROR(VLOOKUP(A4740,Lookup!$J$5:$P$19,7,FALSE),0)</f>
        <v>3</v>
      </c>
      <c r="P4740" s="159">
        <f t="shared" si="773"/>
        <v>2014</v>
      </c>
      <c r="Q4740" s="159">
        <f t="shared" si="774"/>
        <v>8</v>
      </c>
      <c r="R4740" s="160">
        <f t="shared" si="775"/>
        <v>1.9166666668024845</v>
      </c>
      <c r="S4740" s="158">
        <f t="shared" si="776"/>
        <v>0.15083173385585771</v>
      </c>
      <c r="T4740" s="161">
        <f t="shared" si="777"/>
        <v>72.700895718523412</v>
      </c>
      <c r="U4740" s="158">
        <f t="shared" si="779"/>
        <v>37.930902111324379</v>
      </c>
      <c r="V4740" s="160">
        <f t="shared" si="778"/>
        <v>38</v>
      </c>
    </row>
    <row r="4741" spans="1:22" x14ac:dyDescent="0.25">
      <c r="A4741" s="98" t="s">
        <v>25</v>
      </c>
      <c r="B4741" s="98" t="s">
        <v>17</v>
      </c>
      <c r="C4741" s="98">
        <v>214</v>
      </c>
      <c r="D4741" s="98">
        <v>3149</v>
      </c>
      <c r="E4741" s="157">
        <v>41878.57916666667</v>
      </c>
      <c r="F4741" s="157">
        <v>41878.729166666664</v>
      </c>
      <c r="G4741" s="98">
        <v>465</v>
      </c>
      <c r="H4741" s="98">
        <v>521</v>
      </c>
      <c r="I4741" s="98">
        <v>482</v>
      </c>
      <c r="J4741" s="98" t="s">
        <v>2034</v>
      </c>
      <c r="K4741" s="98" t="s">
        <v>40</v>
      </c>
      <c r="L4741" s="105" t="str">
        <f t="shared" si="770"/>
        <v>Mill Creek</v>
      </c>
      <c r="M4741" s="105" t="str">
        <f t="shared" si="771"/>
        <v>Derate</v>
      </c>
      <c r="N4741" s="105" t="str">
        <f t="shared" si="772"/>
        <v>Coal</v>
      </c>
      <c r="O4741" s="105">
        <f>IFERROR(VLOOKUP(A4741,Lookup!$J$5:$P$19,7,FALSE),0)</f>
        <v>3</v>
      </c>
      <c r="P4741" s="159">
        <f t="shared" si="773"/>
        <v>2014</v>
      </c>
      <c r="Q4741" s="159">
        <f t="shared" si="774"/>
        <v>8</v>
      </c>
      <c r="R4741" s="160">
        <f t="shared" si="775"/>
        <v>3.5999999998603016</v>
      </c>
      <c r="S4741" s="158">
        <f t="shared" si="776"/>
        <v>0.38694817656847774</v>
      </c>
      <c r="T4741" s="161">
        <f t="shared" si="777"/>
        <v>186.50902110600626</v>
      </c>
      <c r="U4741" s="158">
        <f t="shared" si="779"/>
        <v>51.808061420345489</v>
      </c>
      <c r="V4741" s="160">
        <f t="shared" si="778"/>
        <v>52</v>
      </c>
    </row>
    <row r="4742" spans="1:22" x14ac:dyDescent="0.25">
      <c r="A4742" s="98" t="s">
        <v>25</v>
      </c>
      <c r="B4742" s="98" t="s">
        <v>17</v>
      </c>
      <c r="C4742" s="98">
        <v>215</v>
      </c>
      <c r="D4742" s="98">
        <v>3149</v>
      </c>
      <c r="E4742" s="162">
        <v>41878.729166666664</v>
      </c>
      <c r="F4742" s="157">
        <v>41879.444444444445</v>
      </c>
      <c r="G4742" s="98">
        <v>485</v>
      </c>
      <c r="H4742" s="98">
        <v>521</v>
      </c>
      <c r="I4742" s="98">
        <v>482</v>
      </c>
      <c r="J4742" s="98" t="s">
        <v>2034</v>
      </c>
      <c r="K4742" s="98" t="s">
        <v>40</v>
      </c>
      <c r="L4742" s="105" t="str">
        <f t="shared" si="770"/>
        <v>Mill Creek</v>
      </c>
      <c r="M4742" s="105" t="str">
        <f t="shared" si="771"/>
        <v>Derate</v>
      </c>
      <c r="N4742" s="105" t="str">
        <f t="shared" si="772"/>
        <v>Coal</v>
      </c>
      <c r="O4742" s="105">
        <f>IFERROR(VLOOKUP(A4742,Lookup!$J$5:$P$19,7,FALSE),0)</f>
        <v>3</v>
      </c>
      <c r="P4742" s="159">
        <f t="shared" si="773"/>
        <v>2014</v>
      </c>
      <c r="Q4742" s="159">
        <f t="shared" si="774"/>
        <v>8</v>
      </c>
      <c r="R4742" s="160">
        <f t="shared" si="775"/>
        <v>17.166666666744277</v>
      </c>
      <c r="S4742" s="158">
        <f t="shared" si="776"/>
        <v>1.1861804222702379</v>
      </c>
      <c r="T4742" s="161">
        <f t="shared" si="777"/>
        <v>571.73896353425471</v>
      </c>
      <c r="U4742" s="158">
        <f t="shared" si="779"/>
        <v>33.305182341650671</v>
      </c>
      <c r="V4742" s="160">
        <f t="shared" si="778"/>
        <v>33</v>
      </c>
    </row>
    <row r="4743" spans="1:22" x14ac:dyDescent="0.25">
      <c r="A4743" s="98" t="s">
        <v>25</v>
      </c>
      <c r="B4743" s="98" t="s">
        <v>17</v>
      </c>
      <c r="C4743" s="98">
        <v>216</v>
      </c>
      <c r="D4743" s="98">
        <v>3149</v>
      </c>
      <c r="E4743" s="157">
        <v>41879.444444444445</v>
      </c>
      <c r="F4743" s="157">
        <v>41879.97152777778</v>
      </c>
      <c r="G4743" s="98">
        <v>475</v>
      </c>
      <c r="H4743" s="98">
        <v>521</v>
      </c>
      <c r="I4743" s="98">
        <v>482</v>
      </c>
      <c r="J4743" s="98" t="s">
        <v>2034</v>
      </c>
      <c r="K4743" s="98" t="s">
        <v>40</v>
      </c>
      <c r="L4743" s="105" t="str">
        <f t="shared" si="770"/>
        <v>Mill Creek</v>
      </c>
      <c r="M4743" s="105" t="str">
        <f t="shared" si="771"/>
        <v>Derate</v>
      </c>
      <c r="N4743" s="105" t="str">
        <f t="shared" si="772"/>
        <v>Coal</v>
      </c>
      <c r="O4743" s="105">
        <f>IFERROR(VLOOKUP(A4743,Lookup!$J$5:$P$19,7,FALSE),0)</f>
        <v>3</v>
      </c>
      <c r="P4743" s="159">
        <f t="shared" si="773"/>
        <v>2014</v>
      </c>
      <c r="Q4743" s="159">
        <f t="shared" si="774"/>
        <v>8</v>
      </c>
      <c r="R4743" s="160">
        <f t="shared" si="775"/>
        <v>12.650000000023283</v>
      </c>
      <c r="S4743" s="158">
        <f t="shared" si="776"/>
        <v>1.1168905950116526</v>
      </c>
      <c r="T4743" s="161">
        <f t="shared" si="777"/>
        <v>538.34126679561655</v>
      </c>
      <c r="U4743" s="158">
        <f t="shared" si="779"/>
        <v>42.55662188099808</v>
      </c>
      <c r="V4743" s="160">
        <f t="shared" si="778"/>
        <v>43</v>
      </c>
    </row>
    <row r="4744" spans="1:22" x14ac:dyDescent="0.25">
      <c r="A4744" s="98" t="s">
        <v>25</v>
      </c>
      <c r="B4744" s="98" t="s">
        <v>17</v>
      </c>
      <c r="C4744" s="98">
        <v>217</v>
      </c>
      <c r="D4744" s="98">
        <v>3149</v>
      </c>
      <c r="E4744" s="157">
        <v>41879.97152777778</v>
      </c>
      <c r="F4744" s="157">
        <v>41880.511111111111</v>
      </c>
      <c r="G4744" s="98">
        <v>485</v>
      </c>
      <c r="H4744" s="98">
        <v>521</v>
      </c>
      <c r="I4744" s="98">
        <v>482</v>
      </c>
      <c r="J4744" s="98" t="s">
        <v>2034</v>
      </c>
      <c r="K4744" s="98" t="s">
        <v>40</v>
      </c>
      <c r="L4744" s="105" t="str">
        <f t="shared" si="770"/>
        <v>Mill Creek</v>
      </c>
      <c r="M4744" s="105" t="str">
        <f t="shared" si="771"/>
        <v>Derate</v>
      </c>
      <c r="N4744" s="105" t="str">
        <f t="shared" si="772"/>
        <v>Coal</v>
      </c>
      <c r="O4744" s="105">
        <f>IFERROR(VLOOKUP(A4744,Lookup!$J$5:$P$19,7,FALSE),0)</f>
        <v>3</v>
      </c>
      <c r="P4744" s="159">
        <f t="shared" si="773"/>
        <v>2014</v>
      </c>
      <c r="Q4744" s="159">
        <f t="shared" si="774"/>
        <v>8</v>
      </c>
      <c r="R4744" s="160">
        <f t="shared" si="775"/>
        <v>12.949999999953434</v>
      </c>
      <c r="S4744" s="158">
        <f t="shared" si="776"/>
        <v>0.8948176583461106</v>
      </c>
      <c r="T4744" s="161">
        <f t="shared" si="777"/>
        <v>431.30211132282528</v>
      </c>
      <c r="U4744" s="158">
        <f t="shared" si="779"/>
        <v>33.305182341650671</v>
      </c>
      <c r="V4744" s="160">
        <f t="shared" si="778"/>
        <v>33</v>
      </c>
    </row>
    <row r="4745" spans="1:22" x14ac:dyDescent="0.25">
      <c r="A4745" s="98" t="s">
        <v>25</v>
      </c>
      <c r="B4745" s="98" t="s">
        <v>17</v>
      </c>
      <c r="C4745" s="98">
        <v>218</v>
      </c>
      <c r="D4745" s="98">
        <v>360</v>
      </c>
      <c r="E4745" s="157">
        <v>41880.23333333333</v>
      </c>
      <c r="F4745" s="157">
        <v>41880.276388888888</v>
      </c>
      <c r="G4745" s="98">
        <v>420</v>
      </c>
      <c r="H4745" s="98">
        <v>521</v>
      </c>
      <c r="I4745" s="98">
        <v>482</v>
      </c>
      <c r="J4745" s="98" t="s">
        <v>229</v>
      </c>
      <c r="K4745" s="98" t="s">
        <v>2911</v>
      </c>
      <c r="L4745" s="105" t="str">
        <f t="shared" si="770"/>
        <v>Mill Creek</v>
      </c>
      <c r="M4745" s="105" t="str">
        <f t="shared" si="771"/>
        <v>Derate</v>
      </c>
      <c r="N4745" s="105" t="str">
        <f t="shared" si="772"/>
        <v>Coal</v>
      </c>
      <c r="O4745" s="105">
        <f>IFERROR(VLOOKUP(A4745,Lookup!$J$5:$P$19,7,FALSE),0)</f>
        <v>3</v>
      </c>
      <c r="P4745" s="159">
        <f t="shared" si="773"/>
        <v>2014</v>
      </c>
      <c r="Q4745" s="159">
        <f t="shared" si="774"/>
        <v>8</v>
      </c>
      <c r="R4745" s="160">
        <f t="shared" si="775"/>
        <v>1.03333333338378</v>
      </c>
      <c r="S4745" s="158">
        <f t="shared" si="776"/>
        <v>0.20031989764253699</v>
      </c>
      <c r="T4745" s="161">
        <f t="shared" si="777"/>
        <v>96.554190663702826</v>
      </c>
      <c r="U4745" s="158">
        <f t="shared" si="779"/>
        <v>93.439539347408825</v>
      </c>
      <c r="V4745" s="160">
        <f t="shared" si="778"/>
        <v>93</v>
      </c>
    </row>
    <row r="4746" spans="1:22" x14ac:dyDescent="0.25">
      <c r="A4746" s="98" t="s">
        <v>25</v>
      </c>
      <c r="B4746" s="98" t="s">
        <v>17</v>
      </c>
      <c r="C4746" s="98">
        <v>219</v>
      </c>
      <c r="D4746" s="98">
        <v>3149</v>
      </c>
      <c r="E4746" s="157">
        <v>41880.511111111111</v>
      </c>
      <c r="F4746" s="157">
        <v>41880.788194444445</v>
      </c>
      <c r="G4746" s="98">
        <v>470</v>
      </c>
      <c r="H4746" s="98">
        <v>521</v>
      </c>
      <c r="I4746" s="98">
        <v>482</v>
      </c>
      <c r="J4746" s="98" t="s">
        <v>2034</v>
      </c>
      <c r="K4746" s="98" t="s">
        <v>40</v>
      </c>
      <c r="L4746" s="105" t="str">
        <f t="shared" si="770"/>
        <v>Mill Creek</v>
      </c>
      <c r="M4746" s="105" t="str">
        <f t="shared" si="771"/>
        <v>Derate</v>
      </c>
      <c r="N4746" s="105" t="str">
        <f t="shared" si="772"/>
        <v>Coal</v>
      </c>
      <c r="O4746" s="105">
        <f>IFERROR(VLOOKUP(A4746,Lookup!$J$5:$P$19,7,FALSE),0)</f>
        <v>3</v>
      </c>
      <c r="P4746" s="159">
        <f t="shared" si="773"/>
        <v>2014</v>
      </c>
      <c r="Q4746" s="159">
        <f t="shared" si="774"/>
        <v>8</v>
      </c>
      <c r="R4746" s="160">
        <f t="shared" si="775"/>
        <v>6.6500000000232831</v>
      </c>
      <c r="S4746" s="158">
        <f t="shared" si="776"/>
        <v>0.65095969290055167</v>
      </c>
      <c r="T4746" s="161">
        <f t="shared" si="777"/>
        <v>313.76257197806592</v>
      </c>
      <c r="U4746" s="158">
        <f t="shared" si="779"/>
        <v>47.182341650671788</v>
      </c>
      <c r="V4746" s="160">
        <f t="shared" si="778"/>
        <v>47</v>
      </c>
    </row>
    <row r="4747" spans="1:22" x14ac:dyDescent="0.25">
      <c r="A4747" s="98" t="s">
        <v>25</v>
      </c>
      <c r="B4747" s="98" t="s">
        <v>17</v>
      </c>
      <c r="C4747" s="98">
        <v>220</v>
      </c>
      <c r="D4747" s="98">
        <v>360</v>
      </c>
      <c r="E4747" s="157">
        <v>41882.53125</v>
      </c>
      <c r="F4747" s="157">
        <v>41882.564583333333</v>
      </c>
      <c r="G4747" s="98">
        <v>420</v>
      </c>
      <c r="H4747" s="98">
        <v>521</v>
      </c>
      <c r="I4747" s="98">
        <v>482</v>
      </c>
      <c r="J4747" s="98" t="s">
        <v>229</v>
      </c>
      <c r="K4747" s="98" t="s">
        <v>2912</v>
      </c>
      <c r="L4747" s="105" t="str">
        <f t="shared" si="770"/>
        <v>Mill Creek</v>
      </c>
      <c r="M4747" s="105" t="str">
        <f t="shared" si="771"/>
        <v>Derate</v>
      </c>
      <c r="N4747" s="105" t="str">
        <f t="shared" si="772"/>
        <v>Coal</v>
      </c>
      <c r="O4747" s="105">
        <f>IFERROR(VLOOKUP(A4747,Lookup!$J$5:$P$19,7,FALSE),0)</f>
        <v>3</v>
      </c>
      <c r="P4747" s="159">
        <f t="shared" si="773"/>
        <v>2014</v>
      </c>
      <c r="Q4747" s="159">
        <f t="shared" si="774"/>
        <v>8</v>
      </c>
      <c r="R4747" s="160">
        <f t="shared" si="775"/>
        <v>0.79999999998835847</v>
      </c>
      <c r="S4747" s="158">
        <f t="shared" si="776"/>
        <v>0.15508637235858772</v>
      </c>
      <c r="T4747" s="161">
        <f t="shared" si="777"/>
        <v>74.751631476839279</v>
      </c>
      <c r="U4747" s="158">
        <f t="shared" si="779"/>
        <v>93.439539347408825</v>
      </c>
      <c r="V4747" s="160">
        <f t="shared" si="778"/>
        <v>93</v>
      </c>
    </row>
    <row r="4748" spans="1:22" x14ac:dyDescent="0.25">
      <c r="A4748" s="98" t="s">
        <v>25</v>
      </c>
      <c r="B4748" s="98" t="s">
        <v>105</v>
      </c>
      <c r="C4748" s="98">
        <v>221</v>
      </c>
      <c r="D4748" s="98">
        <v>310</v>
      </c>
      <c r="E4748" s="157">
        <v>41884.916666666664</v>
      </c>
      <c r="F4748" s="157">
        <v>41885.032638888886</v>
      </c>
      <c r="G4748" s="98">
        <v>420</v>
      </c>
      <c r="H4748" s="98">
        <v>521</v>
      </c>
      <c r="I4748" s="98">
        <v>482</v>
      </c>
      <c r="J4748" s="98" t="s">
        <v>1966</v>
      </c>
      <c r="K4748" s="98" t="s">
        <v>2913</v>
      </c>
      <c r="L4748" s="105" t="str">
        <f t="shared" si="770"/>
        <v>Mill Creek</v>
      </c>
      <c r="M4748" s="105" t="str">
        <f t="shared" si="771"/>
        <v>Derate</v>
      </c>
      <c r="N4748" s="105" t="str">
        <f t="shared" si="772"/>
        <v>Coal</v>
      </c>
      <c r="O4748" s="105">
        <f>IFERROR(VLOOKUP(A4748,Lookup!$J$5:$P$19,7,FALSE),0)</f>
        <v>3</v>
      </c>
      <c r="P4748" s="159">
        <f t="shared" si="773"/>
        <v>2014</v>
      </c>
      <c r="Q4748" s="159">
        <f t="shared" si="774"/>
        <v>9</v>
      </c>
      <c r="R4748" s="160">
        <f t="shared" si="775"/>
        <v>2.7833333333255723</v>
      </c>
      <c r="S4748" s="158">
        <f t="shared" si="776"/>
        <v>0.53957133717060035</v>
      </c>
      <c r="T4748" s="161">
        <f t="shared" si="777"/>
        <v>260.0733845162294</v>
      </c>
      <c r="U4748" s="158">
        <f t="shared" si="779"/>
        <v>93.439539347408825</v>
      </c>
      <c r="V4748" s="160">
        <f t="shared" si="778"/>
        <v>93</v>
      </c>
    </row>
    <row r="4749" spans="1:22" x14ac:dyDescent="0.25">
      <c r="A4749" s="98" t="s">
        <v>25</v>
      </c>
      <c r="B4749" s="98" t="s">
        <v>17</v>
      </c>
      <c r="C4749" s="98">
        <v>222</v>
      </c>
      <c r="D4749" s="98">
        <v>1488</v>
      </c>
      <c r="E4749" s="157">
        <v>41885.430555555555</v>
      </c>
      <c r="F4749" s="157">
        <v>41885.5</v>
      </c>
      <c r="G4749" s="98">
        <v>485</v>
      </c>
      <c r="H4749" s="98">
        <v>521</v>
      </c>
      <c r="I4749" s="98">
        <v>482</v>
      </c>
      <c r="J4749" s="98" t="s">
        <v>2284</v>
      </c>
      <c r="K4749" s="98" t="s">
        <v>2914</v>
      </c>
      <c r="L4749" s="105" t="str">
        <f t="shared" si="770"/>
        <v>Mill Creek</v>
      </c>
      <c r="M4749" s="105" t="str">
        <f t="shared" si="771"/>
        <v>Derate</v>
      </c>
      <c r="N4749" s="105" t="str">
        <f t="shared" si="772"/>
        <v>Coal</v>
      </c>
      <c r="O4749" s="105">
        <f>IFERROR(VLOOKUP(A4749,Lookup!$J$5:$P$19,7,FALSE),0)</f>
        <v>3</v>
      </c>
      <c r="P4749" s="159">
        <f t="shared" si="773"/>
        <v>2014</v>
      </c>
      <c r="Q4749" s="159">
        <f t="shared" si="774"/>
        <v>9</v>
      </c>
      <c r="R4749" s="160">
        <f t="shared" si="775"/>
        <v>1.6666666666860692</v>
      </c>
      <c r="S4749" s="158">
        <f t="shared" si="776"/>
        <v>0.11516314779404702</v>
      </c>
      <c r="T4749" s="161">
        <f t="shared" si="777"/>
        <v>55.508637236730664</v>
      </c>
      <c r="U4749" s="158">
        <f t="shared" si="779"/>
        <v>33.305182341650671</v>
      </c>
      <c r="V4749" s="160">
        <f t="shared" si="778"/>
        <v>33</v>
      </c>
    </row>
    <row r="4750" spans="1:22" x14ac:dyDescent="0.25">
      <c r="A4750" s="98" t="s">
        <v>25</v>
      </c>
      <c r="B4750" s="98" t="s">
        <v>17</v>
      </c>
      <c r="C4750" s="98">
        <v>223</v>
      </c>
      <c r="D4750" s="98">
        <v>3499</v>
      </c>
      <c r="E4750" s="157">
        <v>41886.418749999997</v>
      </c>
      <c r="F4750" s="157">
        <v>41886.618055555555</v>
      </c>
      <c r="G4750" s="98">
        <v>480</v>
      </c>
      <c r="H4750" s="98">
        <v>521</v>
      </c>
      <c r="I4750" s="98">
        <v>482</v>
      </c>
      <c r="J4750" s="98" t="s">
        <v>2188</v>
      </c>
      <c r="K4750" s="98" t="s">
        <v>2903</v>
      </c>
      <c r="L4750" s="105" t="str">
        <f t="shared" si="770"/>
        <v>Mill Creek</v>
      </c>
      <c r="M4750" s="105" t="str">
        <f t="shared" si="771"/>
        <v>Derate</v>
      </c>
      <c r="N4750" s="105" t="str">
        <f t="shared" si="772"/>
        <v>Coal</v>
      </c>
      <c r="O4750" s="105">
        <f>IFERROR(VLOOKUP(A4750,Lookup!$J$5:$P$19,7,FALSE),0)</f>
        <v>3</v>
      </c>
      <c r="P4750" s="159">
        <f t="shared" si="773"/>
        <v>2014</v>
      </c>
      <c r="Q4750" s="159">
        <f t="shared" si="774"/>
        <v>9</v>
      </c>
      <c r="R4750" s="160">
        <f t="shared" si="775"/>
        <v>4.78333333338378</v>
      </c>
      <c r="S4750" s="158">
        <f t="shared" si="776"/>
        <v>0.37642354446974086</v>
      </c>
      <c r="T4750" s="161">
        <f t="shared" si="777"/>
        <v>181.43614843441509</v>
      </c>
      <c r="U4750" s="158">
        <f t="shared" si="779"/>
        <v>37.930902111324379</v>
      </c>
      <c r="V4750" s="160">
        <f t="shared" si="778"/>
        <v>38</v>
      </c>
    </row>
    <row r="4751" spans="1:22" x14ac:dyDescent="0.25">
      <c r="A4751" s="98" t="s">
        <v>25</v>
      </c>
      <c r="B4751" s="98" t="s">
        <v>17</v>
      </c>
      <c r="C4751" s="98">
        <v>224</v>
      </c>
      <c r="D4751" s="98">
        <v>3499</v>
      </c>
      <c r="E4751" s="157">
        <v>41886.618055555555</v>
      </c>
      <c r="F4751" s="157">
        <v>41887.512499999997</v>
      </c>
      <c r="G4751" s="98">
        <v>495</v>
      </c>
      <c r="H4751" s="98">
        <v>521</v>
      </c>
      <c r="I4751" s="98">
        <v>482</v>
      </c>
      <c r="J4751" s="98" t="s">
        <v>2188</v>
      </c>
      <c r="K4751" s="98" t="s">
        <v>2903</v>
      </c>
      <c r="L4751" s="105" t="str">
        <f t="shared" si="770"/>
        <v>Mill Creek</v>
      </c>
      <c r="M4751" s="105" t="str">
        <f t="shared" si="771"/>
        <v>Derate</v>
      </c>
      <c r="N4751" s="105" t="str">
        <f t="shared" si="772"/>
        <v>Coal</v>
      </c>
      <c r="O4751" s="105">
        <f>IFERROR(VLOOKUP(A4751,Lookup!$J$5:$P$19,7,FALSE),0)</f>
        <v>3</v>
      </c>
      <c r="P4751" s="159">
        <f t="shared" si="773"/>
        <v>2014</v>
      </c>
      <c r="Q4751" s="159">
        <f t="shared" si="774"/>
        <v>9</v>
      </c>
      <c r="R4751" s="160">
        <f t="shared" si="775"/>
        <v>21.46666666661622</v>
      </c>
      <c r="S4751" s="158">
        <f t="shared" si="776"/>
        <v>1.0712731925758574</v>
      </c>
      <c r="T4751" s="161">
        <f t="shared" si="777"/>
        <v>516.35367882156322</v>
      </c>
      <c r="U4751" s="158">
        <f t="shared" si="779"/>
        <v>24.053742802303262</v>
      </c>
      <c r="V4751" s="160">
        <f t="shared" si="778"/>
        <v>24</v>
      </c>
    </row>
    <row r="4752" spans="1:22" x14ac:dyDescent="0.25">
      <c r="A4752" s="98" t="s">
        <v>25</v>
      </c>
      <c r="B4752" s="98" t="s">
        <v>17</v>
      </c>
      <c r="C4752" s="98">
        <v>225</v>
      </c>
      <c r="D4752" s="98">
        <v>3499</v>
      </c>
      <c r="E4752" s="157">
        <v>41887.512499999997</v>
      </c>
      <c r="F4752" s="157">
        <v>41887.606249999997</v>
      </c>
      <c r="G4752" s="98">
        <v>490</v>
      </c>
      <c r="H4752" s="98">
        <v>521</v>
      </c>
      <c r="I4752" s="98">
        <v>482</v>
      </c>
      <c r="J4752" s="98" t="s">
        <v>2188</v>
      </c>
      <c r="K4752" s="98" t="s">
        <v>2903</v>
      </c>
      <c r="L4752" s="105" t="str">
        <f t="shared" si="770"/>
        <v>Mill Creek</v>
      </c>
      <c r="M4752" s="105" t="str">
        <f t="shared" si="771"/>
        <v>Derate</v>
      </c>
      <c r="N4752" s="105" t="str">
        <f t="shared" si="772"/>
        <v>Coal</v>
      </c>
      <c r="O4752" s="105">
        <f>IFERROR(VLOOKUP(A4752,Lookup!$J$5:$P$19,7,FALSE),0)</f>
        <v>3</v>
      </c>
      <c r="P4752" s="159">
        <f t="shared" si="773"/>
        <v>2014</v>
      </c>
      <c r="Q4752" s="159">
        <f t="shared" si="774"/>
        <v>9</v>
      </c>
      <c r="R4752" s="160">
        <f t="shared" si="775"/>
        <v>2.25</v>
      </c>
      <c r="S4752" s="158">
        <f t="shared" si="776"/>
        <v>0.13387715930902111</v>
      </c>
      <c r="T4752" s="161">
        <f t="shared" si="777"/>
        <v>64.528790786948178</v>
      </c>
      <c r="U4752" s="158">
        <f t="shared" si="779"/>
        <v>28.679462571976966</v>
      </c>
      <c r="V4752" s="160">
        <f t="shared" si="778"/>
        <v>29</v>
      </c>
    </row>
    <row r="4753" spans="1:22" x14ac:dyDescent="0.25">
      <c r="A4753" s="98" t="s">
        <v>25</v>
      </c>
      <c r="B4753" s="98" t="s">
        <v>17</v>
      </c>
      <c r="C4753" s="98">
        <v>226</v>
      </c>
      <c r="D4753" s="98">
        <v>3499</v>
      </c>
      <c r="E4753" s="157">
        <v>41887.606249999997</v>
      </c>
      <c r="F4753" s="157">
        <v>41892.120833333334</v>
      </c>
      <c r="G4753" s="98">
        <v>496</v>
      </c>
      <c r="H4753" s="98">
        <v>521</v>
      </c>
      <c r="I4753" s="98">
        <v>482</v>
      </c>
      <c r="J4753" s="98" t="s">
        <v>2188</v>
      </c>
      <c r="K4753" s="98" t="s">
        <v>2903</v>
      </c>
      <c r="L4753" s="105" t="str">
        <f t="shared" si="770"/>
        <v>Mill Creek</v>
      </c>
      <c r="M4753" s="105" t="str">
        <f t="shared" si="771"/>
        <v>Derate</v>
      </c>
      <c r="N4753" s="105" t="str">
        <f t="shared" si="772"/>
        <v>Coal</v>
      </c>
      <c r="O4753" s="105">
        <f>IFERROR(VLOOKUP(A4753,Lookup!$J$5:$P$19,7,FALSE),0)</f>
        <v>3</v>
      </c>
      <c r="P4753" s="159">
        <f t="shared" si="773"/>
        <v>2014</v>
      </c>
      <c r="Q4753" s="159">
        <f t="shared" si="774"/>
        <v>9</v>
      </c>
      <c r="R4753" s="160">
        <f t="shared" si="775"/>
        <v>108.35000000009313</v>
      </c>
      <c r="S4753" s="158">
        <f t="shared" si="776"/>
        <v>5.1991362763960236</v>
      </c>
      <c r="T4753" s="161">
        <f t="shared" si="777"/>
        <v>2505.9836852228832</v>
      </c>
      <c r="U4753" s="158">
        <f t="shared" si="779"/>
        <v>23.128598848368522</v>
      </c>
      <c r="V4753" s="160">
        <f t="shared" si="778"/>
        <v>23</v>
      </c>
    </row>
    <row r="4754" spans="1:22" x14ac:dyDescent="0.25">
      <c r="A4754" s="98" t="s">
        <v>25</v>
      </c>
      <c r="B4754" s="98" t="s">
        <v>15</v>
      </c>
      <c r="C4754" s="98">
        <v>227</v>
      </c>
      <c r="D4754" s="98">
        <v>800</v>
      </c>
      <c r="E4754" s="157">
        <v>41892.120833333334</v>
      </c>
      <c r="F4754" s="157">
        <v>41892.23541666667</v>
      </c>
      <c r="G4754" s="98">
        <v>0</v>
      </c>
      <c r="H4754" s="98">
        <v>521</v>
      </c>
      <c r="I4754" s="98">
        <v>482</v>
      </c>
      <c r="J4754" s="98" t="s">
        <v>2197</v>
      </c>
      <c r="K4754" s="98" t="s">
        <v>36</v>
      </c>
      <c r="L4754" s="105" t="str">
        <f t="shared" si="770"/>
        <v>Mill Creek</v>
      </c>
      <c r="M4754" s="105" t="str">
        <f t="shared" si="771"/>
        <v>Outage</v>
      </c>
      <c r="N4754" s="105" t="str">
        <f t="shared" si="772"/>
        <v>Coal</v>
      </c>
      <c r="O4754" s="105">
        <f>IFERROR(VLOOKUP(A4754,Lookup!$J$5:$P$19,7,FALSE),0)</f>
        <v>3</v>
      </c>
      <c r="P4754" s="159">
        <f t="shared" si="773"/>
        <v>2014</v>
      </c>
      <c r="Q4754" s="159">
        <f t="shared" si="774"/>
        <v>9</v>
      </c>
      <c r="R4754" s="160">
        <f t="shared" si="775"/>
        <v>2.7500000000582077</v>
      </c>
      <c r="S4754" s="158">
        <f t="shared" si="776"/>
        <v>2.7500000000582077</v>
      </c>
      <c r="T4754" s="161">
        <f t="shared" si="777"/>
        <v>1325.5000000280561</v>
      </c>
      <c r="U4754" s="158">
        <f t="shared" si="779"/>
        <v>482</v>
      </c>
      <c r="V4754" s="160">
        <f t="shared" si="778"/>
        <v>482</v>
      </c>
    </row>
    <row r="4755" spans="1:22" x14ac:dyDescent="0.25">
      <c r="A4755" s="98" t="s">
        <v>25</v>
      </c>
      <c r="B4755" s="98" t="s">
        <v>17</v>
      </c>
      <c r="C4755" s="98">
        <v>228</v>
      </c>
      <c r="D4755" s="98">
        <v>3499</v>
      </c>
      <c r="E4755" s="157">
        <v>41892.23541666667</v>
      </c>
      <c r="F4755" s="157">
        <v>41900.548611111109</v>
      </c>
      <c r="G4755" s="98">
        <v>496</v>
      </c>
      <c r="H4755" s="98">
        <v>521</v>
      </c>
      <c r="I4755" s="98">
        <v>482</v>
      </c>
      <c r="J4755" s="98" t="s">
        <v>2188</v>
      </c>
      <c r="K4755" s="98" t="s">
        <v>2903</v>
      </c>
      <c r="L4755" s="105" t="str">
        <f t="shared" si="770"/>
        <v>Mill Creek</v>
      </c>
      <c r="M4755" s="105" t="str">
        <f t="shared" si="771"/>
        <v>Derate</v>
      </c>
      <c r="N4755" s="105" t="str">
        <f t="shared" si="772"/>
        <v>Coal</v>
      </c>
      <c r="O4755" s="105">
        <f>IFERROR(VLOOKUP(A4755,Lookup!$J$5:$P$19,7,FALSE),0)</f>
        <v>3</v>
      </c>
      <c r="P4755" s="159">
        <f t="shared" si="773"/>
        <v>2014</v>
      </c>
      <c r="Q4755" s="159">
        <f t="shared" si="774"/>
        <v>9</v>
      </c>
      <c r="R4755" s="160">
        <f t="shared" si="775"/>
        <v>199.51666666654637</v>
      </c>
      <c r="S4755" s="158">
        <f t="shared" si="776"/>
        <v>9.5737364043448352</v>
      </c>
      <c r="T4755" s="161">
        <f t="shared" si="777"/>
        <v>4614.5409468942107</v>
      </c>
      <c r="U4755" s="158">
        <f t="shared" si="779"/>
        <v>23.128598848368522</v>
      </c>
      <c r="V4755" s="160">
        <f t="shared" si="778"/>
        <v>23</v>
      </c>
    </row>
    <row r="4756" spans="1:22" x14ac:dyDescent="0.25">
      <c r="A4756" s="98" t="s">
        <v>25</v>
      </c>
      <c r="B4756" s="98" t="s">
        <v>17</v>
      </c>
      <c r="C4756" s="98">
        <v>229</v>
      </c>
      <c r="D4756" s="98">
        <v>1850</v>
      </c>
      <c r="E4756" s="157">
        <v>41892.48541666667</v>
      </c>
      <c r="F4756" s="157">
        <v>41892.833333333336</v>
      </c>
      <c r="G4756" s="98">
        <v>370</v>
      </c>
      <c r="H4756" s="98">
        <v>521</v>
      </c>
      <c r="I4756" s="98">
        <v>482</v>
      </c>
      <c r="J4756" s="98" t="s">
        <v>2263</v>
      </c>
      <c r="K4756" s="98" t="s">
        <v>41</v>
      </c>
      <c r="L4756" s="105" t="str">
        <f t="shared" si="770"/>
        <v>Mill Creek</v>
      </c>
      <c r="M4756" s="105" t="str">
        <f t="shared" si="771"/>
        <v>Derate</v>
      </c>
      <c r="N4756" s="105" t="str">
        <f t="shared" si="772"/>
        <v>Coal</v>
      </c>
      <c r="O4756" s="105">
        <f>IFERROR(VLOOKUP(A4756,Lookup!$J$5:$P$19,7,FALSE),0)</f>
        <v>3</v>
      </c>
      <c r="P4756" s="159">
        <f t="shared" si="773"/>
        <v>2014</v>
      </c>
      <c r="Q4756" s="159">
        <f t="shared" si="774"/>
        <v>9</v>
      </c>
      <c r="R4756" s="160">
        <f t="shared" si="775"/>
        <v>8.3499999999767169</v>
      </c>
      <c r="S4756" s="158">
        <f t="shared" si="776"/>
        <v>2.4200575815671481</v>
      </c>
      <c r="T4756" s="161">
        <f t="shared" si="777"/>
        <v>1166.4677543153655</v>
      </c>
      <c r="U4756" s="158">
        <f t="shared" si="779"/>
        <v>139.69673704414586</v>
      </c>
      <c r="V4756" s="160">
        <f t="shared" si="778"/>
        <v>140</v>
      </c>
    </row>
    <row r="4757" spans="1:22" x14ac:dyDescent="0.25">
      <c r="A4757" s="98" t="s">
        <v>25</v>
      </c>
      <c r="B4757" s="98" t="s">
        <v>79</v>
      </c>
      <c r="C4757" s="98">
        <v>230</v>
      </c>
      <c r="D4757" s="98">
        <v>9690</v>
      </c>
      <c r="E4757" s="157">
        <v>41893.416666666664</v>
      </c>
      <c r="F4757" s="157">
        <v>41893.5</v>
      </c>
      <c r="G4757" s="98">
        <v>0</v>
      </c>
      <c r="H4757" s="98">
        <v>521</v>
      </c>
      <c r="I4757" s="98">
        <v>482</v>
      </c>
      <c r="J4757" s="98" t="s">
        <v>2702</v>
      </c>
      <c r="K4757" s="98" t="s">
        <v>2915</v>
      </c>
      <c r="L4757" s="105" t="str">
        <f t="shared" si="770"/>
        <v>Mill Creek</v>
      </c>
      <c r="M4757" s="105" t="str">
        <f t="shared" si="771"/>
        <v>Other</v>
      </c>
      <c r="N4757" s="105" t="str">
        <f t="shared" si="772"/>
        <v>Coal</v>
      </c>
      <c r="O4757" s="105">
        <f>IFERROR(VLOOKUP(A4757,Lookup!$J$5:$P$19,7,FALSE),0)</f>
        <v>3</v>
      </c>
      <c r="P4757" s="159">
        <f t="shared" si="773"/>
        <v>2014</v>
      </c>
      <c r="Q4757" s="159">
        <f t="shared" si="774"/>
        <v>9</v>
      </c>
      <c r="R4757" s="160">
        <f t="shared" si="775"/>
        <v>2.0000000000582077</v>
      </c>
      <c r="S4757" s="158">
        <f t="shared" si="776"/>
        <v>2.0000000000582077</v>
      </c>
      <c r="T4757" s="161">
        <f t="shared" si="777"/>
        <v>964.00000002805609</v>
      </c>
      <c r="U4757" s="158">
        <f t="shared" si="779"/>
        <v>482</v>
      </c>
      <c r="V4757" s="160">
        <f t="shared" si="778"/>
        <v>482</v>
      </c>
    </row>
    <row r="4758" spans="1:22" x14ac:dyDescent="0.25">
      <c r="A4758" s="98" t="s">
        <v>25</v>
      </c>
      <c r="B4758" s="98" t="s">
        <v>17</v>
      </c>
      <c r="C4758" s="98">
        <v>231</v>
      </c>
      <c r="D4758" s="98">
        <v>1470</v>
      </c>
      <c r="E4758" s="157">
        <v>41898.21875</v>
      </c>
      <c r="F4758" s="157">
        <v>41898.24722222222</v>
      </c>
      <c r="G4758" s="98">
        <v>395</v>
      </c>
      <c r="H4758" s="98">
        <v>521</v>
      </c>
      <c r="I4758" s="98">
        <v>482</v>
      </c>
      <c r="J4758" s="98" t="s">
        <v>2005</v>
      </c>
      <c r="K4758" s="98" t="s">
        <v>2916</v>
      </c>
      <c r="L4758" s="105" t="str">
        <f t="shared" si="770"/>
        <v>Mill Creek</v>
      </c>
      <c r="M4758" s="105" t="str">
        <f t="shared" si="771"/>
        <v>Derate</v>
      </c>
      <c r="N4758" s="105" t="str">
        <f t="shared" si="772"/>
        <v>Coal</v>
      </c>
      <c r="O4758" s="105">
        <f>IFERROR(VLOOKUP(A4758,Lookup!$J$5:$P$19,7,FALSE),0)</f>
        <v>3</v>
      </c>
      <c r="P4758" s="159">
        <f t="shared" si="773"/>
        <v>2014</v>
      </c>
      <c r="Q4758" s="159">
        <f t="shared" si="774"/>
        <v>9</v>
      </c>
      <c r="R4758" s="160">
        <f t="shared" si="775"/>
        <v>0.68333333329064772</v>
      </c>
      <c r="S4758" s="158">
        <f t="shared" si="776"/>
        <v>0.16525911707221039</v>
      </c>
      <c r="T4758" s="161">
        <f t="shared" si="777"/>
        <v>79.654894428805406</v>
      </c>
      <c r="U4758" s="158">
        <f t="shared" si="779"/>
        <v>116.56813819577735</v>
      </c>
      <c r="V4758" s="160">
        <f t="shared" si="778"/>
        <v>117</v>
      </c>
    </row>
    <row r="4759" spans="1:22" x14ac:dyDescent="0.25">
      <c r="A4759" s="98" t="s">
        <v>25</v>
      </c>
      <c r="B4759" s="98" t="s">
        <v>17</v>
      </c>
      <c r="C4759" s="98">
        <v>232</v>
      </c>
      <c r="D4759" s="98">
        <v>570</v>
      </c>
      <c r="E4759" s="157">
        <v>41898.661805555559</v>
      </c>
      <c r="F4759" s="157">
        <v>41899.427083333336</v>
      </c>
      <c r="G4759" s="98">
        <v>485</v>
      </c>
      <c r="H4759" s="98">
        <v>521</v>
      </c>
      <c r="I4759" s="98">
        <v>482</v>
      </c>
      <c r="J4759" s="98" t="s">
        <v>2747</v>
      </c>
      <c r="K4759" s="98" t="s">
        <v>2917</v>
      </c>
      <c r="L4759" s="105" t="str">
        <f t="shared" si="770"/>
        <v>Mill Creek</v>
      </c>
      <c r="M4759" s="105" t="str">
        <f t="shared" si="771"/>
        <v>Derate</v>
      </c>
      <c r="N4759" s="105" t="str">
        <f t="shared" si="772"/>
        <v>Coal</v>
      </c>
      <c r="O4759" s="105">
        <f>IFERROR(VLOOKUP(A4759,Lookup!$J$5:$P$19,7,FALSE),0)</f>
        <v>3</v>
      </c>
      <c r="P4759" s="159">
        <f t="shared" si="773"/>
        <v>2014</v>
      </c>
      <c r="Q4759" s="159">
        <f t="shared" si="774"/>
        <v>9</v>
      </c>
      <c r="R4759" s="160">
        <f t="shared" si="775"/>
        <v>18.366666666639503</v>
      </c>
      <c r="S4759" s="158">
        <f t="shared" si="776"/>
        <v>1.269097888673747</v>
      </c>
      <c r="T4759" s="161">
        <f t="shared" si="777"/>
        <v>611.70518234074598</v>
      </c>
      <c r="U4759" s="158">
        <f t="shared" si="779"/>
        <v>33.305182341650671</v>
      </c>
      <c r="V4759" s="160">
        <f t="shared" si="778"/>
        <v>33</v>
      </c>
    </row>
    <row r="4760" spans="1:22" x14ac:dyDescent="0.25">
      <c r="A4760" s="98" t="s">
        <v>25</v>
      </c>
      <c r="B4760" s="98" t="s">
        <v>17</v>
      </c>
      <c r="C4760" s="98">
        <v>233</v>
      </c>
      <c r="D4760" s="98">
        <v>560</v>
      </c>
      <c r="E4760" s="157">
        <v>41900.548611111109</v>
      </c>
      <c r="F4760" s="157">
        <v>41900.607638888891</v>
      </c>
      <c r="G4760" s="98">
        <v>220</v>
      </c>
      <c r="H4760" s="98">
        <v>521</v>
      </c>
      <c r="I4760" s="98">
        <v>482</v>
      </c>
      <c r="J4760" s="98" t="s">
        <v>2918</v>
      </c>
      <c r="K4760" s="98" t="s">
        <v>2919</v>
      </c>
      <c r="L4760" s="105" t="str">
        <f t="shared" si="770"/>
        <v>Mill Creek</v>
      </c>
      <c r="M4760" s="105" t="str">
        <f t="shared" si="771"/>
        <v>Derate</v>
      </c>
      <c r="N4760" s="105" t="str">
        <f t="shared" si="772"/>
        <v>Coal</v>
      </c>
      <c r="O4760" s="105">
        <f>IFERROR(VLOOKUP(A4760,Lookup!$J$5:$P$19,7,FALSE),0)</f>
        <v>3</v>
      </c>
      <c r="P4760" s="159">
        <f t="shared" si="773"/>
        <v>2014</v>
      </c>
      <c r="Q4760" s="159">
        <f t="shared" si="774"/>
        <v>9</v>
      </c>
      <c r="R4760" s="160">
        <f t="shared" si="775"/>
        <v>1.4166666667442769</v>
      </c>
      <c r="S4760" s="158">
        <f t="shared" si="776"/>
        <v>0.81845809345494691</v>
      </c>
      <c r="T4760" s="161">
        <f t="shared" si="777"/>
        <v>394.49680104528443</v>
      </c>
      <c r="U4760" s="158">
        <f t="shared" si="779"/>
        <v>278.46833013435702</v>
      </c>
      <c r="V4760" s="160">
        <f t="shared" si="778"/>
        <v>278</v>
      </c>
    </row>
    <row r="4761" spans="1:22" x14ac:dyDescent="0.25">
      <c r="A4761" s="98" t="s">
        <v>25</v>
      </c>
      <c r="B4761" s="98" t="s">
        <v>15</v>
      </c>
      <c r="C4761" s="98">
        <v>234</v>
      </c>
      <c r="D4761" s="98">
        <v>3649</v>
      </c>
      <c r="E4761" s="157">
        <v>41900.607638888891</v>
      </c>
      <c r="F4761" s="157">
        <v>41905.615277777775</v>
      </c>
      <c r="G4761" s="98">
        <v>0</v>
      </c>
      <c r="H4761" s="98">
        <v>521</v>
      </c>
      <c r="I4761" s="98">
        <v>482</v>
      </c>
      <c r="J4761" s="98" t="s">
        <v>2920</v>
      </c>
      <c r="K4761" s="98" t="s">
        <v>2921</v>
      </c>
      <c r="L4761" s="105" t="str">
        <f t="shared" si="770"/>
        <v>Mill Creek</v>
      </c>
      <c r="M4761" s="105" t="str">
        <f t="shared" si="771"/>
        <v>Outage</v>
      </c>
      <c r="N4761" s="105" t="str">
        <f t="shared" si="772"/>
        <v>Coal</v>
      </c>
      <c r="O4761" s="105">
        <f>IFERROR(VLOOKUP(A4761,Lookup!$J$5:$P$19,7,FALSE),0)</f>
        <v>3</v>
      </c>
      <c r="P4761" s="159">
        <f t="shared" si="773"/>
        <v>2014</v>
      </c>
      <c r="Q4761" s="159">
        <f t="shared" si="774"/>
        <v>9</v>
      </c>
      <c r="R4761" s="160">
        <f t="shared" si="775"/>
        <v>120.18333333323244</v>
      </c>
      <c r="S4761" s="158">
        <f t="shared" si="776"/>
        <v>120.18333333323244</v>
      </c>
      <c r="T4761" s="161">
        <f t="shared" si="777"/>
        <v>57928.366666618036</v>
      </c>
      <c r="U4761" s="158">
        <f t="shared" si="779"/>
        <v>482</v>
      </c>
      <c r="V4761" s="160">
        <f t="shared" si="778"/>
        <v>482</v>
      </c>
    </row>
    <row r="4762" spans="1:22" x14ac:dyDescent="0.25">
      <c r="A4762" s="98" t="s">
        <v>25</v>
      </c>
      <c r="B4762" s="98" t="s">
        <v>79</v>
      </c>
      <c r="C4762" s="98">
        <v>235</v>
      </c>
      <c r="D4762" s="98">
        <v>1850</v>
      </c>
      <c r="E4762" s="157">
        <v>41905.615277777775</v>
      </c>
      <c r="F4762" s="157">
        <v>41906.211805555555</v>
      </c>
      <c r="G4762" s="98">
        <v>0</v>
      </c>
      <c r="H4762" s="98">
        <v>521</v>
      </c>
      <c r="I4762" s="98">
        <v>482</v>
      </c>
      <c r="J4762" s="98" t="s">
        <v>2263</v>
      </c>
      <c r="K4762" s="98" t="s">
        <v>88</v>
      </c>
      <c r="L4762" s="105" t="str">
        <f t="shared" si="770"/>
        <v>Mill Creek</v>
      </c>
      <c r="M4762" s="105" t="str">
        <f t="shared" si="771"/>
        <v>Other</v>
      </c>
      <c r="N4762" s="105" t="str">
        <f t="shared" si="772"/>
        <v>Coal</v>
      </c>
      <c r="O4762" s="105">
        <f>IFERROR(VLOOKUP(A4762,Lookup!$J$5:$P$19,7,FALSE),0)</f>
        <v>3</v>
      </c>
      <c r="P4762" s="159">
        <f t="shared" si="773"/>
        <v>2014</v>
      </c>
      <c r="Q4762" s="159">
        <f t="shared" si="774"/>
        <v>9</v>
      </c>
      <c r="R4762" s="160">
        <f t="shared" si="775"/>
        <v>14.316666666709352</v>
      </c>
      <c r="S4762" s="158">
        <f t="shared" si="776"/>
        <v>14.316666666709352</v>
      </c>
      <c r="T4762" s="161">
        <f t="shared" si="777"/>
        <v>6900.6333333539078</v>
      </c>
      <c r="U4762" s="158">
        <f t="shared" si="779"/>
        <v>482</v>
      </c>
      <c r="V4762" s="160">
        <f t="shared" si="778"/>
        <v>482</v>
      </c>
    </row>
    <row r="4763" spans="1:22" x14ac:dyDescent="0.25">
      <c r="A4763" s="98" t="s">
        <v>25</v>
      </c>
      <c r="B4763" s="98" t="s">
        <v>17</v>
      </c>
      <c r="C4763" s="98">
        <v>236</v>
      </c>
      <c r="D4763" s="98">
        <v>3499</v>
      </c>
      <c r="E4763" s="157">
        <v>41906.211805555555</v>
      </c>
      <c r="F4763" s="157">
        <v>41906.287499999999</v>
      </c>
      <c r="G4763" s="98">
        <v>496</v>
      </c>
      <c r="H4763" s="98">
        <v>521</v>
      </c>
      <c r="I4763" s="98">
        <v>482</v>
      </c>
      <c r="J4763" s="98" t="s">
        <v>2188</v>
      </c>
      <c r="K4763" s="98" t="s">
        <v>2903</v>
      </c>
      <c r="L4763" s="105" t="str">
        <f t="shared" si="770"/>
        <v>Mill Creek</v>
      </c>
      <c r="M4763" s="105" t="str">
        <f t="shared" si="771"/>
        <v>Derate</v>
      </c>
      <c r="N4763" s="105" t="str">
        <f t="shared" si="772"/>
        <v>Coal</v>
      </c>
      <c r="O4763" s="105">
        <f>IFERROR(VLOOKUP(A4763,Lookup!$J$5:$P$19,7,FALSE),0)</f>
        <v>3</v>
      </c>
      <c r="P4763" s="159">
        <f t="shared" si="773"/>
        <v>2014</v>
      </c>
      <c r="Q4763" s="159">
        <f t="shared" si="774"/>
        <v>9</v>
      </c>
      <c r="R4763" s="160">
        <f t="shared" si="775"/>
        <v>1.8166666666511446</v>
      </c>
      <c r="S4763" s="158">
        <f t="shared" si="776"/>
        <v>8.7172104925678728E-2</v>
      </c>
      <c r="T4763" s="161">
        <f t="shared" si="777"/>
        <v>42.016954574177149</v>
      </c>
      <c r="U4763" s="158">
        <f t="shared" si="779"/>
        <v>23.128598848368522</v>
      </c>
      <c r="V4763" s="160">
        <f t="shared" si="778"/>
        <v>23</v>
      </c>
    </row>
    <row r="4764" spans="1:22" x14ac:dyDescent="0.25">
      <c r="A4764" s="98" t="s">
        <v>25</v>
      </c>
      <c r="B4764" s="98" t="s">
        <v>15</v>
      </c>
      <c r="C4764" s="98">
        <v>237</v>
      </c>
      <c r="D4764" s="98">
        <v>800</v>
      </c>
      <c r="E4764" s="162">
        <v>41906.287499999999</v>
      </c>
      <c r="F4764" s="157">
        <v>41906.336805555555</v>
      </c>
      <c r="G4764" s="98">
        <v>0</v>
      </c>
      <c r="H4764" s="98">
        <v>521</v>
      </c>
      <c r="I4764" s="98">
        <v>482</v>
      </c>
      <c r="J4764" s="98" t="s">
        <v>2197</v>
      </c>
      <c r="K4764" s="98" t="s">
        <v>2922</v>
      </c>
      <c r="L4764" s="105" t="str">
        <f t="shared" si="770"/>
        <v>Mill Creek</v>
      </c>
      <c r="M4764" s="105" t="str">
        <f t="shared" si="771"/>
        <v>Outage</v>
      </c>
      <c r="N4764" s="105" t="str">
        <f t="shared" si="772"/>
        <v>Coal</v>
      </c>
      <c r="O4764" s="105">
        <f>IFERROR(VLOOKUP(A4764,Lookup!$J$5:$P$19,7,FALSE),0)</f>
        <v>3</v>
      </c>
      <c r="P4764" s="159">
        <f t="shared" si="773"/>
        <v>2014</v>
      </c>
      <c r="Q4764" s="159">
        <f t="shared" si="774"/>
        <v>9</v>
      </c>
      <c r="R4764" s="160">
        <f t="shared" si="775"/>
        <v>1.1833333333488554</v>
      </c>
      <c r="S4764" s="158">
        <f t="shared" si="776"/>
        <v>1.1833333333488554</v>
      </c>
      <c r="T4764" s="161">
        <f t="shared" si="777"/>
        <v>570.36666667414829</v>
      </c>
      <c r="U4764" s="158">
        <f t="shared" si="779"/>
        <v>482</v>
      </c>
      <c r="V4764" s="160">
        <f t="shared" si="778"/>
        <v>482</v>
      </c>
    </row>
    <row r="4765" spans="1:22" x14ac:dyDescent="0.25">
      <c r="A4765" s="98" t="s">
        <v>25</v>
      </c>
      <c r="B4765" s="98" t="s">
        <v>79</v>
      </c>
      <c r="C4765" s="98">
        <v>238</v>
      </c>
      <c r="D4765" s="98">
        <v>1850</v>
      </c>
      <c r="E4765" s="157">
        <v>41906.336805555555</v>
      </c>
      <c r="F4765" s="157">
        <v>41906.40625</v>
      </c>
      <c r="G4765" s="98">
        <v>0</v>
      </c>
      <c r="H4765" s="98">
        <v>521</v>
      </c>
      <c r="I4765" s="98">
        <v>482</v>
      </c>
      <c r="J4765" s="98" t="s">
        <v>2263</v>
      </c>
      <c r="K4765" s="98" t="s">
        <v>87</v>
      </c>
      <c r="L4765" s="105" t="str">
        <f t="shared" si="770"/>
        <v>Mill Creek</v>
      </c>
      <c r="M4765" s="105" t="str">
        <f t="shared" si="771"/>
        <v>Other</v>
      </c>
      <c r="N4765" s="105" t="str">
        <f t="shared" si="772"/>
        <v>Coal</v>
      </c>
      <c r="O4765" s="105">
        <f>IFERROR(VLOOKUP(A4765,Lookup!$J$5:$P$19,7,FALSE),0)</f>
        <v>3</v>
      </c>
      <c r="P4765" s="159">
        <f t="shared" si="773"/>
        <v>2014</v>
      </c>
      <c r="Q4765" s="159">
        <f t="shared" si="774"/>
        <v>9</v>
      </c>
      <c r="R4765" s="160">
        <f t="shared" si="775"/>
        <v>1.6666666666860692</v>
      </c>
      <c r="S4765" s="158">
        <f t="shared" si="776"/>
        <v>1.6666666666860692</v>
      </c>
      <c r="T4765" s="161">
        <f t="shared" si="777"/>
        <v>803.33333334268536</v>
      </c>
      <c r="U4765" s="158">
        <f t="shared" si="779"/>
        <v>482</v>
      </c>
      <c r="V4765" s="160">
        <f t="shared" si="778"/>
        <v>482</v>
      </c>
    </row>
    <row r="4766" spans="1:22" x14ac:dyDescent="0.25">
      <c r="A4766" s="98" t="s">
        <v>25</v>
      </c>
      <c r="B4766" s="98" t="s">
        <v>15</v>
      </c>
      <c r="C4766" s="98">
        <v>239</v>
      </c>
      <c r="D4766" s="98">
        <v>800</v>
      </c>
      <c r="E4766" s="157">
        <v>41906.40625</v>
      </c>
      <c r="F4766" s="157">
        <v>41906.459722222222</v>
      </c>
      <c r="G4766" s="98">
        <v>0</v>
      </c>
      <c r="H4766" s="98">
        <v>521</v>
      </c>
      <c r="I4766" s="98">
        <v>482</v>
      </c>
      <c r="J4766" s="98" t="s">
        <v>2197</v>
      </c>
      <c r="K4766" s="98" t="s">
        <v>44</v>
      </c>
      <c r="L4766" s="105" t="str">
        <f t="shared" si="770"/>
        <v>Mill Creek</v>
      </c>
      <c r="M4766" s="105" t="str">
        <f t="shared" si="771"/>
        <v>Outage</v>
      </c>
      <c r="N4766" s="105" t="str">
        <f t="shared" si="772"/>
        <v>Coal</v>
      </c>
      <c r="O4766" s="105">
        <f>IFERROR(VLOOKUP(A4766,Lookup!$J$5:$P$19,7,FALSE),0)</f>
        <v>3</v>
      </c>
      <c r="P4766" s="159">
        <f t="shared" si="773"/>
        <v>2014</v>
      </c>
      <c r="Q4766" s="159">
        <f t="shared" si="774"/>
        <v>9</v>
      </c>
      <c r="R4766" s="160">
        <f t="shared" si="775"/>
        <v>1.2833333333255723</v>
      </c>
      <c r="S4766" s="158">
        <f t="shared" si="776"/>
        <v>1.2833333333255723</v>
      </c>
      <c r="T4766" s="161">
        <f t="shared" si="777"/>
        <v>618.56666666292585</v>
      </c>
      <c r="U4766" s="158">
        <f t="shared" si="779"/>
        <v>482</v>
      </c>
      <c r="V4766" s="160">
        <f t="shared" si="778"/>
        <v>482</v>
      </c>
    </row>
    <row r="4767" spans="1:22" x14ac:dyDescent="0.25">
      <c r="A4767" s="98" t="s">
        <v>25</v>
      </c>
      <c r="B4767" s="98" t="s">
        <v>17</v>
      </c>
      <c r="C4767" s="98">
        <v>240</v>
      </c>
      <c r="D4767" s="98">
        <v>3499</v>
      </c>
      <c r="E4767" s="157">
        <v>41906.460416666669</v>
      </c>
      <c r="F4767" s="157">
        <v>41906.990972222222</v>
      </c>
      <c r="G4767" s="98">
        <v>496</v>
      </c>
      <c r="H4767" s="98">
        <v>521</v>
      </c>
      <c r="I4767" s="98">
        <v>482</v>
      </c>
      <c r="J4767" s="98" t="s">
        <v>2188</v>
      </c>
      <c r="K4767" s="98" t="s">
        <v>2903</v>
      </c>
      <c r="L4767" s="105" t="str">
        <f t="shared" si="770"/>
        <v>Mill Creek</v>
      </c>
      <c r="M4767" s="105" t="str">
        <f t="shared" si="771"/>
        <v>Derate</v>
      </c>
      <c r="N4767" s="105" t="str">
        <f t="shared" si="772"/>
        <v>Coal</v>
      </c>
      <c r="O4767" s="105">
        <f>IFERROR(VLOOKUP(A4767,Lookup!$J$5:$P$19,7,FALSE),0)</f>
        <v>3</v>
      </c>
      <c r="P4767" s="159">
        <f t="shared" si="773"/>
        <v>2014</v>
      </c>
      <c r="Q4767" s="159">
        <f t="shared" si="774"/>
        <v>9</v>
      </c>
      <c r="R4767" s="160">
        <f t="shared" si="775"/>
        <v>12.733333333279006</v>
      </c>
      <c r="S4767" s="158">
        <f t="shared" si="776"/>
        <v>0.61100447856425177</v>
      </c>
      <c r="T4767" s="161">
        <f t="shared" si="777"/>
        <v>294.50415866796936</v>
      </c>
      <c r="U4767" s="158">
        <f t="shared" si="779"/>
        <v>23.128598848368522</v>
      </c>
      <c r="V4767" s="160">
        <f t="shared" si="778"/>
        <v>23</v>
      </c>
    </row>
    <row r="4768" spans="1:22" x14ac:dyDescent="0.25">
      <c r="A4768" s="98" t="s">
        <v>25</v>
      </c>
      <c r="B4768" s="98" t="s">
        <v>38</v>
      </c>
      <c r="C4768" s="98">
        <v>241</v>
      </c>
      <c r="D4768" s="98">
        <v>4400</v>
      </c>
      <c r="E4768" s="157">
        <v>41906.990972222222</v>
      </c>
      <c r="F4768" s="157">
        <v>41975.753472222219</v>
      </c>
      <c r="G4768" s="98">
        <v>0</v>
      </c>
      <c r="H4768" s="98">
        <v>521</v>
      </c>
      <c r="I4768" s="98">
        <v>482</v>
      </c>
      <c r="J4768" s="98" t="s">
        <v>2079</v>
      </c>
      <c r="K4768" s="98" t="s">
        <v>2923</v>
      </c>
      <c r="L4768" s="105" t="str">
        <f t="shared" si="770"/>
        <v>Mill Creek</v>
      </c>
      <c r="M4768" s="105" t="str">
        <f t="shared" si="771"/>
        <v>Other</v>
      </c>
      <c r="N4768" s="105" t="str">
        <f t="shared" si="772"/>
        <v>Coal</v>
      </c>
      <c r="O4768" s="105">
        <f>IFERROR(VLOOKUP(A4768,Lookup!$J$5:$P$19,7,FALSE),0)</f>
        <v>3</v>
      </c>
      <c r="P4768" s="159">
        <f t="shared" si="773"/>
        <v>2014</v>
      </c>
      <c r="Q4768" s="159">
        <f t="shared" si="774"/>
        <v>9</v>
      </c>
      <c r="R4768" s="160">
        <f t="shared" si="775"/>
        <v>1650.2999999999302</v>
      </c>
      <c r="S4768" s="158">
        <f t="shared" si="776"/>
        <v>1650.2999999999302</v>
      </c>
      <c r="T4768" s="161">
        <f t="shared" si="777"/>
        <v>795444.59999996633</v>
      </c>
      <c r="U4768" s="158">
        <f t="shared" si="779"/>
        <v>482</v>
      </c>
      <c r="V4768" s="160">
        <f t="shared" si="778"/>
        <v>482</v>
      </c>
    </row>
    <row r="4769" spans="1:22" x14ac:dyDescent="0.25">
      <c r="A4769" s="98" t="s">
        <v>25</v>
      </c>
      <c r="B4769" s="98" t="s">
        <v>38</v>
      </c>
      <c r="C4769" s="98">
        <v>242</v>
      </c>
      <c r="D4769" s="98">
        <v>8460</v>
      </c>
      <c r="E4769" s="157">
        <v>41975.760416666664</v>
      </c>
      <c r="F4769" s="157">
        <v>41976.425694444442</v>
      </c>
      <c r="G4769" s="98">
        <v>0</v>
      </c>
      <c r="H4769" s="98">
        <v>521</v>
      </c>
      <c r="I4769" s="98">
        <v>482</v>
      </c>
      <c r="J4769" s="98" t="s">
        <v>2651</v>
      </c>
      <c r="K4769" s="98" t="s">
        <v>2924</v>
      </c>
      <c r="L4769" s="105" t="str">
        <f t="shared" si="770"/>
        <v>Mill Creek</v>
      </c>
      <c r="M4769" s="105" t="str">
        <f t="shared" si="771"/>
        <v>Other</v>
      </c>
      <c r="N4769" s="105" t="str">
        <f t="shared" si="772"/>
        <v>Coal</v>
      </c>
      <c r="O4769" s="105">
        <f>IFERROR(VLOOKUP(A4769,Lookup!$J$5:$P$19,7,FALSE),0)</f>
        <v>3</v>
      </c>
      <c r="P4769" s="159">
        <f t="shared" si="773"/>
        <v>2014</v>
      </c>
      <c r="Q4769" s="159">
        <f t="shared" si="774"/>
        <v>12</v>
      </c>
      <c r="R4769" s="160">
        <f t="shared" si="775"/>
        <v>15.966666666674428</v>
      </c>
      <c r="S4769" s="158">
        <f t="shared" si="776"/>
        <v>15.966666666674428</v>
      </c>
      <c r="T4769" s="161">
        <f t="shared" si="777"/>
        <v>7695.9333333370741</v>
      </c>
      <c r="U4769" s="158">
        <f t="shared" si="779"/>
        <v>482</v>
      </c>
      <c r="V4769" s="160">
        <f t="shared" si="778"/>
        <v>482</v>
      </c>
    </row>
    <row r="4770" spans="1:22" x14ac:dyDescent="0.25">
      <c r="A4770" s="98" t="s">
        <v>25</v>
      </c>
      <c r="B4770" s="98" t="s">
        <v>15</v>
      </c>
      <c r="C4770" s="98">
        <v>243</v>
      </c>
      <c r="D4770" s="98">
        <v>800</v>
      </c>
      <c r="E4770" s="157">
        <v>41976.429861111108</v>
      </c>
      <c r="F4770" s="157">
        <v>41976.458333333336</v>
      </c>
      <c r="G4770" s="98">
        <v>0</v>
      </c>
      <c r="H4770" s="98">
        <v>521</v>
      </c>
      <c r="I4770" s="98">
        <v>482</v>
      </c>
      <c r="J4770" s="98" t="s">
        <v>2197</v>
      </c>
      <c r="K4770" s="98" t="s">
        <v>44</v>
      </c>
      <c r="L4770" s="105" t="str">
        <f t="shared" si="770"/>
        <v>Mill Creek</v>
      </c>
      <c r="M4770" s="105" t="str">
        <f t="shared" si="771"/>
        <v>Outage</v>
      </c>
      <c r="N4770" s="105" t="str">
        <f t="shared" si="772"/>
        <v>Coal</v>
      </c>
      <c r="O4770" s="105">
        <f>IFERROR(VLOOKUP(A4770,Lookup!$J$5:$P$19,7,FALSE),0)</f>
        <v>3</v>
      </c>
      <c r="P4770" s="159">
        <f t="shared" si="773"/>
        <v>2014</v>
      </c>
      <c r="Q4770" s="159">
        <f t="shared" si="774"/>
        <v>12</v>
      </c>
      <c r="R4770" s="160">
        <f t="shared" si="775"/>
        <v>0.6833333334652707</v>
      </c>
      <c r="S4770" s="158">
        <f t="shared" si="776"/>
        <v>0.6833333334652707</v>
      </c>
      <c r="T4770" s="161">
        <f t="shared" si="777"/>
        <v>329.36666673026048</v>
      </c>
      <c r="U4770" s="158">
        <f t="shared" si="779"/>
        <v>482</v>
      </c>
      <c r="V4770" s="160">
        <f t="shared" si="778"/>
        <v>482</v>
      </c>
    </row>
    <row r="4771" spans="1:22" x14ac:dyDescent="0.25">
      <c r="A4771" s="98" t="s">
        <v>25</v>
      </c>
      <c r="B4771" s="98" t="s">
        <v>20</v>
      </c>
      <c r="C4771" s="98">
        <v>244</v>
      </c>
      <c r="D4771" s="98">
        <v>4240</v>
      </c>
      <c r="E4771" s="157">
        <v>41976.740277777775</v>
      </c>
      <c r="F4771" s="157">
        <v>41977.404166666667</v>
      </c>
      <c r="G4771" s="98">
        <v>0</v>
      </c>
      <c r="H4771" s="98">
        <v>521</v>
      </c>
      <c r="I4771" s="98">
        <v>482</v>
      </c>
      <c r="J4771" s="98" t="s">
        <v>2276</v>
      </c>
      <c r="K4771" s="98" t="s">
        <v>2925</v>
      </c>
      <c r="L4771" s="105" t="str">
        <f t="shared" si="770"/>
        <v>Mill Creek</v>
      </c>
      <c r="M4771" s="105" t="str">
        <f t="shared" si="771"/>
        <v>Maintenance</v>
      </c>
      <c r="N4771" s="105" t="str">
        <f t="shared" si="772"/>
        <v>Coal</v>
      </c>
      <c r="O4771" s="105">
        <f>IFERROR(VLOOKUP(A4771,Lookup!$J$5:$P$19,7,FALSE),0)</f>
        <v>3</v>
      </c>
      <c r="P4771" s="159">
        <f t="shared" si="773"/>
        <v>2014</v>
      </c>
      <c r="Q4771" s="159">
        <f t="shared" si="774"/>
        <v>12</v>
      </c>
      <c r="R4771" s="160">
        <f t="shared" si="775"/>
        <v>15.933333333407063</v>
      </c>
      <c r="S4771" s="158">
        <f t="shared" si="776"/>
        <v>15.933333333407063</v>
      </c>
      <c r="T4771" s="161">
        <f t="shared" si="777"/>
        <v>7679.8666667022044</v>
      </c>
      <c r="U4771" s="158">
        <f t="shared" si="779"/>
        <v>482</v>
      </c>
      <c r="V4771" s="160">
        <f t="shared" si="778"/>
        <v>482</v>
      </c>
    </row>
    <row r="4772" spans="1:22" x14ac:dyDescent="0.25">
      <c r="A4772" s="98" t="s">
        <v>25</v>
      </c>
      <c r="B4772" s="98" t="s">
        <v>20</v>
      </c>
      <c r="C4772" s="98">
        <v>245</v>
      </c>
      <c r="D4772" s="98">
        <v>4560</v>
      </c>
      <c r="E4772" s="157">
        <v>41977.713194444441</v>
      </c>
      <c r="F4772" s="157">
        <v>41979.495138888888</v>
      </c>
      <c r="G4772" s="98">
        <v>0</v>
      </c>
      <c r="H4772" s="98">
        <v>521</v>
      </c>
      <c r="I4772" s="98">
        <v>482</v>
      </c>
      <c r="J4772" s="98" t="s">
        <v>2226</v>
      </c>
      <c r="K4772" s="98" t="s">
        <v>2926</v>
      </c>
      <c r="L4772" s="105" t="str">
        <f t="shared" si="770"/>
        <v>Mill Creek</v>
      </c>
      <c r="M4772" s="105" t="str">
        <f t="shared" si="771"/>
        <v>Maintenance</v>
      </c>
      <c r="N4772" s="105" t="str">
        <f t="shared" si="772"/>
        <v>Coal</v>
      </c>
      <c r="O4772" s="105">
        <f>IFERROR(VLOOKUP(A4772,Lookup!$J$5:$P$19,7,FALSE),0)</f>
        <v>3</v>
      </c>
      <c r="P4772" s="159">
        <f t="shared" si="773"/>
        <v>2014</v>
      </c>
      <c r="Q4772" s="159">
        <f t="shared" si="774"/>
        <v>12</v>
      </c>
      <c r="R4772" s="160">
        <f t="shared" si="775"/>
        <v>42.766666666720994</v>
      </c>
      <c r="S4772" s="158">
        <f t="shared" si="776"/>
        <v>42.766666666720994</v>
      </c>
      <c r="T4772" s="161">
        <f t="shared" si="777"/>
        <v>20613.533333359519</v>
      </c>
      <c r="U4772" s="158">
        <f t="shared" si="779"/>
        <v>482</v>
      </c>
      <c r="V4772" s="160">
        <f t="shared" si="778"/>
        <v>482</v>
      </c>
    </row>
    <row r="4773" spans="1:22" x14ac:dyDescent="0.25">
      <c r="A4773" s="98" t="s">
        <v>25</v>
      </c>
      <c r="B4773" s="98" t="s">
        <v>79</v>
      </c>
      <c r="C4773" s="98">
        <v>246</v>
      </c>
      <c r="D4773" s="98">
        <v>1850</v>
      </c>
      <c r="E4773" s="157">
        <v>41979.495138888888</v>
      </c>
      <c r="F4773" s="157">
        <v>41979.498611111114</v>
      </c>
      <c r="G4773" s="98">
        <v>0</v>
      </c>
      <c r="H4773" s="98">
        <v>521</v>
      </c>
      <c r="I4773" s="98">
        <v>482</v>
      </c>
      <c r="J4773" s="98" t="s">
        <v>2263</v>
      </c>
      <c r="K4773" s="98" t="s">
        <v>86</v>
      </c>
      <c r="L4773" s="105" t="str">
        <f t="shared" ref="L4773:L4836" si="780">IF(OR(A4773="BR1",A4773="BR2",A4773="BR3",A4773="BR5",A4773="BR6",A4773="BR7",A4773="BR8",A4773="BR9",A4773="BR10",A4773="BR11"),"Brown",IF(OR(A4773="CR4",A4773="CR5",A4773="CR6",A4773="CR11"),"Cane Run",IF(OR(A4773="GH1",A4773="GH2",A4773="GH3",A4773="GH4"),"Ghent",IF(OR(A4773="GR3",A4773="GR4"),"Green River",IF(OR(A4773="MC1",A4773="MC2",A4773="MC3",A4773="MC4"),"Mill Creek",IF(OR(A4773="TC1",A4773="TC2",A4773="TC5",A4773="TC6",A4773="TC7",A4773="TC8",A4773="TC9",A4773="TC10"),"Trimble",IF(A4773="TY3","Tyrone",IF(OR(A4773="HA1",A4773="HA2",A4773="HA3"),"Haeflin",IF(OR(A4773="PR11",A4773="PR12",A4773="PR13"),"Paddy's Run","Zorn")))))))))</f>
        <v>Mill Creek</v>
      </c>
      <c r="M4773" s="105" t="str">
        <f t="shared" ref="M4773:M4836" si="781">IF(OR(B4773="D1",B4773="D2",B4773="D3",B4773="D4",B4773="PD"),"Derate",IF(OR(B4773="SF",B4773="U1",B4773="U2",B4773="U3"),"Outage",IF(OR(B4773="ME",B4773="MO"),"Maintenance","Other")))</f>
        <v>Other</v>
      </c>
      <c r="N4773" s="105" t="str">
        <f t="shared" ref="N4773:N4836" si="782">IF(OR(A4773="BR1",A4773="BR2",A4773="BR3",A4773="CR4",A4773="CR5",A4773="CR6",A4773="GH1",A4773="GH2",A4773="GH3",A4773="GH4",A4773="GR3",A4773="GR4",A4773="MC1",A4773="MC2",A4773="MC3",A4773="MC4",A4773="TC1",A4773="TC2",A4773="TY3"),"Coal","Gas")</f>
        <v>Coal</v>
      </c>
      <c r="O4773" s="105">
        <f>IFERROR(VLOOKUP(A4773,Lookup!$J$5:$P$19,7,FALSE),0)</f>
        <v>3</v>
      </c>
      <c r="P4773" s="159">
        <f t="shared" ref="P4773:P4836" si="783">YEAR(E4773)</f>
        <v>2014</v>
      </c>
      <c r="Q4773" s="159">
        <f t="shared" ref="Q4773:Q4836" si="784">MONTH(E4773)</f>
        <v>12</v>
      </c>
      <c r="R4773" s="160">
        <f t="shared" ref="R4773:R4836" si="785">(F4773-E4773)*24</f>
        <v>8.3333333430346102E-2</v>
      </c>
      <c r="S4773" s="158">
        <f t="shared" ref="S4773:S4836" si="786">R4773*(H4773-G4773)/H4773</f>
        <v>8.3333333430346102E-2</v>
      </c>
      <c r="T4773" s="161">
        <f t="shared" ref="T4773:T4836" si="787">S4773*I4773</f>
        <v>40.166666713426821</v>
      </c>
      <c r="U4773" s="158">
        <f t="shared" si="779"/>
        <v>482</v>
      </c>
      <c r="V4773" s="160">
        <f t="shared" ref="V4773:V4836" si="788">ROUND(U4773,0)</f>
        <v>482</v>
      </c>
    </row>
    <row r="4774" spans="1:22" x14ac:dyDescent="0.25">
      <c r="A4774" s="98" t="s">
        <v>25</v>
      </c>
      <c r="B4774" s="98" t="s">
        <v>15</v>
      </c>
      <c r="C4774" s="98">
        <v>247</v>
      </c>
      <c r="D4774" s="98">
        <v>800</v>
      </c>
      <c r="E4774" s="157">
        <v>41979.498611111114</v>
      </c>
      <c r="F4774" s="157">
        <v>41979.524305555555</v>
      </c>
      <c r="G4774" s="98">
        <v>0</v>
      </c>
      <c r="H4774" s="98">
        <v>521</v>
      </c>
      <c r="I4774" s="98">
        <v>482</v>
      </c>
      <c r="J4774" s="98" t="s">
        <v>2197</v>
      </c>
      <c r="K4774" s="98" t="s">
        <v>36</v>
      </c>
      <c r="L4774" s="105" t="str">
        <f t="shared" si="780"/>
        <v>Mill Creek</v>
      </c>
      <c r="M4774" s="105" t="str">
        <f t="shared" si="781"/>
        <v>Outage</v>
      </c>
      <c r="N4774" s="105" t="str">
        <f t="shared" si="782"/>
        <v>Coal</v>
      </c>
      <c r="O4774" s="105">
        <f>IFERROR(VLOOKUP(A4774,Lookup!$J$5:$P$19,7,FALSE),0)</f>
        <v>3</v>
      </c>
      <c r="P4774" s="159">
        <f t="shared" si="783"/>
        <v>2014</v>
      </c>
      <c r="Q4774" s="159">
        <f t="shared" si="784"/>
        <v>12</v>
      </c>
      <c r="R4774" s="160">
        <f t="shared" si="785"/>
        <v>0.61666666658129543</v>
      </c>
      <c r="S4774" s="158">
        <f t="shared" si="786"/>
        <v>0.61666666658129543</v>
      </c>
      <c r="T4774" s="161">
        <f t="shared" si="787"/>
        <v>297.2333332921844</v>
      </c>
      <c r="U4774" s="158">
        <f t="shared" ref="U4774:U4837" si="789">IF(G4774&gt;0,MAX((H4774-G4774),0)*I4774/H4774,I4774)</f>
        <v>482</v>
      </c>
      <c r="V4774" s="160">
        <f t="shared" si="788"/>
        <v>482</v>
      </c>
    </row>
    <row r="4775" spans="1:22" x14ac:dyDescent="0.25">
      <c r="A4775" s="98" t="s">
        <v>25</v>
      </c>
      <c r="B4775" s="98" t="s">
        <v>79</v>
      </c>
      <c r="C4775" s="98">
        <v>248</v>
      </c>
      <c r="D4775" s="98">
        <v>1850</v>
      </c>
      <c r="E4775" s="157">
        <v>41979.524305555555</v>
      </c>
      <c r="F4775" s="157">
        <v>41980.524305555555</v>
      </c>
      <c r="G4775" s="98">
        <v>0</v>
      </c>
      <c r="H4775" s="98">
        <v>521</v>
      </c>
      <c r="I4775" s="98">
        <v>482</v>
      </c>
      <c r="J4775" s="98" t="s">
        <v>2263</v>
      </c>
      <c r="K4775" s="98" t="s">
        <v>88</v>
      </c>
      <c r="L4775" s="105" t="str">
        <f t="shared" si="780"/>
        <v>Mill Creek</v>
      </c>
      <c r="M4775" s="105" t="str">
        <f t="shared" si="781"/>
        <v>Other</v>
      </c>
      <c r="N4775" s="105" t="str">
        <f t="shared" si="782"/>
        <v>Coal</v>
      </c>
      <c r="O4775" s="105">
        <f>IFERROR(VLOOKUP(A4775,Lookup!$J$5:$P$19,7,FALSE),0)</f>
        <v>3</v>
      </c>
      <c r="P4775" s="159">
        <f t="shared" si="783"/>
        <v>2014</v>
      </c>
      <c r="Q4775" s="159">
        <f t="shared" si="784"/>
        <v>12</v>
      </c>
      <c r="R4775" s="160">
        <f t="shared" si="785"/>
        <v>24</v>
      </c>
      <c r="S4775" s="158">
        <f t="shared" si="786"/>
        <v>24</v>
      </c>
      <c r="T4775" s="161">
        <f t="shared" si="787"/>
        <v>11568</v>
      </c>
      <c r="U4775" s="158">
        <f t="shared" si="789"/>
        <v>482</v>
      </c>
      <c r="V4775" s="160">
        <f t="shared" si="788"/>
        <v>482</v>
      </c>
    </row>
    <row r="4776" spans="1:22" x14ac:dyDescent="0.25">
      <c r="A4776" s="98" t="s">
        <v>25</v>
      </c>
      <c r="B4776" s="98" t="s">
        <v>17</v>
      </c>
      <c r="C4776" s="98">
        <v>249</v>
      </c>
      <c r="D4776" s="98">
        <v>1850</v>
      </c>
      <c r="E4776" s="157">
        <v>41980.524305555555</v>
      </c>
      <c r="F4776" s="157">
        <v>41981.25</v>
      </c>
      <c r="G4776" s="98">
        <v>360</v>
      </c>
      <c r="H4776" s="98">
        <v>521</v>
      </c>
      <c r="I4776" s="98">
        <v>482</v>
      </c>
      <c r="J4776" s="98" t="s">
        <v>2263</v>
      </c>
      <c r="K4776" s="98" t="s">
        <v>41</v>
      </c>
      <c r="L4776" s="105" t="str">
        <f t="shared" si="780"/>
        <v>Mill Creek</v>
      </c>
      <c r="M4776" s="105" t="str">
        <f t="shared" si="781"/>
        <v>Derate</v>
      </c>
      <c r="N4776" s="105" t="str">
        <f t="shared" si="782"/>
        <v>Coal</v>
      </c>
      <c r="O4776" s="105">
        <f>IFERROR(VLOOKUP(A4776,Lookup!$J$5:$P$19,7,FALSE),0)</f>
        <v>3</v>
      </c>
      <c r="P4776" s="159">
        <f t="shared" si="783"/>
        <v>2014</v>
      </c>
      <c r="Q4776" s="159">
        <f t="shared" si="784"/>
        <v>12</v>
      </c>
      <c r="R4776" s="160">
        <f t="shared" si="785"/>
        <v>17.416666666686069</v>
      </c>
      <c r="S4776" s="158">
        <f t="shared" si="786"/>
        <v>5.3821177223348506</v>
      </c>
      <c r="T4776" s="161">
        <f t="shared" si="787"/>
        <v>2594.180742165398</v>
      </c>
      <c r="U4776" s="158">
        <f t="shared" si="789"/>
        <v>148.94817658349328</v>
      </c>
      <c r="V4776" s="160">
        <f t="shared" si="788"/>
        <v>149</v>
      </c>
    </row>
    <row r="4777" spans="1:22" x14ac:dyDescent="0.25">
      <c r="A4777" s="98" t="s">
        <v>25</v>
      </c>
      <c r="B4777" s="98" t="s">
        <v>17</v>
      </c>
      <c r="C4777" s="98">
        <v>250</v>
      </c>
      <c r="D4777" s="98">
        <v>1850</v>
      </c>
      <c r="E4777" s="157">
        <v>41981.25</v>
      </c>
      <c r="F4777" s="157">
        <v>41981.638888888891</v>
      </c>
      <c r="G4777" s="98">
        <v>370</v>
      </c>
      <c r="H4777" s="98">
        <v>521</v>
      </c>
      <c r="I4777" s="98">
        <v>482</v>
      </c>
      <c r="J4777" s="98" t="s">
        <v>2263</v>
      </c>
      <c r="K4777" s="98" t="s">
        <v>41</v>
      </c>
      <c r="L4777" s="105" t="str">
        <f t="shared" si="780"/>
        <v>Mill Creek</v>
      </c>
      <c r="M4777" s="105" t="str">
        <f t="shared" si="781"/>
        <v>Derate</v>
      </c>
      <c r="N4777" s="105" t="str">
        <f t="shared" si="782"/>
        <v>Coal</v>
      </c>
      <c r="O4777" s="105">
        <f>IFERROR(VLOOKUP(A4777,Lookup!$J$5:$P$19,7,FALSE),0)</f>
        <v>3</v>
      </c>
      <c r="P4777" s="159">
        <f t="shared" si="783"/>
        <v>2014</v>
      </c>
      <c r="Q4777" s="159">
        <f t="shared" si="784"/>
        <v>12</v>
      </c>
      <c r="R4777" s="160">
        <f t="shared" si="785"/>
        <v>9.3333333333721384</v>
      </c>
      <c r="S4777" s="158">
        <f t="shared" si="786"/>
        <v>2.7050543826088154</v>
      </c>
      <c r="T4777" s="161">
        <f t="shared" si="787"/>
        <v>1303.8362124174489</v>
      </c>
      <c r="U4777" s="158">
        <f t="shared" si="789"/>
        <v>139.69673704414586</v>
      </c>
      <c r="V4777" s="160">
        <f t="shared" si="788"/>
        <v>140</v>
      </c>
    </row>
    <row r="4778" spans="1:22" x14ac:dyDescent="0.25">
      <c r="A4778" s="98" t="s">
        <v>25</v>
      </c>
      <c r="B4778" s="98" t="s">
        <v>17</v>
      </c>
      <c r="C4778" s="98">
        <v>251</v>
      </c>
      <c r="D4778" s="98">
        <v>1850</v>
      </c>
      <c r="E4778" s="157">
        <v>41981.638888888891</v>
      </c>
      <c r="F4778" s="157">
        <v>41981.9375</v>
      </c>
      <c r="G4778" s="98">
        <v>340</v>
      </c>
      <c r="H4778" s="98">
        <v>521</v>
      </c>
      <c r="I4778" s="98">
        <v>482</v>
      </c>
      <c r="J4778" s="98" t="s">
        <v>2263</v>
      </c>
      <c r="K4778" s="98" t="s">
        <v>41</v>
      </c>
      <c r="L4778" s="105" t="str">
        <f t="shared" si="780"/>
        <v>Mill Creek</v>
      </c>
      <c r="M4778" s="105" t="str">
        <f t="shared" si="781"/>
        <v>Derate</v>
      </c>
      <c r="N4778" s="105" t="str">
        <f t="shared" si="782"/>
        <v>Coal</v>
      </c>
      <c r="O4778" s="105">
        <f>IFERROR(VLOOKUP(A4778,Lookup!$J$5:$P$19,7,FALSE),0)</f>
        <v>3</v>
      </c>
      <c r="P4778" s="159">
        <f t="shared" si="783"/>
        <v>2014</v>
      </c>
      <c r="Q4778" s="159">
        <f t="shared" si="784"/>
        <v>12</v>
      </c>
      <c r="R4778" s="160">
        <f t="shared" si="785"/>
        <v>7.1666666666278616</v>
      </c>
      <c r="S4778" s="158">
        <f t="shared" si="786"/>
        <v>2.4897632757382784</v>
      </c>
      <c r="T4778" s="161">
        <f t="shared" si="787"/>
        <v>1200.0658989058502</v>
      </c>
      <c r="U4778" s="158">
        <f t="shared" si="789"/>
        <v>167.45105566218811</v>
      </c>
      <c r="V4778" s="160">
        <f t="shared" si="788"/>
        <v>167</v>
      </c>
    </row>
    <row r="4779" spans="1:22" x14ac:dyDescent="0.25">
      <c r="A4779" s="98" t="s">
        <v>25</v>
      </c>
      <c r="B4779" s="98" t="s">
        <v>17</v>
      </c>
      <c r="C4779" s="98">
        <v>252</v>
      </c>
      <c r="D4779" s="98">
        <v>1850</v>
      </c>
      <c r="E4779" s="157">
        <v>41981.9375</v>
      </c>
      <c r="F4779" s="157">
        <v>41982.694444444445</v>
      </c>
      <c r="G4779" s="98">
        <v>365</v>
      </c>
      <c r="H4779" s="98">
        <v>521</v>
      </c>
      <c r="I4779" s="98">
        <v>482</v>
      </c>
      <c r="J4779" s="98" t="s">
        <v>2263</v>
      </c>
      <c r="K4779" s="98" t="s">
        <v>41</v>
      </c>
      <c r="L4779" s="105" t="str">
        <f t="shared" si="780"/>
        <v>Mill Creek</v>
      </c>
      <c r="M4779" s="105" t="str">
        <f t="shared" si="781"/>
        <v>Derate</v>
      </c>
      <c r="N4779" s="105" t="str">
        <f t="shared" si="782"/>
        <v>Coal</v>
      </c>
      <c r="O4779" s="105">
        <f>IFERROR(VLOOKUP(A4779,Lookup!$J$5:$P$19,7,FALSE),0)</f>
        <v>3</v>
      </c>
      <c r="P4779" s="159">
        <f t="shared" si="783"/>
        <v>2014</v>
      </c>
      <c r="Q4779" s="159">
        <f t="shared" si="784"/>
        <v>12</v>
      </c>
      <c r="R4779" s="160">
        <f t="shared" si="785"/>
        <v>18.166666666686069</v>
      </c>
      <c r="S4779" s="158">
        <f t="shared" si="786"/>
        <v>5.4395393474146392</v>
      </c>
      <c r="T4779" s="161">
        <f t="shared" si="787"/>
        <v>2621.8579654538562</v>
      </c>
      <c r="U4779" s="158">
        <f t="shared" si="789"/>
        <v>144.32245681381957</v>
      </c>
      <c r="V4779" s="160">
        <f t="shared" si="788"/>
        <v>144</v>
      </c>
    </row>
    <row r="4780" spans="1:22" x14ac:dyDescent="0.25">
      <c r="A4780" s="98" t="s">
        <v>25</v>
      </c>
      <c r="B4780" s="98" t="s">
        <v>17</v>
      </c>
      <c r="C4780" s="98">
        <v>253</v>
      </c>
      <c r="D4780" s="98">
        <v>1850</v>
      </c>
      <c r="E4780" s="157">
        <v>41982.694444444445</v>
      </c>
      <c r="F4780" s="157">
        <v>41982.868055555555</v>
      </c>
      <c r="G4780" s="98">
        <v>445</v>
      </c>
      <c r="H4780" s="98">
        <v>521</v>
      </c>
      <c r="I4780" s="98">
        <v>482</v>
      </c>
      <c r="J4780" s="98" t="s">
        <v>2263</v>
      </c>
      <c r="K4780" s="98" t="s">
        <v>41</v>
      </c>
      <c r="L4780" s="105" t="str">
        <f t="shared" si="780"/>
        <v>Mill Creek</v>
      </c>
      <c r="M4780" s="105" t="str">
        <f t="shared" si="781"/>
        <v>Derate</v>
      </c>
      <c r="N4780" s="105" t="str">
        <f t="shared" si="782"/>
        <v>Coal</v>
      </c>
      <c r="O4780" s="105">
        <f>IFERROR(VLOOKUP(A4780,Lookup!$J$5:$P$19,7,FALSE),0)</f>
        <v>3</v>
      </c>
      <c r="P4780" s="159">
        <f t="shared" si="783"/>
        <v>2014</v>
      </c>
      <c r="Q4780" s="159">
        <f t="shared" si="784"/>
        <v>12</v>
      </c>
      <c r="R4780" s="160">
        <f t="shared" si="785"/>
        <v>4.1666666666278616</v>
      </c>
      <c r="S4780" s="158">
        <f t="shared" si="786"/>
        <v>0.60780550223362284</v>
      </c>
      <c r="T4780" s="161">
        <f t="shared" si="787"/>
        <v>292.96225207660621</v>
      </c>
      <c r="U4780" s="158">
        <f t="shared" si="789"/>
        <v>70.310940499040314</v>
      </c>
      <c r="V4780" s="160">
        <f t="shared" si="788"/>
        <v>70</v>
      </c>
    </row>
    <row r="4781" spans="1:22" x14ac:dyDescent="0.25">
      <c r="A4781" s="98" t="s">
        <v>25</v>
      </c>
      <c r="B4781" s="98" t="s">
        <v>17</v>
      </c>
      <c r="C4781" s="98">
        <v>254</v>
      </c>
      <c r="D4781" s="98">
        <v>3412</v>
      </c>
      <c r="E4781" s="157">
        <v>41982.868055555555</v>
      </c>
      <c r="F4781" s="157">
        <v>41982.923611111109</v>
      </c>
      <c r="G4781" s="98">
        <v>390</v>
      </c>
      <c r="H4781" s="98">
        <v>521</v>
      </c>
      <c r="I4781" s="98">
        <v>482</v>
      </c>
      <c r="J4781" s="98" t="s">
        <v>2162</v>
      </c>
      <c r="K4781" s="98" t="s">
        <v>2927</v>
      </c>
      <c r="L4781" s="105" t="str">
        <f t="shared" si="780"/>
        <v>Mill Creek</v>
      </c>
      <c r="M4781" s="105" t="str">
        <f t="shared" si="781"/>
        <v>Derate</v>
      </c>
      <c r="N4781" s="105" t="str">
        <f t="shared" si="782"/>
        <v>Coal</v>
      </c>
      <c r="O4781" s="105">
        <f>IFERROR(VLOOKUP(A4781,Lookup!$J$5:$P$19,7,FALSE),0)</f>
        <v>3</v>
      </c>
      <c r="P4781" s="159">
        <f t="shared" si="783"/>
        <v>2014</v>
      </c>
      <c r="Q4781" s="159">
        <f t="shared" si="784"/>
        <v>12</v>
      </c>
      <c r="R4781" s="160">
        <f t="shared" si="785"/>
        <v>1.3333333333139308</v>
      </c>
      <c r="S4781" s="158">
        <f t="shared" si="786"/>
        <v>0.33525271912499988</v>
      </c>
      <c r="T4781" s="161">
        <f t="shared" si="787"/>
        <v>161.59181061824995</v>
      </c>
      <c r="U4781" s="158">
        <f t="shared" si="789"/>
        <v>121.19385796545106</v>
      </c>
      <c r="V4781" s="160">
        <f t="shared" si="788"/>
        <v>121</v>
      </c>
    </row>
    <row r="4782" spans="1:22" x14ac:dyDescent="0.25">
      <c r="A4782" s="98" t="s">
        <v>25</v>
      </c>
      <c r="B4782" s="98" t="s">
        <v>17</v>
      </c>
      <c r="C4782" s="98">
        <v>255</v>
      </c>
      <c r="D4782" s="98">
        <v>3412</v>
      </c>
      <c r="E4782" s="157">
        <v>41982.923611111109</v>
      </c>
      <c r="F4782" s="157">
        <v>41982.927083333336</v>
      </c>
      <c r="G4782" s="98">
        <v>330</v>
      </c>
      <c r="H4782" s="98">
        <v>521</v>
      </c>
      <c r="I4782" s="98">
        <v>482</v>
      </c>
      <c r="J4782" s="98" t="s">
        <v>2162</v>
      </c>
      <c r="K4782" s="98" t="s">
        <v>2927</v>
      </c>
      <c r="L4782" s="105" t="str">
        <f t="shared" si="780"/>
        <v>Mill Creek</v>
      </c>
      <c r="M4782" s="105" t="str">
        <f t="shared" si="781"/>
        <v>Derate</v>
      </c>
      <c r="N4782" s="105" t="str">
        <f t="shared" si="782"/>
        <v>Coal</v>
      </c>
      <c r="O4782" s="105">
        <f>IFERROR(VLOOKUP(A4782,Lookup!$J$5:$P$19,7,FALSE),0)</f>
        <v>3</v>
      </c>
      <c r="P4782" s="159">
        <f t="shared" si="783"/>
        <v>2014</v>
      </c>
      <c r="Q4782" s="159">
        <f t="shared" si="784"/>
        <v>12</v>
      </c>
      <c r="R4782" s="160">
        <f t="shared" si="785"/>
        <v>8.3333333430346102E-2</v>
      </c>
      <c r="S4782" s="158">
        <f t="shared" si="786"/>
        <v>3.0550223963908073E-2</v>
      </c>
      <c r="T4782" s="161">
        <f t="shared" si="787"/>
        <v>14.725207950603691</v>
      </c>
      <c r="U4782" s="158">
        <f t="shared" si="789"/>
        <v>176.7024952015355</v>
      </c>
      <c r="V4782" s="160">
        <f t="shared" si="788"/>
        <v>177</v>
      </c>
    </row>
    <row r="4783" spans="1:22" x14ac:dyDescent="0.25">
      <c r="A4783" s="98" t="s">
        <v>25</v>
      </c>
      <c r="B4783" s="98" t="s">
        <v>15</v>
      </c>
      <c r="C4783" s="98">
        <v>256</v>
      </c>
      <c r="D4783" s="98">
        <v>1455</v>
      </c>
      <c r="E4783" s="157">
        <v>41982.927083333336</v>
      </c>
      <c r="F4783" s="157">
        <v>41983.089583333334</v>
      </c>
      <c r="G4783" s="98">
        <v>0</v>
      </c>
      <c r="H4783" s="98">
        <v>521</v>
      </c>
      <c r="I4783" s="98">
        <v>482</v>
      </c>
      <c r="J4783" s="98" t="s">
        <v>1990</v>
      </c>
      <c r="K4783" s="98" t="s">
        <v>2928</v>
      </c>
      <c r="L4783" s="105" t="str">
        <f t="shared" si="780"/>
        <v>Mill Creek</v>
      </c>
      <c r="M4783" s="105" t="str">
        <f t="shared" si="781"/>
        <v>Outage</v>
      </c>
      <c r="N4783" s="105" t="str">
        <f t="shared" si="782"/>
        <v>Coal</v>
      </c>
      <c r="O4783" s="105">
        <f>IFERROR(VLOOKUP(A4783,Lookup!$J$5:$P$19,7,FALSE),0)</f>
        <v>3</v>
      </c>
      <c r="P4783" s="159">
        <f t="shared" si="783"/>
        <v>2014</v>
      </c>
      <c r="Q4783" s="159">
        <f t="shared" si="784"/>
        <v>12</v>
      </c>
      <c r="R4783" s="160">
        <f t="shared" si="785"/>
        <v>3.8999999999650754</v>
      </c>
      <c r="S4783" s="158">
        <f t="shared" si="786"/>
        <v>3.8999999999650754</v>
      </c>
      <c r="T4783" s="161">
        <f t="shared" si="787"/>
        <v>1879.7999999831663</v>
      </c>
      <c r="U4783" s="158">
        <f t="shared" si="789"/>
        <v>482</v>
      </c>
      <c r="V4783" s="160">
        <f t="shared" si="788"/>
        <v>482</v>
      </c>
    </row>
    <row r="4784" spans="1:22" x14ac:dyDescent="0.25">
      <c r="A4784" s="98" t="s">
        <v>25</v>
      </c>
      <c r="B4784" s="98" t="s">
        <v>79</v>
      </c>
      <c r="C4784" s="98">
        <v>257</v>
      </c>
      <c r="D4784" s="98">
        <v>1850</v>
      </c>
      <c r="E4784" s="157">
        <v>41983.089583333334</v>
      </c>
      <c r="F4784" s="157">
        <v>41983.138888888891</v>
      </c>
      <c r="G4784" s="98">
        <v>0</v>
      </c>
      <c r="H4784" s="98">
        <v>521</v>
      </c>
      <c r="I4784" s="98">
        <v>482</v>
      </c>
      <c r="J4784" s="98" t="s">
        <v>2263</v>
      </c>
      <c r="K4784" s="98" t="s">
        <v>87</v>
      </c>
      <c r="L4784" s="105" t="str">
        <f t="shared" si="780"/>
        <v>Mill Creek</v>
      </c>
      <c r="M4784" s="105" t="str">
        <f t="shared" si="781"/>
        <v>Other</v>
      </c>
      <c r="N4784" s="105" t="str">
        <f t="shared" si="782"/>
        <v>Coal</v>
      </c>
      <c r="O4784" s="105">
        <f>IFERROR(VLOOKUP(A4784,Lookup!$J$5:$P$19,7,FALSE),0)</f>
        <v>3</v>
      </c>
      <c r="P4784" s="159">
        <f t="shared" si="783"/>
        <v>2014</v>
      </c>
      <c r="Q4784" s="159">
        <f t="shared" si="784"/>
        <v>12</v>
      </c>
      <c r="R4784" s="160">
        <f t="shared" si="785"/>
        <v>1.1833333333488554</v>
      </c>
      <c r="S4784" s="158">
        <f t="shared" si="786"/>
        <v>1.1833333333488554</v>
      </c>
      <c r="T4784" s="161">
        <f t="shared" si="787"/>
        <v>570.36666667414829</v>
      </c>
      <c r="U4784" s="158">
        <f t="shared" si="789"/>
        <v>482</v>
      </c>
      <c r="V4784" s="160">
        <f t="shared" si="788"/>
        <v>482</v>
      </c>
    </row>
    <row r="4785" spans="1:22" x14ac:dyDescent="0.25">
      <c r="A4785" s="98" t="s">
        <v>25</v>
      </c>
      <c r="B4785" s="98" t="s">
        <v>17</v>
      </c>
      <c r="C4785" s="98">
        <v>258</v>
      </c>
      <c r="D4785" s="98">
        <v>3412</v>
      </c>
      <c r="E4785" s="157">
        <v>41983.138888888891</v>
      </c>
      <c r="F4785" s="157">
        <v>41983.175000000003</v>
      </c>
      <c r="G4785" s="98">
        <v>130</v>
      </c>
      <c r="H4785" s="98">
        <v>521</v>
      </c>
      <c r="I4785" s="98">
        <v>482</v>
      </c>
      <c r="J4785" s="98" t="s">
        <v>2162</v>
      </c>
      <c r="K4785" s="98" t="s">
        <v>2927</v>
      </c>
      <c r="L4785" s="105" t="str">
        <f t="shared" si="780"/>
        <v>Mill Creek</v>
      </c>
      <c r="M4785" s="105" t="str">
        <f t="shared" si="781"/>
        <v>Derate</v>
      </c>
      <c r="N4785" s="105" t="str">
        <f t="shared" si="782"/>
        <v>Coal</v>
      </c>
      <c r="O4785" s="105">
        <f>IFERROR(VLOOKUP(A4785,Lookup!$J$5:$P$19,7,FALSE),0)</f>
        <v>3</v>
      </c>
      <c r="P4785" s="159">
        <f t="shared" si="783"/>
        <v>2014</v>
      </c>
      <c r="Q4785" s="159">
        <f t="shared" si="784"/>
        <v>12</v>
      </c>
      <c r="R4785" s="160">
        <f t="shared" si="785"/>
        <v>0.86666666669771075</v>
      </c>
      <c r="S4785" s="158">
        <f t="shared" si="786"/>
        <v>0.65041586694588271</v>
      </c>
      <c r="T4785" s="161">
        <f t="shared" si="787"/>
        <v>313.50044786791545</v>
      </c>
      <c r="U4785" s="158">
        <f t="shared" si="789"/>
        <v>361.73128598848371</v>
      </c>
      <c r="V4785" s="160">
        <f t="shared" si="788"/>
        <v>362</v>
      </c>
    </row>
    <row r="4786" spans="1:22" x14ac:dyDescent="0.25">
      <c r="A4786" s="98" t="s">
        <v>25</v>
      </c>
      <c r="B4786" s="98" t="s">
        <v>17</v>
      </c>
      <c r="C4786" s="98">
        <v>259</v>
      </c>
      <c r="D4786" s="98">
        <v>3412</v>
      </c>
      <c r="E4786" s="157">
        <v>41983.175000000003</v>
      </c>
      <c r="F4786" s="157">
        <v>41983.277083333334</v>
      </c>
      <c r="G4786" s="98">
        <v>156</v>
      </c>
      <c r="H4786" s="98">
        <v>521</v>
      </c>
      <c r="I4786" s="98">
        <v>482</v>
      </c>
      <c r="J4786" s="98" t="s">
        <v>2162</v>
      </c>
      <c r="K4786" s="98" t="s">
        <v>2927</v>
      </c>
      <c r="L4786" s="105" t="str">
        <f t="shared" si="780"/>
        <v>Mill Creek</v>
      </c>
      <c r="M4786" s="105" t="str">
        <f t="shared" si="781"/>
        <v>Derate</v>
      </c>
      <c r="N4786" s="105" t="str">
        <f t="shared" si="782"/>
        <v>Coal</v>
      </c>
      <c r="O4786" s="105">
        <f>IFERROR(VLOOKUP(A4786,Lookup!$J$5:$P$19,7,FALSE),0)</f>
        <v>3</v>
      </c>
      <c r="P4786" s="159">
        <f t="shared" si="783"/>
        <v>2014</v>
      </c>
      <c r="Q4786" s="159">
        <f t="shared" si="784"/>
        <v>12</v>
      </c>
      <c r="R4786" s="160">
        <f t="shared" si="785"/>
        <v>2.4499999999534339</v>
      </c>
      <c r="S4786" s="158">
        <f t="shared" si="786"/>
        <v>1.7164107485278375</v>
      </c>
      <c r="T4786" s="161">
        <f t="shared" si="787"/>
        <v>827.30998079041763</v>
      </c>
      <c r="U4786" s="158">
        <f t="shared" si="789"/>
        <v>337.6775431861804</v>
      </c>
      <c r="V4786" s="160">
        <f t="shared" si="788"/>
        <v>338</v>
      </c>
    </row>
    <row r="4787" spans="1:22" x14ac:dyDescent="0.25">
      <c r="A4787" s="98" t="s">
        <v>25</v>
      </c>
      <c r="B4787" s="98" t="s">
        <v>15</v>
      </c>
      <c r="C4787" s="98">
        <v>260</v>
      </c>
      <c r="D4787" s="98">
        <v>800</v>
      </c>
      <c r="E4787" s="157">
        <v>41983.277083333334</v>
      </c>
      <c r="F4787" s="157">
        <v>41983.36041666667</v>
      </c>
      <c r="G4787" s="98">
        <v>0</v>
      </c>
      <c r="H4787" s="98">
        <v>521</v>
      </c>
      <c r="I4787" s="98">
        <v>482</v>
      </c>
      <c r="J4787" s="98" t="s">
        <v>2197</v>
      </c>
      <c r="K4787" s="98" t="s">
        <v>36</v>
      </c>
      <c r="L4787" s="105" t="str">
        <f t="shared" si="780"/>
        <v>Mill Creek</v>
      </c>
      <c r="M4787" s="105" t="str">
        <f t="shared" si="781"/>
        <v>Outage</v>
      </c>
      <c r="N4787" s="105" t="str">
        <f t="shared" si="782"/>
        <v>Coal</v>
      </c>
      <c r="O4787" s="105">
        <f>IFERROR(VLOOKUP(A4787,Lookup!$J$5:$P$19,7,FALSE),0)</f>
        <v>3</v>
      </c>
      <c r="P4787" s="159">
        <f t="shared" si="783"/>
        <v>2014</v>
      </c>
      <c r="Q4787" s="159">
        <f t="shared" si="784"/>
        <v>12</v>
      </c>
      <c r="R4787" s="160">
        <f t="shared" si="785"/>
        <v>2.0000000000582077</v>
      </c>
      <c r="S4787" s="158">
        <f t="shared" si="786"/>
        <v>2.0000000000582077</v>
      </c>
      <c r="T4787" s="161">
        <f t="shared" si="787"/>
        <v>964.00000002805609</v>
      </c>
      <c r="U4787" s="158">
        <f t="shared" si="789"/>
        <v>482</v>
      </c>
      <c r="V4787" s="160">
        <f t="shared" si="788"/>
        <v>482</v>
      </c>
    </row>
    <row r="4788" spans="1:22" x14ac:dyDescent="0.25">
      <c r="A4788" s="98" t="s">
        <v>25</v>
      </c>
      <c r="B4788" s="98" t="s">
        <v>79</v>
      </c>
      <c r="C4788" s="98">
        <v>261</v>
      </c>
      <c r="D4788" s="98">
        <v>1850</v>
      </c>
      <c r="E4788" s="157">
        <v>41983.36041666667</v>
      </c>
      <c r="F4788" s="157">
        <v>41983.809027777781</v>
      </c>
      <c r="G4788" s="98">
        <v>0</v>
      </c>
      <c r="H4788" s="98">
        <v>521</v>
      </c>
      <c r="I4788" s="98">
        <v>482</v>
      </c>
      <c r="J4788" s="98" t="s">
        <v>2263</v>
      </c>
      <c r="K4788" s="98" t="s">
        <v>87</v>
      </c>
      <c r="L4788" s="105" t="str">
        <f t="shared" si="780"/>
        <v>Mill Creek</v>
      </c>
      <c r="M4788" s="105" t="str">
        <f t="shared" si="781"/>
        <v>Other</v>
      </c>
      <c r="N4788" s="105" t="str">
        <f t="shared" si="782"/>
        <v>Coal</v>
      </c>
      <c r="O4788" s="105">
        <f>IFERROR(VLOOKUP(A4788,Lookup!$J$5:$P$19,7,FALSE),0)</f>
        <v>3</v>
      </c>
      <c r="P4788" s="159">
        <f t="shared" si="783"/>
        <v>2014</v>
      </c>
      <c r="Q4788" s="159">
        <f t="shared" si="784"/>
        <v>12</v>
      </c>
      <c r="R4788" s="160">
        <f t="shared" si="785"/>
        <v>10.766666666662786</v>
      </c>
      <c r="S4788" s="158">
        <f t="shared" si="786"/>
        <v>10.766666666662786</v>
      </c>
      <c r="T4788" s="161">
        <f t="shared" si="787"/>
        <v>5189.5333333314629</v>
      </c>
      <c r="U4788" s="158">
        <f t="shared" si="789"/>
        <v>482</v>
      </c>
      <c r="V4788" s="160">
        <f t="shared" si="788"/>
        <v>482</v>
      </c>
    </row>
    <row r="4789" spans="1:22" x14ac:dyDescent="0.25">
      <c r="A4789" s="98" t="s">
        <v>25</v>
      </c>
      <c r="B4789" s="98" t="s">
        <v>15</v>
      </c>
      <c r="C4789" s="98">
        <v>262</v>
      </c>
      <c r="D4789" s="98">
        <v>3110</v>
      </c>
      <c r="E4789" s="157">
        <v>41983.809027777781</v>
      </c>
      <c r="F4789" s="157">
        <v>41986.918749999997</v>
      </c>
      <c r="G4789" s="98">
        <v>0</v>
      </c>
      <c r="H4789" s="98">
        <v>521</v>
      </c>
      <c r="I4789" s="98">
        <v>482</v>
      </c>
      <c r="J4789" s="98" t="s">
        <v>2119</v>
      </c>
      <c r="K4789" s="98" t="s">
        <v>55</v>
      </c>
      <c r="L4789" s="105" t="str">
        <f t="shared" si="780"/>
        <v>Mill Creek</v>
      </c>
      <c r="M4789" s="105" t="str">
        <f t="shared" si="781"/>
        <v>Outage</v>
      </c>
      <c r="N4789" s="105" t="str">
        <f t="shared" si="782"/>
        <v>Coal</v>
      </c>
      <c r="O4789" s="105">
        <f>IFERROR(VLOOKUP(A4789,Lookup!$J$5:$P$19,7,FALSE),0)</f>
        <v>3</v>
      </c>
      <c r="P4789" s="159">
        <f t="shared" si="783"/>
        <v>2014</v>
      </c>
      <c r="Q4789" s="159">
        <f t="shared" si="784"/>
        <v>12</v>
      </c>
      <c r="R4789" s="160">
        <f t="shared" si="785"/>
        <v>74.633333333185874</v>
      </c>
      <c r="S4789" s="158">
        <f t="shared" si="786"/>
        <v>74.633333333185874</v>
      </c>
      <c r="T4789" s="161">
        <f t="shared" si="787"/>
        <v>35973.266666595591</v>
      </c>
      <c r="U4789" s="158">
        <f t="shared" si="789"/>
        <v>482</v>
      </c>
      <c r="V4789" s="160">
        <f t="shared" si="788"/>
        <v>482</v>
      </c>
    </row>
    <row r="4790" spans="1:22" x14ac:dyDescent="0.25">
      <c r="A4790" s="98" t="s">
        <v>25</v>
      </c>
      <c r="B4790" s="98" t="s">
        <v>79</v>
      </c>
      <c r="C4790" s="98">
        <v>263</v>
      </c>
      <c r="D4790" s="98">
        <v>1850</v>
      </c>
      <c r="E4790" s="157">
        <v>41986.918749999997</v>
      </c>
      <c r="F4790" s="157">
        <v>41987.5625</v>
      </c>
      <c r="G4790" s="98">
        <v>0</v>
      </c>
      <c r="H4790" s="98">
        <v>521</v>
      </c>
      <c r="I4790" s="98">
        <v>482</v>
      </c>
      <c r="J4790" s="98" t="s">
        <v>2263</v>
      </c>
      <c r="K4790" s="98" t="s">
        <v>85</v>
      </c>
      <c r="L4790" s="105" t="str">
        <f t="shared" si="780"/>
        <v>Mill Creek</v>
      </c>
      <c r="M4790" s="105" t="str">
        <f t="shared" si="781"/>
        <v>Other</v>
      </c>
      <c r="N4790" s="105" t="str">
        <f t="shared" si="782"/>
        <v>Coal</v>
      </c>
      <c r="O4790" s="105">
        <f>IFERROR(VLOOKUP(A4790,Lookup!$J$5:$P$19,7,FALSE),0)</f>
        <v>3</v>
      </c>
      <c r="P4790" s="159">
        <f t="shared" si="783"/>
        <v>2014</v>
      </c>
      <c r="Q4790" s="159">
        <f t="shared" si="784"/>
        <v>12</v>
      </c>
      <c r="R4790" s="160">
        <f t="shared" si="785"/>
        <v>15.450000000069849</v>
      </c>
      <c r="S4790" s="158">
        <f t="shared" si="786"/>
        <v>15.450000000069849</v>
      </c>
      <c r="T4790" s="161">
        <f t="shared" si="787"/>
        <v>7446.9000000336673</v>
      </c>
      <c r="U4790" s="158">
        <f t="shared" si="789"/>
        <v>482</v>
      </c>
      <c r="V4790" s="160">
        <f t="shared" si="788"/>
        <v>482</v>
      </c>
    </row>
    <row r="4791" spans="1:22" x14ac:dyDescent="0.25">
      <c r="A4791" s="98" t="s">
        <v>25</v>
      </c>
      <c r="B4791" s="98" t="s">
        <v>17</v>
      </c>
      <c r="C4791" s="98">
        <v>264</v>
      </c>
      <c r="D4791" s="98">
        <v>1850</v>
      </c>
      <c r="E4791" s="157">
        <v>41987.5625</v>
      </c>
      <c r="F4791" s="157">
        <v>41987.6875</v>
      </c>
      <c r="G4791" s="98">
        <v>240</v>
      </c>
      <c r="H4791" s="98">
        <v>521</v>
      </c>
      <c r="I4791" s="98">
        <v>482</v>
      </c>
      <c r="J4791" s="98" t="s">
        <v>2263</v>
      </c>
      <c r="K4791" s="98" t="s">
        <v>41</v>
      </c>
      <c r="L4791" s="105" t="str">
        <f t="shared" si="780"/>
        <v>Mill Creek</v>
      </c>
      <c r="M4791" s="105" t="str">
        <f t="shared" si="781"/>
        <v>Derate</v>
      </c>
      <c r="N4791" s="105" t="str">
        <f t="shared" si="782"/>
        <v>Coal</v>
      </c>
      <c r="O4791" s="105">
        <f>IFERROR(VLOOKUP(A4791,Lookup!$J$5:$P$19,7,FALSE),0)</f>
        <v>3</v>
      </c>
      <c r="P4791" s="159">
        <f t="shared" si="783"/>
        <v>2014</v>
      </c>
      <c r="Q4791" s="159">
        <f t="shared" si="784"/>
        <v>12</v>
      </c>
      <c r="R4791" s="160">
        <f t="shared" si="785"/>
        <v>3</v>
      </c>
      <c r="S4791" s="158">
        <f t="shared" si="786"/>
        <v>1.618042226487524</v>
      </c>
      <c r="T4791" s="161">
        <f t="shared" si="787"/>
        <v>779.89635316698661</v>
      </c>
      <c r="U4791" s="158">
        <f t="shared" si="789"/>
        <v>259.96545105566219</v>
      </c>
      <c r="V4791" s="160">
        <f t="shared" si="788"/>
        <v>260</v>
      </c>
    </row>
    <row r="4792" spans="1:22" x14ac:dyDescent="0.25">
      <c r="A4792" s="98" t="s">
        <v>25</v>
      </c>
      <c r="B4792" s="98" t="s">
        <v>17</v>
      </c>
      <c r="C4792" s="98">
        <v>265</v>
      </c>
      <c r="D4792" s="98">
        <v>1850</v>
      </c>
      <c r="E4792" s="157">
        <v>41987.6875</v>
      </c>
      <c r="F4792" s="157">
        <v>41987.711805555555</v>
      </c>
      <c r="G4792" s="98">
        <v>320</v>
      </c>
      <c r="H4792" s="98">
        <v>521</v>
      </c>
      <c r="I4792" s="98">
        <v>482</v>
      </c>
      <c r="J4792" s="98" t="s">
        <v>2263</v>
      </c>
      <c r="K4792" s="98" t="s">
        <v>41</v>
      </c>
      <c r="L4792" s="105" t="str">
        <f t="shared" si="780"/>
        <v>Mill Creek</v>
      </c>
      <c r="M4792" s="105" t="str">
        <f t="shared" si="781"/>
        <v>Derate</v>
      </c>
      <c r="N4792" s="105" t="str">
        <f t="shared" si="782"/>
        <v>Coal</v>
      </c>
      <c r="O4792" s="105">
        <f>IFERROR(VLOOKUP(A4792,Lookup!$J$5:$P$19,7,FALSE),0)</f>
        <v>3</v>
      </c>
      <c r="P4792" s="159">
        <f t="shared" si="783"/>
        <v>2014</v>
      </c>
      <c r="Q4792" s="159">
        <f t="shared" si="784"/>
        <v>12</v>
      </c>
      <c r="R4792" s="160">
        <f t="shared" si="785"/>
        <v>0.58333333331393078</v>
      </c>
      <c r="S4792" s="158">
        <f t="shared" si="786"/>
        <v>0.2250479846374282</v>
      </c>
      <c r="T4792" s="161">
        <f t="shared" si="787"/>
        <v>108.4731285952404</v>
      </c>
      <c r="U4792" s="158">
        <f t="shared" si="789"/>
        <v>185.95393474088291</v>
      </c>
      <c r="V4792" s="160">
        <f t="shared" si="788"/>
        <v>186</v>
      </c>
    </row>
    <row r="4793" spans="1:22" x14ac:dyDescent="0.25">
      <c r="A4793" s="98" t="s">
        <v>25</v>
      </c>
      <c r="B4793" s="98" t="s">
        <v>17</v>
      </c>
      <c r="C4793" s="98">
        <v>266</v>
      </c>
      <c r="D4793" s="98">
        <v>1850</v>
      </c>
      <c r="E4793" s="157">
        <v>41987.711805555555</v>
      </c>
      <c r="F4793" s="157">
        <v>41987.90625</v>
      </c>
      <c r="G4793" s="98">
        <v>200</v>
      </c>
      <c r="H4793" s="98">
        <v>521</v>
      </c>
      <c r="I4793" s="98">
        <v>482</v>
      </c>
      <c r="J4793" s="98" t="s">
        <v>2263</v>
      </c>
      <c r="K4793" s="98" t="s">
        <v>2929</v>
      </c>
      <c r="L4793" s="105" t="str">
        <f t="shared" si="780"/>
        <v>Mill Creek</v>
      </c>
      <c r="M4793" s="105" t="str">
        <f t="shared" si="781"/>
        <v>Derate</v>
      </c>
      <c r="N4793" s="105" t="str">
        <f t="shared" si="782"/>
        <v>Coal</v>
      </c>
      <c r="O4793" s="105">
        <f>IFERROR(VLOOKUP(A4793,Lookup!$J$5:$P$19,7,FALSE),0)</f>
        <v>3</v>
      </c>
      <c r="P4793" s="159">
        <f t="shared" si="783"/>
        <v>2014</v>
      </c>
      <c r="Q4793" s="159">
        <f t="shared" si="784"/>
        <v>12</v>
      </c>
      <c r="R4793" s="160">
        <f t="shared" si="785"/>
        <v>4.6666666666860692</v>
      </c>
      <c r="S4793" s="158">
        <f t="shared" si="786"/>
        <v>2.8752399232365224</v>
      </c>
      <c r="T4793" s="161">
        <f t="shared" si="787"/>
        <v>1385.8656430000037</v>
      </c>
      <c r="U4793" s="158">
        <f t="shared" si="789"/>
        <v>296.97120921305185</v>
      </c>
      <c r="V4793" s="160">
        <f t="shared" si="788"/>
        <v>297</v>
      </c>
    </row>
    <row r="4794" spans="1:22" x14ac:dyDescent="0.25">
      <c r="A4794" s="98" t="s">
        <v>25</v>
      </c>
      <c r="B4794" s="98" t="s">
        <v>17</v>
      </c>
      <c r="C4794" s="98">
        <v>267</v>
      </c>
      <c r="D4794" s="98">
        <v>1850</v>
      </c>
      <c r="E4794" s="157">
        <v>41987.90625</v>
      </c>
      <c r="F4794" s="157">
        <v>41988.039583333331</v>
      </c>
      <c r="G4794" s="98">
        <v>310</v>
      </c>
      <c r="H4794" s="98">
        <v>521</v>
      </c>
      <c r="I4794" s="98">
        <v>482</v>
      </c>
      <c r="J4794" s="98" t="s">
        <v>2263</v>
      </c>
      <c r="K4794" s="98" t="s">
        <v>41</v>
      </c>
      <c r="L4794" s="105" t="str">
        <f t="shared" si="780"/>
        <v>Mill Creek</v>
      </c>
      <c r="M4794" s="105" t="str">
        <f t="shared" si="781"/>
        <v>Derate</v>
      </c>
      <c r="N4794" s="105" t="str">
        <f t="shared" si="782"/>
        <v>Coal</v>
      </c>
      <c r="O4794" s="105">
        <f>IFERROR(VLOOKUP(A4794,Lookup!$J$5:$P$19,7,FALSE),0)</f>
        <v>3</v>
      </c>
      <c r="P4794" s="159">
        <f t="shared" si="783"/>
        <v>2014</v>
      </c>
      <c r="Q4794" s="159">
        <f t="shared" si="784"/>
        <v>12</v>
      </c>
      <c r="R4794" s="160">
        <f t="shared" si="785"/>
        <v>3.1999999999534339</v>
      </c>
      <c r="S4794" s="158">
        <f t="shared" si="786"/>
        <v>1.2959692898083965</v>
      </c>
      <c r="T4794" s="161">
        <f t="shared" si="787"/>
        <v>624.65719768764711</v>
      </c>
      <c r="U4794" s="158">
        <f t="shared" si="789"/>
        <v>195.20537428023033</v>
      </c>
      <c r="V4794" s="160">
        <f t="shared" si="788"/>
        <v>195</v>
      </c>
    </row>
    <row r="4795" spans="1:22" x14ac:dyDescent="0.25">
      <c r="A4795" s="98" t="s">
        <v>25</v>
      </c>
      <c r="B4795" s="98" t="s">
        <v>17</v>
      </c>
      <c r="C4795" s="98">
        <v>268</v>
      </c>
      <c r="D4795" s="98">
        <v>1850</v>
      </c>
      <c r="E4795" s="157">
        <v>41988.039583333331</v>
      </c>
      <c r="F4795" s="157">
        <v>41988.23333333333</v>
      </c>
      <c r="G4795" s="98">
        <v>345</v>
      </c>
      <c r="H4795" s="98">
        <v>521</v>
      </c>
      <c r="I4795" s="98">
        <v>482</v>
      </c>
      <c r="J4795" s="98" t="s">
        <v>2263</v>
      </c>
      <c r="K4795" s="98" t="s">
        <v>41</v>
      </c>
      <c r="L4795" s="105" t="str">
        <f t="shared" si="780"/>
        <v>Mill Creek</v>
      </c>
      <c r="M4795" s="105" t="str">
        <f t="shared" si="781"/>
        <v>Derate</v>
      </c>
      <c r="N4795" s="105" t="str">
        <f t="shared" si="782"/>
        <v>Coal</v>
      </c>
      <c r="O4795" s="105">
        <f>IFERROR(VLOOKUP(A4795,Lookup!$J$5:$P$19,7,FALSE),0)</f>
        <v>3</v>
      </c>
      <c r="P4795" s="159">
        <f t="shared" si="783"/>
        <v>2014</v>
      </c>
      <c r="Q4795" s="159">
        <f t="shared" si="784"/>
        <v>12</v>
      </c>
      <c r="R4795" s="160">
        <f t="shared" si="785"/>
        <v>4.6499999999650754</v>
      </c>
      <c r="S4795" s="158">
        <f t="shared" si="786"/>
        <v>1.5708253358807165</v>
      </c>
      <c r="T4795" s="161">
        <f t="shared" si="787"/>
        <v>757.13781189450538</v>
      </c>
      <c r="U4795" s="158">
        <f t="shared" si="789"/>
        <v>162.8253358925144</v>
      </c>
      <c r="V4795" s="160">
        <f t="shared" si="788"/>
        <v>163</v>
      </c>
    </row>
    <row r="4796" spans="1:22" x14ac:dyDescent="0.25">
      <c r="A4796" s="98" t="s">
        <v>25</v>
      </c>
      <c r="B4796" s="98" t="s">
        <v>17</v>
      </c>
      <c r="C4796" s="98">
        <v>269</v>
      </c>
      <c r="D4796" s="98">
        <v>1850</v>
      </c>
      <c r="E4796" s="157">
        <v>41988.23333333333</v>
      </c>
      <c r="F4796" s="157">
        <v>41988.693749999999</v>
      </c>
      <c r="G4796" s="98">
        <v>390</v>
      </c>
      <c r="H4796" s="98">
        <v>521</v>
      </c>
      <c r="I4796" s="98">
        <v>482</v>
      </c>
      <c r="J4796" s="98" t="s">
        <v>2263</v>
      </c>
      <c r="K4796" s="98" t="s">
        <v>41</v>
      </c>
      <c r="L4796" s="105" t="str">
        <f t="shared" si="780"/>
        <v>Mill Creek</v>
      </c>
      <c r="M4796" s="105" t="str">
        <f t="shared" si="781"/>
        <v>Derate</v>
      </c>
      <c r="N4796" s="105" t="str">
        <f t="shared" si="782"/>
        <v>Coal</v>
      </c>
      <c r="O4796" s="105">
        <f>IFERROR(VLOOKUP(A4796,Lookup!$J$5:$P$19,7,FALSE),0)</f>
        <v>3</v>
      </c>
      <c r="P4796" s="159">
        <f t="shared" si="783"/>
        <v>2014</v>
      </c>
      <c r="Q4796" s="159">
        <f t="shared" si="784"/>
        <v>12</v>
      </c>
      <c r="R4796" s="160">
        <f t="shared" si="785"/>
        <v>11.050000000046566</v>
      </c>
      <c r="S4796" s="158">
        <f t="shared" si="786"/>
        <v>2.7784069098005761</v>
      </c>
      <c r="T4796" s="161">
        <f t="shared" si="787"/>
        <v>1339.1921305238777</v>
      </c>
      <c r="U4796" s="158">
        <f t="shared" si="789"/>
        <v>121.19385796545106</v>
      </c>
      <c r="V4796" s="160">
        <f t="shared" si="788"/>
        <v>121</v>
      </c>
    </row>
    <row r="4797" spans="1:22" x14ac:dyDescent="0.25">
      <c r="A4797" s="98" t="s">
        <v>25</v>
      </c>
      <c r="B4797" s="98" t="s">
        <v>17</v>
      </c>
      <c r="C4797" s="98">
        <v>270</v>
      </c>
      <c r="D4797" s="98">
        <v>1850</v>
      </c>
      <c r="E4797" s="157">
        <v>41988.693749999999</v>
      </c>
      <c r="F4797" s="157">
        <v>41989.284722222219</v>
      </c>
      <c r="G4797" s="98">
        <v>430</v>
      </c>
      <c r="H4797" s="98">
        <v>521</v>
      </c>
      <c r="I4797" s="98">
        <v>482</v>
      </c>
      <c r="J4797" s="98" t="s">
        <v>2263</v>
      </c>
      <c r="K4797" s="98" t="s">
        <v>41</v>
      </c>
      <c r="L4797" s="105" t="str">
        <f t="shared" si="780"/>
        <v>Mill Creek</v>
      </c>
      <c r="M4797" s="105" t="str">
        <f t="shared" si="781"/>
        <v>Derate</v>
      </c>
      <c r="N4797" s="105" t="str">
        <f t="shared" si="782"/>
        <v>Coal</v>
      </c>
      <c r="O4797" s="105">
        <f>IFERROR(VLOOKUP(A4797,Lookup!$J$5:$P$19,7,FALSE),0)</f>
        <v>3</v>
      </c>
      <c r="P4797" s="159">
        <f t="shared" si="783"/>
        <v>2014</v>
      </c>
      <c r="Q4797" s="159">
        <f t="shared" si="784"/>
        <v>12</v>
      </c>
      <c r="R4797" s="160">
        <f t="shared" si="785"/>
        <v>14.183333333290648</v>
      </c>
      <c r="S4797" s="158">
        <f t="shared" si="786"/>
        <v>2.4773192578300365</v>
      </c>
      <c r="T4797" s="161">
        <f t="shared" si="787"/>
        <v>1194.0678822740776</v>
      </c>
      <c r="U4797" s="158">
        <f t="shared" si="789"/>
        <v>84.188099808061423</v>
      </c>
      <c r="V4797" s="160">
        <f t="shared" si="788"/>
        <v>84</v>
      </c>
    </row>
    <row r="4798" spans="1:22" x14ac:dyDescent="0.25">
      <c r="A4798" s="98" t="s">
        <v>25</v>
      </c>
      <c r="B4798" s="98" t="s">
        <v>17</v>
      </c>
      <c r="C4798" s="98">
        <v>271</v>
      </c>
      <c r="D4798" s="98">
        <v>1850</v>
      </c>
      <c r="E4798" s="157">
        <v>41989.284722222219</v>
      </c>
      <c r="F4798" s="157">
        <v>41989.383333333331</v>
      </c>
      <c r="G4798" s="98">
        <v>275</v>
      </c>
      <c r="H4798" s="98">
        <v>521</v>
      </c>
      <c r="I4798" s="98">
        <v>482</v>
      </c>
      <c r="J4798" s="98" t="s">
        <v>2263</v>
      </c>
      <c r="K4798" s="98" t="s">
        <v>41</v>
      </c>
      <c r="L4798" s="105" t="str">
        <f t="shared" si="780"/>
        <v>Mill Creek</v>
      </c>
      <c r="M4798" s="105" t="str">
        <f t="shared" si="781"/>
        <v>Derate</v>
      </c>
      <c r="N4798" s="105" t="str">
        <f t="shared" si="782"/>
        <v>Coal</v>
      </c>
      <c r="O4798" s="105">
        <f>IFERROR(VLOOKUP(A4798,Lookup!$J$5:$P$19,7,FALSE),0)</f>
        <v>3</v>
      </c>
      <c r="P4798" s="159">
        <f t="shared" si="783"/>
        <v>2014</v>
      </c>
      <c r="Q4798" s="159">
        <f t="shared" si="784"/>
        <v>12</v>
      </c>
      <c r="R4798" s="160">
        <f t="shared" si="785"/>
        <v>2.3666666666977108</v>
      </c>
      <c r="S4798" s="158">
        <f t="shared" si="786"/>
        <v>1.1174664107632186</v>
      </c>
      <c r="T4798" s="161">
        <f t="shared" si="787"/>
        <v>538.61880998787137</v>
      </c>
      <c r="U4798" s="158">
        <f t="shared" si="789"/>
        <v>227.58541266794626</v>
      </c>
      <c r="V4798" s="160">
        <f t="shared" si="788"/>
        <v>228</v>
      </c>
    </row>
    <row r="4799" spans="1:22" x14ac:dyDescent="0.25">
      <c r="A4799" s="98" t="s">
        <v>25</v>
      </c>
      <c r="B4799" s="98" t="s">
        <v>15</v>
      </c>
      <c r="C4799" s="98">
        <v>272</v>
      </c>
      <c r="D4799" s="98">
        <v>3110</v>
      </c>
      <c r="E4799" s="157">
        <v>41989.383333333331</v>
      </c>
      <c r="F4799" s="157">
        <v>41991.492361111108</v>
      </c>
      <c r="G4799" s="98">
        <v>0</v>
      </c>
      <c r="H4799" s="98">
        <v>521</v>
      </c>
      <c r="I4799" s="98">
        <v>482</v>
      </c>
      <c r="J4799" s="98" t="s">
        <v>2119</v>
      </c>
      <c r="K4799" s="98" t="s">
        <v>55</v>
      </c>
      <c r="L4799" s="105" t="str">
        <f t="shared" si="780"/>
        <v>Mill Creek</v>
      </c>
      <c r="M4799" s="105" t="str">
        <f t="shared" si="781"/>
        <v>Outage</v>
      </c>
      <c r="N4799" s="105" t="str">
        <f t="shared" si="782"/>
        <v>Coal</v>
      </c>
      <c r="O4799" s="105">
        <f>IFERROR(VLOOKUP(A4799,Lookup!$J$5:$P$19,7,FALSE),0)</f>
        <v>3</v>
      </c>
      <c r="P4799" s="159">
        <f t="shared" si="783"/>
        <v>2014</v>
      </c>
      <c r="Q4799" s="159">
        <f t="shared" si="784"/>
        <v>12</v>
      </c>
      <c r="R4799" s="160">
        <f t="shared" si="785"/>
        <v>50.616666666639503</v>
      </c>
      <c r="S4799" s="158">
        <f t="shared" si="786"/>
        <v>50.616666666639503</v>
      </c>
      <c r="T4799" s="161">
        <f t="shared" si="787"/>
        <v>24397.23333332024</v>
      </c>
      <c r="U4799" s="158">
        <f t="shared" si="789"/>
        <v>482</v>
      </c>
      <c r="V4799" s="160">
        <f t="shared" si="788"/>
        <v>482</v>
      </c>
    </row>
    <row r="4800" spans="1:22" x14ac:dyDescent="0.25">
      <c r="A4800" s="98" t="s">
        <v>25</v>
      </c>
      <c r="B4800" s="98" t="s">
        <v>79</v>
      </c>
      <c r="C4800" s="98">
        <v>273</v>
      </c>
      <c r="D4800" s="98">
        <v>1850</v>
      </c>
      <c r="E4800" s="157">
        <v>41991.492361111108</v>
      </c>
      <c r="F4800" s="157">
        <v>41992.057638888888</v>
      </c>
      <c r="G4800" s="98">
        <v>0</v>
      </c>
      <c r="H4800" s="98">
        <v>521</v>
      </c>
      <c r="I4800" s="98">
        <v>482</v>
      </c>
      <c r="J4800" s="98" t="s">
        <v>2263</v>
      </c>
      <c r="K4800" s="98" t="s">
        <v>85</v>
      </c>
      <c r="L4800" s="105" t="str">
        <f t="shared" si="780"/>
        <v>Mill Creek</v>
      </c>
      <c r="M4800" s="105" t="str">
        <f t="shared" si="781"/>
        <v>Other</v>
      </c>
      <c r="N4800" s="105" t="str">
        <f t="shared" si="782"/>
        <v>Coal</v>
      </c>
      <c r="O4800" s="105">
        <f>IFERROR(VLOOKUP(A4800,Lookup!$J$5:$P$19,7,FALSE),0)</f>
        <v>3</v>
      </c>
      <c r="P4800" s="159">
        <f t="shared" si="783"/>
        <v>2014</v>
      </c>
      <c r="Q4800" s="159">
        <f t="shared" si="784"/>
        <v>12</v>
      </c>
      <c r="R4800" s="160">
        <f t="shared" si="785"/>
        <v>13.566666666709352</v>
      </c>
      <c r="S4800" s="158">
        <f t="shared" si="786"/>
        <v>13.566666666709352</v>
      </c>
      <c r="T4800" s="161">
        <f t="shared" si="787"/>
        <v>6539.1333333539078</v>
      </c>
      <c r="U4800" s="158">
        <f t="shared" si="789"/>
        <v>482</v>
      </c>
      <c r="V4800" s="160">
        <f t="shared" si="788"/>
        <v>482</v>
      </c>
    </row>
    <row r="4801" spans="1:22" x14ac:dyDescent="0.25">
      <c r="A4801" s="98" t="s">
        <v>25</v>
      </c>
      <c r="B4801" s="98" t="s">
        <v>17</v>
      </c>
      <c r="C4801" s="98">
        <v>274</v>
      </c>
      <c r="D4801" s="98">
        <v>1850</v>
      </c>
      <c r="E4801" s="157">
        <v>41992.057638888888</v>
      </c>
      <c r="F4801" s="157">
        <v>41992.534722222219</v>
      </c>
      <c r="G4801" s="98">
        <v>275</v>
      </c>
      <c r="H4801" s="98">
        <v>521</v>
      </c>
      <c r="I4801" s="98">
        <v>482</v>
      </c>
      <c r="J4801" s="98" t="s">
        <v>2263</v>
      </c>
      <c r="K4801" s="98" t="s">
        <v>41</v>
      </c>
      <c r="L4801" s="105" t="str">
        <f t="shared" si="780"/>
        <v>Mill Creek</v>
      </c>
      <c r="M4801" s="105" t="str">
        <f t="shared" si="781"/>
        <v>Derate</v>
      </c>
      <c r="N4801" s="105" t="str">
        <f t="shared" si="782"/>
        <v>Coal</v>
      </c>
      <c r="O4801" s="105">
        <f>IFERROR(VLOOKUP(A4801,Lookup!$J$5:$P$19,7,FALSE),0)</f>
        <v>3</v>
      </c>
      <c r="P4801" s="159">
        <f t="shared" si="783"/>
        <v>2014</v>
      </c>
      <c r="Q4801" s="159">
        <f t="shared" si="784"/>
        <v>12</v>
      </c>
      <c r="R4801" s="160">
        <f t="shared" si="785"/>
        <v>11.449999999953434</v>
      </c>
      <c r="S4801" s="158">
        <f t="shared" si="786"/>
        <v>5.4063339731066113</v>
      </c>
      <c r="T4801" s="161">
        <f t="shared" si="787"/>
        <v>2605.8529750373868</v>
      </c>
      <c r="U4801" s="158">
        <f t="shared" si="789"/>
        <v>227.58541266794626</v>
      </c>
      <c r="V4801" s="160">
        <f t="shared" si="788"/>
        <v>228</v>
      </c>
    </row>
    <row r="4802" spans="1:22" x14ac:dyDescent="0.25">
      <c r="A4802" s="98" t="s">
        <v>25</v>
      </c>
      <c r="B4802" s="98" t="s">
        <v>17</v>
      </c>
      <c r="C4802" s="98">
        <v>275</v>
      </c>
      <c r="D4802" s="98">
        <v>1850</v>
      </c>
      <c r="E4802" s="157">
        <v>41992.534722222219</v>
      </c>
      <c r="F4802" s="157">
        <v>41993.131944444445</v>
      </c>
      <c r="G4802" s="98">
        <v>332</v>
      </c>
      <c r="H4802" s="98">
        <v>521</v>
      </c>
      <c r="I4802" s="98">
        <v>482</v>
      </c>
      <c r="J4802" s="98" t="s">
        <v>2263</v>
      </c>
      <c r="K4802" s="98" t="s">
        <v>41</v>
      </c>
      <c r="L4802" s="105" t="str">
        <f t="shared" si="780"/>
        <v>Mill Creek</v>
      </c>
      <c r="M4802" s="105" t="str">
        <f t="shared" si="781"/>
        <v>Derate</v>
      </c>
      <c r="N4802" s="105" t="str">
        <f t="shared" si="782"/>
        <v>Coal</v>
      </c>
      <c r="O4802" s="105">
        <f>IFERROR(VLOOKUP(A4802,Lookup!$J$5:$P$19,7,FALSE),0)</f>
        <v>3</v>
      </c>
      <c r="P4802" s="159">
        <f t="shared" si="783"/>
        <v>2014</v>
      </c>
      <c r="Q4802" s="159">
        <f t="shared" si="784"/>
        <v>12</v>
      </c>
      <c r="R4802" s="160">
        <f t="shared" si="785"/>
        <v>14.333333333430346</v>
      </c>
      <c r="S4802" s="158">
        <f t="shared" si="786"/>
        <v>5.1996161228758835</v>
      </c>
      <c r="T4802" s="161">
        <f t="shared" si="787"/>
        <v>2506.2149712261757</v>
      </c>
      <c r="U4802" s="158">
        <f t="shared" si="789"/>
        <v>174.85220729366603</v>
      </c>
      <c r="V4802" s="160">
        <f t="shared" si="788"/>
        <v>175</v>
      </c>
    </row>
    <row r="4803" spans="1:22" x14ac:dyDescent="0.25">
      <c r="A4803" s="98" t="s">
        <v>25</v>
      </c>
      <c r="B4803" s="98" t="s">
        <v>17</v>
      </c>
      <c r="C4803" s="98">
        <v>276</v>
      </c>
      <c r="D4803" s="98">
        <v>1850</v>
      </c>
      <c r="E4803" s="157">
        <v>41993.131944444445</v>
      </c>
      <c r="F4803" s="157">
        <v>41993.470138888886</v>
      </c>
      <c r="G4803" s="98">
        <v>350</v>
      </c>
      <c r="H4803" s="98">
        <v>521</v>
      </c>
      <c r="I4803" s="98">
        <v>482</v>
      </c>
      <c r="J4803" s="98" t="s">
        <v>2263</v>
      </c>
      <c r="K4803" s="98" t="s">
        <v>41</v>
      </c>
      <c r="L4803" s="105" t="str">
        <f t="shared" si="780"/>
        <v>Mill Creek</v>
      </c>
      <c r="M4803" s="105" t="str">
        <f t="shared" si="781"/>
        <v>Derate</v>
      </c>
      <c r="N4803" s="105" t="str">
        <f t="shared" si="782"/>
        <v>Coal</v>
      </c>
      <c r="O4803" s="105">
        <f>IFERROR(VLOOKUP(A4803,Lookup!$J$5:$P$19,7,FALSE),0)</f>
        <v>3</v>
      </c>
      <c r="P4803" s="159">
        <f t="shared" si="783"/>
        <v>2014</v>
      </c>
      <c r="Q4803" s="159">
        <f t="shared" si="784"/>
        <v>12</v>
      </c>
      <c r="R4803" s="160">
        <f t="shared" si="785"/>
        <v>8.1166666665812954</v>
      </c>
      <c r="S4803" s="158">
        <f t="shared" si="786"/>
        <v>2.664011516286759</v>
      </c>
      <c r="T4803" s="161">
        <f t="shared" si="787"/>
        <v>1284.0535508502178</v>
      </c>
      <c r="U4803" s="158">
        <f t="shared" si="789"/>
        <v>158.19961612284069</v>
      </c>
      <c r="V4803" s="160">
        <f t="shared" si="788"/>
        <v>158</v>
      </c>
    </row>
    <row r="4804" spans="1:22" x14ac:dyDescent="0.25">
      <c r="A4804" s="98" t="s">
        <v>25</v>
      </c>
      <c r="B4804" s="98" t="s">
        <v>17</v>
      </c>
      <c r="C4804" s="98">
        <v>277</v>
      </c>
      <c r="D4804" s="98">
        <v>1850</v>
      </c>
      <c r="E4804" s="157">
        <v>41993.470138888886</v>
      </c>
      <c r="F4804" s="157">
        <v>41993.684027777781</v>
      </c>
      <c r="G4804" s="98">
        <v>400</v>
      </c>
      <c r="H4804" s="98">
        <v>521</v>
      </c>
      <c r="I4804" s="98">
        <v>482</v>
      </c>
      <c r="J4804" s="98" t="s">
        <v>2263</v>
      </c>
      <c r="K4804" s="98" t="s">
        <v>41</v>
      </c>
      <c r="L4804" s="105" t="str">
        <f t="shared" si="780"/>
        <v>Mill Creek</v>
      </c>
      <c r="M4804" s="105" t="str">
        <f t="shared" si="781"/>
        <v>Derate</v>
      </c>
      <c r="N4804" s="105" t="str">
        <f t="shared" si="782"/>
        <v>Coal</v>
      </c>
      <c r="O4804" s="105">
        <f>IFERROR(VLOOKUP(A4804,Lookup!$J$5:$P$19,7,FALSE),0)</f>
        <v>3</v>
      </c>
      <c r="P4804" s="159">
        <f t="shared" si="783"/>
        <v>2014</v>
      </c>
      <c r="Q4804" s="159">
        <f t="shared" si="784"/>
        <v>12</v>
      </c>
      <c r="R4804" s="160">
        <f t="shared" si="785"/>
        <v>5.1333333334769122</v>
      </c>
      <c r="S4804" s="158">
        <f t="shared" si="786"/>
        <v>1.1921944977940622</v>
      </c>
      <c r="T4804" s="161">
        <f t="shared" si="787"/>
        <v>574.63774793673792</v>
      </c>
      <c r="U4804" s="158">
        <f t="shared" si="789"/>
        <v>111.94241842610364</v>
      </c>
      <c r="V4804" s="160">
        <f t="shared" si="788"/>
        <v>112</v>
      </c>
    </row>
    <row r="4805" spans="1:22" x14ac:dyDescent="0.25">
      <c r="A4805" s="98" t="s">
        <v>25</v>
      </c>
      <c r="B4805" s="98" t="s">
        <v>17</v>
      </c>
      <c r="C4805" s="98">
        <v>278</v>
      </c>
      <c r="D4805" s="98">
        <v>1850</v>
      </c>
      <c r="E4805" s="157">
        <v>41993.684027777781</v>
      </c>
      <c r="F4805" s="157">
        <v>41993.895833333336</v>
      </c>
      <c r="G4805" s="98">
        <v>430</v>
      </c>
      <c r="H4805" s="98">
        <v>521</v>
      </c>
      <c r="I4805" s="98">
        <v>482</v>
      </c>
      <c r="J4805" s="98" t="s">
        <v>2263</v>
      </c>
      <c r="K4805" s="98" t="s">
        <v>41</v>
      </c>
      <c r="L4805" s="105" t="str">
        <f t="shared" si="780"/>
        <v>Mill Creek</v>
      </c>
      <c r="M4805" s="105" t="str">
        <f t="shared" si="781"/>
        <v>Derate</v>
      </c>
      <c r="N4805" s="105" t="str">
        <f t="shared" si="782"/>
        <v>Coal</v>
      </c>
      <c r="O4805" s="105">
        <f>IFERROR(VLOOKUP(A4805,Lookup!$J$5:$P$19,7,FALSE),0)</f>
        <v>3</v>
      </c>
      <c r="P4805" s="159">
        <f t="shared" si="783"/>
        <v>2014</v>
      </c>
      <c r="Q4805" s="159">
        <f t="shared" si="784"/>
        <v>12</v>
      </c>
      <c r="R4805" s="160">
        <f t="shared" si="785"/>
        <v>5.0833333333139308</v>
      </c>
      <c r="S4805" s="158">
        <f t="shared" si="786"/>
        <v>0.88787587971510118</v>
      </c>
      <c r="T4805" s="161">
        <f t="shared" si="787"/>
        <v>427.95617402267879</v>
      </c>
      <c r="U4805" s="158">
        <f t="shared" si="789"/>
        <v>84.188099808061423</v>
      </c>
      <c r="V4805" s="160">
        <f t="shared" si="788"/>
        <v>84</v>
      </c>
    </row>
    <row r="4806" spans="1:22" x14ac:dyDescent="0.25">
      <c r="A4806" s="98" t="s">
        <v>25</v>
      </c>
      <c r="B4806" s="98" t="s">
        <v>17</v>
      </c>
      <c r="C4806" s="98">
        <v>279</v>
      </c>
      <c r="D4806" s="98">
        <v>1850</v>
      </c>
      <c r="E4806" s="157">
        <v>41993.895833333336</v>
      </c>
      <c r="F4806" s="162">
        <v>41994.269444444442</v>
      </c>
      <c r="G4806" s="98">
        <v>405</v>
      </c>
      <c r="H4806" s="98">
        <v>521</v>
      </c>
      <c r="I4806" s="98">
        <v>482</v>
      </c>
      <c r="J4806" s="98" t="s">
        <v>2263</v>
      </c>
      <c r="K4806" s="98" t="s">
        <v>41</v>
      </c>
      <c r="L4806" s="105" t="str">
        <f t="shared" si="780"/>
        <v>Mill Creek</v>
      </c>
      <c r="M4806" s="105" t="str">
        <f t="shared" si="781"/>
        <v>Derate</v>
      </c>
      <c r="N4806" s="105" t="str">
        <f t="shared" si="782"/>
        <v>Coal</v>
      </c>
      <c r="O4806" s="105">
        <f>IFERROR(VLOOKUP(A4806,Lookup!$J$5:$P$19,7,FALSE),0)</f>
        <v>3</v>
      </c>
      <c r="P4806" s="159">
        <f t="shared" si="783"/>
        <v>2014</v>
      </c>
      <c r="Q4806" s="159">
        <f t="shared" si="784"/>
        <v>12</v>
      </c>
      <c r="R4806" s="160">
        <f t="shared" si="785"/>
        <v>8.9666666665580124</v>
      </c>
      <c r="S4806" s="158">
        <f t="shared" si="786"/>
        <v>1.996417146488924</v>
      </c>
      <c r="T4806" s="161">
        <f t="shared" si="787"/>
        <v>962.27306460766135</v>
      </c>
      <c r="U4806" s="158">
        <f t="shared" si="789"/>
        <v>107.31669865642995</v>
      </c>
      <c r="V4806" s="160">
        <f t="shared" si="788"/>
        <v>107</v>
      </c>
    </row>
    <row r="4807" spans="1:22" x14ac:dyDescent="0.25">
      <c r="A4807" s="98" t="s">
        <v>25</v>
      </c>
      <c r="B4807" s="98" t="s">
        <v>17</v>
      </c>
      <c r="C4807" s="98">
        <v>280</v>
      </c>
      <c r="D4807" s="98">
        <v>1850</v>
      </c>
      <c r="E4807" s="157">
        <v>41994.269444444442</v>
      </c>
      <c r="F4807" s="157">
        <v>41994.67083333333</v>
      </c>
      <c r="G4807" s="98">
        <v>420</v>
      </c>
      <c r="H4807" s="98">
        <v>521</v>
      </c>
      <c r="I4807" s="98">
        <v>482</v>
      </c>
      <c r="J4807" s="98" t="s">
        <v>2263</v>
      </c>
      <c r="K4807" s="98" t="s">
        <v>41</v>
      </c>
      <c r="L4807" s="105" t="str">
        <f t="shared" si="780"/>
        <v>Mill Creek</v>
      </c>
      <c r="M4807" s="105" t="str">
        <f t="shared" si="781"/>
        <v>Derate</v>
      </c>
      <c r="N4807" s="105" t="str">
        <f t="shared" si="782"/>
        <v>Coal</v>
      </c>
      <c r="O4807" s="105">
        <f>IFERROR(VLOOKUP(A4807,Lookup!$J$5:$P$19,7,FALSE),0)</f>
        <v>3</v>
      </c>
      <c r="P4807" s="159">
        <f t="shared" si="783"/>
        <v>2014</v>
      </c>
      <c r="Q4807" s="159">
        <f t="shared" si="784"/>
        <v>12</v>
      </c>
      <c r="R4807" s="160">
        <f t="shared" si="785"/>
        <v>9.6333333333022892</v>
      </c>
      <c r="S4807" s="158">
        <f t="shared" si="786"/>
        <v>1.8674984005058182</v>
      </c>
      <c r="T4807" s="161">
        <f t="shared" si="787"/>
        <v>900.13422904380434</v>
      </c>
      <c r="U4807" s="158">
        <f t="shared" si="789"/>
        <v>93.439539347408825</v>
      </c>
      <c r="V4807" s="160">
        <f t="shared" si="788"/>
        <v>93</v>
      </c>
    </row>
    <row r="4808" spans="1:22" x14ac:dyDescent="0.25">
      <c r="A4808" s="98" t="s">
        <v>25</v>
      </c>
      <c r="B4808" s="98" t="s">
        <v>17</v>
      </c>
      <c r="C4808" s="98">
        <v>281</v>
      </c>
      <c r="D4808" s="98">
        <v>1850</v>
      </c>
      <c r="E4808" s="157">
        <v>41994.67083333333</v>
      </c>
      <c r="F4808" s="157">
        <v>41995.291666666664</v>
      </c>
      <c r="G4808" s="98">
        <v>440</v>
      </c>
      <c r="H4808" s="98">
        <v>521</v>
      </c>
      <c r="I4808" s="98">
        <v>482</v>
      </c>
      <c r="J4808" s="98" t="s">
        <v>2263</v>
      </c>
      <c r="K4808" s="98" t="s">
        <v>41</v>
      </c>
      <c r="L4808" s="105" t="str">
        <f t="shared" si="780"/>
        <v>Mill Creek</v>
      </c>
      <c r="M4808" s="105" t="str">
        <f t="shared" si="781"/>
        <v>Derate</v>
      </c>
      <c r="N4808" s="105" t="str">
        <f t="shared" si="782"/>
        <v>Coal</v>
      </c>
      <c r="O4808" s="105">
        <f>IFERROR(VLOOKUP(A4808,Lookup!$J$5:$P$19,7,FALSE),0)</f>
        <v>3</v>
      </c>
      <c r="P4808" s="159">
        <f t="shared" si="783"/>
        <v>2014</v>
      </c>
      <c r="Q4808" s="159">
        <f t="shared" si="784"/>
        <v>12</v>
      </c>
      <c r="R4808" s="160">
        <f t="shared" si="785"/>
        <v>14.900000000023283</v>
      </c>
      <c r="S4808" s="158">
        <f t="shared" si="786"/>
        <v>2.3165067178539078</v>
      </c>
      <c r="T4808" s="161">
        <f t="shared" si="787"/>
        <v>1116.5562380055835</v>
      </c>
      <c r="U4808" s="158">
        <f t="shared" si="789"/>
        <v>74.936660268714007</v>
      </c>
      <c r="V4808" s="160">
        <f t="shared" si="788"/>
        <v>75</v>
      </c>
    </row>
    <row r="4809" spans="1:22" x14ac:dyDescent="0.25">
      <c r="A4809" s="98" t="s">
        <v>25</v>
      </c>
      <c r="B4809" s="98" t="s">
        <v>17</v>
      </c>
      <c r="C4809" s="98">
        <v>282</v>
      </c>
      <c r="D4809" s="98">
        <v>1850</v>
      </c>
      <c r="E4809" s="157">
        <v>41995.291666666664</v>
      </c>
      <c r="F4809" s="157">
        <v>41995.525000000001</v>
      </c>
      <c r="G4809" s="98">
        <v>463</v>
      </c>
      <c r="H4809" s="98">
        <v>521</v>
      </c>
      <c r="I4809" s="98">
        <v>482</v>
      </c>
      <c r="J4809" s="98" t="s">
        <v>2263</v>
      </c>
      <c r="K4809" s="98" t="s">
        <v>41</v>
      </c>
      <c r="L4809" s="105" t="str">
        <f t="shared" si="780"/>
        <v>Mill Creek</v>
      </c>
      <c r="M4809" s="105" t="str">
        <f t="shared" si="781"/>
        <v>Derate</v>
      </c>
      <c r="N4809" s="105" t="str">
        <f t="shared" si="782"/>
        <v>Coal</v>
      </c>
      <c r="O4809" s="105">
        <f>IFERROR(VLOOKUP(A4809,Lookup!$J$5:$P$19,7,FALSE),0)</f>
        <v>3</v>
      </c>
      <c r="P4809" s="159">
        <f t="shared" si="783"/>
        <v>2014</v>
      </c>
      <c r="Q4809" s="159">
        <f t="shared" si="784"/>
        <v>12</v>
      </c>
      <c r="R4809" s="160">
        <f t="shared" si="785"/>
        <v>5.6000000000931323</v>
      </c>
      <c r="S4809" s="158">
        <f t="shared" si="786"/>
        <v>0.62341650672821813</v>
      </c>
      <c r="T4809" s="161">
        <f t="shared" si="787"/>
        <v>300.48675624300114</v>
      </c>
      <c r="U4809" s="158">
        <f t="shared" si="789"/>
        <v>53.658349328214975</v>
      </c>
      <c r="V4809" s="160">
        <f t="shared" si="788"/>
        <v>54</v>
      </c>
    </row>
    <row r="4810" spans="1:22" x14ac:dyDescent="0.25">
      <c r="A4810" s="98" t="s">
        <v>25</v>
      </c>
      <c r="B4810" s="98" t="s">
        <v>105</v>
      </c>
      <c r="C4810" s="98">
        <v>283</v>
      </c>
      <c r="D4810" s="98">
        <v>331</v>
      </c>
      <c r="E4810" s="157">
        <v>41995.875</v>
      </c>
      <c r="F4810" s="157">
        <v>41996.194444444445</v>
      </c>
      <c r="G4810" s="98">
        <v>420</v>
      </c>
      <c r="H4810" s="98">
        <v>521</v>
      </c>
      <c r="I4810" s="98">
        <v>482</v>
      </c>
      <c r="J4810" s="98" t="s">
        <v>2101</v>
      </c>
      <c r="K4810" s="98" t="s">
        <v>2930</v>
      </c>
      <c r="L4810" s="105" t="str">
        <f t="shared" si="780"/>
        <v>Mill Creek</v>
      </c>
      <c r="M4810" s="105" t="str">
        <f t="shared" si="781"/>
        <v>Derate</v>
      </c>
      <c r="N4810" s="105" t="str">
        <f t="shared" si="782"/>
        <v>Coal</v>
      </c>
      <c r="O4810" s="105">
        <f>IFERROR(VLOOKUP(A4810,Lookup!$J$5:$P$19,7,FALSE),0)</f>
        <v>3</v>
      </c>
      <c r="P4810" s="159">
        <f t="shared" si="783"/>
        <v>2014</v>
      </c>
      <c r="Q4810" s="159">
        <f t="shared" si="784"/>
        <v>12</v>
      </c>
      <c r="R4810" s="160">
        <f t="shared" si="785"/>
        <v>7.6666666666860692</v>
      </c>
      <c r="S4810" s="158">
        <f t="shared" si="786"/>
        <v>1.4862444017951881</v>
      </c>
      <c r="T4810" s="161">
        <f t="shared" si="787"/>
        <v>716.36980166528065</v>
      </c>
      <c r="U4810" s="158">
        <f t="shared" si="789"/>
        <v>93.439539347408825</v>
      </c>
      <c r="V4810" s="160">
        <f t="shared" si="788"/>
        <v>93</v>
      </c>
    </row>
    <row r="4811" spans="1:22" x14ac:dyDescent="0.25">
      <c r="A4811" s="98" t="s">
        <v>25</v>
      </c>
      <c r="B4811" s="98" t="s">
        <v>17</v>
      </c>
      <c r="C4811" s="98">
        <v>284</v>
      </c>
      <c r="D4811" s="98">
        <v>260</v>
      </c>
      <c r="E4811" s="157">
        <v>41996.194444444445</v>
      </c>
      <c r="F4811" s="157">
        <v>41996.365972222222</v>
      </c>
      <c r="G4811" s="98">
        <v>420</v>
      </c>
      <c r="H4811" s="98">
        <v>521</v>
      </c>
      <c r="I4811" s="98">
        <v>482</v>
      </c>
      <c r="J4811" s="98" t="s">
        <v>1973</v>
      </c>
      <c r="K4811" s="98" t="s">
        <v>2931</v>
      </c>
      <c r="L4811" s="105" t="str">
        <f t="shared" si="780"/>
        <v>Mill Creek</v>
      </c>
      <c r="M4811" s="105" t="str">
        <f t="shared" si="781"/>
        <v>Derate</v>
      </c>
      <c r="N4811" s="105" t="str">
        <f t="shared" si="782"/>
        <v>Coal</v>
      </c>
      <c r="O4811" s="105">
        <f>IFERROR(VLOOKUP(A4811,Lookup!$J$5:$P$19,7,FALSE),0)</f>
        <v>3</v>
      </c>
      <c r="P4811" s="159">
        <f t="shared" si="783"/>
        <v>2014</v>
      </c>
      <c r="Q4811" s="159">
        <f t="shared" si="784"/>
        <v>12</v>
      </c>
      <c r="R4811" s="160">
        <f t="shared" si="785"/>
        <v>4.1166666666395031</v>
      </c>
      <c r="S4811" s="158">
        <f t="shared" si="786"/>
        <v>0.79804862443491331</v>
      </c>
      <c r="T4811" s="161">
        <f t="shared" si="787"/>
        <v>384.65943697762822</v>
      </c>
      <c r="U4811" s="158">
        <f t="shared" si="789"/>
        <v>93.439539347408825</v>
      </c>
      <c r="V4811" s="160">
        <f t="shared" si="788"/>
        <v>93</v>
      </c>
    </row>
    <row r="4812" spans="1:22" x14ac:dyDescent="0.25">
      <c r="A4812" s="98" t="s">
        <v>25</v>
      </c>
      <c r="B4812" s="98" t="s">
        <v>17</v>
      </c>
      <c r="C4812" s="98">
        <v>285</v>
      </c>
      <c r="D4812" s="98">
        <v>310</v>
      </c>
      <c r="E4812" s="157">
        <v>41996.425694444442</v>
      </c>
      <c r="F4812" s="157">
        <v>41996.556250000001</v>
      </c>
      <c r="G4812" s="98">
        <v>490</v>
      </c>
      <c r="H4812" s="98">
        <v>521</v>
      </c>
      <c r="I4812" s="98">
        <v>482</v>
      </c>
      <c r="J4812" s="98" t="s">
        <v>1966</v>
      </c>
      <c r="K4812" s="98" t="s">
        <v>2932</v>
      </c>
      <c r="L4812" s="105" t="str">
        <f t="shared" si="780"/>
        <v>Mill Creek</v>
      </c>
      <c r="M4812" s="105" t="str">
        <f t="shared" si="781"/>
        <v>Derate</v>
      </c>
      <c r="N4812" s="105" t="str">
        <f t="shared" si="782"/>
        <v>Coal</v>
      </c>
      <c r="O4812" s="105">
        <f>IFERROR(VLOOKUP(A4812,Lookup!$J$5:$P$19,7,FALSE),0)</f>
        <v>3</v>
      </c>
      <c r="P4812" s="159">
        <f t="shared" si="783"/>
        <v>2014</v>
      </c>
      <c r="Q4812" s="159">
        <f t="shared" si="784"/>
        <v>12</v>
      </c>
      <c r="R4812" s="160">
        <f t="shared" si="785"/>
        <v>3.1333333334187046</v>
      </c>
      <c r="S4812" s="158">
        <f t="shared" si="786"/>
        <v>0.18643634037616091</v>
      </c>
      <c r="T4812" s="161">
        <f t="shared" si="787"/>
        <v>89.862316061309556</v>
      </c>
      <c r="U4812" s="158">
        <f t="shared" si="789"/>
        <v>28.679462571976966</v>
      </c>
      <c r="V4812" s="160">
        <f t="shared" si="788"/>
        <v>29</v>
      </c>
    </row>
    <row r="4813" spans="1:22" x14ac:dyDescent="0.25">
      <c r="A4813" s="98" t="s">
        <v>25</v>
      </c>
      <c r="B4813" s="98" t="s">
        <v>17</v>
      </c>
      <c r="C4813" s="98">
        <v>286</v>
      </c>
      <c r="D4813" s="98">
        <v>250</v>
      </c>
      <c r="E4813" s="157">
        <v>41996.681944444441</v>
      </c>
      <c r="F4813" s="157">
        <v>41996.800000000003</v>
      </c>
      <c r="G4813" s="98">
        <v>450</v>
      </c>
      <c r="H4813" s="98">
        <v>521</v>
      </c>
      <c r="I4813" s="98">
        <v>482</v>
      </c>
      <c r="J4813" s="98" t="s">
        <v>1978</v>
      </c>
      <c r="K4813" s="98" t="s">
        <v>2933</v>
      </c>
      <c r="L4813" s="105" t="str">
        <f t="shared" si="780"/>
        <v>Mill Creek</v>
      </c>
      <c r="M4813" s="105" t="str">
        <f t="shared" si="781"/>
        <v>Derate</v>
      </c>
      <c r="N4813" s="105" t="str">
        <f t="shared" si="782"/>
        <v>Coal</v>
      </c>
      <c r="O4813" s="105">
        <f>IFERROR(VLOOKUP(A4813,Lookup!$J$5:$P$19,7,FALSE),0)</f>
        <v>3</v>
      </c>
      <c r="P4813" s="159">
        <f t="shared" si="783"/>
        <v>2014</v>
      </c>
      <c r="Q4813" s="159">
        <f t="shared" si="784"/>
        <v>12</v>
      </c>
      <c r="R4813" s="160">
        <f t="shared" si="785"/>
        <v>2.8333333334885538</v>
      </c>
      <c r="S4813" s="158">
        <f t="shared" si="786"/>
        <v>0.3861164427594766</v>
      </c>
      <c r="T4813" s="161">
        <f t="shared" si="787"/>
        <v>186.10812541006771</v>
      </c>
      <c r="U4813" s="158">
        <f t="shared" si="789"/>
        <v>65.685220729366605</v>
      </c>
      <c r="V4813" s="160">
        <f t="shared" si="788"/>
        <v>66</v>
      </c>
    </row>
    <row r="4814" spans="1:22" x14ac:dyDescent="0.25">
      <c r="A4814" s="98" t="s">
        <v>25</v>
      </c>
      <c r="B4814" s="98" t="s">
        <v>17</v>
      </c>
      <c r="C4814" s="98">
        <v>287</v>
      </c>
      <c r="D4814" s="98">
        <v>270</v>
      </c>
      <c r="E4814" s="157">
        <v>41996.880555555559</v>
      </c>
      <c r="F4814" s="157">
        <v>41996.984027777777</v>
      </c>
      <c r="G4814" s="98">
        <v>500</v>
      </c>
      <c r="H4814" s="98">
        <v>521</v>
      </c>
      <c r="I4814" s="98">
        <v>482</v>
      </c>
      <c r="J4814" s="98" t="s">
        <v>2031</v>
      </c>
      <c r="K4814" s="98" t="s">
        <v>2934</v>
      </c>
      <c r="L4814" s="105" t="str">
        <f t="shared" si="780"/>
        <v>Mill Creek</v>
      </c>
      <c r="M4814" s="105" t="str">
        <f t="shared" si="781"/>
        <v>Derate</v>
      </c>
      <c r="N4814" s="105" t="str">
        <f t="shared" si="782"/>
        <v>Coal</v>
      </c>
      <c r="O4814" s="105">
        <f>IFERROR(VLOOKUP(A4814,Lookup!$J$5:$P$19,7,FALSE),0)</f>
        <v>3</v>
      </c>
      <c r="P4814" s="159">
        <f t="shared" si="783"/>
        <v>2014</v>
      </c>
      <c r="Q4814" s="159">
        <f t="shared" si="784"/>
        <v>12</v>
      </c>
      <c r="R4814" s="160">
        <f t="shared" si="785"/>
        <v>2.4833333332207985</v>
      </c>
      <c r="S4814" s="158">
        <f t="shared" si="786"/>
        <v>0.1000959692852913</v>
      </c>
      <c r="T4814" s="161">
        <f t="shared" si="787"/>
        <v>48.246257195510402</v>
      </c>
      <c r="U4814" s="158">
        <f t="shared" si="789"/>
        <v>19.428023032629557</v>
      </c>
      <c r="V4814" s="160">
        <f t="shared" si="788"/>
        <v>19</v>
      </c>
    </row>
    <row r="4815" spans="1:22" x14ac:dyDescent="0.25">
      <c r="A4815" s="98" t="s">
        <v>25</v>
      </c>
      <c r="B4815" s="98" t="s">
        <v>17</v>
      </c>
      <c r="C4815" s="98">
        <v>288</v>
      </c>
      <c r="D4815" s="98">
        <v>310</v>
      </c>
      <c r="E4815" s="157">
        <v>41997.041666666664</v>
      </c>
      <c r="F4815" s="157">
        <v>41997.263888888891</v>
      </c>
      <c r="G4815" s="98">
        <v>450</v>
      </c>
      <c r="H4815" s="98">
        <v>521</v>
      </c>
      <c r="I4815" s="98">
        <v>482</v>
      </c>
      <c r="J4815" s="98" t="s">
        <v>1966</v>
      </c>
      <c r="K4815" s="98" t="s">
        <v>2935</v>
      </c>
      <c r="L4815" s="105" t="str">
        <f t="shared" si="780"/>
        <v>Mill Creek</v>
      </c>
      <c r="M4815" s="105" t="str">
        <f t="shared" si="781"/>
        <v>Derate</v>
      </c>
      <c r="N4815" s="105" t="str">
        <f t="shared" si="782"/>
        <v>Coal</v>
      </c>
      <c r="O4815" s="105">
        <f>IFERROR(VLOOKUP(A4815,Lookup!$J$5:$P$19,7,FALSE),0)</f>
        <v>3</v>
      </c>
      <c r="P4815" s="159">
        <f t="shared" si="783"/>
        <v>2014</v>
      </c>
      <c r="Q4815" s="159">
        <f t="shared" si="784"/>
        <v>12</v>
      </c>
      <c r="R4815" s="160">
        <f t="shared" si="785"/>
        <v>5.3333333334303461</v>
      </c>
      <c r="S4815" s="158">
        <f t="shared" si="786"/>
        <v>0.72680742163830048</v>
      </c>
      <c r="T4815" s="161">
        <f t="shared" si="787"/>
        <v>350.3211772296608</v>
      </c>
      <c r="U4815" s="158">
        <f t="shared" si="789"/>
        <v>65.685220729366605</v>
      </c>
      <c r="V4815" s="160">
        <f t="shared" si="788"/>
        <v>66</v>
      </c>
    </row>
    <row r="4816" spans="1:22" x14ac:dyDescent="0.25">
      <c r="A4816" s="98" t="s">
        <v>25</v>
      </c>
      <c r="B4816" s="98" t="s">
        <v>17</v>
      </c>
      <c r="C4816" s="98">
        <v>289</v>
      </c>
      <c r="D4816" s="98">
        <v>331</v>
      </c>
      <c r="E4816" s="157">
        <v>41998.705555555556</v>
      </c>
      <c r="F4816" s="157">
        <v>41998.924305555556</v>
      </c>
      <c r="G4816" s="98">
        <v>430</v>
      </c>
      <c r="H4816" s="98">
        <v>521</v>
      </c>
      <c r="I4816" s="98">
        <v>482</v>
      </c>
      <c r="J4816" s="98" t="s">
        <v>2101</v>
      </c>
      <c r="K4816" s="98" t="s">
        <v>2936</v>
      </c>
      <c r="L4816" s="105" t="str">
        <f t="shared" si="780"/>
        <v>Mill Creek</v>
      </c>
      <c r="M4816" s="105" t="str">
        <f t="shared" si="781"/>
        <v>Derate</v>
      </c>
      <c r="N4816" s="105" t="str">
        <f t="shared" si="782"/>
        <v>Coal</v>
      </c>
      <c r="O4816" s="105">
        <f>IFERROR(VLOOKUP(A4816,Lookup!$J$5:$P$19,7,FALSE),0)</f>
        <v>3</v>
      </c>
      <c r="P4816" s="159">
        <f t="shared" si="783"/>
        <v>2014</v>
      </c>
      <c r="Q4816" s="159">
        <f t="shared" si="784"/>
        <v>12</v>
      </c>
      <c r="R4816" s="160">
        <f t="shared" si="785"/>
        <v>5.25</v>
      </c>
      <c r="S4816" s="158">
        <f t="shared" si="786"/>
        <v>0.91698656429942416</v>
      </c>
      <c r="T4816" s="161">
        <f t="shared" si="787"/>
        <v>441.98752399232245</v>
      </c>
      <c r="U4816" s="158">
        <f t="shared" si="789"/>
        <v>84.188099808061423</v>
      </c>
      <c r="V4816" s="160">
        <f t="shared" si="788"/>
        <v>84</v>
      </c>
    </row>
    <row r="4817" spans="1:22" x14ac:dyDescent="0.25">
      <c r="A4817" s="98" t="s">
        <v>25</v>
      </c>
      <c r="B4817" s="98" t="s">
        <v>17</v>
      </c>
      <c r="C4817" s="98">
        <v>290</v>
      </c>
      <c r="D4817" s="98">
        <v>250</v>
      </c>
      <c r="E4817" s="157">
        <v>41999.597222222219</v>
      </c>
      <c r="F4817" s="157">
        <v>41999.625</v>
      </c>
      <c r="G4817" s="98">
        <v>420</v>
      </c>
      <c r="H4817" s="98">
        <v>521</v>
      </c>
      <c r="I4817" s="98">
        <v>482</v>
      </c>
      <c r="J4817" s="98" t="s">
        <v>1978</v>
      </c>
      <c r="K4817" s="98" t="s">
        <v>2937</v>
      </c>
      <c r="L4817" s="105" t="str">
        <f t="shared" si="780"/>
        <v>Mill Creek</v>
      </c>
      <c r="M4817" s="105" t="str">
        <f t="shared" si="781"/>
        <v>Derate</v>
      </c>
      <c r="N4817" s="105" t="str">
        <f t="shared" si="782"/>
        <v>Coal</v>
      </c>
      <c r="O4817" s="105">
        <f>IFERROR(VLOOKUP(A4817,Lookup!$J$5:$P$19,7,FALSE),0)</f>
        <v>3</v>
      </c>
      <c r="P4817" s="159">
        <f t="shared" si="783"/>
        <v>2014</v>
      </c>
      <c r="Q4817" s="159">
        <f t="shared" si="784"/>
        <v>12</v>
      </c>
      <c r="R4817" s="160">
        <f t="shared" si="785"/>
        <v>0.66666666674427688</v>
      </c>
      <c r="S4817" s="158">
        <f t="shared" si="786"/>
        <v>0.12923864364908247</v>
      </c>
      <c r="T4817" s="161">
        <f t="shared" si="787"/>
        <v>62.293026238857749</v>
      </c>
      <c r="U4817" s="158">
        <f t="shared" si="789"/>
        <v>93.439539347408825</v>
      </c>
      <c r="V4817" s="160">
        <f t="shared" si="788"/>
        <v>93</v>
      </c>
    </row>
    <row r="4818" spans="1:22" x14ac:dyDescent="0.25">
      <c r="A4818" s="98" t="s">
        <v>25</v>
      </c>
      <c r="B4818" s="98" t="s">
        <v>17</v>
      </c>
      <c r="C4818" s="98">
        <v>291</v>
      </c>
      <c r="D4818" s="98">
        <v>260</v>
      </c>
      <c r="E4818" s="157">
        <v>41999.926388888889</v>
      </c>
      <c r="F4818" s="157">
        <v>42000.088888888888</v>
      </c>
      <c r="G4818" s="98">
        <v>500</v>
      </c>
      <c r="H4818" s="98">
        <v>521</v>
      </c>
      <c r="I4818" s="98">
        <v>482</v>
      </c>
      <c r="J4818" s="98" t="s">
        <v>1973</v>
      </c>
      <c r="K4818" s="98" t="s">
        <v>2938</v>
      </c>
      <c r="L4818" s="105" t="str">
        <f t="shared" si="780"/>
        <v>Mill Creek</v>
      </c>
      <c r="M4818" s="105" t="str">
        <f t="shared" si="781"/>
        <v>Derate</v>
      </c>
      <c r="N4818" s="105" t="str">
        <f t="shared" si="782"/>
        <v>Coal</v>
      </c>
      <c r="O4818" s="105">
        <f>IFERROR(VLOOKUP(A4818,Lookup!$J$5:$P$19,7,FALSE),0)</f>
        <v>3</v>
      </c>
      <c r="P4818" s="159">
        <f t="shared" si="783"/>
        <v>2014</v>
      </c>
      <c r="Q4818" s="159">
        <f t="shared" si="784"/>
        <v>12</v>
      </c>
      <c r="R4818" s="160">
        <f t="shared" si="785"/>
        <v>3.8999999999650754</v>
      </c>
      <c r="S4818" s="158">
        <f t="shared" si="786"/>
        <v>0.15719769673563644</v>
      </c>
      <c r="T4818" s="161">
        <f t="shared" si="787"/>
        <v>75.769289826576767</v>
      </c>
      <c r="U4818" s="158">
        <f t="shared" si="789"/>
        <v>19.428023032629557</v>
      </c>
      <c r="V4818" s="160">
        <f t="shared" si="788"/>
        <v>19</v>
      </c>
    </row>
    <row r="4819" spans="1:22" x14ac:dyDescent="0.25">
      <c r="A4819" s="98" t="s">
        <v>25</v>
      </c>
      <c r="B4819" s="98" t="s">
        <v>17</v>
      </c>
      <c r="C4819" s="98">
        <v>292</v>
      </c>
      <c r="D4819" s="98">
        <v>330</v>
      </c>
      <c r="E4819" s="157">
        <v>42001.7</v>
      </c>
      <c r="F4819" s="157">
        <v>42001.757638888892</v>
      </c>
      <c r="G4819" s="98">
        <v>440</v>
      </c>
      <c r="H4819" s="98">
        <v>521</v>
      </c>
      <c r="I4819" s="98">
        <v>482</v>
      </c>
      <c r="J4819" s="98" t="s">
        <v>2291</v>
      </c>
      <c r="K4819" s="98" t="s">
        <v>2939</v>
      </c>
      <c r="L4819" s="105" t="str">
        <f t="shared" si="780"/>
        <v>Mill Creek</v>
      </c>
      <c r="M4819" s="105" t="str">
        <f t="shared" si="781"/>
        <v>Derate</v>
      </c>
      <c r="N4819" s="105" t="str">
        <f t="shared" si="782"/>
        <v>Coal</v>
      </c>
      <c r="O4819" s="105">
        <f>IFERROR(VLOOKUP(A4819,Lookup!$J$5:$P$19,7,FALSE),0)</f>
        <v>3</v>
      </c>
      <c r="P4819" s="159">
        <f t="shared" si="783"/>
        <v>2014</v>
      </c>
      <c r="Q4819" s="159">
        <f t="shared" si="784"/>
        <v>12</v>
      </c>
      <c r="R4819" s="160">
        <f t="shared" si="785"/>
        <v>1.3833333334769122</v>
      </c>
      <c r="S4819" s="158">
        <f t="shared" si="786"/>
        <v>0.21506717852520132</v>
      </c>
      <c r="T4819" s="161">
        <f t="shared" si="787"/>
        <v>103.66238004914703</v>
      </c>
      <c r="U4819" s="158">
        <f t="shared" si="789"/>
        <v>74.936660268714007</v>
      </c>
      <c r="V4819" s="160">
        <f t="shared" si="788"/>
        <v>75</v>
      </c>
    </row>
    <row r="4820" spans="1:22" x14ac:dyDescent="0.25">
      <c r="A4820" s="98" t="s">
        <v>25</v>
      </c>
      <c r="B4820" s="98" t="s">
        <v>105</v>
      </c>
      <c r="C4820" s="98">
        <v>1</v>
      </c>
      <c r="D4820" s="98">
        <v>250</v>
      </c>
      <c r="E4820" s="157">
        <v>42008.958333333336</v>
      </c>
      <c r="F4820" s="157">
        <v>42009.138888888891</v>
      </c>
      <c r="G4820" s="98">
        <v>420</v>
      </c>
      <c r="H4820" s="98">
        <v>521</v>
      </c>
      <c r="I4820" s="98">
        <v>482</v>
      </c>
      <c r="J4820" s="98" t="s">
        <v>1978</v>
      </c>
      <c r="K4820" s="98" t="s">
        <v>2940</v>
      </c>
      <c r="L4820" s="105" t="str">
        <f t="shared" si="780"/>
        <v>Mill Creek</v>
      </c>
      <c r="M4820" s="105" t="str">
        <f t="shared" si="781"/>
        <v>Derate</v>
      </c>
      <c r="N4820" s="105" t="str">
        <f t="shared" si="782"/>
        <v>Coal</v>
      </c>
      <c r="O4820" s="105">
        <f>IFERROR(VLOOKUP(A4820,Lookup!$J$5:$P$19,7,FALSE),0)</f>
        <v>3</v>
      </c>
      <c r="P4820" s="159">
        <f t="shared" si="783"/>
        <v>2015</v>
      </c>
      <c r="Q4820" s="159">
        <f t="shared" si="784"/>
        <v>1</v>
      </c>
      <c r="R4820" s="160">
        <f t="shared" si="785"/>
        <v>4.3333333333139308</v>
      </c>
      <c r="S4820" s="158">
        <f t="shared" si="786"/>
        <v>0.84005118361747988</v>
      </c>
      <c r="T4820" s="161">
        <f t="shared" si="787"/>
        <v>404.90467050362531</v>
      </c>
      <c r="U4820" s="158">
        <f t="shared" si="789"/>
        <v>93.439539347408825</v>
      </c>
      <c r="V4820" s="160">
        <f t="shared" si="788"/>
        <v>93</v>
      </c>
    </row>
    <row r="4821" spans="1:22" x14ac:dyDescent="0.25">
      <c r="A4821" s="98" t="s">
        <v>25</v>
      </c>
      <c r="B4821" s="98" t="s">
        <v>79</v>
      </c>
      <c r="C4821" s="98">
        <v>2</v>
      </c>
      <c r="D4821" s="98">
        <v>1990</v>
      </c>
      <c r="E4821" s="157">
        <v>42011.333333333336</v>
      </c>
      <c r="F4821" s="157">
        <v>42011.679166666669</v>
      </c>
      <c r="G4821" s="98">
        <v>0</v>
      </c>
      <c r="H4821" s="98">
        <v>521</v>
      </c>
      <c r="I4821" s="98">
        <v>482</v>
      </c>
      <c r="J4821" s="98" t="s">
        <v>2114</v>
      </c>
      <c r="K4821" s="98" t="s">
        <v>2941</v>
      </c>
      <c r="L4821" s="105" t="str">
        <f t="shared" si="780"/>
        <v>Mill Creek</v>
      </c>
      <c r="M4821" s="105" t="str">
        <f t="shared" si="781"/>
        <v>Other</v>
      </c>
      <c r="N4821" s="105" t="str">
        <f t="shared" si="782"/>
        <v>Coal</v>
      </c>
      <c r="O4821" s="105">
        <f>IFERROR(VLOOKUP(A4821,Lookup!$J$5:$P$19,7,FALSE),0)</f>
        <v>3</v>
      </c>
      <c r="P4821" s="159">
        <f t="shared" si="783"/>
        <v>2015</v>
      </c>
      <c r="Q4821" s="159">
        <f t="shared" si="784"/>
        <v>1</v>
      </c>
      <c r="R4821" s="160">
        <f t="shared" si="785"/>
        <v>8.2999999999883585</v>
      </c>
      <c r="S4821" s="158">
        <f t="shared" si="786"/>
        <v>8.2999999999883585</v>
      </c>
      <c r="T4821" s="161">
        <f t="shared" si="787"/>
        <v>4000.5999999943888</v>
      </c>
      <c r="U4821" s="158">
        <f t="shared" si="789"/>
        <v>482</v>
      </c>
      <c r="V4821" s="160">
        <f t="shared" si="788"/>
        <v>482</v>
      </c>
    </row>
    <row r="4822" spans="1:22" x14ac:dyDescent="0.25">
      <c r="A4822" s="98" t="s">
        <v>25</v>
      </c>
      <c r="B4822" s="98" t="s">
        <v>17</v>
      </c>
      <c r="C4822" s="98">
        <v>3</v>
      </c>
      <c r="D4822" s="98">
        <v>1599</v>
      </c>
      <c r="E4822" s="157">
        <v>42014.772916666669</v>
      </c>
      <c r="F4822" s="157">
        <v>42014.795138888891</v>
      </c>
      <c r="G4822" s="98">
        <v>355</v>
      </c>
      <c r="H4822" s="98">
        <v>521</v>
      </c>
      <c r="I4822" s="98">
        <v>482</v>
      </c>
      <c r="J4822" s="98" t="s">
        <v>2013</v>
      </c>
      <c r="K4822" s="98" t="s">
        <v>241</v>
      </c>
      <c r="L4822" s="105" t="str">
        <f t="shared" si="780"/>
        <v>Mill Creek</v>
      </c>
      <c r="M4822" s="105" t="str">
        <f t="shared" si="781"/>
        <v>Derate</v>
      </c>
      <c r="N4822" s="105" t="str">
        <f t="shared" si="782"/>
        <v>Coal</v>
      </c>
      <c r="O4822" s="105">
        <f>IFERROR(VLOOKUP(A4822,Lookup!$J$5:$P$19,7,FALSE),0)</f>
        <v>3</v>
      </c>
      <c r="P4822" s="159">
        <f t="shared" si="783"/>
        <v>2015</v>
      </c>
      <c r="Q4822" s="159">
        <f t="shared" si="784"/>
        <v>1</v>
      </c>
      <c r="R4822" s="160">
        <f t="shared" si="785"/>
        <v>0.53333333332557231</v>
      </c>
      <c r="S4822" s="158">
        <f t="shared" si="786"/>
        <v>0.16992962251832056</v>
      </c>
      <c r="T4822" s="161">
        <f t="shared" si="787"/>
        <v>81.906078053830512</v>
      </c>
      <c r="U4822" s="158">
        <f t="shared" si="789"/>
        <v>153.57389635316699</v>
      </c>
      <c r="V4822" s="160">
        <f t="shared" si="788"/>
        <v>154</v>
      </c>
    </row>
    <row r="4823" spans="1:22" x14ac:dyDescent="0.25">
      <c r="A4823" s="98" t="s">
        <v>25</v>
      </c>
      <c r="B4823" s="98" t="s">
        <v>79</v>
      </c>
      <c r="C4823" s="98">
        <v>4</v>
      </c>
      <c r="D4823" s="98">
        <v>8460</v>
      </c>
      <c r="E4823" s="157">
        <v>42016.354166666664</v>
      </c>
      <c r="F4823" s="157">
        <v>42016.763888888891</v>
      </c>
      <c r="G4823" s="98">
        <v>0</v>
      </c>
      <c r="H4823" s="98">
        <v>521</v>
      </c>
      <c r="I4823" s="98">
        <v>482</v>
      </c>
      <c r="J4823" s="98" t="s">
        <v>2651</v>
      </c>
      <c r="K4823" s="98" t="s">
        <v>2942</v>
      </c>
      <c r="L4823" s="105" t="str">
        <f t="shared" si="780"/>
        <v>Mill Creek</v>
      </c>
      <c r="M4823" s="105" t="str">
        <f t="shared" si="781"/>
        <v>Other</v>
      </c>
      <c r="N4823" s="105" t="str">
        <f t="shared" si="782"/>
        <v>Coal</v>
      </c>
      <c r="O4823" s="105">
        <f>IFERROR(VLOOKUP(A4823,Lookup!$J$5:$P$19,7,FALSE),0)</f>
        <v>3</v>
      </c>
      <c r="P4823" s="159">
        <f t="shared" si="783"/>
        <v>2015</v>
      </c>
      <c r="Q4823" s="159">
        <f t="shared" si="784"/>
        <v>1</v>
      </c>
      <c r="R4823" s="160">
        <f t="shared" si="785"/>
        <v>9.8333333334303461</v>
      </c>
      <c r="S4823" s="158">
        <f t="shared" si="786"/>
        <v>9.8333333334303461</v>
      </c>
      <c r="T4823" s="161">
        <f t="shared" si="787"/>
        <v>4739.6666667134268</v>
      </c>
      <c r="U4823" s="158">
        <f t="shared" si="789"/>
        <v>482</v>
      </c>
      <c r="V4823" s="160">
        <f t="shared" si="788"/>
        <v>482</v>
      </c>
    </row>
    <row r="4824" spans="1:22" x14ac:dyDescent="0.25">
      <c r="A4824" s="98" t="s">
        <v>25</v>
      </c>
      <c r="B4824" s="98" t="s">
        <v>79</v>
      </c>
      <c r="C4824" s="98">
        <v>5</v>
      </c>
      <c r="D4824" s="98">
        <v>8460</v>
      </c>
      <c r="E4824" s="157">
        <v>42017.291666666664</v>
      </c>
      <c r="F4824" s="157">
        <v>42017.75</v>
      </c>
      <c r="G4824" s="98">
        <v>0</v>
      </c>
      <c r="H4824" s="98">
        <v>521</v>
      </c>
      <c r="I4824" s="98">
        <v>482</v>
      </c>
      <c r="J4824" s="98" t="s">
        <v>2651</v>
      </c>
      <c r="K4824" s="98" t="s">
        <v>2943</v>
      </c>
      <c r="L4824" s="105" t="str">
        <f t="shared" si="780"/>
        <v>Mill Creek</v>
      </c>
      <c r="M4824" s="105" t="str">
        <f t="shared" si="781"/>
        <v>Other</v>
      </c>
      <c r="N4824" s="105" t="str">
        <f t="shared" si="782"/>
        <v>Coal</v>
      </c>
      <c r="O4824" s="105">
        <f>IFERROR(VLOOKUP(A4824,Lookup!$J$5:$P$19,7,FALSE),0)</f>
        <v>3</v>
      </c>
      <c r="P4824" s="159">
        <f t="shared" si="783"/>
        <v>2015</v>
      </c>
      <c r="Q4824" s="159">
        <f t="shared" si="784"/>
        <v>1</v>
      </c>
      <c r="R4824" s="160">
        <f t="shared" si="785"/>
        <v>11.000000000058208</v>
      </c>
      <c r="S4824" s="158">
        <f t="shared" si="786"/>
        <v>11.000000000058208</v>
      </c>
      <c r="T4824" s="161">
        <f t="shared" si="787"/>
        <v>5302.0000000280561</v>
      </c>
      <c r="U4824" s="158">
        <f t="shared" si="789"/>
        <v>482</v>
      </c>
      <c r="V4824" s="160">
        <f t="shared" si="788"/>
        <v>482</v>
      </c>
    </row>
    <row r="4825" spans="1:22" x14ac:dyDescent="0.25">
      <c r="A4825" s="98" t="s">
        <v>25</v>
      </c>
      <c r="B4825" s="98" t="s">
        <v>79</v>
      </c>
      <c r="C4825" s="98">
        <v>6</v>
      </c>
      <c r="D4825" s="98">
        <v>8460</v>
      </c>
      <c r="E4825" s="157">
        <v>42018.291666666664</v>
      </c>
      <c r="F4825" s="162">
        <v>42019.106944444444</v>
      </c>
      <c r="G4825" s="98">
        <v>0</v>
      </c>
      <c r="H4825" s="98">
        <v>521</v>
      </c>
      <c r="I4825" s="98">
        <v>482</v>
      </c>
      <c r="J4825" s="98" t="s">
        <v>2651</v>
      </c>
      <c r="K4825" s="98" t="s">
        <v>2943</v>
      </c>
      <c r="L4825" s="105" t="str">
        <f t="shared" si="780"/>
        <v>Mill Creek</v>
      </c>
      <c r="M4825" s="105" t="str">
        <f t="shared" si="781"/>
        <v>Other</v>
      </c>
      <c r="N4825" s="105" t="str">
        <f t="shared" si="782"/>
        <v>Coal</v>
      </c>
      <c r="O4825" s="105">
        <f>IFERROR(VLOOKUP(A4825,Lookup!$J$5:$P$19,7,FALSE),0)</f>
        <v>3</v>
      </c>
      <c r="P4825" s="159">
        <f t="shared" si="783"/>
        <v>2015</v>
      </c>
      <c r="Q4825" s="159">
        <f t="shared" si="784"/>
        <v>1</v>
      </c>
      <c r="R4825" s="160">
        <f t="shared" si="785"/>
        <v>19.566666666709352</v>
      </c>
      <c r="S4825" s="158">
        <f t="shared" si="786"/>
        <v>19.566666666709352</v>
      </c>
      <c r="T4825" s="161">
        <f t="shared" si="787"/>
        <v>9431.1333333539078</v>
      </c>
      <c r="U4825" s="158">
        <f t="shared" si="789"/>
        <v>482</v>
      </c>
      <c r="V4825" s="160">
        <f t="shared" si="788"/>
        <v>482</v>
      </c>
    </row>
    <row r="4826" spans="1:22" x14ac:dyDescent="0.25">
      <c r="A4826" s="98" t="s">
        <v>25</v>
      </c>
      <c r="B4826" s="98" t="s">
        <v>15</v>
      </c>
      <c r="C4826" s="98">
        <v>7</v>
      </c>
      <c r="D4826" s="98">
        <v>1480</v>
      </c>
      <c r="E4826" s="157">
        <v>42019.106944444444</v>
      </c>
      <c r="F4826" s="157">
        <v>42019.304166666669</v>
      </c>
      <c r="G4826" s="98">
        <v>0</v>
      </c>
      <c r="H4826" s="98">
        <v>521</v>
      </c>
      <c r="I4826" s="98">
        <v>482</v>
      </c>
      <c r="J4826" s="98" t="s">
        <v>1972</v>
      </c>
      <c r="K4826" s="98" t="s">
        <v>2944</v>
      </c>
      <c r="L4826" s="105" t="str">
        <f t="shared" si="780"/>
        <v>Mill Creek</v>
      </c>
      <c r="M4826" s="105" t="str">
        <f t="shared" si="781"/>
        <v>Outage</v>
      </c>
      <c r="N4826" s="105" t="str">
        <f t="shared" si="782"/>
        <v>Coal</v>
      </c>
      <c r="O4826" s="105">
        <f>IFERROR(VLOOKUP(A4826,Lookup!$J$5:$P$19,7,FALSE),0)</f>
        <v>3</v>
      </c>
      <c r="P4826" s="159">
        <f t="shared" si="783"/>
        <v>2015</v>
      </c>
      <c r="Q4826" s="159">
        <f t="shared" si="784"/>
        <v>1</v>
      </c>
      <c r="R4826" s="160">
        <f t="shared" si="785"/>
        <v>4.7333333333954215</v>
      </c>
      <c r="S4826" s="158">
        <f t="shared" si="786"/>
        <v>4.7333333333954215</v>
      </c>
      <c r="T4826" s="161">
        <f t="shared" si="787"/>
        <v>2281.4666666965932</v>
      </c>
      <c r="U4826" s="158">
        <f t="shared" si="789"/>
        <v>482</v>
      </c>
      <c r="V4826" s="160">
        <f t="shared" si="788"/>
        <v>482</v>
      </c>
    </row>
    <row r="4827" spans="1:22" x14ac:dyDescent="0.25">
      <c r="A4827" s="98" t="s">
        <v>25</v>
      </c>
      <c r="B4827" s="98" t="s">
        <v>79</v>
      </c>
      <c r="C4827" s="98">
        <v>8</v>
      </c>
      <c r="D4827" s="98">
        <v>1850</v>
      </c>
      <c r="E4827" s="157">
        <v>42019.304166666669</v>
      </c>
      <c r="F4827" s="157">
        <v>42019.555555555555</v>
      </c>
      <c r="G4827" s="98">
        <v>0</v>
      </c>
      <c r="H4827" s="98">
        <v>521</v>
      </c>
      <c r="I4827" s="98">
        <v>482</v>
      </c>
      <c r="J4827" s="98" t="s">
        <v>2263</v>
      </c>
      <c r="K4827" s="98" t="s">
        <v>87</v>
      </c>
      <c r="L4827" s="105" t="str">
        <f t="shared" si="780"/>
        <v>Mill Creek</v>
      </c>
      <c r="M4827" s="105" t="str">
        <f t="shared" si="781"/>
        <v>Other</v>
      </c>
      <c r="N4827" s="105" t="str">
        <f t="shared" si="782"/>
        <v>Coal</v>
      </c>
      <c r="O4827" s="105">
        <f>IFERROR(VLOOKUP(A4827,Lookup!$J$5:$P$19,7,FALSE),0)</f>
        <v>3</v>
      </c>
      <c r="P4827" s="159">
        <f t="shared" si="783"/>
        <v>2015</v>
      </c>
      <c r="Q4827" s="159">
        <f t="shared" si="784"/>
        <v>1</v>
      </c>
      <c r="R4827" s="160">
        <f t="shared" si="785"/>
        <v>6.0333333332673647</v>
      </c>
      <c r="S4827" s="158">
        <f t="shared" si="786"/>
        <v>6.0333333332673647</v>
      </c>
      <c r="T4827" s="161">
        <f t="shared" si="787"/>
        <v>2908.0666666348698</v>
      </c>
      <c r="U4827" s="158">
        <f t="shared" si="789"/>
        <v>482</v>
      </c>
      <c r="V4827" s="160">
        <f t="shared" si="788"/>
        <v>482</v>
      </c>
    </row>
    <row r="4828" spans="1:22" x14ac:dyDescent="0.25">
      <c r="A4828" s="98" t="s">
        <v>25</v>
      </c>
      <c r="B4828" s="98" t="s">
        <v>17</v>
      </c>
      <c r="C4828" s="98">
        <v>9</v>
      </c>
      <c r="D4828" s="98">
        <v>1850</v>
      </c>
      <c r="E4828" s="157">
        <v>42019.555555555555</v>
      </c>
      <c r="F4828" s="157">
        <v>42019.635416666664</v>
      </c>
      <c r="G4828" s="98">
        <v>408</v>
      </c>
      <c r="H4828" s="98">
        <v>521</v>
      </c>
      <c r="I4828" s="98">
        <v>482</v>
      </c>
      <c r="J4828" s="98" t="s">
        <v>2263</v>
      </c>
      <c r="K4828" s="98" t="s">
        <v>41</v>
      </c>
      <c r="L4828" s="105" t="str">
        <f t="shared" si="780"/>
        <v>Mill Creek</v>
      </c>
      <c r="M4828" s="105" t="str">
        <f t="shared" si="781"/>
        <v>Derate</v>
      </c>
      <c r="N4828" s="105" t="str">
        <f t="shared" si="782"/>
        <v>Coal</v>
      </c>
      <c r="O4828" s="105">
        <f>IFERROR(VLOOKUP(A4828,Lookup!$J$5:$P$19,7,FALSE),0)</f>
        <v>3</v>
      </c>
      <c r="P4828" s="159">
        <f t="shared" si="783"/>
        <v>2015</v>
      </c>
      <c r="Q4828" s="159">
        <f t="shared" si="784"/>
        <v>1</v>
      </c>
      <c r="R4828" s="160">
        <f t="shared" si="785"/>
        <v>1.9166666666278616</v>
      </c>
      <c r="S4828" s="158">
        <f t="shared" si="786"/>
        <v>0.41570697375997767</v>
      </c>
      <c r="T4828" s="161">
        <f t="shared" si="787"/>
        <v>200.37076135230924</v>
      </c>
      <c r="U4828" s="158">
        <f t="shared" si="789"/>
        <v>104.54126679462571</v>
      </c>
      <c r="V4828" s="160">
        <f t="shared" si="788"/>
        <v>105</v>
      </c>
    </row>
    <row r="4829" spans="1:22" x14ac:dyDescent="0.25">
      <c r="A4829" s="98" t="s">
        <v>25</v>
      </c>
      <c r="B4829" s="98" t="s">
        <v>17</v>
      </c>
      <c r="C4829" s="98">
        <v>10</v>
      </c>
      <c r="D4829" s="98">
        <v>1850</v>
      </c>
      <c r="E4829" s="157">
        <v>42019.635416666664</v>
      </c>
      <c r="F4829" s="157">
        <v>42019.697916666664</v>
      </c>
      <c r="G4829" s="98">
        <v>500</v>
      </c>
      <c r="H4829" s="98">
        <v>521</v>
      </c>
      <c r="I4829" s="98">
        <v>482</v>
      </c>
      <c r="J4829" s="98" t="s">
        <v>2263</v>
      </c>
      <c r="K4829" s="98" t="s">
        <v>41</v>
      </c>
      <c r="L4829" s="105" t="str">
        <f t="shared" si="780"/>
        <v>Mill Creek</v>
      </c>
      <c r="M4829" s="105" t="str">
        <f t="shared" si="781"/>
        <v>Derate</v>
      </c>
      <c r="N4829" s="105" t="str">
        <f t="shared" si="782"/>
        <v>Coal</v>
      </c>
      <c r="O4829" s="105">
        <f>IFERROR(VLOOKUP(A4829,Lookup!$J$5:$P$19,7,FALSE),0)</f>
        <v>3</v>
      </c>
      <c r="P4829" s="159">
        <f t="shared" si="783"/>
        <v>2015</v>
      </c>
      <c r="Q4829" s="159">
        <f t="shared" si="784"/>
        <v>1</v>
      </c>
      <c r="R4829" s="160">
        <f t="shared" si="785"/>
        <v>1.5</v>
      </c>
      <c r="S4829" s="158">
        <f t="shared" si="786"/>
        <v>6.0460652591170824E-2</v>
      </c>
      <c r="T4829" s="161">
        <f t="shared" si="787"/>
        <v>29.142034548944338</v>
      </c>
      <c r="U4829" s="158">
        <f t="shared" si="789"/>
        <v>19.428023032629557</v>
      </c>
      <c r="V4829" s="160">
        <f t="shared" si="788"/>
        <v>19</v>
      </c>
    </row>
    <row r="4830" spans="1:22" x14ac:dyDescent="0.25">
      <c r="A4830" s="98" t="s">
        <v>25</v>
      </c>
      <c r="B4830" s="98" t="s">
        <v>15</v>
      </c>
      <c r="C4830" s="98">
        <v>11</v>
      </c>
      <c r="D4830" s="98">
        <v>4299</v>
      </c>
      <c r="E4830" s="157">
        <v>42020.861111111109</v>
      </c>
      <c r="F4830" s="157">
        <v>42021.126388888886</v>
      </c>
      <c r="G4830" s="98">
        <v>0</v>
      </c>
      <c r="H4830" s="98">
        <v>521</v>
      </c>
      <c r="I4830" s="98">
        <v>482</v>
      </c>
      <c r="J4830" s="98" t="s">
        <v>2121</v>
      </c>
      <c r="K4830" s="98" t="s">
        <v>2945</v>
      </c>
      <c r="L4830" s="105" t="str">
        <f t="shared" si="780"/>
        <v>Mill Creek</v>
      </c>
      <c r="M4830" s="105" t="str">
        <f t="shared" si="781"/>
        <v>Outage</v>
      </c>
      <c r="N4830" s="105" t="str">
        <f t="shared" si="782"/>
        <v>Coal</v>
      </c>
      <c r="O4830" s="105">
        <f>IFERROR(VLOOKUP(A4830,Lookup!$J$5:$P$19,7,FALSE),0)</f>
        <v>3</v>
      </c>
      <c r="P4830" s="159">
        <f t="shared" si="783"/>
        <v>2015</v>
      </c>
      <c r="Q4830" s="159">
        <f t="shared" si="784"/>
        <v>1</v>
      </c>
      <c r="R4830" s="160">
        <f t="shared" si="785"/>
        <v>6.3666666666395031</v>
      </c>
      <c r="S4830" s="158">
        <f t="shared" si="786"/>
        <v>6.3666666666395031</v>
      </c>
      <c r="T4830" s="161">
        <f t="shared" si="787"/>
        <v>3068.7333333202405</v>
      </c>
      <c r="U4830" s="158">
        <f t="shared" si="789"/>
        <v>482</v>
      </c>
      <c r="V4830" s="160">
        <f t="shared" si="788"/>
        <v>482</v>
      </c>
    </row>
    <row r="4831" spans="1:22" x14ac:dyDescent="0.25">
      <c r="A4831" s="98" t="s">
        <v>25</v>
      </c>
      <c r="B4831" s="98" t="s">
        <v>79</v>
      </c>
      <c r="C4831" s="98">
        <v>12</v>
      </c>
      <c r="D4831" s="98">
        <v>1850</v>
      </c>
      <c r="E4831" s="157">
        <v>42021.126388888886</v>
      </c>
      <c r="F4831" s="157">
        <v>42021.498611111114</v>
      </c>
      <c r="G4831" s="98">
        <v>0</v>
      </c>
      <c r="H4831" s="98">
        <v>521</v>
      </c>
      <c r="I4831" s="98">
        <v>482</v>
      </c>
      <c r="J4831" s="98" t="s">
        <v>2263</v>
      </c>
      <c r="K4831" s="98" t="s">
        <v>86</v>
      </c>
      <c r="L4831" s="105" t="str">
        <f t="shared" si="780"/>
        <v>Mill Creek</v>
      </c>
      <c r="M4831" s="105" t="str">
        <f t="shared" si="781"/>
        <v>Other</v>
      </c>
      <c r="N4831" s="105" t="str">
        <f t="shared" si="782"/>
        <v>Coal</v>
      </c>
      <c r="O4831" s="105">
        <f>IFERROR(VLOOKUP(A4831,Lookup!$J$5:$P$19,7,FALSE),0)</f>
        <v>3</v>
      </c>
      <c r="P4831" s="159">
        <f t="shared" si="783"/>
        <v>2015</v>
      </c>
      <c r="Q4831" s="159">
        <f t="shared" si="784"/>
        <v>1</v>
      </c>
      <c r="R4831" s="160">
        <f t="shared" si="785"/>
        <v>8.9333333334652707</v>
      </c>
      <c r="S4831" s="158">
        <f t="shared" si="786"/>
        <v>8.9333333334652707</v>
      </c>
      <c r="T4831" s="161">
        <f t="shared" si="787"/>
        <v>4305.8666667302605</v>
      </c>
      <c r="U4831" s="158">
        <f t="shared" si="789"/>
        <v>482</v>
      </c>
      <c r="V4831" s="160">
        <f t="shared" si="788"/>
        <v>482</v>
      </c>
    </row>
    <row r="4832" spans="1:22" x14ac:dyDescent="0.25">
      <c r="A4832" s="98" t="s">
        <v>25</v>
      </c>
      <c r="B4832" s="98" t="s">
        <v>105</v>
      </c>
      <c r="C4832" s="98">
        <v>13</v>
      </c>
      <c r="D4832" s="98">
        <v>8460</v>
      </c>
      <c r="E4832" s="157">
        <v>42022.125</v>
      </c>
      <c r="F4832" s="157">
        <v>42022.753472222219</v>
      </c>
      <c r="G4832" s="98">
        <v>300</v>
      </c>
      <c r="H4832" s="98">
        <v>521</v>
      </c>
      <c r="I4832" s="98">
        <v>482</v>
      </c>
      <c r="J4832" s="98" t="s">
        <v>2651</v>
      </c>
      <c r="K4832" s="98" t="s">
        <v>2946</v>
      </c>
      <c r="L4832" s="105" t="str">
        <f t="shared" si="780"/>
        <v>Mill Creek</v>
      </c>
      <c r="M4832" s="105" t="str">
        <f t="shared" si="781"/>
        <v>Derate</v>
      </c>
      <c r="N4832" s="105" t="str">
        <f t="shared" si="782"/>
        <v>Coal</v>
      </c>
      <c r="O4832" s="105">
        <f>IFERROR(VLOOKUP(A4832,Lookup!$J$5:$P$19,7,FALSE),0)</f>
        <v>3</v>
      </c>
      <c r="P4832" s="159">
        <f t="shared" si="783"/>
        <v>2015</v>
      </c>
      <c r="Q4832" s="159">
        <f t="shared" si="784"/>
        <v>1</v>
      </c>
      <c r="R4832" s="160">
        <f t="shared" si="785"/>
        <v>15.083333333255723</v>
      </c>
      <c r="S4832" s="158">
        <f t="shared" si="786"/>
        <v>6.3981126039338099</v>
      </c>
      <c r="T4832" s="161">
        <f t="shared" si="787"/>
        <v>3083.8902750960965</v>
      </c>
      <c r="U4832" s="158">
        <f t="shared" si="789"/>
        <v>204.45681381957775</v>
      </c>
      <c r="V4832" s="160">
        <f t="shared" si="788"/>
        <v>204</v>
      </c>
    </row>
    <row r="4833" spans="1:22" x14ac:dyDescent="0.25">
      <c r="A4833" s="98" t="s">
        <v>25</v>
      </c>
      <c r="B4833" s="98" t="s">
        <v>15</v>
      </c>
      <c r="C4833" s="98">
        <v>14</v>
      </c>
      <c r="D4833" s="98">
        <v>4268</v>
      </c>
      <c r="E4833" s="157">
        <v>42022.946527777778</v>
      </c>
      <c r="F4833" s="157">
        <v>42023.070138888892</v>
      </c>
      <c r="G4833" s="98">
        <v>0</v>
      </c>
      <c r="H4833" s="98">
        <v>521</v>
      </c>
      <c r="I4833" s="98">
        <v>482</v>
      </c>
      <c r="J4833" s="98" t="s">
        <v>2127</v>
      </c>
      <c r="K4833" s="98" t="s">
        <v>2947</v>
      </c>
      <c r="L4833" s="105" t="str">
        <f t="shared" si="780"/>
        <v>Mill Creek</v>
      </c>
      <c r="M4833" s="105" t="str">
        <f t="shared" si="781"/>
        <v>Outage</v>
      </c>
      <c r="N4833" s="105" t="str">
        <f t="shared" si="782"/>
        <v>Coal</v>
      </c>
      <c r="O4833" s="105">
        <f>IFERROR(VLOOKUP(A4833,Lookup!$J$5:$P$19,7,FALSE),0)</f>
        <v>3</v>
      </c>
      <c r="P4833" s="159">
        <f t="shared" si="783"/>
        <v>2015</v>
      </c>
      <c r="Q4833" s="159">
        <f t="shared" si="784"/>
        <v>1</v>
      </c>
      <c r="R4833" s="160">
        <f t="shared" si="785"/>
        <v>2.9666666667326353</v>
      </c>
      <c r="S4833" s="158">
        <f t="shared" si="786"/>
        <v>2.9666666667326353</v>
      </c>
      <c r="T4833" s="161">
        <f t="shared" si="787"/>
        <v>1429.9333333651302</v>
      </c>
      <c r="U4833" s="158">
        <f t="shared" si="789"/>
        <v>482</v>
      </c>
      <c r="V4833" s="160">
        <f t="shared" si="788"/>
        <v>482</v>
      </c>
    </row>
    <row r="4834" spans="1:22" x14ac:dyDescent="0.25">
      <c r="A4834" s="98" t="s">
        <v>25</v>
      </c>
      <c r="B4834" s="98" t="s">
        <v>79</v>
      </c>
      <c r="C4834" s="98">
        <v>15</v>
      </c>
      <c r="D4834" s="98">
        <v>1850</v>
      </c>
      <c r="E4834" s="157">
        <v>42023.070138888892</v>
      </c>
      <c r="F4834" s="157">
        <v>42023.416666666664</v>
      </c>
      <c r="G4834" s="98">
        <v>0</v>
      </c>
      <c r="H4834" s="98">
        <v>521</v>
      </c>
      <c r="I4834" s="98">
        <v>482</v>
      </c>
      <c r="J4834" s="98" t="s">
        <v>2263</v>
      </c>
      <c r="K4834" s="98" t="s">
        <v>87</v>
      </c>
      <c r="L4834" s="105" t="str">
        <f t="shared" si="780"/>
        <v>Mill Creek</v>
      </c>
      <c r="M4834" s="105" t="str">
        <f t="shared" si="781"/>
        <v>Other</v>
      </c>
      <c r="N4834" s="105" t="str">
        <f t="shared" si="782"/>
        <v>Coal</v>
      </c>
      <c r="O4834" s="105">
        <f>IFERROR(VLOOKUP(A4834,Lookup!$J$5:$P$19,7,FALSE),0)</f>
        <v>3</v>
      </c>
      <c r="P4834" s="159">
        <f t="shared" si="783"/>
        <v>2015</v>
      </c>
      <c r="Q4834" s="159">
        <f t="shared" si="784"/>
        <v>1</v>
      </c>
      <c r="R4834" s="160">
        <f t="shared" si="785"/>
        <v>8.3166666665347293</v>
      </c>
      <c r="S4834" s="158">
        <f t="shared" si="786"/>
        <v>8.3166666665347293</v>
      </c>
      <c r="T4834" s="161">
        <f t="shared" si="787"/>
        <v>4008.6333332697395</v>
      </c>
      <c r="U4834" s="158">
        <f t="shared" si="789"/>
        <v>482</v>
      </c>
      <c r="V4834" s="160">
        <f t="shared" si="788"/>
        <v>482</v>
      </c>
    </row>
    <row r="4835" spans="1:22" x14ac:dyDescent="0.25">
      <c r="A4835" s="98" t="s">
        <v>25</v>
      </c>
      <c r="B4835" s="98" t="s">
        <v>17</v>
      </c>
      <c r="C4835" s="98">
        <v>16</v>
      </c>
      <c r="D4835" s="98">
        <v>1850</v>
      </c>
      <c r="E4835" s="157">
        <v>42023.416666666664</v>
      </c>
      <c r="F4835" s="157">
        <v>42023.495833333334</v>
      </c>
      <c r="G4835" s="98">
        <v>400</v>
      </c>
      <c r="H4835" s="98">
        <v>521</v>
      </c>
      <c r="I4835" s="98">
        <v>482</v>
      </c>
      <c r="J4835" s="98" t="s">
        <v>2263</v>
      </c>
      <c r="K4835" s="98" t="s">
        <v>41</v>
      </c>
      <c r="L4835" s="105" t="str">
        <f t="shared" si="780"/>
        <v>Mill Creek</v>
      </c>
      <c r="M4835" s="105" t="str">
        <f t="shared" si="781"/>
        <v>Derate</v>
      </c>
      <c r="N4835" s="105" t="str">
        <f t="shared" si="782"/>
        <v>Coal</v>
      </c>
      <c r="O4835" s="105">
        <f>IFERROR(VLOOKUP(A4835,Lookup!$J$5:$P$19,7,FALSE),0)</f>
        <v>3</v>
      </c>
      <c r="P4835" s="159">
        <f t="shared" si="783"/>
        <v>2015</v>
      </c>
      <c r="Q4835" s="159">
        <f t="shared" si="784"/>
        <v>1</v>
      </c>
      <c r="R4835" s="160">
        <f t="shared" si="785"/>
        <v>1.9000000000814907</v>
      </c>
      <c r="S4835" s="158">
        <f t="shared" si="786"/>
        <v>0.44126679464464563</v>
      </c>
      <c r="T4835" s="161">
        <f t="shared" si="787"/>
        <v>212.69059501871919</v>
      </c>
      <c r="U4835" s="158">
        <f t="shared" si="789"/>
        <v>111.94241842610364</v>
      </c>
      <c r="V4835" s="160">
        <f t="shared" si="788"/>
        <v>112</v>
      </c>
    </row>
    <row r="4836" spans="1:22" x14ac:dyDescent="0.25">
      <c r="A4836" s="98" t="s">
        <v>25</v>
      </c>
      <c r="B4836" s="98" t="s">
        <v>79</v>
      </c>
      <c r="C4836" s="98">
        <v>17</v>
      </c>
      <c r="D4836" s="98">
        <v>8460</v>
      </c>
      <c r="E4836" s="157">
        <v>42024.166666666664</v>
      </c>
      <c r="F4836" s="157">
        <v>42024.71875</v>
      </c>
      <c r="G4836" s="98">
        <v>0</v>
      </c>
      <c r="H4836" s="98">
        <v>521</v>
      </c>
      <c r="I4836" s="98">
        <v>482</v>
      </c>
      <c r="J4836" s="98" t="s">
        <v>2651</v>
      </c>
      <c r="K4836" s="98" t="s">
        <v>2943</v>
      </c>
      <c r="L4836" s="105" t="str">
        <f t="shared" si="780"/>
        <v>Mill Creek</v>
      </c>
      <c r="M4836" s="105" t="str">
        <f t="shared" si="781"/>
        <v>Other</v>
      </c>
      <c r="N4836" s="105" t="str">
        <f t="shared" si="782"/>
        <v>Coal</v>
      </c>
      <c r="O4836" s="105">
        <f>IFERROR(VLOOKUP(A4836,Lookup!$J$5:$P$19,7,FALSE),0)</f>
        <v>3</v>
      </c>
      <c r="P4836" s="159">
        <f t="shared" si="783"/>
        <v>2015</v>
      </c>
      <c r="Q4836" s="159">
        <f t="shared" si="784"/>
        <v>1</v>
      </c>
      <c r="R4836" s="160">
        <f t="shared" si="785"/>
        <v>13.250000000058208</v>
      </c>
      <c r="S4836" s="158">
        <f t="shared" si="786"/>
        <v>13.250000000058208</v>
      </c>
      <c r="T4836" s="161">
        <f t="shared" si="787"/>
        <v>6386.5000000280561</v>
      </c>
      <c r="U4836" s="158">
        <f t="shared" si="789"/>
        <v>482</v>
      </c>
      <c r="V4836" s="160">
        <f t="shared" si="788"/>
        <v>482</v>
      </c>
    </row>
    <row r="4837" spans="1:22" x14ac:dyDescent="0.25">
      <c r="A4837" s="98" t="s">
        <v>25</v>
      </c>
      <c r="B4837" s="98" t="s">
        <v>79</v>
      </c>
      <c r="C4837" s="98">
        <v>18</v>
      </c>
      <c r="D4837" s="98">
        <v>8650</v>
      </c>
      <c r="E4837" s="157">
        <v>42025.583333333336</v>
      </c>
      <c r="F4837" s="157">
        <v>42025.71875</v>
      </c>
      <c r="G4837" s="98">
        <v>0</v>
      </c>
      <c r="H4837" s="98">
        <v>521</v>
      </c>
      <c r="I4837" s="98">
        <v>482</v>
      </c>
      <c r="J4837" s="98" t="s">
        <v>2668</v>
      </c>
      <c r="K4837" s="98" t="s">
        <v>2948</v>
      </c>
      <c r="L4837" s="105" t="str">
        <f t="shared" ref="L4837:L4900" si="790">IF(OR(A4837="BR1",A4837="BR2",A4837="BR3",A4837="BR5",A4837="BR6",A4837="BR7",A4837="BR8",A4837="BR9",A4837="BR10",A4837="BR11"),"Brown",IF(OR(A4837="CR4",A4837="CR5",A4837="CR6",A4837="CR11"),"Cane Run",IF(OR(A4837="GH1",A4837="GH2",A4837="GH3",A4837="GH4"),"Ghent",IF(OR(A4837="GR3",A4837="GR4"),"Green River",IF(OR(A4837="MC1",A4837="MC2",A4837="MC3",A4837="MC4"),"Mill Creek",IF(OR(A4837="TC1",A4837="TC2",A4837="TC5",A4837="TC6",A4837="TC7",A4837="TC8",A4837="TC9",A4837="TC10"),"Trimble",IF(A4837="TY3","Tyrone",IF(OR(A4837="HA1",A4837="HA2",A4837="HA3"),"Haeflin",IF(OR(A4837="PR11",A4837="PR12",A4837="PR13"),"Paddy's Run","Zorn")))))))))</f>
        <v>Mill Creek</v>
      </c>
      <c r="M4837" s="105" t="str">
        <f t="shared" ref="M4837:M4900" si="791">IF(OR(B4837="D1",B4837="D2",B4837="D3",B4837="D4",B4837="PD"),"Derate",IF(OR(B4837="SF",B4837="U1",B4837="U2",B4837="U3"),"Outage",IF(OR(B4837="ME",B4837="MO"),"Maintenance","Other")))</f>
        <v>Other</v>
      </c>
      <c r="N4837" s="105" t="str">
        <f t="shared" ref="N4837:N4900" si="792">IF(OR(A4837="BR1",A4837="BR2",A4837="BR3",A4837="CR4",A4837="CR5",A4837="CR6",A4837="GH1",A4837="GH2",A4837="GH3",A4837="GH4",A4837="GR3",A4837="GR4",A4837="MC1",A4837="MC2",A4837="MC3",A4837="MC4",A4837="TC1",A4837="TC2",A4837="TY3"),"Coal","Gas")</f>
        <v>Coal</v>
      </c>
      <c r="O4837" s="105">
        <f>IFERROR(VLOOKUP(A4837,Lookup!$J$5:$P$19,7,FALSE),0)</f>
        <v>3</v>
      </c>
      <c r="P4837" s="159">
        <f t="shared" ref="P4837:P4900" si="793">YEAR(E4837)</f>
        <v>2015</v>
      </c>
      <c r="Q4837" s="159">
        <f t="shared" ref="Q4837:Q4900" si="794">MONTH(E4837)</f>
        <v>1</v>
      </c>
      <c r="R4837" s="160">
        <f t="shared" ref="R4837:R4900" si="795">(F4837-E4837)*24</f>
        <v>3.2499999999417923</v>
      </c>
      <c r="S4837" s="158">
        <f t="shared" ref="S4837:S4900" si="796">R4837*(H4837-G4837)/H4837</f>
        <v>3.2499999999417923</v>
      </c>
      <c r="T4837" s="161">
        <f t="shared" ref="T4837:T4900" si="797">S4837*I4837</f>
        <v>1566.4999999719439</v>
      </c>
      <c r="U4837" s="158">
        <f t="shared" si="789"/>
        <v>482</v>
      </c>
      <c r="V4837" s="160">
        <f t="shared" ref="V4837:V4900" si="798">ROUND(U4837,0)</f>
        <v>482</v>
      </c>
    </row>
    <row r="4838" spans="1:22" x14ac:dyDescent="0.25">
      <c r="A4838" s="98" t="s">
        <v>25</v>
      </c>
      <c r="B4838" s="98" t="s">
        <v>79</v>
      </c>
      <c r="C4838" s="98">
        <v>19</v>
      </c>
      <c r="D4838" s="98">
        <v>510</v>
      </c>
      <c r="E4838" s="157">
        <v>42025.851388888892</v>
      </c>
      <c r="F4838" s="157">
        <v>42026.163194444445</v>
      </c>
      <c r="G4838" s="98">
        <v>0</v>
      </c>
      <c r="H4838" s="98">
        <v>521</v>
      </c>
      <c r="I4838" s="98">
        <v>482</v>
      </c>
      <c r="J4838" s="98" t="s">
        <v>3188</v>
      </c>
      <c r="K4838" s="98" t="s">
        <v>2949</v>
      </c>
      <c r="L4838" s="105" t="str">
        <f t="shared" si="790"/>
        <v>Mill Creek</v>
      </c>
      <c r="M4838" s="105" t="str">
        <f t="shared" si="791"/>
        <v>Other</v>
      </c>
      <c r="N4838" s="105" t="str">
        <f t="shared" si="792"/>
        <v>Coal</v>
      </c>
      <c r="O4838" s="105">
        <f>IFERROR(VLOOKUP(A4838,Lookup!$J$5:$P$19,7,FALSE),0)</f>
        <v>3</v>
      </c>
      <c r="P4838" s="159">
        <f t="shared" si="793"/>
        <v>2015</v>
      </c>
      <c r="Q4838" s="159">
        <f t="shared" si="794"/>
        <v>1</v>
      </c>
      <c r="R4838" s="160">
        <f t="shared" si="795"/>
        <v>7.4833333332790062</v>
      </c>
      <c r="S4838" s="158">
        <f t="shared" si="796"/>
        <v>7.4833333332790062</v>
      </c>
      <c r="T4838" s="161">
        <f t="shared" si="797"/>
        <v>3606.966666640481</v>
      </c>
      <c r="U4838" s="158">
        <f t="shared" ref="U4838:U4901" si="799">IF(G4838&gt;0,MAX((H4838-G4838),0)*I4838/H4838,I4838)</f>
        <v>482</v>
      </c>
      <c r="V4838" s="160">
        <f t="shared" si="798"/>
        <v>482</v>
      </c>
    </row>
    <row r="4839" spans="1:22" x14ac:dyDescent="0.25">
      <c r="A4839" s="98" t="s">
        <v>25</v>
      </c>
      <c r="B4839" s="98" t="s">
        <v>79</v>
      </c>
      <c r="C4839" s="98">
        <v>20</v>
      </c>
      <c r="D4839" s="98">
        <v>8650</v>
      </c>
      <c r="E4839" s="157">
        <v>42026.333333333336</v>
      </c>
      <c r="F4839" s="157">
        <v>42026.645833333336</v>
      </c>
      <c r="G4839" s="98">
        <v>0</v>
      </c>
      <c r="H4839" s="98">
        <v>521</v>
      </c>
      <c r="I4839" s="98">
        <v>482</v>
      </c>
      <c r="J4839" s="98" t="s">
        <v>2668</v>
      </c>
      <c r="K4839" s="98" t="s">
        <v>2950</v>
      </c>
      <c r="L4839" s="105" t="str">
        <f t="shared" si="790"/>
        <v>Mill Creek</v>
      </c>
      <c r="M4839" s="105" t="str">
        <f t="shared" si="791"/>
        <v>Other</v>
      </c>
      <c r="N4839" s="105" t="str">
        <f t="shared" si="792"/>
        <v>Coal</v>
      </c>
      <c r="O4839" s="105">
        <f>IFERROR(VLOOKUP(A4839,Lookup!$J$5:$P$19,7,FALSE),0)</f>
        <v>3</v>
      </c>
      <c r="P4839" s="159">
        <f t="shared" si="793"/>
        <v>2015</v>
      </c>
      <c r="Q4839" s="159">
        <f t="shared" si="794"/>
        <v>1</v>
      </c>
      <c r="R4839" s="160">
        <f t="shared" si="795"/>
        <v>7.5</v>
      </c>
      <c r="S4839" s="158">
        <f t="shared" si="796"/>
        <v>7.5</v>
      </c>
      <c r="T4839" s="161">
        <f t="shared" si="797"/>
        <v>3615</v>
      </c>
      <c r="U4839" s="158">
        <f t="shared" si="799"/>
        <v>482</v>
      </c>
      <c r="V4839" s="160">
        <f t="shared" si="798"/>
        <v>482</v>
      </c>
    </row>
    <row r="4840" spans="1:22" x14ac:dyDescent="0.25">
      <c r="A4840" s="98" t="s">
        <v>25</v>
      </c>
      <c r="B4840" s="98" t="s">
        <v>79</v>
      </c>
      <c r="C4840" s="98">
        <v>21</v>
      </c>
      <c r="D4840" s="98">
        <v>8650</v>
      </c>
      <c r="E4840" s="157">
        <v>42026.645833333336</v>
      </c>
      <c r="F4840" s="157">
        <v>42026.79583333333</v>
      </c>
      <c r="G4840" s="98">
        <v>0</v>
      </c>
      <c r="H4840" s="98">
        <v>521</v>
      </c>
      <c r="I4840" s="98">
        <v>482</v>
      </c>
      <c r="J4840" s="98" t="s">
        <v>2668</v>
      </c>
      <c r="K4840" s="98" t="s">
        <v>2951</v>
      </c>
      <c r="L4840" s="105" t="str">
        <f t="shared" si="790"/>
        <v>Mill Creek</v>
      </c>
      <c r="M4840" s="105" t="str">
        <f t="shared" si="791"/>
        <v>Other</v>
      </c>
      <c r="N4840" s="105" t="str">
        <f t="shared" si="792"/>
        <v>Coal</v>
      </c>
      <c r="O4840" s="105">
        <f>IFERROR(VLOOKUP(A4840,Lookup!$J$5:$P$19,7,FALSE),0)</f>
        <v>3</v>
      </c>
      <c r="P4840" s="159">
        <f t="shared" si="793"/>
        <v>2015</v>
      </c>
      <c r="Q4840" s="159">
        <f t="shared" si="794"/>
        <v>1</v>
      </c>
      <c r="R4840" s="160">
        <f t="shared" si="795"/>
        <v>3.5999999998603016</v>
      </c>
      <c r="S4840" s="158">
        <f t="shared" si="796"/>
        <v>3.5999999998603016</v>
      </c>
      <c r="T4840" s="161">
        <f t="shared" si="797"/>
        <v>1735.1999999326654</v>
      </c>
      <c r="U4840" s="158">
        <f t="shared" si="799"/>
        <v>482</v>
      </c>
      <c r="V4840" s="160">
        <f t="shared" si="798"/>
        <v>482</v>
      </c>
    </row>
    <row r="4841" spans="1:22" x14ac:dyDescent="0.25">
      <c r="A4841" s="98" t="s">
        <v>25</v>
      </c>
      <c r="B4841" s="98" t="s">
        <v>79</v>
      </c>
      <c r="C4841" s="98">
        <v>22</v>
      </c>
      <c r="D4841" s="98">
        <v>8460</v>
      </c>
      <c r="E4841" s="157">
        <v>42031.25</v>
      </c>
      <c r="F4841" s="157">
        <v>42031.609722222223</v>
      </c>
      <c r="G4841" s="98">
        <v>0</v>
      </c>
      <c r="H4841" s="98">
        <v>521</v>
      </c>
      <c r="I4841" s="98">
        <v>482</v>
      </c>
      <c r="J4841" s="98" t="s">
        <v>2651</v>
      </c>
      <c r="K4841" s="98" t="s">
        <v>1650</v>
      </c>
      <c r="L4841" s="105" t="str">
        <f t="shared" si="790"/>
        <v>Mill Creek</v>
      </c>
      <c r="M4841" s="105" t="str">
        <f t="shared" si="791"/>
        <v>Other</v>
      </c>
      <c r="N4841" s="105" t="str">
        <f t="shared" si="792"/>
        <v>Coal</v>
      </c>
      <c r="O4841" s="105">
        <f>IFERROR(VLOOKUP(A4841,Lookup!$J$5:$P$19,7,FALSE),0)</f>
        <v>3</v>
      </c>
      <c r="P4841" s="159">
        <f t="shared" si="793"/>
        <v>2015</v>
      </c>
      <c r="Q4841" s="159">
        <f t="shared" si="794"/>
        <v>1</v>
      </c>
      <c r="R4841" s="160">
        <f t="shared" si="795"/>
        <v>8.6333333333604969</v>
      </c>
      <c r="S4841" s="158">
        <f t="shared" si="796"/>
        <v>8.6333333333604969</v>
      </c>
      <c r="T4841" s="161">
        <f t="shared" si="797"/>
        <v>4161.2666666797595</v>
      </c>
      <c r="U4841" s="158">
        <f t="shared" si="799"/>
        <v>482</v>
      </c>
      <c r="V4841" s="160">
        <f t="shared" si="798"/>
        <v>482</v>
      </c>
    </row>
    <row r="4842" spans="1:22" x14ac:dyDescent="0.25">
      <c r="A4842" s="98" t="s">
        <v>25</v>
      </c>
      <c r="B4842" s="98" t="s">
        <v>79</v>
      </c>
      <c r="C4842" s="98">
        <v>23</v>
      </c>
      <c r="D4842" s="98">
        <v>8460</v>
      </c>
      <c r="E4842" s="157">
        <v>42031.9375</v>
      </c>
      <c r="F4842" s="157">
        <v>42032.125</v>
      </c>
      <c r="G4842" s="98">
        <v>0</v>
      </c>
      <c r="H4842" s="98">
        <v>521</v>
      </c>
      <c r="I4842" s="98">
        <v>482</v>
      </c>
      <c r="J4842" s="98" t="s">
        <v>2651</v>
      </c>
      <c r="K4842" s="98" t="s">
        <v>2952</v>
      </c>
      <c r="L4842" s="105" t="str">
        <f t="shared" si="790"/>
        <v>Mill Creek</v>
      </c>
      <c r="M4842" s="105" t="str">
        <f t="shared" si="791"/>
        <v>Other</v>
      </c>
      <c r="N4842" s="105" t="str">
        <f t="shared" si="792"/>
        <v>Coal</v>
      </c>
      <c r="O4842" s="105">
        <f>IFERROR(VLOOKUP(A4842,Lookup!$J$5:$P$19,7,FALSE),0)</f>
        <v>3</v>
      </c>
      <c r="P4842" s="159">
        <f t="shared" si="793"/>
        <v>2015</v>
      </c>
      <c r="Q4842" s="159">
        <f t="shared" si="794"/>
        <v>1</v>
      </c>
      <c r="R4842" s="160">
        <f t="shared" si="795"/>
        <v>4.5</v>
      </c>
      <c r="S4842" s="158">
        <f t="shared" si="796"/>
        <v>4.5</v>
      </c>
      <c r="T4842" s="161">
        <f t="shared" si="797"/>
        <v>2169</v>
      </c>
      <c r="U4842" s="158">
        <f t="shared" si="799"/>
        <v>482</v>
      </c>
      <c r="V4842" s="160">
        <f t="shared" si="798"/>
        <v>482</v>
      </c>
    </row>
    <row r="4843" spans="1:22" x14ac:dyDescent="0.25">
      <c r="A4843" s="98" t="s">
        <v>25</v>
      </c>
      <c r="B4843" s="98" t="s">
        <v>79</v>
      </c>
      <c r="C4843" s="98">
        <v>24</v>
      </c>
      <c r="D4843" s="98">
        <v>8460</v>
      </c>
      <c r="E4843" s="157">
        <v>42032.125</v>
      </c>
      <c r="F4843" s="157">
        <v>42032.272222222222</v>
      </c>
      <c r="G4843" s="98">
        <v>0</v>
      </c>
      <c r="H4843" s="98">
        <v>521</v>
      </c>
      <c r="I4843" s="98">
        <v>482</v>
      </c>
      <c r="J4843" s="98" t="s">
        <v>2651</v>
      </c>
      <c r="K4843" s="98" t="s">
        <v>2953</v>
      </c>
      <c r="L4843" s="105" t="str">
        <f t="shared" si="790"/>
        <v>Mill Creek</v>
      </c>
      <c r="M4843" s="105" t="str">
        <f t="shared" si="791"/>
        <v>Other</v>
      </c>
      <c r="N4843" s="105" t="str">
        <f t="shared" si="792"/>
        <v>Coal</v>
      </c>
      <c r="O4843" s="105">
        <f>IFERROR(VLOOKUP(A4843,Lookup!$J$5:$P$19,7,FALSE),0)</f>
        <v>3</v>
      </c>
      <c r="P4843" s="159">
        <f t="shared" si="793"/>
        <v>2015</v>
      </c>
      <c r="Q4843" s="159">
        <f t="shared" si="794"/>
        <v>1</v>
      </c>
      <c r="R4843" s="160">
        <f t="shared" si="795"/>
        <v>3.5333333333255723</v>
      </c>
      <c r="S4843" s="158">
        <f t="shared" si="796"/>
        <v>3.5333333333255723</v>
      </c>
      <c r="T4843" s="161">
        <f t="shared" si="797"/>
        <v>1703.0666666629259</v>
      </c>
      <c r="U4843" s="158">
        <f t="shared" si="799"/>
        <v>482</v>
      </c>
      <c r="V4843" s="160">
        <f t="shared" si="798"/>
        <v>482</v>
      </c>
    </row>
    <row r="4844" spans="1:22" x14ac:dyDescent="0.25">
      <c r="A4844" s="98" t="s">
        <v>25</v>
      </c>
      <c r="B4844" s="98" t="s">
        <v>20</v>
      </c>
      <c r="C4844" s="98">
        <v>25</v>
      </c>
      <c r="D4844" s="98">
        <v>8650</v>
      </c>
      <c r="E4844" s="157">
        <v>42032.476388888892</v>
      </c>
      <c r="F4844" s="157">
        <v>42035.621527777781</v>
      </c>
      <c r="G4844" s="98">
        <v>0</v>
      </c>
      <c r="H4844" s="98">
        <v>521</v>
      </c>
      <c r="I4844" s="98">
        <v>482</v>
      </c>
      <c r="J4844" s="98" t="s">
        <v>2668</v>
      </c>
      <c r="K4844" s="98" t="s">
        <v>2954</v>
      </c>
      <c r="L4844" s="105" t="str">
        <f t="shared" si="790"/>
        <v>Mill Creek</v>
      </c>
      <c r="M4844" s="105" t="str">
        <f t="shared" si="791"/>
        <v>Maintenance</v>
      </c>
      <c r="N4844" s="105" t="str">
        <f t="shared" si="792"/>
        <v>Coal</v>
      </c>
      <c r="O4844" s="105">
        <f>IFERROR(VLOOKUP(A4844,Lookup!$J$5:$P$19,7,FALSE),0)</f>
        <v>3</v>
      </c>
      <c r="P4844" s="159">
        <f t="shared" si="793"/>
        <v>2015</v>
      </c>
      <c r="Q4844" s="159">
        <f t="shared" si="794"/>
        <v>1</v>
      </c>
      <c r="R4844" s="160">
        <f t="shared" si="795"/>
        <v>75.483333333337214</v>
      </c>
      <c r="S4844" s="158">
        <f t="shared" si="796"/>
        <v>75.483333333337214</v>
      </c>
      <c r="T4844" s="161">
        <f t="shared" si="797"/>
        <v>36382.966666668537</v>
      </c>
      <c r="U4844" s="158">
        <f t="shared" si="799"/>
        <v>482</v>
      </c>
      <c r="V4844" s="160">
        <f t="shared" si="798"/>
        <v>482</v>
      </c>
    </row>
    <row r="4845" spans="1:22" x14ac:dyDescent="0.25">
      <c r="A4845" s="98" t="s">
        <v>25</v>
      </c>
      <c r="B4845" s="98" t="s">
        <v>79</v>
      </c>
      <c r="C4845" s="98">
        <v>26</v>
      </c>
      <c r="D4845" s="98">
        <v>1850</v>
      </c>
      <c r="E4845" s="157">
        <v>42035.621527777781</v>
      </c>
      <c r="F4845" s="157">
        <v>42036.138888888891</v>
      </c>
      <c r="G4845" s="98">
        <v>0</v>
      </c>
      <c r="H4845" s="98">
        <v>521</v>
      </c>
      <c r="I4845" s="98">
        <v>482</v>
      </c>
      <c r="J4845" s="98" t="s">
        <v>2263</v>
      </c>
      <c r="K4845" s="98" t="s">
        <v>2955</v>
      </c>
      <c r="L4845" s="105" t="str">
        <f t="shared" si="790"/>
        <v>Mill Creek</v>
      </c>
      <c r="M4845" s="105" t="str">
        <f t="shared" si="791"/>
        <v>Other</v>
      </c>
      <c r="N4845" s="105" t="str">
        <f t="shared" si="792"/>
        <v>Coal</v>
      </c>
      <c r="O4845" s="105">
        <f>IFERROR(VLOOKUP(A4845,Lookup!$J$5:$P$19,7,FALSE),0)</f>
        <v>3</v>
      </c>
      <c r="P4845" s="159">
        <f t="shared" si="793"/>
        <v>2015</v>
      </c>
      <c r="Q4845" s="159">
        <f t="shared" si="794"/>
        <v>1</v>
      </c>
      <c r="R4845" s="160">
        <f t="shared" si="795"/>
        <v>12.416666666627862</v>
      </c>
      <c r="S4845" s="158">
        <f t="shared" si="796"/>
        <v>12.416666666627862</v>
      </c>
      <c r="T4845" s="161">
        <f t="shared" si="797"/>
        <v>5984.8333333146293</v>
      </c>
      <c r="U4845" s="158">
        <f t="shared" si="799"/>
        <v>482</v>
      </c>
      <c r="V4845" s="160">
        <f t="shared" si="798"/>
        <v>482</v>
      </c>
    </row>
    <row r="4846" spans="1:22" x14ac:dyDescent="0.25">
      <c r="A4846" s="98" t="s">
        <v>25</v>
      </c>
      <c r="B4846" s="98" t="s">
        <v>17</v>
      </c>
      <c r="C4846" s="98">
        <v>27</v>
      </c>
      <c r="D4846" s="98">
        <v>1850</v>
      </c>
      <c r="E4846" s="157">
        <v>42036.138888888891</v>
      </c>
      <c r="F4846" s="157">
        <v>42036.327777777777</v>
      </c>
      <c r="G4846" s="98">
        <v>465</v>
      </c>
      <c r="H4846" s="98">
        <v>521</v>
      </c>
      <c r="I4846" s="98">
        <v>482</v>
      </c>
      <c r="J4846" s="98" t="s">
        <v>2263</v>
      </c>
      <c r="K4846" s="98" t="s">
        <v>62</v>
      </c>
      <c r="L4846" s="105" t="str">
        <f t="shared" si="790"/>
        <v>Mill Creek</v>
      </c>
      <c r="M4846" s="105" t="str">
        <f t="shared" si="791"/>
        <v>Derate</v>
      </c>
      <c r="N4846" s="105" t="str">
        <f t="shared" si="792"/>
        <v>Coal</v>
      </c>
      <c r="O4846" s="105">
        <f>IFERROR(VLOOKUP(A4846,Lookup!$J$5:$P$19,7,FALSE),0)</f>
        <v>3</v>
      </c>
      <c r="P4846" s="159">
        <f t="shared" si="793"/>
        <v>2015</v>
      </c>
      <c r="Q4846" s="159">
        <f t="shared" si="794"/>
        <v>2</v>
      </c>
      <c r="R4846" s="160">
        <f t="shared" si="795"/>
        <v>4.5333333332673647</v>
      </c>
      <c r="S4846" s="158">
        <f t="shared" si="796"/>
        <v>0.48726807420916013</v>
      </c>
      <c r="T4846" s="161">
        <f t="shared" si="797"/>
        <v>234.86321176881518</v>
      </c>
      <c r="U4846" s="158">
        <f t="shared" si="799"/>
        <v>51.808061420345489</v>
      </c>
      <c r="V4846" s="160">
        <f t="shared" si="798"/>
        <v>52</v>
      </c>
    </row>
    <row r="4847" spans="1:22" x14ac:dyDescent="0.25">
      <c r="A4847" s="98" t="s">
        <v>25</v>
      </c>
      <c r="B4847" s="98" t="s">
        <v>79</v>
      </c>
      <c r="C4847" s="98">
        <v>28</v>
      </c>
      <c r="D4847" s="98">
        <v>8650</v>
      </c>
      <c r="E4847" s="157">
        <v>42039.166666666664</v>
      </c>
      <c r="F4847" s="157">
        <v>42039.75</v>
      </c>
      <c r="G4847" s="98">
        <v>0</v>
      </c>
      <c r="H4847" s="98">
        <v>521</v>
      </c>
      <c r="I4847" s="98">
        <v>482</v>
      </c>
      <c r="J4847" s="98" t="s">
        <v>2668</v>
      </c>
      <c r="K4847" s="98" t="s">
        <v>2956</v>
      </c>
      <c r="L4847" s="105" t="str">
        <f t="shared" si="790"/>
        <v>Mill Creek</v>
      </c>
      <c r="M4847" s="105" t="str">
        <f t="shared" si="791"/>
        <v>Other</v>
      </c>
      <c r="N4847" s="105" t="str">
        <f t="shared" si="792"/>
        <v>Coal</v>
      </c>
      <c r="O4847" s="105">
        <f>IFERROR(VLOOKUP(A4847,Lookup!$J$5:$P$19,7,FALSE),0)</f>
        <v>3</v>
      </c>
      <c r="P4847" s="159">
        <f t="shared" si="793"/>
        <v>2015</v>
      </c>
      <c r="Q4847" s="159">
        <f t="shared" si="794"/>
        <v>2</v>
      </c>
      <c r="R4847" s="160">
        <f t="shared" si="795"/>
        <v>14.000000000058208</v>
      </c>
      <c r="S4847" s="158">
        <f t="shared" si="796"/>
        <v>14.000000000058208</v>
      </c>
      <c r="T4847" s="161">
        <f t="shared" si="797"/>
        <v>6748.0000000280561</v>
      </c>
      <c r="U4847" s="158">
        <f t="shared" si="799"/>
        <v>482</v>
      </c>
      <c r="V4847" s="160">
        <f t="shared" si="798"/>
        <v>482</v>
      </c>
    </row>
    <row r="4848" spans="1:22" x14ac:dyDescent="0.25">
      <c r="A4848" s="98" t="s">
        <v>25</v>
      </c>
      <c r="B4848" s="98" t="s">
        <v>79</v>
      </c>
      <c r="C4848" s="98">
        <v>29</v>
      </c>
      <c r="D4848" s="98">
        <v>8650</v>
      </c>
      <c r="E4848" s="157">
        <v>42040.166666666664</v>
      </c>
      <c r="F4848" s="157">
        <v>42041.791666666664</v>
      </c>
      <c r="G4848" s="98">
        <v>0</v>
      </c>
      <c r="H4848" s="98">
        <v>521</v>
      </c>
      <c r="I4848" s="98">
        <v>482</v>
      </c>
      <c r="J4848" s="98" t="s">
        <v>2668</v>
      </c>
      <c r="K4848" s="98" t="s">
        <v>2957</v>
      </c>
      <c r="L4848" s="105" t="str">
        <f t="shared" si="790"/>
        <v>Mill Creek</v>
      </c>
      <c r="M4848" s="105" t="str">
        <f t="shared" si="791"/>
        <v>Other</v>
      </c>
      <c r="N4848" s="105" t="str">
        <f t="shared" si="792"/>
        <v>Coal</v>
      </c>
      <c r="O4848" s="105">
        <f>IFERROR(VLOOKUP(A4848,Lookup!$J$5:$P$19,7,FALSE),0)</f>
        <v>3</v>
      </c>
      <c r="P4848" s="159">
        <f t="shared" si="793"/>
        <v>2015</v>
      </c>
      <c r="Q4848" s="159">
        <f t="shared" si="794"/>
        <v>2</v>
      </c>
      <c r="R4848" s="160">
        <f t="shared" si="795"/>
        <v>39</v>
      </c>
      <c r="S4848" s="158">
        <f t="shared" si="796"/>
        <v>39</v>
      </c>
      <c r="T4848" s="161">
        <f t="shared" si="797"/>
        <v>18798</v>
      </c>
      <c r="U4848" s="158">
        <f t="shared" si="799"/>
        <v>482</v>
      </c>
      <c r="V4848" s="160">
        <f t="shared" si="798"/>
        <v>482</v>
      </c>
    </row>
    <row r="4849" spans="1:22" x14ac:dyDescent="0.25">
      <c r="A4849" s="98" t="s">
        <v>25</v>
      </c>
      <c r="B4849" s="98" t="s">
        <v>79</v>
      </c>
      <c r="C4849" s="98">
        <v>30</v>
      </c>
      <c r="D4849" s="98">
        <v>1990</v>
      </c>
      <c r="E4849" s="157">
        <v>42041.916666666664</v>
      </c>
      <c r="F4849" s="157">
        <v>42042.22152777778</v>
      </c>
      <c r="G4849" s="98">
        <v>0</v>
      </c>
      <c r="H4849" s="98">
        <v>521</v>
      </c>
      <c r="I4849" s="98">
        <v>482</v>
      </c>
      <c r="J4849" s="98" t="s">
        <v>2114</v>
      </c>
      <c r="K4849" s="98" t="s">
        <v>2958</v>
      </c>
      <c r="L4849" s="105" t="str">
        <f t="shared" si="790"/>
        <v>Mill Creek</v>
      </c>
      <c r="M4849" s="105" t="str">
        <f t="shared" si="791"/>
        <v>Other</v>
      </c>
      <c r="N4849" s="105" t="str">
        <f t="shared" si="792"/>
        <v>Coal</v>
      </c>
      <c r="O4849" s="105">
        <f>IFERROR(VLOOKUP(A4849,Lookup!$J$5:$P$19,7,FALSE),0)</f>
        <v>3</v>
      </c>
      <c r="P4849" s="159">
        <f t="shared" si="793"/>
        <v>2015</v>
      </c>
      <c r="Q4849" s="159">
        <f t="shared" si="794"/>
        <v>2</v>
      </c>
      <c r="R4849" s="160">
        <f t="shared" si="795"/>
        <v>7.3166666667675599</v>
      </c>
      <c r="S4849" s="158">
        <f t="shared" si="796"/>
        <v>7.3166666667675599</v>
      </c>
      <c r="T4849" s="161">
        <f t="shared" si="797"/>
        <v>3526.6333333819639</v>
      </c>
      <c r="U4849" s="158">
        <f t="shared" si="799"/>
        <v>482</v>
      </c>
      <c r="V4849" s="160">
        <f t="shared" si="798"/>
        <v>482</v>
      </c>
    </row>
    <row r="4850" spans="1:22" x14ac:dyDescent="0.25">
      <c r="A4850" s="98" t="s">
        <v>25</v>
      </c>
      <c r="B4850" s="98" t="s">
        <v>17</v>
      </c>
      <c r="C4850" s="98">
        <v>31</v>
      </c>
      <c r="D4850" s="98">
        <v>3504</v>
      </c>
      <c r="E4850" s="157">
        <v>42044.401388888888</v>
      </c>
      <c r="F4850" s="157">
        <v>42044.477083333331</v>
      </c>
      <c r="G4850" s="98">
        <v>430</v>
      </c>
      <c r="H4850" s="98">
        <v>521</v>
      </c>
      <c r="I4850" s="98">
        <v>482</v>
      </c>
      <c r="J4850" s="98" t="s">
        <v>2289</v>
      </c>
      <c r="K4850" s="98" t="s">
        <v>2959</v>
      </c>
      <c r="L4850" s="105" t="str">
        <f t="shared" si="790"/>
        <v>Mill Creek</v>
      </c>
      <c r="M4850" s="105" t="str">
        <f t="shared" si="791"/>
        <v>Derate</v>
      </c>
      <c r="N4850" s="105" t="str">
        <f t="shared" si="792"/>
        <v>Coal</v>
      </c>
      <c r="O4850" s="105">
        <f>IFERROR(VLOOKUP(A4850,Lookup!$J$5:$P$19,7,FALSE),0)</f>
        <v>3</v>
      </c>
      <c r="P4850" s="159">
        <f t="shared" si="793"/>
        <v>2015</v>
      </c>
      <c r="Q4850" s="159">
        <f t="shared" si="794"/>
        <v>2</v>
      </c>
      <c r="R4850" s="160">
        <f t="shared" si="795"/>
        <v>1.8166666666511446</v>
      </c>
      <c r="S4850" s="158">
        <f t="shared" si="796"/>
        <v>0.31730646192947054</v>
      </c>
      <c r="T4850" s="161">
        <f t="shared" si="797"/>
        <v>152.9417146500048</v>
      </c>
      <c r="U4850" s="158">
        <f t="shared" si="799"/>
        <v>84.188099808061423</v>
      </c>
      <c r="V4850" s="160">
        <f t="shared" si="798"/>
        <v>84</v>
      </c>
    </row>
    <row r="4851" spans="1:22" x14ac:dyDescent="0.25">
      <c r="A4851" s="98" t="s">
        <v>25</v>
      </c>
      <c r="B4851" s="98" t="s">
        <v>79</v>
      </c>
      <c r="C4851" s="98">
        <v>32</v>
      </c>
      <c r="D4851" s="98">
        <v>360</v>
      </c>
      <c r="E4851" s="157">
        <v>42044.477083333331</v>
      </c>
      <c r="F4851" s="157">
        <v>42044.723611111112</v>
      </c>
      <c r="G4851" s="98">
        <v>0</v>
      </c>
      <c r="H4851" s="98">
        <v>521</v>
      </c>
      <c r="I4851" s="98">
        <v>482</v>
      </c>
      <c r="J4851" s="98" t="s">
        <v>229</v>
      </c>
      <c r="K4851" s="98" t="s">
        <v>2960</v>
      </c>
      <c r="L4851" s="105" t="str">
        <f t="shared" si="790"/>
        <v>Mill Creek</v>
      </c>
      <c r="M4851" s="105" t="str">
        <f t="shared" si="791"/>
        <v>Other</v>
      </c>
      <c r="N4851" s="105" t="str">
        <f t="shared" si="792"/>
        <v>Coal</v>
      </c>
      <c r="O4851" s="105">
        <f>IFERROR(VLOOKUP(A4851,Lookup!$J$5:$P$19,7,FALSE),0)</f>
        <v>3</v>
      </c>
      <c r="P4851" s="159">
        <f t="shared" si="793"/>
        <v>2015</v>
      </c>
      <c r="Q4851" s="159">
        <f t="shared" si="794"/>
        <v>2</v>
      </c>
      <c r="R4851" s="160">
        <f t="shared" si="795"/>
        <v>5.9166666667442769</v>
      </c>
      <c r="S4851" s="158">
        <f t="shared" si="796"/>
        <v>5.9166666667442769</v>
      </c>
      <c r="T4851" s="161">
        <f t="shared" si="797"/>
        <v>2851.8333333707415</v>
      </c>
      <c r="U4851" s="158">
        <f t="shared" si="799"/>
        <v>482</v>
      </c>
      <c r="V4851" s="160">
        <f t="shared" si="798"/>
        <v>482</v>
      </c>
    </row>
    <row r="4852" spans="1:22" x14ac:dyDescent="0.25">
      <c r="A4852" s="98" t="s">
        <v>25</v>
      </c>
      <c r="B4852" s="98" t="s">
        <v>79</v>
      </c>
      <c r="C4852" s="98">
        <v>33</v>
      </c>
      <c r="D4852" s="98">
        <v>8460</v>
      </c>
      <c r="E4852" s="157">
        <v>42046.333333333336</v>
      </c>
      <c r="F4852" s="157">
        <v>42046.708333333336</v>
      </c>
      <c r="G4852" s="98">
        <v>0</v>
      </c>
      <c r="H4852" s="98">
        <v>521</v>
      </c>
      <c r="I4852" s="98">
        <v>482</v>
      </c>
      <c r="J4852" s="98" t="s">
        <v>2651</v>
      </c>
      <c r="K4852" s="98" t="s">
        <v>2961</v>
      </c>
      <c r="L4852" s="105" t="str">
        <f t="shared" si="790"/>
        <v>Mill Creek</v>
      </c>
      <c r="M4852" s="105" t="str">
        <f t="shared" si="791"/>
        <v>Other</v>
      </c>
      <c r="N4852" s="105" t="str">
        <f t="shared" si="792"/>
        <v>Coal</v>
      </c>
      <c r="O4852" s="105">
        <f>IFERROR(VLOOKUP(A4852,Lookup!$J$5:$P$19,7,FALSE),0)</f>
        <v>3</v>
      </c>
      <c r="P4852" s="159">
        <f t="shared" si="793"/>
        <v>2015</v>
      </c>
      <c r="Q4852" s="159">
        <f t="shared" si="794"/>
        <v>2</v>
      </c>
      <c r="R4852" s="160">
        <f t="shared" si="795"/>
        <v>9</v>
      </c>
      <c r="S4852" s="158">
        <f t="shared" si="796"/>
        <v>9</v>
      </c>
      <c r="T4852" s="161">
        <f t="shared" si="797"/>
        <v>4338</v>
      </c>
      <c r="U4852" s="158">
        <f t="shared" si="799"/>
        <v>482</v>
      </c>
      <c r="V4852" s="160">
        <f t="shared" si="798"/>
        <v>482</v>
      </c>
    </row>
    <row r="4853" spans="1:22" x14ac:dyDescent="0.25">
      <c r="A4853" s="98" t="s">
        <v>25</v>
      </c>
      <c r="B4853" s="98" t="s">
        <v>17</v>
      </c>
      <c r="C4853" s="98">
        <v>34</v>
      </c>
      <c r="D4853" s="98">
        <v>260</v>
      </c>
      <c r="E4853" s="157">
        <v>42046.958333333336</v>
      </c>
      <c r="F4853" s="157">
        <v>42047.208333333336</v>
      </c>
      <c r="G4853" s="98">
        <v>430</v>
      </c>
      <c r="H4853" s="98">
        <v>521</v>
      </c>
      <c r="I4853" s="98">
        <v>482</v>
      </c>
      <c r="J4853" s="98" t="s">
        <v>1973</v>
      </c>
      <c r="K4853" s="98" t="s">
        <v>2962</v>
      </c>
      <c r="L4853" s="105" t="str">
        <f t="shared" si="790"/>
        <v>Mill Creek</v>
      </c>
      <c r="M4853" s="105" t="str">
        <f t="shared" si="791"/>
        <v>Derate</v>
      </c>
      <c r="N4853" s="105" t="str">
        <f t="shared" si="792"/>
        <v>Coal</v>
      </c>
      <c r="O4853" s="105">
        <f>IFERROR(VLOOKUP(A4853,Lookup!$J$5:$P$19,7,FALSE),0)</f>
        <v>3</v>
      </c>
      <c r="P4853" s="159">
        <f t="shared" si="793"/>
        <v>2015</v>
      </c>
      <c r="Q4853" s="159">
        <f t="shared" si="794"/>
        <v>2</v>
      </c>
      <c r="R4853" s="160">
        <f t="shared" si="795"/>
        <v>6</v>
      </c>
      <c r="S4853" s="158">
        <f t="shared" si="796"/>
        <v>1.0479846449136276</v>
      </c>
      <c r="T4853" s="161">
        <f t="shared" si="797"/>
        <v>505.12859884836854</v>
      </c>
      <c r="U4853" s="158">
        <f t="shared" si="799"/>
        <v>84.188099808061423</v>
      </c>
      <c r="V4853" s="160">
        <f t="shared" si="798"/>
        <v>84</v>
      </c>
    </row>
    <row r="4854" spans="1:22" x14ac:dyDescent="0.25">
      <c r="A4854" s="98" t="s">
        <v>25</v>
      </c>
      <c r="B4854" s="98" t="s">
        <v>17</v>
      </c>
      <c r="C4854" s="98">
        <v>35</v>
      </c>
      <c r="D4854" s="98">
        <v>260</v>
      </c>
      <c r="E4854" s="157">
        <v>42048.313194444447</v>
      </c>
      <c r="F4854" s="162">
        <v>42048.347222222219</v>
      </c>
      <c r="G4854" s="98">
        <v>430</v>
      </c>
      <c r="H4854" s="98">
        <v>521</v>
      </c>
      <c r="I4854" s="98">
        <v>482</v>
      </c>
      <c r="J4854" s="98" t="s">
        <v>1973</v>
      </c>
      <c r="K4854" s="98" t="s">
        <v>2963</v>
      </c>
      <c r="L4854" s="105" t="str">
        <f t="shared" si="790"/>
        <v>Mill Creek</v>
      </c>
      <c r="M4854" s="105" t="str">
        <f t="shared" si="791"/>
        <v>Derate</v>
      </c>
      <c r="N4854" s="105" t="str">
        <f t="shared" si="792"/>
        <v>Coal</v>
      </c>
      <c r="O4854" s="105">
        <f>IFERROR(VLOOKUP(A4854,Lookup!$J$5:$P$19,7,FALSE),0)</f>
        <v>3</v>
      </c>
      <c r="P4854" s="159">
        <f t="shared" si="793"/>
        <v>2015</v>
      </c>
      <c r="Q4854" s="159">
        <f t="shared" si="794"/>
        <v>2</v>
      </c>
      <c r="R4854" s="160">
        <f t="shared" si="795"/>
        <v>0.8166666665347293</v>
      </c>
      <c r="S4854" s="158">
        <f t="shared" si="796"/>
        <v>0.14264235442353237</v>
      </c>
      <c r="T4854" s="161">
        <f t="shared" si="797"/>
        <v>68.753614832142603</v>
      </c>
      <c r="U4854" s="158">
        <f t="shared" si="799"/>
        <v>84.188099808061423</v>
      </c>
      <c r="V4854" s="160">
        <f t="shared" si="798"/>
        <v>84</v>
      </c>
    </row>
    <row r="4855" spans="1:22" x14ac:dyDescent="0.25">
      <c r="A4855" s="98" t="s">
        <v>25</v>
      </c>
      <c r="B4855" s="98" t="s">
        <v>79</v>
      </c>
      <c r="C4855" s="98">
        <v>36</v>
      </c>
      <c r="D4855" s="98">
        <v>360</v>
      </c>
      <c r="E4855" s="157">
        <v>42048.395833333336</v>
      </c>
      <c r="F4855" s="157">
        <v>42048.659722222219</v>
      </c>
      <c r="G4855" s="98">
        <v>0</v>
      </c>
      <c r="H4855" s="98">
        <v>521</v>
      </c>
      <c r="I4855" s="98">
        <v>482</v>
      </c>
      <c r="J4855" s="98" t="s">
        <v>229</v>
      </c>
      <c r="K4855" s="98" t="s">
        <v>2964</v>
      </c>
      <c r="L4855" s="105" t="str">
        <f t="shared" si="790"/>
        <v>Mill Creek</v>
      </c>
      <c r="M4855" s="105" t="str">
        <f t="shared" si="791"/>
        <v>Other</v>
      </c>
      <c r="N4855" s="105" t="str">
        <f t="shared" si="792"/>
        <v>Coal</v>
      </c>
      <c r="O4855" s="105">
        <f>IFERROR(VLOOKUP(A4855,Lookup!$J$5:$P$19,7,FALSE),0)</f>
        <v>3</v>
      </c>
      <c r="P4855" s="159">
        <f t="shared" si="793"/>
        <v>2015</v>
      </c>
      <c r="Q4855" s="159">
        <f t="shared" si="794"/>
        <v>2</v>
      </c>
      <c r="R4855" s="160">
        <f t="shared" si="795"/>
        <v>6.3333333331975155</v>
      </c>
      <c r="S4855" s="158">
        <f t="shared" si="796"/>
        <v>6.3333333331975155</v>
      </c>
      <c r="T4855" s="161">
        <f t="shared" si="797"/>
        <v>3052.6666666012025</v>
      </c>
      <c r="U4855" s="158">
        <f t="shared" si="799"/>
        <v>482</v>
      </c>
      <c r="V4855" s="160">
        <f t="shared" si="798"/>
        <v>482</v>
      </c>
    </row>
    <row r="4856" spans="1:22" x14ac:dyDescent="0.25">
      <c r="A4856" s="98" t="s">
        <v>25</v>
      </c>
      <c r="B4856" s="98" t="s">
        <v>79</v>
      </c>
      <c r="C4856" s="98">
        <v>37</v>
      </c>
      <c r="D4856" s="98">
        <v>8700</v>
      </c>
      <c r="E4856" s="157">
        <v>42059.333333333336</v>
      </c>
      <c r="F4856" s="157">
        <v>42059.666666666664</v>
      </c>
      <c r="G4856" s="98">
        <v>0</v>
      </c>
      <c r="H4856" s="98">
        <v>521</v>
      </c>
      <c r="I4856" s="98">
        <v>482</v>
      </c>
      <c r="J4856" s="98" t="s">
        <v>1987</v>
      </c>
      <c r="K4856" s="98" t="s">
        <v>2965</v>
      </c>
      <c r="L4856" s="105" t="str">
        <f t="shared" si="790"/>
        <v>Mill Creek</v>
      </c>
      <c r="M4856" s="105" t="str">
        <f t="shared" si="791"/>
        <v>Other</v>
      </c>
      <c r="N4856" s="105" t="str">
        <f t="shared" si="792"/>
        <v>Coal</v>
      </c>
      <c r="O4856" s="105">
        <f>IFERROR(VLOOKUP(A4856,Lookup!$J$5:$P$19,7,FALSE),0)</f>
        <v>3</v>
      </c>
      <c r="P4856" s="159">
        <f t="shared" si="793"/>
        <v>2015</v>
      </c>
      <c r="Q4856" s="159">
        <f t="shared" si="794"/>
        <v>2</v>
      </c>
      <c r="R4856" s="160">
        <f t="shared" si="795"/>
        <v>7.9999999998835847</v>
      </c>
      <c r="S4856" s="158">
        <f t="shared" si="796"/>
        <v>7.9999999998835847</v>
      </c>
      <c r="T4856" s="161">
        <f t="shared" si="797"/>
        <v>3855.9999999438878</v>
      </c>
      <c r="U4856" s="158">
        <f t="shared" si="799"/>
        <v>482</v>
      </c>
      <c r="V4856" s="160">
        <f t="shared" si="798"/>
        <v>482</v>
      </c>
    </row>
    <row r="4857" spans="1:22" x14ac:dyDescent="0.25">
      <c r="A4857" s="98" t="s">
        <v>25</v>
      </c>
      <c r="B4857" s="98" t="s">
        <v>79</v>
      </c>
      <c r="C4857" s="98">
        <v>38</v>
      </c>
      <c r="D4857" s="98">
        <v>8460</v>
      </c>
      <c r="E4857" s="157">
        <v>42060.333333333336</v>
      </c>
      <c r="F4857" s="157">
        <v>42060.708333333336</v>
      </c>
      <c r="G4857" s="98">
        <v>0</v>
      </c>
      <c r="H4857" s="98">
        <v>521</v>
      </c>
      <c r="I4857" s="98">
        <v>482</v>
      </c>
      <c r="J4857" s="98" t="s">
        <v>2651</v>
      </c>
      <c r="K4857" s="98" t="s">
        <v>250</v>
      </c>
      <c r="L4857" s="105" t="str">
        <f t="shared" si="790"/>
        <v>Mill Creek</v>
      </c>
      <c r="M4857" s="105" t="str">
        <f t="shared" si="791"/>
        <v>Other</v>
      </c>
      <c r="N4857" s="105" t="str">
        <f t="shared" si="792"/>
        <v>Coal</v>
      </c>
      <c r="O4857" s="105">
        <f>IFERROR(VLOOKUP(A4857,Lookup!$J$5:$P$19,7,FALSE),0)</f>
        <v>3</v>
      </c>
      <c r="P4857" s="159">
        <f t="shared" si="793"/>
        <v>2015</v>
      </c>
      <c r="Q4857" s="159">
        <f t="shared" si="794"/>
        <v>2</v>
      </c>
      <c r="R4857" s="160">
        <f t="shared" si="795"/>
        <v>9</v>
      </c>
      <c r="S4857" s="158">
        <f t="shared" si="796"/>
        <v>9</v>
      </c>
      <c r="T4857" s="161">
        <f t="shared" si="797"/>
        <v>4338</v>
      </c>
      <c r="U4857" s="158">
        <f t="shared" si="799"/>
        <v>482</v>
      </c>
      <c r="V4857" s="160">
        <f t="shared" si="798"/>
        <v>482</v>
      </c>
    </row>
    <row r="4858" spans="1:22" x14ac:dyDescent="0.25">
      <c r="A4858" s="98" t="s">
        <v>25</v>
      </c>
      <c r="B4858" s="98" t="s">
        <v>79</v>
      </c>
      <c r="C4858" s="98">
        <v>39</v>
      </c>
      <c r="D4858" s="98">
        <v>8460</v>
      </c>
      <c r="E4858" s="162">
        <v>42061.333333333336</v>
      </c>
      <c r="F4858" s="157">
        <v>42061.662499999999</v>
      </c>
      <c r="G4858" s="98">
        <v>0</v>
      </c>
      <c r="H4858" s="98">
        <v>521</v>
      </c>
      <c r="I4858" s="98">
        <v>482</v>
      </c>
      <c r="J4858" s="98" t="s">
        <v>2651</v>
      </c>
      <c r="K4858" s="98" t="s">
        <v>1650</v>
      </c>
      <c r="L4858" s="105" t="str">
        <f t="shared" si="790"/>
        <v>Mill Creek</v>
      </c>
      <c r="M4858" s="105" t="str">
        <f t="shared" si="791"/>
        <v>Other</v>
      </c>
      <c r="N4858" s="105" t="str">
        <f t="shared" si="792"/>
        <v>Coal</v>
      </c>
      <c r="O4858" s="105">
        <f>IFERROR(VLOOKUP(A4858,Lookup!$J$5:$P$19,7,FALSE),0)</f>
        <v>3</v>
      </c>
      <c r="P4858" s="159">
        <f t="shared" si="793"/>
        <v>2015</v>
      </c>
      <c r="Q4858" s="159">
        <f t="shared" si="794"/>
        <v>2</v>
      </c>
      <c r="R4858" s="160">
        <f t="shared" si="795"/>
        <v>7.8999999999068677</v>
      </c>
      <c r="S4858" s="158">
        <f t="shared" si="796"/>
        <v>7.8999999999068677</v>
      </c>
      <c r="T4858" s="161">
        <f t="shared" si="797"/>
        <v>3807.7999999551103</v>
      </c>
      <c r="U4858" s="158">
        <f t="shared" si="799"/>
        <v>482</v>
      </c>
      <c r="V4858" s="160">
        <f t="shared" si="798"/>
        <v>482</v>
      </c>
    </row>
    <row r="4859" spans="1:22" x14ac:dyDescent="0.25">
      <c r="A4859" s="98" t="s">
        <v>25</v>
      </c>
      <c r="B4859" s="98" t="s">
        <v>79</v>
      </c>
      <c r="C4859" s="98">
        <v>40</v>
      </c>
      <c r="D4859" s="98">
        <v>9999</v>
      </c>
      <c r="E4859" s="157">
        <v>42065.333333333336</v>
      </c>
      <c r="F4859" s="157">
        <v>42065.541666666664</v>
      </c>
      <c r="G4859" s="98">
        <v>0</v>
      </c>
      <c r="H4859" s="98">
        <v>521</v>
      </c>
      <c r="I4859" s="98">
        <v>482</v>
      </c>
      <c r="J4859" s="98" t="s">
        <v>2261</v>
      </c>
      <c r="K4859" s="98" t="s">
        <v>2966</v>
      </c>
      <c r="L4859" s="105" t="str">
        <f t="shared" si="790"/>
        <v>Mill Creek</v>
      </c>
      <c r="M4859" s="105" t="str">
        <f t="shared" si="791"/>
        <v>Other</v>
      </c>
      <c r="N4859" s="105" t="str">
        <f t="shared" si="792"/>
        <v>Coal</v>
      </c>
      <c r="O4859" s="105">
        <f>IFERROR(VLOOKUP(A4859,Lookup!$J$5:$P$19,7,FALSE),0)</f>
        <v>3</v>
      </c>
      <c r="P4859" s="159">
        <f t="shared" si="793"/>
        <v>2015</v>
      </c>
      <c r="Q4859" s="159">
        <f t="shared" si="794"/>
        <v>3</v>
      </c>
      <c r="R4859" s="160">
        <f t="shared" si="795"/>
        <v>4.9999999998835847</v>
      </c>
      <c r="S4859" s="158">
        <f t="shared" si="796"/>
        <v>4.9999999998835847</v>
      </c>
      <c r="T4859" s="161">
        <f t="shared" si="797"/>
        <v>2409.9999999438878</v>
      </c>
      <c r="U4859" s="158">
        <f t="shared" si="799"/>
        <v>482</v>
      </c>
      <c r="V4859" s="160">
        <f t="shared" si="798"/>
        <v>482</v>
      </c>
    </row>
    <row r="4860" spans="1:22" x14ac:dyDescent="0.25">
      <c r="A4860" s="98" t="s">
        <v>25</v>
      </c>
      <c r="B4860" s="98" t="s">
        <v>17</v>
      </c>
      <c r="C4860" s="98">
        <v>41</v>
      </c>
      <c r="D4860" s="98">
        <v>1488</v>
      </c>
      <c r="E4860" s="157">
        <v>42069.204861111109</v>
      </c>
      <c r="F4860" s="157">
        <v>42075.370833333334</v>
      </c>
      <c r="G4860" s="98">
        <v>512</v>
      </c>
      <c r="H4860" s="98">
        <v>521</v>
      </c>
      <c r="I4860" s="98">
        <v>482</v>
      </c>
      <c r="J4860" s="98" t="s">
        <v>2284</v>
      </c>
      <c r="K4860" s="98" t="s">
        <v>2967</v>
      </c>
      <c r="L4860" s="105" t="str">
        <f t="shared" si="790"/>
        <v>Mill Creek</v>
      </c>
      <c r="M4860" s="105" t="str">
        <f t="shared" si="791"/>
        <v>Derate</v>
      </c>
      <c r="N4860" s="105" t="str">
        <f t="shared" si="792"/>
        <v>Coal</v>
      </c>
      <c r="O4860" s="105">
        <f>IFERROR(VLOOKUP(A4860,Lookup!$J$5:$P$19,7,FALSE),0)</f>
        <v>3</v>
      </c>
      <c r="P4860" s="159">
        <f t="shared" si="793"/>
        <v>2015</v>
      </c>
      <c r="Q4860" s="159">
        <f t="shared" si="794"/>
        <v>3</v>
      </c>
      <c r="R4860" s="160">
        <f t="shared" si="795"/>
        <v>147.98333333339542</v>
      </c>
      <c r="S4860" s="158">
        <f t="shared" si="796"/>
        <v>2.5563339731296715</v>
      </c>
      <c r="T4860" s="161">
        <f t="shared" si="797"/>
        <v>1232.1529750485017</v>
      </c>
      <c r="U4860" s="158">
        <f t="shared" si="799"/>
        <v>8.3262955854126677</v>
      </c>
      <c r="V4860" s="160">
        <f t="shared" si="798"/>
        <v>8</v>
      </c>
    </row>
    <row r="4861" spans="1:22" x14ac:dyDescent="0.25">
      <c r="A4861" s="98" t="s">
        <v>25</v>
      </c>
      <c r="B4861" s="98" t="s">
        <v>17</v>
      </c>
      <c r="C4861" s="98">
        <v>42</v>
      </c>
      <c r="D4861" s="98">
        <v>1488</v>
      </c>
      <c r="E4861" s="157">
        <v>42075.370833333334</v>
      </c>
      <c r="F4861" s="157">
        <v>42076.011111111111</v>
      </c>
      <c r="G4861" s="98">
        <v>500</v>
      </c>
      <c r="H4861" s="98">
        <v>521</v>
      </c>
      <c r="I4861" s="98">
        <v>482</v>
      </c>
      <c r="J4861" s="98" t="s">
        <v>2284</v>
      </c>
      <c r="K4861" s="98" t="s">
        <v>2968</v>
      </c>
      <c r="L4861" s="105" t="str">
        <f t="shared" si="790"/>
        <v>Mill Creek</v>
      </c>
      <c r="M4861" s="105" t="str">
        <f t="shared" si="791"/>
        <v>Derate</v>
      </c>
      <c r="N4861" s="105" t="str">
        <f t="shared" si="792"/>
        <v>Coal</v>
      </c>
      <c r="O4861" s="105">
        <f>IFERROR(VLOOKUP(A4861,Lookup!$J$5:$P$19,7,FALSE),0)</f>
        <v>3</v>
      </c>
      <c r="P4861" s="159">
        <f t="shared" si="793"/>
        <v>2015</v>
      </c>
      <c r="Q4861" s="159">
        <f t="shared" si="794"/>
        <v>3</v>
      </c>
      <c r="R4861" s="160">
        <f t="shared" si="795"/>
        <v>15.366666666639503</v>
      </c>
      <c r="S4861" s="158">
        <f t="shared" si="796"/>
        <v>0.61938579654401071</v>
      </c>
      <c r="T4861" s="161">
        <f t="shared" si="797"/>
        <v>298.54395393421316</v>
      </c>
      <c r="U4861" s="158">
        <f t="shared" si="799"/>
        <v>19.428023032629557</v>
      </c>
      <c r="V4861" s="160">
        <f t="shared" si="798"/>
        <v>19</v>
      </c>
    </row>
    <row r="4862" spans="1:22" x14ac:dyDescent="0.25">
      <c r="A4862" s="98" t="s">
        <v>25</v>
      </c>
      <c r="B4862" s="98" t="s">
        <v>20</v>
      </c>
      <c r="C4862" s="98">
        <v>43</v>
      </c>
      <c r="D4862" s="98">
        <v>1488</v>
      </c>
      <c r="E4862" s="157">
        <v>42076.011111111111</v>
      </c>
      <c r="F4862" s="157">
        <v>42079.655555555553</v>
      </c>
      <c r="G4862" s="98">
        <v>0</v>
      </c>
      <c r="H4862" s="98">
        <v>521</v>
      </c>
      <c r="I4862" s="98">
        <v>482</v>
      </c>
      <c r="J4862" s="98" t="s">
        <v>2284</v>
      </c>
      <c r="K4862" s="98" t="s">
        <v>54</v>
      </c>
      <c r="L4862" s="105" t="str">
        <f t="shared" si="790"/>
        <v>Mill Creek</v>
      </c>
      <c r="M4862" s="105" t="str">
        <f t="shared" si="791"/>
        <v>Maintenance</v>
      </c>
      <c r="N4862" s="105" t="str">
        <f t="shared" si="792"/>
        <v>Coal</v>
      </c>
      <c r="O4862" s="105">
        <f>IFERROR(VLOOKUP(A4862,Lookup!$J$5:$P$19,7,FALSE),0)</f>
        <v>3</v>
      </c>
      <c r="P4862" s="159">
        <f t="shared" si="793"/>
        <v>2015</v>
      </c>
      <c r="Q4862" s="159">
        <f t="shared" si="794"/>
        <v>3</v>
      </c>
      <c r="R4862" s="160">
        <f t="shared" si="795"/>
        <v>87.46666666661622</v>
      </c>
      <c r="S4862" s="158">
        <f t="shared" si="796"/>
        <v>87.46666666661622</v>
      </c>
      <c r="T4862" s="161">
        <f t="shared" si="797"/>
        <v>42158.933333309018</v>
      </c>
      <c r="U4862" s="158">
        <f t="shared" si="799"/>
        <v>482</v>
      </c>
      <c r="V4862" s="160">
        <f t="shared" si="798"/>
        <v>482</v>
      </c>
    </row>
    <row r="4863" spans="1:22" x14ac:dyDescent="0.25">
      <c r="A4863" s="98" t="s">
        <v>25</v>
      </c>
      <c r="B4863" s="98" t="s">
        <v>79</v>
      </c>
      <c r="C4863" s="98">
        <v>44</v>
      </c>
      <c r="D4863" s="98">
        <v>1850</v>
      </c>
      <c r="E4863" s="157">
        <v>42079.655555555553</v>
      </c>
      <c r="F4863" s="157">
        <v>42080.15625</v>
      </c>
      <c r="G4863" s="98">
        <v>0</v>
      </c>
      <c r="H4863" s="98">
        <v>521</v>
      </c>
      <c r="I4863" s="98">
        <v>482</v>
      </c>
      <c r="J4863" s="98" t="s">
        <v>2263</v>
      </c>
      <c r="K4863" s="98" t="s">
        <v>85</v>
      </c>
      <c r="L4863" s="105" t="str">
        <f t="shared" si="790"/>
        <v>Mill Creek</v>
      </c>
      <c r="M4863" s="105" t="str">
        <f t="shared" si="791"/>
        <v>Other</v>
      </c>
      <c r="N4863" s="105" t="str">
        <f t="shared" si="792"/>
        <v>Coal</v>
      </c>
      <c r="O4863" s="105">
        <f>IFERROR(VLOOKUP(A4863,Lookup!$J$5:$P$19,7,FALSE),0)</f>
        <v>3</v>
      </c>
      <c r="P4863" s="159">
        <f t="shared" si="793"/>
        <v>2015</v>
      </c>
      <c r="Q4863" s="159">
        <f t="shared" si="794"/>
        <v>3</v>
      </c>
      <c r="R4863" s="160">
        <f t="shared" si="795"/>
        <v>12.016666666720994</v>
      </c>
      <c r="S4863" s="158">
        <f t="shared" si="796"/>
        <v>12.016666666720994</v>
      </c>
      <c r="T4863" s="161">
        <f t="shared" si="797"/>
        <v>5792.033333359519</v>
      </c>
      <c r="U4863" s="158">
        <f t="shared" si="799"/>
        <v>482</v>
      </c>
      <c r="V4863" s="160">
        <f t="shared" si="798"/>
        <v>482</v>
      </c>
    </row>
    <row r="4864" spans="1:22" x14ac:dyDescent="0.25">
      <c r="A4864" s="98" t="s">
        <v>25</v>
      </c>
      <c r="B4864" s="98" t="s">
        <v>17</v>
      </c>
      <c r="C4864" s="98">
        <v>45</v>
      </c>
      <c r="D4864" s="98">
        <v>1850</v>
      </c>
      <c r="E4864" s="157">
        <v>42080.15625</v>
      </c>
      <c r="F4864" s="157">
        <v>42080.890277777777</v>
      </c>
      <c r="G4864" s="98">
        <v>459</v>
      </c>
      <c r="H4864" s="98">
        <v>521</v>
      </c>
      <c r="I4864" s="98">
        <v>482</v>
      </c>
      <c r="J4864" s="98" t="s">
        <v>2263</v>
      </c>
      <c r="K4864" s="98" t="s">
        <v>41</v>
      </c>
      <c r="L4864" s="105" t="str">
        <f t="shared" si="790"/>
        <v>Mill Creek</v>
      </c>
      <c r="M4864" s="105" t="str">
        <f t="shared" si="791"/>
        <v>Derate</v>
      </c>
      <c r="N4864" s="105" t="str">
        <f t="shared" si="792"/>
        <v>Coal</v>
      </c>
      <c r="O4864" s="105">
        <f>IFERROR(VLOOKUP(A4864,Lookup!$J$5:$P$19,7,FALSE),0)</f>
        <v>3</v>
      </c>
      <c r="P4864" s="159">
        <f t="shared" si="793"/>
        <v>2015</v>
      </c>
      <c r="Q4864" s="159">
        <f t="shared" si="794"/>
        <v>3</v>
      </c>
      <c r="R4864" s="160">
        <f t="shared" si="795"/>
        <v>17.616666666639503</v>
      </c>
      <c r="S4864" s="158">
        <f t="shared" si="796"/>
        <v>2.0964171465098831</v>
      </c>
      <c r="T4864" s="161">
        <f t="shared" si="797"/>
        <v>1010.4730646177636</v>
      </c>
      <c r="U4864" s="158">
        <f t="shared" si="799"/>
        <v>57.358925143953932</v>
      </c>
      <c r="V4864" s="160">
        <f t="shared" si="798"/>
        <v>57</v>
      </c>
    </row>
    <row r="4865" spans="1:22" x14ac:dyDescent="0.25">
      <c r="A4865" s="98" t="s">
        <v>25</v>
      </c>
      <c r="B4865" s="98" t="s">
        <v>15</v>
      </c>
      <c r="C4865" s="98">
        <v>46</v>
      </c>
      <c r="D4865" s="98">
        <v>800</v>
      </c>
      <c r="E4865" s="157">
        <v>42088.64166666667</v>
      </c>
      <c r="F4865" s="157">
        <v>42088.813194444447</v>
      </c>
      <c r="G4865" s="98">
        <v>0</v>
      </c>
      <c r="H4865" s="98">
        <v>521</v>
      </c>
      <c r="I4865" s="98">
        <v>482</v>
      </c>
      <c r="J4865" s="98" t="s">
        <v>2197</v>
      </c>
      <c r="K4865" s="98" t="s">
        <v>44</v>
      </c>
      <c r="L4865" s="105" t="str">
        <f t="shared" si="790"/>
        <v>Mill Creek</v>
      </c>
      <c r="M4865" s="105" t="str">
        <f t="shared" si="791"/>
        <v>Outage</v>
      </c>
      <c r="N4865" s="105" t="str">
        <f t="shared" si="792"/>
        <v>Coal</v>
      </c>
      <c r="O4865" s="105">
        <f>IFERROR(VLOOKUP(A4865,Lookup!$J$5:$P$19,7,FALSE),0)</f>
        <v>3</v>
      </c>
      <c r="P4865" s="159">
        <f t="shared" si="793"/>
        <v>2015</v>
      </c>
      <c r="Q4865" s="159">
        <f t="shared" si="794"/>
        <v>3</v>
      </c>
      <c r="R4865" s="160">
        <f t="shared" si="795"/>
        <v>4.1166666666395031</v>
      </c>
      <c r="S4865" s="158">
        <f t="shared" si="796"/>
        <v>4.1166666666395031</v>
      </c>
      <c r="T4865" s="161">
        <f t="shared" si="797"/>
        <v>1984.2333333202405</v>
      </c>
      <c r="U4865" s="158">
        <f t="shared" si="799"/>
        <v>482</v>
      </c>
      <c r="V4865" s="160">
        <f t="shared" si="798"/>
        <v>482</v>
      </c>
    </row>
    <row r="4866" spans="1:22" x14ac:dyDescent="0.25">
      <c r="A4866" s="98" t="s">
        <v>25</v>
      </c>
      <c r="B4866" s="98" t="s">
        <v>79</v>
      </c>
      <c r="C4866" s="98">
        <v>47</v>
      </c>
      <c r="D4866" s="98">
        <v>1850</v>
      </c>
      <c r="E4866" s="162">
        <v>42088.813194444447</v>
      </c>
      <c r="F4866" s="157">
        <v>42089</v>
      </c>
      <c r="G4866" s="98">
        <v>0</v>
      </c>
      <c r="H4866" s="98">
        <v>521</v>
      </c>
      <c r="I4866" s="98">
        <v>482</v>
      </c>
      <c r="J4866" s="98" t="s">
        <v>2263</v>
      </c>
      <c r="K4866" s="98" t="s">
        <v>2969</v>
      </c>
      <c r="L4866" s="105" t="str">
        <f t="shared" si="790"/>
        <v>Mill Creek</v>
      </c>
      <c r="M4866" s="105" t="str">
        <f t="shared" si="791"/>
        <v>Other</v>
      </c>
      <c r="N4866" s="105" t="str">
        <f t="shared" si="792"/>
        <v>Coal</v>
      </c>
      <c r="O4866" s="105">
        <f>IFERROR(VLOOKUP(A4866,Lookup!$J$5:$P$19,7,FALSE),0)</f>
        <v>3</v>
      </c>
      <c r="P4866" s="159">
        <f t="shared" si="793"/>
        <v>2015</v>
      </c>
      <c r="Q4866" s="159">
        <f t="shared" si="794"/>
        <v>3</v>
      </c>
      <c r="R4866" s="160">
        <f t="shared" si="795"/>
        <v>4.4833333332790062</v>
      </c>
      <c r="S4866" s="158">
        <f t="shared" si="796"/>
        <v>4.4833333332790062</v>
      </c>
      <c r="T4866" s="161">
        <f t="shared" si="797"/>
        <v>2160.966666640481</v>
      </c>
      <c r="U4866" s="158">
        <f t="shared" si="799"/>
        <v>482</v>
      </c>
      <c r="V4866" s="160">
        <f t="shared" si="798"/>
        <v>482</v>
      </c>
    </row>
    <row r="4867" spans="1:22" x14ac:dyDescent="0.25">
      <c r="A4867" s="98" t="s">
        <v>25</v>
      </c>
      <c r="B4867" s="98" t="s">
        <v>17</v>
      </c>
      <c r="C4867" s="98">
        <v>56</v>
      </c>
      <c r="D4867" s="98">
        <v>1850</v>
      </c>
      <c r="E4867" s="157">
        <v>42089</v>
      </c>
      <c r="F4867" s="157">
        <v>42089.063194444447</v>
      </c>
      <c r="G4867" s="98">
        <v>450</v>
      </c>
      <c r="H4867" s="98">
        <v>521</v>
      </c>
      <c r="I4867" s="98">
        <v>482</v>
      </c>
      <c r="J4867" s="98" t="s">
        <v>2263</v>
      </c>
      <c r="K4867" s="98" t="s">
        <v>41</v>
      </c>
      <c r="L4867" s="105" t="str">
        <f t="shared" si="790"/>
        <v>Mill Creek</v>
      </c>
      <c r="M4867" s="105" t="str">
        <f t="shared" si="791"/>
        <v>Derate</v>
      </c>
      <c r="N4867" s="105" t="str">
        <f t="shared" si="792"/>
        <v>Coal</v>
      </c>
      <c r="O4867" s="105">
        <f>IFERROR(VLOOKUP(A4867,Lookup!$J$5:$P$19,7,FALSE),0)</f>
        <v>3</v>
      </c>
      <c r="P4867" s="159">
        <f t="shared" si="793"/>
        <v>2015</v>
      </c>
      <c r="Q4867" s="159">
        <f t="shared" si="794"/>
        <v>3</v>
      </c>
      <c r="R4867" s="160">
        <f t="shared" si="795"/>
        <v>1.5166666667209938</v>
      </c>
      <c r="S4867" s="158">
        <f t="shared" si="796"/>
        <v>0.20668586053203564</v>
      </c>
      <c r="T4867" s="161">
        <f t="shared" si="797"/>
        <v>99.622584776441172</v>
      </c>
      <c r="U4867" s="158">
        <f t="shared" si="799"/>
        <v>65.685220729366605</v>
      </c>
      <c r="V4867" s="160">
        <f t="shared" si="798"/>
        <v>66</v>
      </c>
    </row>
    <row r="4868" spans="1:22" x14ac:dyDescent="0.25">
      <c r="A4868" s="98" t="s">
        <v>25</v>
      </c>
      <c r="B4868" s="98" t="s">
        <v>17</v>
      </c>
      <c r="C4868" s="98">
        <v>48</v>
      </c>
      <c r="D4868" s="98">
        <v>1850</v>
      </c>
      <c r="E4868" s="157">
        <v>42089.063194444447</v>
      </c>
      <c r="F4868" s="157">
        <v>42089.125</v>
      </c>
      <c r="G4868" s="98">
        <v>350</v>
      </c>
      <c r="H4868" s="98">
        <v>521</v>
      </c>
      <c r="I4868" s="98">
        <v>482</v>
      </c>
      <c r="J4868" s="98" t="s">
        <v>2263</v>
      </c>
      <c r="K4868" s="98" t="s">
        <v>41</v>
      </c>
      <c r="L4868" s="105" t="str">
        <f t="shared" si="790"/>
        <v>Mill Creek</v>
      </c>
      <c r="M4868" s="105" t="str">
        <f t="shared" si="791"/>
        <v>Derate</v>
      </c>
      <c r="N4868" s="105" t="str">
        <f t="shared" si="792"/>
        <v>Coal</v>
      </c>
      <c r="O4868" s="105">
        <f>IFERROR(VLOOKUP(A4868,Lookup!$J$5:$P$19,7,FALSE),0)</f>
        <v>3</v>
      </c>
      <c r="P4868" s="159">
        <f t="shared" si="793"/>
        <v>2015</v>
      </c>
      <c r="Q4868" s="159">
        <f t="shared" si="794"/>
        <v>3</v>
      </c>
      <c r="R4868" s="160">
        <f t="shared" si="795"/>
        <v>1.4833333332790062</v>
      </c>
      <c r="S4868" s="158">
        <f t="shared" si="796"/>
        <v>0.48685220727583506</v>
      </c>
      <c r="T4868" s="161">
        <f t="shared" si="797"/>
        <v>234.66276390695251</v>
      </c>
      <c r="U4868" s="158">
        <f t="shared" si="799"/>
        <v>158.19961612284069</v>
      </c>
      <c r="V4868" s="160">
        <f t="shared" si="798"/>
        <v>158</v>
      </c>
    </row>
    <row r="4869" spans="1:22" x14ac:dyDescent="0.25">
      <c r="A4869" s="98" t="s">
        <v>25</v>
      </c>
      <c r="B4869" s="98" t="s">
        <v>17</v>
      </c>
      <c r="C4869" s="98">
        <v>49</v>
      </c>
      <c r="D4869" s="98">
        <v>1850</v>
      </c>
      <c r="E4869" s="157">
        <v>42089.125</v>
      </c>
      <c r="F4869" s="157">
        <v>42089.26458333333</v>
      </c>
      <c r="G4869" s="98">
        <v>370</v>
      </c>
      <c r="H4869" s="98">
        <v>521</v>
      </c>
      <c r="I4869" s="98">
        <v>482</v>
      </c>
      <c r="J4869" s="98" t="s">
        <v>2263</v>
      </c>
      <c r="K4869" s="98" t="s">
        <v>41</v>
      </c>
      <c r="L4869" s="105" t="str">
        <f t="shared" si="790"/>
        <v>Mill Creek</v>
      </c>
      <c r="M4869" s="105" t="str">
        <f t="shared" si="791"/>
        <v>Derate</v>
      </c>
      <c r="N4869" s="105" t="str">
        <f t="shared" si="792"/>
        <v>Coal</v>
      </c>
      <c r="O4869" s="105">
        <f>IFERROR(VLOOKUP(A4869,Lookup!$J$5:$P$19,7,FALSE),0)</f>
        <v>3</v>
      </c>
      <c r="P4869" s="159">
        <f t="shared" si="793"/>
        <v>2015</v>
      </c>
      <c r="Q4869" s="159">
        <f t="shared" si="794"/>
        <v>3</v>
      </c>
      <c r="R4869" s="160">
        <f t="shared" si="795"/>
        <v>3.3499999999185093</v>
      </c>
      <c r="S4869" s="158">
        <f t="shared" si="796"/>
        <v>0.97092130515872344</v>
      </c>
      <c r="T4869" s="161">
        <f t="shared" si="797"/>
        <v>467.98406908650469</v>
      </c>
      <c r="U4869" s="158">
        <f t="shared" si="799"/>
        <v>139.69673704414586</v>
      </c>
      <c r="V4869" s="160">
        <f t="shared" si="798"/>
        <v>140</v>
      </c>
    </row>
    <row r="4870" spans="1:22" x14ac:dyDescent="0.25">
      <c r="A4870" s="98" t="s">
        <v>25</v>
      </c>
      <c r="B4870" s="98" t="s">
        <v>17</v>
      </c>
      <c r="C4870" s="98">
        <v>50</v>
      </c>
      <c r="D4870" s="98">
        <v>1850</v>
      </c>
      <c r="E4870" s="157">
        <v>42089.26458333333</v>
      </c>
      <c r="F4870" s="157">
        <v>42089.308333333334</v>
      </c>
      <c r="G4870" s="98">
        <v>437</v>
      </c>
      <c r="H4870" s="98">
        <v>521</v>
      </c>
      <c r="I4870" s="98">
        <v>482</v>
      </c>
      <c r="J4870" s="98" t="s">
        <v>2263</v>
      </c>
      <c r="K4870" s="98" t="s">
        <v>62</v>
      </c>
      <c r="L4870" s="105" t="str">
        <f t="shared" si="790"/>
        <v>Mill Creek</v>
      </c>
      <c r="M4870" s="105" t="str">
        <f t="shared" si="791"/>
        <v>Derate</v>
      </c>
      <c r="N4870" s="105" t="str">
        <f t="shared" si="792"/>
        <v>Coal</v>
      </c>
      <c r="O4870" s="105">
        <f>IFERROR(VLOOKUP(A4870,Lookup!$J$5:$P$19,7,FALSE),0)</f>
        <v>3</v>
      </c>
      <c r="P4870" s="159">
        <f t="shared" si="793"/>
        <v>2015</v>
      </c>
      <c r="Q4870" s="159">
        <f t="shared" si="794"/>
        <v>3</v>
      </c>
      <c r="R4870" s="160">
        <f t="shared" si="795"/>
        <v>1.0500000001047738</v>
      </c>
      <c r="S4870" s="158">
        <f t="shared" si="796"/>
        <v>0.16928982727217082</v>
      </c>
      <c r="T4870" s="161">
        <f t="shared" si="797"/>
        <v>81.59769674518634</v>
      </c>
      <c r="U4870" s="158">
        <f t="shared" si="799"/>
        <v>77.712092130518229</v>
      </c>
      <c r="V4870" s="160">
        <f t="shared" si="798"/>
        <v>78</v>
      </c>
    </row>
    <row r="4871" spans="1:22" x14ac:dyDescent="0.25">
      <c r="A4871" s="98" t="s">
        <v>25</v>
      </c>
      <c r="B4871" s="98" t="s">
        <v>17</v>
      </c>
      <c r="C4871" s="98">
        <v>51</v>
      </c>
      <c r="D4871" s="98">
        <v>1850</v>
      </c>
      <c r="E4871" s="157">
        <v>42089.308333333334</v>
      </c>
      <c r="F4871" s="157">
        <v>42089.423611111109</v>
      </c>
      <c r="G4871" s="98">
        <v>450</v>
      </c>
      <c r="H4871" s="98">
        <v>521</v>
      </c>
      <c r="I4871" s="98">
        <v>482</v>
      </c>
      <c r="J4871" s="98" t="s">
        <v>2263</v>
      </c>
      <c r="K4871" s="98" t="s">
        <v>41</v>
      </c>
      <c r="L4871" s="105" t="str">
        <f t="shared" si="790"/>
        <v>Mill Creek</v>
      </c>
      <c r="M4871" s="105" t="str">
        <f t="shared" si="791"/>
        <v>Derate</v>
      </c>
      <c r="N4871" s="105" t="str">
        <f t="shared" si="792"/>
        <v>Coal</v>
      </c>
      <c r="O4871" s="105">
        <f>IFERROR(VLOOKUP(A4871,Lookup!$J$5:$P$19,7,FALSE),0)</f>
        <v>3</v>
      </c>
      <c r="P4871" s="159">
        <f t="shared" si="793"/>
        <v>2015</v>
      </c>
      <c r="Q4871" s="159">
        <f t="shared" si="794"/>
        <v>3</v>
      </c>
      <c r="R4871" s="160">
        <f t="shared" si="795"/>
        <v>2.7666666666045785</v>
      </c>
      <c r="S4871" s="158">
        <f t="shared" si="796"/>
        <v>0.37703134995954907</v>
      </c>
      <c r="T4871" s="161">
        <f t="shared" si="797"/>
        <v>181.72911068050266</v>
      </c>
      <c r="U4871" s="158">
        <f t="shared" si="799"/>
        <v>65.685220729366605</v>
      </c>
      <c r="V4871" s="160">
        <f t="shared" si="798"/>
        <v>66</v>
      </c>
    </row>
    <row r="4872" spans="1:22" x14ac:dyDescent="0.25">
      <c r="A4872" s="98" t="s">
        <v>25</v>
      </c>
      <c r="B4872" s="98" t="s">
        <v>17</v>
      </c>
      <c r="C4872" s="98">
        <v>52</v>
      </c>
      <c r="D4872" s="98">
        <v>360</v>
      </c>
      <c r="E4872" s="157">
        <v>42090.98333333333</v>
      </c>
      <c r="F4872" s="157">
        <v>42091.038888888892</v>
      </c>
      <c r="G4872" s="98">
        <v>380</v>
      </c>
      <c r="H4872" s="98">
        <v>521</v>
      </c>
      <c r="I4872" s="98">
        <v>482</v>
      </c>
      <c r="J4872" s="98" t="s">
        <v>229</v>
      </c>
      <c r="K4872" s="98" t="s">
        <v>2970</v>
      </c>
      <c r="L4872" s="105" t="str">
        <f t="shared" si="790"/>
        <v>Mill Creek</v>
      </c>
      <c r="M4872" s="105" t="str">
        <f t="shared" si="791"/>
        <v>Derate</v>
      </c>
      <c r="N4872" s="105" t="str">
        <f t="shared" si="792"/>
        <v>Coal</v>
      </c>
      <c r="O4872" s="105">
        <f>IFERROR(VLOOKUP(A4872,Lookup!$J$5:$P$19,7,FALSE),0)</f>
        <v>3</v>
      </c>
      <c r="P4872" s="159">
        <f t="shared" si="793"/>
        <v>2015</v>
      </c>
      <c r="Q4872" s="159">
        <f t="shared" si="794"/>
        <v>3</v>
      </c>
      <c r="R4872" s="160">
        <f t="shared" si="795"/>
        <v>1.3333333334885538</v>
      </c>
      <c r="S4872" s="158">
        <f t="shared" si="796"/>
        <v>0.36084452979248766</v>
      </c>
      <c r="T4872" s="161">
        <f t="shared" si="797"/>
        <v>173.92706335997906</v>
      </c>
      <c r="U4872" s="158">
        <f t="shared" si="799"/>
        <v>130.44529750479848</v>
      </c>
      <c r="V4872" s="160">
        <f t="shared" si="798"/>
        <v>130</v>
      </c>
    </row>
    <row r="4873" spans="1:22" x14ac:dyDescent="0.25">
      <c r="A4873" s="98" t="s">
        <v>25</v>
      </c>
      <c r="B4873" s="98" t="s">
        <v>17</v>
      </c>
      <c r="C4873" s="98">
        <v>53</v>
      </c>
      <c r="D4873" s="98">
        <v>360</v>
      </c>
      <c r="E4873" s="157">
        <v>42091.083333333336</v>
      </c>
      <c r="F4873" s="157">
        <v>42091.102083333331</v>
      </c>
      <c r="G4873" s="98">
        <v>430</v>
      </c>
      <c r="H4873" s="98">
        <v>521</v>
      </c>
      <c r="I4873" s="98">
        <v>482</v>
      </c>
      <c r="J4873" s="98" t="s">
        <v>229</v>
      </c>
      <c r="K4873" s="98" t="s">
        <v>2971</v>
      </c>
      <c r="L4873" s="105" t="str">
        <f t="shared" si="790"/>
        <v>Mill Creek</v>
      </c>
      <c r="M4873" s="105" t="str">
        <f t="shared" si="791"/>
        <v>Derate</v>
      </c>
      <c r="N4873" s="105" t="str">
        <f t="shared" si="792"/>
        <v>Coal</v>
      </c>
      <c r="O4873" s="105">
        <f>IFERROR(VLOOKUP(A4873,Lookup!$J$5:$P$19,7,FALSE),0)</f>
        <v>3</v>
      </c>
      <c r="P4873" s="159">
        <f t="shared" si="793"/>
        <v>2015</v>
      </c>
      <c r="Q4873" s="159">
        <f t="shared" si="794"/>
        <v>3</v>
      </c>
      <c r="R4873" s="160">
        <f t="shared" si="795"/>
        <v>0.44999999989522621</v>
      </c>
      <c r="S4873" s="158">
        <f t="shared" si="796"/>
        <v>7.859884835022185E-2</v>
      </c>
      <c r="T4873" s="161">
        <f t="shared" si="797"/>
        <v>37.884644904806933</v>
      </c>
      <c r="U4873" s="158">
        <f t="shared" si="799"/>
        <v>84.188099808061423</v>
      </c>
      <c r="V4873" s="160">
        <f t="shared" si="798"/>
        <v>84</v>
      </c>
    </row>
    <row r="4874" spans="1:22" x14ac:dyDescent="0.25">
      <c r="A4874" s="98" t="s">
        <v>25</v>
      </c>
      <c r="B4874" s="98" t="s">
        <v>105</v>
      </c>
      <c r="C4874" s="98">
        <v>54</v>
      </c>
      <c r="D4874" s="98">
        <v>310</v>
      </c>
      <c r="E4874" s="157">
        <v>42093.916666666664</v>
      </c>
      <c r="F4874" s="157">
        <v>42094.178472222222</v>
      </c>
      <c r="G4874" s="98">
        <v>390</v>
      </c>
      <c r="H4874" s="98">
        <v>521</v>
      </c>
      <c r="I4874" s="98">
        <v>482</v>
      </c>
      <c r="J4874" s="98" t="s">
        <v>1966</v>
      </c>
      <c r="K4874" s="98" t="s">
        <v>1496</v>
      </c>
      <c r="L4874" s="105" t="str">
        <f t="shared" si="790"/>
        <v>Mill Creek</v>
      </c>
      <c r="M4874" s="105" t="str">
        <f t="shared" si="791"/>
        <v>Derate</v>
      </c>
      <c r="N4874" s="105" t="str">
        <f t="shared" si="792"/>
        <v>Coal</v>
      </c>
      <c r="O4874" s="105">
        <f>IFERROR(VLOOKUP(A4874,Lookup!$J$5:$P$19,7,FALSE),0)</f>
        <v>3</v>
      </c>
      <c r="P4874" s="159">
        <f t="shared" si="793"/>
        <v>2015</v>
      </c>
      <c r="Q4874" s="159">
        <f t="shared" si="794"/>
        <v>3</v>
      </c>
      <c r="R4874" s="160">
        <f t="shared" si="795"/>
        <v>6.28333333338378</v>
      </c>
      <c r="S4874" s="158">
        <f t="shared" si="796"/>
        <v>1.5798784389122364</v>
      </c>
      <c r="T4874" s="161">
        <f t="shared" si="797"/>
        <v>761.50140755569794</v>
      </c>
      <c r="U4874" s="158">
        <f t="shared" si="799"/>
        <v>121.19385796545106</v>
      </c>
      <c r="V4874" s="160">
        <f t="shared" si="798"/>
        <v>121</v>
      </c>
    </row>
    <row r="4875" spans="1:22" x14ac:dyDescent="0.25">
      <c r="A4875" s="98" t="s">
        <v>25</v>
      </c>
      <c r="B4875" s="98" t="s">
        <v>105</v>
      </c>
      <c r="C4875" s="98">
        <v>55</v>
      </c>
      <c r="D4875" s="98">
        <v>310</v>
      </c>
      <c r="E4875" s="157">
        <v>42094.958333333336</v>
      </c>
      <c r="F4875" s="157">
        <v>42095.099305555559</v>
      </c>
      <c r="G4875" s="98">
        <v>350</v>
      </c>
      <c r="H4875" s="98">
        <v>521</v>
      </c>
      <c r="I4875" s="98">
        <v>482</v>
      </c>
      <c r="J4875" s="98" t="s">
        <v>1966</v>
      </c>
      <c r="K4875" s="98" t="s">
        <v>1496</v>
      </c>
      <c r="L4875" s="105" t="str">
        <f t="shared" si="790"/>
        <v>Mill Creek</v>
      </c>
      <c r="M4875" s="105" t="str">
        <f t="shared" si="791"/>
        <v>Derate</v>
      </c>
      <c r="N4875" s="105" t="str">
        <f t="shared" si="792"/>
        <v>Coal</v>
      </c>
      <c r="O4875" s="105">
        <f>IFERROR(VLOOKUP(A4875,Lookup!$J$5:$P$19,7,FALSE),0)</f>
        <v>3</v>
      </c>
      <c r="P4875" s="159">
        <f t="shared" si="793"/>
        <v>2015</v>
      </c>
      <c r="Q4875" s="159">
        <f t="shared" si="794"/>
        <v>3</v>
      </c>
      <c r="R4875" s="160">
        <f t="shared" si="795"/>
        <v>3.3833333333604969</v>
      </c>
      <c r="S4875" s="158">
        <f t="shared" si="796"/>
        <v>1.1104606526000864</v>
      </c>
      <c r="T4875" s="161">
        <f t="shared" si="797"/>
        <v>535.24203455324164</v>
      </c>
      <c r="U4875" s="158">
        <f t="shared" si="799"/>
        <v>158.19961612284069</v>
      </c>
      <c r="V4875" s="160">
        <f t="shared" si="798"/>
        <v>158</v>
      </c>
    </row>
    <row r="4876" spans="1:22" x14ac:dyDescent="0.25">
      <c r="A4876" s="98" t="s">
        <v>25</v>
      </c>
      <c r="B4876" s="98" t="s">
        <v>15</v>
      </c>
      <c r="C4876" s="98">
        <v>57</v>
      </c>
      <c r="D4876" s="98">
        <v>1455</v>
      </c>
      <c r="E4876" s="157">
        <v>42095.765277777777</v>
      </c>
      <c r="F4876" s="157">
        <v>42095.854166666664</v>
      </c>
      <c r="G4876" s="98">
        <v>0</v>
      </c>
      <c r="H4876" s="98">
        <v>521</v>
      </c>
      <c r="I4876" s="98">
        <v>482</v>
      </c>
      <c r="J4876" s="98" t="s">
        <v>1990</v>
      </c>
      <c r="K4876" s="98" t="s">
        <v>2972</v>
      </c>
      <c r="L4876" s="105" t="str">
        <f t="shared" si="790"/>
        <v>Mill Creek</v>
      </c>
      <c r="M4876" s="105" t="str">
        <f t="shared" si="791"/>
        <v>Outage</v>
      </c>
      <c r="N4876" s="105" t="str">
        <f t="shared" si="792"/>
        <v>Coal</v>
      </c>
      <c r="O4876" s="105">
        <f>IFERROR(VLOOKUP(A4876,Lookup!$J$5:$P$19,7,FALSE),0)</f>
        <v>3</v>
      </c>
      <c r="P4876" s="159">
        <f t="shared" si="793"/>
        <v>2015</v>
      </c>
      <c r="Q4876" s="159">
        <f t="shared" si="794"/>
        <v>4</v>
      </c>
      <c r="R4876" s="160">
        <f t="shared" si="795"/>
        <v>2.1333333333022892</v>
      </c>
      <c r="S4876" s="158">
        <f t="shared" si="796"/>
        <v>2.1333333333022892</v>
      </c>
      <c r="T4876" s="161">
        <f t="shared" si="797"/>
        <v>1028.2666666517034</v>
      </c>
      <c r="U4876" s="158">
        <f t="shared" si="799"/>
        <v>482</v>
      </c>
      <c r="V4876" s="160">
        <f t="shared" si="798"/>
        <v>482</v>
      </c>
    </row>
    <row r="4877" spans="1:22" x14ac:dyDescent="0.25">
      <c r="A4877" s="98" t="s">
        <v>25</v>
      </c>
      <c r="B4877" s="98" t="s">
        <v>79</v>
      </c>
      <c r="C4877" s="98">
        <v>58</v>
      </c>
      <c r="D4877" s="98">
        <v>1850</v>
      </c>
      <c r="E4877" s="157">
        <v>42095.854166666664</v>
      </c>
      <c r="F4877" s="157">
        <v>42095.973611111112</v>
      </c>
      <c r="G4877" s="98">
        <v>0</v>
      </c>
      <c r="H4877" s="98">
        <v>521</v>
      </c>
      <c r="I4877" s="98">
        <v>482</v>
      </c>
      <c r="J4877" s="98" t="s">
        <v>2263</v>
      </c>
      <c r="K4877" s="98" t="s">
        <v>87</v>
      </c>
      <c r="L4877" s="105" t="str">
        <f t="shared" si="790"/>
        <v>Mill Creek</v>
      </c>
      <c r="M4877" s="105" t="str">
        <f t="shared" si="791"/>
        <v>Other</v>
      </c>
      <c r="N4877" s="105" t="str">
        <f t="shared" si="792"/>
        <v>Coal</v>
      </c>
      <c r="O4877" s="105">
        <f>IFERROR(VLOOKUP(A4877,Lookup!$J$5:$P$19,7,FALSE),0)</f>
        <v>3</v>
      </c>
      <c r="P4877" s="159">
        <f t="shared" si="793"/>
        <v>2015</v>
      </c>
      <c r="Q4877" s="159">
        <f t="shared" si="794"/>
        <v>4</v>
      </c>
      <c r="R4877" s="160">
        <f t="shared" si="795"/>
        <v>2.8666666667559184</v>
      </c>
      <c r="S4877" s="158">
        <f t="shared" si="796"/>
        <v>2.8666666667559184</v>
      </c>
      <c r="T4877" s="161">
        <f t="shared" si="797"/>
        <v>1381.7333333763527</v>
      </c>
      <c r="U4877" s="158">
        <f t="shared" si="799"/>
        <v>482</v>
      </c>
      <c r="V4877" s="160">
        <f t="shared" si="798"/>
        <v>482</v>
      </c>
    </row>
    <row r="4878" spans="1:22" x14ac:dyDescent="0.25">
      <c r="A4878" s="98" t="s">
        <v>25</v>
      </c>
      <c r="B4878" s="98" t="s">
        <v>105</v>
      </c>
      <c r="C4878" s="98">
        <v>59</v>
      </c>
      <c r="D4878" s="98">
        <v>1471</v>
      </c>
      <c r="E4878" s="157">
        <v>42097</v>
      </c>
      <c r="F4878" s="157">
        <v>42097.005555555559</v>
      </c>
      <c r="G4878" s="98">
        <v>300</v>
      </c>
      <c r="H4878" s="98">
        <v>521</v>
      </c>
      <c r="I4878" s="98">
        <v>482</v>
      </c>
      <c r="J4878" s="98" t="s">
        <v>2279</v>
      </c>
      <c r="K4878" s="98" t="s">
        <v>2973</v>
      </c>
      <c r="L4878" s="105" t="str">
        <f t="shared" si="790"/>
        <v>Mill Creek</v>
      </c>
      <c r="M4878" s="105" t="str">
        <f t="shared" si="791"/>
        <v>Derate</v>
      </c>
      <c r="N4878" s="105" t="str">
        <f t="shared" si="792"/>
        <v>Coal</v>
      </c>
      <c r="O4878" s="105">
        <f>IFERROR(VLOOKUP(A4878,Lookup!$J$5:$P$19,7,FALSE),0)</f>
        <v>3</v>
      </c>
      <c r="P4878" s="159">
        <f t="shared" si="793"/>
        <v>2015</v>
      </c>
      <c r="Q4878" s="159">
        <f t="shared" si="794"/>
        <v>4</v>
      </c>
      <c r="R4878" s="160">
        <f t="shared" si="795"/>
        <v>0.13333333341870457</v>
      </c>
      <c r="S4878" s="158">
        <f t="shared" si="796"/>
        <v>5.6557901507742245E-2</v>
      </c>
      <c r="T4878" s="161">
        <f t="shared" si="797"/>
        <v>27.260908526731761</v>
      </c>
      <c r="U4878" s="158">
        <f t="shared" si="799"/>
        <v>204.45681381957775</v>
      </c>
      <c r="V4878" s="160">
        <f t="shared" si="798"/>
        <v>204</v>
      </c>
    </row>
    <row r="4879" spans="1:22" x14ac:dyDescent="0.25">
      <c r="A4879" s="98" t="s">
        <v>25</v>
      </c>
      <c r="B4879" s="98" t="s">
        <v>17</v>
      </c>
      <c r="C4879" s="98">
        <v>60</v>
      </c>
      <c r="D4879" s="98">
        <v>250</v>
      </c>
      <c r="E4879" s="157">
        <v>42100.458333333336</v>
      </c>
      <c r="F4879" s="157">
        <v>42100.625</v>
      </c>
      <c r="G4879" s="98">
        <v>510</v>
      </c>
      <c r="H4879" s="98">
        <v>521</v>
      </c>
      <c r="I4879" s="98">
        <v>482</v>
      </c>
      <c r="J4879" s="98" t="s">
        <v>1978</v>
      </c>
      <c r="K4879" s="98" t="s">
        <v>2974</v>
      </c>
      <c r="L4879" s="105" t="str">
        <f t="shared" si="790"/>
        <v>Mill Creek</v>
      </c>
      <c r="M4879" s="105" t="str">
        <f t="shared" si="791"/>
        <v>Derate</v>
      </c>
      <c r="N4879" s="105" t="str">
        <f t="shared" si="792"/>
        <v>Coal</v>
      </c>
      <c r="O4879" s="105">
        <f>IFERROR(VLOOKUP(A4879,Lookup!$J$5:$P$19,7,FALSE),0)</f>
        <v>3</v>
      </c>
      <c r="P4879" s="159">
        <f t="shared" si="793"/>
        <v>2015</v>
      </c>
      <c r="Q4879" s="159">
        <f t="shared" si="794"/>
        <v>4</v>
      </c>
      <c r="R4879" s="160">
        <f t="shared" si="795"/>
        <v>3.9999999999417923</v>
      </c>
      <c r="S4879" s="158">
        <f t="shared" si="796"/>
        <v>8.4452975046755696E-2</v>
      </c>
      <c r="T4879" s="161">
        <f t="shared" si="797"/>
        <v>40.706333972536243</v>
      </c>
      <c r="U4879" s="158">
        <f t="shared" si="799"/>
        <v>10.17658349328215</v>
      </c>
      <c r="V4879" s="160">
        <f t="shared" si="798"/>
        <v>10</v>
      </c>
    </row>
    <row r="4880" spans="1:22" x14ac:dyDescent="0.25">
      <c r="A4880" s="98" t="s">
        <v>25</v>
      </c>
      <c r="B4880" s="98" t="s">
        <v>105</v>
      </c>
      <c r="C4880" s="98">
        <v>61</v>
      </c>
      <c r="D4880" s="98">
        <v>250</v>
      </c>
      <c r="E4880" s="162">
        <v>42101.951388888891</v>
      </c>
      <c r="F4880" s="157">
        <v>42102.1875</v>
      </c>
      <c r="G4880" s="98">
        <v>425</v>
      </c>
      <c r="H4880" s="98">
        <v>521</v>
      </c>
      <c r="I4880" s="98">
        <v>482</v>
      </c>
      <c r="J4880" s="98" t="s">
        <v>1978</v>
      </c>
      <c r="K4880" s="98" t="s">
        <v>2975</v>
      </c>
      <c r="L4880" s="105" t="str">
        <f t="shared" si="790"/>
        <v>Mill Creek</v>
      </c>
      <c r="M4880" s="105" t="str">
        <f t="shared" si="791"/>
        <v>Derate</v>
      </c>
      <c r="N4880" s="105" t="str">
        <f t="shared" si="792"/>
        <v>Coal</v>
      </c>
      <c r="O4880" s="105">
        <f>IFERROR(VLOOKUP(A4880,Lookup!$J$5:$P$19,7,FALSE),0)</f>
        <v>3</v>
      </c>
      <c r="P4880" s="159">
        <f t="shared" si="793"/>
        <v>2015</v>
      </c>
      <c r="Q4880" s="159">
        <f t="shared" si="794"/>
        <v>4</v>
      </c>
      <c r="R4880" s="160">
        <f t="shared" si="795"/>
        <v>5.6666666666278616</v>
      </c>
      <c r="S4880" s="158">
        <f t="shared" si="796"/>
        <v>1.0441458733133873</v>
      </c>
      <c r="T4880" s="161">
        <f t="shared" si="797"/>
        <v>503.27831093705265</v>
      </c>
      <c r="U4880" s="158">
        <f t="shared" si="799"/>
        <v>88.813819577735131</v>
      </c>
      <c r="V4880" s="160">
        <f t="shared" si="798"/>
        <v>89</v>
      </c>
    </row>
    <row r="4881" spans="1:22" x14ac:dyDescent="0.25">
      <c r="A4881" s="98" t="s">
        <v>25</v>
      </c>
      <c r="B4881" s="98" t="s">
        <v>17</v>
      </c>
      <c r="C4881" s="98">
        <v>62</v>
      </c>
      <c r="D4881" s="98">
        <v>1488</v>
      </c>
      <c r="E4881" s="157">
        <v>42135.5</v>
      </c>
      <c r="F4881" s="157">
        <v>42138.444444444445</v>
      </c>
      <c r="G4881" s="98">
        <v>500</v>
      </c>
      <c r="H4881" s="98">
        <v>521</v>
      </c>
      <c r="I4881" s="98">
        <v>482</v>
      </c>
      <c r="J4881" s="98" t="s">
        <v>2284</v>
      </c>
      <c r="K4881" s="98" t="s">
        <v>2976</v>
      </c>
      <c r="L4881" s="105" t="str">
        <f t="shared" si="790"/>
        <v>Mill Creek</v>
      </c>
      <c r="M4881" s="105" t="str">
        <f t="shared" si="791"/>
        <v>Derate</v>
      </c>
      <c r="N4881" s="105" t="str">
        <f t="shared" si="792"/>
        <v>Coal</v>
      </c>
      <c r="O4881" s="105">
        <f>IFERROR(VLOOKUP(A4881,Lookup!$J$5:$P$19,7,FALSE),0)</f>
        <v>3</v>
      </c>
      <c r="P4881" s="159">
        <f t="shared" si="793"/>
        <v>2015</v>
      </c>
      <c r="Q4881" s="159">
        <f t="shared" si="794"/>
        <v>5</v>
      </c>
      <c r="R4881" s="160">
        <f t="shared" si="795"/>
        <v>70.666666666686069</v>
      </c>
      <c r="S4881" s="158">
        <f t="shared" si="796"/>
        <v>2.8483685220737187</v>
      </c>
      <c r="T4881" s="161">
        <f t="shared" si="797"/>
        <v>1372.9136276395325</v>
      </c>
      <c r="U4881" s="158">
        <f t="shared" si="799"/>
        <v>19.428023032629557</v>
      </c>
      <c r="V4881" s="160">
        <f t="shared" si="798"/>
        <v>19</v>
      </c>
    </row>
    <row r="4882" spans="1:22" x14ac:dyDescent="0.25">
      <c r="A4882" s="98" t="s">
        <v>25</v>
      </c>
      <c r="B4882" s="98" t="s">
        <v>15</v>
      </c>
      <c r="C4882" s="98">
        <v>63</v>
      </c>
      <c r="D4882" s="98">
        <v>1455</v>
      </c>
      <c r="E4882" s="157">
        <v>42138.444444444445</v>
      </c>
      <c r="F4882" s="157">
        <v>42138.527083333334</v>
      </c>
      <c r="G4882" s="98">
        <v>0</v>
      </c>
      <c r="H4882" s="98">
        <v>521</v>
      </c>
      <c r="I4882" s="98">
        <v>482</v>
      </c>
      <c r="J4882" s="98" t="s">
        <v>1990</v>
      </c>
      <c r="K4882" s="98" t="s">
        <v>2977</v>
      </c>
      <c r="L4882" s="105" t="str">
        <f t="shared" si="790"/>
        <v>Mill Creek</v>
      </c>
      <c r="M4882" s="105" t="str">
        <f t="shared" si="791"/>
        <v>Outage</v>
      </c>
      <c r="N4882" s="105" t="str">
        <f t="shared" si="792"/>
        <v>Coal</v>
      </c>
      <c r="O4882" s="105">
        <f>IFERROR(VLOOKUP(A4882,Lookup!$J$5:$P$19,7,FALSE),0)</f>
        <v>3</v>
      </c>
      <c r="P4882" s="159">
        <f t="shared" si="793"/>
        <v>2015</v>
      </c>
      <c r="Q4882" s="159">
        <f t="shared" si="794"/>
        <v>5</v>
      </c>
      <c r="R4882" s="160">
        <f t="shared" si="795"/>
        <v>1.9833333333372138</v>
      </c>
      <c r="S4882" s="158">
        <f t="shared" si="796"/>
        <v>1.9833333333372138</v>
      </c>
      <c r="T4882" s="161">
        <f t="shared" si="797"/>
        <v>955.96666666853707</v>
      </c>
      <c r="U4882" s="158">
        <f t="shared" si="799"/>
        <v>482</v>
      </c>
      <c r="V4882" s="160">
        <f t="shared" si="798"/>
        <v>482</v>
      </c>
    </row>
    <row r="4883" spans="1:22" x14ac:dyDescent="0.25">
      <c r="A4883" s="98" t="s">
        <v>25</v>
      </c>
      <c r="B4883" s="98" t="s">
        <v>79</v>
      </c>
      <c r="C4883" s="98">
        <v>64</v>
      </c>
      <c r="D4883" s="98">
        <v>1850</v>
      </c>
      <c r="E4883" s="157">
        <v>42138.527083333334</v>
      </c>
      <c r="F4883" s="157">
        <v>42138.570833333331</v>
      </c>
      <c r="G4883" s="98">
        <v>0</v>
      </c>
      <c r="H4883" s="98">
        <v>521</v>
      </c>
      <c r="I4883" s="98">
        <v>482</v>
      </c>
      <c r="J4883" s="98" t="s">
        <v>2263</v>
      </c>
      <c r="K4883" s="98" t="s">
        <v>2734</v>
      </c>
      <c r="L4883" s="105" t="str">
        <f t="shared" si="790"/>
        <v>Mill Creek</v>
      </c>
      <c r="M4883" s="105" t="str">
        <f t="shared" si="791"/>
        <v>Other</v>
      </c>
      <c r="N4883" s="105" t="str">
        <f t="shared" si="792"/>
        <v>Coal</v>
      </c>
      <c r="O4883" s="105">
        <f>IFERROR(VLOOKUP(A4883,Lookup!$J$5:$P$19,7,FALSE),0)</f>
        <v>3</v>
      </c>
      <c r="P4883" s="159">
        <f t="shared" si="793"/>
        <v>2015</v>
      </c>
      <c r="Q4883" s="159">
        <f t="shared" si="794"/>
        <v>5</v>
      </c>
      <c r="R4883" s="160">
        <f t="shared" si="795"/>
        <v>1.0499999999301508</v>
      </c>
      <c r="S4883" s="158">
        <f t="shared" si="796"/>
        <v>1.0499999999301508</v>
      </c>
      <c r="T4883" s="161">
        <f t="shared" si="797"/>
        <v>506.09999996633269</v>
      </c>
      <c r="U4883" s="158">
        <f t="shared" si="799"/>
        <v>482</v>
      </c>
      <c r="V4883" s="160">
        <f t="shared" si="798"/>
        <v>482</v>
      </c>
    </row>
    <row r="4884" spans="1:22" x14ac:dyDescent="0.25">
      <c r="A4884" s="98" t="s">
        <v>25</v>
      </c>
      <c r="B4884" s="98" t="s">
        <v>15</v>
      </c>
      <c r="C4884" s="98">
        <v>65</v>
      </c>
      <c r="D4884" s="98">
        <v>800</v>
      </c>
      <c r="E4884" s="157">
        <v>42138.570833333331</v>
      </c>
      <c r="F4884" s="157">
        <v>42138.590277777781</v>
      </c>
      <c r="G4884" s="98">
        <v>0</v>
      </c>
      <c r="H4884" s="98">
        <v>521</v>
      </c>
      <c r="I4884" s="98">
        <v>482</v>
      </c>
      <c r="J4884" s="98" t="s">
        <v>2197</v>
      </c>
      <c r="K4884" s="98" t="s">
        <v>2978</v>
      </c>
      <c r="L4884" s="105" t="str">
        <f t="shared" si="790"/>
        <v>Mill Creek</v>
      </c>
      <c r="M4884" s="105" t="str">
        <f t="shared" si="791"/>
        <v>Outage</v>
      </c>
      <c r="N4884" s="105" t="str">
        <f t="shared" si="792"/>
        <v>Coal</v>
      </c>
      <c r="O4884" s="105">
        <f>IFERROR(VLOOKUP(A4884,Lookup!$J$5:$P$19,7,FALSE),0)</f>
        <v>3</v>
      </c>
      <c r="P4884" s="159">
        <f t="shared" si="793"/>
        <v>2015</v>
      </c>
      <c r="Q4884" s="159">
        <f t="shared" si="794"/>
        <v>5</v>
      </c>
      <c r="R4884" s="160">
        <f t="shared" si="795"/>
        <v>0.46666666679084301</v>
      </c>
      <c r="S4884" s="158">
        <f t="shared" si="796"/>
        <v>0.46666666679084301</v>
      </c>
      <c r="T4884" s="161">
        <f t="shared" si="797"/>
        <v>224.93333339318633</v>
      </c>
      <c r="U4884" s="158">
        <f t="shared" si="799"/>
        <v>482</v>
      </c>
      <c r="V4884" s="160">
        <f t="shared" si="798"/>
        <v>482</v>
      </c>
    </row>
    <row r="4885" spans="1:22" x14ac:dyDescent="0.25">
      <c r="A4885" s="98" t="s">
        <v>25</v>
      </c>
      <c r="B4885" s="98" t="s">
        <v>79</v>
      </c>
      <c r="C4885" s="98">
        <v>66</v>
      </c>
      <c r="D4885" s="98">
        <v>1850</v>
      </c>
      <c r="E4885" s="157">
        <v>42138.590277777781</v>
      </c>
      <c r="F4885" s="157">
        <v>42138.840277777781</v>
      </c>
      <c r="G4885" s="98">
        <v>0</v>
      </c>
      <c r="H4885" s="98">
        <v>521</v>
      </c>
      <c r="I4885" s="98">
        <v>482</v>
      </c>
      <c r="J4885" s="98" t="s">
        <v>2263</v>
      </c>
      <c r="K4885" s="98" t="s">
        <v>2734</v>
      </c>
      <c r="L4885" s="105" t="str">
        <f t="shared" si="790"/>
        <v>Mill Creek</v>
      </c>
      <c r="M4885" s="105" t="str">
        <f t="shared" si="791"/>
        <v>Other</v>
      </c>
      <c r="N4885" s="105" t="str">
        <f t="shared" si="792"/>
        <v>Coal</v>
      </c>
      <c r="O4885" s="105">
        <f>IFERROR(VLOOKUP(A4885,Lookup!$J$5:$P$19,7,FALSE),0)</f>
        <v>3</v>
      </c>
      <c r="P4885" s="159">
        <f t="shared" si="793"/>
        <v>2015</v>
      </c>
      <c r="Q4885" s="159">
        <f t="shared" si="794"/>
        <v>5</v>
      </c>
      <c r="R4885" s="160">
        <f t="shared" si="795"/>
        <v>6</v>
      </c>
      <c r="S4885" s="158">
        <f t="shared" si="796"/>
        <v>6</v>
      </c>
      <c r="T4885" s="161">
        <f t="shared" si="797"/>
        <v>2892</v>
      </c>
      <c r="U4885" s="158">
        <f t="shared" si="799"/>
        <v>482</v>
      </c>
      <c r="V4885" s="160">
        <f t="shared" si="798"/>
        <v>482</v>
      </c>
    </row>
    <row r="4886" spans="1:22" x14ac:dyDescent="0.25">
      <c r="A4886" s="98" t="s">
        <v>25</v>
      </c>
      <c r="B4886" s="98" t="s">
        <v>17</v>
      </c>
      <c r="C4886" s="98">
        <v>67</v>
      </c>
      <c r="D4886" s="98">
        <v>1850</v>
      </c>
      <c r="E4886" s="157">
        <v>42138.840277777781</v>
      </c>
      <c r="F4886" s="157">
        <v>42139.125</v>
      </c>
      <c r="G4886" s="98">
        <v>350</v>
      </c>
      <c r="H4886" s="98">
        <v>521</v>
      </c>
      <c r="I4886" s="98">
        <v>482</v>
      </c>
      <c r="J4886" s="98" t="s">
        <v>2263</v>
      </c>
      <c r="K4886" s="98" t="s">
        <v>62</v>
      </c>
      <c r="L4886" s="105" t="str">
        <f t="shared" si="790"/>
        <v>Mill Creek</v>
      </c>
      <c r="M4886" s="105" t="str">
        <f t="shared" si="791"/>
        <v>Derate</v>
      </c>
      <c r="N4886" s="105" t="str">
        <f t="shared" si="792"/>
        <v>Coal</v>
      </c>
      <c r="O4886" s="105">
        <f>IFERROR(VLOOKUP(A4886,Lookup!$J$5:$P$19,7,FALSE),0)</f>
        <v>3</v>
      </c>
      <c r="P4886" s="159">
        <f t="shared" si="793"/>
        <v>2015</v>
      </c>
      <c r="Q4886" s="159">
        <f t="shared" si="794"/>
        <v>5</v>
      </c>
      <c r="R4886" s="160">
        <f t="shared" si="795"/>
        <v>6.8333333332557231</v>
      </c>
      <c r="S4886" s="158">
        <f t="shared" si="796"/>
        <v>2.2428023032374829</v>
      </c>
      <c r="T4886" s="161">
        <f t="shared" si="797"/>
        <v>1081.0307101604667</v>
      </c>
      <c r="U4886" s="158">
        <f t="shared" si="799"/>
        <v>158.19961612284069</v>
      </c>
      <c r="V4886" s="160">
        <f t="shared" si="798"/>
        <v>158</v>
      </c>
    </row>
    <row r="4887" spans="1:22" x14ac:dyDescent="0.25">
      <c r="A4887" s="98" t="s">
        <v>25</v>
      </c>
      <c r="B4887" s="98" t="s">
        <v>17</v>
      </c>
      <c r="C4887" s="98">
        <v>68</v>
      </c>
      <c r="D4887" s="98">
        <v>1850</v>
      </c>
      <c r="E4887" s="157">
        <v>42139.125</v>
      </c>
      <c r="F4887" s="157">
        <v>42139.284722222219</v>
      </c>
      <c r="G4887" s="98">
        <v>400</v>
      </c>
      <c r="H4887" s="98">
        <v>521</v>
      </c>
      <c r="I4887" s="98">
        <v>482</v>
      </c>
      <c r="J4887" s="98" t="s">
        <v>2263</v>
      </c>
      <c r="K4887" s="98" t="s">
        <v>62</v>
      </c>
      <c r="L4887" s="105" t="str">
        <f t="shared" si="790"/>
        <v>Mill Creek</v>
      </c>
      <c r="M4887" s="105" t="str">
        <f t="shared" si="791"/>
        <v>Derate</v>
      </c>
      <c r="N4887" s="105" t="str">
        <f t="shared" si="792"/>
        <v>Coal</v>
      </c>
      <c r="O4887" s="105">
        <f>IFERROR(VLOOKUP(A4887,Lookup!$J$5:$P$19,7,FALSE),0)</f>
        <v>3</v>
      </c>
      <c r="P4887" s="159">
        <f t="shared" si="793"/>
        <v>2015</v>
      </c>
      <c r="Q4887" s="159">
        <f t="shared" si="794"/>
        <v>5</v>
      </c>
      <c r="R4887" s="160">
        <f t="shared" si="795"/>
        <v>3.8333333332557231</v>
      </c>
      <c r="S4887" s="158">
        <f t="shared" si="796"/>
        <v>0.89027511194614684</v>
      </c>
      <c r="T4887" s="161">
        <f t="shared" si="797"/>
        <v>429.11260395804277</v>
      </c>
      <c r="U4887" s="158">
        <f t="shared" si="799"/>
        <v>111.94241842610364</v>
      </c>
      <c r="V4887" s="160">
        <f t="shared" si="798"/>
        <v>112</v>
      </c>
    </row>
    <row r="4888" spans="1:22" x14ac:dyDescent="0.25">
      <c r="A4888" s="98" t="s">
        <v>25</v>
      </c>
      <c r="B4888" s="98" t="s">
        <v>17</v>
      </c>
      <c r="C4888" s="98">
        <v>69</v>
      </c>
      <c r="D4888" s="98">
        <v>1850</v>
      </c>
      <c r="E4888" s="157">
        <v>42139.284722222219</v>
      </c>
      <c r="F4888" s="157">
        <v>42139.405555555553</v>
      </c>
      <c r="G4888" s="98">
        <v>460</v>
      </c>
      <c r="H4888" s="98">
        <v>521</v>
      </c>
      <c r="I4888" s="98">
        <v>482</v>
      </c>
      <c r="J4888" s="98" t="s">
        <v>2263</v>
      </c>
      <c r="K4888" s="98" t="s">
        <v>41</v>
      </c>
      <c r="L4888" s="105" t="str">
        <f t="shared" si="790"/>
        <v>Mill Creek</v>
      </c>
      <c r="M4888" s="105" t="str">
        <f t="shared" si="791"/>
        <v>Derate</v>
      </c>
      <c r="N4888" s="105" t="str">
        <f t="shared" si="792"/>
        <v>Coal</v>
      </c>
      <c r="O4888" s="105">
        <f>IFERROR(VLOOKUP(A4888,Lookup!$J$5:$P$19,7,FALSE),0)</f>
        <v>3</v>
      </c>
      <c r="P4888" s="159">
        <f t="shared" si="793"/>
        <v>2015</v>
      </c>
      <c r="Q4888" s="159">
        <f t="shared" si="794"/>
        <v>5</v>
      </c>
      <c r="R4888" s="160">
        <f t="shared" si="795"/>
        <v>2.9000000000232831</v>
      </c>
      <c r="S4888" s="158">
        <f t="shared" si="796"/>
        <v>0.33953934741155523</v>
      </c>
      <c r="T4888" s="161">
        <f t="shared" si="797"/>
        <v>163.65796545236961</v>
      </c>
      <c r="U4888" s="158">
        <f t="shared" si="799"/>
        <v>56.433781190019197</v>
      </c>
      <c r="V4888" s="160">
        <f t="shared" si="798"/>
        <v>56</v>
      </c>
    </row>
    <row r="4889" spans="1:22" x14ac:dyDescent="0.25">
      <c r="A4889" s="98" t="s">
        <v>25</v>
      </c>
      <c r="B4889" s="98" t="s">
        <v>17</v>
      </c>
      <c r="C4889" s="98">
        <v>70</v>
      </c>
      <c r="D4889" s="98">
        <v>1488</v>
      </c>
      <c r="E4889" s="157">
        <v>42139.405555555553</v>
      </c>
      <c r="F4889" s="157">
        <v>42145.551388888889</v>
      </c>
      <c r="G4889" s="98">
        <v>500</v>
      </c>
      <c r="H4889" s="98">
        <v>521</v>
      </c>
      <c r="I4889" s="98">
        <v>482</v>
      </c>
      <c r="J4889" s="98" t="s">
        <v>2284</v>
      </c>
      <c r="K4889" s="98" t="s">
        <v>2979</v>
      </c>
      <c r="L4889" s="105" t="str">
        <f t="shared" si="790"/>
        <v>Mill Creek</v>
      </c>
      <c r="M4889" s="105" t="str">
        <f t="shared" si="791"/>
        <v>Derate</v>
      </c>
      <c r="N4889" s="105" t="str">
        <f t="shared" si="792"/>
        <v>Coal</v>
      </c>
      <c r="O4889" s="105">
        <f>IFERROR(VLOOKUP(A4889,Lookup!$J$5:$P$19,7,FALSE),0)</f>
        <v>3</v>
      </c>
      <c r="P4889" s="159">
        <f t="shared" si="793"/>
        <v>2015</v>
      </c>
      <c r="Q4889" s="159">
        <f t="shared" si="794"/>
        <v>5</v>
      </c>
      <c r="R4889" s="160">
        <f t="shared" si="795"/>
        <v>147.50000000005821</v>
      </c>
      <c r="S4889" s="158">
        <f t="shared" si="796"/>
        <v>5.945297504800811</v>
      </c>
      <c r="T4889" s="161">
        <f t="shared" si="797"/>
        <v>2865.6333973139908</v>
      </c>
      <c r="U4889" s="158">
        <f t="shared" si="799"/>
        <v>19.428023032629557</v>
      </c>
      <c r="V4889" s="160">
        <f t="shared" si="798"/>
        <v>19</v>
      </c>
    </row>
    <row r="4890" spans="1:22" x14ac:dyDescent="0.25">
      <c r="A4890" s="98" t="s">
        <v>25</v>
      </c>
      <c r="B4890" s="98" t="s">
        <v>20</v>
      </c>
      <c r="C4890" s="98">
        <v>71</v>
      </c>
      <c r="D4890" s="98">
        <v>1488</v>
      </c>
      <c r="E4890" s="157">
        <v>42145.551388888889</v>
      </c>
      <c r="F4890" s="157">
        <v>42147.854166666664</v>
      </c>
      <c r="G4890" s="98">
        <v>0</v>
      </c>
      <c r="H4890" s="98">
        <v>521</v>
      </c>
      <c r="I4890" s="98">
        <v>482</v>
      </c>
      <c r="J4890" s="98" t="s">
        <v>2284</v>
      </c>
      <c r="K4890" s="98" t="s">
        <v>66</v>
      </c>
      <c r="L4890" s="105" t="str">
        <f t="shared" si="790"/>
        <v>Mill Creek</v>
      </c>
      <c r="M4890" s="105" t="str">
        <f t="shared" si="791"/>
        <v>Maintenance</v>
      </c>
      <c r="N4890" s="105" t="str">
        <f t="shared" si="792"/>
        <v>Coal</v>
      </c>
      <c r="O4890" s="105">
        <f>IFERROR(VLOOKUP(A4890,Lookup!$J$5:$P$19,7,FALSE),0)</f>
        <v>3</v>
      </c>
      <c r="P4890" s="159">
        <f t="shared" si="793"/>
        <v>2015</v>
      </c>
      <c r="Q4890" s="159">
        <f t="shared" si="794"/>
        <v>5</v>
      </c>
      <c r="R4890" s="160">
        <f t="shared" si="795"/>
        <v>55.266666666604578</v>
      </c>
      <c r="S4890" s="158">
        <f t="shared" si="796"/>
        <v>55.266666666604578</v>
      </c>
      <c r="T4890" s="161">
        <f t="shared" si="797"/>
        <v>26638.533333303407</v>
      </c>
      <c r="U4890" s="158">
        <f t="shared" si="799"/>
        <v>482</v>
      </c>
      <c r="V4890" s="160">
        <f t="shared" si="798"/>
        <v>482</v>
      </c>
    </row>
    <row r="4891" spans="1:22" x14ac:dyDescent="0.25">
      <c r="A4891" s="98" t="s">
        <v>25</v>
      </c>
      <c r="B4891" s="98" t="s">
        <v>79</v>
      </c>
      <c r="C4891" s="98">
        <v>73</v>
      </c>
      <c r="D4891" s="98">
        <v>1850</v>
      </c>
      <c r="E4891" s="157">
        <v>42149.388194444444</v>
      </c>
      <c r="F4891" s="157">
        <v>42150.215277777781</v>
      </c>
      <c r="G4891" s="98">
        <v>0</v>
      </c>
      <c r="H4891" s="98">
        <v>521</v>
      </c>
      <c r="I4891" s="98">
        <v>482</v>
      </c>
      <c r="J4891" s="98" t="s">
        <v>2263</v>
      </c>
      <c r="K4891" s="98" t="s">
        <v>2980</v>
      </c>
      <c r="L4891" s="105" t="str">
        <f t="shared" si="790"/>
        <v>Mill Creek</v>
      </c>
      <c r="M4891" s="105" t="str">
        <f t="shared" si="791"/>
        <v>Other</v>
      </c>
      <c r="N4891" s="105" t="str">
        <f t="shared" si="792"/>
        <v>Coal</v>
      </c>
      <c r="O4891" s="105">
        <f>IFERROR(VLOOKUP(A4891,Lookup!$J$5:$P$19,7,FALSE),0)</f>
        <v>3</v>
      </c>
      <c r="P4891" s="159">
        <f t="shared" si="793"/>
        <v>2015</v>
      </c>
      <c r="Q4891" s="159">
        <f t="shared" si="794"/>
        <v>5</v>
      </c>
      <c r="R4891" s="160">
        <f t="shared" si="795"/>
        <v>19.850000000093132</v>
      </c>
      <c r="S4891" s="158">
        <f t="shared" si="796"/>
        <v>19.850000000093132</v>
      </c>
      <c r="T4891" s="161">
        <f t="shared" si="797"/>
        <v>9567.7000000448897</v>
      </c>
      <c r="U4891" s="158">
        <f t="shared" si="799"/>
        <v>482</v>
      </c>
      <c r="V4891" s="160">
        <f t="shared" si="798"/>
        <v>482</v>
      </c>
    </row>
    <row r="4892" spans="1:22" x14ac:dyDescent="0.25">
      <c r="A4892" s="98" t="s">
        <v>25</v>
      </c>
      <c r="B4892" s="98" t="s">
        <v>79</v>
      </c>
      <c r="C4892" s="98">
        <v>74</v>
      </c>
      <c r="D4892" s="98">
        <v>8460</v>
      </c>
      <c r="E4892" s="157">
        <v>42165.388888888891</v>
      </c>
      <c r="F4892" s="157">
        <v>42165.820138888892</v>
      </c>
      <c r="G4892" s="98">
        <v>0</v>
      </c>
      <c r="H4892" s="98">
        <v>521</v>
      </c>
      <c r="I4892" s="98">
        <v>482</v>
      </c>
      <c r="J4892" s="98" t="s">
        <v>2651</v>
      </c>
      <c r="K4892" s="98" t="s">
        <v>2735</v>
      </c>
      <c r="L4892" s="105" t="str">
        <f t="shared" si="790"/>
        <v>Mill Creek</v>
      </c>
      <c r="M4892" s="105" t="str">
        <f t="shared" si="791"/>
        <v>Other</v>
      </c>
      <c r="N4892" s="105" t="str">
        <f t="shared" si="792"/>
        <v>Coal</v>
      </c>
      <c r="O4892" s="105">
        <f>IFERROR(VLOOKUP(A4892,Lookup!$J$5:$P$19,7,FALSE),0)</f>
        <v>3</v>
      </c>
      <c r="P4892" s="159">
        <f t="shared" si="793"/>
        <v>2015</v>
      </c>
      <c r="Q4892" s="159">
        <f t="shared" si="794"/>
        <v>6</v>
      </c>
      <c r="R4892" s="160">
        <f t="shared" si="795"/>
        <v>10.350000000034925</v>
      </c>
      <c r="S4892" s="158">
        <f t="shared" si="796"/>
        <v>10.350000000034925</v>
      </c>
      <c r="T4892" s="161">
        <f t="shared" si="797"/>
        <v>4988.7000000168337</v>
      </c>
      <c r="U4892" s="158">
        <f t="shared" si="799"/>
        <v>482</v>
      </c>
      <c r="V4892" s="160">
        <f t="shared" si="798"/>
        <v>482</v>
      </c>
    </row>
    <row r="4893" spans="1:22" x14ac:dyDescent="0.25">
      <c r="A4893" s="98" t="s">
        <v>25</v>
      </c>
      <c r="B4893" s="98" t="s">
        <v>79</v>
      </c>
      <c r="C4893" s="98">
        <v>75</v>
      </c>
      <c r="D4893" s="98">
        <v>8460</v>
      </c>
      <c r="E4893" s="157">
        <v>42166.385416666664</v>
      </c>
      <c r="F4893" s="157">
        <v>42166.685416666667</v>
      </c>
      <c r="G4893" s="98">
        <v>0</v>
      </c>
      <c r="H4893" s="98">
        <v>521</v>
      </c>
      <c r="I4893" s="98">
        <v>482</v>
      </c>
      <c r="J4893" s="98" t="s">
        <v>2651</v>
      </c>
      <c r="K4893" s="98" t="s">
        <v>2735</v>
      </c>
      <c r="L4893" s="105" t="str">
        <f t="shared" si="790"/>
        <v>Mill Creek</v>
      </c>
      <c r="M4893" s="105" t="str">
        <f t="shared" si="791"/>
        <v>Other</v>
      </c>
      <c r="N4893" s="105" t="str">
        <f t="shared" si="792"/>
        <v>Coal</v>
      </c>
      <c r="O4893" s="105">
        <f>IFERROR(VLOOKUP(A4893,Lookup!$J$5:$P$19,7,FALSE),0)</f>
        <v>3</v>
      </c>
      <c r="P4893" s="159">
        <f t="shared" si="793"/>
        <v>2015</v>
      </c>
      <c r="Q4893" s="159">
        <f t="shared" si="794"/>
        <v>6</v>
      </c>
      <c r="R4893" s="160">
        <f t="shared" si="795"/>
        <v>7.2000000000698492</v>
      </c>
      <c r="S4893" s="158">
        <f t="shared" si="796"/>
        <v>7.2000000000698492</v>
      </c>
      <c r="T4893" s="161">
        <f t="shared" si="797"/>
        <v>3470.4000000336673</v>
      </c>
      <c r="U4893" s="158">
        <f t="shared" si="799"/>
        <v>482</v>
      </c>
      <c r="V4893" s="160">
        <f t="shared" si="798"/>
        <v>482</v>
      </c>
    </row>
    <row r="4894" spans="1:22" x14ac:dyDescent="0.25">
      <c r="A4894" s="98" t="s">
        <v>25</v>
      </c>
      <c r="B4894" s="98" t="s">
        <v>79</v>
      </c>
      <c r="C4894" s="98">
        <v>76</v>
      </c>
      <c r="D4894" s="98">
        <v>9999</v>
      </c>
      <c r="E4894" s="157">
        <v>42193.427777777775</v>
      </c>
      <c r="F4894" s="157">
        <v>42193.480555555558</v>
      </c>
      <c r="G4894" s="98">
        <v>0</v>
      </c>
      <c r="H4894" s="98">
        <v>521</v>
      </c>
      <c r="I4894" s="98">
        <v>482</v>
      </c>
      <c r="J4894" s="98" t="s">
        <v>2261</v>
      </c>
      <c r="K4894" s="98" t="s">
        <v>3736</v>
      </c>
      <c r="L4894" s="105" t="str">
        <f t="shared" si="790"/>
        <v>Mill Creek</v>
      </c>
      <c r="M4894" s="105" t="str">
        <f t="shared" si="791"/>
        <v>Other</v>
      </c>
      <c r="N4894" s="105" t="str">
        <f t="shared" si="792"/>
        <v>Coal</v>
      </c>
      <c r="O4894" s="105">
        <f>IFERROR(VLOOKUP(A4894,Lookup!$J$5:$P$19,7,FALSE),0)</f>
        <v>3</v>
      </c>
      <c r="P4894" s="159">
        <f t="shared" si="793"/>
        <v>2015</v>
      </c>
      <c r="Q4894" s="159">
        <f t="shared" si="794"/>
        <v>7</v>
      </c>
      <c r="R4894" s="160">
        <f t="shared" si="795"/>
        <v>1.2666666667792015</v>
      </c>
      <c r="S4894" s="158">
        <f t="shared" si="796"/>
        <v>1.2666666667792015</v>
      </c>
      <c r="T4894" s="161">
        <f t="shared" si="797"/>
        <v>610.53333338757511</v>
      </c>
      <c r="U4894" s="158">
        <f t="shared" si="799"/>
        <v>482</v>
      </c>
      <c r="V4894" s="160">
        <f t="shared" si="798"/>
        <v>482</v>
      </c>
    </row>
    <row r="4895" spans="1:22" x14ac:dyDescent="0.25">
      <c r="A4895" s="98" t="s">
        <v>25</v>
      </c>
      <c r="B4895" s="98" t="s">
        <v>79</v>
      </c>
      <c r="C4895" s="98">
        <v>77</v>
      </c>
      <c r="D4895" s="98">
        <v>3240</v>
      </c>
      <c r="E4895" s="157">
        <v>42194.393750000003</v>
      </c>
      <c r="F4895" s="157">
        <v>42194.829861111109</v>
      </c>
      <c r="G4895" s="98">
        <v>0</v>
      </c>
      <c r="H4895" s="98">
        <v>521</v>
      </c>
      <c r="I4895" s="98">
        <v>482</v>
      </c>
      <c r="J4895" s="98" t="s">
        <v>2163</v>
      </c>
      <c r="K4895" s="98" t="s">
        <v>3737</v>
      </c>
      <c r="L4895" s="105" t="str">
        <f t="shared" si="790"/>
        <v>Mill Creek</v>
      </c>
      <c r="M4895" s="105" t="str">
        <f t="shared" si="791"/>
        <v>Other</v>
      </c>
      <c r="N4895" s="105" t="str">
        <f t="shared" si="792"/>
        <v>Coal</v>
      </c>
      <c r="O4895" s="105">
        <f>IFERROR(VLOOKUP(A4895,Lookup!$J$5:$P$19,7,FALSE),0)</f>
        <v>3</v>
      </c>
      <c r="P4895" s="159">
        <f t="shared" si="793"/>
        <v>2015</v>
      </c>
      <c r="Q4895" s="159">
        <f t="shared" si="794"/>
        <v>7</v>
      </c>
      <c r="R4895" s="160">
        <f t="shared" si="795"/>
        <v>10.466666666558012</v>
      </c>
      <c r="S4895" s="158">
        <f t="shared" si="796"/>
        <v>10.466666666558012</v>
      </c>
      <c r="T4895" s="161">
        <f t="shared" si="797"/>
        <v>5044.933333280962</v>
      </c>
      <c r="U4895" s="158">
        <f t="shared" si="799"/>
        <v>482</v>
      </c>
      <c r="V4895" s="160">
        <f t="shared" si="798"/>
        <v>482</v>
      </c>
    </row>
    <row r="4896" spans="1:22" x14ac:dyDescent="0.25">
      <c r="A4896" s="98" t="s">
        <v>25</v>
      </c>
      <c r="B4896" s="98" t="s">
        <v>79</v>
      </c>
      <c r="C4896" s="98">
        <v>78</v>
      </c>
      <c r="D4896" s="98">
        <v>3240</v>
      </c>
      <c r="E4896" s="157">
        <v>42195.375</v>
      </c>
      <c r="F4896" s="157">
        <v>42195.95416666667</v>
      </c>
      <c r="G4896" s="98">
        <v>0</v>
      </c>
      <c r="H4896" s="98">
        <v>521</v>
      </c>
      <c r="I4896" s="98">
        <v>482</v>
      </c>
      <c r="J4896" s="98" t="s">
        <v>2163</v>
      </c>
      <c r="K4896" s="98" t="s">
        <v>3737</v>
      </c>
      <c r="L4896" s="105" t="str">
        <f t="shared" si="790"/>
        <v>Mill Creek</v>
      </c>
      <c r="M4896" s="105" t="str">
        <f t="shared" si="791"/>
        <v>Other</v>
      </c>
      <c r="N4896" s="105" t="str">
        <f t="shared" si="792"/>
        <v>Coal</v>
      </c>
      <c r="O4896" s="105">
        <f>IFERROR(VLOOKUP(A4896,Lookup!$J$5:$P$19,7,FALSE),0)</f>
        <v>3</v>
      </c>
      <c r="P4896" s="159">
        <f t="shared" si="793"/>
        <v>2015</v>
      </c>
      <c r="Q4896" s="159">
        <f t="shared" si="794"/>
        <v>7</v>
      </c>
      <c r="R4896" s="160">
        <f t="shared" si="795"/>
        <v>13.900000000081491</v>
      </c>
      <c r="S4896" s="158">
        <f t="shared" si="796"/>
        <v>13.900000000081491</v>
      </c>
      <c r="T4896" s="161">
        <f t="shared" si="797"/>
        <v>6699.8000000392785</v>
      </c>
      <c r="U4896" s="158">
        <f t="shared" si="799"/>
        <v>482</v>
      </c>
      <c r="V4896" s="160">
        <f t="shared" si="798"/>
        <v>482</v>
      </c>
    </row>
    <row r="4897" spans="1:22" x14ac:dyDescent="0.25">
      <c r="A4897" s="98" t="s">
        <v>25</v>
      </c>
      <c r="B4897" s="98" t="s">
        <v>17</v>
      </c>
      <c r="C4897" s="98">
        <v>79</v>
      </c>
      <c r="D4897" s="98">
        <v>310</v>
      </c>
      <c r="E4897" s="157">
        <v>42200.644444444442</v>
      </c>
      <c r="F4897" s="157">
        <v>42200.768750000003</v>
      </c>
      <c r="G4897" s="98">
        <v>402</v>
      </c>
      <c r="H4897" s="98">
        <v>521</v>
      </c>
      <c r="I4897" s="98">
        <v>482</v>
      </c>
      <c r="J4897" s="98" t="s">
        <v>1966</v>
      </c>
      <c r="K4897" s="98" t="s">
        <v>710</v>
      </c>
      <c r="L4897" s="105" t="str">
        <f t="shared" si="790"/>
        <v>Mill Creek</v>
      </c>
      <c r="M4897" s="105" t="str">
        <f t="shared" si="791"/>
        <v>Derate</v>
      </c>
      <c r="N4897" s="105" t="str">
        <f t="shared" si="792"/>
        <v>Coal</v>
      </c>
      <c r="O4897" s="105">
        <f>IFERROR(VLOOKUP(A4897,Lookup!$J$5:$P$19,7,FALSE),0)</f>
        <v>3</v>
      </c>
      <c r="P4897" s="159">
        <f t="shared" si="793"/>
        <v>2015</v>
      </c>
      <c r="Q4897" s="159">
        <f t="shared" si="794"/>
        <v>7</v>
      </c>
      <c r="R4897" s="160">
        <f t="shared" si="795"/>
        <v>2.9833333334536292</v>
      </c>
      <c r="S4897" s="158">
        <f t="shared" si="796"/>
        <v>0.68141394756426465</v>
      </c>
      <c r="T4897" s="161">
        <f t="shared" si="797"/>
        <v>328.44152272597557</v>
      </c>
      <c r="U4897" s="158">
        <f t="shared" si="799"/>
        <v>110.09213051823417</v>
      </c>
      <c r="V4897" s="160">
        <f t="shared" si="798"/>
        <v>110</v>
      </c>
    </row>
    <row r="4898" spans="1:22" x14ac:dyDescent="0.25">
      <c r="A4898" s="98" t="s">
        <v>25</v>
      </c>
      <c r="B4898" s="98" t="s">
        <v>79</v>
      </c>
      <c r="C4898" s="98">
        <v>80</v>
      </c>
      <c r="D4898" s="98">
        <v>9999</v>
      </c>
      <c r="E4898" s="157">
        <v>42202.362500000003</v>
      </c>
      <c r="F4898" s="157">
        <v>42202.602083333331</v>
      </c>
      <c r="G4898" s="98">
        <v>0</v>
      </c>
      <c r="H4898" s="98">
        <v>521</v>
      </c>
      <c r="I4898" s="98">
        <v>482</v>
      </c>
      <c r="J4898" s="98" t="s">
        <v>2261</v>
      </c>
      <c r="K4898" s="98" t="s">
        <v>3736</v>
      </c>
      <c r="L4898" s="105" t="str">
        <f t="shared" si="790"/>
        <v>Mill Creek</v>
      </c>
      <c r="M4898" s="105" t="str">
        <f t="shared" si="791"/>
        <v>Other</v>
      </c>
      <c r="N4898" s="105" t="str">
        <f t="shared" si="792"/>
        <v>Coal</v>
      </c>
      <c r="O4898" s="105">
        <f>IFERROR(VLOOKUP(A4898,Lookup!$J$5:$P$19,7,FALSE),0)</f>
        <v>3</v>
      </c>
      <c r="P4898" s="159">
        <f t="shared" si="793"/>
        <v>2015</v>
      </c>
      <c r="Q4898" s="159">
        <f t="shared" si="794"/>
        <v>7</v>
      </c>
      <c r="R4898" s="160">
        <f t="shared" si="795"/>
        <v>5.7499999998835847</v>
      </c>
      <c r="S4898" s="158">
        <f t="shared" si="796"/>
        <v>5.7499999998835847</v>
      </c>
      <c r="T4898" s="161">
        <f t="shared" si="797"/>
        <v>2771.4999999438878</v>
      </c>
      <c r="U4898" s="158">
        <f t="shared" si="799"/>
        <v>482</v>
      </c>
      <c r="V4898" s="160">
        <f t="shared" si="798"/>
        <v>482</v>
      </c>
    </row>
    <row r="4899" spans="1:22" x14ac:dyDescent="0.25">
      <c r="A4899" s="98" t="s">
        <v>25</v>
      </c>
      <c r="B4899" s="98" t="s">
        <v>17</v>
      </c>
      <c r="C4899" s="98">
        <v>81</v>
      </c>
      <c r="D4899" s="98">
        <v>95</v>
      </c>
      <c r="E4899" s="157">
        <v>42203.970138888886</v>
      </c>
      <c r="F4899" s="157">
        <v>42204.078472222223</v>
      </c>
      <c r="G4899" s="98">
        <v>375</v>
      </c>
      <c r="H4899" s="98">
        <v>521</v>
      </c>
      <c r="I4899" s="98">
        <v>482</v>
      </c>
      <c r="J4899" s="98" t="s">
        <v>1998</v>
      </c>
      <c r="K4899" s="98" t="s">
        <v>3738</v>
      </c>
      <c r="L4899" s="105" t="str">
        <f t="shared" si="790"/>
        <v>Mill Creek</v>
      </c>
      <c r="M4899" s="105" t="str">
        <f t="shared" si="791"/>
        <v>Derate</v>
      </c>
      <c r="N4899" s="105" t="str">
        <f t="shared" si="792"/>
        <v>Coal</v>
      </c>
      <c r="O4899" s="105">
        <f>IFERROR(VLOOKUP(A4899,Lookup!$J$5:$P$19,7,FALSE),0)</f>
        <v>3</v>
      </c>
      <c r="P4899" s="159">
        <f t="shared" si="793"/>
        <v>2015</v>
      </c>
      <c r="Q4899" s="159">
        <f t="shared" si="794"/>
        <v>7</v>
      </c>
      <c r="R4899" s="160">
        <f t="shared" si="795"/>
        <v>2.6000000000931323</v>
      </c>
      <c r="S4899" s="158">
        <f t="shared" si="796"/>
        <v>0.72859884839462052</v>
      </c>
      <c r="T4899" s="161">
        <f t="shared" si="797"/>
        <v>351.18464492620711</v>
      </c>
      <c r="U4899" s="158">
        <f t="shared" si="799"/>
        <v>135.07101727447218</v>
      </c>
      <c r="V4899" s="160">
        <f t="shared" si="798"/>
        <v>135</v>
      </c>
    </row>
    <row r="4900" spans="1:22" x14ac:dyDescent="0.25">
      <c r="A4900" s="98" t="s">
        <v>25</v>
      </c>
      <c r="B4900" s="98" t="s">
        <v>79</v>
      </c>
      <c r="C4900" s="98">
        <v>82</v>
      </c>
      <c r="D4900" s="98">
        <v>8460</v>
      </c>
      <c r="E4900" s="157">
        <v>42207.381944444445</v>
      </c>
      <c r="F4900" s="157">
        <v>42207.575694444444</v>
      </c>
      <c r="G4900" s="98">
        <v>0</v>
      </c>
      <c r="H4900" s="98">
        <v>521</v>
      </c>
      <c r="I4900" s="98">
        <v>482</v>
      </c>
      <c r="J4900" s="98" t="s">
        <v>2651</v>
      </c>
      <c r="K4900" s="98" t="s">
        <v>3739</v>
      </c>
      <c r="L4900" s="105" t="str">
        <f t="shared" si="790"/>
        <v>Mill Creek</v>
      </c>
      <c r="M4900" s="105" t="str">
        <f t="shared" si="791"/>
        <v>Other</v>
      </c>
      <c r="N4900" s="105" t="str">
        <f t="shared" si="792"/>
        <v>Coal</v>
      </c>
      <c r="O4900" s="105">
        <f>IFERROR(VLOOKUP(A4900,Lookup!$J$5:$P$19,7,FALSE),0)</f>
        <v>3</v>
      </c>
      <c r="P4900" s="159">
        <f t="shared" si="793"/>
        <v>2015</v>
      </c>
      <c r="Q4900" s="159">
        <f t="shared" si="794"/>
        <v>7</v>
      </c>
      <c r="R4900" s="160">
        <f t="shared" si="795"/>
        <v>4.6499999999650754</v>
      </c>
      <c r="S4900" s="158">
        <f t="shared" si="796"/>
        <v>4.6499999999650754</v>
      </c>
      <c r="T4900" s="161">
        <f t="shared" si="797"/>
        <v>2241.2999999831663</v>
      </c>
      <c r="U4900" s="158">
        <f t="shared" si="799"/>
        <v>482</v>
      </c>
      <c r="V4900" s="160">
        <f t="shared" si="798"/>
        <v>482</v>
      </c>
    </row>
    <row r="4901" spans="1:22" x14ac:dyDescent="0.25">
      <c r="A4901" s="98" t="s">
        <v>25</v>
      </c>
      <c r="B4901" s="98" t="s">
        <v>105</v>
      </c>
      <c r="C4901" s="98">
        <v>83</v>
      </c>
      <c r="D4901" s="98">
        <v>1407</v>
      </c>
      <c r="E4901" s="157">
        <v>42207.916666666664</v>
      </c>
      <c r="F4901" s="157">
        <v>42207.93472222222</v>
      </c>
      <c r="G4901" s="98">
        <v>200</v>
      </c>
      <c r="H4901" s="98">
        <v>521</v>
      </c>
      <c r="I4901" s="98">
        <v>482</v>
      </c>
      <c r="J4901" s="98" t="s">
        <v>3740</v>
      </c>
      <c r="K4901" s="98" t="s">
        <v>3741</v>
      </c>
      <c r="L4901" s="105" t="str">
        <f t="shared" ref="L4901:L4964" si="800">IF(OR(A4901="BR1",A4901="BR2",A4901="BR3",A4901="BR5",A4901="BR6",A4901="BR7",A4901="BR8",A4901="BR9",A4901="BR10",A4901="BR11"),"Brown",IF(OR(A4901="CR4",A4901="CR5",A4901="CR6",A4901="CR11"),"Cane Run",IF(OR(A4901="GH1",A4901="GH2",A4901="GH3",A4901="GH4"),"Ghent",IF(OR(A4901="GR3",A4901="GR4"),"Green River",IF(OR(A4901="MC1",A4901="MC2",A4901="MC3",A4901="MC4"),"Mill Creek",IF(OR(A4901="TC1",A4901="TC2",A4901="TC5",A4901="TC6",A4901="TC7",A4901="TC8",A4901="TC9",A4901="TC10"),"Trimble",IF(A4901="TY3","Tyrone",IF(OR(A4901="HA1",A4901="HA2",A4901="HA3"),"Haeflin",IF(OR(A4901="PR11",A4901="PR12",A4901="PR13"),"Paddy's Run","Zorn")))))))))</f>
        <v>Mill Creek</v>
      </c>
      <c r="M4901" s="105" t="str">
        <f t="shared" ref="M4901:M4964" si="801">IF(OR(B4901="D1",B4901="D2",B4901="D3",B4901="D4",B4901="PD"),"Derate",IF(OR(B4901="SF",B4901="U1",B4901="U2",B4901="U3"),"Outage",IF(OR(B4901="ME",B4901="MO"),"Maintenance","Other")))</f>
        <v>Derate</v>
      </c>
      <c r="N4901" s="105" t="str">
        <f t="shared" ref="N4901:N4964" si="802">IF(OR(A4901="BR1",A4901="BR2",A4901="BR3",A4901="CR4",A4901="CR5",A4901="CR6",A4901="GH1",A4901="GH2",A4901="GH3",A4901="GH4",A4901="GR3",A4901="GR4",A4901="MC1",A4901="MC2",A4901="MC3",A4901="MC4",A4901="TC1",A4901="TC2",A4901="TY3"),"Coal","Gas")</f>
        <v>Coal</v>
      </c>
      <c r="O4901" s="105">
        <f>IFERROR(VLOOKUP(A4901,Lookup!$J$5:$P$19,7,FALSE),0)</f>
        <v>3</v>
      </c>
      <c r="P4901" s="159">
        <f t="shared" ref="P4901:P4964" si="803">YEAR(E4901)</f>
        <v>2015</v>
      </c>
      <c r="Q4901" s="159">
        <f t="shared" ref="Q4901:Q4964" si="804">MONTH(E4901)</f>
        <v>7</v>
      </c>
      <c r="R4901" s="160">
        <f t="shared" ref="R4901:R4964" si="805">(F4901-E4901)*24</f>
        <v>0.43333333334885538</v>
      </c>
      <c r="S4901" s="158">
        <f t="shared" ref="S4901:S4964" si="806">R4901*(H4901-G4901)/H4901</f>
        <v>0.26698656430898765</v>
      </c>
      <c r="T4901" s="161">
        <f t="shared" ref="T4901:T4964" si="807">S4901*I4901</f>
        <v>128.68752399693204</v>
      </c>
      <c r="U4901" s="158">
        <f t="shared" si="799"/>
        <v>296.97120921305185</v>
      </c>
      <c r="V4901" s="160">
        <f t="shared" ref="V4901:V4964" si="808">ROUND(U4901,0)</f>
        <v>297</v>
      </c>
    </row>
    <row r="4902" spans="1:22" x14ac:dyDescent="0.25">
      <c r="A4902" s="98" t="s">
        <v>25</v>
      </c>
      <c r="B4902" s="98" t="s">
        <v>15</v>
      </c>
      <c r="C4902" s="98">
        <v>84</v>
      </c>
      <c r="D4902" s="98">
        <v>4264</v>
      </c>
      <c r="E4902" s="157">
        <v>42218.102083333331</v>
      </c>
      <c r="F4902" s="157">
        <v>42218.381944444445</v>
      </c>
      <c r="G4902" s="98">
        <v>0</v>
      </c>
      <c r="H4902" s="98">
        <v>521</v>
      </c>
      <c r="I4902" s="98">
        <v>482</v>
      </c>
      <c r="J4902" s="98" t="s">
        <v>3742</v>
      </c>
      <c r="K4902" s="98" t="s">
        <v>3743</v>
      </c>
      <c r="L4902" s="105" t="str">
        <f t="shared" si="800"/>
        <v>Mill Creek</v>
      </c>
      <c r="M4902" s="105" t="str">
        <f t="shared" si="801"/>
        <v>Outage</v>
      </c>
      <c r="N4902" s="105" t="str">
        <f t="shared" si="802"/>
        <v>Coal</v>
      </c>
      <c r="O4902" s="105">
        <f>IFERROR(VLOOKUP(A4902,Lookup!$J$5:$P$19,7,FALSE),0)</f>
        <v>3</v>
      </c>
      <c r="P4902" s="159">
        <f t="shared" si="803"/>
        <v>2015</v>
      </c>
      <c r="Q4902" s="159">
        <f t="shared" si="804"/>
        <v>8</v>
      </c>
      <c r="R4902" s="160">
        <f t="shared" si="805"/>
        <v>6.7166666667326353</v>
      </c>
      <c r="S4902" s="158">
        <f t="shared" si="806"/>
        <v>6.7166666667326353</v>
      </c>
      <c r="T4902" s="161">
        <f t="shared" si="807"/>
        <v>3237.4333333651302</v>
      </c>
      <c r="U4902" s="158">
        <f t="shared" ref="U4902:U4965" si="809">IF(G4902&gt;0,MAX((H4902-G4902),0)*I4902/H4902,I4902)</f>
        <v>482</v>
      </c>
      <c r="V4902" s="160">
        <f t="shared" si="808"/>
        <v>482</v>
      </c>
    </row>
    <row r="4903" spans="1:22" x14ac:dyDescent="0.25">
      <c r="A4903" s="98" t="s">
        <v>25</v>
      </c>
      <c r="B4903" s="98" t="s">
        <v>79</v>
      </c>
      <c r="C4903" s="98">
        <v>85</v>
      </c>
      <c r="D4903" s="98">
        <v>1850</v>
      </c>
      <c r="E4903" s="157">
        <v>42218.381944444445</v>
      </c>
      <c r="F4903" s="157">
        <v>42218.726388888892</v>
      </c>
      <c r="G4903" s="98">
        <v>0</v>
      </c>
      <c r="H4903" s="98">
        <v>521</v>
      </c>
      <c r="I4903" s="98">
        <v>482</v>
      </c>
      <c r="J4903" s="98" t="s">
        <v>2263</v>
      </c>
      <c r="K4903" s="98" t="s">
        <v>86</v>
      </c>
      <c r="L4903" s="105" t="str">
        <f t="shared" si="800"/>
        <v>Mill Creek</v>
      </c>
      <c r="M4903" s="105" t="str">
        <f t="shared" si="801"/>
        <v>Other</v>
      </c>
      <c r="N4903" s="105" t="str">
        <f t="shared" si="802"/>
        <v>Coal</v>
      </c>
      <c r="O4903" s="105">
        <f>IFERROR(VLOOKUP(A4903,Lookup!$J$5:$P$19,7,FALSE),0)</f>
        <v>3</v>
      </c>
      <c r="P4903" s="159">
        <f t="shared" si="803"/>
        <v>2015</v>
      </c>
      <c r="Q4903" s="159">
        <f t="shared" si="804"/>
        <v>8</v>
      </c>
      <c r="R4903" s="160">
        <f t="shared" si="805"/>
        <v>8.2666666667209938</v>
      </c>
      <c r="S4903" s="158">
        <f t="shared" si="806"/>
        <v>8.2666666667209938</v>
      </c>
      <c r="T4903" s="161">
        <f t="shared" si="807"/>
        <v>3984.533333359519</v>
      </c>
      <c r="U4903" s="158">
        <f t="shared" si="809"/>
        <v>482</v>
      </c>
      <c r="V4903" s="160">
        <f t="shared" si="808"/>
        <v>482</v>
      </c>
    </row>
    <row r="4904" spans="1:22" x14ac:dyDescent="0.25">
      <c r="A4904" s="98" t="s">
        <v>25</v>
      </c>
      <c r="B4904" s="98" t="s">
        <v>15</v>
      </c>
      <c r="C4904" s="98">
        <v>86</v>
      </c>
      <c r="D4904" s="98">
        <v>800</v>
      </c>
      <c r="E4904" s="157">
        <v>42218.726388888892</v>
      </c>
      <c r="F4904" s="157">
        <v>42218.839583333334</v>
      </c>
      <c r="G4904" s="98">
        <v>0</v>
      </c>
      <c r="H4904" s="98">
        <v>521</v>
      </c>
      <c r="I4904" s="98">
        <v>482</v>
      </c>
      <c r="J4904" s="98" t="s">
        <v>2197</v>
      </c>
      <c r="K4904" s="98" t="s">
        <v>45</v>
      </c>
      <c r="L4904" s="105" t="str">
        <f t="shared" si="800"/>
        <v>Mill Creek</v>
      </c>
      <c r="M4904" s="105" t="str">
        <f t="shared" si="801"/>
        <v>Outage</v>
      </c>
      <c r="N4904" s="105" t="str">
        <f t="shared" si="802"/>
        <v>Coal</v>
      </c>
      <c r="O4904" s="105">
        <f>IFERROR(VLOOKUP(A4904,Lookup!$J$5:$P$19,7,FALSE),0)</f>
        <v>3</v>
      </c>
      <c r="P4904" s="159">
        <f t="shared" si="803"/>
        <v>2015</v>
      </c>
      <c r="Q4904" s="159">
        <f t="shared" si="804"/>
        <v>8</v>
      </c>
      <c r="R4904" s="160">
        <f t="shared" si="805"/>
        <v>2.71666666661622</v>
      </c>
      <c r="S4904" s="158">
        <f t="shared" si="806"/>
        <v>2.71666666661622</v>
      </c>
      <c r="T4904" s="161">
        <f t="shared" si="807"/>
        <v>1309.4333333090181</v>
      </c>
      <c r="U4904" s="158">
        <f t="shared" si="809"/>
        <v>482</v>
      </c>
      <c r="V4904" s="160">
        <f t="shared" si="808"/>
        <v>482</v>
      </c>
    </row>
    <row r="4905" spans="1:22" x14ac:dyDescent="0.25">
      <c r="A4905" s="98" t="s">
        <v>25</v>
      </c>
      <c r="B4905" s="98" t="s">
        <v>79</v>
      </c>
      <c r="C4905" s="98">
        <v>87</v>
      </c>
      <c r="D4905" s="98">
        <v>1850</v>
      </c>
      <c r="E4905" s="157">
        <v>42218.839583333334</v>
      </c>
      <c r="F4905" s="157">
        <v>42219.097916666666</v>
      </c>
      <c r="G4905" s="98">
        <v>0</v>
      </c>
      <c r="H4905" s="98">
        <v>521</v>
      </c>
      <c r="I4905" s="98">
        <v>482</v>
      </c>
      <c r="J4905" s="98" t="s">
        <v>2263</v>
      </c>
      <c r="K4905" s="98" t="s">
        <v>87</v>
      </c>
      <c r="L4905" s="105" t="str">
        <f t="shared" si="800"/>
        <v>Mill Creek</v>
      </c>
      <c r="M4905" s="105" t="str">
        <f t="shared" si="801"/>
        <v>Other</v>
      </c>
      <c r="N4905" s="105" t="str">
        <f t="shared" si="802"/>
        <v>Coal</v>
      </c>
      <c r="O4905" s="105">
        <f>IFERROR(VLOOKUP(A4905,Lookup!$J$5:$P$19,7,FALSE),0)</f>
        <v>3</v>
      </c>
      <c r="P4905" s="159">
        <f t="shared" si="803"/>
        <v>2015</v>
      </c>
      <c r="Q4905" s="159">
        <f t="shared" si="804"/>
        <v>8</v>
      </c>
      <c r="R4905" s="160">
        <f t="shared" si="805"/>
        <v>6.1999999999534339</v>
      </c>
      <c r="S4905" s="158">
        <f t="shared" si="806"/>
        <v>6.1999999999534339</v>
      </c>
      <c r="T4905" s="161">
        <f t="shared" si="807"/>
        <v>2988.3999999775551</v>
      </c>
      <c r="U4905" s="158">
        <f t="shared" si="809"/>
        <v>482</v>
      </c>
      <c r="V4905" s="160">
        <f t="shared" si="808"/>
        <v>482</v>
      </c>
    </row>
    <row r="4906" spans="1:22" x14ac:dyDescent="0.25">
      <c r="A4906" s="98" t="s">
        <v>25</v>
      </c>
      <c r="B4906" s="98" t="s">
        <v>17</v>
      </c>
      <c r="C4906" s="98">
        <v>88</v>
      </c>
      <c r="D4906" s="98">
        <v>1850</v>
      </c>
      <c r="E4906" s="157">
        <v>42219.097916666666</v>
      </c>
      <c r="F4906" s="157">
        <v>42219.286111111112</v>
      </c>
      <c r="G4906" s="98">
        <v>495</v>
      </c>
      <c r="H4906" s="98">
        <v>521</v>
      </c>
      <c r="I4906" s="98">
        <v>482</v>
      </c>
      <c r="J4906" s="98" t="s">
        <v>2263</v>
      </c>
      <c r="K4906" s="98" t="s">
        <v>41</v>
      </c>
      <c r="L4906" s="105" t="str">
        <f t="shared" si="800"/>
        <v>Mill Creek</v>
      </c>
      <c r="M4906" s="105" t="str">
        <f t="shared" si="801"/>
        <v>Derate</v>
      </c>
      <c r="N4906" s="105" t="str">
        <f t="shared" si="802"/>
        <v>Coal</v>
      </c>
      <c r="O4906" s="105">
        <f>IFERROR(VLOOKUP(A4906,Lookup!$J$5:$P$19,7,FALSE),0)</f>
        <v>3</v>
      </c>
      <c r="P4906" s="159">
        <f t="shared" si="803"/>
        <v>2015</v>
      </c>
      <c r="Q4906" s="159">
        <f t="shared" si="804"/>
        <v>8</v>
      </c>
      <c r="R4906" s="160">
        <f t="shared" si="805"/>
        <v>4.5166666667209938</v>
      </c>
      <c r="S4906" s="158">
        <f t="shared" si="806"/>
        <v>0.22539987204365805</v>
      </c>
      <c r="T4906" s="161">
        <f t="shared" si="807"/>
        <v>108.64273832504318</v>
      </c>
      <c r="U4906" s="158">
        <f t="shared" si="809"/>
        <v>24.053742802303262</v>
      </c>
      <c r="V4906" s="160">
        <f t="shared" si="808"/>
        <v>24</v>
      </c>
    </row>
    <row r="4907" spans="1:22" x14ac:dyDescent="0.25">
      <c r="A4907" s="98" t="s">
        <v>25</v>
      </c>
      <c r="B4907" s="98" t="s">
        <v>15</v>
      </c>
      <c r="C4907" s="98">
        <v>89</v>
      </c>
      <c r="D4907" s="98">
        <v>800</v>
      </c>
      <c r="E4907" s="157">
        <v>42220.106249999997</v>
      </c>
      <c r="F4907" s="157">
        <v>42220.206944444442</v>
      </c>
      <c r="G4907" s="98">
        <v>0</v>
      </c>
      <c r="H4907" s="98">
        <v>521</v>
      </c>
      <c r="I4907" s="98">
        <v>482</v>
      </c>
      <c r="J4907" s="98" t="s">
        <v>2197</v>
      </c>
      <c r="K4907" s="98" t="s">
        <v>3744</v>
      </c>
      <c r="L4907" s="105" t="str">
        <f t="shared" si="800"/>
        <v>Mill Creek</v>
      </c>
      <c r="M4907" s="105" t="str">
        <f t="shared" si="801"/>
        <v>Outage</v>
      </c>
      <c r="N4907" s="105" t="str">
        <f t="shared" si="802"/>
        <v>Coal</v>
      </c>
      <c r="O4907" s="105">
        <f>IFERROR(VLOOKUP(A4907,Lookup!$J$5:$P$19,7,FALSE),0)</f>
        <v>3</v>
      </c>
      <c r="P4907" s="159">
        <f t="shared" si="803"/>
        <v>2015</v>
      </c>
      <c r="Q4907" s="159">
        <f t="shared" si="804"/>
        <v>8</v>
      </c>
      <c r="R4907" s="160">
        <f t="shared" si="805"/>
        <v>2.4166666666860692</v>
      </c>
      <c r="S4907" s="158">
        <f t="shared" si="806"/>
        <v>2.4166666666860692</v>
      </c>
      <c r="T4907" s="161">
        <f t="shared" si="807"/>
        <v>1164.8333333426854</v>
      </c>
      <c r="U4907" s="158">
        <f t="shared" si="809"/>
        <v>482</v>
      </c>
      <c r="V4907" s="160">
        <f t="shared" si="808"/>
        <v>482</v>
      </c>
    </row>
    <row r="4908" spans="1:22" x14ac:dyDescent="0.25">
      <c r="A4908" s="98" t="s">
        <v>25</v>
      </c>
      <c r="B4908" s="98" t="s">
        <v>79</v>
      </c>
      <c r="C4908" s="98">
        <v>90</v>
      </c>
      <c r="D4908" s="98">
        <v>1850</v>
      </c>
      <c r="E4908" s="157">
        <v>42220.206944444442</v>
      </c>
      <c r="F4908" s="157">
        <v>42220.493055555555</v>
      </c>
      <c r="G4908" s="98">
        <v>0</v>
      </c>
      <c r="H4908" s="98">
        <v>521</v>
      </c>
      <c r="I4908" s="98">
        <v>482</v>
      </c>
      <c r="J4908" s="98" t="s">
        <v>2263</v>
      </c>
      <c r="K4908" s="98" t="s">
        <v>87</v>
      </c>
      <c r="L4908" s="105" t="str">
        <f t="shared" si="800"/>
        <v>Mill Creek</v>
      </c>
      <c r="M4908" s="105" t="str">
        <f t="shared" si="801"/>
        <v>Other</v>
      </c>
      <c r="N4908" s="105" t="str">
        <f t="shared" si="802"/>
        <v>Coal</v>
      </c>
      <c r="O4908" s="105">
        <f>IFERROR(VLOOKUP(A4908,Lookup!$J$5:$P$19,7,FALSE),0)</f>
        <v>3</v>
      </c>
      <c r="P4908" s="159">
        <f t="shared" si="803"/>
        <v>2015</v>
      </c>
      <c r="Q4908" s="159">
        <f t="shared" si="804"/>
        <v>8</v>
      </c>
      <c r="R4908" s="160">
        <f t="shared" si="805"/>
        <v>6.8666666666977108</v>
      </c>
      <c r="S4908" s="158">
        <f t="shared" si="806"/>
        <v>6.8666666666977108</v>
      </c>
      <c r="T4908" s="161">
        <f t="shared" si="807"/>
        <v>3309.7333333482966</v>
      </c>
      <c r="U4908" s="158">
        <f t="shared" si="809"/>
        <v>482</v>
      </c>
      <c r="V4908" s="160">
        <f t="shared" si="808"/>
        <v>482</v>
      </c>
    </row>
    <row r="4909" spans="1:22" x14ac:dyDescent="0.25">
      <c r="A4909" s="98" t="s">
        <v>25</v>
      </c>
      <c r="B4909" s="98" t="s">
        <v>17</v>
      </c>
      <c r="C4909" s="98">
        <v>91</v>
      </c>
      <c r="D4909" s="98">
        <v>1850</v>
      </c>
      <c r="E4909" s="157">
        <v>42220.493055555555</v>
      </c>
      <c r="F4909" s="157">
        <v>42220.672222222223</v>
      </c>
      <c r="G4909" s="98">
        <v>355</v>
      </c>
      <c r="H4909" s="98">
        <v>521</v>
      </c>
      <c r="I4909" s="98">
        <v>482</v>
      </c>
      <c r="J4909" s="98" t="s">
        <v>2263</v>
      </c>
      <c r="K4909" s="98" t="s">
        <v>41</v>
      </c>
      <c r="L4909" s="105" t="str">
        <f t="shared" si="800"/>
        <v>Mill Creek</v>
      </c>
      <c r="M4909" s="105" t="str">
        <f t="shared" si="801"/>
        <v>Derate</v>
      </c>
      <c r="N4909" s="105" t="str">
        <f t="shared" si="802"/>
        <v>Coal</v>
      </c>
      <c r="O4909" s="105">
        <f>IFERROR(VLOOKUP(A4909,Lookup!$J$5:$P$19,7,FALSE),0)</f>
        <v>3</v>
      </c>
      <c r="P4909" s="159">
        <f t="shared" si="803"/>
        <v>2015</v>
      </c>
      <c r="Q4909" s="159">
        <f t="shared" si="804"/>
        <v>8</v>
      </c>
      <c r="R4909" s="160">
        <f t="shared" si="805"/>
        <v>4.3000000000465661</v>
      </c>
      <c r="S4909" s="158">
        <f t="shared" si="806"/>
        <v>1.3700575815887333</v>
      </c>
      <c r="T4909" s="161">
        <f t="shared" si="807"/>
        <v>660.3677543257694</v>
      </c>
      <c r="U4909" s="158">
        <f t="shared" si="809"/>
        <v>153.57389635316699</v>
      </c>
      <c r="V4909" s="160">
        <f t="shared" si="808"/>
        <v>154</v>
      </c>
    </row>
    <row r="4910" spans="1:22" x14ac:dyDescent="0.25">
      <c r="A4910" s="98" t="s">
        <v>25</v>
      </c>
      <c r="B4910" s="98" t="s">
        <v>79</v>
      </c>
      <c r="C4910" s="98">
        <v>92</v>
      </c>
      <c r="D4910" s="98">
        <v>3623</v>
      </c>
      <c r="E4910" s="157">
        <v>42229.5</v>
      </c>
      <c r="F4910" s="157">
        <v>42229.57916666667</v>
      </c>
      <c r="G4910" s="98">
        <v>0</v>
      </c>
      <c r="H4910" s="98">
        <v>521</v>
      </c>
      <c r="I4910" s="98">
        <v>482</v>
      </c>
      <c r="J4910" s="98" t="s">
        <v>3311</v>
      </c>
      <c r="K4910" s="98" t="s">
        <v>1350</v>
      </c>
      <c r="L4910" s="105" t="str">
        <f t="shared" si="800"/>
        <v>Mill Creek</v>
      </c>
      <c r="M4910" s="105" t="str">
        <f t="shared" si="801"/>
        <v>Other</v>
      </c>
      <c r="N4910" s="105" t="str">
        <f t="shared" si="802"/>
        <v>Coal</v>
      </c>
      <c r="O4910" s="105">
        <f>IFERROR(VLOOKUP(A4910,Lookup!$J$5:$P$19,7,FALSE),0)</f>
        <v>3</v>
      </c>
      <c r="P4910" s="159">
        <f t="shared" si="803"/>
        <v>2015</v>
      </c>
      <c r="Q4910" s="159">
        <f t="shared" si="804"/>
        <v>8</v>
      </c>
      <c r="R4910" s="160">
        <f t="shared" si="805"/>
        <v>1.9000000000814907</v>
      </c>
      <c r="S4910" s="158">
        <f t="shared" si="806"/>
        <v>1.9000000000814907</v>
      </c>
      <c r="T4910" s="161">
        <f t="shared" si="807"/>
        <v>915.80000003927853</v>
      </c>
      <c r="U4910" s="158">
        <f t="shared" si="809"/>
        <v>482</v>
      </c>
      <c r="V4910" s="160">
        <f t="shared" si="808"/>
        <v>482</v>
      </c>
    </row>
    <row r="4911" spans="1:22" x14ac:dyDescent="0.25">
      <c r="A4911" s="98" t="s">
        <v>25</v>
      </c>
      <c r="B4911" s="98" t="s">
        <v>105</v>
      </c>
      <c r="C4911" s="98">
        <v>93</v>
      </c>
      <c r="D4911" s="98">
        <v>876</v>
      </c>
      <c r="E4911" s="157">
        <v>42242.958333333336</v>
      </c>
      <c r="F4911" s="157">
        <v>42243.209722222222</v>
      </c>
      <c r="G4911" s="98">
        <v>280</v>
      </c>
      <c r="H4911" s="98">
        <v>521</v>
      </c>
      <c r="I4911" s="98">
        <v>482</v>
      </c>
      <c r="J4911" s="98" t="s">
        <v>2655</v>
      </c>
      <c r="K4911" s="98" t="s">
        <v>669</v>
      </c>
      <c r="L4911" s="105" t="str">
        <f t="shared" si="800"/>
        <v>Mill Creek</v>
      </c>
      <c r="M4911" s="105" t="str">
        <f t="shared" si="801"/>
        <v>Derate</v>
      </c>
      <c r="N4911" s="105" t="str">
        <f t="shared" si="802"/>
        <v>Coal</v>
      </c>
      <c r="O4911" s="105">
        <f>IFERROR(VLOOKUP(A4911,Lookup!$J$5:$P$19,7,FALSE),0)</f>
        <v>3</v>
      </c>
      <c r="P4911" s="159">
        <f t="shared" si="803"/>
        <v>2015</v>
      </c>
      <c r="Q4911" s="159">
        <f t="shared" si="804"/>
        <v>8</v>
      </c>
      <c r="R4911" s="160">
        <f t="shared" si="805"/>
        <v>6.0333333332673647</v>
      </c>
      <c r="S4911" s="158">
        <f t="shared" si="806"/>
        <v>2.7908509276726199</v>
      </c>
      <c r="T4911" s="161">
        <f t="shared" si="807"/>
        <v>1345.1901471382027</v>
      </c>
      <c r="U4911" s="158">
        <f t="shared" si="809"/>
        <v>222.95969289827255</v>
      </c>
      <c r="V4911" s="160">
        <f t="shared" si="808"/>
        <v>223</v>
      </c>
    </row>
    <row r="4912" spans="1:22" x14ac:dyDescent="0.25">
      <c r="A4912" s="98" t="s">
        <v>25</v>
      </c>
      <c r="B4912" s="98" t="s">
        <v>17</v>
      </c>
      <c r="C4912" s="98">
        <v>94</v>
      </c>
      <c r="D4912" s="98">
        <v>380</v>
      </c>
      <c r="E4912" s="157">
        <v>42246.5</v>
      </c>
      <c r="F4912" s="157">
        <v>42246.515277777777</v>
      </c>
      <c r="G4912" s="98">
        <v>370</v>
      </c>
      <c r="H4912" s="98">
        <v>521</v>
      </c>
      <c r="I4912" s="98">
        <v>482</v>
      </c>
      <c r="J4912" s="98" t="s">
        <v>2017</v>
      </c>
      <c r="K4912" s="98" t="s">
        <v>3745</v>
      </c>
      <c r="L4912" s="105" t="str">
        <f t="shared" si="800"/>
        <v>Mill Creek</v>
      </c>
      <c r="M4912" s="105" t="str">
        <f t="shared" si="801"/>
        <v>Derate</v>
      </c>
      <c r="N4912" s="105" t="str">
        <f t="shared" si="802"/>
        <v>Coal</v>
      </c>
      <c r="O4912" s="105">
        <f>IFERROR(VLOOKUP(A4912,Lookup!$J$5:$P$19,7,FALSE),0)</f>
        <v>3</v>
      </c>
      <c r="P4912" s="159">
        <f t="shared" si="803"/>
        <v>2015</v>
      </c>
      <c r="Q4912" s="159">
        <f t="shared" si="804"/>
        <v>8</v>
      </c>
      <c r="R4912" s="160">
        <f t="shared" si="805"/>
        <v>0.36666666663950309</v>
      </c>
      <c r="S4912" s="158">
        <f t="shared" si="806"/>
        <v>0.10626999359417461</v>
      </c>
      <c r="T4912" s="161">
        <f t="shared" si="807"/>
        <v>51.222136912392159</v>
      </c>
      <c r="U4912" s="158">
        <f t="shared" si="809"/>
        <v>139.69673704414586</v>
      </c>
      <c r="V4912" s="160">
        <f t="shared" si="808"/>
        <v>140</v>
      </c>
    </row>
    <row r="4913" spans="1:22" x14ac:dyDescent="0.25">
      <c r="A4913" s="98" t="s">
        <v>25</v>
      </c>
      <c r="B4913" s="98" t="s">
        <v>20</v>
      </c>
      <c r="C4913" s="98">
        <v>95</v>
      </c>
      <c r="D4913" s="98">
        <v>3110</v>
      </c>
      <c r="E4913" s="157">
        <v>42252.831250000003</v>
      </c>
      <c r="F4913" s="157">
        <v>42254.786805555559</v>
      </c>
      <c r="G4913" s="98">
        <v>0</v>
      </c>
      <c r="H4913" s="98">
        <v>521</v>
      </c>
      <c r="I4913" s="98">
        <v>482</v>
      </c>
      <c r="J4913" s="98" t="s">
        <v>2119</v>
      </c>
      <c r="K4913" s="98" t="s">
        <v>49</v>
      </c>
      <c r="L4913" s="105" t="str">
        <f t="shared" si="800"/>
        <v>Mill Creek</v>
      </c>
      <c r="M4913" s="105" t="str">
        <f t="shared" si="801"/>
        <v>Maintenance</v>
      </c>
      <c r="N4913" s="105" t="str">
        <f t="shared" si="802"/>
        <v>Coal</v>
      </c>
      <c r="O4913" s="105">
        <f>IFERROR(VLOOKUP(A4913,Lookup!$J$5:$P$19,7,FALSE),0)</f>
        <v>3</v>
      </c>
      <c r="P4913" s="159">
        <f t="shared" si="803"/>
        <v>2015</v>
      </c>
      <c r="Q4913" s="159">
        <f t="shared" si="804"/>
        <v>9</v>
      </c>
      <c r="R4913" s="160">
        <f t="shared" si="805"/>
        <v>46.933333333348855</v>
      </c>
      <c r="S4913" s="158">
        <f t="shared" si="806"/>
        <v>46.933333333348855</v>
      </c>
      <c r="T4913" s="161">
        <f t="shared" si="807"/>
        <v>22621.866666674148</v>
      </c>
      <c r="U4913" s="158">
        <f t="shared" si="809"/>
        <v>482</v>
      </c>
      <c r="V4913" s="160">
        <f t="shared" si="808"/>
        <v>482</v>
      </c>
    </row>
    <row r="4914" spans="1:22" x14ac:dyDescent="0.25">
      <c r="A4914" s="98" t="s">
        <v>25</v>
      </c>
      <c r="B4914" s="98" t="s">
        <v>79</v>
      </c>
      <c r="C4914" s="98">
        <v>96</v>
      </c>
      <c r="D4914" s="98">
        <v>1850</v>
      </c>
      <c r="E4914" s="157">
        <v>42254.786805555559</v>
      </c>
      <c r="F4914" s="157">
        <v>42255.208333333336</v>
      </c>
      <c r="G4914" s="98">
        <v>0</v>
      </c>
      <c r="H4914" s="98">
        <v>521</v>
      </c>
      <c r="I4914" s="98">
        <v>482</v>
      </c>
      <c r="J4914" s="98" t="s">
        <v>2263</v>
      </c>
      <c r="K4914" s="98" t="s">
        <v>86</v>
      </c>
      <c r="L4914" s="105" t="str">
        <f t="shared" si="800"/>
        <v>Mill Creek</v>
      </c>
      <c r="M4914" s="105" t="str">
        <f t="shared" si="801"/>
        <v>Other</v>
      </c>
      <c r="N4914" s="105" t="str">
        <f t="shared" si="802"/>
        <v>Coal</v>
      </c>
      <c r="O4914" s="105">
        <f>IFERROR(VLOOKUP(A4914,Lookup!$J$5:$P$19,7,FALSE),0)</f>
        <v>3</v>
      </c>
      <c r="P4914" s="159">
        <f t="shared" si="803"/>
        <v>2015</v>
      </c>
      <c r="Q4914" s="159">
        <f t="shared" si="804"/>
        <v>9</v>
      </c>
      <c r="R4914" s="160">
        <f t="shared" si="805"/>
        <v>10.116666666639503</v>
      </c>
      <c r="S4914" s="158">
        <f t="shared" si="806"/>
        <v>10.116666666639503</v>
      </c>
      <c r="T4914" s="161">
        <f t="shared" si="807"/>
        <v>4876.2333333202405</v>
      </c>
      <c r="U4914" s="158">
        <f t="shared" si="809"/>
        <v>482</v>
      </c>
      <c r="V4914" s="160">
        <f t="shared" si="808"/>
        <v>482</v>
      </c>
    </row>
    <row r="4915" spans="1:22" x14ac:dyDescent="0.25">
      <c r="A4915" s="98" t="s">
        <v>25</v>
      </c>
      <c r="B4915" s="98" t="s">
        <v>17</v>
      </c>
      <c r="C4915" s="98">
        <v>97</v>
      </c>
      <c r="D4915" s="98">
        <v>1850</v>
      </c>
      <c r="E4915" s="157">
        <v>42255.208333333336</v>
      </c>
      <c r="F4915" s="157">
        <v>42255.272222222222</v>
      </c>
      <c r="G4915" s="98">
        <v>350</v>
      </c>
      <c r="H4915" s="98">
        <v>521</v>
      </c>
      <c r="I4915" s="98">
        <v>482</v>
      </c>
      <c r="J4915" s="98" t="s">
        <v>2263</v>
      </c>
      <c r="K4915" s="98" t="s">
        <v>41</v>
      </c>
      <c r="L4915" s="105" t="str">
        <f t="shared" si="800"/>
        <v>Mill Creek</v>
      </c>
      <c r="M4915" s="105" t="str">
        <f t="shared" si="801"/>
        <v>Derate</v>
      </c>
      <c r="N4915" s="105" t="str">
        <f t="shared" si="802"/>
        <v>Coal</v>
      </c>
      <c r="O4915" s="105">
        <f>IFERROR(VLOOKUP(A4915,Lookup!$J$5:$P$19,7,FALSE),0)</f>
        <v>3</v>
      </c>
      <c r="P4915" s="159">
        <f t="shared" si="803"/>
        <v>2015</v>
      </c>
      <c r="Q4915" s="159">
        <f t="shared" si="804"/>
        <v>9</v>
      </c>
      <c r="R4915" s="160">
        <f t="shared" si="805"/>
        <v>1.5333333332673647</v>
      </c>
      <c r="S4915" s="158">
        <f t="shared" si="806"/>
        <v>0.50326295583247482</v>
      </c>
      <c r="T4915" s="161">
        <f t="shared" si="807"/>
        <v>242.57274471125285</v>
      </c>
      <c r="U4915" s="158">
        <f t="shared" si="809"/>
        <v>158.19961612284069</v>
      </c>
      <c r="V4915" s="160">
        <f t="shared" si="808"/>
        <v>158</v>
      </c>
    </row>
    <row r="4916" spans="1:22" x14ac:dyDescent="0.25">
      <c r="A4916" s="98" t="s">
        <v>25</v>
      </c>
      <c r="B4916" s="98" t="s">
        <v>79</v>
      </c>
      <c r="C4916" s="98">
        <v>98</v>
      </c>
      <c r="D4916" s="98">
        <v>3623</v>
      </c>
      <c r="E4916" s="157">
        <v>42256.52847222222</v>
      </c>
      <c r="F4916" s="157">
        <v>42256.590277777781</v>
      </c>
      <c r="G4916" s="98">
        <v>0</v>
      </c>
      <c r="H4916" s="98">
        <v>521</v>
      </c>
      <c r="I4916" s="98">
        <v>482</v>
      </c>
      <c r="J4916" s="98" t="s">
        <v>3311</v>
      </c>
      <c r="K4916" s="98" t="s">
        <v>1350</v>
      </c>
      <c r="L4916" s="105" t="str">
        <f t="shared" si="800"/>
        <v>Mill Creek</v>
      </c>
      <c r="M4916" s="105" t="str">
        <f t="shared" si="801"/>
        <v>Other</v>
      </c>
      <c r="N4916" s="105" t="str">
        <f t="shared" si="802"/>
        <v>Coal</v>
      </c>
      <c r="O4916" s="105">
        <f>IFERROR(VLOOKUP(A4916,Lookup!$J$5:$P$19,7,FALSE),0)</f>
        <v>3</v>
      </c>
      <c r="P4916" s="159">
        <f t="shared" si="803"/>
        <v>2015</v>
      </c>
      <c r="Q4916" s="159">
        <f t="shared" si="804"/>
        <v>9</v>
      </c>
      <c r="R4916" s="160">
        <f t="shared" si="805"/>
        <v>1.4833333334536292</v>
      </c>
      <c r="S4916" s="158">
        <f t="shared" si="806"/>
        <v>1.4833333334536292</v>
      </c>
      <c r="T4916" s="161">
        <f t="shared" si="807"/>
        <v>714.96666672464926</v>
      </c>
      <c r="U4916" s="158">
        <f t="shared" si="809"/>
        <v>482</v>
      </c>
      <c r="V4916" s="160">
        <f t="shared" si="808"/>
        <v>482</v>
      </c>
    </row>
    <row r="4917" spans="1:22" x14ac:dyDescent="0.25">
      <c r="A4917" s="98" t="s">
        <v>25</v>
      </c>
      <c r="B4917" s="98" t="s">
        <v>38</v>
      </c>
      <c r="C4917" s="98">
        <v>99</v>
      </c>
      <c r="D4917" s="98">
        <v>1801</v>
      </c>
      <c r="E4917" s="157">
        <v>42271.893750000003</v>
      </c>
      <c r="F4917" s="157">
        <v>42285.060416666667</v>
      </c>
      <c r="G4917" s="98">
        <v>0</v>
      </c>
      <c r="H4917" s="98">
        <v>521</v>
      </c>
      <c r="I4917" s="98">
        <v>482</v>
      </c>
      <c r="J4917" s="98" t="s">
        <v>2021</v>
      </c>
      <c r="K4917" s="98" t="s">
        <v>94</v>
      </c>
      <c r="L4917" s="105" t="str">
        <f t="shared" si="800"/>
        <v>Mill Creek</v>
      </c>
      <c r="M4917" s="105" t="str">
        <f t="shared" si="801"/>
        <v>Other</v>
      </c>
      <c r="N4917" s="105" t="str">
        <f t="shared" si="802"/>
        <v>Coal</v>
      </c>
      <c r="O4917" s="105">
        <f>IFERROR(VLOOKUP(A4917,Lookup!$J$5:$P$19,7,FALSE),0)</f>
        <v>3</v>
      </c>
      <c r="P4917" s="159">
        <f t="shared" si="803"/>
        <v>2015</v>
      </c>
      <c r="Q4917" s="159">
        <f t="shared" si="804"/>
        <v>9</v>
      </c>
      <c r="R4917" s="160">
        <f t="shared" si="805"/>
        <v>315.99999999994179</v>
      </c>
      <c r="S4917" s="158">
        <f t="shared" si="806"/>
        <v>315.99999999994179</v>
      </c>
      <c r="T4917" s="161">
        <f t="shared" si="807"/>
        <v>152311.99999997194</v>
      </c>
      <c r="U4917" s="158">
        <f t="shared" si="809"/>
        <v>482</v>
      </c>
      <c r="V4917" s="160">
        <f t="shared" si="808"/>
        <v>482</v>
      </c>
    </row>
    <row r="4918" spans="1:22" x14ac:dyDescent="0.25">
      <c r="A4918" s="98" t="s">
        <v>25</v>
      </c>
      <c r="B4918" s="98" t="s">
        <v>79</v>
      </c>
      <c r="C4918" s="98">
        <v>100</v>
      </c>
      <c r="D4918" s="98">
        <v>1850</v>
      </c>
      <c r="E4918" s="157">
        <v>42285.060416666667</v>
      </c>
      <c r="F4918" s="157">
        <v>42286.0625</v>
      </c>
      <c r="G4918" s="98">
        <v>0</v>
      </c>
      <c r="H4918" s="98">
        <v>521</v>
      </c>
      <c r="I4918" s="98">
        <v>482</v>
      </c>
      <c r="J4918" s="98" t="s">
        <v>2263</v>
      </c>
      <c r="K4918" s="98" t="s">
        <v>88</v>
      </c>
      <c r="L4918" s="105" t="str">
        <f t="shared" si="800"/>
        <v>Mill Creek</v>
      </c>
      <c r="M4918" s="105" t="str">
        <f t="shared" si="801"/>
        <v>Other</v>
      </c>
      <c r="N4918" s="105" t="str">
        <f t="shared" si="802"/>
        <v>Coal</v>
      </c>
      <c r="O4918" s="105">
        <f>IFERROR(VLOOKUP(A4918,Lookup!$J$5:$P$19,7,FALSE),0)</f>
        <v>3</v>
      </c>
      <c r="P4918" s="159">
        <f t="shared" si="803"/>
        <v>2015</v>
      </c>
      <c r="Q4918" s="159">
        <f t="shared" si="804"/>
        <v>10</v>
      </c>
      <c r="R4918" s="160">
        <f t="shared" si="805"/>
        <v>24.049999999988358</v>
      </c>
      <c r="S4918" s="158">
        <f t="shared" si="806"/>
        <v>24.049999999988358</v>
      </c>
      <c r="T4918" s="161">
        <f t="shared" si="807"/>
        <v>11592.099999994389</v>
      </c>
      <c r="U4918" s="158">
        <f t="shared" si="809"/>
        <v>482</v>
      </c>
      <c r="V4918" s="160">
        <f t="shared" si="808"/>
        <v>482</v>
      </c>
    </row>
    <row r="4919" spans="1:22" x14ac:dyDescent="0.25">
      <c r="A4919" s="98" t="s">
        <v>25</v>
      </c>
      <c r="B4919" s="98" t="s">
        <v>17</v>
      </c>
      <c r="C4919" s="98">
        <v>101</v>
      </c>
      <c r="D4919" s="98">
        <v>310</v>
      </c>
      <c r="E4919" s="157">
        <v>42291.461805555555</v>
      </c>
      <c r="F4919" s="157">
        <v>42291.476388888892</v>
      </c>
      <c r="G4919" s="98">
        <v>400</v>
      </c>
      <c r="H4919" s="98">
        <v>521</v>
      </c>
      <c r="I4919" s="98">
        <v>482</v>
      </c>
      <c r="J4919" s="98" t="s">
        <v>1966</v>
      </c>
      <c r="K4919" s="98" t="s">
        <v>3746</v>
      </c>
      <c r="L4919" s="105" t="str">
        <f t="shared" si="800"/>
        <v>Mill Creek</v>
      </c>
      <c r="M4919" s="105" t="str">
        <f t="shared" si="801"/>
        <v>Derate</v>
      </c>
      <c r="N4919" s="105" t="str">
        <f t="shared" si="802"/>
        <v>Coal</v>
      </c>
      <c r="O4919" s="105">
        <f>IFERROR(VLOOKUP(A4919,Lookup!$J$5:$P$19,7,FALSE),0)</f>
        <v>3</v>
      </c>
      <c r="P4919" s="159">
        <f t="shared" si="803"/>
        <v>2015</v>
      </c>
      <c r="Q4919" s="159">
        <f t="shared" si="804"/>
        <v>10</v>
      </c>
      <c r="R4919" s="160">
        <f t="shared" si="805"/>
        <v>0.35000000009313226</v>
      </c>
      <c r="S4919" s="158">
        <f t="shared" si="806"/>
        <v>8.128598850531478E-2</v>
      </c>
      <c r="T4919" s="161">
        <f t="shared" si="807"/>
        <v>39.179846459561723</v>
      </c>
      <c r="U4919" s="158">
        <f t="shared" si="809"/>
        <v>111.94241842610364</v>
      </c>
      <c r="V4919" s="160">
        <f t="shared" si="808"/>
        <v>112</v>
      </c>
    </row>
    <row r="4920" spans="1:22" x14ac:dyDescent="0.25">
      <c r="A4920" s="98" t="s">
        <v>25</v>
      </c>
      <c r="B4920" s="98" t="s">
        <v>15</v>
      </c>
      <c r="C4920" s="98">
        <v>102</v>
      </c>
      <c r="D4920" s="98">
        <v>1000</v>
      </c>
      <c r="E4920" s="157">
        <v>42295.015277777777</v>
      </c>
      <c r="F4920" s="157">
        <v>42296.620138888888</v>
      </c>
      <c r="G4920" s="98">
        <v>0</v>
      </c>
      <c r="H4920" s="98">
        <v>521</v>
      </c>
      <c r="I4920" s="98">
        <v>482</v>
      </c>
      <c r="J4920" s="98" t="s">
        <v>2002</v>
      </c>
      <c r="K4920" s="98" t="s">
        <v>71</v>
      </c>
      <c r="L4920" s="105" t="str">
        <f t="shared" si="800"/>
        <v>Mill Creek</v>
      </c>
      <c r="M4920" s="105" t="str">
        <f t="shared" si="801"/>
        <v>Outage</v>
      </c>
      <c r="N4920" s="105" t="str">
        <f t="shared" si="802"/>
        <v>Coal</v>
      </c>
      <c r="O4920" s="105">
        <f>IFERROR(VLOOKUP(A4920,Lookup!$J$5:$P$19,7,FALSE),0)</f>
        <v>3</v>
      </c>
      <c r="P4920" s="159">
        <f t="shared" si="803"/>
        <v>2015</v>
      </c>
      <c r="Q4920" s="159">
        <f t="shared" si="804"/>
        <v>10</v>
      </c>
      <c r="R4920" s="160">
        <f t="shared" si="805"/>
        <v>38.516666666662786</v>
      </c>
      <c r="S4920" s="158">
        <f t="shared" si="806"/>
        <v>38.516666666662786</v>
      </c>
      <c r="T4920" s="161">
        <f t="shared" si="807"/>
        <v>18565.033333331463</v>
      </c>
      <c r="U4920" s="158">
        <f t="shared" si="809"/>
        <v>482</v>
      </c>
      <c r="V4920" s="160">
        <f t="shared" si="808"/>
        <v>482</v>
      </c>
    </row>
    <row r="4921" spans="1:22" x14ac:dyDescent="0.25">
      <c r="A4921" s="98" t="s">
        <v>25</v>
      </c>
      <c r="B4921" s="98" t="s">
        <v>79</v>
      </c>
      <c r="C4921" s="98">
        <v>103</v>
      </c>
      <c r="D4921" s="98">
        <v>1850</v>
      </c>
      <c r="E4921" s="157">
        <v>42296.620138888888</v>
      </c>
      <c r="F4921" s="157">
        <v>42296.954861111109</v>
      </c>
      <c r="G4921" s="98">
        <v>0</v>
      </c>
      <c r="H4921" s="98">
        <v>521</v>
      </c>
      <c r="I4921" s="98">
        <v>482</v>
      </c>
      <c r="J4921" s="98" t="s">
        <v>2263</v>
      </c>
      <c r="K4921" s="98" t="s">
        <v>86</v>
      </c>
      <c r="L4921" s="105" t="str">
        <f t="shared" si="800"/>
        <v>Mill Creek</v>
      </c>
      <c r="M4921" s="105" t="str">
        <f t="shared" si="801"/>
        <v>Other</v>
      </c>
      <c r="N4921" s="105" t="str">
        <f t="shared" si="802"/>
        <v>Coal</v>
      </c>
      <c r="O4921" s="105">
        <f>IFERROR(VLOOKUP(A4921,Lookup!$J$5:$P$19,7,FALSE),0)</f>
        <v>3</v>
      </c>
      <c r="P4921" s="159">
        <f t="shared" si="803"/>
        <v>2015</v>
      </c>
      <c r="Q4921" s="159">
        <f t="shared" si="804"/>
        <v>10</v>
      </c>
      <c r="R4921" s="160">
        <f t="shared" si="805"/>
        <v>8.0333333333255723</v>
      </c>
      <c r="S4921" s="158">
        <f t="shared" si="806"/>
        <v>8.0333333333255723</v>
      </c>
      <c r="T4921" s="161">
        <f t="shared" si="807"/>
        <v>3872.0666666629259</v>
      </c>
      <c r="U4921" s="158">
        <f t="shared" si="809"/>
        <v>482</v>
      </c>
      <c r="V4921" s="160">
        <f t="shared" si="808"/>
        <v>482</v>
      </c>
    </row>
    <row r="4922" spans="1:22" x14ac:dyDescent="0.25">
      <c r="A4922" s="98" t="s">
        <v>25</v>
      </c>
      <c r="B4922" s="98" t="s">
        <v>20</v>
      </c>
      <c r="C4922" s="98">
        <v>104</v>
      </c>
      <c r="D4922" s="98">
        <v>1000</v>
      </c>
      <c r="E4922" s="157">
        <v>42307.911805555559</v>
      </c>
      <c r="F4922" s="157">
        <v>42308.78125</v>
      </c>
      <c r="G4922" s="98">
        <v>0</v>
      </c>
      <c r="H4922" s="98">
        <v>521</v>
      </c>
      <c r="I4922" s="98">
        <v>482</v>
      </c>
      <c r="J4922" s="98" t="s">
        <v>2002</v>
      </c>
      <c r="K4922" s="98" t="s">
        <v>3747</v>
      </c>
      <c r="L4922" s="105" t="str">
        <f t="shared" si="800"/>
        <v>Mill Creek</v>
      </c>
      <c r="M4922" s="105" t="str">
        <f t="shared" si="801"/>
        <v>Maintenance</v>
      </c>
      <c r="N4922" s="105" t="str">
        <f t="shared" si="802"/>
        <v>Coal</v>
      </c>
      <c r="O4922" s="105">
        <f>IFERROR(VLOOKUP(A4922,Lookup!$J$5:$P$19,7,FALSE),0)</f>
        <v>3</v>
      </c>
      <c r="P4922" s="159">
        <f t="shared" si="803"/>
        <v>2015</v>
      </c>
      <c r="Q4922" s="159">
        <f t="shared" si="804"/>
        <v>10</v>
      </c>
      <c r="R4922" s="160">
        <f t="shared" si="805"/>
        <v>20.866666666581295</v>
      </c>
      <c r="S4922" s="158">
        <f t="shared" si="806"/>
        <v>20.866666666581295</v>
      </c>
      <c r="T4922" s="161">
        <f t="shared" si="807"/>
        <v>10057.733333292184</v>
      </c>
      <c r="U4922" s="158">
        <f t="shared" si="809"/>
        <v>482</v>
      </c>
      <c r="V4922" s="160">
        <f t="shared" si="808"/>
        <v>482</v>
      </c>
    </row>
    <row r="4923" spans="1:22" x14ac:dyDescent="0.25">
      <c r="A4923" s="98" t="s">
        <v>25</v>
      </c>
      <c r="B4923" s="98" t="s">
        <v>79</v>
      </c>
      <c r="C4923" s="98">
        <v>105</v>
      </c>
      <c r="D4923" s="98">
        <v>1850</v>
      </c>
      <c r="E4923" s="157">
        <v>42308.78125</v>
      </c>
      <c r="F4923" s="157">
        <v>42309.07916666667</v>
      </c>
      <c r="G4923" s="98">
        <v>0</v>
      </c>
      <c r="H4923" s="98">
        <v>521</v>
      </c>
      <c r="I4923" s="98">
        <v>482</v>
      </c>
      <c r="J4923" s="98" t="s">
        <v>2263</v>
      </c>
      <c r="K4923" s="98" t="s">
        <v>3552</v>
      </c>
      <c r="L4923" s="105" t="str">
        <f t="shared" si="800"/>
        <v>Mill Creek</v>
      </c>
      <c r="M4923" s="105" t="str">
        <f t="shared" si="801"/>
        <v>Other</v>
      </c>
      <c r="N4923" s="105" t="str">
        <f t="shared" si="802"/>
        <v>Coal</v>
      </c>
      <c r="O4923" s="105">
        <f>IFERROR(VLOOKUP(A4923,Lookup!$J$5:$P$19,7,FALSE),0)</f>
        <v>3</v>
      </c>
      <c r="P4923" s="159">
        <f t="shared" si="803"/>
        <v>2015</v>
      </c>
      <c r="Q4923" s="159">
        <f t="shared" si="804"/>
        <v>10</v>
      </c>
      <c r="R4923" s="160">
        <f t="shared" si="805"/>
        <v>7.1500000000814907</v>
      </c>
      <c r="S4923" s="158">
        <f t="shared" si="806"/>
        <v>7.1500000000814907</v>
      </c>
      <c r="T4923" s="161">
        <f t="shared" si="807"/>
        <v>3446.3000000392785</v>
      </c>
      <c r="U4923" s="158">
        <f t="shared" si="809"/>
        <v>482</v>
      </c>
      <c r="V4923" s="160">
        <f t="shared" si="808"/>
        <v>482</v>
      </c>
    </row>
    <row r="4924" spans="1:22" x14ac:dyDescent="0.25">
      <c r="A4924" s="98" t="s">
        <v>25</v>
      </c>
      <c r="B4924" s="98" t="s">
        <v>17</v>
      </c>
      <c r="C4924" s="98">
        <v>106</v>
      </c>
      <c r="D4924" s="98">
        <v>95</v>
      </c>
      <c r="E4924" s="157">
        <v>42326.179166666669</v>
      </c>
      <c r="F4924" s="157">
        <v>42326.293749999997</v>
      </c>
      <c r="G4924" s="98">
        <v>390</v>
      </c>
      <c r="H4924" s="98">
        <v>521</v>
      </c>
      <c r="I4924" s="98">
        <v>482</v>
      </c>
      <c r="J4924" s="98" t="s">
        <v>1998</v>
      </c>
      <c r="K4924" s="98" t="s">
        <v>3748</v>
      </c>
      <c r="L4924" s="105" t="str">
        <f t="shared" si="800"/>
        <v>Mill Creek</v>
      </c>
      <c r="M4924" s="105" t="str">
        <f t="shared" si="801"/>
        <v>Derate</v>
      </c>
      <c r="N4924" s="105" t="str">
        <f t="shared" si="802"/>
        <v>Coal</v>
      </c>
      <c r="O4924" s="105">
        <f>IFERROR(VLOOKUP(A4924,Lookup!$J$5:$P$19,7,FALSE),0)</f>
        <v>3</v>
      </c>
      <c r="P4924" s="159">
        <f t="shared" si="803"/>
        <v>2015</v>
      </c>
      <c r="Q4924" s="159">
        <f t="shared" si="804"/>
        <v>11</v>
      </c>
      <c r="R4924" s="160">
        <f t="shared" si="805"/>
        <v>2.7499999998835847</v>
      </c>
      <c r="S4924" s="158">
        <f t="shared" si="806"/>
        <v>0.69145873317610285</v>
      </c>
      <c r="T4924" s="161">
        <f t="shared" si="807"/>
        <v>333.28310939088158</v>
      </c>
      <c r="U4924" s="158">
        <f t="shared" si="809"/>
        <v>121.19385796545106</v>
      </c>
      <c r="V4924" s="160">
        <f t="shared" si="808"/>
        <v>121</v>
      </c>
    </row>
    <row r="4925" spans="1:22" x14ac:dyDescent="0.25">
      <c r="A4925" s="98" t="s">
        <v>25</v>
      </c>
      <c r="B4925" s="98" t="s">
        <v>79</v>
      </c>
      <c r="C4925" s="98">
        <v>107</v>
      </c>
      <c r="D4925" s="98">
        <v>8460</v>
      </c>
      <c r="E4925" s="157">
        <v>42331.40625</v>
      </c>
      <c r="F4925" s="157">
        <v>42331.690972222219</v>
      </c>
      <c r="G4925" s="98">
        <v>0</v>
      </c>
      <c r="H4925" s="98">
        <v>521</v>
      </c>
      <c r="I4925" s="98">
        <v>482</v>
      </c>
      <c r="J4925" s="98" t="s">
        <v>2651</v>
      </c>
      <c r="K4925" s="98" t="s">
        <v>3696</v>
      </c>
      <c r="L4925" s="105" t="str">
        <f t="shared" si="800"/>
        <v>Mill Creek</v>
      </c>
      <c r="M4925" s="105" t="str">
        <f t="shared" si="801"/>
        <v>Other</v>
      </c>
      <c r="N4925" s="105" t="str">
        <f t="shared" si="802"/>
        <v>Coal</v>
      </c>
      <c r="O4925" s="105">
        <f>IFERROR(VLOOKUP(A4925,Lookup!$J$5:$P$19,7,FALSE),0)</f>
        <v>3</v>
      </c>
      <c r="P4925" s="159">
        <f t="shared" si="803"/>
        <v>2015</v>
      </c>
      <c r="Q4925" s="159">
        <f t="shared" si="804"/>
        <v>11</v>
      </c>
      <c r="R4925" s="160">
        <f t="shared" si="805"/>
        <v>6.8333333332557231</v>
      </c>
      <c r="S4925" s="158">
        <f t="shared" si="806"/>
        <v>6.8333333332557231</v>
      </c>
      <c r="T4925" s="161">
        <f t="shared" si="807"/>
        <v>3293.6666666292585</v>
      </c>
      <c r="U4925" s="158">
        <f t="shared" si="809"/>
        <v>482</v>
      </c>
      <c r="V4925" s="160">
        <f t="shared" si="808"/>
        <v>482</v>
      </c>
    </row>
    <row r="4926" spans="1:22" x14ac:dyDescent="0.25">
      <c r="A4926" s="98" t="s">
        <v>25</v>
      </c>
      <c r="B4926" s="98" t="s">
        <v>79</v>
      </c>
      <c r="C4926" s="98">
        <v>108</v>
      </c>
      <c r="D4926" s="98">
        <v>8460</v>
      </c>
      <c r="E4926" s="157">
        <v>42332.375</v>
      </c>
      <c r="F4926" s="157">
        <v>42332.69027777778</v>
      </c>
      <c r="G4926" s="98">
        <v>0</v>
      </c>
      <c r="H4926" s="98">
        <v>521</v>
      </c>
      <c r="I4926" s="98">
        <v>482</v>
      </c>
      <c r="J4926" s="98" t="s">
        <v>2651</v>
      </c>
      <c r="K4926" s="98" t="s">
        <v>3749</v>
      </c>
      <c r="L4926" s="105" t="str">
        <f t="shared" si="800"/>
        <v>Mill Creek</v>
      </c>
      <c r="M4926" s="105" t="str">
        <f t="shared" si="801"/>
        <v>Other</v>
      </c>
      <c r="N4926" s="105" t="str">
        <f t="shared" si="802"/>
        <v>Coal</v>
      </c>
      <c r="O4926" s="105">
        <f>IFERROR(VLOOKUP(A4926,Lookup!$J$5:$P$19,7,FALSE),0)</f>
        <v>3</v>
      </c>
      <c r="P4926" s="159">
        <f t="shared" si="803"/>
        <v>2015</v>
      </c>
      <c r="Q4926" s="159">
        <f t="shared" si="804"/>
        <v>11</v>
      </c>
      <c r="R4926" s="160">
        <f t="shared" si="805"/>
        <v>7.5666666667093523</v>
      </c>
      <c r="S4926" s="158">
        <f t="shared" si="806"/>
        <v>7.5666666667093523</v>
      </c>
      <c r="T4926" s="161">
        <f t="shared" si="807"/>
        <v>3647.1333333539078</v>
      </c>
      <c r="U4926" s="158">
        <f t="shared" si="809"/>
        <v>482</v>
      </c>
      <c r="V4926" s="160">
        <f t="shared" si="808"/>
        <v>482</v>
      </c>
    </row>
    <row r="4927" spans="1:22" x14ac:dyDescent="0.25">
      <c r="A4927" s="98" t="s">
        <v>25</v>
      </c>
      <c r="B4927" s="98" t="s">
        <v>20</v>
      </c>
      <c r="C4927" s="98">
        <v>109</v>
      </c>
      <c r="D4927" s="98">
        <v>1310</v>
      </c>
      <c r="E4927" s="157">
        <v>42335.283333333333</v>
      </c>
      <c r="F4927" s="157">
        <v>42343.927083333336</v>
      </c>
      <c r="G4927" s="98">
        <v>0</v>
      </c>
      <c r="H4927" s="98">
        <v>521</v>
      </c>
      <c r="I4927" s="98">
        <v>482</v>
      </c>
      <c r="J4927" s="98" t="s">
        <v>2613</v>
      </c>
      <c r="K4927" s="98" t="s">
        <v>3750</v>
      </c>
      <c r="L4927" s="105" t="str">
        <f t="shared" si="800"/>
        <v>Mill Creek</v>
      </c>
      <c r="M4927" s="105" t="str">
        <f t="shared" si="801"/>
        <v>Maintenance</v>
      </c>
      <c r="N4927" s="105" t="str">
        <f t="shared" si="802"/>
        <v>Coal</v>
      </c>
      <c r="O4927" s="105">
        <f>IFERROR(VLOOKUP(A4927,Lookup!$J$5:$P$19,7,FALSE),0)</f>
        <v>3</v>
      </c>
      <c r="P4927" s="159">
        <f t="shared" si="803"/>
        <v>2015</v>
      </c>
      <c r="Q4927" s="159">
        <f t="shared" si="804"/>
        <v>11</v>
      </c>
      <c r="R4927" s="160">
        <f t="shared" si="805"/>
        <v>207.45000000006985</v>
      </c>
      <c r="S4927" s="158">
        <f t="shared" si="806"/>
        <v>207.45000000006985</v>
      </c>
      <c r="T4927" s="161">
        <f t="shared" si="807"/>
        <v>99990.900000033667</v>
      </c>
      <c r="U4927" s="158">
        <f t="shared" si="809"/>
        <v>482</v>
      </c>
      <c r="V4927" s="160">
        <f t="shared" si="808"/>
        <v>482</v>
      </c>
    </row>
    <row r="4928" spans="1:22" x14ac:dyDescent="0.25">
      <c r="A4928" s="98" t="s">
        <v>25</v>
      </c>
      <c r="B4928" s="98" t="s">
        <v>79</v>
      </c>
      <c r="C4928" s="98">
        <v>110</v>
      </c>
      <c r="D4928" s="98">
        <v>1850</v>
      </c>
      <c r="E4928" s="157">
        <v>42343.927083333336</v>
      </c>
      <c r="F4928" s="157">
        <v>42344.861111111109</v>
      </c>
      <c r="G4928" s="98">
        <v>0</v>
      </c>
      <c r="H4928" s="98">
        <v>521</v>
      </c>
      <c r="I4928" s="98">
        <v>482</v>
      </c>
      <c r="J4928" s="98" t="s">
        <v>2263</v>
      </c>
      <c r="K4928" s="98" t="s">
        <v>3751</v>
      </c>
      <c r="L4928" s="105" t="str">
        <f t="shared" si="800"/>
        <v>Mill Creek</v>
      </c>
      <c r="M4928" s="105" t="str">
        <f t="shared" si="801"/>
        <v>Other</v>
      </c>
      <c r="N4928" s="105" t="str">
        <f t="shared" si="802"/>
        <v>Coal</v>
      </c>
      <c r="O4928" s="105">
        <f>IFERROR(VLOOKUP(A4928,Lookup!$J$5:$P$19,7,FALSE),0)</f>
        <v>3</v>
      </c>
      <c r="P4928" s="159">
        <f t="shared" si="803"/>
        <v>2015</v>
      </c>
      <c r="Q4928" s="159">
        <f t="shared" si="804"/>
        <v>12</v>
      </c>
      <c r="R4928" s="160">
        <f t="shared" si="805"/>
        <v>22.416666666569654</v>
      </c>
      <c r="S4928" s="158">
        <f t="shared" si="806"/>
        <v>22.416666666569654</v>
      </c>
      <c r="T4928" s="161">
        <f t="shared" si="807"/>
        <v>10804.833333286573</v>
      </c>
      <c r="U4928" s="158">
        <f t="shared" si="809"/>
        <v>482</v>
      </c>
      <c r="V4928" s="160">
        <f t="shared" si="808"/>
        <v>482</v>
      </c>
    </row>
    <row r="4929" spans="1:22" x14ac:dyDescent="0.25">
      <c r="A4929" s="98" t="s">
        <v>25</v>
      </c>
      <c r="B4929" s="98" t="s">
        <v>79</v>
      </c>
      <c r="C4929" s="98">
        <v>111</v>
      </c>
      <c r="D4929" s="98">
        <v>8460</v>
      </c>
      <c r="E4929" s="157">
        <v>42346.916666666664</v>
      </c>
      <c r="F4929" s="157">
        <v>42347.21875</v>
      </c>
      <c r="G4929" s="98">
        <v>0</v>
      </c>
      <c r="H4929" s="98">
        <v>521</v>
      </c>
      <c r="I4929" s="98">
        <v>482</v>
      </c>
      <c r="J4929" s="98" t="s">
        <v>2651</v>
      </c>
      <c r="K4929" s="98" t="s">
        <v>3752</v>
      </c>
      <c r="L4929" s="105" t="str">
        <f t="shared" si="800"/>
        <v>Mill Creek</v>
      </c>
      <c r="M4929" s="105" t="str">
        <f t="shared" si="801"/>
        <v>Other</v>
      </c>
      <c r="N4929" s="105" t="str">
        <f t="shared" si="802"/>
        <v>Coal</v>
      </c>
      <c r="O4929" s="105">
        <f>IFERROR(VLOOKUP(A4929,Lookup!$J$5:$P$19,7,FALSE),0)</f>
        <v>3</v>
      </c>
      <c r="P4929" s="159">
        <f t="shared" si="803"/>
        <v>2015</v>
      </c>
      <c r="Q4929" s="159">
        <f t="shared" si="804"/>
        <v>12</v>
      </c>
      <c r="R4929" s="160">
        <f t="shared" si="805"/>
        <v>7.2500000000582077</v>
      </c>
      <c r="S4929" s="158">
        <f t="shared" si="806"/>
        <v>7.2500000000582077</v>
      </c>
      <c r="T4929" s="161">
        <f t="shared" si="807"/>
        <v>3494.5000000280561</v>
      </c>
      <c r="U4929" s="158">
        <f t="shared" si="809"/>
        <v>482</v>
      </c>
      <c r="V4929" s="160">
        <f t="shared" si="808"/>
        <v>482</v>
      </c>
    </row>
    <row r="4930" spans="1:22" x14ac:dyDescent="0.25">
      <c r="A4930" s="98" t="s">
        <v>25</v>
      </c>
      <c r="B4930" s="98" t="s">
        <v>17</v>
      </c>
      <c r="C4930" s="98">
        <v>112</v>
      </c>
      <c r="D4930" s="98">
        <v>310</v>
      </c>
      <c r="E4930" s="157">
        <v>42361.345138888886</v>
      </c>
      <c r="F4930" s="157">
        <v>42361.359722222223</v>
      </c>
      <c r="G4930" s="98">
        <v>190</v>
      </c>
      <c r="H4930" s="98">
        <v>521</v>
      </c>
      <c r="I4930" s="98">
        <v>482</v>
      </c>
      <c r="J4930" s="98" t="s">
        <v>1966</v>
      </c>
      <c r="K4930" s="98" t="s">
        <v>3753</v>
      </c>
      <c r="L4930" s="105" t="str">
        <f t="shared" si="800"/>
        <v>Mill Creek</v>
      </c>
      <c r="M4930" s="105" t="str">
        <f t="shared" si="801"/>
        <v>Derate</v>
      </c>
      <c r="N4930" s="105" t="str">
        <f t="shared" si="802"/>
        <v>Coal</v>
      </c>
      <c r="O4930" s="105">
        <f>IFERROR(VLOOKUP(A4930,Lookup!$J$5:$P$19,7,FALSE),0)</f>
        <v>3</v>
      </c>
      <c r="P4930" s="159">
        <f t="shared" si="803"/>
        <v>2015</v>
      </c>
      <c r="Q4930" s="159">
        <f t="shared" si="804"/>
        <v>12</v>
      </c>
      <c r="R4930" s="160">
        <f t="shared" si="805"/>
        <v>0.35000000009313226</v>
      </c>
      <c r="S4930" s="158">
        <f t="shared" si="806"/>
        <v>0.22236084458891897</v>
      </c>
      <c r="T4930" s="161">
        <f t="shared" si="807"/>
        <v>107.17792709185895</v>
      </c>
      <c r="U4930" s="158">
        <f t="shared" si="809"/>
        <v>306.22264875239921</v>
      </c>
      <c r="V4930" s="160">
        <f t="shared" si="808"/>
        <v>306</v>
      </c>
    </row>
    <row r="4931" spans="1:22" x14ac:dyDescent="0.25">
      <c r="A4931" s="98" t="s">
        <v>25</v>
      </c>
      <c r="B4931" s="98" t="s">
        <v>17</v>
      </c>
      <c r="C4931" s="98">
        <v>113</v>
      </c>
      <c r="D4931" s="98">
        <v>310</v>
      </c>
      <c r="E4931" s="157">
        <v>42361.359722222223</v>
      </c>
      <c r="F4931" s="157">
        <v>42361.394444444442</v>
      </c>
      <c r="G4931" s="98">
        <v>205</v>
      </c>
      <c r="H4931" s="98">
        <v>521</v>
      </c>
      <c r="I4931" s="98">
        <v>482</v>
      </c>
      <c r="J4931" s="98" t="s">
        <v>1966</v>
      </c>
      <c r="K4931" s="98" t="s">
        <v>3753</v>
      </c>
      <c r="L4931" s="105" t="str">
        <f t="shared" si="800"/>
        <v>Mill Creek</v>
      </c>
      <c r="M4931" s="105" t="str">
        <f t="shared" si="801"/>
        <v>Derate</v>
      </c>
      <c r="N4931" s="105" t="str">
        <f t="shared" si="802"/>
        <v>Coal</v>
      </c>
      <c r="O4931" s="105">
        <f>IFERROR(VLOOKUP(A4931,Lookup!$J$5:$P$19,7,FALSE),0)</f>
        <v>3</v>
      </c>
      <c r="P4931" s="159">
        <f t="shared" si="803"/>
        <v>2015</v>
      </c>
      <c r="Q4931" s="159">
        <f t="shared" si="804"/>
        <v>12</v>
      </c>
      <c r="R4931" s="160">
        <f t="shared" si="805"/>
        <v>0.83333333325572312</v>
      </c>
      <c r="S4931" s="158">
        <f t="shared" si="806"/>
        <v>0.50543825970980516</v>
      </c>
      <c r="T4931" s="161">
        <f t="shared" si="807"/>
        <v>243.62124118012608</v>
      </c>
      <c r="U4931" s="158">
        <f t="shared" si="809"/>
        <v>292.34548944337814</v>
      </c>
      <c r="V4931" s="160">
        <f t="shared" si="808"/>
        <v>292</v>
      </c>
    </row>
    <row r="4932" spans="1:22" x14ac:dyDescent="0.25">
      <c r="A4932" s="98" t="s">
        <v>25</v>
      </c>
      <c r="B4932" s="98" t="s">
        <v>17</v>
      </c>
      <c r="C4932" s="98">
        <v>114</v>
      </c>
      <c r="D4932" s="98">
        <v>4269</v>
      </c>
      <c r="E4932" s="157">
        <v>42361.394444444442</v>
      </c>
      <c r="F4932" s="157">
        <v>42361.445833333331</v>
      </c>
      <c r="G4932" s="98">
        <v>100</v>
      </c>
      <c r="H4932" s="98">
        <v>521</v>
      </c>
      <c r="I4932" s="98">
        <v>482</v>
      </c>
      <c r="J4932" s="98" t="s">
        <v>2286</v>
      </c>
      <c r="K4932" s="98" t="s">
        <v>3754</v>
      </c>
      <c r="L4932" s="105" t="str">
        <f t="shared" si="800"/>
        <v>Mill Creek</v>
      </c>
      <c r="M4932" s="105" t="str">
        <f t="shared" si="801"/>
        <v>Derate</v>
      </c>
      <c r="N4932" s="105" t="str">
        <f t="shared" si="802"/>
        <v>Coal</v>
      </c>
      <c r="O4932" s="105">
        <f>IFERROR(VLOOKUP(A4932,Lookup!$J$5:$P$19,7,FALSE),0)</f>
        <v>3</v>
      </c>
      <c r="P4932" s="159">
        <f t="shared" si="803"/>
        <v>2015</v>
      </c>
      <c r="Q4932" s="159">
        <f t="shared" si="804"/>
        <v>12</v>
      </c>
      <c r="R4932" s="160">
        <f t="shared" si="805"/>
        <v>1.2333333333372138</v>
      </c>
      <c r="S4932" s="158">
        <f t="shared" si="806"/>
        <v>0.99660908509590596</v>
      </c>
      <c r="T4932" s="161">
        <f t="shared" si="807"/>
        <v>480.36557901622666</v>
      </c>
      <c r="U4932" s="158">
        <f t="shared" si="809"/>
        <v>389.4856046065259</v>
      </c>
      <c r="V4932" s="160">
        <f t="shared" si="808"/>
        <v>389</v>
      </c>
    </row>
    <row r="4933" spans="1:22" x14ac:dyDescent="0.25">
      <c r="A4933" s="98" t="s">
        <v>25</v>
      </c>
      <c r="B4933" s="98" t="s">
        <v>17</v>
      </c>
      <c r="C4933" s="98">
        <v>115</v>
      </c>
      <c r="D4933" s="98">
        <v>310</v>
      </c>
      <c r="E4933" s="157">
        <v>42362.013194444444</v>
      </c>
      <c r="F4933" s="157">
        <v>42362.048611111109</v>
      </c>
      <c r="G4933" s="98">
        <v>125</v>
      </c>
      <c r="H4933" s="98">
        <v>521</v>
      </c>
      <c r="I4933" s="98">
        <v>482</v>
      </c>
      <c r="J4933" s="98" t="s">
        <v>1966</v>
      </c>
      <c r="K4933" s="98" t="s">
        <v>3753</v>
      </c>
      <c r="L4933" s="105" t="str">
        <f t="shared" si="800"/>
        <v>Mill Creek</v>
      </c>
      <c r="M4933" s="105" t="str">
        <f t="shared" si="801"/>
        <v>Derate</v>
      </c>
      <c r="N4933" s="105" t="str">
        <f t="shared" si="802"/>
        <v>Coal</v>
      </c>
      <c r="O4933" s="105">
        <f>IFERROR(VLOOKUP(A4933,Lookup!$J$5:$P$19,7,FALSE),0)</f>
        <v>3</v>
      </c>
      <c r="P4933" s="159">
        <f t="shared" si="803"/>
        <v>2015</v>
      </c>
      <c r="Q4933" s="159">
        <f t="shared" si="804"/>
        <v>12</v>
      </c>
      <c r="R4933" s="160">
        <f t="shared" si="805"/>
        <v>0.84999999997671694</v>
      </c>
      <c r="S4933" s="158">
        <f t="shared" si="806"/>
        <v>0.64606525909938561</v>
      </c>
      <c r="T4933" s="161">
        <f t="shared" si="807"/>
        <v>311.40345488590384</v>
      </c>
      <c r="U4933" s="158">
        <f t="shared" si="809"/>
        <v>366.35700575815741</v>
      </c>
      <c r="V4933" s="160">
        <f t="shared" si="808"/>
        <v>366</v>
      </c>
    </row>
    <row r="4934" spans="1:22" x14ac:dyDescent="0.25">
      <c r="A4934" s="98" t="s">
        <v>25</v>
      </c>
      <c r="B4934" s="98" t="s">
        <v>17</v>
      </c>
      <c r="C4934" s="98">
        <v>116</v>
      </c>
      <c r="D4934" s="98">
        <v>310</v>
      </c>
      <c r="E4934" s="157">
        <v>42362.625694444447</v>
      </c>
      <c r="F4934" s="157">
        <v>42362.736111111109</v>
      </c>
      <c r="G4934" s="98">
        <v>140</v>
      </c>
      <c r="H4934" s="98">
        <v>521</v>
      </c>
      <c r="I4934" s="98">
        <v>482</v>
      </c>
      <c r="J4934" s="98" t="s">
        <v>1966</v>
      </c>
      <c r="K4934" s="98" t="s">
        <v>3755</v>
      </c>
      <c r="L4934" s="105" t="str">
        <f t="shared" si="800"/>
        <v>Mill Creek</v>
      </c>
      <c r="M4934" s="105" t="str">
        <f t="shared" si="801"/>
        <v>Derate</v>
      </c>
      <c r="N4934" s="105" t="str">
        <f t="shared" si="802"/>
        <v>Coal</v>
      </c>
      <c r="O4934" s="105">
        <f>IFERROR(VLOOKUP(A4934,Lookup!$J$5:$P$19,7,FALSE),0)</f>
        <v>3</v>
      </c>
      <c r="P4934" s="159">
        <f t="shared" si="803"/>
        <v>2015</v>
      </c>
      <c r="Q4934" s="159">
        <f t="shared" si="804"/>
        <v>12</v>
      </c>
      <c r="R4934" s="160">
        <f t="shared" si="805"/>
        <v>2.6499999999068677</v>
      </c>
      <c r="S4934" s="158">
        <f t="shared" si="806"/>
        <v>1.9379078694136596</v>
      </c>
      <c r="T4934" s="161">
        <f t="shared" si="807"/>
        <v>934.07159305738389</v>
      </c>
      <c r="U4934" s="158">
        <f t="shared" si="809"/>
        <v>352.47984644913629</v>
      </c>
      <c r="V4934" s="160">
        <f t="shared" si="808"/>
        <v>352</v>
      </c>
    </row>
    <row r="4935" spans="1:22" x14ac:dyDescent="0.25">
      <c r="A4935" s="98" t="s">
        <v>25</v>
      </c>
      <c r="B4935" s="98" t="s">
        <v>105</v>
      </c>
      <c r="C4935" s="98">
        <v>117</v>
      </c>
      <c r="D4935" s="98">
        <v>360</v>
      </c>
      <c r="E4935" s="157">
        <v>42368.897222222222</v>
      </c>
      <c r="F4935" s="157">
        <v>42368.912499999999</v>
      </c>
      <c r="G4935" s="98">
        <v>380</v>
      </c>
      <c r="H4935" s="98">
        <v>521</v>
      </c>
      <c r="I4935" s="98">
        <v>482</v>
      </c>
      <c r="J4935" s="98" t="s">
        <v>229</v>
      </c>
      <c r="K4935" s="98" t="s">
        <v>3756</v>
      </c>
      <c r="L4935" s="105" t="str">
        <f t="shared" si="800"/>
        <v>Mill Creek</v>
      </c>
      <c r="M4935" s="105" t="str">
        <f t="shared" si="801"/>
        <v>Derate</v>
      </c>
      <c r="N4935" s="105" t="str">
        <f t="shared" si="802"/>
        <v>Coal</v>
      </c>
      <c r="O4935" s="105">
        <f>IFERROR(VLOOKUP(A4935,Lookup!$J$5:$P$19,7,FALSE),0)</f>
        <v>3</v>
      </c>
      <c r="P4935" s="159">
        <f t="shared" si="803"/>
        <v>2015</v>
      </c>
      <c r="Q4935" s="159">
        <f t="shared" si="804"/>
        <v>12</v>
      </c>
      <c r="R4935" s="160">
        <f t="shared" si="805"/>
        <v>0.36666666663950309</v>
      </c>
      <c r="S4935" s="158">
        <f t="shared" si="806"/>
        <v>9.9232245674030592E-2</v>
      </c>
      <c r="T4935" s="161">
        <f t="shared" si="807"/>
        <v>47.829942414882744</v>
      </c>
      <c r="U4935" s="158">
        <f t="shared" si="809"/>
        <v>130.44529750479848</v>
      </c>
      <c r="V4935" s="160">
        <f t="shared" si="808"/>
        <v>130</v>
      </c>
    </row>
    <row r="4936" spans="1:22" x14ac:dyDescent="0.25">
      <c r="A4936" s="98" t="s">
        <v>25</v>
      </c>
      <c r="B4936" s="98" t="s">
        <v>17</v>
      </c>
      <c r="C4936" s="98">
        <v>1</v>
      </c>
      <c r="D4936" s="98">
        <v>250</v>
      </c>
      <c r="E4936" s="157">
        <v>42373.020833333336</v>
      </c>
      <c r="F4936" s="157">
        <v>42373.125</v>
      </c>
      <c r="G4936" s="98">
        <v>420</v>
      </c>
      <c r="H4936" s="98">
        <v>521</v>
      </c>
      <c r="I4936" s="98">
        <v>482</v>
      </c>
      <c r="J4936" s="98" t="s">
        <v>1978</v>
      </c>
      <c r="K4936" s="98" t="s">
        <v>3757</v>
      </c>
      <c r="L4936" s="105" t="str">
        <f t="shared" si="800"/>
        <v>Mill Creek</v>
      </c>
      <c r="M4936" s="105" t="str">
        <f t="shared" si="801"/>
        <v>Derate</v>
      </c>
      <c r="N4936" s="105" t="str">
        <f t="shared" si="802"/>
        <v>Coal</v>
      </c>
      <c r="O4936" s="105">
        <f>IFERROR(VLOOKUP(A4936,Lookup!$J$5:$P$19,7,FALSE),0)</f>
        <v>3</v>
      </c>
      <c r="P4936" s="159">
        <f t="shared" si="803"/>
        <v>2016</v>
      </c>
      <c r="Q4936" s="159">
        <f t="shared" si="804"/>
        <v>1</v>
      </c>
      <c r="R4936" s="160">
        <f t="shared" si="805"/>
        <v>2.4999999999417923</v>
      </c>
      <c r="S4936" s="158">
        <f t="shared" si="806"/>
        <v>0.48464491361635514</v>
      </c>
      <c r="T4936" s="161">
        <f t="shared" si="807"/>
        <v>233.59884836308319</v>
      </c>
      <c r="U4936" s="158">
        <f t="shared" si="809"/>
        <v>93.439539347408825</v>
      </c>
      <c r="V4936" s="160">
        <f t="shared" si="808"/>
        <v>93</v>
      </c>
    </row>
    <row r="4937" spans="1:22" x14ac:dyDescent="0.25">
      <c r="A4937" s="98" t="s">
        <v>25</v>
      </c>
      <c r="B4937" s="98" t="s">
        <v>17</v>
      </c>
      <c r="C4937" s="98">
        <v>2</v>
      </c>
      <c r="D4937" s="98">
        <v>310</v>
      </c>
      <c r="E4937" s="157">
        <v>42375.219444444447</v>
      </c>
      <c r="F4937" s="157">
        <v>42375.451388888891</v>
      </c>
      <c r="G4937" s="98">
        <v>390</v>
      </c>
      <c r="H4937" s="98">
        <v>521</v>
      </c>
      <c r="I4937" s="98">
        <v>482</v>
      </c>
      <c r="J4937" s="98" t="s">
        <v>1966</v>
      </c>
      <c r="K4937" s="98" t="s">
        <v>3758</v>
      </c>
      <c r="L4937" s="105" t="str">
        <f t="shared" si="800"/>
        <v>Mill Creek</v>
      </c>
      <c r="M4937" s="105" t="str">
        <f t="shared" si="801"/>
        <v>Derate</v>
      </c>
      <c r="N4937" s="105" t="str">
        <f t="shared" si="802"/>
        <v>Coal</v>
      </c>
      <c r="O4937" s="105">
        <f>IFERROR(VLOOKUP(A4937,Lookup!$J$5:$P$19,7,FALSE),0)</f>
        <v>3</v>
      </c>
      <c r="P4937" s="159">
        <f t="shared" si="803"/>
        <v>2016</v>
      </c>
      <c r="Q4937" s="159">
        <f t="shared" si="804"/>
        <v>1</v>
      </c>
      <c r="R4937" s="160">
        <f t="shared" si="805"/>
        <v>5.5666666666511446</v>
      </c>
      <c r="S4937" s="158">
        <f t="shared" si="806"/>
        <v>1.3996801023633396</v>
      </c>
      <c r="T4937" s="161">
        <f t="shared" si="807"/>
        <v>674.64580933912964</v>
      </c>
      <c r="U4937" s="158">
        <f t="shared" si="809"/>
        <v>121.19385796545106</v>
      </c>
      <c r="V4937" s="160">
        <f t="shared" si="808"/>
        <v>121</v>
      </c>
    </row>
    <row r="4938" spans="1:22" x14ac:dyDescent="0.25">
      <c r="A4938" s="98" t="s">
        <v>25</v>
      </c>
      <c r="B4938" s="98" t="s">
        <v>17</v>
      </c>
      <c r="C4938" s="98">
        <v>3</v>
      </c>
      <c r="D4938" s="98">
        <v>270</v>
      </c>
      <c r="E4938" s="157">
        <v>42376.260416666664</v>
      </c>
      <c r="F4938" s="157">
        <v>42376.28125</v>
      </c>
      <c r="G4938" s="98">
        <v>440</v>
      </c>
      <c r="H4938" s="98">
        <v>521</v>
      </c>
      <c r="I4938" s="98">
        <v>482</v>
      </c>
      <c r="J4938" s="98" t="s">
        <v>2031</v>
      </c>
      <c r="K4938" s="98" t="s">
        <v>3759</v>
      </c>
      <c r="L4938" s="105" t="str">
        <f t="shared" si="800"/>
        <v>Mill Creek</v>
      </c>
      <c r="M4938" s="105" t="str">
        <f t="shared" si="801"/>
        <v>Derate</v>
      </c>
      <c r="N4938" s="105" t="str">
        <f t="shared" si="802"/>
        <v>Coal</v>
      </c>
      <c r="O4938" s="105">
        <f>IFERROR(VLOOKUP(A4938,Lookup!$J$5:$P$19,7,FALSE),0)</f>
        <v>3</v>
      </c>
      <c r="P4938" s="159">
        <f t="shared" si="803"/>
        <v>2016</v>
      </c>
      <c r="Q4938" s="159">
        <f t="shared" si="804"/>
        <v>1</v>
      </c>
      <c r="R4938" s="160">
        <f t="shared" si="805"/>
        <v>0.50000000005820766</v>
      </c>
      <c r="S4938" s="158">
        <f t="shared" si="806"/>
        <v>7.7735124769126335E-2</v>
      </c>
      <c r="T4938" s="161">
        <f t="shared" si="807"/>
        <v>37.468330138718891</v>
      </c>
      <c r="U4938" s="158">
        <f t="shared" si="809"/>
        <v>74.936660268714007</v>
      </c>
      <c r="V4938" s="160">
        <f t="shared" si="808"/>
        <v>75</v>
      </c>
    </row>
    <row r="4939" spans="1:22" x14ac:dyDescent="0.25">
      <c r="A4939" s="98" t="s">
        <v>25</v>
      </c>
      <c r="B4939" s="98" t="s">
        <v>17</v>
      </c>
      <c r="C4939" s="98">
        <v>4</v>
      </c>
      <c r="D4939" s="98">
        <v>360</v>
      </c>
      <c r="E4939" s="157">
        <v>42379.327777777777</v>
      </c>
      <c r="F4939" s="157">
        <v>42379.388888888891</v>
      </c>
      <c r="G4939" s="98">
        <v>270</v>
      </c>
      <c r="H4939" s="98">
        <v>521</v>
      </c>
      <c r="I4939" s="98">
        <v>482</v>
      </c>
      <c r="J4939" s="98" t="s">
        <v>229</v>
      </c>
      <c r="K4939" s="98" t="s">
        <v>3760</v>
      </c>
      <c r="L4939" s="105" t="str">
        <f t="shared" si="800"/>
        <v>Mill Creek</v>
      </c>
      <c r="M4939" s="105" t="str">
        <f t="shared" si="801"/>
        <v>Derate</v>
      </c>
      <c r="N4939" s="105" t="str">
        <f t="shared" si="802"/>
        <v>Coal</v>
      </c>
      <c r="O4939" s="105">
        <f>IFERROR(VLOOKUP(A4939,Lookup!$J$5:$P$19,7,FALSE),0)</f>
        <v>3</v>
      </c>
      <c r="P4939" s="159">
        <f t="shared" si="803"/>
        <v>2016</v>
      </c>
      <c r="Q4939" s="159">
        <f t="shared" si="804"/>
        <v>1</v>
      </c>
      <c r="R4939" s="160">
        <f t="shared" si="805"/>
        <v>1.4666666667326353</v>
      </c>
      <c r="S4939" s="158">
        <f t="shared" si="806"/>
        <v>0.70658989126658633</v>
      </c>
      <c r="T4939" s="161">
        <f t="shared" si="807"/>
        <v>340.5763275904946</v>
      </c>
      <c r="U4939" s="158">
        <f t="shared" si="809"/>
        <v>232.21113243761997</v>
      </c>
      <c r="V4939" s="160">
        <f t="shared" si="808"/>
        <v>232</v>
      </c>
    </row>
    <row r="4940" spans="1:22" x14ac:dyDescent="0.25">
      <c r="A4940" s="98" t="s">
        <v>25</v>
      </c>
      <c r="B4940" s="98" t="s">
        <v>17</v>
      </c>
      <c r="C4940" s="98">
        <v>5</v>
      </c>
      <c r="D4940" s="98">
        <v>260</v>
      </c>
      <c r="E4940" s="157">
        <v>42379.481249999997</v>
      </c>
      <c r="F4940" s="157">
        <v>42379.576388888891</v>
      </c>
      <c r="G4940" s="98">
        <v>360</v>
      </c>
      <c r="H4940" s="98">
        <v>521</v>
      </c>
      <c r="I4940" s="98">
        <v>482</v>
      </c>
      <c r="J4940" s="98" t="s">
        <v>1973</v>
      </c>
      <c r="K4940" s="98" t="s">
        <v>3761</v>
      </c>
      <c r="L4940" s="105" t="str">
        <f t="shared" si="800"/>
        <v>Mill Creek</v>
      </c>
      <c r="M4940" s="105" t="str">
        <f t="shared" si="801"/>
        <v>Derate</v>
      </c>
      <c r="N4940" s="105" t="str">
        <f t="shared" si="802"/>
        <v>Coal</v>
      </c>
      <c r="O4940" s="105">
        <f>IFERROR(VLOOKUP(A4940,Lookup!$J$5:$P$19,7,FALSE),0)</f>
        <v>3</v>
      </c>
      <c r="P4940" s="159">
        <f t="shared" si="803"/>
        <v>2016</v>
      </c>
      <c r="Q4940" s="159">
        <f t="shared" si="804"/>
        <v>1</v>
      </c>
      <c r="R4940" s="160">
        <f t="shared" si="805"/>
        <v>2.2833333334419876</v>
      </c>
      <c r="S4940" s="158">
        <f t="shared" si="806"/>
        <v>0.70559820860683298</v>
      </c>
      <c r="T4940" s="161">
        <f t="shared" si="807"/>
        <v>340.09833654849348</v>
      </c>
      <c r="U4940" s="158">
        <f t="shared" si="809"/>
        <v>148.94817658349328</v>
      </c>
      <c r="V4940" s="160">
        <f t="shared" si="808"/>
        <v>149</v>
      </c>
    </row>
    <row r="4941" spans="1:22" x14ac:dyDescent="0.25">
      <c r="A4941" s="98" t="s">
        <v>25</v>
      </c>
      <c r="B4941" s="98" t="s">
        <v>79</v>
      </c>
      <c r="C4941" s="98">
        <v>6</v>
      </c>
      <c r="D4941" s="98">
        <v>8700</v>
      </c>
      <c r="E4941" s="157">
        <v>42381.333333333336</v>
      </c>
      <c r="F4941" s="157">
        <v>42381.762499999997</v>
      </c>
      <c r="G4941" s="98">
        <v>0</v>
      </c>
      <c r="H4941" s="98">
        <v>521</v>
      </c>
      <c r="I4941" s="98">
        <v>482</v>
      </c>
      <c r="J4941" s="98" t="s">
        <v>1987</v>
      </c>
      <c r="K4941" s="98" t="s">
        <v>3539</v>
      </c>
      <c r="L4941" s="105" t="str">
        <f t="shared" si="800"/>
        <v>Mill Creek</v>
      </c>
      <c r="M4941" s="105" t="str">
        <f t="shared" si="801"/>
        <v>Other</v>
      </c>
      <c r="N4941" s="105" t="str">
        <f t="shared" si="802"/>
        <v>Coal</v>
      </c>
      <c r="O4941" s="105">
        <f>IFERROR(VLOOKUP(A4941,Lookup!$J$5:$P$19,7,FALSE),0)</f>
        <v>3</v>
      </c>
      <c r="P4941" s="159">
        <f t="shared" si="803"/>
        <v>2016</v>
      </c>
      <c r="Q4941" s="159">
        <f t="shared" si="804"/>
        <v>1</v>
      </c>
      <c r="R4941" s="160">
        <f t="shared" si="805"/>
        <v>10.299999999871943</v>
      </c>
      <c r="S4941" s="158">
        <f t="shared" si="806"/>
        <v>10.299999999871943</v>
      </c>
      <c r="T4941" s="161">
        <f t="shared" si="807"/>
        <v>4964.5999999382766</v>
      </c>
      <c r="U4941" s="158">
        <f t="shared" si="809"/>
        <v>482</v>
      </c>
      <c r="V4941" s="160">
        <f t="shared" si="808"/>
        <v>482</v>
      </c>
    </row>
    <row r="4942" spans="1:22" x14ac:dyDescent="0.25">
      <c r="A4942" s="98" t="s">
        <v>25</v>
      </c>
      <c r="B4942" s="98" t="s">
        <v>79</v>
      </c>
      <c r="C4942" s="98">
        <v>7</v>
      </c>
      <c r="D4942" s="98">
        <v>8700</v>
      </c>
      <c r="E4942" s="157">
        <v>42382.432638888888</v>
      </c>
      <c r="F4942" s="157">
        <v>42382.580555555556</v>
      </c>
      <c r="G4942" s="98">
        <v>0</v>
      </c>
      <c r="H4942" s="98">
        <v>521</v>
      </c>
      <c r="I4942" s="98">
        <v>482</v>
      </c>
      <c r="J4942" s="98" t="s">
        <v>1987</v>
      </c>
      <c r="K4942" s="98" t="s">
        <v>3539</v>
      </c>
      <c r="L4942" s="105" t="str">
        <f t="shared" si="800"/>
        <v>Mill Creek</v>
      </c>
      <c r="M4942" s="105" t="str">
        <f t="shared" si="801"/>
        <v>Other</v>
      </c>
      <c r="N4942" s="105" t="str">
        <f t="shared" si="802"/>
        <v>Coal</v>
      </c>
      <c r="O4942" s="105">
        <f>IFERROR(VLOOKUP(A4942,Lookup!$J$5:$P$19,7,FALSE),0)</f>
        <v>3</v>
      </c>
      <c r="P4942" s="159">
        <f t="shared" si="803"/>
        <v>2016</v>
      </c>
      <c r="Q4942" s="159">
        <f t="shared" si="804"/>
        <v>1</v>
      </c>
      <c r="R4942" s="160">
        <f t="shared" si="805"/>
        <v>3.5500000000465661</v>
      </c>
      <c r="S4942" s="158">
        <f t="shared" si="806"/>
        <v>3.5500000000465661</v>
      </c>
      <c r="T4942" s="161">
        <f t="shared" si="807"/>
        <v>1711.1000000224449</v>
      </c>
      <c r="U4942" s="158">
        <f t="shared" si="809"/>
        <v>482</v>
      </c>
      <c r="V4942" s="160">
        <f t="shared" si="808"/>
        <v>482</v>
      </c>
    </row>
    <row r="4943" spans="1:22" x14ac:dyDescent="0.25">
      <c r="A4943" s="98" t="s">
        <v>25</v>
      </c>
      <c r="B4943" s="98" t="s">
        <v>79</v>
      </c>
      <c r="C4943" s="98">
        <v>8</v>
      </c>
      <c r="D4943" s="98">
        <v>8700</v>
      </c>
      <c r="E4943" s="157">
        <v>42382.916666666664</v>
      </c>
      <c r="F4943" s="157">
        <v>42383.040972222225</v>
      </c>
      <c r="G4943" s="98">
        <v>0</v>
      </c>
      <c r="H4943" s="98">
        <v>521</v>
      </c>
      <c r="I4943" s="98">
        <v>482</v>
      </c>
      <c r="J4943" s="98" t="s">
        <v>1987</v>
      </c>
      <c r="K4943" s="98" t="s">
        <v>3540</v>
      </c>
      <c r="L4943" s="105" t="str">
        <f t="shared" si="800"/>
        <v>Mill Creek</v>
      </c>
      <c r="M4943" s="105" t="str">
        <f t="shared" si="801"/>
        <v>Other</v>
      </c>
      <c r="N4943" s="105" t="str">
        <f t="shared" si="802"/>
        <v>Coal</v>
      </c>
      <c r="O4943" s="105">
        <f>IFERROR(VLOOKUP(A4943,Lookup!$J$5:$P$19,7,FALSE),0)</f>
        <v>3</v>
      </c>
      <c r="P4943" s="159">
        <f t="shared" si="803"/>
        <v>2016</v>
      </c>
      <c r="Q4943" s="159">
        <f t="shared" si="804"/>
        <v>1</v>
      </c>
      <c r="R4943" s="160">
        <f t="shared" si="805"/>
        <v>2.9833333334536292</v>
      </c>
      <c r="S4943" s="158">
        <f t="shared" si="806"/>
        <v>2.9833333334536292</v>
      </c>
      <c r="T4943" s="161">
        <f t="shared" si="807"/>
        <v>1437.9666667246493</v>
      </c>
      <c r="U4943" s="158">
        <f t="shared" si="809"/>
        <v>482</v>
      </c>
      <c r="V4943" s="160">
        <f t="shared" si="808"/>
        <v>482</v>
      </c>
    </row>
    <row r="4944" spans="1:22" x14ac:dyDescent="0.25">
      <c r="A4944" s="98" t="s">
        <v>25</v>
      </c>
      <c r="B4944" s="98" t="s">
        <v>17</v>
      </c>
      <c r="C4944" s="98">
        <v>9</v>
      </c>
      <c r="D4944" s="98">
        <v>335</v>
      </c>
      <c r="E4944" s="157">
        <v>42396.469444444447</v>
      </c>
      <c r="F4944" s="157">
        <v>42396.839583333334</v>
      </c>
      <c r="G4944" s="98">
        <v>395</v>
      </c>
      <c r="H4944" s="98">
        <v>521</v>
      </c>
      <c r="I4944" s="98">
        <v>482</v>
      </c>
      <c r="J4944" s="98" t="s">
        <v>2131</v>
      </c>
      <c r="K4944" s="98" t="s">
        <v>3762</v>
      </c>
      <c r="L4944" s="105" t="str">
        <f t="shared" si="800"/>
        <v>Mill Creek</v>
      </c>
      <c r="M4944" s="105" t="str">
        <f t="shared" si="801"/>
        <v>Derate</v>
      </c>
      <c r="N4944" s="105" t="str">
        <f t="shared" si="802"/>
        <v>Coal</v>
      </c>
      <c r="O4944" s="105">
        <f>IFERROR(VLOOKUP(A4944,Lookup!$J$5:$P$19,7,FALSE),0)</f>
        <v>3</v>
      </c>
      <c r="P4944" s="159">
        <f t="shared" si="803"/>
        <v>2016</v>
      </c>
      <c r="Q4944" s="159">
        <f t="shared" si="804"/>
        <v>1</v>
      </c>
      <c r="R4944" s="160">
        <f t="shared" si="805"/>
        <v>8.8833333333022892</v>
      </c>
      <c r="S4944" s="158">
        <f t="shared" si="806"/>
        <v>2.1483685220654287</v>
      </c>
      <c r="T4944" s="161">
        <f t="shared" si="807"/>
        <v>1035.5136276355367</v>
      </c>
      <c r="U4944" s="158">
        <f t="shared" si="809"/>
        <v>116.56813819577735</v>
      </c>
      <c r="V4944" s="160">
        <f t="shared" si="808"/>
        <v>117</v>
      </c>
    </row>
    <row r="4945" spans="1:22" x14ac:dyDescent="0.25">
      <c r="A4945" s="98" t="s">
        <v>25</v>
      </c>
      <c r="B4945" s="98" t="s">
        <v>79</v>
      </c>
      <c r="C4945" s="98">
        <v>10</v>
      </c>
      <c r="D4945" s="98">
        <v>9999</v>
      </c>
      <c r="E4945" s="157">
        <v>42402.375</v>
      </c>
      <c r="F4945" s="157">
        <v>42402.542361111111</v>
      </c>
      <c r="G4945" s="98">
        <v>0</v>
      </c>
      <c r="H4945" s="98">
        <v>521</v>
      </c>
      <c r="I4945" s="98">
        <v>482</v>
      </c>
      <c r="J4945" s="98" t="s">
        <v>2261</v>
      </c>
      <c r="K4945" s="98" t="s">
        <v>3625</v>
      </c>
      <c r="L4945" s="105" t="str">
        <f t="shared" si="800"/>
        <v>Mill Creek</v>
      </c>
      <c r="M4945" s="105" t="str">
        <f t="shared" si="801"/>
        <v>Other</v>
      </c>
      <c r="N4945" s="105" t="str">
        <f t="shared" si="802"/>
        <v>Coal</v>
      </c>
      <c r="O4945" s="105">
        <f>IFERROR(VLOOKUP(A4945,Lookup!$J$5:$P$19,7,FALSE),0)</f>
        <v>3</v>
      </c>
      <c r="P4945" s="159">
        <f t="shared" si="803"/>
        <v>2016</v>
      </c>
      <c r="Q4945" s="159">
        <f t="shared" si="804"/>
        <v>2</v>
      </c>
      <c r="R4945" s="160">
        <f t="shared" si="805"/>
        <v>4.0166666666627862</v>
      </c>
      <c r="S4945" s="158">
        <f t="shared" si="806"/>
        <v>4.0166666666627862</v>
      </c>
      <c r="T4945" s="161">
        <f t="shared" si="807"/>
        <v>1936.0333333314629</v>
      </c>
      <c r="U4945" s="158">
        <f t="shared" si="809"/>
        <v>482</v>
      </c>
      <c r="V4945" s="160">
        <f t="shared" si="808"/>
        <v>482</v>
      </c>
    </row>
    <row r="4946" spans="1:22" x14ac:dyDescent="0.25">
      <c r="A4946" s="98" t="s">
        <v>25</v>
      </c>
      <c r="B4946" s="98" t="s">
        <v>15</v>
      </c>
      <c r="C4946" s="98">
        <v>11</v>
      </c>
      <c r="D4946" s="98">
        <v>1470</v>
      </c>
      <c r="E4946" s="157">
        <v>42402.542361111111</v>
      </c>
      <c r="F4946" s="157">
        <v>42402.69027777778</v>
      </c>
      <c r="G4946" s="98">
        <v>0</v>
      </c>
      <c r="H4946" s="98">
        <v>521</v>
      </c>
      <c r="I4946" s="98">
        <v>482</v>
      </c>
      <c r="J4946" s="98" t="s">
        <v>2005</v>
      </c>
      <c r="K4946" s="98" t="s">
        <v>3763</v>
      </c>
      <c r="L4946" s="105" t="str">
        <f t="shared" si="800"/>
        <v>Mill Creek</v>
      </c>
      <c r="M4946" s="105" t="str">
        <f t="shared" si="801"/>
        <v>Outage</v>
      </c>
      <c r="N4946" s="105" t="str">
        <f t="shared" si="802"/>
        <v>Coal</v>
      </c>
      <c r="O4946" s="105">
        <f>IFERROR(VLOOKUP(A4946,Lookup!$J$5:$P$19,7,FALSE),0)</f>
        <v>3</v>
      </c>
      <c r="P4946" s="159">
        <f t="shared" si="803"/>
        <v>2016</v>
      </c>
      <c r="Q4946" s="159">
        <f t="shared" si="804"/>
        <v>2</v>
      </c>
      <c r="R4946" s="160">
        <f t="shared" si="805"/>
        <v>3.5500000000465661</v>
      </c>
      <c r="S4946" s="158">
        <f t="shared" si="806"/>
        <v>3.5500000000465661</v>
      </c>
      <c r="T4946" s="161">
        <f t="shared" si="807"/>
        <v>1711.1000000224449</v>
      </c>
      <c r="U4946" s="158">
        <f t="shared" si="809"/>
        <v>482</v>
      </c>
      <c r="V4946" s="160">
        <f t="shared" si="808"/>
        <v>482</v>
      </c>
    </row>
    <row r="4947" spans="1:22" x14ac:dyDescent="0.25">
      <c r="A4947" s="98" t="s">
        <v>25</v>
      </c>
      <c r="B4947" s="98" t="s">
        <v>79</v>
      </c>
      <c r="C4947" s="98">
        <v>12</v>
      </c>
      <c r="D4947" s="98">
        <v>1850</v>
      </c>
      <c r="E4947" s="157">
        <v>42402.69027777778</v>
      </c>
      <c r="F4947" s="157">
        <v>42402.856944444444</v>
      </c>
      <c r="G4947" s="98">
        <v>0</v>
      </c>
      <c r="H4947" s="98">
        <v>521</v>
      </c>
      <c r="I4947" s="98">
        <v>482</v>
      </c>
      <c r="J4947" s="98" t="s">
        <v>2263</v>
      </c>
      <c r="K4947" s="98" t="s">
        <v>3612</v>
      </c>
      <c r="L4947" s="105" t="str">
        <f t="shared" si="800"/>
        <v>Mill Creek</v>
      </c>
      <c r="M4947" s="105" t="str">
        <f t="shared" si="801"/>
        <v>Other</v>
      </c>
      <c r="N4947" s="105" t="str">
        <f t="shared" si="802"/>
        <v>Coal</v>
      </c>
      <c r="O4947" s="105">
        <f>IFERROR(VLOOKUP(A4947,Lookup!$J$5:$P$19,7,FALSE),0)</f>
        <v>3</v>
      </c>
      <c r="P4947" s="159">
        <f t="shared" si="803"/>
        <v>2016</v>
      </c>
      <c r="Q4947" s="159">
        <f t="shared" si="804"/>
        <v>2</v>
      </c>
      <c r="R4947" s="160">
        <f t="shared" si="805"/>
        <v>3.9999999999417923</v>
      </c>
      <c r="S4947" s="158">
        <f t="shared" si="806"/>
        <v>3.9999999999417923</v>
      </c>
      <c r="T4947" s="161">
        <f t="shared" si="807"/>
        <v>1927.9999999719439</v>
      </c>
      <c r="U4947" s="158">
        <f t="shared" si="809"/>
        <v>482</v>
      </c>
      <c r="V4947" s="160">
        <f t="shared" si="808"/>
        <v>482</v>
      </c>
    </row>
    <row r="4948" spans="1:22" x14ac:dyDescent="0.25">
      <c r="A4948" s="98" t="s">
        <v>25</v>
      </c>
      <c r="B4948" s="98" t="s">
        <v>105</v>
      </c>
      <c r="C4948" s="98">
        <v>13</v>
      </c>
      <c r="D4948" s="98">
        <v>360</v>
      </c>
      <c r="E4948" s="157">
        <v>42402.916666666664</v>
      </c>
      <c r="F4948" s="157">
        <v>42403.130555555559</v>
      </c>
      <c r="G4948" s="98">
        <v>360</v>
      </c>
      <c r="H4948" s="98">
        <v>521</v>
      </c>
      <c r="I4948" s="98">
        <v>482</v>
      </c>
      <c r="J4948" s="98" t="s">
        <v>229</v>
      </c>
      <c r="K4948" s="98" t="s">
        <v>3764</v>
      </c>
      <c r="L4948" s="105" t="str">
        <f t="shared" si="800"/>
        <v>Mill Creek</v>
      </c>
      <c r="M4948" s="105" t="str">
        <f t="shared" si="801"/>
        <v>Derate</v>
      </c>
      <c r="N4948" s="105" t="str">
        <f t="shared" si="802"/>
        <v>Coal</v>
      </c>
      <c r="O4948" s="105">
        <f>IFERROR(VLOOKUP(A4948,Lookup!$J$5:$P$19,7,FALSE),0)</f>
        <v>3</v>
      </c>
      <c r="P4948" s="159">
        <f t="shared" si="803"/>
        <v>2016</v>
      </c>
      <c r="Q4948" s="159">
        <f t="shared" si="804"/>
        <v>2</v>
      </c>
      <c r="R4948" s="160">
        <f t="shared" si="805"/>
        <v>5.1333333334769122</v>
      </c>
      <c r="S4948" s="158">
        <f t="shared" si="806"/>
        <v>1.5863083813623471</v>
      </c>
      <c r="T4948" s="161">
        <f t="shared" si="807"/>
        <v>764.60063981665132</v>
      </c>
      <c r="U4948" s="158">
        <f t="shared" si="809"/>
        <v>148.94817658349328</v>
      </c>
      <c r="V4948" s="160">
        <f t="shared" si="808"/>
        <v>149</v>
      </c>
    </row>
    <row r="4949" spans="1:22" x14ac:dyDescent="0.25">
      <c r="A4949" s="98" t="s">
        <v>25</v>
      </c>
      <c r="B4949" s="98" t="s">
        <v>17</v>
      </c>
      <c r="C4949" s="98">
        <v>14</v>
      </c>
      <c r="D4949" s="98">
        <v>360</v>
      </c>
      <c r="E4949" s="157">
        <v>42409.489583333336</v>
      </c>
      <c r="F4949" s="157">
        <v>42409.531944444447</v>
      </c>
      <c r="G4949" s="98">
        <v>415</v>
      </c>
      <c r="H4949" s="98">
        <v>521</v>
      </c>
      <c r="I4949" s="98">
        <v>482</v>
      </c>
      <c r="J4949" s="98" t="s">
        <v>229</v>
      </c>
      <c r="K4949" s="98" t="s">
        <v>3765</v>
      </c>
      <c r="L4949" s="105" t="str">
        <f t="shared" si="800"/>
        <v>Mill Creek</v>
      </c>
      <c r="M4949" s="105" t="str">
        <f t="shared" si="801"/>
        <v>Derate</v>
      </c>
      <c r="N4949" s="105" t="str">
        <f t="shared" si="802"/>
        <v>Coal</v>
      </c>
      <c r="O4949" s="105">
        <f>IFERROR(VLOOKUP(A4949,Lookup!$J$5:$P$19,7,FALSE),0)</f>
        <v>3</v>
      </c>
      <c r="P4949" s="159">
        <f t="shared" si="803"/>
        <v>2016</v>
      </c>
      <c r="Q4949" s="159">
        <f t="shared" si="804"/>
        <v>2</v>
      </c>
      <c r="R4949" s="160">
        <f t="shared" si="805"/>
        <v>1.0166666666627862</v>
      </c>
      <c r="S4949" s="158">
        <f t="shared" si="806"/>
        <v>0.20684580934022137</v>
      </c>
      <c r="T4949" s="161">
        <f t="shared" si="807"/>
        <v>99.699680101986701</v>
      </c>
      <c r="U4949" s="158">
        <f t="shared" si="809"/>
        <v>98.065259117082533</v>
      </c>
      <c r="V4949" s="160">
        <f t="shared" si="808"/>
        <v>98</v>
      </c>
    </row>
    <row r="4950" spans="1:22" x14ac:dyDescent="0.25">
      <c r="A4950" s="98" t="s">
        <v>25</v>
      </c>
      <c r="B4950" s="98" t="s">
        <v>79</v>
      </c>
      <c r="C4950" s="98">
        <v>15</v>
      </c>
      <c r="D4950" s="98">
        <v>8700</v>
      </c>
      <c r="E4950" s="157">
        <v>42410.333333333336</v>
      </c>
      <c r="F4950" s="157">
        <v>42410.659722222219</v>
      </c>
      <c r="G4950" s="98">
        <v>0</v>
      </c>
      <c r="H4950" s="98">
        <v>521</v>
      </c>
      <c r="I4950" s="98">
        <v>482</v>
      </c>
      <c r="J4950" s="98" t="s">
        <v>1987</v>
      </c>
      <c r="K4950" s="98" t="s">
        <v>3554</v>
      </c>
      <c r="L4950" s="105" t="str">
        <f t="shared" si="800"/>
        <v>Mill Creek</v>
      </c>
      <c r="M4950" s="105" t="str">
        <f t="shared" si="801"/>
        <v>Other</v>
      </c>
      <c r="N4950" s="105" t="str">
        <f t="shared" si="802"/>
        <v>Coal</v>
      </c>
      <c r="O4950" s="105">
        <f>IFERROR(VLOOKUP(A4950,Lookup!$J$5:$P$19,7,FALSE),0)</f>
        <v>3</v>
      </c>
      <c r="P4950" s="159">
        <f t="shared" si="803"/>
        <v>2016</v>
      </c>
      <c r="Q4950" s="159">
        <f t="shared" si="804"/>
        <v>2</v>
      </c>
      <c r="R4950" s="160">
        <f t="shared" si="805"/>
        <v>7.8333333331975155</v>
      </c>
      <c r="S4950" s="158">
        <f t="shared" si="806"/>
        <v>7.8333333331975155</v>
      </c>
      <c r="T4950" s="161">
        <f t="shared" si="807"/>
        <v>3775.6666666012025</v>
      </c>
      <c r="U4950" s="158">
        <f t="shared" si="809"/>
        <v>482</v>
      </c>
      <c r="V4950" s="160">
        <f t="shared" si="808"/>
        <v>482</v>
      </c>
    </row>
    <row r="4951" spans="1:22" x14ac:dyDescent="0.25">
      <c r="A4951" s="98" t="s">
        <v>25</v>
      </c>
      <c r="B4951" s="98" t="s">
        <v>15</v>
      </c>
      <c r="C4951" s="98">
        <v>16</v>
      </c>
      <c r="D4951" s="98">
        <v>250</v>
      </c>
      <c r="E4951" s="157">
        <v>42427.609027777777</v>
      </c>
      <c r="F4951" s="157">
        <v>42427.679166666669</v>
      </c>
      <c r="G4951" s="98">
        <v>0</v>
      </c>
      <c r="H4951" s="98">
        <v>521</v>
      </c>
      <c r="I4951" s="98">
        <v>482</v>
      </c>
      <c r="J4951" s="98" t="s">
        <v>1978</v>
      </c>
      <c r="K4951" s="98" t="s">
        <v>3766</v>
      </c>
      <c r="L4951" s="105" t="str">
        <f t="shared" si="800"/>
        <v>Mill Creek</v>
      </c>
      <c r="M4951" s="105" t="str">
        <f t="shared" si="801"/>
        <v>Outage</v>
      </c>
      <c r="N4951" s="105" t="str">
        <f t="shared" si="802"/>
        <v>Coal</v>
      </c>
      <c r="O4951" s="105">
        <f>IFERROR(VLOOKUP(A4951,Lookup!$J$5:$P$19,7,FALSE),0)</f>
        <v>3</v>
      </c>
      <c r="P4951" s="159">
        <f t="shared" si="803"/>
        <v>2016</v>
      </c>
      <c r="Q4951" s="159">
        <f t="shared" si="804"/>
        <v>2</v>
      </c>
      <c r="R4951" s="160">
        <f t="shared" si="805"/>
        <v>1.683333333407063</v>
      </c>
      <c r="S4951" s="158">
        <f t="shared" si="806"/>
        <v>1.683333333407063</v>
      </c>
      <c r="T4951" s="161">
        <f t="shared" si="807"/>
        <v>811.36666670220438</v>
      </c>
      <c r="U4951" s="158">
        <f t="shared" si="809"/>
        <v>482</v>
      </c>
      <c r="V4951" s="160">
        <f t="shared" si="808"/>
        <v>482</v>
      </c>
    </row>
    <row r="4952" spans="1:22" x14ac:dyDescent="0.25">
      <c r="A4952" s="98" t="s">
        <v>25</v>
      </c>
      <c r="B4952" s="98" t="s">
        <v>79</v>
      </c>
      <c r="C4952" s="98">
        <v>17</v>
      </c>
      <c r="D4952" s="98">
        <v>1850</v>
      </c>
      <c r="E4952" s="157">
        <v>42427.679166666669</v>
      </c>
      <c r="F4952" s="157">
        <v>42427.905555555553</v>
      </c>
      <c r="G4952" s="98">
        <v>0</v>
      </c>
      <c r="H4952" s="98">
        <v>521</v>
      </c>
      <c r="I4952" s="98">
        <v>482</v>
      </c>
      <c r="J4952" s="98" t="s">
        <v>2263</v>
      </c>
      <c r="K4952" s="98" t="s">
        <v>2734</v>
      </c>
      <c r="L4952" s="105" t="str">
        <f t="shared" si="800"/>
        <v>Mill Creek</v>
      </c>
      <c r="M4952" s="105" t="str">
        <f t="shared" si="801"/>
        <v>Other</v>
      </c>
      <c r="N4952" s="105" t="str">
        <f t="shared" si="802"/>
        <v>Coal</v>
      </c>
      <c r="O4952" s="105">
        <f>IFERROR(VLOOKUP(A4952,Lookup!$J$5:$P$19,7,FALSE),0)</f>
        <v>3</v>
      </c>
      <c r="P4952" s="159">
        <f t="shared" si="803"/>
        <v>2016</v>
      </c>
      <c r="Q4952" s="159">
        <f t="shared" si="804"/>
        <v>2</v>
      </c>
      <c r="R4952" s="160">
        <f t="shared" si="805"/>
        <v>5.4333333332324401</v>
      </c>
      <c r="S4952" s="158">
        <f t="shared" si="806"/>
        <v>5.4333333332324401</v>
      </c>
      <c r="T4952" s="161">
        <f t="shared" si="807"/>
        <v>2618.8666666180361</v>
      </c>
      <c r="U4952" s="158">
        <f t="shared" si="809"/>
        <v>482</v>
      </c>
      <c r="V4952" s="160">
        <f t="shared" si="808"/>
        <v>482</v>
      </c>
    </row>
    <row r="4953" spans="1:22" x14ac:dyDescent="0.25">
      <c r="A4953" s="98" t="s">
        <v>25</v>
      </c>
      <c r="B4953" s="98" t="s">
        <v>15</v>
      </c>
      <c r="C4953" s="98">
        <v>18</v>
      </c>
      <c r="D4953" s="98">
        <v>1470</v>
      </c>
      <c r="E4953" s="157">
        <v>42427.905555555553</v>
      </c>
      <c r="F4953" s="157">
        <v>42428.039583333331</v>
      </c>
      <c r="G4953" s="98">
        <v>0</v>
      </c>
      <c r="H4953" s="98">
        <v>521</v>
      </c>
      <c r="I4953" s="98">
        <v>482</v>
      </c>
      <c r="J4953" s="98" t="s">
        <v>2005</v>
      </c>
      <c r="K4953" s="98" t="s">
        <v>3767</v>
      </c>
      <c r="L4953" s="105" t="str">
        <f t="shared" si="800"/>
        <v>Mill Creek</v>
      </c>
      <c r="M4953" s="105" t="str">
        <f t="shared" si="801"/>
        <v>Outage</v>
      </c>
      <c r="N4953" s="105" t="str">
        <f t="shared" si="802"/>
        <v>Coal</v>
      </c>
      <c r="O4953" s="105">
        <f>IFERROR(VLOOKUP(A4953,Lookup!$J$5:$P$19,7,FALSE),0)</f>
        <v>3</v>
      </c>
      <c r="P4953" s="159">
        <f t="shared" si="803"/>
        <v>2016</v>
      </c>
      <c r="Q4953" s="159">
        <f t="shared" si="804"/>
        <v>2</v>
      </c>
      <c r="R4953" s="160">
        <f t="shared" si="805"/>
        <v>3.2166666666744277</v>
      </c>
      <c r="S4953" s="158">
        <f t="shared" si="806"/>
        <v>3.2166666666744277</v>
      </c>
      <c r="T4953" s="161">
        <f t="shared" si="807"/>
        <v>1550.4333333370741</v>
      </c>
      <c r="U4953" s="158">
        <f t="shared" si="809"/>
        <v>482</v>
      </c>
      <c r="V4953" s="160">
        <f t="shared" si="808"/>
        <v>482</v>
      </c>
    </row>
    <row r="4954" spans="1:22" x14ac:dyDescent="0.25">
      <c r="A4954" s="98" t="s">
        <v>25</v>
      </c>
      <c r="B4954" s="98" t="s">
        <v>79</v>
      </c>
      <c r="C4954" s="98">
        <v>19</v>
      </c>
      <c r="D4954" s="98">
        <v>1850</v>
      </c>
      <c r="E4954" s="157">
        <v>42428.039583333331</v>
      </c>
      <c r="F4954" s="157">
        <v>42428.289583333331</v>
      </c>
      <c r="G4954" s="98">
        <v>0</v>
      </c>
      <c r="H4954" s="98">
        <v>521</v>
      </c>
      <c r="I4954" s="98">
        <v>482</v>
      </c>
      <c r="J4954" s="98" t="s">
        <v>2263</v>
      </c>
      <c r="K4954" s="98" t="s">
        <v>2734</v>
      </c>
      <c r="L4954" s="105" t="str">
        <f t="shared" si="800"/>
        <v>Mill Creek</v>
      </c>
      <c r="M4954" s="105" t="str">
        <f t="shared" si="801"/>
        <v>Other</v>
      </c>
      <c r="N4954" s="105" t="str">
        <f t="shared" si="802"/>
        <v>Coal</v>
      </c>
      <c r="O4954" s="105">
        <f>IFERROR(VLOOKUP(A4954,Lookup!$J$5:$P$19,7,FALSE),0)</f>
        <v>3</v>
      </c>
      <c r="P4954" s="159">
        <f t="shared" si="803"/>
        <v>2016</v>
      </c>
      <c r="Q4954" s="159">
        <f t="shared" si="804"/>
        <v>2</v>
      </c>
      <c r="R4954" s="160">
        <f t="shared" si="805"/>
        <v>6</v>
      </c>
      <c r="S4954" s="158">
        <f t="shared" si="806"/>
        <v>6</v>
      </c>
      <c r="T4954" s="161">
        <f t="shared" si="807"/>
        <v>2892</v>
      </c>
      <c r="U4954" s="158">
        <f t="shared" si="809"/>
        <v>482</v>
      </c>
      <c r="V4954" s="160">
        <f t="shared" si="808"/>
        <v>482</v>
      </c>
    </row>
    <row r="4955" spans="1:22" x14ac:dyDescent="0.25">
      <c r="A4955" s="98" t="s">
        <v>25</v>
      </c>
      <c r="B4955" s="98" t="s">
        <v>17</v>
      </c>
      <c r="C4955" s="98">
        <v>20</v>
      </c>
      <c r="D4955" s="98">
        <v>1850</v>
      </c>
      <c r="E4955" s="157">
        <v>42428.289583333331</v>
      </c>
      <c r="F4955" s="157">
        <v>42428.34375</v>
      </c>
      <c r="G4955" s="98">
        <v>490</v>
      </c>
      <c r="H4955" s="98">
        <v>521</v>
      </c>
      <c r="I4955" s="98">
        <v>482</v>
      </c>
      <c r="J4955" s="98" t="s">
        <v>2263</v>
      </c>
      <c r="K4955" s="98" t="s">
        <v>62</v>
      </c>
      <c r="L4955" s="105" t="str">
        <f t="shared" si="800"/>
        <v>Mill Creek</v>
      </c>
      <c r="M4955" s="105" t="str">
        <f t="shared" si="801"/>
        <v>Derate</v>
      </c>
      <c r="N4955" s="105" t="str">
        <f t="shared" si="802"/>
        <v>Coal</v>
      </c>
      <c r="O4955" s="105">
        <f>IFERROR(VLOOKUP(A4955,Lookup!$J$5:$P$19,7,FALSE),0)</f>
        <v>3</v>
      </c>
      <c r="P4955" s="159">
        <f t="shared" si="803"/>
        <v>2016</v>
      </c>
      <c r="Q4955" s="159">
        <f t="shared" si="804"/>
        <v>2</v>
      </c>
      <c r="R4955" s="160">
        <f t="shared" si="805"/>
        <v>1.3000000000465661</v>
      </c>
      <c r="S4955" s="158">
        <f t="shared" si="806"/>
        <v>7.7351247603538481E-2</v>
      </c>
      <c r="T4955" s="161">
        <f t="shared" si="807"/>
        <v>37.283301344905546</v>
      </c>
      <c r="U4955" s="158">
        <f t="shared" si="809"/>
        <v>28.679462571976966</v>
      </c>
      <c r="V4955" s="160">
        <f t="shared" si="808"/>
        <v>29</v>
      </c>
    </row>
    <row r="4956" spans="1:22" x14ac:dyDescent="0.25">
      <c r="A4956" s="98" t="s">
        <v>25</v>
      </c>
      <c r="B4956" s="98" t="s">
        <v>79</v>
      </c>
      <c r="C4956" s="98">
        <v>21</v>
      </c>
      <c r="D4956" s="98">
        <v>1999</v>
      </c>
      <c r="E4956" s="157">
        <v>42430.395833333336</v>
      </c>
      <c r="F4956" s="157">
        <v>42430.5</v>
      </c>
      <c r="G4956" s="98">
        <v>0</v>
      </c>
      <c r="H4956" s="98">
        <v>521</v>
      </c>
      <c r="I4956" s="98">
        <v>482</v>
      </c>
      <c r="J4956" s="98" t="s">
        <v>2108</v>
      </c>
      <c r="K4956" s="98" t="s">
        <v>3768</v>
      </c>
      <c r="L4956" s="105" t="str">
        <f t="shared" si="800"/>
        <v>Mill Creek</v>
      </c>
      <c r="M4956" s="105" t="str">
        <f t="shared" si="801"/>
        <v>Other</v>
      </c>
      <c r="N4956" s="105" t="str">
        <f t="shared" si="802"/>
        <v>Coal</v>
      </c>
      <c r="O4956" s="105">
        <f>IFERROR(VLOOKUP(A4956,Lookup!$J$5:$P$19,7,FALSE),0)</f>
        <v>3</v>
      </c>
      <c r="P4956" s="159">
        <f t="shared" si="803"/>
        <v>2016</v>
      </c>
      <c r="Q4956" s="159">
        <f t="shared" si="804"/>
        <v>3</v>
      </c>
      <c r="R4956" s="160">
        <f t="shared" si="805"/>
        <v>2.4999999999417923</v>
      </c>
      <c r="S4956" s="158">
        <f t="shared" si="806"/>
        <v>2.4999999999417923</v>
      </c>
      <c r="T4956" s="161">
        <f t="shared" si="807"/>
        <v>1204.9999999719439</v>
      </c>
      <c r="U4956" s="158">
        <f t="shared" si="809"/>
        <v>482</v>
      </c>
      <c r="V4956" s="160">
        <f t="shared" si="808"/>
        <v>482</v>
      </c>
    </row>
    <row r="4957" spans="1:22" x14ac:dyDescent="0.25">
      <c r="A4957" s="98" t="s">
        <v>25</v>
      </c>
      <c r="B4957" s="98" t="s">
        <v>79</v>
      </c>
      <c r="C4957" s="98">
        <v>22</v>
      </c>
      <c r="D4957" s="98">
        <v>8460</v>
      </c>
      <c r="E4957" s="157">
        <v>42476.625</v>
      </c>
      <c r="F4957" s="157">
        <v>42476.75</v>
      </c>
      <c r="G4957" s="98">
        <v>0</v>
      </c>
      <c r="H4957" s="98">
        <v>521</v>
      </c>
      <c r="I4957" s="98">
        <v>482</v>
      </c>
      <c r="J4957" s="98" t="s">
        <v>2651</v>
      </c>
      <c r="K4957" s="98" t="s">
        <v>3565</v>
      </c>
      <c r="L4957" s="105" t="str">
        <f t="shared" si="800"/>
        <v>Mill Creek</v>
      </c>
      <c r="M4957" s="105" t="str">
        <f t="shared" si="801"/>
        <v>Other</v>
      </c>
      <c r="N4957" s="105" t="str">
        <f t="shared" si="802"/>
        <v>Coal</v>
      </c>
      <c r="O4957" s="105">
        <f>IFERROR(VLOOKUP(A4957,Lookup!$J$5:$P$19,7,FALSE),0)</f>
        <v>3</v>
      </c>
      <c r="P4957" s="159">
        <f t="shared" si="803"/>
        <v>2016</v>
      </c>
      <c r="Q4957" s="159">
        <f t="shared" si="804"/>
        <v>4</v>
      </c>
      <c r="R4957" s="160">
        <f t="shared" si="805"/>
        <v>3</v>
      </c>
      <c r="S4957" s="158">
        <f t="shared" si="806"/>
        <v>3</v>
      </c>
      <c r="T4957" s="161">
        <f t="shared" si="807"/>
        <v>1446</v>
      </c>
      <c r="U4957" s="158">
        <f t="shared" si="809"/>
        <v>482</v>
      </c>
      <c r="V4957" s="160">
        <f t="shared" si="808"/>
        <v>482</v>
      </c>
    </row>
    <row r="4958" spans="1:22" x14ac:dyDescent="0.25">
      <c r="A4958" s="98" t="s">
        <v>25</v>
      </c>
      <c r="B4958" s="98" t="s">
        <v>15</v>
      </c>
      <c r="C4958" s="98">
        <v>23</v>
      </c>
      <c r="D4958" s="98">
        <v>1040</v>
      </c>
      <c r="E4958" s="157">
        <v>42488.44027777778</v>
      </c>
      <c r="F4958" s="157">
        <v>42491.977083333331</v>
      </c>
      <c r="G4958" s="98">
        <v>0</v>
      </c>
      <c r="H4958" s="98">
        <v>521</v>
      </c>
      <c r="I4958" s="98">
        <v>482</v>
      </c>
      <c r="J4958" s="98" t="s">
        <v>2001</v>
      </c>
      <c r="K4958" s="98" t="s">
        <v>3769</v>
      </c>
      <c r="L4958" s="105" t="str">
        <f t="shared" si="800"/>
        <v>Mill Creek</v>
      </c>
      <c r="M4958" s="105" t="str">
        <f t="shared" si="801"/>
        <v>Outage</v>
      </c>
      <c r="N4958" s="105" t="str">
        <f t="shared" si="802"/>
        <v>Coal</v>
      </c>
      <c r="O4958" s="105">
        <f>IFERROR(VLOOKUP(A4958,Lookup!$J$5:$P$19,7,FALSE),0)</f>
        <v>3</v>
      </c>
      <c r="P4958" s="159">
        <f t="shared" si="803"/>
        <v>2016</v>
      </c>
      <c r="Q4958" s="159">
        <f t="shared" si="804"/>
        <v>4</v>
      </c>
      <c r="R4958" s="160">
        <f t="shared" si="805"/>
        <v>84.883333333244082</v>
      </c>
      <c r="S4958" s="158">
        <f t="shared" si="806"/>
        <v>84.883333333244082</v>
      </c>
      <c r="T4958" s="161">
        <f t="shared" si="807"/>
        <v>40913.766666623647</v>
      </c>
      <c r="U4958" s="158">
        <f t="shared" si="809"/>
        <v>482</v>
      </c>
      <c r="V4958" s="160">
        <f t="shared" si="808"/>
        <v>482</v>
      </c>
    </row>
    <row r="4959" spans="1:22" x14ac:dyDescent="0.25">
      <c r="A4959" s="98" t="s">
        <v>25</v>
      </c>
      <c r="B4959" s="98" t="s">
        <v>79</v>
      </c>
      <c r="C4959" s="98">
        <v>24</v>
      </c>
      <c r="D4959" s="98">
        <v>1850</v>
      </c>
      <c r="E4959" s="157">
        <v>42491.977083333331</v>
      </c>
      <c r="F4959" s="157">
        <v>42492.587500000001</v>
      </c>
      <c r="G4959" s="98">
        <v>0</v>
      </c>
      <c r="H4959" s="98">
        <v>521</v>
      </c>
      <c r="I4959" s="98">
        <v>482</v>
      </c>
      <c r="J4959" s="98" t="s">
        <v>2263</v>
      </c>
      <c r="K4959" s="98" t="s">
        <v>3509</v>
      </c>
      <c r="L4959" s="105" t="str">
        <f t="shared" si="800"/>
        <v>Mill Creek</v>
      </c>
      <c r="M4959" s="105" t="str">
        <f t="shared" si="801"/>
        <v>Other</v>
      </c>
      <c r="N4959" s="105" t="str">
        <f t="shared" si="802"/>
        <v>Coal</v>
      </c>
      <c r="O4959" s="105">
        <f>IFERROR(VLOOKUP(A4959,Lookup!$J$5:$P$19,7,FALSE),0)</f>
        <v>3</v>
      </c>
      <c r="P4959" s="159">
        <f t="shared" si="803"/>
        <v>2016</v>
      </c>
      <c r="Q4959" s="159">
        <f t="shared" si="804"/>
        <v>5</v>
      </c>
      <c r="R4959" s="160">
        <f t="shared" si="805"/>
        <v>14.650000000081491</v>
      </c>
      <c r="S4959" s="158">
        <f t="shared" si="806"/>
        <v>14.650000000081491</v>
      </c>
      <c r="T4959" s="161">
        <f t="shared" si="807"/>
        <v>7061.3000000392785</v>
      </c>
      <c r="U4959" s="158">
        <f t="shared" si="809"/>
        <v>482</v>
      </c>
      <c r="V4959" s="160">
        <f t="shared" si="808"/>
        <v>482</v>
      </c>
    </row>
    <row r="4960" spans="1:22" x14ac:dyDescent="0.25">
      <c r="A4960" s="98" t="s">
        <v>25</v>
      </c>
      <c r="B4960" s="98" t="s">
        <v>17</v>
      </c>
      <c r="C4960" s="98">
        <v>25</v>
      </c>
      <c r="D4960" s="98">
        <v>3150</v>
      </c>
      <c r="E4960" s="157">
        <v>42525.379861111112</v>
      </c>
      <c r="F4960" s="157">
        <v>42525.38958333333</v>
      </c>
      <c r="G4960" s="98">
        <v>307</v>
      </c>
      <c r="H4960" s="98">
        <v>521</v>
      </c>
      <c r="I4960" s="98">
        <v>482</v>
      </c>
      <c r="J4960" s="98" t="s">
        <v>2250</v>
      </c>
      <c r="K4960" s="98" t="s">
        <v>3770</v>
      </c>
      <c r="L4960" s="105" t="str">
        <f t="shared" si="800"/>
        <v>Mill Creek</v>
      </c>
      <c r="M4960" s="105" t="str">
        <f t="shared" si="801"/>
        <v>Derate</v>
      </c>
      <c r="N4960" s="105" t="str">
        <f t="shared" si="802"/>
        <v>Coal</v>
      </c>
      <c r="O4960" s="105">
        <f>IFERROR(VLOOKUP(A4960,Lookup!$J$5:$P$19,7,FALSE),0)</f>
        <v>3</v>
      </c>
      <c r="P4960" s="159">
        <f t="shared" si="803"/>
        <v>2016</v>
      </c>
      <c r="Q4960" s="159">
        <f t="shared" si="804"/>
        <v>6</v>
      </c>
      <c r="R4960" s="160">
        <f t="shared" si="805"/>
        <v>0.23333333322079852</v>
      </c>
      <c r="S4960" s="158">
        <f t="shared" si="806"/>
        <v>9.5841330727928761E-2</v>
      </c>
      <c r="T4960" s="161">
        <f t="shared" si="807"/>
        <v>46.195521410861666</v>
      </c>
      <c r="U4960" s="158">
        <f t="shared" si="809"/>
        <v>197.98080614203454</v>
      </c>
      <c r="V4960" s="160">
        <f t="shared" si="808"/>
        <v>198</v>
      </c>
    </row>
    <row r="4961" spans="1:22" x14ac:dyDescent="0.25">
      <c r="A4961" s="98" t="s">
        <v>25</v>
      </c>
      <c r="B4961" s="98" t="s">
        <v>17</v>
      </c>
      <c r="C4961" s="98">
        <v>26</v>
      </c>
      <c r="D4961" s="98">
        <v>260</v>
      </c>
      <c r="E4961" s="157">
        <v>42535.343055555553</v>
      </c>
      <c r="F4961" s="157">
        <v>42535.350694444445</v>
      </c>
      <c r="G4961" s="98">
        <v>430</v>
      </c>
      <c r="H4961" s="98">
        <v>521</v>
      </c>
      <c r="I4961" s="98">
        <v>482</v>
      </c>
      <c r="J4961" s="98" t="s">
        <v>1973</v>
      </c>
      <c r="K4961" s="98" t="s">
        <v>3771</v>
      </c>
      <c r="L4961" s="105" t="str">
        <f t="shared" si="800"/>
        <v>Mill Creek</v>
      </c>
      <c r="M4961" s="105" t="str">
        <f t="shared" si="801"/>
        <v>Derate</v>
      </c>
      <c r="N4961" s="105" t="str">
        <f t="shared" si="802"/>
        <v>Coal</v>
      </c>
      <c r="O4961" s="105">
        <f>IFERROR(VLOOKUP(A4961,Lookup!$J$5:$P$19,7,FALSE),0)</f>
        <v>3</v>
      </c>
      <c r="P4961" s="159">
        <f t="shared" si="803"/>
        <v>2016</v>
      </c>
      <c r="Q4961" s="159">
        <f t="shared" si="804"/>
        <v>6</v>
      </c>
      <c r="R4961" s="160">
        <f t="shared" si="805"/>
        <v>0.18333333340706304</v>
      </c>
      <c r="S4961" s="158">
        <f t="shared" si="806"/>
        <v>3.2021753051905445E-2</v>
      </c>
      <c r="T4961" s="161">
        <f t="shared" si="807"/>
        <v>15.434484971018424</v>
      </c>
      <c r="U4961" s="158">
        <f t="shared" si="809"/>
        <v>84.188099808061423</v>
      </c>
      <c r="V4961" s="160">
        <f t="shared" si="808"/>
        <v>84</v>
      </c>
    </row>
    <row r="4962" spans="1:22" x14ac:dyDescent="0.25">
      <c r="A4962" s="98" t="s">
        <v>25</v>
      </c>
      <c r="B4962" s="98" t="s">
        <v>79</v>
      </c>
      <c r="C4962" s="98">
        <v>27</v>
      </c>
      <c r="D4962" s="98">
        <v>8010</v>
      </c>
      <c r="E4962" s="157">
        <v>42536.034722222219</v>
      </c>
      <c r="F4962" s="157">
        <v>42536.195833333331</v>
      </c>
      <c r="G4962" s="98">
        <v>0</v>
      </c>
      <c r="H4962" s="98">
        <v>521</v>
      </c>
      <c r="I4962" s="98">
        <v>482</v>
      </c>
      <c r="J4962" s="98" t="s">
        <v>3581</v>
      </c>
      <c r="K4962" s="98" t="s">
        <v>3582</v>
      </c>
      <c r="L4962" s="105" t="str">
        <f t="shared" si="800"/>
        <v>Mill Creek</v>
      </c>
      <c r="M4962" s="105" t="str">
        <f t="shared" si="801"/>
        <v>Other</v>
      </c>
      <c r="N4962" s="105" t="str">
        <f t="shared" si="802"/>
        <v>Coal</v>
      </c>
      <c r="O4962" s="105">
        <f>IFERROR(VLOOKUP(A4962,Lookup!$J$5:$P$19,7,FALSE),0)</f>
        <v>3</v>
      </c>
      <c r="P4962" s="159">
        <f t="shared" si="803"/>
        <v>2016</v>
      </c>
      <c r="Q4962" s="159">
        <f t="shared" si="804"/>
        <v>6</v>
      </c>
      <c r="R4962" s="160">
        <f t="shared" si="805"/>
        <v>3.8666666666977108</v>
      </c>
      <c r="S4962" s="158">
        <f t="shared" si="806"/>
        <v>3.8666666666977108</v>
      </c>
      <c r="T4962" s="161">
        <f t="shared" si="807"/>
        <v>1863.7333333482966</v>
      </c>
      <c r="U4962" s="158">
        <f t="shared" si="809"/>
        <v>482</v>
      </c>
      <c r="V4962" s="160">
        <f t="shared" si="808"/>
        <v>482</v>
      </c>
    </row>
    <row r="4963" spans="1:22" x14ac:dyDescent="0.25">
      <c r="A4963" s="98" t="s">
        <v>25</v>
      </c>
      <c r="B4963" s="98" t="s">
        <v>17</v>
      </c>
      <c r="C4963" s="98">
        <v>28</v>
      </c>
      <c r="D4963" s="98">
        <v>335</v>
      </c>
      <c r="E4963" s="157">
        <v>42581.964583333334</v>
      </c>
      <c r="F4963" s="157">
        <v>42582.004166666666</v>
      </c>
      <c r="G4963" s="98">
        <v>220</v>
      </c>
      <c r="H4963" s="98">
        <v>521</v>
      </c>
      <c r="I4963" s="98">
        <v>482</v>
      </c>
      <c r="J4963" s="98" t="s">
        <v>2131</v>
      </c>
      <c r="K4963" s="98" t="s">
        <v>4361</v>
      </c>
      <c r="L4963" s="105" t="str">
        <f t="shared" si="800"/>
        <v>Mill Creek</v>
      </c>
      <c r="M4963" s="105" t="str">
        <f t="shared" si="801"/>
        <v>Derate</v>
      </c>
      <c r="N4963" s="105" t="str">
        <f t="shared" si="802"/>
        <v>Coal</v>
      </c>
      <c r="O4963" s="105">
        <f>IFERROR(VLOOKUP(A4963,Lookup!$J$5:$P$19,7,FALSE),0)</f>
        <v>3</v>
      </c>
      <c r="P4963" s="159">
        <f t="shared" si="803"/>
        <v>2016</v>
      </c>
      <c r="Q4963" s="159">
        <f t="shared" si="804"/>
        <v>7</v>
      </c>
      <c r="R4963" s="160">
        <f t="shared" si="805"/>
        <v>0.94999999995343387</v>
      </c>
      <c r="S4963" s="158">
        <f t="shared" si="806"/>
        <v>0.54884836849517005</v>
      </c>
      <c r="T4963" s="161">
        <f t="shared" si="807"/>
        <v>264.54491361467194</v>
      </c>
      <c r="U4963" s="158">
        <f t="shared" si="809"/>
        <v>278.46833013435702</v>
      </c>
      <c r="V4963" s="160">
        <f t="shared" si="808"/>
        <v>278</v>
      </c>
    </row>
    <row r="4964" spans="1:22" x14ac:dyDescent="0.25">
      <c r="A4964" s="98" t="s">
        <v>25</v>
      </c>
      <c r="B4964" s="98" t="s">
        <v>79</v>
      </c>
      <c r="C4964" s="98">
        <v>29</v>
      </c>
      <c r="D4964" s="98">
        <v>4490</v>
      </c>
      <c r="E4964" s="157">
        <v>42592.833333333336</v>
      </c>
      <c r="F4964" s="157">
        <v>42593.043749999997</v>
      </c>
      <c r="G4964" s="98">
        <v>0</v>
      </c>
      <c r="H4964" s="98">
        <v>521</v>
      </c>
      <c r="I4964" s="98">
        <v>482</v>
      </c>
      <c r="J4964" s="98" t="s">
        <v>2084</v>
      </c>
      <c r="K4964" s="98" t="s">
        <v>4279</v>
      </c>
      <c r="L4964" s="105" t="str">
        <f t="shared" si="800"/>
        <v>Mill Creek</v>
      </c>
      <c r="M4964" s="105" t="str">
        <f t="shared" si="801"/>
        <v>Other</v>
      </c>
      <c r="N4964" s="105" t="str">
        <f t="shared" si="802"/>
        <v>Coal</v>
      </c>
      <c r="O4964" s="105">
        <f>IFERROR(VLOOKUP(A4964,Lookup!$J$5:$P$19,7,FALSE),0)</f>
        <v>3</v>
      </c>
      <c r="P4964" s="159">
        <f t="shared" si="803"/>
        <v>2016</v>
      </c>
      <c r="Q4964" s="159">
        <f t="shared" si="804"/>
        <v>8</v>
      </c>
      <c r="R4964" s="160">
        <f t="shared" si="805"/>
        <v>5.0499999998719431</v>
      </c>
      <c r="S4964" s="158">
        <f t="shared" si="806"/>
        <v>5.0499999998719431</v>
      </c>
      <c r="T4964" s="161">
        <f t="shared" si="807"/>
        <v>2434.0999999382766</v>
      </c>
      <c r="U4964" s="158">
        <f t="shared" si="809"/>
        <v>482</v>
      </c>
      <c r="V4964" s="160">
        <f t="shared" si="808"/>
        <v>482</v>
      </c>
    </row>
    <row r="4965" spans="1:22" x14ac:dyDescent="0.25">
      <c r="A4965" s="98" t="s">
        <v>25</v>
      </c>
      <c r="B4965" s="98" t="s">
        <v>79</v>
      </c>
      <c r="C4965" s="98">
        <v>30</v>
      </c>
      <c r="D4965" s="98">
        <v>1190</v>
      </c>
      <c r="E4965" s="157">
        <v>42613.871527777781</v>
      </c>
      <c r="F4965" s="157">
        <v>42614.126388888886</v>
      </c>
      <c r="G4965" s="98">
        <v>0</v>
      </c>
      <c r="H4965" s="98">
        <v>521</v>
      </c>
      <c r="I4965" s="98">
        <v>482</v>
      </c>
      <c r="J4965" s="98" t="s">
        <v>2007</v>
      </c>
      <c r="K4965" s="98" t="s">
        <v>4362</v>
      </c>
      <c r="L4965" s="105" t="str">
        <f t="shared" ref="L4965:L5028" si="810">IF(OR(A4965="BR1",A4965="BR2",A4965="BR3",A4965="BR5",A4965="BR6",A4965="BR7",A4965="BR8",A4965="BR9",A4965="BR10",A4965="BR11"),"Brown",IF(OR(A4965="CR4",A4965="CR5",A4965="CR6",A4965="CR11"),"Cane Run",IF(OR(A4965="GH1",A4965="GH2",A4965="GH3",A4965="GH4"),"Ghent",IF(OR(A4965="GR3",A4965="GR4"),"Green River",IF(OR(A4965="MC1",A4965="MC2",A4965="MC3",A4965="MC4"),"Mill Creek",IF(OR(A4965="TC1",A4965="TC2",A4965="TC5",A4965="TC6",A4965="TC7",A4965="TC8",A4965="TC9",A4965="TC10"),"Trimble",IF(A4965="TY3","Tyrone",IF(OR(A4965="HA1",A4965="HA2",A4965="HA3"),"Haeflin",IF(OR(A4965="PR11",A4965="PR12",A4965="PR13"),"Paddy's Run","Zorn")))))))))</f>
        <v>Mill Creek</v>
      </c>
      <c r="M4965" s="105" t="str">
        <f t="shared" ref="M4965:M5028" si="811">IF(OR(B4965="D1",B4965="D2",B4965="D3",B4965="D4",B4965="PD"),"Derate",IF(OR(B4965="SF",B4965="U1",B4965="U2",B4965="U3"),"Outage",IF(OR(B4965="ME",B4965="MO"),"Maintenance","Other")))</f>
        <v>Other</v>
      </c>
      <c r="N4965" s="105" t="str">
        <f t="shared" ref="N4965:N5028" si="812">IF(OR(A4965="BR1",A4965="BR2",A4965="BR3",A4965="CR4",A4965="CR5",A4965="CR6",A4965="GH1",A4965="GH2",A4965="GH3",A4965="GH4",A4965="GR3",A4965="GR4",A4965="MC1",A4965="MC2",A4965="MC3",A4965="MC4",A4965="TC1",A4965="TC2",A4965="TY3"),"Coal","Gas")</f>
        <v>Coal</v>
      </c>
      <c r="O4965" s="105">
        <f>IFERROR(VLOOKUP(A4965,Lookup!$J$5:$P$19,7,FALSE),0)</f>
        <v>3</v>
      </c>
      <c r="P4965" s="159">
        <f t="shared" ref="P4965:P5028" si="813">YEAR(E4965)</f>
        <v>2016</v>
      </c>
      <c r="Q4965" s="159">
        <f t="shared" ref="Q4965:Q5028" si="814">MONTH(E4965)</f>
        <v>8</v>
      </c>
      <c r="R4965" s="160">
        <f t="shared" ref="R4965:R5028" si="815">(F4965-E4965)*24</f>
        <v>6.1166666665230878</v>
      </c>
      <c r="S4965" s="158">
        <f t="shared" ref="S4965:S5028" si="816">R4965*(H4965-G4965)/H4965</f>
        <v>6.1166666665230878</v>
      </c>
      <c r="T4965" s="161">
        <f t="shared" ref="T4965:T5028" si="817">S4965*I4965</f>
        <v>2948.2333332641283</v>
      </c>
      <c r="U4965" s="158">
        <f t="shared" si="809"/>
        <v>482</v>
      </c>
      <c r="V4965" s="160">
        <f t="shared" ref="V4965:V5028" si="818">ROUND(U4965,0)</f>
        <v>482</v>
      </c>
    </row>
    <row r="4966" spans="1:22" x14ac:dyDescent="0.25">
      <c r="A4966" s="98" t="s">
        <v>25</v>
      </c>
      <c r="B4966" s="98" t="s">
        <v>15</v>
      </c>
      <c r="C4966" s="98">
        <v>31</v>
      </c>
      <c r="D4966" s="98">
        <v>1040</v>
      </c>
      <c r="E4966" s="157">
        <v>42633.4</v>
      </c>
      <c r="F4966" s="157">
        <v>42637.454861111109</v>
      </c>
      <c r="G4966" s="98">
        <v>0</v>
      </c>
      <c r="H4966" s="98">
        <v>521</v>
      </c>
      <c r="I4966" s="98">
        <v>482</v>
      </c>
      <c r="J4966" s="98" t="s">
        <v>2001</v>
      </c>
      <c r="K4966" s="98" t="s">
        <v>4363</v>
      </c>
      <c r="L4966" s="105" t="str">
        <f t="shared" si="810"/>
        <v>Mill Creek</v>
      </c>
      <c r="M4966" s="105" t="str">
        <f t="shared" si="811"/>
        <v>Outage</v>
      </c>
      <c r="N4966" s="105" t="str">
        <f t="shared" si="812"/>
        <v>Coal</v>
      </c>
      <c r="O4966" s="105">
        <f>IFERROR(VLOOKUP(A4966,Lookup!$J$5:$P$19,7,FALSE),0)</f>
        <v>3</v>
      </c>
      <c r="P4966" s="159">
        <f t="shared" si="813"/>
        <v>2016</v>
      </c>
      <c r="Q4966" s="159">
        <f t="shared" si="814"/>
        <v>9</v>
      </c>
      <c r="R4966" s="160">
        <f t="shared" si="815"/>
        <v>97.316666666592937</v>
      </c>
      <c r="S4966" s="158">
        <f t="shared" si="816"/>
        <v>97.316666666592937</v>
      </c>
      <c r="T4966" s="161">
        <f t="shared" si="817"/>
        <v>46906.633333297796</v>
      </c>
      <c r="U4966" s="158">
        <f t="shared" ref="U4966:U5029" si="819">IF(G4966&gt;0,MAX((H4966-G4966),0)*I4966/H4966,I4966)</f>
        <v>482</v>
      </c>
      <c r="V4966" s="160">
        <f t="shared" si="818"/>
        <v>482</v>
      </c>
    </row>
    <row r="4967" spans="1:22" x14ac:dyDescent="0.25">
      <c r="A4967" s="98" t="s">
        <v>25</v>
      </c>
      <c r="B4967" s="98" t="s">
        <v>15</v>
      </c>
      <c r="C4967" s="98">
        <v>32</v>
      </c>
      <c r="D4967" s="98">
        <v>380</v>
      </c>
      <c r="E4967" s="157">
        <v>42637.506249999999</v>
      </c>
      <c r="F4967" s="157">
        <v>42637.527083333334</v>
      </c>
      <c r="G4967" s="98">
        <v>0</v>
      </c>
      <c r="H4967" s="98">
        <v>521</v>
      </c>
      <c r="I4967" s="98">
        <v>482</v>
      </c>
      <c r="J4967" s="98" t="s">
        <v>2017</v>
      </c>
      <c r="K4967" s="98" t="s">
        <v>4364</v>
      </c>
      <c r="L4967" s="105" t="str">
        <f t="shared" si="810"/>
        <v>Mill Creek</v>
      </c>
      <c r="M4967" s="105" t="str">
        <f t="shared" si="811"/>
        <v>Outage</v>
      </c>
      <c r="N4967" s="105" t="str">
        <f t="shared" si="812"/>
        <v>Coal</v>
      </c>
      <c r="O4967" s="105">
        <f>IFERROR(VLOOKUP(A4967,Lookup!$J$5:$P$19,7,FALSE),0)</f>
        <v>3</v>
      </c>
      <c r="P4967" s="159">
        <f t="shared" si="813"/>
        <v>2016</v>
      </c>
      <c r="Q4967" s="159">
        <f t="shared" si="814"/>
        <v>9</v>
      </c>
      <c r="R4967" s="160">
        <f t="shared" si="815"/>
        <v>0.50000000005820766</v>
      </c>
      <c r="S4967" s="158">
        <f t="shared" si="816"/>
        <v>0.50000000005820766</v>
      </c>
      <c r="T4967" s="161">
        <f t="shared" si="817"/>
        <v>241.00000002805609</v>
      </c>
      <c r="U4967" s="158">
        <f t="shared" si="819"/>
        <v>482</v>
      </c>
      <c r="V4967" s="160">
        <f t="shared" si="818"/>
        <v>482</v>
      </c>
    </row>
    <row r="4968" spans="1:22" x14ac:dyDescent="0.25">
      <c r="A4968" s="98" t="s">
        <v>25</v>
      </c>
      <c r="B4968" s="98" t="s">
        <v>17</v>
      </c>
      <c r="C4968" s="98">
        <v>33</v>
      </c>
      <c r="D4968" s="98">
        <v>3431</v>
      </c>
      <c r="E4968" s="157">
        <v>42640.631944444445</v>
      </c>
      <c r="F4968" s="157">
        <v>42640.767361111109</v>
      </c>
      <c r="G4968" s="98">
        <v>420</v>
      </c>
      <c r="H4968" s="98">
        <v>521</v>
      </c>
      <c r="I4968" s="98">
        <v>482</v>
      </c>
      <c r="J4968" s="98" t="s">
        <v>2123</v>
      </c>
      <c r="K4968" s="98" t="s">
        <v>4365</v>
      </c>
      <c r="L4968" s="105" t="str">
        <f t="shared" si="810"/>
        <v>Mill Creek</v>
      </c>
      <c r="M4968" s="105" t="str">
        <f t="shared" si="811"/>
        <v>Derate</v>
      </c>
      <c r="N4968" s="105" t="str">
        <f t="shared" si="812"/>
        <v>Coal</v>
      </c>
      <c r="O4968" s="105">
        <f>IFERROR(VLOOKUP(A4968,Lookup!$J$5:$P$19,7,FALSE),0)</f>
        <v>3</v>
      </c>
      <c r="P4968" s="159">
        <f t="shared" si="813"/>
        <v>2016</v>
      </c>
      <c r="Q4968" s="159">
        <f t="shared" si="814"/>
        <v>9</v>
      </c>
      <c r="R4968" s="160">
        <f t="shared" si="815"/>
        <v>3.2499999999417923</v>
      </c>
      <c r="S4968" s="158">
        <f t="shared" si="816"/>
        <v>0.63003838770464693</v>
      </c>
      <c r="T4968" s="161">
        <f t="shared" si="817"/>
        <v>303.67850287363984</v>
      </c>
      <c r="U4968" s="158">
        <f t="shared" si="819"/>
        <v>93.439539347408825</v>
      </c>
      <c r="V4968" s="160">
        <f t="shared" si="818"/>
        <v>93</v>
      </c>
    </row>
    <row r="4969" spans="1:22" x14ac:dyDescent="0.25">
      <c r="A4969" s="98" t="s">
        <v>25</v>
      </c>
      <c r="B4969" s="98" t="s">
        <v>38</v>
      </c>
      <c r="C4969" s="98">
        <v>34</v>
      </c>
      <c r="D4969" s="98">
        <v>1800</v>
      </c>
      <c r="E4969" s="157">
        <v>42643.057638888888</v>
      </c>
      <c r="F4969" s="157">
        <v>42681</v>
      </c>
      <c r="G4969" s="98">
        <v>0</v>
      </c>
      <c r="H4969" s="98">
        <v>521</v>
      </c>
      <c r="I4969" s="98">
        <v>482</v>
      </c>
      <c r="J4969" s="98" t="s">
        <v>2178</v>
      </c>
      <c r="K4969" s="98" t="s">
        <v>94</v>
      </c>
      <c r="L4969" s="105" t="str">
        <f t="shared" si="810"/>
        <v>Mill Creek</v>
      </c>
      <c r="M4969" s="105" t="str">
        <f t="shared" si="811"/>
        <v>Other</v>
      </c>
      <c r="N4969" s="105" t="str">
        <f t="shared" si="812"/>
        <v>Coal</v>
      </c>
      <c r="O4969" s="105">
        <f>IFERROR(VLOOKUP(A4969,Lookup!$J$5:$P$19,7,FALSE),0)</f>
        <v>3</v>
      </c>
      <c r="P4969" s="159">
        <f t="shared" si="813"/>
        <v>2016</v>
      </c>
      <c r="Q4969" s="159">
        <f t="shared" si="814"/>
        <v>9</v>
      </c>
      <c r="R4969" s="160">
        <f t="shared" si="815"/>
        <v>910.61666666669771</v>
      </c>
      <c r="S4969" s="158">
        <f t="shared" si="816"/>
        <v>910.61666666669771</v>
      </c>
      <c r="T4969" s="161">
        <f t="shared" si="817"/>
        <v>438917.2333333483</v>
      </c>
      <c r="U4969" s="158">
        <f t="shared" si="819"/>
        <v>482</v>
      </c>
      <c r="V4969" s="160">
        <f t="shared" si="818"/>
        <v>482</v>
      </c>
    </row>
    <row r="4970" spans="1:22" x14ac:dyDescent="0.25">
      <c r="A4970" s="98" t="s">
        <v>25</v>
      </c>
      <c r="B4970" s="98" t="s">
        <v>121</v>
      </c>
      <c r="C4970" s="98">
        <v>35</v>
      </c>
      <c r="D4970" s="98">
        <v>1800</v>
      </c>
      <c r="E4970" s="157">
        <v>42681</v>
      </c>
      <c r="F4970" s="157">
        <v>42695.324999999997</v>
      </c>
      <c r="G4970" s="98">
        <v>0</v>
      </c>
      <c r="H4970" s="98">
        <v>521</v>
      </c>
      <c r="I4970" s="98">
        <v>482</v>
      </c>
      <c r="J4970" s="98" t="s">
        <v>2178</v>
      </c>
      <c r="K4970" s="98" t="s">
        <v>4366</v>
      </c>
      <c r="L4970" s="105" t="str">
        <f t="shared" si="810"/>
        <v>Mill Creek</v>
      </c>
      <c r="M4970" s="105" t="str">
        <f t="shared" si="811"/>
        <v>Other</v>
      </c>
      <c r="N4970" s="105" t="str">
        <f t="shared" si="812"/>
        <v>Coal</v>
      </c>
      <c r="O4970" s="105">
        <f>IFERROR(VLOOKUP(A4970,Lookup!$J$5:$P$19,7,FALSE),0)</f>
        <v>3</v>
      </c>
      <c r="P4970" s="159">
        <f t="shared" si="813"/>
        <v>2016</v>
      </c>
      <c r="Q4970" s="159">
        <f t="shared" si="814"/>
        <v>11</v>
      </c>
      <c r="R4970" s="160">
        <f t="shared" si="815"/>
        <v>343.79999999993015</v>
      </c>
      <c r="S4970" s="158">
        <f t="shared" si="816"/>
        <v>343.79999999993015</v>
      </c>
      <c r="T4970" s="161">
        <f t="shared" si="817"/>
        <v>165711.59999996633</v>
      </c>
      <c r="U4970" s="158">
        <f t="shared" si="819"/>
        <v>482</v>
      </c>
      <c r="V4970" s="160">
        <f t="shared" si="818"/>
        <v>482</v>
      </c>
    </row>
    <row r="4971" spans="1:22" x14ac:dyDescent="0.25">
      <c r="A4971" s="98" t="s">
        <v>25</v>
      </c>
      <c r="B4971" s="98" t="s">
        <v>79</v>
      </c>
      <c r="C4971" s="98">
        <v>36</v>
      </c>
      <c r="D4971" s="98">
        <v>1850</v>
      </c>
      <c r="E4971" s="157">
        <v>42695.324999999997</v>
      </c>
      <c r="F4971" s="157">
        <v>42697.212500000001</v>
      </c>
      <c r="G4971" s="98">
        <v>0</v>
      </c>
      <c r="H4971" s="98">
        <v>521</v>
      </c>
      <c r="I4971" s="98">
        <v>482</v>
      </c>
      <c r="J4971" s="98" t="s">
        <v>2263</v>
      </c>
      <c r="K4971" s="98" t="s">
        <v>4292</v>
      </c>
      <c r="L4971" s="105" t="str">
        <f t="shared" si="810"/>
        <v>Mill Creek</v>
      </c>
      <c r="M4971" s="105" t="str">
        <f t="shared" si="811"/>
        <v>Other</v>
      </c>
      <c r="N4971" s="105" t="str">
        <f t="shared" si="812"/>
        <v>Coal</v>
      </c>
      <c r="O4971" s="105">
        <f>IFERROR(VLOOKUP(A4971,Lookup!$J$5:$P$19,7,FALSE),0)</f>
        <v>3</v>
      </c>
      <c r="P4971" s="159">
        <f t="shared" si="813"/>
        <v>2016</v>
      </c>
      <c r="Q4971" s="159">
        <f t="shared" si="814"/>
        <v>11</v>
      </c>
      <c r="R4971" s="160">
        <f t="shared" si="815"/>
        <v>45.300000000104774</v>
      </c>
      <c r="S4971" s="158">
        <f t="shared" si="816"/>
        <v>45.300000000104774</v>
      </c>
      <c r="T4971" s="161">
        <f t="shared" si="817"/>
        <v>21834.600000050501</v>
      </c>
      <c r="U4971" s="158">
        <f t="shared" si="819"/>
        <v>482</v>
      </c>
      <c r="V4971" s="160">
        <f t="shared" si="818"/>
        <v>482</v>
      </c>
    </row>
    <row r="4972" spans="1:22" x14ac:dyDescent="0.25">
      <c r="A4972" s="98" t="s">
        <v>25</v>
      </c>
      <c r="B4972" s="98" t="s">
        <v>17</v>
      </c>
      <c r="C4972" s="98">
        <v>37</v>
      </c>
      <c r="D4972" s="98">
        <v>300</v>
      </c>
      <c r="E4972" s="157">
        <v>42706.711111111108</v>
      </c>
      <c r="F4972" s="157">
        <v>42706.743055555555</v>
      </c>
      <c r="G4972" s="98">
        <v>430</v>
      </c>
      <c r="H4972" s="98">
        <v>521</v>
      </c>
      <c r="I4972" s="98">
        <v>482</v>
      </c>
      <c r="J4972" s="98" t="s">
        <v>1977</v>
      </c>
      <c r="K4972" s="98" t="s">
        <v>4367</v>
      </c>
      <c r="L4972" s="105" t="str">
        <f t="shared" si="810"/>
        <v>Mill Creek</v>
      </c>
      <c r="M4972" s="105" t="str">
        <f t="shared" si="811"/>
        <v>Derate</v>
      </c>
      <c r="N4972" s="105" t="str">
        <f t="shared" si="812"/>
        <v>Coal</v>
      </c>
      <c r="O4972" s="105">
        <f>IFERROR(VLOOKUP(A4972,Lookup!$J$5:$P$19,7,FALSE),0)</f>
        <v>3</v>
      </c>
      <c r="P4972" s="159">
        <f t="shared" si="813"/>
        <v>2016</v>
      </c>
      <c r="Q4972" s="159">
        <f t="shared" si="814"/>
        <v>12</v>
      </c>
      <c r="R4972" s="160">
        <f t="shared" si="815"/>
        <v>0.76666666672099382</v>
      </c>
      <c r="S4972" s="158">
        <f t="shared" si="816"/>
        <v>0.13390914908178586</v>
      </c>
      <c r="T4972" s="161">
        <f t="shared" si="817"/>
        <v>64.544209857420782</v>
      </c>
      <c r="U4972" s="158">
        <f t="shared" si="819"/>
        <v>84.188099808061423</v>
      </c>
      <c r="V4972" s="160">
        <f t="shared" si="818"/>
        <v>84</v>
      </c>
    </row>
    <row r="4973" spans="1:22" x14ac:dyDescent="0.25">
      <c r="A4973" s="98" t="s">
        <v>25</v>
      </c>
      <c r="B4973" s="98" t="s">
        <v>17</v>
      </c>
      <c r="C4973" s="98">
        <v>38</v>
      </c>
      <c r="D4973" s="98">
        <v>260</v>
      </c>
      <c r="E4973" s="157">
        <v>42714.206944444442</v>
      </c>
      <c r="F4973" s="157">
        <v>42714.229166666664</v>
      </c>
      <c r="G4973" s="98">
        <v>385</v>
      </c>
      <c r="H4973" s="98">
        <v>521</v>
      </c>
      <c r="I4973" s="98">
        <v>482</v>
      </c>
      <c r="J4973" s="98" t="s">
        <v>1973</v>
      </c>
      <c r="K4973" s="98" t="s">
        <v>4368</v>
      </c>
      <c r="L4973" s="105" t="str">
        <f t="shared" si="810"/>
        <v>Mill Creek</v>
      </c>
      <c r="M4973" s="105" t="str">
        <f t="shared" si="811"/>
        <v>Derate</v>
      </c>
      <c r="N4973" s="105" t="str">
        <f t="shared" si="812"/>
        <v>Coal</v>
      </c>
      <c r="O4973" s="105">
        <f>IFERROR(VLOOKUP(A4973,Lookup!$J$5:$P$19,7,FALSE),0)</f>
        <v>3</v>
      </c>
      <c r="P4973" s="159">
        <f t="shared" si="813"/>
        <v>2016</v>
      </c>
      <c r="Q4973" s="159">
        <f t="shared" si="814"/>
        <v>12</v>
      </c>
      <c r="R4973" s="160">
        <f t="shared" si="815"/>
        <v>0.53333333332557231</v>
      </c>
      <c r="S4973" s="158">
        <f t="shared" si="816"/>
        <v>0.13921944977404574</v>
      </c>
      <c r="T4973" s="161">
        <f t="shared" si="817"/>
        <v>67.103774791090046</v>
      </c>
      <c r="U4973" s="158">
        <f t="shared" si="819"/>
        <v>125.81957773512477</v>
      </c>
      <c r="V4973" s="160">
        <f t="shared" si="818"/>
        <v>126</v>
      </c>
    </row>
    <row r="4974" spans="1:22" x14ac:dyDescent="0.25">
      <c r="A4974" s="98" t="s">
        <v>25</v>
      </c>
      <c r="B4974" s="98" t="s">
        <v>17</v>
      </c>
      <c r="C4974" s="98">
        <v>39</v>
      </c>
      <c r="D4974" s="98">
        <v>267</v>
      </c>
      <c r="E4974" s="157">
        <v>42714.329861111109</v>
      </c>
      <c r="F4974" s="157">
        <v>42715.186805555553</v>
      </c>
      <c r="G4974" s="98">
        <v>500</v>
      </c>
      <c r="H4974" s="98">
        <v>521</v>
      </c>
      <c r="I4974" s="98">
        <v>482</v>
      </c>
      <c r="J4974" s="98" t="s">
        <v>1969</v>
      </c>
      <c r="K4974" s="98" t="s">
        <v>4369</v>
      </c>
      <c r="L4974" s="105" t="str">
        <f t="shared" si="810"/>
        <v>Mill Creek</v>
      </c>
      <c r="M4974" s="105" t="str">
        <f t="shared" si="811"/>
        <v>Derate</v>
      </c>
      <c r="N4974" s="105" t="str">
        <f t="shared" si="812"/>
        <v>Coal</v>
      </c>
      <c r="O4974" s="105">
        <f>IFERROR(VLOOKUP(A4974,Lookup!$J$5:$P$19,7,FALSE),0)</f>
        <v>3</v>
      </c>
      <c r="P4974" s="159">
        <f t="shared" si="813"/>
        <v>2016</v>
      </c>
      <c r="Q4974" s="159">
        <f t="shared" si="814"/>
        <v>12</v>
      </c>
      <c r="R4974" s="160">
        <f t="shared" si="815"/>
        <v>20.566666666651145</v>
      </c>
      <c r="S4974" s="158">
        <f t="shared" si="816"/>
        <v>0.82898272552720542</v>
      </c>
      <c r="T4974" s="161">
        <f t="shared" si="817"/>
        <v>399.56967370411303</v>
      </c>
      <c r="U4974" s="158">
        <f t="shared" si="819"/>
        <v>19.428023032629557</v>
      </c>
      <c r="V4974" s="160">
        <f t="shared" si="818"/>
        <v>19</v>
      </c>
    </row>
    <row r="4975" spans="1:22" x14ac:dyDescent="0.25">
      <c r="A4975" s="98" t="s">
        <v>25</v>
      </c>
      <c r="B4975" s="98" t="s">
        <v>105</v>
      </c>
      <c r="C4975" s="98">
        <v>40</v>
      </c>
      <c r="D4975" s="98">
        <v>510</v>
      </c>
      <c r="E4975" s="157">
        <v>42715.943055555559</v>
      </c>
      <c r="F4975" s="157">
        <v>42716.011805555558</v>
      </c>
      <c r="G4975" s="98">
        <v>400</v>
      </c>
      <c r="H4975" s="98">
        <v>521</v>
      </c>
      <c r="I4975" s="98">
        <v>482</v>
      </c>
      <c r="J4975" s="98" t="s">
        <v>3188</v>
      </c>
      <c r="K4975" s="98" t="s">
        <v>4370</v>
      </c>
      <c r="L4975" s="105" t="str">
        <f t="shared" si="810"/>
        <v>Mill Creek</v>
      </c>
      <c r="M4975" s="105" t="str">
        <f t="shared" si="811"/>
        <v>Derate</v>
      </c>
      <c r="N4975" s="105" t="str">
        <f t="shared" si="812"/>
        <v>Coal</v>
      </c>
      <c r="O4975" s="105">
        <f>IFERROR(VLOOKUP(A4975,Lookup!$J$5:$P$19,7,FALSE),0)</f>
        <v>3</v>
      </c>
      <c r="P4975" s="159">
        <f t="shared" si="813"/>
        <v>2016</v>
      </c>
      <c r="Q4975" s="159">
        <f t="shared" si="814"/>
        <v>12</v>
      </c>
      <c r="R4975" s="160">
        <f t="shared" si="815"/>
        <v>1.6499999999650754</v>
      </c>
      <c r="S4975" s="158">
        <f t="shared" si="816"/>
        <v>0.38320537427211926</v>
      </c>
      <c r="T4975" s="161">
        <f t="shared" si="817"/>
        <v>184.70499039916149</v>
      </c>
      <c r="U4975" s="158">
        <f t="shared" si="819"/>
        <v>111.94241842610364</v>
      </c>
      <c r="V4975" s="160">
        <f t="shared" si="818"/>
        <v>112</v>
      </c>
    </row>
    <row r="4976" spans="1:22" x14ac:dyDescent="0.25">
      <c r="A4976" s="98" t="s">
        <v>25</v>
      </c>
      <c r="B4976" s="98" t="s">
        <v>17</v>
      </c>
      <c r="C4976" s="98">
        <v>41</v>
      </c>
      <c r="D4976" s="98">
        <v>3344</v>
      </c>
      <c r="E4976" s="157">
        <v>42725.243055555555</v>
      </c>
      <c r="F4976" s="157">
        <v>42725.396527777775</v>
      </c>
      <c r="G4976" s="98">
        <v>450</v>
      </c>
      <c r="H4976" s="98">
        <v>521</v>
      </c>
      <c r="I4976" s="98">
        <v>482</v>
      </c>
      <c r="J4976" s="98" t="s">
        <v>2165</v>
      </c>
      <c r="K4976" s="98" t="s">
        <v>4371</v>
      </c>
      <c r="L4976" s="105" t="str">
        <f t="shared" si="810"/>
        <v>Mill Creek</v>
      </c>
      <c r="M4976" s="105" t="str">
        <f t="shared" si="811"/>
        <v>Derate</v>
      </c>
      <c r="N4976" s="105" t="str">
        <f t="shared" si="812"/>
        <v>Coal</v>
      </c>
      <c r="O4976" s="105">
        <f>IFERROR(VLOOKUP(A4976,Lookup!$J$5:$P$19,7,FALSE),0)</f>
        <v>3</v>
      </c>
      <c r="P4976" s="159">
        <f t="shared" si="813"/>
        <v>2016</v>
      </c>
      <c r="Q4976" s="159">
        <f t="shared" si="814"/>
        <v>12</v>
      </c>
      <c r="R4976" s="160">
        <f t="shared" si="815"/>
        <v>3.6833333332906477</v>
      </c>
      <c r="S4976" s="158">
        <f t="shared" si="816"/>
        <v>0.50195137555400382</v>
      </c>
      <c r="T4976" s="161">
        <f t="shared" si="817"/>
        <v>241.94056301702983</v>
      </c>
      <c r="U4976" s="158">
        <f t="shared" si="819"/>
        <v>65.685220729366605</v>
      </c>
      <c r="V4976" s="160">
        <f t="shared" si="818"/>
        <v>66</v>
      </c>
    </row>
    <row r="4977" spans="1:22" x14ac:dyDescent="0.25">
      <c r="A4977" s="98" t="s">
        <v>25</v>
      </c>
      <c r="B4977" s="98" t="s">
        <v>17</v>
      </c>
      <c r="C4977" s="98">
        <v>42</v>
      </c>
      <c r="D4977" s="98">
        <v>250</v>
      </c>
      <c r="E4977" s="157">
        <v>42733.477083333331</v>
      </c>
      <c r="F4977" s="157">
        <v>42733.565972222219</v>
      </c>
      <c r="G4977" s="98">
        <v>150</v>
      </c>
      <c r="H4977" s="98">
        <v>521</v>
      </c>
      <c r="I4977" s="98">
        <v>482</v>
      </c>
      <c r="J4977" s="98" t="s">
        <v>1978</v>
      </c>
      <c r="K4977" s="98" t="s">
        <v>4372</v>
      </c>
      <c r="L4977" s="105" t="str">
        <f t="shared" si="810"/>
        <v>Mill Creek</v>
      </c>
      <c r="M4977" s="105" t="str">
        <f t="shared" si="811"/>
        <v>Derate</v>
      </c>
      <c r="N4977" s="105" t="str">
        <f t="shared" si="812"/>
        <v>Coal</v>
      </c>
      <c r="O4977" s="105">
        <f>IFERROR(VLOOKUP(A4977,Lookup!$J$5:$P$19,7,FALSE),0)</f>
        <v>3</v>
      </c>
      <c r="P4977" s="159">
        <f t="shared" si="813"/>
        <v>2016</v>
      </c>
      <c r="Q4977" s="159">
        <f t="shared" si="814"/>
        <v>12</v>
      </c>
      <c r="R4977" s="160">
        <f t="shared" si="815"/>
        <v>2.1333333333022892</v>
      </c>
      <c r="S4977" s="158">
        <f t="shared" si="816"/>
        <v>1.5191298784167933</v>
      </c>
      <c r="T4977" s="161">
        <f t="shared" si="817"/>
        <v>732.22060139689438</v>
      </c>
      <c r="U4977" s="158">
        <f t="shared" si="819"/>
        <v>343.22840690978887</v>
      </c>
      <c r="V4977" s="160">
        <f t="shared" si="818"/>
        <v>343</v>
      </c>
    </row>
    <row r="4978" spans="1:22" x14ac:dyDescent="0.25">
      <c r="A4978" s="98" t="s">
        <v>25</v>
      </c>
      <c r="B4978" s="98" t="s">
        <v>17</v>
      </c>
      <c r="C4978" s="98">
        <v>43</v>
      </c>
      <c r="D4978" s="98">
        <v>264</v>
      </c>
      <c r="E4978" s="157">
        <v>42733.770833333336</v>
      </c>
      <c r="F4978" s="157">
        <v>42733.81527777778</v>
      </c>
      <c r="G4978" s="98">
        <v>450</v>
      </c>
      <c r="H4978" s="98">
        <v>521</v>
      </c>
      <c r="I4978" s="98">
        <v>482</v>
      </c>
      <c r="J4978" s="98" t="s">
        <v>2008</v>
      </c>
      <c r="K4978" s="98" t="s">
        <v>4373</v>
      </c>
      <c r="L4978" s="105" t="str">
        <f t="shared" si="810"/>
        <v>Mill Creek</v>
      </c>
      <c r="M4978" s="105" t="str">
        <f t="shared" si="811"/>
        <v>Derate</v>
      </c>
      <c r="N4978" s="105" t="str">
        <f t="shared" si="812"/>
        <v>Coal</v>
      </c>
      <c r="O4978" s="105">
        <f>IFERROR(VLOOKUP(A4978,Lookup!$J$5:$P$19,7,FALSE),0)</f>
        <v>3</v>
      </c>
      <c r="P4978" s="159">
        <f t="shared" si="813"/>
        <v>2016</v>
      </c>
      <c r="Q4978" s="159">
        <f t="shared" si="814"/>
        <v>12</v>
      </c>
      <c r="R4978" s="160">
        <f t="shared" si="815"/>
        <v>1.0666666666511446</v>
      </c>
      <c r="S4978" s="158">
        <f t="shared" si="816"/>
        <v>0.14536148432290072</v>
      </c>
      <c r="T4978" s="161">
        <f t="shared" si="817"/>
        <v>70.06423544363814</v>
      </c>
      <c r="U4978" s="158">
        <f t="shared" si="819"/>
        <v>65.685220729366605</v>
      </c>
      <c r="V4978" s="160">
        <f t="shared" si="818"/>
        <v>66</v>
      </c>
    </row>
    <row r="4979" spans="1:22" x14ac:dyDescent="0.25">
      <c r="A4979" s="98" t="s">
        <v>25</v>
      </c>
      <c r="B4979" s="98" t="s">
        <v>17</v>
      </c>
      <c r="C4979" s="98">
        <v>44</v>
      </c>
      <c r="D4979" s="98">
        <v>250</v>
      </c>
      <c r="E4979" s="157">
        <v>42733.81527777778</v>
      </c>
      <c r="F4979" s="157">
        <v>42734.32916666667</v>
      </c>
      <c r="G4979" s="98">
        <v>510</v>
      </c>
      <c r="H4979" s="98">
        <v>521</v>
      </c>
      <c r="I4979" s="98">
        <v>482</v>
      </c>
      <c r="J4979" s="98" t="s">
        <v>1978</v>
      </c>
      <c r="K4979" s="98" t="s">
        <v>4374</v>
      </c>
      <c r="L4979" s="105" t="str">
        <f t="shared" si="810"/>
        <v>Mill Creek</v>
      </c>
      <c r="M4979" s="105" t="str">
        <f t="shared" si="811"/>
        <v>Derate</v>
      </c>
      <c r="N4979" s="105" t="str">
        <f t="shared" si="812"/>
        <v>Coal</v>
      </c>
      <c r="O4979" s="105">
        <f>IFERROR(VLOOKUP(A4979,Lookup!$J$5:$P$19,7,FALSE),0)</f>
        <v>3</v>
      </c>
      <c r="P4979" s="159">
        <f t="shared" si="813"/>
        <v>2016</v>
      </c>
      <c r="Q4979" s="159">
        <f t="shared" si="814"/>
        <v>12</v>
      </c>
      <c r="R4979" s="160">
        <f t="shared" si="815"/>
        <v>12.333333333372138</v>
      </c>
      <c r="S4979" s="158">
        <f t="shared" si="816"/>
        <v>0.26039667306543862</v>
      </c>
      <c r="T4979" s="161">
        <f t="shared" si="817"/>
        <v>125.51119641754141</v>
      </c>
      <c r="U4979" s="158">
        <f t="shared" si="819"/>
        <v>10.17658349328215</v>
      </c>
      <c r="V4979" s="160">
        <f t="shared" si="818"/>
        <v>10</v>
      </c>
    </row>
    <row r="4980" spans="1:22" x14ac:dyDescent="0.25">
      <c r="A4980" s="98" t="s">
        <v>25</v>
      </c>
      <c r="B4980" s="98" t="s">
        <v>17</v>
      </c>
      <c r="C4980" s="98">
        <v>1</v>
      </c>
      <c r="D4980" s="98">
        <v>250</v>
      </c>
      <c r="E4980" s="157">
        <v>42740.793055555558</v>
      </c>
      <c r="F4980" s="157">
        <v>42740.819444444445</v>
      </c>
      <c r="G4980" s="98">
        <v>406</v>
      </c>
      <c r="H4980" s="98">
        <v>521</v>
      </c>
      <c r="I4980" s="98">
        <v>482</v>
      </c>
      <c r="J4980" s="98" t="s">
        <v>1978</v>
      </c>
      <c r="K4980" s="98" t="s">
        <v>4375</v>
      </c>
      <c r="L4980" s="105" t="str">
        <f t="shared" si="810"/>
        <v>Mill Creek</v>
      </c>
      <c r="M4980" s="105" t="str">
        <f t="shared" si="811"/>
        <v>Derate</v>
      </c>
      <c r="N4980" s="105" t="str">
        <f t="shared" si="812"/>
        <v>Coal</v>
      </c>
      <c r="O4980" s="105">
        <f>IFERROR(VLOOKUP(A4980,Lookup!$J$5:$P$19,7,FALSE),0)</f>
        <v>3</v>
      </c>
      <c r="P4980" s="159">
        <f t="shared" si="813"/>
        <v>2017</v>
      </c>
      <c r="Q4980" s="159">
        <f t="shared" si="814"/>
        <v>1</v>
      </c>
      <c r="R4980" s="160">
        <f t="shared" si="815"/>
        <v>0.63333333330228925</v>
      </c>
      <c r="S4980" s="158">
        <f t="shared" si="816"/>
        <v>0.13979526550818286</v>
      </c>
      <c r="T4980" s="161">
        <f t="shared" si="817"/>
        <v>67.381317974944139</v>
      </c>
      <c r="U4980" s="158">
        <f t="shared" si="819"/>
        <v>106.3915547024952</v>
      </c>
      <c r="V4980" s="160">
        <f t="shared" si="818"/>
        <v>106</v>
      </c>
    </row>
    <row r="4981" spans="1:22" x14ac:dyDescent="0.25">
      <c r="A4981" s="98" t="s">
        <v>25</v>
      </c>
      <c r="B4981" s="98" t="s">
        <v>20</v>
      </c>
      <c r="C4981" s="98">
        <v>2</v>
      </c>
      <c r="D4981" s="98">
        <v>3110</v>
      </c>
      <c r="E4981" s="157">
        <v>42744.600694444445</v>
      </c>
      <c r="F4981" s="157">
        <v>42745.574305555558</v>
      </c>
      <c r="G4981" s="98">
        <v>0</v>
      </c>
      <c r="H4981" s="98">
        <v>521</v>
      </c>
      <c r="I4981" s="98">
        <v>482</v>
      </c>
      <c r="J4981" s="98" t="s">
        <v>2119</v>
      </c>
      <c r="K4981" s="98" t="s">
        <v>31</v>
      </c>
      <c r="L4981" s="105" t="str">
        <f t="shared" si="810"/>
        <v>Mill Creek</v>
      </c>
      <c r="M4981" s="105" t="str">
        <f t="shared" si="811"/>
        <v>Maintenance</v>
      </c>
      <c r="N4981" s="105" t="str">
        <f t="shared" si="812"/>
        <v>Coal</v>
      </c>
      <c r="O4981" s="105">
        <f>IFERROR(VLOOKUP(A4981,Lookup!$J$5:$P$19,7,FALSE),0)</f>
        <v>3</v>
      </c>
      <c r="P4981" s="159">
        <f t="shared" si="813"/>
        <v>2017</v>
      </c>
      <c r="Q4981" s="159">
        <f t="shared" si="814"/>
        <v>1</v>
      </c>
      <c r="R4981" s="160">
        <f t="shared" si="815"/>
        <v>23.366666666697711</v>
      </c>
      <c r="S4981" s="158">
        <f t="shared" si="816"/>
        <v>23.366666666697711</v>
      </c>
      <c r="T4981" s="161">
        <f t="shared" si="817"/>
        <v>11262.733333348297</v>
      </c>
      <c r="U4981" s="158">
        <f t="shared" si="819"/>
        <v>482</v>
      </c>
      <c r="V4981" s="160">
        <f t="shared" si="818"/>
        <v>482</v>
      </c>
    </row>
    <row r="4982" spans="1:22" x14ac:dyDescent="0.25">
      <c r="A4982" s="98" t="s">
        <v>25</v>
      </c>
      <c r="B4982" s="98" t="s">
        <v>17</v>
      </c>
      <c r="C4982" s="98">
        <v>3</v>
      </c>
      <c r="D4982" s="98">
        <v>1850</v>
      </c>
      <c r="E4982" s="157">
        <v>42745.930555555555</v>
      </c>
      <c r="F4982" s="157">
        <v>42746.288194444445</v>
      </c>
      <c r="G4982" s="98">
        <v>437</v>
      </c>
      <c r="H4982" s="98">
        <v>521</v>
      </c>
      <c r="I4982" s="98">
        <v>482</v>
      </c>
      <c r="J4982" s="98" t="s">
        <v>2263</v>
      </c>
      <c r="K4982" s="98" t="s">
        <v>4376</v>
      </c>
      <c r="L4982" s="105" t="str">
        <f t="shared" si="810"/>
        <v>Mill Creek</v>
      </c>
      <c r="M4982" s="105" t="str">
        <f t="shared" si="811"/>
        <v>Derate</v>
      </c>
      <c r="N4982" s="105" t="str">
        <f t="shared" si="812"/>
        <v>Coal</v>
      </c>
      <c r="O4982" s="105">
        <f>IFERROR(VLOOKUP(A4982,Lookup!$J$5:$P$19,7,FALSE),0)</f>
        <v>3</v>
      </c>
      <c r="P4982" s="159">
        <f t="shared" si="813"/>
        <v>2017</v>
      </c>
      <c r="Q4982" s="159">
        <f t="shared" si="814"/>
        <v>1</v>
      </c>
      <c r="R4982" s="160">
        <f t="shared" si="815"/>
        <v>8.5833333333721384</v>
      </c>
      <c r="S4982" s="158">
        <f t="shared" si="816"/>
        <v>1.3838771593152777</v>
      </c>
      <c r="T4982" s="161">
        <f t="shared" si="817"/>
        <v>667.02879078996386</v>
      </c>
      <c r="U4982" s="158">
        <f t="shared" si="819"/>
        <v>77.712092130518229</v>
      </c>
      <c r="V4982" s="160">
        <f t="shared" si="818"/>
        <v>78</v>
      </c>
    </row>
    <row r="4983" spans="1:22" x14ac:dyDescent="0.25">
      <c r="A4983" s="98" t="s">
        <v>25</v>
      </c>
      <c r="B4983" s="98" t="s">
        <v>17</v>
      </c>
      <c r="C4983" s="98">
        <v>4</v>
      </c>
      <c r="D4983" s="98">
        <v>1850</v>
      </c>
      <c r="E4983" s="157">
        <v>42746.288194444445</v>
      </c>
      <c r="F4983" s="157">
        <v>42746.387499999997</v>
      </c>
      <c r="G4983" s="98">
        <v>475</v>
      </c>
      <c r="H4983" s="98">
        <v>521</v>
      </c>
      <c r="I4983" s="98">
        <v>482</v>
      </c>
      <c r="J4983" s="98" t="s">
        <v>2263</v>
      </c>
      <c r="K4983" s="98" t="s">
        <v>4377</v>
      </c>
      <c r="L4983" s="105" t="str">
        <f t="shared" si="810"/>
        <v>Mill Creek</v>
      </c>
      <c r="M4983" s="105" t="str">
        <f t="shared" si="811"/>
        <v>Derate</v>
      </c>
      <c r="N4983" s="105" t="str">
        <f t="shared" si="812"/>
        <v>Coal</v>
      </c>
      <c r="O4983" s="105">
        <f>IFERROR(VLOOKUP(A4983,Lookup!$J$5:$P$19,7,FALSE),0)</f>
        <v>3</v>
      </c>
      <c r="P4983" s="159">
        <f t="shared" si="813"/>
        <v>2017</v>
      </c>
      <c r="Q4983" s="159">
        <f t="shared" si="814"/>
        <v>1</v>
      </c>
      <c r="R4983" s="160">
        <f t="shared" si="815"/>
        <v>2.3833333332440816</v>
      </c>
      <c r="S4983" s="158">
        <f t="shared" si="816"/>
        <v>0.21042866282001488</v>
      </c>
      <c r="T4983" s="161">
        <f t="shared" si="817"/>
        <v>101.42661547924718</v>
      </c>
      <c r="U4983" s="158">
        <f t="shared" si="819"/>
        <v>42.55662188099808</v>
      </c>
      <c r="V4983" s="160">
        <f t="shared" si="818"/>
        <v>43</v>
      </c>
    </row>
    <row r="4984" spans="1:22" x14ac:dyDescent="0.25">
      <c r="A4984" s="98" t="s">
        <v>25</v>
      </c>
      <c r="B4984" s="98" t="s">
        <v>79</v>
      </c>
      <c r="C4984" s="98">
        <v>5</v>
      </c>
      <c r="D4984" s="98">
        <v>8460</v>
      </c>
      <c r="E4984" s="157">
        <v>42746.890277777777</v>
      </c>
      <c r="F4984" s="157">
        <v>42747.085416666669</v>
      </c>
      <c r="G4984" s="98">
        <v>0</v>
      </c>
      <c r="H4984" s="98">
        <v>521</v>
      </c>
      <c r="I4984" s="98">
        <v>482</v>
      </c>
      <c r="J4984" s="98" t="s">
        <v>2651</v>
      </c>
      <c r="K4984" s="98" t="s">
        <v>4316</v>
      </c>
      <c r="L4984" s="105" t="str">
        <f t="shared" si="810"/>
        <v>Mill Creek</v>
      </c>
      <c r="M4984" s="105" t="str">
        <f t="shared" si="811"/>
        <v>Other</v>
      </c>
      <c r="N4984" s="105" t="str">
        <f t="shared" si="812"/>
        <v>Coal</v>
      </c>
      <c r="O4984" s="105">
        <f>IFERROR(VLOOKUP(A4984,Lookup!$J$5:$P$19,7,FALSE),0)</f>
        <v>3</v>
      </c>
      <c r="P4984" s="159">
        <f t="shared" si="813"/>
        <v>2017</v>
      </c>
      <c r="Q4984" s="159">
        <f t="shared" si="814"/>
        <v>1</v>
      </c>
      <c r="R4984" s="160">
        <f t="shared" si="815"/>
        <v>4.683333333407063</v>
      </c>
      <c r="S4984" s="158">
        <f t="shared" si="816"/>
        <v>4.683333333407063</v>
      </c>
      <c r="T4984" s="161">
        <f t="shared" si="817"/>
        <v>2257.3666667022044</v>
      </c>
      <c r="U4984" s="158">
        <f t="shared" si="819"/>
        <v>482</v>
      </c>
      <c r="V4984" s="160">
        <f t="shared" si="818"/>
        <v>482</v>
      </c>
    </row>
    <row r="4985" spans="1:22" x14ac:dyDescent="0.25">
      <c r="A4985" s="98" t="s">
        <v>25</v>
      </c>
      <c r="B4985" s="98" t="s">
        <v>79</v>
      </c>
      <c r="C4985" s="98">
        <v>6</v>
      </c>
      <c r="D4985" s="98">
        <v>1990</v>
      </c>
      <c r="E4985" s="157">
        <v>42758.9375</v>
      </c>
      <c r="F4985" s="157">
        <v>42759.020833333336</v>
      </c>
      <c r="G4985" s="98">
        <v>0</v>
      </c>
      <c r="H4985" s="98">
        <v>521</v>
      </c>
      <c r="I4985" s="98">
        <v>482</v>
      </c>
      <c r="J4985" s="98" t="s">
        <v>2114</v>
      </c>
      <c r="K4985" s="98" t="s">
        <v>4378</v>
      </c>
      <c r="L4985" s="105" t="str">
        <f t="shared" si="810"/>
        <v>Mill Creek</v>
      </c>
      <c r="M4985" s="105" t="str">
        <f t="shared" si="811"/>
        <v>Other</v>
      </c>
      <c r="N4985" s="105" t="str">
        <f t="shared" si="812"/>
        <v>Coal</v>
      </c>
      <c r="O4985" s="105">
        <f>IFERROR(VLOOKUP(A4985,Lookup!$J$5:$P$19,7,FALSE),0)</f>
        <v>3</v>
      </c>
      <c r="P4985" s="159">
        <f t="shared" si="813"/>
        <v>2017</v>
      </c>
      <c r="Q4985" s="159">
        <f t="shared" si="814"/>
        <v>1</v>
      </c>
      <c r="R4985" s="160">
        <f t="shared" si="815"/>
        <v>2.0000000000582077</v>
      </c>
      <c r="S4985" s="158">
        <f t="shared" si="816"/>
        <v>2.0000000000582077</v>
      </c>
      <c r="T4985" s="161">
        <f t="shared" si="817"/>
        <v>964.00000002805609</v>
      </c>
      <c r="U4985" s="158">
        <f t="shared" si="819"/>
        <v>482</v>
      </c>
      <c r="V4985" s="160">
        <f t="shared" si="818"/>
        <v>482</v>
      </c>
    </row>
    <row r="4986" spans="1:22" x14ac:dyDescent="0.25">
      <c r="A4986" s="98" t="s">
        <v>25</v>
      </c>
      <c r="B4986" s="98" t="s">
        <v>79</v>
      </c>
      <c r="C4986" s="98">
        <v>7</v>
      </c>
      <c r="D4986" s="98">
        <v>1990</v>
      </c>
      <c r="E4986" s="157">
        <v>42759.020833333336</v>
      </c>
      <c r="F4986" s="157">
        <v>42759.104166666664</v>
      </c>
      <c r="G4986" s="98">
        <v>0</v>
      </c>
      <c r="H4986" s="98">
        <v>521</v>
      </c>
      <c r="I4986" s="98">
        <v>482</v>
      </c>
      <c r="J4986" s="98" t="s">
        <v>2114</v>
      </c>
      <c r="K4986" s="98" t="s">
        <v>4378</v>
      </c>
      <c r="L4986" s="105" t="str">
        <f t="shared" si="810"/>
        <v>Mill Creek</v>
      </c>
      <c r="M4986" s="105" t="str">
        <f t="shared" si="811"/>
        <v>Other</v>
      </c>
      <c r="N4986" s="105" t="str">
        <f t="shared" si="812"/>
        <v>Coal</v>
      </c>
      <c r="O4986" s="105">
        <f>IFERROR(VLOOKUP(A4986,Lookup!$J$5:$P$19,7,FALSE),0)</f>
        <v>3</v>
      </c>
      <c r="P4986" s="159">
        <f t="shared" si="813"/>
        <v>2017</v>
      </c>
      <c r="Q4986" s="159">
        <f t="shared" si="814"/>
        <v>1</v>
      </c>
      <c r="R4986" s="160">
        <f t="shared" si="815"/>
        <v>1.9999999998835847</v>
      </c>
      <c r="S4986" s="158">
        <f t="shared" si="816"/>
        <v>1.9999999998835847</v>
      </c>
      <c r="T4986" s="161">
        <f t="shared" si="817"/>
        <v>963.99999994388781</v>
      </c>
      <c r="U4986" s="158">
        <f t="shared" si="819"/>
        <v>482</v>
      </c>
      <c r="V4986" s="160">
        <f t="shared" si="818"/>
        <v>482</v>
      </c>
    </row>
    <row r="4987" spans="1:22" x14ac:dyDescent="0.25">
      <c r="A4987" s="98" t="s">
        <v>25</v>
      </c>
      <c r="B4987" s="98" t="s">
        <v>79</v>
      </c>
      <c r="C4987" s="98">
        <v>8</v>
      </c>
      <c r="D4987" s="98">
        <v>1990</v>
      </c>
      <c r="E4987" s="157">
        <v>42759.104166666664</v>
      </c>
      <c r="F4987" s="157">
        <v>42759.177777777775</v>
      </c>
      <c r="G4987" s="98">
        <v>0</v>
      </c>
      <c r="H4987" s="98">
        <v>521</v>
      </c>
      <c r="I4987" s="98">
        <v>482</v>
      </c>
      <c r="J4987" s="98" t="s">
        <v>2114</v>
      </c>
      <c r="K4987" s="98" t="s">
        <v>4378</v>
      </c>
      <c r="L4987" s="105" t="str">
        <f t="shared" si="810"/>
        <v>Mill Creek</v>
      </c>
      <c r="M4987" s="105" t="str">
        <f t="shared" si="811"/>
        <v>Other</v>
      </c>
      <c r="N4987" s="105" t="str">
        <f t="shared" si="812"/>
        <v>Coal</v>
      </c>
      <c r="O4987" s="105">
        <f>IFERROR(VLOOKUP(A4987,Lookup!$J$5:$P$19,7,FALSE),0)</f>
        <v>3</v>
      </c>
      <c r="P4987" s="159">
        <f t="shared" si="813"/>
        <v>2017</v>
      </c>
      <c r="Q4987" s="159">
        <f t="shared" si="814"/>
        <v>1</v>
      </c>
      <c r="R4987" s="160">
        <f t="shared" si="815"/>
        <v>1.7666666666627862</v>
      </c>
      <c r="S4987" s="158">
        <f t="shared" si="816"/>
        <v>1.7666666666627862</v>
      </c>
      <c r="T4987" s="161">
        <f t="shared" si="817"/>
        <v>851.53333333146293</v>
      </c>
      <c r="U4987" s="158">
        <f t="shared" si="819"/>
        <v>482</v>
      </c>
      <c r="V4987" s="160">
        <f t="shared" si="818"/>
        <v>482</v>
      </c>
    </row>
    <row r="4988" spans="1:22" x14ac:dyDescent="0.25">
      <c r="A4988" s="98" t="s">
        <v>25</v>
      </c>
      <c r="B4988" s="98" t="s">
        <v>79</v>
      </c>
      <c r="C4988" s="98">
        <v>9</v>
      </c>
      <c r="D4988" s="98">
        <v>1990</v>
      </c>
      <c r="E4988" s="157">
        <v>42759.916666666664</v>
      </c>
      <c r="F4988" s="157">
        <v>42760.15</v>
      </c>
      <c r="G4988" s="98">
        <v>0</v>
      </c>
      <c r="H4988" s="98">
        <v>521</v>
      </c>
      <c r="I4988" s="98">
        <v>482</v>
      </c>
      <c r="J4988" s="98" t="s">
        <v>2114</v>
      </c>
      <c r="K4988" s="98" t="s">
        <v>4379</v>
      </c>
      <c r="L4988" s="105" t="str">
        <f t="shared" si="810"/>
        <v>Mill Creek</v>
      </c>
      <c r="M4988" s="105" t="str">
        <f t="shared" si="811"/>
        <v>Other</v>
      </c>
      <c r="N4988" s="105" t="str">
        <f t="shared" si="812"/>
        <v>Coal</v>
      </c>
      <c r="O4988" s="105">
        <f>IFERROR(VLOOKUP(A4988,Lookup!$J$5:$P$19,7,FALSE),0)</f>
        <v>3</v>
      </c>
      <c r="P4988" s="159">
        <f t="shared" si="813"/>
        <v>2017</v>
      </c>
      <c r="Q4988" s="159">
        <f t="shared" si="814"/>
        <v>1</v>
      </c>
      <c r="R4988" s="160">
        <f t="shared" si="815"/>
        <v>5.6000000000931323</v>
      </c>
      <c r="S4988" s="158">
        <f t="shared" si="816"/>
        <v>5.6000000000931323</v>
      </c>
      <c r="T4988" s="161">
        <f t="shared" si="817"/>
        <v>2699.2000000448897</v>
      </c>
      <c r="U4988" s="158">
        <f t="shared" si="819"/>
        <v>482</v>
      </c>
      <c r="V4988" s="160">
        <f t="shared" si="818"/>
        <v>482</v>
      </c>
    </row>
    <row r="4989" spans="1:22" x14ac:dyDescent="0.25">
      <c r="A4989" s="98" t="s">
        <v>25</v>
      </c>
      <c r="B4989" s="98" t="s">
        <v>79</v>
      </c>
      <c r="C4989" s="98">
        <v>10</v>
      </c>
      <c r="D4989" s="98">
        <v>9999</v>
      </c>
      <c r="E4989" s="157">
        <v>42772.333333333336</v>
      </c>
      <c r="F4989" s="157">
        <v>42772.541666666664</v>
      </c>
      <c r="G4989" s="98">
        <v>0</v>
      </c>
      <c r="H4989" s="98">
        <v>521</v>
      </c>
      <c r="I4989" s="98">
        <v>482</v>
      </c>
      <c r="J4989" s="98" t="s">
        <v>2261</v>
      </c>
      <c r="K4989" s="98" t="s">
        <v>4295</v>
      </c>
      <c r="L4989" s="105" t="str">
        <f t="shared" si="810"/>
        <v>Mill Creek</v>
      </c>
      <c r="M4989" s="105" t="str">
        <f t="shared" si="811"/>
        <v>Other</v>
      </c>
      <c r="N4989" s="105" t="str">
        <f t="shared" si="812"/>
        <v>Coal</v>
      </c>
      <c r="O4989" s="105">
        <f>IFERROR(VLOOKUP(A4989,Lookup!$J$5:$P$19,7,FALSE),0)</f>
        <v>3</v>
      </c>
      <c r="P4989" s="159">
        <f t="shared" si="813"/>
        <v>2017</v>
      </c>
      <c r="Q4989" s="159">
        <f t="shared" si="814"/>
        <v>2</v>
      </c>
      <c r="R4989" s="160">
        <f t="shared" si="815"/>
        <v>4.9999999998835847</v>
      </c>
      <c r="S4989" s="158">
        <f t="shared" si="816"/>
        <v>4.9999999998835847</v>
      </c>
      <c r="T4989" s="161">
        <f t="shared" si="817"/>
        <v>2409.9999999438878</v>
      </c>
      <c r="U4989" s="158">
        <f t="shared" si="819"/>
        <v>482</v>
      </c>
      <c r="V4989" s="160">
        <f t="shared" si="818"/>
        <v>482</v>
      </c>
    </row>
    <row r="4990" spans="1:22" x14ac:dyDescent="0.25">
      <c r="A4990" s="98" t="s">
        <v>25</v>
      </c>
      <c r="B4990" s="98" t="s">
        <v>79</v>
      </c>
      <c r="C4990" s="98">
        <v>11</v>
      </c>
      <c r="D4990" s="98">
        <v>1990</v>
      </c>
      <c r="E4990" s="157">
        <v>42775.42291666667</v>
      </c>
      <c r="F4990" s="157">
        <v>42775.472222222219</v>
      </c>
      <c r="G4990" s="98">
        <v>0</v>
      </c>
      <c r="H4990" s="98">
        <v>521</v>
      </c>
      <c r="I4990" s="98">
        <v>482</v>
      </c>
      <c r="J4990" s="98" t="s">
        <v>2114</v>
      </c>
      <c r="K4990" s="98" t="s">
        <v>4380</v>
      </c>
      <c r="L4990" s="105" t="str">
        <f t="shared" si="810"/>
        <v>Mill Creek</v>
      </c>
      <c r="M4990" s="105" t="str">
        <f t="shared" si="811"/>
        <v>Other</v>
      </c>
      <c r="N4990" s="105" t="str">
        <f t="shared" si="812"/>
        <v>Coal</v>
      </c>
      <c r="O4990" s="105">
        <f>IFERROR(VLOOKUP(A4990,Lookup!$J$5:$P$19,7,FALSE),0)</f>
        <v>3</v>
      </c>
      <c r="P4990" s="159">
        <f t="shared" si="813"/>
        <v>2017</v>
      </c>
      <c r="Q4990" s="159">
        <f t="shared" si="814"/>
        <v>2</v>
      </c>
      <c r="R4990" s="160">
        <f t="shared" si="815"/>
        <v>1.1833333331742324</v>
      </c>
      <c r="S4990" s="158">
        <f t="shared" si="816"/>
        <v>1.1833333331742324</v>
      </c>
      <c r="T4990" s="161">
        <f t="shared" si="817"/>
        <v>570.36666658998001</v>
      </c>
      <c r="U4990" s="158">
        <f t="shared" si="819"/>
        <v>482</v>
      </c>
      <c r="V4990" s="160">
        <f t="shared" si="818"/>
        <v>482</v>
      </c>
    </row>
    <row r="4991" spans="1:22" x14ac:dyDescent="0.25">
      <c r="A4991" s="98" t="s">
        <v>25</v>
      </c>
      <c r="B4991" s="98" t="s">
        <v>79</v>
      </c>
      <c r="C4991" s="98">
        <v>12</v>
      </c>
      <c r="D4991" s="98">
        <v>1999</v>
      </c>
      <c r="E4991" s="157">
        <v>42779.333333333336</v>
      </c>
      <c r="F4991" s="157">
        <v>42779.647916666669</v>
      </c>
      <c r="G4991" s="98">
        <v>0</v>
      </c>
      <c r="H4991" s="98">
        <v>521</v>
      </c>
      <c r="I4991" s="98">
        <v>482</v>
      </c>
      <c r="J4991" s="98" t="s">
        <v>2108</v>
      </c>
      <c r="K4991" s="98" t="s">
        <v>4380</v>
      </c>
      <c r="L4991" s="105" t="str">
        <f t="shared" si="810"/>
        <v>Mill Creek</v>
      </c>
      <c r="M4991" s="105" t="str">
        <f t="shared" si="811"/>
        <v>Other</v>
      </c>
      <c r="N4991" s="105" t="str">
        <f t="shared" si="812"/>
        <v>Coal</v>
      </c>
      <c r="O4991" s="105">
        <f>IFERROR(VLOOKUP(A4991,Lookup!$J$5:$P$19,7,FALSE),0)</f>
        <v>3</v>
      </c>
      <c r="P4991" s="159">
        <f t="shared" si="813"/>
        <v>2017</v>
      </c>
      <c r="Q4991" s="159">
        <f t="shared" si="814"/>
        <v>2</v>
      </c>
      <c r="R4991" s="160">
        <f t="shared" si="815"/>
        <v>7.5499999999883585</v>
      </c>
      <c r="S4991" s="158">
        <f t="shared" si="816"/>
        <v>7.5499999999883585</v>
      </c>
      <c r="T4991" s="161">
        <f t="shared" si="817"/>
        <v>3639.0999999943888</v>
      </c>
      <c r="U4991" s="158">
        <f t="shared" si="819"/>
        <v>482</v>
      </c>
      <c r="V4991" s="160">
        <f t="shared" si="818"/>
        <v>482</v>
      </c>
    </row>
    <row r="4992" spans="1:22" x14ac:dyDescent="0.25">
      <c r="A4992" s="98" t="s">
        <v>25</v>
      </c>
      <c r="B4992" s="98" t="s">
        <v>15</v>
      </c>
      <c r="C4992" s="98">
        <v>13</v>
      </c>
      <c r="D4992" s="98">
        <v>4268</v>
      </c>
      <c r="E4992" s="157">
        <v>42780.092361111114</v>
      </c>
      <c r="F4992" s="157">
        <v>42780.174305555556</v>
      </c>
      <c r="G4992" s="98">
        <v>0</v>
      </c>
      <c r="H4992" s="98">
        <v>521</v>
      </c>
      <c r="I4992" s="98">
        <v>482</v>
      </c>
      <c r="J4992" s="98" t="s">
        <v>2127</v>
      </c>
      <c r="K4992" s="98" t="s">
        <v>4381</v>
      </c>
      <c r="L4992" s="105" t="str">
        <f t="shared" si="810"/>
        <v>Mill Creek</v>
      </c>
      <c r="M4992" s="105" t="str">
        <f t="shared" si="811"/>
        <v>Outage</v>
      </c>
      <c r="N4992" s="105" t="str">
        <f t="shared" si="812"/>
        <v>Coal</v>
      </c>
      <c r="O4992" s="105">
        <f>IFERROR(VLOOKUP(A4992,Lookup!$J$5:$P$19,7,FALSE),0)</f>
        <v>3</v>
      </c>
      <c r="P4992" s="159">
        <f t="shared" si="813"/>
        <v>2017</v>
      </c>
      <c r="Q4992" s="159">
        <f t="shared" si="814"/>
        <v>2</v>
      </c>
      <c r="R4992" s="160">
        <f t="shared" si="815"/>
        <v>1.96666666661622</v>
      </c>
      <c r="S4992" s="158">
        <f t="shared" si="816"/>
        <v>1.96666666661622</v>
      </c>
      <c r="T4992" s="161">
        <f t="shared" si="817"/>
        <v>947.93333330901805</v>
      </c>
      <c r="U4992" s="158">
        <f t="shared" si="819"/>
        <v>482</v>
      </c>
      <c r="V4992" s="160">
        <f t="shared" si="818"/>
        <v>482</v>
      </c>
    </row>
    <row r="4993" spans="1:22" x14ac:dyDescent="0.25">
      <c r="A4993" s="98" t="s">
        <v>25</v>
      </c>
      <c r="B4993" s="98" t="s">
        <v>17</v>
      </c>
      <c r="C4993" s="98">
        <v>14</v>
      </c>
      <c r="D4993" s="98">
        <v>1850</v>
      </c>
      <c r="E4993" s="157">
        <v>42780.427083333336</v>
      </c>
      <c r="F4993" s="157">
        <v>42780.50277777778</v>
      </c>
      <c r="G4993" s="98">
        <v>420</v>
      </c>
      <c r="H4993" s="98">
        <v>521</v>
      </c>
      <c r="I4993" s="98">
        <v>482</v>
      </c>
      <c r="J4993" s="98" t="s">
        <v>2263</v>
      </c>
      <c r="K4993" s="98" t="s">
        <v>4382</v>
      </c>
      <c r="L4993" s="105" t="str">
        <f t="shared" si="810"/>
        <v>Mill Creek</v>
      </c>
      <c r="M4993" s="105" t="str">
        <f t="shared" si="811"/>
        <v>Derate</v>
      </c>
      <c r="N4993" s="105" t="str">
        <f t="shared" si="812"/>
        <v>Coal</v>
      </c>
      <c r="O4993" s="105">
        <f>IFERROR(VLOOKUP(A4993,Lookup!$J$5:$P$19,7,FALSE),0)</f>
        <v>3</v>
      </c>
      <c r="P4993" s="159">
        <f t="shared" si="813"/>
        <v>2017</v>
      </c>
      <c r="Q4993" s="159">
        <f t="shared" si="814"/>
        <v>2</v>
      </c>
      <c r="R4993" s="160">
        <f t="shared" si="815"/>
        <v>1.8166666666511446</v>
      </c>
      <c r="S4993" s="158">
        <f t="shared" si="816"/>
        <v>0.35217530389974205</v>
      </c>
      <c r="T4993" s="161">
        <f t="shared" si="817"/>
        <v>169.74849647967568</v>
      </c>
      <c r="U4993" s="158">
        <f t="shared" si="819"/>
        <v>93.439539347408825</v>
      </c>
      <c r="V4993" s="160">
        <f t="shared" si="818"/>
        <v>93</v>
      </c>
    </row>
    <row r="4994" spans="1:22" x14ac:dyDescent="0.25">
      <c r="A4994" s="98" t="s">
        <v>25</v>
      </c>
      <c r="B4994" s="98" t="s">
        <v>17</v>
      </c>
      <c r="C4994" s="98">
        <v>15</v>
      </c>
      <c r="D4994" s="98">
        <v>260</v>
      </c>
      <c r="E4994" s="157">
        <v>42786.281944444447</v>
      </c>
      <c r="F4994" s="157">
        <v>42786.293749999997</v>
      </c>
      <c r="G4994" s="98">
        <v>380</v>
      </c>
      <c r="H4994" s="98">
        <v>521</v>
      </c>
      <c r="I4994" s="98">
        <v>482</v>
      </c>
      <c r="J4994" s="98" t="s">
        <v>1973</v>
      </c>
      <c r="K4994" s="98" t="s">
        <v>4383</v>
      </c>
      <c r="L4994" s="105" t="str">
        <f t="shared" si="810"/>
        <v>Mill Creek</v>
      </c>
      <c r="M4994" s="105" t="str">
        <f t="shared" si="811"/>
        <v>Derate</v>
      </c>
      <c r="N4994" s="105" t="str">
        <f t="shared" si="812"/>
        <v>Coal</v>
      </c>
      <c r="O4994" s="105">
        <f>IFERROR(VLOOKUP(A4994,Lookup!$J$5:$P$19,7,FALSE),0)</f>
        <v>3</v>
      </c>
      <c r="P4994" s="159">
        <f t="shared" si="813"/>
        <v>2017</v>
      </c>
      <c r="Q4994" s="159">
        <f t="shared" si="814"/>
        <v>2</v>
      </c>
      <c r="R4994" s="160">
        <f t="shared" si="815"/>
        <v>0.28333333320915699</v>
      </c>
      <c r="S4994" s="158">
        <f t="shared" si="816"/>
        <v>7.6679462538370699E-2</v>
      </c>
      <c r="T4994" s="161">
        <f t="shared" si="817"/>
        <v>36.959500943494675</v>
      </c>
      <c r="U4994" s="158">
        <f t="shared" si="819"/>
        <v>130.44529750479848</v>
      </c>
      <c r="V4994" s="160">
        <f t="shared" si="818"/>
        <v>130</v>
      </c>
    </row>
    <row r="4995" spans="1:22" x14ac:dyDescent="0.25">
      <c r="A4995" s="98" t="s">
        <v>25</v>
      </c>
      <c r="B4995" s="98" t="s">
        <v>15</v>
      </c>
      <c r="C4995" s="98">
        <v>16</v>
      </c>
      <c r="D4995" s="98">
        <v>370</v>
      </c>
      <c r="E4995" s="157">
        <v>42791.75</v>
      </c>
      <c r="F4995" s="157">
        <v>42792.867361111108</v>
      </c>
      <c r="G4995" s="98">
        <v>0</v>
      </c>
      <c r="H4995" s="98">
        <v>521</v>
      </c>
      <c r="I4995" s="98">
        <v>482</v>
      </c>
      <c r="J4995" s="98" t="s">
        <v>1995</v>
      </c>
      <c r="K4995" s="98" t="s">
        <v>4346</v>
      </c>
      <c r="L4995" s="105" t="str">
        <f t="shared" si="810"/>
        <v>Mill Creek</v>
      </c>
      <c r="M4995" s="105" t="str">
        <f t="shared" si="811"/>
        <v>Outage</v>
      </c>
      <c r="N4995" s="105" t="str">
        <f t="shared" si="812"/>
        <v>Coal</v>
      </c>
      <c r="O4995" s="105">
        <f>IFERROR(VLOOKUP(A4995,Lookup!$J$5:$P$19,7,FALSE),0)</f>
        <v>3</v>
      </c>
      <c r="P4995" s="159">
        <f t="shared" si="813"/>
        <v>2017</v>
      </c>
      <c r="Q4995" s="159">
        <f t="shared" si="814"/>
        <v>2</v>
      </c>
      <c r="R4995" s="160">
        <f t="shared" si="815"/>
        <v>26.816666666592937</v>
      </c>
      <c r="S4995" s="158">
        <f t="shared" si="816"/>
        <v>26.816666666592937</v>
      </c>
      <c r="T4995" s="161">
        <f t="shared" si="817"/>
        <v>12925.633333297796</v>
      </c>
      <c r="U4995" s="158">
        <f t="shared" si="819"/>
        <v>482</v>
      </c>
      <c r="V4995" s="160">
        <f t="shared" si="818"/>
        <v>482</v>
      </c>
    </row>
    <row r="4996" spans="1:22" x14ac:dyDescent="0.25">
      <c r="A4996" s="98" t="s">
        <v>25</v>
      </c>
      <c r="B4996" s="98" t="s">
        <v>17</v>
      </c>
      <c r="C4996" s="98">
        <v>17</v>
      </c>
      <c r="D4996" s="98">
        <v>1850</v>
      </c>
      <c r="E4996" s="157">
        <v>42793.202777777777</v>
      </c>
      <c r="F4996" s="157">
        <v>42793.318055555559</v>
      </c>
      <c r="G4996" s="98">
        <v>382</v>
      </c>
      <c r="H4996" s="98">
        <v>521</v>
      </c>
      <c r="I4996" s="98">
        <v>482</v>
      </c>
      <c r="J4996" s="98" t="s">
        <v>2263</v>
      </c>
      <c r="K4996" s="98" t="s">
        <v>4384</v>
      </c>
      <c r="L4996" s="105" t="str">
        <f t="shared" si="810"/>
        <v>Mill Creek</v>
      </c>
      <c r="M4996" s="105" t="str">
        <f t="shared" si="811"/>
        <v>Derate</v>
      </c>
      <c r="N4996" s="105" t="str">
        <f t="shared" si="812"/>
        <v>Coal</v>
      </c>
      <c r="O4996" s="105">
        <f>IFERROR(VLOOKUP(A4996,Lookup!$J$5:$P$19,7,FALSE),0)</f>
        <v>3</v>
      </c>
      <c r="P4996" s="159">
        <f t="shared" si="813"/>
        <v>2017</v>
      </c>
      <c r="Q4996" s="159">
        <f t="shared" si="814"/>
        <v>2</v>
      </c>
      <c r="R4996" s="160">
        <f t="shared" si="815"/>
        <v>2.7666666667792015</v>
      </c>
      <c r="S4996" s="158">
        <f t="shared" si="816"/>
        <v>0.73813179785471983</v>
      </c>
      <c r="T4996" s="161">
        <f t="shared" si="817"/>
        <v>355.77952656597495</v>
      </c>
      <c r="U4996" s="158">
        <f t="shared" si="819"/>
        <v>128.59500959692897</v>
      </c>
      <c r="V4996" s="160">
        <f t="shared" si="818"/>
        <v>129</v>
      </c>
    </row>
    <row r="4997" spans="1:22" x14ac:dyDescent="0.25">
      <c r="A4997" s="98" t="s">
        <v>25</v>
      </c>
      <c r="B4997" s="98" t="s">
        <v>79</v>
      </c>
      <c r="C4997" s="98">
        <v>18</v>
      </c>
      <c r="D4997" s="98">
        <v>9999</v>
      </c>
      <c r="E4997" s="157">
        <v>42794.333333333336</v>
      </c>
      <c r="F4997" s="157">
        <v>42794.55972222222</v>
      </c>
      <c r="G4997" s="98">
        <v>0</v>
      </c>
      <c r="H4997" s="98">
        <v>521</v>
      </c>
      <c r="I4997" s="98">
        <v>482</v>
      </c>
      <c r="J4997" s="98" t="s">
        <v>2261</v>
      </c>
      <c r="K4997" s="98" t="s">
        <v>2703</v>
      </c>
      <c r="L4997" s="105" t="str">
        <f t="shared" si="810"/>
        <v>Mill Creek</v>
      </c>
      <c r="M4997" s="105" t="str">
        <f t="shared" si="811"/>
        <v>Other</v>
      </c>
      <c r="N4997" s="105" t="str">
        <f t="shared" si="812"/>
        <v>Coal</v>
      </c>
      <c r="O4997" s="105">
        <f>IFERROR(VLOOKUP(A4997,Lookup!$J$5:$P$19,7,FALSE),0)</f>
        <v>3</v>
      </c>
      <c r="P4997" s="159">
        <f t="shared" si="813"/>
        <v>2017</v>
      </c>
      <c r="Q4997" s="159">
        <f t="shared" si="814"/>
        <v>2</v>
      </c>
      <c r="R4997" s="160">
        <f t="shared" si="815"/>
        <v>5.4333333332324401</v>
      </c>
      <c r="S4997" s="158">
        <f t="shared" si="816"/>
        <v>5.4333333332324401</v>
      </c>
      <c r="T4997" s="161">
        <f t="shared" si="817"/>
        <v>2618.8666666180361</v>
      </c>
      <c r="U4997" s="158">
        <f t="shared" si="819"/>
        <v>482</v>
      </c>
      <c r="V4997" s="160">
        <f t="shared" si="818"/>
        <v>482</v>
      </c>
    </row>
    <row r="4998" spans="1:22" x14ac:dyDescent="0.25">
      <c r="A4998" s="98" t="s">
        <v>25</v>
      </c>
      <c r="B4998" s="98" t="s">
        <v>79</v>
      </c>
      <c r="C4998" s="98">
        <v>19</v>
      </c>
      <c r="D4998" s="98">
        <v>370</v>
      </c>
      <c r="E4998" s="157">
        <v>42806.040277777778</v>
      </c>
      <c r="F4998" s="157">
        <v>42806.259027777778</v>
      </c>
      <c r="G4998" s="98">
        <v>0</v>
      </c>
      <c r="H4998" s="98">
        <v>521</v>
      </c>
      <c r="I4998" s="98">
        <v>482</v>
      </c>
      <c r="J4998" s="98" t="s">
        <v>1995</v>
      </c>
      <c r="K4998" s="98" t="s">
        <v>4347</v>
      </c>
      <c r="L4998" s="105" t="str">
        <f t="shared" si="810"/>
        <v>Mill Creek</v>
      </c>
      <c r="M4998" s="105" t="str">
        <f t="shared" si="811"/>
        <v>Other</v>
      </c>
      <c r="N4998" s="105" t="str">
        <f t="shared" si="812"/>
        <v>Coal</v>
      </c>
      <c r="O4998" s="105">
        <f>IFERROR(VLOOKUP(A4998,Lookup!$J$5:$P$19,7,FALSE),0)</f>
        <v>3</v>
      </c>
      <c r="P4998" s="159">
        <f t="shared" si="813"/>
        <v>2017</v>
      </c>
      <c r="Q4998" s="159">
        <f t="shared" si="814"/>
        <v>3</v>
      </c>
      <c r="R4998" s="160">
        <f t="shared" si="815"/>
        <v>5.25</v>
      </c>
      <c r="S4998" s="158">
        <f t="shared" si="816"/>
        <v>5.25</v>
      </c>
      <c r="T4998" s="161">
        <f t="shared" si="817"/>
        <v>2530.5</v>
      </c>
      <c r="U4998" s="158">
        <f t="shared" si="819"/>
        <v>482</v>
      </c>
      <c r="V4998" s="160">
        <f t="shared" si="818"/>
        <v>482</v>
      </c>
    </row>
    <row r="4999" spans="1:22" x14ac:dyDescent="0.25">
      <c r="A4999" s="98" t="s">
        <v>25</v>
      </c>
      <c r="B4999" s="98" t="s">
        <v>15</v>
      </c>
      <c r="C4999" s="98">
        <v>20</v>
      </c>
      <c r="D4999" s="98">
        <v>4268</v>
      </c>
      <c r="E4999" s="157">
        <v>42819.368055555555</v>
      </c>
      <c r="F4999" s="157">
        <v>42819.371527777781</v>
      </c>
      <c r="G4999" s="98">
        <v>0</v>
      </c>
      <c r="H4999" s="98">
        <v>521</v>
      </c>
      <c r="I4999" s="98">
        <v>482</v>
      </c>
      <c r="J4999" s="98" t="s">
        <v>2127</v>
      </c>
      <c r="K4999" s="98" t="s">
        <v>4381</v>
      </c>
      <c r="L4999" s="105" t="str">
        <f t="shared" si="810"/>
        <v>Mill Creek</v>
      </c>
      <c r="M4999" s="105" t="str">
        <f t="shared" si="811"/>
        <v>Outage</v>
      </c>
      <c r="N4999" s="105" t="str">
        <f t="shared" si="812"/>
        <v>Coal</v>
      </c>
      <c r="O4999" s="105">
        <f>IFERROR(VLOOKUP(A4999,Lookup!$J$5:$P$19,7,FALSE),0)</f>
        <v>3</v>
      </c>
      <c r="P4999" s="159">
        <f t="shared" si="813"/>
        <v>2017</v>
      </c>
      <c r="Q4999" s="159">
        <f t="shared" si="814"/>
        <v>3</v>
      </c>
      <c r="R4999" s="160">
        <f t="shared" si="815"/>
        <v>8.3333333430346102E-2</v>
      </c>
      <c r="S4999" s="158">
        <f t="shared" si="816"/>
        <v>8.3333333430346102E-2</v>
      </c>
      <c r="T4999" s="161">
        <f t="shared" si="817"/>
        <v>40.166666713426821</v>
      </c>
      <c r="U4999" s="158">
        <f t="shared" si="819"/>
        <v>482</v>
      </c>
      <c r="V4999" s="160">
        <f t="shared" si="818"/>
        <v>482</v>
      </c>
    </row>
    <row r="5000" spans="1:22" x14ac:dyDescent="0.25">
      <c r="A5000" s="98" t="s">
        <v>25</v>
      </c>
      <c r="B5000" s="98" t="s">
        <v>20</v>
      </c>
      <c r="C5000" s="98">
        <v>21</v>
      </c>
      <c r="D5000" s="98">
        <v>1493</v>
      </c>
      <c r="E5000" s="157">
        <v>42819.371527777781</v>
      </c>
      <c r="F5000" s="157">
        <v>42822.824999999997</v>
      </c>
      <c r="G5000" s="98">
        <v>0</v>
      </c>
      <c r="H5000" s="98">
        <v>521</v>
      </c>
      <c r="I5000" s="98">
        <v>482</v>
      </c>
      <c r="J5000" s="98" t="s">
        <v>2185</v>
      </c>
      <c r="K5000" s="98" t="s">
        <v>4264</v>
      </c>
      <c r="L5000" s="105" t="str">
        <f t="shared" si="810"/>
        <v>Mill Creek</v>
      </c>
      <c r="M5000" s="105" t="str">
        <f t="shared" si="811"/>
        <v>Maintenance</v>
      </c>
      <c r="N5000" s="105" t="str">
        <f t="shared" si="812"/>
        <v>Coal</v>
      </c>
      <c r="O5000" s="105">
        <f>IFERROR(VLOOKUP(A5000,Lookup!$J$5:$P$19,7,FALSE),0)</f>
        <v>3</v>
      </c>
      <c r="P5000" s="159">
        <f t="shared" si="813"/>
        <v>2017</v>
      </c>
      <c r="Q5000" s="159">
        <f t="shared" si="814"/>
        <v>3</v>
      </c>
      <c r="R5000" s="160">
        <f t="shared" si="815"/>
        <v>82.883333333185874</v>
      </c>
      <c r="S5000" s="158">
        <f t="shared" si="816"/>
        <v>82.883333333185874</v>
      </c>
      <c r="T5000" s="161">
        <f t="shared" si="817"/>
        <v>39949.766666595591</v>
      </c>
      <c r="U5000" s="158">
        <f t="shared" si="819"/>
        <v>482</v>
      </c>
      <c r="V5000" s="160">
        <f t="shared" si="818"/>
        <v>482</v>
      </c>
    </row>
    <row r="5001" spans="1:22" x14ac:dyDescent="0.25">
      <c r="A5001" s="98" t="s">
        <v>25</v>
      </c>
      <c r="B5001" s="98" t="s">
        <v>17</v>
      </c>
      <c r="C5001" s="98">
        <v>22</v>
      </c>
      <c r="D5001" s="98">
        <v>1850</v>
      </c>
      <c r="E5001" s="157">
        <v>42823.352083333331</v>
      </c>
      <c r="F5001" s="157">
        <v>42823.404166666667</v>
      </c>
      <c r="G5001" s="98">
        <v>473</v>
      </c>
      <c r="H5001" s="98">
        <v>521</v>
      </c>
      <c r="I5001" s="98">
        <v>482</v>
      </c>
      <c r="J5001" s="98" t="s">
        <v>2263</v>
      </c>
      <c r="K5001" s="98" t="s">
        <v>4377</v>
      </c>
      <c r="L5001" s="105" t="str">
        <f t="shared" si="810"/>
        <v>Mill Creek</v>
      </c>
      <c r="M5001" s="105" t="str">
        <f t="shared" si="811"/>
        <v>Derate</v>
      </c>
      <c r="N5001" s="105" t="str">
        <f t="shared" si="812"/>
        <v>Coal</v>
      </c>
      <c r="O5001" s="105">
        <f>IFERROR(VLOOKUP(A5001,Lookup!$J$5:$P$19,7,FALSE),0)</f>
        <v>3</v>
      </c>
      <c r="P5001" s="159">
        <f t="shared" si="813"/>
        <v>2017</v>
      </c>
      <c r="Q5001" s="159">
        <f t="shared" si="814"/>
        <v>3</v>
      </c>
      <c r="R5001" s="160">
        <f t="shared" si="815"/>
        <v>1.2500000000582077</v>
      </c>
      <c r="S5001" s="158">
        <f t="shared" si="816"/>
        <v>0.11516314779806903</v>
      </c>
      <c r="T5001" s="161">
        <f t="shared" si="817"/>
        <v>55.508637238669273</v>
      </c>
      <c r="U5001" s="158">
        <f t="shared" si="819"/>
        <v>44.406909788867566</v>
      </c>
      <c r="V5001" s="160">
        <f t="shared" si="818"/>
        <v>44</v>
      </c>
    </row>
    <row r="5002" spans="1:22" x14ac:dyDescent="0.25">
      <c r="A5002" s="98" t="s">
        <v>25</v>
      </c>
      <c r="B5002" s="98" t="s">
        <v>17</v>
      </c>
      <c r="C5002" s="98">
        <v>23</v>
      </c>
      <c r="D5002" s="98">
        <v>1850</v>
      </c>
      <c r="E5002" s="157">
        <v>42823.404166666667</v>
      </c>
      <c r="F5002" s="157">
        <v>42823.506944444445</v>
      </c>
      <c r="G5002" s="98">
        <v>490</v>
      </c>
      <c r="H5002" s="98">
        <v>521</v>
      </c>
      <c r="I5002" s="98">
        <v>482</v>
      </c>
      <c r="J5002" s="98" t="s">
        <v>2263</v>
      </c>
      <c r="K5002" s="98" t="s">
        <v>4377</v>
      </c>
      <c r="L5002" s="105" t="str">
        <f t="shared" si="810"/>
        <v>Mill Creek</v>
      </c>
      <c r="M5002" s="105" t="str">
        <f t="shared" si="811"/>
        <v>Derate</v>
      </c>
      <c r="N5002" s="105" t="str">
        <f t="shared" si="812"/>
        <v>Coal</v>
      </c>
      <c r="O5002" s="105">
        <f>IFERROR(VLOOKUP(A5002,Lookup!$J$5:$P$19,7,FALSE),0)</f>
        <v>3</v>
      </c>
      <c r="P5002" s="159">
        <f t="shared" si="813"/>
        <v>2017</v>
      </c>
      <c r="Q5002" s="159">
        <f t="shared" si="814"/>
        <v>3</v>
      </c>
      <c r="R5002" s="160">
        <f t="shared" si="815"/>
        <v>2.4666666666744277</v>
      </c>
      <c r="S5002" s="158">
        <f t="shared" si="816"/>
        <v>0.14676903390961085</v>
      </c>
      <c r="T5002" s="161">
        <f t="shared" si="817"/>
        <v>70.74267434443243</v>
      </c>
      <c r="U5002" s="158">
        <f t="shared" si="819"/>
        <v>28.679462571976966</v>
      </c>
      <c r="V5002" s="160">
        <f t="shared" si="818"/>
        <v>29</v>
      </c>
    </row>
    <row r="5003" spans="1:22" x14ac:dyDescent="0.25">
      <c r="A5003" s="98" t="s">
        <v>25</v>
      </c>
      <c r="B5003" s="98" t="s">
        <v>15</v>
      </c>
      <c r="C5003" s="98">
        <v>24</v>
      </c>
      <c r="D5003" s="98">
        <v>4810</v>
      </c>
      <c r="E5003" s="157">
        <v>42824.617361111108</v>
      </c>
      <c r="F5003" s="157">
        <v>42827.356944444444</v>
      </c>
      <c r="G5003" s="98">
        <v>0</v>
      </c>
      <c r="H5003" s="98">
        <v>521</v>
      </c>
      <c r="I5003" s="98">
        <v>482</v>
      </c>
      <c r="J5003" s="98" t="s">
        <v>2139</v>
      </c>
      <c r="K5003" s="98" t="s">
        <v>4385</v>
      </c>
      <c r="L5003" s="105" t="str">
        <f t="shared" si="810"/>
        <v>Mill Creek</v>
      </c>
      <c r="M5003" s="105" t="str">
        <f t="shared" si="811"/>
        <v>Outage</v>
      </c>
      <c r="N5003" s="105" t="str">
        <f t="shared" si="812"/>
        <v>Coal</v>
      </c>
      <c r="O5003" s="105">
        <f>IFERROR(VLOOKUP(A5003,Lookup!$J$5:$P$19,7,FALSE),0)</f>
        <v>3</v>
      </c>
      <c r="P5003" s="159">
        <f t="shared" si="813"/>
        <v>2017</v>
      </c>
      <c r="Q5003" s="159">
        <f t="shared" si="814"/>
        <v>3</v>
      </c>
      <c r="R5003" s="160">
        <f t="shared" si="815"/>
        <v>65.750000000058208</v>
      </c>
      <c r="S5003" s="158">
        <f t="shared" si="816"/>
        <v>65.750000000058208</v>
      </c>
      <c r="T5003" s="161">
        <f t="shared" si="817"/>
        <v>31691.500000028056</v>
      </c>
      <c r="U5003" s="158">
        <f t="shared" si="819"/>
        <v>482</v>
      </c>
      <c r="V5003" s="160">
        <f t="shared" si="818"/>
        <v>482</v>
      </c>
    </row>
    <row r="5004" spans="1:22" x14ac:dyDescent="0.25">
      <c r="A5004" s="98" t="s">
        <v>25</v>
      </c>
      <c r="B5004" s="98" t="s">
        <v>15</v>
      </c>
      <c r="C5004" s="98">
        <v>25</v>
      </c>
      <c r="D5004" s="98">
        <v>800</v>
      </c>
      <c r="E5004" s="157">
        <v>42827.390277777777</v>
      </c>
      <c r="F5004" s="157">
        <v>42827.462500000001</v>
      </c>
      <c r="G5004" s="98">
        <v>0</v>
      </c>
      <c r="H5004" s="98">
        <v>521</v>
      </c>
      <c r="I5004" s="98">
        <v>482</v>
      </c>
      <c r="J5004" s="98" t="s">
        <v>2197</v>
      </c>
      <c r="K5004" s="98" t="s">
        <v>4270</v>
      </c>
      <c r="L5004" s="105" t="str">
        <f t="shared" si="810"/>
        <v>Mill Creek</v>
      </c>
      <c r="M5004" s="105" t="str">
        <f t="shared" si="811"/>
        <v>Outage</v>
      </c>
      <c r="N5004" s="105" t="str">
        <f t="shared" si="812"/>
        <v>Coal</v>
      </c>
      <c r="O5004" s="105">
        <f>IFERROR(VLOOKUP(A5004,Lookup!$J$5:$P$19,7,FALSE),0)</f>
        <v>3</v>
      </c>
      <c r="P5004" s="159">
        <f t="shared" si="813"/>
        <v>2017</v>
      </c>
      <c r="Q5004" s="159">
        <f t="shared" si="814"/>
        <v>4</v>
      </c>
      <c r="R5004" s="160">
        <f t="shared" si="815"/>
        <v>1.7333333333954215</v>
      </c>
      <c r="S5004" s="158">
        <f t="shared" si="816"/>
        <v>1.7333333333954215</v>
      </c>
      <c r="T5004" s="161">
        <f t="shared" si="817"/>
        <v>835.46666669659317</v>
      </c>
      <c r="U5004" s="158">
        <f t="shared" si="819"/>
        <v>482</v>
      </c>
      <c r="V5004" s="160">
        <f t="shared" si="818"/>
        <v>482</v>
      </c>
    </row>
    <row r="5005" spans="1:22" x14ac:dyDescent="0.25">
      <c r="A5005" s="98" t="s">
        <v>25</v>
      </c>
      <c r="B5005" s="98" t="s">
        <v>17</v>
      </c>
      <c r="C5005" s="98">
        <v>26</v>
      </c>
      <c r="D5005" s="98">
        <v>1850</v>
      </c>
      <c r="E5005" s="157">
        <v>42827.79583333333</v>
      </c>
      <c r="F5005" s="157">
        <v>42827.826388888891</v>
      </c>
      <c r="G5005" s="98">
        <v>450</v>
      </c>
      <c r="H5005" s="98">
        <v>521</v>
      </c>
      <c r="I5005" s="98">
        <v>482</v>
      </c>
      <c r="J5005" s="98" t="s">
        <v>2263</v>
      </c>
      <c r="K5005" s="98" t="s">
        <v>4377</v>
      </c>
      <c r="L5005" s="105" t="str">
        <f t="shared" si="810"/>
        <v>Mill Creek</v>
      </c>
      <c r="M5005" s="105" t="str">
        <f t="shared" si="811"/>
        <v>Derate</v>
      </c>
      <c r="N5005" s="105" t="str">
        <f t="shared" si="812"/>
        <v>Coal</v>
      </c>
      <c r="O5005" s="105">
        <f>IFERROR(VLOOKUP(A5005,Lookup!$J$5:$P$19,7,FALSE),0)</f>
        <v>3</v>
      </c>
      <c r="P5005" s="159">
        <f t="shared" si="813"/>
        <v>2017</v>
      </c>
      <c r="Q5005" s="159">
        <f t="shared" si="814"/>
        <v>4</v>
      </c>
      <c r="R5005" s="160">
        <f t="shared" si="815"/>
        <v>0.73333333345362917</v>
      </c>
      <c r="S5005" s="158">
        <f t="shared" si="816"/>
        <v>9.9936020489841973E-2</v>
      </c>
      <c r="T5005" s="161">
        <f t="shared" si="817"/>
        <v>48.169161876103828</v>
      </c>
      <c r="U5005" s="158">
        <f t="shared" si="819"/>
        <v>65.685220729366605</v>
      </c>
      <c r="V5005" s="160">
        <f t="shared" si="818"/>
        <v>66</v>
      </c>
    </row>
    <row r="5006" spans="1:22" x14ac:dyDescent="0.25">
      <c r="A5006" s="98" t="s">
        <v>25</v>
      </c>
      <c r="B5006" s="98" t="s">
        <v>17</v>
      </c>
      <c r="C5006" s="98">
        <v>27</v>
      </c>
      <c r="D5006" s="98">
        <v>1850</v>
      </c>
      <c r="E5006" s="157">
        <v>42827.826388888891</v>
      </c>
      <c r="F5006" s="157">
        <v>42827.929166666669</v>
      </c>
      <c r="G5006" s="98">
        <v>470</v>
      </c>
      <c r="H5006" s="98">
        <v>521</v>
      </c>
      <c r="I5006" s="98">
        <v>482</v>
      </c>
      <c r="J5006" s="98" t="s">
        <v>2263</v>
      </c>
      <c r="K5006" s="98" t="s">
        <v>4377</v>
      </c>
      <c r="L5006" s="105" t="str">
        <f t="shared" si="810"/>
        <v>Mill Creek</v>
      </c>
      <c r="M5006" s="105" t="str">
        <f t="shared" si="811"/>
        <v>Derate</v>
      </c>
      <c r="N5006" s="105" t="str">
        <f t="shared" si="812"/>
        <v>Coal</v>
      </c>
      <c r="O5006" s="105">
        <f>IFERROR(VLOOKUP(A5006,Lookup!$J$5:$P$19,7,FALSE),0)</f>
        <v>3</v>
      </c>
      <c r="P5006" s="159">
        <f t="shared" si="813"/>
        <v>2017</v>
      </c>
      <c r="Q5006" s="159">
        <f t="shared" si="814"/>
        <v>4</v>
      </c>
      <c r="R5006" s="160">
        <f t="shared" si="815"/>
        <v>2.4666666666744277</v>
      </c>
      <c r="S5006" s="158">
        <f t="shared" si="816"/>
        <v>0.24145873320613401</v>
      </c>
      <c r="T5006" s="161">
        <f t="shared" si="817"/>
        <v>116.38310940535659</v>
      </c>
      <c r="U5006" s="158">
        <f t="shared" si="819"/>
        <v>47.182341650671788</v>
      </c>
      <c r="V5006" s="160">
        <f t="shared" si="818"/>
        <v>47</v>
      </c>
    </row>
    <row r="5007" spans="1:22" x14ac:dyDescent="0.25">
      <c r="A5007" s="98" t="s">
        <v>25</v>
      </c>
      <c r="B5007" s="98" t="s">
        <v>105</v>
      </c>
      <c r="C5007" s="98">
        <v>28</v>
      </c>
      <c r="D5007" s="98">
        <v>4268</v>
      </c>
      <c r="E5007" s="157">
        <v>42828.833333333336</v>
      </c>
      <c r="F5007" s="157">
        <v>42828.888888888891</v>
      </c>
      <c r="G5007" s="98">
        <v>200</v>
      </c>
      <c r="H5007" s="98">
        <v>521</v>
      </c>
      <c r="I5007" s="98">
        <v>482</v>
      </c>
      <c r="J5007" s="98" t="s">
        <v>2127</v>
      </c>
      <c r="K5007" s="98" t="s">
        <v>4386</v>
      </c>
      <c r="L5007" s="105" t="str">
        <f t="shared" si="810"/>
        <v>Mill Creek</v>
      </c>
      <c r="M5007" s="105" t="str">
        <f t="shared" si="811"/>
        <v>Derate</v>
      </c>
      <c r="N5007" s="105" t="str">
        <f t="shared" si="812"/>
        <v>Coal</v>
      </c>
      <c r="O5007" s="105">
        <f>IFERROR(VLOOKUP(A5007,Lookup!$J$5:$P$19,7,FALSE),0)</f>
        <v>3</v>
      </c>
      <c r="P5007" s="159">
        <f t="shared" si="813"/>
        <v>2017</v>
      </c>
      <c r="Q5007" s="159">
        <f t="shared" si="814"/>
        <v>4</v>
      </c>
      <c r="R5007" s="160">
        <f t="shared" si="815"/>
        <v>1.3333333333139308</v>
      </c>
      <c r="S5007" s="158">
        <f t="shared" si="816"/>
        <v>0.82149712090935079</v>
      </c>
      <c r="T5007" s="161">
        <f t="shared" si="817"/>
        <v>395.96161227830709</v>
      </c>
      <c r="U5007" s="158">
        <f t="shared" si="819"/>
        <v>296.97120921305185</v>
      </c>
      <c r="V5007" s="160">
        <f t="shared" si="818"/>
        <v>297</v>
      </c>
    </row>
    <row r="5008" spans="1:22" x14ac:dyDescent="0.25">
      <c r="A5008" s="98" t="s">
        <v>25</v>
      </c>
      <c r="B5008" s="98" t="s">
        <v>15</v>
      </c>
      <c r="C5008" s="98">
        <v>29</v>
      </c>
      <c r="D5008" s="98">
        <v>4268</v>
      </c>
      <c r="E5008" s="157">
        <v>42832.034722222219</v>
      </c>
      <c r="F5008" s="157">
        <v>42832.15347222222</v>
      </c>
      <c r="G5008" s="98">
        <v>0</v>
      </c>
      <c r="H5008" s="98">
        <v>521</v>
      </c>
      <c r="I5008" s="98">
        <v>482</v>
      </c>
      <c r="J5008" s="98" t="s">
        <v>2127</v>
      </c>
      <c r="K5008" s="98" t="s">
        <v>4387</v>
      </c>
      <c r="L5008" s="105" t="str">
        <f t="shared" si="810"/>
        <v>Mill Creek</v>
      </c>
      <c r="M5008" s="105" t="str">
        <f t="shared" si="811"/>
        <v>Outage</v>
      </c>
      <c r="N5008" s="105" t="str">
        <f t="shared" si="812"/>
        <v>Coal</v>
      </c>
      <c r="O5008" s="105">
        <f>IFERROR(VLOOKUP(A5008,Lookup!$J$5:$P$19,7,FALSE),0)</f>
        <v>3</v>
      </c>
      <c r="P5008" s="159">
        <f t="shared" si="813"/>
        <v>2017</v>
      </c>
      <c r="Q5008" s="159">
        <f t="shared" si="814"/>
        <v>4</v>
      </c>
      <c r="R5008" s="160">
        <f t="shared" si="815"/>
        <v>2.8500000000349246</v>
      </c>
      <c r="S5008" s="158">
        <f t="shared" si="816"/>
        <v>2.8500000000349246</v>
      </c>
      <c r="T5008" s="161">
        <f t="shared" si="817"/>
        <v>1373.7000000168337</v>
      </c>
      <c r="U5008" s="158">
        <f t="shared" si="819"/>
        <v>482</v>
      </c>
      <c r="V5008" s="160">
        <f t="shared" si="818"/>
        <v>482</v>
      </c>
    </row>
    <row r="5009" spans="1:22" x14ac:dyDescent="0.25">
      <c r="A5009" s="98" t="s">
        <v>25</v>
      </c>
      <c r="B5009" s="98" t="s">
        <v>17</v>
      </c>
      <c r="C5009" s="98">
        <v>30</v>
      </c>
      <c r="D5009" s="98">
        <v>1850</v>
      </c>
      <c r="E5009" s="157">
        <v>42832.40347222222</v>
      </c>
      <c r="F5009" s="157">
        <v>42832.601388888892</v>
      </c>
      <c r="G5009" s="98">
        <v>390</v>
      </c>
      <c r="H5009" s="98">
        <v>521</v>
      </c>
      <c r="I5009" s="98">
        <v>482</v>
      </c>
      <c r="J5009" s="98" t="s">
        <v>2263</v>
      </c>
      <c r="K5009" s="98" t="s">
        <v>4377</v>
      </c>
      <c r="L5009" s="105" t="str">
        <f t="shared" si="810"/>
        <v>Mill Creek</v>
      </c>
      <c r="M5009" s="105" t="str">
        <f t="shared" si="811"/>
        <v>Derate</v>
      </c>
      <c r="N5009" s="105" t="str">
        <f t="shared" si="812"/>
        <v>Coal</v>
      </c>
      <c r="O5009" s="105">
        <f>IFERROR(VLOOKUP(A5009,Lookup!$J$5:$P$19,7,FALSE),0)</f>
        <v>3</v>
      </c>
      <c r="P5009" s="159">
        <f t="shared" si="813"/>
        <v>2017</v>
      </c>
      <c r="Q5009" s="159">
        <f t="shared" si="814"/>
        <v>4</v>
      </c>
      <c r="R5009" s="160">
        <f t="shared" si="815"/>
        <v>4.7500000001164153</v>
      </c>
      <c r="S5009" s="158">
        <f t="shared" si="816"/>
        <v>1.1943378119294634</v>
      </c>
      <c r="T5009" s="161">
        <f t="shared" si="817"/>
        <v>575.67082535000134</v>
      </c>
      <c r="U5009" s="158">
        <f t="shared" si="819"/>
        <v>121.19385796545106</v>
      </c>
      <c r="V5009" s="160">
        <f t="shared" si="818"/>
        <v>121</v>
      </c>
    </row>
    <row r="5010" spans="1:22" x14ac:dyDescent="0.25">
      <c r="A5010" s="98" t="s">
        <v>25</v>
      </c>
      <c r="B5010" s="98" t="s">
        <v>79</v>
      </c>
      <c r="C5010" s="98">
        <v>31</v>
      </c>
      <c r="D5010" s="98">
        <v>1990</v>
      </c>
      <c r="E5010" s="157">
        <v>42845.044444444444</v>
      </c>
      <c r="F5010" s="157">
        <v>42845.15347222222</v>
      </c>
      <c r="G5010" s="98">
        <v>0</v>
      </c>
      <c r="H5010" s="98">
        <v>521</v>
      </c>
      <c r="I5010" s="98">
        <v>482</v>
      </c>
      <c r="J5010" s="98" t="s">
        <v>2114</v>
      </c>
      <c r="K5010" s="98" t="s">
        <v>4350</v>
      </c>
      <c r="L5010" s="105" t="str">
        <f t="shared" si="810"/>
        <v>Mill Creek</v>
      </c>
      <c r="M5010" s="105" t="str">
        <f t="shared" si="811"/>
        <v>Other</v>
      </c>
      <c r="N5010" s="105" t="str">
        <f t="shared" si="812"/>
        <v>Coal</v>
      </c>
      <c r="O5010" s="105">
        <f>IFERROR(VLOOKUP(A5010,Lookup!$J$5:$P$19,7,FALSE),0)</f>
        <v>3</v>
      </c>
      <c r="P5010" s="159">
        <f t="shared" si="813"/>
        <v>2017</v>
      </c>
      <c r="Q5010" s="159">
        <f t="shared" si="814"/>
        <v>4</v>
      </c>
      <c r="R5010" s="160">
        <f t="shared" si="815"/>
        <v>2.6166666666395031</v>
      </c>
      <c r="S5010" s="158">
        <f t="shared" si="816"/>
        <v>2.6166666666395031</v>
      </c>
      <c r="T5010" s="161">
        <f t="shared" si="817"/>
        <v>1261.2333333202405</v>
      </c>
      <c r="U5010" s="158">
        <f t="shared" si="819"/>
        <v>482</v>
      </c>
      <c r="V5010" s="160">
        <f t="shared" si="818"/>
        <v>482</v>
      </c>
    </row>
    <row r="5011" spans="1:22" x14ac:dyDescent="0.25">
      <c r="A5011" s="98" t="s">
        <v>25</v>
      </c>
      <c r="B5011" s="98" t="s">
        <v>15</v>
      </c>
      <c r="C5011" s="98">
        <v>32</v>
      </c>
      <c r="D5011" s="98">
        <v>4266</v>
      </c>
      <c r="E5011" s="157">
        <v>42863.073611111111</v>
      </c>
      <c r="F5011" s="157">
        <v>42863.127083333333</v>
      </c>
      <c r="G5011" s="98">
        <v>0</v>
      </c>
      <c r="H5011" s="98">
        <v>521</v>
      </c>
      <c r="I5011" s="98">
        <v>482</v>
      </c>
      <c r="J5011" s="98" t="s">
        <v>1975</v>
      </c>
      <c r="K5011" s="98" t="s">
        <v>4388</v>
      </c>
      <c r="L5011" s="105" t="str">
        <f t="shared" si="810"/>
        <v>Mill Creek</v>
      </c>
      <c r="M5011" s="105" t="str">
        <f t="shared" si="811"/>
        <v>Outage</v>
      </c>
      <c r="N5011" s="105" t="str">
        <f t="shared" si="812"/>
        <v>Coal</v>
      </c>
      <c r="O5011" s="105">
        <f>IFERROR(VLOOKUP(A5011,Lookup!$J$5:$P$19,7,FALSE),0)</f>
        <v>3</v>
      </c>
      <c r="P5011" s="159">
        <f t="shared" si="813"/>
        <v>2017</v>
      </c>
      <c r="Q5011" s="159">
        <f t="shared" si="814"/>
        <v>5</v>
      </c>
      <c r="R5011" s="160">
        <f t="shared" si="815"/>
        <v>1.2833333333255723</v>
      </c>
      <c r="S5011" s="158">
        <f t="shared" si="816"/>
        <v>1.2833333333255723</v>
      </c>
      <c r="T5011" s="161">
        <f t="shared" si="817"/>
        <v>618.56666666292585</v>
      </c>
      <c r="U5011" s="158">
        <f t="shared" si="819"/>
        <v>482</v>
      </c>
      <c r="V5011" s="160">
        <f t="shared" si="818"/>
        <v>482</v>
      </c>
    </row>
    <row r="5012" spans="1:22" x14ac:dyDescent="0.25">
      <c r="A5012" s="98" t="s">
        <v>25</v>
      </c>
      <c r="B5012" s="98" t="s">
        <v>15</v>
      </c>
      <c r="C5012" s="98">
        <v>33</v>
      </c>
      <c r="D5012" s="98">
        <v>4268</v>
      </c>
      <c r="E5012" s="157">
        <v>42867.879861111112</v>
      </c>
      <c r="F5012" s="157">
        <v>42867.890277777777</v>
      </c>
      <c r="G5012" s="98">
        <v>0</v>
      </c>
      <c r="H5012" s="98">
        <v>521</v>
      </c>
      <c r="I5012" s="98">
        <v>482</v>
      </c>
      <c r="J5012" s="98" t="s">
        <v>2127</v>
      </c>
      <c r="K5012" s="98" t="s">
        <v>4387</v>
      </c>
      <c r="L5012" s="105" t="str">
        <f t="shared" si="810"/>
        <v>Mill Creek</v>
      </c>
      <c r="M5012" s="105" t="str">
        <f t="shared" si="811"/>
        <v>Outage</v>
      </c>
      <c r="N5012" s="105" t="str">
        <f t="shared" si="812"/>
        <v>Coal</v>
      </c>
      <c r="O5012" s="105">
        <f>IFERROR(VLOOKUP(A5012,Lookup!$J$5:$P$19,7,FALSE),0)</f>
        <v>3</v>
      </c>
      <c r="P5012" s="159">
        <f t="shared" si="813"/>
        <v>2017</v>
      </c>
      <c r="Q5012" s="159">
        <f t="shared" si="814"/>
        <v>5</v>
      </c>
      <c r="R5012" s="160">
        <f t="shared" si="815"/>
        <v>0.24999999994179234</v>
      </c>
      <c r="S5012" s="158">
        <f t="shared" si="816"/>
        <v>0.24999999994179234</v>
      </c>
      <c r="T5012" s="161">
        <f t="shared" si="817"/>
        <v>120.49999997194391</v>
      </c>
      <c r="U5012" s="158">
        <f t="shared" si="819"/>
        <v>482</v>
      </c>
      <c r="V5012" s="160">
        <f t="shared" si="818"/>
        <v>482</v>
      </c>
    </row>
    <row r="5013" spans="1:22" x14ac:dyDescent="0.25">
      <c r="A5013" s="98" t="s">
        <v>25</v>
      </c>
      <c r="B5013" s="98" t="s">
        <v>20</v>
      </c>
      <c r="C5013" s="98">
        <v>34</v>
      </c>
      <c r="D5013" s="98">
        <v>4263</v>
      </c>
      <c r="E5013" s="157">
        <v>42867.890277777777</v>
      </c>
      <c r="F5013" s="157">
        <v>42868.695138888892</v>
      </c>
      <c r="G5013" s="98">
        <v>0</v>
      </c>
      <c r="H5013" s="98">
        <v>521</v>
      </c>
      <c r="I5013" s="98">
        <v>482</v>
      </c>
      <c r="J5013" s="98" t="s">
        <v>2019</v>
      </c>
      <c r="K5013" s="98" t="s">
        <v>4389</v>
      </c>
      <c r="L5013" s="105" t="str">
        <f t="shared" si="810"/>
        <v>Mill Creek</v>
      </c>
      <c r="M5013" s="105" t="str">
        <f t="shared" si="811"/>
        <v>Maintenance</v>
      </c>
      <c r="N5013" s="105" t="str">
        <f t="shared" si="812"/>
        <v>Coal</v>
      </c>
      <c r="O5013" s="105">
        <f>IFERROR(VLOOKUP(A5013,Lookup!$J$5:$P$19,7,FALSE),0)</f>
        <v>3</v>
      </c>
      <c r="P5013" s="159">
        <f t="shared" si="813"/>
        <v>2017</v>
      </c>
      <c r="Q5013" s="159">
        <f t="shared" si="814"/>
        <v>5</v>
      </c>
      <c r="R5013" s="160">
        <f t="shared" si="815"/>
        <v>19.31666666676756</v>
      </c>
      <c r="S5013" s="158">
        <f t="shared" si="816"/>
        <v>19.31666666676756</v>
      </c>
      <c r="T5013" s="161">
        <f t="shared" si="817"/>
        <v>9310.6333333819639</v>
      </c>
      <c r="U5013" s="158">
        <f t="shared" si="819"/>
        <v>482</v>
      </c>
      <c r="V5013" s="160">
        <f t="shared" si="818"/>
        <v>482</v>
      </c>
    </row>
    <row r="5014" spans="1:22" x14ac:dyDescent="0.25">
      <c r="A5014" s="98" t="s">
        <v>25</v>
      </c>
      <c r="B5014" s="98" t="s">
        <v>15</v>
      </c>
      <c r="C5014" s="98">
        <v>35</v>
      </c>
      <c r="D5014" s="98">
        <v>4810</v>
      </c>
      <c r="E5014" s="157">
        <v>42874.09097222222</v>
      </c>
      <c r="F5014" s="157">
        <v>42874.331944444442</v>
      </c>
      <c r="G5014" s="98">
        <v>0</v>
      </c>
      <c r="H5014" s="98">
        <v>521</v>
      </c>
      <c r="I5014" s="98">
        <v>482</v>
      </c>
      <c r="J5014" s="98" t="s">
        <v>2139</v>
      </c>
      <c r="K5014" s="98" t="s">
        <v>4390</v>
      </c>
      <c r="L5014" s="105" t="str">
        <f t="shared" si="810"/>
        <v>Mill Creek</v>
      </c>
      <c r="M5014" s="105" t="str">
        <f t="shared" si="811"/>
        <v>Outage</v>
      </c>
      <c r="N5014" s="105" t="str">
        <f t="shared" si="812"/>
        <v>Coal</v>
      </c>
      <c r="O5014" s="105">
        <f>IFERROR(VLOOKUP(A5014,Lookup!$J$5:$P$19,7,FALSE),0)</f>
        <v>3</v>
      </c>
      <c r="P5014" s="159">
        <f t="shared" si="813"/>
        <v>2017</v>
      </c>
      <c r="Q5014" s="159">
        <f t="shared" si="814"/>
        <v>5</v>
      </c>
      <c r="R5014" s="160">
        <f t="shared" si="815"/>
        <v>5.7833333333255723</v>
      </c>
      <c r="S5014" s="158">
        <f t="shared" si="816"/>
        <v>5.7833333333255723</v>
      </c>
      <c r="T5014" s="161">
        <f t="shared" si="817"/>
        <v>2787.5666666629259</v>
      </c>
      <c r="U5014" s="158">
        <f t="shared" si="819"/>
        <v>482</v>
      </c>
      <c r="V5014" s="160">
        <f t="shared" si="818"/>
        <v>482</v>
      </c>
    </row>
    <row r="5015" spans="1:22" x14ac:dyDescent="0.25">
      <c r="A5015" s="98" t="s">
        <v>25</v>
      </c>
      <c r="B5015" s="98" t="s">
        <v>17</v>
      </c>
      <c r="C5015" s="98">
        <v>36</v>
      </c>
      <c r="D5015" s="98">
        <v>3110</v>
      </c>
      <c r="E5015" s="157">
        <v>42885.90625</v>
      </c>
      <c r="F5015" s="157">
        <v>42886.919444444444</v>
      </c>
      <c r="G5015" s="98">
        <v>370</v>
      </c>
      <c r="H5015" s="98">
        <v>521</v>
      </c>
      <c r="I5015" s="98">
        <v>482</v>
      </c>
      <c r="J5015" s="98" t="s">
        <v>2119</v>
      </c>
      <c r="K5015" s="98" t="s">
        <v>4391</v>
      </c>
      <c r="L5015" s="105" t="str">
        <f t="shared" si="810"/>
        <v>Mill Creek</v>
      </c>
      <c r="M5015" s="105" t="str">
        <f t="shared" si="811"/>
        <v>Derate</v>
      </c>
      <c r="N5015" s="105" t="str">
        <f t="shared" si="812"/>
        <v>Coal</v>
      </c>
      <c r="O5015" s="105">
        <f>IFERROR(VLOOKUP(A5015,Lookup!$J$5:$P$19,7,FALSE),0)</f>
        <v>3</v>
      </c>
      <c r="P5015" s="159">
        <f t="shared" si="813"/>
        <v>2017</v>
      </c>
      <c r="Q5015" s="159">
        <f t="shared" si="814"/>
        <v>5</v>
      </c>
      <c r="R5015" s="160">
        <f t="shared" si="815"/>
        <v>24.316666666651145</v>
      </c>
      <c r="S5015" s="158">
        <f t="shared" si="816"/>
        <v>7.0476327575130959</v>
      </c>
      <c r="T5015" s="161">
        <f t="shared" si="817"/>
        <v>3396.9589891213122</v>
      </c>
      <c r="U5015" s="158">
        <f t="shared" si="819"/>
        <v>139.69673704414586</v>
      </c>
      <c r="V5015" s="160">
        <f t="shared" si="818"/>
        <v>140</v>
      </c>
    </row>
    <row r="5016" spans="1:22" x14ac:dyDescent="0.25">
      <c r="A5016" s="98" t="s">
        <v>25</v>
      </c>
      <c r="B5016" s="98" t="s">
        <v>17</v>
      </c>
      <c r="C5016" s="98">
        <v>37</v>
      </c>
      <c r="D5016" s="98">
        <v>3110</v>
      </c>
      <c r="E5016" s="157">
        <v>42886.919444444444</v>
      </c>
      <c r="F5016" s="157">
        <v>42887.173611111109</v>
      </c>
      <c r="G5016" s="98">
        <v>391</v>
      </c>
      <c r="H5016" s="98">
        <v>521</v>
      </c>
      <c r="I5016" s="98">
        <v>482</v>
      </c>
      <c r="J5016" s="98" t="s">
        <v>2119</v>
      </c>
      <c r="K5016" s="98" t="s">
        <v>4391</v>
      </c>
      <c r="L5016" s="105" t="str">
        <f t="shared" si="810"/>
        <v>Mill Creek</v>
      </c>
      <c r="M5016" s="105" t="str">
        <f t="shared" si="811"/>
        <v>Derate</v>
      </c>
      <c r="N5016" s="105" t="str">
        <f t="shared" si="812"/>
        <v>Coal</v>
      </c>
      <c r="O5016" s="105">
        <f>IFERROR(VLOOKUP(A5016,Lookup!$J$5:$P$19,7,FALSE),0)</f>
        <v>3</v>
      </c>
      <c r="P5016" s="159">
        <f t="shared" si="813"/>
        <v>2017</v>
      </c>
      <c r="Q5016" s="159">
        <f t="shared" si="814"/>
        <v>5</v>
      </c>
      <c r="R5016" s="160">
        <f t="shared" si="815"/>
        <v>6.0999999999767169</v>
      </c>
      <c r="S5016" s="158">
        <f t="shared" si="816"/>
        <v>1.5220729366544592</v>
      </c>
      <c r="T5016" s="161">
        <f t="shared" si="817"/>
        <v>733.63915546744931</v>
      </c>
      <c r="U5016" s="158">
        <f t="shared" si="819"/>
        <v>120.26871401151631</v>
      </c>
      <c r="V5016" s="160">
        <f t="shared" si="818"/>
        <v>120</v>
      </c>
    </row>
    <row r="5017" spans="1:22" x14ac:dyDescent="0.25">
      <c r="A5017" s="98" t="s">
        <v>25</v>
      </c>
      <c r="B5017" s="98" t="s">
        <v>17</v>
      </c>
      <c r="C5017" s="98">
        <v>38</v>
      </c>
      <c r="D5017" s="98">
        <v>100</v>
      </c>
      <c r="E5017" s="157">
        <v>42907.308333333334</v>
      </c>
      <c r="F5017" s="157">
        <v>42907.314583333333</v>
      </c>
      <c r="G5017" s="98">
        <v>356</v>
      </c>
      <c r="H5017" s="98">
        <v>521</v>
      </c>
      <c r="I5017" s="98">
        <v>482</v>
      </c>
      <c r="J5017" s="98" t="s">
        <v>2283</v>
      </c>
      <c r="K5017" s="98" t="s">
        <v>4392</v>
      </c>
      <c r="L5017" s="105" t="str">
        <f t="shared" si="810"/>
        <v>Mill Creek</v>
      </c>
      <c r="M5017" s="105" t="str">
        <f t="shared" si="811"/>
        <v>Derate</v>
      </c>
      <c r="N5017" s="105" t="str">
        <f t="shared" si="812"/>
        <v>Coal</v>
      </c>
      <c r="O5017" s="105">
        <f>IFERROR(VLOOKUP(A5017,Lookup!$J$5:$P$19,7,FALSE),0)</f>
        <v>3</v>
      </c>
      <c r="P5017" s="159">
        <f t="shared" si="813"/>
        <v>2017</v>
      </c>
      <c r="Q5017" s="159">
        <f t="shared" si="814"/>
        <v>6</v>
      </c>
      <c r="R5017" s="160">
        <f t="shared" si="815"/>
        <v>0.1499999999650754</v>
      </c>
      <c r="S5017" s="158">
        <f t="shared" si="816"/>
        <v>4.7504798453430787E-2</v>
      </c>
      <c r="T5017" s="161">
        <f t="shared" si="817"/>
        <v>22.89731285455364</v>
      </c>
      <c r="U5017" s="158">
        <f t="shared" si="819"/>
        <v>152.64875239923225</v>
      </c>
      <c r="V5017" s="160">
        <f t="shared" si="818"/>
        <v>153</v>
      </c>
    </row>
    <row r="5018" spans="1:22" x14ac:dyDescent="0.25">
      <c r="A5018" s="98" t="s">
        <v>25</v>
      </c>
      <c r="B5018" s="98" t="s">
        <v>17</v>
      </c>
      <c r="C5018" s="98">
        <v>39</v>
      </c>
      <c r="D5018" s="98">
        <v>3110</v>
      </c>
      <c r="E5018" s="157">
        <v>42913.311111111114</v>
      </c>
      <c r="F5018" s="157">
        <v>42913.522222222222</v>
      </c>
      <c r="G5018" s="98">
        <v>418</v>
      </c>
      <c r="H5018" s="98">
        <v>521</v>
      </c>
      <c r="I5018" s="98">
        <v>482</v>
      </c>
      <c r="J5018" s="98" t="s">
        <v>2119</v>
      </c>
      <c r="K5018" s="98" t="s">
        <v>4393</v>
      </c>
      <c r="L5018" s="105" t="str">
        <f t="shared" si="810"/>
        <v>Mill Creek</v>
      </c>
      <c r="M5018" s="105" t="str">
        <f t="shared" si="811"/>
        <v>Derate</v>
      </c>
      <c r="N5018" s="105" t="str">
        <f t="shared" si="812"/>
        <v>Coal</v>
      </c>
      <c r="O5018" s="105">
        <f>IFERROR(VLOOKUP(A5018,Lookup!$J$5:$P$19,7,FALSE),0)</f>
        <v>3</v>
      </c>
      <c r="P5018" s="159">
        <f t="shared" si="813"/>
        <v>2017</v>
      </c>
      <c r="Q5018" s="159">
        <f t="shared" si="814"/>
        <v>6</v>
      </c>
      <c r="R5018" s="160">
        <f t="shared" si="815"/>
        <v>5.066666666592937</v>
      </c>
      <c r="S5018" s="158">
        <f t="shared" si="816"/>
        <v>1.001663467675763</v>
      </c>
      <c r="T5018" s="161">
        <f t="shared" si="817"/>
        <v>482.80179141971774</v>
      </c>
      <c r="U5018" s="158">
        <f t="shared" si="819"/>
        <v>95.289827255278311</v>
      </c>
      <c r="V5018" s="160">
        <f t="shared" si="818"/>
        <v>95</v>
      </c>
    </row>
    <row r="5019" spans="1:22" x14ac:dyDescent="0.25">
      <c r="A5019" s="98" t="s">
        <v>25</v>
      </c>
      <c r="B5019" s="98" t="s">
        <v>15</v>
      </c>
      <c r="C5019" s="98">
        <v>40</v>
      </c>
      <c r="D5019" s="98">
        <v>3110</v>
      </c>
      <c r="E5019" s="157">
        <v>42913.522222222222</v>
      </c>
      <c r="F5019" s="157">
        <v>42914.584027777775</v>
      </c>
      <c r="G5019" s="98">
        <v>0</v>
      </c>
      <c r="H5019" s="98">
        <v>521</v>
      </c>
      <c r="I5019" s="98">
        <v>482</v>
      </c>
      <c r="J5019" s="98" t="s">
        <v>2119</v>
      </c>
      <c r="K5019" s="98" t="s">
        <v>4394</v>
      </c>
      <c r="L5019" s="105" t="str">
        <f t="shared" si="810"/>
        <v>Mill Creek</v>
      </c>
      <c r="M5019" s="105" t="str">
        <f t="shared" si="811"/>
        <v>Outage</v>
      </c>
      <c r="N5019" s="105" t="str">
        <f t="shared" si="812"/>
        <v>Coal</v>
      </c>
      <c r="O5019" s="105">
        <f>IFERROR(VLOOKUP(A5019,Lookup!$J$5:$P$19,7,FALSE),0)</f>
        <v>3</v>
      </c>
      <c r="P5019" s="159">
        <f t="shared" si="813"/>
        <v>2017</v>
      </c>
      <c r="Q5019" s="159">
        <f t="shared" si="814"/>
        <v>6</v>
      </c>
      <c r="R5019" s="160">
        <f t="shared" si="815"/>
        <v>25.483333333279006</v>
      </c>
      <c r="S5019" s="158">
        <f t="shared" si="816"/>
        <v>25.483333333279006</v>
      </c>
      <c r="T5019" s="161">
        <f t="shared" si="817"/>
        <v>12282.966666640481</v>
      </c>
      <c r="U5019" s="158">
        <f t="shared" si="819"/>
        <v>482</v>
      </c>
      <c r="V5019" s="160">
        <f t="shared" si="818"/>
        <v>482</v>
      </c>
    </row>
    <row r="5020" spans="1:22" x14ac:dyDescent="0.25">
      <c r="A5020" s="98" t="s">
        <v>25</v>
      </c>
      <c r="B5020" s="98" t="s">
        <v>17</v>
      </c>
      <c r="C5020" s="98">
        <v>41</v>
      </c>
      <c r="D5020" s="98">
        <v>3110</v>
      </c>
      <c r="E5020" s="157">
        <v>42914.929166666669</v>
      </c>
      <c r="F5020" s="157">
        <v>42915.230555555558</v>
      </c>
      <c r="G5020" s="98">
        <v>275</v>
      </c>
      <c r="H5020" s="98">
        <v>521</v>
      </c>
      <c r="I5020" s="98">
        <v>482</v>
      </c>
      <c r="J5020" s="98" t="s">
        <v>2119</v>
      </c>
      <c r="K5020" s="98" t="s">
        <v>4395</v>
      </c>
      <c r="L5020" s="105" t="str">
        <f t="shared" si="810"/>
        <v>Mill Creek</v>
      </c>
      <c r="M5020" s="105" t="str">
        <f t="shared" si="811"/>
        <v>Derate</v>
      </c>
      <c r="N5020" s="105" t="str">
        <f t="shared" si="812"/>
        <v>Coal</v>
      </c>
      <c r="O5020" s="105">
        <f>IFERROR(VLOOKUP(A5020,Lookup!$J$5:$P$19,7,FALSE),0)</f>
        <v>3</v>
      </c>
      <c r="P5020" s="159">
        <f t="shared" si="813"/>
        <v>2017</v>
      </c>
      <c r="Q5020" s="159">
        <f t="shared" si="814"/>
        <v>6</v>
      </c>
      <c r="R5020" s="160">
        <f t="shared" si="815"/>
        <v>7.2333333333372138</v>
      </c>
      <c r="S5020" s="158">
        <f t="shared" si="816"/>
        <v>3.415355086374193</v>
      </c>
      <c r="T5020" s="161">
        <f t="shared" si="817"/>
        <v>1646.201151632361</v>
      </c>
      <c r="U5020" s="158">
        <f t="shared" si="819"/>
        <v>227.58541266794626</v>
      </c>
      <c r="V5020" s="160">
        <f t="shared" si="818"/>
        <v>228</v>
      </c>
    </row>
    <row r="5021" spans="1:22" x14ac:dyDescent="0.25">
      <c r="A5021" s="98" t="s">
        <v>25</v>
      </c>
      <c r="B5021" s="98" t="s">
        <v>17</v>
      </c>
      <c r="C5021" s="98">
        <v>42</v>
      </c>
      <c r="D5021" s="98">
        <v>3110</v>
      </c>
      <c r="E5021" s="157">
        <v>42915.230555555558</v>
      </c>
      <c r="F5021" s="157">
        <v>42915.786805555559</v>
      </c>
      <c r="G5021" s="98">
        <v>350</v>
      </c>
      <c r="H5021" s="98">
        <v>521</v>
      </c>
      <c r="I5021" s="98">
        <v>482</v>
      </c>
      <c r="J5021" s="98" t="s">
        <v>2119</v>
      </c>
      <c r="K5021" s="98" t="s">
        <v>4395</v>
      </c>
      <c r="L5021" s="105" t="str">
        <f t="shared" si="810"/>
        <v>Mill Creek</v>
      </c>
      <c r="M5021" s="105" t="str">
        <f t="shared" si="811"/>
        <v>Derate</v>
      </c>
      <c r="N5021" s="105" t="str">
        <f t="shared" si="812"/>
        <v>Coal</v>
      </c>
      <c r="O5021" s="105">
        <f>IFERROR(VLOOKUP(A5021,Lookup!$J$5:$P$19,7,FALSE),0)</f>
        <v>3</v>
      </c>
      <c r="P5021" s="159">
        <f t="shared" si="813"/>
        <v>2017</v>
      </c>
      <c r="Q5021" s="159">
        <f t="shared" si="814"/>
        <v>6</v>
      </c>
      <c r="R5021" s="160">
        <f t="shared" si="815"/>
        <v>13.350000000034925</v>
      </c>
      <c r="S5021" s="158">
        <f t="shared" si="816"/>
        <v>4.381669865654457</v>
      </c>
      <c r="T5021" s="161">
        <f t="shared" si="817"/>
        <v>2111.9648752454482</v>
      </c>
      <c r="U5021" s="158">
        <f t="shared" si="819"/>
        <v>158.19961612284069</v>
      </c>
      <c r="V5021" s="160">
        <f t="shared" si="818"/>
        <v>158</v>
      </c>
    </row>
    <row r="5022" spans="1:22" x14ac:dyDescent="0.25">
      <c r="A5022" s="98" t="s">
        <v>25</v>
      </c>
      <c r="B5022" s="98" t="s">
        <v>17</v>
      </c>
      <c r="C5022" s="98">
        <v>43</v>
      </c>
      <c r="D5022" s="98">
        <v>3110</v>
      </c>
      <c r="E5022" s="157">
        <v>42915.786805555559</v>
      </c>
      <c r="F5022" s="157">
        <v>42915.813888888886</v>
      </c>
      <c r="G5022" s="98">
        <v>250</v>
      </c>
      <c r="H5022" s="98">
        <v>521</v>
      </c>
      <c r="I5022" s="98">
        <v>482</v>
      </c>
      <c r="J5022" s="98" t="s">
        <v>2119</v>
      </c>
      <c r="K5022" s="98" t="s">
        <v>4396</v>
      </c>
      <c r="L5022" s="105" t="str">
        <f t="shared" si="810"/>
        <v>Mill Creek</v>
      </c>
      <c r="M5022" s="105" t="str">
        <f t="shared" si="811"/>
        <v>Derate</v>
      </c>
      <c r="N5022" s="105" t="str">
        <f t="shared" si="812"/>
        <v>Coal</v>
      </c>
      <c r="O5022" s="105">
        <f>IFERROR(VLOOKUP(A5022,Lookup!$J$5:$P$19,7,FALSE),0)</f>
        <v>3</v>
      </c>
      <c r="P5022" s="159">
        <f t="shared" si="813"/>
        <v>2017</v>
      </c>
      <c r="Q5022" s="159">
        <f t="shared" si="814"/>
        <v>6</v>
      </c>
      <c r="R5022" s="160">
        <f t="shared" si="815"/>
        <v>0.64999999984866008</v>
      </c>
      <c r="S5022" s="158">
        <f t="shared" si="816"/>
        <v>0.33809980798270034</v>
      </c>
      <c r="T5022" s="161">
        <f t="shared" si="817"/>
        <v>162.96410744766158</v>
      </c>
      <c r="U5022" s="158">
        <f t="shared" si="819"/>
        <v>250.71401151631477</v>
      </c>
      <c r="V5022" s="160">
        <f t="shared" si="818"/>
        <v>251</v>
      </c>
    </row>
    <row r="5023" spans="1:22" x14ac:dyDescent="0.25">
      <c r="A5023" s="98" t="s">
        <v>25</v>
      </c>
      <c r="B5023" s="98" t="s">
        <v>17</v>
      </c>
      <c r="C5023" s="98">
        <v>44</v>
      </c>
      <c r="D5023" s="98">
        <v>3110</v>
      </c>
      <c r="E5023" s="157">
        <v>42915.813888888886</v>
      </c>
      <c r="F5023" s="157">
        <v>42916.229166666664</v>
      </c>
      <c r="G5023" s="98">
        <v>385</v>
      </c>
      <c r="H5023" s="98">
        <v>521</v>
      </c>
      <c r="I5023" s="98">
        <v>482</v>
      </c>
      <c r="J5023" s="98" t="s">
        <v>2119</v>
      </c>
      <c r="K5023" s="98" t="s">
        <v>4397</v>
      </c>
      <c r="L5023" s="105" t="str">
        <f t="shared" si="810"/>
        <v>Mill Creek</v>
      </c>
      <c r="M5023" s="105" t="str">
        <f t="shared" si="811"/>
        <v>Derate</v>
      </c>
      <c r="N5023" s="105" t="str">
        <f t="shared" si="812"/>
        <v>Coal</v>
      </c>
      <c r="O5023" s="105">
        <f>IFERROR(VLOOKUP(A5023,Lookup!$J$5:$P$19,7,FALSE),0)</f>
        <v>3</v>
      </c>
      <c r="P5023" s="159">
        <f t="shared" si="813"/>
        <v>2017</v>
      </c>
      <c r="Q5023" s="159">
        <f t="shared" si="814"/>
        <v>6</v>
      </c>
      <c r="R5023" s="160">
        <f t="shared" si="815"/>
        <v>9.9666666666744277</v>
      </c>
      <c r="S5023" s="158">
        <f t="shared" si="816"/>
        <v>2.6016634676923651</v>
      </c>
      <c r="T5023" s="161">
        <f t="shared" si="817"/>
        <v>1254.00179142772</v>
      </c>
      <c r="U5023" s="158">
        <f t="shared" si="819"/>
        <v>125.81957773512477</v>
      </c>
      <c r="V5023" s="160">
        <f t="shared" si="818"/>
        <v>126</v>
      </c>
    </row>
    <row r="5024" spans="1:22" x14ac:dyDescent="0.25">
      <c r="A5024" s="98" t="s">
        <v>25</v>
      </c>
      <c r="B5024" s="98" t="s">
        <v>17</v>
      </c>
      <c r="C5024" s="98">
        <v>45</v>
      </c>
      <c r="D5024" s="98">
        <v>3110</v>
      </c>
      <c r="E5024" s="157">
        <v>42916.229166666664</v>
      </c>
      <c r="F5024" s="157">
        <v>42916.65</v>
      </c>
      <c r="G5024" s="98">
        <v>460</v>
      </c>
      <c r="H5024" s="98">
        <v>521</v>
      </c>
      <c r="I5024" s="98">
        <v>482</v>
      </c>
      <c r="J5024" s="98" t="s">
        <v>2119</v>
      </c>
      <c r="K5024" s="98" t="s">
        <v>4398</v>
      </c>
      <c r="L5024" s="105" t="str">
        <f t="shared" si="810"/>
        <v>Mill Creek</v>
      </c>
      <c r="M5024" s="105" t="str">
        <f t="shared" si="811"/>
        <v>Derate</v>
      </c>
      <c r="N5024" s="105" t="str">
        <f t="shared" si="812"/>
        <v>Coal</v>
      </c>
      <c r="O5024" s="105">
        <f>IFERROR(VLOOKUP(A5024,Lookup!$J$5:$P$19,7,FALSE),0)</f>
        <v>3</v>
      </c>
      <c r="P5024" s="159">
        <f t="shared" si="813"/>
        <v>2017</v>
      </c>
      <c r="Q5024" s="159">
        <f t="shared" si="814"/>
        <v>6</v>
      </c>
      <c r="R5024" s="160">
        <f t="shared" si="815"/>
        <v>10.100000000093132</v>
      </c>
      <c r="S5024" s="158">
        <f t="shared" si="816"/>
        <v>1.1825335892623436</v>
      </c>
      <c r="T5024" s="161">
        <f t="shared" si="817"/>
        <v>569.98119002444969</v>
      </c>
      <c r="U5024" s="158">
        <f t="shared" si="819"/>
        <v>56.433781190019197</v>
      </c>
      <c r="V5024" s="160">
        <f t="shared" si="818"/>
        <v>56</v>
      </c>
    </row>
    <row r="5025" spans="1:22" x14ac:dyDescent="0.25">
      <c r="A5025" s="98" t="s">
        <v>25</v>
      </c>
      <c r="B5025" s="98" t="s">
        <v>17</v>
      </c>
      <c r="C5025" s="98">
        <v>46</v>
      </c>
      <c r="D5025" s="98">
        <v>3110</v>
      </c>
      <c r="E5025" s="157">
        <v>42916.65</v>
      </c>
      <c r="F5025" s="157">
        <v>42916.831944444442</v>
      </c>
      <c r="G5025" s="98">
        <v>500</v>
      </c>
      <c r="H5025" s="98">
        <v>521</v>
      </c>
      <c r="I5025" s="98">
        <v>482</v>
      </c>
      <c r="J5025" s="98" t="s">
        <v>2119</v>
      </c>
      <c r="K5025" s="98" t="s">
        <v>4398</v>
      </c>
      <c r="L5025" s="105" t="str">
        <f t="shared" si="810"/>
        <v>Mill Creek</v>
      </c>
      <c r="M5025" s="105" t="str">
        <f t="shared" si="811"/>
        <v>Derate</v>
      </c>
      <c r="N5025" s="105" t="str">
        <f t="shared" si="812"/>
        <v>Coal</v>
      </c>
      <c r="O5025" s="105">
        <f>IFERROR(VLOOKUP(A5025,Lookup!$J$5:$P$19,7,FALSE),0)</f>
        <v>3</v>
      </c>
      <c r="P5025" s="159">
        <f t="shared" si="813"/>
        <v>2017</v>
      </c>
      <c r="Q5025" s="159">
        <f t="shared" si="814"/>
        <v>6</v>
      </c>
      <c r="R5025" s="160">
        <f t="shared" si="815"/>
        <v>4.3666666665812954</v>
      </c>
      <c r="S5025" s="158">
        <f t="shared" si="816"/>
        <v>0.17600767753974511</v>
      </c>
      <c r="T5025" s="161">
        <f t="shared" si="817"/>
        <v>84.835700574157144</v>
      </c>
      <c r="U5025" s="158">
        <f t="shared" si="819"/>
        <v>19.428023032629557</v>
      </c>
      <c r="V5025" s="160">
        <f t="shared" si="818"/>
        <v>19</v>
      </c>
    </row>
    <row r="5026" spans="1:22" x14ac:dyDescent="0.25">
      <c r="A5026" s="98" t="s">
        <v>25</v>
      </c>
      <c r="B5026" s="98" t="s">
        <v>105</v>
      </c>
      <c r="C5026" s="98">
        <v>47</v>
      </c>
      <c r="D5026" s="98">
        <v>300</v>
      </c>
      <c r="E5026" s="157">
        <v>42939.916666666664</v>
      </c>
      <c r="F5026" s="157">
        <v>42940.109027777777</v>
      </c>
      <c r="G5026" s="98">
        <v>370</v>
      </c>
      <c r="H5026" s="98">
        <v>521</v>
      </c>
      <c r="I5026" s="98">
        <v>482</v>
      </c>
      <c r="J5026" s="98" t="s">
        <v>1977</v>
      </c>
      <c r="K5026" s="98" t="s">
        <v>4868</v>
      </c>
      <c r="L5026" s="105" t="str">
        <f t="shared" si="810"/>
        <v>Mill Creek</v>
      </c>
      <c r="M5026" s="105" t="str">
        <f t="shared" si="811"/>
        <v>Derate</v>
      </c>
      <c r="N5026" s="105" t="str">
        <f t="shared" si="812"/>
        <v>Coal</v>
      </c>
      <c r="O5026" s="105">
        <f>IFERROR(VLOOKUP(A5026,Lookup!$J$5:$P$19,7,FALSE),0)</f>
        <v>3</v>
      </c>
      <c r="P5026" s="159">
        <f t="shared" si="813"/>
        <v>2017</v>
      </c>
      <c r="Q5026" s="159">
        <f t="shared" si="814"/>
        <v>7</v>
      </c>
      <c r="R5026" s="160">
        <f t="shared" si="815"/>
        <v>4.6166666666977108</v>
      </c>
      <c r="S5026" s="158">
        <f t="shared" si="816"/>
        <v>1.3380358285438663</v>
      </c>
      <c r="T5026" s="161">
        <f t="shared" si="817"/>
        <v>644.93326935814355</v>
      </c>
      <c r="U5026" s="158">
        <f t="shared" si="819"/>
        <v>139.69673704414586</v>
      </c>
      <c r="V5026" s="160">
        <f t="shared" si="818"/>
        <v>140</v>
      </c>
    </row>
    <row r="5027" spans="1:22" x14ac:dyDescent="0.25">
      <c r="A5027" s="98" t="s">
        <v>25</v>
      </c>
      <c r="B5027" s="98" t="s">
        <v>105</v>
      </c>
      <c r="C5027" s="98">
        <v>48</v>
      </c>
      <c r="D5027" s="98">
        <v>8620</v>
      </c>
      <c r="E5027" s="157">
        <v>42945.024305555555</v>
      </c>
      <c r="F5027" s="157">
        <v>42945.193055555559</v>
      </c>
      <c r="G5027" s="98">
        <v>300</v>
      </c>
      <c r="H5027" s="98">
        <v>521</v>
      </c>
      <c r="I5027" s="98">
        <v>482</v>
      </c>
      <c r="J5027" s="98" t="s">
        <v>4762</v>
      </c>
      <c r="K5027" s="98" t="s">
        <v>4763</v>
      </c>
      <c r="L5027" s="105" t="str">
        <f t="shared" si="810"/>
        <v>Mill Creek</v>
      </c>
      <c r="M5027" s="105" t="str">
        <f t="shared" si="811"/>
        <v>Derate</v>
      </c>
      <c r="N5027" s="105" t="str">
        <f t="shared" si="812"/>
        <v>Coal</v>
      </c>
      <c r="O5027" s="105">
        <f>IFERROR(VLOOKUP(A5027,Lookup!$J$5:$P$19,7,FALSE),0)</f>
        <v>3</v>
      </c>
      <c r="P5027" s="159">
        <f t="shared" si="813"/>
        <v>2017</v>
      </c>
      <c r="Q5027" s="159">
        <f t="shared" si="814"/>
        <v>7</v>
      </c>
      <c r="R5027" s="160">
        <f t="shared" si="815"/>
        <v>4.0500000001047738</v>
      </c>
      <c r="S5027" s="158">
        <f t="shared" si="816"/>
        <v>1.7179462572421402</v>
      </c>
      <c r="T5027" s="161">
        <f t="shared" si="817"/>
        <v>828.05009599071161</v>
      </c>
      <c r="U5027" s="158">
        <f t="shared" si="819"/>
        <v>204.45681381957775</v>
      </c>
      <c r="V5027" s="160">
        <f t="shared" si="818"/>
        <v>204</v>
      </c>
    </row>
    <row r="5028" spans="1:22" x14ac:dyDescent="0.25">
      <c r="A5028" s="98" t="s">
        <v>25</v>
      </c>
      <c r="B5028" s="98" t="s">
        <v>38</v>
      </c>
      <c r="C5028" s="98">
        <v>49</v>
      </c>
      <c r="D5028" s="98">
        <v>1801</v>
      </c>
      <c r="E5028" s="157">
        <v>43035.979861111111</v>
      </c>
      <c r="F5028" s="157">
        <v>43065</v>
      </c>
      <c r="G5028" s="98">
        <v>0</v>
      </c>
      <c r="H5028" s="98">
        <v>521</v>
      </c>
      <c r="I5028" s="98">
        <v>482</v>
      </c>
      <c r="J5028" s="98" t="s">
        <v>2021</v>
      </c>
      <c r="K5028" s="98" t="s">
        <v>4869</v>
      </c>
      <c r="L5028" s="105" t="str">
        <f t="shared" si="810"/>
        <v>Mill Creek</v>
      </c>
      <c r="M5028" s="105" t="str">
        <f t="shared" si="811"/>
        <v>Other</v>
      </c>
      <c r="N5028" s="105" t="str">
        <f t="shared" si="812"/>
        <v>Coal</v>
      </c>
      <c r="O5028" s="105">
        <f>IFERROR(VLOOKUP(A5028,Lookup!$J$5:$P$19,7,FALSE),0)</f>
        <v>3</v>
      </c>
      <c r="P5028" s="159">
        <f t="shared" si="813"/>
        <v>2017</v>
      </c>
      <c r="Q5028" s="159">
        <f t="shared" si="814"/>
        <v>10</v>
      </c>
      <c r="R5028" s="160">
        <f t="shared" si="815"/>
        <v>696.48333333333721</v>
      </c>
      <c r="S5028" s="158">
        <f t="shared" si="816"/>
        <v>696.48333333333721</v>
      </c>
      <c r="T5028" s="161">
        <f t="shared" si="817"/>
        <v>335704.96666666854</v>
      </c>
      <c r="U5028" s="158">
        <f t="shared" si="819"/>
        <v>482</v>
      </c>
      <c r="V5028" s="160">
        <f t="shared" si="818"/>
        <v>482</v>
      </c>
    </row>
    <row r="5029" spans="1:22" x14ac:dyDescent="0.25">
      <c r="A5029" s="98" t="s">
        <v>25</v>
      </c>
      <c r="B5029" s="98" t="s">
        <v>121</v>
      </c>
      <c r="C5029" s="98">
        <v>50</v>
      </c>
      <c r="D5029" s="98">
        <v>1801</v>
      </c>
      <c r="E5029" s="157">
        <v>43065</v>
      </c>
      <c r="F5029" s="157">
        <v>43068.175694444442</v>
      </c>
      <c r="G5029" s="98">
        <v>0</v>
      </c>
      <c r="H5029" s="98">
        <v>521</v>
      </c>
      <c r="I5029" s="98">
        <v>482</v>
      </c>
      <c r="J5029" s="98" t="s">
        <v>2021</v>
      </c>
      <c r="K5029" s="98" t="s">
        <v>4870</v>
      </c>
      <c r="L5029" s="105" t="str">
        <f t="shared" ref="L5029:L5060" si="820">IF(OR(A5029="BR1",A5029="BR2",A5029="BR3",A5029="BR5",A5029="BR6",A5029="BR7",A5029="BR8",A5029="BR9",A5029="BR10",A5029="BR11"),"Brown",IF(OR(A5029="CR4",A5029="CR5",A5029="CR6",A5029="CR11"),"Cane Run",IF(OR(A5029="GH1",A5029="GH2",A5029="GH3",A5029="GH4"),"Ghent",IF(OR(A5029="GR3",A5029="GR4"),"Green River",IF(OR(A5029="MC1",A5029="MC2",A5029="MC3",A5029="MC4"),"Mill Creek",IF(OR(A5029="TC1",A5029="TC2",A5029="TC5",A5029="TC6",A5029="TC7",A5029="TC8",A5029="TC9",A5029="TC10"),"Trimble",IF(A5029="TY3","Tyrone",IF(OR(A5029="HA1",A5029="HA2",A5029="HA3"),"Haeflin",IF(OR(A5029="PR11",A5029="PR12",A5029="PR13"),"Paddy's Run","Zorn")))))))))</f>
        <v>Mill Creek</v>
      </c>
      <c r="M5029" s="105" t="str">
        <f t="shared" ref="M5029:M5060" si="821">IF(OR(B5029="D1",B5029="D2",B5029="D3",B5029="D4",B5029="PD"),"Derate",IF(OR(B5029="SF",B5029="U1",B5029="U2",B5029="U3"),"Outage",IF(OR(B5029="ME",B5029="MO"),"Maintenance","Other")))</f>
        <v>Other</v>
      </c>
      <c r="N5029" s="105" t="str">
        <f t="shared" ref="N5029:N5060" si="822">IF(OR(A5029="BR1",A5029="BR2",A5029="BR3",A5029="CR4",A5029="CR5",A5029="CR6",A5029="GH1",A5029="GH2",A5029="GH3",A5029="GH4",A5029="GR3",A5029="GR4",A5029="MC1",A5029="MC2",A5029="MC3",A5029="MC4",A5029="TC1",A5029="TC2",A5029="TY3"),"Coal","Gas")</f>
        <v>Coal</v>
      </c>
      <c r="O5029" s="105">
        <f>IFERROR(VLOOKUP(A5029,Lookup!$J$5:$P$19,7,FALSE),0)</f>
        <v>3</v>
      </c>
      <c r="P5029" s="159">
        <f t="shared" ref="P5029:P5060" si="823">YEAR(E5029)</f>
        <v>2017</v>
      </c>
      <c r="Q5029" s="159">
        <f t="shared" ref="Q5029:Q5060" si="824">MONTH(E5029)</f>
        <v>11</v>
      </c>
      <c r="R5029" s="160">
        <f t="shared" ref="R5029:R5060" si="825">(F5029-E5029)*24</f>
        <v>76.21666666661622</v>
      </c>
      <c r="S5029" s="158">
        <f t="shared" ref="S5029:S5060" si="826">R5029*(H5029-G5029)/H5029</f>
        <v>76.21666666661622</v>
      </c>
      <c r="T5029" s="161">
        <f t="shared" ref="T5029:T5060" si="827">S5029*I5029</f>
        <v>36736.433333309018</v>
      </c>
      <c r="U5029" s="158">
        <f t="shared" si="819"/>
        <v>482</v>
      </c>
      <c r="V5029" s="160">
        <f t="shared" ref="V5029:V5060" si="828">ROUND(U5029,0)</f>
        <v>482</v>
      </c>
    </row>
    <row r="5030" spans="1:22" x14ac:dyDescent="0.25">
      <c r="A5030" s="98" t="s">
        <v>25</v>
      </c>
      <c r="B5030" s="98" t="s">
        <v>15</v>
      </c>
      <c r="C5030" s="98">
        <v>51</v>
      </c>
      <c r="D5030" s="98">
        <v>520</v>
      </c>
      <c r="E5030" s="157">
        <v>43068.199305555558</v>
      </c>
      <c r="F5030" s="157">
        <v>43069.552777777775</v>
      </c>
      <c r="G5030" s="98">
        <v>0</v>
      </c>
      <c r="H5030" s="98">
        <v>521</v>
      </c>
      <c r="I5030" s="98">
        <v>482</v>
      </c>
      <c r="J5030" s="98" t="s">
        <v>3330</v>
      </c>
      <c r="K5030" s="98" t="s">
        <v>4871</v>
      </c>
      <c r="L5030" s="105" t="str">
        <f t="shared" si="820"/>
        <v>Mill Creek</v>
      </c>
      <c r="M5030" s="105" t="str">
        <f t="shared" si="821"/>
        <v>Outage</v>
      </c>
      <c r="N5030" s="105" t="str">
        <f t="shared" si="822"/>
        <v>Coal</v>
      </c>
      <c r="O5030" s="105">
        <f>IFERROR(VLOOKUP(A5030,Lookup!$J$5:$P$19,7,FALSE),0)</f>
        <v>3</v>
      </c>
      <c r="P5030" s="159">
        <f t="shared" si="823"/>
        <v>2017</v>
      </c>
      <c r="Q5030" s="159">
        <f t="shared" si="824"/>
        <v>11</v>
      </c>
      <c r="R5030" s="160">
        <f t="shared" si="825"/>
        <v>32.483333333220799</v>
      </c>
      <c r="S5030" s="158">
        <f t="shared" si="826"/>
        <v>32.483333333220799</v>
      </c>
      <c r="T5030" s="161">
        <f t="shared" si="827"/>
        <v>15656.966666612425</v>
      </c>
      <c r="U5030" s="158">
        <f t="shared" ref="U5030:U5060" si="829">IF(G5030&gt;0,MAX((H5030-G5030),0)*I5030/H5030,I5030)</f>
        <v>482</v>
      </c>
      <c r="V5030" s="160">
        <f t="shared" si="828"/>
        <v>482</v>
      </c>
    </row>
    <row r="5031" spans="1:22" x14ac:dyDescent="0.25">
      <c r="A5031" s="98" t="s">
        <v>25</v>
      </c>
      <c r="B5031" s="98" t="s">
        <v>79</v>
      </c>
      <c r="C5031" s="98">
        <v>52</v>
      </c>
      <c r="D5031" s="98">
        <v>4842</v>
      </c>
      <c r="E5031" s="157">
        <v>43074.661111111112</v>
      </c>
      <c r="F5031" s="157">
        <v>43074.73333333333</v>
      </c>
      <c r="G5031" s="98">
        <v>0</v>
      </c>
      <c r="H5031" s="98">
        <v>521</v>
      </c>
      <c r="I5031" s="98">
        <v>482</v>
      </c>
      <c r="J5031" s="98" t="s">
        <v>60</v>
      </c>
      <c r="K5031" s="98" t="s">
        <v>4847</v>
      </c>
      <c r="L5031" s="105" t="str">
        <f t="shared" si="820"/>
        <v>Mill Creek</v>
      </c>
      <c r="M5031" s="105" t="str">
        <f t="shared" si="821"/>
        <v>Other</v>
      </c>
      <c r="N5031" s="105" t="str">
        <f t="shared" si="822"/>
        <v>Coal</v>
      </c>
      <c r="O5031" s="105">
        <f>IFERROR(VLOOKUP(A5031,Lookup!$J$5:$P$19,7,FALSE),0)</f>
        <v>3</v>
      </c>
      <c r="P5031" s="159">
        <f t="shared" si="823"/>
        <v>2017</v>
      </c>
      <c r="Q5031" s="159">
        <f t="shared" si="824"/>
        <v>12</v>
      </c>
      <c r="R5031" s="160">
        <f t="shared" si="825"/>
        <v>1.7333333332207985</v>
      </c>
      <c r="S5031" s="158">
        <f t="shared" si="826"/>
        <v>1.7333333332207985</v>
      </c>
      <c r="T5031" s="161">
        <f t="shared" si="827"/>
        <v>835.46666661242489</v>
      </c>
      <c r="U5031" s="158">
        <f t="shared" si="829"/>
        <v>482</v>
      </c>
      <c r="V5031" s="160">
        <f t="shared" si="828"/>
        <v>482</v>
      </c>
    </row>
    <row r="5032" spans="1:22" x14ac:dyDescent="0.25">
      <c r="A5032" s="98" t="s">
        <v>25</v>
      </c>
      <c r="B5032" s="98" t="s">
        <v>15</v>
      </c>
      <c r="C5032" s="98">
        <v>53</v>
      </c>
      <c r="D5032" s="98">
        <v>3700</v>
      </c>
      <c r="E5032" s="157">
        <v>43075.607638888891</v>
      </c>
      <c r="F5032" s="157">
        <v>43075.709027777775</v>
      </c>
      <c r="G5032" s="98">
        <v>0</v>
      </c>
      <c r="H5032" s="98">
        <v>521</v>
      </c>
      <c r="I5032" s="98">
        <v>482</v>
      </c>
      <c r="J5032" s="98" t="s">
        <v>4872</v>
      </c>
      <c r="K5032" s="98" t="s">
        <v>4873</v>
      </c>
      <c r="L5032" s="105" t="str">
        <f t="shared" si="820"/>
        <v>Mill Creek</v>
      </c>
      <c r="M5032" s="105" t="str">
        <f t="shared" si="821"/>
        <v>Outage</v>
      </c>
      <c r="N5032" s="105" t="str">
        <f t="shared" si="822"/>
        <v>Coal</v>
      </c>
      <c r="O5032" s="105">
        <f>IFERROR(VLOOKUP(A5032,Lookup!$J$5:$P$19,7,FALSE),0)</f>
        <v>3</v>
      </c>
      <c r="P5032" s="159">
        <f t="shared" si="823"/>
        <v>2017</v>
      </c>
      <c r="Q5032" s="159">
        <f t="shared" si="824"/>
        <v>12</v>
      </c>
      <c r="R5032" s="160">
        <f t="shared" si="825"/>
        <v>2.4333333332324401</v>
      </c>
      <c r="S5032" s="158">
        <f t="shared" si="826"/>
        <v>2.4333333332324401</v>
      </c>
      <c r="T5032" s="161">
        <f t="shared" si="827"/>
        <v>1172.8666666180361</v>
      </c>
      <c r="U5032" s="158">
        <f t="shared" si="829"/>
        <v>482</v>
      </c>
      <c r="V5032" s="160">
        <f t="shared" si="828"/>
        <v>482</v>
      </c>
    </row>
    <row r="5033" spans="1:22" x14ac:dyDescent="0.25">
      <c r="A5033" s="98" t="s">
        <v>25</v>
      </c>
      <c r="B5033" s="98" t="s">
        <v>17</v>
      </c>
      <c r="C5033" s="98">
        <v>54</v>
      </c>
      <c r="D5033" s="98">
        <v>1850</v>
      </c>
      <c r="E5033" s="157">
        <v>43075.962500000001</v>
      </c>
      <c r="F5033" s="157">
        <v>43076.027777777781</v>
      </c>
      <c r="G5033" s="98">
        <v>390</v>
      </c>
      <c r="H5033" s="98">
        <v>521</v>
      </c>
      <c r="I5033" s="98">
        <v>482</v>
      </c>
      <c r="J5033" s="98" t="s">
        <v>2263</v>
      </c>
      <c r="K5033" s="98" t="s">
        <v>4874</v>
      </c>
      <c r="L5033" s="105" t="str">
        <f t="shared" si="820"/>
        <v>Mill Creek</v>
      </c>
      <c r="M5033" s="105" t="str">
        <f t="shared" si="821"/>
        <v>Derate</v>
      </c>
      <c r="N5033" s="105" t="str">
        <f t="shared" si="822"/>
        <v>Coal</v>
      </c>
      <c r="O5033" s="105">
        <f>IFERROR(VLOOKUP(A5033,Lookup!$J$5:$P$19,7,FALSE),0)</f>
        <v>3</v>
      </c>
      <c r="P5033" s="159">
        <f t="shared" si="823"/>
        <v>2017</v>
      </c>
      <c r="Q5033" s="159">
        <f t="shared" si="824"/>
        <v>12</v>
      </c>
      <c r="R5033" s="160">
        <f t="shared" si="825"/>
        <v>1.5666666667093523</v>
      </c>
      <c r="S5033" s="158">
        <f t="shared" si="826"/>
        <v>0.39392194498834004</v>
      </c>
      <c r="T5033" s="161">
        <f t="shared" si="827"/>
        <v>189.8703774843799</v>
      </c>
      <c r="U5033" s="158">
        <f t="shared" si="829"/>
        <v>121.19385796545106</v>
      </c>
      <c r="V5033" s="160">
        <f t="shared" si="828"/>
        <v>121</v>
      </c>
    </row>
    <row r="5034" spans="1:22" x14ac:dyDescent="0.25">
      <c r="A5034" s="98" t="s">
        <v>25</v>
      </c>
      <c r="B5034" s="98" t="s">
        <v>17</v>
      </c>
      <c r="C5034" s="98">
        <v>55</v>
      </c>
      <c r="D5034" s="98">
        <v>3632</v>
      </c>
      <c r="E5034" s="157">
        <v>43080.78125</v>
      </c>
      <c r="F5034" s="157">
        <v>43081.125</v>
      </c>
      <c r="G5034" s="98">
        <v>500</v>
      </c>
      <c r="H5034" s="98">
        <v>521</v>
      </c>
      <c r="I5034" s="98">
        <v>482</v>
      </c>
      <c r="J5034" s="98" t="s">
        <v>2308</v>
      </c>
      <c r="K5034" s="98" t="s">
        <v>4875</v>
      </c>
      <c r="L5034" s="105" t="str">
        <f t="shared" si="820"/>
        <v>Mill Creek</v>
      </c>
      <c r="M5034" s="105" t="str">
        <f t="shared" si="821"/>
        <v>Derate</v>
      </c>
      <c r="N5034" s="105" t="str">
        <f t="shared" si="822"/>
        <v>Coal</v>
      </c>
      <c r="O5034" s="105">
        <f>IFERROR(VLOOKUP(A5034,Lookup!$J$5:$P$19,7,FALSE),0)</f>
        <v>3</v>
      </c>
      <c r="P5034" s="159">
        <f t="shared" si="823"/>
        <v>2017</v>
      </c>
      <c r="Q5034" s="159">
        <f t="shared" si="824"/>
        <v>12</v>
      </c>
      <c r="R5034" s="160">
        <f t="shared" si="825"/>
        <v>8.25</v>
      </c>
      <c r="S5034" s="158">
        <f t="shared" si="826"/>
        <v>0.33253358925143955</v>
      </c>
      <c r="T5034" s="161">
        <f t="shared" si="827"/>
        <v>160.28119001919387</v>
      </c>
      <c r="U5034" s="158">
        <f t="shared" si="829"/>
        <v>19.428023032629557</v>
      </c>
      <c r="V5034" s="160">
        <f t="shared" si="828"/>
        <v>19</v>
      </c>
    </row>
    <row r="5035" spans="1:22" x14ac:dyDescent="0.25">
      <c r="A5035" s="98" t="s">
        <v>25</v>
      </c>
      <c r="B5035" s="98" t="s">
        <v>17</v>
      </c>
      <c r="C5035" s="98">
        <v>56</v>
      </c>
      <c r="D5035" s="98">
        <v>1400</v>
      </c>
      <c r="E5035" s="157">
        <v>43081.286111111112</v>
      </c>
      <c r="F5035" s="157">
        <v>43081.400694444441</v>
      </c>
      <c r="G5035" s="98">
        <v>517</v>
      </c>
      <c r="H5035" s="98">
        <v>521</v>
      </c>
      <c r="I5035" s="98">
        <v>482</v>
      </c>
      <c r="J5035" s="98" t="s">
        <v>2043</v>
      </c>
      <c r="K5035" s="98" t="s">
        <v>4876</v>
      </c>
      <c r="L5035" s="105" t="str">
        <f t="shared" si="820"/>
        <v>Mill Creek</v>
      </c>
      <c r="M5035" s="105" t="str">
        <f t="shared" si="821"/>
        <v>Derate</v>
      </c>
      <c r="N5035" s="105" t="str">
        <f t="shared" si="822"/>
        <v>Coal</v>
      </c>
      <c r="O5035" s="105">
        <f>IFERROR(VLOOKUP(A5035,Lookup!$J$5:$P$19,7,FALSE),0)</f>
        <v>3</v>
      </c>
      <c r="P5035" s="159">
        <f t="shared" si="823"/>
        <v>2017</v>
      </c>
      <c r="Q5035" s="159">
        <f t="shared" si="824"/>
        <v>12</v>
      </c>
      <c r="R5035" s="160">
        <f t="shared" si="825"/>
        <v>2.7499999998835847</v>
      </c>
      <c r="S5035" s="158">
        <f t="shared" si="826"/>
        <v>2.1113243761102376E-2</v>
      </c>
      <c r="T5035" s="161">
        <f t="shared" si="827"/>
        <v>10.176583492851345</v>
      </c>
      <c r="U5035" s="158">
        <f t="shared" si="829"/>
        <v>3.7005758157389637</v>
      </c>
      <c r="V5035" s="160">
        <f t="shared" si="828"/>
        <v>4</v>
      </c>
    </row>
    <row r="5036" spans="1:22" x14ac:dyDescent="0.25">
      <c r="A5036" s="98" t="s">
        <v>25</v>
      </c>
      <c r="B5036" s="98" t="s">
        <v>17</v>
      </c>
      <c r="C5036" s="98">
        <v>57</v>
      </c>
      <c r="D5036" s="98">
        <v>3415</v>
      </c>
      <c r="E5036" s="157">
        <v>43081.400694444441</v>
      </c>
      <c r="F5036" s="157">
        <v>43081.506944444445</v>
      </c>
      <c r="G5036" s="98">
        <v>300</v>
      </c>
      <c r="H5036" s="98">
        <v>521</v>
      </c>
      <c r="I5036" s="98">
        <v>482</v>
      </c>
      <c r="J5036" s="98" t="s">
        <v>2109</v>
      </c>
      <c r="K5036" s="98" t="s">
        <v>4877</v>
      </c>
      <c r="L5036" s="105" t="str">
        <f t="shared" si="820"/>
        <v>Mill Creek</v>
      </c>
      <c r="M5036" s="105" t="str">
        <f t="shared" si="821"/>
        <v>Derate</v>
      </c>
      <c r="N5036" s="105" t="str">
        <f t="shared" si="822"/>
        <v>Coal</v>
      </c>
      <c r="O5036" s="105">
        <f>IFERROR(VLOOKUP(A5036,Lookup!$J$5:$P$19,7,FALSE),0)</f>
        <v>3</v>
      </c>
      <c r="P5036" s="159">
        <f t="shared" si="823"/>
        <v>2017</v>
      </c>
      <c r="Q5036" s="159">
        <f t="shared" si="824"/>
        <v>12</v>
      </c>
      <c r="R5036" s="160">
        <f t="shared" si="825"/>
        <v>2.5500000001047738</v>
      </c>
      <c r="S5036" s="158">
        <f t="shared" si="826"/>
        <v>1.0816698656874377</v>
      </c>
      <c r="T5036" s="161">
        <f t="shared" si="827"/>
        <v>521.36487526134499</v>
      </c>
      <c r="U5036" s="158">
        <f t="shared" si="829"/>
        <v>204.45681381957775</v>
      </c>
      <c r="V5036" s="160">
        <f t="shared" si="828"/>
        <v>204</v>
      </c>
    </row>
    <row r="5037" spans="1:22" x14ac:dyDescent="0.25">
      <c r="A5037" s="98" t="s">
        <v>25</v>
      </c>
      <c r="B5037" s="98" t="s">
        <v>105</v>
      </c>
      <c r="C5037" s="98">
        <v>58</v>
      </c>
      <c r="D5037" s="98">
        <v>3670</v>
      </c>
      <c r="E5037" s="157">
        <v>43084.996527777781</v>
      </c>
      <c r="F5037" s="157">
        <v>43085.00277777778</v>
      </c>
      <c r="G5037" s="98">
        <v>300</v>
      </c>
      <c r="H5037" s="98">
        <v>521</v>
      </c>
      <c r="I5037" s="98">
        <v>482</v>
      </c>
      <c r="J5037" s="98" t="s">
        <v>4878</v>
      </c>
      <c r="K5037" s="98" t="s">
        <v>4879</v>
      </c>
      <c r="L5037" s="105" t="str">
        <f t="shared" si="820"/>
        <v>Mill Creek</v>
      </c>
      <c r="M5037" s="105" t="str">
        <f t="shared" si="821"/>
        <v>Derate</v>
      </c>
      <c r="N5037" s="105" t="str">
        <f t="shared" si="822"/>
        <v>Coal</v>
      </c>
      <c r="O5037" s="105">
        <f>IFERROR(VLOOKUP(A5037,Lookup!$J$5:$P$19,7,FALSE),0)</f>
        <v>3</v>
      </c>
      <c r="P5037" s="159">
        <f t="shared" si="823"/>
        <v>2017</v>
      </c>
      <c r="Q5037" s="159">
        <f t="shared" si="824"/>
        <v>12</v>
      </c>
      <c r="R5037" s="160">
        <f t="shared" si="825"/>
        <v>0.1499999999650754</v>
      </c>
      <c r="S5037" s="158">
        <f t="shared" si="826"/>
        <v>6.3627639140655778E-2</v>
      </c>
      <c r="T5037" s="161">
        <f t="shared" si="827"/>
        <v>30.668522065796086</v>
      </c>
      <c r="U5037" s="158">
        <f t="shared" si="829"/>
        <v>204.45681381957775</v>
      </c>
      <c r="V5037" s="160">
        <f t="shared" si="828"/>
        <v>204</v>
      </c>
    </row>
    <row r="5038" spans="1:22" x14ac:dyDescent="0.25">
      <c r="A5038" s="98" t="s">
        <v>25</v>
      </c>
      <c r="B5038" s="98" t="s">
        <v>105</v>
      </c>
      <c r="C5038" s="98">
        <v>1</v>
      </c>
      <c r="D5038" s="98">
        <v>1190</v>
      </c>
      <c r="E5038" s="157">
        <v>43105.854166666664</v>
      </c>
      <c r="F5038" s="157">
        <v>43106.106249999997</v>
      </c>
      <c r="G5038" s="98">
        <v>300</v>
      </c>
      <c r="H5038" s="98">
        <v>521</v>
      </c>
      <c r="I5038" s="98">
        <v>482</v>
      </c>
      <c r="J5038" s="98" t="s">
        <v>2007</v>
      </c>
      <c r="K5038" s="98" t="s">
        <v>4362</v>
      </c>
      <c r="L5038" s="105" t="str">
        <f t="shared" si="820"/>
        <v>Mill Creek</v>
      </c>
      <c r="M5038" s="105" t="str">
        <f t="shared" si="821"/>
        <v>Derate</v>
      </c>
      <c r="N5038" s="105" t="str">
        <f t="shared" si="822"/>
        <v>Coal</v>
      </c>
      <c r="O5038" s="105">
        <f>IFERROR(VLOOKUP(A5038,Lookup!$J$5:$P$19,7,FALSE),0)</f>
        <v>3</v>
      </c>
      <c r="P5038" s="159">
        <f t="shared" si="823"/>
        <v>2018</v>
      </c>
      <c r="Q5038" s="159">
        <f t="shared" si="824"/>
        <v>1</v>
      </c>
      <c r="R5038" s="160">
        <f t="shared" si="825"/>
        <v>6.0499999999883585</v>
      </c>
      <c r="S5038" s="158">
        <f t="shared" si="826"/>
        <v>2.5663147792656953</v>
      </c>
      <c r="T5038" s="161">
        <f t="shared" si="827"/>
        <v>1236.9637236060651</v>
      </c>
      <c r="U5038" s="158">
        <f t="shared" si="829"/>
        <v>204.45681381957775</v>
      </c>
      <c r="V5038" s="160">
        <f t="shared" si="828"/>
        <v>204</v>
      </c>
    </row>
    <row r="5039" spans="1:22" x14ac:dyDescent="0.25">
      <c r="A5039" s="98" t="s">
        <v>25</v>
      </c>
      <c r="B5039" s="98" t="s">
        <v>105</v>
      </c>
      <c r="C5039" s="98">
        <v>2</v>
      </c>
      <c r="D5039" s="98">
        <v>1190</v>
      </c>
      <c r="E5039" s="157">
        <v>43106.819444444445</v>
      </c>
      <c r="F5039" s="157">
        <v>43107.0625</v>
      </c>
      <c r="G5039" s="98">
        <v>285</v>
      </c>
      <c r="H5039" s="98">
        <v>521</v>
      </c>
      <c r="I5039" s="98">
        <v>482</v>
      </c>
      <c r="J5039" s="98" t="s">
        <v>2007</v>
      </c>
      <c r="K5039" s="98" t="s">
        <v>4362</v>
      </c>
      <c r="L5039" s="105" t="str">
        <f t="shared" si="820"/>
        <v>Mill Creek</v>
      </c>
      <c r="M5039" s="105" t="str">
        <f t="shared" si="821"/>
        <v>Derate</v>
      </c>
      <c r="N5039" s="105" t="str">
        <f t="shared" si="822"/>
        <v>Coal</v>
      </c>
      <c r="O5039" s="105">
        <f>IFERROR(VLOOKUP(A5039,Lookup!$J$5:$P$19,7,FALSE),0)</f>
        <v>3</v>
      </c>
      <c r="P5039" s="159">
        <f t="shared" si="823"/>
        <v>2018</v>
      </c>
      <c r="Q5039" s="159">
        <f t="shared" si="824"/>
        <v>1</v>
      </c>
      <c r="R5039" s="160">
        <f t="shared" si="825"/>
        <v>5.8333333333139308</v>
      </c>
      <c r="S5039" s="158">
        <f t="shared" si="826"/>
        <v>2.6423544465683064</v>
      </c>
      <c r="T5039" s="161">
        <f t="shared" si="827"/>
        <v>1273.6148432459238</v>
      </c>
      <c r="U5039" s="158">
        <f t="shared" si="829"/>
        <v>218.33397312859884</v>
      </c>
      <c r="V5039" s="160">
        <f t="shared" si="828"/>
        <v>218</v>
      </c>
    </row>
    <row r="5040" spans="1:22" x14ac:dyDescent="0.25">
      <c r="A5040" s="98" t="s">
        <v>25</v>
      </c>
      <c r="B5040" s="98" t="s">
        <v>105</v>
      </c>
      <c r="C5040" s="98">
        <v>3</v>
      </c>
      <c r="D5040" s="98">
        <v>1190</v>
      </c>
      <c r="E5040" s="157">
        <v>43107.520833333336</v>
      </c>
      <c r="F5040" s="157">
        <v>43107.75</v>
      </c>
      <c r="G5040" s="98">
        <v>300</v>
      </c>
      <c r="H5040" s="98">
        <v>521</v>
      </c>
      <c r="I5040" s="98">
        <v>482</v>
      </c>
      <c r="J5040" s="98" t="s">
        <v>2007</v>
      </c>
      <c r="K5040" s="98" t="s">
        <v>4362</v>
      </c>
      <c r="L5040" s="105" t="str">
        <f t="shared" si="820"/>
        <v>Mill Creek</v>
      </c>
      <c r="M5040" s="105" t="str">
        <f t="shared" si="821"/>
        <v>Derate</v>
      </c>
      <c r="N5040" s="105" t="str">
        <f t="shared" si="822"/>
        <v>Coal</v>
      </c>
      <c r="O5040" s="105">
        <f>IFERROR(VLOOKUP(A5040,Lookup!$J$5:$P$19,7,FALSE),0)</f>
        <v>3</v>
      </c>
      <c r="P5040" s="159">
        <f t="shared" si="823"/>
        <v>2018</v>
      </c>
      <c r="Q5040" s="159">
        <f t="shared" si="824"/>
        <v>1</v>
      </c>
      <c r="R5040" s="160">
        <f t="shared" si="825"/>
        <v>5.4999999999417923</v>
      </c>
      <c r="S5040" s="158">
        <f t="shared" si="826"/>
        <v>2.3330134356758849</v>
      </c>
      <c r="T5040" s="161">
        <f t="shared" si="827"/>
        <v>1124.5124759957766</v>
      </c>
      <c r="U5040" s="158">
        <f t="shared" si="829"/>
        <v>204.45681381957775</v>
      </c>
      <c r="V5040" s="160">
        <f t="shared" si="828"/>
        <v>204</v>
      </c>
    </row>
    <row r="5041" spans="1:22" x14ac:dyDescent="0.25">
      <c r="A5041" s="98" t="s">
        <v>25</v>
      </c>
      <c r="B5041" s="98" t="s">
        <v>105</v>
      </c>
      <c r="C5041" s="98">
        <v>4</v>
      </c>
      <c r="D5041" s="98">
        <v>1190</v>
      </c>
      <c r="E5041" s="157">
        <v>43107.75</v>
      </c>
      <c r="F5041" s="157">
        <v>43108.041666666664</v>
      </c>
      <c r="G5041" s="98">
        <v>285</v>
      </c>
      <c r="H5041" s="98">
        <v>521</v>
      </c>
      <c r="I5041" s="98">
        <v>482</v>
      </c>
      <c r="J5041" s="98" t="s">
        <v>2007</v>
      </c>
      <c r="K5041" s="98" t="s">
        <v>4362</v>
      </c>
      <c r="L5041" s="105" t="str">
        <f t="shared" si="820"/>
        <v>Mill Creek</v>
      </c>
      <c r="M5041" s="105" t="str">
        <f t="shared" si="821"/>
        <v>Derate</v>
      </c>
      <c r="N5041" s="105" t="str">
        <f t="shared" si="822"/>
        <v>Coal</v>
      </c>
      <c r="O5041" s="105">
        <f>IFERROR(VLOOKUP(A5041,Lookup!$J$5:$P$19,7,FALSE),0)</f>
        <v>3</v>
      </c>
      <c r="P5041" s="159">
        <f t="shared" si="823"/>
        <v>2018</v>
      </c>
      <c r="Q5041" s="159">
        <f t="shared" si="824"/>
        <v>1</v>
      </c>
      <c r="R5041" s="160">
        <f t="shared" si="825"/>
        <v>6.9999999999417923</v>
      </c>
      <c r="S5041" s="158">
        <f t="shared" si="826"/>
        <v>3.1708253358661476</v>
      </c>
      <c r="T5041" s="161">
        <f t="shared" si="827"/>
        <v>1528.3378118874832</v>
      </c>
      <c r="U5041" s="158">
        <f t="shared" si="829"/>
        <v>218.33397312859884</v>
      </c>
      <c r="V5041" s="160">
        <f t="shared" si="828"/>
        <v>218</v>
      </c>
    </row>
    <row r="5042" spans="1:22" x14ac:dyDescent="0.25">
      <c r="A5042" s="98" t="s">
        <v>25</v>
      </c>
      <c r="B5042" s="98" t="s">
        <v>79</v>
      </c>
      <c r="C5042" s="98">
        <v>5</v>
      </c>
      <c r="D5042" s="98">
        <v>1190</v>
      </c>
      <c r="E5042" s="157">
        <v>43108.913194444445</v>
      </c>
      <c r="F5042" s="157">
        <v>43109.159722222219</v>
      </c>
      <c r="G5042" s="98">
        <v>0</v>
      </c>
      <c r="H5042" s="98">
        <v>521</v>
      </c>
      <c r="I5042" s="98">
        <v>482</v>
      </c>
      <c r="J5042" s="98" t="s">
        <v>2007</v>
      </c>
      <c r="K5042" s="98" t="s">
        <v>4362</v>
      </c>
      <c r="L5042" s="105" t="str">
        <f t="shared" si="820"/>
        <v>Mill Creek</v>
      </c>
      <c r="M5042" s="105" t="str">
        <f t="shared" si="821"/>
        <v>Other</v>
      </c>
      <c r="N5042" s="105" t="str">
        <f t="shared" si="822"/>
        <v>Coal</v>
      </c>
      <c r="O5042" s="105">
        <f>IFERROR(VLOOKUP(A5042,Lookup!$J$5:$P$19,7,FALSE),0)</f>
        <v>3</v>
      </c>
      <c r="P5042" s="159">
        <f t="shared" si="823"/>
        <v>2018</v>
      </c>
      <c r="Q5042" s="159">
        <f t="shared" si="824"/>
        <v>1</v>
      </c>
      <c r="R5042" s="160">
        <f t="shared" si="825"/>
        <v>5.9166666665696539</v>
      </c>
      <c r="S5042" s="158">
        <f t="shared" si="826"/>
        <v>5.9166666665696539</v>
      </c>
      <c r="T5042" s="161">
        <f t="shared" si="827"/>
        <v>2851.8333332865732</v>
      </c>
      <c r="U5042" s="158">
        <f t="shared" si="829"/>
        <v>482</v>
      </c>
      <c r="V5042" s="160">
        <f t="shared" si="828"/>
        <v>482</v>
      </c>
    </row>
    <row r="5043" spans="1:22" x14ac:dyDescent="0.25">
      <c r="A5043" s="98" t="s">
        <v>25</v>
      </c>
      <c r="B5043" s="98" t="s">
        <v>79</v>
      </c>
      <c r="C5043" s="98">
        <v>6</v>
      </c>
      <c r="D5043" s="98">
        <v>1190</v>
      </c>
      <c r="E5043" s="157">
        <v>43109.958333333336</v>
      </c>
      <c r="F5043" s="157">
        <v>43110.166666666664</v>
      </c>
      <c r="G5043" s="98">
        <v>0</v>
      </c>
      <c r="H5043" s="98">
        <v>521</v>
      </c>
      <c r="I5043" s="98">
        <v>482</v>
      </c>
      <c r="J5043" s="98" t="s">
        <v>2007</v>
      </c>
      <c r="K5043" s="98" t="s">
        <v>4362</v>
      </c>
      <c r="L5043" s="105" t="str">
        <f t="shared" si="820"/>
        <v>Mill Creek</v>
      </c>
      <c r="M5043" s="105" t="str">
        <f t="shared" si="821"/>
        <v>Other</v>
      </c>
      <c r="N5043" s="105" t="str">
        <f t="shared" si="822"/>
        <v>Coal</v>
      </c>
      <c r="O5043" s="105">
        <f>IFERROR(VLOOKUP(A5043,Lookup!$J$5:$P$19,7,FALSE),0)</f>
        <v>3</v>
      </c>
      <c r="P5043" s="159">
        <f t="shared" si="823"/>
        <v>2018</v>
      </c>
      <c r="Q5043" s="159">
        <f t="shared" si="824"/>
        <v>1</v>
      </c>
      <c r="R5043" s="160">
        <f t="shared" si="825"/>
        <v>4.9999999998835847</v>
      </c>
      <c r="S5043" s="158">
        <f t="shared" si="826"/>
        <v>4.9999999998835847</v>
      </c>
      <c r="T5043" s="161">
        <f t="shared" si="827"/>
        <v>2409.9999999438878</v>
      </c>
      <c r="U5043" s="158">
        <f t="shared" si="829"/>
        <v>482</v>
      </c>
      <c r="V5043" s="160">
        <f t="shared" si="828"/>
        <v>482</v>
      </c>
    </row>
    <row r="5044" spans="1:22" x14ac:dyDescent="0.25">
      <c r="A5044" s="98" t="s">
        <v>25</v>
      </c>
      <c r="B5044" s="98" t="s">
        <v>79</v>
      </c>
      <c r="C5044" s="98">
        <v>7</v>
      </c>
      <c r="D5044" s="98">
        <v>1190</v>
      </c>
      <c r="E5044" s="157">
        <v>43110.916666666664</v>
      </c>
      <c r="F5044" s="157">
        <v>43111.166666666664</v>
      </c>
      <c r="G5044" s="98">
        <v>0</v>
      </c>
      <c r="H5044" s="98">
        <v>521</v>
      </c>
      <c r="I5044" s="98">
        <v>482</v>
      </c>
      <c r="J5044" s="98" t="s">
        <v>2007</v>
      </c>
      <c r="K5044" s="98" t="s">
        <v>4362</v>
      </c>
      <c r="L5044" s="105" t="str">
        <f t="shared" si="820"/>
        <v>Mill Creek</v>
      </c>
      <c r="M5044" s="105" t="str">
        <f t="shared" si="821"/>
        <v>Other</v>
      </c>
      <c r="N5044" s="105" t="str">
        <f t="shared" si="822"/>
        <v>Coal</v>
      </c>
      <c r="O5044" s="105">
        <f>IFERROR(VLOOKUP(A5044,Lookup!$J$5:$P$19,7,FALSE),0)</f>
        <v>3</v>
      </c>
      <c r="P5044" s="159">
        <f t="shared" si="823"/>
        <v>2018</v>
      </c>
      <c r="Q5044" s="159">
        <f t="shared" si="824"/>
        <v>1</v>
      </c>
      <c r="R5044" s="160">
        <f t="shared" si="825"/>
        <v>6</v>
      </c>
      <c r="S5044" s="158">
        <f t="shared" si="826"/>
        <v>6</v>
      </c>
      <c r="T5044" s="161">
        <f t="shared" si="827"/>
        <v>2892</v>
      </c>
      <c r="U5044" s="158">
        <f t="shared" si="829"/>
        <v>482</v>
      </c>
      <c r="V5044" s="160">
        <f t="shared" si="828"/>
        <v>482</v>
      </c>
    </row>
    <row r="5045" spans="1:22" x14ac:dyDescent="0.25">
      <c r="A5045" s="98" t="s">
        <v>25</v>
      </c>
      <c r="B5045" s="98" t="s">
        <v>79</v>
      </c>
      <c r="C5045" s="98">
        <v>8</v>
      </c>
      <c r="D5045" s="98">
        <v>1190</v>
      </c>
      <c r="E5045" s="157">
        <v>43111.277777777781</v>
      </c>
      <c r="F5045" s="157">
        <v>43111.833333333336</v>
      </c>
      <c r="G5045" s="98">
        <v>0</v>
      </c>
      <c r="H5045" s="98">
        <v>521</v>
      </c>
      <c r="I5045" s="98">
        <v>482</v>
      </c>
      <c r="J5045" s="98" t="s">
        <v>2007</v>
      </c>
      <c r="K5045" s="98" t="s">
        <v>4880</v>
      </c>
      <c r="L5045" s="105" t="str">
        <f t="shared" si="820"/>
        <v>Mill Creek</v>
      </c>
      <c r="M5045" s="105" t="str">
        <f t="shared" si="821"/>
        <v>Other</v>
      </c>
      <c r="N5045" s="105" t="str">
        <f t="shared" si="822"/>
        <v>Coal</v>
      </c>
      <c r="O5045" s="105">
        <f>IFERROR(VLOOKUP(A5045,Lookup!$J$5:$P$19,7,FALSE),0)</f>
        <v>3</v>
      </c>
      <c r="P5045" s="159">
        <f t="shared" si="823"/>
        <v>2018</v>
      </c>
      <c r="Q5045" s="159">
        <f t="shared" si="824"/>
        <v>1</v>
      </c>
      <c r="R5045" s="160">
        <f t="shared" si="825"/>
        <v>13.333333333313931</v>
      </c>
      <c r="S5045" s="158">
        <f t="shared" si="826"/>
        <v>13.333333333313931</v>
      </c>
      <c r="T5045" s="161">
        <f t="shared" si="827"/>
        <v>6426.6666666573146</v>
      </c>
      <c r="U5045" s="158">
        <f t="shared" si="829"/>
        <v>482</v>
      </c>
      <c r="V5045" s="160">
        <f t="shared" si="828"/>
        <v>482</v>
      </c>
    </row>
    <row r="5046" spans="1:22" x14ac:dyDescent="0.25">
      <c r="A5046" s="98" t="s">
        <v>25</v>
      </c>
      <c r="B5046" s="98" t="s">
        <v>79</v>
      </c>
      <c r="C5046" s="98">
        <v>9</v>
      </c>
      <c r="D5046" s="98">
        <v>1190</v>
      </c>
      <c r="E5046" s="157">
        <v>43111.833333333336</v>
      </c>
      <c r="F5046" s="157">
        <v>43112.208333333336</v>
      </c>
      <c r="G5046" s="98">
        <v>0</v>
      </c>
      <c r="H5046" s="98">
        <v>521</v>
      </c>
      <c r="I5046" s="98">
        <v>482</v>
      </c>
      <c r="J5046" s="98" t="s">
        <v>2007</v>
      </c>
      <c r="K5046" s="98" t="s">
        <v>4362</v>
      </c>
      <c r="L5046" s="105" t="str">
        <f t="shared" si="820"/>
        <v>Mill Creek</v>
      </c>
      <c r="M5046" s="105" t="str">
        <f t="shared" si="821"/>
        <v>Other</v>
      </c>
      <c r="N5046" s="105" t="str">
        <f t="shared" si="822"/>
        <v>Coal</v>
      </c>
      <c r="O5046" s="105">
        <f>IFERROR(VLOOKUP(A5046,Lookup!$J$5:$P$19,7,FALSE),0)</f>
        <v>3</v>
      </c>
      <c r="P5046" s="159">
        <f t="shared" si="823"/>
        <v>2018</v>
      </c>
      <c r="Q5046" s="159">
        <f t="shared" si="824"/>
        <v>1</v>
      </c>
      <c r="R5046" s="160">
        <f t="shared" si="825"/>
        <v>9</v>
      </c>
      <c r="S5046" s="158">
        <f t="shared" si="826"/>
        <v>9</v>
      </c>
      <c r="T5046" s="161">
        <f t="shared" si="827"/>
        <v>4338</v>
      </c>
      <c r="U5046" s="158">
        <f t="shared" si="829"/>
        <v>482</v>
      </c>
      <c r="V5046" s="160">
        <f t="shared" si="828"/>
        <v>482</v>
      </c>
    </row>
    <row r="5047" spans="1:22" x14ac:dyDescent="0.25">
      <c r="A5047" s="98" t="s">
        <v>25</v>
      </c>
      <c r="B5047" s="98" t="s">
        <v>79</v>
      </c>
      <c r="C5047" s="98">
        <v>10</v>
      </c>
      <c r="D5047" s="98">
        <v>1190</v>
      </c>
      <c r="E5047" s="157">
        <v>43115.833333333336</v>
      </c>
      <c r="F5047" s="157">
        <v>43116.15902777778</v>
      </c>
      <c r="G5047" s="98">
        <v>0</v>
      </c>
      <c r="H5047" s="98">
        <v>521</v>
      </c>
      <c r="I5047" s="98">
        <v>482</v>
      </c>
      <c r="J5047" s="98" t="s">
        <v>2007</v>
      </c>
      <c r="K5047" s="98" t="s">
        <v>4362</v>
      </c>
      <c r="L5047" s="105" t="str">
        <f t="shared" si="820"/>
        <v>Mill Creek</v>
      </c>
      <c r="M5047" s="105" t="str">
        <f t="shared" si="821"/>
        <v>Other</v>
      </c>
      <c r="N5047" s="105" t="str">
        <f t="shared" si="822"/>
        <v>Coal</v>
      </c>
      <c r="O5047" s="105">
        <f>IFERROR(VLOOKUP(A5047,Lookup!$J$5:$P$19,7,FALSE),0)</f>
        <v>3</v>
      </c>
      <c r="P5047" s="159">
        <f t="shared" si="823"/>
        <v>2018</v>
      </c>
      <c r="Q5047" s="159">
        <f t="shared" si="824"/>
        <v>1</v>
      </c>
      <c r="R5047" s="160">
        <f t="shared" si="825"/>
        <v>7.8166666666511446</v>
      </c>
      <c r="S5047" s="158">
        <f t="shared" si="826"/>
        <v>7.8166666666511446</v>
      </c>
      <c r="T5047" s="161">
        <f t="shared" si="827"/>
        <v>3767.6333333258517</v>
      </c>
      <c r="U5047" s="158">
        <f t="shared" si="829"/>
        <v>482</v>
      </c>
      <c r="V5047" s="160">
        <f t="shared" si="828"/>
        <v>482</v>
      </c>
    </row>
    <row r="5048" spans="1:22" x14ac:dyDescent="0.25">
      <c r="A5048" s="98" t="s">
        <v>25</v>
      </c>
      <c r="B5048" s="98" t="s">
        <v>17</v>
      </c>
      <c r="C5048" s="98">
        <v>11</v>
      </c>
      <c r="D5048" s="98">
        <v>1455</v>
      </c>
      <c r="E5048" s="157">
        <v>43119.802083333336</v>
      </c>
      <c r="F5048" s="157">
        <v>43120.088888888888</v>
      </c>
      <c r="G5048" s="98">
        <v>510</v>
      </c>
      <c r="H5048" s="98">
        <v>521</v>
      </c>
      <c r="I5048" s="98">
        <v>482</v>
      </c>
      <c r="J5048" s="98" t="s">
        <v>1990</v>
      </c>
      <c r="K5048" s="98" t="s">
        <v>4881</v>
      </c>
      <c r="L5048" s="105" t="str">
        <f t="shared" si="820"/>
        <v>Mill Creek</v>
      </c>
      <c r="M5048" s="105" t="str">
        <f t="shared" si="821"/>
        <v>Derate</v>
      </c>
      <c r="N5048" s="105" t="str">
        <f t="shared" si="822"/>
        <v>Coal</v>
      </c>
      <c r="O5048" s="105">
        <f>IFERROR(VLOOKUP(A5048,Lookup!$J$5:$P$19,7,FALSE),0)</f>
        <v>3</v>
      </c>
      <c r="P5048" s="159">
        <f t="shared" si="823"/>
        <v>2018</v>
      </c>
      <c r="Q5048" s="159">
        <f t="shared" si="824"/>
        <v>1</v>
      </c>
      <c r="R5048" s="160">
        <f t="shared" si="825"/>
        <v>6.8833333332440816</v>
      </c>
      <c r="S5048" s="158">
        <f t="shared" si="826"/>
        <v>0.14532949455985586</v>
      </c>
      <c r="T5048" s="161">
        <f t="shared" si="827"/>
        <v>70.048816377850528</v>
      </c>
      <c r="U5048" s="158">
        <f t="shared" si="829"/>
        <v>10.17658349328215</v>
      </c>
      <c r="V5048" s="160">
        <f t="shared" si="828"/>
        <v>10</v>
      </c>
    </row>
    <row r="5049" spans="1:22" x14ac:dyDescent="0.25">
      <c r="A5049" s="98" t="s">
        <v>25</v>
      </c>
      <c r="B5049" s="98" t="s">
        <v>20</v>
      </c>
      <c r="C5049" s="98">
        <v>12</v>
      </c>
      <c r="D5049" s="98">
        <v>1493</v>
      </c>
      <c r="E5049" s="157">
        <v>43120.088888888888</v>
      </c>
      <c r="F5049" s="157">
        <v>43123</v>
      </c>
      <c r="G5049" s="98">
        <v>0</v>
      </c>
      <c r="H5049" s="98">
        <v>521</v>
      </c>
      <c r="I5049" s="98">
        <v>482</v>
      </c>
      <c r="J5049" s="98" t="s">
        <v>2185</v>
      </c>
      <c r="K5049" s="98" t="s">
        <v>4882</v>
      </c>
      <c r="L5049" s="105" t="str">
        <f t="shared" si="820"/>
        <v>Mill Creek</v>
      </c>
      <c r="M5049" s="105" t="str">
        <f t="shared" si="821"/>
        <v>Maintenance</v>
      </c>
      <c r="N5049" s="105" t="str">
        <f t="shared" si="822"/>
        <v>Coal</v>
      </c>
      <c r="O5049" s="105">
        <f>IFERROR(VLOOKUP(A5049,Lookup!$J$5:$P$19,7,FALSE),0)</f>
        <v>3</v>
      </c>
      <c r="P5049" s="159">
        <f t="shared" si="823"/>
        <v>2018</v>
      </c>
      <c r="Q5049" s="159">
        <f t="shared" si="824"/>
        <v>1</v>
      </c>
      <c r="R5049" s="160">
        <f t="shared" si="825"/>
        <v>69.866666666697711</v>
      </c>
      <c r="S5049" s="158">
        <f t="shared" si="826"/>
        <v>69.866666666697711</v>
      </c>
      <c r="T5049" s="161">
        <f t="shared" si="827"/>
        <v>33675.733333348297</v>
      </c>
      <c r="U5049" s="158">
        <f t="shared" si="829"/>
        <v>482</v>
      </c>
      <c r="V5049" s="160">
        <f t="shared" si="828"/>
        <v>482</v>
      </c>
    </row>
    <row r="5050" spans="1:22" x14ac:dyDescent="0.25">
      <c r="A5050" s="98" t="s">
        <v>25</v>
      </c>
      <c r="B5050" s="98" t="s">
        <v>83</v>
      </c>
      <c r="C5050" s="98">
        <v>13</v>
      </c>
      <c r="D5050" s="98">
        <v>1493</v>
      </c>
      <c r="E5050" s="157">
        <v>43123</v>
      </c>
      <c r="F5050" s="157">
        <v>43123.142361111109</v>
      </c>
      <c r="G5050" s="98">
        <v>0</v>
      </c>
      <c r="H5050" s="98">
        <v>521</v>
      </c>
      <c r="I5050" s="98">
        <v>482</v>
      </c>
      <c r="J5050" s="98" t="s">
        <v>2185</v>
      </c>
      <c r="K5050" s="98" t="s">
        <v>4883</v>
      </c>
      <c r="L5050" s="105" t="str">
        <f t="shared" si="820"/>
        <v>Mill Creek</v>
      </c>
      <c r="M5050" s="105" t="str">
        <f t="shared" si="821"/>
        <v>Maintenance</v>
      </c>
      <c r="N5050" s="105" t="str">
        <f t="shared" si="822"/>
        <v>Coal</v>
      </c>
      <c r="O5050" s="105">
        <f>IFERROR(VLOOKUP(A5050,Lookup!$J$5:$P$19,7,FALSE),0)</f>
        <v>3</v>
      </c>
      <c r="P5050" s="159">
        <f t="shared" si="823"/>
        <v>2018</v>
      </c>
      <c r="Q5050" s="159">
        <f t="shared" si="824"/>
        <v>1</v>
      </c>
      <c r="R5050" s="160">
        <f t="shared" si="825"/>
        <v>3.4166666666278616</v>
      </c>
      <c r="S5050" s="158">
        <f t="shared" si="826"/>
        <v>3.4166666666278616</v>
      </c>
      <c r="T5050" s="161">
        <f t="shared" si="827"/>
        <v>1646.8333333146293</v>
      </c>
      <c r="U5050" s="158">
        <f t="shared" si="829"/>
        <v>482</v>
      </c>
      <c r="V5050" s="160">
        <f t="shared" si="828"/>
        <v>482</v>
      </c>
    </row>
    <row r="5051" spans="1:22" x14ac:dyDescent="0.25">
      <c r="A5051" s="98" t="s">
        <v>25</v>
      </c>
      <c r="B5051" s="98" t="s">
        <v>15</v>
      </c>
      <c r="C5051" s="98">
        <v>14</v>
      </c>
      <c r="D5051" s="98">
        <v>800</v>
      </c>
      <c r="E5051" s="157">
        <v>43123.15625</v>
      </c>
      <c r="F5051" s="157">
        <v>43123.183333333334</v>
      </c>
      <c r="G5051" s="98">
        <v>0</v>
      </c>
      <c r="H5051" s="98">
        <v>521</v>
      </c>
      <c r="I5051" s="98">
        <v>482</v>
      </c>
      <c r="J5051" s="98" t="s">
        <v>2197</v>
      </c>
      <c r="K5051" s="98" t="s">
        <v>44</v>
      </c>
      <c r="L5051" s="105" t="str">
        <f t="shared" si="820"/>
        <v>Mill Creek</v>
      </c>
      <c r="M5051" s="105" t="str">
        <f t="shared" si="821"/>
        <v>Outage</v>
      </c>
      <c r="N5051" s="105" t="str">
        <f t="shared" si="822"/>
        <v>Coal</v>
      </c>
      <c r="O5051" s="105">
        <f>IFERROR(VLOOKUP(A5051,Lookup!$J$5:$P$19,7,FALSE),0)</f>
        <v>3</v>
      </c>
      <c r="P5051" s="159">
        <f t="shared" si="823"/>
        <v>2018</v>
      </c>
      <c r="Q5051" s="159">
        <f t="shared" si="824"/>
        <v>1</v>
      </c>
      <c r="R5051" s="160">
        <f t="shared" si="825"/>
        <v>0.65000000002328306</v>
      </c>
      <c r="S5051" s="158">
        <f t="shared" si="826"/>
        <v>0.65000000002328306</v>
      </c>
      <c r="T5051" s="161">
        <f t="shared" si="827"/>
        <v>313.30000001122244</v>
      </c>
      <c r="U5051" s="158">
        <f t="shared" si="829"/>
        <v>482</v>
      </c>
      <c r="V5051" s="160">
        <f t="shared" si="828"/>
        <v>482</v>
      </c>
    </row>
    <row r="5052" spans="1:22" x14ac:dyDescent="0.25">
      <c r="A5052" s="98" t="s">
        <v>25</v>
      </c>
      <c r="B5052" s="98" t="s">
        <v>17</v>
      </c>
      <c r="C5052" s="98">
        <v>15</v>
      </c>
      <c r="D5052" s="98">
        <v>1400</v>
      </c>
      <c r="E5052" s="157">
        <v>43123.688888888886</v>
      </c>
      <c r="F5052" s="157">
        <v>43124.300694444442</v>
      </c>
      <c r="G5052" s="98">
        <v>500</v>
      </c>
      <c r="H5052" s="98">
        <v>521</v>
      </c>
      <c r="I5052" s="98">
        <v>482</v>
      </c>
      <c r="J5052" s="98" t="s">
        <v>2043</v>
      </c>
      <c r="K5052" s="98" t="s">
        <v>4884</v>
      </c>
      <c r="L5052" s="105" t="str">
        <f t="shared" si="820"/>
        <v>Mill Creek</v>
      </c>
      <c r="M5052" s="105" t="str">
        <f t="shared" si="821"/>
        <v>Derate</v>
      </c>
      <c r="N5052" s="105" t="str">
        <f t="shared" si="822"/>
        <v>Coal</v>
      </c>
      <c r="O5052" s="105">
        <f>IFERROR(VLOOKUP(A5052,Lookup!$J$5:$P$19,7,FALSE),0)</f>
        <v>3</v>
      </c>
      <c r="P5052" s="159">
        <f t="shared" si="823"/>
        <v>2018</v>
      </c>
      <c r="Q5052" s="159">
        <f t="shared" si="824"/>
        <v>1</v>
      </c>
      <c r="R5052" s="160">
        <f t="shared" si="825"/>
        <v>14.683333333348855</v>
      </c>
      <c r="S5052" s="158">
        <f t="shared" si="826"/>
        <v>0.59184261036530894</v>
      </c>
      <c r="T5052" s="161">
        <f t="shared" si="827"/>
        <v>285.26813819607889</v>
      </c>
      <c r="U5052" s="158">
        <f t="shared" si="829"/>
        <v>19.428023032629557</v>
      </c>
      <c r="V5052" s="160">
        <f t="shared" si="828"/>
        <v>19</v>
      </c>
    </row>
    <row r="5053" spans="1:22" x14ac:dyDescent="0.25">
      <c r="A5053" s="98" t="s">
        <v>25</v>
      </c>
      <c r="B5053" s="98" t="s">
        <v>20</v>
      </c>
      <c r="C5053" s="98">
        <v>16</v>
      </c>
      <c r="D5053" s="98">
        <v>1495</v>
      </c>
      <c r="E5053" s="157">
        <v>43139.969444444447</v>
      </c>
      <c r="F5053" s="157">
        <v>43142.709722222222</v>
      </c>
      <c r="G5053" s="98">
        <v>0</v>
      </c>
      <c r="H5053" s="98">
        <v>521</v>
      </c>
      <c r="I5053" s="98">
        <v>482</v>
      </c>
      <c r="J5053" s="98" t="s">
        <v>2988</v>
      </c>
      <c r="K5053" s="98" t="s">
        <v>4885</v>
      </c>
      <c r="L5053" s="105" t="str">
        <f t="shared" si="820"/>
        <v>Mill Creek</v>
      </c>
      <c r="M5053" s="105" t="str">
        <f t="shared" si="821"/>
        <v>Maintenance</v>
      </c>
      <c r="N5053" s="105" t="str">
        <f t="shared" si="822"/>
        <v>Coal</v>
      </c>
      <c r="O5053" s="105">
        <f>IFERROR(VLOOKUP(A5053,Lookup!$J$5:$P$19,7,FALSE),0)</f>
        <v>3</v>
      </c>
      <c r="P5053" s="159">
        <f t="shared" si="823"/>
        <v>2018</v>
      </c>
      <c r="Q5053" s="159">
        <f t="shared" si="824"/>
        <v>2</v>
      </c>
      <c r="R5053" s="160">
        <f t="shared" si="825"/>
        <v>65.766666666604578</v>
      </c>
      <c r="S5053" s="158">
        <f t="shared" si="826"/>
        <v>65.766666666604578</v>
      </c>
      <c r="T5053" s="161">
        <f t="shared" si="827"/>
        <v>31699.533333303407</v>
      </c>
      <c r="U5053" s="158">
        <f t="shared" si="829"/>
        <v>482</v>
      </c>
      <c r="V5053" s="160">
        <f t="shared" si="828"/>
        <v>482</v>
      </c>
    </row>
    <row r="5054" spans="1:22" x14ac:dyDescent="0.25">
      <c r="A5054" s="98" t="s">
        <v>25</v>
      </c>
      <c r="B5054" s="98" t="s">
        <v>79</v>
      </c>
      <c r="C5054" s="98">
        <v>17</v>
      </c>
      <c r="D5054" s="98">
        <v>1471</v>
      </c>
      <c r="E5054" s="157">
        <v>43147.958333333336</v>
      </c>
      <c r="F5054" s="157">
        <v>43148.029861111114</v>
      </c>
      <c r="G5054" s="98">
        <v>0</v>
      </c>
      <c r="H5054" s="98">
        <v>521</v>
      </c>
      <c r="I5054" s="98">
        <v>482</v>
      </c>
      <c r="J5054" s="98" t="s">
        <v>2279</v>
      </c>
      <c r="K5054" s="98" t="s">
        <v>4886</v>
      </c>
      <c r="L5054" s="105" t="str">
        <f t="shared" si="820"/>
        <v>Mill Creek</v>
      </c>
      <c r="M5054" s="105" t="str">
        <f t="shared" si="821"/>
        <v>Other</v>
      </c>
      <c r="N5054" s="105" t="str">
        <f t="shared" si="822"/>
        <v>Coal</v>
      </c>
      <c r="O5054" s="105">
        <f>IFERROR(VLOOKUP(A5054,Lookup!$J$5:$P$19,7,FALSE),0)</f>
        <v>3</v>
      </c>
      <c r="P5054" s="159">
        <f t="shared" si="823"/>
        <v>2018</v>
      </c>
      <c r="Q5054" s="159">
        <f t="shared" si="824"/>
        <v>2</v>
      </c>
      <c r="R5054" s="160">
        <f t="shared" si="825"/>
        <v>1.7166666666744277</v>
      </c>
      <c r="S5054" s="158">
        <f t="shared" si="826"/>
        <v>1.7166666666744277</v>
      </c>
      <c r="T5054" s="161">
        <f t="shared" si="827"/>
        <v>827.43333333707415</v>
      </c>
      <c r="U5054" s="158">
        <f t="shared" si="829"/>
        <v>482</v>
      </c>
      <c r="V5054" s="160">
        <f t="shared" si="828"/>
        <v>482</v>
      </c>
    </row>
    <row r="5055" spans="1:22" x14ac:dyDescent="0.25">
      <c r="A5055" s="98" t="s">
        <v>25</v>
      </c>
      <c r="B5055" s="98" t="s">
        <v>15</v>
      </c>
      <c r="C5055" s="98">
        <v>18</v>
      </c>
      <c r="D5055" s="98">
        <v>800</v>
      </c>
      <c r="E5055" s="157">
        <v>43156.284722222219</v>
      </c>
      <c r="F5055" s="157">
        <v>43156.368055555555</v>
      </c>
      <c r="G5055" s="98">
        <v>0</v>
      </c>
      <c r="H5055" s="98">
        <v>521</v>
      </c>
      <c r="I5055" s="98">
        <v>482</v>
      </c>
      <c r="J5055" s="98" t="s">
        <v>2197</v>
      </c>
      <c r="K5055" s="98" t="s">
        <v>4887</v>
      </c>
      <c r="L5055" s="105" t="str">
        <f t="shared" si="820"/>
        <v>Mill Creek</v>
      </c>
      <c r="M5055" s="105" t="str">
        <f t="shared" si="821"/>
        <v>Outage</v>
      </c>
      <c r="N5055" s="105" t="str">
        <f t="shared" si="822"/>
        <v>Coal</v>
      </c>
      <c r="O5055" s="105">
        <f>IFERROR(VLOOKUP(A5055,Lookup!$J$5:$P$19,7,FALSE),0)</f>
        <v>3</v>
      </c>
      <c r="P5055" s="159">
        <f t="shared" si="823"/>
        <v>2018</v>
      </c>
      <c r="Q5055" s="159">
        <f t="shared" si="824"/>
        <v>2</v>
      </c>
      <c r="R5055" s="160">
        <f t="shared" si="825"/>
        <v>2.0000000000582077</v>
      </c>
      <c r="S5055" s="158">
        <f t="shared" si="826"/>
        <v>2.0000000000582077</v>
      </c>
      <c r="T5055" s="161">
        <f t="shared" si="827"/>
        <v>964.00000002805609</v>
      </c>
      <c r="U5055" s="158">
        <f t="shared" si="829"/>
        <v>482</v>
      </c>
      <c r="V5055" s="160">
        <f t="shared" si="828"/>
        <v>482</v>
      </c>
    </row>
    <row r="5056" spans="1:22" x14ac:dyDescent="0.25">
      <c r="A5056" s="98" t="s">
        <v>25</v>
      </c>
      <c r="B5056" s="98" t="s">
        <v>79</v>
      </c>
      <c r="C5056" s="98">
        <v>19</v>
      </c>
      <c r="D5056" s="98">
        <v>1471</v>
      </c>
      <c r="E5056" s="157">
        <v>43158.376388888886</v>
      </c>
      <c r="F5056" s="157">
        <v>43158.387499999997</v>
      </c>
      <c r="G5056" s="98">
        <v>0</v>
      </c>
      <c r="H5056" s="98">
        <v>521</v>
      </c>
      <c r="I5056" s="98">
        <v>482</v>
      </c>
      <c r="J5056" s="98" t="s">
        <v>2279</v>
      </c>
      <c r="K5056" s="98" t="s">
        <v>4888</v>
      </c>
      <c r="L5056" s="105" t="str">
        <f t="shared" si="820"/>
        <v>Mill Creek</v>
      </c>
      <c r="M5056" s="105" t="str">
        <f t="shared" si="821"/>
        <v>Other</v>
      </c>
      <c r="N5056" s="105" t="str">
        <f t="shared" si="822"/>
        <v>Coal</v>
      </c>
      <c r="O5056" s="105">
        <f>IFERROR(VLOOKUP(A5056,Lookup!$J$5:$P$19,7,FALSE),0)</f>
        <v>3</v>
      </c>
      <c r="P5056" s="159">
        <f t="shared" si="823"/>
        <v>2018</v>
      </c>
      <c r="Q5056" s="159">
        <f t="shared" si="824"/>
        <v>2</v>
      </c>
      <c r="R5056" s="160">
        <f t="shared" si="825"/>
        <v>0.26666666666278616</v>
      </c>
      <c r="S5056" s="158">
        <f t="shared" si="826"/>
        <v>0.26666666666278616</v>
      </c>
      <c r="T5056" s="161">
        <f t="shared" si="827"/>
        <v>128.53333333146293</v>
      </c>
      <c r="U5056" s="158">
        <f t="shared" si="829"/>
        <v>482</v>
      </c>
      <c r="V5056" s="160">
        <f t="shared" si="828"/>
        <v>482</v>
      </c>
    </row>
    <row r="5057" spans="1:22" x14ac:dyDescent="0.25">
      <c r="A5057" s="98" t="s">
        <v>25</v>
      </c>
      <c r="B5057" s="98" t="s">
        <v>20</v>
      </c>
      <c r="C5057" s="98">
        <v>20</v>
      </c>
      <c r="D5057" s="98">
        <v>1493</v>
      </c>
      <c r="E5057" s="157">
        <v>43161.982638888891</v>
      </c>
      <c r="F5057" s="157">
        <v>43165</v>
      </c>
      <c r="G5057" s="98">
        <v>0</v>
      </c>
      <c r="H5057" s="98">
        <v>521</v>
      </c>
      <c r="I5057" s="98">
        <v>482</v>
      </c>
      <c r="J5057" s="98" t="s">
        <v>2185</v>
      </c>
      <c r="K5057" s="98" t="s">
        <v>4889</v>
      </c>
      <c r="L5057" s="105" t="str">
        <f t="shared" si="820"/>
        <v>Mill Creek</v>
      </c>
      <c r="M5057" s="105" t="str">
        <f t="shared" si="821"/>
        <v>Maintenance</v>
      </c>
      <c r="N5057" s="105" t="str">
        <f t="shared" si="822"/>
        <v>Coal</v>
      </c>
      <c r="O5057" s="105">
        <f>IFERROR(VLOOKUP(A5057,Lookup!$J$5:$P$19,7,FALSE),0)</f>
        <v>3</v>
      </c>
      <c r="P5057" s="159">
        <f t="shared" si="823"/>
        <v>2018</v>
      </c>
      <c r="Q5057" s="159">
        <f t="shared" si="824"/>
        <v>3</v>
      </c>
      <c r="R5057" s="160">
        <f t="shared" si="825"/>
        <v>72.416666666627862</v>
      </c>
      <c r="S5057" s="158">
        <f t="shared" si="826"/>
        <v>72.416666666627862</v>
      </c>
      <c r="T5057" s="161">
        <f t="shared" si="827"/>
        <v>34904.833333314629</v>
      </c>
      <c r="U5057" s="158">
        <f t="shared" si="829"/>
        <v>482</v>
      </c>
      <c r="V5057" s="160">
        <f t="shared" si="828"/>
        <v>482</v>
      </c>
    </row>
    <row r="5058" spans="1:22" x14ac:dyDescent="0.25">
      <c r="A5058" s="98" t="s">
        <v>25</v>
      </c>
      <c r="B5058" s="98" t="s">
        <v>83</v>
      </c>
      <c r="C5058" s="98">
        <v>21</v>
      </c>
      <c r="D5058" s="98">
        <v>1493</v>
      </c>
      <c r="E5058" s="157">
        <v>43165</v>
      </c>
      <c r="F5058" s="157">
        <v>43166.106249999997</v>
      </c>
      <c r="G5058" s="98">
        <v>0</v>
      </c>
      <c r="H5058" s="98">
        <v>521</v>
      </c>
      <c r="I5058" s="98">
        <v>482</v>
      </c>
      <c r="J5058" s="98" t="s">
        <v>2185</v>
      </c>
      <c r="K5058" s="98" t="s">
        <v>4883</v>
      </c>
      <c r="L5058" s="105" t="str">
        <f t="shared" si="820"/>
        <v>Mill Creek</v>
      </c>
      <c r="M5058" s="105" t="str">
        <f t="shared" si="821"/>
        <v>Maintenance</v>
      </c>
      <c r="N5058" s="105" t="str">
        <f t="shared" si="822"/>
        <v>Coal</v>
      </c>
      <c r="O5058" s="105">
        <f>IFERROR(VLOOKUP(A5058,Lookup!$J$5:$P$19,7,FALSE),0)</f>
        <v>3</v>
      </c>
      <c r="P5058" s="159">
        <f t="shared" si="823"/>
        <v>2018</v>
      </c>
      <c r="Q5058" s="159">
        <f t="shared" si="824"/>
        <v>3</v>
      </c>
      <c r="R5058" s="160">
        <f t="shared" si="825"/>
        <v>26.549999999930151</v>
      </c>
      <c r="S5058" s="158">
        <f t="shared" si="826"/>
        <v>26.549999999930151</v>
      </c>
      <c r="T5058" s="161">
        <f t="shared" si="827"/>
        <v>12797.099999966333</v>
      </c>
      <c r="U5058" s="158">
        <f t="shared" si="829"/>
        <v>482</v>
      </c>
      <c r="V5058" s="160">
        <f t="shared" si="828"/>
        <v>482</v>
      </c>
    </row>
    <row r="5059" spans="1:22" x14ac:dyDescent="0.25">
      <c r="A5059" s="98" t="s">
        <v>25</v>
      </c>
      <c r="B5059" s="98" t="s">
        <v>18</v>
      </c>
      <c r="C5059" s="98">
        <v>22</v>
      </c>
      <c r="D5059" s="98">
        <v>8280</v>
      </c>
      <c r="E5059" s="157">
        <v>43166.106249999997</v>
      </c>
      <c r="F5059" s="157">
        <v>43166.330555555556</v>
      </c>
      <c r="G5059" s="98">
        <v>0</v>
      </c>
      <c r="H5059" s="98">
        <v>521</v>
      </c>
      <c r="I5059" s="98">
        <v>482</v>
      </c>
      <c r="J5059" s="98" t="s">
        <v>2255</v>
      </c>
      <c r="K5059" s="98" t="s">
        <v>4890</v>
      </c>
      <c r="L5059" s="105" t="str">
        <f t="shared" si="820"/>
        <v>Mill Creek</v>
      </c>
      <c r="M5059" s="105" t="str">
        <f t="shared" si="821"/>
        <v>Outage</v>
      </c>
      <c r="N5059" s="105" t="str">
        <f t="shared" si="822"/>
        <v>Coal</v>
      </c>
      <c r="O5059" s="105">
        <f>IFERROR(VLOOKUP(A5059,Lookup!$J$5:$P$19,7,FALSE),0)</f>
        <v>3</v>
      </c>
      <c r="P5059" s="159">
        <f t="shared" si="823"/>
        <v>2018</v>
      </c>
      <c r="Q5059" s="159">
        <f t="shared" si="824"/>
        <v>3</v>
      </c>
      <c r="R5059" s="160">
        <f t="shared" si="825"/>
        <v>5.3833333334187046</v>
      </c>
      <c r="S5059" s="158">
        <f t="shared" si="826"/>
        <v>5.3833333334187046</v>
      </c>
      <c r="T5059" s="161">
        <f t="shared" si="827"/>
        <v>2594.7666667078156</v>
      </c>
      <c r="U5059" s="158">
        <f t="shared" si="829"/>
        <v>482</v>
      </c>
      <c r="V5059" s="160">
        <f t="shared" si="828"/>
        <v>482</v>
      </c>
    </row>
    <row r="5060" spans="1:22" x14ac:dyDescent="0.25">
      <c r="A5060" s="98" t="s">
        <v>25</v>
      </c>
      <c r="B5060" s="98" t="s">
        <v>105</v>
      </c>
      <c r="C5060" s="98">
        <v>23</v>
      </c>
      <c r="D5060" s="98">
        <v>3211</v>
      </c>
      <c r="E5060" s="157">
        <v>43210.916666666664</v>
      </c>
      <c r="F5060" s="157">
        <v>43211.166666666664</v>
      </c>
      <c r="G5060" s="98">
        <v>290</v>
      </c>
      <c r="H5060" s="98">
        <v>521</v>
      </c>
      <c r="I5060" s="98">
        <v>482</v>
      </c>
      <c r="J5060" s="98" t="s">
        <v>2180</v>
      </c>
      <c r="K5060" s="98" t="s">
        <v>4891</v>
      </c>
      <c r="L5060" s="105" t="str">
        <f t="shared" si="820"/>
        <v>Mill Creek</v>
      </c>
      <c r="M5060" s="105" t="str">
        <f t="shared" si="821"/>
        <v>Derate</v>
      </c>
      <c r="N5060" s="105" t="str">
        <f t="shared" si="822"/>
        <v>Coal</v>
      </c>
      <c r="O5060" s="105">
        <f>IFERROR(VLOOKUP(A5060,Lookup!$J$5:$P$19,7,FALSE),0)</f>
        <v>3</v>
      </c>
      <c r="P5060" s="159">
        <f t="shared" si="823"/>
        <v>2018</v>
      </c>
      <c r="Q5060" s="159">
        <f t="shared" si="824"/>
        <v>4</v>
      </c>
      <c r="R5060" s="160">
        <f t="shared" si="825"/>
        <v>6</v>
      </c>
      <c r="S5060" s="158">
        <f t="shared" si="826"/>
        <v>2.6602687140115164</v>
      </c>
      <c r="T5060" s="161">
        <f t="shared" si="827"/>
        <v>1282.249520153551</v>
      </c>
      <c r="U5060" s="158">
        <f t="shared" si="829"/>
        <v>213.70825335892513</v>
      </c>
      <c r="V5060" s="160">
        <f t="shared" si="828"/>
        <v>214</v>
      </c>
    </row>
    <row r="5061" spans="1:22" x14ac:dyDescent="0.25">
      <c r="A5061" s="98" t="s">
        <v>19</v>
      </c>
      <c r="B5061" s="98" t="s">
        <v>33</v>
      </c>
      <c r="C5061" s="98">
        <v>2</v>
      </c>
      <c r="D5061" s="98">
        <v>1000</v>
      </c>
      <c r="E5061" s="157">
        <v>41275</v>
      </c>
      <c r="F5061" s="157">
        <v>41275.112500000003</v>
      </c>
      <c r="G5061" s="98">
        <v>0</v>
      </c>
      <c r="H5061" s="98">
        <v>530</v>
      </c>
      <c r="I5061" s="98">
        <v>493</v>
      </c>
      <c r="J5061" s="98" t="s">
        <v>2002</v>
      </c>
      <c r="K5061" s="98" t="s">
        <v>735</v>
      </c>
      <c r="L5061" s="105" t="str">
        <f t="shared" ref="L5061:L5103" si="830">IF(OR(A5061="BR1",A5061="BR2",A5061="BR3",A5061="BR5",A5061="BR6",A5061="BR7",A5061="BR8",A5061="BR9",A5061="BR10",A5061="BR11"),"Brown",IF(OR(A5061="CR4",A5061="CR5",A5061="CR6",A5061="CR11"),"Cane Run",IF(OR(A5061="GH1",A5061="GH2",A5061="GH3",A5061="GH4"),"Ghent",IF(OR(A5061="GR3",A5061="GR4"),"Green River",IF(OR(A5061="MC1",A5061="MC2",A5061="MC3",A5061="MC4"),"Mill Creek",IF(OR(A5061="TC1",A5061="TC2",A5061="TC5",A5061="TC6",A5061="TC7",A5061="TC8",A5061="TC9",A5061="TC10"),"Trimble",IF(A5061="TY3","Tyrone",IF(OR(A5061="HA1",A5061="HA2",A5061="HA3"),"Haeflin",IF(OR(A5061="PR11",A5061="PR12",A5061="PR13"),"Paddy's Run","Zorn")))))))))</f>
        <v>Trimble</v>
      </c>
      <c r="M5061" s="105" t="str">
        <f t="shared" ref="M5061:M5103" si="831">IF(OR(B5061="D1",B5061="D2",B5061="D3",B5061="D4",B5061="PD"),"Derate",IF(OR(B5061="SF",B5061="U1",B5061="U2",B5061="U3"),"Outage",IF(OR(B5061="ME",B5061="MO"),"Maintenance","Other")))</f>
        <v>Outage</v>
      </c>
      <c r="N5061" s="105" t="str">
        <f t="shared" ref="N5061:N5103" si="832">IF(OR(A5061="BR1",A5061="BR2",A5061="BR3",A5061="CR4",A5061="CR5",A5061="CR6",A5061="GH1",A5061="GH2",A5061="GH3",A5061="GH4",A5061="GR3",A5061="GR4",A5061="MC1",A5061="MC2",A5061="MC3",A5061="MC4",A5061="TC1",A5061="TC2",A5061="TY3"),"Coal","Gas")</f>
        <v>Coal</v>
      </c>
      <c r="O5061" s="105">
        <f>IFERROR(VLOOKUP(A5061,Lookup!$J$5:$P$19,7,FALSE),0)</f>
        <v>3</v>
      </c>
      <c r="P5061" s="159">
        <f t="shared" ref="P5061:P5103" si="833">YEAR(E5061)</f>
        <v>2013</v>
      </c>
      <c r="Q5061" s="159">
        <f t="shared" ref="Q5061:Q5103" si="834">MONTH(E5061)</f>
        <v>1</v>
      </c>
      <c r="R5061" s="160">
        <f t="shared" ref="R5061:R5103" si="835">(F5061-E5061)*24</f>
        <v>2.7000000000698492</v>
      </c>
      <c r="S5061" s="158">
        <f t="shared" ref="S5061:S5103" si="836">R5061*(H5061-G5061)/H5061</f>
        <v>2.7000000000698492</v>
      </c>
      <c r="T5061" s="161">
        <f t="shared" ref="T5061:T5103" si="837">S5061*I5061</f>
        <v>1331.1000000344357</v>
      </c>
      <c r="U5061" s="158">
        <f t="shared" ref="U5061:U5104" si="838">IF(G5061&gt;0,MAX((H5061-G5061),0)*I5061/H5061,I5061)</f>
        <v>493</v>
      </c>
      <c r="V5061" s="160">
        <f t="shared" ref="V5061:V5103" si="839">ROUND(U5061,0)</f>
        <v>493</v>
      </c>
    </row>
    <row r="5062" spans="1:22" x14ac:dyDescent="0.25">
      <c r="A5062" s="98" t="s">
        <v>19</v>
      </c>
      <c r="B5062" s="98" t="s">
        <v>79</v>
      </c>
      <c r="C5062" s="98">
        <v>1</v>
      </c>
      <c r="D5062" s="98">
        <v>1850</v>
      </c>
      <c r="E5062" s="157">
        <v>41275.112500000003</v>
      </c>
      <c r="F5062" s="157">
        <v>41275.363194444442</v>
      </c>
      <c r="G5062" s="98">
        <v>0</v>
      </c>
      <c r="H5062" s="98">
        <v>530</v>
      </c>
      <c r="I5062" s="98">
        <v>493</v>
      </c>
      <c r="J5062" s="98" t="s">
        <v>2263</v>
      </c>
      <c r="K5062" s="98" t="s">
        <v>257</v>
      </c>
      <c r="L5062" s="105" t="str">
        <f t="shared" si="830"/>
        <v>Trimble</v>
      </c>
      <c r="M5062" s="105" t="str">
        <f t="shared" si="831"/>
        <v>Other</v>
      </c>
      <c r="N5062" s="105" t="str">
        <f t="shared" si="832"/>
        <v>Coal</v>
      </c>
      <c r="O5062" s="105">
        <f>IFERROR(VLOOKUP(A5062,Lookup!$J$5:$P$19,7,FALSE),0)</f>
        <v>3</v>
      </c>
      <c r="P5062" s="159">
        <f t="shared" si="833"/>
        <v>2013</v>
      </c>
      <c r="Q5062" s="159">
        <f t="shared" si="834"/>
        <v>1</v>
      </c>
      <c r="R5062" s="160">
        <f t="shared" si="835"/>
        <v>6.0166666665463708</v>
      </c>
      <c r="S5062" s="158">
        <f t="shared" si="836"/>
        <v>6.0166666665463708</v>
      </c>
      <c r="T5062" s="161">
        <f t="shared" si="837"/>
        <v>2966.2166666073608</v>
      </c>
      <c r="U5062" s="158">
        <f t="shared" si="838"/>
        <v>493</v>
      </c>
      <c r="V5062" s="160">
        <f t="shared" si="839"/>
        <v>493</v>
      </c>
    </row>
    <row r="5063" spans="1:22" x14ac:dyDescent="0.25">
      <c r="A5063" s="98" t="s">
        <v>19</v>
      </c>
      <c r="B5063" s="98" t="s">
        <v>79</v>
      </c>
      <c r="C5063" s="98">
        <v>3</v>
      </c>
      <c r="D5063" s="98">
        <v>4261</v>
      </c>
      <c r="E5063" s="157">
        <v>41280.041666666664</v>
      </c>
      <c r="F5063" s="157">
        <v>41280.047222222223</v>
      </c>
      <c r="G5063" s="98">
        <v>0</v>
      </c>
      <c r="H5063" s="98">
        <v>530</v>
      </c>
      <c r="I5063" s="98">
        <v>493</v>
      </c>
      <c r="J5063" s="98" t="s">
        <v>1985</v>
      </c>
      <c r="K5063" s="98" t="s">
        <v>736</v>
      </c>
      <c r="L5063" s="105" t="str">
        <f t="shared" si="830"/>
        <v>Trimble</v>
      </c>
      <c r="M5063" s="105" t="str">
        <f t="shared" si="831"/>
        <v>Other</v>
      </c>
      <c r="N5063" s="105" t="str">
        <f t="shared" si="832"/>
        <v>Coal</v>
      </c>
      <c r="O5063" s="105">
        <f>IFERROR(VLOOKUP(A5063,Lookup!$J$5:$P$19,7,FALSE),0)</f>
        <v>3</v>
      </c>
      <c r="P5063" s="159">
        <f t="shared" si="833"/>
        <v>2013</v>
      </c>
      <c r="Q5063" s="159">
        <f t="shared" si="834"/>
        <v>1</v>
      </c>
      <c r="R5063" s="160">
        <f t="shared" si="835"/>
        <v>0.13333333341870457</v>
      </c>
      <c r="S5063" s="158">
        <f t="shared" si="836"/>
        <v>0.13333333341870457</v>
      </c>
      <c r="T5063" s="161">
        <f t="shared" si="837"/>
        <v>65.733333375421353</v>
      </c>
      <c r="U5063" s="158">
        <f t="shared" si="838"/>
        <v>493</v>
      </c>
      <c r="V5063" s="160">
        <f t="shared" si="839"/>
        <v>493</v>
      </c>
    </row>
    <row r="5064" spans="1:22" x14ac:dyDescent="0.25">
      <c r="A5064" s="98" t="s">
        <v>19</v>
      </c>
      <c r="B5064" s="98" t="s">
        <v>15</v>
      </c>
      <c r="C5064" s="98">
        <v>4</v>
      </c>
      <c r="D5064" s="98">
        <v>1000</v>
      </c>
      <c r="E5064" s="157">
        <v>41283.935416666667</v>
      </c>
      <c r="F5064" s="157">
        <v>41283.977083333331</v>
      </c>
      <c r="G5064" s="98">
        <v>0</v>
      </c>
      <c r="H5064" s="98">
        <v>530</v>
      </c>
      <c r="I5064" s="98">
        <v>493</v>
      </c>
      <c r="J5064" s="98" t="s">
        <v>2002</v>
      </c>
      <c r="K5064" s="98" t="s">
        <v>737</v>
      </c>
      <c r="L5064" s="105" t="str">
        <f t="shared" si="830"/>
        <v>Trimble</v>
      </c>
      <c r="M5064" s="105" t="str">
        <f t="shared" si="831"/>
        <v>Outage</v>
      </c>
      <c r="N5064" s="105" t="str">
        <f t="shared" si="832"/>
        <v>Coal</v>
      </c>
      <c r="O5064" s="105">
        <f>IFERROR(VLOOKUP(A5064,Lookup!$J$5:$P$19,7,FALSE),0)</f>
        <v>3</v>
      </c>
      <c r="P5064" s="159">
        <f t="shared" si="833"/>
        <v>2013</v>
      </c>
      <c r="Q5064" s="159">
        <f t="shared" si="834"/>
        <v>1</v>
      </c>
      <c r="R5064" s="160">
        <f t="shared" si="835"/>
        <v>0.99999999994179234</v>
      </c>
      <c r="S5064" s="158">
        <f t="shared" si="836"/>
        <v>0.99999999994179234</v>
      </c>
      <c r="T5064" s="161">
        <f t="shared" si="837"/>
        <v>492.99999997130362</v>
      </c>
      <c r="U5064" s="158">
        <f t="shared" si="838"/>
        <v>493</v>
      </c>
      <c r="V5064" s="160">
        <f t="shared" si="839"/>
        <v>493</v>
      </c>
    </row>
    <row r="5065" spans="1:22" x14ac:dyDescent="0.25">
      <c r="A5065" s="98" t="s">
        <v>19</v>
      </c>
      <c r="B5065" s="98" t="s">
        <v>20</v>
      </c>
      <c r="C5065" s="98">
        <v>5</v>
      </c>
      <c r="D5065" s="98">
        <v>1000</v>
      </c>
      <c r="E5065" s="157">
        <v>41283.977083333331</v>
      </c>
      <c r="F5065" s="157">
        <v>41288.25</v>
      </c>
      <c r="G5065" s="98">
        <v>0</v>
      </c>
      <c r="H5065" s="98">
        <v>530</v>
      </c>
      <c r="I5065" s="98">
        <v>493</v>
      </c>
      <c r="J5065" s="98" t="s">
        <v>2002</v>
      </c>
      <c r="K5065" s="98" t="s">
        <v>738</v>
      </c>
      <c r="L5065" s="105" t="str">
        <f t="shared" si="830"/>
        <v>Trimble</v>
      </c>
      <c r="M5065" s="105" t="str">
        <f t="shared" si="831"/>
        <v>Maintenance</v>
      </c>
      <c r="N5065" s="105" t="str">
        <f t="shared" si="832"/>
        <v>Coal</v>
      </c>
      <c r="O5065" s="105">
        <f>IFERROR(VLOOKUP(A5065,Lookup!$J$5:$P$19,7,FALSE),0)</f>
        <v>3</v>
      </c>
      <c r="P5065" s="159">
        <f t="shared" si="833"/>
        <v>2013</v>
      </c>
      <c r="Q5065" s="159">
        <f t="shared" si="834"/>
        <v>1</v>
      </c>
      <c r="R5065" s="160">
        <f t="shared" si="835"/>
        <v>102.55000000004657</v>
      </c>
      <c r="S5065" s="158">
        <f t="shared" si="836"/>
        <v>102.55000000004657</v>
      </c>
      <c r="T5065" s="161">
        <f t="shared" si="837"/>
        <v>50557.150000022957</v>
      </c>
      <c r="U5065" s="158">
        <f t="shared" si="838"/>
        <v>493</v>
      </c>
      <c r="V5065" s="160">
        <f t="shared" si="839"/>
        <v>493</v>
      </c>
    </row>
    <row r="5066" spans="1:22" x14ac:dyDescent="0.25">
      <c r="A5066" s="98" t="s">
        <v>19</v>
      </c>
      <c r="B5066" s="98" t="s">
        <v>83</v>
      </c>
      <c r="C5066" s="98">
        <v>6</v>
      </c>
      <c r="D5066" s="98">
        <v>1000</v>
      </c>
      <c r="E5066" s="157">
        <v>41288.25</v>
      </c>
      <c r="F5066" s="157">
        <v>41288.99722222222</v>
      </c>
      <c r="G5066" s="98">
        <v>0</v>
      </c>
      <c r="H5066" s="98">
        <v>530</v>
      </c>
      <c r="I5066" s="98">
        <v>493</v>
      </c>
      <c r="J5066" s="98" t="s">
        <v>2002</v>
      </c>
      <c r="K5066" s="98" t="s">
        <v>738</v>
      </c>
      <c r="L5066" s="105" t="str">
        <f t="shared" si="830"/>
        <v>Trimble</v>
      </c>
      <c r="M5066" s="105" t="str">
        <f t="shared" si="831"/>
        <v>Maintenance</v>
      </c>
      <c r="N5066" s="105" t="str">
        <f t="shared" si="832"/>
        <v>Coal</v>
      </c>
      <c r="O5066" s="105">
        <f>IFERROR(VLOOKUP(A5066,Lookup!$J$5:$P$19,7,FALSE),0)</f>
        <v>3</v>
      </c>
      <c r="P5066" s="159">
        <f t="shared" si="833"/>
        <v>2013</v>
      </c>
      <c r="Q5066" s="159">
        <f t="shared" si="834"/>
        <v>1</v>
      </c>
      <c r="R5066" s="160">
        <f t="shared" si="835"/>
        <v>17.933333333290648</v>
      </c>
      <c r="S5066" s="158">
        <f t="shared" si="836"/>
        <v>17.933333333290648</v>
      </c>
      <c r="T5066" s="161">
        <f t="shared" si="837"/>
        <v>8841.1333333122893</v>
      </c>
      <c r="U5066" s="158">
        <f t="shared" si="838"/>
        <v>493</v>
      </c>
      <c r="V5066" s="160">
        <f t="shared" si="839"/>
        <v>493</v>
      </c>
    </row>
    <row r="5067" spans="1:22" x14ac:dyDescent="0.25">
      <c r="A5067" s="98" t="s">
        <v>19</v>
      </c>
      <c r="B5067" s="98" t="s">
        <v>79</v>
      </c>
      <c r="C5067" s="98">
        <v>8</v>
      </c>
      <c r="D5067" s="98">
        <v>1850</v>
      </c>
      <c r="E5067" s="157">
        <v>41288.99722222222</v>
      </c>
      <c r="F5067" s="157">
        <v>41289.590277777781</v>
      </c>
      <c r="G5067" s="98">
        <v>0</v>
      </c>
      <c r="H5067" s="98">
        <v>530</v>
      </c>
      <c r="I5067" s="98">
        <v>493</v>
      </c>
      <c r="J5067" s="98" t="s">
        <v>2263</v>
      </c>
      <c r="K5067" s="98" t="s">
        <v>257</v>
      </c>
      <c r="L5067" s="105" t="str">
        <f t="shared" si="830"/>
        <v>Trimble</v>
      </c>
      <c r="M5067" s="105" t="str">
        <f t="shared" si="831"/>
        <v>Other</v>
      </c>
      <c r="N5067" s="105" t="str">
        <f t="shared" si="832"/>
        <v>Coal</v>
      </c>
      <c r="O5067" s="105">
        <f>IFERROR(VLOOKUP(A5067,Lookup!$J$5:$P$19,7,FALSE),0)</f>
        <v>3</v>
      </c>
      <c r="P5067" s="159">
        <f t="shared" si="833"/>
        <v>2013</v>
      </c>
      <c r="Q5067" s="159">
        <f t="shared" si="834"/>
        <v>1</v>
      </c>
      <c r="R5067" s="160">
        <f t="shared" si="835"/>
        <v>14.233333333453629</v>
      </c>
      <c r="S5067" s="158">
        <f t="shared" si="836"/>
        <v>14.233333333453629</v>
      </c>
      <c r="T5067" s="161">
        <f t="shared" si="837"/>
        <v>7017.0333333926392</v>
      </c>
      <c r="U5067" s="158">
        <f t="shared" si="838"/>
        <v>493</v>
      </c>
      <c r="V5067" s="160">
        <f t="shared" si="839"/>
        <v>493</v>
      </c>
    </row>
    <row r="5068" spans="1:22" x14ac:dyDescent="0.25">
      <c r="A5068" s="98" t="s">
        <v>19</v>
      </c>
      <c r="B5068" s="98" t="s">
        <v>17</v>
      </c>
      <c r="C5068" s="98">
        <v>9</v>
      </c>
      <c r="D5068" s="98">
        <v>310</v>
      </c>
      <c r="E5068" s="157">
        <v>41290.24722222222</v>
      </c>
      <c r="F5068" s="157">
        <v>41290.302083333336</v>
      </c>
      <c r="G5068" s="98">
        <v>510</v>
      </c>
      <c r="H5068" s="98">
        <v>530</v>
      </c>
      <c r="I5068" s="98">
        <v>493</v>
      </c>
      <c r="J5068" s="98" t="s">
        <v>1966</v>
      </c>
      <c r="K5068" s="98" t="s">
        <v>739</v>
      </c>
      <c r="L5068" s="105" t="str">
        <f t="shared" si="830"/>
        <v>Trimble</v>
      </c>
      <c r="M5068" s="105" t="str">
        <f t="shared" si="831"/>
        <v>Derate</v>
      </c>
      <c r="N5068" s="105" t="str">
        <f t="shared" si="832"/>
        <v>Coal</v>
      </c>
      <c r="O5068" s="105">
        <f>IFERROR(VLOOKUP(A5068,Lookup!$J$5:$P$19,7,FALSE),0)</f>
        <v>3</v>
      </c>
      <c r="P5068" s="159">
        <f t="shared" si="833"/>
        <v>2013</v>
      </c>
      <c r="Q5068" s="159">
        <f t="shared" si="834"/>
        <v>1</v>
      </c>
      <c r="R5068" s="160">
        <f t="shared" si="835"/>
        <v>1.3166666667675599</v>
      </c>
      <c r="S5068" s="158">
        <f t="shared" si="836"/>
        <v>4.9685534595002259E-2</v>
      </c>
      <c r="T5068" s="161">
        <f t="shared" si="837"/>
        <v>24.494968555336115</v>
      </c>
      <c r="U5068" s="158">
        <f t="shared" si="838"/>
        <v>18.60377358490566</v>
      </c>
      <c r="V5068" s="160">
        <f t="shared" si="839"/>
        <v>19</v>
      </c>
    </row>
    <row r="5069" spans="1:22" x14ac:dyDescent="0.25">
      <c r="A5069" s="98" t="s">
        <v>19</v>
      </c>
      <c r="B5069" s="98" t="s">
        <v>17</v>
      </c>
      <c r="C5069" s="98">
        <v>10</v>
      </c>
      <c r="D5069" s="98">
        <v>250</v>
      </c>
      <c r="E5069" s="157">
        <v>41291.25277777778</v>
      </c>
      <c r="F5069" s="157">
        <v>41291.277777777781</v>
      </c>
      <c r="G5069" s="98">
        <v>510</v>
      </c>
      <c r="H5069" s="98">
        <v>530</v>
      </c>
      <c r="I5069" s="98">
        <v>493</v>
      </c>
      <c r="J5069" s="98" t="s">
        <v>1978</v>
      </c>
      <c r="K5069" s="98" t="s">
        <v>740</v>
      </c>
      <c r="L5069" s="105" t="str">
        <f t="shared" si="830"/>
        <v>Trimble</v>
      </c>
      <c r="M5069" s="105" t="str">
        <f t="shared" si="831"/>
        <v>Derate</v>
      </c>
      <c r="N5069" s="105" t="str">
        <f t="shared" si="832"/>
        <v>Coal</v>
      </c>
      <c r="O5069" s="105">
        <f>IFERROR(VLOOKUP(A5069,Lookup!$J$5:$P$19,7,FALSE),0)</f>
        <v>3</v>
      </c>
      <c r="P5069" s="159">
        <f t="shared" si="833"/>
        <v>2013</v>
      </c>
      <c r="Q5069" s="159">
        <f t="shared" si="834"/>
        <v>1</v>
      </c>
      <c r="R5069" s="160">
        <f t="shared" si="835"/>
        <v>0.6000000000349246</v>
      </c>
      <c r="S5069" s="158">
        <f t="shared" si="836"/>
        <v>2.2641509435280174E-2</v>
      </c>
      <c r="T5069" s="161">
        <f t="shared" si="837"/>
        <v>11.162264151593126</v>
      </c>
      <c r="U5069" s="158">
        <f t="shared" si="838"/>
        <v>18.60377358490566</v>
      </c>
      <c r="V5069" s="160">
        <f t="shared" si="839"/>
        <v>19</v>
      </c>
    </row>
    <row r="5070" spans="1:22" x14ac:dyDescent="0.25">
      <c r="A5070" s="98" t="s">
        <v>19</v>
      </c>
      <c r="B5070" s="98" t="s">
        <v>105</v>
      </c>
      <c r="C5070" s="98">
        <v>11</v>
      </c>
      <c r="D5070" s="98">
        <v>360</v>
      </c>
      <c r="E5070" s="157">
        <v>41291.318055555559</v>
      </c>
      <c r="F5070" s="157">
        <v>41291.361111111109</v>
      </c>
      <c r="G5070" s="98">
        <v>510</v>
      </c>
      <c r="H5070" s="98">
        <v>530</v>
      </c>
      <c r="I5070" s="98">
        <v>493</v>
      </c>
      <c r="J5070" s="98" t="s">
        <v>229</v>
      </c>
      <c r="K5070" s="98" t="s">
        <v>741</v>
      </c>
      <c r="L5070" s="105" t="str">
        <f t="shared" si="830"/>
        <v>Trimble</v>
      </c>
      <c r="M5070" s="105" t="str">
        <f t="shared" si="831"/>
        <v>Derate</v>
      </c>
      <c r="N5070" s="105" t="str">
        <f t="shared" si="832"/>
        <v>Coal</v>
      </c>
      <c r="O5070" s="105">
        <f>IFERROR(VLOOKUP(A5070,Lookup!$J$5:$P$19,7,FALSE),0)</f>
        <v>3</v>
      </c>
      <c r="P5070" s="159">
        <f t="shared" si="833"/>
        <v>2013</v>
      </c>
      <c r="Q5070" s="159">
        <f t="shared" si="834"/>
        <v>1</v>
      </c>
      <c r="R5070" s="160">
        <f t="shared" si="835"/>
        <v>1.033333333209157</v>
      </c>
      <c r="S5070" s="158">
        <f t="shared" si="836"/>
        <v>3.8993710687138E-2</v>
      </c>
      <c r="T5070" s="161">
        <f t="shared" si="837"/>
        <v>19.223899368759035</v>
      </c>
      <c r="U5070" s="158">
        <f t="shared" si="838"/>
        <v>18.60377358490566</v>
      </c>
      <c r="V5070" s="160">
        <f t="shared" si="839"/>
        <v>19</v>
      </c>
    </row>
    <row r="5071" spans="1:22" x14ac:dyDescent="0.25">
      <c r="A5071" s="98" t="s">
        <v>19</v>
      </c>
      <c r="B5071" s="98" t="s">
        <v>17</v>
      </c>
      <c r="C5071" s="98">
        <v>12</v>
      </c>
      <c r="D5071" s="98">
        <v>310</v>
      </c>
      <c r="E5071" s="157">
        <v>41293.345833333333</v>
      </c>
      <c r="F5071" s="157">
        <v>41293.488194444442</v>
      </c>
      <c r="G5071" s="98">
        <v>500</v>
      </c>
      <c r="H5071" s="98">
        <v>530</v>
      </c>
      <c r="I5071" s="98">
        <v>493</v>
      </c>
      <c r="J5071" s="98" t="s">
        <v>1966</v>
      </c>
      <c r="K5071" s="98" t="s">
        <v>742</v>
      </c>
      <c r="L5071" s="105" t="str">
        <f t="shared" si="830"/>
        <v>Trimble</v>
      </c>
      <c r="M5071" s="105" t="str">
        <f t="shared" si="831"/>
        <v>Derate</v>
      </c>
      <c r="N5071" s="105" t="str">
        <f t="shared" si="832"/>
        <v>Coal</v>
      </c>
      <c r="O5071" s="105">
        <f>IFERROR(VLOOKUP(A5071,Lookup!$J$5:$P$19,7,FALSE),0)</f>
        <v>3</v>
      </c>
      <c r="P5071" s="159">
        <f t="shared" si="833"/>
        <v>2013</v>
      </c>
      <c r="Q5071" s="159">
        <f t="shared" si="834"/>
        <v>1</v>
      </c>
      <c r="R5071" s="160">
        <f t="shared" si="835"/>
        <v>3.4166666666278616</v>
      </c>
      <c r="S5071" s="158">
        <f t="shared" si="836"/>
        <v>0.19339622641289783</v>
      </c>
      <c r="T5071" s="161">
        <f t="shared" si="837"/>
        <v>95.344339621558632</v>
      </c>
      <c r="U5071" s="158">
        <f t="shared" si="838"/>
        <v>27.90566037735849</v>
      </c>
      <c r="V5071" s="160">
        <f t="shared" si="839"/>
        <v>28</v>
      </c>
    </row>
    <row r="5072" spans="1:22" x14ac:dyDescent="0.25">
      <c r="A5072" s="98" t="s">
        <v>19</v>
      </c>
      <c r="B5072" s="98" t="s">
        <v>15</v>
      </c>
      <c r="C5072" s="98">
        <v>13</v>
      </c>
      <c r="D5072" s="98">
        <v>3110</v>
      </c>
      <c r="E5072" s="157">
        <v>41294.415972222225</v>
      </c>
      <c r="F5072" s="157">
        <v>41295.206944444442</v>
      </c>
      <c r="G5072" s="98">
        <v>0</v>
      </c>
      <c r="H5072" s="98">
        <v>530</v>
      </c>
      <c r="I5072" s="98">
        <v>493</v>
      </c>
      <c r="J5072" s="98" t="s">
        <v>2119</v>
      </c>
      <c r="K5072" s="98" t="s">
        <v>743</v>
      </c>
      <c r="L5072" s="105" t="str">
        <f t="shared" si="830"/>
        <v>Trimble</v>
      </c>
      <c r="M5072" s="105" t="str">
        <f t="shared" si="831"/>
        <v>Outage</v>
      </c>
      <c r="N5072" s="105" t="str">
        <f t="shared" si="832"/>
        <v>Coal</v>
      </c>
      <c r="O5072" s="105">
        <f>IFERROR(VLOOKUP(A5072,Lookup!$J$5:$P$19,7,FALSE),0)</f>
        <v>3</v>
      </c>
      <c r="P5072" s="159">
        <f t="shared" si="833"/>
        <v>2013</v>
      </c>
      <c r="Q5072" s="159">
        <f t="shared" si="834"/>
        <v>1</v>
      </c>
      <c r="R5072" s="160">
        <f t="shared" si="835"/>
        <v>18.983333333220799</v>
      </c>
      <c r="S5072" s="158">
        <f t="shared" si="836"/>
        <v>18.983333333220799</v>
      </c>
      <c r="T5072" s="161">
        <f t="shared" si="837"/>
        <v>9358.7833332778537</v>
      </c>
      <c r="U5072" s="158">
        <f t="shared" si="838"/>
        <v>493</v>
      </c>
      <c r="V5072" s="160">
        <f t="shared" si="839"/>
        <v>493</v>
      </c>
    </row>
    <row r="5073" spans="1:22" x14ac:dyDescent="0.25">
      <c r="A5073" s="98" t="s">
        <v>19</v>
      </c>
      <c r="B5073" s="98" t="s">
        <v>79</v>
      </c>
      <c r="C5073" s="98">
        <v>14</v>
      </c>
      <c r="D5073" s="98">
        <v>1850</v>
      </c>
      <c r="E5073" s="157">
        <v>41295.206944444442</v>
      </c>
      <c r="F5073" s="157">
        <v>41295.630555555559</v>
      </c>
      <c r="G5073" s="98">
        <v>0</v>
      </c>
      <c r="H5073" s="98">
        <v>530</v>
      </c>
      <c r="I5073" s="98">
        <v>493</v>
      </c>
      <c r="J5073" s="98" t="s">
        <v>2263</v>
      </c>
      <c r="K5073" s="98" t="s">
        <v>744</v>
      </c>
      <c r="L5073" s="105" t="str">
        <f t="shared" si="830"/>
        <v>Trimble</v>
      </c>
      <c r="M5073" s="105" t="str">
        <f t="shared" si="831"/>
        <v>Other</v>
      </c>
      <c r="N5073" s="105" t="str">
        <f t="shared" si="832"/>
        <v>Coal</v>
      </c>
      <c r="O5073" s="105">
        <f>IFERROR(VLOOKUP(A5073,Lookup!$J$5:$P$19,7,FALSE),0)</f>
        <v>3</v>
      </c>
      <c r="P5073" s="159">
        <f t="shared" si="833"/>
        <v>2013</v>
      </c>
      <c r="Q5073" s="159">
        <f t="shared" si="834"/>
        <v>1</v>
      </c>
      <c r="R5073" s="160">
        <f t="shared" si="835"/>
        <v>10.166666666802485</v>
      </c>
      <c r="S5073" s="158">
        <f t="shared" si="836"/>
        <v>10.166666666802485</v>
      </c>
      <c r="T5073" s="161">
        <f t="shared" si="837"/>
        <v>5012.1666667336249</v>
      </c>
      <c r="U5073" s="158">
        <f t="shared" si="838"/>
        <v>493</v>
      </c>
      <c r="V5073" s="160">
        <f t="shared" si="839"/>
        <v>493</v>
      </c>
    </row>
    <row r="5074" spans="1:22" x14ac:dyDescent="0.25">
      <c r="A5074" s="98" t="s">
        <v>19</v>
      </c>
      <c r="B5074" s="98" t="s">
        <v>17</v>
      </c>
      <c r="C5074" s="98">
        <v>15</v>
      </c>
      <c r="D5074" s="98">
        <v>310</v>
      </c>
      <c r="E5074" s="157">
        <v>41296.918055555558</v>
      </c>
      <c r="F5074" s="157">
        <v>41296.938888888886</v>
      </c>
      <c r="G5074" s="98">
        <v>480</v>
      </c>
      <c r="H5074" s="98">
        <v>530</v>
      </c>
      <c r="I5074" s="98">
        <v>493</v>
      </c>
      <c r="J5074" s="98" t="s">
        <v>1966</v>
      </c>
      <c r="K5074" s="98" t="s">
        <v>745</v>
      </c>
      <c r="L5074" s="105" t="str">
        <f t="shared" si="830"/>
        <v>Trimble</v>
      </c>
      <c r="M5074" s="105" t="str">
        <f t="shared" si="831"/>
        <v>Derate</v>
      </c>
      <c r="N5074" s="105" t="str">
        <f t="shared" si="832"/>
        <v>Coal</v>
      </c>
      <c r="O5074" s="105">
        <f>IFERROR(VLOOKUP(A5074,Lookup!$J$5:$P$19,7,FALSE),0)</f>
        <v>3</v>
      </c>
      <c r="P5074" s="159">
        <f t="shared" si="833"/>
        <v>2013</v>
      </c>
      <c r="Q5074" s="159">
        <f t="shared" si="834"/>
        <v>1</v>
      </c>
      <c r="R5074" s="160">
        <f t="shared" si="835"/>
        <v>0.49999999988358468</v>
      </c>
      <c r="S5074" s="158">
        <f t="shared" si="836"/>
        <v>4.7169811309772137E-2</v>
      </c>
      <c r="T5074" s="161">
        <f t="shared" si="837"/>
        <v>23.254716975717663</v>
      </c>
      <c r="U5074" s="158">
        <f t="shared" si="838"/>
        <v>46.509433962264154</v>
      </c>
      <c r="V5074" s="160">
        <f t="shared" si="839"/>
        <v>47</v>
      </c>
    </row>
    <row r="5075" spans="1:22" x14ac:dyDescent="0.25">
      <c r="A5075" s="98" t="s">
        <v>19</v>
      </c>
      <c r="B5075" s="98" t="s">
        <v>17</v>
      </c>
      <c r="C5075" s="98">
        <v>16</v>
      </c>
      <c r="D5075" s="98">
        <v>250</v>
      </c>
      <c r="E5075" s="157">
        <v>41298.3125</v>
      </c>
      <c r="F5075" s="157">
        <v>41298.356249999997</v>
      </c>
      <c r="G5075" s="98">
        <v>490</v>
      </c>
      <c r="H5075" s="98">
        <v>530</v>
      </c>
      <c r="I5075" s="98">
        <v>493</v>
      </c>
      <c r="J5075" s="98" t="s">
        <v>1978</v>
      </c>
      <c r="K5075" s="98" t="s">
        <v>746</v>
      </c>
      <c r="L5075" s="105" t="str">
        <f t="shared" si="830"/>
        <v>Trimble</v>
      </c>
      <c r="M5075" s="105" t="str">
        <f t="shared" si="831"/>
        <v>Derate</v>
      </c>
      <c r="N5075" s="105" t="str">
        <f t="shared" si="832"/>
        <v>Coal</v>
      </c>
      <c r="O5075" s="105">
        <f>IFERROR(VLOOKUP(A5075,Lookup!$J$5:$P$19,7,FALSE),0)</f>
        <v>3</v>
      </c>
      <c r="P5075" s="159">
        <f t="shared" si="833"/>
        <v>2013</v>
      </c>
      <c r="Q5075" s="159">
        <f t="shared" si="834"/>
        <v>1</v>
      </c>
      <c r="R5075" s="160">
        <f t="shared" si="835"/>
        <v>1.0499999999301508</v>
      </c>
      <c r="S5075" s="158">
        <f t="shared" si="836"/>
        <v>7.924528301359629E-2</v>
      </c>
      <c r="T5075" s="161">
        <f t="shared" si="837"/>
        <v>39.067924525702971</v>
      </c>
      <c r="U5075" s="158">
        <f t="shared" si="838"/>
        <v>37.20754716981132</v>
      </c>
      <c r="V5075" s="160">
        <f t="shared" si="839"/>
        <v>37</v>
      </c>
    </row>
    <row r="5076" spans="1:22" x14ac:dyDescent="0.25">
      <c r="A5076" s="98" t="s">
        <v>19</v>
      </c>
      <c r="B5076" s="98" t="s">
        <v>17</v>
      </c>
      <c r="C5076" s="98">
        <v>17</v>
      </c>
      <c r="D5076" s="98">
        <v>360</v>
      </c>
      <c r="E5076" s="157">
        <v>41304.934027777781</v>
      </c>
      <c r="F5076" s="157">
        <v>41304.958333333336</v>
      </c>
      <c r="G5076" s="98">
        <v>450</v>
      </c>
      <c r="H5076" s="98">
        <v>530</v>
      </c>
      <c r="I5076" s="98">
        <v>493</v>
      </c>
      <c r="J5076" s="98" t="s">
        <v>229</v>
      </c>
      <c r="K5076" s="98" t="s">
        <v>747</v>
      </c>
      <c r="L5076" s="105" t="str">
        <f t="shared" si="830"/>
        <v>Trimble</v>
      </c>
      <c r="M5076" s="105" t="str">
        <f t="shared" si="831"/>
        <v>Derate</v>
      </c>
      <c r="N5076" s="105" t="str">
        <f t="shared" si="832"/>
        <v>Coal</v>
      </c>
      <c r="O5076" s="105">
        <f>IFERROR(VLOOKUP(A5076,Lookup!$J$5:$P$19,7,FALSE),0)</f>
        <v>3</v>
      </c>
      <c r="P5076" s="159">
        <f t="shared" si="833"/>
        <v>2013</v>
      </c>
      <c r="Q5076" s="159">
        <f t="shared" si="834"/>
        <v>1</v>
      </c>
      <c r="R5076" s="160">
        <f t="shared" si="835"/>
        <v>0.58333333331393078</v>
      </c>
      <c r="S5076" s="158">
        <f t="shared" si="836"/>
        <v>8.8050314462480114E-2</v>
      </c>
      <c r="T5076" s="161">
        <f t="shared" si="837"/>
        <v>43.408805030002696</v>
      </c>
      <c r="U5076" s="158">
        <f t="shared" si="838"/>
        <v>74.415094339622641</v>
      </c>
      <c r="V5076" s="160">
        <f t="shared" si="839"/>
        <v>74</v>
      </c>
    </row>
    <row r="5077" spans="1:22" x14ac:dyDescent="0.25">
      <c r="A5077" s="98" t="s">
        <v>19</v>
      </c>
      <c r="B5077" s="98" t="s">
        <v>17</v>
      </c>
      <c r="C5077" s="98">
        <v>18</v>
      </c>
      <c r="D5077" s="98">
        <v>3710</v>
      </c>
      <c r="E5077" s="157">
        <v>41310.048611111109</v>
      </c>
      <c r="F5077" s="157">
        <v>41310.073611111111</v>
      </c>
      <c r="G5077" s="98">
        <v>500</v>
      </c>
      <c r="H5077" s="98">
        <v>530</v>
      </c>
      <c r="I5077" s="98">
        <v>493</v>
      </c>
      <c r="J5077" s="98" t="s">
        <v>2268</v>
      </c>
      <c r="K5077" s="98" t="s">
        <v>748</v>
      </c>
      <c r="L5077" s="105" t="str">
        <f t="shared" si="830"/>
        <v>Trimble</v>
      </c>
      <c r="M5077" s="105" t="str">
        <f t="shared" si="831"/>
        <v>Derate</v>
      </c>
      <c r="N5077" s="105" t="str">
        <f t="shared" si="832"/>
        <v>Coal</v>
      </c>
      <c r="O5077" s="105">
        <f>IFERROR(VLOOKUP(A5077,Lookup!$J$5:$P$19,7,FALSE),0)</f>
        <v>3</v>
      </c>
      <c r="P5077" s="159">
        <f t="shared" si="833"/>
        <v>2013</v>
      </c>
      <c r="Q5077" s="159">
        <f t="shared" si="834"/>
        <v>2</v>
      </c>
      <c r="R5077" s="160">
        <f t="shared" si="835"/>
        <v>0.6000000000349246</v>
      </c>
      <c r="S5077" s="158">
        <f t="shared" si="836"/>
        <v>3.3962264152920259E-2</v>
      </c>
      <c r="T5077" s="161">
        <f t="shared" si="837"/>
        <v>16.743396227389688</v>
      </c>
      <c r="U5077" s="158">
        <f t="shared" si="838"/>
        <v>27.90566037735849</v>
      </c>
      <c r="V5077" s="160">
        <f t="shared" si="839"/>
        <v>28</v>
      </c>
    </row>
    <row r="5078" spans="1:22" x14ac:dyDescent="0.25">
      <c r="A5078" s="98" t="s">
        <v>19</v>
      </c>
      <c r="B5078" s="98" t="s">
        <v>105</v>
      </c>
      <c r="C5078" s="98">
        <v>19</v>
      </c>
      <c r="D5078" s="98">
        <v>920</v>
      </c>
      <c r="E5078" s="157">
        <v>41321</v>
      </c>
      <c r="F5078" s="157">
        <v>41321.166666666664</v>
      </c>
      <c r="G5078" s="98">
        <v>300</v>
      </c>
      <c r="H5078" s="98">
        <v>530</v>
      </c>
      <c r="I5078" s="98">
        <v>493</v>
      </c>
      <c r="J5078" s="98" t="s">
        <v>1974</v>
      </c>
      <c r="K5078" s="98" t="s">
        <v>749</v>
      </c>
      <c r="L5078" s="105" t="str">
        <f t="shared" si="830"/>
        <v>Trimble</v>
      </c>
      <c r="M5078" s="105" t="str">
        <f t="shared" si="831"/>
        <v>Derate</v>
      </c>
      <c r="N5078" s="105" t="str">
        <f t="shared" si="832"/>
        <v>Coal</v>
      </c>
      <c r="O5078" s="105">
        <f>IFERROR(VLOOKUP(A5078,Lookup!$J$5:$P$19,7,FALSE),0)</f>
        <v>3</v>
      </c>
      <c r="P5078" s="159">
        <f t="shared" si="833"/>
        <v>2013</v>
      </c>
      <c r="Q5078" s="159">
        <f t="shared" si="834"/>
        <v>2</v>
      </c>
      <c r="R5078" s="160">
        <f t="shared" si="835"/>
        <v>3.9999999999417923</v>
      </c>
      <c r="S5078" s="158">
        <f t="shared" si="836"/>
        <v>1.7358490565785136</v>
      </c>
      <c r="T5078" s="161">
        <f t="shared" si="837"/>
        <v>855.77358489320727</v>
      </c>
      <c r="U5078" s="158">
        <f t="shared" si="838"/>
        <v>213.9433962264151</v>
      </c>
      <c r="V5078" s="160">
        <f t="shared" si="839"/>
        <v>214</v>
      </c>
    </row>
    <row r="5079" spans="1:22" x14ac:dyDescent="0.25">
      <c r="A5079" s="98" t="s">
        <v>19</v>
      </c>
      <c r="B5079" s="98" t="s">
        <v>17</v>
      </c>
      <c r="C5079" s="98">
        <v>20</v>
      </c>
      <c r="D5079" s="98">
        <v>310</v>
      </c>
      <c r="E5079" s="157">
        <v>41325.245138888888</v>
      </c>
      <c r="F5079" s="157">
        <v>41325.268055555556</v>
      </c>
      <c r="G5079" s="98">
        <v>500</v>
      </c>
      <c r="H5079" s="98">
        <v>530</v>
      </c>
      <c r="I5079" s="98">
        <v>493</v>
      </c>
      <c r="J5079" s="98" t="s">
        <v>1966</v>
      </c>
      <c r="K5079" s="98" t="s">
        <v>750</v>
      </c>
      <c r="L5079" s="105" t="str">
        <f t="shared" si="830"/>
        <v>Trimble</v>
      </c>
      <c r="M5079" s="105" t="str">
        <f t="shared" si="831"/>
        <v>Derate</v>
      </c>
      <c r="N5079" s="105" t="str">
        <f t="shared" si="832"/>
        <v>Coal</v>
      </c>
      <c r="O5079" s="105">
        <f>IFERROR(VLOOKUP(A5079,Lookup!$J$5:$P$19,7,FALSE),0)</f>
        <v>3</v>
      </c>
      <c r="P5079" s="159">
        <f t="shared" si="833"/>
        <v>2013</v>
      </c>
      <c r="Q5079" s="159">
        <f t="shared" si="834"/>
        <v>2</v>
      </c>
      <c r="R5079" s="160">
        <f t="shared" si="835"/>
        <v>0.55000000004656613</v>
      </c>
      <c r="S5079" s="158">
        <f t="shared" si="836"/>
        <v>3.1132075474333932E-2</v>
      </c>
      <c r="T5079" s="161">
        <f t="shared" si="837"/>
        <v>15.348113208846629</v>
      </c>
      <c r="U5079" s="158">
        <f t="shared" si="838"/>
        <v>27.90566037735849</v>
      </c>
      <c r="V5079" s="160">
        <f t="shared" si="839"/>
        <v>28</v>
      </c>
    </row>
    <row r="5080" spans="1:22" x14ac:dyDescent="0.25">
      <c r="A5080" s="98" t="s">
        <v>19</v>
      </c>
      <c r="B5080" s="98" t="s">
        <v>17</v>
      </c>
      <c r="C5080" s="98">
        <v>21</v>
      </c>
      <c r="D5080" s="98">
        <v>310</v>
      </c>
      <c r="E5080" s="157">
        <v>41325.268055555556</v>
      </c>
      <c r="F5080" s="157">
        <v>41325.402083333334</v>
      </c>
      <c r="G5080" s="98">
        <v>520</v>
      </c>
      <c r="H5080" s="98">
        <v>530</v>
      </c>
      <c r="I5080" s="98">
        <v>493</v>
      </c>
      <c r="J5080" s="98" t="s">
        <v>1966</v>
      </c>
      <c r="K5080" s="98" t="s">
        <v>751</v>
      </c>
      <c r="L5080" s="105" t="str">
        <f t="shared" si="830"/>
        <v>Trimble</v>
      </c>
      <c r="M5080" s="105" t="str">
        <f t="shared" si="831"/>
        <v>Derate</v>
      </c>
      <c r="N5080" s="105" t="str">
        <f t="shared" si="832"/>
        <v>Coal</v>
      </c>
      <c r="O5080" s="105">
        <f>IFERROR(VLOOKUP(A5080,Lookup!$J$5:$P$19,7,FALSE),0)</f>
        <v>3</v>
      </c>
      <c r="P5080" s="159">
        <f t="shared" si="833"/>
        <v>2013</v>
      </c>
      <c r="Q5080" s="159">
        <f t="shared" si="834"/>
        <v>2</v>
      </c>
      <c r="R5080" s="160">
        <f t="shared" si="835"/>
        <v>3.2166666666744277</v>
      </c>
      <c r="S5080" s="158">
        <f t="shared" si="836"/>
        <v>6.0691823899517501E-2</v>
      </c>
      <c r="T5080" s="161">
        <f t="shared" si="837"/>
        <v>29.921069182462126</v>
      </c>
      <c r="U5080" s="158">
        <f t="shared" si="838"/>
        <v>9.3018867924528301</v>
      </c>
      <c r="V5080" s="160">
        <f t="shared" si="839"/>
        <v>9</v>
      </c>
    </row>
    <row r="5081" spans="1:22" x14ac:dyDescent="0.25">
      <c r="A5081" s="98" t="s">
        <v>19</v>
      </c>
      <c r="B5081" s="98" t="s">
        <v>17</v>
      </c>
      <c r="C5081" s="98">
        <v>22</v>
      </c>
      <c r="D5081" s="98">
        <v>4899</v>
      </c>
      <c r="E5081" s="157">
        <v>41332.301388888889</v>
      </c>
      <c r="F5081" s="157">
        <v>41332.305555555555</v>
      </c>
      <c r="G5081" s="98">
        <v>527</v>
      </c>
      <c r="H5081" s="98">
        <v>530</v>
      </c>
      <c r="I5081" s="98">
        <v>493</v>
      </c>
      <c r="J5081" s="98" t="s">
        <v>2243</v>
      </c>
      <c r="K5081" s="98" t="s">
        <v>752</v>
      </c>
      <c r="L5081" s="105" t="str">
        <f t="shared" si="830"/>
        <v>Trimble</v>
      </c>
      <c r="M5081" s="105" t="str">
        <f t="shared" si="831"/>
        <v>Derate</v>
      </c>
      <c r="N5081" s="105" t="str">
        <f t="shared" si="832"/>
        <v>Coal</v>
      </c>
      <c r="O5081" s="105">
        <f>IFERROR(VLOOKUP(A5081,Lookup!$J$5:$P$19,7,FALSE),0)</f>
        <v>3</v>
      </c>
      <c r="P5081" s="159">
        <f t="shared" si="833"/>
        <v>2013</v>
      </c>
      <c r="Q5081" s="159">
        <f t="shared" si="834"/>
        <v>2</v>
      </c>
      <c r="R5081" s="160">
        <f t="shared" si="835"/>
        <v>9.9999999976716936E-2</v>
      </c>
      <c r="S5081" s="158">
        <f t="shared" si="836"/>
        <v>5.6603773571726568E-4</v>
      </c>
      <c r="T5081" s="161">
        <f t="shared" si="837"/>
        <v>0.27905660370861196</v>
      </c>
      <c r="U5081" s="158">
        <f t="shared" si="838"/>
        <v>2.7905660377358492</v>
      </c>
      <c r="V5081" s="160">
        <f t="shared" si="839"/>
        <v>3</v>
      </c>
    </row>
    <row r="5082" spans="1:22" x14ac:dyDescent="0.25">
      <c r="A5082" s="98" t="s">
        <v>19</v>
      </c>
      <c r="B5082" s="98" t="s">
        <v>17</v>
      </c>
      <c r="C5082" s="98">
        <v>23</v>
      </c>
      <c r="D5082" s="98">
        <v>4899</v>
      </c>
      <c r="E5082" s="157">
        <v>41332.305555555555</v>
      </c>
      <c r="F5082" s="157">
        <v>41332.392361111109</v>
      </c>
      <c r="G5082" s="98">
        <v>507</v>
      </c>
      <c r="H5082" s="98">
        <v>530</v>
      </c>
      <c r="I5082" s="98">
        <v>493</v>
      </c>
      <c r="J5082" s="98" t="s">
        <v>2243</v>
      </c>
      <c r="K5082" s="98" t="s">
        <v>753</v>
      </c>
      <c r="L5082" s="105" t="str">
        <f t="shared" si="830"/>
        <v>Trimble</v>
      </c>
      <c r="M5082" s="105" t="str">
        <f t="shared" si="831"/>
        <v>Derate</v>
      </c>
      <c r="N5082" s="105" t="str">
        <f t="shared" si="832"/>
        <v>Coal</v>
      </c>
      <c r="O5082" s="105">
        <f>IFERROR(VLOOKUP(A5082,Lookup!$J$5:$P$19,7,FALSE),0)</f>
        <v>3</v>
      </c>
      <c r="P5082" s="159">
        <f t="shared" si="833"/>
        <v>2013</v>
      </c>
      <c r="Q5082" s="159">
        <f t="shared" si="834"/>
        <v>2</v>
      </c>
      <c r="R5082" s="160">
        <f t="shared" si="835"/>
        <v>2.0833333333139308</v>
      </c>
      <c r="S5082" s="158">
        <f t="shared" si="836"/>
        <v>9.0408805030604542E-2</v>
      </c>
      <c r="T5082" s="161">
        <f t="shared" si="837"/>
        <v>44.571540880088037</v>
      </c>
      <c r="U5082" s="158">
        <f t="shared" si="838"/>
        <v>21.39433962264151</v>
      </c>
      <c r="V5082" s="160">
        <f t="shared" si="839"/>
        <v>21</v>
      </c>
    </row>
    <row r="5083" spans="1:22" x14ac:dyDescent="0.25">
      <c r="A5083" s="98" t="s">
        <v>19</v>
      </c>
      <c r="B5083" s="98" t="s">
        <v>79</v>
      </c>
      <c r="C5083" s="98">
        <v>24</v>
      </c>
      <c r="D5083" s="98">
        <v>1305</v>
      </c>
      <c r="E5083" s="157">
        <v>41335.000694444447</v>
      </c>
      <c r="F5083" s="157">
        <v>41335.208333333336</v>
      </c>
      <c r="G5083" s="98">
        <v>0</v>
      </c>
      <c r="H5083" s="98">
        <v>530</v>
      </c>
      <c r="I5083" s="98">
        <v>493</v>
      </c>
      <c r="J5083" s="98" t="s">
        <v>2985</v>
      </c>
      <c r="K5083" s="98" t="s">
        <v>754</v>
      </c>
      <c r="L5083" s="105" t="str">
        <f t="shared" si="830"/>
        <v>Trimble</v>
      </c>
      <c r="M5083" s="105" t="str">
        <f t="shared" si="831"/>
        <v>Other</v>
      </c>
      <c r="N5083" s="105" t="str">
        <f t="shared" si="832"/>
        <v>Coal</v>
      </c>
      <c r="O5083" s="105">
        <f>IFERROR(VLOOKUP(A5083,Lookup!$J$5:$P$19,7,FALSE),0)</f>
        <v>3</v>
      </c>
      <c r="P5083" s="159">
        <f t="shared" si="833"/>
        <v>2013</v>
      </c>
      <c r="Q5083" s="159">
        <f t="shared" si="834"/>
        <v>3</v>
      </c>
      <c r="R5083" s="160">
        <f t="shared" si="835"/>
        <v>4.9833333333372138</v>
      </c>
      <c r="S5083" s="158">
        <f t="shared" si="836"/>
        <v>4.9833333333372138</v>
      </c>
      <c r="T5083" s="161">
        <f t="shared" si="837"/>
        <v>2456.7833333352464</v>
      </c>
      <c r="U5083" s="158">
        <f t="shared" si="838"/>
        <v>493</v>
      </c>
      <c r="V5083" s="160">
        <f t="shared" si="839"/>
        <v>493</v>
      </c>
    </row>
    <row r="5084" spans="1:22" x14ac:dyDescent="0.25">
      <c r="A5084" s="98" t="s">
        <v>19</v>
      </c>
      <c r="B5084" s="98" t="s">
        <v>17</v>
      </c>
      <c r="C5084" s="98">
        <v>25</v>
      </c>
      <c r="D5084" s="98">
        <v>760</v>
      </c>
      <c r="E5084" s="157">
        <v>41335.248611111114</v>
      </c>
      <c r="F5084" s="157">
        <v>41335.34097222222</v>
      </c>
      <c r="G5084" s="98">
        <v>525</v>
      </c>
      <c r="H5084" s="98">
        <v>530</v>
      </c>
      <c r="I5084" s="98">
        <v>493</v>
      </c>
      <c r="J5084" s="98" t="s">
        <v>2391</v>
      </c>
      <c r="K5084" s="98" t="s">
        <v>755</v>
      </c>
      <c r="L5084" s="105" t="str">
        <f t="shared" si="830"/>
        <v>Trimble</v>
      </c>
      <c r="M5084" s="105" t="str">
        <f t="shared" si="831"/>
        <v>Derate</v>
      </c>
      <c r="N5084" s="105" t="str">
        <f t="shared" si="832"/>
        <v>Coal</v>
      </c>
      <c r="O5084" s="105">
        <f>IFERROR(VLOOKUP(A5084,Lookup!$J$5:$P$19,7,FALSE),0)</f>
        <v>3</v>
      </c>
      <c r="P5084" s="159">
        <f t="shared" si="833"/>
        <v>2013</v>
      </c>
      <c r="Q5084" s="159">
        <f t="shared" si="834"/>
        <v>3</v>
      </c>
      <c r="R5084" s="160">
        <f t="shared" si="835"/>
        <v>2.2166666665580124</v>
      </c>
      <c r="S5084" s="158">
        <f t="shared" si="836"/>
        <v>2.0911949684509552E-2</v>
      </c>
      <c r="T5084" s="161">
        <f t="shared" si="837"/>
        <v>10.309591194463209</v>
      </c>
      <c r="U5084" s="158">
        <f t="shared" si="838"/>
        <v>4.6509433962264151</v>
      </c>
      <c r="V5084" s="160">
        <f t="shared" si="839"/>
        <v>5</v>
      </c>
    </row>
    <row r="5085" spans="1:22" x14ac:dyDescent="0.25">
      <c r="A5085" s="98" t="s">
        <v>19</v>
      </c>
      <c r="B5085" s="98" t="s">
        <v>17</v>
      </c>
      <c r="C5085" s="98">
        <v>26</v>
      </c>
      <c r="D5085" s="98">
        <v>310</v>
      </c>
      <c r="E5085" s="157">
        <v>41343.465277777781</v>
      </c>
      <c r="F5085" s="157">
        <v>41343.541666666664</v>
      </c>
      <c r="G5085" s="98">
        <v>515</v>
      </c>
      <c r="H5085" s="98">
        <v>530</v>
      </c>
      <c r="I5085" s="98">
        <v>493</v>
      </c>
      <c r="J5085" s="98" t="s">
        <v>1966</v>
      </c>
      <c r="K5085" s="98" t="s">
        <v>756</v>
      </c>
      <c r="L5085" s="105" t="str">
        <f t="shared" si="830"/>
        <v>Trimble</v>
      </c>
      <c r="M5085" s="105" t="str">
        <f t="shared" si="831"/>
        <v>Derate</v>
      </c>
      <c r="N5085" s="105" t="str">
        <f t="shared" si="832"/>
        <v>Coal</v>
      </c>
      <c r="O5085" s="105">
        <f>IFERROR(VLOOKUP(A5085,Lookup!$J$5:$P$19,7,FALSE),0)</f>
        <v>3</v>
      </c>
      <c r="P5085" s="159">
        <f t="shared" si="833"/>
        <v>2013</v>
      </c>
      <c r="Q5085" s="159">
        <f t="shared" si="834"/>
        <v>3</v>
      </c>
      <c r="R5085" s="160">
        <f t="shared" si="835"/>
        <v>1.8333333331975155</v>
      </c>
      <c r="S5085" s="158">
        <f t="shared" si="836"/>
        <v>5.1886792448986287E-2</v>
      </c>
      <c r="T5085" s="161">
        <f t="shared" si="837"/>
        <v>25.58018867735024</v>
      </c>
      <c r="U5085" s="158">
        <f t="shared" si="838"/>
        <v>13.952830188679245</v>
      </c>
      <c r="V5085" s="160">
        <f t="shared" si="839"/>
        <v>14</v>
      </c>
    </row>
    <row r="5086" spans="1:22" x14ac:dyDescent="0.25">
      <c r="A5086" s="98" t="s">
        <v>19</v>
      </c>
      <c r="B5086" s="98" t="s">
        <v>17</v>
      </c>
      <c r="C5086" s="98">
        <v>27</v>
      </c>
      <c r="D5086" s="98">
        <v>340</v>
      </c>
      <c r="E5086" s="157">
        <v>41345.180555555555</v>
      </c>
      <c r="F5086" s="157">
        <v>41345.208333333336</v>
      </c>
      <c r="G5086" s="98">
        <v>510</v>
      </c>
      <c r="H5086" s="98">
        <v>530</v>
      </c>
      <c r="I5086" s="98">
        <v>493</v>
      </c>
      <c r="J5086" s="98" t="s">
        <v>1970</v>
      </c>
      <c r="K5086" s="98" t="s">
        <v>757</v>
      </c>
      <c r="L5086" s="105" t="str">
        <f t="shared" si="830"/>
        <v>Trimble</v>
      </c>
      <c r="M5086" s="105" t="str">
        <f t="shared" si="831"/>
        <v>Derate</v>
      </c>
      <c r="N5086" s="105" t="str">
        <f t="shared" si="832"/>
        <v>Coal</v>
      </c>
      <c r="O5086" s="105">
        <f>IFERROR(VLOOKUP(A5086,Lookup!$J$5:$P$19,7,FALSE),0)</f>
        <v>3</v>
      </c>
      <c r="P5086" s="159">
        <f t="shared" si="833"/>
        <v>2013</v>
      </c>
      <c r="Q5086" s="159">
        <f t="shared" si="834"/>
        <v>3</v>
      </c>
      <c r="R5086" s="160">
        <f t="shared" si="835"/>
        <v>0.66666666674427688</v>
      </c>
      <c r="S5086" s="158">
        <f t="shared" si="836"/>
        <v>2.5157232707331202E-2</v>
      </c>
      <c r="T5086" s="161">
        <f t="shared" si="837"/>
        <v>12.402515724714283</v>
      </c>
      <c r="U5086" s="158">
        <f t="shared" si="838"/>
        <v>18.60377358490566</v>
      </c>
      <c r="V5086" s="160">
        <f t="shared" si="839"/>
        <v>19</v>
      </c>
    </row>
    <row r="5087" spans="1:22" x14ac:dyDescent="0.25">
      <c r="A5087" s="98" t="s">
        <v>19</v>
      </c>
      <c r="B5087" s="98" t="s">
        <v>17</v>
      </c>
      <c r="C5087" s="98">
        <v>28</v>
      </c>
      <c r="D5087" s="98">
        <v>340</v>
      </c>
      <c r="E5087" s="157">
        <v>41345.208333333336</v>
      </c>
      <c r="F5087" s="157">
        <v>41345.328472222223</v>
      </c>
      <c r="G5087" s="98">
        <v>520</v>
      </c>
      <c r="H5087" s="98">
        <v>530</v>
      </c>
      <c r="I5087" s="98">
        <v>493</v>
      </c>
      <c r="J5087" s="98" t="s">
        <v>1970</v>
      </c>
      <c r="K5087" s="98" t="s">
        <v>758</v>
      </c>
      <c r="L5087" s="105" t="str">
        <f t="shared" si="830"/>
        <v>Trimble</v>
      </c>
      <c r="M5087" s="105" t="str">
        <f t="shared" si="831"/>
        <v>Derate</v>
      </c>
      <c r="N5087" s="105" t="str">
        <f t="shared" si="832"/>
        <v>Coal</v>
      </c>
      <c r="O5087" s="105">
        <f>IFERROR(VLOOKUP(A5087,Lookup!$J$5:$P$19,7,FALSE),0)</f>
        <v>3</v>
      </c>
      <c r="P5087" s="159">
        <f t="shared" si="833"/>
        <v>2013</v>
      </c>
      <c r="Q5087" s="159">
        <f t="shared" si="834"/>
        <v>3</v>
      </c>
      <c r="R5087" s="160">
        <f t="shared" si="835"/>
        <v>2.8833333333022892</v>
      </c>
      <c r="S5087" s="158">
        <f t="shared" si="836"/>
        <v>5.4402515722684702E-2</v>
      </c>
      <c r="T5087" s="161">
        <f t="shared" si="837"/>
        <v>26.820440251283557</v>
      </c>
      <c r="U5087" s="158">
        <f t="shared" si="838"/>
        <v>9.3018867924528301</v>
      </c>
      <c r="V5087" s="160">
        <f t="shared" si="839"/>
        <v>9</v>
      </c>
    </row>
    <row r="5088" spans="1:22" x14ac:dyDescent="0.25">
      <c r="A5088" s="98" t="s">
        <v>19</v>
      </c>
      <c r="B5088" s="98" t="s">
        <v>17</v>
      </c>
      <c r="C5088" s="98">
        <v>29</v>
      </c>
      <c r="D5088" s="98">
        <v>340</v>
      </c>
      <c r="E5088" s="157">
        <v>41351.395833333336</v>
      </c>
      <c r="F5088" s="157">
        <v>41351.513888888891</v>
      </c>
      <c r="G5088" s="98">
        <v>515</v>
      </c>
      <c r="H5088" s="98">
        <v>530</v>
      </c>
      <c r="I5088" s="98">
        <v>493</v>
      </c>
      <c r="J5088" s="98" t="s">
        <v>1970</v>
      </c>
      <c r="K5088" s="98" t="s">
        <v>759</v>
      </c>
      <c r="L5088" s="105" t="str">
        <f t="shared" si="830"/>
        <v>Trimble</v>
      </c>
      <c r="M5088" s="105" t="str">
        <f t="shared" si="831"/>
        <v>Derate</v>
      </c>
      <c r="N5088" s="105" t="str">
        <f t="shared" si="832"/>
        <v>Coal</v>
      </c>
      <c r="O5088" s="105">
        <f>IFERROR(VLOOKUP(A5088,Lookup!$J$5:$P$19,7,FALSE),0)</f>
        <v>3</v>
      </c>
      <c r="P5088" s="159">
        <f t="shared" si="833"/>
        <v>2013</v>
      </c>
      <c r="Q5088" s="159">
        <f t="shared" si="834"/>
        <v>3</v>
      </c>
      <c r="R5088" s="160">
        <f t="shared" si="835"/>
        <v>2.8333333333139308</v>
      </c>
      <c r="S5088" s="158">
        <f t="shared" si="836"/>
        <v>8.0188679244733885E-2</v>
      </c>
      <c r="T5088" s="161">
        <f t="shared" si="837"/>
        <v>39.533018867653809</v>
      </c>
      <c r="U5088" s="158">
        <f t="shared" si="838"/>
        <v>13.952830188679245</v>
      </c>
      <c r="V5088" s="160">
        <f t="shared" si="839"/>
        <v>14</v>
      </c>
    </row>
    <row r="5089" spans="1:22" x14ac:dyDescent="0.25">
      <c r="A5089" s="98" t="s">
        <v>19</v>
      </c>
      <c r="B5089" s="98" t="s">
        <v>79</v>
      </c>
      <c r="C5089" s="98">
        <v>30</v>
      </c>
      <c r="D5089" s="98">
        <v>1305</v>
      </c>
      <c r="E5089" s="157">
        <v>41356.958333333336</v>
      </c>
      <c r="F5089" s="157">
        <v>41357.208333333336</v>
      </c>
      <c r="G5089" s="98">
        <v>0</v>
      </c>
      <c r="H5089" s="98">
        <v>530</v>
      </c>
      <c r="I5089" s="98">
        <v>493</v>
      </c>
      <c r="J5089" s="98" t="s">
        <v>2985</v>
      </c>
      <c r="K5089" s="98" t="s">
        <v>760</v>
      </c>
      <c r="L5089" s="105" t="str">
        <f t="shared" si="830"/>
        <v>Trimble</v>
      </c>
      <c r="M5089" s="105" t="str">
        <f t="shared" si="831"/>
        <v>Other</v>
      </c>
      <c r="N5089" s="105" t="str">
        <f t="shared" si="832"/>
        <v>Coal</v>
      </c>
      <c r="O5089" s="105">
        <f>IFERROR(VLOOKUP(A5089,Lookup!$J$5:$P$19,7,FALSE),0)</f>
        <v>3</v>
      </c>
      <c r="P5089" s="159">
        <f t="shared" si="833"/>
        <v>2013</v>
      </c>
      <c r="Q5089" s="159">
        <f t="shared" si="834"/>
        <v>3</v>
      </c>
      <c r="R5089" s="160">
        <f t="shared" si="835"/>
        <v>6</v>
      </c>
      <c r="S5089" s="158">
        <f t="shared" si="836"/>
        <v>6</v>
      </c>
      <c r="T5089" s="161">
        <f t="shared" si="837"/>
        <v>2958</v>
      </c>
      <c r="U5089" s="158">
        <f t="shared" si="838"/>
        <v>493</v>
      </c>
      <c r="V5089" s="160">
        <f t="shared" si="839"/>
        <v>493</v>
      </c>
    </row>
    <row r="5090" spans="1:22" x14ac:dyDescent="0.25">
      <c r="A5090" s="98" t="s">
        <v>19</v>
      </c>
      <c r="B5090" s="98" t="s">
        <v>17</v>
      </c>
      <c r="C5090" s="98">
        <v>31</v>
      </c>
      <c r="D5090" s="98">
        <v>1360</v>
      </c>
      <c r="E5090" s="162">
        <v>41360.916666666664</v>
      </c>
      <c r="F5090" s="157">
        <v>41360.972916666666</v>
      </c>
      <c r="G5090" s="98">
        <v>300</v>
      </c>
      <c r="H5090" s="98">
        <v>530</v>
      </c>
      <c r="I5090" s="98">
        <v>493</v>
      </c>
      <c r="J5090" s="98" t="s">
        <v>2191</v>
      </c>
      <c r="K5090" s="98" t="s">
        <v>761</v>
      </c>
      <c r="L5090" s="105" t="str">
        <f t="shared" si="830"/>
        <v>Trimble</v>
      </c>
      <c r="M5090" s="105" t="str">
        <f t="shared" si="831"/>
        <v>Derate</v>
      </c>
      <c r="N5090" s="105" t="str">
        <f t="shared" si="832"/>
        <v>Coal</v>
      </c>
      <c r="O5090" s="105">
        <f>IFERROR(VLOOKUP(A5090,Lookup!$J$5:$P$19,7,FALSE),0)</f>
        <v>3</v>
      </c>
      <c r="P5090" s="159">
        <f t="shared" si="833"/>
        <v>2013</v>
      </c>
      <c r="Q5090" s="159">
        <f t="shared" si="834"/>
        <v>3</v>
      </c>
      <c r="R5090" s="160">
        <f t="shared" si="835"/>
        <v>1.3500000000349246</v>
      </c>
      <c r="S5090" s="158">
        <f t="shared" si="836"/>
        <v>0.5858490566189295</v>
      </c>
      <c r="T5090" s="161">
        <f t="shared" si="837"/>
        <v>288.82358491313227</v>
      </c>
      <c r="U5090" s="158">
        <f t="shared" si="838"/>
        <v>213.9433962264151</v>
      </c>
      <c r="V5090" s="160">
        <f t="shared" si="839"/>
        <v>214</v>
      </c>
    </row>
    <row r="5091" spans="1:22" x14ac:dyDescent="0.25">
      <c r="A5091" s="98" t="s">
        <v>19</v>
      </c>
      <c r="B5091" s="98" t="s">
        <v>15</v>
      </c>
      <c r="C5091" s="98">
        <v>32</v>
      </c>
      <c r="D5091" s="98">
        <v>1360</v>
      </c>
      <c r="E5091" s="157">
        <v>41360.972916666666</v>
      </c>
      <c r="F5091" s="157">
        <v>41361.669444444444</v>
      </c>
      <c r="G5091" s="98">
        <v>0</v>
      </c>
      <c r="H5091" s="98">
        <v>530</v>
      </c>
      <c r="I5091" s="98">
        <v>493</v>
      </c>
      <c r="J5091" s="98" t="s">
        <v>2191</v>
      </c>
      <c r="K5091" s="98" t="s">
        <v>762</v>
      </c>
      <c r="L5091" s="105" t="str">
        <f t="shared" si="830"/>
        <v>Trimble</v>
      </c>
      <c r="M5091" s="105" t="str">
        <f t="shared" si="831"/>
        <v>Outage</v>
      </c>
      <c r="N5091" s="105" t="str">
        <f t="shared" si="832"/>
        <v>Coal</v>
      </c>
      <c r="O5091" s="105">
        <f>IFERROR(VLOOKUP(A5091,Lookup!$J$5:$P$19,7,FALSE),0)</f>
        <v>3</v>
      </c>
      <c r="P5091" s="159">
        <f t="shared" si="833"/>
        <v>2013</v>
      </c>
      <c r="Q5091" s="159">
        <f t="shared" si="834"/>
        <v>3</v>
      </c>
      <c r="R5091" s="160">
        <f t="shared" si="835"/>
        <v>16.716666666674428</v>
      </c>
      <c r="S5091" s="158">
        <f t="shared" si="836"/>
        <v>16.716666666674428</v>
      </c>
      <c r="T5091" s="161">
        <f t="shared" si="837"/>
        <v>8241.3166666704929</v>
      </c>
      <c r="U5091" s="158">
        <f t="shared" si="838"/>
        <v>493</v>
      </c>
      <c r="V5091" s="160">
        <f t="shared" si="839"/>
        <v>493</v>
      </c>
    </row>
    <row r="5092" spans="1:22" x14ac:dyDescent="0.25">
      <c r="A5092" s="98" t="s">
        <v>19</v>
      </c>
      <c r="B5092" s="98" t="s">
        <v>20</v>
      </c>
      <c r="C5092" s="98">
        <v>33</v>
      </c>
      <c r="D5092" s="98">
        <v>1489</v>
      </c>
      <c r="E5092" s="157">
        <v>41361.669444444444</v>
      </c>
      <c r="F5092" s="157">
        <v>41363.918055555558</v>
      </c>
      <c r="G5092" s="98">
        <v>0</v>
      </c>
      <c r="H5092" s="98">
        <v>530</v>
      </c>
      <c r="I5092" s="98">
        <v>493</v>
      </c>
      <c r="J5092" s="98" t="s">
        <v>2986</v>
      </c>
      <c r="K5092" s="98" t="s">
        <v>763</v>
      </c>
      <c r="L5092" s="105" t="str">
        <f t="shared" si="830"/>
        <v>Trimble</v>
      </c>
      <c r="M5092" s="105" t="str">
        <f t="shared" si="831"/>
        <v>Maintenance</v>
      </c>
      <c r="N5092" s="105" t="str">
        <f t="shared" si="832"/>
        <v>Coal</v>
      </c>
      <c r="O5092" s="105">
        <f>IFERROR(VLOOKUP(A5092,Lookup!$J$5:$P$19,7,FALSE),0)</f>
        <v>3</v>
      </c>
      <c r="P5092" s="159">
        <f t="shared" si="833"/>
        <v>2013</v>
      </c>
      <c r="Q5092" s="159">
        <f t="shared" si="834"/>
        <v>3</v>
      </c>
      <c r="R5092" s="160">
        <f t="shared" si="835"/>
        <v>53.966666666732635</v>
      </c>
      <c r="S5092" s="158">
        <f t="shared" si="836"/>
        <v>53.966666666732635</v>
      </c>
      <c r="T5092" s="161">
        <f t="shared" si="837"/>
        <v>26605.566666699189</v>
      </c>
      <c r="U5092" s="158">
        <f t="shared" si="838"/>
        <v>493</v>
      </c>
      <c r="V5092" s="160">
        <f t="shared" si="839"/>
        <v>493</v>
      </c>
    </row>
    <row r="5093" spans="1:22" x14ac:dyDescent="0.25">
      <c r="A5093" s="98" t="s">
        <v>19</v>
      </c>
      <c r="B5093" s="98" t="s">
        <v>17</v>
      </c>
      <c r="C5093" s="98">
        <v>34</v>
      </c>
      <c r="D5093" s="98">
        <v>3641</v>
      </c>
      <c r="E5093" s="157">
        <v>41366.333333333336</v>
      </c>
      <c r="F5093" s="157">
        <v>41366.350694444445</v>
      </c>
      <c r="G5093" s="98">
        <v>450</v>
      </c>
      <c r="H5093" s="98">
        <v>530</v>
      </c>
      <c r="I5093" s="98">
        <v>493</v>
      </c>
      <c r="J5093" s="98" t="s">
        <v>2167</v>
      </c>
      <c r="K5093" s="98" t="s">
        <v>764</v>
      </c>
      <c r="L5093" s="105" t="str">
        <f t="shared" si="830"/>
        <v>Trimble</v>
      </c>
      <c r="M5093" s="105" t="str">
        <f t="shared" si="831"/>
        <v>Derate</v>
      </c>
      <c r="N5093" s="105" t="str">
        <f t="shared" si="832"/>
        <v>Coal</v>
      </c>
      <c r="O5093" s="105">
        <f>IFERROR(VLOOKUP(A5093,Lookup!$J$5:$P$19,7,FALSE),0)</f>
        <v>3</v>
      </c>
      <c r="P5093" s="159">
        <f t="shared" si="833"/>
        <v>2013</v>
      </c>
      <c r="Q5093" s="159">
        <f t="shared" si="834"/>
        <v>4</v>
      </c>
      <c r="R5093" s="160">
        <f t="shared" si="835"/>
        <v>0.41666666662786156</v>
      </c>
      <c r="S5093" s="158">
        <f t="shared" si="836"/>
        <v>6.2893081755148919E-2</v>
      </c>
      <c r="T5093" s="161">
        <f t="shared" si="837"/>
        <v>31.006289305288416</v>
      </c>
      <c r="U5093" s="158">
        <f t="shared" si="838"/>
        <v>74.415094339622641</v>
      </c>
      <c r="V5093" s="160">
        <f t="shared" si="839"/>
        <v>74</v>
      </c>
    </row>
    <row r="5094" spans="1:22" x14ac:dyDescent="0.25">
      <c r="A5094" s="98" t="s">
        <v>19</v>
      </c>
      <c r="B5094" s="98" t="s">
        <v>17</v>
      </c>
      <c r="C5094" s="98">
        <v>35</v>
      </c>
      <c r="D5094" s="98">
        <v>3431</v>
      </c>
      <c r="E5094" s="157">
        <v>41366.958333333336</v>
      </c>
      <c r="F5094" s="157">
        <v>41367.188194444447</v>
      </c>
      <c r="G5094" s="98">
        <v>525</v>
      </c>
      <c r="H5094" s="98">
        <v>530</v>
      </c>
      <c r="I5094" s="98">
        <v>493</v>
      </c>
      <c r="J5094" s="98" t="s">
        <v>2123</v>
      </c>
      <c r="K5094" s="98" t="s">
        <v>765</v>
      </c>
      <c r="L5094" s="105" t="str">
        <f t="shared" si="830"/>
        <v>Trimble</v>
      </c>
      <c r="M5094" s="105" t="str">
        <f t="shared" si="831"/>
        <v>Derate</v>
      </c>
      <c r="N5094" s="105" t="str">
        <f t="shared" si="832"/>
        <v>Coal</v>
      </c>
      <c r="O5094" s="105">
        <f>IFERROR(VLOOKUP(A5094,Lookup!$J$5:$P$19,7,FALSE),0)</f>
        <v>3</v>
      </c>
      <c r="P5094" s="159">
        <f t="shared" si="833"/>
        <v>2013</v>
      </c>
      <c r="Q5094" s="159">
        <f t="shared" si="834"/>
        <v>4</v>
      </c>
      <c r="R5094" s="160">
        <f t="shared" si="835"/>
        <v>5.5166666666627862</v>
      </c>
      <c r="S5094" s="158">
        <f t="shared" si="836"/>
        <v>5.2044025157196097E-2</v>
      </c>
      <c r="T5094" s="161">
        <f t="shared" si="837"/>
        <v>25.657704402497675</v>
      </c>
      <c r="U5094" s="158">
        <f t="shared" si="838"/>
        <v>4.6509433962264151</v>
      </c>
      <c r="V5094" s="160">
        <f t="shared" si="839"/>
        <v>5</v>
      </c>
    </row>
    <row r="5095" spans="1:22" x14ac:dyDescent="0.25">
      <c r="A5095" s="98" t="s">
        <v>19</v>
      </c>
      <c r="B5095" s="98" t="s">
        <v>17</v>
      </c>
      <c r="C5095" s="98">
        <v>36</v>
      </c>
      <c r="D5095" s="98">
        <v>3431</v>
      </c>
      <c r="E5095" s="157">
        <v>41367.236111111109</v>
      </c>
      <c r="F5095" s="157">
        <v>41367.315972222219</v>
      </c>
      <c r="G5095" s="98">
        <v>525</v>
      </c>
      <c r="H5095" s="98">
        <v>530</v>
      </c>
      <c r="I5095" s="98">
        <v>493</v>
      </c>
      <c r="J5095" s="98" t="s">
        <v>2123</v>
      </c>
      <c r="K5095" s="98" t="s">
        <v>766</v>
      </c>
      <c r="L5095" s="105" t="str">
        <f t="shared" si="830"/>
        <v>Trimble</v>
      </c>
      <c r="M5095" s="105" t="str">
        <f t="shared" si="831"/>
        <v>Derate</v>
      </c>
      <c r="N5095" s="105" t="str">
        <f t="shared" si="832"/>
        <v>Coal</v>
      </c>
      <c r="O5095" s="105">
        <f>IFERROR(VLOOKUP(A5095,Lookup!$J$5:$P$19,7,FALSE),0)</f>
        <v>3</v>
      </c>
      <c r="P5095" s="159">
        <f t="shared" si="833"/>
        <v>2013</v>
      </c>
      <c r="Q5095" s="159">
        <f t="shared" si="834"/>
        <v>4</v>
      </c>
      <c r="R5095" s="160">
        <f t="shared" si="835"/>
        <v>1.9166666666278616</v>
      </c>
      <c r="S5095" s="158">
        <f t="shared" si="836"/>
        <v>1.8081761005923222E-2</v>
      </c>
      <c r="T5095" s="161">
        <f t="shared" si="837"/>
        <v>8.9143081759201479</v>
      </c>
      <c r="U5095" s="158">
        <f t="shared" si="838"/>
        <v>4.6509433962264151</v>
      </c>
      <c r="V5095" s="160">
        <f t="shared" si="839"/>
        <v>5</v>
      </c>
    </row>
    <row r="5096" spans="1:22" x14ac:dyDescent="0.25">
      <c r="A5096" s="98" t="s">
        <v>19</v>
      </c>
      <c r="B5096" s="98" t="s">
        <v>17</v>
      </c>
      <c r="C5096" s="98">
        <v>37</v>
      </c>
      <c r="D5096" s="98">
        <v>310</v>
      </c>
      <c r="E5096" s="157">
        <v>41385.535416666666</v>
      </c>
      <c r="F5096" s="157">
        <v>41385.57708333333</v>
      </c>
      <c r="G5096" s="98">
        <v>525</v>
      </c>
      <c r="H5096" s="98">
        <v>530</v>
      </c>
      <c r="I5096" s="98">
        <v>493</v>
      </c>
      <c r="J5096" s="98" t="s">
        <v>1966</v>
      </c>
      <c r="K5096" s="98" t="s">
        <v>767</v>
      </c>
      <c r="L5096" s="105" t="str">
        <f t="shared" si="830"/>
        <v>Trimble</v>
      </c>
      <c r="M5096" s="105" t="str">
        <f t="shared" si="831"/>
        <v>Derate</v>
      </c>
      <c r="N5096" s="105" t="str">
        <f t="shared" si="832"/>
        <v>Coal</v>
      </c>
      <c r="O5096" s="105">
        <f>IFERROR(VLOOKUP(A5096,Lookup!$J$5:$P$19,7,FALSE),0)</f>
        <v>3</v>
      </c>
      <c r="P5096" s="159">
        <f t="shared" si="833"/>
        <v>2013</v>
      </c>
      <c r="Q5096" s="159">
        <f t="shared" si="834"/>
        <v>4</v>
      </c>
      <c r="R5096" s="160">
        <f t="shared" si="835"/>
        <v>0.99999999994179234</v>
      </c>
      <c r="S5096" s="158">
        <f t="shared" si="836"/>
        <v>9.4339622636018146E-3</v>
      </c>
      <c r="T5096" s="161">
        <f t="shared" si="837"/>
        <v>4.6509433959556947</v>
      </c>
      <c r="U5096" s="158">
        <f t="shared" si="838"/>
        <v>4.6509433962264151</v>
      </c>
      <c r="V5096" s="160">
        <f t="shared" si="839"/>
        <v>5</v>
      </c>
    </row>
    <row r="5097" spans="1:22" x14ac:dyDescent="0.25">
      <c r="A5097" s="98" t="s">
        <v>19</v>
      </c>
      <c r="B5097" s="98" t="s">
        <v>79</v>
      </c>
      <c r="C5097" s="98">
        <v>38</v>
      </c>
      <c r="D5097" s="98">
        <v>4269</v>
      </c>
      <c r="E5097" s="157">
        <v>41395</v>
      </c>
      <c r="F5097" s="157">
        <v>41395.041666666664</v>
      </c>
      <c r="G5097" s="98">
        <v>0</v>
      </c>
      <c r="H5097" s="98">
        <v>530</v>
      </c>
      <c r="I5097" s="98">
        <v>493</v>
      </c>
      <c r="J5097" s="98" t="s">
        <v>2286</v>
      </c>
      <c r="K5097" s="98" t="s">
        <v>768</v>
      </c>
      <c r="L5097" s="105" t="str">
        <f t="shared" si="830"/>
        <v>Trimble</v>
      </c>
      <c r="M5097" s="105" t="str">
        <f t="shared" si="831"/>
        <v>Other</v>
      </c>
      <c r="N5097" s="105" t="str">
        <f t="shared" si="832"/>
        <v>Coal</v>
      </c>
      <c r="O5097" s="105">
        <f>IFERROR(VLOOKUP(A5097,Lookup!$J$5:$P$19,7,FALSE),0)</f>
        <v>3</v>
      </c>
      <c r="P5097" s="159">
        <f t="shared" si="833"/>
        <v>2013</v>
      </c>
      <c r="Q5097" s="159">
        <f t="shared" si="834"/>
        <v>5</v>
      </c>
      <c r="R5097" s="160">
        <f t="shared" si="835"/>
        <v>0.99999999994179234</v>
      </c>
      <c r="S5097" s="158">
        <f t="shared" si="836"/>
        <v>0.99999999994179234</v>
      </c>
      <c r="T5097" s="161">
        <f t="shared" si="837"/>
        <v>492.99999997130362</v>
      </c>
      <c r="U5097" s="158">
        <f t="shared" si="838"/>
        <v>493</v>
      </c>
      <c r="V5097" s="160">
        <f t="shared" si="839"/>
        <v>493</v>
      </c>
    </row>
    <row r="5098" spans="1:22" x14ac:dyDescent="0.25">
      <c r="A5098" s="98" t="s">
        <v>19</v>
      </c>
      <c r="B5098" s="98" t="s">
        <v>105</v>
      </c>
      <c r="C5098" s="98">
        <v>39</v>
      </c>
      <c r="D5098" s="98">
        <v>3410</v>
      </c>
      <c r="E5098" s="157">
        <v>41397.833333333336</v>
      </c>
      <c r="F5098" s="157">
        <v>41397.944444444445</v>
      </c>
      <c r="G5098" s="98">
        <v>525</v>
      </c>
      <c r="H5098" s="98">
        <v>530</v>
      </c>
      <c r="I5098" s="98">
        <v>493</v>
      </c>
      <c r="J5098" s="98" t="s">
        <v>1983</v>
      </c>
      <c r="K5098" s="98" t="s">
        <v>769</v>
      </c>
      <c r="L5098" s="105" t="str">
        <f t="shared" si="830"/>
        <v>Trimble</v>
      </c>
      <c r="M5098" s="105" t="str">
        <f t="shared" si="831"/>
        <v>Derate</v>
      </c>
      <c r="N5098" s="105" t="str">
        <f t="shared" si="832"/>
        <v>Coal</v>
      </c>
      <c r="O5098" s="105">
        <f>IFERROR(VLOOKUP(A5098,Lookup!$J$5:$P$19,7,FALSE),0)</f>
        <v>3</v>
      </c>
      <c r="P5098" s="159">
        <f t="shared" si="833"/>
        <v>2013</v>
      </c>
      <c r="Q5098" s="159">
        <f t="shared" si="834"/>
        <v>5</v>
      </c>
      <c r="R5098" s="160">
        <f t="shared" si="835"/>
        <v>2.6666666666278616</v>
      </c>
      <c r="S5098" s="158">
        <f t="shared" si="836"/>
        <v>2.5157232704036431E-2</v>
      </c>
      <c r="T5098" s="161">
        <f t="shared" si="837"/>
        <v>12.402515723089961</v>
      </c>
      <c r="U5098" s="158">
        <f t="shared" si="838"/>
        <v>4.6509433962264151</v>
      </c>
      <c r="V5098" s="160">
        <f t="shared" si="839"/>
        <v>5</v>
      </c>
    </row>
    <row r="5099" spans="1:22" x14ac:dyDescent="0.25">
      <c r="A5099" s="98" t="s">
        <v>19</v>
      </c>
      <c r="B5099" s="98" t="s">
        <v>15</v>
      </c>
      <c r="C5099" s="98">
        <v>40</v>
      </c>
      <c r="D5099" s="98">
        <v>4609</v>
      </c>
      <c r="E5099" s="157">
        <v>41397.944444444445</v>
      </c>
      <c r="F5099" s="157">
        <v>41398.76458333333</v>
      </c>
      <c r="G5099" s="98">
        <v>0</v>
      </c>
      <c r="H5099" s="98">
        <v>530</v>
      </c>
      <c r="I5099" s="98">
        <v>493</v>
      </c>
      <c r="J5099" s="98" t="s">
        <v>2105</v>
      </c>
      <c r="K5099" s="98" t="s">
        <v>770</v>
      </c>
      <c r="L5099" s="105" t="str">
        <f t="shared" si="830"/>
        <v>Trimble</v>
      </c>
      <c r="M5099" s="105" t="str">
        <f t="shared" si="831"/>
        <v>Outage</v>
      </c>
      <c r="N5099" s="105" t="str">
        <f t="shared" si="832"/>
        <v>Coal</v>
      </c>
      <c r="O5099" s="105">
        <f>IFERROR(VLOOKUP(A5099,Lookup!$J$5:$P$19,7,FALSE),0)</f>
        <v>3</v>
      </c>
      <c r="P5099" s="159">
        <f t="shared" si="833"/>
        <v>2013</v>
      </c>
      <c r="Q5099" s="159">
        <f t="shared" si="834"/>
        <v>5</v>
      </c>
      <c r="R5099" s="160">
        <f t="shared" si="835"/>
        <v>19.68333333323244</v>
      </c>
      <c r="S5099" s="158">
        <f t="shared" si="836"/>
        <v>19.68333333323244</v>
      </c>
      <c r="T5099" s="161">
        <f t="shared" si="837"/>
        <v>9703.8833332835929</v>
      </c>
      <c r="U5099" s="158">
        <f t="shared" si="838"/>
        <v>493</v>
      </c>
      <c r="V5099" s="160">
        <f t="shared" si="839"/>
        <v>493</v>
      </c>
    </row>
    <row r="5100" spans="1:22" x14ac:dyDescent="0.25">
      <c r="A5100" s="98" t="s">
        <v>19</v>
      </c>
      <c r="B5100" s="98" t="s">
        <v>79</v>
      </c>
      <c r="C5100" s="98">
        <v>41</v>
      </c>
      <c r="D5100" s="98">
        <v>1850</v>
      </c>
      <c r="E5100" s="157">
        <v>41398.76458333333</v>
      </c>
      <c r="F5100" s="157">
        <v>41399.186111111114</v>
      </c>
      <c r="G5100" s="98">
        <v>0</v>
      </c>
      <c r="H5100" s="98">
        <v>530</v>
      </c>
      <c r="I5100" s="98">
        <v>493</v>
      </c>
      <c r="J5100" s="98" t="s">
        <v>2263</v>
      </c>
      <c r="K5100" s="98" t="s">
        <v>771</v>
      </c>
      <c r="L5100" s="105" t="str">
        <f t="shared" si="830"/>
        <v>Trimble</v>
      </c>
      <c r="M5100" s="105" t="str">
        <f t="shared" si="831"/>
        <v>Other</v>
      </c>
      <c r="N5100" s="105" t="str">
        <f t="shared" si="832"/>
        <v>Coal</v>
      </c>
      <c r="O5100" s="105">
        <f>IFERROR(VLOOKUP(A5100,Lookup!$J$5:$P$19,7,FALSE),0)</f>
        <v>3</v>
      </c>
      <c r="P5100" s="159">
        <f t="shared" si="833"/>
        <v>2013</v>
      </c>
      <c r="Q5100" s="159">
        <f t="shared" si="834"/>
        <v>5</v>
      </c>
      <c r="R5100" s="160">
        <f t="shared" si="835"/>
        <v>10.116666666814126</v>
      </c>
      <c r="S5100" s="158">
        <f t="shared" si="836"/>
        <v>10.116666666814126</v>
      </c>
      <c r="T5100" s="161">
        <f t="shared" si="837"/>
        <v>4987.5166667393642</v>
      </c>
      <c r="U5100" s="158">
        <f t="shared" si="838"/>
        <v>493</v>
      </c>
      <c r="V5100" s="160">
        <f t="shared" si="839"/>
        <v>493</v>
      </c>
    </row>
    <row r="5101" spans="1:22" x14ac:dyDescent="0.25">
      <c r="A5101" s="98" t="s">
        <v>19</v>
      </c>
      <c r="B5101" s="98" t="s">
        <v>79</v>
      </c>
      <c r="C5101" s="98">
        <v>42</v>
      </c>
      <c r="D5101" s="98">
        <v>4267</v>
      </c>
      <c r="E5101" s="157">
        <v>41406.041666666664</v>
      </c>
      <c r="F5101" s="157">
        <v>41406.052083333336</v>
      </c>
      <c r="G5101" s="98">
        <v>0</v>
      </c>
      <c r="H5101" s="98">
        <v>530</v>
      </c>
      <c r="I5101" s="98">
        <v>493</v>
      </c>
      <c r="J5101" s="98" t="s">
        <v>2025</v>
      </c>
      <c r="K5101" s="98" t="s">
        <v>772</v>
      </c>
      <c r="L5101" s="105" t="str">
        <f t="shared" si="830"/>
        <v>Trimble</v>
      </c>
      <c r="M5101" s="105" t="str">
        <f t="shared" si="831"/>
        <v>Other</v>
      </c>
      <c r="N5101" s="105" t="str">
        <f t="shared" si="832"/>
        <v>Coal</v>
      </c>
      <c r="O5101" s="105">
        <f>IFERROR(VLOOKUP(A5101,Lookup!$J$5:$P$19,7,FALSE),0)</f>
        <v>3</v>
      </c>
      <c r="P5101" s="159">
        <f t="shared" si="833"/>
        <v>2013</v>
      </c>
      <c r="Q5101" s="159">
        <f t="shared" si="834"/>
        <v>5</v>
      </c>
      <c r="R5101" s="160">
        <f t="shared" si="835"/>
        <v>0.25000000011641532</v>
      </c>
      <c r="S5101" s="158">
        <f t="shared" si="836"/>
        <v>0.25000000011641532</v>
      </c>
      <c r="T5101" s="161">
        <f t="shared" si="837"/>
        <v>123.25000005739275</v>
      </c>
      <c r="U5101" s="158">
        <f t="shared" si="838"/>
        <v>493</v>
      </c>
      <c r="V5101" s="160">
        <f t="shared" si="839"/>
        <v>493</v>
      </c>
    </row>
    <row r="5102" spans="1:22" x14ac:dyDescent="0.25">
      <c r="A5102" s="98" t="s">
        <v>19</v>
      </c>
      <c r="B5102" s="98" t="s">
        <v>17</v>
      </c>
      <c r="C5102" s="98">
        <v>43</v>
      </c>
      <c r="D5102" s="98">
        <v>310</v>
      </c>
      <c r="E5102" s="162">
        <v>41407.333333333336</v>
      </c>
      <c r="F5102" s="157">
        <v>41407.350694444445</v>
      </c>
      <c r="G5102" s="98">
        <v>525</v>
      </c>
      <c r="H5102" s="98">
        <v>530</v>
      </c>
      <c r="I5102" s="98">
        <v>493</v>
      </c>
      <c r="J5102" s="98" t="s">
        <v>1966</v>
      </c>
      <c r="K5102" s="98" t="s">
        <v>773</v>
      </c>
      <c r="L5102" s="105" t="str">
        <f t="shared" si="830"/>
        <v>Trimble</v>
      </c>
      <c r="M5102" s="105" t="str">
        <f t="shared" si="831"/>
        <v>Derate</v>
      </c>
      <c r="N5102" s="105" t="str">
        <f t="shared" si="832"/>
        <v>Coal</v>
      </c>
      <c r="O5102" s="105">
        <f>IFERROR(VLOOKUP(A5102,Lookup!$J$5:$P$19,7,FALSE),0)</f>
        <v>3</v>
      </c>
      <c r="P5102" s="159">
        <f t="shared" si="833"/>
        <v>2013</v>
      </c>
      <c r="Q5102" s="159">
        <f t="shared" si="834"/>
        <v>5</v>
      </c>
      <c r="R5102" s="160">
        <f t="shared" si="835"/>
        <v>0.41666666662786156</v>
      </c>
      <c r="S5102" s="158">
        <f t="shared" si="836"/>
        <v>3.9308176096968074E-3</v>
      </c>
      <c r="T5102" s="161">
        <f t="shared" si="837"/>
        <v>1.937893081580526</v>
      </c>
      <c r="U5102" s="158">
        <f t="shared" si="838"/>
        <v>4.6509433962264151</v>
      </c>
      <c r="V5102" s="160">
        <f t="shared" si="839"/>
        <v>5</v>
      </c>
    </row>
    <row r="5103" spans="1:22" x14ac:dyDescent="0.25">
      <c r="A5103" s="98" t="s">
        <v>19</v>
      </c>
      <c r="B5103" s="98" t="s">
        <v>17</v>
      </c>
      <c r="C5103" s="98">
        <v>44</v>
      </c>
      <c r="D5103" s="98">
        <v>310</v>
      </c>
      <c r="E5103" s="157">
        <v>41407.350694444445</v>
      </c>
      <c r="F5103" s="157">
        <v>41407.413194444445</v>
      </c>
      <c r="G5103" s="98">
        <v>515</v>
      </c>
      <c r="H5103" s="98">
        <v>530</v>
      </c>
      <c r="I5103" s="98">
        <v>493</v>
      </c>
      <c r="J5103" s="98" t="s">
        <v>1966</v>
      </c>
      <c r="K5103" s="98" t="s">
        <v>774</v>
      </c>
      <c r="L5103" s="105" t="str">
        <f t="shared" si="830"/>
        <v>Trimble</v>
      </c>
      <c r="M5103" s="105" t="str">
        <f t="shared" si="831"/>
        <v>Derate</v>
      </c>
      <c r="N5103" s="105" t="str">
        <f t="shared" si="832"/>
        <v>Coal</v>
      </c>
      <c r="O5103" s="105">
        <f>IFERROR(VLOOKUP(A5103,Lookup!$J$5:$P$19,7,FALSE),0)</f>
        <v>3</v>
      </c>
      <c r="P5103" s="159">
        <f t="shared" si="833"/>
        <v>2013</v>
      </c>
      <c r="Q5103" s="159">
        <f t="shared" si="834"/>
        <v>5</v>
      </c>
      <c r="R5103" s="160">
        <f t="shared" si="835"/>
        <v>1.5</v>
      </c>
      <c r="S5103" s="158">
        <f t="shared" si="836"/>
        <v>4.2452830188679243E-2</v>
      </c>
      <c r="T5103" s="161">
        <f t="shared" si="837"/>
        <v>20.929245283018865</v>
      </c>
      <c r="U5103" s="158">
        <f t="shared" si="838"/>
        <v>13.952830188679245</v>
      </c>
      <c r="V5103" s="160">
        <f t="shared" si="839"/>
        <v>14</v>
      </c>
    </row>
    <row r="5104" spans="1:22" x14ac:dyDescent="0.25">
      <c r="A5104" s="98" t="s">
        <v>19</v>
      </c>
      <c r="B5104" s="98" t="s">
        <v>17</v>
      </c>
      <c r="C5104" s="98">
        <v>45</v>
      </c>
      <c r="D5104" s="98">
        <v>310</v>
      </c>
      <c r="E5104" s="157">
        <v>41407.413194444445</v>
      </c>
      <c r="F5104" s="157">
        <v>41407.467361111114</v>
      </c>
      <c r="G5104" s="98">
        <v>530</v>
      </c>
      <c r="H5104" s="98">
        <v>530</v>
      </c>
      <c r="I5104" s="98">
        <v>493</v>
      </c>
      <c r="J5104" s="98" t="s">
        <v>1966</v>
      </c>
      <c r="K5104" s="98" t="s">
        <v>775</v>
      </c>
      <c r="L5104" s="105" t="str">
        <f t="shared" ref="L5104:L5167" si="840">IF(OR(A5104="BR1",A5104="BR2",A5104="BR3",A5104="BR5",A5104="BR6",A5104="BR7",A5104="BR8",A5104="BR9",A5104="BR10",A5104="BR11"),"Brown",IF(OR(A5104="CR4",A5104="CR5",A5104="CR6",A5104="CR11"),"Cane Run",IF(OR(A5104="GH1",A5104="GH2",A5104="GH3",A5104="GH4"),"Ghent",IF(OR(A5104="GR3",A5104="GR4"),"Green River",IF(OR(A5104="MC1",A5104="MC2",A5104="MC3",A5104="MC4"),"Mill Creek",IF(OR(A5104="TC1",A5104="TC2",A5104="TC5",A5104="TC6",A5104="TC7",A5104="TC8",A5104="TC9",A5104="TC10"),"Trimble",IF(A5104="TY3","Tyrone",IF(OR(A5104="HA1",A5104="HA2",A5104="HA3"),"Haeflin",IF(OR(A5104="PR11",A5104="PR12",A5104="PR13"),"Paddy's Run","Zorn")))))))))</f>
        <v>Trimble</v>
      </c>
      <c r="M5104" s="105" t="str">
        <f t="shared" ref="M5104:M5167" si="841">IF(OR(B5104="D1",B5104="D2",B5104="D3",B5104="D4",B5104="PD"),"Derate",IF(OR(B5104="SF",B5104="U1",B5104="U2",B5104="U3"),"Outage",IF(OR(B5104="ME",B5104="MO"),"Maintenance","Other")))</f>
        <v>Derate</v>
      </c>
      <c r="N5104" s="105" t="str">
        <f t="shared" ref="N5104:N5167" si="842">IF(OR(A5104="BR1",A5104="BR2",A5104="BR3",A5104="CR4",A5104="CR5",A5104="CR6",A5104="GH1",A5104="GH2",A5104="GH3",A5104="GH4",A5104="GR3",A5104="GR4",A5104="MC1",A5104="MC2",A5104="MC3",A5104="MC4",A5104="TC1",A5104="TC2",A5104="TY3"),"Coal","Gas")</f>
        <v>Coal</v>
      </c>
      <c r="O5104" s="105">
        <f>IFERROR(VLOOKUP(A5104,Lookup!$J$5:$P$19,7,FALSE),0)</f>
        <v>3</v>
      </c>
      <c r="P5104" s="159">
        <f t="shared" ref="P5104:P5167" si="843">YEAR(E5104)</f>
        <v>2013</v>
      </c>
      <c r="Q5104" s="159">
        <f t="shared" ref="Q5104:Q5167" si="844">MONTH(E5104)</f>
        <v>5</v>
      </c>
      <c r="R5104" s="160">
        <f t="shared" ref="R5104:R5167" si="845">(F5104-E5104)*24</f>
        <v>1.3000000000465661</v>
      </c>
      <c r="S5104" s="158">
        <f t="shared" ref="S5104:S5167" si="846">R5104*(H5104-G5104)/H5104</f>
        <v>0</v>
      </c>
      <c r="T5104" s="161">
        <f t="shared" ref="T5104:T5167" si="847">S5104*I5104</f>
        <v>0</v>
      </c>
      <c r="U5104" s="158">
        <f t="shared" si="838"/>
        <v>0</v>
      </c>
      <c r="V5104" s="160">
        <f t="shared" ref="V5104:V5167" si="848">ROUND(U5104,0)</f>
        <v>0</v>
      </c>
    </row>
    <row r="5105" spans="1:22" x14ac:dyDescent="0.25">
      <c r="A5105" s="98" t="s">
        <v>19</v>
      </c>
      <c r="B5105" s="98" t="s">
        <v>79</v>
      </c>
      <c r="C5105" s="98">
        <v>46</v>
      </c>
      <c r="D5105" s="98">
        <v>4267</v>
      </c>
      <c r="E5105" s="157">
        <v>41412.9375</v>
      </c>
      <c r="F5105" s="157">
        <v>41412.960416666669</v>
      </c>
      <c r="G5105" s="98">
        <v>0</v>
      </c>
      <c r="H5105" s="98">
        <v>530</v>
      </c>
      <c r="I5105" s="98">
        <v>493</v>
      </c>
      <c r="J5105" s="98" t="s">
        <v>2025</v>
      </c>
      <c r="K5105" s="98" t="s">
        <v>776</v>
      </c>
      <c r="L5105" s="105" t="str">
        <f t="shared" si="840"/>
        <v>Trimble</v>
      </c>
      <c r="M5105" s="105" t="str">
        <f t="shared" si="841"/>
        <v>Other</v>
      </c>
      <c r="N5105" s="105" t="str">
        <f t="shared" si="842"/>
        <v>Coal</v>
      </c>
      <c r="O5105" s="105">
        <f>IFERROR(VLOOKUP(A5105,Lookup!$J$5:$P$19,7,FALSE),0)</f>
        <v>3</v>
      </c>
      <c r="P5105" s="159">
        <f t="shared" si="843"/>
        <v>2013</v>
      </c>
      <c r="Q5105" s="159">
        <f t="shared" si="844"/>
        <v>5</v>
      </c>
      <c r="R5105" s="160">
        <f t="shared" si="845"/>
        <v>0.55000000004656613</v>
      </c>
      <c r="S5105" s="158">
        <f t="shared" si="846"/>
        <v>0.55000000004656613</v>
      </c>
      <c r="T5105" s="161">
        <f t="shared" si="847"/>
        <v>271.1500000229571</v>
      </c>
      <c r="U5105" s="158">
        <f t="shared" ref="U5105:U5168" si="849">IF(G5105&gt;0,MAX((H5105-G5105),0)*I5105/H5105,I5105)</f>
        <v>493</v>
      </c>
      <c r="V5105" s="160">
        <f t="shared" si="848"/>
        <v>493</v>
      </c>
    </row>
    <row r="5106" spans="1:22" x14ac:dyDescent="0.25">
      <c r="A5106" s="98" t="s">
        <v>19</v>
      </c>
      <c r="B5106" s="98" t="s">
        <v>15</v>
      </c>
      <c r="C5106" s="98">
        <v>47</v>
      </c>
      <c r="D5106" s="98">
        <v>800</v>
      </c>
      <c r="E5106" s="157">
        <v>41419.472222222219</v>
      </c>
      <c r="F5106" s="157">
        <v>41419.65347222222</v>
      </c>
      <c r="G5106" s="98">
        <v>0</v>
      </c>
      <c r="H5106" s="98">
        <v>530</v>
      </c>
      <c r="I5106" s="98">
        <v>493</v>
      </c>
      <c r="J5106" s="98" t="s">
        <v>2197</v>
      </c>
      <c r="K5106" s="98" t="s">
        <v>777</v>
      </c>
      <c r="L5106" s="105" t="str">
        <f t="shared" si="840"/>
        <v>Trimble</v>
      </c>
      <c r="M5106" s="105" t="str">
        <f t="shared" si="841"/>
        <v>Outage</v>
      </c>
      <c r="N5106" s="105" t="str">
        <f t="shared" si="842"/>
        <v>Coal</v>
      </c>
      <c r="O5106" s="105">
        <f>IFERROR(VLOOKUP(A5106,Lookup!$J$5:$P$19,7,FALSE),0)</f>
        <v>3</v>
      </c>
      <c r="P5106" s="159">
        <f t="shared" si="843"/>
        <v>2013</v>
      </c>
      <c r="Q5106" s="159">
        <f t="shared" si="844"/>
        <v>5</v>
      </c>
      <c r="R5106" s="160">
        <f t="shared" si="845"/>
        <v>4.3500000000349246</v>
      </c>
      <c r="S5106" s="158">
        <f t="shared" si="846"/>
        <v>4.3500000000349246</v>
      </c>
      <c r="T5106" s="161">
        <f t="shared" si="847"/>
        <v>2144.5500000172178</v>
      </c>
      <c r="U5106" s="158">
        <f t="shared" si="849"/>
        <v>493</v>
      </c>
      <c r="V5106" s="160">
        <f t="shared" si="848"/>
        <v>493</v>
      </c>
    </row>
    <row r="5107" spans="1:22" x14ac:dyDescent="0.25">
      <c r="A5107" s="98" t="s">
        <v>19</v>
      </c>
      <c r="B5107" s="98" t="s">
        <v>79</v>
      </c>
      <c r="C5107" s="98">
        <v>48</v>
      </c>
      <c r="D5107" s="98">
        <v>1850</v>
      </c>
      <c r="E5107" s="157">
        <v>41419.65347222222</v>
      </c>
      <c r="F5107" s="157">
        <v>41419.96875</v>
      </c>
      <c r="G5107" s="98">
        <v>0</v>
      </c>
      <c r="H5107" s="98">
        <v>530</v>
      </c>
      <c r="I5107" s="98">
        <v>493</v>
      </c>
      <c r="J5107" s="98" t="s">
        <v>2263</v>
      </c>
      <c r="K5107" s="98" t="s">
        <v>778</v>
      </c>
      <c r="L5107" s="105" t="str">
        <f t="shared" si="840"/>
        <v>Trimble</v>
      </c>
      <c r="M5107" s="105" t="str">
        <f t="shared" si="841"/>
        <v>Other</v>
      </c>
      <c r="N5107" s="105" t="str">
        <f t="shared" si="842"/>
        <v>Coal</v>
      </c>
      <c r="O5107" s="105">
        <f>IFERROR(VLOOKUP(A5107,Lookup!$J$5:$P$19,7,FALSE),0)</f>
        <v>3</v>
      </c>
      <c r="P5107" s="159">
        <f t="shared" si="843"/>
        <v>2013</v>
      </c>
      <c r="Q5107" s="159">
        <f t="shared" si="844"/>
        <v>5</v>
      </c>
      <c r="R5107" s="160">
        <f t="shared" si="845"/>
        <v>7.5666666667093523</v>
      </c>
      <c r="S5107" s="158">
        <f t="shared" si="846"/>
        <v>7.5666666667093523</v>
      </c>
      <c r="T5107" s="161">
        <f t="shared" si="847"/>
        <v>3730.3666666877107</v>
      </c>
      <c r="U5107" s="158">
        <f t="shared" si="849"/>
        <v>493</v>
      </c>
      <c r="V5107" s="160">
        <f t="shared" si="848"/>
        <v>493</v>
      </c>
    </row>
    <row r="5108" spans="1:22" x14ac:dyDescent="0.25">
      <c r="A5108" s="98" t="s">
        <v>19</v>
      </c>
      <c r="B5108" s="98" t="s">
        <v>17</v>
      </c>
      <c r="C5108" s="98">
        <v>49</v>
      </c>
      <c r="D5108" s="98">
        <v>3410</v>
      </c>
      <c r="E5108" s="157">
        <v>41438.510416666664</v>
      </c>
      <c r="F5108" s="157">
        <v>41439.067361111112</v>
      </c>
      <c r="G5108" s="98">
        <v>525</v>
      </c>
      <c r="H5108" s="98">
        <v>530</v>
      </c>
      <c r="I5108" s="98">
        <v>493</v>
      </c>
      <c r="J5108" s="98" t="s">
        <v>1983</v>
      </c>
      <c r="K5108" s="98" t="s">
        <v>779</v>
      </c>
      <c r="L5108" s="105" t="str">
        <f t="shared" si="840"/>
        <v>Trimble</v>
      </c>
      <c r="M5108" s="105" t="str">
        <f t="shared" si="841"/>
        <v>Derate</v>
      </c>
      <c r="N5108" s="105" t="str">
        <f t="shared" si="842"/>
        <v>Coal</v>
      </c>
      <c r="O5108" s="105">
        <f>IFERROR(VLOOKUP(A5108,Lookup!$J$5:$P$19,7,FALSE),0)</f>
        <v>3</v>
      </c>
      <c r="P5108" s="159">
        <f t="shared" si="843"/>
        <v>2013</v>
      </c>
      <c r="Q5108" s="159">
        <f t="shared" si="844"/>
        <v>6</v>
      </c>
      <c r="R5108" s="160">
        <f t="shared" si="845"/>
        <v>13.366666666755918</v>
      </c>
      <c r="S5108" s="158">
        <f t="shared" si="846"/>
        <v>0.1261006289316596</v>
      </c>
      <c r="T5108" s="161">
        <f t="shared" si="847"/>
        <v>62.167610063308182</v>
      </c>
      <c r="U5108" s="158">
        <f t="shared" si="849"/>
        <v>4.6509433962264151</v>
      </c>
      <c r="V5108" s="160">
        <f t="shared" si="848"/>
        <v>5</v>
      </c>
    </row>
    <row r="5109" spans="1:22" x14ac:dyDescent="0.25">
      <c r="A5109" s="98" t="s">
        <v>19</v>
      </c>
      <c r="B5109" s="98" t="s">
        <v>79</v>
      </c>
      <c r="C5109" s="98">
        <v>50</v>
      </c>
      <c r="D5109" s="98">
        <v>4267</v>
      </c>
      <c r="E5109" s="157">
        <v>41441.041666666664</v>
      </c>
      <c r="F5109" s="157">
        <v>41441.055555555555</v>
      </c>
      <c r="G5109" s="98">
        <v>0</v>
      </c>
      <c r="H5109" s="98">
        <v>530</v>
      </c>
      <c r="I5109" s="98">
        <v>493</v>
      </c>
      <c r="J5109" s="98" t="s">
        <v>2025</v>
      </c>
      <c r="K5109" s="98" t="s">
        <v>780</v>
      </c>
      <c r="L5109" s="105" t="str">
        <f t="shared" si="840"/>
        <v>Trimble</v>
      </c>
      <c r="M5109" s="105" t="str">
        <f t="shared" si="841"/>
        <v>Other</v>
      </c>
      <c r="N5109" s="105" t="str">
        <f t="shared" si="842"/>
        <v>Coal</v>
      </c>
      <c r="O5109" s="105">
        <f>IFERROR(VLOOKUP(A5109,Lookup!$J$5:$P$19,7,FALSE),0)</f>
        <v>3</v>
      </c>
      <c r="P5109" s="159">
        <f t="shared" si="843"/>
        <v>2013</v>
      </c>
      <c r="Q5109" s="159">
        <f t="shared" si="844"/>
        <v>6</v>
      </c>
      <c r="R5109" s="160">
        <f t="shared" si="845"/>
        <v>0.33333333337213844</v>
      </c>
      <c r="S5109" s="158">
        <f t="shared" si="846"/>
        <v>0.33333333337213844</v>
      </c>
      <c r="T5109" s="161">
        <f t="shared" si="847"/>
        <v>164.33333335246425</v>
      </c>
      <c r="U5109" s="158">
        <f t="shared" si="849"/>
        <v>493</v>
      </c>
      <c r="V5109" s="160">
        <f t="shared" si="848"/>
        <v>493</v>
      </c>
    </row>
    <row r="5110" spans="1:22" x14ac:dyDescent="0.25">
      <c r="A5110" s="98" t="s">
        <v>19</v>
      </c>
      <c r="B5110" s="98" t="s">
        <v>79</v>
      </c>
      <c r="C5110" s="98">
        <v>51</v>
      </c>
      <c r="D5110" s="98">
        <v>4267</v>
      </c>
      <c r="E5110" s="162">
        <v>41447.041666666664</v>
      </c>
      <c r="F5110" s="157">
        <v>41447.076388888891</v>
      </c>
      <c r="G5110" s="98">
        <v>0</v>
      </c>
      <c r="H5110" s="98">
        <v>530</v>
      </c>
      <c r="I5110" s="98">
        <v>493</v>
      </c>
      <c r="J5110" s="98" t="s">
        <v>2025</v>
      </c>
      <c r="K5110" s="98" t="s">
        <v>781</v>
      </c>
      <c r="L5110" s="105" t="str">
        <f t="shared" si="840"/>
        <v>Trimble</v>
      </c>
      <c r="M5110" s="105" t="str">
        <f t="shared" si="841"/>
        <v>Other</v>
      </c>
      <c r="N5110" s="105" t="str">
        <f t="shared" si="842"/>
        <v>Coal</v>
      </c>
      <c r="O5110" s="105">
        <f>IFERROR(VLOOKUP(A5110,Lookup!$J$5:$P$19,7,FALSE),0)</f>
        <v>3</v>
      </c>
      <c r="P5110" s="159">
        <f t="shared" si="843"/>
        <v>2013</v>
      </c>
      <c r="Q5110" s="159">
        <f t="shared" si="844"/>
        <v>6</v>
      </c>
      <c r="R5110" s="160">
        <f t="shared" si="845"/>
        <v>0.8333333334303461</v>
      </c>
      <c r="S5110" s="158">
        <f t="shared" si="846"/>
        <v>0.8333333334303461</v>
      </c>
      <c r="T5110" s="161">
        <f t="shared" si="847"/>
        <v>410.83333338116063</v>
      </c>
      <c r="U5110" s="158">
        <f t="shared" si="849"/>
        <v>493</v>
      </c>
      <c r="V5110" s="160">
        <f t="shared" si="848"/>
        <v>493</v>
      </c>
    </row>
    <row r="5111" spans="1:22" x14ac:dyDescent="0.25">
      <c r="A5111" s="98" t="s">
        <v>19</v>
      </c>
      <c r="B5111" s="98" t="s">
        <v>105</v>
      </c>
      <c r="C5111" s="98">
        <v>52</v>
      </c>
      <c r="D5111" s="98">
        <v>3410</v>
      </c>
      <c r="E5111" s="157">
        <v>41453.875</v>
      </c>
      <c r="F5111" s="157">
        <v>41454.375</v>
      </c>
      <c r="G5111" s="98">
        <v>525</v>
      </c>
      <c r="H5111" s="98">
        <v>530</v>
      </c>
      <c r="I5111" s="98">
        <v>493</v>
      </c>
      <c r="J5111" s="98" t="s">
        <v>1983</v>
      </c>
      <c r="K5111" s="98" t="s">
        <v>782</v>
      </c>
      <c r="L5111" s="105" t="str">
        <f t="shared" si="840"/>
        <v>Trimble</v>
      </c>
      <c r="M5111" s="105" t="str">
        <f t="shared" si="841"/>
        <v>Derate</v>
      </c>
      <c r="N5111" s="105" t="str">
        <f t="shared" si="842"/>
        <v>Coal</v>
      </c>
      <c r="O5111" s="105">
        <f>IFERROR(VLOOKUP(A5111,Lookup!$J$5:$P$19,7,FALSE),0)</f>
        <v>3</v>
      </c>
      <c r="P5111" s="159">
        <f t="shared" si="843"/>
        <v>2013</v>
      </c>
      <c r="Q5111" s="159">
        <f t="shared" si="844"/>
        <v>6</v>
      </c>
      <c r="R5111" s="160">
        <f t="shared" si="845"/>
        <v>12</v>
      </c>
      <c r="S5111" s="158">
        <f t="shared" si="846"/>
        <v>0.11320754716981132</v>
      </c>
      <c r="T5111" s="161">
        <f t="shared" si="847"/>
        <v>55.811320754716981</v>
      </c>
      <c r="U5111" s="158">
        <f t="shared" si="849"/>
        <v>4.6509433962264151</v>
      </c>
      <c r="V5111" s="160">
        <f t="shared" si="848"/>
        <v>5</v>
      </c>
    </row>
    <row r="5112" spans="1:22" x14ac:dyDescent="0.25">
      <c r="A5112" s="98" t="s">
        <v>19</v>
      </c>
      <c r="B5112" s="98" t="s">
        <v>79</v>
      </c>
      <c r="C5112" s="98">
        <v>53</v>
      </c>
      <c r="D5112" s="98">
        <v>4267</v>
      </c>
      <c r="E5112" s="157">
        <v>41454</v>
      </c>
      <c r="F5112" s="157">
        <v>41454.047222222223</v>
      </c>
      <c r="G5112" s="98">
        <v>0</v>
      </c>
      <c r="H5112" s="98">
        <v>530</v>
      </c>
      <c r="I5112" s="98">
        <v>493</v>
      </c>
      <c r="J5112" s="98" t="s">
        <v>2025</v>
      </c>
      <c r="K5112" s="98" t="s">
        <v>781</v>
      </c>
      <c r="L5112" s="105" t="str">
        <f t="shared" si="840"/>
        <v>Trimble</v>
      </c>
      <c r="M5112" s="105" t="str">
        <f t="shared" si="841"/>
        <v>Other</v>
      </c>
      <c r="N5112" s="105" t="str">
        <f t="shared" si="842"/>
        <v>Coal</v>
      </c>
      <c r="O5112" s="105">
        <f>IFERROR(VLOOKUP(A5112,Lookup!$J$5:$P$19,7,FALSE),0)</f>
        <v>3</v>
      </c>
      <c r="P5112" s="159">
        <f t="shared" si="843"/>
        <v>2013</v>
      </c>
      <c r="Q5112" s="159">
        <f t="shared" si="844"/>
        <v>6</v>
      </c>
      <c r="R5112" s="160">
        <f t="shared" si="845"/>
        <v>1.1333333333604969</v>
      </c>
      <c r="S5112" s="158">
        <f t="shared" si="846"/>
        <v>1.1333333333604969</v>
      </c>
      <c r="T5112" s="161">
        <f t="shared" si="847"/>
        <v>558.73333334672498</v>
      </c>
      <c r="U5112" s="158">
        <f t="shared" si="849"/>
        <v>493</v>
      </c>
      <c r="V5112" s="160">
        <f t="shared" si="848"/>
        <v>493</v>
      </c>
    </row>
    <row r="5113" spans="1:22" x14ac:dyDescent="0.25">
      <c r="A5113" s="98" t="s">
        <v>19</v>
      </c>
      <c r="B5113" s="98" t="s">
        <v>105</v>
      </c>
      <c r="C5113" s="98">
        <v>54</v>
      </c>
      <c r="D5113" s="98">
        <v>3110</v>
      </c>
      <c r="E5113" s="157">
        <v>41460.958333333336</v>
      </c>
      <c r="F5113" s="157">
        <v>41460.976388888892</v>
      </c>
      <c r="G5113" s="98">
        <v>300</v>
      </c>
      <c r="H5113" s="98">
        <v>530</v>
      </c>
      <c r="I5113" s="98">
        <v>493</v>
      </c>
      <c r="J5113" s="98" t="s">
        <v>2119</v>
      </c>
      <c r="K5113" s="98" t="s">
        <v>783</v>
      </c>
      <c r="L5113" s="105" t="str">
        <f t="shared" si="840"/>
        <v>Trimble</v>
      </c>
      <c r="M5113" s="105" t="str">
        <f t="shared" si="841"/>
        <v>Derate</v>
      </c>
      <c r="N5113" s="105" t="str">
        <f t="shared" si="842"/>
        <v>Coal</v>
      </c>
      <c r="O5113" s="105">
        <f>IFERROR(VLOOKUP(A5113,Lookup!$J$5:$P$19,7,FALSE),0)</f>
        <v>3</v>
      </c>
      <c r="P5113" s="159">
        <f t="shared" si="843"/>
        <v>2013</v>
      </c>
      <c r="Q5113" s="159">
        <f t="shared" si="844"/>
        <v>7</v>
      </c>
      <c r="R5113" s="160">
        <f t="shared" si="845"/>
        <v>0.43333333334885538</v>
      </c>
      <c r="S5113" s="158">
        <f t="shared" si="846"/>
        <v>0.18805031447214479</v>
      </c>
      <c r="T5113" s="161">
        <f t="shared" si="847"/>
        <v>92.70880503476738</v>
      </c>
      <c r="U5113" s="158">
        <f t="shared" si="849"/>
        <v>213.9433962264151</v>
      </c>
      <c r="V5113" s="160">
        <f t="shared" si="848"/>
        <v>214</v>
      </c>
    </row>
    <row r="5114" spans="1:22" x14ac:dyDescent="0.25">
      <c r="A5114" s="98" t="s">
        <v>19</v>
      </c>
      <c r="B5114" s="98" t="s">
        <v>20</v>
      </c>
      <c r="C5114" s="98">
        <v>55</v>
      </c>
      <c r="D5114" s="98">
        <v>3110</v>
      </c>
      <c r="E5114" s="157">
        <v>41460.976388888892</v>
      </c>
      <c r="F5114" s="157">
        <v>41462.181944444441</v>
      </c>
      <c r="G5114" s="98">
        <v>0</v>
      </c>
      <c r="H5114" s="98">
        <v>530</v>
      </c>
      <c r="I5114" s="98">
        <v>493</v>
      </c>
      <c r="J5114" s="98" t="s">
        <v>2119</v>
      </c>
      <c r="K5114" s="98" t="s">
        <v>784</v>
      </c>
      <c r="L5114" s="105" t="str">
        <f t="shared" si="840"/>
        <v>Trimble</v>
      </c>
      <c r="M5114" s="105" t="str">
        <f t="shared" si="841"/>
        <v>Maintenance</v>
      </c>
      <c r="N5114" s="105" t="str">
        <f t="shared" si="842"/>
        <v>Coal</v>
      </c>
      <c r="O5114" s="105">
        <f>IFERROR(VLOOKUP(A5114,Lookup!$J$5:$P$19,7,FALSE),0)</f>
        <v>3</v>
      </c>
      <c r="P5114" s="159">
        <f t="shared" si="843"/>
        <v>2013</v>
      </c>
      <c r="Q5114" s="159">
        <f t="shared" si="844"/>
        <v>7</v>
      </c>
      <c r="R5114" s="160">
        <f t="shared" si="845"/>
        <v>28.933333333174232</v>
      </c>
      <c r="S5114" s="158">
        <f t="shared" si="846"/>
        <v>28.933333333174232</v>
      </c>
      <c r="T5114" s="161">
        <f t="shared" si="847"/>
        <v>14264.133333254897</v>
      </c>
      <c r="U5114" s="158">
        <f t="shared" si="849"/>
        <v>493</v>
      </c>
      <c r="V5114" s="160">
        <f t="shared" si="848"/>
        <v>493</v>
      </c>
    </row>
    <row r="5115" spans="1:22" x14ac:dyDescent="0.25">
      <c r="A5115" s="98" t="s">
        <v>19</v>
      </c>
      <c r="B5115" s="98" t="s">
        <v>79</v>
      </c>
      <c r="C5115" s="98">
        <v>56</v>
      </c>
      <c r="D5115" s="98">
        <v>1850</v>
      </c>
      <c r="E5115" s="157">
        <v>41462.181944444441</v>
      </c>
      <c r="F5115" s="157">
        <v>41462.182638888888</v>
      </c>
      <c r="G5115" s="98">
        <v>0</v>
      </c>
      <c r="H5115" s="98">
        <v>530</v>
      </c>
      <c r="I5115" s="98">
        <v>493</v>
      </c>
      <c r="J5115" s="98" t="s">
        <v>2263</v>
      </c>
      <c r="K5115" s="98" t="s">
        <v>785</v>
      </c>
      <c r="L5115" s="105" t="str">
        <f t="shared" si="840"/>
        <v>Trimble</v>
      </c>
      <c r="M5115" s="105" t="str">
        <f t="shared" si="841"/>
        <v>Other</v>
      </c>
      <c r="N5115" s="105" t="str">
        <f t="shared" si="842"/>
        <v>Coal</v>
      </c>
      <c r="O5115" s="105">
        <f>IFERROR(VLOOKUP(A5115,Lookup!$J$5:$P$19,7,FALSE),0)</f>
        <v>3</v>
      </c>
      <c r="P5115" s="159">
        <f t="shared" si="843"/>
        <v>2013</v>
      </c>
      <c r="Q5115" s="159">
        <f t="shared" si="844"/>
        <v>7</v>
      </c>
      <c r="R5115" s="160">
        <f t="shared" si="845"/>
        <v>1.6666666720993817E-2</v>
      </c>
      <c r="S5115" s="158">
        <f t="shared" si="846"/>
        <v>1.6666666720993817E-2</v>
      </c>
      <c r="T5115" s="161">
        <f t="shared" si="847"/>
        <v>8.2166666934499517</v>
      </c>
      <c r="U5115" s="158">
        <f t="shared" si="849"/>
        <v>493</v>
      </c>
      <c r="V5115" s="160">
        <f t="shared" si="848"/>
        <v>493</v>
      </c>
    </row>
    <row r="5116" spans="1:22" x14ac:dyDescent="0.25">
      <c r="A5116" s="98" t="s">
        <v>19</v>
      </c>
      <c r="B5116" s="98" t="s">
        <v>15</v>
      </c>
      <c r="C5116" s="98">
        <v>57</v>
      </c>
      <c r="D5116" s="98">
        <v>3624</v>
      </c>
      <c r="E5116" s="157">
        <v>41462.182638888888</v>
      </c>
      <c r="F5116" s="157">
        <v>41462.362500000003</v>
      </c>
      <c r="G5116" s="98">
        <v>0</v>
      </c>
      <c r="H5116" s="98">
        <v>530</v>
      </c>
      <c r="I5116" s="98">
        <v>493</v>
      </c>
      <c r="J5116" s="98" t="s">
        <v>786</v>
      </c>
      <c r="K5116" s="98" t="s">
        <v>787</v>
      </c>
      <c r="L5116" s="105" t="str">
        <f t="shared" si="840"/>
        <v>Trimble</v>
      </c>
      <c r="M5116" s="105" t="str">
        <f t="shared" si="841"/>
        <v>Outage</v>
      </c>
      <c r="N5116" s="105" t="str">
        <f t="shared" si="842"/>
        <v>Coal</v>
      </c>
      <c r="O5116" s="105">
        <f>IFERROR(VLOOKUP(A5116,Lookup!$J$5:$P$19,7,FALSE),0)</f>
        <v>3</v>
      </c>
      <c r="P5116" s="159">
        <f t="shared" si="843"/>
        <v>2013</v>
      </c>
      <c r="Q5116" s="159">
        <f t="shared" si="844"/>
        <v>7</v>
      </c>
      <c r="R5116" s="160">
        <f t="shared" si="845"/>
        <v>4.3166666667675599</v>
      </c>
      <c r="S5116" s="158">
        <f t="shared" si="846"/>
        <v>4.3166666667675599</v>
      </c>
      <c r="T5116" s="161">
        <f t="shared" si="847"/>
        <v>2128.1166667164071</v>
      </c>
      <c r="U5116" s="158">
        <f t="shared" si="849"/>
        <v>493</v>
      </c>
      <c r="V5116" s="160">
        <f t="shared" si="848"/>
        <v>493</v>
      </c>
    </row>
    <row r="5117" spans="1:22" x14ac:dyDescent="0.25">
      <c r="A5117" s="98" t="s">
        <v>19</v>
      </c>
      <c r="B5117" s="98" t="s">
        <v>79</v>
      </c>
      <c r="C5117" s="98">
        <v>58</v>
      </c>
      <c r="D5117" s="98">
        <v>1850</v>
      </c>
      <c r="E5117" s="157">
        <v>41462.362500000003</v>
      </c>
      <c r="F5117" s="157">
        <v>41462.784722222219</v>
      </c>
      <c r="G5117" s="98">
        <v>0</v>
      </c>
      <c r="H5117" s="98">
        <v>530</v>
      </c>
      <c r="I5117" s="98">
        <v>493</v>
      </c>
      <c r="J5117" s="98" t="s">
        <v>2263</v>
      </c>
      <c r="K5117" s="98" t="s">
        <v>788</v>
      </c>
      <c r="L5117" s="105" t="str">
        <f t="shared" si="840"/>
        <v>Trimble</v>
      </c>
      <c r="M5117" s="105" t="str">
        <f t="shared" si="841"/>
        <v>Other</v>
      </c>
      <c r="N5117" s="105" t="str">
        <f t="shared" si="842"/>
        <v>Coal</v>
      </c>
      <c r="O5117" s="105">
        <f>IFERROR(VLOOKUP(A5117,Lookup!$J$5:$P$19,7,FALSE),0)</f>
        <v>3</v>
      </c>
      <c r="P5117" s="159">
        <f t="shared" si="843"/>
        <v>2013</v>
      </c>
      <c r="Q5117" s="159">
        <f t="shared" si="844"/>
        <v>7</v>
      </c>
      <c r="R5117" s="160">
        <f t="shared" si="845"/>
        <v>10.133333333185874</v>
      </c>
      <c r="S5117" s="158">
        <f t="shared" si="846"/>
        <v>10.133333333185874</v>
      </c>
      <c r="T5117" s="161">
        <f t="shared" si="847"/>
        <v>4995.7333332606358</v>
      </c>
      <c r="U5117" s="158">
        <f t="shared" si="849"/>
        <v>493</v>
      </c>
      <c r="V5117" s="160">
        <f t="shared" si="848"/>
        <v>493</v>
      </c>
    </row>
    <row r="5118" spans="1:22" x14ac:dyDescent="0.25">
      <c r="A5118" s="98" t="s">
        <v>19</v>
      </c>
      <c r="B5118" s="98" t="s">
        <v>17</v>
      </c>
      <c r="C5118" s="98">
        <v>59</v>
      </c>
      <c r="D5118" s="98">
        <v>1850</v>
      </c>
      <c r="E5118" s="157">
        <v>41462.784722222219</v>
      </c>
      <c r="F5118" s="157">
        <v>41462.895833333336</v>
      </c>
      <c r="G5118" s="98">
        <v>525</v>
      </c>
      <c r="H5118" s="98">
        <v>530</v>
      </c>
      <c r="I5118" s="98">
        <v>493</v>
      </c>
      <c r="J5118" s="98" t="s">
        <v>2263</v>
      </c>
      <c r="K5118" s="98" t="s">
        <v>789</v>
      </c>
      <c r="L5118" s="105" t="str">
        <f t="shared" si="840"/>
        <v>Trimble</v>
      </c>
      <c r="M5118" s="105" t="str">
        <f t="shared" si="841"/>
        <v>Derate</v>
      </c>
      <c r="N5118" s="105" t="str">
        <f t="shared" si="842"/>
        <v>Coal</v>
      </c>
      <c r="O5118" s="105">
        <f>IFERROR(VLOOKUP(A5118,Lookup!$J$5:$P$19,7,FALSE),0)</f>
        <v>3</v>
      </c>
      <c r="P5118" s="159">
        <f t="shared" si="843"/>
        <v>2013</v>
      </c>
      <c r="Q5118" s="159">
        <f t="shared" si="844"/>
        <v>7</v>
      </c>
      <c r="R5118" s="160">
        <f t="shared" si="845"/>
        <v>2.6666666668024845</v>
      </c>
      <c r="S5118" s="158">
        <f t="shared" si="846"/>
        <v>2.5157232705683815E-2</v>
      </c>
      <c r="T5118" s="161">
        <f t="shared" si="847"/>
        <v>12.402515723902122</v>
      </c>
      <c r="U5118" s="158">
        <f t="shared" si="849"/>
        <v>4.6509433962264151</v>
      </c>
      <c r="V5118" s="160">
        <f t="shared" si="848"/>
        <v>5</v>
      </c>
    </row>
    <row r="5119" spans="1:22" x14ac:dyDescent="0.25">
      <c r="A5119" s="98" t="s">
        <v>19</v>
      </c>
      <c r="B5119" s="98" t="s">
        <v>17</v>
      </c>
      <c r="C5119" s="98">
        <v>60</v>
      </c>
      <c r="D5119" s="98">
        <v>1850</v>
      </c>
      <c r="E5119" s="157">
        <v>41462.895833333336</v>
      </c>
      <c r="F5119" s="157">
        <v>41463.013888888891</v>
      </c>
      <c r="G5119" s="98">
        <v>535</v>
      </c>
      <c r="H5119" s="98">
        <v>530</v>
      </c>
      <c r="I5119" s="98">
        <v>493</v>
      </c>
      <c r="J5119" s="98" t="s">
        <v>2263</v>
      </c>
      <c r="K5119" s="98" t="s">
        <v>789</v>
      </c>
      <c r="L5119" s="105" t="str">
        <f t="shared" si="840"/>
        <v>Trimble</v>
      </c>
      <c r="M5119" s="105" t="str">
        <f t="shared" si="841"/>
        <v>Derate</v>
      </c>
      <c r="N5119" s="105" t="str">
        <f t="shared" si="842"/>
        <v>Coal</v>
      </c>
      <c r="O5119" s="105">
        <f>IFERROR(VLOOKUP(A5119,Lookup!$J$5:$P$19,7,FALSE),0)</f>
        <v>3</v>
      </c>
      <c r="P5119" s="159">
        <f t="shared" si="843"/>
        <v>2013</v>
      </c>
      <c r="Q5119" s="159">
        <f t="shared" si="844"/>
        <v>7</v>
      </c>
      <c r="R5119" s="160">
        <f t="shared" si="845"/>
        <v>2.8333333333139308</v>
      </c>
      <c r="S5119" s="158">
        <f t="shared" si="846"/>
        <v>-2.6729559748244629E-2</v>
      </c>
      <c r="T5119" s="161">
        <f t="shared" si="847"/>
        <v>-13.177672955884603</v>
      </c>
      <c r="U5119" s="158">
        <f t="shared" si="849"/>
        <v>0</v>
      </c>
      <c r="V5119" s="160">
        <f t="shared" si="848"/>
        <v>0</v>
      </c>
    </row>
    <row r="5120" spans="1:22" x14ac:dyDescent="0.25">
      <c r="A5120" s="98" t="s">
        <v>19</v>
      </c>
      <c r="B5120" s="98" t="s">
        <v>17</v>
      </c>
      <c r="C5120" s="98">
        <v>61</v>
      </c>
      <c r="D5120" s="98">
        <v>1850</v>
      </c>
      <c r="E5120" s="157">
        <v>41463.465277777781</v>
      </c>
      <c r="F5120" s="157">
        <v>41465.302083333336</v>
      </c>
      <c r="G5120" s="98">
        <v>520</v>
      </c>
      <c r="H5120" s="98">
        <v>530</v>
      </c>
      <c r="I5120" s="98">
        <v>493</v>
      </c>
      <c r="J5120" s="98" t="s">
        <v>2263</v>
      </c>
      <c r="K5120" s="98" t="s">
        <v>1718</v>
      </c>
      <c r="L5120" s="105" t="str">
        <f t="shared" si="840"/>
        <v>Trimble</v>
      </c>
      <c r="M5120" s="105" t="str">
        <f t="shared" si="841"/>
        <v>Derate</v>
      </c>
      <c r="N5120" s="105" t="str">
        <f t="shared" si="842"/>
        <v>Coal</v>
      </c>
      <c r="O5120" s="105">
        <f>IFERROR(VLOOKUP(A5120,Lookup!$J$5:$P$19,7,FALSE),0)</f>
        <v>3</v>
      </c>
      <c r="P5120" s="159">
        <f t="shared" si="843"/>
        <v>2013</v>
      </c>
      <c r="Q5120" s="159">
        <f t="shared" si="844"/>
        <v>7</v>
      </c>
      <c r="R5120" s="160">
        <f t="shared" si="845"/>
        <v>44.083333333313931</v>
      </c>
      <c r="S5120" s="158">
        <f t="shared" si="846"/>
        <v>0.83176100628894212</v>
      </c>
      <c r="T5120" s="161">
        <f t="shared" si="847"/>
        <v>410.05817610044846</v>
      </c>
      <c r="U5120" s="158">
        <f t="shared" si="849"/>
        <v>9.3018867924528301</v>
      </c>
      <c r="V5120" s="160">
        <f t="shared" si="848"/>
        <v>9</v>
      </c>
    </row>
    <row r="5121" spans="1:22" x14ac:dyDescent="0.25">
      <c r="A5121" s="98" t="s">
        <v>19</v>
      </c>
      <c r="B5121" s="98" t="s">
        <v>17</v>
      </c>
      <c r="C5121" s="98">
        <v>62</v>
      </c>
      <c r="D5121" s="98">
        <v>1850</v>
      </c>
      <c r="E5121" s="157">
        <v>41465.302083333336</v>
      </c>
      <c r="F5121" s="157">
        <v>41467.92083333333</v>
      </c>
      <c r="G5121" s="98">
        <v>525</v>
      </c>
      <c r="H5121" s="98">
        <v>530</v>
      </c>
      <c r="I5121" s="98">
        <v>493</v>
      </c>
      <c r="J5121" s="98" t="s">
        <v>2263</v>
      </c>
      <c r="K5121" s="98" t="s">
        <v>1719</v>
      </c>
      <c r="L5121" s="105" t="str">
        <f t="shared" si="840"/>
        <v>Trimble</v>
      </c>
      <c r="M5121" s="105" t="str">
        <f t="shared" si="841"/>
        <v>Derate</v>
      </c>
      <c r="N5121" s="105" t="str">
        <f t="shared" si="842"/>
        <v>Coal</v>
      </c>
      <c r="O5121" s="105">
        <f>IFERROR(VLOOKUP(A5121,Lookup!$J$5:$P$19,7,FALSE),0)</f>
        <v>3</v>
      </c>
      <c r="P5121" s="159">
        <f t="shared" si="843"/>
        <v>2013</v>
      </c>
      <c r="Q5121" s="159">
        <f t="shared" si="844"/>
        <v>7</v>
      </c>
      <c r="R5121" s="160">
        <f t="shared" si="845"/>
        <v>62.849999999860302</v>
      </c>
      <c r="S5121" s="158">
        <f t="shared" si="846"/>
        <v>0.59292452830056885</v>
      </c>
      <c r="T5121" s="161">
        <f t="shared" si="847"/>
        <v>292.31179245218044</v>
      </c>
      <c r="U5121" s="158">
        <f t="shared" si="849"/>
        <v>4.6509433962264151</v>
      </c>
      <c r="V5121" s="160">
        <f t="shared" si="848"/>
        <v>5</v>
      </c>
    </row>
    <row r="5122" spans="1:22" x14ac:dyDescent="0.25">
      <c r="A5122" s="98" t="s">
        <v>19</v>
      </c>
      <c r="B5122" s="98" t="s">
        <v>20</v>
      </c>
      <c r="C5122" s="98">
        <v>63</v>
      </c>
      <c r="D5122" s="98">
        <v>3110</v>
      </c>
      <c r="E5122" s="157">
        <v>41467.92083333333</v>
      </c>
      <c r="F5122" s="157">
        <v>41468.998611111114</v>
      </c>
      <c r="G5122" s="98">
        <v>0</v>
      </c>
      <c r="H5122" s="98">
        <v>530</v>
      </c>
      <c r="I5122" s="98">
        <v>493</v>
      </c>
      <c r="J5122" s="98" t="s">
        <v>2119</v>
      </c>
      <c r="K5122" s="98" t="s">
        <v>1720</v>
      </c>
      <c r="L5122" s="105" t="str">
        <f t="shared" si="840"/>
        <v>Trimble</v>
      </c>
      <c r="M5122" s="105" t="str">
        <f t="shared" si="841"/>
        <v>Maintenance</v>
      </c>
      <c r="N5122" s="105" t="str">
        <f t="shared" si="842"/>
        <v>Coal</v>
      </c>
      <c r="O5122" s="105">
        <f>IFERROR(VLOOKUP(A5122,Lookup!$J$5:$P$19,7,FALSE),0)</f>
        <v>3</v>
      </c>
      <c r="P5122" s="159">
        <f t="shared" si="843"/>
        <v>2013</v>
      </c>
      <c r="Q5122" s="159">
        <f t="shared" si="844"/>
        <v>7</v>
      </c>
      <c r="R5122" s="160">
        <f t="shared" si="845"/>
        <v>25.866666666814126</v>
      </c>
      <c r="S5122" s="158">
        <f t="shared" si="846"/>
        <v>25.866666666814126</v>
      </c>
      <c r="T5122" s="161">
        <f t="shared" si="847"/>
        <v>12752.266666739364</v>
      </c>
      <c r="U5122" s="158">
        <f t="shared" si="849"/>
        <v>493</v>
      </c>
      <c r="V5122" s="160">
        <f t="shared" si="848"/>
        <v>493</v>
      </c>
    </row>
    <row r="5123" spans="1:22" x14ac:dyDescent="0.25">
      <c r="A5123" s="98" t="s">
        <v>19</v>
      </c>
      <c r="B5123" s="98" t="s">
        <v>79</v>
      </c>
      <c r="C5123" s="98">
        <v>64</v>
      </c>
      <c r="D5123" s="98">
        <v>1850</v>
      </c>
      <c r="E5123" s="157">
        <v>41468.998611111114</v>
      </c>
      <c r="F5123" s="157">
        <v>41469.46875</v>
      </c>
      <c r="G5123" s="98">
        <v>0</v>
      </c>
      <c r="H5123" s="98">
        <v>530</v>
      </c>
      <c r="I5123" s="98">
        <v>493</v>
      </c>
      <c r="J5123" s="98" t="s">
        <v>2263</v>
      </c>
      <c r="K5123" s="98" t="s">
        <v>1721</v>
      </c>
      <c r="L5123" s="105" t="str">
        <f t="shared" si="840"/>
        <v>Trimble</v>
      </c>
      <c r="M5123" s="105" t="str">
        <f t="shared" si="841"/>
        <v>Other</v>
      </c>
      <c r="N5123" s="105" t="str">
        <f t="shared" si="842"/>
        <v>Coal</v>
      </c>
      <c r="O5123" s="105">
        <f>IFERROR(VLOOKUP(A5123,Lookup!$J$5:$P$19,7,FALSE),0)</f>
        <v>3</v>
      </c>
      <c r="P5123" s="159">
        <f t="shared" si="843"/>
        <v>2013</v>
      </c>
      <c r="Q5123" s="159">
        <f t="shared" si="844"/>
        <v>7</v>
      </c>
      <c r="R5123" s="160">
        <f t="shared" si="845"/>
        <v>11.283333333267365</v>
      </c>
      <c r="S5123" s="158">
        <f t="shared" si="846"/>
        <v>11.283333333267365</v>
      </c>
      <c r="T5123" s="161">
        <f t="shared" si="847"/>
        <v>5562.6833333008108</v>
      </c>
      <c r="U5123" s="158">
        <f t="shared" si="849"/>
        <v>493</v>
      </c>
      <c r="V5123" s="160">
        <f t="shared" si="848"/>
        <v>493</v>
      </c>
    </row>
    <row r="5124" spans="1:22" x14ac:dyDescent="0.25">
      <c r="A5124" s="98" t="s">
        <v>19</v>
      </c>
      <c r="B5124" s="98" t="s">
        <v>17</v>
      </c>
      <c r="C5124" s="98">
        <v>65</v>
      </c>
      <c r="D5124" s="98">
        <v>310</v>
      </c>
      <c r="E5124" s="157">
        <v>41472.216666666667</v>
      </c>
      <c r="F5124" s="157">
        <v>41472.284722222219</v>
      </c>
      <c r="G5124" s="98">
        <v>525</v>
      </c>
      <c r="H5124" s="98">
        <v>530</v>
      </c>
      <c r="I5124" s="98">
        <v>493</v>
      </c>
      <c r="J5124" s="98" t="s">
        <v>1966</v>
      </c>
      <c r="K5124" s="98" t="s">
        <v>1722</v>
      </c>
      <c r="L5124" s="105" t="str">
        <f t="shared" si="840"/>
        <v>Trimble</v>
      </c>
      <c r="M5124" s="105" t="str">
        <f t="shared" si="841"/>
        <v>Derate</v>
      </c>
      <c r="N5124" s="105" t="str">
        <f t="shared" si="842"/>
        <v>Coal</v>
      </c>
      <c r="O5124" s="105">
        <f>IFERROR(VLOOKUP(A5124,Lookup!$J$5:$P$19,7,FALSE),0)</f>
        <v>3</v>
      </c>
      <c r="P5124" s="159">
        <f t="shared" si="843"/>
        <v>2013</v>
      </c>
      <c r="Q5124" s="159">
        <f t="shared" si="844"/>
        <v>7</v>
      </c>
      <c r="R5124" s="160">
        <f t="shared" si="845"/>
        <v>1.6333333332440816</v>
      </c>
      <c r="S5124" s="158">
        <f t="shared" si="846"/>
        <v>1.5408805030604543E-2</v>
      </c>
      <c r="T5124" s="161">
        <f t="shared" si="847"/>
        <v>7.5965408800880398</v>
      </c>
      <c r="U5124" s="158">
        <f t="shared" si="849"/>
        <v>4.6509433962264151</v>
      </c>
      <c r="V5124" s="160">
        <f t="shared" si="848"/>
        <v>5</v>
      </c>
    </row>
    <row r="5125" spans="1:22" x14ac:dyDescent="0.25">
      <c r="A5125" s="98" t="s">
        <v>19</v>
      </c>
      <c r="B5125" s="98" t="s">
        <v>17</v>
      </c>
      <c r="C5125" s="98">
        <v>66</v>
      </c>
      <c r="D5125" s="98">
        <v>310</v>
      </c>
      <c r="E5125" s="157">
        <v>41482.730555555558</v>
      </c>
      <c r="F5125" s="157">
        <v>41482.740972222222</v>
      </c>
      <c r="G5125" s="98">
        <v>525</v>
      </c>
      <c r="H5125" s="98">
        <v>530</v>
      </c>
      <c r="I5125" s="98">
        <v>493</v>
      </c>
      <c r="J5125" s="98" t="s">
        <v>1966</v>
      </c>
      <c r="K5125" s="98" t="s">
        <v>1723</v>
      </c>
      <c r="L5125" s="105" t="str">
        <f t="shared" si="840"/>
        <v>Trimble</v>
      </c>
      <c r="M5125" s="105" t="str">
        <f t="shared" si="841"/>
        <v>Derate</v>
      </c>
      <c r="N5125" s="105" t="str">
        <f t="shared" si="842"/>
        <v>Coal</v>
      </c>
      <c r="O5125" s="105">
        <f>IFERROR(VLOOKUP(A5125,Lookup!$J$5:$P$19,7,FALSE),0)</f>
        <v>3</v>
      </c>
      <c r="P5125" s="159">
        <f t="shared" si="843"/>
        <v>2013</v>
      </c>
      <c r="Q5125" s="159">
        <f t="shared" si="844"/>
        <v>7</v>
      </c>
      <c r="R5125" s="160">
        <f t="shared" si="845"/>
        <v>0.24999999994179234</v>
      </c>
      <c r="S5125" s="158">
        <f t="shared" si="846"/>
        <v>2.3584905654886069E-3</v>
      </c>
      <c r="T5125" s="161">
        <f t="shared" si="847"/>
        <v>1.1627358487858832</v>
      </c>
      <c r="U5125" s="158">
        <f t="shared" si="849"/>
        <v>4.6509433962264151</v>
      </c>
      <c r="V5125" s="160">
        <f t="shared" si="848"/>
        <v>5</v>
      </c>
    </row>
    <row r="5126" spans="1:22" x14ac:dyDescent="0.25">
      <c r="A5126" s="98" t="s">
        <v>19</v>
      </c>
      <c r="B5126" s="98" t="s">
        <v>17</v>
      </c>
      <c r="C5126" s="98">
        <v>67</v>
      </c>
      <c r="D5126" s="98">
        <v>310</v>
      </c>
      <c r="E5126" s="157">
        <v>41482.740972222222</v>
      </c>
      <c r="F5126" s="157">
        <v>41483.158333333333</v>
      </c>
      <c r="G5126" s="98">
        <v>500</v>
      </c>
      <c r="H5126" s="98">
        <v>530</v>
      </c>
      <c r="I5126" s="98">
        <v>493</v>
      </c>
      <c r="J5126" s="98" t="s">
        <v>1966</v>
      </c>
      <c r="K5126" s="98" t="s">
        <v>1724</v>
      </c>
      <c r="L5126" s="105" t="str">
        <f t="shared" si="840"/>
        <v>Trimble</v>
      </c>
      <c r="M5126" s="105" t="str">
        <f t="shared" si="841"/>
        <v>Derate</v>
      </c>
      <c r="N5126" s="105" t="str">
        <f t="shared" si="842"/>
        <v>Coal</v>
      </c>
      <c r="O5126" s="105">
        <f>IFERROR(VLOOKUP(A5126,Lookup!$J$5:$P$19,7,FALSE),0)</f>
        <v>3</v>
      </c>
      <c r="P5126" s="159">
        <f t="shared" si="843"/>
        <v>2013</v>
      </c>
      <c r="Q5126" s="159">
        <f t="shared" si="844"/>
        <v>7</v>
      </c>
      <c r="R5126" s="160">
        <f t="shared" si="845"/>
        <v>10.016666666662786</v>
      </c>
      <c r="S5126" s="158">
        <f t="shared" si="846"/>
        <v>0.56698113207525203</v>
      </c>
      <c r="T5126" s="161">
        <f t="shared" si="847"/>
        <v>279.52169811309926</v>
      </c>
      <c r="U5126" s="158">
        <f t="shared" si="849"/>
        <v>27.90566037735849</v>
      </c>
      <c r="V5126" s="160">
        <f t="shared" si="848"/>
        <v>28</v>
      </c>
    </row>
    <row r="5127" spans="1:22" x14ac:dyDescent="0.25">
      <c r="A5127" s="98" t="s">
        <v>19</v>
      </c>
      <c r="B5127" s="98" t="s">
        <v>105</v>
      </c>
      <c r="C5127" s="98">
        <v>68</v>
      </c>
      <c r="D5127" s="98">
        <v>3410</v>
      </c>
      <c r="E5127" s="157">
        <v>41486.125</v>
      </c>
      <c r="F5127" s="157">
        <v>41486.237500000003</v>
      </c>
      <c r="G5127" s="98">
        <v>525</v>
      </c>
      <c r="H5127" s="98">
        <v>530</v>
      </c>
      <c r="I5127" s="98">
        <v>493</v>
      </c>
      <c r="J5127" s="98" t="s">
        <v>1983</v>
      </c>
      <c r="K5127" s="98" t="s">
        <v>1725</v>
      </c>
      <c r="L5127" s="105" t="str">
        <f t="shared" si="840"/>
        <v>Trimble</v>
      </c>
      <c r="M5127" s="105" t="str">
        <f t="shared" si="841"/>
        <v>Derate</v>
      </c>
      <c r="N5127" s="105" t="str">
        <f t="shared" si="842"/>
        <v>Coal</v>
      </c>
      <c r="O5127" s="105">
        <f>IFERROR(VLOOKUP(A5127,Lookup!$J$5:$P$19,7,FALSE),0)</f>
        <v>3</v>
      </c>
      <c r="P5127" s="159">
        <f t="shared" si="843"/>
        <v>2013</v>
      </c>
      <c r="Q5127" s="159">
        <f t="shared" si="844"/>
        <v>7</v>
      </c>
      <c r="R5127" s="160">
        <f t="shared" si="845"/>
        <v>2.7000000000698492</v>
      </c>
      <c r="S5127" s="158">
        <f t="shared" si="846"/>
        <v>2.5471698113866501E-2</v>
      </c>
      <c r="T5127" s="161">
        <f t="shared" si="847"/>
        <v>12.557547170136186</v>
      </c>
      <c r="U5127" s="158">
        <f t="shared" si="849"/>
        <v>4.6509433962264151</v>
      </c>
      <c r="V5127" s="160">
        <f t="shared" si="848"/>
        <v>5</v>
      </c>
    </row>
    <row r="5128" spans="1:22" x14ac:dyDescent="0.25">
      <c r="A5128" s="98" t="s">
        <v>19</v>
      </c>
      <c r="B5128" s="98" t="s">
        <v>105</v>
      </c>
      <c r="C5128" s="98">
        <v>69</v>
      </c>
      <c r="D5128" s="98">
        <v>790</v>
      </c>
      <c r="E5128" s="157">
        <v>41514</v>
      </c>
      <c r="F5128" s="157">
        <v>41514.125</v>
      </c>
      <c r="G5128" s="98">
        <v>525</v>
      </c>
      <c r="H5128" s="98">
        <v>530</v>
      </c>
      <c r="I5128" s="98">
        <v>493</v>
      </c>
      <c r="J5128" s="98" t="s">
        <v>2987</v>
      </c>
      <c r="K5128" s="98" t="s">
        <v>1726</v>
      </c>
      <c r="L5128" s="105" t="str">
        <f t="shared" si="840"/>
        <v>Trimble</v>
      </c>
      <c r="M5128" s="105" t="str">
        <f t="shared" si="841"/>
        <v>Derate</v>
      </c>
      <c r="N5128" s="105" t="str">
        <f t="shared" si="842"/>
        <v>Coal</v>
      </c>
      <c r="O5128" s="105">
        <f>IFERROR(VLOOKUP(A5128,Lookup!$J$5:$P$19,7,FALSE),0)</f>
        <v>3</v>
      </c>
      <c r="P5128" s="159">
        <f t="shared" si="843"/>
        <v>2013</v>
      </c>
      <c r="Q5128" s="159">
        <f t="shared" si="844"/>
        <v>8</v>
      </c>
      <c r="R5128" s="160">
        <f t="shared" si="845"/>
        <v>3</v>
      </c>
      <c r="S5128" s="158">
        <f t="shared" si="846"/>
        <v>2.8301886792452831E-2</v>
      </c>
      <c r="T5128" s="161">
        <f t="shared" si="847"/>
        <v>13.952830188679245</v>
      </c>
      <c r="U5128" s="158">
        <f t="shared" si="849"/>
        <v>4.6509433962264151</v>
      </c>
      <c r="V5128" s="160">
        <f t="shared" si="848"/>
        <v>5</v>
      </c>
    </row>
    <row r="5129" spans="1:22" x14ac:dyDescent="0.25">
      <c r="A5129" s="98" t="s">
        <v>19</v>
      </c>
      <c r="B5129" s="98" t="s">
        <v>105</v>
      </c>
      <c r="C5129" s="98">
        <v>70</v>
      </c>
      <c r="D5129" s="98">
        <v>3624</v>
      </c>
      <c r="E5129" s="157">
        <v>41522.166666666664</v>
      </c>
      <c r="F5129" s="157">
        <v>41522.208333333336</v>
      </c>
      <c r="G5129" s="98">
        <v>450</v>
      </c>
      <c r="H5129" s="98">
        <v>530</v>
      </c>
      <c r="I5129" s="98">
        <v>493</v>
      </c>
      <c r="J5129" s="98" t="s">
        <v>786</v>
      </c>
      <c r="K5129" s="98" t="s">
        <v>1727</v>
      </c>
      <c r="L5129" s="105" t="str">
        <f t="shared" si="840"/>
        <v>Trimble</v>
      </c>
      <c r="M5129" s="105" t="str">
        <f t="shared" si="841"/>
        <v>Derate</v>
      </c>
      <c r="N5129" s="105" t="str">
        <f t="shared" si="842"/>
        <v>Coal</v>
      </c>
      <c r="O5129" s="105">
        <f>IFERROR(VLOOKUP(A5129,Lookup!$J$5:$P$19,7,FALSE),0)</f>
        <v>3</v>
      </c>
      <c r="P5129" s="159">
        <f t="shared" si="843"/>
        <v>2013</v>
      </c>
      <c r="Q5129" s="159">
        <f t="shared" si="844"/>
        <v>9</v>
      </c>
      <c r="R5129" s="160">
        <f t="shared" si="845"/>
        <v>1.0000000001164153</v>
      </c>
      <c r="S5129" s="158">
        <f t="shared" si="846"/>
        <v>0.15094339624398723</v>
      </c>
      <c r="T5129" s="161">
        <f t="shared" si="847"/>
        <v>74.415094348285706</v>
      </c>
      <c r="U5129" s="158">
        <f t="shared" si="849"/>
        <v>74.415094339622641</v>
      </c>
      <c r="V5129" s="160">
        <f t="shared" si="848"/>
        <v>74</v>
      </c>
    </row>
    <row r="5130" spans="1:22" x14ac:dyDescent="0.25">
      <c r="A5130" s="98" t="s">
        <v>19</v>
      </c>
      <c r="B5130" s="98" t="s">
        <v>79</v>
      </c>
      <c r="C5130" s="98">
        <v>71</v>
      </c>
      <c r="D5130" s="98">
        <v>1190</v>
      </c>
      <c r="E5130" s="157">
        <v>41525</v>
      </c>
      <c r="F5130" s="157">
        <v>41525.179861111108</v>
      </c>
      <c r="G5130" s="98">
        <v>0</v>
      </c>
      <c r="H5130" s="98">
        <v>530</v>
      </c>
      <c r="I5130" s="98">
        <v>493</v>
      </c>
      <c r="J5130" s="98" t="s">
        <v>2007</v>
      </c>
      <c r="K5130" s="98" t="s">
        <v>1728</v>
      </c>
      <c r="L5130" s="105" t="str">
        <f t="shared" si="840"/>
        <v>Trimble</v>
      </c>
      <c r="M5130" s="105" t="str">
        <f t="shared" si="841"/>
        <v>Other</v>
      </c>
      <c r="N5130" s="105" t="str">
        <f t="shared" si="842"/>
        <v>Coal</v>
      </c>
      <c r="O5130" s="105">
        <f>IFERROR(VLOOKUP(A5130,Lookup!$J$5:$P$19,7,FALSE),0)</f>
        <v>3</v>
      </c>
      <c r="P5130" s="159">
        <f t="shared" si="843"/>
        <v>2013</v>
      </c>
      <c r="Q5130" s="159">
        <f t="shared" si="844"/>
        <v>9</v>
      </c>
      <c r="R5130" s="160">
        <f t="shared" si="845"/>
        <v>4.316666666592937</v>
      </c>
      <c r="S5130" s="158">
        <f t="shared" si="846"/>
        <v>4.316666666592937</v>
      </c>
      <c r="T5130" s="161">
        <f t="shared" si="847"/>
        <v>2128.1166666303179</v>
      </c>
      <c r="U5130" s="158">
        <f t="shared" si="849"/>
        <v>493</v>
      </c>
      <c r="V5130" s="160">
        <f t="shared" si="848"/>
        <v>493</v>
      </c>
    </row>
    <row r="5131" spans="1:22" x14ac:dyDescent="0.25">
      <c r="A5131" s="98" t="s">
        <v>19</v>
      </c>
      <c r="B5131" s="98" t="s">
        <v>105</v>
      </c>
      <c r="C5131" s="98">
        <v>72</v>
      </c>
      <c r="D5131" s="98">
        <v>1487</v>
      </c>
      <c r="E5131" s="157">
        <v>41534</v>
      </c>
      <c r="F5131" s="157">
        <v>41534.020833333336</v>
      </c>
      <c r="G5131" s="98">
        <v>450</v>
      </c>
      <c r="H5131" s="98">
        <v>530</v>
      </c>
      <c r="I5131" s="98">
        <v>493</v>
      </c>
      <c r="J5131" s="98" t="s">
        <v>2285</v>
      </c>
      <c r="K5131" s="98" t="s">
        <v>1729</v>
      </c>
      <c r="L5131" s="105" t="str">
        <f t="shared" si="840"/>
        <v>Trimble</v>
      </c>
      <c r="M5131" s="105" t="str">
        <f t="shared" si="841"/>
        <v>Derate</v>
      </c>
      <c r="N5131" s="105" t="str">
        <f t="shared" si="842"/>
        <v>Coal</v>
      </c>
      <c r="O5131" s="105">
        <f>IFERROR(VLOOKUP(A5131,Lookup!$J$5:$P$19,7,FALSE),0)</f>
        <v>3</v>
      </c>
      <c r="P5131" s="159">
        <f t="shared" si="843"/>
        <v>2013</v>
      </c>
      <c r="Q5131" s="159">
        <f t="shared" si="844"/>
        <v>9</v>
      </c>
      <c r="R5131" s="160">
        <f t="shared" si="845"/>
        <v>0.50000000005820766</v>
      </c>
      <c r="S5131" s="158">
        <f t="shared" si="846"/>
        <v>7.5471698121993613E-2</v>
      </c>
      <c r="T5131" s="161">
        <f t="shared" si="847"/>
        <v>37.207547174142853</v>
      </c>
      <c r="U5131" s="158">
        <f t="shared" si="849"/>
        <v>74.415094339622641</v>
      </c>
      <c r="V5131" s="160">
        <f t="shared" si="848"/>
        <v>74</v>
      </c>
    </row>
    <row r="5132" spans="1:22" x14ac:dyDescent="0.25">
      <c r="A5132" s="98" t="s">
        <v>19</v>
      </c>
      <c r="B5132" s="98" t="s">
        <v>105</v>
      </c>
      <c r="C5132" s="98">
        <v>73</v>
      </c>
      <c r="D5132" s="98">
        <v>1487</v>
      </c>
      <c r="E5132" s="157">
        <v>41534.020833333336</v>
      </c>
      <c r="F5132" s="157">
        <v>41534.166666666664</v>
      </c>
      <c r="G5132" s="98">
        <v>400</v>
      </c>
      <c r="H5132" s="98">
        <v>530</v>
      </c>
      <c r="I5132" s="98">
        <v>493</v>
      </c>
      <c r="J5132" s="98" t="s">
        <v>2285</v>
      </c>
      <c r="K5132" s="98" t="s">
        <v>1729</v>
      </c>
      <c r="L5132" s="105" t="str">
        <f t="shared" si="840"/>
        <v>Trimble</v>
      </c>
      <c r="M5132" s="105" t="str">
        <f t="shared" si="841"/>
        <v>Derate</v>
      </c>
      <c r="N5132" s="105" t="str">
        <f t="shared" si="842"/>
        <v>Coal</v>
      </c>
      <c r="O5132" s="105">
        <f>IFERROR(VLOOKUP(A5132,Lookup!$J$5:$P$19,7,FALSE),0)</f>
        <v>3</v>
      </c>
      <c r="P5132" s="159">
        <f t="shared" si="843"/>
        <v>2013</v>
      </c>
      <c r="Q5132" s="159">
        <f t="shared" si="844"/>
        <v>9</v>
      </c>
      <c r="R5132" s="160">
        <f t="shared" si="845"/>
        <v>3.4999999998835847</v>
      </c>
      <c r="S5132" s="158">
        <f t="shared" si="846"/>
        <v>0.85849056600918117</v>
      </c>
      <c r="T5132" s="161">
        <f t="shared" si="847"/>
        <v>423.2358490425263</v>
      </c>
      <c r="U5132" s="158">
        <f t="shared" si="849"/>
        <v>120.9245283018868</v>
      </c>
      <c r="V5132" s="160">
        <f t="shared" si="848"/>
        <v>121</v>
      </c>
    </row>
    <row r="5133" spans="1:22" x14ac:dyDescent="0.25">
      <c r="A5133" s="98" t="s">
        <v>19</v>
      </c>
      <c r="B5133" s="98" t="s">
        <v>17</v>
      </c>
      <c r="C5133" s="98">
        <v>74</v>
      </c>
      <c r="D5133" s="98">
        <v>1455</v>
      </c>
      <c r="E5133" s="157">
        <v>41537.46875</v>
      </c>
      <c r="F5133" s="157">
        <v>41537.511805555558</v>
      </c>
      <c r="G5133" s="98">
        <v>520</v>
      </c>
      <c r="H5133" s="98">
        <v>530</v>
      </c>
      <c r="I5133" s="98">
        <v>493</v>
      </c>
      <c r="J5133" s="98" t="s">
        <v>1990</v>
      </c>
      <c r="K5133" s="98" t="s">
        <v>1730</v>
      </c>
      <c r="L5133" s="105" t="str">
        <f t="shared" si="840"/>
        <v>Trimble</v>
      </c>
      <c r="M5133" s="105" t="str">
        <f t="shared" si="841"/>
        <v>Derate</v>
      </c>
      <c r="N5133" s="105" t="str">
        <f t="shared" si="842"/>
        <v>Coal</v>
      </c>
      <c r="O5133" s="105">
        <f>IFERROR(VLOOKUP(A5133,Lookup!$J$5:$P$19,7,FALSE),0)</f>
        <v>3</v>
      </c>
      <c r="P5133" s="159">
        <f t="shared" si="843"/>
        <v>2013</v>
      </c>
      <c r="Q5133" s="159">
        <f t="shared" si="844"/>
        <v>9</v>
      </c>
      <c r="R5133" s="160">
        <f t="shared" si="845"/>
        <v>1.03333333338378</v>
      </c>
      <c r="S5133" s="158">
        <f t="shared" si="846"/>
        <v>1.9496855346863774E-2</v>
      </c>
      <c r="T5133" s="161">
        <f t="shared" si="847"/>
        <v>9.6119496860038414</v>
      </c>
      <c r="U5133" s="158">
        <f t="shared" si="849"/>
        <v>9.3018867924528301</v>
      </c>
      <c r="V5133" s="160">
        <f t="shared" si="848"/>
        <v>9</v>
      </c>
    </row>
    <row r="5134" spans="1:22" x14ac:dyDescent="0.25">
      <c r="A5134" s="98" t="s">
        <v>19</v>
      </c>
      <c r="B5134" s="98" t="s">
        <v>17</v>
      </c>
      <c r="C5134" s="98">
        <v>75</v>
      </c>
      <c r="D5134" s="98">
        <v>1455</v>
      </c>
      <c r="E5134" s="157">
        <v>41537.511805555558</v>
      </c>
      <c r="F5134" s="157">
        <v>41538.25</v>
      </c>
      <c r="G5134" s="98">
        <v>510</v>
      </c>
      <c r="H5134" s="98">
        <v>530</v>
      </c>
      <c r="I5134" s="98">
        <v>493</v>
      </c>
      <c r="J5134" s="98" t="s">
        <v>1990</v>
      </c>
      <c r="K5134" s="98" t="s">
        <v>1730</v>
      </c>
      <c r="L5134" s="105" t="str">
        <f t="shared" si="840"/>
        <v>Trimble</v>
      </c>
      <c r="M5134" s="105" t="str">
        <f t="shared" si="841"/>
        <v>Derate</v>
      </c>
      <c r="N5134" s="105" t="str">
        <f t="shared" si="842"/>
        <v>Coal</v>
      </c>
      <c r="O5134" s="105">
        <f>IFERROR(VLOOKUP(A5134,Lookup!$J$5:$P$19,7,FALSE),0)</f>
        <v>3</v>
      </c>
      <c r="P5134" s="159">
        <f t="shared" si="843"/>
        <v>2013</v>
      </c>
      <c r="Q5134" s="159">
        <f t="shared" si="844"/>
        <v>9</v>
      </c>
      <c r="R5134" s="160">
        <f t="shared" si="845"/>
        <v>17.71666666661622</v>
      </c>
      <c r="S5134" s="158">
        <f t="shared" si="846"/>
        <v>0.66855345911759323</v>
      </c>
      <c r="T5134" s="161">
        <f t="shared" si="847"/>
        <v>329.59685534497345</v>
      </c>
      <c r="U5134" s="158">
        <f t="shared" si="849"/>
        <v>18.60377358490566</v>
      </c>
      <c r="V5134" s="160">
        <f t="shared" si="848"/>
        <v>19</v>
      </c>
    </row>
    <row r="5135" spans="1:22" x14ac:dyDescent="0.25">
      <c r="A5135" s="98" t="s">
        <v>19</v>
      </c>
      <c r="B5135" s="98" t="s">
        <v>17</v>
      </c>
      <c r="C5135" s="98">
        <v>76</v>
      </c>
      <c r="D5135" s="98">
        <v>1455</v>
      </c>
      <c r="E5135" s="157">
        <v>41538.25</v>
      </c>
      <c r="F5135" s="157">
        <v>41538.385416666664</v>
      </c>
      <c r="G5135" s="98">
        <v>505</v>
      </c>
      <c r="H5135" s="98">
        <v>530</v>
      </c>
      <c r="I5135" s="98">
        <v>493</v>
      </c>
      <c r="J5135" s="98" t="s">
        <v>1990</v>
      </c>
      <c r="K5135" s="98" t="s">
        <v>1730</v>
      </c>
      <c r="L5135" s="105" t="str">
        <f t="shared" si="840"/>
        <v>Trimble</v>
      </c>
      <c r="M5135" s="105" t="str">
        <f t="shared" si="841"/>
        <v>Derate</v>
      </c>
      <c r="N5135" s="105" t="str">
        <f t="shared" si="842"/>
        <v>Coal</v>
      </c>
      <c r="O5135" s="105">
        <f>IFERROR(VLOOKUP(A5135,Lookup!$J$5:$P$19,7,FALSE),0)</f>
        <v>3</v>
      </c>
      <c r="P5135" s="159">
        <f t="shared" si="843"/>
        <v>2013</v>
      </c>
      <c r="Q5135" s="159">
        <f t="shared" si="844"/>
        <v>9</v>
      </c>
      <c r="R5135" s="160">
        <f t="shared" si="845"/>
        <v>3.2499999999417923</v>
      </c>
      <c r="S5135" s="158">
        <f t="shared" si="846"/>
        <v>0.15330188678970719</v>
      </c>
      <c r="T5135" s="161">
        <f t="shared" si="847"/>
        <v>75.577830187325645</v>
      </c>
      <c r="U5135" s="158">
        <f t="shared" si="849"/>
        <v>23.254716981132077</v>
      </c>
      <c r="V5135" s="160">
        <f t="shared" si="848"/>
        <v>23</v>
      </c>
    </row>
    <row r="5136" spans="1:22" x14ac:dyDescent="0.25">
      <c r="A5136" s="98" t="s">
        <v>19</v>
      </c>
      <c r="B5136" s="98" t="s">
        <v>17</v>
      </c>
      <c r="C5136" s="98">
        <v>77</v>
      </c>
      <c r="D5136" s="98">
        <v>1455</v>
      </c>
      <c r="E5136" s="157">
        <v>41538.385416666664</v>
      </c>
      <c r="F5136" s="157">
        <v>41540.34375</v>
      </c>
      <c r="G5136" s="98">
        <v>515</v>
      </c>
      <c r="H5136" s="98">
        <v>530</v>
      </c>
      <c r="I5136" s="98">
        <v>493</v>
      </c>
      <c r="J5136" s="98" t="s">
        <v>1990</v>
      </c>
      <c r="K5136" s="98" t="s">
        <v>1730</v>
      </c>
      <c r="L5136" s="105" t="str">
        <f t="shared" si="840"/>
        <v>Trimble</v>
      </c>
      <c r="M5136" s="105" t="str">
        <f t="shared" si="841"/>
        <v>Derate</v>
      </c>
      <c r="N5136" s="105" t="str">
        <f t="shared" si="842"/>
        <v>Coal</v>
      </c>
      <c r="O5136" s="105">
        <f>IFERROR(VLOOKUP(A5136,Lookup!$J$5:$P$19,7,FALSE),0)</f>
        <v>3</v>
      </c>
      <c r="P5136" s="159">
        <f t="shared" si="843"/>
        <v>2013</v>
      </c>
      <c r="Q5136" s="159">
        <f t="shared" si="844"/>
        <v>9</v>
      </c>
      <c r="R5136" s="160">
        <f t="shared" si="845"/>
        <v>47.000000000058208</v>
      </c>
      <c r="S5136" s="158">
        <f t="shared" si="846"/>
        <v>1.3301886792469304</v>
      </c>
      <c r="T5136" s="161">
        <f t="shared" si="847"/>
        <v>655.78301886873669</v>
      </c>
      <c r="U5136" s="158">
        <f t="shared" si="849"/>
        <v>13.952830188679245</v>
      </c>
      <c r="V5136" s="160">
        <f t="shared" si="848"/>
        <v>14</v>
      </c>
    </row>
    <row r="5137" spans="1:22" x14ac:dyDescent="0.25">
      <c r="A5137" s="98" t="s">
        <v>19</v>
      </c>
      <c r="B5137" s="98" t="s">
        <v>17</v>
      </c>
      <c r="C5137" s="98">
        <v>78</v>
      </c>
      <c r="D5137" s="98">
        <v>1455</v>
      </c>
      <c r="E5137" s="157">
        <v>41540.34375</v>
      </c>
      <c r="F5137" s="157">
        <v>41540.458333333336</v>
      </c>
      <c r="G5137" s="98">
        <v>525</v>
      </c>
      <c r="H5137" s="98">
        <v>530</v>
      </c>
      <c r="I5137" s="98">
        <v>493</v>
      </c>
      <c r="J5137" s="98" t="s">
        <v>1990</v>
      </c>
      <c r="K5137" s="98" t="s">
        <v>1730</v>
      </c>
      <c r="L5137" s="105" t="str">
        <f t="shared" si="840"/>
        <v>Trimble</v>
      </c>
      <c r="M5137" s="105" t="str">
        <f t="shared" si="841"/>
        <v>Derate</v>
      </c>
      <c r="N5137" s="105" t="str">
        <f t="shared" si="842"/>
        <v>Coal</v>
      </c>
      <c r="O5137" s="105">
        <f>IFERROR(VLOOKUP(A5137,Lookup!$J$5:$P$19,7,FALSE),0)</f>
        <v>3</v>
      </c>
      <c r="P5137" s="159">
        <f t="shared" si="843"/>
        <v>2013</v>
      </c>
      <c r="Q5137" s="159">
        <f t="shared" si="844"/>
        <v>9</v>
      </c>
      <c r="R5137" s="160">
        <f t="shared" si="845"/>
        <v>2.7500000000582077</v>
      </c>
      <c r="S5137" s="158">
        <f t="shared" si="846"/>
        <v>2.5943396226964222E-2</v>
      </c>
      <c r="T5137" s="161">
        <f t="shared" si="847"/>
        <v>12.790094339893361</v>
      </c>
      <c r="U5137" s="158">
        <f t="shared" si="849"/>
        <v>4.6509433962264151</v>
      </c>
      <c r="V5137" s="160">
        <f t="shared" si="848"/>
        <v>5</v>
      </c>
    </row>
    <row r="5138" spans="1:22" x14ac:dyDescent="0.25">
      <c r="A5138" s="98" t="s">
        <v>19</v>
      </c>
      <c r="B5138" s="98" t="s">
        <v>17</v>
      </c>
      <c r="C5138" s="98">
        <v>79</v>
      </c>
      <c r="D5138" s="98">
        <v>1455</v>
      </c>
      <c r="E5138" s="157">
        <v>41540.724999999999</v>
      </c>
      <c r="F5138" s="157">
        <v>41540.756249999999</v>
      </c>
      <c r="G5138" s="98">
        <v>535</v>
      </c>
      <c r="H5138" s="98">
        <v>530</v>
      </c>
      <c r="I5138" s="98">
        <v>493</v>
      </c>
      <c r="J5138" s="98" t="s">
        <v>1990</v>
      </c>
      <c r="K5138" s="98" t="s">
        <v>1730</v>
      </c>
      <c r="L5138" s="105" t="str">
        <f t="shared" si="840"/>
        <v>Trimble</v>
      </c>
      <c r="M5138" s="105" t="str">
        <f t="shared" si="841"/>
        <v>Derate</v>
      </c>
      <c r="N5138" s="105" t="str">
        <f t="shared" si="842"/>
        <v>Coal</v>
      </c>
      <c r="O5138" s="105">
        <f>IFERROR(VLOOKUP(A5138,Lookup!$J$5:$P$19,7,FALSE),0)</f>
        <v>3</v>
      </c>
      <c r="P5138" s="159">
        <f t="shared" si="843"/>
        <v>2013</v>
      </c>
      <c r="Q5138" s="159">
        <f t="shared" si="844"/>
        <v>9</v>
      </c>
      <c r="R5138" s="160">
        <f t="shared" si="845"/>
        <v>0.75</v>
      </c>
      <c r="S5138" s="158">
        <f t="shared" si="846"/>
        <v>-7.0754716981132077E-3</v>
      </c>
      <c r="T5138" s="161">
        <f t="shared" si="847"/>
        <v>-3.4882075471698113</v>
      </c>
      <c r="U5138" s="158">
        <f t="shared" si="849"/>
        <v>0</v>
      </c>
      <c r="V5138" s="160">
        <f t="shared" si="848"/>
        <v>0</v>
      </c>
    </row>
    <row r="5139" spans="1:22" x14ac:dyDescent="0.25">
      <c r="A5139" s="98" t="s">
        <v>19</v>
      </c>
      <c r="B5139" s="98" t="s">
        <v>17</v>
      </c>
      <c r="C5139" s="98">
        <v>80</v>
      </c>
      <c r="D5139" s="98">
        <v>1455</v>
      </c>
      <c r="E5139" s="157">
        <v>41540.756249999999</v>
      </c>
      <c r="F5139" s="157">
        <v>41542.6875</v>
      </c>
      <c r="G5139" s="98">
        <v>540</v>
      </c>
      <c r="H5139" s="98">
        <v>530</v>
      </c>
      <c r="I5139" s="98">
        <v>493</v>
      </c>
      <c r="J5139" s="98" t="s">
        <v>1990</v>
      </c>
      <c r="K5139" s="98" t="s">
        <v>1730</v>
      </c>
      <c r="L5139" s="105" t="str">
        <f t="shared" si="840"/>
        <v>Trimble</v>
      </c>
      <c r="M5139" s="105" t="str">
        <f t="shared" si="841"/>
        <v>Derate</v>
      </c>
      <c r="N5139" s="105" t="str">
        <f t="shared" si="842"/>
        <v>Coal</v>
      </c>
      <c r="O5139" s="105">
        <f>IFERROR(VLOOKUP(A5139,Lookup!$J$5:$P$19,7,FALSE),0)</f>
        <v>3</v>
      </c>
      <c r="P5139" s="159">
        <f t="shared" si="843"/>
        <v>2013</v>
      </c>
      <c r="Q5139" s="159">
        <f t="shared" si="844"/>
        <v>9</v>
      </c>
      <c r="R5139" s="160">
        <f t="shared" si="845"/>
        <v>46.350000000034925</v>
      </c>
      <c r="S5139" s="158">
        <f t="shared" si="846"/>
        <v>-0.87452830188745145</v>
      </c>
      <c r="T5139" s="161">
        <f t="shared" si="847"/>
        <v>-431.14245283051355</v>
      </c>
      <c r="U5139" s="158">
        <f t="shared" si="849"/>
        <v>0</v>
      </c>
      <c r="V5139" s="160">
        <f t="shared" si="848"/>
        <v>0</v>
      </c>
    </row>
    <row r="5140" spans="1:22" x14ac:dyDescent="0.25">
      <c r="A5140" s="98" t="s">
        <v>19</v>
      </c>
      <c r="B5140" s="98" t="s">
        <v>17</v>
      </c>
      <c r="C5140" s="98">
        <v>81</v>
      </c>
      <c r="D5140" s="98">
        <v>1455</v>
      </c>
      <c r="E5140" s="157">
        <v>41542.6875</v>
      </c>
      <c r="F5140" s="157">
        <v>41542.822916666664</v>
      </c>
      <c r="G5140" s="98">
        <v>535</v>
      </c>
      <c r="H5140" s="98">
        <v>530</v>
      </c>
      <c r="I5140" s="98">
        <v>493</v>
      </c>
      <c r="J5140" s="98" t="s">
        <v>1990</v>
      </c>
      <c r="K5140" s="98" t="s">
        <v>1730</v>
      </c>
      <c r="L5140" s="105" t="str">
        <f t="shared" si="840"/>
        <v>Trimble</v>
      </c>
      <c r="M5140" s="105" t="str">
        <f t="shared" si="841"/>
        <v>Derate</v>
      </c>
      <c r="N5140" s="105" t="str">
        <f t="shared" si="842"/>
        <v>Coal</v>
      </c>
      <c r="O5140" s="105">
        <f>IFERROR(VLOOKUP(A5140,Lookup!$J$5:$P$19,7,FALSE),0)</f>
        <v>3</v>
      </c>
      <c r="P5140" s="159">
        <f t="shared" si="843"/>
        <v>2013</v>
      </c>
      <c r="Q5140" s="159">
        <f t="shared" si="844"/>
        <v>9</v>
      </c>
      <c r="R5140" s="160">
        <f t="shared" si="845"/>
        <v>3.2499999999417923</v>
      </c>
      <c r="S5140" s="158">
        <f t="shared" si="846"/>
        <v>-3.0660377357941436E-2</v>
      </c>
      <c r="T5140" s="161">
        <f t="shared" si="847"/>
        <v>-15.115566037465127</v>
      </c>
      <c r="U5140" s="158">
        <f t="shared" si="849"/>
        <v>0</v>
      </c>
      <c r="V5140" s="160">
        <f t="shared" si="848"/>
        <v>0</v>
      </c>
    </row>
    <row r="5141" spans="1:22" x14ac:dyDescent="0.25">
      <c r="A5141" s="98" t="s">
        <v>19</v>
      </c>
      <c r="B5141" s="98" t="s">
        <v>17</v>
      </c>
      <c r="C5141" s="98">
        <v>82</v>
      </c>
      <c r="D5141" s="98">
        <v>1455</v>
      </c>
      <c r="E5141" s="157">
        <v>41542.822916666664</v>
      </c>
      <c r="F5141" s="157">
        <v>41543.357638888891</v>
      </c>
      <c r="G5141" s="98">
        <v>515</v>
      </c>
      <c r="H5141" s="98">
        <v>530</v>
      </c>
      <c r="I5141" s="98">
        <v>493</v>
      </c>
      <c r="J5141" s="98" t="s">
        <v>1990</v>
      </c>
      <c r="K5141" s="98" t="s">
        <v>1730</v>
      </c>
      <c r="L5141" s="105" t="str">
        <f t="shared" si="840"/>
        <v>Trimble</v>
      </c>
      <c r="M5141" s="105" t="str">
        <f t="shared" si="841"/>
        <v>Derate</v>
      </c>
      <c r="N5141" s="105" t="str">
        <f t="shared" si="842"/>
        <v>Coal</v>
      </c>
      <c r="O5141" s="105">
        <f>IFERROR(VLOOKUP(A5141,Lookup!$J$5:$P$19,7,FALSE),0)</f>
        <v>3</v>
      </c>
      <c r="P5141" s="159">
        <f t="shared" si="843"/>
        <v>2013</v>
      </c>
      <c r="Q5141" s="159">
        <f t="shared" si="844"/>
        <v>9</v>
      </c>
      <c r="R5141" s="160">
        <f t="shared" si="845"/>
        <v>12.833333333430346</v>
      </c>
      <c r="S5141" s="158">
        <f t="shared" si="846"/>
        <v>0.36320754717255699</v>
      </c>
      <c r="T5141" s="161">
        <f t="shared" si="847"/>
        <v>179.06132075607059</v>
      </c>
      <c r="U5141" s="158">
        <f t="shared" si="849"/>
        <v>13.952830188679245</v>
      </c>
      <c r="V5141" s="160">
        <f t="shared" si="848"/>
        <v>14</v>
      </c>
    </row>
    <row r="5142" spans="1:22" x14ac:dyDescent="0.25">
      <c r="A5142" s="98" t="s">
        <v>19</v>
      </c>
      <c r="B5142" s="98" t="s">
        <v>17</v>
      </c>
      <c r="C5142" s="98">
        <v>83</v>
      </c>
      <c r="D5142" s="98">
        <v>1455</v>
      </c>
      <c r="E5142" s="157">
        <v>41543.357638888891</v>
      </c>
      <c r="F5142" s="157">
        <v>41543.538194444445</v>
      </c>
      <c r="G5142" s="98">
        <v>525</v>
      </c>
      <c r="H5142" s="98">
        <v>530</v>
      </c>
      <c r="I5142" s="98">
        <v>493</v>
      </c>
      <c r="J5142" s="98" t="s">
        <v>1990</v>
      </c>
      <c r="K5142" s="98" t="s">
        <v>1730</v>
      </c>
      <c r="L5142" s="105" t="str">
        <f t="shared" si="840"/>
        <v>Trimble</v>
      </c>
      <c r="M5142" s="105" t="str">
        <f t="shared" si="841"/>
        <v>Derate</v>
      </c>
      <c r="N5142" s="105" t="str">
        <f t="shared" si="842"/>
        <v>Coal</v>
      </c>
      <c r="O5142" s="105">
        <f>IFERROR(VLOOKUP(A5142,Lookup!$J$5:$P$19,7,FALSE),0)</f>
        <v>3</v>
      </c>
      <c r="P5142" s="159">
        <f t="shared" si="843"/>
        <v>2013</v>
      </c>
      <c r="Q5142" s="159">
        <f t="shared" si="844"/>
        <v>9</v>
      </c>
      <c r="R5142" s="160">
        <f t="shared" si="845"/>
        <v>4.3333333333139308</v>
      </c>
      <c r="S5142" s="158">
        <f t="shared" si="846"/>
        <v>4.0880503144471045E-2</v>
      </c>
      <c r="T5142" s="161">
        <f t="shared" si="847"/>
        <v>20.154088050224225</v>
      </c>
      <c r="U5142" s="158">
        <f t="shared" si="849"/>
        <v>4.6509433962264151</v>
      </c>
      <c r="V5142" s="160">
        <f t="shared" si="848"/>
        <v>5</v>
      </c>
    </row>
    <row r="5143" spans="1:22" x14ac:dyDescent="0.25">
      <c r="A5143" s="98" t="s">
        <v>19</v>
      </c>
      <c r="B5143" s="98" t="s">
        <v>17</v>
      </c>
      <c r="C5143" s="98">
        <v>84</v>
      </c>
      <c r="D5143" s="98">
        <v>1455</v>
      </c>
      <c r="E5143" s="157">
        <v>41543.538194444445</v>
      </c>
      <c r="F5143" s="157">
        <v>41544.509722222225</v>
      </c>
      <c r="G5143" s="98">
        <v>520</v>
      </c>
      <c r="H5143" s="98">
        <v>530</v>
      </c>
      <c r="I5143" s="98">
        <v>493</v>
      </c>
      <c r="J5143" s="98" t="s">
        <v>1990</v>
      </c>
      <c r="K5143" s="98" t="s">
        <v>1730</v>
      </c>
      <c r="L5143" s="105" t="str">
        <f t="shared" si="840"/>
        <v>Trimble</v>
      </c>
      <c r="M5143" s="105" t="str">
        <f t="shared" si="841"/>
        <v>Derate</v>
      </c>
      <c r="N5143" s="105" t="str">
        <f t="shared" si="842"/>
        <v>Coal</v>
      </c>
      <c r="O5143" s="105">
        <f>IFERROR(VLOOKUP(A5143,Lookup!$J$5:$P$19,7,FALSE),0)</f>
        <v>3</v>
      </c>
      <c r="P5143" s="159">
        <f t="shared" si="843"/>
        <v>2013</v>
      </c>
      <c r="Q5143" s="159">
        <f t="shared" si="844"/>
        <v>9</v>
      </c>
      <c r="R5143" s="160">
        <f t="shared" si="845"/>
        <v>23.316666666709352</v>
      </c>
      <c r="S5143" s="158">
        <f t="shared" si="846"/>
        <v>0.43993710691904436</v>
      </c>
      <c r="T5143" s="161">
        <f t="shared" si="847"/>
        <v>216.88899371108886</v>
      </c>
      <c r="U5143" s="158">
        <f t="shared" si="849"/>
        <v>9.3018867924528301</v>
      </c>
      <c r="V5143" s="160">
        <f t="shared" si="848"/>
        <v>9</v>
      </c>
    </row>
    <row r="5144" spans="1:22" x14ac:dyDescent="0.25">
      <c r="A5144" s="98" t="s">
        <v>19</v>
      </c>
      <c r="B5144" s="98" t="s">
        <v>17</v>
      </c>
      <c r="C5144" s="98">
        <v>85</v>
      </c>
      <c r="D5144" s="98">
        <v>1455</v>
      </c>
      <c r="E5144" s="157">
        <v>41544.509722222225</v>
      </c>
      <c r="F5144" s="157">
        <v>41545.180555555555</v>
      </c>
      <c r="G5144" s="98">
        <v>525</v>
      </c>
      <c r="H5144" s="98">
        <v>530</v>
      </c>
      <c r="I5144" s="98">
        <v>493</v>
      </c>
      <c r="J5144" s="98" t="s">
        <v>1990</v>
      </c>
      <c r="K5144" s="98" t="s">
        <v>1730</v>
      </c>
      <c r="L5144" s="105" t="str">
        <f t="shared" si="840"/>
        <v>Trimble</v>
      </c>
      <c r="M5144" s="105" t="str">
        <f t="shared" si="841"/>
        <v>Derate</v>
      </c>
      <c r="N5144" s="105" t="str">
        <f t="shared" si="842"/>
        <v>Coal</v>
      </c>
      <c r="O5144" s="105">
        <f>IFERROR(VLOOKUP(A5144,Lookup!$J$5:$P$19,7,FALSE),0)</f>
        <v>3</v>
      </c>
      <c r="P5144" s="159">
        <f t="shared" si="843"/>
        <v>2013</v>
      </c>
      <c r="Q5144" s="159">
        <f t="shared" si="844"/>
        <v>9</v>
      </c>
      <c r="R5144" s="160">
        <f t="shared" si="845"/>
        <v>16.099999999918509</v>
      </c>
      <c r="S5144" s="158">
        <f t="shared" si="846"/>
        <v>0.15188679245206141</v>
      </c>
      <c r="T5144" s="161">
        <f t="shared" si="847"/>
        <v>74.880188678866276</v>
      </c>
      <c r="U5144" s="158">
        <f t="shared" si="849"/>
        <v>4.6509433962264151</v>
      </c>
      <c r="V5144" s="160">
        <f t="shared" si="848"/>
        <v>5</v>
      </c>
    </row>
    <row r="5145" spans="1:22" x14ac:dyDescent="0.25">
      <c r="A5145" s="98" t="s">
        <v>19</v>
      </c>
      <c r="B5145" s="98" t="s">
        <v>105</v>
      </c>
      <c r="C5145" s="98">
        <v>86</v>
      </c>
      <c r="D5145" s="98">
        <v>75</v>
      </c>
      <c r="E5145" s="157">
        <v>41551.875</v>
      </c>
      <c r="F5145" s="157">
        <v>41551.916666666664</v>
      </c>
      <c r="G5145" s="98">
        <v>445</v>
      </c>
      <c r="H5145" s="98">
        <v>530</v>
      </c>
      <c r="I5145" s="98">
        <v>493</v>
      </c>
      <c r="J5145" s="98" t="s">
        <v>2281</v>
      </c>
      <c r="K5145" s="98" t="s">
        <v>1731</v>
      </c>
      <c r="L5145" s="105" t="str">
        <f t="shared" si="840"/>
        <v>Trimble</v>
      </c>
      <c r="M5145" s="105" t="str">
        <f t="shared" si="841"/>
        <v>Derate</v>
      </c>
      <c r="N5145" s="105" t="str">
        <f t="shared" si="842"/>
        <v>Coal</v>
      </c>
      <c r="O5145" s="105">
        <f>IFERROR(VLOOKUP(A5145,Lookup!$J$5:$P$19,7,FALSE),0)</f>
        <v>3</v>
      </c>
      <c r="P5145" s="159">
        <f t="shared" si="843"/>
        <v>2013</v>
      </c>
      <c r="Q5145" s="159">
        <f t="shared" si="844"/>
        <v>10</v>
      </c>
      <c r="R5145" s="160">
        <f t="shared" si="845"/>
        <v>0.99999999994179234</v>
      </c>
      <c r="S5145" s="158">
        <f t="shared" si="846"/>
        <v>0.16037735848123086</v>
      </c>
      <c r="T5145" s="161">
        <f t="shared" si="847"/>
        <v>79.066037731246809</v>
      </c>
      <c r="U5145" s="158">
        <f t="shared" si="849"/>
        <v>79.066037735849051</v>
      </c>
      <c r="V5145" s="160">
        <f t="shared" si="848"/>
        <v>79</v>
      </c>
    </row>
    <row r="5146" spans="1:22" x14ac:dyDescent="0.25">
      <c r="A5146" s="98" t="s">
        <v>19</v>
      </c>
      <c r="B5146" s="98" t="s">
        <v>105</v>
      </c>
      <c r="C5146" s="98">
        <v>87</v>
      </c>
      <c r="D5146" s="98">
        <v>75</v>
      </c>
      <c r="E5146" s="157">
        <v>41551.916666666664</v>
      </c>
      <c r="F5146" s="157">
        <v>41552.010416666664</v>
      </c>
      <c r="G5146" s="98">
        <v>340</v>
      </c>
      <c r="H5146" s="98">
        <v>530</v>
      </c>
      <c r="I5146" s="98">
        <v>493</v>
      </c>
      <c r="J5146" s="98" t="s">
        <v>2281</v>
      </c>
      <c r="K5146" s="98" t="s">
        <v>1731</v>
      </c>
      <c r="L5146" s="105" t="str">
        <f t="shared" si="840"/>
        <v>Trimble</v>
      </c>
      <c r="M5146" s="105" t="str">
        <f t="shared" si="841"/>
        <v>Derate</v>
      </c>
      <c r="N5146" s="105" t="str">
        <f t="shared" si="842"/>
        <v>Coal</v>
      </c>
      <c r="O5146" s="105">
        <f>IFERROR(VLOOKUP(A5146,Lookup!$J$5:$P$19,7,FALSE),0)</f>
        <v>3</v>
      </c>
      <c r="P5146" s="159">
        <f t="shared" si="843"/>
        <v>2013</v>
      </c>
      <c r="Q5146" s="159">
        <f t="shared" si="844"/>
        <v>10</v>
      </c>
      <c r="R5146" s="160">
        <f t="shared" si="845"/>
        <v>2.25</v>
      </c>
      <c r="S5146" s="158">
        <f t="shared" si="846"/>
        <v>0.80660377358490565</v>
      </c>
      <c r="T5146" s="161">
        <f t="shared" si="847"/>
        <v>397.65566037735846</v>
      </c>
      <c r="U5146" s="158">
        <f t="shared" si="849"/>
        <v>176.73584905660377</v>
      </c>
      <c r="V5146" s="160">
        <f t="shared" si="848"/>
        <v>177</v>
      </c>
    </row>
    <row r="5147" spans="1:22" x14ac:dyDescent="0.25">
      <c r="A5147" s="98" t="s">
        <v>19</v>
      </c>
      <c r="B5147" s="98" t="s">
        <v>38</v>
      </c>
      <c r="C5147" s="98">
        <v>88</v>
      </c>
      <c r="D5147" s="98">
        <v>1801</v>
      </c>
      <c r="E5147" s="157">
        <v>41552.010416666664</v>
      </c>
      <c r="F5147" s="157">
        <v>41583.293055555558</v>
      </c>
      <c r="G5147" s="98">
        <v>0</v>
      </c>
      <c r="H5147" s="98">
        <v>530</v>
      </c>
      <c r="I5147" s="98">
        <v>493</v>
      </c>
      <c r="J5147" s="98" t="s">
        <v>2021</v>
      </c>
      <c r="K5147" s="98" t="s">
        <v>1732</v>
      </c>
      <c r="L5147" s="105" t="str">
        <f t="shared" si="840"/>
        <v>Trimble</v>
      </c>
      <c r="M5147" s="105" t="str">
        <f t="shared" si="841"/>
        <v>Other</v>
      </c>
      <c r="N5147" s="105" t="str">
        <f t="shared" si="842"/>
        <v>Coal</v>
      </c>
      <c r="O5147" s="105">
        <f>IFERROR(VLOOKUP(A5147,Lookup!$J$5:$P$19,7,FALSE),0)</f>
        <v>3</v>
      </c>
      <c r="P5147" s="159">
        <f t="shared" si="843"/>
        <v>2013</v>
      </c>
      <c r="Q5147" s="159">
        <f t="shared" si="844"/>
        <v>10</v>
      </c>
      <c r="R5147" s="160">
        <f t="shared" si="845"/>
        <v>750.78333333344199</v>
      </c>
      <c r="S5147" s="158">
        <f t="shared" si="846"/>
        <v>750.78333333344199</v>
      </c>
      <c r="T5147" s="161">
        <f t="shared" si="847"/>
        <v>370136.1833333869</v>
      </c>
      <c r="U5147" s="158">
        <f t="shared" si="849"/>
        <v>493</v>
      </c>
      <c r="V5147" s="160">
        <f t="shared" si="848"/>
        <v>493</v>
      </c>
    </row>
    <row r="5148" spans="1:22" x14ac:dyDescent="0.25">
      <c r="A5148" s="98" t="s">
        <v>19</v>
      </c>
      <c r="B5148" s="98" t="s">
        <v>18</v>
      </c>
      <c r="C5148" s="98">
        <v>89</v>
      </c>
      <c r="D5148" s="98">
        <v>1500</v>
      </c>
      <c r="E5148" s="157">
        <v>41583.293055555558</v>
      </c>
      <c r="F5148" s="157">
        <v>41583.475694444445</v>
      </c>
      <c r="G5148" s="98">
        <v>0</v>
      </c>
      <c r="H5148" s="98">
        <v>530</v>
      </c>
      <c r="I5148" s="98">
        <v>493</v>
      </c>
      <c r="J5148" s="98" t="s">
        <v>2190</v>
      </c>
      <c r="K5148" s="98" t="s">
        <v>1733</v>
      </c>
      <c r="L5148" s="105" t="str">
        <f t="shared" si="840"/>
        <v>Trimble</v>
      </c>
      <c r="M5148" s="105" t="str">
        <f t="shared" si="841"/>
        <v>Outage</v>
      </c>
      <c r="N5148" s="105" t="str">
        <f t="shared" si="842"/>
        <v>Coal</v>
      </c>
      <c r="O5148" s="105">
        <f>IFERROR(VLOOKUP(A5148,Lookup!$J$5:$P$19,7,FALSE),0)</f>
        <v>3</v>
      </c>
      <c r="P5148" s="159">
        <f t="shared" si="843"/>
        <v>2013</v>
      </c>
      <c r="Q5148" s="159">
        <f t="shared" si="844"/>
        <v>11</v>
      </c>
      <c r="R5148" s="160">
        <f t="shared" si="845"/>
        <v>4.3833333333022892</v>
      </c>
      <c r="S5148" s="158">
        <f t="shared" si="846"/>
        <v>4.3833333333022892</v>
      </c>
      <c r="T5148" s="161">
        <f t="shared" si="847"/>
        <v>2160.9833333180286</v>
      </c>
      <c r="U5148" s="158">
        <f t="shared" si="849"/>
        <v>493</v>
      </c>
      <c r="V5148" s="160">
        <f t="shared" si="848"/>
        <v>493</v>
      </c>
    </row>
    <row r="5149" spans="1:22" x14ac:dyDescent="0.25">
      <c r="A5149" s="98" t="s">
        <v>19</v>
      </c>
      <c r="B5149" s="98" t="s">
        <v>15</v>
      </c>
      <c r="C5149" s="98">
        <v>90</v>
      </c>
      <c r="D5149" s="98">
        <v>1000</v>
      </c>
      <c r="E5149" s="157">
        <v>41583.475694444445</v>
      </c>
      <c r="F5149" s="157">
        <v>41584.683333333334</v>
      </c>
      <c r="G5149" s="98">
        <v>0</v>
      </c>
      <c r="H5149" s="98">
        <v>530</v>
      </c>
      <c r="I5149" s="98">
        <v>493</v>
      </c>
      <c r="J5149" s="98" t="s">
        <v>2002</v>
      </c>
      <c r="K5149" s="98" t="s">
        <v>1734</v>
      </c>
      <c r="L5149" s="105" t="str">
        <f t="shared" si="840"/>
        <v>Trimble</v>
      </c>
      <c r="M5149" s="105" t="str">
        <f t="shared" si="841"/>
        <v>Outage</v>
      </c>
      <c r="N5149" s="105" t="str">
        <f t="shared" si="842"/>
        <v>Coal</v>
      </c>
      <c r="O5149" s="105">
        <f>IFERROR(VLOOKUP(A5149,Lookup!$J$5:$P$19,7,FALSE),0)</f>
        <v>3</v>
      </c>
      <c r="P5149" s="159">
        <f t="shared" si="843"/>
        <v>2013</v>
      </c>
      <c r="Q5149" s="159">
        <f t="shared" si="844"/>
        <v>11</v>
      </c>
      <c r="R5149" s="160">
        <f t="shared" si="845"/>
        <v>28.983333333337214</v>
      </c>
      <c r="S5149" s="158">
        <f t="shared" si="846"/>
        <v>28.983333333337214</v>
      </c>
      <c r="T5149" s="161">
        <f t="shared" si="847"/>
        <v>14288.783333335246</v>
      </c>
      <c r="U5149" s="158">
        <f t="shared" si="849"/>
        <v>493</v>
      </c>
      <c r="V5149" s="160">
        <f t="shared" si="848"/>
        <v>493</v>
      </c>
    </row>
    <row r="5150" spans="1:22" x14ac:dyDescent="0.25">
      <c r="A5150" s="98" t="s">
        <v>19</v>
      </c>
      <c r="B5150" s="98" t="s">
        <v>79</v>
      </c>
      <c r="C5150" s="98">
        <v>91</v>
      </c>
      <c r="D5150" s="98">
        <v>1850</v>
      </c>
      <c r="E5150" s="157">
        <v>41584.683333333334</v>
      </c>
      <c r="F5150" s="157">
        <v>41585.219444444447</v>
      </c>
      <c r="G5150" s="98">
        <v>0</v>
      </c>
      <c r="H5150" s="98">
        <v>530</v>
      </c>
      <c r="I5150" s="98">
        <v>493</v>
      </c>
      <c r="J5150" s="98" t="s">
        <v>2263</v>
      </c>
      <c r="K5150" s="98" t="s">
        <v>1735</v>
      </c>
      <c r="L5150" s="105" t="str">
        <f t="shared" si="840"/>
        <v>Trimble</v>
      </c>
      <c r="M5150" s="105" t="str">
        <f t="shared" si="841"/>
        <v>Other</v>
      </c>
      <c r="N5150" s="105" t="str">
        <f t="shared" si="842"/>
        <v>Coal</v>
      </c>
      <c r="O5150" s="105">
        <f>IFERROR(VLOOKUP(A5150,Lookup!$J$5:$P$19,7,FALSE),0)</f>
        <v>3</v>
      </c>
      <c r="P5150" s="159">
        <f t="shared" si="843"/>
        <v>2013</v>
      </c>
      <c r="Q5150" s="159">
        <f t="shared" si="844"/>
        <v>11</v>
      </c>
      <c r="R5150" s="160">
        <f t="shared" si="845"/>
        <v>12.866666666697711</v>
      </c>
      <c r="S5150" s="158">
        <f t="shared" si="846"/>
        <v>12.866666666697711</v>
      </c>
      <c r="T5150" s="161">
        <f t="shared" si="847"/>
        <v>6343.2666666819714</v>
      </c>
      <c r="U5150" s="158">
        <f t="shared" si="849"/>
        <v>493</v>
      </c>
      <c r="V5150" s="160">
        <f t="shared" si="848"/>
        <v>493</v>
      </c>
    </row>
    <row r="5151" spans="1:22" x14ac:dyDescent="0.25">
      <c r="A5151" s="98" t="s">
        <v>19</v>
      </c>
      <c r="B5151" s="98" t="s">
        <v>17</v>
      </c>
      <c r="C5151" s="98">
        <v>92</v>
      </c>
      <c r="D5151" s="98">
        <v>1850</v>
      </c>
      <c r="E5151" s="157">
        <v>41585.219444444447</v>
      </c>
      <c r="F5151" s="157">
        <v>41585.347916666666</v>
      </c>
      <c r="G5151" s="98">
        <v>305</v>
      </c>
      <c r="H5151" s="98">
        <v>530</v>
      </c>
      <c r="I5151" s="98">
        <v>493</v>
      </c>
      <c r="J5151" s="98" t="s">
        <v>2263</v>
      </c>
      <c r="K5151" s="98" t="s">
        <v>1736</v>
      </c>
      <c r="L5151" s="105" t="str">
        <f t="shared" si="840"/>
        <v>Trimble</v>
      </c>
      <c r="M5151" s="105" t="str">
        <f t="shared" si="841"/>
        <v>Derate</v>
      </c>
      <c r="N5151" s="105" t="str">
        <f t="shared" si="842"/>
        <v>Coal</v>
      </c>
      <c r="O5151" s="105">
        <f>IFERROR(VLOOKUP(A5151,Lookup!$J$5:$P$19,7,FALSE),0)</f>
        <v>3</v>
      </c>
      <c r="P5151" s="159">
        <f t="shared" si="843"/>
        <v>2013</v>
      </c>
      <c r="Q5151" s="159">
        <f t="shared" si="844"/>
        <v>11</v>
      </c>
      <c r="R5151" s="160">
        <f t="shared" si="845"/>
        <v>3.0833333332557231</v>
      </c>
      <c r="S5151" s="158">
        <f t="shared" si="846"/>
        <v>1.3089622641179957</v>
      </c>
      <c r="T5151" s="161">
        <f t="shared" si="847"/>
        <v>645.31839621017184</v>
      </c>
      <c r="U5151" s="158">
        <f t="shared" si="849"/>
        <v>209.29245283018867</v>
      </c>
      <c r="V5151" s="160">
        <f t="shared" si="848"/>
        <v>209</v>
      </c>
    </row>
    <row r="5152" spans="1:22" x14ac:dyDescent="0.25">
      <c r="A5152" s="98" t="s">
        <v>19</v>
      </c>
      <c r="B5152" s="98" t="s">
        <v>79</v>
      </c>
      <c r="C5152" s="98">
        <v>93</v>
      </c>
      <c r="D5152" s="98">
        <v>1850</v>
      </c>
      <c r="E5152" s="157">
        <v>41585.347916666666</v>
      </c>
      <c r="F5152" s="157">
        <v>41585.701388888891</v>
      </c>
      <c r="G5152" s="98">
        <v>0</v>
      </c>
      <c r="H5152" s="98">
        <v>530</v>
      </c>
      <c r="I5152" s="98">
        <v>493</v>
      </c>
      <c r="J5152" s="98" t="s">
        <v>2263</v>
      </c>
      <c r="K5152" s="98" t="s">
        <v>1737</v>
      </c>
      <c r="L5152" s="105" t="str">
        <f t="shared" si="840"/>
        <v>Trimble</v>
      </c>
      <c r="M5152" s="105" t="str">
        <f t="shared" si="841"/>
        <v>Other</v>
      </c>
      <c r="N5152" s="105" t="str">
        <f t="shared" si="842"/>
        <v>Coal</v>
      </c>
      <c r="O5152" s="105">
        <f>IFERROR(VLOOKUP(A5152,Lookup!$J$5:$P$19,7,FALSE),0)</f>
        <v>3</v>
      </c>
      <c r="P5152" s="159">
        <f t="shared" si="843"/>
        <v>2013</v>
      </c>
      <c r="Q5152" s="159">
        <f t="shared" si="844"/>
        <v>11</v>
      </c>
      <c r="R5152" s="160">
        <f t="shared" si="845"/>
        <v>8.4833333333954215</v>
      </c>
      <c r="S5152" s="158">
        <f t="shared" si="846"/>
        <v>8.4833333333954215</v>
      </c>
      <c r="T5152" s="161">
        <f t="shared" si="847"/>
        <v>4182.2833333639428</v>
      </c>
      <c r="U5152" s="158">
        <f t="shared" si="849"/>
        <v>493</v>
      </c>
      <c r="V5152" s="160">
        <f t="shared" si="848"/>
        <v>493</v>
      </c>
    </row>
    <row r="5153" spans="1:22" x14ac:dyDescent="0.25">
      <c r="A5153" s="98" t="s">
        <v>19</v>
      </c>
      <c r="B5153" s="98" t="s">
        <v>17</v>
      </c>
      <c r="C5153" s="98">
        <v>94</v>
      </c>
      <c r="D5153" s="98">
        <v>1850</v>
      </c>
      <c r="E5153" s="157">
        <v>41585.701388888891</v>
      </c>
      <c r="F5153" s="157">
        <v>41585.743750000001</v>
      </c>
      <c r="G5153" s="98">
        <v>305</v>
      </c>
      <c r="H5153" s="98">
        <v>530</v>
      </c>
      <c r="I5153" s="98">
        <v>493</v>
      </c>
      <c r="J5153" s="98" t="s">
        <v>2263</v>
      </c>
      <c r="K5153" s="98" t="s">
        <v>1738</v>
      </c>
      <c r="L5153" s="105" t="str">
        <f t="shared" si="840"/>
        <v>Trimble</v>
      </c>
      <c r="M5153" s="105" t="str">
        <f t="shared" si="841"/>
        <v>Derate</v>
      </c>
      <c r="N5153" s="105" t="str">
        <f t="shared" si="842"/>
        <v>Coal</v>
      </c>
      <c r="O5153" s="105">
        <f>IFERROR(VLOOKUP(A5153,Lookup!$J$5:$P$19,7,FALSE),0)</f>
        <v>3</v>
      </c>
      <c r="P5153" s="159">
        <f t="shared" si="843"/>
        <v>2013</v>
      </c>
      <c r="Q5153" s="159">
        <f t="shared" si="844"/>
        <v>11</v>
      </c>
      <c r="R5153" s="160">
        <f t="shared" si="845"/>
        <v>1.0166666666627862</v>
      </c>
      <c r="S5153" s="158">
        <f t="shared" si="846"/>
        <v>0.4316037735832583</v>
      </c>
      <c r="T5153" s="161">
        <f t="shared" si="847"/>
        <v>212.78066037654634</v>
      </c>
      <c r="U5153" s="158">
        <f t="shared" si="849"/>
        <v>209.29245283018867</v>
      </c>
      <c r="V5153" s="160">
        <f t="shared" si="848"/>
        <v>209</v>
      </c>
    </row>
    <row r="5154" spans="1:22" x14ac:dyDescent="0.25">
      <c r="A5154" s="98" t="s">
        <v>19</v>
      </c>
      <c r="B5154" s="98" t="s">
        <v>15</v>
      </c>
      <c r="C5154" s="98">
        <v>95</v>
      </c>
      <c r="D5154" s="98">
        <v>400</v>
      </c>
      <c r="E5154" s="157">
        <v>41585.743750000001</v>
      </c>
      <c r="F5154" s="157">
        <v>41586.589583333334</v>
      </c>
      <c r="G5154" s="98">
        <v>0</v>
      </c>
      <c r="H5154" s="98">
        <v>530</v>
      </c>
      <c r="I5154" s="98">
        <v>493</v>
      </c>
      <c r="J5154" s="98" t="s">
        <v>2128</v>
      </c>
      <c r="K5154" s="98" t="s">
        <v>1739</v>
      </c>
      <c r="L5154" s="105" t="str">
        <f t="shared" si="840"/>
        <v>Trimble</v>
      </c>
      <c r="M5154" s="105" t="str">
        <f t="shared" si="841"/>
        <v>Outage</v>
      </c>
      <c r="N5154" s="105" t="str">
        <f t="shared" si="842"/>
        <v>Coal</v>
      </c>
      <c r="O5154" s="105">
        <f>IFERROR(VLOOKUP(A5154,Lookup!$J$5:$P$19,7,FALSE),0)</f>
        <v>3</v>
      </c>
      <c r="P5154" s="159">
        <f t="shared" si="843"/>
        <v>2013</v>
      </c>
      <c r="Q5154" s="159">
        <f t="shared" si="844"/>
        <v>11</v>
      </c>
      <c r="R5154" s="160">
        <f t="shared" si="845"/>
        <v>20.299999999988358</v>
      </c>
      <c r="S5154" s="158">
        <f t="shared" si="846"/>
        <v>20.299999999988358</v>
      </c>
      <c r="T5154" s="161">
        <f t="shared" si="847"/>
        <v>10007.899999994261</v>
      </c>
      <c r="U5154" s="158">
        <f t="shared" si="849"/>
        <v>493</v>
      </c>
      <c r="V5154" s="160">
        <f t="shared" si="848"/>
        <v>493</v>
      </c>
    </row>
    <row r="5155" spans="1:22" x14ac:dyDescent="0.25">
      <c r="A5155" s="98" t="s">
        <v>19</v>
      </c>
      <c r="B5155" s="98" t="s">
        <v>79</v>
      </c>
      <c r="C5155" s="98">
        <v>96</v>
      </c>
      <c r="D5155" s="98">
        <v>1850</v>
      </c>
      <c r="E5155" s="157">
        <v>41586.589583333334</v>
      </c>
      <c r="F5155" s="157">
        <v>41587.152777777781</v>
      </c>
      <c r="G5155" s="98">
        <v>0</v>
      </c>
      <c r="H5155" s="98">
        <v>530</v>
      </c>
      <c r="I5155" s="98">
        <v>493</v>
      </c>
      <c r="J5155" s="98" t="s">
        <v>2263</v>
      </c>
      <c r="K5155" s="98" t="s">
        <v>1740</v>
      </c>
      <c r="L5155" s="105" t="str">
        <f t="shared" si="840"/>
        <v>Trimble</v>
      </c>
      <c r="M5155" s="105" t="str">
        <f t="shared" si="841"/>
        <v>Other</v>
      </c>
      <c r="N5155" s="105" t="str">
        <f t="shared" si="842"/>
        <v>Coal</v>
      </c>
      <c r="O5155" s="105">
        <f>IFERROR(VLOOKUP(A5155,Lookup!$J$5:$P$19,7,FALSE),0)</f>
        <v>3</v>
      </c>
      <c r="P5155" s="159">
        <f t="shared" si="843"/>
        <v>2013</v>
      </c>
      <c r="Q5155" s="159">
        <f t="shared" si="844"/>
        <v>11</v>
      </c>
      <c r="R5155" s="160">
        <f t="shared" si="845"/>
        <v>13.516666666720994</v>
      </c>
      <c r="S5155" s="158">
        <f t="shared" si="846"/>
        <v>13.516666666720994</v>
      </c>
      <c r="T5155" s="161">
        <f t="shared" si="847"/>
        <v>6663.71666669345</v>
      </c>
      <c r="U5155" s="158">
        <f t="shared" si="849"/>
        <v>493</v>
      </c>
      <c r="V5155" s="160">
        <f t="shared" si="848"/>
        <v>493</v>
      </c>
    </row>
    <row r="5156" spans="1:22" x14ac:dyDescent="0.25">
      <c r="A5156" s="98" t="s">
        <v>19</v>
      </c>
      <c r="B5156" s="98" t="s">
        <v>17</v>
      </c>
      <c r="C5156" s="98">
        <v>97</v>
      </c>
      <c r="D5156" s="98">
        <v>8140</v>
      </c>
      <c r="E5156" s="157">
        <v>41587.152777777781</v>
      </c>
      <c r="F5156" s="157">
        <v>41588.381944444445</v>
      </c>
      <c r="G5156" s="98">
        <v>300</v>
      </c>
      <c r="H5156" s="98">
        <v>530</v>
      </c>
      <c r="I5156" s="98">
        <v>493</v>
      </c>
      <c r="J5156" s="98" t="s">
        <v>2280</v>
      </c>
      <c r="K5156" s="98" t="s">
        <v>1741</v>
      </c>
      <c r="L5156" s="105" t="str">
        <f t="shared" si="840"/>
        <v>Trimble</v>
      </c>
      <c r="M5156" s="105" t="str">
        <f t="shared" si="841"/>
        <v>Derate</v>
      </c>
      <c r="N5156" s="105" t="str">
        <f t="shared" si="842"/>
        <v>Coal</v>
      </c>
      <c r="O5156" s="105">
        <f>IFERROR(VLOOKUP(A5156,Lookup!$J$5:$P$19,7,FALSE),0)</f>
        <v>3</v>
      </c>
      <c r="P5156" s="159">
        <f t="shared" si="843"/>
        <v>2013</v>
      </c>
      <c r="Q5156" s="159">
        <f t="shared" si="844"/>
        <v>11</v>
      </c>
      <c r="R5156" s="160">
        <f t="shared" si="845"/>
        <v>29.499999999941792</v>
      </c>
      <c r="S5156" s="158">
        <f t="shared" si="846"/>
        <v>12.80188679242757</v>
      </c>
      <c r="T5156" s="161">
        <f t="shared" si="847"/>
        <v>6311.3301886667923</v>
      </c>
      <c r="U5156" s="158">
        <f t="shared" si="849"/>
        <v>213.9433962264151</v>
      </c>
      <c r="V5156" s="160">
        <f t="shared" si="848"/>
        <v>214</v>
      </c>
    </row>
    <row r="5157" spans="1:22" x14ac:dyDescent="0.25">
      <c r="A5157" s="98" t="s">
        <v>19</v>
      </c>
      <c r="B5157" s="98" t="s">
        <v>17</v>
      </c>
      <c r="C5157" s="98">
        <v>98</v>
      </c>
      <c r="D5157" s="98">
        <v>1850</v>
      </c>
      <c r="E5157" s="157">
        <v>41588.381944444445</v>
      </c>
      <c r="F5157" s="157">
        <v>41588.5</v>
      </c>
      <c r="G5157" s="98">
        <v>375</v>
      </c>
      <c r="H5157" s="98">
        <v>530</v>
      </c>
      <c r="I5157" s="98">
        <v>493</v>
      </c>
      <c r="J5157" s="98" t="s">
        <v>2263</v>
      </c>
      <c r="K5157" s="98" t="s">
        <v>1742</v>
      </c>
      <c r="L5157" s="105" t="str">
        <f t="shared" si="840"/>
        <v>Trimble</v>
      </c>
      <c r="M5157" s="105" t="str">
        <f t="shared" si="841"/>
        <v>Derate</v>
      </c>
      <c r="N5157" s="105" t="str">
        <f t="shared" si="842"/>
        <v>Coal</v>
      </c>
      <c r="O5157" s="105">
        <f>IFERROR(VLOOKUP(A5157,Lookup!$J$5:$P$19,7,FALSE),0)</f>
        <v>3</v>
      </c>
      <c r="P5157" s="159">
        <f t="shared" si="843"/>
        <v>2013</v>
      </c>
      <c r="Q5157" s="159">
        <f t="shared" si="844"/>
        <v>11</v>
      </c>
      <c r="R5157" s="160">
        <f t="shared" si="845"/>
        <v>2.8333333333139308</v>
      </c>
      <c r="S5157" s="158">
        <f t="shared" si="846"/>
        <v>0.82861635219558349</v>
      </c>
      <c r="T5157" s="161">
        <f t="shared" si="847"/>
        <v>408.50786163242265</v>
      </c>
      <c r="U5157" s="158">
        <f t="shared" si="849"/>
        <v>144.17924528301887</v>
      </c>
      <c r="V5157" s="160">
        <f t="shared" si="848"/>
        <v>144</v>
      </c>
    </row>
    <row r="5158" spans="1:22" x14ac:dyDescent="0.25">
      <c r="A5158" s="98" t="s">
        <v>19</v>
      </c>
      <c r="B5158" s="98" t="s">
        <v>17</v>
      </c>
      <c r="C5158" s="98">
        <v>99</v>
      </c>
      <c r="D5158" s="98">
        <v>1850</v>
      </c>
      <c r="E5158" s="157">
        <v>41588.5</v>
      </c>
      <c r="F5158" s="157">
        <v>41588.673611111109</v>
      </c>
      <c r="G5158" s="98">
        <v>390</v>
      </c>
      <c r="H5158" s="98">
        <v>530</v>
      </c>
      <c r="I5158" s="98">
        <v>493</v>
      </c>
      <c r="J5158" s="98" t="s">
        <v>2263</v>
      </c>
      <c r="K5158" s="98" t="s">
        <v>1742</v>
      </c>
      <c r="L5158" s="105" t="str">
        <f t="shared" si="840"/>
        <v>Trimble</v>
      </c>
      <c r="M5158" s="105" t="str">
        <f t="shared" si="841"/>
        <v>Derate</v>
      </c>
      <c r="N5158" s="105" t="str">
        <f t="shared" si="842"/>
        <v>Coal</v>
      </c>
      <c r="O5158" s="105">
        <f>IFERROR(VLOOKUP(A5158,Lookup!$J$5:$P$19,7,FALSE),0)</f>
        <v>3</v>
      </c>
      <c r="P5158" s="159">
        <f t="shared" si="843"/>
        <v>2013</v>
      </c>
      <c r="Q5158" s="159">
        <f t="shared" si="844"/>
        <v>11</v>
      </c>
      <c r="R5158" s="160">
        <f t="shared" si="845"/>
        <v>4.1666666666278616</v>
      </c>
      <c r="S5158" s="158">
        <f t="shared" si="846"/>
        <v>1.1006289308073596</v>
      </c>
      <c r="T5158" s="161">
        <f t="shared" si="847"/>
        <v>542.61006288802832</v>
      </c>
      <c r="U5158" s="158">
        <f t="shared" si="849"/>
        <v>130.22641509433961</v>
      </c>
      <c r="V5158" s="160">
        <f t="shared" si="848"/>
        <v>130</v>
      </c>
    </row>
    <row r="5159" spans="1:22" x14ac:dyDescent="0.25">
      <c r="A5159" s="98" t="s">
        <v>19</v>
      </c>
      <c r="B5159" s="98" t="s">
        <v>17</v>
      </c>
      <c r="C5159" s="98">
        <v>100</v>
      </c>
      <c r="D5159" s="98">
        <v>1850</v>
      </c>
      <c r="E5159" s="157">
        <v>41588.673611111109</v>
      </c>
      <c r="F5159" s="157">
        <v>41588.854166666664</v>
      </c>
      <c r="G5159" s="98">
        <v>360</v>
      </c>
      <c r="H5159" s="98">
        <v>530</v>
      </c>
      <c r="I5159" s="98">
        <v>493</v>
      </c>
      <c r="J5159" s="98" t="s">
        <v>2263</v>
      </c>
      <c r="K5159" s="98" t="s">
        <v>1742</v>
      </c>
      <c r="L5159" s="105" t="str">
        <f t="shared" si="840"/>
        <v>Trimble</v>
      </c>
      <c r="M5159" s="105" t="str">
        <f t="shared" si="841"/>
        <v>Derate</v>
      </c>
      <c r="N5159" s="105" t="str">
        <f t="shared" si="842"/>
        <v>Coal</v>
      </c>
      <c r="O5159" s="105">
        <f>IFERROR(VLOOKUP(A5159,Lookup!$J$5:$P$19,7,FALSE),0)</f>
        <v>3</v>
      </c>
      <c r="P5159" s="159">
        <f t="shared" si="843"/>
        <v>2013</v>
      </c>
      <c r="Q5159" s="159">
        <f t="shared" si="844"/>
        <v>11</v>
      </c>
      <c r="R5159" s="160">
        <f t="shared" si="845"/>
        <v>4.3333333333139308</v>
      </c>
      <c r="S5159" s="158">
        <f t="shared" si="846"/>
        <v>1.3899371069120154</v>
      </c>
      <c r="T5159" s="161">
        <f t="shared" si="847"/>
        <v>685.23899370762365</v>
      </c>
      <c r="U5159" s="158">
        <f t="shared" si="849"/>
        <v>158.1320754716981</v>
      </c>
      <c r="V5159" s="160">
        <f t="shared" si="848"/>
        <v>158</v>
      </c>
    </row>
    <row r="5160" spans="1:22" x14ac:dyDescent="0.25">
      <c r="A5160" s="98" t="s">
        <v>19</v>
      </c>
      <c r="B5160" s="98" t="s">
        <v>17</v>
      </c>
      <c r="C5160" s="98">
        <v>101</v>
      </c>
      <c r="D5160" s="98">
        <v>1850</v>
      </c>
      <c r="E5160" s="157">
        <v>41588.854166666664</v>
      </c>
      <c r="F5160" s="157">
        <v>41589.006944444445</v>
      </c>
      <c r="G5160" s="98">
        <v>385</v>
      </c>
      <c r="H5160" s="98">
        <v>530</v>
      </c>
      <c r="I5160" s="98">
        <v>493</v>
      </c>
      <c r="J5160" s="98" t="s">
        <v>2263</v>
      </c>
      <c r="K5160" s="98" t="s">
        <v>1742</v>
      </c>
      <c r="L5160" s="105" t="str">
        <f t="shared" si="840"/>
        <v>Trimble</v>
      </c>
      <c r="M5160" s="105" t="str">
        <f t="shared" si="841"/>
        <v>Derate</v>
      </c>
      <c r="N5160" s="105" t="str">
        <f t="shared" si="842"/>
        <v>Coal</v>
      </c>
      <c r="O5160" s="105">
        <f>IFERROR(VLOOKUP(A5160,Lookup!$J$5:$P$19,7,FALSE),0)</f>
        <v>3</v>
      </c>
      <c r="P5160" s="159">
        <f t="shared" si="843"/>
        <v>2013</v>
      </c>
      <c r="Q5160" s="159">
        <f t="shared" si="844"/>
        <v>11</v>
      </c>
      <c r="R5160" s="160">
        <f t="shared" si="845"/>
        <v>3.6666666667442769</v>
      </c>
      <c r="S5160" s="158">
        <f t="shared" si="846"/>
        <v>1.0031446541092832</v>
      </c>
      <c r="T5160" s="161">
        <f t="shared" si="847"/>
        <v>494.55031447587663</v>
      </c>
      <c r="U5160" s="158">
        <f t="shared" si="849"/>
        <v>134.87735849056602</v>
      </c>
      <c r="V5160" s="160">
        <f t="shared" si="848"/>
        <v>135</v>
      </c>
    </row>
    <row r="5161" spans="1:22" x14ac:dyDescent="0.25">
      <c r="A5161" s="98" t="s">
        <v>19</v>
      </c>
      <c r="B5161" s="98" t="s">
        <v>17</v>
      </c>
      <c r="C5161" s="98">
        <v>102</v>
      </c>
      <c r="D5161" s="98">
        <v>1850</v>
      </c>
      <c r="E5161" s="157">
        <v>41589.006944444445</v>
      </c>
      <c r="F5161" s="157">
        <v>41589.024305555555</v>
      </c>
      <c r="G5161" s="98">
        <v>355</v>
      </c>
      <c r="H5161" s="98">
        <v>530</v>
      </c>
      <c r="I5161" s="98">
        <v>493</v>
      </c>
      <c r="J5161" s="98" t="s">
        <v>2263</v>
      </c>
      <c r="K5161" s="98" t="s">
        <v>1742</v>
      </c>
      <c r="L5161" s="105" t="str">
        <f t="shared" si="840"/>
        <v>Trimble</v>
      </c>
      <c r="M5161" s="105" t="str">
        <f t="shared" si="841"/>
        <v>Derate</v>
      </c>
      <c r="N5161" s="105" t="str">
        <f t="shared" si="842"/>
        <v>Coal</v>
      </c>
      <c r="O5161" s="105">
        <f>IFERROR(VLOOKUP(A5161,Lookup!$J$5:$P$19,7,FALSE),0)</f>
        <v>3</v>
      </c>
      <c r="P5161" s="159">
        <f t="shared" si="843"/>
        <v>2013</v>
      </c>
      <c r="Q5161" s="159">
        <f t="shared" si="844"/>
        <v>11</v>
      </c>
      <c r="R5161" s="160">
        <f t="shared" si="845"/>
        <v>0.41666666662786156</v>
      </c>
      <c r="S5161" s="158">
        <f t="shared" si="846"/>
        <v>0.13757861633938825</v>
      </c>
      <c r="T5161" s="161">
        <f t="shared" si="847"/>
        <v>67.826257855318403</v>
      </c>
      <c r="U5161" s="158">
        <f t="shared" si="849"/>
        <v>162.78301886792454</v>
      </c>
      <c r="V5161" s="160">
        <f t="shared" si="848"/>
        <v>163</v>
      </c>
    </row>
    <row r="5162" spans="1:22" x14ac:dyDescent="0.25">
      <c r="A5162" s="98" t="s">
        <v>19</v>
      </c>
      <c r="B5162" s="98" t="s">
        <v>17</v>
      </c>
      <c r="C5162" s="98">
        <v>103</v>
      </c>
      <c r="D5162" s="98">
        <v>1850</v>
      </c>
      <c r="E5162" s="157">
        <v>41589.024305555555</v>
      </c>
      <c r="F5162" s="157">
        <v>41589.236111111109</v>
      </c>
      <c r="G5162" s="98">
        <v>380</v>
      </c>
      <c r="H5162" s="98">
        <v>530</v>
      </c>
      <c r="I5162" s="98">
        <v>493</v>
      </c>
      <c r="J5162" s="98" t="s">
        <v>2263</v>
      </c>
      <c r="K5162" s="98" t="s">
        <v>1742</v>
      </c>
      <c r="L5162" s="105" t="str">
        <f t="shared" si="840"/>
        <v>Trimble</v>
      </c>
      <c r="M5162" s="105" t="str">
        <f t="shared" si="841"/>
        <v>Derate</v>
      </c>
      <c r="N5162" s="105" t="str">
        <f t="shared" si="842"/>
        <v>Coal</v>
      </c>
      <c r="O5162" s="105">
        <f>IFERROR(VLOOKUP(A5162,Lookup!$J$5:$P$19,7,FALSE),0)</f>
        <v>3</v>
      </c>
      <c r="P5162" s="159">
        <f t="shared" si="843"/>
        <v>2013</v>
      </c>
      <c r="Q5162" s="159">
        <f t="shared" si="844"/>
        <v>11</v>
      </c>
      <c r="R5162" s="160">
        <f t="shared" si="845"/>
        <v>5.0833333333139308</v>
      </c>
      <c r="S5162" s="158">
        <f t="shared" si="846"/>
        <v>1.4386792452775277</v>
      </c>
      <c r="T5162" s="161">
        <f t="shared" si="847"/>
        <v>709.26886792182108</v>
      </c>
      <c r="U5162" s="158">
        <f t="shared" si="849"/>
        <v>139.52830188679246</v>
      </c>
      <c r="V5162" s="160">
        <f t="shared" si="848"/>
        <v>140</v>
      </c>
    </row>
    <row r="5163" spans="1:22" x14ac:dyDescent="0.25">
      <c r="A5163" s="98" t="s">
        <v>19</v>
      </c>
      <c r="B5163" s="98" t="s">
        <v>17</v>
      </c>
      <c r="C5163" s="98">
        <v>104</v>
      </c>
      <c r="D5163" s="98">
        <v>1850</v>
      </c>
      <c r="E5163" s="157">
        <v>41589.236111111109</v>
      </c>
      <c r="F5163" s="157">
        <v>41589.319444444445</v>
      </c>
      <c r="G5163" s="98">
        <v>405</v>
      </c>
      <c r="H5163" s="98">
        <v>530</v>
      </c>
      <c r="I5163" s="98">
        <v>493</v>
      </c>
      <c r="J5163" s="98" t="s">
        <v>2263</v>
      </c>
      <c r="K5163" s="98" t="s">
        <v>1742</v>
      </c>
      <c r="L5163" s="105" t="str">
        <f t="shared" si="840"/>
        <v>Trimble</v>
      </c>
      <c r="M5163" s="105" t="str">
        <f t="shared" si="841"/>
        <v>Derate</v>
      </c>
      <c r="N5163" s="105" t="str">
        <f t="shared" si="842"/>
        <v>Coal</v>
      </c>
      <c r="O5163" s="105">
        <f>IFERROR(VLOOKUP(A5163,Lookup!$J$5:$P$19,7,FALSE),0)</f>
        <v>3</v>
      </c>
      <c r="P5163" s="159">
        <f t="shared" si="843"/>
        <v>2013</v>
      </c>
      <c r="Q5163" s="159">
        <f t="shared" si="844"/>
        <v>11</v>
      </c>
      <c r="R5163" s="160">
        <f t="shared" si="845"/>
        <v>2.0000000000582077</v>
      </c>
      <c r="S5163" s="158">
        <f t="shared" si="846"/>
        <v>0.47169811322127542</v>
      </c>
      <c r="T5163" s="161">
        <f t="shared" si="847"/>
        <v>232.54716981808878</v>
      </c>
      <c r="U5163" s="158">
        <f t="shared" si="849"/>
        <v>116.27358490566037</v>
      </c>
      <c r="V5163" s="160">
        <f t="shared" si="848"/>
        <v>116</v>
      </c>
    </row>
    <row r="5164" spans="1:22" x14ac:dyDescent="0.25">
      <c r="A5164" s="98" t="s">
        <v>19</v>
      </c>
      <c r="B5164" s="98" t="s">
        <v>17</v>
      </c>
      <c r="C5164" s="98">
        <v>105</v>
      </c>
      <c r="D5164" s="98">
        <v>1850</v>
      </c>
      <c r="E5164" s="157">
        <v>41589.319444444445</v>
      </c>
      <c r="F5164" s="157">
        <v>41589.592361111114</v>
      </c>
      <c r="G5164" s="98">
        <v>415</v>
      </c>
      <c r="H5164" s="98">
        <v>530</v>
      </c>
      <c r="I5164" s="98">
        <v>493</v>
      </c>
      <c r="J5164" s="98" t="s">
        <v>2263</v>
      </c>
      <c r="K5164" s="98" t="s">
        <v>1742</v>
      </c>
      <c r="L5164" s="105" t="str">
        <f t="shared" si="840"/>
        <v>Trimble</v>
      </c>
      <c r="M5164" s="105" t="str">
        <f t="shared" si="841"/>
        <v>Derate</v>
      </c>
      <c r="N5164" s="105" t="str">
        <f t="shared" si="842"/>
        <v>Coal</v>
      </c>
      <c r="O5164" s="105">
        <f>IFERROR(VLOOKUP(A5164,Lookup!$J$5:$P$19,7,FALSE),0)</f>
        <v>3</v>
      </c>
      <c r="P5164" s="159">
        <f t="shared" si="843"/>
        <v>2013</v>
      </c>
      <c r="Q5164" s="159">
        <f t="shared" si="844"/>
        <v>11</v>
      </c>
      <c r="R5164" s="160">
        <f t="shared" si="845"/>
        <v>6.5500000000465661</v>
      </c>
      <c r="S5164" s="158">
        <f t="shared" si="846"/>
        <v>1.4212264151044436</v>
      </c>
      <c r="T5164" s="161">
        <f t="shared" si="847"/>
        <v>700.66462264649067</v>
      </c>
      <c r="U5164" s="158">
        <f t="shared" si="849"/>
        <v>106.97169811320755</v>
      </c>
      <c r="V5164" s="160">
        <f t="shared" si="848"/>
        <v>107</v>
      </c>
    </row>
    <row r="5165" spans="1:22" x14ac:dyDescent="0.25">
      <c r="A5165" s="98" t="s">
        <v>19</v>
      </c>
      <c r="B5165" s="98" t="s">
        <v>17</v>
      </c>
      <c r="C5165" s="98">
        <v>106</v>
      </c>
      <c r="D5165" s="98">
        <v>1850</v>
      </c>
      <c r="E5165" s="157">
        <v>41589.592361111114</v>
      </c>
      <c r="F5165" s="157">
        <v>41590.208333333336</v>
      </c>
      <c r="G5165" s="98">
        <v>432</v>
      </c>
      <c r="H5165" s="98">
        <v>530</v>
      </c>
      <c r="I5165" s="98">
        <v>493</v>
      </c>
      <c r="J5165" s="98" t="s">
        <v>2263</v>
      </c>
      <c r="K5165" s="98" t="s">
        <v>1742</v>
      </c>
      <c r="L5165" s="105" t="str">
        <f t="shared" si="840"/>
        <v>Trimble</v>
      </c>
      <c r="M5165" s="105" t="str">
        <f t="shared" si="841"/>
        <v>Derate</v>
      </c>
      <c r="N5165" s="105" t="str">
        <f t="shared" si="842"/>
        <v>Coal</v>
      </c>
      <c r="O5165" s="105">
        <f>IFERROR(VLOOKUP(A5165,Lookup!$J$5:$P$19,7,FALSE),0)</f>
        <v>3</v>
      </c>
      <c r="P5165" s="159">
        <f t="shared" si="843"/>
        <v>2013</v>
      </c>
      <c r="Q5165" s="159">
        <f t="shared" si="844"/>
        <v>11</v>
      </c>
      <c r="R5165" s="160">
        <f t="shared" si="845"/>
        <v>14.783333333325572</v>
      </c>
      <c r="S5165" s="158">
        <f t="shared" si="846"/>
        <v>2.7335220125771813</v>
      </c>
      <c r="T5165" s="161">
        <f t="shared" si="847"/>
        <v>1347.6263522005504</v>
      </c>
      <c r="U5165" s="158">
        <f t="shared" si="849"/>
        <v>91.158490566037742</v>
      </c>
      <c r="V5165" s="160">
        <f t="shared" si="848"/>
        <v>91</v>
      </c>
    </row>
    <row r="5166" spans="1:22" x14ac:dyDescent="0.25">
      <c r="A5166" s="98" t="s">
        <v>19</v>
      </c>
      <c r="B5166" s="98" t="s">
        <v>17</v>
      </c>
      <c r="C5166" s="98">
        <v>107</v>
      </c>
      <c r="D5166" s="98">
        <v>1850</v>
      </c>
      <c r="E5166" s="157">
        <v>41590.208333333336</v>
      </c>
      <c r="F5166" s="157">
        <v>41590.486111111109</v>
      </c>
      <c r="G5166" s="98">
        <v>448</v>
      </c>
      <c r="H5166" s="98">
        <v>530</v>
      </c>
      <c r="I5166" s="98">
        <v>493</v>
      </c>
      <c r="J5166" s="98" t="s">
        <v>2263</v>
      </c>
      <c r="K5166" s="98" t="s">
        <v>1742</v>
      </c>
      <c r="L5166" s="105" t="str">
        <f t="shared" si="840"/>
        <v>Trimble</v>
      </c>
      <c r="M5166" s="105" t="str">
        <f t="shared" si="841"/>
        <v>Derate</v>
      </c>
      <c r="N5166" s="105" t="str">
        <f t="shared" si="842"/>
        <v>Coal</v>
      </c>
      <c r="O5166" s="105">
        <f>IFERROR(VLOOKUP(A5166,Lookup!$J$5:$P$19,7,FALSE),0)</f>
        <v>3</v>
      </c>
      <c r="P5166" s="159">
        <f t="shared" si="843"/>
        <v>2013</v>
      </c>
      <c r="Q5166" s="159">
        <f t="shared" si="844"/>
        <v>11</v>
      </c>
      <c r="R5166" s="160">
        <f t="shared" si="845"/>
        <v>6.6666666665696539</v>
      </c>
      <c r="S5166" s="158">
        <f t="shared" si="846"/>
        <v>1.0314465408654936</v>
      </c>
      <c r="T5166" s="161">
        <f t="shared" si="847"/>
        <v>508.50314464668833</v>
      </c>
      <c r="U5166" s="158">
        <f t="shared" si="849"/>
        <v>76.275471698113208</v>
      </c>
      <c r="V5166" s="160">
        <f t="shared" si="848"/>
        <v>76</v>
      </c>
    </row>
    <row r="5167" spans="1:22" x14ac:dyDescent="0.25">
      <c r="A5167" s="98" t="s">
        <v>19</v>
      </c>
      <c r="B5167" s="98" t="s">
        <v>17</v>
      </c>
      <c r="C5167" s="98">
        <v>108</v>
      </c>
      <c r="D5167" s="98">
        <v>1850</v>
      </c>
      <c r="E5167" s="157">
        <v>41590.486111111109</v>
      </c>
      <c r="F5167" s="157">
        <v>41590.572916666664</v>
      </c>
      <c r="G5167" s="98">
        <v>462</v>
      </c>
      <c r="H5167" s="98">
        <v>530</v>
      </c>
      <c r="I5167" s="98">
        <v>493</v>
      </c>
      <c r="J5167" s="98" t="s">
        <v>2263</v>
      </c>
      <c r="K5167" s="98" t="s">
        <v>1742</v>
      </c>
      <c r="L5167" s="105" t="str">
        <f t="shared" si="840"/>
        <v>Trimble</v>
      </c>
      <c r="M5167" s="105" t="str">
        <f t="shared" si="841"/>
        <v>Derate</v>
      </c>
      <c r="N5167" s="105" t="str">
        <f t="shared" si="842"/>
        <v>Coal</v>
      </c>
      <c r="O5167" s="105">
        <f>IFERROR(VLOOKUP(A5167,Lookup!$J$5:$P$19,7,FALSE),0)</f>
        <v>3</v>
      </c>
      <c r="P5167" s="159">
        <f t="shared" si="843"/>
        <v>2013</v>
      </c>
      <c r="Q5167" s="159">
        <f t="shared" si="844"/>
        <v>11</v>
      </c>
      <c r="R5167" s="160">
        <f t="shared" si="845"/>
        <v>2.0833333333139308</v>
      </c>
      <c r="S5167" s="158">
        <f t="shared" si="846"/>
        <v>0.26729559748178733</v>
      </c>
      <c r="T5167" s="161">
        <f t="shared" si="847"/>
        <v>131.77672955852114</v>
      </c>
      <c r="U5167" s="158">
        <f t="shared" si="849"/>
        <v>63.252830188679248</v>
      </c>
      <c r="V5167" s="160">
        <f t="shared" si="848"/>
        <v>63</v>
      </c>
    </row>
    <row r="5168" spans="1:22" x14ac:dyDescent="0.25">
      <c r="A5168" s="98" t="s">
        <v>19</v>
      </c>
      <c r="B5168" s="98" t="s">
        <v>17</v>
      </c>
      <c r="C5168" s="98">
        <v>109</v>
      </c>
      <c r="D5168" s="98">
        <v>1850</v>
      </c>
      <c r="E5168" s="157">
        <v>41590.572916666664</v>
      </c>
      <c r="F5168" s="157">
        <v>41591.041666666664</v>
      </c>
      <c r="G5168" s="98">
        <v>475</v>
      </c>
      <c r="H5168" s="98">
        <v>530</v>
      </c>
      <c r="I5168" s="98">
        <v>493</v>
      </c>
      <c r="J5168" s="98" t="s">
        <v>2263</v>
      </c>
      <c r="K5168" s="98" t="s">
        <v>1742</v>
      </c>
      <c r="L5168" s="105" t="str">
        <f t="shared" ref="L5168:L5221" si="850">IF(OR(A5168="BR1",A5168="BR2",A5168="BR3",A5168="BR5",A5168="BR6",A5168="BR7",A5168="BR8",A5168="BR9",A5168="BR10",A5168="BR11"),"Brown",IF(OR(A5168="CR4",A5168="CR5",A5168="CR6",A5168="CR11"),"Cane Run",IF(OR(A5168="GH1",A5168="GH2",A5168="GH3",A5168="GH4"),"Ghent",IF(OR(A5168="GR3",A5168="GR4"),"Green River",IF(OR(A5168="MC1",A5168="MC2",A5168="MC3",A5168="MC4"),"Mill Creek",IF(OR(A5168="TC1",A5168="TC2",A5168="TC5",A5168="TC6",A5168="TC7",A5168="TC8",A5168="TC9",A5168="TC10"),"Trimble",IF(A5168="TY3","Tyrone",IF(OR(A5168="HA1",A5168="HA2",A5168="HA3"),"Haeflin",IF(OR(A5168="PR11",A5168="PR12",A5168="PR13"),"Paddy's Run","Zorn")))))))))</f>
        <v>Trimble</v>
      </c>
      <c r="M5168" s="105" t="str">
        <f t="shared" ref="M5168:M5221" si="851">IF(OR(B5168="D1",B5168="D2",B5168="D3",B5168="D4",B5168="PD"),"Derate",IF(OR(B5168="SF",B5168="U1",B5168="U2",B5168="U3"),"Outage",IF(OR(B5168="ME",B5168="MO"),"Maintenance","Other")))</f>
        <v>Derate</v>
      </c>
      <c r="N5168" s="105" t="str">
        <f t="shared" ref="N5168:N5221" si="852">IF(OR(A5168="BR1",A5168="BR2",A5168="BR3",A5168="CR4",A5168="CR5",A5168="CR6",A5168="GH1",A5168="GH2",A5168="GH3",A5168="GH4",A5168="GR3",A5168="GR4",A5168="MC1",A5168="MC2",A5168="MC3",A5168="MC4",A5168="TC1",A5168="TC2",A5168="TY3"),"Coal","Gas")</f>
        <v>Coal</v>
      </c>
      <c r="O5168" s="105">
        <f>IFERROR(VLOOKUP(A5168,Lookup!$J$5:$P$19,7,FALSE),0)</f>
        <v>3</v>
      </c>
      <c r="P5168" s="159">
        <f t="shared" ref="P5168:P5221" si="853">YEAR(E5168)</f>
        <v>2013</v>
      </c>
      <c r="Q5168" s="159">
        <f t="shared" ref="Q5168:Q5221" si="854">MONTH(E5168)</f>
        <v>11</v>
      </c>
      <c r="R5168" s="160">
        <f t="shared" ref="R5168:R5221" si="855">(F5168-E5168)*24</f>
        <v>11.25</v>
      </c>
      <c r="S5168" s="158">
        <f t="shared" ref="S5168:S5221" si="856">R5168*(H5168-G5168)/H5168</f>
        <v>1.1674528301886793</v>
      </c>
      <c r="T5168" s="161">
        <f t="shared" ref="T5168:T5221" si="857">S5168*I5168</f>
        <v>575.55424528301887</v>
      </c>
      <c r="U5168" s="158">
        <f t="shared" si="849"/>
        <v>51.160377358490564</v>
      </c>
      <c r="V5168" s="160">
        <f t="shared" ref="V5168:V5221" si="858">ROUND(U5168,0)</f>
        <v>51</v>
      </c>
    </row>
    <row r="5169" spans="1:22" x14ac:dyDescent="0.25">
      <c r="A5169" s="98" t="s">
        <v>19</v>
      </c>
      <c r="B5169" s="98" t="s">
        <v>17</v>
      </c>
      <c r="C5169" s="98">
        <v>110</v>
      </c>
      <c r="D5169" s="98">
        <v>1850</v>
      </c>
      <c r="E5169" s="157">
        <v>41591.041666666664</v>
      </c>
      <c r="F5169" s="157">
        <v>41591.34375</v>
      </c>
      <c r="G5169" s="98">
        <v>493</v>
      </c>
      <c r="H5169" s="98">
        <v>530</v>
      </c>
      <c r="I5169" s="98">
        <v>493</v>
      </c>
      <c r="J5169" s="98" t="s">
        <v>2263</v>
      </c>
      <c r="K5169" s="98" t="s">
        <v>1742</v>
      </c>
      <c r="L5169" s="105" t="str">
        <f t="shared" si="850"/>
        <v>Trimble</v>
      </c>
      <c r="M5169" s="105" t="str">
        <f t="shared" si="851"/>
        <v>Derate</v>
      </c>
      <c r="N5169" s="105" t="str">
        <f t="shared" si="852"/>
        <v>Coal</v>
      </c>
      <c r="O5169" s="105">
        <f>IFERROR(VLOOKUP(A5169,Lookup!$J$5:$P$19,7,FALSE),0)</f>
        <v>3</v>
      </c>
      <c r="P5169" s="159">
        <f t="shared" si="853"/>
        <v>2013</v>
      </c>
      <c r="Q5169" s="159">
        <f t="shared" si="854"/>
        <v>11</v>
      </c>
      <c r="R5169" s="160">
        <f t="shared" si="855"/>
        <v>7.2500000000582077</v>
      </c>
      <c r="S5169" s="158">
        <f t="shared" si="856"/>
        <v>0.50613207547576167</v>
      </c>
      <c r="T5169" s="161">
        <f t="shared" si="857"/>
        <v>249.5231132095505</v>
      </c>
      <c r="U5169" s="158">
        <f t="shared" ref="U5169:U5221" si="859">IF(G5169&gt;0,MAX((H5169-G5169),0)*I5169/H5169,I5169)</f>
        <v>34.41698113207547</v>
      </c>
      <c r="V5169" s="160">
        <f t="shared" si="858"/>
        <v>34</v>
      </c>
    </row>
    <row r="5170" spans="1:22" x14ac:dyDescent="0.25">
      <c r="A5170" s="98" t="s">
        <v>19</v>
      </c>
      <c r="B5170" s="98" t="s">
        <v>17</v>
      </c>
      <c r="C5170" s="98">
        <v>111</v>
      </c>
      <c r="D5170" s="98">
        <v>1850</v>
      </c>
      <c r="E5170" s="157">
        <v>41591.34375</v>
      </c>
      <c r="F5170" s="157">
        <v>41591.677083333336</v>
      </c>
      <c r="G5170" s="98">
        <v>510</v>
      </c>
      <c r="H5170" s="98">
        <v>530</v>
      </c>
      <c r="I5170" s="98">
        <v>493</v>
      </c>
      <c r="J5170" s="98" t="s">
        <v>2263</v>
      </c>
      <c r="K5170" s="98" t="s">
        <v>1742</v>
      </c>
      <c r="L5170" s="105" t="str">
        <f t="shared" si="850"/>
        <v>Trimble</v>
      </c>
      <c r="M5170" s="105" t="str">
        <f t="shared" si="851"/>
        <v>Derate</v>
      </c>
      <c r="N5170" s="105" t="str">
        <f t="shared" si="852"/>
        <v>Coal</v>
      </c>
      <c r="O5170" s="105">
        <f>IFERROR(VLOOKUP(A5170,Lookup!$J$5:$P$19,7,FALSE),0)</f>
        <v>3</v>
      </c>
      <c r="P5170" s="159">
        <f t="shared" si="853"/>
        <v>2013</v>
      </c>
      <c r="Q5170" s="159">
        <f t="shared" si="854"/>
        <v>11</v>
      </c>
      <c r="R5170" s="160">
        <f t="shared" si="855"/>
        <v>8.0000000000582077</v>
      </c>
      <c r="S5170" s="158">
        <f t="shared" si="856"/>
        <v>0.3018867924550267</v>
      </c>
      <c r="T5170" s="161">
        <f t="shared" si="857"/>
        <v>148.83018868032815</v>
      </c>
      <c r="U5170" s="158">
        <f t="shared" si="859"/>
        <v>18.60377358490566</v>
      </c>
      <c r="V5170" s="160">
        <f t="shared" si="858"/>
        <v>19</v>
      </c>
    </row>
    <row r="5171" spans="1:22" x14ac:dyDescent="0.25">
      <c r="A5171" s="98" t="s">
        <v>19</v>
      </c>
      <c r="B5171" s="98" t="s">
        <v>17</v>
      </c>
      <c r="C5171" s="98">
        <v>112</v>
      </c>
      <c r="D5171" s="98">
        <v>1850</v>
      </c>
      <c r="E5171" s="157">
        <v>41591.677083333336</v>
      </c>
      <c r="F5171" s="157">
        <v>41592.120833333334</v>
      </c>
      <c r="G5171" s="98">
        <v>520</v>
      </c>
      <c r="H5171" s="98">
        <v>530</v>
      </c>
      <c r="I5171" s="98">
        <v>493</v>
      </c>
      <c r="J5171" s="98" t="s">
        <v>2263</v>
      </c>
      <c r="K5171" s="98" t="s">
        <v>1742</v>
      </c>
      <c r="L5171" s="105" t="str">
        <f t="shared" si="850"/>
        <v>Trimble</v>
      </c>
      <c r="M5171" s="105" t="str">
        <f t="shared" si="851"/>
        <v>Derate</v>
      </c>
      <c r="N5171" s="105" t="str">
        <f t="shared" si="852"/>
        <v>Coal</v>
      </c>
      <c r="O5171" s="105">
        <f>IFERROR(VLOOKUP(A5171,Lookup!$J$5:$P$19,7,FALSE),0)</f>
        <v>3</v>
      </c>
      <c r="P5171" s="159">
        <f t="shared" si="853"/>
        <v>2013</v>
      </c>
      <c r="Q5171" s="159">
        <f t="shared" si="854"/>
        <v>11</v>
      </c>
      <c r="R5171" s="160">
        <f t="shared" si="855"/>
        <v>10.649999999965075</v>
      </c>
      <c r="S5171" s="158">
        <f t="shared" si="856"/>
        <v>0.20094339622575613</v>
      </c>
      <c r="T5171" s="161">
        <f t="shared" si="857"/>
        <v>99.065094339297772</v>
      </c>
      <c r="U5171" s="158">
        <f t="shared" si="859"/>
        <v>9.3018867924528301</v>
      </c>
      <c r="V5171" s="160">
        <f t="shared" si="858"/>
        <v>9</v>
      </c>
    </row>
    <row r="5172" spans="1:22" x14ac:dyDescent="0.25">
      <c r="A5172" s="98" t="s">
        <v>19</v>
      </c>
      <c r="B5172" s="98" t="s">
        <v>17</v>
      </c>
      <c r="C5172" s="98">
        <v>113</v>
      </c>
      <c r="D5172" s="98">
        <v>1850</v>
      </c>
      <c r="E5172" s="157">
        <v>41592.120833333334</v>
      </c>
      <c r="F5172" s="157">
        <v>41592.40625</v>
      </c>
      <c r="G5172" s="98">
        <v>525</v>
      </c>
      <c r="H5172" s="98">
        <v>530</v>
      </c>
      <c r="I5172" s="98">
        <v>493</v>
      </c>
      <c r="J5172" s="98" t="s">
        <v>2263</v>
      </c>
      <c r="K5172" s="98" t="s">
        <v>1742</v>
      </c>
      <c r="L5172" s="105" t="str">
        <f t="shared" si="850"/>
        <v>Trimble</v>
      </c>
      <c r="M5172" s="105" t="str">
        <f t="shared" si="851"/>
        <v>Derate</v>
      </c>
      <c r="N5172" s="105" t="str">
        <f t="shared" si="852"/>
        <v>Coal</v>
      </c>
      <c r="O5172" s="105">
        <f>IFERROR(VLOOKUP(A5172,Lookup!$J$5:$P$19,7,FALSE),0)</f>
        <v>3</v>
      </c>
      <c r="P5172" s="159">
        <f t="shared" si="853"/>
        <v>2013</v>
      </c>
      <c r="Q5172" s="159">
        <f t="shared" si="854"/>
        <v>11</v>
      </c>
      <c r="R5172" s="160">
        <f t="shared" si="855"/>
        <v>6.8499999999767169</v>
      </c>
      <c r="S5172" s="158">
        <f t="shared" si="856"/>
        <v>6.4622641509214304E-2</v>
      </c>
      <c r="T5172" s="161">
        <f t="shared" si="857"/>
        <v>31.858962264042653</v>
      </c>
      <c r="U5172" s="158">
        <f t="shared" si="859"/>
        <v>4.6509433962264151</v>
      </c>
      <c r="V5172" s="160">
        <f t="shared" si="858"/>
        <v>5</v>
      </c>
    </row>
    <row r="5173" spans="1:22" x14ac:dyDescent="0.25">
      <c r="A5173" s="98" t="s">
        <v>19</v>
      </c>
      <c r="B5173" s="98" t="s">
        <v>17</v>
      </c>
      <c r="C5173" s="98">
        <v>114</v>
      </c>
      <c r="D5173" s="98">
        <v>1850</v>
      </c>
      <c r="E5173" s="157">
        <v>41592.40625</v>
      </c>
      <c r="F5173" s="157">
        <v>41592.862500000003</v>
      </c>
      <c r="G5173" s="98">
        <v>532</v>
      </c>
      <c r="H5173" s="98">
        <v>530</v>
      </c>
      <c r="I5173" s="98">
        <v>493</v>
      </c>
      <c r="J5173" s="98" t="s">
        <v>2263</v>
      </c>
      <c r="K5173" s="98" t="s">
        <v>1742</v>
      </c>
      <c r="L5173" s="105" t="str">
        <f t="shared" si="850"/>
        <v>Trimble</v>
      </c>
      <c r="M5173" s="105" t="str">
        <f t="shared" si="851"/>
        <v>Derate</v>
      </c>
      <c r="N5173" s="105" t="str">
        <f t="shared" si="852"/>
        <v>Coal</v>
      </c>
      <c r="O5173" s="105">
        <f>IFERROR(VLOOKUP(A5173,Lookup!$J$5:$P$19,7,FALSE),0)</f>
        <v>3</v>
      </c>
      <c r="P5173" s="159">
        <f t="shared" si="853"/>
        <v>2013</v>
      </c>
      <c r="Q5173" s="159">
        <f t="shared" si="854"/>
        <v>11</v>
      </c>
      <c r="R5173" s="160">
        <f t="shared" si="855"/>
        <v>10.950000000069849</v>
      </c>
      <c r="S5173" s="158">
        <f t="shared" si="856"/>
        <v>-4.1320754717244716E-2</v>
      </c>
      <c r="T5173" s="161">
        <f t="shared" si="857"/>
        <v>-20.371132075601643</v>
      </c>
      <c r="U5173" s="158">
        <f t="shared" si="859"/>
        <v>0</v>
      </c>
      <c r="V5173" s="160">
        <f t="shared" si="858"/>
        <v>0</v>
      </c>
    </row>
    <row r="5174" spans="1:22" x14ac:dyDescent="0.25">
      <c r="A5174" s="98" t="s">
        <v>19</v>
      </c>
      <c r="B5174" s="98" t="s">
        <v>17</v>
      </c>
      <c r="C5174" s="98">
        <v>115</v>
      </c>
      <c r="D5174" s="98">
        <v>1850</v>
      </c>
      <c r="E5174" s="157">
        <v>41592.862500000003</v>
      </c>
      <c r="F5174" s="157">
        <v>41593.138888888891</v>
      </c>
      <c r="G5174" s="98">
        <v>538</v>
      </c>
      <c r="H5174" s="98">
        <v>530</v>
      </c>
      <c r="I5174" s="98">
        <v>493</v>
      </c>
      <c r="J5174" s="98" t="s">
        <v>2263</v>
      </c>
      <c r="K5174" s="98" t="s">
        <v>1742</v>
      </c>
      <c r="L5174" s="105" t="str">
        <f t="shared" si="850"/>
        <v>Trimble</v>
      </c>
      <c r="M5174" s="105" t="str">
        <f t="shared" si="851"/>
        <v>Derate</v>
      </c>
      <c r="N5174" s="105" t="str">
        <f t="shared" si="852"/>
        <v>Coal</v>
      </c>
      <c r="O5174" s="105">
        <f>IFERROR(VLOOKUP(A5174,Lookup!$J$5:$P$19,7,FALSE),0)</f>
        <v>3</v>
      </c>
      <c r="P5174" s="159">
        <f t="shared" si="853"/>
        <v>2013</v>
      </c>
      <c r="Q5174" s="159">
        <f t="shared" si="854"/>
        <v>11</v>
      </c>
      <c r="R5174" s="160">
        <f t="shared" si="855"/>
        <v>6.6333333333022892</v>
      </c>
      <c r="S5174" s="158">
        <f t="shared" si="856"/>
        <v>-0.10012578616305343</v>
      </c>
      <c r="T5174" s="161">
        <f t="shared" si="857"/>
        <v>-49.36201257838534</v>
      </c>
      <c r="U5174" s="158">
        <f t="shared" si="859"/>
        <v>0</v>
      </c>
      <c r="V5174" s="160">
        <f t="shared" si="858"/>
        <v>0</v>
      </c>
    </row>
    <row r="5175" spans="1:22" x14ac:dyDescent="0.25">
      <c r="A5175" s="98" t="s">
        <v>19</v>
      </c>
      <c r="B5175" s="98" t="s">
        <v>17</v>
      </c>
      <c r="C5175" s="98">
        <v>116</v>
      </c>
      <c r="D5175" s="98">
        <v>1850</v>
      </c>
      <c r="E5175" s="157">
        <v>41593.138888888891</v>
      </c>
      <c r="F5175" s="157">
        <v>41595.260416666664</v>
      </c>
      <c r="G5175" s="98">
        <v>543</v>
      </c>
      <c r="H5175" s="98">
        <v>530</v>
      </c>
      <c r="I5175" s="98">
        <v>493</v>
      </c>
      <c r="J5175" s="98" t="s">
        <v>2263</v>
      </c>
      <c r="K5175" s="98" t="s">
        <v>1742</v>
      </c>
      <c r="L5175" s="105" t="str">
        <f t="shared" si="850"/>
        <v>Trimble</v>
      </c>
      <c r="M5175" s="105" t="str">
        <f t="shared" si="851"/>
        <v>Derate</v>
      </c>
      <c r="N5175" s="105" t="str">
        <f t="shared" si="852"/>
        <v>Coal</v>
      </c>
      <c r="O5175" s="105">
        <f>IFERROR(VLOOKUP(A5175,Lookup!$J$5:$P$19,7,FALSE),0)</f>
        <v>3</v>
      </c>
      <c r="P5175" s="159">
        <f t="shared" si="853"/>
        <v>2013</v>
      </c>
      <c r="Q5175" s="159">
        <f t="shared" si="854"/>
        <v>11</v>
      </c>
      <c r="R5175" s="160">
        <f t="shared" si="855"/>
        <v>50.916666666569654</v>
      </c>
      <c r="S5175" s="158">
        <f t="shared" si="856"/>
        <v>-1.2488993710668028</v>
      </c>
      <c r="T5175" s="161">
        <f t="shared" si="857"/>
        <v>-615.70738993593375</v>
      </c>
      <c r="U5175" s="158">
        <f t="shared" si="859"/>
        <v>0</v>
      </c>
      <c r="V5175" s="160">
        <f t="shared" si="858"/>
        <v>0</v>
      </c>
    </row>
    <row r="5176" spans="1:22" x14ac:dyDescent="0.25">
      <c r="A5176" s="98" t="s">
        <v>19</v>
      </c>
      <c r="B5176" s="98" t="s">
        <v>17</v>
      </c>
      <c r="C5176" s="98">
        <v>117</v>
      </c>
      <c r="D5176" s="98">
        <v>3979</v>
      </c>
      <c r="E5176" s="157">
        <v>41595.260416666664</v>
      </c>
      <c r="F5176" s="157">
        <v>41595.291666666664</v>
      </c>
      <c r="G5176" s="98">
        <v>432</v>
      </c>
      <c r="H5176" s="98">
        <v>530</v>
      </c>
      <c r="I5176" s="98">
        <v>493</v>
      </c>
      <c r="J5176" s="98" t="s">
        <v>2103</v>
      </c>
      <c r="K5176" s="98" t="s">
        <v>1743</v>
      </c>
      <c r="L5176" s="105" t="str">
        <f t="shared" si="850"/>
        <v>Trimble</v>
      </c>
      <c r="M5176" s="105" t="str">
        <f t="shared" si="851"/>
        <v>Derate</v>
      </c>
      <c r="N5176" s="105" t="str">
        <f t="shared" si="852"/>
        <v>Coal</v>
      </c>
      <c r="O5176" s="105">
        <f>IFERROR(VLOOKUP(A5176,Lookup!$J$5:$P$19,7,FALSE),0)</f>
        <v>3</v>
      </c>
      <c r="P5176" s="159">
        <f t="shared" si="853"/>
        <v>2013</v>
      </c>
      <c r="Q5176" s="159">
        <f t="shared" si="854"/>
        <v>11</v>
      </c>
      <c r="R5176" s="160">
        <f t="shared" si="855"/>
        <v>0.75</v>
      </c>
      <c r="S5176" s="158">
        <f t="shared" si="856"/>
        <v>0.13867924528301886</v>
      </c>
      <c r="T5176" s="161">
        <f t="shared" si="857"/>
        <v>68.368867924528303</v>
      </c>
      <c r="U5176" s="158">
        <f t="shared" si="859"/>
        <v>91.158490566037742</v>
      </c>
      <c r="V5176" s="160">
        <f t="shared" si="858"/>
        <v>91</v>
      </c>
    </row>
    <row r="5177" spans="1:22" x14ac:dyDescent="0.25">
      <c r="A5177" s="98" t="s">
        <v>19</v>
      </c>
      <c r="B5177" s="98" t="s">
        <v>79</v>
      </c>
      <c r="C5177" s="98">
        <v>118</v>
      </c>
      <c r="D5177" s="98">
        <v>530</v>
      </c>
      <c r="E5177" s="157">
        <v>41595.935416666667</v>
      </c>
      <c r="F5177" s="157">
        <v>41596.70208333333</v>
      </c>
      <c r="G5177" s="98">
        <v>0</v>
      </c>
      <c r="H5177" s="98">
        <v>530</v>
      </c>
      <c r="I5177" s="98">
        <v>493</v>
      </c>
      <c r="J5177" s="98" t="s">
        <v>3438</v>
      </c>
      <c r="K5177" s="98" t="s">
        <v>1744</v>
      </c>
      <c r="L5177" s="105" t="str">
        <f t="shared" si="850"/>
        <v>Trimble</v>
      </c>
      <c r="M5177" s="105" t="str">
        <f t="shared" si="851"/>
        <v>Other</v>
      </c>
      <c r="N5177" s="105" t="str">
        <f t="shared" si="852"/>
        <v>Coal</v>
      </c>
      <c r="O5177" s="105">
        <f>IFERROR(VLOOKUP(A5177,Lookup!$J$5:$P$19,7,FALSE),0)</f>
        <v>3</v>
      </c>
      <c r="P5177" s="159">
        <f t="shared" si="853"/>
        <v>2013</v>
      </c>
      <c r="Q5177" s="159">
        <f t="shared" si="854"/>
        <v>11</v>
      </c>
      <c r="R5177" s="160">
        <f t="shared" si="855"/>
        <v>18.399999999906868</v>
      </c>
      <c r="S5177" s="158">
        <f t="shared" si="856"/>
        <v>18.399999999906868</v>
      </c>
      <c r="T5177" s="161">
        <f t="shared" si="857"/>
        <v>9071.1999999540858</v>
      </c>
      <c r="U5177" s="158">
        <f t="shared" si="859"/>
        <v>493</v>
      </c>
      <c r="V5177" s="160">
        <f t="shared" si="858"/>
        <v>493</v>
      </c>
    </row>
    <row r="5178" spans="1:22" x14ac:dyDescent="0.25">
      <c r="A5178" s="98" t="s">
        <v>19</v>
      </c>
      <c r="B5178" s="98" t="s">
        <v>17</v>
      </c>
      <c r="C5178" s="98">
        <v>119</v>
      </c>
      <c r="D5178" s="98">
        <v>1850</v>
      </c>
      <c r="E5178" s="157">
        <v>41597.32916666667</v>
      </c>
      <c r="F5178" s="157">
        <v>41597.368055555555</v>
      </c>
      <c r="G5178" s="98">
        <v>500</v>
      </c>
      <c r="H5178" s="98">
        <v>530</v>
      </c>
      <c r="I5178" s="98">
        <v>493</v>
      </c>
      <c r="J5178" s="98" t="s">
        <v>2263</v>
      </c>
      <c r="K5178" s="98" t="s">
        <v>1745</v>
      </c>
      <c r="L5178" s="105" t="str">
        <f t="shared" si="850"/>
        <v>Trimble</v>
      </c>
      <c r="M5178" s="105" t="str">
        <f t="shared" si="851"/>
        <v>Derate</v>
      </c>
      <c r="N5178" s="105" t="str">
        <f t="shared" si="852"/>
        <v>Coal</v>
      </c>
      <c r="O5178" s="105">
        <f>IFERROR(VLOOKUP(A5178,Lookup!$J$5:$P$19,7,FALSE),0)</f>
        <v>3</v>
      </c>
      <c r="P5178" s="159">
        <f t="shared" si="853"/>
        <v>2013</v>
      </c>
      <c r="Q5178" s="159">
        <f t="shared" si="854"/>
        <v>11</v>
      </c>
      <c r="R5178" s="160">
        <f t="shared" si="855"/>
        <v>0.93333333323244005</v>
      </c>
      <c r="S5178" s="158">
        <f t="shared" si="856"/>
        <v>5.283018867353434E-2</v>
      </c>
      <c r="T5178" s="161">
        <f t="shared" si="857"/>
        <v>26.04528301605243</v>
      </c>
      <c r="U5178" s="158">
        <f t="shared" si="859"/>
        <v>27.90566037735849</v>
      </c>
      <c r="V5178" s="160">
        <f t="shared" si="858"/>
        <v>28</v>
      </c>
    </row>
    <row r="5179" spans="1:22" x14ac:dyDescent="0.25">
      <c r="A5179" s="98" t="s">
        <v>19</v>
      </c>
      <c r="B5179" s="98" t="s">
        <v>17</v>
      </c>
      <c r="C5179" s="98">
        <v>120</v>
      </c>
      <c r="D5179" s="98">
        <v>3110</v>
      </c>
      <c r="E5179" s="157">
        <v>41597.368055555555</v>
      </c>
      <c r="F5179" s="157">
        <v>41597.513888888891</v>
      </c>
      <c r="G5179" s="98">
        <v>470</v>
      </c>
      <c r="H5179" s="98">
        <v>530</v>
      </c>
      <c r="I5179" s="98">
        <v>493</v>
      </c>
      <c r="J5179" s="98" t="s">
        <v>2119</v>
      </c>
      <c r="K5179" s="98" t="s">
        <v>1746</v>
      </c>
      <c r="L5179" s="105" t="str">
        <f t="shared" si="850"/>
        <v>Trimble</v>
      </c>
      <c r="M5179" s="105" t="str">
        <f t="shared" si="851"/>
        <v>Derate</v>
      </c>
      <c r="N5179" s="105" t="str">
        <f t="shared" si="852"/>
        <v>Coal</v>
      </c>
      <c r="O5179" s="105">
        <f>IFERROR(VLOOKUP(A5179,Lookup!$J$5:$P$19,7,FALSE),0)</f>
        <v>3</v>
      </c>
      <c r="P5179" s="159">
        <f t="shared" si="853"/>
        <v>2013</v>
      </c>
      <c r="Q5179" s="159">
        <f t="shared" si="854"/>
        <v>11</v>
      </c>
      <c r="R5179" s="160">
        <f t="shared" si="855"/>
        <v>3.5000000000582077</v>
      </c>
      <c r="S5179" s="158">
        <f t="shared" si="856"/>
        <v>0.39622641510092915</v>
      </c>
      <c r="T5179" s="161">
        <f t="shared" si="857"/>
        <v>195.33962264475807</v>
      </c>
      <c r="U5179" s="158">
        <f t="shared" si="859"/>
        <v>55.811320754716981</v>
      </c>
      <c r="V5179" s="160">
        <f t="shared" si="858"/>
        <v>56</v>
      </c>
    </row>
    <row r="5180" spans="1:22" x14ac:dyDescent="0.25">
      <c r="A5180" s="98" t="s">
        <v>19</v>
      </c>
      <c r="B5180" s="98" t="s">
        <v>15</v>
      </c>
      <c r="C5180" s="98">
        <v>121</v>
      </c>
      <c r="D5180" s="98">
        <v>3110</v>
      </c>
      <c r="E5180" s="157">
        <v>41597.513888888891</v>
      </c>
      <c r="F5180" s="157">
        <v>41598.551388888889</v>
      </c>
      <c r="G5180" s="98">
        <v>0</v>
      </c>
      <c r="H5180" s="98">
        <v>530</v>
      </c>
      <c r="I5180" s="98">
        <v>493</v>
      </c>
      <c r="J5180" s="98" t="s">
        <v>2119</v>
      </c>
      <c r="K5180" s="98" t="s">
        <v>1747</v>
      </c>
      <c r="L5180" s="105" t="str">
        <f t="shared" si="850"/>
        <v>Trimble</v>
      </c>
      <c r="M5180" s="105" t="str">
        <f t="shared" si="851"/>
        <v>Outage</v>
      </c>
      <c r="N5180" s="105" t="str">
        <f t="shared" si="852"/>
        <v>Coal</v>
      </c>
      <c r="O5180" s="105">
        <f>IFERROR(VLOOKUP(A5180,Lookup!$J$5:$P$19,7,FALSE),0)</f>
        <v>3</v>
      </c>
      <c r="P5180" s="159">
        <f t="shared" si="853"/>
        <v>2013</v>
      </c>
      <c r="Q5180" s="159">
        <f t="shared" si="854"/>
        <v>11</v>
      </c>
      <c r="R5180" s="160">
        <f t="shared" si="855"/>
        <v>24.899999999965075</v>
      </c>
      <c r="S5180" s="158">
        <f t="shared" si="856"/>
        <v>24.899999999965075</v>
      </c>
      <c r="T5180" s="161">
        <f t="shared" si="857"/>
        <v>12275.699999982782</v>
      </c>
      <c r="U5180" s="158">
        <f t="shared" si="859"/>
        <v>493</v>
      </c>
      <c r="V5180" s="160">
        <f t="shared" si="858"/>
        <v>493</v>
      </c>
    </row>
    <row r="5181" spans="1:22" x14ac:dyDescent="0.25">
      <c r="A5181" s="98" t="s">
        <v>19</v>
      </c>
      <c r="B5181" s="98" t="s">
        <v>20</v>
      </c>
      <c r="C5181" s="98">
        <v>122</v>
      </c>
      <c r="D5181" s="98">
        <v>1455</v>
      </c>
      <c r="E5181" s="157">
        <v>41598.551388888889</v>
      </c>
      <c r="F5181" s="157">
        <v>41599.229166666664</v>
      </c>
      <c r="G5181" s="98">
        <v>0</v>
      </c>
      <c r="H5181" s="98">
        <v>530</v>
      </c>
      <c r="I5181" s="98">
        <v>493</v>
      </c>
      <c r="J5181" s="98" t="s">
        <v>1990</v>
      </c>
      <c r="K5181" s="98" t="s">
        <v>1748</v>
      </c>
      <c r="L5181" s="105" t="str">
        <f t="shared" si="850"/>
        <v>Trimble</v>
      </c>
      <c r="M5181" s="105" t="str">
        <f t="shared" si="851"/>
        <v>Maintenance</v>
      </c>
      <c r="N5181" s="105" t="str">
        <f t="shared" si="852"/>
        <v>Coal</v>
      </c>
      <c r="O5181" s="105">
        <f>IFERROR(VLOOKUP(A5181,Lookup!$J$5:$P$19,7,FALSE),0)</f>
        <v>3</v>
      </c>
      <c r="P5181" s="159">
        <f t="shared" si="853"/>
        <v>2013</v>
      </c>
      <c r="Q5181" s="159">
        <f t="shared" si="854"/>
        <v>11</v>
      </c>
      <c r="R5181" s="160">
        <f t="shared" si="855"/>
        <v>16.266666666604578</v>
      </c>
      <c r="S5181" s="158">
        <f t="shared" si="856"/>
        <v>16.266666666604578</v>
      </c>
      <c r="T5181" s="161">
        <f t="shared" si="857"/>
        <v>8019.4666666360572</v>
      </c>
      <c r="U5181" s="158">
        <f t="shared" si="859"/>
        <v>493</v>
      </c>
      <c r="V5181" s="160">
        <f t="shared" si="858"/>
        <v>493</v>
      </c>
    </row>
    <row r="5182" spans="1:22" x14ac:dyDescent="0.25">
      <c r="A5182" s="98" t="s">
        <v>19</v>
      </c>
      <c r="B5182" s="98" t="s">
        <v>18</v>
      </c>
      <c r="C5182" s="98">
        <v>123</v>
      </c>
      <c r="D5182" s="98">
        <v>3624</v>
      </c>
      <c r="E5182" s="157">
        <v>41599.229166666664</v>
      </c>
      <c r="F5182" s="157">
        <v>41599.401388888888</v>
      </c>
      <c r="G5182" s="98">
        <v>0</v>
      </c>
      <c r="H5182" s="98">
        <v>530</v>
      </c>
      <c r="I5182" s="98">
        <v>493</v>
      </c>
      <c r="J5182" s="98" t="s">
        <v>786</v>
      </c>
      <c r="K5182" s="98" t="s">
        <v>1749</v>
      </c>
      <c r="L5182" s="105" t="str">
        <f t="shared" si="850"/>
        <v>Trimble</v>
      </c>
      <c r="M5182" s="105" t="str">
        <f t="shared" si="851"/>
        <v>Outage</v>
      </c>
      <c r="N5182" s="105" t="str">
        <f t="shared" si="852"/>
        <v>Coal</v>
      </c>
      <c r="O5182" s="105">
        <f>IFERROR(VLOOKUP(A5182,Lookup!$J$5:$P$19,7,FALSE),0)</f>
        <v>3</v>
      </c>
      <c r="P5182" s="159">
        <f t="shared" si="853"/>
        <v>2013</v>
      </c>
      <c r="Q5182" s="159">
        <f t="shared" si="854"/>
        <v>11</v>
      </c>
      <c r="R5182" s="160">
        <f t="shared" si="855"/>
        <v>4.1333333333604969</v>
      </c>
      <c r="S5182" s="158">
        <f t="shared" si="856"/>
        <v>4.1333333333604969</v>
      </c>
      <c r="T5182" s="161">
        <f t="shared" si="857"/>
        <v>2037.733333346725</v>
      </c>
      <c r="U5182" s="158">
        <f t="shared" si="859"/>
        <v>493</v>
      </c>
      <c r="V5182" s="160">
        <f t="shared" si="858"/>
        <v>493</v>
      </c>
    </row>
    <row r="5183" spans="1:22" x14ac:dyDescent="0.25">
      <c r="A5183" s="98" t="s">
        <v>19</v>
      </c>
      <c r="B5183" s="98" t="s">
        <v>17</v>
      </c>
      <c r="C5183" s="98">
        <v>124</v>
      </c>
      <c r="D5183" s="98">
        <v>1850</v>
      </c>
      <c r="E5183" s="157">
        <v>41599.833333333336</v>
      </c>
      <c r="F5183" s="157">
        <v>41600</v>
      </c>
      <c r="G5183" s="98">
        <v>475</v>
      </c>
      <c r="H5183" s="98">
        <v>530</v>
      </c>
      <c r="I5183" s="98">
        <v>493</v>
      </c>
      <c r="J5183" s="98" t="s">
        <v>2263</v>
      </c>
      <c r="K5183" s="98" t="s">
        <v>1750</v>
      </c>
      <c r="L5183" s="105" t="str">
        <f t="shared" si="850"/>
        <v>Trimble</v>
      </c>
      <c r="M5183" s="105" t="str">
        <f t="shared" si="851"/>
        <v>Derate</v>
      </c>
      <c r="N5183" s="105" t="str">
        <f t="shared" si="852"/>
        <v>Coal</v>
      </c>
      <c r="O5183" s="105">
        <f>IFERROR(VLOOKUP(A5183,Lookup!$J$5:$P$19,7,FALSE),0)</f>
        <v>3</v>
      </c>
      <c r="P5183" s="159">
        <f t="shared" si="853"/>
        <v>2013</v>
      </c>
      <c r="Q5183" s="159">
        <f t="shared" si="854"/>
        <v>11</v>
      </c>
      <c r="R5183" s="160">
        <f t="shared" si="855"/>
        <v>3.9999999999417923</v>
      </c>
      <c r="S5183" s="158">
        <f t="shared" si="856"/>
        <v>0.41509433961660108</v>
      </c>
      <c r="T5183" s="161">
        <f t="shared" si="857"/>
        <v>204.64150943098434</v>
      </c>
      <c r="U5183" s="158">
        <f t="shared" si="859"/>
        <v>51.160377358490564</v>
      </c>
      <c r="V5183" s="160">
        <f t="shared" si="858"/>
        <v>51</v>
      </c>
    </row>
    <row r="5184" spans="1:22" x14ac:dyDescent="0.25">
      <c r="A5184" s="98" t="s">
        <v>19</v>
      </c>
      <c r="B5184" s="98" t="s">
        <v>17</v>
      </c>
      <c r="C5184" s="98">
        <v>125</v>
      </c>
      <c r="D5184" s="98">
        <v>1850</v>
      </c>
      <c r="E5184" s="157">
        <v>41600</v>
      </c>
      <c r="F5184" s="157">
        <v>41600.241666666669</v>
      </c>
      <c r="G5184" s="98">
        <v>500</v>
      </c>
      <c r="H5184" s="98">
        <v>530</v>
      </c>
      <c r="I5184" s="98">
        <v>493</v>
      </c>
      <c r="J5184" s="98" t="s">
        <v>2263</v>
      </c>
      <c r="K5184" s="98" t="s">
        <v>1751</v>
      </c>
      <c r="L5184" s="105" t="str">
        <f t="shared" si="850"/>
        <v>Trimble</v>
      </c>
      <c r="M5184" s="105" t="str">
        <f t="shared" si="851"/>
        <v>Derate</v>
      </c>
      <c r="N5184" s="105" t="str">
        <f t="shared" si="852"/>
        <v>Coal</v>
      </c>
      <c r="O5184" s="105">
        <f>IFERROR(VLOOKUP(A5184,Lookup!$J$5:$P$19,7,FALSE),0)</f>
        <v>3</v>
      </c>
      <c r="P5184" s="159">
        <f t="shared" si="853"/>
        <v>2013</v>
      </c>
      <c r="Q5184" s="159">
        <f t="shared" si="854"/>
        <v>11</v>
      </c>
      <c r="R5184" s="160">
        <f t="shared" si="855"/>
        <v>5.8000000000465661</v>
      </c>
      <c r="S5184" s="158">
        <f t="shared" si="856"/>
        <v>0.32830188679508865</v>
      </c>
      <c r="T5184" s="161">
        <f t="shared" si="857"/>
        <v>161.8528301899787</v>
      </c>
      <c r="U5184" s="158">
        <f t="shared" si="859"/>
        <v>27.90566037735849</v>
      </c>
      <c r="V5184" s="160">
        <f t="shared" si="858"/>
        <v>28</v>
      </c>
    </row>
    <row r="5185" spans="1:22" x14ac:dyDescent="0.25">
      <c r="A5185" s="98" t="s">
        <v>19</v>
      </c>
      <c r="B5185" s="98" t="s">
        <v>17</v>
      </c>
      <c r="C5185" s="98">
        <v>126</v>
      </c>
      <c r="D5185" s="98">
        <v>1850</v>
      </c>
      <c r="E5185" s="157">
        <v>41600.241666666669</v>
      </c>
      <c r="F5185" s="157">
        <v>41600.268750000003</v>
      </c>
      <c r="G5185" s="98">
        <v>510</v>
      </c>
      <c r="H5185" s="98">
        <v>530</v>
      </c>
      <c r="I5185" s="98">
        <v>493</v>
      </c>
      <c r="J5185" s="98" t="s">
        <v>2263</v>
      </c>
      <c r="K5185" s="98" t="s">
        <v>1752</v>
      </c>
      <c r="L5185" s="105" t="str">
        <f t="shared" si="850"/>
        <v>Trimble</v>
      </c>
      <c r="M5185" s="105" t="str">
        <f t="shared" si="851"/>
        <v>Derate</v>
      </c>
      <c r="N5185" s="105" t="str">
        <f t="shared" si="852"/>
        <v>Coal</v>
      </c>
      <c r="O5185" s="105">
        <f>IFERROR(VLOOKUP(A5185,Lookup!$J$5:$P$19,7,FALSE),0)</f>
        <v>3</v>
      </c>
      <c r="P5185" s="159">
        <f t="shared" si="853"/>
        <v>2013</v>
      </c>
      <c r="Q5185" s="159">
        <f t="shared" si="854"/>
        <v>11</v>
      </c>
      <c r="R5185" s="160">
        <f t="shared" si="855"/>
        <v>0.65000000002328306</v>
      </c>
      <c r="S5185" s="158">
        <f t="shared" si="856"/>
        <v>2.4528301887671061E-2</v>
      </c>
      <c r="T5185" s="161">
        <f t="shared" si="857"/>
        <v>12.092452830621832</v>
      </c>
      <c r="U5185" s="158">
        <f t="shared" si="859"/>
        <v>18.60377358490566</v>
      </c>
      <c r="V5185" s="160">
        <f t="shared" si="858"/>
        <v>19</v>
      </c>
    </row>
    <row r="5186" spans="1:22" x14ac:dyDescent="0.25">
      <c r="A5186" s="98" t="s">
        <v>19</v>
      </c>
      <c r="B5186" s="98" t="s">
        <v>17</v>
      </c>
      <c r="C5186" s="98">
        <v>127</v>
      </c>
      <c r="D5186" s="98">
        <v>3441</v>
      </c>
      <c r="E5186" s="157">
        <v>41600.736111111109</v>
      </c>
      <c r="F5186" s="157">
        <v>41600.794444444444</v>
      </c>
      <c r="G5186" s="98">
        <v>500</v>
      </c>
      <c r="H5186" s="98">
        <v>530</v>
      </c>
      <c r="I5186" s="98">
        <v>493</v>
      </c>
      <c r="J5186" s="98" t="s">
        <v>2282</v>
      </c>
      <c r="K5186" s="98" t="s">
        <v>1753</v>
      </c>
      <c r="L5186" s="105" t="str">
        <f t="shared" si="850"/>
        <v>Trimble</v>
      </c>
      <c r="M5186" s="105" t="str">
        <f t="shared" si="851"/>
        <v>Derate</v>
      </c>
      <c r="N5186" s="105" t="str">
        <f t="shared" si="852"/>
        <v>Coal</v>
      </c>
      <c r="O5186" s="105">
        <f>IFERROR(VLOOKUP(A5186,Lookup!$J$5:$P$19,7,FALSE),0)</f>
        <v>3</v>
      </c>
      <c r="P5186" s="159">
        <f t="shared" si="853"/>
        <v>2013</v>
      </c>
      <c r="Q5186" s="159">
        <f t="shared" si="854"/>
        <v>11</v>
      </c>
      <c r="R5186" s="160">
        <f t="shared" si="855"/>
        <v>1.4000000000232831</v>
      </c>
      <c r="S5186" s="158">
        <f t="shared" si="856"/>
        <v>7.9245283020185839E-2</v>
      </c>
      <c r="T5186" s="161">
        <f t="shared" si="857"/>
        <v>39.067924528951622</v>
      </c>
      <c r="U5186" s="158">
        <f t="shared" si="859"/>
        <v>27.90566037735849</v>
      </c>
      <c r="V5186" s="160">
        <f t="shared" si="858"/>
        <v>28</v>
      </c>
    </row>
    <row r="5187" spans="1:22" x14ac:dyDescent="0.25">
      <c r="A5187" s="98" t="s">
        <v>19</v>
      </c>
      <c r="B5187" s="98" t="s">
        <v>17</v>
      </c>
      <c r="C5187" s="98">
        <v>128</v>
      </c>
      <c r="D5187" s="98">
        <v>280</v>
      </c>
      <c r="E5187" s="157">
        <v>41603.719444444447</v>
      </c>
      <c r="F5187" s="157">
        <v>41603.74722222222</v>
      </c>
      <c r="G5187" s="98">
        <v>520</v>
      </c>
      <c r="H5187" s="98">
        <v>530</v>
      </c>
      <c r="I5187" s="98">
        <v>493</v>
      </c>
      <c r="J5187" s="98" t="s">
        <v>1988</v>
      </c>
      <c r="K5187" s="98" t="s">
        <v>1754</v>
      </c>
      <c r="L5187" s="105" t="str">
        <f t="shared" si="850"/>
        <v>Trimble</v>
      </c>
      <c r="M5187" s="105" t="str">
        <f t="shared" si="851"/>
        <v>Derate</v>
      </c>
      <c r="N5187" s="105" t="str">
        <f t="shared" si="852"/>
        <v>Coal</v>
      </c>
      <c r="O5187" s="105">
        <f>IFERROR(VLOOKUP(A5187,Lookup!$J$5:$P$19,7,FALSE),0)</f>
        <v>3</v>
      </c>
      <c r="P5187" s="159">
        <f t="shared" si="853"/>
        <v>2013</v>
      </c>
      <c r="Q5187" s="159">
        <f t="shared" si="854"/>
        <v>11</v>
      </c>
      <c r="R5187" s="160">
        <f t="shared" si="855"/>
        <v>0.6666666665696539</v>
      </c>
      <c r="S5187" s="158">
        <f t="shared" si="856"/>
        <v>1.2578616350370829E-2</v>
      </c>
      <c r="T5187" s="161">
        <f t="shared" si="857"/>
        <v>6.2012578607328184</v>
      </c>
      <c r="U5187" s="158">
        <f t="shared" si="859"/>
        <v>9.3018867924528301</v>
      </c>
      <c r="V5187" s="160">
        <f t="shared" si="858"/>
        <v>9</v>
      </c>
    </row>
    <row r="5188" spans="1:22" x14ac:dyDescent="0.25">
      <c r="A5188" s="98" t="s">
        <v>19</v>
      </c>
      <c r="B5188" s="98" t="s">
        <v>17</v>
      </c>
      <c r="C5188" s="98">
        <v>129</v>
      </c>
      <c r="D5188" s="98">
        <v>280</v>
      </c>
      <c r="E5188" s="157">
        <v>41603.74722222222</v>
      </c>
      <c r="F5188" s="157">
        <v>41603.84652777778</v>
      </c>
      <c r="G5188" s="98">
        <v>380</v>
      </c>
      <c r="H5188" s="98">
        <v>530</v>
      </c>
      <c r="I5188" s="98">
        <v>493</v>
      </c>
      <c r="J5188" s="98" t="s">
        <v>1988</v>
      </c>
      <c r="K5188" s="98" t="s">
        <v>1755</v>
      </c>
      <c r="L5188" s="105" t="str">
        <f t="shared" si="850"/>
        <v>Trimble</v>
      </c>
      <c r="M5188" s="105" t="str">
        <f t="shared" si="851"/>
        <v>Derate</v>
      </c>
      <c r="N5188" s="105" t="str">
        <f t="shared" si="852"/>
        <v>Coal</v>
      </c>
      <c r="O5188" s="105">
        <f>IFERROR(VLOOKUP(A5188,Lookup!$J$5:$P$19,7,FALSE),0)</f>
        <v>3</v>
      </c>
      <c r="P5188" s="159">
        <f t="shared" si="853"/>
        <v>2013</v>
      </c>
      <c r="Q5188" s="159">
        <f t="shared" si="854"/>
        <v>11</v>
      </c>
      <c r="R5188" s="160">
        <f t="shared" si="855"/>
        <v>2.3833333334187046</v>
      </c>
      <c r="S5188" s="158">
        <f t="shared" si="856"/>
        <v>0.67452830191095414</v>
      </c>
      <c r="T5188" s="161">
        <f t="shared" si="857"/>
        <v>332.54245284210037</v>
      </c>
      <c r="U5188" s="158">
        <f t="shared" si="859"/>
        <v>139.52830188679246</v>
      </c>
      <c r="V5188" s="160">
        <f t="shared" si="858"/>
        <v>140</v>
      </c>
    </row>
    <row r="5189" spans="1:22" x14ac:dyDescent="0.25">
      <c r="A5189" s="98" t="s">
        <v>19</v>
      </c>
      <c r="B5189" s="98" t="s">
        <v>17</v>
      </c>
      <c r="C5189" s="98">
        <v>130</v>
      </c>
      <c r="D5189" s="98">
        <v>280</v>
      </c>
      <c r="E5189" s="157">
        <v>41603.875</v>
      </c>
      <c r="F5189" s="157">
        <v>41603.897222222222</v>
      </c>
      <c r="G5189" s="98">
        <v>435</v>
      </c>
      <c r="H5189" s="98">
        <v>530</v>
      </c>
      <c r="I5189" s="98">
        <v>493</v>
      </c>
      <c r="J5189" s="98" t="s">
        <v>1988</v>
      </c>
      <c r="K5189" s="98" t="s">
        <v>1756</v>
      </c>
      <c r="L5189" s="105" t="str">
        <f t="shared" si="850"/>
        <v>Trimble</v>
      </c>
      <c r="M5189" s="105" t="str">
        <f t="shared" si="851"/>
        <v>Derate</v>
      </c>
      <c r="N5189" s="105" t="str">
        <f t="shared" si="852"/>
        <v>Coal</v>
      </c>
      <c r="O5189" s="105">
        <f>IFERROR(VLOOKUP(A5189,Lookup!$J$5:$P$19,7,FALSE),0)</f>
        <v>3</v>
      </c>
      <c r="P5189" s="159">
        <f t="shared" si="853"/>
        <v>2013</v>
      </c>
      <c r="Q5189" s="159">
        <f t="shared" si="854"/>
        <v>11</v>
      </c>
      <c r="R5189" s="160">
        <f t="shared" si="855"/>
        <v>0.53333333332557231</v>
      </c>
      <c r="S5189" s="158">
        <f t="shared" si="856"/>
        <v>9.5597484275338429E-2</v>
      </c>
      <c r="T5189" s="161">
        <f t="shared" si="857"/>
        <v>47.129559747741844</v>
      </c>
      <c r="U5189" s="158">
        <f t="shared" si="859"/>
        <v>88.367924528301884</v>
      </c>
      <c r="V5189" s="160">
        <f t="shared" si="858"/>
        <v>88</v>
      </c>
    </row>
    <row r="5190" spans="1:22" x14ac:dyDescent="0.25">
      <c r="A5190" s="98" t="s">
        <v>19</v>
      </c>
      <c r="B5190" s="98" t="s">
        <v>17</v>
      </c>
      <c r="C5190" s="98">
        <v>131</v>
      </c>
      <c r="D5190" s="98">
        <v>280</v>
      </c>
      <c r="E5190" s="157">
        <v>41605.855555555558</v>
      </c>
      <c r="F5190" s="157">
        <v>41605.875</v>
      </c>
      <c r="G5190" s="98">
        <v>488</v>
      </c>
      <c r="H5190" s="98">
        <v>530</v>
      </c>
      <c r="I5190" s="98">
        <v>493</v>
      </c>
      <c r="J5190" s="98" t="s">
        <v>1988</v>
      </c>
      <c r="K5190" s="98" t="s">
        <v>1757</v>
      </c>
      <c r="L5190" s="105" t="str">
        <f t="shared" si="850"/>
        <v>Trimble</v>
      </c>
      <c r="M5190" s="105" t="str">
        <f t="shared" si="851"/>
        <v>Derate</v>
      </c>
      <c r="N5190" s="105" t="str">
        <f t="shared" si="852"/>
        <v>Coal</v>
      </c>
      <c r="O5190" s="105">
        <f>IFERROR(VLOOKUP(A5190,Lookup!$J$5:$P$19,7,FALSE),0)</f>
        <v>3</v>
      </c>
      <c r="P5190" s="159">
        <f t="shared" si="853"/>
        <v>2013</v>
      </c>
      <c r="Q5190" s="159">
        <f t="shared" si="854"/>
        <v>11</v>
      </c>
      <c r="R5190" s="160">
        <f t="shared" si="855"/>
        <v>0.46666666661622003</v>
      </c>
      <c r="S5190" s="158">
        <f t="shared" si="856"/>
        <v>3.6981132071474042E-2</v>
      </c>
      <c r="T5190" s="161">
        <f t="shared" si="857"/>
        <v>18.231698111236703</v>
      </c>
      <c r="U5190" s="158">
        <f t="shared" si="859"/>
        <v>39.067924528301887</v>
      </c>
      <c r="V5190" s="160">
        <f t="shared" si="858"/>
        <v>39</v>
      </c>
    </row>
    <row r="5191" spans="1:22" x14ac:dyDescent="0.25">
      <c r="A5191" s="98" t="s">
        <v>19</v>
      </c>
      <c r="B5191" s="98" t="s">
        <v>17</v>
      </c>
      <c r="C5191" s="98">
        <v>132</v>
      </c>
      <c r="D5191" s="98">
        <v>280</v>
      </c>
      <c r="E5191" s="157">
        <v>41612.582638888889</v>
      </c>
      <c r="F5191" s="157">
        <v>41612.61041666667</v>
      </c>
      <c r="G5191" s="98">
        <v>410</v>
      </c>
      <c r="H5191" s="98">
        <v>530</v>
      </c>
      <c r="I5191" s="98">
        <v>493</v>
      </c>
      <c r="J5191" s="98" t="s">
        <v>1988</v>
      </c>
      <c r="K5191" s="98" t="s">
        <v>1758</v>
      </c>
      <c r="L5191" s="105" t="str">
        <f t="shared" si="850"/>
        <v>Trimble</v>
      </c>
      <c r="M5191" s="105" t="str">
        <f t="shared" si="851"/>
        <v>Derate</v>
      </c>
      <c r="N5191" s="105" t="str">
        <f t="shared" si="852"/>
        <v>Coal</v>
      </c>
      <c r="O5191" s="105">
        <f>IFERROR(VLOOKUP(A5191,Lookup!$J$5:$P$19,7,FALSE),0)</f>
        <v>3</v>
      </c>
      <c r="P5191" s="159">
        <f t="shared" si="853"/>
        <v>2013</v>
      </c>
      <c r="Q5191" s="159">
        <f t="shared" si="854"/>
        <v>12</v>
      </c>
      <c r="R5191" s="160">
        <f t="shared" si="855"/>
        <v>0.66666666674427688</v>
      </c>
      <c r="S5191" s="158">
        <f t="shared" si="856"/>
        <v>0.15094339624398723</v>
      </c>
      <c r="T5191" s="161">
        <f t="shared" si="857"/>
        <v>74.415094348285706</v>
      </c>
      <c r="U5191" s="158">
        <f t="shared" si="859"/>
        <v>111.62264150943396</v>
      </c>
      <c r="V5191" s="160">
        <f t="shared" si="858"/>
        <v>112</v>
      </c>
    </row>
    <row r="5192" spans="1:22" x14ac:dyDescent="0.25">
      <c r="A5192" s="98" t="s">
        <v>19</v>
      </c>
      <c r="B5192" s="98" t="s">
        <v>17</v>
      </c>
      <c r="C5192" s="98">
        <v>133</v>
      </c>
      <c r="D5192" s="98">
        <v>280</v>
      </c>
      <c r="E5192" s="157">
        <v>41614.574305555558</v>
      </c>
      <c r="F5192" s="157">
        <v>41614.631944444445</v>
      </c>
      <c r="G5192" s="98">
        <v>485</v>
      </c>
      <c r="H5192" s="98">
        <v>530</v>
      </c>
      <c r="I5192" s="98">
        <v>493</v>
      </c>
      <c r="J5192" s="98" t="s">
        <v>1988</v>
      </c>
      <c r="K5192" s="98" t="s">
        <v>1759</v>
      </c>
      <c r="L5192" s="105" t="str">
        <f t="shared" si="850"/>
        <v>Trimble</v>
      </c>
      <c r="M5192" s="105" t="str">
        <f t="shared" si="851"/>
        <v>Derate</v>
      </c>
      <c r="N5192" s="105" t="str">
        <f t="shared" si="852"/>
        <v>Coal</v>
      </c>
      <c r="O5192" s="105">
        <f>IFERROR(VLOOKUP(A5192,Lookup!$J$5:$P$19,7,FALSE),0)</f>
        <v>3</v>
      </c>
      <c r="P5192" s="159">
        <f t="shared" si="853"/>
        <v>2013</v>
      </c>
      <c r="Q5192" s="159">
        <f t="shared" si="854"/>
        <v>12</v>
      </c>
      <c r="R5192" s="160">
        <f t="shared" si="855"/>
        <v>1.3833333333022892</v>
      </c>
      <c r="S5192" s="158">
        <f t="shared" si="856"/>
        <v>0.11745283018604342</v>
      </c>
      <c r="T5192" s="161">
        <f t="shared" si="857"/>
        <v>57.904245281719412</v>
      </c>
      <c r="U5192" s="158">
        <f t="shared" si="859"/>
        <v>41.858490566037737</v>
      </c>
      <c r="V5192" s="160">
        <f t="shared" si="858"/>
        <v>42</v>
      </c>
    </row>
    <row r="5193" spans="1:22" x14ac:dyDescent="0.25">
      <c r="A5193" s="98" t="s">
        <v>19</v>
      </c>
      <c r="B5193" s="98" t="s">
        <v>79</v>
      </c>
      <c r="C5193" s="98">
        <v>134</v>
      </c>
      <c r="D5193" s="98">
        <v>4268</v>
      </c>
      <c r="E5193" s="157">
        <v>41616.041666666664</v>
      </c>
      <c r="F5193" s="157">
        <v>41616.065972222219</v>
      </c>
      <c r="G5193" s="98">
        <v>0</v>
      </c>
      <c r="H5193" s="98">
        <v>530</v>
      </c>
      <c r="I5193" s="98">
        <v>493</v>
      </c>
      <c r="J5193" s="98" t="s">
        <v>2127</v>
      </c>
      <c r="K5193" s="98" t="s">
        <v>1760</v>
      </c>
      <c r="L5193" s="105" t="str">
        <f t="shared" si="850"/>
        <v>Trimble</v>
      </c>
      <c r="M5193" s="105" t="str">
        <f t="shared" si="851"/>
        <v>Other</v>
      </c>
      <c r="N5193" s="105" t="str">
        <f t="shared" si="852"/>
        <v>Coal</v>
      </c>
      <c r="O5193" s="105">
        <f>IFERROR(VLOOKUP(A5193,Lookup!$J$5:$P$19,7,FALSE),0)</f>
        <v>3</v>
      </c>
      <c r="P5193" s="159">
        <f t="shared" si="853"/>
        <v>2013</v>
      </c>
      <c r="Q5193" s="159">
        <f t="shared" si="854"/>
        <v>12</v>
      </c>
      <c r="R5193" s="160">
        <f t="shared" si="855"/>
        <v>0.58333333331393078</v>
      </c>
      <c r="S5193" s="158">
        <f t="shared" si="856"/>
        <v>0.58333333331393078</v>
      </c>
      <c r="T5193" s="161">
        <f t="shared" si="857"/>
        <v>287.58333332376787</v>
      </c>
      <c r="U5193" s="158">
        <f t="shared" si="859"/>
        <v>493</v>
      </c>
      <c r="V5193" s="160">
        <f t="shared" si="858"/>
        <v>493</v>
      </c>
    </row>
    <row r="5194" spans="1:22" x14ac:dyDescent="0.25">
      <c r="A5194" s="98" t="s">
        <v>19</v>
      </c>
      <c r="B5194" s="98" t="s">
        <v>17</v>
      </c>
      <c r="C5194" s="98">
        <v>135</v>
      </c>
      <c r="D5194" s="98">
        <v>280</v>
      </c>
      <c r="E5194" s="157">
        <v>41618.375694444447</v>
      </c>
      <c r="F5194" s="157">
        <v>41618.59097222222</v>
      </c>
      <c r="G5194" s="98">
        <v>500</v>
      </c>
      <c r="H5194" s="98">
        <v>530</v>
      </c>
      <c r="I5194" s="98">
        <v>493</v>
      </c>
      <c r="J5194" s="98" t="s">
        <v>1988</v>
      </c>
      <c r="K5194" s="98" t="s">
        <v>1761</v>
      </c>
      <c r="L5194" s="105" t="str">
        <f t="shared" si="850"/>
        <v>Trimble</v>
      </c>
      <c r="M5194" s="105" t="str">
        <f t="shared" si="851"/>
        <v>Derate</v>
      </c>
      <c r="N5194" s="105" t="str">
        <f t="shared" si="852"/>
        <v>Coal</v>
      </c>
      <c r="O5194" s="105">
        <f>IFERROR(VLOOKUP(A5194,Lookup!$J$5:$P$19,7,FALSE),0)</f>
        <v>3</v>
      </c>
      <c r="P5194" s="159">
        <f t="shared" si="853"/>
        <v>2013</v>
      </c>
      <c r="Q5194" s="159">
        <f t="shared" si="854"/>
        <v>12</v>
      </c>
      <c r="R5194" s="160">
        <f t="shared" si="855"/>
        <v>5.1666666665696539</v>
      </c>
      <c r="S5194" s="158">
        <f t="shared" si="856"/>
        <v>0.29245283018318796</v>
      </c>
      <c r="T5194" s="161">
        <f t="shared" si="857"/>
        <v>144.17924528031168</v>
      </c>
      <c r="U5194" s="158">
        <f t="shared" si="859"/>
        <v>27.90566037735849</v>
      </c>
      <c r="V5194" s="160">
        <f t="shared" si="858"/>
        <v>28</v>
      </c>
    </row>
    <row r="5195" spans="1:22" x14ac:dyDescent="0.25">
      <c r="A5195" s="98" t="s">
        <v>19</v>
      </c>
      <c r="B5195" s="98" t="s">
        <v>79</v>
      </c>
      <c r="C5195" s="98">
        <v>141</v>
      </c>
      <c r="D5195" s="98">
        <v>8813</v>
      </c>
      <c r="E5195" s="157">
        <v>41618.59097222222</v>
      </c>
      <c r="F5195" s="157">
        <v>41618.643055555556</v>
      </c>
      <c r="G5195" s="98">
        <v>0</v>
      </c>
      <c r="H5195" s="98">
        <v>530</v>
      </c>
      <c r="I5195" s="98">
        <v>493</v>
      </c>
      <c r="J5195" s="98" t="s">
        <v>2620</v>
      </c>
      <c r="K5195" s="98" t="s">
        <v>1762</v>
      </c>
      <c r="L5195" s="105" t="str">
        <f t="shared" si="850"/>
        <v>Trimble</v>
      </c>
      <c r="M5195" s="105" t="str">
        <f t="shared" si="851"/>
        <v>Other</v>
      </c>
      <c r="N5195" s="105" t="str">
        <f t="shared" si="852"/>
        <v>Coal</v>
      </c>
      <c r="O5195" s="105">
        <f>IFERROR(VLOOKUP(A5195,Lookup!$J$5:$P$19,7,FALSE),0)</f>
        <v>3</v>
      </c>
      <c r="P5195" s="159">
        <f t="shared" si="853"/>
        <v>2013</v>
      </c>
      <c r="Q5195" s="159">
        <f t="shared" si="854"/>
        <v>12</v>
      </c>
      <c r="R5195" s="160">
        <f t="shared" si="855"/>
        <v>1.2500000000582077</v>
      </c>
      <c r="S5195" s="158">
        <f t="shared" si="856"/>
        <v>1.2500000000582077</v>
      </c>
      <c r="T5195" s="161">
        <f t="shared" si="857"/>
        <v>616.25000002869638</v>
      </c>
      <c r="U5195" s="158">
        <f t="shared" si="859"/>
        <v>493</v>
      </c>
      <c r="V5195" s="160">
        <f t="shared" si="858"/>
        <v>493</v>
      </c>
    </row>
    <row r="5196" spans="1:22" x14ac:dyDescent="0.25">
      <c r="A5196" s="98" t="s">
        <v>19</v>
      </c>
      <c r="B5196" s="98" t="s">
        <v>17</v>
      </c>
      <c r="C5196" s="98">
        <v>136</v>
      </c>
      <c r="D5196" s="98">
        <v>280</v>
      </c>
      <c r="E5196" s="157">
        <v>41618.643055555556</v>
      </c>
      <c r="F5196" s="157">
        <v>41618.650694444441</v>
      </c>
      <c r="G5196" s="98">
        <v>500</v>
      </c>
      <c r="H5196" s="98">
        <v>530</v>
      </c>
      <c r="I5196" s="98">
        <v>493</v>
      </c>
      <c r="J5196" s="98" t="s">
        <v>1988</v>
      </c>
      <c r="K5196" s="98" t="s">
        <v>1761</v>
      </c>
      <c r="L5196" s="105" t="str">
        <f t="shared" si="850"/>
        <v>Trimble</v>
      </c>
      <c r="M5196" s="105" t="str">
        <f t="shared" si="851"/>
        <v>Derate</v>
      </c>
      <c r="N5196" s="105" t="str">
        <f t="shared" si="852"/>
        <v>Coal</v>
      </c>
      <c r="O5196" s="105">
        <f>IFERROR(VLOOKUP(A5196,Lookup!$J$5:$P$19,7,FALSE),0)</f>
        <v>3</v>
      </c>
      <c r="P5196" s="159">
        <f t="shared" si="853"/>
        <v>2013</v>
      </c>
      <c r="Q5196" s="159">
        <f t="shared" si="854"/>
        <v>12</v>
      </c>
      <c r="R5196" s="160">
        <f t="shared" si="855"/>
        <v>0.18333333323244005</v>
      </c>
      <c r="S5196" s="158">
        <f t="shared" si="856"/>
        <v>1.0377358484855097E-2</v>
      </c>
      <c r="T5196" s="161">
        <f t="shared" si="857"/>
        <v>5.1160377330335631</v>
      </c>
      <c r="U5196" s="158">
        <f t="shared" si="859"/>
        <v>27.90566037735849</v>
      </c>
      <c r="V5196" s="160">
        <f t="shared" si="858"/>
        <v>28</v>
      </c>
    </row>
    <row r="5197" spans="1:22" x14ac:dyDescent="0.25">
      <c r="A5197" s="98" t="s">
        <v>19</v>
      </c>
      <c r="B5197" s="98" t="s">
        <v>79</v>
      </c>
      <c r="C5197" s="98">
        <v>142</v>
      </c>
      <c r="D5197" s="98">
        <v>8813</v>
      </c>
      <c r="E5197" s="157">
        <v>41619.291666666664</v>
      </c>
      <c r="F5197" s="157">
        <v>41619.597222222219</v>
      </c>
      <c r="G5197" s="98">
        <v>0</v>
      </c>
      <c r="H5197" s="98">
        <v>530</v>
      </c>
      <c r="I5197" s="98">
        <v>493</v>
      </c>
      <c r="J5197" s="98" t="s">
        <v>2620</v>
      </c>
      <c r="K5197" s="98" t="s">
        <v>1763</v>
      </c>
      <c r="L5197" s="105" t="str">
        <f t="shared" si="850"/>
        <v>Trimble</v>
      </c>
      <c r="M5197" s="105" t="str">
        <f t="shared" si="851"/>
        <v>Other</v>
      </c>
      <c r="N5197" s="105" t="str">
        <f t="shared" si="852"/>
        <v>Coal</v>
      </c>
      <c r="O5197" s="105">
        <f>IFERROR(VLOOKUP(A5197,Lookup!$J$5:$P$19,7,FALSE),0)</f>
        <v>3</v>
      </c>
      <c r="P5197" s="159">
        <f t="shared" si="853"/>
        <v>2013</v>
      </c>
      <c r="Q5197" s="159">
        <f t="shared" si="854"/>
        <v>12</v>
      </c>
      <c r="R5197" s="160">
        <f t="shared" si="855"/>
        <v>7.3333333333139308</v>
      </c>
      <c r="S5197" s="158">
        <f t="shared" si="856"/>
        <v>7.3333333333139308</v>
      </c>
      <c r="T5197" s="161">
        <f t="shared" si="857"/>
        <v>3615.3333333237679</v>
      </c>
      <c r="U5197" s="158">
        <f t="shared" si="859"/>
        <v>493</v>
      </c>
      <c r="V5197" s="160">
        <f t="shared" si="858"/>
        <v>493</v>
      </c>
    </row>
    <row r="5198" spans="1:22" x14ac:dyDescent="0.25">
      <c r="A5198" s="98" t="s">
        <v>19</v>
      </c>
      <c r="B5198" s="98" t="s">
        <v>17</v>
      </c>
      <c r="C5198" s="98">
        <v>137</v>
      </c>
      <c r="D5198" s="98">
        <v>280</v>
      </c>
      <c r="E5198" s="157">
        <v>41619.597222222219</v>
      </c>
      <c r="F5198" s="157">
        <v>41619.631944444445</v>
      </c>
      <c r="G5198" s="98">
        <v>500</v>
      </c>
      <c r="H5198" s="98">
        <v>530</v>
      </c>
      <c r="I5198" s="98">
        <v>493</v>
      </c>
      <c r="J5198" s="98" t="s">
        <v>1988</v>
      </c>
      <c r="K5198" s="98" t="s">
        <v>1764</v>
      </c>
      <c r="L5198" s="105" t="str">
        <f t="shared" si="850"/>
        <v>Trimble</v>
      </c>
      <c r="M5198" s="105" t="str">
        <f t="shared" si="851"/>
        <v>Derate</v>
      </c>
      <c r="N5198" s="105" t="str">
        <f t="shared" si="852"/>
        <v>Coal</v>
      </c>
      <c r="O5198" s="105">
        <f>IFERROR(VLOOKUP(A5198,Lookup!$J$5:$P$19,7,FALSE),0)</f>
        <v>3</v>
      </c>
      <c r="P5198" s="159">
        <f t="shared" si="853"/>
        <v>2013</v>
      </c>
      <c r="Q5198" s="159">
        <f t="shared" si="854"/>
        <v>12</v>
      </c>
      <c r="R5198" s="160">
        <f t="shared" si="855"/>
        <v>0.8333333334303461</v>
      </c>
      <c r="S5198" s="158">
        <f t="shared" si="856"/>
        <v>4.7169811326246008E-2</v>
      </c>
      <c r="T5198" s="161">
        <f t="shared" si="857"/>
        <v>23.25471698383928</v>
      </c>
      <c r="U5198" s="158">
        <f t="shared" si="859"/>
        <v>27.90566037735849</v>
      </c>
      <c r="V5198" s="160">
        <f t="shared" si="858"/>
        <v>28</v>
      </c>
    </row>
    <row r="5199" spans="1:22" x14ac:dyDescent="0.25">
      <c r="A5199" s="98" t="s">
        <v>19</v>
      </c>
      <c r="B5199" s="98" t="s">
        <v>79</v>
      </c>
      <c r="C5199" s="98">
        <v>143</v>
      </c>
      <c r="D5199" s="98">
        <v>8813</v>
      </c>
      <c r="E5199" s="157">
        <v>41620.3125</v>
      </c>
      <c r="F5199" s="157">
        <v>41620.810416666667</v>
      </c>
      <c r="G5199" s="98">
        <v>0</v>
      </c>
      <c r="H5199" s="98">
        <v>530</v>
      </c>
      <c r="I5199" s="98">
        <v>493</v>
      </c>
      <c r="J5199" s="98" t="s">
        <v>2620</v>
      </c>
      <c r="K5199" s="98" t="s">
        <v>1763</v>
      </c>
      <c r="L5199" s="105" t="str">
        <f t="shared" si="850"/>
        <v>Trimble</v>
      </c>
      <c r="M5199" s="105" t="str">
        <f t="shared" si="851"/>
        <v>Other</v>
      </c>
      <c r="N5199" s="105" t="str">
        <f t="shared" si="852"/>
        <v>Coal</v>
      </c>
      <c r="O5199" s="105">
        <f>IFERROR(VLOOKUP(A5199,Lookup!$J$5:$P$19,7,FALSE),0)</f>
        <v>3</v>
      </c>
      <c r="P5199" s="159">
        <f t="shared" si="853"/>
        <v>2013</v>
      </c>
      <c r="Q5199" s="159">
        <f t="shared" si="854"/>
        <v>12</v>
      </c>
      <c r="R5199" s="160">
        <f t="shared" si="855"/>
        <v>11.950000000011642</v>
      </c>
      <c r="S5199" s="158">
        <f t="shared" si="856"/>
        <v>11.950000000011642</v>
      </c>
      <c r="T5199" s="161">
        <f t="shared" si="857"/>
        <v>5891.3500000057393</v>
      </c>
      <c r="U5199" s="158">
        <f t="shared" si="859"/>
        <v>493</v>
      </c>
      <c r="V5199" s="160">
        <f t="shared" si="858"/>
        <v>493</v>
      </c>
    </row>
    <row r="5200" spans="1:22" x14ac:dyDescent="0.25">
      <c r="A5200" s="98" t="s">
        <v>19</v>
      </c>
      <c r="B5200" s="98" t="s">
        <v>17</v>
      </c>
      <c r="C5200" s="98">
        <v>138</v>
      </c>
      <c r="D5200" s="98">
        <v>385</v>
      </c>
      <c r="E5200" s="157">
        <v>41620.961805555555</v>
      </c>
      <c r="F5200" s="157">
        <v>41621.11041666667</v>
      </c>
      <c r="G5200" s="98">
        <v>510</v>
      </c>
      <c r="H5200" s="98">
        <v>530</v>
      </c>
      <c r="I5200" s="98">
        <v>493</v>
      </c>
      <c r="J5200" s="98" t="s">
        <v>228</v>
      </c>
      <c r="K5200" s="98" t="s">
        <v>1765</v>
      </c>
      <c r="L5200" s="105" t="str">
        <f t="shared" si="850"/>
        <v>Trimble</v>
      </c>
      <c r="M5200" s="105" t="str">
        <f t="shared" si="851"/>
        <v>Derate</v>
      </c>
      <c r="N5200" s="105" t="str">
        <f t="shared" si="852"/>
        <v>Coal</v>
      </c>
      <c r="O5200" s="105">
        <f>IFERROR(VLOOKUP(A5200,Lookup!$J$5:$P$19,7,FALSE),0)</f>
        <v>3</v>
      </c>
      <c r="P5200" s="159">
        <f t="shared" si="853"/>
        <v>2013</v>
      </c>
      <c r="Q5200" s="159">
        <f t="shared" si="854"/>
        <v>12</v>
      </c>
      <c r="R5200" s="160">
        <f t="shared" si="855"/>
        <v>3.5666666667675599</v>
      </c>
      <c r="S5200" s="158">
        <f t="shared" si="856"/>
        <v>0.13459119497236074</v>
      </c>
      <c r="T5200" s="161">
        <f t="shared" si="857"/>
        <v>66.353459121373845</v>
      </c>
      <c r="U5200" s="158">
        <f t="shared" si="859"/>
        <v>18.60377358490566</v>
      </c>
      <c r="V5200" s="160">
        <f t="shared" si="858"/>
        <v>19</v>
      </c>
    </row>
    <row r="5201" spans="1:22" x14ac:dyDescent="0.25">
      <c r="A5201" s="98" t="s">
        <v>19</v>
      </c>
      <c r="B5201" s="98" t="s">
        <v>20</v>
      </c>
      <c r="C5201" s="98">
        <v>139</v>
      </c>
      <c r="D5201" s="98">
        <v>1000</v>
      </c>
      <c r="E5201" s="157">
        <v>41621.543749999997</v>
      </c>
      <c r="F5201" s="157">
        <v>41624.045138888891</v>
      </c>
      <c r="G5201" s="98">
        <v>0</v>
      </c>
      <c r="H5201" s="98">
        <v>530</v>
      </c>
      <c r="I5201" s="98">
        <v>493</v>
      </c>
      <c r="J5201" s="98" t="s">
        <v>2002</v>
      </c>
      <c r="K5201" s="98" t="s">
        <v>1766</v>
      </c>
      <c r="L5201" s="105" t="str">
        <f t="shared" si="850"/>
        <v>Trimble</v>
      </c>
      <c r="M5201" s="105" t="str">
        <f t="shared" si="851"/>
        <v>Maintenance</v>
      </c>
      <c r="N5201" s="105" t="str">
        <f t="shared" si="852"/>
        <v>Coal</v>
      </c>
      <c r="O5201" s="105">
        <f>IFERROR(VLOOKUP(A5201,Lookup!$J$5:$P$19,7,FALSE),0)</f>
        <v>3</v>
      </c>
      <c r="P5201" s="159">
        <f t="shared" si="853"/>
        <v>2013</v>
      </c>
      <c r="Q5201" s="159">
        <f t="shared" si="854"/>
        <v>12</v>
      </c>
      <c r="R5201" s="160">
        <f t="shared" si="855"/>
        <v>60.033333333441988</v>
      </c>
      <c r="S5201" s="158">
        <f t="shared" si="856"/>
        <v>60.033333333441988</v>
      </c>
      <c r="T5201" s="161">
        <f t="shared" si="857"/>
        <v>29596.4333333869</v>
      </c>
      <c r="U5201" s="158">
        <f t="shared" si="859"/>
        <v>493</v>
      </c>
      <c r="V5201" s="160">
        <f t="shared" si="858"/>
        <v>493</v>
      </c>
    </row>
    <row r="5202" spans="1:22" x14ac:dyDescent="0.25">
      <c r="A5202" s="98" t="s">
        <v>19</v>
      </c>
      <c r="B5202" s="98" t="s">
        <v>17</v>
      </c>
      <c r="C5202" s="98">
        <v>144</v>
      </c>
      <c r="D5202" s="98">
        <v>280</v>
      </c>
      <c r="E5202" s="157">
        <v>41628.254166666666</v>
      </c>
      <c r="F5202" s="157">
        <v>41628.268750000003</v>
      </c>
      <c r="G5202" s="98">
        <v>470</v>
      </c>
      <c r="H5202" s="98">
        <v>530</v>
      </c>
      <c r="I5202" s="98">
        <v>493</v>
      </c>
      <c r="J5202" s="98" t="s">
        <v>1988</v>
      </c>
      <c r="K5202" s="98" t="s">
        <v>1767</v>
      </c>
      <c r="L5202" s="105" t="str">
        <f t="shared" si="850"/>
        <v>Trimble</v>
      </c>
      <c r="M5202" s="105" t="str">
        <f t="shared" si="851"/>
        <v>Derate</v>
      </c>
      <c r="N5202" s="105" t="str">
        <f t="shared" si="852"/>
        <v>Coal</v>
      </c>
      <c r="O5202" s="105">
        <f>IFERROR(VLOOKUP(A5202,Lookup!$J$5:$P$19,7,FALSE),0)</f>
        <v>3</v>
      </c>
      <c r="P5202" s="159">
        <f t="shared" si="853"/>
        <v>2013</v>
      </c>
      <c r="Q5202" s="159">
        <f t="shared" si="854"/>
        <v>12</v>
      </c>
      <c r="R5202" s="160">
        <f t="shared" si="855"/>
        <v>0.35000000009313226</v>
      </c>
      <c r="S5202" s="158">
        <f t="shared" si="856"/>
        <v>3.9622641519977235E-2</v>
      </c>
      <c r="T5202" s="161">
        <f t="shared" si="857"/>
        <v>19.533962269348777</v>
      </c>
      <c r="U5202" s="158">
        <f t="shared" si="859"/>
        <v>55.811320754716981</v>
      </c>
      <c r="V5202" s="160">
        <f t="shared" si="858"/>
        <v>56</v>
      </c>
    </row>
    <row r="5203" spans="1:22" x14ac:dyDescent="0.25">
      <c r="A5203" s="98" t="s">
        <v>19</v>
      </c>
      <c r="B5203" s="98" t="s">
        <v>17</v>
      </c>
      <c r="C5203" s="98">
        <v>145</v>
      </c>
      <c r="D5203" s="98">
        <v>280</v>
      </c>
      <c r="E5203" s="157">
        <v>41633.350694444445</v>
      </c>
      <c r="F5203" s="157">
        <v>41633.490972222222</v>
      </c>
      <c r="G5203" s="98">
        <v>485</v>
      </c>
      <c r="H5203" s="98">
        <v>530</v>
      </c>
      <c r="I5203" s="98">
        <v>493</v>
      </c>
      <c r="J5203" s="98" t="s">
        <v>1988</v>
      </c>
      <c r="K5203" s="98" t="s">
        <v>1768</v>
      </c>
      <c r="L5203" s="105" t="str">
        <f t="shared" si="850"/>
        <v>Trimble</v>
      </c>
      <c r="M5203" s="105" t="str">
        <f t="shared" si="851"/>
        <v>Derate</v>
      </c>
      <c r="N5203" s="105" t="str">
        <f t="shared" si="852"/>
        <v>Coal</v>
      </c>
      <c r="O5203" s="105">
        <f>IFERROR(VLOOKUP(A5203,Lookup!$J$5:$P$19,7,FALSE),0)</f>
        <v>3</v>
      </c>
      <c r="P5203" s="159">
        <f t="shared" si="853"/>
        <v>2013</v>
      </c>
      <c r="Q5203" s="159">
        <f t="shared" si="854"/>
        <v>12</v>
      </c>
      <c r="R5203" s="160">
        <f t="shared" si="855"/>
        <v>3.3666666666395031</v>
      </c>
      <c r="S5203" s="158">
        <f t="shared" si="856"/>
        <v>0.28584905660146726</v>
      </c>
      <c r="T5203" s="161">
        <f t="shared" si="857"/>
        <v>140.92358490452335</v>
      </c>
      <c r="U5203" s="158">
        <f t="shared" si="859"/>
        <v>41.858490566037737</v>
      </c>
      <c r="V5203" s="160">
        <f t="shared" si="858"/>
        <v>42</v>
      </c>
    </row>
    <row r="5204" spans="1:22" x14ac:dyDescent="0.25">
      <c r="A5204" s="98" t="s">
        <v>19</v>
      </c>
      <c r="B5204" s="98" t="s">
        <v>17</v>
      </c>
      <c r="C5204" s="98">
        <v>146</v>
      </c>
      <c r="D5204" s="98">
        <v>280</v>
      </c>
      <c r="E5204" s="157">
        <v>41634.25</v>
      </c>
      <c r="F5204" s="157">
        <v>41634.309027777781</v>
      </c>
      <c r="G5204" s="98">
        <v>475</v>
      </c>
      <c r="H5204" s="98">
        <v>530</v>
      </c>
      <c r="I5204" s="98">
        <v>493</v>
      </c>
      <c r="J5204" s="98" t="s">
        <v>1988</v>
      </c>
      <c r="K5204" s="98" t="s">
        <v>1768</v>
      </c>
      <c r="L5204" s="105" t="str">
        <f t="shared" si="850"/>
        <v>Trimble</v>
      </c>
      <c r="M5204" s="105" t="str">
        <f t="shared" si="851"/>
        <v>Derate</v>
      </c>
      <c r="N5204" s="105" t="str">
        <f t="shared" si="852"/>
        <v>Coal</v>
      </c>
      <c r="O5204" s="105">
        <f>IFERROR(VLOOKUP(A5204,Lookup!$J$5:$P$19,7,FALSE),0)</f>
        <v>3</v>
      </c>
      <c r="P5204" s="159">
        <f t="shared" si="853"/>
        <v>2013</v>
      </c>
      <c r="Q5204" s="159">
        <f t="shared" si="854"/>
        <v>12</v>
      </c>
      <c r="R5204" s="160">
        <f t="shared" si="855"/>
        <v>1.4166666667442769</v>
      </c>
      <c r="S5204" s="158">
        <f t="shared" si="856"/>
        <v>0.14701257862440609</v>
      </c>
      <c r="T5204" s="161">
        <f t="shared" si="857"/>
        <v>72.477201261832207</v>
      </c>
      <c r="U5204" s="158">
        <f t="shared" si="859"/>
        <v>51.160377358490564</v>
      </c>
      <c r="V5204" s="160">
        <f t="shared" si="858"/>
        <v>51</v>
      </c>
    </row>
    <row r="5205" spans="1:22" x14ac:dyDescent="0.25">
      <c r="A5205" s="98" t="s">
        <v>19</v>
      </c>
      <c r="B5205" s="98" t="s">
        <v>17</v>
      </c>
      <c r="C5205" s="98">
        <v>147</v>
      </c>
      <c r="D5205" s="98">
        <v>280</v>
      </c>
      <c r="E5205" s="157">
        <v>41634.309027777781</v>
      </c>
      <c r="F5205" s="157">
        <v>41634.377083333333</v>
      </c>
      <c r="G5205" s="98">
        <v>525</v>
      </c>
      <c r="H5205" s="98">
        <v>530</v>
      </c>
      <c r="I5205" s="98">
        <v>493</v>
      </c>
      <c r="J5205" s="98" t="s">
        <v>1988</v>
      </c>
      <c r="K5205" s="98" t="s">
        <v>1769</v>
      </c>
      <c r="L5205" s="105" t="str">
        <f t="shared" si="850"/>
        <v>Trimble</v>
      </c>
      <c r="M5205" s="105" t="str">
        <f t="shared" si="851"/>
        <v>Derate</v>
      </c>
      <c r="N5205" s="105" t="str">
        <f t="shared" si="852"/>
        <v>Coal</v>
      </c>
      <c r="O5205" s="105">
        <f>IFERROR(VLOOKUP(A5205,Lookup!$J$5:$P$19,7,FALSE),0)</f>
        <v>3</v>
      </c>
      <c r="P5205" s="159">
        <f t="shared" si="853"/>
        <v>2013</v>
      </c>
      <c r="Q5205" s="159">
        <f t="shared" si="854"/>
        <v>12</v>
      </c>
      <c r="R5205" s="160">
        <f t="shared" si="855"/>
        <v>1.6333333332440816</v>
      </c>
      <c r="S5205" s="158">
        <f t="shared" si="856"/>
        <v>1.5408805030604543E-2</v>
      </c>
      <c r="T5205" s="161">
        <f t="shared" si="857"/>
        <v>7.5965408800880398</v>
      </c>
      <c r="U5205" s="158">
        <f t="shared" si="859"/>
        <v>4.6509433962264151</v>
      </c>
      <c r="V5205" s="160">
        <f t="shared" si="858"/>
        <v>5</v>
      </c>
    </row>
    <row r="5206" spans="1:22" x14ac:dyDescent="0.25">
      <c r="A5206" s="98" t="s">
        <v>19</v>
      </c>
      <c r="B5206" s="98" t="s">
        <v>17</v>
      </c>
      <c r="C5206" s="98">
        <v>148</v>
      </c>
      <c r="D5206" s="98">
        <v>280</v>
      </c>
      <c r="E5206" s="157">
        <v>41636.739583333336</v>
      </c>
      <c r="F5206" s="157">
        <v>41636.756249999999</v>
      </c>
      <c r="G5206" s="98">
        <v>505</v>
      </c>
      <c r="H5206" s="98">
        <v>530</v>
      </c>
      <c r="I5206" s="98">
        <v>493</v>
      </c>
      <c r="J5206" s="98" t="s">
        <v>1988</v>
      </c>
      <c r="K5206" s="98" t="s">
        <v>1768</v>
      </c>
      <c r="L5206" s="105" t="str">
        <f t="shared" si="850"/>
        <v>Trimble</v>
      </c>
      <c r="M5206" s="105" t="str">
        <f t="shared" si="851"/>
        <v>Derate</v>
      </c>
      <c r="N5206" s="105" t="str">
        <f t="shared" si="852"/>
        <v>Coal</v>
      </c>
      <c r="O5206" s="105">
        <f>IFERROR(VLOOKUP(A5206,Lookup!$J$5:$P$19,7,FALSE),0)</f>
        <v>3</v>
      </c>
      <c r="P5206" s="159">
        <f t="shared" si="853"/>
        <v>2013</v>
      </c>
      <c r="Q5206" s="159">
        <f t="shared" si="854"/>
        <v>12</v>
      </c>
      <c r="R5206" s="160">
        <f t="shared" si="855"/>
        <v>0.39999999990686774</v>
      </c>
      <c r="S5206" s="158">
        <f t="shared" si="856"/>
        <v>1.8867924523908855E-2</v>
      </c>
      <c r="T5206" s="161">
        <f t="shared" si="857"/>
        <v>9.3018867902870657</v>
      </c>
      <c r="U5206" s="158">
        <f t="shared" si="859"/>
        <v>23.254716981132077</v>
      </c>
      <c r="V5206" s="160">
        <f t="shared" si="858"/>
        <v>23</v>
      </c>
    </row>
    <row r="5207" spans="1:22" x14ac:dyDescent="0.25">
      <c r="A5207" s="98" t="s">
        <v>19</v>
      </c>
      <c r="B5207" s="98" t="s">
        <v>17</v>
      </c>
      <c r="C5207" s="98">
        <v>149</v>
      </c>
      <c r="D5207" s="98">
        <v>280</v>
      </c>
      <c r="E5207" s="157">
        <v>41636.756249999999</v>
      </c>
      <c r="F5207" s="157">
        <v>41636.813888888886</v>
      </c>
      <c r="G5207" s="98">
        <v>510</v>
      </c>
      <c r="H5207" s="98">
        <v>530</v>
      </c>
      <c r="I5207" s="98">
        <v>493</v>
      </c>
      <c r="J5207" s="98" t="s">
        <v>1988</v>
      </c>
      <c r="K5207" s="98" t="s">
        <v>1768</v>
      </c>
      <c r="L5207" s="105" t="str">
        <f t="shared" si="850"/>
        <v>Trimble</v>
      </c>
      <c r="M5207" s="105" t="str">
        <f t="shared" si="851"/>
        <v>Derate</v>
      </c>
      <c r="N5207" s="105" t="str">
        <f t="shared" si="852"/>
        <v>Coal</v>
      </c>
      <c r="O5207" s="105">
        <f>IFERROR(VLOOKUP(A5207,Lookup!$J$5:$P$19,7,FALSE),0)</f>
        <v>3</v>
      </c>
      <c r="P5207" s="159">
        <f t="shared" si="853"/>
        <v>2013</v>
      </c>
      <c r="Q5207" s="159">
        <f t="shared" si="854"/>
        <v>12</v>
      </c>
      <c r="R5207" s="160">
        <f t="shared" si="855"/>
        <v>1.3833333333022892</v>
      </c>
      <c r="S5207" s="158">
        <f t="shared" si="856"/>
        <v>5.2201257860463743E-2</v>
      </c>
      <c r="T5207" s="161">
        <f t="shared" si="857"/>
        <v>25.735220125208624</v>
      </c>
      <c r="U5207" s="158">
        <f t="shared" si="859"/>
        <v>18.60377358490566</v>
      </c>
      <c r="V5207" s="160">
        <f t="shared" si="858"/>
        <v>19</v>
      </c>
    </row>
    <row r="5208" spans="1:22" x14ac:dyDescent="0.25">
      <c r="A5208" s="98" t="s">
        <v>19</v>
      </c>
      <c r="B5208" s="98" t="s">
        <v>79</v>
      </c>
      <c r="C5208" s="98">
        <v>150</v>
      </c>
      <c r="D5208" s="98">
        <v>1489</v>
      </c>
      <c r="E5208" s="157">
        <v>41638.291666666664</v>
      </c>
      <c r="F5208" s="157">
        <v>41638.541666666664</v>
      </c>
      <c r="G5208" s="98">
        <v>0</v>
      </c>
      <c r="H5208" s="98">
        <v>530</v>
      </c>
      <c r="I5208" s="98">
        <v>493</v>
      </c>
      <c r="J5208" s="98" t="s">
        <v>2986</v>
      </c>
      <c r="K5208" s="98" t="s">
        <v>1770</v>
      </c>
      <c r="L5208" s="105" t="str">
        <f t="shared" si="850"/>
        <v>Trimble</v>
      </c>
      <c r="M5208" s="105" t="str">
        <f t="shared" si="851"/>
        <v>Other</v>
      </c>
      <c r="N5208" s="105" t="str">
        <f t="shared" si="852"/>
        <v>Coal</v>
      </c>
      <c r="O5208" s="105">
        <f>IFERROR(VLOOKUP(A5208,Lookup!$J$5:$P$19,7,FALSE),0)</f>
        <v>3</v>
      </c>
      <c r="P5208" s="159">
        <f t="shared" si="853"/>
        <v>2013</v>
      </c>
      <c r="Q5208" s="159">
        <f t="shared" si="854"/>
        <v>12</v>
      </c>
      <c r="R5208" s="160">
        <f t="shared" si="855"/>
        <v>6</v>
      </c>
      <c r="S5208" s="158">
        <f t="shared" si="856"/>
        <v>6</v>
      </c>
      <c r="T5208" s="161">
        <f t="shared" si="857"/>
        <v>2958</v>
      </c>
      <c r="U5208" s="158">
        <f t="shared" si="859"/>
        <v>493</v>
      </c>
      <c r="V5208" s="160">
        <f t="shared" si="858"/>
        <v>493</v>
      </c>
    </row>
    <row r="5209" spans="1:22" x14ac:dyDescent="0.25">
      <c r="A5209" s="98" t="s">
        <v>19</v>
      </c>
      <c r="B5209" s="98" t="s">
        <v>79</v>
      </c>
      <c r="C5209" s="98">
        <v>151</v>
      </c>
      <c r="D5209" s="98">
        <v>1489</v>
      </c>
      <c r="E5209" s="157">
        <v>41639.28125</v>
      </c>
      <c r="F5209" s="157">
        <v>41639.541666666664</v>
      </c>
      <c r="G5209" s="98">
        <v>0</v>
      </c>
      <c r="H5209" s="98">
        <v>530</v>
      </c>
      <c r="I5209" s="98">
        <v>493</v>
      </c>
      <c r="J5209" s="98" t="s">
        <v>2986</v>
      </c>
      <c r="K5209" s="98" t="s">
        <v>1771</v>
      </c>
      <c r="L5209" s="105" t="str">
        <f t="shared" si="850"/>
        <v>Trimble</v>
      </c>
      <c r="M5209" s="105" t="str">
        <f t="shared" si="851"/>
        <v>Other</v>
      </c>
      <c r="N5209" s="105" t="str">
        <f t="shared" si="852"/>
        <v>Coal</v>
      </c>
      <c r="O5209" s="105">
        <f>IFERROR(VLOOKUP(A5209,Lookup!$J$5:$P$19,7,FALSE),0)</f>
        <v>3</v>
      </c>
      <c r="P5209" s="159">
        <f t="shared" si="853"/>
        <v>2013</v>
      </c>
      <c r="Q5209" s="159">
        <f t="shared" si="854"/>
        <v>12</v>
      </c>
      <c r="R5209" s="160">
        <f t="shared" si="855"/>
        <v>6.2499999999417923</v>
      </c>
      <c r="S5209" s="158">
        <f t="shared" si="856"/>
        <v>6.2499999999417923</v>
      </c>
      <c r="T5209" s="161">
        <f t="shared" si="857"/>
        <v>3081.2499999713036</v>
      </c>
      <c r="U5209" s="158">
        <f t="shared" si="859"/>
        <v>493</v>
      </c>
      <c r="V5209" s="160">
        <f t="shared" si="858"/>
        <v>493</v>
      </c>
    </row>
    <row r="5210" spans="1:22" x14ac:dyDescent="0.25">
      <c r="A5210" s="98" t="s">
        <v>19</v>
      </c>
      <c r="B5210" s="98" t="s">
        <v>79</v>
      </c>
      <c r="C5210" s="98">
        <v>1</v>
      </c>
      <c r="D5210" s="98">
        <v>1489</v>
      </c>
      <c r="E5210" s="157">
        <v>41641.375</v>
      </c>
      <c r="F5210" s="157">
        <v>41641.625</v>
      </c>
      <c r="G5210" s="98">
        <v>0</v>
      </c>
      <c r="H5210" s="98">
        <v>530</v>
      </c>
      <c r="I5210" s="98">
        <v>493</v>
      </c>
      <c r="J5210" s="98" t="s">
        <v>2986</v>
      </c>
      <c r="K5210" s="98" t="s">
        <v>1772</v>
      </c>
      <c r="L5210" s="105" t="str">
        <f t="shared" si="850"/>
        <v>Trimble</v>
      </c>
      <c r="M5210" s="105" t="str">
        <f t="shared" si="851"/>
        <v>Other</v>
      </c>
      <c r="N5210" s="105" t="str">
        <f t="shared" si="852"/>
        <v>Coal</v>
      </c>
      <c r="O5210" s="105">
        <f>IFERROR(VLOOKUP(A5210,Lookup!$J$5:$P$19,7,FALSE),0)</f>
        <v>3</v>
      </c>
      <c r="P5210" s="159">
        <f t="shared" si="853"/>
        <v>2014</v>
      </c>
      <c r="Q5210" s="159">
        <f t="shared" si="854"/>
        <v>1</v>
      </c>
      <c r="R5210" s="160">
        <f t="shared" si="855"/>
        <v>6</v>
      </c>
      <c r="S5210" s="158">
        <f t="shared" si="856"/>
        <v>6</v>
      </c>
      <c r="T5210" s="161">
        <f t="shared" si="857"/>
        <v>2958</v>
      </c>
      <c r="U5210" s="158">
        <f t="shared" si="859"/>
        <v>493</v>
      </c>
      <c r="V5210" s="160">
        <f t="shared" si="858"/>
        <v>493</v>
      </c>
    </row>
    <row r="5211" spans="1:22" x14ac:dyDescent="0.25">
      <c r="A5211" s="98" t="s">
        <v>19</v>
      </c>
      <c r="B5211" s="98" t="s">
        <v>79</v>
      </c>
      <c r="C5211" s="98">
        <v>2</v>
      </c>
      <c r="D5211" s="98">
        <v>1489</v>
      </c>
      <c r="E5211" s="157">
        <v>41642.208333333336</v>
      </c>
      <c r="F5211" s="157">
        <v>41642.402777777781</v>
      </c>
      <c r="G5211" s="98">
        <v>0</v>
      </c>
      <c r="H5211" s="98">
        <v>530</v>
      </c>
      <c r="I5211" s="98">
        <v>493</v>
      </c>
      <c r="J5211" s="98" t="s">
        <v>2986</v>
      </c>
      <c r="K5211" s="98" t="s">
        <v>1773</v>
      </c>
      <c r="L5211" s="105" t="str">
        <f t="shared" si="850"/>
        <v>Trimble</v>
      </c>
      <c r="M5211" s="105" t="str">
        <f t="shared" si="851"/>
        <v>Other</v>
      </c>
      <c r="N5211" s="105" t="str">
        <f t="shared" si="852"/>
        <v>Coal</v>
      </c>
      <c r="O5211" s="105">
        <f>IFERROR(VLOOKUP(A5211,Lookup!$J$5:$P$19,7,FALSE),0)</f>
        <v>3</v>
      </c>
      <c r="P5211" s="159">
        <f t="shared" si="853"/>
        <v>2014</v>
      </c>
      <c r="Q5211" s="159">
        <f t="shared" si="854"/>
        <v>1</v>
      </c>
      <c r="R5211" s="160">
        <f t="shared" si="855"/>
        <v>4.6666666666860692</v>
      </c>
      <c r="S5211" s="158">
        <f t="shared" si="856"/>
        <v>4.6666666666860692</v>
      </c>
      <c r="T5211" s="161">
        <f t="shared" si="857"/>
        <v>2300.6666666762321</v>
      </c>
      <c r="U5211" s="158">
        <f t="shared" si="859"/>
        <v>493</v>
      </c>
      <c r="V5211" s="160">
        <f t="shared" si="858"/>
        <v>493</v>
      </c>
    </row>
    <row r="5212" spans="1:22" x14ac:dyDescent="0.25">
      <c r="A5212" s="98" t="s">
        <v>19</v>
      </c>
      <c r="B5212" s="98" t="s">
        <v>17</v>
      </c>
      <c r="C5212" s="98">
        <v>3</v>
      </c>
      <c r="D5212" s="98">
        <v>280</v>
      </c>
      <c r="E5212" s="157">
        <v>41642.402777777781</v>
      </c>
      <c r="F5212" s="157">
        <v>41642.479861111111</v>
      </c>
      <c r="G5212" s="98">
        <v>505</v>
      </c>
      <c r="H5212" s="98">
        <v>530</v>
      </c>
      <c r="I5212" s="98">
        <v>493</v>
      </c>
      <c r="J5212" s="98" t="s">
        <v>1988</v>
      </c>
      <c r="K5212" s="98" t="s">
        <v>1768</v>
      </c>
      <c r="L5212" s="105" t="str">
        <f t="shared" si="850"/>
        <v>Trimble</v>
      </c>
      <c r="M5212" s="105" t="str">
        <f t="shared" si="851"/>
        <v>Derate</v>
      </c>
      <c r="N5212" s="105" t="str">
        <f t="shared" si="852"/>
        <v>Coal</v>
      </c>
      <c r="O5212" s="105">
        <f>IFERROR(VLOOKUP(A5212,Lookup!$J$5:$P$19,7,FALSE),0)</f>
        <v>3</v>
      </c>
      <c r="P5212" s="159">
        <f t="shared" si="853"/>
        <v>2014</v>
      </c>
      <c r="Q5212" s="159">
        <f t="shared" si="854"/>
        <v>1</v>
      </c>
      <c r="R5212" s="160">
        <f t="shared" si="855"/>
        <v>1.8499999999185093</v>
      </c>
      <c r="S5212" s="158">
        <f t="shared" si="856"/>
        <v>8.7264150939552323E-2</v>
      </c>
      <c r="T5212" s="161">
        <f t="shared" si="857"/>
        <v>43.021226413199294</v>
      </c>
      <c r="U5212" s="158">
        <f t="shared" si="859"/>
        <v>23.254716981132077</v>
      </c>
      <c r="V5212" s="160">
        <f t="shared" si="858"/>
        <v>23</v>
      </c>
    </row>
    <row r="5213" spans="1:22" x14ac:dyDescent="0.25">
      <c r="A5213" s="98" t="s">
        <v>19</v>
      </c>
      <c r="B5213" s="98" t="s">
        <v>17</v>
      </c>
      <c r="C5213" s="98">
        <v>4</v>
      </c>
      <c r="D5213" s="98">
        <v>280</v>
      </c>
      <c r="E5213" s="157">
        <v>41643.115972222222</v>
      </c>
      <c r="F5213" s="157">
        <v>41643.163888888892</v>
      </c>
      <c r="G5213" s="98">
        <v>500</v>
      </c>
      <c r="H5213" s="98">
        <v>530</v>
      </c>
      <c r="I5213" s="98">
        <v>493</v>
      </c>
      <c r="J5213" s="98" t="s">
        <v>1988</v>
      </c>
      <c r="K5213" s="98" t="s">
        <v>1769</v>
      </c>
      <c r="L5213" s="105" t="str">
        <f t="shared" si="850"/>
        <v>Trimble</v>
      </c>
      <c r="M5213" s="105" t="str">
        <f t="shared" si="851"/>
        <v>Derate</v>
      </c>
      <c r="N5213" s="105" t="str">
        <f t="shared" si="852"/>
        <v>Coal</v>
      </c>
      <c r="O5213" s="105">
        <f>IFERROR(VLOOKUP(A5213,Lookup!$J$5:$P$19,7,FALSE),0)</f>
        <v>3</v>
      </c>
      <c r="P5213" s="159">
        <f t="shared" si="853"/>
        <v>2014</v>
      </c>
      <c r="Q5213" s="159">
        <f t="shared" si="854"/>
        <v>1</v>
      </c>
      <c r="R5213" s="160">
        <f t="shared" si="855"/>
        <v>1.1500000000814907</v>
      </c>
      <c r="S5213" s="158">
        <f t="shared" si="856"/>
        <v>6.5094339627254194E-2</v>
      </c>
      <c r="T5213" s="161">
        <f t="shared" si="857"/>
        <v>32.091509436236315</v>
      </c>
      <c r="U5213" s="158">
        <f t="shared" si="859"/>
        <v>27.90566037735849</v>
      </c>
      <c r="V5213" s="160">
        <f t="shared" si="858"/>
        <v>28</v>
      </c>
    </row>
    <row r="5214" spans="1:22" x14ac:dyDescent="0.25">
      <c r="A5214" s="98" t="s">
        <v>19</v>
      </c>
      <c r="B5214" s="98" t="s">
        <v>17</v>
      </c>
      <c r="C5214" s="98">
        <v>5</v>
      </c>
      <c r="D5214" s="98">
        <v>280</v>
      </c>
      <c r="E5214" s="157">
        <v>41643.214583333334</v>
      </c>
      <c r="F5214" s="157">
        <v>41643.345833333333</v>
      </c>
      <c r="G5214" s="98">
        <v>489</v>
      </c>
      <c r="H5214" s="98">
        <v>530</v>
      </c>
      <c r="I5214" s="98">
        <v>493</v>
      </c>
      <c r="J5214" s="98" t="s">
        <v>1988</v>
      </c>
      <c r="K5214" s="98" t="s">
        <v>1774</v>
      </c>
      <c r="L5214" s="105" t="str">
        <f t="shared" si="850"/>
        <v>Trimble</v>
      </c>
      <c r="M5214" s="105" t="str">
        <f t="shared" si="851"/>
        <v>Derate</v>
      </c>
      <c r="N5214" s="105" t="str">
        <f t="shared" si="852"/>
        <v>Coal</v>
      </c>
      <c r="O5214" s="105">
        <f>IFERROR(VLOOKUP(A5214,Lookup!$J$5:$P$19,7,FALSE),0)</f>
        <v>3</v>
      </c>
      <c r="P5214" s="159">
        <f t="shared" si="853"/>
        <v>2014</v>
      </c>
      <c r="Q5214" s="159">
        <f t="shared" si="854"/>
        <v>1</v>
      </c>
      <c r="R5214" s="160">
        <f t="shared" si="855"/>
        <v>3.1499999999650754</v>
      </c>
      <c r="S5214" s="158">
        <f t="shared" si="856"/>
        <v>0.24367924528031715</v>
      </c>
      <c r="T5214" s="161">
        <f t="shared" si="857"/>
        <v>120.13386792319635</v>
      </c>
      <c r="U5214" s="158">
        <f t="shared" si="859"/>
        <v>38.137735849056604</v>
      </c>
      <c r="V5214" s="160">
        <f t="shared" si="858"/>
        <v>38</v>
      </c>
    </row>
    <row r="5215" spans="1:22" x14ac:dyDescent="0.25">
      <c r="A5215" s="98" t="s">
        <v>19</v>
      </c>
      <c r="B5215" s="98" t="s">
        <v>17</v>
      </c>
      <c r="C5215" s="98">
        <v>6</v>
      </c>
      <c r="D5215" s="98">
        <v>280</v>
      </c>
      <c r="E5215" s="157">
        <v>41646.725694444445</v>
      </c>
      <c r="F5215" s="157">
        <v>41646.880555555559</v>
      </c>
      <c r="G5215" s="98">
        <v>490</v>
      </c>
      <c r="H5215" s="98">
        <v>530</v>
      </c>
      <c r="I5215" s="98">
        <v>493</v>
      </c>
      <c r="J5215" s="98" t="s">
        <v>1988</v>
      </c>
      <c r="K5215" s="98" t="s">
        <v>1775</v>
      </c>
      <c r="L5215" s="105" t="str">
        <f t="shared" si="850"/>
        <v>Trimble</v>
      </c>
      <c r="M5215" s="105" t="str">
        <f t="shared" si="851"/>
        <v>Derate</v>
      </c>
      <c r="N5215" s="105" t="str">
        <f t="shared" si="852"/>
        <v>Coal</v>
      </c>
      <c r="O5215" s="105">
        <f>IFERROR(VLOOKUP(A5215,Lookup!$J$5:$P$19,7,FALSE),0)</f>
        <v>3</v>
      </c>
      <c r="P5215" s="159">
        <f t="shared" si="853"/>
        <v>2014</v>
      </c>
      <c r="Q5215" s="159">
        <f t="shared" si="854"/>
        <v>1</v>
      </c>
      <c r="R5215" s="160">
        <f t="shared" si="855"/>
        <v>3.7166666667326353</v>
      </c>
      <c r="S5215" s="158">
        <f t="shared" si="856"/>
        <v>0.28050314465906684</v>
      </c>
      <c r="T5215" s="161">
        <f t="shared" si="857"/>
        <v>138.28805031691996</v>
      </c>
      <c r="U5215" s="158">
        <f t="shared" si="859"/>
        <v>37.20754716981132</v>
      </c>
      <c r="V5215" s="160">
        <f t="shared" si="858"/>
        <v>37</v>
      </c>
    </row>
    <row r="5216" spans="1:22" x14ac:dyDescent="0.25">
      <c r="A5216" s="98" t="s">
        <v>19</v>
      </c>
      <c r="B5216" s="98" t="s">
        <v>17</v>
      </c>
      <c r="C5216" s="98">
        <v>7</v>
      </c>
      <c r="D5216" s="98">
        <v>590</v>
      </c>
      <c r="E5216" s="157">
        <v>41647.5</v>
      </c>
      <c r="F5216" s="157">
        <v>41647.726388888892</v>
      </c>
      <c r="G5216" s="98">
        <v>500</v>
      </c>
      <c r="H5216" s="98">
        <v>530</v>
      </c>
      <c r="I5216" s="98">
        <v>493</v>
      </c>
      <c r="J5216" s="98" t="s">
        <v>2116</v>
      </c>
      <c r="K5216" s="98" t="s">
        <v>1776</v>
      </c>
      <c r="L5216" s="105" t="str">
        <f t="shared" si="850"/>
        <v>Trimble</v>
      </c>
      <c r="M5216" s="105" t="str">
        <f t="shared" si="851"/>
        <v>Derate</v>
      </c>
      <c r="N5216" s="105" t="str">
        <f t="shared" si="852"/>
        <v>Coal</v>
      </c>
      <c r="O5216" s="105">
        <f>IFERROR(VLOOKUP(A5216,Lookup!$J$5:$P$19,7,FALSE),0)</f>
        <v>3</v>
      </c>
      <c r="P5216" s="159">
        <f t="shared" si="853"/>
        <v>2014</v>
      </c>
      <c r="Q5216" s="159">
        <f t="shared" si="854"/>
        <v>1</v>
      </c>
      <c r="R5216" s="160">
        <f t="shared" si="855"/>
        <v>5.433333333407063</v>
      </c>
      <c r="S5216" s="158">
        <f t="shared" si="856"/>
        <v>0.30754716981549413</v>
      </c>
      <c r="T5216" s="161">
        <f t="shared" si="857"/>
        <v>151.62075471903862</v>
      </c>
      <c r="U5216" s="158">
        <f t="shared" si="859"/>
        <v>27.90566037735849</v>
      </c>
      <c r="V5216" s="160">
        <f t="shared" si="858"/>
        <v>28</v>
      </c>
    </row>
    <row r="5217" spans="1:22" x14ac:dyDescent="0.25">
      <c r="A5217" s="98" t="s">
        <v>19</v>
      </c>
      <c r="B5217" s="98" t="s">
        <v>79</v>
      </c>
      <c r="C5217" s="98">
        <v>8</v>
      </c>
      <c r="D5217" s="98">
        <v>1489</v>
      </c>
      <c r="E5217" s="157">
        <v>41648.291666666664</v>
      </c>
      <c r="F5217" s="157">
        <v>41648.541666666664</v>
      </c>
      <c r="G5217" s="98">
        <v>0</v>
      </c>
      <c r="H5217" s="98">
        <v>530</v>
      </c>
      <c r="I5217" s="98">
        <v>493</v>
      </c>
      <c r="J5217" s="98" t="s">
        <v>2986</v>
      </c>
      <c r="K5217" s="98" t="s">
        <v>1777</v>
      </c>
      <c r="L5217" s="105" t="str">
        <f t="shared" si="850"/>
        <v>Trimble</v>
      </c>
      <c r="M5217" s="105" t="str">
        <f t="shared" si="851"/>
        <v>Other</v>
      </c>
      <c r="N5217" s="105" t="str">
        <f t="shared" si="852"/>
        <v>Coal</v>
      </c>
      <c r="O5217" s="105">
        <f>IFERROR(VLOOKUP(A5217,Lookup!$J$5:$P$19,7,FALSE),0)</f>
        <v>3</v>
      </c>
      <c r="P5217" s="159">
        <f t="shared" si="853"/>
        <v>2014</v>
      </c>
      <c r="Q5217" s="159">
        <f t="shared" si="854"/>
        <v>1</v>
      </c>
      <c r="R5217" s="160">
        <f t="shared" si="855"/>
        <v>6</v>
      </c>
      <c r="S5217" s="158">
        <f t="shared" si="856"/>
        <v>6</v>
      </c>
      <c r="T5217" s="161">
        <f t="shared" si="857"/>
        <v>2958</v>
      </c>
      <c r="U5217" s="158">
        <f t="shared" si="859"/>
        <v>493</v>
      </c>
      <c r="V5217" s="160">
        <f t="shared" si="858"/>
        <v>493</v>
      </c>
    </row>
    <row r="5218" spans="1:22" x14ac:dyDescent="0.25">
      <c r="A5218" s="98" t="s">
        <v>19</v>
      </c>
      <c r="B5218" s="98" t="s">
        <v>79</v>
      </c>
      <c r="C5218" s="98">
        <v>9</v>
      </c>
      <c r="D5218" s="98">
        <v>1489</v>
      </c>
      <c r="E5218" s="157">
        <v>41649.270833333336</v>
      </c>
      <c r="F5218" s="157">
        <v>41649.625</v>
      </c>
      <c r="G5218" s="98">
        <v>0</v>
      </c>
      <c r="H5218" s="98">
        <v>530</v>
      </c>
      <c r="I5218" s="98">
        <v>493</v>
      </c>
      <c r="J5218" s="98" t="s">
        <v>2986</v>
      </c>
      <c r="K5218" s="98" t="s">
        <v>1777</v>
      </c>
      <c r="L5218" s="105" t="str">
        <f t="shared" si="850"/>
        <v>Trimble</v>
      </c>
      <c r="M5218" s="105" t="str">
        <f t="shared" si="851"/>
        <v>Other</v>
      </c>
      <c r="N5218" s="105" t="str">
        <f t="shared" si="852"/>
        <v>Coal</v>
      </c>
      <c r="O5218" s="105">
        <f>IFERROR(VLOOKUP(A5218,Lookup!$J$5:$P$19,7,FALSE),0)</f>
        <v>3</v>
      </c>
      <c r="P5218" s="159">
        <f t="shared" si="853"/>
        <v>2014</v>
      </c>
      <c r="Q5218" s="159">
        <f t="shared" si="854"/>
        <v>1</v>
      </c>
      <c r="R5218" s="160">
        <f t="shared" si="855"/>
        <v>8.4999999999417923</v>
      </c>
      <c r="S5218" s="158">
        <f t="shared" si="856"/>
        <v>8.4999999999417923</v>
      </c>
      <c r="T5218" s="161">
        <f t="shared" si="857"/>
        <v>4190.4999999713036</v>
      </c>
      <c r="U5218" s="158">
        <f t="shared" si="859"/>
        <v>493</v>
      </c>
      <c r="V5218" s="160">
        <f t="shared" si="858"/>
        <v>493</v>
      </c>
    </row>
    <row r="5219" spans="1:22" x14ac:dyDescent="0.25">
      <c r="A5219" s="98" t="s">
        <v>19</v>
      </c>
      <c r="B5219" s="98" t="s">
        <v>17</v>
      </c>
      <c r="C5219" s="98">
        <v>10</v>
      </c>
      <c r="D5219" s="98">
        <v>8000</v>
      </c>
      <c r="E5219" s="157">
        <v>41650.224305555559</v>
      </c>
      <c r="F5219" s="157">
        <v>41650.79791666667</v>
      </c>
      <c r="G5219" s="98">
        <v>450</v>
      </c>
      <c r="H5219" s="98">
        <v>530</v>
      </c>
      <c r="I5219" s="98">
        <v>493</v>
      </c>
      <c r="J5219" s="98" t="s">
        <v>2272</v>
      </c>
      <c r="K5219" s="98" t="s">
        <v>1778</v>
      </c>
      <c r="L5219" s="105" t="str">
        <f t="shared" si="850"/>
        <v>Trimble</v>
      </c>
      <c r="M5219" s="105" t="str">
        <f t="shared" si="851"/>
        <v>Derate</v>
      </c>
      <c r="N5219" s="105" t="str">
        <f t="shared" si="852"/>
        <v>Coal</v>
      </c>
      <c r="O5219" s="105">
        <f>IFERROR(VLOOKUP(A5219,Lookup!$J$5:$P$19,7,FALSE),0)</f>
        <v>3</v>
      </c>
      <c r="P5219" s="159">
        <f t="shared" si="853"/>
        <v>2014</v>
      </c>
      <c r="Q5219" s="159">
        <f t="shared" si="854"/>
        <v>1</v>
      </c>
      <c r="R5219" s="160">
        <f t="shared" si="855"/>
        <v>13.766666666662786</v>
      </c>
      <c r="S5219" s="158">
        <f t="shared" si="856"/>
        <v>2.077987421383062</v>
      </c>
      <c r="T5219" s="161">
        <f t="shared" si="857"/>
        <v>1024.4477987418495</v>
      </c>
      <c r="U5219" s="158">
        <f t="shared" si="859"/>
        <v>74.415094339622641</v>
      </c>
      <c r="V5219" s="160">
        <f t="shared" si="858"/>
        <v>74</v>
      </c>
    </row>
    <row r="5220" spans="1:22" x14ac:dyDescent="0.25">
      <c r="A5220" s="98" t="s">
        <v>19</v>
      </c>
      <c r="B5220" s="98" t="s">
        <v>17</v>
      </c>
      <c r="C5220" s="98">
        <v>11</v>
      </c>
      <c r="D5220" s="98">
        <v>8000</v>
      </c>
      <c r="E5220" s="157">
        <v>41650.79791666667</v>
      </c>
      <c r="F5220" s="157">
        <v>41650.877083333333</v>
      </c>
      <c r="G5220" s="98">
        <v>275</v>
      </c>
      <c r="H5220" s="98">
        <v>530</v>
      </c>
      <c r="I5220" s="98">
        <v>493</v>
      </c>
      <c r="J5220" s="98" t="s">
        <v>2272</v>
      </c>
      <c r="K5220" s="98" t="s">
        <v>1778</v>
      </c>
      <c r="L5220" s="105" t="str">
        <f t="shared" si="850"/>
        <v>Trimble</v>
      </c>
      <c r="M5220" s="105" t="str">
        <f t="shared" si="851"/>
        <v>Derate</v>
      </c>
      <c r="N5220" s="105" t="str">
        <f t="shared" si="852"/>
        <v>Coal</v>
      </c>
      <c r="O5220" s="105">
        <f>IFERROR(VLOOKUP(A5220,Lookup!$J$5:$P$19,7,FALSE),0)</f>
        <v>3</v>
      </c>
      <c r="P5220" s="159">
        <f t="shared" si="853"/>
        <v>2014</v>
      </c>
      <c r="Q5220" s="159">
        <f t="shared" si="854"/>
        <v>1</v>
      </c>
      <c r="R5220" s="160">
        <f t="shared" si="855"/>
        <v>1.8999999999068677</v>
      </c>
      <c r="S5220" s="158">
        <f t="shared" si="856"/>
        <v>0.91415094335141744</v>
      </c>
      <c r="T5220" s="161">
        <f t="shared" si="857"/>
        <v>450.6764150722488</v>
      </c>
      <c r="U5220" s="158">
        <f t="shared" si="859"/>
        <v>237.19811320754718</v>
      </c>
      <c r="V5220" s="160">
        <f t="shared" si="858"/>
        <v>237</v>
      </c>
    </row>
    <row r="5221" spans="1:22" x14ac:dyDescent="0.25">
      <c r="A5221" s="98" t="s">
        <v>19</v>
      </c>
      <c r="B5221" s="98" t="s">
        <v>15</v>
      </c>
      <c r="C5221" s="98">
        <v>12</v>
      </c>
      <c r="D5221" s="98">
        <v>9900</v>
      </c>
      <c r="E5221" s="157">
        <v>41650.877083333333</v>
      </c>
      <c r="F5221" s="157">
        <v>41651.331250000003</v>
      </c>
      <c r="G5221" s="98">
        <v>0</v>
      </c>
      <c r="H5221" s="98">
        <v>530</v>
      </c>
      <c r="I5221" s="98">
        <v>493</v>
      </c>
      <c r="J5221" s="98" t="s">
        <v>1996</v>
      </c>
      <c r="K5221" s="98" t="s">
        <v>1779</v>
      </c>
      <c r="L5221" s="105" t="str">
        <f t="shared" si="850"/>
        <v>Trimble</v>
      </c>
      <c r="M5221" s="105" t="str">
        <f t="shared" si="851"/>
        <v>Outage</v>
      </c>
      <c r="N5221" s="105" t="str">
        <f t="shared" si="852"/>
        <v>Coal</v>
      </c>
      <c r="O5221" s="105">
        <f>IFERROR(VLOOKUP(A5221,Lookup!$J$5:$P$19,7,FALSE),0)</f>
        <v>3</v>
      </c>
      <c r="P5221" s="159">
        <f t="shared" si="853"/>
        <v>2014</v>
      </c>
      <c r="Q5221" s="159">
        <f t="shared" si="854"/>
        <v>1</v>
      </c>
      <c r="R5221" s="160">
        <f t="shared" si="855"/>
        <v>10.900000000081491</v>
      </c>
      <c r="S5221" s="158">
        <f t="shared" si="856"/>
        <v>10.900000000081491</v>
      </c>
      <c r="T5221" s="161">
        <f t="shared" si="857"/>
        <v>5373.7000000401749</v>
      </c>
      <c r="U5221" s="158">
        <f t="shared" si="859"/>
        <v>493</v>
      </c>
      <c r="V5221" s="160">
        <f t="shared" si="858"/>
        <v>493</v>
      </c>
    </row>
    <row r="5222" spans="1:22" x14ac:dyDescent="0.25">
      <c r="A5222" s="98" t="s">
        <v>19</v>
      </c>
      <c r="B5222" s="98" t="s">
        <v>17</v>
      </c>
      <c r="C5222" s="98">
        <v>13</v>
      </c>
      <c r="D5222" s="98">
        <v>280</v>
      </c>
      <c r="E5222" s="157">
        <v>41652.277083333334</v>
      </c>
      <c r="F5222" s="157">
        <v>41652.439583333333</v>
      </c>
      <c r="G5222" s="98">
        <v>500</v>
      </c>
      <c r="H5222" s="98">
        <v>530</v>
      </c>
      <c r="I5222" s="98">
        <v>493</v>
      </c>
      <c r="J5222" s="98" t="s">
        <v>1988</v>
      </c>
      <c r="K5222" s="98" t="s">
        <v>1780</v>
      </c>
      <c r="L5222" s="105" t="str">
        <f t="shared" ref="L5222:L5251" si="860">IF(OR(A5222="BR1",A5222="BR2",A5222="BR3",A5222="BR5",A5222="BR6",A5222="BR7",A5222="BR8",A5222="BR9",A5222="BR10",A5222="BR11"),"Brown",IF(OR(A5222="CR4",A5222="CR5",A5222="CR6",A5222="CR11"),"Cane Run",IF(OR(A5222="GH1",A5222="GH2",A5222="GH3",A5222="GH4"),"Ghent",IF(OR(A5222="GR3",A5222="GR4"),"Green River",IF(OR(A5222="MC1",A5222="MC2",A5222="MC3",A5222="MC4"),"Mill Creek",IF(OR(A5222="TC1",A5222="TC2",A5222="TC5",A5222="TC6",A5222="TC7",A5222="TC8",A5222="TC9",A5222="TC10"),"Trimble",IF(A5222="TY3","Tyrone",IF(OR(A5222="HA1",A5222="HA2",A5222="HA3"),"Haeflin",IF(OR(A5222="PR11",A5222="PR12",A5222="PR13"),"Paddy's Run","Zorn")))))))))</f>
        <v>Trimble</v>
      </c>
      <c r="M5222" s="105" t="str">
        <f t="shared" ref="M5222:M5251" si="861">IF(OR(B5222="D1",B5222="D2",B5222="D3",B5222="D4",B5222="PD"),"Derate",IF(OR(B5222="SF",B5222="U1",B5222="U2",B5222="U3"),"Outage",IF(OR(B5222="ME",B5222="MO"),"Maintenance","Other")))</f>
        <v>Derate</v>
      </c>
      <c r="N5222" s="105" t="str">
        <f t="shared" ref="N5222:N5251" si="862">IF(OR(A5222="BR1",A5222="BR2",A5222="BR3",A5222="CR4",A5222="CR5",A5222="CR6",A5222="GH1",A5222="GH2",A5222="GH3",A5222="GH4",A5222="GR3",A5222="GR4",A5222="MC1",A5222="MC2",A5222="MC3",A5222="MC4",A5222="TC1",A5222="TC2",A5222="TY3"),"Coal","Gas")</f>
        <v>Coal</v>
      </c>
      <c r="O5222" s="105">
        <f>IFERROR(VLOOKUP(A5222,Lookup!$J$5:$P$19,7,FALSE),0)</f>
        <v>3</v>
      </c>
      <c r="P5222" s="159">
        <f t="shared" ref="P5222:P5251" si="863">YEAR(E5222)</f>
        <v>2014</v>
      </c>
      <c r="Q5222" s="159">
        <f t="shared" ref="Q5222:Q5251" si="864">MONTH(E5222)</f>
        <v>1</v>
      </c>
      <c r="R5222" s="160">
        <f t="shared" ref="R5222:R5251" si="865">(F5222-E5222)*24</f>
        <v>3.8999999999650754</v>
      </c>
      <c r="S5222" s="158">
        <f t="shared" ref="S5222:S5251" si="866">R5222*(H5222-G5222)/H5222</f>
        <v>0.22075471697915522</v>
      </c>
      <c r="T5222" s="161">
        <f t="shared" ref="T5222:T5251" si="867">S5222*I5222</f>
        <v>108.83207547072352</v>
      </c>
      <c r="U5222" s="158">
        <f t="shared" ref="U5222:U5252" si="868">IF(G5222&gt;0,MAX((H5222-G5222),0)*I5222/H5222,I5222)</f>
        <v>27.90566037735849</v>
      </c>
      <c r="V5222" s="160">
        <f t="shared" ref="V5222:V5251" si="869">ROUND(U5222,0)</f>
        <v>28</v>
      </c>
    </row>
    <row r="5223" spans="1:22" x14ac:dyDescent="0.25">
      <c r="A5223" s="98" t="s">
        <v>19</v>
      </c>
      <c r="B5223" s="98" t="s">
        <v>17</v>
      </c>
      <c r="C5223" s="98">
        <v>14</v>
      </c>
      <c r="D5223" s="98">
        <v>280</v>
      </c>
      <c r="E5223" s="157">
        <v>41653.35833333333</v>
      </c>
      <c r="F5223" s="157">
        <v>41653.443749999999</v>
      </c>
      <c r="G5223" s="98">
        <v>500</v>
      </c>
      <c r="H5223" s="98">
        <v>530</v>
      </c>
      <c r="I5223" s="98">
        <v>493</v>
      </c>
      <c r="J5223" s="98" t="s">
        <v>1988</v>
      </c>
      <c r="K5223" s="98" t="s">
        <v>1781</v>
      </c>
      <c r="L5223" s="105" t="str">
        <f t="shared" si="860"/>
        <v>Trimble</v>
      </c>
      <c r="M5223" s="105" t="str">
        <f t="shared" si="861"/>
        <v>Derate</v>
      </c>
      <c r="N5223" s="105" t="str">
        <f t="shared" si="862"/>
        <v>Coal</v>
      </c>
      <c r="O5223" s="105">
        <f>IFERROR(VLOOKUP(A5223,Lookup!$J$5:$P$19,7,FALSE),0)</f>
        <v>3</v>
      </c>
      <c r="P5223" s="159">
        <f t="shared" si="863"/>
        <v>2014</v>
      </c>
      <c r="Q5223" s="159">
        <f t="shared" si="864"/>
        <v>1</v>
      </c>
      <c r="R5223" s="160">
        <f t="shared" si="865"/>
        <v>2.0500000000465661</v>
      </c>
      <c r="S5223" s="158">
        <f t="shared" si="866"/>
        <v>0.11603773585169243</v>
      </c>
      <c r="T5223" s="161">
        <f t="shared" si="867"/>
        <v>57.206603774884364</v>
      </c>
      <c r="U5223" s="158">
        <f t="shared" si="868"/>
        <v>27.90566037735849</v>
      </c>
      <c r="V5223" s="160">
        <f t="shared" si="869"/>
        <v>28</v>
      </c>
    </row>
    <row r="5224" spans="1:22" x14ac:dyDescent="0.25">
      <c r="A5224" s="98" t="s">
        <v>19</v>
      </c>
      <c r="B5224" s="98" t="s">
        <v>15</v>
      </c>
      <c r="C5224" s="98">
        <v>15</v>
      </c>
      <c r="D5224" s="98">
        <v>3344</v>
      </c>
      <c r="E5224" s="157">
        <v>41653.443749999999</v>
      </c>
      <c r="F5224" s="157">
        <v>41655.927777777775</v>
      </c>
      <c r="G5224" s="98">
        <v>0</v>
      </c>
      <c r="H5224" s="98">
        <v>530</v>
      </c>
      <c r="I5224" s="98">
        <v>493</v>
      </c>
      <c r="J5224" s="98" t="s">
        <v>2165</v>
      </c>
      <c r="K5224" s="98" t="s">
        <v>1782</v>
      </c>
      <c r="L5224" s="105" t="str">
        <f t="shared" si="860"/>
        <v>Trimble</v>
      </c>
      <c r="M5224" s="105" t="str">
        <f t="shared" si="861"/>
        <v>Outage</v>
      </c>
      <c r="N5224" s="105" t="str">
        <f t="shared" si="862"/>
        <v>Coal</v>
      </c>
      <c r="O5224" s="105">
        <f>IFERROR(VLOOKUP(A5224,Lookup!$J$5:$P$19,7,FALSE),0)</f>
        <v>3</v>
      </c>
      <c r="P5224" s="159">
        <f t="shared" si="863"/>
        <v>2014</v>
      </c>
      <c r="Q5224" s="159">
        <f t="shared" si="864"/>
        <v>1</v>
      </c>
      <c r="R5224" s="160">
        <f t="shared" si="865"/>
        <v>59.616666666639503</v>
      </c>
      <c r="S5224" s="158">
        <f t="shared" si="866"/>
        <v>59.616666666639503</v>
      </c>
      <c r="T5224" s="161">
        <f t="shared" si="867"/>
        <v>29391.016666653275</v>
      </c>
      <c r="U5224" s="158">
        <f t="shared" si="868"/>
        <v>493</v>
      </c>
      <c r="V5224" s="160">
        <f t="shared" si="869"/>
        <v>493</v>
      </c>
    </row>
    <row r="5225" spans="1:22" x14ac:dyDescent="0.25">
      <c r="A5225" s="98" t="s">
        <v>19</v>
      </c>
      <c r="B5225" s="98" t="s">
        <v>17</v>
      </c>
      <c r="C5225" s="98">
        <v>16</v>
      </c>
      <c r="D5225" s="98">
        <v>280</v>
      </c>
      <c r="E5225" s="157">
        <v>41656.638888888891</v>
      </c>
      <c r="F5225" s="157">
        <v>41656.666666666664</v>
      </c>
      <c r="G5225" s="98">
        <v>510</v>
      </c>
      <c r="H5225" s="98">
        <v>530</v>
      </c>
      <c r="I5225" s="98">
        <v>493</v>
      </c>
      <c r="J5225" s="98" t="s">
        <v>1988</v>
      </c>
      <c r="K5225" s="98" t="s">
        <v>1783</v>
      </c>
      <c r="L5225" s="105" t="str">
        <f t="shared" si="860"/>
        <v>Trimble</v>
      </c>
      <c r="M5225" s="105" t="str">
        <f t="shared" si="861"/>
        <v>Derate</v>
      </c>
      <c r="N5225" s="105" t="str">
        <f t="shared" si="862"/>
        <v>Coal</v>
      </c>
      <c r="O5225" s="105">
        <f>IFERROR(VLOOKUP(A5225,Lookup!$J$5:$P$19,7,FALSE),0)</f>
        <v>3</v>
      </c>
      <c r="P5225" s="159">
        <f t="shared" si="863"/>
        <v>2014</v>
      </c>
      <c r="Q5225" s="159">
        <f t="shared" si="864"/>
        <v>1</v>
      </c>
      <c r="R5225" s="160">
        <f t="shared" si="865"/>
        <v>0.6666666665696539</v>
      </c>
      <c r="S5225" s="158">
        <f t="shared" si="866"/>
        <v>2.5157232700741657E-2</v>
      </c>
      <c r="T5225" s="161">
        <f t="shared" si="867"/>
        <v>12.402515721465637</v>
      </c>
      <c r="U5225" s="158">
        <f t="shared" si="868"/>
        <v>18.60377358490566</v>
      </c>
      <c r="V5225" s="160">
        <f t="shared" si="869"/>
        <v>19</v>
      </c>
    </row>
    <row r="5226" spans="1:22" x14ac:dyDescent="0.25">
      <c r="A5226" s="98" t="s">
        <v>19</v>
      </c>
      <c r="B5226" s="98" t="s">
        <v>17</v>
      </c>
      <c r="C5226" s="98">
        <v>17</v>
      </c>
      <c r="D5226" s="98">
        <v>280</v>
      </c>
      <c r="E5226" s="157">
        <v>41656.666666666664</v>
      </c>
      <c r="F5226" s="157">
        <v>41656.697916666664</v>
      </c>
      <c r="G5226" s="98">
        <v>380</v>
      </c>
      <c r="H5226" s="98">
        <v>530</v>
      </c>
      <c r="I5226" s="98">
        <v>493</v>
      </c>
      <c r="J5226" s="98" t="s">
        <v>1988</v>
      </c>
      <c r="K5226" s="98" t="s">
        <v>1784</v>
      </c>
      <c r="L5226" s="105" t="str">
        <f t="shared" si="860"/>
        <v>Trimble</v>
      </c>
      <c r="M5226" s="105" t="str">
        <f t="shared" si="861"/>
        <v>Derate</v>
      </c>
      <c r="N5226" s="105" t="str">
        <f t="shared" si="862"/>
        <v>Coal</v>
      </c>
      <c r="O5226" s="105">
        <f>IFERROR(VLOOKUP(A5226,Lookup!$J$5:$P$19,7,FALSE),0)</f>
        <v>3</v>
      </c>
      <c r="P5226" s="159">
        <f t="shared" si="863"/>
        <v>2014</v>
      </c>
      <c r="Q5226" s="159">
        <f t="shared" si="864"/>
        <v>1</v>
      </c>
      <c r="R5226" s="160">
        <f t="shared" si="865"/>
        <v>0.75</v>
      </c>
      <c r="S5226" s="158">
        <f t="shared" si="866"/>
        <v>0.21226415094339623</v>
      </c>
      <c r="T5226" s="161">
        <f t="shared" si="867"/>
        <v>104.64622641509435</v>
      </c>
      <c r="U5226" s="158">
        <f t="shared" si="868"/>
        <v>139.52830188679246</v>
      </c>
      <c r="V5226" s="160">
        <f t="shared" si="869"/>
        <v>140</v>
      </c>
    </row>
    <row r="5227" spans="1:22" x14ac:dyDescent="0.25">
      <c r="A5227" s="98" t="s">
        <v>19</v>
      </c>
      <c r="B5227" s="98" t="s">
        <v>17</v>
      </c>
      <c r="C5227" s="98">
        <v>18</v>
      </c>
      <c r="D5227" s="98">
        <v>280</v>
      </c>
      <c r="E5227" s="157">
        <v>41656.697916666664</v>
      </c>
      <c r="F5227" s="157">
        <v>41656.819444444445</v>
      </c>
      <c r="G5227" s="98">
        <v>250</v>
      </c>
      <c r="H5227" s="98">
        <v>530</v>
      </c>
      <c r="I5227" s="98">
        <v>493</v>
      </c>
      <c r="J5227" s="98" t="s">
        <v>1988</v>
      </c>
      <c r="K5227" s="98" t="s">
        <v>1785</v>
      </c>
      <c r="L5227" s="105" t="str">
        <f t="shared" si="860"/>
        <v>Trimble</v>
      </c>
      <c r="M5227" s="105" t="str">
        <f t="shared" si="861"/>
        <v>Derate</v>
      </c>
      <c r="N5227" s="105" t="str">
        <f t="shared" si="862"/>
        <v>Coal</v>
      </c>
      <c r="O5227" s="105">
        <f>IFERROR(VLOOKUP(A5227,Lookup!$J$5:$P$19,7,FALSE),0)</f>
        <v>3</v>
      </c>
      <c r="P5227" s="159">
        <f t="shared" si="863"/>
        <v>2014</v>
      </c>
      <c r="Q5227" s="159">
        <f t="shared" si="864"/>
        <v>1</v>
      </c>
      <c r="R5227" s="160">
        <f t="shared" si="865"/>
        <v>2.9166666667442769</v>
      </c>
      <c r="S5227" s="158">
        <f t="shared" si="866"/>
        <v>1.5408805031856556</v>
      </c>
      <c r="T5227" s="161">
        <f t="shared" si="867"/>
        <v>759.65408807052825</v>
      </c>
      <c r="U5227" s="158">
        <f t="shared" si="868"/>
        <v>260.45283018867923</v>
      </c>
      <c r="V5227" s="160">
        <f t="shared" si="869"/>
        <v>260</v>
      </c>
    </row>
    <row r="5228" spans="1:22" x14ac:dyDescent="0.25">
      <c r="A5228" s="98" t="s">
        <v>19</v>
      </c>
      <c r="B5228" s="98" t="s">
        <v>17</v>
      </c>
      <c r="C5228" s="98">
        <v>19</v>
      </c>
      <c r="D5228" s="98">
        <v>280</v>
      </c>
      <c r="E5228" s="157">
        <v>41656.819444444445</v>
      </c>
      <c r="F5228" s="157">
        <v>41656.838888888888</v>
      </c>
      <c r="G5228" s="98">
        <v>480</v>
      </c>
      <c r="H5228" s="98">
        <v>530</v>
      </c>
      <c r="I5228" s="98">
        <v>493</v>
      </c>
      <c r="J5228" s="98" t="s">
        <v>1988</v>
      </c>
      <c r="K5228" s="98" t="s">
        <v>1786</v>
      </c>
      <c r="L5228" s="105" t="str">
        <f t="shared" si="860"/>
        <v>Trimble</v>
      </c>
      <c r="M5228" s="105" t="str">
        <f t="shared" si="861"/>
        <v>Derate</v>
      </c>
      <c r="N5228" s="105" t="str">
        <f t="shared" si="862"/>
        <v>Coal</v>
      </c>
      <c r="O5228" s="105">
        <f>IFERROR(VLOOKUP(A5228,Lookup!$J$5:$P$19,7,FALSE),0)</f>
        <v>3</v>
      </c>
      <c r="P5228" s="159">
        <f t="shared" si="863"/>
        <v>2014</v>
      </c>
      <c r="Q5228" s="159">
        <f t="shared" si="864"/>
        <v>1</v>
      </c>
      <c r="R5228" s="160">
        <f t="shared" si="865"/>
        <v>0.46666666661622003</v>
      </c>
      <c r="S5228" s="158">
        <f t="shared" si="866"/>
        <v>4.4025157227945283E-2</v>
      </c>
      <c r="T5228" s="161">
        <f t="shared" si="867"/>
        <v>21.704402513377026</v>
      </c>
      <c r="U5228" s="158">
        <f t="shared" si="868"/>
        <v>46.509433962264154</v>
      </c>
      <c r="V5228" s="160">
        <f t="shared" si="869"/>
        <v>47</v>
      </c>
    </row>
    <row r="5229" spans="1:22" x14ac:dyDescent="0.25">
      <c r="A5229" s="98" t="s">
        <v>19</v>
      </c>
      <c r="B5229" s="98" t="s">
        <v>79</v>
      </c>
      <c r="C5229" s="98">
        <v>20</v>
      </c>
      <c r="D5229" s="98">
        <v>4267</v>
      </c>
      <c r="E5229" s="157">
        <v>41658.041666666664</v>
      </c>
      <c r="F5229" s="157">
        <v>41658.0625</v>
      </c>
      <c r="G5229" s="98">
        <v>0</v>
      </c>
      <c r="H5229" s="98">
        <v>530</v>
      </c>
      <c r="I5229" s="98">
        <v>493</v>
      </c>
      <c r="J5229" s="98" t="s">
        <v>2025</v>
      </c>
      <c r="K5229" s="98" t="s">
        <v>1787</v>
      </c>
      <c r="L5229" s="105" t="str">
        <f t="shared" si="860"/>
        <v>Trimble</v>
      </c>
      <c r="M5229" s="105" t="str">
        <f t="shared" si="861"/>
        <v>Other</v>
      </c>
      <c r="N5229" s="105" t="str">
        <f t="shared" si="862"/>
        <v>Coal</v>
      </c>
      <c r="O5229" s="105">
        <f>IFERROR(VLOOKUP(A5229,Lookup!$J$5:$P$19,7,FALSE),0)</f>
        <v>3</v>
      </c>
      <c r="P5229" s="159">
        <f t="shared" si="863"/>
        <v>2014</v>
      </c>
      <c r="Q5229" s="159">
        <f t="shared" si="864"/>
        <v>1</v>
      </c>
      <c r="R5229" s="160">
        <f t="shared" si="865"/>
        <v>0.50000000005820766</v>
      </c>
      <c r="S5229" s="158">
        <f t="shared" si="866"/>
        <v>0.50000000005820766</v>
      </c>
      <c r="T5229" s="161">
        <f t="shared" si="867"/>
        <v>246.50000002869638</v>
      </c>
      <c r="U5229" s="158">
        <f t="shared" si="868"/>
        <v>493</v>
      </c>
      <c r="V5229" s="160">
        <f t="shared" si="869"/>
        <v>493</v>
      </c>
    </row>
    <row r="5230" spans="1:22" x14ac:dyDescent="0.25">
      <c r="A5230" s="98" t="s">
        <v>19</v>
      </c>
      <c r="B5230" s="98" t="s">
        <v>79</v>
      </c>
      <c r="C5230" s="98">
        <v>21</v>
      </c>
      <c r="D5230" s="98">
        <v>1489</v>
      </c>
      <c r="E5230" s="157">
        <v>41660.75</v>
      </c>
      <c r="F5230" s="157">
        <v>41660.999305555553</v>
      </c>
      <c r="G5230" s="98">
        <v>0</v>
      </c>
      <c r="H5230" s="98">
        <v>530</v>
      </c>
      <c r="I5230" s="98">
        <v>493</v>
      </c>
      <c r="J5230" s="98" t="s">
        <v>2986</v>
      </c>
      <c r="K5230" s="98" t="s">
        <v>1788</v>
      </c>
      <c r="L5230" s="105" t="str">
        <f t="shared" si="860"/>
        <v>Trimble</v>
      </c>
      <c r="M5230" s="105" t="str">
        <f t="shared" si="861"/>
        <v>Other</v>
      </c>
      <c r="N5230" s="105" t="str">
        <f t="shared" si="862"/>
        <v>Coal</v>
      </c>
      <c r="O5230" s="105">
        <f>IFERROR(VLOOKUP(A5230,Lookup!$J$5:$P$19,7,FALSE),0)</f>
        <v>3</v>
      </c>
      <c r="P5230" s="159">
        <f t="shared" si="863"/>
        <v>2014</v>
      </c>
      <c r="Q5230" s="159">
        <f t="shared" si="864"/>
        <v>1</v>
      </c>
      <c r="R5230" s="160">
        <f t="shared" si="865"/>
        <v>5.9833333332790062</v>
      </c>
      <c r="S5230" s="158">
        <f t="shared" si="866"/>
        <v>5.9833333332790062</v>
      </c>
      <c r="T5230" s="161">
        <f t="shared" si="867"/>
        <v>2949.78333330655</v>
      </c>
      <c r="U5230" s="158">
        <f t="shared" si="868"/>
        <v>493</v>
      </c>
      <c r="V5230" s="160">
        <f t="shared" si="869"/>
        <v>493</v>
      </c>
    </row>
    <row r="5231" spans="1:22" x14ac:dyDescent="0.25">
      <c r="A5231" s="98" t="s">
        <v>19</v>
      </c>
      <c r="B5231" s="98" t="s">
        <v>79</v>
      </c>
      <c r="C5231" s="98">
        <v>22</v>
      </c>
      <c r="D5231" s="98">
        <v>1489</v>
      </c>
      <c r="E5231" s="157">
        <v>41668.25</v>
      </c>
      <c r="F5231" s="157">
        <v>41668.333333333336</v>
      </c>
      <c r="G5231" s="98">
        <v>0</v>
      </c>
      <c r="H5231" s="98">
        <v>530</v>
      </c>
      <c r="I5231" s="98">
        <v>493</v>
      </c>
      <c r="J5231" s="98" t="s">
        <v>2986</v>
      </c>
      <c r="K5231" s="98" t="s">
        <v>1788</v>
      </c>
      <c r="L5231" s="105" t="str">
        <f t="shared" si="860"/>
        <v>Trimble</v>
      </c>
      <c r="M5231" s="105" t="str">
        <f t="shared" si="861"/>
        <v>Other</v>
      </c>
      <c r="N5231" s="105" t="str">
        <f t="shared" si="862"/>
        <v>Coal</v>
      </c>
      <c r="O5231" s="105">
        <f>IFERROR(VLOOKUP(A5231,Lookup!$J$5:$P$19,7,FALSE),0)</f>
        <v>3</v>
      </c>
      <c r="P5231" s="159">
        <f t="shared" si="863"/>
        <v>2014</v>
      </c>
      <c r="Q5231" s="159">
        <f t="shared" si="864"/>
        <v>1</v>
      </c>
      <c r="R5231" s="160">
        <f t="shared" si="865"/>
        <v>2.0000000000582077</v>
      </c>
      <c r="S5231" s="158">
        <f t="shared" si="866"/>
        <v>2.0000000000582077</v>
      </c>
      <c r="T5231" s="161">
        <f t="shared" si="867"/>
        <v>986.00000002869638</v>
      </c>
      <c r="U5231" s="158">
        <f t="shared" si="868"/>
        <v>493</v>
      </c>
      <c r="V5231" s="160">
        <f t="shared" si="869"/>
        <v>493</v>
      </c>
    </row>
    <row r="5232" spans="1:22" x14ac:dyDescent="0.25">
      <c r="A5232" s="98" t="s">
        <v>19</v>
      </c>
      <c r="B5232" s="98" t="s">
        <v>79</v>
      </c>
      <c r="C5232" s="98">
        <v>23</v>
      </c>
      <c r="D5232" s="98">
        <v>9999</v>
      </c>
      <c r="E5232" s="157">
        <v>41668.333333333336</v>
      </c>
      <c r="F5232" s="157">
        <v>41668.416666666664</v>
      </c>
      <c r="G5232" s="98">
        <v>0</v>
      </c>
      <c r="H5232" s="98">
        <v>530</v>
      </c>
      <c r="I5232" s="98">
        <v>493</v>
      </c>
      <c r="J5232" s="98" t="s">
        <v>2261</v>
      </c>
      <c r="K5232" s="98" t="s">
        <v>1789</v>
      </c>
      <c r="L5232" s="105" t="str">
        <f t="shared" si="860"/>
        <v>Trimble</v>
      </c>
      <c r="M5232" s="105" t="str">
        <f t="shared" si="861"/>
        <v>Other</v>
      </c>
      <c r="N5232" s="105" t="str">
        <f t="shared" si="862"/>
        <v>Coal</v>
      </c>
      <c r="O5232" s="105">
        <f>IFERROR(VLOOKUP(A5232,Lookup!$J$5:$P$19,7,FALSE),0)</f>
        <v>3</v>
      </c>
      <c r="P5232" s="159">
        <f t="shared" si="863"/>
        <v>2014</v>
      </c>
      <c r="Q5232" s="159">
        <f t="shared" si="864"/>
        <v>1</v>
      </c>
      <c r="R5232" s="160">
        <f t="shared" si="865"/>
        <v>1.9999999998835847</v>
      </c>
      <c r="S5232" s="158">
        <f t="shared" si="866"/>
        <v>1.9999999998835847</v>
      </c>
      <c r="T5232" s="161">
        <f t="shared" si="867"/>
        <v>985.99999994260725</v>
      </c>
      <c r="U5232" s="158">
        <f t="shared" si="868"/>
        <v>493</v>
      </c>
      <c r="V5232" s="160">
        <f t="shared" si="869"/>
        <v>493</v>
      </c>
    </row>
    <row r="5233" spans="1:22" x14ac:dyDescent="0.25">
      <c r="A5233" s="98" t="s">
        <v>19</v>
      </c>
      <c r="B5233" s="98" t="s">
        <v>79</v>
      </c>
      <c r="C5233" s="98">
        <v>24</v>
      </c>
      <c r="D5233" s="98">
        <v>1489</v>
      </c>
      <c r="E5233" s="157">
        <v>41668.416666666664</v>
      </c>
      <c r="F5233" s="157">
        <v>41668.609027777777</v>
      </c>
      <c r="G5233" s="98">
        <v>0</v>
      </c>
      <c r="H5233" s="98">
        <v>530</v>
      </c>
      <c r="I5233" s="98">
        <v>493</v>
      </c>
      <c r="J5233" s="98" t="s">
        <v>2986</v>
      </c>
      <c r="K5233" s="98" t="s">
        <v>1788</v>
      </c>
      <c r="L5233" s="105" t="str">
        <f t="shared" si="860"/>
        <v>Trimble</v>
      </c>
      <c r="M5233" s="105" t="str">
        <f t="shared" si="861"/>
        <v>Other</v>
      </c>
      <c r="N5233" s="105" t="str">
        <f t="shared" si="862"/>
        <v>Coal</v>
      </c>
      <c r="O5233" s="105">
        <f>IFERROR(VLOOKUP(A5233,Lookup!$J$5:$P$19,7,FALSE),0)</f>
        <v>3</v>
      </c>
      <c r="P5233" s="159">
        <f t="shared" si="863"/>
        <v>2014</v>
      </c>
      <c r="Q5233" s="159">
        <f t="shared" si="864"/>
        <v>1</v>
      </c>
      <c r="R5233" s="160">
        <f t="shared" si="865"/>
        <v>4.6166666666977108</v>
      </c>
      <c r="S5233" s="158">
        <f t="shared" si="866"/>
        <v>4.6166666666977108</v>
      </c>
      <c r="T5233" s="161">
        <f t="shared" si="867"/>
        <v>2276.0166666819714</v>
      </c>
      <c r="U5233" s="158">
        <f t="shared" si="868"/>
        <v>493</v>
      </c>
      <c r="V5233" s="160">
        <f t="shared" si="869"/>
        <v>493</v>
      </c>
    </row>
    <row r="5234" spans="1:22" x14ac:dyDescent="0.25">
      <c r="A5234" s="98" t="s">
        <v>19</v>
      </c>
      <c r="B5234" s="98" t="s">
        <v>79</v>
      </c>
      <c r="C5234" s="98">
        <v>25</v>
      </c>
      <c r="D5234" s="98">
        <v>1489</v>
      </c>
      <c r="E5234" s="157">
        <v>41670.541666666664</v>
      </c>
      <c r="F5234" s="157">
        <v>41670.833333333336</v>
      </c>
      <c r="G5234" s="98">
        <v>0</v>
      </c>
      <c r="H5234" s="98">
        <v>530</v>
      </c>
      <c r="I5234" s="98">
        <v>493</v>
      </c>
      <c r="J5234" s="98" t="s">
        <v>2986</v>
      </c>
      <c r="K5234" s="98" t="s">
        <v>1790</v>
      </c>
      <c r="L5234" s="105" t="str">
        <f t="shared" si="860"/>
        <v>Trimble</v>
      </c>
      <c r="M5234" s="105" t="str">
        <f t="shared" si="861"/>
        <v>Other</v>
      </c>
      <c r="N5234" s="105" t="str">
        <f t="shared" si="862"/>
        <v>Coal</v>
      </c>
      <c r="O5234" s="105">
        <f>IFERROR(VLOOKUP(A5234,Lookup!$J$5:$P$19,7,FALSE),0)</f>
        <v>3</v>
      </c>
      <c r="P5234" s="159">
        <f t="shared" si="863"/>
        <v>2014</v>
      </c>
      <c r="Q5234" s="159">
        <f t="shared" si="864"/>
        <v>1</v>
      </c>
      <c r="R5234" s="160">
        <f t="shared" si="865"/>
        <v>7.0000000001164153</v>
      </c>
      <c r="S5234" s="158">
        <f t="shared" si="866"/>
        <v>7.0000000001164153</v>
      </c>
      <c r="T5234" s="161">
        <f t="shared" si="867"/>
        <v>3451.0000000573928</v>
      </c>
      <c r="U5234" s="158">
        <f t="shared" si="868"/>
        <v>493</v>
      </c>
      <c r="V5234" s="160">
        <f t="shared" si="869"/>
        <v>493</v>
      </c>
    </row>
    <row r="5235" spans="1:22" x14ac:dyDescent="0.25">
      <c r="A5235" s="98" t="s">
        <v>19</v>
      </c>
      <c r="B5235" s="98" t="s">
        <v>79</v>
      </c>
      <c r="C5235" s="98">
        <v>147</v>
      </c>
      <c r="D5235" s="98">
        <v>1489</v>
      </c>
      <c r="E5235" s="157">
        <v>41670.541666666664</v>
      </c>
      <c r="F5235" s="157">
        <v>41670.833333333336</v>
      </c>
      <c r="G5235" s="98">
        <v>0</v>
      </c>
      <c r="H5235" s="98">
        <v>530</v>
      </c>
      <c r="I5235" s="98">
        <v>493</v>
      </c>
      <c r="J5235" s="98" t="s">
        <v>2986</v>
      </c>
      <c r="K5235" s="98" t="s">
        <v>1791</v>
      </c>
      <c r="L5235" s="105" t="str">
        <f t="shared" si="860"/>
        <v>Trimble</v>
      </c>
      <c r="M5235" s="105" t="str">
        <f t="shared" si="861"/>
        <v>Other</v>
      </c>
      <c r="N5235" s="105" t="str">
        <f t="shared" si="862"/>
        <v>Coal</v>
      </c>
      <c r="O5235" s="105">
        <f>IFERROR(VLOOKUP(A5235,Lookup!$J$5:$P$19,7,FALSE),0)</f>
        <v>3</v>
      </c>
      <c r="P5235" s="159">
        <f t="shared" si="863"/>
        <v>2014</v>
      </c>
      <c r="Q5235" s="159">
        <f t="shared" si="864"/>
        <v>1</v>
      </c>
      <c r="R5235" s="160">
        <f t="shared" si="865"/>
        <v>7.0000000001164153</v>
      </c>
      <c r="S5235" s="158">
        <f t="shared" si="866"/>
        <v>7.0000000001164153</v>
      </c>
      <c r="T5235" s="161">
        <f t="shared" si="867"/>
        <v>3451.0000000573928</v>
      </c>
      <c r="U5235" s="158">
        <f t="shared" si="868"/>
        <v>493</v>
      </c>
      <c r="V5235" s="160">
        <f t="shared" si="869"/>
        <v>493</v>
      </c>
    </row>
    <row r="5236" spans="1:22" x14ac:dyDescent="0.25">
      <c r="A5236" s="98" t="s">
        <v>19</v>
      </c>
      <c r="B5236" s="98" t="s">
        <v>79</v>
      </c>
      <c r="C5236" s="98">
        <v>26</v>
      </c>
      <c r="D5236" s="98">
        <v>9999</v>
      </c>
      <c r="E5236" s="157">
        <v>41675.447916666664</v>
      </c>
      <c r="F5236" s="157">
        <v>41675.68472222222</v>
      </c>
      <c r="G5236" s="98">
        <v>0</v>
      </c>
      <c r="H5236" s="98">
        <v>530</v>
      </c>
      <c r="I5236" s="98">
        <v>493</v>
      </c>
      <c r="J5236" s="98" t="s">
        <v>2261</v>
      </c>
      <c r="K5236" s="98" t="s">
        <v>1792</v>
      </c>
      <c r="L5236" s="105" t="str">
        <f t="shared" si="860"/>
        <v>Trimble</v>
      </c>
      <c r="M5236" s="105" t="str">
        <f t="shared" si="861"/>
        <v>Other</v>
      </c>
      <c r="N5236" s="105" t="str">
        <f t="shared" si="862"/>
        <v>Coal</v>
      </c>
      <c r="O5236" s="105">
        <f>IFERROR(VLOOKUP(A5236,Lookup!$J$5:$P$19,7,FALSE),0)</f>
        <v>3</v>
      </c>
      <c r="P5236" s="159">
        <f t="shared" si="863"/>
        <v>2014</v>
      </c>
      <c r="Q5236" s="159">
        <f t="shared" si="864"/>
        <v>2</v>
      </c>
      <c r="R5236" s="160">
        <f t="shared" si="865"/>
        <v>5.6833333333488554</v>
      </c>
      <c r="S5236" s="158">
        <f t="shared" si="866"/>
        <v>5.6833333333488554</v>
      </c>
      <c r="T5236" s="161">
        <f t="shared" si="867"/>
        <v>2801.8833333409857</v>
      </c>
      <c r="U5236" s="158">
        <f t="shared" si="868"/>
        <v>493</v>
      </c>
      <c r="V5236" s="160">
        <f t="shared" si="869"/>
        <v>493</v>
      </c>
    </row>
    <row r="5237" spans="1:22" x14ac:dyDescent="0.25">
      <c r="A5237" s="98" t="s">
        <v>19</v>
      </c>
      <c r="B5237" s="98" t="s">
        <v>17</v>
      </c>
      <c r="C5237" s="98">
        <v>27</v>
      </c>
      <c r="D5237" s="98">
        <v>310</v>
      </c>
      <c r="E5237" s="157">
        <v>41680.306944444441</v>
      </c>
      <c r="F5237" s="157">
        <v>41680.322916666664</v>
      </c>
      <c r="G5237" s="98">
        <v>500</v>
      </c>
      <c r="H5237" s="98">
        <v>530</v>
      </c>
      <c r="I5237" s="98">
        <v>493</v>
      </c>
      <c r="J5237" s="98" t="s">
        <v>1966</v>
      </c>
      <c r="K5237" s="98" t="s">
        <v>1793</v>
      </c>
      <c r="L5237" s="105" t="str">
        <f t="shared" si="860"/>
        <v>Trimble</v>
      </c>
      <c r="M5237" s="105" t="str">
        <f t="shared" si="861"/>
        <v>Derate</v>
      </c>
      <c r="N5237" s="105" t="str">
        <f t="shared" si="862"/>
        <v>Coal</v>
      </c>
      <c r="O5237" s="105">
        <f>IFERROR(VLOOKUP(A5237,Lookup!$J$5:$P$19,7,FALSE),0)</f>
        <v>3</v>
      </c>
      <c r="P5237" s="159">
        <f t="shared" si="863"/>
        <v>2014</v>
      </c>
      <c r="Q5237" s="159">
        <f t="shared" si="864"/>
        <v>2</v>
      </c>
      <c r="R5237" s="160">
        <f t="shared" si="865"/>
        <v>0.38333333336049691</v>
      </c>
      <c r="S5237" s="158">
        <f t="shared" si="866"/>
        <v>2.169811320908473E-2</v>
      </c>
      <c r="T5237" s="161">
        <f t="shared" si="867"/>
        <v>10.697169812078773</v>
      </c>
      <c r="U5237" s="158">
        <f t="shared" si="868"/>
        <v>27.90566037735849</v>
      </c>
      <c r="V5237" s="160">
        <f t="shared" si="869"/>
        <v>28</v>
      </c>
    </row>
    <row r="5238" spans="1:22" x14ac:dyDescent="0.25">
      <c r="A5238" s="98" t="s">
        <v>19</v>
      </c>
      <c r="B5238" s="98" t="s">
        <v>17</v>
      </c>
      <c r="C5238" s="98">
        <v>28</v>
      </c>
      <c r="D5238" s="98">
        <v>310</v>
      </c>
      <c r="E5238" s="157">
        <v>41680.416666666664</v>
      </c>
      <c r="F5238" s="157">
        <v>41680.581944444442</v>
      </c>
      <c r="G5238" s="98">
        <v>500</v>
      </c>
      <c r="H5238" s="98">
        <v>530</v>
      </c>
      <c r="I5238" s="98">
        <v>493</v>
      </c>
      <c r="J5238" s="98" t="s">
        <v>1966</v>
      </c>
      <c r="K5238" s="98" t="s">
        <v>1794</v>
      </c>
      <c r="L5238" s="105" t="str">
        <f t="shared" si="860"/>
        <v>Trimble</v>
      </c>
      <c r="M5238" s="105" t="str">
        <f t="shared" si="861"/>
        <v>Derate</v>
      </c>
      <c r="N5238" s="105" t="str">
        <f t="shared" si="862"/>
        <v>Coal</v>
      </c>
      <c r="O5238" s="105">
        <f>IFERROR(VLOOKUP(A5238,Lookup!$J$5:$P$19,7,FALSE),0)</f>
        <v>3</v>
      </c>
      <c r="P5238" s="159">
        <f t="shared" si="863"/>
        <v>2014</v>
      </c>
      <c r="Q5238" s="159">
        <f t="shared" si="864"/>
        <v>2</v>
      </c>
      <c r="R5238" s="160">
        <f t="shared" si="865"/>
        <v>3.9666666666744277</v>
      </c>
      <c r="S5238" s="158">
        <f t="shared" si="866"/>
        <v>0.22452830188723175</v>
      </c>
      <c r="T5238" s="161">
        <f t="shared" si="867"/>
        <v>110.69245283040524</v>
      </c>
      <c r="U5238" s="158">
        <f t="shared" si="868"/>
        <v>27.90566037735849</v>
      </c>
      <c r="V5238" s="160">
        <f t="shared" si="869"/>
        <v>28</v>
      </c>
    </row>
    <row r="5239" spans="1:22" x14ac:dyDescent="0.25">
      <c r="A5239" s="98" t="s">
        <v>19</v>
      </c>
      <c r="B5239" s="98" t="s">
        <v>17</v>
      </c>
      <c r="C5239" s="98">
        <v>29</v>
      </c>
      <c r="D5239" s="98">
        <v>310</v>
      </c>
      <c r="E5239" s="157">
        <v>41681.928472222222</v>
      </c>
      <c r="F5239" s="157">
        <v>41681.979166666664</v>
      </c>
      <c r="G5239" s="98">
        <v>500</v>
      </c>
      <c r="H5239" s="98">
        <v>530</v>
      </c>
      <c r="I5239" s="98">
        <v>493</v>
      </c>
      <c r="J5239" s="98" t="s">
        <v>1966</v>
      </c>
      <c r="K5239" s="98" t="s">
        <v>1795</v>
      </c>
      <c r="L5239" s="105" t="str">
        <f t="shared" si="860"/>
        <v>Trimble</v>
      </c>
      <c r="M5239" s="105" t="str">
        <f t="shared" si="861"/>
        <v>Derate</v>
      </c>
      <c r="N5239" s="105" t="str">
        <f t="shared" si="862"/>
        <v>Coal</v>
      </c>
      <c r="O5239" s="105">
        <f>IFERROR(VLOOKUP(A5239,Lookup!$J$5:$P$19,7,FALSE),0)</f>
        <v>3</v>
      </c>
      <c r="P5239" s="159">
        <f t="shared" si="863"/>
        <v>2014</v>
      </c>
      <c r="Q5239" s="159">
        <f t="shared" si="864"/>
        <v>2</v>
      </c>
      <c r="R5239" s="160">
        <f t="shared" si="865"/>
        <v>1.21666666661622</v>
      </c>
      <c r="S5239" s="158">
        <f t="shared" si="866"/>
        <v>6.886792452544642E-2</v>
      </c>
      <c r="T5239" s="161">
        <f t="shared" si="867"/>
        <v>33.951886791045084</v>
      </c>
      <c r="U5239" s="158">
        <f t="shared" si="868"/>
        <v>27.90566037735849</v>
      </c>
      <c r="V5239" s="160">
        <f t="shared" si="869"/>
        <v>28</v>
      </c>
    </row>
    <row r="5240" spans="1:22" x14ac:dyDescent="0.25">
      <c r="A5240" s="98" t="s">
        <v>19</v>
      </c>
      <c r="B5240" s="98" t="s">
        <v>79</v>
      </c>
      <c r="C5240" s="98">
        <v>30</v>
      </c>
      <c r="D5240" s="98">
        <v>9999</v>
      </c>
      <c r="E5240" s="157">
        <v>41689.333333333336</v>
      </c>
      <c r="F5240" s="157">
        <v>41689.583333333336</v>
      </c>
      <c r="G5240" s="98">
        <v>0</v>
      </c>
      <c r="H5240" s="98">
        <v>530</v>
      </c>
      <c r="I5240" s="98">
        <v>493</v>
      </c>
      <c r="J5240" s="98" t="s">
        <v>2261</v>
      </c>
      <c r="K5240" s="98" t="s">
        <v>1796</v>
      </c>
      <c r="L5240" s="105" t="str">
        <f t="shared" si="860"/>
        <v>Trimble</v>
      </c>
      <c r="M5240" s="105" t="str">
        <f t="shared" si="861"/>
        <v>Other</v>
      </c>
      <c r="N5240" s="105" t="str">
        <f t="shared" si="862"/>
        <v>Coal</v>
      </c>
      <c r="O5240" s="105">
        <f>IFERROR(VLOOKUP(A5240,Lookup!$J$5:$P$19,7,FALSE),0)</f>
        <v>3</v>
      </c>
      <c r="P5240" s="159">
        <f t="shared" si="863"/>
        <v>2014</v>
      </c>
      <c r="Q5240" s="159">
        <f t="shared" si="864"/>
        <v>2</v>
      </c>
      <c r="R5240" s="160">
        <f t="shared" si="865"/>
        <v>6</v>
      </c>
      <c r="S5240" s="158">
        <f t="shared" si="866"/>
        <v>6</v>
      </c>
      <c r="T5240" s="161">
        <f t="shared" si="867"/>
        <v>2958</v>
      </c>
      <c r="U5240" s="158">
        <f t="shared" si="868"/>
        <v>493</v>
      </c>
      <c r="V5240" s="160">
        <f t="shared" si="869"/>
        <v>493</v>
      </c>
    </row>
    <row r="5241" spans="1:22" x14ac:dyDescent="0.25">
      <c r="A5241" s="98" t="s">
        <v>19</v>
      </c>
      <c r="B5241" s="98" t="s">
        <v>79</v>
      </c>
      <c r="C5241" s="98">
        <v>31</v>
      </c>
      <c r="D5241" s="98">
        <v>510</v>
      </c>
      <c r="E5241" s="157">
        <v>41700.041666666664</v>
      </c>
      <c r="F5241" s="157">
        <v>41700.055555555555</v>
      </c>
      <c r="G5241" s="98">
        <v>0</v>
      </c>
      <c r="H5241" s="98">
        <v>530</v>
      </c>
      <c r="I5241" s="98">
        <v>493</v>
      </c>
      <c r="J5241" s="98" t="s">
        <v>3188</v>
      </c>
      <c r="K5241" s="98" t="s">
        <v>1797</v>
      </c>
      <c r="L5241" s="105" t="str">
        <f t="shared" si="860"/>
        <v>Trimble</v>
      </c>
      <c r="M5241" s="105" t="str">
        <f t="shared" si="861"/>
        <v>Other</v>
      </c>
      <c r="N5241" s="105" t="str">
        <f t="shared" si="862"/>
        <v>Coal</v>
      </c>
      <c r="O5241" s="105">
        <f>IFERROR(VLOOKUP(A5241,Lookup!$J$5:$P$19,7,FALSE),0)</f>
        <v>3</v>
      </c>
      <c r="P5241" s="159">
        <f t="shared" si="863"/>
        <v>2014</v>
      </c>
      <c r="Q5241" s="159">
        <f t="shared" si="864"/>
        <v>3</v>
      </c>
      <c r="R5241" s="160">
        <f t="shared" si="865"/>
        <v>0.33333333337213844</v>
      </c>
      <c r="S5241" s="158">
        <f t="shared" si="866"/>
        <v>0.33333333337213844</v>
      </c>
      <c r="T5241" s="161">
        <f t="shared" si="867"/>
        <v>164.33333335246425</v>
      </c>
      <c r="U5241" s="158">
        <f t="shared" si="868"/>
        <v>493</v>
      </c>
      <c r="V5241" s="160">
        <f t="shared" si="869"/>
        <v>493</v>
      </c>
    </row>
    <row r="5242" spans="1:22" x14ac:dyDescent="0.25">
      <c r="A5242" s="98" t="s">
        <v>19</v>
      </c>
      <c r="B5242" s="98" t="s">
        <v>15</v>
      </c>
      <c r="C5242" s="98">
        <v>32</v>
      </c>
      <c r="D5242" s="98">
        <v>1471</v>
      </c>
      <c r="E5242" s="157">
        <v>41704.04583333333</v>
      </c>
      <c r="F5242" s="157">
        <v>41704.533333333333</v>
      </c>
      <c r="G5242" s="98">
        <v>0</v>
      </c>
      <c r="H5242" s="98">
        <v>530</v>
      </c>
      <c r="I5242" s="98">
        <v>493</v>
      </c>
      <c r="J5242" s="98" t="s">
        <v>2279</v>
      </c>
      <c r="K5242" s="98" t="s">
        <v>1798</v>
      </c>
      <c r="L5242" s="105" t="str">
        <f t="shared" si="860"/>
        <v>Trimble</v>
      </c>
      <c r="M5242" s="105" t="str">
        <f t="shared" si="861"/>
        <v>Outage</v>
      </c>
      <c r="N5242" s="105" t="str">
        <f t="shared" si="862"/>
        <v>Coal</v>
      </c>
      <c r="O5242" s="105">
        <f>IFERROR(VLOOKUP(A5242,Lookup!$J$5:$P$19,7,FALSE),0)</f>
        <v>3</v>
      </c>
      <c r="P5242" s="159">
        <f t="shared" si="863"/>
        <v>2014</v>
      </c>
      <c r="Q5242" s="159">
        <f t="shared" si="864"/>
        <v>3</v>
      </c>
      <c r="R5242" s="160">
        <f t="shared" si="865"/>
        <v>11.700000000069849</v>
      </c>
      <c r="S5242" s="158">
        <f t="shared" si="866"/>
        <v>11.700000000069849</v>
      </c>
      <c r="T5242" s="161">
        <f t="shared" si="867"/>
        <v>5768.1000000344357</v>
      </c>
      <c r="U5242" s="158">
        <f t="shared" si="868"/>
        <v>493</v>
      </c>
      <c r="V5242" s="160">
        <f t="shared" si="869"/>
        <v>493</v>
      </c>
    </row>
    <row r="5243" spans="1:22" x14ac:dyDescent="0.25">
      <c r="A5243" s="98" t="s">
        <v>19</v>
      </c>
      <c r="B5243" s="98" t="s">
        <v>17</v>
      </c>
      <c r="C5243" s="98">
        <v>33</v>
      </c>
      <c r="D5243" s="98">
        <v>280</v>
      </c>
      <c r="E5243" s="157">
        <v>41707.375</v>
      </c>
      <c r="F5243" s="157">
        <v>41707.427083333336</v>
      </c>
      <c r="G5243" s="98">
        <v>500</v>
      </c>
      <c r="H5243" s="98">
        <v>530</v>
      </c>
      <c r="I5243" s="98">
        <v>493</v>
      </c>
      <c r="J5243" s="98" t="s">
        <v>1988</v>
      </c>
      <c r="K5243" s="98" t="s">
        <v>1799</v>
      </c>
      <c r="L5243" s="105" t="str">
        <f t="shared" si="860"/>
        <v>Trimble</v>
      </c>
      <c r="M5243" s="105" t="str">
        <f t="shared" si="861"/>
        <v>Derate</v>
      </c>
      <c r="N5243" s="105" t="str">
        <f t="shared" si="862"/>
        <v>Coal</v>
      </c>
      <c r="O5243" s="105">
        <f>IFERROR(VLOOKUP(A5243,Lookup!$J$5:$P$19,7,FALSE),0)</f>
        <v>3</v>
      </c>
      <c r="P5243" s="159">
        <f t="shared" si="863"/>
        <v>2014</v>
      </c>
      <c r="Q5243" s="159">
        <f t="shared" si="864"/>
        <v>3</v>
      </c>
      <c r="R5243" s="160">
        <f t="shared" si="865"/>
        <v>1.2500000000582077</v>
      </c>
      <c r="S5243" s="158">
        <f t="shared" si="866"/>
        <v>7.0754716984426855E-2</v>
      </c>
      <c r="T5243" s="161">
        <f t="shared" si="867"/>
        <v>34.882075473322438</v>
      </c>
      <c r="U5243" s="158">
        <f t="shared" si="868"/>
        <v>27.90566037735849</v>
      </c>
      <c r="V5243" s="160">
        <f t="shared" si="869"/>
        <v>28</v>
      </c>
    </row>
    <row r="5244" spans="1:22" x14ac:dyDescent="0.25">
      <c r="A5244" s="98" t="s">
        <v>19</v>
      </c>
      <c r="B5244" s="98" t="s">
        <v>17</v>
      </c>
      <c r="C5244" s="98">
        <v>34</v>
      </c>
      <c r="D5244" s="98">
        <v>310</v>
      </c>
      <c r="E5244" s="157">
        <v>41707.427083333336</v>
      </c>
      <c r="F5244" s="157">
        <v>41707.53125</v>
      </c>
      <c r="G5244" s="98">
        <v>500</v>
      </c>
      <c r="H5244" s="98">
        <v>530</v>
      </c>
      <c r="I5244" s="98">
        <v>493</v>
      </c>
      <c r="J5244" s="98" t="s">
        <v>1966</v>
      </c>
      <c r="K5244" s="98" t="s">
        <v>1800</v>
      </c>
      <c r="L5244" s="105" t="str">
        <f t="shared" si="860"/>
        <v>Trimble</v>
      </c>
      <c r="M5244" s="105" t="str">
        <f t="shared" si="861"/>
        <v>Derate</v>
      </c>
      <c r="N5244" s="105" t="str">
        <f t="shared" si="862"/>
        <v>Coal</v>
      </c>
      <c r="O5244" s="105">
        <f>IFERROR(VLOOKUP(A5244,Lookup!$J$5:$P$19,7,FALSE),0)</f>
        <v>3</v>
      </c>
      <c r="P5244" s="159">
        <f t="shared" si="863"/>
        <v>2014</v>
      </c>
      <c r="Q5244" s="159">
        <f t="shared" si="864"/>
        <v>3</v>
      </c>
      <c r="R5244" s="160">
        <f t="shared" si="865"/>
        <v>2.4999999999417923</v>
      </c>
      <c r="S5244" s="158">
        <f t="shared" si="866"/>
        <v>0.14150943395896937</v>
      </c>
      <c r="T5244" s="161">
        <f t="shared" si="867"/>
        <v>69.764150941771902</v>
      </c>
      <c r="U5244" s="158">
        <f t="shared" si="868"/>
        <v>27.90566037735849</v>
      </c>
      <c r="V5244" s="160">
        <f t="shared" si="869"/>
        <v>28</v>
      </c>
    </row>
    <row r="5245" spans="1:22" x14ac:dyDescent="0.25">
      <c r="A5245" s="98" t="s">
        <v>19</v>
      </c>
      <c r="B5245" s="98" t="s">
        <v>17</v>
      </c>
      <c r="C5245" s="98">
        <v>35</v>
      </c>
      <c r="D5245" s="98">
        <v>340</v>
      </c>
      <c r="E5245" s="157">
        <v>41711.34375</v>
      </c>
      <c r="F5245" s="157">
        <v>41711.430555555555</v>
      </c>
      <c r="G5245" s="98">
        <v>510</v>
      </c>
      <c r="H5245" s="98">
        <v>530</v>
      </c>
      <c r="I5245" s="98">
        <v>493</v>
      </c>
      <c r="J5245" s="98" t="s">
        <v>1970</v>
      </c>
      <c r="K5245" s="98" t="s">
        <v>1801</v>
      </c>
      <c r="L5245" s="105" t="str">
        <f t="shared" si="860"/>
        <v>Trimble</v>
      </c>
      <c r="M5245" s="105" t="str">
        <f t="shared" si="861"/>
        <v>Derate</v>
      </c>
      <c r="N5245" s="105" t="str">
        <f t="shared" si="862"/>
        <v>Coal</v>
      </c>
      <c r="O5245" s="105">
        <f>IFERROR(VLOOKUP(A5245,Lookup!$J$5:$P$19,7,FALSE),0)</f>
        <v>3</v>
      </c>
      <c r="P5245" s="159">
        <f t="shared" si="863"/>
        <v>2014</v>
      </c>
      <c r="Q5245" s="159">
        <f t="shared" si="864"/>
        <v>3</v>
      </c>
      <c r="R5245" s="160">
        <f t="shared" si="865"/>
        <v>2.0833333333139308</v>
      </c>
      <c r="S5245" s="158">
        <f t="shared" si="866"/>
        <v>7.8616352200525694E-2</v>
      </c>
      <c r="T5245" s="161">
        <f t="shared" si="867"/>
        <v>38.757861634859168</v>
      </c>
      <c r="U5245" s="158">
        <f t="shared" si="868"/>
        <v>18.60377358490566</v>
      </c>
      <c r="V5245" s="160">
        <f t="shared" si="869"/>
        <v>19</v>
      </c>
    </row>
    <row r="5246" spans="1:22" x14ac:dyDescent="0.25">
      <c r="A5246" s="98" t="s">
        <v>19</v>
      </c>
      <c r="B5246" s="98" t="s">
        <v>17</v>
      </c>
      <c r="C5246" s="98">
        <v>36</v>
      </c>
      <c r="D5246" s="98">
        <v>280</v>
      </c>
      <c r="E5246" s="157">
        <v>41711.430555555555</v>
      </c>
      <c r="F5246" s="157">
        <v>41711.448611111111</v>
      </c>
      <c r="G5246" s="98">
        <v>435</v>
      </c>
      <c r="H5246" s="98">
        <v>530</v>
      </c>
      <c r="I5246" s="98">
        <v>493</v>
      </c>
      <c r="J5246" s="98" t="s">
        <v>1988</v>
      </c>
      <c r="K5246" s="98" t="s">
        <v>1802</v>
      </c>
      <c r="L5246" s="105" t="str">
        <f t="shared" si="860"/>
        <v>Trimble</v>
      </c>
      <c r="M5246" s="105" t="str">
        <f t="shared" si="861"/>
        <v>Derate</v>
      </c>
      <c r="N5246" s="105" t="str">
        <f t="shared" si="862"/>
        <v>Coal</v>
      </c>
      <c r="O5246" s="105">
        <f>IFERROR(VLOOKUP(A5246,Lookup!$J$5:$P$19,7,FALSE),0)</f>
        <v>3</v>
      </c>
      <c r="P5246" s="159">
        <f t="shared" si="863"/>
        <v>2014</v>
      </c>
      <c r="Q5246" s="159">
        <f t="shared" si="864"/>
        <v>3</v>
      </c>
      <c r="R5246" s="160">
        <f t="shared" si="865"/>
        <v>0.43333333334885538</v>
      </c>
      <c r="S5246" s="158">
        <f t="shared" si="866"/>
        <v>7.7672955977625024E-2</v>
      </c>
      <c r="T5246" s="161">
        <f t="shared" si="867"/>
        <v>38.292767296969139</v>
      </c>
      <c r="U5246" s="158">
        <f t="shared" si="868"/>
        <v>88.367924528301884</v>
      </c>
      <c r="V5246" s="160">
        <f t="shared" si="869"/>
        <v>88</v>
      </c>
    </row>
    <row r="5247" spans="1:22" x14ac:dyDescent="0.25">
      <c r="A5247" s="98" t="s">
        <v>19</v>
      </c>
      <c r="B5247" s="98" t="s">
        <v>17</v>
      </c>
      <c r="C5247" s="98">
        <v>37</v>
      </c>
      <c r="D5247" s="98">
        <v>340</v>
      </c>
      <c r="E5247" s="157">
        <v>41711.448611111111</v>
      </c>
      <c r="F5247" s="157">
        <v>41711.479166666664</v>
      </c>
      <c r="G5247" s="98">
        <v>510</v>
      </c>
      <c r="H5247" s="98">
        <v>530</v>
      </c>
      <c r="I5247" s="98">
        <v>493</v>
      </c>
      <c r="J5247" s="98" t="s">
        <v>1970</v>
      </c>
      <c r="K5247" s="98" t="s">
        <v>1803</v>
      </c>
      <c r="L5247" s="105" t="str">
        <f t="shared" si="860"/>
        <v>Trimble</v>
      </c>
      <c r="M5247" s="105" t="str">
        <f t="shared" si="861"/>
        <v>Derate</v>
      </c>
      <c r="N5247" s="105" t="str">
        <f t="shared" si="862"/>
        <v>Coal</v>
      </c>
      <c r="O5247" s="105">
        <f>IFERROR(VLOOKUP(A5247,Lookup!$J$5:$P$19,7,FALSE),0)</f>
        <v>3</v>
      </c>
      <c r="P5247" s="159">
        <f t="shared" si="863"/>
        <v>2014</v>
      </c>
      <c r="Q5247" s="159">
        <f t="shared" si="864"/>
        <v>3</v>
      </c>
      <c r="R5247" s="160">
        <f t="shared" si="865"/>
        <v>0.73333333327900618</v>
      </c>
      <c r="S5247" s="158">
        <f t="shared" si="866"/>
        <v>2.7672955972792686E-2</v>
      </c>
      <c r="T5247" s="161">
        <f t="shared" si="867"/>
        <v>13.642767294586793</v>
      </c>
      <c r="U5247" s="158">
        <f t="shared" si="868"/>
        <v>18.60377358490566</v>
      </c>
      <c r="V5247" s="160">
        <f t="shared" si="869"/>
        <v>19</v>
      </c>
    </row>
    <row r="5248" spans="1:22" x14ac:dyDescent="0.25">
      <c r="A5248" s="98" t="s">
        <v>19</v>
      </c>
      <c r="B5248" s="98" t="s">
        <v>17</v>
      </c>
      <c r="C5248" s="98">
        <v>38</v>
      </c>
      <c r="D5248" s="98">
        <v>340</v>
      </c>
      <c r="E5248" s="157">
        <v>41712.583333333336</v>
      </c>
      <c r="F5248" s="157">
        <v>41712.677083333336</v>
      </c>
      <c r="G5248" s="98">
        <v>510</v>
      </c>
      <c r="H5248" s="98">
        <v>530</v>
      </c>
      <c r="I5248" s="98">
        <v>493</v>
      </c>
      <c r="J5248" s="98" t="s">
        <v>1970</v>
      </c>
      <c r="K5248" s="98" t="s">
        <v>1804</v>
      </c>
      <c r="L5248" s="105" t="str">
        <f t="shared" si="860"/>
        <v>Trimble</v>
      </c>
      <c r="M5248" s="105" t="str">
        <f t="shared" si="861"/>
        <v>Derate</v>
      </c>
      <c r="N5248" s="105" t="str">
        <f t="shared" si="862"/>
        <v>Coal</v>
      </c>
      <c r="O5248" s="105">
        <f>IFERROR(VLOOKUP(A5248,Lookup!$J$5:$P$19,7,FALSE),0)</f>
        <v>3</v>
      </c>
      <c r="P5248" s="159">
        <f t="shared" si="863"/>
        <v>2014</v>
      </c>
      <c r="Q5248" s="159">
        <f t="shared" si="864"/>
        <v>3</v>
      </c>
      <c r="R5248" s="160">
        <f t="shared" si="865"/>
        <v>2.25</v>
      </c>
      <c r="S5248" s="158">
        <f t="shared" si="866"/>
        <v>8.4905660377358486E-2</v>
      </c>
      <c r="T5248" s="161">
        <f t="shared" si="867"/>
        <v>41.85849056603773</v>
      </c>
      <c r="U5248" s="158">
        <f t="shared" si="868"/>
        <v>18.60377358490566</v>
      </c>
      <c r="V5248" s="160">
        <f t="shared" si="869"/>
        <v>19</v>
      </c>
    </row>
    <row r="5249" spans="1:22" x14ac:dyDescent="0.25">
      <c r="A5249" s="98" t="s">
        <v>19</v>
      </c>
      <c r="B5249" s="98" t="s">
        <v>17</v>
      </c>
      <c r="C5249" s="98">
        <v>39</v>
      </c>
      <c r="D5249" s="98">
        <v>3412</v>
      </c>
      <c r="E5249" s="157">
        <v>41713.079861111109</v>
      </c>
      <c r="F5249" s="157">
        <v>41713.368055555555</v>
      </c>
      <c r="G5249" s="98">
        <v>525</v>
      </c>
      <c r="H5249" s="98">
        <v>530</v>
      </c>
      <c r="I5249" s="98">
        <v>493</v>
      </c>
      <c r="J5249" s="98" t="s">
        <v>2162</v>
      </c>
      <c r="K5249" s="98" t="s">
        <v>1805</v>
      </c>
      <c r="L5249" s="105" t="str">
        <f t="shared" si="860"/>
        <v>Trimble</v>
      </c>
      <c r="M5249" s="105" t="str">
        <f t="shared" si="861"/>
        <v>Derate</v>
      </c>
      <c r="N5249" s="105" t="str">
        <f t="shared" si="862"/>
        <v>Coal</v>
      </c>
      <c r="O5249" s="105">
        <f>IFERROR(VLOOKUP(A5249,Lookup!$J$5:$P$19,7,FALSE),0)</f>
        <v>3</v>
      </c>
      <c r="P5249" s="159">
        <f t="shared" si="863"/>
        <v>2014</v>
      </c>
      <c r="Q5249" s="159">
        <f t="shared" si="864"/>
        <v>3</v>
      </c>
      <c r="R5249" s="160">
        <f t="shared" si="865"/>
        <v>6.9166666666860692</v>
      </c>
      <c r="S5249" s="158">
        <f t="shared" si="866"/>
        <v>6.5251572327227073E-2</v>
      </c>
      <c r="T5249" s="161">
        <f t="shared" si="867"/>
        <v>32.169025157322949</v>
      </c>
      <c r="U5249" s="158">
        <f t="shared" si="868"/>
        <v>4.6509433962264151</v>
      </c>
      <c r="V5249" s="160">
        <f t="shared" si="869"/>
        <v>5</v>
      </c>
    </row>
    <row r="5250" spans="1:22" x14ac:dyDescent="0.25">
      <c r="A5250" s="98" t="s">
        <v>19</v>
      </c>
      <c r="B5250" s="98" t="s">
        <v>17</v>
      </c>
      <c r="C5250" s="98">
        <v>40</v>
      </c>
      <c r="D5250" s="98">
        <v>3412</v>
      </c>
      <c r="E5250" s="157">
        <v>41713.480555555558</v>
      </c>
      <c r="F5250" s="157">
        <v>41713.564583333333</v>
      </c>
      <c r="G5250" s="98">
        <v>525</v>
      </c>
      <c r="H5250" s="98">
        <v>530</v>
      </c>
      <c r="I5250" s="98">
        <v>493</v>
      </c>
      <c r="J5250" s="98" t="s">
        <v>2162</v>
      </c>
      <c r="K5250" s="98" t="s">
        <v>1806</v>
      </c>
      <c r="L5250" s="105" t="str">
        <f t="shared" si="860"/>
        <v>Trimble</v>
      </c>
      <c r="M5250" s="105" t="str">
        <f t="shared" si="861"/>
        <v>Derate</v>
      </c>
      <c r="N5250" s="105" t="str">
        <f t="shared" si="862"/>
        <v>Coal</v>
      </c>
      <c r="O5250" s="105">
        <f>IFERROR(VLOOKUP(A5250,Lookup!$J$5:$P$19,7,FALSE),0)</f>
        <v>3</v>
      </c>
      <c r="P5250" s="159">
        <f t="shared" si="863"/>
        <v>2014</v>
      </c>
      <c r="Q5250" s="159">
        <f t="shared" si="864"/>
        <v>3</v>
      </c>
      <c r="R5250" s="160">
        <f t="shared" si="865"/>
        <v>2.0166666666045785</v>
      </c>
      <c r="S5250" s="158">
        <f t="shared" si="866"/>
        <v>1.9025157232118665E-2</v>
      </c>
      <c r="T5250" s="161">
        <f t="shared" si="867"/>
        <v>9.3794025154345029</v>
      </c>
      <c r="U5250" s="158">
        <f t="shared" si="868"/>
        <v>4.6509433962264151</v>
      </c>
      <c r="V5250" s="160">
        <f t="shared" si="869"/>
        <v>5</v>
      </c>
    </row>
    <row r="5251" spans="1:22" x14ac:dyDescent="0.25">
      <c r="A5251" s="98" t="s">
        <v>19</v>
      </c>
      <c r="B5251" s="98" t="s">
        <v>17</v>
      </c>
      <c r="C5251" s="98">
        <v>41</v>
      </c>
      <c r="D5251" s="98">
        <v>280</v>
      </c>
      <c r="E5251" s="157">
        <v>41715.763888888891</v>
      </c>
      <c r="F5251" s="157">
        <v>41715.913194444445</v>
      </c>
      <c r="G5251" s="98">
        <v>525</v>
      </c>
      <c r="H5251" s="98">
        <v>530</v>
      </c>
      <c r="I5251" s="98">
        <v>493</v>
      </c>
      <c r="J5251" s="98" t="s">
        <v>1988</v>
      </c>
      <c r="K5251" s="98" t="s">
        <v>1807</v>
      </c>
      <c r="L5251" s="105" t="str">
        <f t="shared" si="860"/>
        <v>Trimble</v>
      </c>
      <c r="M5251" s="105" t="str">
        <f t="shared" si="861"/>
        <v>Derate</v>
      </c>
      <c r="N5251" s="105" t="str">
        <f t="shared" si="862"/>
        <v>Coal</v>
      </c>
      <c r="O5251" s="105">
        <f>IFERROR(VLOOKUP(A5251,Lookup!$J$5:$P$19,7,FALSE),0)</f>
        <v>3</v>
      </c>
      <c r="P5251" s="159">
        <f t="shared" si="863"/>
        <v>2014</v>
      </c>
      <c r="Q5251" s="159">
        <f t="shared" si="864"/>
        <v>3</v>
      </c>
      <c r="R5251" s="160">
        <f t="shared" si="865"/>
        <v>3.5833333333139308</v>
      </c>
      <c r="S5251" s="158">
        <f t="shared" si="866"/>
        <v>3.3805031446357839E-2</v>
      </c>
      <c r="T5251" s="161">
        <f t="shared" si="867"/>
        <v>16.665880503054414</v>
      </c>
      <c r="U5251" s="158">
        <f t="shared" si="868"/>
        <v>4.6509433962264151</v>
      </c>
      <c r="V5251" s="160">
        <f t="shared" si="869"/>
        <v>5</v>
      </c>
    </row>
    <row r="5252" spans="1:22" x14ac:dyDescent="0.25">
      <c r="A5252" s="98" t="s">
        <v>19</v>
      </c>
      <c r="B5252" s="98" t="s">
        <v>79</v>
      </c>
      <c r="C5252" s="98">
        <v>42</v>
      </c>
      <c r="D5252" s="98">
        <v>1100</v>
      </c>
      <c r="E5252" s="157">
        <v>41727</v>
      </c>
      <c r="F5252" s="157">
        <v>41727.208333333336</v>
      </c>
      <c r="G5252" s="98">
        <v>0</v>
      </c>
      <c r="H5252" s="98">
        <v>530</v>
      </c>
      <c r="I5252" s="98">
        <v>493</v>
      </c>
      <c r="J5252" s="98" t="s">
        <v>2038</v>
      </c>
      <c r="K5252" s="98" t="s">
        <v>1808</v>
      </c>
      <c r="L5252" s="105" t="str">
        <f t="shared" ref="L5252:L5315" si="870">IF(OR(A5252="BR1",A5252="BR2",A5252="BR3",A5252="BR5",A5252="BR6",A5252="BR7",A5252="BR8",A5252="BR9",A5252="BR10",A5252="BR11"),"Brown",IF(OR(A5252="CR4",A5252="CR5",A5252="CR6",A5252="CR11"),"Cane Run",IF(OR(A5252="GH1",A5252="GH2",A5252="GH3",A5252="GH4"),"Ghent",IF(OR(A5252="GR3",A5252="GR4"),"Green River",IF(OR(A5252="MC1",A5252="MC2",A5252="MC3",A5252="MC4"),"Mill Creek",IF(OR(A5252="TC1",A5252="TC2",A5252="TC5",A5252="TC6",A5252="TC7",A5252="TC8",A5252="TC9",A5252="TC10"),"Trimble",IF(A5252="TY3","Tyrone",IF(OR(A5252="HA1",A5252="HA2",A5252="HA3"),"Haeflin",IF(OR(A5252="PR11",A5252="PR12",A5252="PR13"),"Paddy's Run","Zorn")))))))))</f>
        <v>Trimble</v>
      </c>
      <c r="M5252" s="105" t="str">
        <f t="shared" ref="M5252:M5315" si="871">IF(OR(B5252="D1",B5252="D2",B5252="D3",B5252="D4",B5252="PD"),"Derate",IF(OR(B5252="SF",B5252="U1",B5252="U2",B5252="U3"),"Outage",IF(OR(B5252="ME",B5252="MO"),"Maintenance","Other")))</f>
        <v>Other</v>
      </c>
      <c r="N5252" s="105" t="str">
        <f t="shared" ref="N5252:N5315" si="872">IF(OR(A5252="BR1",A5252="BR2",A5252="BR3",A5252="CR4",A5252="CR5",A5252="CR6",A5252="GH1",A5252="GH2",A5252="GH3",A5252="GH4",A5252="GR3",A5252="GR4",A5252="MC1",A5252="MC2",A5252="MC3",A5252="MC4",A5252="TC1",A5252="TC2",A5252="TY3"),"Coal","Gas")</f>
        <v>Coal</v>
      </c>
      <c r="O5252" s="105">
        <f>IFERROR(VLOOKUP(A5252,Lookup!$J$5:$P$19,7,FALSE),0)</f>
        <v>3</v>
      </c>
      <c r="P5252" s="159">
        <f t="shared" ref="P5252:P5315" si="873">YEAR(E5252)</f>
        <v>2014</v>
      </c>
      <c r="Q5252" s="159">
        <f t="shared" ref="Q5252:Q5315" si="874">MONTH(E5252)</f>
        <v>3</v>
      </c>
      <c r="R5252" s="160">
        <f t="shared" ref="R5252:R5315" si="875">(F5252-E5252)*24</f>
        <v>5.0000000000582077</v>
      </c>
      <c r="S5252" s="158">
        <f t="shared" ref="S5252:S5315" si="876">R5252*(H5252-G5252)/H5252</f>
        <v>5.0000000000582077</v>
      </c>
      <c r="T5252" s="161">
        <f t="shared" ref="T5252:T5315" si="877">S5252*I5252</f>
        <v>2465.0000000286964</v>
      </c>
      <c r="U5252" s="158">
        <f t="shared" si="868"/>
        <v>493</v>
      </c>
      <c r="V5252" s="160">
        <f t="shared" ref="V5252:V5315" si="878">ROUND(U5252,0)</f>
        <v>493</v>
      </c>
    </row>
    <row r="5253" spans="1:22" x14ac:dyDescent="0.25">
      <c r="A5253" s="98" t="s">
        <v>19</v>
      </c>
      <c r="B5253" s="98" t="s">
        <v>20</v>
      </c>
      <c r="C5253" s="98">
        <v>43</v>
      </c>
      <c r="D5253" s="98">
        <v>1000</v>
      </c>
      <c r="E5253" s="157">
        <v>41734</v>
      </c>
      <c r="F5253" s="157">
        <v>41735.700694444444</v>
      </c>
      <c r="G5253" s="98">
        <v>0</v>
      </c>
      <c r="H5253" s="98">
        <v>530</v>
      </c>
      <c r="I5253" s="98">
        <v>493</v>
      </c>
      <c r="J5253" s="98" t="s">
        <v>2002</v>
      </c>
      <c r="K5253" s="98" t="s">
        <v>1809</v>
      </c>
      <c r="L5253" s="105" t="str">
        <f t="shared" si="870"/>
        <v>Trimble</v>
      </c>
      <c r="M5253" s="105" t="str">
        <f t="shared" si="871"/>
        <v>Maintenance</v>
      </c>
      <c r="N5253" s="105" t="str">
        <f t="shared" si="872"/>
        <v>Coal</v>
      </c>
      <c r="O5253" s="105">
        <f>IFERROR(VLOOKUP(A5253,Lookup!$J$5:$P$19,7,FALSE),0)</f>
        <v>3</v>
      </c>
      <c r="P5253" s="159">
        <f t="shared" si="873"/>
        <v>2014</v>
      </c>
      <c r="Q5253" s="159">
        <f t="shared" si="874"/>
        <v>4</v>
      </c>
      <c r="R5253" s="160">
        <f t="shared" si="875"/>
        <v>40.816666666651145</v>
      </c>
      <c r="S5253" s="158">
        <f t="shared" si="876"/>
        <v>40.816666666651145</v>
      </c>
      <c r="T5253" s="161">
        <f t="shared" si="877"/>
        <v>20122.616666659014</v>
      </c>
      <c r="U5253" s="158">
        <f t="shared" ref="U5253:U5316" si="879">IF(G5253&gt;0,MAX((H5253-G5253),0)*I5253/H5253,I5253)</f>
        <v>493</v>
      </c>
      <c r="V5253" s="160">
        <f t="shared" si="878"/>
        <v>493</v>
      </c>
    </row>
    <row r="5254" spans="1:22" x14ac:dyDescent="0.25">
      <c r="A5254" s="98" t="s">
        <v>19</v>
      </c>
      <c r="B5254" s="98" t="s">
        <v>17</v>
      </c>
      <c r="C5254" s="98">
        <v>44</v>
      </c>
      <c r="D5254" s="98">
        <v>1455</v>
      </c>
      <c r="E5254" s="157">
        <v>41736.457638888889</v>
      </c>
      <c r="F5254" s="157">
        <v>41743.78125</v>
      </c>
      <c r="G5254" s="98">
        <v>525</v>
      </c>
      <c r="H5254" s="98">
        <v>530</v>
      </c>
      <c r="I5254" s="98">
        <v>493</v>
      </c>
      <c r="J5254" s="98" t="s">
        <v>1990</v>
      </c>
      <c r="K5254" s="98" t="s">
        <v>1810</v>
      </c>
      <c r="L5254" s="105" t="str">
        <f t="shared" si="870"/>
        <v>Trimble</v>
      </c>
      <c r="M5254" s="105" t="str">
        <f t="shared" si="871"/>
        <v>Derate</v>
      </c>
      <c r="N5254" s="105" t="str">
        <f t="shared" si="872"/>
        <v>Coal</v>
      </c>
      <c r="O5254" s="105">
        <f>IFERROR(VLOOKUP(A5254,Lookup!$J$5:$P$19,7,FALSE),0)</f>
        <v>3</v>
      </c>
      <c r="P5254" s="159">
        <f t="shared" si="873"/>
        <v>2014</v>
      </c>
      <c r="Q5254" s="159">
        <f t="shared" si="874"/>
        <v>4</v>
      </c>
      <c r="R5254" s="160">
        <f t="shared" si="875"/>
        <v>175.76666666666279</v>
      </c>
      <c r="S5254" s="158">
        <f t="shared" si="876"/>
        <v>1.6581761006288942</v>
      </c>
      <c r="T5254" s="161">
        <f t="shared" si="877"/>
        <v>817.48081761004482</v>
      </c>
      <c r="U5254" s="158">
        <f t="shared" si="879"/>
        <v>4.6509433962264151</v>
      </c>
      <c r="V5254" s="160">
        <f t="shared" si="878"/>
        <v>5</v>
      </c>
    </row>
    <row r="5255" spans="1:22" x14ac:dyDescent="0.25">
      <c r="A5255" s="98" t="s">
        <v>19</v>
      </c>
      <c r="B5255" s="98" t="s">
        <v>79</v>
      </c>
      <c r="C5255" s="98">
        <v>45</v>
      </c>
      <c r="D5255" s="98">
        <v>4267</v>
      </c>
      <c r="E5255" s="157">
        <v>41742.041666666664</v>
      </c>
      <c r="F5255" s="157">
        <v>41742.058333333334</v>
      </c>
      <c r="G5255" s="98">
        <v>0</v>
      </c>
      <c r="H5255" s="98">
        <v>530</v>
      </c>
      <c r="I5255" s="98">
        <v>493</v>
      </c>
      <c r="J5255" s="98" t="s">
        <v>2025</v>
      </c>
      <c r="K5255" s="98" t="s">
        <v>1811</v>
      </c>
      <c r="L5255" s="105" t="str">
        <f t="shared" si="870"/>
        <v>Trimble</v>
      </c>
      <c r="M5255" s="105" t="str">
        <f t="shared" si="871"/>
        <v>Other</v>
      </c>
      <c r="N5255" s="105" t="str">
        <f t="shared" si="872"/>
        <v>Coal</v>
      </c>
      <c r="O5255" s="105">
        <f>IFERROR(VLOOKUP(A5255,Lookup!$J$5:$P$19,7,FALSE),0)</f>
        <v>3</v>
      </c>
      <c r="P5255" s="159">
        <f t="shared" si="873"/>
        <v>2014</v>
      </c>
      <c r="Q5255" s="159">
        <f t="shared" si="874"/>
        <v>4</v>
      </c>
      <c r="R5255" s="160">
        <f t="shared" si="875"/>
        <v>0.40000000008149073</v>
      </c>
      <c r="S5255" s="158">
        <f t="shared" si="876"/>
        <v>0.40000000008149073</v>
      </c>
      <c r="T5255" s="161">
        <f t="shared" si="877"/>
        <v>197.20000004017493</v>
      </c>
      <c r="U5255" s="158">
        <f t="shared" si="879"/>
        <v>493</v>
      </c>
      <c r="V5255" s="160">
        <f t="shared" si="878"/>
        <v>493</v>
      </c>
    </row>
    <row r="5256" spans="1:22" x14ac:dyDescent="0.25">
      <c r="A5256" s="98" t="s">
        <v>19</v>
      </c>
      <c r="B5256" s="98" t="s">
        <v>17</v>
      </c>
      <c r="C5256" s="98">
        <v>46</v>
      </c>
      <c r="D5256" s="98">
        <v>895</v>
      </c>
      <c r="E5256" s="157">
        <v>41743.78125</v>
      </c>
      <c r="F5256" s="157">
        <v>41743.870138888888</v>
      </c>
      <c r="G5256" s="98">
        <v>450</v>
      </c>
      <c r="H5256" s="98">
        <v>530</v>
      </c>
      <c r="I5256" s="98">
        <v>493</v>
      </c>
      <c r="J5256" s="98" t="s">
        <v>2297</v>
      </c>
      <c r="K5256" s="98" t="s">
        <v>1812</v>
      </c>
      <c r="L5256" s="105" t="str">
        <f t="shared" si="870"/>
        <v>Trimble</v>
      </c>
      <c r="M5256" s="105" t="str">
        <f t="shared" si="871"/>
        <v>Derate</v>
      </c>
      <c r="N5256" s="105" t="str">
        <f t="shared" si="872"/>
        <v>Coal</v>
      </c>
      <c r="O5256" s="105">
        <f>IFERROR(VLOOKUP(A5256,Lookup!$J$5:$P$19,7,FALSE),0)</f>
        <v>3</v>
      </c>
      <c r="P5256" s="159">
        <f t="shared" si="873"/>
        <v>2014</v>
      </c>
      <c r="Q5256" s="159">
        <f t="shared" si="874"/>
        <v>4</v>
      </c>
      <c r="R5256" s="160">
        <f t="shared" si="875"/>
        <v>2.1333333333022892</v>
      </c>
      <c r="S5256" s="158">
        <f t="shared" si="876"/>
        <v>0.32201257861166632</v>
      </c>
      <c r="T5256" s="161">
        <f t="shared" si="877"/>
        <v>158.75220125555148</v>
      </c>
      <c r="U5256" s="158">
        <f t="shared" si="879"/>
        <v>74.415094339622641</v>
      </c>
      <c r="V5256" s="160">
        <f t="shared" si="878"/>
        <v>74</v>
      </c>
    </row>
    <row r="5257" spans="1:22" x14ac:dyDescent="0.25">
      <c r="A5257" s="98" t="s">
        <v>19</v>
      </c>
      <c r="B5257" s="98" t="s">
        <v>17</v>
      </c>
      <c r="C5257" s="98">
        <v>47</v>
      </c>
      <c r="D5257" s="98">
        <v>1455</v>
      </c>
      <c r="E5257" s="157">
        <v>41743.870138888888</v>
      </c>
      <c r="F5257" s="157">
        <v>41745.115277777775</v>
      </c>
      <c r="G5257" s="98">
        <v>525</v>
      </c>
      <c r="H5257" s="98">
        <v>530</v>
      </c>
      <c r="I5257" s="98">
        <v>493</v>
      </c>
      <c r="J5257" s="98" t="s">
        <v>1990</v>
      </c>
      <c r="K5257" s="98" t="s">
        <v>1810</v>
      </c>
      <c r="L5257" s="105" t="str">
        <f t="shared" si="870"/>
        <v>Trimble</v>
      </c>
      <c r="M5257" s="105" t="str">
        <f t="shared" si="871"/>
        <v>Derate</v>
      </c>
      <c r="N5257" s="105" t="str">
        <f t="shared" si="872"/>
        <v>Coal</v>
      </c>
      <c r="O5257" s="105">
        <f>IFERROR(VLOOKUP(A5257,Lookup!$J$5:$P$19,7,FALSE),0)</f>
        <v>3</v>
      </c>
      <c r="P5257" s="159">
        <f t="shared" si="873"/>
        <v>2014</v>
      </c>
      <c r="Q5257" s="159">
        <f t="shared" si="874"/>
        <v>4</v>
      </c>
      <c r="R5257" s="160">
        <f t="shared" si="875"/>
        <v>29.883333333302289</v>
      </c>
      <c r="S5257" s="158">
        <f t="shared" si="876"/>
        <v>0.28191823899341784</v>
      </c>
      <c r="T5257" s="161">
        <f t="shared" si="877"/>
        <v>138.98569182375499</v>
      </c>
      <c r="U5257" s="158">
        <f t="shared" si="879"/>
        <v>4.6509433962264151</v>
      </c>
      <c r="V5257" s="160">
        <f t="shared" si="878"/>
        <v>5</v>
      </c>
    </row>
    <row r="5258" spans="1:22" x14ac:dyDescent="0.25">
      <c r="A5258" s="98" t="s">
        <v>19</v>
      </c>
      <c r="B5258" s="98" t="s">
        <v>17</v>
      </c>
      <c r="C5258" s="98">
        <v>48</v>
      </c>
      <c r="D5258" s="98">
        <v>385</v>
      </c>
      <c r="E5258" s="157">
        <v>41745.115277777775</v>
      </c>
      <c r="F5258" s="157">
        <v>41745.136111111111</v>
      </c>
      <c r="G5258" s="98">
        <v>480</v>
      </c>
      <c r="H5258" s="98">
        <v>530</v>
      </c>
      <c r="I5258" s="98">
        <v>493</v>
      </c>
      <c r="J5258" s="98" t="s">
        <v>228</v>
      </c>
      <c r="K5258" s="98" t="s">
        <v>1813</v>
      </c>
      <c r="L5258" s="105" t="str">
        <f t="shared" si="870"/>
        <v>Trimble</v>
      </c>
      <c r="M5258" s="105" t="str">
        <f t="shared" si="871"/>
        <v>Derate</v>
      </c>
      <c r="N5258" s="105" t="str">
        <f t="shared" si="872"/>
        <v>Coal</v>
      </c>
      <c r="O5258" s="105">
        <f>IFERROR(VLOOKUP(A5258,Lookup!$J$5:$P$19,7,FALSE),0)</f>
        <v>3</v>
      </c>
      <c r="P5258" s="159">
        <f t="shared" si="873"/>
        <v>2014</v>
      </c>
      <c r="Q5258" s="159">
        <f t="shared" si="874"/>
        <v>4</v>
      </c>
      <c r="R5258" s="160">
        <f t="shared" si="875"/>
        <v>0.50000000005820766</v>
      </c>
      <c r="S5258" s="158">
        <f t="shared" si="876"/>
        <v>4.7169811326246008E-2</v>
      </c>
      <c r="T5258" s="161">
        <f t="shared" si="877"/>
        <v>23.25471698383928</v>
      </c>
      <c r="U5258" s="158">
        <f t="shared" si="879"/>
        <v>46.509433962264154</v>
      </c>
      <c r="V5258" s="160">
        <f t="shared" si="878"/>
        <v>47</v>
      </c>
    </row>
    <row r="5259" spans="1:22" x14ac:dyDescent="0.25">
      <c r="A5259" s="98" t="s">
        <v>19</v>
      </c>
      <c r="B5259" s="98" t="s">
        <v>17</v>
      </c>
      <c r="C5259" s="98">
        <v>49</v>
      </c>
      <c r="D5259" s="98">
        <v>1455</v>
      </c>
      <c r="E5259" s="157">
        <v>41745.136111111111</v>
      </c>
      <c r="F5259" s="157">
        <v>41745.506944444445</v>
      </c>
      <c r="G5259" s="98">
        <v>525</v>
      </c>
      <c r="H5259" s="98">
        <v>530</v>
      </c>
      <c r="I5259" s="98">
        <v>493</v>
      </c>
      <c r="J5259" s="98" t="s">
        <v>1990</v>
      </c>
      <c r="K5259" s="98" t="s">
        <v>1810</v>
      </c>
      <c r="L5259" s="105" t="str">
        <f t="shared" si="870"/>
        <v>Trimble</v>
      </c>
      <c r="M5259" s="105" t="str">
        <f t="shared" si="871"/>
        <v>Derate</v>
      </c>
      <c r="N5259" s="105" t="str">
        <f t="shared" si="872"/>
        <v>Coal</v>
      </c>
      <c r="O5259" s="105">
        <f>IFERROR(VLOOKUP(A5259,Lookup!$J$5:$P$19,7,FALSE),0)</f>
        <v>3</v>
      </c>
      <c r="P5259" s="159">
        <f t="shared" si="873"/>
        <v>2014</v>
      </c>
      <c r="Q5259" s="159">
        <f t="shared" si="874"/>
        <v>4</v>
      </c>
      <c r="R5259" s="160">
        <f t="shared" si="875"/>
        <v>8.9000000000232831</v>
      </c>
      <c r="S5259" s="158">
        <f t="shared" si="876"/>
        <v>8.3962264151163049E-2</v>
      </c>
      <c r="T5259" s="161">
        <f t="shared" si="877"/>
        <v>41.393396226523386</v>
      </c>
      <c r="U5259" s="158">
        <f t="shared" si="879"/>
        <v>4.6509433962264151</v>
      </c>
      <c r="V5259" s="160">
        <f t="shared" si="878"/>
        <v>5</v>
      </c>
    </row>
    <row r="5260" spans="1:22" x14ac:dyDescent="0.25">
      <c r="A5260" s="98" t="s">
        <v>19</v>
      </c>
      <c r="B5260" s="98" t="s">
        <v>17</v>
      </c>
      <c r="C5260" s="98">
        <v>50</v>
      </c>
      <c r="D5260" s="98">
        <v>310</v>
      </c>
      <c r="E5260" s="157">
        <v>41745.506944444445</v>
      </c>
      <c r="F5260" s="157">
        <v>41745.524305555555</v>
      </c>
      <c r="G5260" s="98">
        <v>450</v>
      </c>
      <c r="H5260" s="98">
        <v>530</v>
      </c>
      <c r="I5260" s="98">
        <v>493</v>
      </c>
      <c r="J5260" s="98" t="s">
        <v>1966</v>
      </c>
      <c r="K5260" s="98" t="s">
        <v>1814</v>
      </c>
      <c r="L5260" s="105" t="str">
        <f t="shared" si="870"/>
        <v>Trimble</v>
      </c>
      <c r="M5260" s="105" t="str">
        <f t="shared" si="871"/>
        <v>Derate</v>
      </c>
      <c r="N5260" s="105" t="str">
        <f t="shared" si="872"/>
        <v>Coal</v>
      </c>
      <c r="O5260" s="105">
        <f>IFERROR(VLOOKUP(A5260,Lookup!$J$5:$P$19,7,FALSE),0)</f>
        <v>3</v>
      </c>
      <c r="P5260" s="159">
        <f t="shared" si="873"/>
        <v>2014</v>
      </c>
      <c r="Q5260" s="159">
        <f t="shared" si="874"/>
        <v>4</v>
      </c>
      <c r="R5260" s="160">
        <f t="shared" si="875"/>
        <v>0.41666666662786156</v>
      </c>
      <c r="S5260" s="158">
        <f t="shared" si="876"/>
        <v>6.2893081755148919E-2</v>
      </c>
      <c r="T5260" s="161">
        <f t="shared" si="877"/>
        <v>31.006289305288416</v>
      </c>
      <c r="U5260" s="158">
        <f t="shared" si="879"/>
        <v>74.415094339622641</v>
      </c>
      <c r="V5260" s="160">
        <f t="shared" si="878"/>
        <v>74</v>
      </c>
    </row>
    <row r="5261" spans="1:22" x14ac:dyDescent="0.25">
      <c r="A5261" s="98" t="s">
        <v>19</v>
      </c>
      <c r="B5261" s="98" t="s">
        <v>17</v>
      </c>
      <c r="C5261" s="98">
        <v>51</v>
      </c>
      <c r="D5261" s="98">
        <v>310</v>
      </c>
      <c r="E5261" s="157">
        <v>41745.524305555555</v>
      </c>
      <c r="F5261" s="157">
        <v>41745.604166666664</v>
      </c>
      <c r="G5261" s="98">
        <v>479</v>
      </c>
      <c r="H5261" s="98">
        <v>530</v>
      </c>
      <c r="I5261" s="98">
        <v>493</v>
      </c>
      <c r="J5261" s="98" t="s">
        <v>1966</v>
      </c>
      <c r="K5261" s="98" t="s">
        <v>1815</v>
      </c>
      <c r="L5261" s="105" t="str">
        <f t="shared" si="870"/>
        <v>Trimble</v>
      </c>
      <c r="M5261" s="105" t="str">
        <f t="shared" si="871"/>
        <v>Derate</v>
      </c>
      <c r="N5261" s="105" t="str">
        <f t="shared" si="872"/>
        <v>Coal</v>
      </c>
      <c r="O5261" s="105">
        <f>IFERROR(VLOOKUP(A5261,Lookup!$J$5:$P$19,7,FALSE),0)</f>
        <v>3</v>
      </c>
      <c r="P5261" s="159">
        <f t="shared" si="873"/>
        <v>2014</v>
      </c>
      <c r="Q5261" s="159">
        <f t="shared" si="874"/>
        <v>4</v>
      </c>
      <c r="R5261" s="160">
        <f t="shared" si="875"/>
        <v>1.9166666666278616</v>
      </c>
      <c r="S5261" s="158">
        <f t="shared" si="876"/>
        <v>0.18443396226041686</v>
      </c>
      <c r="T5261" s="161">
        <f t="shared" si="877"/>
        <v>90.925943394385513</v>
      </c>
      <c r="U5261" s="158">
        <f t="shared" si="879"/>
        <v>47.43962264150943</v>
      </c>
      <c r="V5261" s="160">
        <f t="shared" si="878"/>
        <v>47</v>
      </c>
    </row>
    <row r="5262" spans="1:22" x14ac:dyDescent="0.25">
      <c r="A5262" s="98" t="s">
        <v>19</v>
      </c>
      <c r="B5262" s="98" t="s">
        <v>17</v>
      </c>
      <c r="C5262" s="98">
        <v>52</v>
      </c>
      <c r="D5262" s="98">
        <v>310</v>
      </c>
      <c r="E5262" s="157">
        <v>41745.604166666664</v>
      </c>
      <c r="F5262" s="157">
        <v>41745.77847222222</v>
      </c>
      <c r="G5262" s="98">
        <v>370</v>
      </c>
      <c r="H5262" s="98">
        <v>530</v>
      </c>
      <c r="I5262" s="98">
        <v>493</v>
      </c>
      <c r="J5262" s="98" t="s">
        <v>1966</v>
      </c>
      <c r="K5262" s="98" t="s">
        <v>1816</v>
      </c>
      <c r="L5262" s="105" t="str">
        <f t="shared" si="870"/>
        <v>Trimble</v>
      </c>
      <c r="M5262" s="105" t="str">
        <f t="shared" si="871"/>
        <v>Derate</v>
      </c>
      <c r="N5262" s="105" t="str">
        <f t="shared" si="872"/>
        <v>Coal</v>
      </c>
      <c r="O5262" s="105">
        <f>IFERROR(VLOOKUP(A5262,Lookup!$J$5:$P$19,7,FALSE),0)</f>
        <v>3</v>
      </c>
      <c r="P5262" s="159">
        <f t="shared" si="873"/>
        <v>2014</v>
      </c>
      <c r="Q5262" s="159">
        <f t="shared" si="874"/>
        <v>4</v>
      </c>
      <c r="R5262" s="160">
        <f t="shared" si="875"/>
        <v>4.1833333333488554</v>
      </c>
      <c r="S5262" s="158">
        <f t="shared" si="876"/>
        <v>1.2628930817656923</v>
      </c>
      <c r="T5262" s="161">
        <f t="shared" si="877"/>
        <v>622.60628931048632</v>
      </c>
      <c r="U5262" s="158">
        <f t="shared" si="879"/>
        <v>148.83018867924528</v>
      </c>
      <c r="V5262" s="160">
        <f t="shared" si="878"/>
        <v>149</v>
      </c>
    </row>
    <row r="5263" spans="1:22" x14ac:dyDescent="0.25">
      <c r="A5263" s="98" t="s">
        <v>19</v>
      </c>
      <c r="B5263" s="98" t="s">
        <v>17</v>
      </c>
      <c r="C5263" s="98">
        <v>53</v>
      </c>
      <c r="D5263" s="98">
        <v>310</v>
      </c>
      <c r="E5263" s="157">
        <v>41745.77847222222</v>
      </c>
      <c r="F5263" s="157">
        <v>41745.896527777775</v>
      </c>
      <c r="G5263" s="98">
        <v>480</v>
      </c>
      <c r="H5263" s="98">
        <v>530</v>
      </c>
      <c r="I5263" s="98">
        <v>493</v>
      </c>
      <c r="J5263" s="98" t="s">
        <v>1966</v>
      </c>
      <c r="K5263" s="98" t="s">
        <v>1817</v>
      </c>
      <c r="L5263" s="105" t="str">
        <f t="shared" si="870"/>
        <v>Trimble</v>
      </c>
      <c r="M5263" s="105" t="str">
        <f t="shared" si="871"/>
        <v>Derate</v>
      </c>
      <c r="N5263" s="105" t="str">
        <f t="shared" si="872"/>
        <v>Coal</v>
      </c>
      <c r="O5263" s="105">
        <f>IFERROR(VLOOKUP(A5263,Lookup!$J$5:$P$19,7,FALSE),0)</f>
        <v>3</v>
      </c>
      <c r="P5263" s="159">
        <f t="shared" si="873"/>
        <v>2014</v>
      </c>
      <c r="Q5263" s="159">
        <f t="shared" si="874"/>
        <v>4</v>
      </c>
      <c r="R5263" s="160">
        <f t="shared" si="875"/>
        <v>2.8333333333139308</v>
      </c>
      <c r="S5263" s="158">
        <f t="shared" si="876"/>
        <v>0.2672955974824463</v>
      </c>
      <c r="T5263" s="161">
        <f t="shared" si="877"/>
        <v>131.77672955884603</v>
      </c>
      <c r="U5263" s="158">
        <f t="shared" si="879"/>
        <v>46.509433962264154</v>
      </c>
      <c r="V5263" s="160">
        <f t="shared" si="878"/>
        <v>47</v>
      </c>
    </row>
    <row r="5264" spans="1:22" x14ac:dyDescent="0.25">
      <c r="A5264" s="98" t="s">
        <v>19</v>
      </c>
      <c r="B5264" s="98" t="s">
        <v>17</v>
      </c>
      <c r="C5264" s="98">
        <v>54</v>
      </c>
      <c r="D5264" s="98">
        <v>1455</v>
      </c>
      <c r="E5264" s="157">
        <v>41745.896527777775</v>
      </c>
      <c r="F5264" s="157">
        <v>41746.295138888891</v>
      </c>
      <c r="G5264" s="98">
        <v>525</v>
      </c>
      <c r="H5264" s="98">
        <v>530</v>
      </c>
      <c r="I5264" s="98">
        <v>493</v>
      </c>
      <c r="J5264" s="98" t="s">
        <v>1990</v>
      </c>
      <c r="K5264" s="98" t="s">
        <v>1810</v>
      </c>
      <c r="L5264" s="105" t="str">
        <f t="shared" si="870"/>
        <v>Trimble</v>
      </c>
      <c r="M5264" s="105" t="str">
        <f t="shared" si="871"/>
        <v>Derate</v>
      </c>
      <c r="N5264" s="105" t="str">
        <f t="shared" si="872"/>
        <v>Coal</v>
      </c>
      <c r="O5264" s="105">
        <f>IFERROR(VLOOKUP(A5264,Lookup!$J$5:$P$19,7,FALSE),0)</f>
        <v>3</v>
      </c>
      <c r="P5264" s="159">
        <f t="shared" si="873"/>
        <v>2014</v>
      </c>
      <c r="Q5264" s="159">
        <f t="shared" si="874"/>
        <v>4</v>
      </c>
      <c r="R5264" s="160">
        <f t="shared" si="875"/>
        <v>9.5666666667675599</v>
      </c>
      <c r="S5264" s="158">
        <f t="shared" si="876"/>
        <v>9.0251572327995855E-2</v>
      </c>
      <c r="T5264" s="161">
        <f t="shared" si="877"/>
        <v>44.494025157701955</v>
      </c>
      <c r="U5264" s="158">
        <f t="shared" si="879"/>
        <v>4.6509433962264151</v>
      </c>
      <c r="V5264" s="160">
        <f t="shared" si="878"/>
        <v>5</v>
      </c>
    </row>
    <row r="5265" spans="1:22" x14ac:dyDescent="0.25">
      <c r="A5265" s="98" t="s">
        <v>19</v>
      </c>
      <c r="B5265" s="98" t="s">
        <v>17</v>
      </c>
      <c r="C5265" s="98">
        <v>55</v>
      </c>
      <c r="D5265" s="98">
        <v>310</v>
      </c>
      <c r="E5265" s="157">
        <v>41746.295138888891</v>
      </c>
      <c r="F5265" s="157">
        <v>41746.329861111109</v>
      </c>
      <c r="G5265" s="98">
        <v>475</v>
      </c>
      <c r="H5265" s="98">
        <v>530</v>
      </c>
      <c r="I5265" s="98">
        <v>493</v>
      </c>
      <c r="J5265" s="98" t="s">
        <v>1966</v>
      </c>
      <c r="K5265" s="98" t="s">
        <v>1818</v>
      </c>
      <c r="L5265" s="105" t="str">
        <f t="shared" si="870"/>
        <v>Trimble</v>
      </c>
      <c r="M5265" s="105" t="str">
        <f t="shared" si="871"/>
        <v>Derate</v>
      </c>
      <c r="N5265" s="105" t="str">
        <f t="shared" si="872"/>
        <v>Coal</v>
      </c>
      <c r="O5265" s="105">
        <f>IFERROR(VLOOKUP(A5265,Lookup!$J$5:$P$19,7,FALSE),0)</f>
        <v>3</v>
      </c>
      <c r="P5265" s="159">
        <f t="shared" si="873"/>
        <v>2014</v>
      </c>
      <c r="Q5265" s="159">
        <f t="shared" si="874"/>
        <v>4</v>
      </c>
      <c r="R5265" s="160">
        <f t="shared" si="875"/>
        <v>0.83333333325572312</v>
      </c>
      <c r="S5265" s="158">
        <f t="shared" si="876"/>
        <v>8.6477987413329752E-2</v>
      </c>
      <c r="T5265" s="161">
        <f t="shared" si="877"/>
        <v>42.633647794771569</v>
      </c>
      <c r="U5265" s="158">
        <f t="shared" si="879"/>
        <v>51.160377358490564</v>
      </c>
      <c r="V5265" s="160">
        <f t="shared" si="878"/>
        <v>51</v>
      </c>
    </row>
    <row r="5266" spans="1:22" x14ac:dyDescent="0.25">
      <c r="A5266" s="98" t="s">
        <v>19</v>
      </c>
      <c r="B5266" s="98" t="s">
        <v>17</v>
      </c>
      <c r="C5266" s="98">
        <v>56</v>
      </c>
      <c r="D5266" s="98">
        <v>1455</v>
      </c>
      <c r="E5266" s="157">
        <v>41746.329861111109</v>
      </c>
      <c r="F5266" s="157">
        <v>41746.372916666667</v>
      </c>
      <c r="G5266" s="98">
        <v>525</v>
      </c>
      <c r="H5266" s="98">
        <v>530</v>
      </c>
      <c r="I5266" s="98">
        <v>493</v>
      </c>
      <c r="J5266" s="98" t="s">
        <v>1990</v>
      </c>
      <c r="K5266" s="98" t="s">
        <v>1810</v>
      </c>
      <c r="L5266" s="105" t="str">
        <f t="shared" si="870"/>
        <v>Trimble</v>
      </c>
      <c r="M5266" s="105" t="str">
        <f t="shared" si="871"/>
        <v>Derate</v>
      </c>
      <c r="N5266" s="105" t="str">
        <f t="shared" si="872"/>
        <v>Coal</v>
      </c>
      <c r="O5266" s="105">
        <f>IFERROR(VLOOKUP(A5266,Lookup!$J$5:$P$19,7,FALSE),0)</f>
        <v>3</v>
      </c>
      <c r="P5266" s="159">
        <f t="shared" si="873"/>
        <v>2014</v>
      </c>
      <c r="Q5266" s="159">
        <f t="shared" si="874"/>
        <v>4</v>
      </c>
      <c r="R5266" s="160">
        <f t="shared" si="875"/>
        <v>1.03333333338378</v>
      </c>
      <c r="S5266" s="158">
        <f t="shared" si="876"/>
        <v>9.7484276734318871E-3</v>
      </c>
      <c r="T5266" s="161">
        <f t="shared" si="877"/>
        <v>4.8059748430019207</v>
      </c>
      <c r="U5266" s="158">
        <f t="shared" si="879"/>
        <v>4.6509433962264151</v>
      </c>
      <c r="V5266" s="160">
        <f t="shared" si="878"/>
        <v>5</v>
      </c>
    </row>
    <row r="5267" spans="1:22" x14ac:dyDescent="0.25">
      <c r="A5267" s="98" t="s">
        <v>19</v>
      </c>
      <c r="B5267" s="98" t="s">
        <v>17</v>
      </c>
      <c r="C5267" s="98">
        <v>57</v>
      </c>
      <c r="D5267" s="98">
        <v>310</v>
      </c>
      <c r="E5267" s="157">
        <v>41746.372916666667</v>
      </c>
      <c r="F5267" s="157">
        <v>41746.505555555559</v>
      </c>
      <c r="G5267" s="98">
        <v>475</v>
      </c>
      <c r="H5267" s="98">
        <v>530</v>
      </c>
      <c r="I5267" s="98">
        <v>493</v>
      </c>
      <c r="J5267" s="98" t="s">
        <v>1966</v>
      </c>
      <c r="K5267" s="98" t="s">
        <v>1819</v>
      </c>
      <c r="L5267" s="105" t="str">
        <f t="shared" si="870"/>
        <v>Trimble</v>
      </c>
      <c r="M5267" s="105" t="str">
        <f t="shared" si="871"/>
        <v>Derate</v>
      </c>
      <c r="N5267" s="105" t="str">
        <f t="shared" si="872"/>
        <v>Coal</v>
      </c>
      <c r="O5267" s="105">
        <f>IFERROR(VLOOKUP(A5267,Lookup!$J$5:$P$19,7,FALSE),0)</f>
        <v>3</v>
      </c>
      <c r="P5267" s="159">
        <f t="shared" si="873"/>
        <v>2014</v>
      </c>
      <c r="Q5267" s="159">
        <f t="shared" si="874"/>
        <v>4</v>
      </c>
      <c r="R5267" s="160">
        <f t="shared" si="875"/>
        <v>3.183333333407063</v>
      </c>
      <c r="S5267" s="158">
        <f t="shared" si="876"/>
        <v>0.33034591195733676</v>
      </c>
      <c r="T5267" s="161">
        <f t="shared" si="877"/>
        <v>162.86053459496702</v>
      </c>
      <c r="U5267" s="158">
        <f t="shared" si="879"/>
        <v>51.160377358490564</v>
      </c>
      <c r="V5267" s="160">
        <f t="shared" si="878"/>
        <v>51</v>
      </c>
    </row>
    <row r="5268" spans="1:22" x14ac:dyDescent="0.25">
      <c r="A5268" s="98" t="s">
        <v>19</v>
      </c>
      <c r="B5268" s="98" t="s">
        <v>17</v>
      </c>
      <c r="C5268" s="98">
        <v>58</v>
      </c>
      <c r="D5268" s="98">
        <v>1455</v>
      </c>
      <c r="E5268" s="157">
        <v>41746.505555555559</v>
      </c>
      <c r="F5268" s="157">
        <v>41746.689583333333</v>
      </c>
      <c r="G5268" s="98">
        <v>525</v>
      </c>
      <c r="H5268" s="98">
        <v>530</v>
      </c>
      <c r="I5268" s="98">
        <v>493</v>
      </c>
      <c r="J5268" s="98" t="s">
        <v>1990</v>
      </c>
      <c r="K5268" s="98" t="s">
        <v>1810</v>
      </c>
      <c r="L5268" s="105" t="str">
        <f t="shared" si="870"/>
        <v>Trimble</v>
      </c>
      <c r="M5268" s="105" t="str">
        <f t="shared" si="871"/>
        <v>Derate</v>
      </c>
      <c r="N5268" s="105" t="str">
        <f t="shared" si="872"/>
        <v>Coal</v>
      </c>
      <c r="O5268" s="105">
        <f>IFERROR(VLOOKUP(A5268,Lookup!$J$5:$P$19,7,FALSE),0)</f>
        <v>3</v>
      </c>
      <c r="P5268" s="159">
        <f t="shared" si="873"/>
        <v>2014</v>
      </c>
      <c r="Q5268" s="159">
        <f t="shared" si="874"/>
        <v>4</v>
      </c>
      <c r="R5268" s="160">
        <f t="shared" si="875"/>
        <v>4.4166666665696539</v>
      </c>
      <c r="S5268" s="158">
        <f t="shared" si="876"/>
        <v>4.1666666665751452E-2</v>
      </c>
      <c r="T5268" s="161">
        <f t="shared" si="877"/>
        <v>20.541666666215466</v>
      </c>
      <c r="U5268" s="158">
        <f t="shared" si="879"/>
        <v>4.6509433962264151</v>
      </c>
      <c r="V5268" s="160">
        <f t="shared" si="878"/>
        <v>5</v>
      </c>
    </row>
    <row r="5269" spans="1:22" x14ac:dyDescent="0.25">
      <c r="A5269" s="98" t="s">
        <v>19</v>
      </c>
      <c r="B5269" s="98" t="s">
        <v>17</v>
      </c>
      <c r="C5269" s="98">
        <v>59</v>
      </c>
      <c r="D5269" s="98">
        <v>310</v>
      </c>
      <c r="E5269" s="157">
        <v>41746.689583333333</v>
      </c>
      <c r="F5269" s="157">
        <v>41746.797222222223</v>
      </c>
      <c r="G5269" s="98">
        <v>450</v>
      </c>
      <c r="H5269" s="98">
        <v>530</v>
      </c>
      <c r="I5269" s="98">
        <v>493</v>
      </c>
      <c r="J5269" s="98" t="s">
        <v>1966</v>
      </c>
      <c r="K5269" s="98" t="s">
        <v>1820</v>
      </c>
      <c r="L5269" s="105" t="str">
        <f t="shared" si="870"/>
        <v>Trimble</v>
      </c>
      <c r="M5269" s="105" t="str">
        <f t="shared" si="871"/>
        <v>Derate</v>
      </c>
      <c r="N5269" s="105" t="str">
        <f t="shared" si="872"/>
        <v>Coal</v>
      </c>
      <c r="O5269" s="105">
        <f>IFERROR(VLOOKUP(A5269,Lookup!$J$5:$P$19,7,FALSE),0)</f>
        <v>3</v>
      </c>
      <c r="P5269" s="159">
        <f t="shared" si="873"/>
        <v>2014</v>
      </c>
      <c r="Q5269" s="159">
        <f t="shared" si="874"/>
        <v>4</v>
      </c>
      <c r="R5269" s="160">
        <f t="shared" si="875"/>
        <v>2.5833333333721384</v>
      </c>
      <c r="S5269" s="158">
        <f t="shared" si="876"/>
        <v>0.38993710692409639</v>
      </c>
      <c r="T5269" s="161">
        <f t="shared" si="877"/>
        <v>192.23899371357953</v>
      </c>
      <c r="U5269" s="158">
        <f t="shared" si="879"/>
        <v>74.415094339622641</v>
      </c>
      <c r="V5269" s="160">
        <f t="shared" si="878"/>
        <v>74</v>
      </c>
    </row>
    <row r="5270" spans="1:22" x14ac:dyDescent="0.25">
      <c r="A5270" s="98" t="s">
        <v>19</v>
      </c>
      <c r="B5270" s="98" t="s">
        <v>17</v>
      </c>
      <c r="C5270" s="98">
        <v>60</v>
      </c>
      <c r="D5270" s="98">
        <v>1455</v>
      </c>
      <c r="E5270" s="157">
        <v>41746.797222222223</v>
      </c>
      <c r="F5270" s="157">
        <v>41752.536111111112</v>
      </c>
      <c r="G5270" s="98">
        <v>525</v>
      </c>
      <c r="H5270" s="98">
        <v>530</v>
      </c>
      <c r="I5270" s="98">
        <v>493</v>
      </c>
      <c r="J5270" s="98" t="s">
        <v>1990</v>
      </c>
      <c r="K5270" s="98" t="s">
        <v>1821</v>
      </c>
      <c r="L5270" s="105" t="str">
        <f t="shared" si="870"/>
        <v>Trimble</v>
      </c>
      <c r="M5270" s="105" t="str">
        <f t="shared" si="871"/>
        <v>Derate</v>
      </c>
      <c r="N5270" s="105" t="str">
        <f t="shared" si="872"/>
        <v>Coal</v>
      </c>
      <c r="O5270" s="105">
        <f>IFERROR(VLOOKUP(A5270,Lookup!$J$5:$P$19,7,FALSE),0)</f>
        <v>3</v>
      </c>
      <c r="P5270" s="159">
        <f t="shared" si="873"/>
        <v>2014</v>
      </c>
      <c r="Q5270" s="159">
        <f t="shared" si="874"/>
        <v>4</v>
      </c>
      <c r="R5270" s="160">
        <f t="shared" si="875"/>
        <v>137.73333333333721</v>
      </c>
      <c r="S5270" s="158">
        <f t="shared" si="876"/>
        <v>1.2993710691824265</v>
      </c>
      <c r="T5270" s="161">
        <f t="shared" si="877"/>
        <v>640.5899371069363</v>
      </c>
      <c r="U5270" s="158">
        <f t="shared" si="879"/>
        <v>4.6509433962264151</v>
      </c>
      <c r="V5270" s="160">
        <f t="shared" si="878"/>
        <v>5</v>
      </c>
    </row>
    <row r="5271" spans="1:22" x14ac:dyDescent="0.25">
      <c r="A5271" s="98" t="s">
        <v>19</v>
      </c>
      <c r="B5271" s="98" t="s">
        <v>17</v>
      </c>
      <c r="C5271" s="98">
        <v>61</v>
      </c>
      <c r="D5271" s="98">
        <v>310</v>
      </c>
      <c r="E5271" s="157">
        <v>41752.536111111112</v>
      </c>
      <c r="F5271" s="157">
        <v>41752.754861111112</v>
      </c>
      <c r="G5271" s="98">
        <v>475</v>
      </c>
      <c r="H5271" s="98">
        <v>530</v>
      </c>
      <c r="I5271" s="98">
        <v>493</v>
      </c>
      <c r="J5271" s="98" t="s">
        <v>1966</v>
      </c>
      <c r="K5271" s="98" t="s">
        <v>1822</v>
      </c>
      <c r="L5271" s="105" t="str">
        <f t="shared" si="870"/>
        <v>Trimble</v>
      </c>
      <c r="M5271" s="105" t="str">
        <f t="shared" si="871"/>
        <v>Derate</v>
      </c>
      <c r="N5271" s="105" t="str">
        <f t="shared" si="872"/>
        <v>Coal</v>
      </c>
      <c r="O5271" s="105">
        <f>IFERROR(VLOOKUP(A5271,Lookup!$J$5:$P$19,7,FALSE),0)</f>
        <v>3</v>
      </c>
      <c r="P5271" s="159">
        <f t="shared" si="873"/>
        <v>2014</v>
      </c>
      <c r="Q5271" s="159">
        <f t="shared" si="874"/>
        <v>4</v>
      </c>
      <c r="R5271" s="160">
        <f t="shared" si="875"/>
        <v>5.25</v>
      </c>
      <c r="S5271" s="158">
        <f t="shared" si="876"/>
        <v>0.54481132075471694</v>
      </c>
      <c r="T5271" s="161">
        <f t="shared" si="877"/>
        <v>268.59198113207543</v>
      </c>
      <c r="U5271" s="158">
        <f t="shared" si="879"/>
        <v>51.160377358490564</v>
      </c>
      <c r="V5271" s="160">
        <f t="shared" si="878"/>
        <v>51</v>
      </c>
    </row>
    <row r="5272" spans="1:22" x14ac:dyDescent="0.25">
      <c r="A5272" s="98" t="s">
        <v>19</v>
      </c>
      <c r="B5272" s="98" t="s">
        <v>17</v>
      </c>
      <c r="C5272" s="98">
        <v>62</v>
      </c>
      <c r="D5272" s="98">
        <v>1455</v>
      </c>
      <c r="E5272" s="157">
        <v>41752.754861111112</v>
      </c>
      <c r="F5272" s="157">
        <v>41753.34375</v>
      </c>
      <c r="G5272" s="98">
        <v>525</v>
      </c>
      <c r="H5272" s="98">
        <v>530</v>
      </c>
      <c r="I5272" s="98">
        <v>493</v>
      </c>
      <c r="J5272" s="98" t="s">
        <v>1990</v>
      </c>
      <c r="K5272" s="98" t="s">
        <v>1821</v>
      </c>
      <c r="L5272" s="105" t="str">
        <f t="shared" si="870"/>
        <v>Trimble</v>
      </c>
      <c r="M5272" s="105" t="str">
        <f t="shared" si="871"/>
        <v>Derate</v>
      </c>
      <c r="N5272" s="105" t="str">
        <f t="shared" si="872"/>
        <v>Coal</v>
      </c>
      <c r="O5272" s="105">
        <f>IFERROR(VLOOKUP(A5272,Lookup!$J$5:$P$19,7,FALSE),0)</f>
        <v>3</v>
      </c>
      <c r="P5272" s="159">
        <f t="shared" si="873"/>
        <v>2014</v>
      </c>
      <c r="Q5272" s="159">
        <f t="shared" si="874"/>
        <v>4</v>
      </c>
      <c r="R5272" s="160">
        <f t="shared" si="875"/>
        <v>14.133333333302289</v>
      </c>
      <c r="S5272" s="158">
        <f t="shared" si="876"/>
        <v>0.13333333333304045</v>
      </c>
      <c r="T5272" s="161">
        <f t="shared" si="877"/>
        <v>65.733333333188938</v>
      </c>
      <c r="U5272" s="158">
        <f t="shared" si="879"/>
        <v>4.6509433962264151</v>
      </c>
      <c r="V5272" s="160">
        <f t="shared" si="878"/>
        <v>5</v>
      </c>
    </row>
    <row r="5273" spans="1:22" x14ac:dyDescent="0.25">
      <c r="A5273" s="98" t="s">
        <v>19</v>
      </c>
      <c r="B5273" s="98" t="s">
        <v>17</v>
      </c>
      <c r="C5273" s="98">
        <v>63</v>
      </c>
      <c r="D5273" s="98">
        <v>3235</v>
      </c>
      <c r="E5273" s="157">
        <v>41753.34375</v>
      </c>
      <c r="F5273" s="157">
        <v>41753.365972222222</v>
      </c>
      <c r="G5273" s="98">
        <v>300</v>
      </c>
      <c r="H5273" s="98">
        <v>530</v>
      </c>
      <c r="I5273" s="98">
        <v>493</v>
      </c>
      <c r="J5273" s="98" t="s">
        <v>2745</v>
      </c>
      <c r="K5273" s="98" t="s">
        <v>1823</v>
      </c>
      <c r="L5273" s="105" t="str">
        <f t="shared" si="870"/>
        <v>Trimble</v>
      </c>
      <c r="M5273" s="105" t="str">
        <f t="shared" si="871"/>
        <v>Derate</v>
      </c>
      <c r="N5273" s="105" t="str">
        <f t="shared" si="872"/>
        <v>Coal</v>
      </c>
      <c r="O5273" s="105">
        <f>IFERROR(VLOOKUP(A5273,Lookup!$J$5:$P$19,7,FALSE),0)</f>
        <v>3</v>
      </c>
      <c r="P5273" s="159">
        <f t="shared" si="873"/>
        <v>2014</v>
      </c>
      <c r="Q5273" s="159">
        <f t="shared" si="874"/>
        <v>4</v>
      </c>
      <c r="R5273" s="160">
        <f t="shared" si="875"/>
        <v>0.53333333332557231</v>
      </c>
      <c r="S5273" s="158">
        <f t="shared" si="876"/>
        <v>0.23144654087713515</v>
      </c>
      <c r="T5273" s="161">
        <f t="shared" si="877"/>
        <v>114.10314465242763</v>
      </c>
      <c r="U5273" s="158">
        <f t="shared" si="879"/>
        <v>213.9433962264151</v>
      </c>
      <c r="V5273" s="160">
        <f t="shared" si="878"/>
        <v>214</v>
      </c>
    </row>
    <row r="5274" spans="1:22" x14ac:dyDescent="0.25">
      <c r="A5274" s="98" t="s">
        <v>19</v>
      </c>
      <c r="B5274" s="98" t="s">
        <v>17</v>
      </c>
      <c r="C5274" s="98">
        <v>64</v>
      </c>
      <c r="D5274" s="98">
        <v>3235</v>
      </c>
      <c r="E5274" s="157">
        <v>41753.365972222222</v>
      </c>
      <c r="F5274" s="157">
        <v>41753.440972222219</v>
      </c>
      <c r="G5274" s="98">
        <v>375</v>
      </c>
      <c r="H5274" s="98">
        <v>530</v>
      </c>
      <c r="I5274" s="98">
        <v>493</v>
      </c>
      <c r="J5274" s="98" t="s">
        <v>2745</v>
      </c>
      <c r="K5274" s="98" t="s">
        <v>1824</v>
      </c>
      <c r="L5274" s="105" t="str">
        <f t="shared" si="870"/>
        <v>Trimble</v>
      </c>
      <c r="M5274" s="105" t="str">
        <f t="shared" si="871"/>
        <v>Derate</v>
      </c>
      <c r="N5274" s="105" t="str">
        <f t="shared" si="872"/>
        <v>Coal</v>
      </c>
      <c r="O5274" s="105">
        <f>IFERROR(VLOOKUP(A5274,Lookup!$J$5:$P$19,7,FALSE),0)</f>
        <v>3</v>
      </c>
      <c r="P5274" s="159">
        <f t="shared" si="873"/>
        <v>2014</v>
      </c>
      <c r="Q5274" s="159">
        <f t="shared" si="874"/>
        <v>4</v>
      </c>
      <c r="R5274" s="160">
        <f t="shared" si="875"/>
        <v>1.7999999999301508</v>
      </c>
      <c r="S5274" s="158">
        <f t="shared" si="876"/>
        <v>0.52641509431919509</v>
      </c>
      <c r="T5274" s="161">
        <f t="shared" si="877"/>
        <v>259.5226414993632</v>
      </c>
      <c r="U5274" s="158">
        <f t="shared" si="879"/>
        <v>144.17924528301887</v>
      </c>
      <c r="V5274" s="160">
        <f t="shared" si="878"/>
        <v>144</v>
      </c>
    </row>
    <row r="5275" spans="1:22" x14ac:dyDescent="0.25">
      <c r="A5275" s="98" t="s">
        <v>19</v>
      </c>
      <c r="B5275" s="98" t="s">
        <v>17</v>
      </c>
      <c r="C5275" s="98">
        <v>65</v>
      </c>
      <c r="D5275" s="98">
        <v>1455</v>
      </c>
      <c r="E5275" s="157">
        <v>41753.440972222219</v>
      </c>
      <c r="F5275" s="157">
        <v>41753.623611111114</v>
      </c>
      <c r="G5275" s="98">
        <v>525</v>
      </c>
      <c r="H5275" s="98">
        <v>530</v>
      </c>
      <c r="I5275" s="98">
        <v>493</v>
      </c>
      <c r="J5275" s="98" t="s">
        <v>1990</v>
      </c>
      <c r="K5275" s="98" t="s">
        <v>1821</v>
      </c>
      <c r="L5275" s="105" t="str">
        <f t="shared" si="870"/>
        <v>Trimble</v>
      </c>
      <c r="M5275" s="105" t="str">
        <f t="shared" si="871"/>
        <v>Derate</v>
      </c>
      <c r="N5275" s="105" t="str">
        <f t="shared" si="872"/>
        <v>Coal</v>
      </c>
      <c r="O5275" s="105">
        <f>IFERROR(VLOOKUP(A5275,Lookup!$J$5:$P$19,7,FALSE),0)</f>
        <v>3</v>
      </c>
      <c r="P5275" s="159">
        <f t="shared" si="873"/>
        <v>2014</v>
      </c>
      <c r="Q5275" s="159">
        <f t="shared" si="874"/>
        <v>4</v>
      </c>
      <c r="R5275" s="160">
        <f t="shared" si="875"/>
        <v>4.3833333334769122</v>
      </c>
      <c r="S5275" s="158">
        <f t="shared" si="876"/>
        <v>4.1352201259216154E-2</v>
      </c>
      <c r="T5275" s="161">
        <f t="shared" si="877"/>
        <v>20.386635220793565</v>
      </c>
      <c r="U5275" s="158">
        <f t="shared" si="879"/>
        <v>4.6509433962264151</v>
      </c>
      <c r="V5275" s="160">
        <f t="shared" si="878"/>
        <v>5</v>
      </c>
    </row>
    <row r="5276" spans="1:22" x14ac:dyDescent="0.25">
      <c r="A5276" s="98" t="s">
        <v>19</v>
      </c>
      <c r="B5276" s="98" t="s">
        <v>17</v>
      </c>
      <c r="C5276" s="98">
        <v>66</v>
      </c>
      <c r="D5276" s="98">
        <v>310</v>
      </c>
      <c r="E5276" s="157">
        <v>41753.623611111114</v>
      </c>
      <c r="F5276" s="157">
        <v>41753.834027777775</v>
      </c>
      <c r="G5276" s="98">
        <v>475</v>
      </c>
      <c r="H5276" s="98">
        <v>530</v>
      </c>
      <c r="I5276" s="98">
        <v>493</v>
      </c>
      <c r="J5276" s="98" t="s">
        <v>1966</v>
      </c>
      <c r="K5276" s="98" t="s">
        <v>1825</v>
      </c>
      <c r="L5276" s="105" t="str">
        <f t="shared" si="870"/>
        <v>Trimble</v>
      </c>
      <c r="M5276" s="105" t="str">
        <f t="shared" si="871"/>
        <v>Derate</v>
      </c>
      <c r="N5276" s="105" t="str">
        <f t="shared" si="872"/>
        <v>Coal</v>
      </c>
      <c r="O5276" s="105">
        <f>IFERROR(VLOOKUP(A5276,Lookup!$J$5:$P$19,7,FALSE),0)</f>
        <v>3</v>
      </c>
      <c r="P5276" s="159">
        <f t="shared" si="873"/>
        <v>2014</v>
      </c>
      <c r="Q5276" s="159">
        <f t="shared" si="874"/>
        <v>4</v>
      </c>
      <c r="R5276" s="160">
        <f t="shared" si="875"/>
        <v>5.0499999998719431</v>
      </c>
      <c r="S5276" s="158">
        <f t="shared" si="876"/>
        <v>0.52405660376029595</v>
      </c>
      <c r="T5276" s="161">
        <f t="shared" si="877"/>
        <v>258.35990565382588</v>
      </c>
      <c r="U5276" s="158">
        <f t="shared" si="879"/>
        <v>51.160377358490564</v>
      </c>
      <c r="V5276" s="160">
        <f t="shared" si="878"/>
        <v>51</v>
      </c>
    </row>
    <row r="5277" spans="1:22" x14ac:dyDescent="0.25">
      <c r="A5277" s="98" t="s">
        <v>19</v>
      </c>
      <c r="B5277" s="98" t="s">
        <v>17</v>
      </c>
      <c r="C5277" s="98">
        <v>67</v>
      </c>
      <c r="D5277" s="98">
        <v>1455</v>
      </c>
      <c r="E5277" s="157">
        <v>41753.834027777775</v>
      </c>
      <c r="F5277" s="157">
        <v>41768.01666666667</v>
      </c>
      <c r="G5277" s="98">
        <v>525</v>
      </c>
      <c r="H5277" s="98">
        <v>530</v>
      </c>
      <c r="I5277" s="98">
        <v>493</v>
      </c>
      <c r="J5277" s="98" t="s">
        <v>1990</v>
      </c>
      <c r="K5277" s="98" t="s">
        <v>1821</v>
      </c>
      <c r="L5277" s="105" t="str">
        <f t="shared" si="870"/>
        <v>Trimble</v>
      </c>
      <c r="M5277" s="105" t="str">
        <f t="shared" si="871"/>
        <v>Derate</v>
      </c>
      <c r="N5277" s="105" t="str">
        <f t="shared" si="872"/>
        <v>Coal</v>
      </c>
      <c r="O5277" s="105">
        <f>IFERROR(VLOOKUP(A5277,Lookup!$J$5:$P$19,7,FALSE),0)</f>
        <v>3</v>
      </c>
      <c r="P5277" s="159">
        <f t="shared" si="873"/>
        <v>2014</v>
      </c>
      <c r="Q5277" s="159">
        <f t="shared" si="874"/>
        <v>4</v>
      </c>
      <c r="R5277" s="160">
        <f t="shared" si="875"/>
        <v>340.38333333347691</v>
      </c>
      <c r="S5277" s="158">
        <f t="shared" si="876"/>
        <v>3.211163522013933</v>
      </c>
      <c r="T5277" s="161">
        <f t="shared" si="877"/>
        <v>1583.103616352869</v>
      </c>
      <c r="U5277" s="158">
        <f t="shared" si="879"/>
        <v>4.6509433962264151</v>
      </c>
      <c r="V5277" s="160">
        <f t="shared" si="878"/>
        <v>5</v>
      </c>
    </row>
    <row r="5278" spans="1:22" x14ac:dyDescent="0.25">
      <c r="A5278" s="98" t="s">
        <v>19</v>
      </c>
      <c r="B5278" s="98" t="s">
        <v>17</v>
      </c>
      <c r="C5278" s="98">
        <v>68</v>
      </c>
      <c r="D5278" s="98">
        <v>310</v>
      </c>
      <c r="E5278" s="157">
        <v>41758.375</v>
      </c>
      <c r="F5278" s="157">
        <v>41758.689583333333</v>
      </c>
      <c r="G5278" s="98">
        <v>500</v>
      </c>
      <c r="H5278" s="98">
        <v>530</v>
      </c>
      <c r="I5278" s="98">
        <v>493</v>
      </c>
      <c r="J5278" s="98" t="s">
        <v>1966</v>
      </c>
      <c r="K5278" s="98" t="s">
        <v>1826</v>
      </c>
      <c r="L5278" s="105" t="str">
        <f t="shared" si="870"/>
        <v>Trimble</v>
      </c>
      <c r="M5278" s="105" t="str">
        <f t="shared" si="871"/>
        <v>Derate</v>
      </c>
      <c r="N5278" s="105" t="str">
        <f t="shared" si="872"/>
        <v>Coal</v>
      </c>
      <c r="O5278" s="105">
        <f>IFERROR(VLOOKUP(A5278,Lookup!$J$5:$P$19,7,FALSE),0)</f>
        <v>3</v>
      </c>
      <c r="P5278" s="159">
        <f t="shared" si="873"/>
        <v>2014</v>
      </c>
      <c r="Q5278" s="159">
        <f t="shared" si="874"/>
        <v>4</v>
      </c>
      <c r="R5278" s="160">
        <f t="shared" si="875"/>
        <v>7.5499999999883585</v>
      </c>
      <c r="S5278" s="158">
        <f t="shared" si="876"/>
        <v>0.42735849056537878</v>
      </c>
      <c r="T5278" s="161">
        <f t="shared" si="877"/>
        <v>210.68773584873173</v>
      </c>
      <c r="U5278" s="158">
        <f t="shared" si="879"/>
        <v>27.90566037735849</v>
      </c>
      <c r="V5278" s="160">
        <f t="shared" si="878"/>
        <v>28</v>
      </c>
    </row>
    <row r="5279" spans="1:22" x14ac:dyDescent="0.25">
      <c r="A5279" s="98" t="s">
        <v>19</v>
      </c>
      <c r="B5279" s="98" t="s">
        <v>20</v>
      </c>
      <c r="C5279" s="98">
        <v>69</v>
      </c>
      <c r="D5279" s="98">
        <v>1495</v>
      </c>
      <c r="E5279" s="157">
        <v>41768.01666666667</v>
      </c>
      <c r="F5279" s="157">
        <v>41771.438194444447</v>
      </c>
      <c r="G5279" s="98">
        <v>0</v>
      </c>
      <c r="H5279" s="98">
        <v>530</v>
      </c>
      <c r="I5279" s="98">
        <v>493</v>
      </c>
      <c r="J5279" s="98" t="s">
        <v>2988</v>
      </c>
      <c r="K5279" s="98" t="s">
        <v>1827</v>
      </c>
      <c r="L5279" s="105" t="str">
        <f t="shared" si="870"/>
        <v>Trimble</v>
      </c>
      <c r="M5279" s="105" t="str">
        <f t="shared" si="871"/>
        <v>Maintenance</v>
      </c>
      <c r="N5279" s="105" t="str">
        <f t="shared" si="872"/>
        <v>Coal</v>
      </c>
      <c r="O5279" s="105">
        <f>IFERROR(VLOOKUP(A5279,Lookup!$J$5:$P$19,7,FALSE),0)</f>
        <v>3</v>
      </c>
      <c r="P5279" s="159">
        <f t="shared" si="873"/>
        <v>2014</v>
      </c>
      <c r="Q5279" s="159">
        <f t="shared" si="874"/>
        <v>5</v>
      </c>
      <c r="R5279" s="160">
        <f t="shared" si="875"/>
        <v>82.116666666639503</v>
      </c>
      <c r="S5279" s="158">
        <f t="shared" si="876"/>
        <v>82.116666666639503</v>
      </c>
      <c r="T5279" s="161">
        <f t="shared" si="877"/>
        <v>40483.516666653275</v>
      </c>
      <c r="U5279" s="158">
        <f t="shared" si="879"/>
        <v>493</v>
      </c>
      <c r="V5279" s="160">
        <f t="shared" si="878"/>
        <v>493</v>
      </c>
    </row>
    <row r="5280" spans="1:22" x14ac:dyDescent="0.25">
      <c r="A5280" s="98" t="s">
        <v>19</v>
      </c>
      <c r="B5280" s="98" t="s">
        <v>79</v>
      </c>
      <c r="C5280" s="98">
        <v>70</v>
      </c>
      <c r="D5280" s="98">
        <v>1850</v>
      </c>
      <c r="E5280" s="157">
        <v>41771.836111111108</v>
      </c>
      <c r="F5280" s="157">
        <v>41772.01666666667</v>
      </c>
      <c r="G5280" s="98">
        <v>0</v>
      </c>
      <c r="H5280" s="98">
        <v>530</v>
      </c>
      <c r="I5280" s="98">
        <v>493</v>
      </c>
      <c r="J5280" s="98" t="s">
        <v>2263</v>
      </c>
      <c r="K5280" s="98" t="s">
        <v>1828</v>
      </c>
      <c r="L5280" s="105" t="str">
        <f t="shared" si="870"/>
        <v>Trimble</v>
      </c>
      <c r="M5280" s="105" t="str">
        <f t="shared" si="871"/>
        <v>Other</v>
      </c>
      <c r="N5280" s="105" t="str">
        <f t="shared" si="872"/>
        <v>Coal</v>
      </c>
      <c r="O5280" s="105">
        <f>IFERROR(VLOOKUP(A5280,Lookup!$J$5:$P$19,7,FALSE),0)</f>
        <v>3</v>
      </c>
      <c r="P5280" s="159">
        <f t="shared" si="873"/>
        <v>2014</v>
      </c>
      <c r="Q5280" s="159">
        <f t="shared" si="874"/>
        <v>5</v>
      </c>
      <c r="R5280" s="160">
        <f t="shared" si="875"/>
        <v>4.3333333334885538</v>
      </c>
      <c r="S5280" s="158">
        <f t="shared" si="876"/>
        <v>4.3333333334885538</v>
      </c>
      <c r="T5280" s="161">
        <f t="shared" si="877"/>
        <v>2136.333333409857</v>
      </c>
      <c r="U5280" s="158">
        <f t="shared" si="879"/>
        <v>493</v>
      </c>
      <c r="V5280" s="160">
        <f t="shared" si="878"/>
        <v>493</v>
      </c>
    </row>
    <row r="5281" spans="1:22" x14ac:dyDescent="0.25">
      <c r="A5281" s="98" t="s">
        <v>19</v>
      </c>
      <c r="B5281" s="98" t="s">
        <v>79</v>
      </c>
      <c r="C5281" s="98">
        <v>71</v>
      </c>
      <c r="D5281" s="98">
        <v>8813</v>
      </c>
      <c r="E5281" s="157">
        <v>41779.34375</v>
      </c>
      <c r="F5281" s="157">
        <v>41779.760416666664</v>
      </c>
      <c r="G5281" s="98">
        <v>0</v>
      </c>
      <c r="H5281" s="98">
        <v>530</v>
      </c>
      <c r="I5281" s="98">
        <v>493</v>
      </c>
      <c r="J5281" s="98" t="s">
        <v>2620</v>
      </c>
      <c r="K5281" s="98" t="s">
        <v>1829</v>
      </c>
      <c r="L5281" s="105" t="str">
        <f t="shared" si="870"/>
        <v>Trimble</v>
      </c>
      <c r="M5281" s="105" t="str">
        <f t="shared" si="871"/>
        <v>Other</v>
      </c>
      <c r="N5281" s="105" t="str">
        <f t="shared" si="872"/>
        <v>Coal</v>
      </c>
      <c r="O5281" s="105">
        <f>IFERROR(VLOOKUP(A5281,Lookup!$J$5:$P$19,7,FALSE),0)</f>
        <v>3</v>
      </c>
      <c r="P5281" s="159">
        <f t="shared" si="873"/>
        <v>2014</v>
      </c>
      <c r="Q5281" s="159">
        <f t="shared" si="874"/>
        <v>5</v>
      </c>
      <c r="R5281" s="160">
        <f t="shared" si="875"/>
        <v>9.9999999999417923</v>
      </c>
      <c r="S5281" s="158">
        <f t="shared" si="876"/>
        <v>9.9999999999417923</v>
      </c>
      <c r="T5281" s="161">
        <f t="shared" si="877"/>
        <v>4929.9999999713036</v>
      </c>
      <c r="U5281" s="158">
        <f t="shared" si="879"/>
        <v>493</v>
      </c>
      <c r="V5281" s="160">
        <f t="shared" si="878"/>
        <v>493</v>
      </c>
    </row>
    <row r="5282" spans="1:22" x14ac:dyDescent="0.25">
      <c r="A5282" s="98" t="s">
        <v>19</v>
      </c>
      <c r="B5282" s="98" t="s">
        <v>17</v>
      </c>
      <c r="C5282" s="98">
        <v>72</v>
      </c>
      <c r="D5282" s="98">
        <v>330</v>
      </c>
      <c r="E5282" s="157">
        <v>41780.228472222225</v>
      </c>
      <c r="F5282" s="157">
        <v>41780.260416666664</v>
      </c>
      <c r="G5282" s="98">
        <v>525</v>
      </c>
      <c r="H5282" s="98">
        <v>530</v>
      </c>
      <c r="I5282" s="98">
        <v>493</v>
      </c>
      <c r="J5282" s="98" t="s">
        <v>2291</v>
      </c>
      <c r="K5282" s="98" t="s">
        <v>1830</v>
      </c>
      <c r="L5282" s="105" t="str">
        <f t="shared" si="870"/>
        <v>Trimble</v>
      </c>
      <c r="M5282" s="105" t="str">
        <f t="shared" si="871"/>
        <v>Derate</v>
      </c>
      <c r="N5282" s="105" t="str">
        <f t="shared" si="872"/>
        <v>Coal</v>
      </c>
      <c r="O5282" s="105">
        <f>IFERROR(VLOOKUP(A5282,Lookup!$J$5:$P$19,7,FALSE),0)</f>
        <v>3</v>
      </c>
      <c r="P5282" s="159">
        <f t="shared" si="873"/>
        <v>2014</v>
      </c>
      <c r="Q5282" s="159">
        <f t="shared" si="874"/>
        <v>5</v>
      </c>
      <c r="R5282" s="160">
        <f t="shared" si="875"/>
        <v>0.76666666654637083</v>
      </c>
      <c r="S5282" s="158">
        <f t="shared" si="876"/>
        <v>7.2327044013808569E-3</v>
      </c>
      <c r="T5282" s="161">
        <f t="shared" si="877"/>
        <v>3.5657232698807624</v>
      </c>
      <c r="U5282" s="158">
        <f t="shared" si="879"/>
        <v>4.6509433962264151</v>
      </c>
      <c r="V5282" s="160">
        <f t="shared" si="878"/>
        <v>5</v>
      </c>
    </row>
    <row r="5283" spans="1:22" x14ac:dyDescent="0.25">
      <c r="A5283" s="98" t="s">
        <v>19</v>
      </c>
      <c r="B5283" s="98" t="s">
        <v>79</v>
      </c>
      <c r="C5283" s="98">
        <v>73</v>
      </c>
      <c r="D5283" s="98">
        <v>8813</v>
      </c>
      <c r="E5283" s="157">
        <v>41780.303472222222</v>
      </c>
      <c r="F5283" s="157">
        <v>41780.729166666664</v>
      </c>
      <c r="G5283" s="98">
        <v>0</v>
      </c>
      <c r="H5283" s="98">
        <v>530</v>
      </c>
      <c r="I5283" s="98">
        <v>493</v>
      </c>
      <c r="J5283" s="98" t="s">
        <v>2620</v>
      </c>
      <c r="K5283" s="98" t="s">
        <v>1829</v>
      </c>
      <c r="L5283" s="105" t="str">
        <f t="shared" si="870"/>
        <v>Trimble</v>
      </c>
      <c r="M5283" s="105" t="str">
        <f t="shared" si="871"/>
        <v>Other</v>
      </c>
      <c r="N5283" s="105" t="str">
        <f t="shared" si="872"/>
        <v>Coal</v>
      </c>
      <c r="O5283" s="105">
        <f>IFERROR(VLOOKUP(A5283,Lookup!$J$5:$P$19,7,FALSE),0)</f>
        <v>3</v>
      </c>
      <c r="P5283" s="159">
        <f t="shared" si="873"/>
        <v>2014</v>
      </c>
      <c r="Q5283" s="159">
        <f t="shared" si="874"/>
        <v>5</v>
      </c>
      <c r="R5283" s="160">
        <f t="shared" si="875"/>
        <v>10.21666666661622</v>
      </c>
      <c r="S5283" s="158">
        <f t="shared" si="876"/>
        <v>10.21666666661622</v>
      </c>
      <c r="T5283" s="161">
        <f t="shared" si="877"/>
        <v>5036.8166666417965</v>
      </c>
      <c r="U5283" s="158">
        <f t="shared" si="879"/>
        <v>493</v>
      </c>
      <c r="V5283" s="160">
        <f t="shared" si="878"/>
        <v>493</v>
      </c>
    </row>
    <row r="5284" spans="1:22" x14ac:dyDescent="0.25">
      <c r="A5284" s="98" t="s">
        <v>19</v>
      </c>
      <c r="B5284" s="98" t="s">
        <v>79</v>
      </c>
      <c r="C5284" s="98">
        <v>74</v>
      </c>
      <c r="D5284" s="98">
        <v>8813</v>
      </c>
      <c r="E5284" s="157">
        <v>41781.267361111109</v>
      </c>
      <c r="F5284" s="157">
        <v>41781.465277777781</v>
      </c>
      <c r="G5284" s="98">
        <v>0</v>
      </c>
      <c r="H5284" s="98">
        <v>530</v>
      </c>
      <c r="I5284" s="98">
        <v>493</v>
      </c>
      <c r="J5284" s="98" t="s">
        <v>2620</v>
      </c>
      <c r="K5284" s="98" t="s">
        <v>1829</v>
      </c>
      <c r="L5284" s="105" t="str">
        <f t="shared" si="870"/>
        <v>Trimble</v>
      </c>
      <c r="M5284" s="105" t="str">
        <f t="shared" si="871"/>
        <v>Other</v>
      </c>
      <c r="N5284" s="105" t="str">
        <f t="shared" si="872"/>
        <v>Coal</v>
      </c>
      <c r="O5284" s="105">
        <f>IFERROR(VLOOKUP(A5284,Lookup!$J$5:$P$19,7,FALSE),0)</f>
        <v>3</v>
      </c>
      <c r="P5284" s="159">
        <f t="shared" si="873"/>
        <v>2014</v>
      </c>
      <c r="Q5284" s="159">
        <f t="shared" si="874"/>
        <v>5</v>
      </c>
      <c r="R5284" s="160">
        <f t="shared" si="875"/>
        <v>4.7500000001164153</v>
      </c>
      <c r="S5284" s="158">
        <f t="shared" si="876"/>
        <v>4.7500000001164153</v>
      </c>
      <c r="T5284" s="161">
        <f t="shared" si="877"/>
        <v>2341.7500000573928</v>
      </c>
      <c r="U5284" s="158">
        <f t="shared" si="879"/>
        <v>493</v>
      </c>
      <c r="V5284" s="160">
        <f t="shared" si="878"/>
        <v>493</v>
      </c>
    </row>
    <row r="5285" spans="1:22" x14ac:dyDescent="0.25">
      <c r="A5285" s="98" t="s">
        <v>19</v>
      </c>
      <c r="B5285" s="98" t="s">
        <v>17</v>
      </c>
      <c r="C5285" s="98">
        <v>75</v>
      </c>
      <c r="D5285" s="98">
        <v>1420</v>
      </c>
      <c r="E5285" s="157">
        <v>41781.568055555559</v>
      </c>
      <c r="F5285" s="157">
        <v>41786.461111111108</v>
      </c>
      <c r="G5285" s="98">
        <v>530</v>
      </c>
      <c r="H5285" s="98">
        <v>530</v>
      </c>
      <c r="I5285" s="98">
        <v>493</v>
      </c>
      <c r="J5285" s="98" t="s">
        <v>2800</v>
      </c>
      <c r="K5285" s="98" t="s">
        <v>1831</v>
      </c>
      <c r="L5285" s="105" t="str">
        <f t="shared" si="870"/>
        <v>Trimble</v>
      </c>
      <c r="M5285" s="105" t="str">
        <f t="shared" si="871"/>
        <v>Derate</v>
      </c>
      <c r="N5285" s="105" t="str">
        <f t="shared" si="872"/>
        <v>Coal</v>
      </c>
      <c r="O5285" s="105">
        <f>IFERROR(VLOOKUP(A5285,Lookup!$J$5:$P$19,7,FALSE),0)</f>
        <v>3</v>
      </c>
      <c r="P5285" s="159">
        <f t="shared" si="873"/>
        <v>2014</v>
      </c>
      <c r="Q5285" s="159">
        <f t="shared" si="874"/>
        <v>5</v>
      </c>
      <c r="R5285" s="160">
        <f t="shared" si="875"/>
        <v>117.43333333317423</v>
      </c>
      <c r="S5285" s="158">
        <f t="shared" si="876"/>
        <v>0</v>
      </c>
      <c r="T5285" s="161">
        <f t="shared" si="877"/>
        <v>0</v>
      </c>
      <c r="U5285" s="158">
        <f t="shared" si="879"/>
        <v>0</v>
      </c>
      <c r="V5285" s="160">
        <f t="shared" si="878"/>
        <v>0</v>
      </c>
    </row>
    <row r="5286" spans="1:22" x14ac:dyDescent="0.25">
      <c r="A5286" s="98" t="s">
        <v>19</v>
      </c>
      <c r="B5286" s="98" t="s">
        <v>79</v>
      </c>
      <c r="C5286" s="98">
        <v>76</v>
      </c>
      <c r="D5286" s="98">
        <v>4267</v>
      </c>
      <c r="E5286" s="157">
        <v>41784.041666666664</v>
      </c>
      <c r="F5286" s="157">
        <v>41784.0625</v>
      </c>
      <c r="G5286" s="98">
        <v>0</v>
      </c>
      <c r="H5286" s="98">
        <v>530</v>
      </c>
      <c r="I5286" s="98">
        <v>493</v>
      </c>
      <c r="J5286" s="98" t="s">
        <v>2025</v>
      </c>
      <c r="K5286" s="98" t="s">
        <v>1832</v>
      </c>
      <c r="L5286" s="105" t="str">
        <f t="shared" si="870"/>
        <v>Trimble</v>
      </c>
      <c r="M5286" s="105" t="str">
        <f t="shared" si="871"/>
        <v>Other</v>
      </c>
      <c r="N5286" s="105" t="str">
        <f t="shared" si="872"/>
        <v>Coal</v>
      </c>
      <c r="O5286" s="105">
        <f>IFERROR(VLOOKUP(A5286,Lookup!$J$5:$P$19,7,FALSE),0)</f>
        <v>3</v>
      </c>
      <c r="P5286" s="159">
        <f t="shared" si="873"/>
        <v>2014</v>
      </c>
      <c r="Q5286" s="159">
        <f t="shared" si="874"/>
        <v>5</v>
      </c>
      <c r="R5286" s="160">
        <f t="shared" si="875"/>
        <v>0.50000000005820766</v>
      </c>
      <c r="S5286" s="158">
        <f t="shared" si="876"/>
        <v>0.50000000005820766</v>
      </c>
      <c r="T5286" s="161">
        <f t="shared" si="877"/>
        <v>246.50000002869638</v>
      </c>
      <c r="U5286" s="158">
        <f t="shared" si="879"/>
        <v>493</v>
      </c>
      <c r="V5286" s="160">
        <f t="shared" si="878"/>
        <v>493</v>
      </c>
    </row>
    <row r="5287" spans="1:22" x14ac:dyDescent="0.25">
      <c r="A5287" s="98" t="s">
        <v>19</v>
      </c>
      <c r="B5287" s="98" t="s">
        <v>17</v>
      </c>
      <c r="C5287" s="98">
        <v>77</v>
      </c>
      <c r="D5287" s="98">
        <v>1470</v>
      </c>
      <c r="E5287" s="157">
        <v>41788.581944444442</v>
      </c>
      <c r="F5287" s="157">
        <v>41788.625</v>
      </c>
      <c r="G5287" s="98">
        <v>530</v>
      </c>
      <c r="H5287" s="98">
        <v>530</v>
      </c>
      <c r="I5287" s="98">
        <v>493</v>
      </c>
      <c r="J5287" s="98" t="s">
        <v>2005</v>
      </c>
      <c r="K5287" s="98" t="s">
        <v>1833</v>
      </c>
      <c r="L5287" s="105" t="str">
        <f t="shared" si="870"/>
        <v>Trimble</v>
      </c>
      <c r="M5287" s="105" t="str">
        <f t="shared" si="871"/>
        <v>Derate</v>
      </c>
      <c r="N5287" s="105" t="str">
        <f t="shared" si="872"/>
        <v>Coal</v>
      </c>
      <c r="O5287" s="105">
        <f>IFERROR(VLOOKUP(A5287,Lookup!$J$5:$P$19,7,FALSE),0)</f>
        <v>3</v>
      </c>
      <c r="P5287" s="159">
        <f t="shared" si="873"/>
        <v>2014</v>
      </c>
      <c r="Q5287" s="159">
        <f t="shared" si="874"/>
        <v>5</v>
      </c>
      <c r="R5287" s="160">
        <f t="shared" si="875"/>
        <v>1.03333333338378</v>
      </c>
      <c r="S5287" s="158">
        <f t="shared" si="876"/>
        <v>0</v>
      </c>
      <c r="T5287" s="161">
        <f t="shared" si="877"/>
        <v>0</v>
      </c>
      <c r="U5287" s="158">
        <f t="shared" si="879"/>
        <v>0</v>
      </c>
      <c r="V5287" s="160">
        <f t="shared" si="878"/>
        <v>0</v>
      </c>
    </row>
    <row r="5288" spans="1:22" x14ac:dyDescent="0.25">
      <c r="A5288" s="98" t="s">
        <v>19</v>
      </c>
      <c r="B5288" s="98" t="s">
        <v>105</v>
      </c>
      <c r="C5288" s="98">
        <v>78</v>
      </c>
      <c r="D5288" s="98">
        <v>1305</v>
      </c>
      <c r="E5288" s="157">
        <v>41794.961111111108</v>
      </c>
      <c r="F5288" s="157">
        <v>41795.044444444444</v>
      </c>
      <c r="G5288" s="98">
        <v>450</v>
      </c>
      <c r="H5288" s="98">
        <v>530</v>
      </c>
      <c r="I5288" s="98">
        <v>493</v>
      </c>
      <c r="J5288" s="98" t="s">
        <v>2985</v>
      </c>
      <c r="K5288" s="98" t="s">
        <v>1834</v>
      </c>
      <c r="L5288" s="105" t="str">
        <f t="shared" si="870"/>
        <v>Trimble</v>
      </c>
      <c r="M5288" s="105" t="str">
        <f t="shared" si="871"/>
        <v>Derate</v>
      </c>
      <c r="N5288" s="105" t="str">
        <f t="shared" si="872"/>
        <v>Coal</v>
      </c>
      <c r="O5288" s="105">
        <f>IFERROR(VLOOKUP(A5288,Lookup!$J$5:$P$19,7,FALSE),0)</f>
        <v>3</v>
      </c>
      <c r="P5288" s="159">
        <f t="shared" si="873"/>
        <v>2014</v>
      </c>
      <c r="Q5288" s="159">
        <f t="shared" si="874"/>
        <v>6</v>
      </c>
      <c r="R5288" s="160">
        <f t="shared" si="875"/>
        <v>2.0000000000582077</v>
      </c>
      <c r="S5288" s="158">
        <f t="shared" si="876"/>
        <v>0.30188679246161626</v>
      </c>
      <c r="T5288" s="161">
        <f t="shared" si="877"/>
        <v>148.83018868357681</v>
      </c>
      <c r="U5288" s="158">
        <f t="shared" si="879"/>
        <v>74.415094339622641</v>
      </c>
      <c r="V5288" s="160">
        <f t="shared" si="878"/>
        <v>74</v>
      </c>
    </row>
    <row r="5289" spans="1:22" x14ac:dyDescent="0.25">
      <c r="A5289" s="98" t="s">
        <v>19</v>
      </c>
      <c r="B5289" s="98" t="s">
        <v>79</v>
      </c>
      <c r="C5289" s="98">
        <v>79</v>
      </c>
      <c r="D5289" s="98">
        <v>1599</v>
      </c>
      <c r="E5289" s="157">
        <v>41800.364583333336</v>
      </c>
      <c r="F5289" s="157">
        <v>41800.401388888888</v>
      </c>
      <c r="G5289" s="98">
        <v>0</v>
      </c>
      <c r="H5289" s="98">
        <v>530</v>
      </c>
      <c r="I5289" s="98">
        <v>493</v>
      </c>
      <c r="J5289" s="98" t="s">
        <v>2013</v>
      </c>
      <c r="K5289" s="98" t="s">
        <v>1835</v>
      </c>
      <c r="L5289" s="105" t="str">
        <f t="shared" si="870"/>
        <v>Trimble</v>
      </c>
      <c r="M5289" s="105" t="str">
        <f t="shared" si="871"/>
        <v>Other</v>
      </c>
      <c r="N5289" s="105" t="str">
        <f t="shared" si="872"/>
        <v>Coal</v>
      </c>
      <c r="O5289" s="105">
        <f>IFERROR(VLOOKUP(A5289,Lookup!$J$5:$P$19,7,FALSE),0)</f>
        <v>3</v>
      </c>
      <c r="P5289" s="159">
        <f t="shared" si="873"/>
        <v>2014</v>
      </c>
      <c r="Q5289" s="159">
        <f t="shared" si="874"/>
        <v>6</v>
      </c>
      <c r="R5289" s="160">
        <f t="shared" si="875"/>
        <v>0.88333333324408159</v>
      </c>
      <c r="S5289" s="158">
        <f t="shared" si="876"/>
        <v>0.88333333324408159</v>
      </c>
      <c r="T5289" s="161">
        <f t="shared" si="877"/>
        <v>435.48333328933222</v>
      </c>
      <c r="U5289" s="158">
        <f t="shared" si="879"/>
        <v>493</v>
      </c>
      <c r="V5289" s="160">
        <f t="shared" si="878"/>
        <v>493</v>
      </c>
    </row>
    <row r="5290" spans="1:22" x14ac:dyDescent="0.25">
      <c r="A5290" s="98" t="s">
        <v>19</v>
      </c>
      <c r="B5290" s="98" t="s">
        <v>105</v>
      </c>
      <c r="C5290" s="98">
        <v>80</v>
      </c>
      <c r="D5290" s="98">
        <v>1160</v>
      </c>
      <c r="E5290" s="157">
        <v>41801.166666666664</v>
      </c>
      <c r="F5290" s="157">
        <v>41801.225694444445</v>
      </c>
      <c r="G5290" s="98">
        <v>450</v>
      </c>
      <c r="H5290" s="98">
        <v>530</v>
      </c>
      <c r="I5290" s="98">
        <v>493</v>
      </c>
      <c r="J5290" s="98" t="s">
        <v>2273</v>
      </c>
      <c r="K5290" s="98" t="s">
        <v>1836</v>
      </c>
      <c r="L5290" s="105" t="str">
        <f t="shared" si="870"/>
        <v>Trimble</v>
      </c>
      <c r="M5290" s="105" t="str">
        <f t="shared" si="871"/>
        <v>Derate</v>
      </c>
      <c r="N5290" s="105" t="str">
        <f t="shared" si="872"/>
        <v>Coal</v>
      </c>
      <c r="O5290" s="105">
        <f>IFERROR(VLOOKUP(A5290,Lookup!$J$5:$P$19,7,FALSE),0)</f>
        <v>3</v>
      </c>
      <c r="P5290" s="159">
        <f t="shared" si="873"/>
        <v>2014</v>
      </c>
      <c r="Q5290" s="159">
        <f t="shared" si="874"/>
        <v>6</v>
      </c>
      <c r="R5290" s="160">
        <f t="shared" si="875"/>
        <v>1.4166666667442769</v>
      </c>
      <c r="S5290" s="158">
        <f t="shared" si="876"/>
        <v>0.21383647799913613</v>
      </c>
      <c r="T5290" s="161">
        <f t="shared" si="877"/>
        <v>105.42138365357411</v>
      </c>
      <c r="U5290" s="158">
        <f t="shared" si="879"/>
        <v>74.415094339622641</v>
      </c>
      <c r="V5290" s="160">
        <f t="shared" si="878"/>
        <v>74</v>
      </c>
    </row>
    <row r="5291" spans="1:22" x14ac:dyDescent="0.25">
      <c r="A5291" s="98" t="s">
        <v>19</v>
      </c>
      <c r="B5291" s="98" t="s">
        <v>17</v>
      </c>
      <c r="C5291" s="98">
        <v>81</v>
      </c>
      <c r="D5291" s="98">
        <v>360</v>
      </c>
      <c r="E5291" s="157">
        <v>41801.373611111114</v>
      </c>
      <c r="F5291" s="157">
        <v>41802.022222222222</v>
      </c>
      <c r="G5291" s="98">
        <v>525</v>
      </c>
      <c r="H5291" s="98">
        <v>530</v>
      </c>
      <c r="I5291" s="98">
        <v>493</v>
      </c>
      <c r="J5291" s="98" t="s">
        <v>229</v>
      </c>
      <c r="K5291" s="98" t="s">
        <v>1837</v>
      </c>
      <c r="L5291" s="105" t="str">
        <f t="shared" si="870"/>
        <v>Trimble</v>
      </c>
      <c r="M5291" s="105" t="str">
        <f t="shared" si="871"/>
        <v>Derate</v>
      </c>
      <c r="N5291" s="105" t="str">
        <f t="shared" si="872"/>
        <v>Coal</v>
      </c>
      <c r="O5291" s="105">
        <f>IFERROR(VLOOKUP(A5291,Lookup!$J$5:$P$19,7,FALSE),0)</f>
        <v>3</v>
      </c>
      <c r="P5291" s="159">
        <f t="shared" si="873"/>
        <v>2014</v>
      </c>
      <c r="Q5291" s="159">
        <f t="shared" si="874"/>
        <v>6</v>
      </c>
      <c r="R5291" s="160">
        <f t="shared" si="875"/>
        <v>15.566666666592937</v>
      </c>
      <c r="S5291" s="158">
        <f t="shared" si="876"/>
        <v>0.14685534591125413</v>
      </c>
      <c r="T5291" s="161">
        <f t="shared" si="877"/>
        <v>72.399685534248277</v>
      </c>
      <c r="U5291" s="158">
        <f t="shared" si="879"/>
        <v>4.6509433962264151</v>
      </c>
      <c r="V5291" s="160">
        <f t="shared" si="878"/>
        <v>5</v>
      </c>
    </row>
    <row r="5292" spans="1:22" x14ac:dyDescent="0.25">
      <c r="A5292" s="98" t="s">
        <v>19</v>
      </c>
      <c r="B5292" s="98" t="s">
        <v>15</v>
      </c>
      <c r="C5292" s="98">
        <v>82</v>
      </c>
      <c r="D5292" s="98">
        <v>1457</v>
      </c>
      <c r="E5292" s="157">
        <v>41802.022222222222</v>
      </c>
      <c r="F5292" s="157">
        <v>41802.056250000001</v>
      </c>
      <c r="G5292" s="98">
        <v>0</v>
      </c>
      <c r="H5292" s="98">
        <v>530</v>
      </c>
      <c r="I5292" s="98">
        <v>493</v>
      </c>
      <c r="J5292" s="98" t="s">
        <v>2292</v>
      </c>
      <c r="K5292" s="98" t="s">
        <v>1838</v>
      </c>
      <c r="L5292" s="105" t="str">
        <f t="shared" si="870"/>
        <v>Trimble</v>
      </c>
      <c r="M5292" s="105" t="str">
        <f t="shared" si="871"/>
        <v>Outage</v>
      </c>
      <c r="N5292" s="105" t="str">
        <f t="shared" si="872"/>
        <v>Coal</v>
      </c>
      <c r="O5292" s="105">
        <f>IFERROR(VLOOKUP(A5292,Lookup!$J$5:$P$19,7,FALSE),0)</f>
        <v>3</v>
      </c>
      <c r="P5292" s="159">
        <f t="shared" si="873"/>
        <v>2014</v>
      </c>
      <c r="Q5292" s="159">
        <f t="shared" si="874"/>
        <v>6</v>
      </c>
      <c r="R5292" s="160">
        <f t="shared" si="875"/>
        <v>0.81666666670935228</v>
      </c>
      <c r="S5292" s="158">
        <f t="shared" si="876"/>
        <v>0.81666666670935228</v>
      </c>
      <c r="T5292" s="161">
        <f t="shared" si="877"/>
        <v>402.61666668771068</v>
      </c>
      <c r="U5292" s="158">
        <f t="shared" si="879"/>
        <v>493</v>
      </c>
      <c r="V5292" s="160">
        <f t="shared" si="878"/>
        <v>493</v>
      </c>
    </row>
    <row r="5293" spans="1:22" x14ac:dyDescent="0.25">
      <c r="A5293" s="98" t="s">
        <v>19</v>
      </c>
      <c r="B5293" s="98" t="s">
        <v>17</v>
      </c>
      <c r="C5293" s="98">
        <v>83</v>
      </c>
      <c r="D5293" s="98">
        <v>360</v>
      </c>
      <c r="E5293" s="157">
        <v>41802.136805555558</v>
      </c>
      <c r="F5293" s="157">
        <v>41802.347222222219</v>
      </c>
      <c r="G5293" s="98">
        <v>525</v>
      </c>
      <c r="H5293" s="98">
        <v>530</v>
      </c>
      <c r="I5293" s="98">
        <v>493</v>
      </c>
      <c r="J5293" s="98" t="s">
        <v>229</v>
      </c>
      <c r="K5293" s="98" t="s">
        <v>1839</v>
      </c>
      <c r="L5293" s="105" t="str">
        <f t="shared" si="870"/>
        <v>Trimble</v>
      </c>
      <c r="M5293" s="105" t="str">
        <f t="shared" si="871"/>
        <v>Derate</v>
      </c>
      <c r="N5293" s="105" t="str">
        <f t="shared" si="872"/>
        <v>Coal</v>
      </c>
      <c r="O5293" s="105">
        <f>IFERROR(VLOOKUP(A5293,Lookup!$J$5:$P$19,7,FALSE),0)</f>
        <v>3</v>
      </c>
      <c r="P5293" s="159">
        <f t="shared" si="873"/>
        <v>2014</v>
      </c>
      <c r="Q5293" s="159">
        <f t="shared" si="874"/>
        <v>6</v>
      </c>
      <c r="R5293" s="160">
        <f t="shared" si="875"/>
        <v>5.0499999998719431</v>
      </c>
      <c r="S5293" s="158">
        <f t="shared" si="876"/>
        <v>4.7641509432754178E-2</v>
      </c>
      <c r="T5293" s="161">
        <f t="shared" si="877"/>
        <v>23.487264150347809</v>
      </c>
      <c r="U5293" s="158">
        <f t="shared" si="879"/>
        <v>4.6509433962264151</v>
      </c>
      <c r="V5293" s="160">
        <f t="shared" si="878"/>
        <v>5</v>
      </c>
    </row>
    <row r="5294" spans="1:22" x14ac:dyDescent="0.25">
      <c r="A5294" s="98" t="s">
        <v>19</v>
      </c>
      <c r="B5294" s="98" t="s">
        <v>17</v>
      </c>
      <c r="C5294" s="98">
        <v>84</v>
      </c>
      <c r="D5294" s="98">
        <v>346</v>
      </c>
      <c r="E5294" s="157">
        <v>41802.347222222219</v>
      </c>
      <c r="F5294" s="157">
        <v>41802.38958333333</v>
      </c>
      <c r="G5294" s="98">
        <v>475</v>
      </c>
      <c r="H5294" s="98">
        <v>530</v>
      </c>
      <c r="I5294" s="98">
        <v>493</v>
      </c>
      <c r="J5294" s="98" t="s">
        <v>1986</v>
      </c>
      <c r="K5294" s="98" t="s">
        <v>1840</v>
      </c>
      <c r="L5294" s="105" t="str">
        <f t="shared" si="870"/>
        <v>Trimble</v>
      </c>
      <c r="M5294" s="105" t="str">
        <f t="shared" si="871"/>
        <v>Derate</v>
      </c>
      <c r="N5294" s="105" t="str">
        <f t="shared" si="872"/>
        <v>Coal</v>
      </c>
      <c r="O5294" s="105">
        <f>IFERROR(VLOOKUP(A5294,Lookup!$J$5:$P$19,7,FALSE),0)</f>
        <v>3</v>
      </c>
      <c r="P5294" s="159">
        <f t="shared" si="873"/>
        <v>2014</v>
      </c>
      <c r="Q5294" s="159">
        <f t="shared" si="874"/>
        <v>6</v>
      </c>
      <c r="R5294" s="160">
        <f t="shared" si="875"/>
        <v>1.0166666666627862</v>
      </c>
      <c r="S5294" s="158">
        <f t="shared" si="876"/>
        <v>0.10550314465368535</v>
      </c>
      <c r="T5294" s="161">
        <f t="shared" si="877"/>
        <v>52.013050314266877</v>
      </c>
      <c r="U5294" s="158">
        <f t="shared" si="879"/>
        <v>51.160377358490564</v>
      </c>
      <c r="V5294" s="160">
        <f t="shared" si="878"/>
        <v>51</v>
      </c>
    </row>
    <row r="5295" spans="1:22" x14ac:dyDescent="0.25">
      <c r="A5295" s="98" t="s">
        <v>19</v>
      </c>
      <c r="B5295" s="98" t="s">
        <v>17</v>
      </c>
      <c r="C5295" s="98">
        <v>85</v>
      </c>
      <c r="D5295" s="98">
        <v>360</v>
      </c>
      <c r="E5295" s="157">
        <v>41802.38958333333</v>
      </c>
      <c r="F5295" s="157">
        <v>41802.916666666664</v>
      </c>
      <c r="G5295" s="98">
        <v>525</v>
      </c>
      <c r="H5295" s="98">
        <v>530</v>
      </c>
      <c r="I5295" s="98">
        <v>493</v>
      </c>
      <c r="J5295" s="98" t="s">
        <v>229</v>
      </c>
      <c r="K5295" s="98" t="s">
        <v>1841</v>
      </c>
      <c r="L5295" s="105" t="str">
        <f t="shared" si="870"/>
        <v>Trimble</v>
      </c>
      <c r="M5295" s="105" t="str">
        <f t="shared" si="871"/>
        <v>Derate</v>
      </c>
      <c r="N5295" s="105" t="str">
        <f t="shared" si="872"/>
        <v>Coal</v>
      </c>
      <c r="O5295" s="105">
        <f>IFERROR(VLOOKUP(A5295,Lookup!$J$5:$P$19,7,FALSE),0)</f>
        <v>3</v>
      </c>
      <c r="P5295" s="159">
        <f t="shared" si="873"/>
        <v>2014</v>
      </c>
      <c r="Q5295" s="159">
        <f t="shared" si="874"/>
        <v>6</v>
      </c>
      <c r="R5295" s="160">
        <f t="shared" si="875"/>
        <v>12.650000000023283</v>
      </c>
      <c r="S5295" s="158">
        <f t="shared" si="876"/>
        <v>0.11933962264172908</v>
      </c>
      <c r="T5295" s="161">
        <f t="shared" si="877"/>
        <v>58.834433962372437</v>
      </c>
      <c r="U5295" s="158">
        <f t="shared" si="879"/>
        <v>4.6509433962264151</v>
      </c>
      <c r="V5295" s="160">
        <f t="shared" si="878"/>
        <v>5</v>
      </c>
    </row>
    <row r="5296" spans="1:22" x14ac:dyDescent="0.25">
      <c r="A5296" s="98" t="s">
        <v>19</v>
      </c>
      <c r="B5296" s="98" t="s">
        <v>17</v>
      </c>
      <c r="C5296" s="98">
        <v>86</v>
      </c>
      <c r="D5296" s="98">
        <v>8825</v>
      </c>
      <c r="E5296" s="157">
        <v>41802.916666666664</v>
      </c>
      <c r="F5296" s="157">
        <v>41803.125</v>
      </c>
      <c r="G5296" s="98">
        <v>375</v>
      </c>
      <c r="H5296" s="98">
        <v>530</v>
      </c>
      <c r="I5296" s="98">
        <v>493</v>
      </c>
      <c r="J5296" s="98" t="s">
        <v>2187</v>
      </c>
      <c r="K5296" s="98" t="s">
        <v>1842</v>
      </c>
      <c r="L5296" s="105" t="str">
        <f t="shared" si="870"/>
        <v>Trimble</v>
      </c>
      <c r="M5296" s="105" t="str">
        <f t="shared" si="871"/>
        <v>Derate</v>
      </c>
      <c r="N5296" s="105" t="str">
        <f t="shared" si="872"/>
        <v>Coal</v>
      </c>
      <c r="O5296" s="105">
        <f>IFERROR(VLOOKUP(A5296,Lookup!$J$5:$P$19,7,FALSE),0)</f>
        <v>3</v>
      </c>
      <c r="P5296" s="159">
        <f t="shared" si="873"/>
        <v>2014</v>
      </c>
      <c r="Q5296" s="159">
        <f t="shared" si="874"/>
        <v>6</v>
      </c>
      <c r="R5296" s="160">
        <f t="shared" si="875"/>
        <v>5.0000000000582077</v>
      </c>
      <c r="S5296" s="158">
        <f t="shared" si="876"/>
        <v>1.4622641509604193</v>
      </c>
      <c r="T5296" s="161">
        <f t="shared" si="877"/>
        <v>720.89622642348672</v>
      </c>
      <c r="U5296" s="158">
        <f t="shared" si="879"/>
        <v>144.17924528301887</v>
      </c>
      <c r="V5296" s="160">
        <f t="shared" si="878"/>
        <v>144</v>
      </c>
    </row>
    <row r="5297" spans="1:22" x14ac:dyDescent="0.25">
      <c r="A5297" s="98" t="s">
        <v>19</v>
      </c>
      <c r="B5297" s="98" t="s">
        <v>17</v>
      </c>
      <c r="C5297" s="98">
        <v>87</v>
      </c>
      <c r="D5297" s="98">
        <v>360</v>
      </c>
      <c r="E5297" s="157">
        <v>41803.125</v>
      </c>
      <c r="F5297" s="157">
        <v>41806.27847222222</v>
      </c>
      <c r="G5297" s="98">
        <v>525</v>
      </c>
      <c r="H5297" s="98">
        <v>530</v>
      </c>
      <c r="I5297" s="98">
        <v>493</v>
      </c>
      <c r="J5297" s="98" t="s">
        <v>229</v>
      </c>
      <c r="K5297" s="98" t="s">
        <v>1841</v>
      </c>
      <c r="L5297" s="105" t="str">
        <f t="shared" si="870"/>
        <v>Trimble</v>
      </c>
      <c r="M5297" s="105" t="str">
        <f t="shared" si="871"/>
        <v>Derate</v>
      </c>
      <c r="N5297" s="105" t="str">
        <f t="shared" si="872"/>
        <v>Coal</v>
      </c>
      <c r="O5297" s="105">
        <f>IFERROR(VLOOKUP(A5297,Lookup!$J$5:$P$19,7,FALSE),0)</f>
        <v>3</v>
      </c>
      <c r="P5297" s="159">
        <f t="shared" si="873"/>
        <v>2014</v>
      </c>
      <c r="Q5297" s="159">
        <f t="shared" si="874"/>
        <v>6</v>
      </c>
      <c r="R5297" s="160">
        <f t="shared" si="875"/>
        <v>75.683333333290648</v>
      </c>
      <c r="S5297" s="158">
        <f t="shared" si="876"/>
        <v>0.71399371069142126</v>
      </c>
      <c r="T5297" s="161">
        <f t="shared" si="877"/>
        <v>351.99889937087067</v>
      </c>
      <c r="U5297" s="158">
        <f t="shared" si="879"/>
        <v>4.6509433962264151</v>
      </c>
      <c r="V5297" s="160">
        <f t="shared" si="878"/>
        <v>5</v>
      </c>
    </row>
    <row r="5298" spans="1:22" x14ac:dyDescent="0.25">
      <c r="A5298" s="98" t="s">
        <v>19</v>
      </c>
      <c r="B5298" s="98" t="s">
        <v>17</v>
      </c>
      <c r="C5298" s="98">
        <v>88</v>
      </c>
      <c r="D5298" s="98">
        <v>310</v>
      </c>
      <c r="E5298" s="157">
        <v>41806.27847222222</v>
      </c>
      <c r="F5298" s="157">
        <v>41806.289583333331</v>
      </c>
      <c r="G5298" s="98">
        <v>375</v>
      </c>
      <c r="H5298" s="98">
        <v>530</v>
      </c>
      <c r="I5298" s="98">
        <v>493</v>
      </c>
      <c r="J5298" s="98" t="s">
        <v>1966</v>
      </c>
      <c r="K5298" s="98" t="s">
        <v>1843</v>
      </c>
      <c r="L5298" s="105" t="str">
        <f t="shared" si="870"/>
        <v>Trimble</v>
      </c>
      <c r="M5298" s="105" t="str">
        <f t="shared" si="871"/>
        <v>Derate</v>
      </c>
      <c r="N5298" s="105" t="str">
        <f t="shared" si="872"/>
        <v>Coal</v>
      </c>
      <c r="O5298" s="105">
        <f>IFERROR(VLOOKUP(A5298,Lookup!$J$5:$P$19,7,FALSE),0)</f>
        <v>3</v>
      </c>
      <c r="P5298" s="159">
        <f t="shared" si="873"/>
        <v>2014</v>
      </c>
      <c r="Q5298" s="159">
        <f t="shared" si="874"/>
        <v>6</v>
      </c>
      <c r="R5298" s="160">
        <f t="shared" si="875"/>
        <v>0.26666666666278616</v>
      </c>
      <c r="S5298" s="158">
        <f t="shared" si="876"/>
        <v>7.7987421382512939E-2</v>
      </c>
      <c r="T5298" s="161">
        <f t="shared" si="877"/>
        <v>38.447798741578879</v>
      </c>
      <c r="U5298" s="158">
        <f t="shared" si="879"/>
        <v>144.17924528301887</v>
      </c>
      <c r="V5298" s="160">
        <f t="shared" si="878"/>
        <v>144</v>
      </c>
    </row>
    <row r="5299" spans="1:22" x14ac:dyDescent="0.25">
      <c r="A5299" s="98" t="s">
        <v>19</v>
      </c>
      <c r="B5299" s="98" t="s">
        <v>17</v>
      </c>
      <c r="C5299" s="98">
        <v>89</v>
      </c>
      <c r="D5299" s="98">
        <v>360</v>
      </c>
      <c r="E5299" s="157">
        <v>41806.289583333331</v>
      </c>
      <c r="F5299" s="157">
        <v>41807.925000000003</v>
      </c>
      <c r="G5299" s="98">
        <v>525</v>
      </c>
      <c r="H5299" s="98">
        <v>530</v>
      </c>
      <c r="I5299" s="98">
        <v>493</v>
      </c>
      <c r="J5299" s="98" t="s">
        <v>229</v>
      </c>
      <c r="K5299" s="98" t="s">
        <v>1841</v>
      </c>
      <c r="L5299" s="105" t="str">
        <f t="shared" si="870"/>
        <v>Trimble</v>
      </c>
      <c r="M5299" s="105" t="str">
        <f t="shared" si="871"/>
        <v>Derate</v>
      </c>
      <c r="N5299" s="105" t="str">
        <f t="shared" si="872"/>
        <v>Coal</v>
      </c>
      <c r="O5299" s="105">
        <f>IFERROR(VLOOKUP(A5299,Lookup!$J$5:$P$19,7,FALSE),0)</f>
        <v>3</v>
      </c>
      <c r="P5299" s="159">
        <f t="shared" si="873"/>
        <v>2014</v>
      </c>
      <c r="Q5299" s="159">
        <f t="shared" si="874"/>
        <v>6</v>
      </c>
      <c r="R5299" s="160">
        <f t="shared" si="875"/>
        <v>39.250000000116415</v>
      </c>
      <c r="S5299" s="158">
        <f t="shared" si="876"/>
        <v>0.37028301886902276</v>
      </c>
      <c r="T5299" s="161">
        <f t="shared" si="877"/>
        <v>182.54952830242823</v>
      </c>
      <c r="U5299" s="158">
        <f t="shared" si="879"/>
        <v>4.6509433962264151</v>
      </c>
      <c r="V5299" s="160">
        <f t="shared" si="878"/>
        <v>5</v>
      </c>
    </row>
    <row r="5300" spans="1:22" x14ac:dyDescent="0.25">
      <c r="A5300" s="98" t="s">
        <v>19</v>
      </c>
      <c r="B5300" s="98" t="s">
        <v>15</v>
      </c>
      <c r="C5300" s="98">
        <v>90</v>
      </c>
      <c r="D5300" s="98">
        <v>530</v>
      </c>
      <c r="E5300" s="157">
        <v>41807.925000000003</v>
      </c>
      <c r="F5300" s="157">
        <v>41809.183333333334</v>
      </c>
      <c r="G5300" s="98">
        <v>0</v>
      </c>
      <c r="H5300" s="98">
        <v>530</v>
      </c>
      <c r="I5300" s="98">
        <v>493</v>
      </c>
      <c r="J5300" s="98" t="s">
        <v>3438</v>
      </c>
      <c r="K5300" s="98" t="s">
        <v>1844</v>
      </c>
      <c r="L5300" s="105" t="str">
        <f t="shared" si="870"/>
        <v>Trimble</v>
      </c>
      <c r="M5300" s="105" t="str">
        <f t="shared" si="871"/>
        <v>Outage</v>
      </c>
      <c r="N5300" s="105" t="str">
        <f t="shared" si="872"/>
        <v>Coal</v>
      </c>
      <c r="O5300" s="105">
        <f>IFERROR(VLOOKUP(A5300,Lookup!$J$5:$P$19,7,FALSE),0)</f>
        <v>3</v>
      </c>
      <c r="P5300" s="159">
        <f t="shared" si="873"/>
        <v>2014</v>
      </c>
      <c r="Q5300" s="159">
        <f t="shared" si="874"/>
        <v>6</v>
      </c>
      <c r="R5300" s="160">
        <f t="shared" si="875"/>
        <v>30.199999999953434</v>
      </c>
      <c r="S5300" s="158">
        <f t="shared" si="876"/>
        <v>30.199999999953434</v>
      </c>
      <c r="T5300" s="161">
        <f t="shared" si="877"/>
        <v>14888.599999977043</v>
      </c>
      <c r="U5300" s="158">
        <f t="shared" si="879"/>
        <v>493</v>
      </c>
      <c r="V5300" s="160">
        <f t="shared" si="878"/>
        <v>493</v>
      </c>
    </row>
    <row r="5301" spans="1:22" x14ac:dyDescent="0.25">
      <c r="A5301" s="98" t="s">
        <v>19</v>
      </c>
      <c r="B5301" s="98" t="s">
        <v>17</v>
      </c>
      <c r="C5301" s="98">
        <v>91</v>
      </c>
      <c r="D5301" s="98">
        <v>350</v>
      </c>
      <c r="E5301" s="157">
        <v>41809.59652777778</v>
      </c>
      <c r="F5301" s="157">
        <v>41809.652777777781</v>
      </c>
      <c r="G5301" s="98">
        <v>500</v>
      </c>
      <c r="H5301" s="98">
        <v>530</v>
      </c>
      <c r="I5301" s="98">
        <v>493</v>
      </c>
      <c r="J5301" s="98" t="s">
        <v>1976</v>
      </c>
      <c r="K5301" s="98" t="s">
        <v>1845</v>
      </c>
      <c r="L5301" s="105" t="str">
        <f t="shared" si="870"/>
        <v>Trimble</v>
      </c>
      <c r="M5301" s="105" t="str">
        <f t="shared" si="871"/>
        <v>Derate</v>
      </c>
      <c r="N5301" s="105" t="str">
        <f t="shared" si="872"/>
        <v>Coal</v>
      </c>
      <c r="O5301" s="105">
        <f>IFERROR(VLOOKUP(A5301,Lookup!$J$5:$P$19,7,FALSE),0)</f>
        <v>3</v>
      </c>
      <c r="P5301" s="159">
        <f t="shared" si="873"/>
        <v>2014</v>
      </c>
      <c r="Q5301" s="159">
        <f t="shared" si="874"/>
        <v>6</v>
      </c>
      <c r="R5301" s="160">
        <f t="shared" si="875"/>
        <v>1.3500000000349246</v>
      </c>
      <c r="S5301" s="158">
        <f t="shared" si="876"/>
        <v>7.6415094341599502E-2</v>
      </c>
      <c r="T5301" s="161">
        <f t="shared" si="877"/>
        <v>37.672641510408553</v>
      </c>
      <c r="U5301" s="158">
        <f t="shared" si="879"/>
        <v>27.90566037735849</v>
      </c>
      <c r="V5301" s="160">
        <f t="shared" si="878"/>
        <v>28</v>
      </c>
    </row>
    <row r="5302" spans="1:22" x14ac:dyDescent="0.25">
      <c r="A5302" s="98" t="s">
        <v>19</v>
      </c>
      <c r="B5302" s="98" t="s">
        <v>79</v>
      </c>
      <c r="C5302" s="98">
        <v>92</v>
      </c>
      <c r="D5302" s="98">
        <v>1190</v>
      </c>
      <c r="E5302" s="157">
        <v>41825</v>
      </c>
      <c r="F5302" s="157">
        <v>41825.208333333336</v>
      </c>
      <c r="G5302" s="98">
        <v>0</v>
      </c>
      <c r="H5302" s="98">
        <v>530</v>
      </c>
      <c r="I5302" s="98">
        <v>493</v>
      </c>
      <c r="J5302" s="98" t="s">
        <v>2007</v>
      </c>
      <c r="K5302" s="98" t="s">
        <v>2989</v>
      </c>
      <c r="L5302" s="105" t="str">
        <f t="shared" si="870"/>
        <v>Trimble</v>
      </c>
      <c r="M5302" s="105" t="str">
        <f t="shared" si="871"/>
        <v>Other</v>
      </c>
      <c r="N5302" s="105" t="str">
        <f t="shared" si="872"/>
        <v>Coal</v>
      </c>
      <c r="O5302" s="105">
        <f>IFERROR(VLOOKUP(A5302,Lookup!$J$5:$P$19,7,FALSE),0)</f>
        <v>3</v>
      </c>
      <c r="P5302" s="159">
        <f t="shared" si="873"/>
        <v>2014</v>
      </c>
      <c r="Q5302" s="159">
        <f t="shared" si="874"/>
        <v>7</v>
      </c>
      <c r="R5302" s="160">
        <f t="shared" si="875"/>
        <v>5.0000000000582077</v>
      </c>
      <c r="S5302" s="158">
        <f t="shared" si="876"/>
        <v>5.0000000000582077</v>
      </c>
      <c r="T5302" s="161">
        <f t="shared" si="877"/>
        <v>2465.0000000286964</v>
      </c>
      <c r="U5302" s="158">
        <f t="shared" si="879"/>
        <v>493</v>
      </c>
      <c r="V5302" s="160">
        <f t="shared" si="878"/>
        <v>493</v>
      </c>
    </row>
    <row r="5303" spans="1:22" x14ac:dyDescent="0.25">
      <c r="A5303" s="98" t="s">
        <v>19</v>
      </c>
      <c r="B5303" s="98" t="s">
        <v>79</v>
      </c>
      <c r="C5303" s="98">
        <v>93</v>
      </c>
      <c r="D5303" s="98">
        <v>4267</v>
      </c>
      <c r="E5303" s="157">
        <v>41826.041666666664</v>
      </c>
      <c r="F5303" s="157">
        <v>41826.0625</v>
      </c>
      <c r="G5303" s="98">
        <v>0</v>
      </c>
      <c r="H5303" s="98">
        <v>530</v>
      </c>
      <c r="I5303" s="98">
        <v>493</v>
      </c>
      <c r="J5303" s="98" t="s">
        <v>2025</v>
      </c>
      <c r="K5303" s="98" t="s">
        <v>2990</v>
      </c>
      <c r="L5303" s="105" t="str">
        <f t="shared" si="870"/>
        <v>Trimble</v>
      </c>
      <c r="M5303" s="105" t="str">
        <f t="shared" si="871"/>
        <v>Other</v>
      </c>
      <c r="N5303" s="105" t="str">
        <f t="shared" si="872"/>
        <v>Coal</v>
      </c>
      <c r="O5303" s="105">
        <f>IFERROR(VLOOKUP(A5303,Lookup!$J$5:$P$19,7,FALSE),0)</f>
        <v>3</v>
      </c>
      <c r="P5303" s="159">
        <f t="shared" si="873"/>
        <v>2014</v>
      </c>
      <c r="Q5303" s="159">
        <f t="shared" si="874"/>
        <v>7</v>
      </c>
      <c r="R5303" s="160">
        <f t="shared" si="875"/>
        <v>0.50000000005820766</v>
      </c>
      <c r="S5303" s="158">
        <f t="shared" si="876"/>
        <v>0.50000000005820766</v>
      </c>
      <c r="T5303" s="161">
        <f t="shared" si="877"/>
        <v>246.50000002869638</v>
      </c>
      <c r="U5303" s="158">
        <f t="shared" si="879"/>
        <v>493</v>
      </c>
      <c r="V5303" s="160">
        <f t="shared" si="878"/>
        <v>493</v>
      </c>
    </row>
    <row r="5304" spans="1:22" x14ac:dyDescent="0.25">
      <c r="A5304" s="98" t="s">
        <v>19</v>
      </c>
      <c r="B5304" s="98" t="s">
        <v>17</v>
      </c>
      <c r="C5304" s="98">
        <v>94</v>
      </c>
      <c r="D5304" s="98">
        <v>4267</v>
      </c>
      <c r="E5304" s="157">
        <v>41828</v>
      </c>
      <c r="F5304" s="157">
        <v>41828.005555555559</v>
      </c>
      <c r="G5304" s="98">
        <v>450</v>
      </c>
      <c r="H5304" s="98">
        <v>530</v>
      </c>
      <c r="I5304" s="98">
        <v>493</v>
      </c>
      <c r="J5304" s="98" t="s">
        <v>2025</v>
      </c>
      <c r="K5304" s="98" t="s">
        <v>2991</v>
      </c>
      <c r="L5304" s="105" t="str">
        <f t="shared" si="870"/>
        <v>Trimble</v>
      </c>
      <c r="M5304" s="105" t="str">
        <f t="shared" si="871"/>
        <v>Derate</v>
      </c>
      <c r="N5304" s="105" t="str">
        <f t="shared" si="872"/>
        <v>Coal</v>
      </c>
      <c r="O5304" s="105">
        <f>IFERROR(VLOOKUP(A5304,Lookup!$J$5:$P$19,7,FALSE),0)</f>
        <v>3</v>
      </c>
      <c r="P5304" s="159">
        <f t="shared" si="873"/>
        <v>2014</v>
      </c>
      <c r="Q5304" s="159">
        <f t="shared" si="874"/>
        <v>7</v>
      </c>
      <c r="R5304" s="160">
        <f t="shared" si="875"/>
        <v>0.13333333341870457</v>
      </c>
      <c r="S5304" s="158">
        <f t="shared" si="876"/>
        <v>2.0125786176408238E-2</v>
      </c>
      <c r="T5304" s="161">
        <f t="shared" si="877"/>
        <v>9.9220125849692611</v>
      </c>
      <c r="U5304" s="158">
        <f t="shared" si="879"/>
        <v>74.415094339622641</v>
      </c>
      <c r="V5304" s="160">
        <f t="shared" si="878"/>
        <v>74</v>
      </c>
    </row>
    <row r="5305" spans="1:22" x14ac:dyDescent="0.25">
      <c r="A5305" s="98" t="s">
        <v>19</v>
      </c>
      <c r="B5305" s="98" t="s">
        <v>15</v>
      </c>
      <c r="C5305" s="98">
        <v>95</v>
      </c>
      <c r="D5305" s="98">
        <v>4267</v>
      </c>
      <c r="E5305" s="157">
        <v>41828.005555555559</v>
      </c>
      <c r="F5305" s="157">
        <v>41828.175000000003</v>
      </c>
      <c r="G5305" s="98">
        <v>0</v>
      </c>
      <c r="H5305" s="98">
        <v>530</v>
      </c>
      <c r="I5305" s="98">
        <v>493</v>
      </c>
      <c r="J5305" s="98" t="s">
        <v>2025</v>
      </c>
      <c r="K5305" s="98" t="s">
        <v>2992</v>
      </c>
      <c r="L5305" s="105" t="str">
        <f t="shared" si="870"/>
        <v>Trimble</v>
      </c>
      <c r="M5305" s="105" t="str">
        <f t="shared" si="871"/>
        <v>Outage</v>
      </c>
      <c r="N5305" s="105" t="str">
        <f t="shared" si="872"/>
        <v>Coal</v>
      </c>
      <c r="O5305" s="105">
        <f>IFERROR(VLOOKUP(A5305,Lookup!$J$5:$P$19,7,FALSE),0)</f>
        <v>3</v>
      </c>
      <c r="P5305" s="159">
        <f t="shared" si="873"/>
        <v>2014</v>
      </c>
      <c r="Q5305" s="159">
        <f t="shared" si="874"/>
        <v>7</v>
      </c>
      <c r="R5305" s="160">
        <f t="shared" si="875"/>
        <v>4.0666666666511446</v>
      </c>
      <c r="S5305" s="158">
        <f t="shared" si="876"/>
        <v>4.0666666666511446</v>
      </c>
      <c r="T5305" s="161">
        <f t="shared" si="877"/>
        <v>2004.8666666590143</v>
      </c>
      <c r="U5305" s="158">
        <f t="shared" si="879"/>
        <v>493</v>
      </c>
      <c r="V5305" s="160">
        <f t="shared" si="878"/>
        <v>493</v>
      </c>
    </row>
    <row r="5306" spans="1:22" x14ac:dyDescent="0.25">
      <c r="A5306" s="98" t="s">
        <v>19</v>
      </c>
      <c r="B5306" s="98" t="s">
        <v>15</v>
      </c>
      <c r="C5306" s="98">
        <v>96</v>
      </c>
      <c r="D5306" s="98">
        <v>3412</v>
      </c>
      <c r="E5306" s="157">
        <v>41828.236805555556</v>
      </c>
      <c r="F5306" s="157">
        <v>41828.265277777777</v>
      </c>
      <c r="G5306" s="98">
        <v>0</v>
      </c>
      <c r="H5306" s="98">
        <v>530</v>
      </c>
      <c r="I5306" s="98">
        <v>493</v>
      </c>
      <c r="J5306" s="98" t="s">
        <v>2162</v>
      </c>
      <c r="K5306" s="98" t="s">
        <v>2993</v>
      </c>
      <c r="L5306" s="105" t="str">
        <f t="shared" si="870"/>
        <v>Trimble</v>
      </c>
      <c r="M5306" s="105" t="str">
        <f t="shared" si="871"/>
        <v>Outage</v>
      </c>
      <c r="N5306" s="105" t="str">
        <f t="shared" si="872"/>
        <v>Coal</v>
      </c>
      <c r="O5306" s="105">
        <f>IFERROR(VLOOKUP(A5306,Lookup!$J$5:$P$19,7,FALSE),0)</f>
        <v>3</v>
      </c>
      <c r="P5306" s="159">
        <f t="shared" si="873"/>
        <v>2014</v>
      </c>
      <c r="Q5306" s="159">
        <f t="shared" si="874"/>
        <v>7</v>
      </c>
      <c r="R5306" s="160">
        <f t="shared" si="875"/>
        <v>0.68333333329064772</v>
      </c>
      <c r="S5306" s="158">
        <f t="shared" si="876"/>
        <v>0.68333333329064772</v>
      </c>
      <c r="T5306" s="161">
        <f t="shared" si="877"/>
        <v>336.88333331228932</v>
      </c>
      <c r="U5306" s="158">
        <f t="shared" si="879"/>
        <v>493</v>
      </c>
      <c r="V5306" s="160">
        <f t="shared" si="878"/>
        <v>493</v>
      </c>
    </row>
    <row r="5307" spans="1:22" x14ac:dyDescent="0.25">
      <c r="A5307" s="98" t="s">
        <v>19</v>
      </c>
      <c r="B5307" s="98" t="s">
        <v>20</v>
      </c>
      <c r="C5307" s="98">
        <v>97</v>
      </c>
      <c r="D5307" s="98">
        <v>1090</v>
      </c>
      <c r="E5307" s="157">
        <v>41839.004861111112</v>
      </c>
      <c r="F5307" s="157">
        <v>41840.933333333334</v>
      </c>
      <c r="G5307" s="98">
        <v>0</v>
      </c>
      <c r="H5307" s="98">
        <v>530</v>
      </c>
      <c r="I5307" s="98">
        <v>493</v>
      </c>
      <c r="J5307" s="98" t="s">
        <v>2096</v>
      </c>
      <c r="K5307" s="98" t="s">
        <v>2994</v>
      </c>
      <c r="L5307" s="105" t="str">
        <f t="shared" si="870"/>
        <v>Trimble</v>
      </c>
      <c r="M5307" s="105" t="str">
        <f t="shared" si="871"/>
        <v>Maintenance</v>
      </c>
      <c r="N5307" s="105" t="str">
        <f t="shared" si="872"/>
        <v>Coal</v>
      </c>
      <c r="O5307" s="105">
        <f>IFERROR(VLOOKUP(A5307,Lookup!$J$5:$P$19,7,FALSE),0)</f>
        <v>3</v>
      </c>
      <c r="P5307" s="159">
        <f t="shared" si="873"/>
        <v>2014</v>
      </c>
      <c r="Q5307" s="159">
        <f t="shared" si="874"/>
        <v>7</v>
      </c>
      <c r="R5307" s="160">
        <f t="shared" si="875"/>
        <v>46.283333333325572</v>
      </c>
      <c r="S5307" s="158">
        <f t="shared" si="876"/>
        <v>46.283333333325572</v>
      </c>
      <c r="T5307" s="161">
        <f t="shared" si="877"/>
        <v>22817.683333329507</v>
      </c>
      <c r="U5307" s="158">
        <f t="shared" si="879"/>
        <v>493</v>
      </c>
      <c r="V5307" s="160">
        <f t="shared" si="878"/>
        <v>493</v>
      </c>
    </row>
    <row r="5308" spans="1:22" x14ac:dyDescent="0.25">
      <c r="A5308" s="98" t="s">
        <v>19</v>
      </c>
      <c r="B5308" s="98" t="s">
        <v>17</v>
      </c>
      <c r="C5308" s="98">
        <v>98</v>
      </c>
      <c r="D5308" s="98">
        <v>3352</v>
      </c>
      <c r="E5308" s="157">
        <v>41841.35</v>
      </c>
      <c r="F5308" s="157">
        <v>41841.46875</v>
      </c>
      <c r="G5308" s="98">
        <v>430</v>
      </c>
      <c r="H5308" s="98">
        <v>530</v>
      </c>
      <c r="I5308" s="98">
        <v>493</v>
      </c>
      <c r="J5308" s="98" t="s">
        <v>2106</v>
      </c>
      <c r="K5308" s="98" t="s">
        <v>2995</v>
      </c>
      <c r="L5308" s="105" t="str">
        <f t="shared" si="870"/>
        <v>Trimble</v>
      </c>
      <c r="M5308" s="105" t="str">
        <f t="shared" si="871"/>
        <v>Derate</v>
      </c>
      <c r="N5308" s="105" t="str">
        <f t="shared" si="872"/>
        <v>Coal</v>
      </c>
      <c r="O5308" s="105">
        <f>IFERROR(VLOOKUP(A5308,Lookup!$J$5:$P$19,7,FALSE),0)</f>
        <v>3</v>
      </c>
      <c r="P5308" s="159">
        <f t="shared" si="873"/>
        <v>2014</v>
      </c>
      <c r="Q5308" s="159">
        <f t="shared" si="874"/>
        <v>7</v>
      </c>
      <c r="R5308" s="160">
        <f t="shared" si="875"/>
        <v>2.8500000000349246</v>
      </c>
      <c r="S5308" s="158">
        <f t="shared" si="876"/>
        <v>0.53773584906319327</v>
      </c>
      <c r="T5308" s="161">
        <f t="shared" si="877"/>
        <v>265.1037735881543</v>
      </c>
      <c r="U5308" s="158">
        <f t="shared" si="879"/>
        <v>93.018867924528308</v>
      </c>
      <c r="V5308" s="160">
        <f t="shared" si="878"/>
        <v>93</v>
      </c>
    </row>
    <row r="5309" spans="1:22" x14ac:dyDescent="0.25">
      <c r="A5309" s="98" t="s">
        <v>19</v>
      </c>
      <c r="B5309" s="98" t="s">
        <v>17</v>
      </c>
      <c r="C5309" s="98">
        <v>99</v>
      </c>
      <c r="D5309" s="98">
        <v>3352</v>
      </c>
      <c r="E5309" s="157">
        <v>41841.46875</v>
      </c>
      <c r="F5309" s="157">
        <v>41841.9375</v>
      </c>
      <c r="G5309" s="98">
        <v>530</v>
      </c>
      <c r="H5309" s="98">
        <v>530</v>
      </c>
      <c r="I5309" s="98">
        <v>493</v>
      </c>
      <c r="J5309" s="98" t="s">
        <v>2106</v>
      </c>
      <c r="K5309" s="98" t="s">
        <v>2996</v>
      </c>
      <c r="L5309" s="105" t="str">
        <f t="shared" si="870"/>
        <v>Trimble</v>
      </c>
      <c r="M5309" s="105" t="str">
        <f t="shared" si="871"/>
        <v>Derate</v>
      </c>
      <c r="N5309" s="105" t="str">
        <f t="shared" si="872"/>
        <v>Coal</v>
      </c>
      <c r="O5309" s="105">
        <f>IFERROR(VLOOKUP(A5309,Lookup!$J$5:$P$19,7,FALSE),0)</f>
        <v>3</v>
      </c>
      <c r="P5309" s="159">
        <f t="shared" si="873"/>
        <v>2014</v>
      </c>
      <c r="Q5309" s="159">
        <f t="shared" si="874"/>
        <v>7</v>
      </c>
      <c r="R5309" s="160">
        <f t="shared" si="875"/>
        <v>11.25</v>
      </c>
      <c r="S5309" s="158">
        <f t="shared" si="876"/>
        <v>0</v>
      </c>
      <c r="T5309" s="161">
        <f t="shared" si="877"/>
        <v>0</v>
      </c>
      <c r="U5309" s="158">
        <f t="shared" si="879"/>
        <v>0</v>
      </c>
      <c r="V5309" s="160">
        <f t="shared" si="878"/>
        <v>0</v>
      </c>
    </row>
    <row r="5310" spans="1:22" x14ac:dyDescent="0.25">
      <c r="A5310" s="98" t="s">
        <v>19</v>
      </c>
      <c r="B5310" s="98" t="s">
        <v>79</v>
      </c>
      <c r="C5310" s="98">
        <v>100</v>
      </c>
      <c r="D5310" s="98">
        <v>4267</v>
      </c>
      <c r="E5310" s="157">
        <v>41851.319444444445</v>
      </c>
      <c r="F5310" s="157">
        <v>41851.475694444445</v>
      </c>
      <c r="G5310" s="98">
        <v>0</v>
      </c>
      <c r="H5310" s="98">
        <v>530</v>
      </c>
      <c r="I5310" s="98">
        <v>493</v>
      </c>
      <c r="J5310" s="98" t="s">
        <v>2025</v>
      </c>
      <c r="K5310" s="98" t="s">
        <v>2997</v>
      </c>
      <c r="L5310" s="105" t="str">
        <f t="shared" si="870"/>
        <v>Trimble</v>
      </c>
      <c r="M5310" s="105" t="str">
        <f t="shared" si="871"/>
        <v>Other</v>
      </c>
      <c r="N5310" s="105" t="str">
        <f t="shared" si="872"/>
        <v>Coal</v>
      </c>
      <c r="O5310" s="105">
        <f>IFERROR(VLOOKUP(A5310,Lookup!$J$5:$P$19,7,FALSE),0)</f>
        <v>3</v>
      </c>
      <c r="P5310" s="159">
        <f t="shared" si="873"/>
        <v>2014</v>
      </c>
      <c r="Q5310" s="159">
        <f t="shared" si="874"/>
        <v>7</v>
      </c>
      <c r="R5310" s="160">
        <f t="shared" si="875"/>
        <v>3.75</v>
      </c>
      <c r="S5310" s="158">
        <f t="shared" si="876"/>
        <v>3.75</v>
      </c>
      <c r="T5310" s="161">
        <f t="shared" si="877"/>
        <v>1848.75</v>
      </c>
      <c r="U5310" s="158">
        <f t="shared" si="879"/>
        <v>493</v>
      </c>
      <c r="V5310" s="160">
        <f t="shared" si="878"/>
        <v>493</v>
      </c>
    </row>
    <row r="5311" spans="1:22" x14ac:dyDescent="0.25">
      <c r="A5311" s="98" t="s">
        <v>19</v>
      </c>
      <c r="B5311" s="98" t="s">
        <v>20</v>
      </c>
      <c r="C5311" s="98">
        <v>101</v>
      </c>
      <c r="D5311" s="98">
        <v>4261</v>
      </c>
      <c r="E5311" s="157">
        <v>41852.01666666667</v>
      </c>
      <c r="F5311" s="157">
        <v>41854.984722222223</v>
      </c>
      <c r="G5311" s="98">
        <v>0</v>
      </c>
      <c r="H5311" s="98">
        <v>530</v>
      </c>
      <c r="I5311" s="98">
        <v>493</v>
      </c>
      <c r="J5311" s="98" t="s">
        <v>1985</v>
      </c>
      <c r="K5311" s="98" t="s">
        <v>2998</v>
      </c>
      <c r="L5311" s="105" t="str">
        <f t="shared" si="870"/>
        <v>Trimble</v>
      </c>
      <c r="M5311" s="105" t="str">
        <f t="shared" si="871"/>
        <v>Maintenance</v>
      </c>
      <c r="N5311" s="105" t="str">
        <f t="shared" si="872"/>
        <v>Coal</v>
      </c>
      <c r="O5311" s="105">
        <f>IFERROR(VLOOKUP(A5311,Lookup!$J$5:$P$19,7,FALSE),0)</f>
        <v>3</v>
      </c>
      <c r="P5311" s="159">
        <f t="shared" si="873"/>
        <v>2014</v>
      </c>
      <c r="Q5311" s="159">
        <f t="shared" si="874"/>
        <v>8</v>
      </c>
      <c r="R5311" s="160">
        <f t="shared" si="875"/>
        <v>71.233333333279006</v>
      </c>
      <c r="S5311" s="158">
        <f t="shared" si="876"/>
        <v>71.233333333279006</v>
      </c>
      <c r="T5311" s="161">
        <f t="shared" si="877"/>
        <v>35118.03333330655</v>
      </c>
      <c r="U5311" s="158">
        <f t="shared" si="879"/>
        <v>493</v>
      </c>
      <c r="V5311" s="160">
        <f t="shared" si="878"/>
        <v>493</v>
      </c>
    </row>
    <row r="5312" spans="1:22" x14ac:dyDescent="0.25">
      <c r="A5312" s="98" t="s">
        <v>19</v>
      </c>
      <c r="B5312" s="98" t="s">
        <v>105</v>
      </c>
      <c r="C5312" s="98">
        <v>102</v>
      </c>
      <c r="D5312" s="98">
        <v>4279</v>
      </c>
      <c r="E5312" s="157">
        <v>41859</v>
      </c>
      <c r="F5312" s="157">
        <v>41859.030555555553</v>
      </c>
      <c r="G5312" s="98">
        <v>450</v>
      </c>
      <c r="H5312" s="98">
        <v>530</v>
      </c>
      <c r="I5312" s="98">
        <v>493</v>
      </c>
      <c r="J5312" s="98" t="s">
        <v>2030</v>
      </c>
      <c r="K5312" s="98" t="s">
        <v>2999</v>
      </c>
      <c r="L5312" s="105" t="str">
        <f t="shared" si="870"/>
        <v>Trimble</v>
      </c>
      <c r="M5312" s="105" t="str">
        <f t="shared" si="871"/>
        <v>Derate</v>
      </c>
      <c r="N5312" s="105" t="str">
        <f t="shared" si="872"/>
        <v>Coal</v>
      </c>
      <c r="O5312" s="105">
        <f>IFERROR(VLOOKUP(A5312,Lookup!$J$5:$P$19,7,FALSE),0)</f>
        <v>3</v>
      </c>
      <c r="P5312" s="159">
        <f t="shared" si="873"/>
        <v>2014</v>
      </c>
      <c r="Q5312" s="159">
        <f t="shared" si="874"/>
        <v>8</v>
      </c>
      <c r="R5312" s="160">
        <f t="shared" si="875"/>
        <v>0.73333333327900618</v>
      </c>
      <c r="S5312" s="158">
        <f t="shared" si="876"/>
        <v>0.11069182389117074</v>
      </c>
      <c r="T5312" s="161">
        <f t="shared" si="877"/>
        <v>54.571069178347173</v>
      </c>
      <c r="U5312" s="158">
        <f t="shared" si="879"/>
        <v>74.415094339622641</v>
      </c>
      <c r="V5312" s="160">
        <f t="shared" si="878"/>
        <v>74</v>
      </c>
    </row>
    <row r="5313" spans="1:22" x14ac:dyDescent="0.25">
      <c r="A5313" s="98" t="s">
        <v>19</v>
      </c>
      <c r="B5313" s="98" t="s">
        <v>79</v>
      </c>
      <c r="C5313" s="98">
        <v>103</v>
      </c>
      <c r="D5313" s="98">
        <v>3624</v>
      </c>
      <c r="E5313" s="157">
        <v>41865.427083333336</v>
      </c>
      <c r="F5313" s="157">
        <v>41865.520833333336</v>
      </c>
      <c r="G5313" s="98">
        <v>0</v>
      </c>
      <c r="H5313" s="98">
        <v>530</v>
      </c>
      <c r="I5313" s="98">
        <v>493</v>
      </c>
      <c r="J5313" s="98" t="s">
        <v>786</v>
      </c>
      <c r="K5313" s="98" t="s">
        <v>3000</v>
      </c>
      <c r="L5313" s="105" t="str">
        <f t="shared" si="870"/>
        <v>Trimble</v>
      </c>
      <c r="M5313" s="105" t="str">
        <f t="shared" si="871"/>
        <v>Other</v>
      </c>
      <c r="N5313" s="105" t="str">
        <f t="shared" si="872"/>
        <v>Coal</v>
      </c>
      <c r="O5313" s="105">
        <f>IFERROR(VLOOKUP(A5313,Lookup!$J$5:$P$19,7,FALSE),0)</f>
        <v>3</v>
      </c>
      <c r="P5313" s="159">
        <f t="shared" si="873"/>
        <v>2014</v>
      </c>
      <c r="Q5313" s="159">
        <f t="shared" si="874"/>
        <v>8</v>
      </c>
      <c r="R5313" s="160">
        <f t="shared" si="875"/>
        <v>2.25</v>
      </c>
      <c r="S5313" s="158">
        <f t="shared" si="876"/>
        <v>2.25</v>
      </c>
      <c r="T5313" s="161">
        <f t="shared" si="877"/>
        <v>1109.25</v>
      </c>
      <c r="U5313" s="158">
        <f t="shared" si="879"/>
        <v>493</v>
      </c>
      <c r="V5313" s="160">
        <f t="shared" si="878"/>
        <v>493</v>
      </c>
    </row>
    <row r="5314" spans="1:22" x14ac:dyDescent="0.25">
      <c r="A5314" s="98" t="s">
        <v>19</v>
      </c>
      <c r="B5314" s="98" t="s">
        <v>79</v>
      </c>
      <c r="C5314" s="98">
        <v>104</v>
      </c>
      <c r="D5314" s="98">
        <v>1190</v>
      </c>
      <c r="E5314" s="157">
        <v>41868</v>
      </c>
      <c r="F5314" s="157">
        <v>41868.35</v>
      </c>
      <c r="G5314" s="98">
        <v>0</v>
      </c>
      <c r="H5314" s="98">
        <v>530</v>
      </c>
      <c r="I5314" s="98">
        <v>493</v>
      </c>
      <c r="J5314" s="98" t="s">
        <v>2007</v>
      </c>
      <c r="K5314" s="98" t="s">
        <v>3001</v>
      </c>
      <c r="L5314" s="105" t="str">
        <f t="shared" si="870"/>
        <v>Trimble</v>
      </c>
      <c r="M5314" s="105" t="str">
        <f t="shared" si="871"/>
        <v>Other</v>
      </c>
      <c r="N5314" s="105" t="str">
        <f t="shared" si="872"/>
        <v>Coal</v>
      </c>
      <c r="O5314" s="105">
        <f>IFERROR(VLOOKUP(A5314,Lookup!$J$5:$P$19,7,FALSE),0)</f>
        <v>3</v>
      </c>
      <c r="P5314" s="159">
        <f t="shared" si="873"/>
        <v>2014</v>
      </c>
      <c r="Q5314" s="159">
        <f t="shared" si="874"/>
        <v>8</v>
      </c>
      <c r="R5314" s="160">
        <f t="shared" si="875"/>
        <v>8.3999999999650754</v>
      </c>
      <c r="S5314" s="158">
        <f t="shared" si="876"/>
        <v>8.3999999999650754</v>
      </c>
      <c r="T5314" s="161">
        <f t="shared" si="877"/>
        <v>4141.1999999827822</v>
      </c>
      <c r="U5314" s="158">
        <f t="shared" si="879"/>
        <v>493</v>
      </c>
      <c r="V5314" s="160">
        <f t="shared" si="878"/>
        <v>493</v>
      </c>
    </row>
    <row r="5315" spans="1:22" x14ac:dyDescent="0.25">
      <c r="A5315" s="98" t="s">
        <v>19</v>
      </c>
      <c r="B5315" s="98" t="s">
        <v>79</v>
      </c>
      <c r="C5315" s="98">
        <v>105</v>
      </c>
      <c r="D5315" s="98">
        <v>1990</v>
      </c>
      <c r="E5315" s="157">
        <v>41871.364583333336</v>
      </c>
      <c r="F5315" s="157">
        <v>41871.607638888891</v>
      </c>
      <c r="G5315" s="98">
        <v>0</v>
      </c>
      <c r="H5315" s="98">
        <v>530</v>
      </c>
      <c r="I5315" s="98">
        <v>493</v>
      </c>
      <c r="J5315" s="98" t="s">
        <v>2114</v>
      </c>
      <c r="K5315" s="98" t="s">
        <v>3002</v>
      </c>
      <c r="L5315" s="105" t="str">
        <f t="shared" si="870"/>
        <v>Trimble</v>
      </c>
      <c r="M5315" s="105" t="str">
        <f t="shared" si="871"/>
        <v>Other</v>
      </c>
      <c r="N5315" s="105" t="str">
        <f t="shared" si="872"/>
        <v>Coal</v>
      </c>
      <c r="O5315" s="105">
        <f>IFERROR(VLOOKUP(A5315,Lookup!$J$5:$P$19,7,FALSE),0)</f>
        <v>3</v>
      </c>
      <c r="P5315" s="159">
        <f t="shared" si="873"/>
        <v>2014</v>
      </c>
      <c r="Q5315" s="159">
        <f t="shared" si="874"/>
        <v>8</v>
      </c>
      <c r="R5315" s="160">
        <f t="shared" si="875"/>
        <v>5.8333333333139308</v>
      </c>
      <c r="S5315" s="158">
        <f t="shared" si="876"/>
        <v>5.8333333333139308</v>
      </c>
      <c r="T5315" s="161">
        <f t="shared" si="877"/>
        <v>2875.8333333237679</v>
      </c>
      <c r="U5315" s="158">
        <f t="shared" si="879"/>
        <v>493</v>
      </c>
      <c r="V5315" s="160">
        <f t="shared" si="878"/>
        <v>493</v>
      </c>
    </row>
    <row r="5316" spans="1:22" x14ac:dyDescent="0.25">
      <c r="A5316" s="98" t="s">
        <v>19</v>
      </c>
      <c r="B5316" s="98" t="s">
        <v>17</v>
      </c>
      <c r="C5316" s="98">
        <v>106</v>
      </c>
      <c r="D5316" s="98">
        <v>346</v>
      </c>
      <c r="E5316" s="157">
        <v>41871.677083333336</v>
      </c>
      <c r="F5316" s="157">
        <v>41871.763194444444</v>
      </c>
      <c r="G5316" s="98">
        <v>470</v>
      </c>
      <c r="H5316" s="98">
        <v>530</v>
      </c>
      <c r="I5316" s="98">
        <v>493</v>
      </c>
      <c r="J5316" s="98" t="s">
        <v>1986</v>
      </c>
      <c r="K5316" s="98" t="s">
        <v>3003</v>
      </c>
      <c r="L5316" s="105" t="str">
        <f t="shared" ref="L5316:L5379" si="880">IF(OR(A5316="BR1",A5316="BR2",A5316="BR3",A5316="BR5",A5316="BR6",A5316="BR7",A5316="BR8",A5316="BR9",A5316="BR10",A5316="BR11"),"Brown",IF(OR(A5316="CR4",A5316="CR5",A5316="CR6",A5316="CR11"),"Cane Run",IF(OR(A5316="GH1",A5316="GH2",A5316="GH3",A5316="GH4"),"Ghent",IF(OR(A5316="GR3",A5316="GR4"),"Green River",IF(OR(A5316="MC1",A5316="MC2",A5316="MC3",A5316="MC4"),"Mill Creek",IF(OR(A5316="TC1",A5316="TC2",A5316="TC5",A5316="TC6",A5316="TC7",A5316="TC8",A5316="TC9",A5316="TC10"),"Trimble",IF(A5316="TY3","Tyrone",IF(OR(A5316="HA1",A5316="HA2",A5316="HA3"),"Haeflin",IF(OR(A5316="PR11",A5316="PR12",A5316="PR13"),"Paddy's Run","Zorn")))))))))</f>
        <v>Trimble</v>
      </c>
      <c r="M5316" s="105" t="str">
        <f t="shared" ref="M5316:M5379" si="881">IF(OR(B5316="D1",B5316="D2",B5316="D3",B5316="D4",B5316="PD"),"Derate",IF(OR(B5316="SF",B5316="U1",B5316="U2",B5316="U3"),"Outage",IF(OR(B5316="ME",B5316="MO"),"Maintenance","Other")))</f>
        <v>Derate</v>
      </c>
      <c r="N5316" s="105" t="str">
        <f t="shared" ref="N5316:N5379" si="882">IF(OR(A5316="BR1",A5316="BR2",A5316="BR3",A5316="CR4",A5316="CR5",A5316="CR6",A5316="GH1",A5316="GH2",A5316="GH3",A5316="GH4",A5316="GR3",A5316="GR4",A5316="MC1",A5316="MC2",A5316="MC3",A5316="MC4",A5316="TC1",A5316="TC2",A5316="TY3"),"Coal","Gas")</f>
        <v>Coal</v>
      </c>
      <c r="O5316" s="105">
        <f>IFERROR(VLOOKUP(A5316,Lookup!$J$5:$P$19,7,FALSE),0)</f>
        <v>3</v>
      </c>
      <c r="P5316" s="159">
        <f t="shared" ref="P5316:P5379" si="883">YEAR(E5316)</f>
        <v>2014</v>
      </c>
      <c r="Q5316" s="159">
        <f t="shared" ref="Q5316:Q5379" si="884">MONTH(E5316)</f>
        <v>8</v>
      </c>
      <c r="R5316" s="160">
        <f t="shared" ref="R5316:R5379" si="885">(F5316-E5316)*24</f>
        <v>2.066666666592937</v>
      </c>
      <c r="S5316" s="158">
        <f t="shared" ref="S5316:S5379" si="886">R5316*(H5316-G5316)/H5316</f>
        <v>0.23396226414259663</v>
      </c>
      <c r="T5316" s="161">
        <f t="shared" ref="T5316:T5379" si="887">S5316*I5316</f>
        <v>115.34339622230014</v>
      </c>
      <c r="U5316" s="158">
        <f t="shared" si="879"/>
        <v>55.811320754716981</v>
      </c>
      <c r="V5316" s="160">
        <f t="shared" ref="V5316:V5379" si="888">ROUND(U5316,0)</f>
        <v>56</v>
      </c>
    </row>
    <row r="5317" spans="1:22" x14ac:dyDescent="0.25">
      <c r="A5317" s="98" t="s">
        <v>19</v>
      </c>
      <c r="B5317" s="98" t="s">
        <v>17</v>
      </c>
      <c r="C5317" s="98">
        <v>107</v>
      </c>
      <c r="D5317" s="98">
        <v>340</v>
      </c>
      <c r="E5317" s="157">
        <v>41872.579861111109</v>
      </c>
      <c r="F5317" s="157">
        <v>41872.633333333331</v>
      </c>
      <c r="G5317" s="98">
        <v>460</v>
      </c>
      <c r="H5317" s="98">
        <v>530</v>
      </c>
      <c r="I5317" s="98">
        <v>493</v>
      </c>
      <c r="J5317" s="98" t="s">
        <v>1970</v>
      </c>
      <c r="K5317" s="98" t="s">
        <v>3004</v>
      </c>
      <c r="L5317" s="105" t="str">
        <f t="shared" si="880"/>
        <v>Trimble</v>
      </c>
      <c r="M5317" s="105" t="str">
        <f t="shared" si="881"/>
        <v>Derate</v>
      </c>
      <c r="N5317" s="105" t="str">
        <f t="shared" si="882"/>
        <v>Coal</v>
      </c>
      <c r="O5317" s="105">
        <f>IFERROR(VLOOKUP(A5317,Lookup!$J$5:$P$19,7,FALSE),0)</f>
        <v>3</v>
      </c>
      <c r="P5317" s="159">
        <f t="shared" si="883"/>
        <v>2014</v>
      </c>
      <c r="Q5317" s="159">
        <f t="shared" si="884"/>
        <v>8</v>
      </c>
      <c r="R5317" s="160">
        <f t="shared" si="885"/>
        <v>1.2833333333255723</v>
      </c>
      <c r="S5317" s="158">
        <f t="shared" si="886"/>
        <v>0.1694968553448869</v>
      </c>
      <c r="T5317" s="161">
        <f t="shared" si="887"/>
        <v>83.561949685029248</v>
      </c>
      <c r="U5317" s="158">
        <f t="shared" ref="U5317:U5380" si="889">IF(G5317&gt;0,MAX((H5317-G5317),0)*I5317/H5317,I5317)</f>
        <v>65.113207547169807</v>
      </c>
      <c r="V5317" s="160">
        <f t="shared" si="888"/>
        <v>65</v>
      </c>
    </row>
    <row r="5318" spans="1:22" x14ac:dyDescent="0.25">
      <c r="A5318" s="98" t="s">
        <v>19</v>
      </c>
      <c r="B5318" s="98" t="s">
        <v>17</v>
      </c>
      <c r="C5318" s="98">
        <v>108</v>
      </c>
      <c r="D5318" s="98">
        <v>340</v>
      </c>
      <c r="E5318" s="157">
        <v>41872.633333333331</v>
      </c>
      <c r="F5318" s="157">
        <v>41873.186111111114</v>
      </c>
      <c r="G5318" s="98">
        <v>535</v>
      </c>
      <c r="H5318" s="98">
        <v>530</v>
      </c>
      <c r="I5318" s="98">
        <v>493</v>
      </c>
      <c r="J5318" s="98" t="s">
        <v>1970</v>
      </c>
      <c r="K5318" s="98" t="s">
        <v>3004</v>
      </c>
      <c r="L5318" s="105" t="str">
        <f t="shared" si="880"/>
        <v>Trimble</v>
      </c>
      <c r="M5318" s="105" t="str">
        <f t="shared" si="881"/>
        <v>Derate</v>
      </c>
      <c r="N5318" s="105" t="str">
        <f t="shared" si="882"/>
        <v>Coal</v>
      </c>
      <c r="O5318" s="105">
        <f>IFERROR(VLOOKUP(A5318,Lookup!$J$5:$P$19,7,FALSE),0)</f>
        <v>3</v>
      </c>
      <c r="P5318" s="159">
        <f t="shared" si="883"/>
        <v>2014</v>
      </c>
      <c r="Q5318" s="159">
        <f t="shared" si="884"/>
        <v>8</v>
      </c>
      <c r="R5318" s="160">
        <f t="shared" si="885"/>
        <v>13.266666666779201</v>
      </c>
      <c r="S5318" s="158">
        <f t="shared" si="886"/>
        <v>-0.12515723270546417</v>
      </c>
      <c r="T5318" s="161">
        <f t="shared" si="887"/>
        <v>-61.702515723793837</v>
      </c>
      <c r="U5318" s="158">
        <f t="shared" si="889"/>
        <v>0</v>
      </c>
      <c r="V5318" s="160">
        <f t="shared" si="888"/>
        <v>0</v>
      </c>
    </row>
    <row r="5319" spans="1:22" x14ac:dyDescent="0.25">
      <c r="A5319" s="98" t="s">
        <v>19</v>
      </c>
      <c r="B5319" s="98" t="s">
        <v>17</v>
      </c>
      <c r="C5319" s="98">
        <v>109</v>
      </c>
      <c r="D5319" s="98">
        <v>280</v>
      </c>
      <c r="E5319" s="157">
        <v>41874.820833333331</v>
      </c>
      <c r="F5319" s="157">
        <v>41875.073611111111</v>
      </c>
      <c r="G5319" s="98">
        <v>525</v>
      </c>
      <c r="H5319" s="98">
        <v>530</v>
      </c>
      <c r="I5319" s="98">
        <v>493</v>
      </c>
      <c r="J5319" s="98" t="s">
        <v>1988</v>
      </c>
      <c r="K5319" s="98" t="s">
        <v>3005</v>
      </c>
      <c r="L5319" s="105" t="str">
        <f t="shared" si="880"/>
        <v>Trimble</v>
      </c>
      <c r="M5319" s="105" t="str">
        <f t="shared" si="881"/>
        <v>Derate</v>
      </c>
      <c r="N5319" s="105" t="str">
        <f t="shared" si="882"/>
        <v>Coal</v>
      </c>
      <c r="O5319" s="105">
        <f>IFERROR(VLOOKUP(A5319,Lookup!$J$5:$P$19,7,FALSE),0)</f>
        <v>3</v>
      </c>
      <c r="P5319" s="159">
        <f t="shared" si="883"/>
        <v>2014</v>
      </c>
      <c r="Q5319" s="159">
        <f t="shared" si="884"/>
        <v>8</v>
      </c>
      <c r="R5319" s="160">
        <f t="shared" si="885"/>
        <v>6.0666666667093523</v>
      </c>
      <c r="S5319" s="158">
        <f t="shared" si="886"/>
        <v>5.7232704402918416E-2</v>
      </c>
      <c r="T5319" s="161">
        <f t="shared" si="887"/>
        <v>28.215723270638779</v>
      </c>
      <c r="U5319" s="158">
        <f t="shared" si="889"/>
        <v>4.6509433962264151</v>
      </c>
      <c r="V5319" s="160">
        <f t="shared" si="888"/>
        <v>5</v>
      </c>
    </row>
    <row r="5320" spans="1:22" x14ac:dyDescent="0.25">
      <c r="A5320" s="98" t="s">
        <v>19</v>
      </c>
      <c r="B5320" s="98" t="s">
        <v>17</v>
      </c>
      <c r="C5320" s="98">
        <v>110</v>
      </c>
      <c r="D5320" s="98">
        <v>280</v>
      </c>
      <c r="E5320" s="157">
        <v>41875.25</v>
      </c>
      <c r="F5320" s="157">
        <v>41875.290277777778</v>
      </c>
      <c r="G5320" s="98">
        <v>375</v>
      </c>
      <c r="H5320" s="98">
        <v>530</v>
      </c>
      <c r="I5320" s="98">
        <v>493</v>
      </c>
      <c r="J5320" s="98" t="s">
        <v>1988</v>
      </c>
      <c r="K5320" s="98" t="s">
        <v>3006</v>
      </c>
      <c r="L5320" s="105" t="str">
        <f t="shared" si="880"/>
        <v>Trimble</v>
      </c>
      <c r="M5320" s="105" t="str">
        <f t="shared" si="881"/>
        <v>Derate</v>
      </c>
      <c r="N5320" s="105" t="str">
        <f t="shared" si="882"/>
        <v>Coal</v>
      </c>
      <c r="O5320" s="105">
        <f>IFERROR(VLOOKUP(A5320,Lookup!$J$5:$P$19,7,FALSE),0)</f>
        <v>3</v>
      </c>
      <c r="P5320" s="159">
        <f t="shared" si="883"/>
        <v>2014</v>
      </c>
      <c r="Q5320" s="159">
        <f t="shared" si="884"/>
        <v>8</v>
      </c>
      <c r="R5320" s="160">
        <f t="shared" si="885"/>
        <v>0.96666666667442769</v>
      </c>
      <c r="S5320" s="158">
        <f t="shared" si="886"/>
        <v>0.282704402517993</v>
      </c>
      <c r="T5320" s="161">
        <f t="shared" si="887"/>
        <v>139.37327044137055</v>
      </c>
      <c r="U5320" s="158">
        <f t="shared" si="889"/>
        <v>144.17924528301887</v>
      </c>
      <c r="V5320" s="160">
        <f t="shared" si="888"/>
        <v>144</v>
      </c>
    </row>
    <row r="5321" spans="1:22" x14ac:dyDescent="0.25">
      <c r="A5321" s="98" t="s">
        <v>19</v>
      </c>
      <c r="B5321" s="98" t="s">
        <v>17</v>
      </c>
      <c r="C5321" s="98">
        <v>111</v>
      </c>
      <c r="D5321" s="98">
        <v>1455</v>
      </c>
      <c r="E5321" s="157">
        <v>41878.525694444441</v>
      </c>
      <c r="F5321" s="157">
        <v>41878.536805555559</v>
      </c>
      <c r="G5321" s="98">
        <v>540</v>
      </c>
      <c r="H5321" s="98">
        <v>530</v>
      </c>
      <c r="I5321" s="98">
        <v>493</v>
      </c>
      <c r="J5321" s="98" t="s">
        <v>1990</v>
      </c>
      <c r="K5321" s="98" t="s">
        <v>3007</v>
      </c>
      <c r="L5321" s="105" t="str">
        <f t="shared" si="880"/>
        <v>Trimble</v>
      </c>
      <c r="M5321" s="105" t="str">
        <f t="shared" si="881"/>
        <v>Derate</v>
      </c>
      <c r="N5321" s="105" t="str">
        <f t="shared" si="882"/>
        <v>Coal</v>
      </c>
      <c r="O5321" s="105">
        <f>IFERROR(VLOOKUP(A5321,Lookup!$J$5:$P$19,7,FALSE),0)</f>
        <v>3</v>
      </c>
      <c r="P5321" s="159">
        <f t="shared" si="883"/>
        <v>2014</v>
      </c>
      <c r="Q5321" s="159">
        <f t="shared" si="884"/>
        <v>8</v>
      </c>
      <c r="R5321" s="160">
        <f t="shared" si="885"/>
        <v>0.26666666683740914</v>
      </c>
      <c r="S5321" s="158">
        <f t="shared" si="886"/>
        <v>-5.0314465441020596E-3</v>
      </c>
      <c r="T5321" s="161">
        <f t="shared" si="887"/>
        <v>-2.4805031462423153</v>
      </c>
      <c r="U5321" s="158">
        <f t="shared" si="889"/>
        <v>0</v>
      </c>
      <c r="V5321" s="160">
        <f t="shared" si="888"/>
        <v>0</v>
      </c>
    </row>
    <row r="5322" spans="1:22" x14ac:dyDescent="0.25">
      <c r="A5322" s="98" t="s">
        <v>19</v>
      </c>
      <c r="B5322" s="98" t="s">
        <v>17</v>
      </c>
      <c r="C5322" s="98">
        <v>112</v>
      </c>
      <c r="D5322" s="98">
        <v>4261</v>
      </c>
      <c r="E5322" s="157">
        <v>41882.072916666664</v>
      </c>
      <c r="F5322" s="157">
        <v>41882.256944444445</v>
      </c>
      <c r="G5322" s="98">
        <v>460</v>
      </c>
      <c r="H5322" s="98">
        <v>530</v>
      </c>
      <c r="I5322" s="98">
        <v>493</v>
      </c>
      <c r="J5322" s="98" t="s">
        <v>1985</v>
      </c>
      <c r="K5322" s="98" t="s">
        <v>3008</v>
      </c>
      <c r="L5322" s="105" t="str">
        <f t="shared" si="880"/>
        <v>Trimble</v>
      </c>
      <c r="M5322" s="105" t="str">
        <f t="shared" si="881"/>
        <v>Derate</v>
      </c>
      <c r="N5322" s="105" t="str">
        <f t="shared" si="882"/>
        <v>Coal</v>
      </c>
      <c r="O5322" s="105">
        <f>IFERROR(VLOOKUP(A5322,Lookup!$J$5:$P$19,7,FALSE),0)</f>
        <v>3</v>
      </c>
      <c r="P5322" s="159">
        <f t="shared" si="883"/>
        <v>2014</v>
      </c>
      <c r="Q5322" s="159">
        <f t="shared" si="884"/>
        <v>8</v>
      </c>
      <c r="R5322" s="160">
        <f t="shared" si="885"/>
        <v>4.4166666667442769</v>
      </c>
      <c r="S5322" s="158">
        <f t="shared" si="886"/>
        <v>0.58333333334358373</v>
      </c>
      <c r="T5322" s="161">
        <f t="shared" si="887"/>
        <v>287.58333333838675</v>
      </c>
      <c r="U5322" s="158">
        <f t="shared" si="889"/>
        <v>65.113207547169807</v>
      </c>
      <c r="V5322" s="160">
        <f t="shared" si="888"/>
        <v>65</v>
      </c>
    </row>
    <row r="5323" spans="1:22" x14ac:dyDescent="0.25">
      <c r="A5323" s="98" t="s">
        <v>19</v>
      </c>
      <c r="B5323" s="98" t="s">
        <v>17</v>
      </c>
      <c r="C5323" s="98">
        <v>113</v>
      </c>
      <c r="D5323" s="98">
        <v>4261</v>
      </c>
      <c r="E5323" s="157">
        <v>41882.256944444445</v>
      </c>
      <c r="F5323" s="157">
        <v>41882.555555555555</v>
      </c>
      <c r="G5323" s="98">
        <v>438</v>
      </c>
      <c r="H5323" s="98">
        <v>530</v>
      </c>
      <c r="I5323" s="98">
        <v>493</v>
      </c>
      <c r="J5323" s="98" t="s">
        <v>1985</v>
      </c>
      <c r="K5323" s="98" t="s">
        <v>3009</v>
      </c>
      <c r="L5323" s="105" t="str">
        <f t="shared" si="880"/>
        <v>Trimble</v>
      </c>
      <c r="M5323" s="105" t="str">
        <f t="shared" si="881"/>
        <v>Derate</v>
      </c>
      <c r="N5323" s="105" t="str">
        <f t="shared" si="882"/>
        <v>Coal</v>
      </c>
      <c r="O5323" s="105">
        <f>IFERROR(VLOOKUP(A5323,Lookup!$J$5:$P$19,7,FALSE),0)</f>
        <v>3</v>
      </c>
      <c r="P5323" s="159">
        <f t="shared" si="883"/>
        <v>2014</v>
      </c>
      <c r="Q5323" s="159">
        <f t="shared" si="884"/>
        <v>8</v>
      </c>
      <c r="R5323" s="160">
        <f t="shared" si="885"/>
        <v>7.1666666666278616</v>
      </c>
      <c r="S5323" s="158">
        <f t="shared" si="886"/>
        <v>1.2440251572259684</v>
      </c>
      <c r="T5323" s="161">
        <f t="shared" si="887"/>
        <v>613.30440251240248</v>
      </c>
      <c r="U5323" s="158">
        <f t="shared" si="889"/>
        <v>85.577358490566041</v>
      </c>
      <c r="V5323" s="160">
        <f t="shared" si="888"/>
        <v>86</v>
      </c>
    </row>
    <row r="5324" spans="1:22" x14ac:dyDescent="0.25">
      <c r="A5324" s="98" t="s">
        <v>19</v>
      </c>
      <c r="B5324" s="98" t="s">
        <v>17</v>
      </c>
      <c r="C5324" s="98">
        <v>114</v>
      </c>
      <c r="D5324" s="98">
        <v>4261</v>
      </c>
      <c r="E5324" s="157">
        <v>41882.555555555555</v>
      </c>
      <c r="F5324" s="157">
        <v>41882.65</v>
      </c>
      <c r="G5324" s="98">
        <v>460</v>
      </c>
      <c r="H5324" s="98">
        <v>530</v>
      </c>
      <c r="I5324" s="98">
        <v>493</v>
      </c>
      <c r="J5324" s="98" t="s">
        <v>1985</v>
      </c>
      <c r="K5324" s="98" t="s">
        <v>3009</v>
      </c>
      <c r="L5324" s="105" t="str">
        <f t="shared" si="880"/>
        <v>Trimble</v>
      </c>
      <c r="M5324" s="105" t="str">
        <f t="shared" si="881"/>
        <v>Derate</v>
      </c>
      <c r="N5324" s="105" t="str">
        <f t="shared" si="882"/>
        <v>Coal</v>
      </c>
      <c r="O5324" s="105">
        <f>IFERROR(VLOOKUP(A5324,Lookup!$J$5:$P$19,7,FALSE),0)</f>
        <v>3</v>
      </c>
      <c r="P5324" s="159">
        <f t="shared" si="883"/>
        <v>2014</v>
      </c>
      <c r="Q5324" s="159">
        <f t="shared" si="884"/>
        <v>8</v>
      </c>
      <c r="R5324" s="160">
        <f t="shared" si="885"/>
        <v>2.2666666667209938</v>
      </c>
      <c r="S5324" s="158">
        <f t="shared" si="886"/>
        <v>0.29937106918956524</v>
      </c>
      <c r="T5324" s="161">
        <f t="shared" si="887"/>
        <v>147.58993711045565</v>
      </c>
      <c r="U5324" s="158">
        <f t="shared" si="889"/>
        <v>65.113207547169807</v>
      </c>
      <c r="V5324" s="160">
        <f t="shared" si="888"/>
        <v>65</v>
      </c>
    </row>
    <row r="5325" spans="1:22" x14ac:dyDescent="0.25">
      <c r="A5325" s="98" t="s">
        <v>19</v>
      </c>
      <c r="B5325" s="98" t="s">
        <v>20</v>
      </c>
      <c r="C5325" s="98">
        <v>115</v>
      </c>
      <c r="D5325" s="98">
        <v>4261</v>
      </c>
      <c r="E5325" s="157">
        <v>41882.65</v>
      </c>
      <c r="F5325" s="157">
        <v>41883.024305555555</v>
      </c>
      <c r="G5325" s="98">
        <v>0</v>
      </c>
      <c r="H5325" s="98">
        <v>530</v>
      </c>
      <c r="I5325" s="98">
        <v>493</v>
      </c>
      <c r="J5325" s="98" t="s">
        <v>1985</v>
      </c>
      <c r="K5325" s="98" t="s">
        <v>3010</v>
      </c>
      <c r="L5325" s="105" t="str">
        <f t="shared" si="880"/>
        <v>Trimble</v>
      </c>
      <c r="M5325" s="105" t="str">
        <f t="shared" si="881"/>
        <v>Maintenance</v>
      </c>
      <c r="N5325" s="105" t="str">
        <f t="shared" si="882"/>
        <v>Coal</v>
      </c>
      <c r="O5325" s="105">
        <f>IFERROR(VLOOKUP(A5325,Lookup!$J$5:$P$19,7,FALSE),0)</f>
        <v>3</v>
      </c>
      <c r="P5325" s="159">
        <f t="shared" si="883"/>
        <v>2014</v>
      </c>
      <c r="Q5325" s="159">
        <f t="shared" si="884"/>
        <v>8</v>
      </c>
      <c r="R5325" s="160">
        <f t="shared" si="885"/>
        <v>8.9833333332790062</v>
      </c>
      <c r="S5325" s="158">
        <f t="shared" si="886"/>
        <v>8.9833333332790062</v>
      </c>
      <c r="T5325" s="161">
        <f t="shared" si="887"/>
        <v>4428.78333330655</v>
      </c>
      <c r="U5325" s="158">
        <f t="shared" si="889"/>
        <v>493</v>
      </c>
      <c r="V5325" s="160">
        <f t="shared" si="888"/>
        <v>493</v>
      </c>
    </row>
    <row r="5326" spans="1:22" x14ac:dyDescent="0.25">
      <c r="A5326" s="98" t="s">
        <v>19</v>
      </c>
      <c r="B5326" s="98" t="s">
        <v>17</v>
      </c>
      <c r="C5326" s="98">
        <v>116</v>
      </c>
      <c r="D5326" s="98">
        <v>530</v>
      </c>
      <c r="E5326" s="157">
        <v>41886.427083333336</v>
      </c>
      <c r="F5326" s="157">
        <v>41886.458333333336</v>
      </c>
      <c r="G5326" s="98">
        <v>450</v>
      </c>
      <c r="H5326" s="98">
        <v>530</v>
      </c>
      <c r="I5326" s="98">
        <v>493</v>
      </c>
      <c r="J5326" s="98" t="s">
        <v>3438</v>
      </c>
      <c r="K5326" s="98" t="s">
        <v>3011</v>
      </c>
      <c r="L5326" s="105" t="str">
        <f t="shared" si="880"/>
        <v>Trimble</v>
      </c>
      <c r="M5326" s="105" t="str">
        <f t="shared" si="881"/>
        <v>Derate</v>
      </c>
      <c r="N5326" s="105" t="str">
        <f t="shared" si="882"/>
        <v>Coal</v>
      </c>
      <c r="O5326" s="105">
        <f>IFERROR(VLOOKUP(A5326,Lookup!$J$5:$P$19,7,FALSE),0)</f>
        <v>3</v>
      </c>
      <c r="P5326" s="159">
        <f t="shared" si="883"/>
        <v>2014</v>
      </c>
      <c r="Q5326" s="159">
        <f t="shared" si="884"/>
        <v>9</v>
      </c>
      <c r="R5326" s="160">
        <f t="shared" si="885"/>
        <v>0.75</v>
      </c>
      <c r="S5326" s="158">
        <f t="shared" si="886"/>
        <v>0.11320754716981132</v>
      </c>
      <c r="T5326" s="161">
        <f t="shared" si="887"/>
        <v>55.811320754716981</v>
      </c>
      <c r="U5326" s="158">
        <f t="shared" si="889"/>
        <v>74.415094339622641</v>
      </c>
      <c r="V5326" s="160">
        <f t="shared" si="888"/>
        <v>74</v>
      </c>
    </row>
    <row r="5327" spans="1:22" x14ac:dyDescent="0.25">
      <c r="A5327" s="98" t="s">
        <v>19</v>
      </c>
      <c r="B5327" s="98" t="s">
        <v>17</v>
      </c>
      <c r="C5327" s="98">
        <v>117</v>
      </c>
      <c r="D5327" s="98">
        <v>410</v>
      </c>
      <c r="E5327" s="157">
        <v>41905.958333333336</v>
      </c>
      <c r="F5327" s="157">
        <v>41906.129861111112</v>
      </c>
      <c r="G5327" s="98">
        <v>400</v>
      </c>
      <c r="H5327" s="98">
        <v>530</v>
      </c>
      <c r="I5327" s="98">
        <v>493</v>
      </c>
      <c r="J5327" s="98" t="s">
        <v>2049</v>
      </c>
      <c r="K5327" s="98" t="s">
        <v>3012</v>
      </c>
      <c r="L5327" s="105" t="str">
        <f t="shared" si="880"/>
        <v>Trimble</v>
      </c>
      <c r="M5327" s="105" t="str">
        <f t="shared" si="881"/>
        <v>Derate</v>
      </c>
      <c r="N5327" s="105" t="str">
        <f t="shared" si="882"/>
        <v>Coal</v>
      </c>
      <c r="O5327" s="105">
        <f>IFERROR(VLOOKUP(A5327,Lookup!$J$5:$P$19,7,FALSE),0)</f>
        <v>3</v>
      </c>
      <c r="P5327" s="159">
        <f t="shared" si="883"/>
        <v>2014</v>
      </c>
      <c r="Q5327" s="159">
        <f t="shared" si="884"/>
        <v>9</v>
      </c>
      <c r="R5327" s="160">
        <f t="shared" si="885"/>
        <v>4.1166666666395031</v>
      </c>
      <c r="S5327" s="158">
        <f t="shared" si="886"/>
        <v>1.0097484276662931</v>
      </c>
      <c r="T5327" s="161">
        <f t="shared" si="887"/>
        <v>497.80597483948253</v>
      </c>
      <c r="U5327" s="158">
        <f t="shared" si="889"/>
        <v>120.9245283018868</v>
      </c>
      <c r="V5327" s="160">
        <f t="shared" si="888"/>
        <v>121</v>
      </c>
    </row>
    <row r="5328" spans="1:22" x14ac:dyDescent="0.25">
      <c r="A5328" s="98" t="s">
        <v>19</v>
      </c>
      <c r="B5328" s="98" t="s">
        <v>17</v>
      </c>
      <c r="C5328" s="98">
        <v>118</v>
      </c>
      <c r="D5328" s="98">
        <v>310</v>
      </c>
      <c r="E5328" s="157">
        <v>41907.359027777777</v>
      </c>
      <c r="F5328" s="157">
        <v>41907.655555555553</v>
      </c>
      <c r="G5328" s="98">
        <v>515</v>
      </c>
      <c r="H5328" s="98">
        <v>530</v>
      </c>
      <c r="I5328" s="98">
        <v>493</v>
      </c>
      <c r="J5328" s="98" t="s">
        <v>1966</v>
      </c>
      <c r="K5328" s="98" t="s">
        <v>3013</v>
      </c>
      <c r="L5328" s="105" t="str">
        <f t="shared" si="880"/>
        <v>Trimble</v>
      </c>
      <c r="M5328" s="105" t="str">
        <f t="shared" si="881"/>
        <v>Derate</v>
      </c>
      <c r="N5328" s="105" t="str">
        <f t="shared" si="882"/>
        <v>Coal</v>
      </c>
      <c r="O5328" s="105">
        <f>IFERROR(VLOOKUP(A5328,Lookup!$J$5:$P$19,7,FALSE),0)</f>
        <v>3</v>
      </c>
      <c r="P5328" s="159">
        <f t="shared" si="883"/>
        <v>2014</v>
      </c>
      <c r="Q5328" s="159">
        <f t="shared" si="884"/>
        <v>9</v>
      </c>
      <c r="R5328" s="160">
        <f t="shared" si="885"/>
        <v>7.1166666666395031</v>
      </c>
      <c r="S5328" s="158">
        <f t="shared" si="886"/>
        <v>0.20141509433885385</v>
      </c>
      <c r="T5328" s="161">
        <f t="shared" si="887"/>
        <v>99.297641509054955</v>
      </c>
      <c r="U5328" s="158">
        <f t="shared" si="889"/>
        <v>13.952830188679245</v>
      </c>
      <c r="V5328" s="160">
        <f t="shared" si="888"/>
        <v>14</v>
      </c>
    </row>
    <row r="5329" spans="1:22" x14ac:dyDescent="0.25">
      <c r="A5329" s="98" t="s">
        <v>19</v>
      </c>
      <c r="B5329" s="98" t="s">
        <v>79</v>
      </c>
      <c r="C5329" s="98">
        <v>119</v>
      </c>
      <c r="D5329" s="98">
        <v>1190</v>
      </c>
      <c r="E5329" s="157">
        <v>41909</v>
      </c>
      <c r="F5329" s="157">
        <v>41909.208333333336</v>
      </c>
      <c r="G5329" s="98">
        <v>0</v>
      </c>
      <c r="H5329" s="98">
        <v>530</v>
      </c>
      <c r="I5329" s="98">
        <v>493</v>
      </c>
      <c r="J5329" s="98" t="s">
        <v>2007</v>
      </c>
      <c r="K5329" s="98" t="s">
        <v>3014</v>
      </c>
      <c r="L5329" s="105" t="str">
        <f t="shared" si="880"/>
        <v>Trimble</v>
      </c>
      <c r="M5329" s="105" t="str">
        <f t="shared" si="881"/>
        <v>Other</v>
      </c>
      <c r="N5329" s="105" t="str">
        <f t="shared" si="882"/>
        <v>Coal</v>
      </c>
      <c r="O5329" s="105">
        <f>IFERROR(VLOOKUP(A5329,Lookup!$J$5:$P$19,7,FALSE),0)</f>
        <v>3</v>
      </c>
      <c r="P5329" s="159">
        <f t="shared" si="883"/>
        <v>2014</v>
      </c>
      <c r="Q5329" s="159">
        <f t="shared" si="884"/>
        <v>9</v>
      </c>
      <c r="R5329" s="160">
        <f t="shared" si="885"/>
        <v>5.0000000000582077</v>
      </c>
      <c r="S5329" s="158">
        <f t="shared" si="886"/>
        <v>5.0000000000582077</v>
      </c>
      <c r="T5329" s="161">
        <f t="shared" si="887"/>
        <v>2465.0000000286964</v>
      </c>
      <c r="U5329" s="158">
        <f t="shared" si="889"/>
        <v>493</v>
      </c>
      <c r="V5329" s="160">
        <f t="shared" si="888"/>
        <v>493</v>
      </c>
    </row>
    <row r="5330" spans="1:22" x14ac:dyDescent="0.25">
      <c r="A5330" s="98" t="s">
        <v>19</v>
      </c>
      <c r="B5330" s="98" t="s">
        <v>79</v>
      </c>
      <c r="C5330" s="98">
        <v>120</v>
      </c>
      <c r="D5330" s="98">
        <v>4267</v>
      </c>
      <c r="E5330" s="157">
        <v>41910</v>
      </c>
      <c r="F5330" s="157">
        <v>41910.01666666667</v>
      </c>
      <c r="G5330" s="98">
        <v>0</v>
      </c>
      <c r="H5330" s="98">
        <v>530</v>
      </c>
      <c r="I5330" s="98">
        <v>493</v>
      </c>
      <c r="J5330" s="98" t="s">
        <v>2025</v>
      </c>
      <c r="K5330" s="98" t="s">
        <v>3015</v>
      </c>
      <c r="L5330" s="105" t="str">
        <f t="shared" si="880"/>
        <v>Trimble</v>
      </c>
      <c r="M5330" s="105" t="str">
        <f t="shared" si="881"/>
        <v>Other</v>
      </c>
      <c r="N5330" s="105" t="str">
        <f t="shared" si="882"/>
        <v>Coal</v>
      </c>
      <c r="O5330" s="105">
        <f>IFERROR(VLOOKUP(A5330,Lookup!$J$5:$P$19,7,FALSE),0)</f>
        <v>3</v>
      </c>
      <c r="P5330" s="159">
        <f t="shared" si="883"/>
        <v>2014</v>
      </c>
      <c r="Q5330" s="159">
        <f t="shared" si="884"/>
        <v>9</v>
      </c>
      <c r="R5330" s="160">
        <f t="shared" si="885"/>
        <v>0.40000000008149073</v>
      </c>
      <c r="S5330" s="158">
        <f t="shared" si="886"/>
        <v>0.40000000008149073</v>
      </c>
      <c r="T5330" s="161">
        <f t="shared" si="887"/>
        <v>197.20000004017493</v>
      </c>
      <c r="U5330" s="158">
        <f t="shared" si="889"/>
        <v>493</v>
      </c>
      <c r="V5330" s="160">
        <f t="shared" si="888"/>
        <v>493</v>
      </c>
    </row>
    <row r="5331" spans="1:22" x14ac:dyDescent="0.25">
      <c r="A5331" s="98" t="s">
        <v>19</v>
      </c>
      <c r="B5331" s="98" t="s">
        <v>17</v>
      </c>
      <c r="C5331" s="98">
        <v>121</v>
      </c>
      <c r="D5331" s="98">
        <v>310</v>
      </c>
      <c r="E5331" s="157">
        <v>41919.720138888886</v>
      </c>
      <c r="F5331" s="157">
        <v>41919.745833333334</v>
      </c>
      <c r="G5331" s="98">
        <v>517</v>
      </c>
      <c r="H5331" s="98">
        <v>530</v>
      </c>
      <c r="I5331" s="98">
        <v>493</v>
      </c>
      <c r="J5331" s="98" t="s">
        <v>1966</v>
      </c>
      <c r="K5331" s="98" t="s">
        <v>3016</v>
      </c>
      <c r="L5331" s="105" t="str">
        <f t="shared" si="880"/>
        <v>Trimble</v>
      </c>
      <c r="M5331" s="105" t="str">
        <f t="shared" si="881"/>
        <v>Derate</v>
      </c>
      <c r="N5331" s="105" t="str">
        <f t="shared" si="882"/>
        <v>Coal</v>
      </c>
      <c r="O5331" s="105">
        <f>IFERROR(VLOOKUP(A5331,Lookup!$J$5:$P$19,7,FALSE),0)</f>
        <v>3</v>
      </c>
      <c r="P5331" s="159">
        <f t="shared" si="883"/>
        <v>2014</v>
      </c>
      <c r="Q5331" s="159">
        <f t="shared" si="884"/>
        <v>10</v>
      </c>
      <c r="R5331" s="160">
        <f t="shared" si="885"/>
        <v>0.61666666675591841</v>
      </c>
      <c r="S5331" s="158">
        <f t="shared" si="886"/>
        <v>1.5125786165711206E-2</v>
      </c>
      <c r="T5331" s="161">
        <f t="shared" si="887"/>
        <v>7.4570125796956246</v>
      </c>
      <c r="U5331" s="158">
        <f t="shared" si="889"/>
        <v>12.092452830188678</v>
      </c>
      <c r="V5331" s="160">
        <f t="shared" si="888"/>
        <v>12</v>
      </c>
    </row>
    <row r="5332" spans="1:22" x14ac:dyDescent="0.25">
      <c r="A5332" s="98" t="s">
        <v>19</v>
      </c>
      <c r="B5332" s="98" t="s">
        <v>15</v>
      </c>
      <c r="C5332" s="98">
        <v>122</v>
      </c>
      <c r="D5332" s="98">
        <v>400</v>
      </c>
      <c r="E5332" s="157">
        <v>41919.770833333336</v>
      </c>
      <c r="F5332" s="157">
        <v>41922.558333333334</v>
      </c>
      <c r="G5332" s="98">
        <v>0</v>
      </c>
      <c r="H5332" s="98">
        <v>530</v>
      </c>
      <c r="I5332" s="98">
        <v>493</v>
      </c>
      <c r="J5332" s="98" t="s">
        <v>2128</v>
      </c>
      <c r="K5332" s="98" t="s">
        <v>3017</v>
      </c>
      <c r="L5332" s="105" t="str">
        <f t="shared" si="880"/>
        <v>Trimble</v>
      </c>
      <c r="M5332" s="105" t="str">
        <f t="shared" si="881"/>
        <v>Outage</v>
      </c>
      <c r="N5332" s="105" t="str">
        <f t="shared" si="882"/>
        <v>Coal</v>
      </c>
      <c r="O5332" s="105">
        <f>IFERROR(VLOOKUP(A5332,Lookup!$J$5:$P$19,7,FALSE),0)</f>
        <v>3</v>
      </c>
      <c r="P5332" s="159">
        <f t="shared" si="883"/>
        <v>2014</v>
      </c>
      <c r="Q5332" s="159">
        <f t="shared" si="884"/>
        <v>10</v>
      </c>
      <c r="R5332" s="160">
        <f t="shared" si="885"/>
        <v>66.899999999965075</v>
      </c>
      <c r="S5332" s="158">
        <f t="shared" si="886"/>
        <v>66.899999999965075</v>
      </c>
      <c r="T5332" s="161">
        <f t="shared" si="887"/>
        <v>32981.699999982782</v>
      </c>
      <c r="U5332" s="158">
        <f t="shared" si="889"/>
        <v>493</v>
      </c>
      <c r="V5332" s="160">
        <f t="shared" si="888"/>
        <v>493</v>
      </c>
    </row>
    <row r="5333" spans="1:22" x14ac:dyDescent="0.25">
      <c r="A5333" s="98" t="s">
        <v>19</v>
      </c>
      <c r="B5333" s="98" t="s">
        <v>17</v>
      </c>
      <c r="C5333" s="98">
        <v>123</v>
      </c>
      <c r="D5333" s="98">
        <v>360</v>
      </c>
      <c r="E5333" s="157">
        <v>41922.868055555555</v>
      </c>
      <c r="F5333" s="157">
        <v>41922.958333333336</v>
      </c>
      <c r="G5333" s="98">
        <v>380</v>
      </c>
      <c r="H5333" s="98">
        <v>530</v>
      </c>
      <c r="I5333" s="98">
        <v>493</v>
      </c>
      <c r="J5333" s="98" t="s">
        <v>229</v>
      </c>
      <c r="K5333" s="98" t="s">
        <v>3018</v>
      </c>
      <c r="L5333" s="105" t="str">
        <f t="shared" si="880"/>
        <v>Trimble</v>
      </c>
      <c r="M5333" s="105" t="str">
        <f t="shared" si="881"/>
        <v>Derate</v>
      </c>
      <c r="N5333" s="105" t="str">
        <f t="shared" si="882"/>
        <v>Coal</v>
      </c>
      <c r="O5333" s="105">
        <f>IFERROR(VLOOKUP(A5333,Lookup!$J$5:$P$19,7,FALSE),0)</f>
        <v>3</v>
      </c>
      <c r="P5333" s="159">
        <f t="shared" si="883"/>
        <v>2014</v>
      </c>
      <c r="Q5333" s="159">
        <f t="shared" si="884"/>
        <v>10</v>
      </c>
      <c r="R5333" s="160">
        <f t="shared" si="885"/>
        <v>2.1666666667442769</v>
      </c>
      <c r="S5333" s="158">
        <f t="shared" si="886"/>
        <v>0.6132075471917765</v>
      </c>
      <c r="T5333" s="161">
        <f t="shared" si="887"/>
        <v>302.31132076554582</v>
      </c>
      <c r="U5333" s="158">
        <f t="shared" si="889"/>
        <v>139.52830188679246</v>
      </c>
      <c r="V5333" s="160">
        <f t="shared" si="888"/>
        <v>140</v>
      </c>
    </row>
    <row r="5334" spans="1:22" x14ac:dyDescent="0.25">
      <c r="A5334" s="98" t="s">
        <v>19</v>
      </c>
      <c r="B5334" s="98" t="s">
        <v>17</v>
      </c>
      <c r="C5334" s="98">
        <v>124</v>
      </c>
      <c r="D5334" s="98">
        <v>360</v>
      </c>
      <c r="E5334" s="157">
        <v>41922.958333333336</v>
      </c>
      <c r="F5334" s="157">
        <v>41923.131944444445</v>
      </c>
      <c r="G5334" s="98">
        <v>460</v>
      </c>
      <c r="H5334" s="98">
        <v>530</v>
      </c>
      <c r="I5334" s="98">
        <v>493</v>
      </c>
      <c r="J5334" s="98" t="s">
        <v>229</v>
      </c>
      <c r="K5334" s="98" t="s">
        <v>3019</v>
      </c>
      <c r="L5334" s="105" t="str">
        <f t="shared" si="880"/>
        <v>Trimble</v>
      </c>
      <c r="M5334" s="105" t="str">
        <f t="shared" si="881"/>
        <v>Derate</v>
      </c>
      <c r="N5334" s="105" t="str">
        <f t="shared" si="882"/>
        <v>Coal</v>
      </c>
      <c r="O5334" s="105">
        <f>IFERROR(VLOOKUP(A5334,Lookup!$J$5:$P$19,7,FALSE),0)</f>
        <v>3</v>
      </c>
      <c r="P5334" s="159">
        <f t="shared" si="883"/>
        <v>2014</v>
      </c>
      <c r="Q5334" s="159">
        <f t="shared" si="884"/>
        <v>10</v>
      </c>
      <c r="R5334" s="160">
        <f t="shared" si="885"/>
        <v>4.1666666666278616</v>
      </c>
      <c r="S5334" s="158">
        <f t="shared" si="886"/>
        <v>0.55031446540367979</v>
      </c>
      <c r="T5334" s="161">
        <f t="shared" si="887"/>
        <v>271.30503144401416</v>
      </c>
      <c r="U5334" s="158">
        <f t="shared" si="889"/>
        <v>65.113207547169807</v>
      </c>
      <c r="V5334" s="160">
        <f t="shared" si="888"/>
        <v>65</v>
      </c>
    </row>
    <row r="5335" spans="1:22" x14ac:dyDescent="0.25">
      <c r="A5335" s="98" t="s">
        <v>19</v>
      </c>
      <c r="B5335" s="98" t="s">
        <v>15</v>
      </c>
      <c r="C5335" s="98">
        <v>125</v>
      </c>
      <c r="D5335" s="98">
        <v>3410</v>
      </c>
      <c r="E5335" s="157">
        <v>41942.25</v>
      </c>
      <c r="F5335" s="157">
        <v>41942.325694444444</v>
      </c>
      <c r="G5335" s="98">
        <v>0</v>
      </c>
      <c r="H5335" s="98">
        <v>530</v>
      </c>
      <c r="I5335" s="98">
        <v>493</v>
      </c>
      <c r="J5335" s="98" t="s">
        <v>1983</v>
      </c>
      <c r="K5335" s="98" t="s">
        <v>3020</v>
      </c>
      <c r="L5335" s="105" t="str">
        <f t="shared" si="880"/>
        <v>Trimble</v>
      </c>
      <c r="M5335" s="105" t="str">
        <f t="shared" si="881"/>
        <v>Outage</v>
      </c>
      <c r="N5335" s="105" t="str">
        <f t="shared" si="882"/>
        <v>Coal</v>
      </c>
      <c r="O5335" s="105">
        <f>IFERROR(VLOOKUP(A5335,Lookup!$J$5:$P$19,7,FALSE),0)</f>
        <v>3</v>
      </c>
      <c r="P5335" s="159">
        <f t="shared" si="883"/>
        <v>2014</v>
      </c>
      <c r="Q5335" s="159">
        <f t="shared" si="884"/>
        <v>10</v>
      </c>
      <c r="R5335" s="160">
        <f t="shared" si="885"/>
        <v>1.8166666666511446</v>
      </c>
      <c r="S5335" s="158">
        <f t="shared" si="886"/>
        <v>1.8166666666511446</v>
      </c>
      <c r="T5335" s="161">
        <f t="shared" si="887"/>
        <v>895.6166666590143</v>
      </c>
      <c r="U5335" s="158">
        <f t="shared" si="889"/>
        <v>493</v>
      </c>
      <c r="V5335" s="160">
        <f t="shared" si="888"/>
        <v>493</v>
      </c>
    </row>
    <row r="5336" spans="1:22" x14ac:dyDescent="0.25">
      <c r="A5336" s="98" t="s">
        <v>19</v>
      </c>
      <c r="B5336" s="98" t="s">
        <v>17</v>
      </c>
      <c r="C5336" s="98">
        <v>126</v>
      </c>
      <c r="D5336" s="98">
        <v>4261</v>
      </c>
      <c r="E5336" s="157">
        <v>41943.910416666666</v>
      </c>
      <c r="F5336" s="157">
        <v>41944.25</v>
      </c>
      <c r="G5336" s="98">
        <v>390</v>
      </c>
      <c r="H5336" s="98">
        <v>530</v>
      </c>
      <c r="I5336" s="98">
        <v>493</v>
      </c>
      <c r="J5336" s="98" t="s">
        <v>1985</v>
      </c>
      <c r="K5336" s="98" t="s">
        <v>3021</v>
      </c>
      <c r="L5336" s="105" t="str">
        <f t="shared" si="880"/>
        <v>Trimble</v>
      </c>
      <c r="M5336" s="105" t="str">
        <f t="shared" si="881"/>
        <v>Derate</v>
      </c>
      <c r="N5336" s="105" t="str">
        <f t="shared" si="882"/>
        <v>Coal</v>
      </c>
      <c r="O5336" s="105">
        <f>IFERROR(VLOOKUP(A5336,Lookup!$J$5:$P$19,7,FALSE),0)</f>
        <v>3</v>
      </c>
      <c r="P5336" s="159">
        <f t="shared" si="883"/>
        <v>2014</v>
      </c>
      <c r="Q5336" s="159">
        <f t="shared" si="884"/>
        <v>10</v>
      </c>
      <c r="R5336" s="160">
        <f t="shared" si="885"/>
        <v>8.1500000000232831</v>
      </c>
      <c r="S5336" s="158">
        <f t="shared" si="886"/>
        <v>2.1528301886853956</v>
      </c>
      <c r="T5336" s="161">
        <f t="shared" si="887"/>
        <v>1061.3452830219001</v>
      </c>
      <c r="U5336" s="158">
        <f t="shared" si="889"/>
        <v>130.22641509433961</v>
      </c>
      <c r="V5336" s="160">
        <f t="shared" si="888"/>
        <v>130</v>
      </c>
    </row>
    <row r="5337" spans="1:22" x14ac:dyDescent="0.25">
      <c r="A5337" s="98" t="s">
        <v>19</v>
      </c>
      <c r="B5337" s="98" t="s">
        <v>17</v>
      </c>
      <c r="C5337" s="98">
        <v>127</v>
      </c>
      <c r="D5337" s="98">
        <v>4261</v>
      </c>
      <c r="E5337" s="157">
        <v>41944.25</v>
      </c>
      <c r="F5337" s="157">
        <v>41944.947916666664</v>
      </c>
      <c r="G5337" s="98">
        <v>380</v>
      </c>
      <c r="H5337" s="98">
        <v>530</v>
      </c>
      <c r="I5337" s="98">
        <v>493</v>
      </c>
      <c r="J5337" s="98" t="s">
        <v>1985</v>
      </c>
      <c r="K5337" s="98" t="s">
        <v>3022</v>
      </c>
      <c r="L5337" s="105" t="str">
        <f t="shared" si="880"/>
        <v>Trimble</v>
      </c>
      <c r="M5337" s="105" t="str">
        <f t="shared" si="881"/>
        <v>Derate</v>
      </c>
      <c r="N5337" s="105" t="str">
        <f t="shared" si="882"/>
        <v>Coal</v>
      </c>
      <c r="O5337" s="105">
        <f>IFERROR(VLOOKUP(A5337,Lookup!$J$5:$P$19,7,FALSE),0)</f>
        <v>3</v>
      </c>
      <c r="P5337" s="159">
        <f t="shared" si="883"/>
        <v>2014</v>
      </c>
      <c r="Q5337" s="159">
        <f t="shared" si="884"/>
        <v>11</v>
      </c>
      <c r="R5337" s="160">
        <f t="shared" si="885"/>
        <v>16.749999999941792</v>
      </c>
      <c r="S5337" s="158">
        <f t="shared" si="886"/>
        <v>4.7405660377193755</v>
      </c>
      <c r="T5337" s="161">
        <f t="shared" si="887"/>
        <v>2337.0990565956522</v>
      </c>
      <c r="U5337" s="158">
        <f t="shared" si="889"/>
        <v>139.52830188679246</v>
      </c>
      <c r="V5337" s="160">
        <f t="shared" si="888"/>
        <v>140</v>
      </c>
    </row>
    <row r="5338" spans="1:22" x14ac:dyDescent="0.25">
      <c r="A5338" s="98" t="s">
        <v>19</v>
      </c>
      <c r="B5338" s="98" t="s">
        <v>15</v>
      </c>
      <c r="C5338" s="98">
        <v>128</v>
      </c>
      <c r="D5338" s="98">
        <v>4261</v>
      </c>
      <c r="E5338" s="157">
        <v>41944.947916666664</v>
      </c>
      <c r="F5338" s="157">
        <v>41945.502083333333</v>
      </c>
      <c r="G5338" s="98">
        <v>0</v>
      </c>
      <c r="H5338" s="98">
        <v>530</v>
      </c>
      <c r="I5338" s="98">
        <v>493</v>
      </c>
      <c r="J5338" s="98" t="s">
        <v>1985</v>
      </c>
      <c r="K5338" s="98" t="s">
        <v>3023</v>
      </c>
      <c r="L5338" s="105" t="str">
        <f t="shared" si="880"/>
        <v>Trimble</v>
      </c>
      <c r="M5338" s="105" t="str">
        <f t="shared" si="881"/>
        <v>Outage</v>
      </c>
      <c r="N5338" s="105" t="str">
        <f t="shared" si="882"/>
        <v>Coal</v>
      </c>
      <c r="O5338" s="105">
        <f>IFERROR(VLOOKUP(A5338,Lookup!$J$5:$P$19,7,FALSE),0)</f>
        <v>3</v>
      </c>
      <c r="P5338" s="159">
        <f t="shared" si="883"/>
        <v>2014</v>
      </c>
      <c r="Q5338" s="159">
        <f t="shared" si="884"/>
        <v>11</v>
      </c>
      <c r="R5338" s="160">
        <f t="shared" si="885"/>
        <v>13.300000000046566</v>
      </c>
      <c r="S5338" s="158">
        <f t="shared" si="886"/>
        <v>13.300000000046566</v>
      </c>
      <c r="T5338" s="161">
        <f t="shared" si="887"/>
        <v>6556.9000000229571</v>
      </c>
      <c r="U5338" s="158">
        <f t="shared" si="889"/>
        <v>493</v>
      </c>
      <c r="V5338" s="160">
        <f t="shared" si="888"/>
        <v>493</v>
      </c>
    </row>
    <row r="5339" spans="1:22" x14ac:dyDescent="0.25">
      <c r="A5339" s="98" t="s">
        <v>19</v>
      </c>
      <c r="B5339" s="98" t="s">
        <v>17</v>
      </c>
      <c r="C5339" s="98">
        <v>129</v>
      </c>
      <c r="D5339" s="98">
        <v>3431</v>
      </c>
      <c r="E5339" s="157">
        <v>41945.916666666664</v>
      </c>
      <c r="F5339" s="157">
        <v>41946.048611111109</v>
      </c>
      <c r="G5339" s="98">
        <v>485</v>
      </c>
      <c r="H5339" s="98">
        <v>530</v>
      </c>
      <c r="I5339" s="98">
        <v>493</v>
      </c>
      <c r="J5339" s="98" t="s">
        <v>2123</v>
      </c>
      <c r="K5339" s="98" t="s">
        <v>3024</v>
      </c>
      <c r="L5339" s="105" t="str">
        <f t="shared" si="880"/>
        <v>Trimble</v>
      </c>
      <c r="M5339" s="105" t="str">
        <f t="shared" si="881"/>
        <v>Derate</v>
      </c>
      <c r="N5339" s="105" t="str">
        <f t="shared" si="882"/>
        <v>Coal</v>
      </c>
      <c r="O5339" s="105">
        <f>IFERROR(VLOOKUP(A5339,Lookup!$J$5:$P$19,7,FALSE),0)</f>
        <v>3</v>
      </c>
      <c r="P5339" s="159">
        <f t="shared" si="883"/>
        <v>2014</v>
      </c>
      <c r="Q5339" s="159">
        <f t="shared" si="884"/>
        <v>11</v>
      </c>
      <c r="R5339" s="160">
        <f t="shared" si="885"/>
        <v>3.1666666666860692</v>
      </c>
      <c r="S5339" s="158">
        <f t="shared" si="886"/>
        <v>0.26886792452994929</v>
      </c>
      <c r="T5339" s="161">
        <f t="shared" si="887"/>
        <v>132.551886793265</v>
      </c>
      <c r="U5339" s="158">
        <f t="shared" si="889"/>
        <v>41.858490566037737</v>
      </c>
      <c r="V5339" s="160">
        <f t="shared" si="888"/>
        <v>42</v>
      </c>
    </row>
    <row r="5340" spans="1:22" x14ac:dyDescent="0.25">
      <c r="A5340" s="98" t="s">
        <v>19</v>
      </c>
      <c r="B5340" s="98" t="s">
        <v>17</v>
      </c>
      <c r="C5340" s="98">
        <v>130</v>
      </c>
      <c r="D5340" s="98">
        <v>3431</v>
      </c>
      <c r="E5340" s="157">
        <v>41946.048611111109</v>
      </c>
      <c r="F5340" s="157">
        <v>41946.548611111109</v>
      </c>
      <c r="G5340" s="98">
        <v>515</v>
      </c>
      <c r="H5340" s="98">
        <v>530</v>
      </c>
      <c r="I5340" s="98">
        <v>493</v>
      </c>
      <c r="J5340" s="98" t="s">
        <v>2123</v>
      </c>
      <c r="K5340" s="98" t="s">
        <v>3024</v>
      </c>
      <c r="L5340" s="105" t="str">
        <f t="shared" si="880"/>
        <v>Trimble</v>
      </c>
      <c r="M5340" s="105" t="str">
        <f t="shared" si="881"/>
        <v>Derate</v>
      </c>
      <c r="N5340" s="105" t="str">
        <f t="shared" si="882"/>
        <v>Coal</v>
      </c>
      <c r="O5340" s="105">
        <f>IFERROR(VLOOKUP(A5340,Lookup!$J$5:$P$19,7,FALSE),0)</f>
        <v>3</v>
      </c>
      <c r="P5340" s="159">
        <f t="shared" si="883"/>
        <v>2014</v>
      </c>
      <c r="Q5340" s="159">
        <f t="shared" si="884"/>
        <v>11</v>
      </c>
      <c r="R5340" s="160">
        <f t="shared" si="885"/>
        <v>12</v>
      </c>
      <c r="S5340" s="158">
        <f t="shared" si="886"/>
        <v>0.33962264150943394</v>
      </c>
      <c r="T5340" s="161">
        <f t="shared" si="887"/>
        <v>167.43396226415092</v>
      </c>
      <c r="U5340" s="158">
        <f t="shared" si="889"/>
        <v>13.952830188679245</v>
      </c>
      <c r="V5340" s="160">
        <f t="shared" si="888"/>
        <v>14</v>
      </c>
    </row>
    <row r="5341" spans="1:22" x14ac:dyDescent="0.25">
      <c r="A5341" s="98" t="s">
        <v>19</v>
      </c>
      <c r="B5341" s="98" t="s">
        <v>15</v>
      </c>
      <c r="C5341" s="98">
        <v>131</v>
      </c>
      <c r="D5341" s="98">
        <v>3412</v>
      </c>
      <c r="E5341" s="157">
        <v>41951.083333333336</v>
      </c>
      <c r="F5341" s="157">
        <v>41951.20416666667</v>
      </c>
      <c r="G5341" s="98">
        <v>0</v>
      </c>
      <c r="H5341" s="98">
        <v>530</v>
      </c>
      <c r="I5341" s="98">
        <v>493</v>
      </c>
      <c r="J5341" s="98" t="s">
        <v>2162</v>
      </c>
      <c r="K5341" s="98" t="s">
        <v>3025</v>
      </c>
      <c r="L5341" s="105" t="str">
        <f t="shared" si="880"/>
        <v>Trimble</v>
      </c>
      <c r="M5341" s="105" t="str">
        <f t="shared" si="881"/>
        <v>Outage</v>
      </c>
      <c r="N5341" s="105" t="str">
        <f t="shared" si="882"/>
        <v>Coal</v>
      </c>
      <c r="O5341" s="105">
        <f>IFERROR(VLOOKUP(A5341,Lookup!$J$5:$P$19,7,FALSE),0)</f>
        <v>3</v>
      </c>
      <c r="P5341" s="159">
        <f t="shared" si="883"/>
        <v>2014</v>
      </c>
      <c r="Q5341" s="159">
        <f t="shared" si="884"/>
        <v>11</v>
      </c>
      <c r="R5341" s="160">
        <f t="shared" si="885"/>
        <v>2.9000000000232831</v>
      </c>
      <c r="S5341" s="158">
        <f t="shared" si="886"/>
        <v>2.9000000000232831</v>
      </c>
      <c r="T5341" s="161">
        <f t="shared" si="887"/>
        <v>1429.7000000114786</v>
      </c>
      <c r="U5341" s="158">
        <f t="shared" si="889"/>
        <v>493</v>
      </c>
      <c r="V5341" s="160">
        <f t="shared" si="888"/>
        <v>493</v>
      </c>
    </row>
    <row r="5342" spans="1:22" x14ac:dyDescent="0.25">
      <c r="A5342" s="98" t="s">
        <v>19</v>
      </c>
      <c r="B5342" s="98" t="s">
        <v>17</v>
      </c>
      <c r="C5342" s="98">
        <v>132</v>
      </c>
      <c r="D5342" s="98">
        <v>340</v>
      </c>
      <c r="E5342" s="157">
        <v>41956.407638888886</v>
      </c>
      <c r="F5342" s="157">
        <v>41956.48333333333</v>
      </c>
      <c r="G5342" s="98">
        <v>520</v>
      </c>
      <c r="H5342" s="98">
        <v>530</v>
      </c>
      <c r="I5342" s="98">
        <v>493</v>
      </c>
      <c r="J5342" s="98" t="s">
        <v>1970</v>
      </c>
      <c r="K5342" s="98" t="s">
        <v>3026</v>
      </c>
      <c r="L5342" s="105" t="str">
        <f t="shared" si="880"/>
        <v>Trimble</v>
      </c>
      <c r="M5342" s="105" t="str">
        <f t="shared" si="881"/>
        <v>Derate</v>
      </c>
      <c r="N5342" s="105" t="str">
        <f t="shared" si="882"/>
        <v>Coal</v>
      </c>
      <c r="O5342" s="105">
        <f>IFERROR(VLOOKUP(A5342,Lookup!$J$5:$P$19,7,FALSE),0)</f>
        <v>3</v>
      </c>
      <c r="P5342" s="159">
        <f t="shared" si="883"/>
        <v>2014</v>
      </c>
      <c r="Q5342" s="159">
        <f t="shared" si="884"/>
        <v>11</v>
      </c>
      <c r="R5342" s="160">
        <f t="shared" si="885"/>
        <v>1.8166666666511446</v>
      </c>
      <c r="S5342" s="158">
        <f t="shared" si="886"/>
        <v>3.4276729559455557E-2</v>
      </c>
      <c r="T5342" s="161">
        <f t="shared" si="887"/>
        <v>16.898427672811589</v>
      </c>
      <c r="U5342" s="158">
        <f t="shared" si="889"/>
        <v>9.3018867924528301</v>
      </c>
      <c r="V5342" s="160">
        <f t="shared" si="888"/>
        <v>9</v>
      </c>
    </row>
    <row r="5343" spans="1:22" x14ac:dyDescent="0.25">
      <c r="A5343" s="98" t="s">
        <v>19</v>
      </c>
      <c r="B5343" s="98" t="s">
        <v>17</v>
      </c>
      <c r="C5343" s="98">
        <v>133</v>
      </c>
      <c r="D5343" s="98">
        <v>3410</v>
      </c>
      <c r="E5343" s="157">
        <v>41959.270833333336</v>
      </c>
      <c r="F5343" s="157">
        <v>41959.968055555553</v>
      </c>
      <c r="G5343" s="98">
        <v>525</v>
      </c>
      <c r="H5343" s="98">
        <v>530</v>
      </c>
      <c r="I5343" s="98">
        <v>493</v>
      </c>
      <c r="J5343" s="98" t="s">
        <v>1983</v>
      </c>
      <c r="K5343" s="98" t="s">
        <v>3027</v>
      </c>
      <c r="L5343" s="105" t="str">
        <f t="shared" si="880"/>
        <v>Trimble</v>
      </c>
      <c r="M5343" s="105" t="str">
        <f t="shared" si="881"/>
        <v>Derate</v>
      </c>
      <c r="N5343" s="105" t="str">
        <f t="shared" si="882"/>
        <v>Coal</v>
      </c>
      <c r="O5343" s="105">
        <f>IFERROR(VLOOKUP(A5343,Lookup!$J$5:$P$19,7,FALSE),0)</f>
        <v>3</v>
      </c>
      <c r="P5343" s="159">
        <f t="shared" si="883"/>
        <v>2014</v>
      </c>
      <c r="Q5343" s="159">
        <f t="shared" si="884"/>
        <v>11</v>
      </c>
      <c r="R5343" s="160">
        <f t="shared" si="885"/>
        <v>16.733333333220799</v>
      </c>
      <c r="S5343" s="158">
        <f t="shared" si="886"/>
        <v>0.15786163521906413</v>
      </c>
      <c r="T5343" s="161">
        <f t="shared" si="887"/>
        <v>77.825786162998611</v>
      </c>
      <c r="U5343" s="158">
        <f t="shared" si="889"/>
        <v>4.6509433962264151</v>
      </c>
      <c r="V5343" s="160">
        <f t="shared" si="888"/>
        <v>5</v>
      </c>
    </row>
    <row r="5344" spans="1:22" x14ac:dyDescent="0.25">
      <c r="A5344" s="98" t="s">
        <v>19</v>
      </c>
      <c r="B5344" s="98" t="s">
        <v>15</v>
      </c>
      <c r="C5344" s="98">
        <v>134</v>
      </c>
      <c r="D5344" s="98">
        <v>1455</v>
      </c>
      <c r="E5344" s="157">
        <v>41960.069444444445</v>
      </c>
      <c r="F5344" s="157">
        <v>41960.644444444442</v>
      </c>
      <c r="G5344" s="98">
        <v>0</v>
      </c>
      <c r="H5344" s="98">
        <v>530</v>
      </c>
      <c r="I5344" s="98">
        <v>493</v>
      </c>
      <c r="J5344" s="98" t="s">
        <v>1990</v>
      </c>
      <c r="K5344" s="98" t="s">
        <v>3028</v>
      </c>
      <c r="L5344" s="105" t="str">
        <f t="shared" si="880"/>
        <v>Trimble</v>
      </c>
      <c r="M5344" s="105" t="str">
        <f t="shared" si="881"/>
        <v>Outage</v>
      </c>
      <c r="N5344" s="105" t="str">
        <f t="shared" si="882"/>
        <v>Coal</v>
      </c>
      <c r="O5344" s="105">
        <f>IFERROR(VLOOKUP(A5344,Lookup!$J$5:$P$19,7,FALSE),0)</f>
        <v>3</v>
      </c>
      <c r="P5344" s="159">
        <f t="shared" si="883"/>
        <v>2014</v>
      </c>
      <c r="Q5344" s="159">
        <f t="shared" si="884"/>
        <v>11</v>
      </c>
      <c r="R5344" s="160">
        <f t="shared" si="885"/>
        <v>13.799999999930151</v>
      </c>
      <c r="S5344" s="158">
        <f t="shared" si="886"/>
        <v>13.799999999930151</v>
      </c>
      <c r="T5344" s="161">
        <f t="shared" si="887"/>
        <v>6803.3999999655643</v>
      </c>
      <c r="U5344" s="158">
        <f t="shared" si="889"/>
        <v>493</v>
      </c>
      <c r="V5344" s="160">
        <f t="shared" si="888"/>
        <v>493</v>
      </c>
    </row>
    <row r="5345" spans="1:22" x14ac:dyDescent="0.25">
      <c r="A5345" s="98" t="s">
        <v>19</v>
      </c>
      <c r="B5345" s="98" t="s">
        <v>15</v>
      </c>
      <c r="C5345" s="98">
        <v>135</v>
      </c>
      <c r="D5345" s="98">
        <v>1400</v>
      </c>
      <c r="E5345" s="157">
        <v>41961.046527777777</v>
      </c>
      <c r="F5345" s="157">
        <v>41961.127083333333</v>
      </c>
      <c r="G5345" s="98">
        <v>0</v>
      </c>
      <c r="H5345" s="98">
        <v>530</v>
      </c>
      <c r="I5345" s="98">
        <v>493</v>
      </c>
      <c r="J5345" s="98" t="s">
        <v>2043</v>
      </c>
      <c r="K5345" s="98" t="s">
        <v>3029</v>
      </c>
      <c r="L5345" s="105" t="str">
        <f t="shared" si="880"/>
        <v>Trimble</v>
      </c>
      <c r="M5345" s="105" t="str">
        <f t="shared" si="881"/>
        <v>Outage</v>
      </c>
      <c r="N5345" s="105" t="str">
        <f t="shared" si="882"/>
        <v>Coal</v>
      </c>
      <c r="O5345" s="105">
        <f>IFERROR(VLOOKUP(A5345,Lookup!$J$5:$P$19,7,FALSE),0)</f>
        <v>3</v>
      </c>
      <c r="P5345" s="159">
        <f t="shared" si="883"/>
        <v>2014</v>
      </c>
      <c r="Q5345" s="159">
        <f t="shared" si="884"/>
        <v>11</v>
      </c>
      <c r="R5345" s="160">
        <f t="shared" si="885"/>
        <v>1.9333333333488554</v>
      </c>
      <c r="S5345" s="158">
        <f t="shared" si="886"/>
        <v>1.9333333333488554</v>
      </c>
      <c r="T5345" s="161">
        <f t="shared" si="887"/>
        <v>953.1333333409857</v>
      </c>
      <c r="U5345" s="158">
        <f t="shared" si="889"/>
        <v>493</v>
      </c>
      <c r="V5345" s="160">
        <f t="shared" si="888"/>
        <v>493</v>
      </c>
    </row>
    <row r="5346" spans="1:22" x14ac:dyDescent="0.25">
      <c r="A5346" s="98" t="s">
        <v>19</v>
      </c>
      <c r="B5346" s="98" t="s">
        <v>79</v>
      </c>
      <c r="C5346" s="98">
        <v>136</v>
      </c>
      <c r="D5346" s="98">
        <v>9620</v>
      </c>
      <c r="E5346" s="157">
        <v>41961.583333333336</v>
      </c>
      <c r="F5346" s="157">
        <v>41961.864583333336</v>
      </c>
      <c r="G5346" s="98">
        <v>0</v>
      </c>
      <c r="H5346" s="98">
        <v>530</v>
      </c>
      <c r="I5346" s="98">
        <v>493</v>
      </c>
      <c r="J5346" s="98" t="s">
        <v>2029</v>
      </c>
      <c r="K5346" s="98" t="s">
        <v>3030</v>
      </c>
      <c r="L5346" s="105" t="str">
        <f t="shared" si="880"/>
        <v>Trimble</v>
      </c>
      <c r="M5346" s="105" t="str">
        <f t="shared" si="881"/>
        <v>Other</v>
      </c>
      <c r="N5346" s="105" t="str">
        <f t="shared" si="882"/>
        <v>Coal</v>
      </c>
      <c r="O5346" s="105">
        <f>IFERROR(VLOOKUP(A5346,Lookup!$J$5:$P$19,7,FALSE),0)</f>
        <v>3</v>
      </c>
      <c r="P5346" s="159">
        <f t="shared" si="883"/>
        <v>2014</v>
      </c>
      <c r="Q5346" s="159">
        <f t="shared" si="884"/>
        <v>11</v>
      </c>
      <c r="R5346" s="160">
        <f t="shared" si="885"/>
        <v>6.75</v>
      </c>
      <c r="S5346" s="158">
        <f t="shared" si="886"/>
        <v>6.75</v>
      </c>
      <c r="T5346" s="161">
        <f t="shared" si="887"/>
        <v>3327.75</v>
      </c>
      <c r="U5346" s="158">
        <f t="shared" si="889"/>
        <v>493</v>
      </c>
      <c r="V5346" s="160">
        <f t="shared" si="888"/>
        <v>493</v>
      </c>
    </row>
    <row r="5347" spans="1:22" x14ac:dyDescent="0.25">
      <c r="A5347" s="98" t="s">
        <v>19</v>
      </c>
      <c r="B5347" s="98" t="s">
        <v>15</v>
      </c>
      <c r="C5347" s="98">
        <v>137</v>
      </c>
      <c r="D5347" s="98">
        <v>740</v>
      </c>
      <c r="E5347" s="157">
        <v>41965.214583333334</v>
      </c>
      <c r="F5347" s="157">
        <v>41965.910416666666</v>
      </c>
      <c r="G5347" s="98">
        <v>0</v>
      </c>
      <c r="H5347" s="98">
        <v>530</v>
      </c>
      <c r="I5347" s="98">
        <v>493</v>
      </c>
      <c r="J5347" s="98" t="s">
        <v>2176</v>
      </c>
      <c r="K5347" s="98" t="s">
        <v>3031</v>
      </c>
      <c r="L5347" s="105" t="str">
        <f t="shared" si="880"/>
        <v>Trimble</v>
      </c>
      <c r="M5347" s="105" t="str">
        <f t="shared" si="881"/>
        <v>Outage</v>
      </c>
      <c r="N5347" s="105" t="str">
        <f t="shared" si="882"/>
        <v>Coal</v>
      </c>
      <c r="O5347" s="105">
        <f>IFERROR(VLOOKUP(A5347,Lookup!$J$5:$P$19,7,FALSE),0)</f>
        <v>3</v>
      </c>
      <c r="P5347" s="159">
        <f t="shared" si="883"/>
        <v>2014</v>
      </c>
      <c r="Q5347" s="159">
        <f t="shared" si="884"/>
        <v>11</v>
      </c>
      <c r="R5347" s="160">
        <f t="shared" si="885"/>
        <v>16.699999999953434</v>
      </c>
      <c r="S5347" s="158">
        <f t="shared" si="886"/>
        <v>16.699999999953434</v>
      </c>
      <c r="T5347" s="161">
        <f t="shared" si="887"/>
        <v>8233.0999999770429</v>
      </c>
      <c r="U5347" s="158">
        <f t="shared" si="889"/>
        <v>493</v>
      </c>
      <c r="V5347" s="160">
        <f t="shared" si="888"/>
        <v>493</v>
      </c>
    </row>
    <row r="5348" spans="1:22" x14ac:dyDescent="0.25">
      <c r="A5348" s="98" t="s">
        <v>19</v>
      </c>
      <c r="B5348" s="98" t="s">
        <v>17</v>
      </c>
      <c r="C5348" s="98">
        <v>138</v>
      </c>
      <c r="D5348" s="98">
        <v>310</v>
      </c>
      <c r="E5348" s="157">
        <v>41966.145833333336</v>
      </c>
      <c r="F5348" s="157">
        <v>41966.179861111108</v>
      </c>
      <c r="G5348" s="98">
        <v>400</v>
      </c>
      <c r="H5348" s="98">
        <v>530</v>
      </c>
      <c r="I5348" s="98">
        <v>493</v>
      </c>
      <c r="J5348" s="98" t="s">
        <v>1966</v>
      </c>
      <c r="K5348" s="98" t="s">
        <v>3032</v>
      </c>
      <c r="L5348" s="105" t="str">
        <f t="shared" si="880"/>
        <v>Trimble</v>
      </c>
      <c r="M5348" s="105" t="str">
        <f t="shared" si="881"/>
        <v>Derate</v>
      </c>
      <c r="N5348" s="105" t="str">
        <f t="shared" si="882"/>
        <v>Coal</v>
      </c>
      <c r="O5348" s="105">
        <f>IFERROR(VLOOKUP(A5348,Lookup!$J$5:$P$19,7,FALSE),0)</f>
        <v>3</v>
      </c>
      <c r="P5348" s="159">
        <f t="shared" si="883"/>
        <v>2014</v>
      </c>
      <c r="Q5348" s="159">
        <f t="shared" si="884"/>
        <v>11</v>
      </c>
      <c r="R5348" s="160">
        <f t="shared" si="885"/>
        <v>0.8166666665347293</v>
      </c>
      <c r="S5348" s="158">
        <f t="shared" si="886"/>
        <v>0.20031446537644304</v>
      </c>
      <c r="T5348" s="161">
        <f t="shared" si="887"/>
        <v>98.755031430586413</v>
      </c>
      <c r="U5348" s="158">
        <f t="shared" si="889"/>
        <v>120.9245283018868</v>
      </c>
      <c r="V5348" s="160">
        <f t="shared" si="888"/>
        <v>121</v>
      </c>
    </row>
    <row r="5349" spans="1:22" x14ac:dyDescent="0.25">
      <c r="A5349" s="98" t="s">
        <v>19</v>
      </c>
      <c r="B5349" s="98" t="s">
        <v>15</v>
      </c>
      <c r="C5349" s="98">
        <v>139</v>
      </c>
      <c r="D5349" s="98">
        <v>400</v>
      </c>
      <c r="E5349" s="157">
        <v>41966.179861111108</v>
      </c>
      <c r="F5349" s="157">
        <v>41967.502083333333</v>
      </c>
      <c r="G5349" s="98">
        <v>0</v>
      </c>
      <c r="H5349" s="98">
        <v>530</v>
      </c>
      <c r="I5349" s="98">
        <v>493</v>
      </c>
      <c r="J5349" s="98" t="s">
        <v>2128</v>
      </c>
      <c r="K5349" s="98" t="s">
        <v>3033</v>
      </c>
      <c r="L5349" s="105" t="str">
        <f t="shared" si="880"/>
        <v>Trimble</v>
      </c>
      <c r="M5349" s="105" t="str">
        <f t="shared" si="881"/>
        <v>Outage</v>
      </c>
      <c r="N5349" s="105" t="str">
        <f t="shared" si="882"/>
        <v>Coal</v>
      </c>
      <c r="O5349" s="105">
        <f>IFERROR(VLOOKUP(A5349,Lookup!$J$5:$P$19,7,FALSE),0)</f>
        <v>3</v>
      </c>
      <c r="P5349" s="159">
        <f t="shared" si="883"/>
        <v>2014</v>
      </c>
      <c r="Q5349" s="159">
        <f t="shared" si="884"/>
        <v>11</v>
      </c>
      <c r="R5349" s="160">
        <f t="shared" si="885"/>
        <v>31.733333333395422</v>
      </c>
      <c r="S5349" s="158">
        <f t="shared" si="886"/>
        <v>31.733333333395422</v>
      </c>
      <c r="T5349" s="161">
        <f t="shared" si="887"/>
        <v>15644.533333363943</v>
      </c>
      <c r="U5349" s="158">
        <f t="shared" si="889"/>
        <v>493</v>
      </c>
      <c r="V5349" s="160">
        <f t="shared" si="888"/>
        <v>493</v>
      </c>
    </row>
    <row r="5350" spans="1:22" x14ac:dyDescent="0.25">
      <c r="A5350" s="98" t="s">
        <v>19</v>
      </c>
      <c r="B5350" s="98" t="s">
        <v>17</v>
      </c>
      <c r="C5350" s="98">
        <v>140</v>
      </c>
      <c r="D5350" s="98">
        <v>530</v>
      </c>
      <c r="E5350" s="157">
        <v>41980.40347222222</v>
      </c>
      <c r="F5350" s="157">
        <v>41980.677083333336</v>
      </c>
      <c r="G5350" s="98">
        <v>535</v>
      </c>
      <c r="H5350" s="98">
        <v>530</v>
      </c>
      <c r="I5350" s="98">
        <v>493</v>
      </c>
      <c r="J5350" s="98" t="s">
        <v>3438</v>
      </c>
      <c r="K5350" s="98" t="s">
        <v>3034</v>
      </c>
      <c r="L5350" s="105" t="str">
        <f t="shared" si="880"/>
        <v>Trimble</v>
      </c>
      <c r="M5350" s="105" t="str">
        <f t="shared" si="881"/>
        <v>Derate</v>
      </c>
      <c r="N5350" s="105" t="str">
        <f t="shared" si="882"/>
        <v>Coal</v>
      </c>
      <c r="O5350" s="105">
        <f>IFERROR(VLOOKUP(A5350,Lookup!$J$5:$P$19,7,FALSE),0)</f>
        <v>3</v>
      </c>
      <c r="P5350" s="159">
        <f t="shared" si="883"/>
        <v>2014</v>
      </c>
      <c r="Q5350" s="159">
        <f t="shared" si="884"/>
        <v>12</v>
      </c>
      <c r="R5350" s="160">
        <f t="shared" si="885"/>
        <v>6.5666666667675599</v>
      </c>
      <c r="S5350" s="158">
        <f t="shared" si="886"/>
        <v>-6.1949685535543017E-2</v>
      </c>
      <c r="T5350" s="161">
        <f t="shared" si="887"/>
        <v>-30.541194969022708</v>
      </c>
      <c r="U5350" s="158">
        <f t="shared" si="889"/>
        <v>0</v>
      </c>
      <c r="V5350" s="160">
        <f t="shared" si="888"/>
        <v>0</v>
      </c>
    </row>
    <row r="5351" spans="1:22" x14ac:dyDescent="0.25">
      <c r="A5351" s="98" t="s">
        <v>19</v>
      </c>
      <c r="B5351" s="98" t="s">
        <v>17</v>
      </c>
      <c r="C5351" s="98">
        <v>141</v>
      </c>
      <c r="D5351" s="98">
        <v>300</v>
      </c>
      <c r="E5351" s="157">
        <v>41990.780555555553</v>
      </c>
      <c r="F5351" s="157">
        <v>41991.229166666664</v>
      </c>
      <c r="G5351" s="98">
        <v>530</v>
      </c>
      <c r="H5351" s="98">
        <v>530</v>
      </c>
      <c r="I5351" s="98">
        <v>493</v>
      </c>
      <c r="J5351" s="98" t="s">
        <v>1977</v>
      </c>
      <c r="K5351" s="98" t="s">
        <v>3035</v>
      </c>
      <c r="L5351" s="105" t="str">
        <f t="shared" si="880"/>
        <v>Trimble</v>
      </c>
      <c r="M5351" s="105" t="str">
        <f t="shared" si="881"/>
        <v>Derate</v>
      </c>
      <c r="N5351" s="105" t="str">
        <f t="shared" si="882"/>
        <v>Coal</v>
      </c>
      <c r="O5351" s="105">
        <f>IFERROR(VLOOKUP(A5351,Lookup!$J$5:$P$19,7,FALSE),0)</f>
        <v>3</v>
      </c>
      <c r="P5351" s="159">
        <f t="shared" si="883"/>
        <v>2014</v>
      </c>
      <c r="Q5351" s="159">
        <f t="shared" si="884"/>
        <v>12</v>
      </c>
      <c r="R5351" s="160">
        <f t="shared" si="885"/>
        <v>10.766666666662786</v>
      </c>
      <c r="S5351" s="158">
        <f t="shared" si="886"/>
        <v>0</v>
      </c>
      <c r="T5351" s="161">
        <f t="shared" si="887"/>
        <v>0</v>
      </c>
      <c r="U5351" s="158">
        <f t="shared" si="889"/>
        <v>0</v>
      </c>
      <c r="V5351" s="160">
        <f t="shared" si="888"/>
        <v>0</v>
      </c>
    </row>
    <row r="5352" spans="1:22" x14ac:dyDescent="0.25">
      <c r="A5352" s="98" t="s">
        <v>19</v>
      </c>
      <c r="B5352" s="98" t="s">
        <v>17</v>
      </c>
      <c r="C5352" s="98">
        <v>142</v>
      </c>
      <c r="D5352" s="98">
        <v>300</v>
      </c>
      <c r="E5352" s="157">
        <v>41991.451388888891</v>
      </c>
      <c r="F5352" s="157">
        <v>41991.992361111108</v>
      </c>
      <c r="G5352" s="98">
        <v>540</v>
      </c>
      <c r="H5352" s="98">
        <v>530</v>
      </c>
      <c r="I5352" s="98">
        <v>493</v>
      </c>
      <c r="J5352" s="98" t="s">
        <v>1977</v>
      </c>
      <c r="K5352" s="98" t="s">
        <v>3036</v>
      </c>
      <c r="L5352" s="105" t="str">
        <f t="shared" si="880"/>
        <v>Trimble</v>
      </c>
      <c r="M5352" s="105" t="str">
        <f t="shared" si="881"/>
        <v>Derate</v>
      </c>
      <c r="N5352" s="105" t="str">
        <f t="shared" si="882"/>
        <v>Coal</v>
      </c>
      <c r="O5352" s="105">
        <f>IFERROR(VLOOKUP(A5352,Lookup!$J$5:$P$19,7,FALSE),0)</f>
        <v>3</v>
      </c>
      <c r="P5352" s="159">
        <f t="shared" si="883"/>
        <v>2014</v>
      </c>
      <c r="Q5352" s="159">
        <f t="shared" si="884"/>
        <v>12</v>
      </c>
      <c r="R5352" s="160">
        <f t="shared" si="885"/>
        <v>12.983333333220799</v>
      </c>
      <c r="S5352" s="158">
        <f t="shared" si="886"/>
        <v>-0.2449685534569962</v>
      </c>
      <c r="T5352" s="161">
        <f t="shared" si="887"/>
        <v>-120.76949685429912</v>
      </c>
      <c r="U5352" s="158">
        <f t="shared" si="889"/>
        <v>0</v>
      </c>
      <c r="V5352" s="160">
        <f t="shared" si="888"/>
        <v>0</v>
      </c>
    </row>
    <row r="5353" spans="1:22" x14ac:dyDescent="0.25">
      <c r="A5353" s="98" t="s">
        <v>19</v>
      </c>
      <c r="B5353" s="98" t="s">
        <v>17</v>
      </c>
      <c r="C5353" s="98">
        <v>143</v>
      </c>
      <c r="D5353" s="98">
        <v>300</v>
      </c>
      <c r="E5353" s="157">
        <v>41992.272916666669</v>
      </c>
      <c r="F5353" s="157">
        <v>41994.027777777781</v>
      </c>
      <c r="G5353" s="98">
        <v>530</v>
      </c>
      <c r="H5353" s="98">
        <v>530</v>
      </c>
      <c r="I5353" s="98">
        <v>493</v>
      </c>
      <c r="J5353" s="98" t="s">
        <v>1977</v>
      </c>
      <c r="K5353" s="98" t="s">
        <v>3036</v>
      </c>
      <c r="L5353" s="105" t="str">
        <f t="shared" si="880"/>
        <v>Trimble</v>
      </c>
      <c r="M5353" s="105" t="str">
        <f t="shared" si="881"/>
        <v>Derate</v>
      </c>
      <c r="N5353" s="105" t="str">
        <f t="shared" si="882"/>
        <v>Coal</v>
      </c>
      <c r="O5353" s="105">
        <f>IFERROR(VLOOKUP(A5353,Lookup!$J$5:$P$19,7,FALSE),0)</f>
        <v>3</v>
      </c>
      <c r="P5353" s="159">
        <f t="shared" si="883"/>
        <v>2014</v>
      </c>
      <c r="Q5353" s="159">
        <f t="shared" si="884"/>
        <v>12</v>
      </c>
      <c r="R5353" s="160">
        <f t="shared" si="885"/>
        <v>42.116666666697711</v>
      </c>
      <c r="S5353" s="158">
        <f t="shared" si="886"/>
        <v>0</v>
      </c>
      <c r="T5353" s="161">
        <f t="shared" si="887"/>
        <v>0</v>
      </c>
      <c r="U5353" s="158">
        <f t="shared" si="889"/>
        <v>0</v>
      </c>
      <c r="V5353" s="160">
        <f t="shared" si="888"/>
        <v>0</v>
      </c>
    </row>
    <row r="5354" spans="1:22" x14ac:dyDescent="0.25">
      <c r="A5354" s="98" t="s">
        <v>19</v>
      </c>
      <c r="B5354" s="98" t="s">
        <v>105</v>
      </c>
      <c r="C5354" s="98">
        <v>144</v>
      </c>
      <c r="D5354" s="98">
        <v>4267</v>
      </c>
      <c r="E5354" s="157">
        <v>41994.027777777781</v>
      </c>
      <c r="F5354" s="157">
        <v>41994.04791666667</v>
      </c>
      <c r="G5354" s="98">
        <v>485</v>
      </c>
      <c r="H5354" s="98">
        <v>530</v>
      </c>
      <c r="I5354" s="98">
        <v>493</v>
      </c>
      <c r="J5354" s="98" t="s">
        <v>2025</v>
      </c>
      <c r="K5354" s="98" t="s">
        <v>3037</v>
      </c>
      <c r="L5354" s="105" t="str">
        <f t="shared" si="880"/>
        <v>Trimble</v>
      </c>
      <c r="M5354" s="105" t="str">
        <f t="shared" si="881"/>
        <v>Derate</v>
      </c>
      <c r="N5354" s="105" t="str">
        <f t="shared" si="882"/>
        <v>Coal</v>
      </c>
      <c r="O5354" s="105">
        <f>IFERROR(VLOOKUP(A5354,Lookup!$J$5:$P$19,7,FALSE),0)</f>
        <v>3</v>
      </c>
      <c r="P5354" s="159">
        <f t="shared" si="883"/>
        <v>2014</v>
      </c>
      <c r="Q5354" s="159">
        <f t="shared" si="884"/>
        <v>12</v>
      </c>
      <c r="R5354" s="160">
        <f t="shared" si="885"/>
        <v>0.48333333333721384</v>
      </c>
      <c r="S5354" s="158">
        <f t="shared" si="886"/>
        <v>4.1037735849386081E-2</v>
      </c>
      <c r="T5354" s="161">
        <f t="shared" si="887"/>
        <v>20.231603773747338</v>
      </c>
      <c r="U5354" s="158">
        <f t="shared" si="889"/>
        <v>41.858490566037737</v>
      </c>
      <c r="V5354" s="160">
        <f t="shared" si="888"/>
        <v>42</v>
      </c>
    </row>
    <row r="5355" spans="1:22" x14ac:dyDescent="0.25">
      <c r="A5355" s="98" t="s">
        <v>19</v>
      </c>
      <c r="B5355" s="98" t="s">
        <v>17</v>
      </c>
      <c r="C5355" s="98">
        <v>145</v>
      </c>
      <c r="D5355" s="98">
        <v>300</v>
      </c>
      <c r="E5355" s="157">
        <v>41994.04791666667</v>
      </c>
      <c r="F5355" s="157">
        <v>41994.354166666664</v>
      </c>
      <c r="G5355" s="98">
        <v>530</v>
      </c>
      <c r="H5355" s="98">
        <v>530</v>
      </c>
      <c r="I5355" s="98">
        <v>493</v>
      </c>
      <c r="J5355" s="98" t="s">
        <v>1977</v>
      </c>
      <c r="K5355" s="98" t="s">
        <v>3036</v>
      </c>
      <c r="L5355" s="105" t="str">
        <f t="shared" si="880"/>
        <v>Trimble</v>
      </c>
      <c r="M5355" s="105" t="str">
        <f t="shared" si="881"/>
        <v>Derate</v>
      </c>
      <c r="N5355" s="105" t="str">
        <f t="shared" si="882"/>
        <v>Coal</v>
      </c>
      <c r="O5355" s="105">
        <f>IFERROR(VLOOKUP(A5355,Lookup!$J$5:$P$19,7,FALSE),0)</f>
        <v>3</v>
      </c>
      <c r="P5355" s="159">
        <f t="shared" si="883"/>
        <v>2014</v>
      </c>
      <c r="Q5355" s="159">
        <f t="shared" si="884"/>
        <v>12</v>
      </c>
      <c r="R5355" s="160">
        <f t="shared" si="885"/>
        <v>7.3499999998603016</v>
      </c>
      <c r="S5355" s="158">
        <f t="shared" si="886"/>
        <v>0</v>
      </c>
      <c r="T5355" s="161">
        <f t="shared" si="887"/>
        <v>0</v>
      </c>
      <c r="U5355" s="158">
        <f t="shared" si="889"/>
        <v>0</v>
      </c>
      <c r="V5355" s="160">
        <f t="shared" si="888"/>
        <v>0</v>
      </c>
    </row>
    <row r="5356" spans="1:22" x14ac:dyDescent="0.25">
      <c r="A5356" s="98" t="s">
        <v>19</v>
      </c>
      <c r="B5356" s="98" t="s">
        <v>17</v>
      </c>
      <c r="C5356" s="98">
        <v>146</v>
      </c>
      <c r="D5356" s="98">
        <v>300</v>
      </c>
      <c r="E5356" s="157">
        <v>41995.767361111109</v>
      </c>
      <c r="F5356" s="157">
        <v>41996.328472222223</v>
      </c>
      <c r="G5356" s="98">
        <v>530</v>
      </c>
      <c r="H5356" s="98">
        <v>530</v>
      </c>
      <c r="I5356" s="98">
        <v>493</v>
      </c>
      <c r="J5356" s="98" t="s">
        <v>1977</v>
      </c>
      <c r="K5356" s="98" t="s">
        <v>3036</v>
      </c>
      <c r="L5356" s="105" t="str">
        <f t="shared" si="880"/>
        <v>Trimble</v>
      </c>
      <c r="M5356" s="105" t="str">
        <f t="shared" si="881"/>
        <v>Derate</v>
      </c>
      <c r="N5356" s="105" t="str">
        <f t="shared" si="882"/>
        <v>Coal</v>
      </c>
      <c r="O5356" s="105">
        <f>IFERROR(VLOOKUP(A5356,Lookup!$J$5:$P$19,7,FALSE),0)</f>
        <v>3</v>
      </c>
      <c r="P5356" s="159">
        <f t="shared" si="883"/>
        <v>2014</v>
      </c>
      <c r="Q5356" s="159">
        <f t="shared" si="884"/>
        <v>12</v>
      </c>
      <c r="R5356" s="160">
        <f t="shared" si="885"/>
        <v>13.466666666732635</v>
      </c>
      <c r="S5356" s="158">
        <f t="shared" si="886"/>
        <v>0</v>
      </c>
      <c r="T5356" s="161">
        <f t="shared" si="887"/>
        <v>0</v>
      </c>
      <c r="U5356" s="158">
        <f t="shared" si="889"/>
        <v>0</v>
      </c>
      <c r="V5356" s="160">
        <f t="shared" si="888"/>
        <v>0</v>
      </c>
    </row>
    <row r="5357" spans="1:22" x14ac:dyDescent="0.25">
      <c r="A5357" s="98" t="s">
        <v>19</v>
      </c>
      <c r="B5357" s="98" t="s">
        <v>17</v>
      </c>
      <c r="C5357" s="98">
        <v>1</v>
      </c>
      <c r="D5357" s="98">
        <v>300</v>
      </c>
      <c r="E5357" s="157">
        <v>42009.75</v>
      </c>
      <c r="F5357" s="157">
        <v>42010.275694444441</v>
      </c>
      <c r="G5357" s="98">
        <v>525</v>
      </c>
      <c r="H5357" s="98">
        <v>530</v>
      </c>
      <c r="I5357" s="98">
        <v>493</v>
      </c>
      <c r="J5357" s="98" t="s">
        <v>1977</v>
      </c>
      <c r="K5357" s="98" t="s">
        <v>3035</v>
      </c>
      <c r="L5357" s="105" t="str">
        <f t="shared" si="880"/>
        <v>Trimble</v>
      </c>
      <c r="M5357" s="105" t="str">
        <f t="shared" si="881"/>
        <v>Derate</v>
      </c>
      <c r="N5357" s="105" t="str">
        <f t="shared" si="882"/>
        <v>Coal</v>
      </c>
      <c r="O5357" s="105">
        <f>IFERROR(VLOOKUP(A5357,Lookup!$J$5:$P$19,7,FALSE),0)</f>
        <v>3</v>
      </c>
      <c r="P5357" s="159">
        <f t="shared" si="883"/>
        <v>2015</v>
      </c>
      <c r="Q5357" s="159">
        <f t="shared" si="884"/>
        <v>1</v>
      </c>
      <c r="R5357" s="160">
        <f t="shared" si="885"/>
        <v>12.616666666581295</v>
      </c>
      <c r="S5357" s="158">
        <f t="shared" si="886"/>
        <v>0.11902515723189902</v>
      </c>
      <c r="T5357" s="161">
        <f t="shared" si="887"/>
        <v>58.679402515326217</v>
      </c>
      <c r="U5357" s="158">
        <f t="shared" si="889"/>
        <v>4.6509433962264151</v>
      </c>
      <c r="V5357" s="160">
        <f t="shared" si="888"/>
        <v>5</v>
      </c>
    </row>
    <row r="5358" spans="1:22" x14ac:dyDescent="0.25">
      <c r="A5358" s="98" t="s">
        <v>19</v>
      </c>
      <c r="B5358" s="98" t="s">
        <v>17</v>
      </c>
      <c r="C5358" s="98">
        <v>2</v>
      </c>
      <c r="D5358" s="98">
        <v>280</v>
      </c>
      <c r="E5358" s="157">
        <v>42018.429166666669</v>
      </c>
      <c r="F5358" s="157">
        <v>42018.739583333336</v>
      </c>
      <c r="G5358" s="98">
        <v>525</v>
      </c>
      <c r="H5358" s="98">
        <v>530</v>
      </c>
      <c r="I5358" s="98">
        <v>493</v>
      </c>
      <c r="J5358" s="98" t="s">
        <v>1988</v>
      </c>
      <c r="K5358" s="98" t="s">
        <v>3038</v>
      </c>
      <c r="L5358" s="105" t="str">
        <f t="shared" si="880"/>
        <v>Trimble</v>
      </c>
      <c r="M5358" s="105" t="str">
        <f t="shared" si="881"/>
        <v>Derate</v>
      </c>
      <c r="N5358" s="105" t="str">
        <f t="shared" si="882"/>
        <v>Coal</v>
      </c>
      <c r="O5358" s="105">
        <f>IFERROR(VLOOKUP(A5358,Lookup!$J$5:$P$19,7,FALSE),0)</f>
        <v>3</v>
      </c>
      <c r="P5358" s="159">
        <f t="shared" si="883"/>
        <v>2015</v>
      </c>
      <c r="Q5358" s="159">
        <f t="shared" si="884"/>
        <v>1</v>
      </c>
      <c r="R5358" s="160">
        <f t="shared" si="885"/>
        <v>7.4500000000116415</v>
      </c>
      <c r="S5358" s="158">
        <f t="shared" si="886"/>
        <v>7.0283018868034355E-2</v>
      </c>
      <c r="T5358" s="161">
        <f t="shared" si="887"/>
        <v>34.64952830194094</v>
      </c>
      <c r="U5358" s="158">
        <f t="shared" si="889"/>
        <v>4.6509433962264151</v>
      </c>
      <c r="V5358" s="160">
        <f t="shared" si="888"/>
        <v>5</v>
      </c>
    </row>
    <row r="5359" spans="1:22" x14ac:dyDescent="0.25">
      <c r="A5359" s="98" t="s">
        <v>19</v>
      </c>
      <c r="B5359" s="98" t="s">
        <v>17</v>
      </c>
      <c r="C5359" s="98">
        <v>3</v>
      </c>
      <c r="D5359" s="98">
        <v>300</v>
      </c>
      <c r="E5359" s="157">
        <v>42018.739583333336</v>
      </c>
      <c r="F5359" s="157">
        <v>42018.902777777781</v>
      </c>
      <c r="G5359" s="98">
        <v>510</v>
      </c>
      <c r="H5359" s="98">
        <v>530</v>
      </c>
      <c r="I5359" s="98">
        <v>493</v>
      </c>
      <c r="J5359" s="98" t="s">
        <v>1977</v>
      </c>
      <c r="K5359" s="98" t="s">
        <v>3039</v>
      </c>
      <c r="L5359" s="105" t="str">
        <f t="shared" si="880"/>
        <v>Trimble</v>
      </c>
      <c r="M5359" s="105" t="str">
        <f t="shared" si="881"/>
        <v>Derate</v>
      </c>
      <c r="N5359" s="105" t="str">
        <f t="shared" si="882"/>
        <v>Coal</v>
      </c>
      <c r="O5359" s="105">
        <f>IFERROR(VLOOKUP(A5359,Lookup!$J$5:$P$19,7,FALSE),0)</f>
        <v>3</v>
      </c>
      <c r="P5359" s="159">
        <f t="shared" si="883"/>
        <v>2015</v>
      </c>
      <c r="Q5359" s="159">
        <f t="shared" si="884"/>
        <v>1</v>
      </c>
      <c r="R5359" s="160">
        <f t="shared" si="885"/>
        <v>3.9166666666860692</v>
      </c>
      <c r="S5359" s="158">
        <f t="shared" si="886"/>
        <v>0.14779874213909694</v>
      </c>
      <c r="T5359" s="161">
        <f t="shared" si="887"/>
        <v>72.864779874574793</v>
      </c>
      <c r="U5359" s="158">
        <f t="shared" si="889"/>
        <v>18.60377358490566</v>
      </c>
      <c r="V5359" s="160">
        <f t="shared" si="888"/>
        <v>19</v>
      </c>
    </row>
    <row r="5360" spans="1:22" x14ac:dyDescent="0.25">
      <c r="A5360" s="98" t="s">
        <v>19</v>
      </c>
      <c r="B5360" s="98" t="s">
        <v>17</v>
      </c>
      <c r="C5360" s="98">
        <v>4</v>
      </c>
      <c r="D5360" s="98">
        <v>280</v>
      </c>
      <c r="E5360" s="157">
        <v>42022.979166666664</v>
      </c>
      <c r="F5360" s="157">
        <v>42023.006944444445</v>
      </c>
      <c r="G5360" s="98">
        <v>375</v>
      </c>
      <c r="H5360" s="98">
        <v>530</v>
      </c>
      <c r="I5360" s="98">
        <v>493</v>
      </c>
      <c r="J5360" s="98" t="s">
        <v>1988</v>
      </c>
      <c r="K5360" s="98" t="s">
        <v>3040</v>
      </c>
      <c r="L5360" s="105" t="str">
        <f t="shared" si="880"/>
        <v>Trimble</v>
      </c>
      <c r="M5360" s="105" t="str">
        <f t="shared" si="881"/>
        <v>Derate</v>
      </c>
      <c r="N5360" s="105" t="str">
        <f t="shared" si="882"/>
        <v>Coal</v>
      </c>
      <c r="O5360" s="105">
        <f>IFERROR(VLOOKUP(A5360,Lookup!$J$5:$P$19,7,FALSE),0)</f>
        <v>3</v>
      </c>
      <c r="P5360" s="159">
        <f t="shared" si="883"/>
        <v>2015</v>
      </c>
      <c r="Q5360" s="159">
        <f t="shared" si="884"/>
        <v>1</v>
      </c>
      <c r="R5360" s="160">
        <f t="shared" si="885"/>
        <v>0.66666666674427688</v>
      </c>
      <c r="S5360" s="158">
        <f t="shared" si="886"/>
        <v>0.19496855348181683</v>
      </c>
      <c r="T5360" s="161">
        <f t="shared" si="887"/>
        <v>96.119496866535698</v>
      </c>
      <c r="U5360" s="158">
        <f t="shared" si="889"/>
        <v>144.17924528301887</v>
      </c>
      <c r="V5360" s="160">
        <f t="shared" si="888"/>
        <v>144</v>
      </c>
    </row>
    <row r="5361" spans="1:22" x14ac:dyDescent="0.25">
      <c r="A5361" s="98" t="s">
        <v>19</v>
      </c>
      <c r="B5361" s="98" t="s">
        <v>17</v>
      </c>
      <c r="C5361" s="98">
        <v>5</v>
      </c>
      <c r="D5361" s="98">
        <v>280</v>
      </c>
      <c r="E5361" s="157">
        <v>42023.006944444445</v>
      </c>
      <c r="F5361" s="157">
        <v>42023.085416666669</v>
      </c>
      <c r="G5361" s="98">
        <v>400</v>
      </c>
      <c r="H5361" s="98">
        <v>530</v>
      </c>
      <c r="I5361" s="98">
        <v>493</v>
      </c>
      <c r="J5361" s="98" t="s">
        <v>1988</v>
      </c>
      <c r="K5361" s="98" t="s">
        <v>3040</v>
      </c>
      <c r="L5361" s="105" t="str">
        <f t="shared" si="880"/>
        <v>Trimble</v>
      </c>
      <c r="M5361" s="105" t="str">
        <f t="shared" si="881"/>
        <v>Derate</v>
      </c>
      <c r="N5361" s="105" t="str">
        <f t="shared" si="882"/>
        <v>Coal</v>
      </c>
      <c r="O5361" s="105">
        <f>IFERROR(VLOOKUP(A5361,Lookup!$J$5:$P$19,7,FALSE),0)</f>
        <v>3</v>
      </c>
      <c r="P5361" s="159">
        <f t="shared" si="883"/>
        <v>2015</v>
      </c>
      <c r="Q5361" s="159">
        <f t="shared" si="884"/>
        <v>1</v>
      </c>
      <c r="R5361" s="160">
        <f t="shared" si="885"/>
        <v>1.8833333333604969</v>
      </c>
      <c r="S5361" s="158">
        <f t="shared" si="886"/>
        <v>0.46194968554125398</v>
      </c>
      <c r="T5361" s="161">
        <f t="shared" si="887"/>
        <v>227.74119497183821</v>
      </c>
      <c r="U5361" s="158">
        <f t="shared" si="889"/>
        <v>120.9245283018868</v>
      </c>
      <c r="V5361" s="160">
        <f t="shared" si="888"/>
        <v>121</v>
      </c>
    </row>
    <row r="5362" spans="1:22" x14ac:dyDescent="0.25">
      <c r="A5362" s="98" t="s">
        <v>19</v>
      </c>
      <c r="B5362" s="98" t="s">
        <v>79</v>
      </c>
      <c r="C5362" s="98">
        <v>6</v>
      </c>
      <c r="D5362" s="98">
        <v>9656</v>
      </c>
      <c r="E5362" s="157">
        <v>42024.333333333336</v>
      </c>
      <c r="F5362" s="157">
        <v>42024.701388888891</v>
      </c>
      <c r="G5362" s="98">
        <v>0</v>
      </c>
      <c r="H5362" s="98">
        <v>530</v>
      </c>
      <c r="I5362" s="98">
        <v>493</v>
      </c>
      <c r="J5362" s="98" t="s">
        <v>299</v>
      </c>
      <c r="K5362" s="98" t="s">
        <v>3041</v>
      </c>
      <c r="L5362" s="105" t="str">
        <f t="shared" si="880"/>
        <v>Trimble</v>
      </c>
      <c r="M5362" s="105" t="str">
        <f t="shared" si="881"/>
        <v>Other</v>
      </c>
      <c r="N5362" s="105" t="str">
        <f t="shared" si="882"/>
        <v>Coal</v>
      </c>
      <c r="O5362" s="105">
        <f>IFERROR(VLOOKUP(A5362,Lookup!$J$5:$P$19,7,FALSE),0)</f>
        <v>3</v>
      </c>
      <c r="P5362" s="159">
        <f t="shared" si="883"/>
        <v>2015</v>
      </c>
      <c r="Q5362" s="159">
        <f t="shared" si="884"/>
        <v>1</v>
      </c>
      <c r="R5362" s="160">
        <f t="shared" si="885"/>
        <v>8.8333333333139308</v>
      </c>
      <c r="S5362" s="158">
        <f t="shared" si="886"/>
        <v>8.8333333333139308</v>
      </c>
      <c r="T5362" s="161">
        <f t="shared" si="887"/>
        <v>4354.8333333237679</v>
      </c>
      <c r="U5362" s="158">
        <f t="shared" si="889"/>
        <v>493</v>
      </c>
      <c r="V5362" s="160">
        <f t="shared" si="888"/>
        <v>493</v>
      </c>
    </row>
    <row r="5363" spans="1:22" x14ac:dyDescent="0.25">
      <c r="A5363" s="98" t="s">
        <v>19</v>
      </c>
      <c r="B5363" s="98" t="s">
        <v>79</v>
      </c>
      <c r="C5363" s="98">
        <v>7</v>
      </c>
      <c r="D5363" s="98">
        <v>9656</v>
      </c>
      <c r="E5363" s="157">
        <v>42025.375</v>
      </c>
      <c r="F5363" s="157">
        <v>42025.675000000003</v>
      </c>
      <c r="G5363" s="98">
        <v>0</v>
      </c>
      <c r="H5363" s="98">
        <v>530</v>
      </c>
      <c r="I5363" s="98">
        <v>493</v>
      </c>
      <c r="J5363" s="98" t="s">
        <v>299</v>
      </c>
      <c r="K5363" s="98" t="s">
        <v>3041</v>
      </c>
      <c r="L5363" s="105" t="str">
        <f t="shared" si="880"/>
        <v>Trimble</v>
      </c>
      <c r="M5363" s="105" t="str">
        <f t="shared" si="881"/>
        <v>Other</v>
      </c>
      <c r="N5363" s="105" t="str">
        <f t="shared" si="882"/>
        <v>Coal</v>
      </c>
      <c r="O5363" s="105">
        <f>IFERROR(VLOOKUP(A5363,Lookup!$J$5:$P$19,7,FALSE),0)</f>
        <v>3</v>
      </c>
      <c r="P5363" s="159">
        <f t="shared" si="883"/>
        <v>2015</v>
      </c>
      <c r="Q5363" s="159">
        <f t="shared" si="884"/>
        <v>1</v>
      </c>
      <c r="R5363" s="160">
        <f t="shared" si="885"/>
        <v>7.2000000000698492</v>
      </c>
      <c r="S5363" s="158">
        <f t="shared" si="886"/>
        <v>7.2000000000698492</v>
      </c>
      <c r="T5363" s="161">
        <f t="shared" si="887"/>
        <v>3549.6000000344357</v>
      </c>
      <c r="U5363" s="158">
        <f t="shared" si="889"/>
        <v>493</v>
      </c>
      <c r="V5363" s="160">
        <f t="shared" si="888"/>
        <v>493</v>
      </c>
    </row>
    <row r="5364" spans="1:22" x14ac:dyDescent="0.25">
      <c r="A5364" s="98" t="s">
        <v>19</v>
      </c>
      <c r="B5364" s="98" t="s">
        <v>105</v>
      </c>
      <c r="C5364" s="98">
        <v>8</v>
      </c>
      <c r="D5364" s="98">
        <v>4261</v>
      </c>
      <c r="E5364" s="157">
        <v>42027.916666666664</v>
      </c>
      <c r="F5364" s="157">
        <v>42028.333333333336</v>
      </c>
      <c r="G5364" s="98">
        <v>380</v>
      </c>
      <c r="H5364" s="98">
        <v>530</v>
      </c>
      <c r="I5364" s="98">
        <v>493</v>
      </c>
      <c r="J5364" s="98" t="s">
        <v>1985</v>
      </c>
      <c r="K5364" s="98" t="s">
        <v>3042</v>
      </c>
      <c r="L5364" s="105" t="str">
        <f t="shared" si="880"/>
        <v>Trimble</v>
      </c>
      <c r="M5364" s="105" t="str">
        <f t="shared" si="881"/>
        <v>Derate</v>
      </c>
      <c r="N5364" s="105" t="str">
        <f t="shared" si="882"/>
        <v>Coal</v>
      </c>
      <c r="O5364" s="105">
        <f>IFERROR(VLOOKUP(A5364,Lookup!$J$5:$P$19,7,FALSE),0)</f>
        <v>3</v>
      </c>
      <c r="P5364" s="159">
        <f t="shared" si="883"/>
        <v>2015</v>
      </c>
      <c r="Q5364" s="159">
        <f t="shared" si="884"/>
        <v>1</v>
      </c>
      <c r="R5364" s="160">
        <f t="shared" si="885"/>
        <v>10.000000000116415</v>
      </c>
      <c r="S5364" s="158">
        <f t="shared" si="886"/>
        <v>2.8301886792782307</v>
      </c>
      <c r="T5364" s="161">
        <f t="shared" si="887"/>
        <v>1395.2830188841676</v>
      </c>
      <c r="U5364" s="158">
        <f t="shared" si="889"/>
        <v>139.52830188679246</v>
      </c>
      <c r="V5364" s="160">
        <f t="shared" si="888"/>
        <v>140</v>
      </c>
    </row>
    <row r="5365" spans="1:22" x14ac:dyDescent="0.25">
      <c r="A5365" s="98" t="s">
        <v>19</v>
      </c>
      <c r="B5365" s="98" t="s">
        <v>105</v>
      </c>
      <c r="C5365" s="98">
        <v>9</v>
      </c>
      <c r="D5365" s="98">
        <v>3431</v>
      </c>
      <c r="E5365" s="157">
        <v>42028.333333333336</v>
      </c>
      <c r="F5365" s="157">
        <v>42028.606944444444</v>
      </c>
      <c r="G5365" s="98">
        <v>525</v>
      </c>
      <c r="H5365" s="98">
        <v>530</v>
      </c>
      <c r="I5365" s="98">
        <v>493</v>
      </c>
      <c r="J5365" s="98" t="s">
        <v>2123</v>
      </c>
      <c r="K5365" s="98" t="s">
        <v>3043</v>
      </c>
      <c r="L5365" s="105" t="str">
        <f t="shared" si="880"/>
        <v>Trimble</v>
      </c>
      <c r="M5365" s="105" t="str">
        <f t="shared" si="881"/>
        <v>Derate</v>
      </c>
      <c r="N5365" s="105" t="str">
        <f t="shared" si="882"/>
        <v>Coal</v>
      </c>
      <c r="O5365" s="105">
        <f>IFERROR(VLOOKUP(A5365,Lookup!$J$5:$P$19,7,FALSE),0)</f>
        <v>3</v>
      </c>
      <c r="P5365" s="159">
        <f t="shared" si="883"/>
        <v>2015</v>
      </c>
      <c r="Q5365" s="159">
        <f t="shared" si="884"/>
        <v>1</v>
      </c>
      <c r="R5365" s="160">
        <f t="shared" si="885"/>
        <v>6.566666666592937</v>
      </c>
      <c r="S5365" s="158">
        <f t="shared" si="886"/>
        <v>6.1949685533895633E-2</v>
      </c>
      <c r="T5365" s="161">
        <f t="shared" si="887"/>
        <v>30.541194968210547</v>
      </c>
      <c r="U5365" s="158">
        <f t="shared" si="889"/>
        <v>4.6509433962264151</v>
      </c>
      <c r="V5365" s="160">
        <f t="shared" si="888"/>
        <v>5</v>
      </c>
    </row>
    <row r="5366" spans="1:22" x14ac:dyDescent="0.25">
      <c r="A5366" s="98" t="s">
        <v>19</v>
      </c>
      <c r="B5366" s="98" t="s">
        <v>17</v>
      </c>
      <c r="C5366" s="98">
        <v>10</v>
      </c>
      <c r="D5366" s="98">
        <v>9999</v>
      </c>
      <c r="E5366" s="157">
        <v>42034.916666666664</v>
      </c>
      <c r="F5366" s="157">
        <v>42034.958333333336</v>
      </c>
      <c r="G5366" s="98">
        <v>362</v>
      </c>
      <c r="H5366" s="98">
        <v>530</v>
      </c>
      <c r="I5366" s="98">
        <v>493</v>
      </c>
      <c r="J5366" s="98" t="s">
        <v>2261</v>
      </c>
      <c r="K5366" s="98" t="s">
        <v>3044</v>
      </c>
      <c r="L5366" s="105" t="str">
        <f t="shared" si="880"/>
        <v>Trimble</v>
      </c>
      <c r="M5366" s="105" t="str">
        <f t="shared" si="881"/>
        <v>Derate</v>
      </c>
      <c r="N5366" s="105" t="str">
        <f t="shared" si="882"/>
        <v>Coal</v>
      </c>
      <c r="O5366" s="105">
        <f>IFERROR(VLOOKUP(A5366,Lookup!$J$5:$P$19,7,FALSE),0)</f>
        <v>3</v>
      </c>
      <c r="P5366" s="159">
        <f t="shared" si="883"/>
        <v>2015</v>
      </c>
      <c r="Q5366" s="159">
        <f t="shared" si="884"/>
        <v>1</v>
      </c>
      <c r="R5366" s="160">
        <f t="shared" si="885"/>
        <v>1.0000000001164153</v>
      </c>
      <c r="S5366" s="158">
        <f t="shared" si="886"/>
        <v>0.31698113211237317</v>
      </c>
      <c r="T5366" s="161">
        <f t="shared" si="887"/>
        <v>156.27169813139997</v>
      </c>
      <c r="U5366" s="158">
        <f t="shared" si="889"/>
        <v>156.27169811320755</v>
      </c>
      <c r="V5366" s="160">
        <f t="shared" si="888"/>
        <v>156</v>
      </c>
    </row>
    <row r="5367" spans="1:22" x14ac:dyDescent="0.25">
      <c r="A5367" s="98" t="s">
        <v>19</v>
      </c>
      <c r="B5367" s="98" t="s">
        <v>17</v>
      </c>
      <c r="C5367" s="98">
        <v>11</v>
      </c>
      <c r="D5367" s="98">
        <v>9999</v>
      </c>
      <c r="E5367" s="157">
        <v>42034.958333333336</v>
      </c>
      <c r="F5367" s="157">
        <v>42035</v>
      </c>
      <c r="G5367" s="98">
        <v>312</v>
      </c>
      <c r="H5367" s="98">
        <v>530</v>
      </c>
      <c r="I5367" s="98">
        <v>493</v>
      </c>
      <c r="J5367" s="98" t="s">
        <v>2261</v>
      </c>
      <c r="K5367" s="98" t="s">
        <v>3044</v>
      </c>
      <c r="L5367" s="105" t="str">
        <f t="shared" si="880"/>
        <v>Trimble</v>
      </c>
      <c r="M5367" s="105" t="str">
        <f t="shared" si="881"/>
        <v>Derate</v>
      </c>
      <c r="N5367" s="105" t="str">
        <f t="shared" si="882"/>
        <v>Coal</v>
      </c>
      <c r="O5367" s="105">
        <f>IFERROR(VLOOKUP(A5367,Lookup!$J$5:$P$19,7,FALSE),0)</f>
        <v>3</v>
      </c>
      <c r="P5367" s="159">
        <f t="shared" si="883"/>
        <v>2015</v>
      </c>
      <c r="Q5367" s="159">
        <f t="shared" si="884"/>
        <v>1</v>
      </c>
      <c r="R5367" s="160">
        <f t="shared" si="885"/>
        <v>0.99999999994179234</v>
      </c>
      <c r="S5367" s="158">
        <f t="shared" si="886"/>
        <v>0.41132075469303914</v>
      </c>
      <c r="T5367" s="161">
        <f t="shared" si="887"/>
        <v>202.78113206366828</v>
      </c>
      <c r="U5367" s="158">
        <f t="shared" si="889"/>
        <v>202.7811320754717</v>
      </c>
      <c r="V5367" s="160">
        <f t="shared" si="888"/>
        <v>203</v>
      </c>
    </row>
    <row r="5368" spans="1:22" x14ac:dyDescent="0.25">
      <c r="A5368" s="98" t="s">
        <v>19</v>
      </c>
      <c r="B5368" s="98" t="s">
        <v>105</v>
      </c>
      <c r="C5368" s="98">
        <v>12</v>
      </c>
      <c r="D5368" s="98">
        <v>9999</v>
      </c>
      <c r="E5368" s="157">
        <v>42035</v>
      </c>
      <c r="F5368" s="157">
        <v>42035.041666666664</v>
      </c>
      <c r="G5368" s="98">
        <v>305</v>
      </c>
      <c r="H5368" s="98">
        <v>530</v>
      </c>
      <c r="I5368" s="98">
        <v>493</v>
      </c>
      <c r="J5368" s="98" t="s">
        <v>2261</v>
      </c>
      <c r="K5368" s="98" t="s">
        <v>3044</v>
      </c>
      <c r="L5368" s="105" t="str">
        <f t="shared" si="880"/>
        <v>Trimble</v>
      </c>
      <c r="M5368" s="105" t="str">
        <f t="shared" si="881"/>
        <v>Derate</v>
      </c>
      <c r="N5368" s="105" t="str">
        <f t="shared" si="882"/>
        <v>Coal</v>
      </c>
      <c r="O5368" s="105">
        <f>IFERROR(VLOOKUP(A5368,Lookup!$J$5:$P$19,7,FALSE),0)</f>
        <v>3</v>
      </c>
      <c r="P5368" s="159">
        <f t="shared" si="883"/>
        <v>2015</v>
      </c>
      <c r="Q5368" s="159">
        <f t="shared" si="884"/>
        <v>1</v>
      </c>
      <c r="R5368" s="160">
        <f t="shared" si="885"/>
        <v>0.99999999994179234</v>
      </c>
      <c r="S5368" s="158">
        <f t="shared" si="886"/>
        <v>0.42452830186208168</v>
      </c>
      <c r="T5368" s="161">
        <f t="shared" si="887"/>
        <v>209.29245281800627</v>
      </c>
      <c r="U5368" s="158">
        <f t="shared" si="889"/>
        <v>209.29245283018867</v>
      </c>
      <c r="V5368" s="160">
        <f t="shared" si="888"/>
        <v>209</v>
      </c>
    </row>
    <row r="5369" spans="1:22" x14ac:dyDescent="0.25">
      <c r="A5369" s="98" t="s">
        <v>19</v>
      </c>
      <c r="B5369" s="98" t="s">
        <v>105</v>
      </c>
      <c r="C5369" s="98">
        <v>13</v>
      </c>
      <c r="D5369" s="98">
        <v>9999</v>
      </c>
      <c r="E5369" s="157">
        <v>42035.041666666664</v>
      </c>
      <c r="F5369" s="157">
        <v>42035.083333333336</v>
      </c>
      <c r="G5369" s="98">
        <v>215</v>
      </c>
      <c r="H5369" s="98">
        <v>530</v>
      </c>
      <c r="I5369" s="98">
        <v>493</v>
      </c>
      <c r="J5369" s="98" t="s">
        <v>2261</v>
      </c>
      <c r="K5369" s="98" t="s">
        <v>3044</v>
      </c>
      <c r="L5369" s="105" t="str">
        <f t="shared" si="880"/>
        <v>Trimble</v>
      </c>
      <c r="M5369" s="105" t="str">
        <f t="shared" si="881"/>
        <v>Derate</v>
      </c>
      <c r="N5369" s="105" t="str">
        <f t="shared" si="882"/>
        <v>Coal</v>
      </c>
      <c r="O5369" s="105">
        <f>IFERROR(VLOOKUP(A5369,Lookup!$J$5:$P$19,7,FALSE),0)</f>
        <v>3</v>
      </c>
      <c r="P5369" s="159">
        <f t="shared" si="883"/>
        <v>2015</v>
      </c>
      <c r="Q5369" s="159">
        <f t="shared" si="884"/>
        <v>1</v>
      </c>
      <c r="R5369" s="160">
        <f t="shared" si="885"/>
        <v>1.0000000001164153</v>
      </c>
      <c r="S5369" s="158">
        <f t="shared" si="886"/>
        <v>0.59433962271069962</v>
      </c>
      <c r="T5369" s="161">
        <f t="shared" si="887"/>
        <v>293.00943399637492</v>
      </c>
      <c r="U5369" s="158">
        <f t="shared" si="889"/>
        <v>293.00943396226415</v>
      </c>
      <c r="V5369" s="160">
        <f t="shared" si="888"/>
        <v>293</v>
      </c>
    </row>
    <row r="5370" spans="1:22" x14ac:dyDescent="0.25">
      <c r="A5370" s="98" t="s">
        <v>19</v>
      </c>
      <c r="B5370" s="98" t="s">
        <v>105</v>
      </c>
      <c r="C5370" s="98">
        <v>14</v>
      </c>
      <c r="D5370" s="98">
        <v>9999</v>
      </c>
      <c r="E5370" s="157">
        <v>42035.083333333336</v>
      </c>
      <c r="F5370" s="157">
        <v>42035.125</v>
      </c>
      <c r="G5370" s="98">
        <v>205</v>
      </c>
      <c r="H5370" s="98">
        <v>530</v>
      </c>
      <c r="I5370" s="98">
        <v>493</v>
      </c>
      <c r="J5370" s="98" t="s">
        <v>2261</v>
      </c>
      <c r="K5370" s="98" t="s">
        <v>3044</v>
      </c>
      <c r="L5370" s="105" t="str">
        <f t="shared" si="880"/>
        <v>Trimble</v>
      </c>
      <c r="M5370" s="105" t="str">
        <f t="shared" si="881"/>
        <v>Derate</v>
      </c>
      <c r="N5370" s="105" t="str">
        <f t="shared" si="882"/>
        <v>Coal</v>
      </c>
      <c r="O5370" s="105">
        <f>IFERROR(VLOOKUP(A5370,Lookup!$J$5:$P$19,7,FALSE),0)</f>
        <v>3</v>
      </c>
      <c r="P5370" s="159">
        <f t="shared" si="883"/>
        <v>2015</v>
      </c>
      <c r="Q5370" s="159">
        <f t="shared" si="884"/>
        <v>1</v>
      </c>
      <c r="R5370" s="160">
        <f t="shared" si="885"/>
        <v>0.99999999994179234</v>
      </c>
      <c r="S5370" s="158">
        <f t="shared" si="886"/>
        <v>0.61320754713411796</v>
      </c>
      <c r="T5370" s="161">
        <f t="shared" si="887"/>
        <v>302.31132073712013</v>
      </c>
      <c r="U5370" s="158">
        <f t="shared" si="889"/>
        <v>302.31132075471697</v>
      </c>
      <c r="V5370" s="160">
        <f t="shared" si="888"/>
        <v>302</v>
      </c>
    </row>
    <row r="5371" spans="1:22" x14ac:dyDescent="0.25">
      <c r="A5371" s="98" t="s">
        <v>19</v>
      </c>
      <c r="B5371" s="98" t="s">
        <v>105</v>
      </c>
      <c r="C5371" s="98">
        <v>15</v>
      </c>
      <c r="D5371" s="98">
        <v>9999</v>
      </c>
      <c r="E5371" s="157">
        <v>42035.125</v>
      </c>
      <c r="F5371" s="157">
        <v>42035.166666666664</v>
      </c>
      <c r="G5371" s="98">
        <v>207</v>
      </c>
      <c r="H5371" s="98">
        <v>530</v>
      </c>
      <c r="I5371" s="98">
        <v>493</v>
      </c>
      <c r="J5371" s="98" t="s">
        <v>2261</v>
      </c>
      <c r="K5371" s="98" t="s">
        <v>3044</v>
      </c>
      <c r="L5371" s="105" t="str">
        <f t="shared" si="880"/>
        <v>Trimble</v>
      </c>
      <c r="M5371" s="105" t="str">
        <f t="shared" si="881"/>
        <v>Derate</v>
      </c>
      <c r="N5371" s="105" t="str">
        <f t="shared" si="882"/>
        <v>Coal</v>
      </c>
      <c r="O5371" s="105">
        <f>IFERROR(VLOOKUP(A5371,Lookup!$J$5:$P$19,7,FALSE),0)</f>
        <v>3</v>
      </c>
      <c r="P5371" s="159">
        <f t="shared" si="883"/>
        <v>2015</v>
      </c>
      <c r="Q5371" s="159">
        <f t="shared" si="884"/>
        <v>1</v>
      </c>
      <c r="R5371" s="160">
        <f t="shared" si="885"/>
        <v>0.99999999994179234</v>
      </c>
      <c r="S5371" s="158">
        <f t="shared" si="886"/>
        <v>0.60943396222867718</v>
      </c>
      <c r="T5371" s="161">
        <f t="shared" si="887"/>
        <v>300.45094337873786</v>
      </c>
      <c r="U5371" s="158">
        <f t="shared" si="889"/>
        <v>300.45094339622642</v>
      </c>
      <c r="V5371" s="160">
        <f t="shared" si="888"/>
        <v>300</v>
      </c>
    </row>
    <row r="5372" spans="1:22" x14ac:dyDescent="0.25">
      <c r="A5372" s="98" t="s">
        <v>19</v>
      </c>
      <c r="B5372" s="98" t="s">
        <v>105</v>
      </c>
      <c r="C5372" s="98">
        <v>16</v>
      </c>
      <c r="D5372" s="98">
        <v>9999</v>
      </c>
      <c r="E5372" s="157">
        <v>42035.166666666664</v>
      </c>
      <c r="F5372" s="157">
        <v>42035.208333333336</v>
      </c>
      <c r="G5372" s="98">
        <v>248</v>
      </c>
      <c r="H5372" s="98">
        <v>530</v>
      </c>
      <c r="I5372" s="98">
        <v>493</v>
      </c>
      <c r="J5372" s="98" t="s">
        <v>2261</v>
      </c>
      <c r="K5372" s="98" t="s">
        <v>3044</v>
      </c>
      <c r="L5372" s="105" t="str">
        <f t="shared" si="880"/>
        <v>Trimble</v>
      </c>
      <c r="M5372" s="105" t="str">
        <f t="shared" si="881"/>
        <v>Derate</v>
      </c>
      <c r="N5372" s="105" t="str">
        <f t="shared" si="882"/>
        <v>Coal</v>
      </c>
      <c r="O5372" s="105">
        <f>IFERROR(VLOOKUP(A5372,Lookup!$J$5:$P$19,7,FALSE),0)</f>
        <v>3</v>
      </c>
      <c r="P5372" s="159">
        <f t="shared" si="883"/>
        <v>2015</v>
      </c>
      <c r="Q5372" s="159">
        <f t="shared" si="884"/>
        <v>1</v>
      </c>
      <c r="R5372" s="160">
        <f t="shared" si="885"/>
        <v>1.0000000001164153</v>
      </c>
      <c r="S5372" s="158">
        <f t="shared" si="886"/>
        <v>0.53207547176005499</v>
      </c>
      <c r="T5372" s="161">
        <f t="shared" si="887"/>
        <v>262.31320757770709</v>
      </c>
      <c r="U5372" s="158">
        <f t="shared" si="889"/>
        <v>262.31320754716984</v>
      </c>
      <c r="V5372" s="160">
        <f t="shared" si="888"/>
        <v>262</v>
      </c>
    </row>
    <row r="5373" spans="1:22" x14ac:dyDescent="0.25">
      <c r="A5373" s="98" t="s">
        <v>19</v>
      </c>
      <c r="B5373" s="98" t="s">
        <v>105</v>
      </c>
      <c r="C5373" s="98">
        <v>17</v>
      </c>
      <c r="D5373" s="98">
        <v>9999</v>
      </c>
      <c r="E5373" s="157">
        <v>42035.208333333336</v>
      </c>
      <c r="F5373" s="157">
        <v>42035.25</v>
      </c>
      <c r="G5373" s="98">
        <v>317</v>
      </c>
      <c r="H5373" s="98">
        <v>530</v>
      </c>
      <c r="I5373" s="98">
        <v>493</v>
      </c>
      <c r="J5373" s="98" t="s">
        <v>2261</v>
      </c>
      <c r="K5373" s="98" t="s">
        <v>3044</v>
      </c>
      <c r="L5373" s="105" t="str">
        <f t="shared" si="880"/>
        <v>Trimble</v>
      </c>
      <c r="M5373" s="105" t="str">
        <f t="shared" si="881"/>
        <v>Derate</v>
      </c>
      <c r="N5373" s="105" t="str">
        <f t="shared" si="882"/>
        <v>Coal</v>
      </c>
      <c r="O5373" s="105">
        <f>IFERROR(VLOOKUP(A5373,Lookup!$J$5:$P$19,7,FALSE),0)</f>
        <v>3</v>
      </c>
      <c r="P5373" s="159">
        <f t="shared" si="883"/>
        <v>2015</v>
      </c>
      <c r="Q5373" s="159">
        <f t="shared" si="884"/>
        <v>1</v>
      </c>
      <c r="R5373" s="160">
        <f t="shared" si="885"/>
        <v>0.99999999994179234</v>
      </c>
      <c r="S5373" s="158">
        <f t="shared" si="886"/>
        <v>0.40188679242943731</v>
      </c>
      <c r="T5373" s="161">
        <f t="shared" si="887"/>
        <v>198.13018866771259</v>
      </c>
      <c r="U5373" s="158">
        <f t="shared" si="889"/>
        <v>198.13018867924529</v>
      </c>
      <c r="V5373" s="160">
        <f t="shared" si="888"/>
        <v>198</v>
      </c>
    </row>
    <row r="5374" spans="1:22" x14ac:dyDescent="0.25">
      <c r="A5374" s="98" t="s">
        <v>19</v>
      </c>
      <c r="B5374" s="98" t="s">
        <v>105</v>
      </c>
      <c r="C5374" s="98">
        <v>18</v>
      </c>
      <c r="D5374" s="98">
        <v>9999</v>
      </c>
      <c r="E5374" s="157">
        <v>42035.25</v>
      </c>
      <c r="F5374" s="157">
        <v>42035.291666666664</v>
      </c>
      <c r="G5374" s="98">
        <v>347</v>
      </c>
      <c r="H5374" s="98">
        <v>530</v>
      </c>
      <c r="I5374" s="98">
        <v>493</v>
      </c>
      <c r="J5374" s="98" t="s">
        <v>2261</v>
      </c>
      <c r="K5374" s="98" t="s">
        <v>3044</v>
      </c>
      <c r="L5374" s="105" t="str">
        <f t="shared" si="880"/>
        <v>Trimble</v>
      </c>
      <c r="M5374" s="105" t="str">
        <f t="shared" si="881"/>
        <v>Derate</v>
      </c>
      <c r="N5374" s="105" t="str">
        <f t="shared" si="882"/>
        <v>Coal</v>
      </c>
      <c r="O5374" s="105">
        <f>IFERROR(VLOOKUP(A5374,Lookup!$J$5:$P$19,7,FALSE),0)</f>
        <v>3</v>
      </c>
      <c r="P5374" s="159">
        <f t="shared" si="883"/>
        <v>2015</v>
      </c>
      <c r="Q5374" s="159">
        <f t="shared" si="884"/>
        <v>1</v>
      </c>
      <c r="R5374" s="160">
        <f t="shared" si="885"/>
        <v>0.99999999994179234</v>
      </c>
      <c r="S5374" s="158">
        <f t="shared" si="886"/>
        <v>0.34528301884782642</v>
      </c>
      <c r="T5374" s="161">
        <f t="shared" si="887"/>
        <v>170.22452829197843</v>
      </c>
      <c r="U5374" s="158">
        <f t="shared" si="889"/>
        <v>170.22452830188681</v>
      </c>
      <c r="V5374" s="160">
        <f t="shared" si="888"/>
        <v>170</v>
      </c>
    </row>
    <row r="5375" spans="1:22" x14ac:dyDescent="0.25">
      <c r="A5375" s="98" t="s">
        <v>19</v>
      </c>
      <c r="B5375" s="98" t="s">
        <v>105</v>
      </c>
      <c r="C5375" s="98">
        <v>19</v>
      </c>
      <c r="D5375" s="98">
        <v>9999</v>
      </c>
      <c r="E5375" s="157">
        <v>42035.291666666664</v>
      </c>
      <c r="F5375" s="157">
        <v>42035.333333333336</v>
      </c>
      <c r="G5375" s="98">
        <v>362</v>
      </c>
      <c r="H5375" s="98">
        <v>530</v>
      </c>
      <c r="I5375" s="98">
        <v>493</v>
      </c>
      <c r="J5375" s="98" t="s">
        <v>2261</v>
      </c>
      <c r="K5375" s="98" t="s">
        <v>3044</v>
      </c>
      <c r="L5375" s="105" t="str">
        <f t="shared" si="880"/>
        <v>Trimble</v>
      </c>
      <c r="M5375" s="105" t="str">
        <f t="shared" si="881"/>
        <v>Derate</v>
      </c>
      <c r="N5375" s="105" t="str">
        <f t="shared" si="882"/>
        <v>Coal</v>
      </c>
      <c r="O5375" s="105">
        <f>IFERROR(VLOOKUP(A5375,Lookup!$J$5:$P$19,7,FALSE),0)</f>
        <v>3</v>
      </c>
      <c r="P5375" s="159">
        <f t="shared" si="883"/>
        <v>2015</v>
      </c>
      <c r="Q5375" s="159">
        <f t="shared" si="884"/>
        <v>1</v>
      </c>
      <c r="R5375" s="160">
        <f t="shared" si="885"/>
        <v>1.0000000001164153</v>
      </c>
      <c r="S5375" s="158">
        <f t="shared" si="886"/>
        <v>0.31698113211237317</v>
      </c>
      <c r="T5375" s="161">
        <f t="shared" si="887"/>
        <v>156.27169813139997</v>
      </c>
      <c r="U5375" s="158">
        <f t="shared" si="889"/>
        <v>156.27169811320755</v>
      </c>
      <c r="V5375" s="160">
        <f t="shared" si="888"/>
        <v>156</v>
      </c>
    </row>
    <row r="5376" spans="1:22" x14ac:dyDescent="0.25">
      <c r="A5376" s="98" t="s">
        <v>19</v>
      </c>
      <c r="B5376" s="98" t="s">
        <v>105</v>
      </c>
      <c r="C5376" s="98">
        <v>20</v>
      </c>
      <c r="D5376" s="98">
        <v>9999</v>
      </c>
      <c r="E5376" s="157">
        <v>42035.333333333336</v>
      </c>
      <c r="F5376" s="157">
        <v>42035.375</v>
      </c>
      <c r="G5376" s="98">
        <v>466</v>
      </c>
      <c r="H5376" s="98">
        <v>530</v>
      </c>
      <c r="I5376" s="98">
        <v>493</v>
      </c>
      <c r="J5376" s="98" t="s">
        <v>2261</v>
      </c>
      <c r="K5376" s="98" t="s">
        <v>3044</v>
      </c>
      <c r="L5376" s="105" t="str">
        <f t="shared" si="880"/>
        <v>Trimble</v>
      </c>
      <c r="M5376" s="105" t="str">
        <f t="shared" si="881"/>
        <v>Derate</v>
      </c>
      <c r="N5376" s="105" t="str">
        <f t="shared" si="882"/>
        <v>Coal</v>
      </c>
      <c r="O5376" s="105">
        <f>IFERROR(VLOOKUP(A5376,Lookup!$J$5:$P$19,7,FALSE),0)</f>
        <v>3</v>
      </c>
      <c r="P5376" s="159">
        <f t="shared" si="883"/>
        <v>2015</v>
      </c>
      <c r="Q5376" s="159">
        <f t="shared" si="884"/>
        <v>1</v>
      </c>
      <c r="R5376" s="160">
        <f t="shared" si="885"/>
        <v>0.99999999994179234</v>
      </c>
      <c r="S5376" s="158">
        <f t="shared" si="886"/>
        <v>0.12075471697410323</v>
      </c>
      <c r="T5376" s="161">
        <f t="shared" si="887"/>
        <v>59.53207546823289</v>
      </c>
      <c r="U5376" s="158">
        <f t="shared" si="889"/>
        <v>59.532075471698114</v>
      </c>
      <c r="V5376" s="160">
        <f t="shared" si="888"/>
        <v>60</v>
      </c>
    </row>
    <row r="5377" spans="1:22" x14ac:dyDescent="0.25">
      <c r="A5377" s="98" t="s">
        <v>19</v>
      </c>
      <c r="B5377" s="98" t="s">
        <v>105</v>
      </c>
      <c r="C5377" s="98">
        <v>21</v>
      </c>
      <c r="D5377" s="98">
        <v>9999</v>
      </c>
      <c r="E5377" s="157">
        <v>42035.375</v>
      </c>
      <c r="F5377" s="157">
        <v>42035.416666666664</v>
      </c>
      <c r="G5377" s="98">
        <v>503</v>
      </c>
      <c r="H5377" s="98">
        <v>530</v>
      </c>
      <c r="I5377" s="98">
        <v>493</v>
      </c>
      <c r="J5377" s="98" t="s">
        <v>2261</v>
      </c>
      <c r="K5377" s="98" t="s">
        <v>3044</v>
      </c>
      <c r="L5377" s="105" t="str">
        <f t="shared" si="880"/>
        <v>Trimble</v>
      </c>
      <c r="M5377" s="105" t="str">
        <f t="shared" si="881"/>
        <v>Derate</v>
      </c>
      <c r="N5377" s="105" t="str">
        <f t="shared" si="882"/>
        <v>Coal</v>
      </c>
      <c r="O5377" s="105">
        <f>IFERROR(VLOOKUP(A5377,Lookup!$J$5:$P$19,7,FALSE),0)</f>
        <v>3</v>
      </c>
      <c r="P5377" s="159">
        <f t="shared" si="883"/>
        <v>2015</v>
      </c>
      <c r="Q5377" s="159">
        <f t="shared" si="884"/>
        <v>1</v>
      </c>
      <c r="R5377" s="160">
        <f t="shared" si="885"/>
        <v>0.99999999994179234</v>
      </c>
      <c r="S5377" s="158">
        <f t="shared" si="886"/>
        <v>5.0943396223449795E-2</v>
      </c>
      <c r="T5377" s="161">
        <f t="shared" si="887"/>
        <v>25.115094338160748</v>
      </c>
      <c r="U5377" s="158">
        <f t="shared" si="889"/>
        <v>25.11509433962264</v>
      </c>
      <c r="V5377" s="160">
        <f t="shared" si="888"/>
        <v>25</v>
      </c>
    </row>
    <row r="5378" spans="1:22" x14ac:dyDescent="0.25">
      <c r="A5378" s="98" t="s">
        <v>19</v>
      </c>
      <c r="B5378" s="98" t="s">
        <v>105</v>
      </c>
      <c r="C5378" s="98">
        <v>22</v>
      </c>
      <c r="D5378" s="98">
        <v>9999</v>
      </c>
      <c r="E5378" s="157">
        <v>42035.416666666664</v>
      </c>
      <c r="F5378" s="157">
        <v>42035.458333333336</v>
      </c>
      <c r="G5378" s="98">
        <v>490</v>
      </c>
      <c r="H5378" s="98">
        <v>530</v>
      </c>
      <c r="I5378" s="98">
        <v>493</v>
      </c>
      <c r="J5378" s="98" t="s">
        <v>2261</v>
      </c>
      <c r="K5378" s="98" t="s">
        <v>3044</v>
      </c>
      <c r="L5378" s="105" t="str">
        <f t="shared" si="880"/>
        <v>Trimble</v>
      </c>
      <c r="M5378" s="105" t="str">
        <f t="shared" si="881"/>
        <v>Derate</v>
      </c>
      <c r="N5378" s="105" t="str">
        <f t="shared" si="882"/>
        <v>Coal</v>
      </c>
      <c r="O5378" s="105">
        <f>IFERROR(VLOOKUP(A5378,Lookup!$J$5:$P$19,7,FALSE),0)</f>
        <v>3</v>
      </c>
      <c r="P5378" s="159">
        <f t="shared" si="883"/>
        <v>2015</v>
      </c>
      <c r="Q5378" s="159">
        <f t="shared" si="884"/>
        <v>1</v>
      </c>
      <c r="R5378" s="160">
        <f t="shared" si="885"/>
        <v>1.0000000001164153</v>
      </c>
      <c r="S5378" s="158">
        <f t="shared" si="886"/>
        <v>7.5471698121993613E-2</v>
      </c>
      <c r="T5378" s="161">
        <f t="shared" si="887"/>
        <v>37.207547174142853</v>
      </c>
      <c r="U5378" s="158">
        <f t="shared" si="889"/>
        <v>37.20754716981132</v>
      </c>
      <c r="V5378" s="160">
        <f t="shared" si="888"/>
        <v>37</v>
      </c>
    </row>
    <row r="5379" spans="1:22" x14ac:dyDescent="0.25">
      <c r="A5379" s="98" t="s">
        <v>19</v>
      </c>
      <c r="B5379" s="98" t="s">
        <v>105</v>
      </c>
      <c r="C5379" s="98">
        <v>23</v>
      </c>
      <c r="D5379" s="98">
        <v>9999</v>
      </c>
      <c r="E5379" s="157">
        <v>42035.458333333336</v>
      </c>
      <c r="F5379" s="157">
        <v>42035.671527777777</v>
      </c>
      <c r="G5379" s="98">
        <v>538</v>
      </c>
      <c r="H5379" s="98">
        <v>530</v>
      </c>
      <c r="I5379" s="98">
        <v>493</v>
      </c>
      <c r="J5379" s="98" t="s">
        <v>2261</v>
      </c>
      <c r="K5379" s="98" t="s">
        <v>3044</v>
      </c>
      <c r="L5379" s="105" t="str">
        <f t="shared" si="880"/>
        <v>Trimble</v>
      </c>
      <c r="M5379" s="105" t="str">
        <f t="shared" si="881"/>
        <v>Derate</v>
      </c>
      <c r="N5379" s="105" t="str">
        <f t="shared" si="882"/>
        <v>Coal</v>
      </c>
      <c r="O5379" s="105">
        <f>IFERROR(VLOOKUP(A5379,Lookup!$J$5:$P$19,7,FALSE),0)</f>
        <v>3</v>
      </c>
      <c r="P5379" s="159">
        <f t="shared" si="883"/>
        <v>2015</v>
      </c>
      <c r="Q5379" s="159">
        <f t="shared" si="884"/>
        <v>1</v>
      </c>
      <c r="R5379" s="160">
        <f t="shared" si="885"/>
        <v>5.1166666665812954</v>
      </c>
      <c r="S5379" s="158">
        <f t="shared" si="886"/>
        <v>-7.7232704401227106E-2</v>
      </c>
      <c r="T5379" s="161">
        <f t="shared" si="887"/>
        <v>-38.075723269804961</v>
      </c>
      <c r="U5379" s="158">
        <f t="shared" si="889"/>
        <v>0</v>
      </c>
      <c r="V5379" s="160">
        <f t="shared" si="888"/>
        <v>0</v>
      </c>
    </row>
    <row r="5380" spans="1:22" x14ac:dyDescent="0.25">
      <c r="A5380" s="98" t="s">
        <v>19</v>
      </c>
      <c r="B5380" s="98" t="s">
        <v>17</v>
      </c>
      <c r="C5380" s="98">
        <v>24</v>
      </c>
      <c r="D5380" s="98">
        <v>870</v>
      </c>
      <c r="E5380" s="157">
        <v>42040.916666666664</v>
      </c>
      <c r="F5380" s="157">
        <v>42041.000694444447</v>
      </c>
      <c r="G5380" s="98">
        <v>400</v>
      </c>
      <c r="H5380" s="98">
        <v>530</v>
      </c>
      <c r="I5380" s="98">
        <v>493</v>
      </c>
      <c r="J5380" s="98" t="s">
        <v>2275</v>
      </c>
      <c r="K5380" s="98" t="s">
        <v>3045</v>
      </c>
      <c r="L5380" s="105" t="str">
        <f t="shared" ref="L5380:L5443" si="890">IF(OR(A5380="BR1",A5380="BR2",A5380="BR3",A5380="BR5",A5380="BR6",A5380="BR7",A5380="BR8",A5380="BR9",A5380="BR10",A5380="BR11"),"Brown",IF(OR(A5380="CR4",A5380="CR5",A5380="CR6",A5380="CR11"),"Cane Run",IF(OR(A5380="GH1",A5380="GH2",A5380="GH3",A5380="GH4"),"Ghent",IF(OR(A5380="GR3",A5380="GR4"),"Green River",IF(OR(A5380="MC1",A5380="MC2",A5380="MC3",A5380="MC4"),"Mill Creek",IF(OR(A5380="TC1",A5380="TC2",A5380="TC5",A5380="TC6",A5380="TC7",A5380="TC8",A5380="TC9",A5380="TC10"),"Trimble",IF(A5380="TY3","Tyrone",IF(OR(A5380="HA1",A5380="HA2",A5380="HA3"),"Haeflin",IF(OR(A5380="PR11",A5380="PR12",A5380="PR13"),"Paddy's Run","Zorn")))))))))</f>
        <v>Trimble</v>
      </c>
      <c r="M5380" s="105" t="str">
        <f t="shared" ref="M5380:M5443" si="891">IF(OR(B5380="D1",B5380="D2",B5380="D3",B5380="D4",B5380="PD"),"Derate",IF(OR(B5380="SF",B5380="U1",B5380="U2",B5380="U3"),"Outage",IF(OR(B5380="ME",B5380="MO"),"Maintenance","Other")))</f>
        <v>Derate</v>
      </c>
      <c r="N5380" s="105" t="str">
        <f t="shared" ref="N5380:N5443" si="892">IF(OR(A5380="BR1",A5380="BR2",A5380="BR3",A5380="CR4",A5380="CR5",A5380="CR6",A5380="GH1",A5380="GH2",A5380="GH3",A5380="GH4",A5380="GR3",A5380="GR4",A5380="MC1",A5380="MC2",A5380="MC3",A5380="MC4",A5380="TC1",A5380="TC2",A5380="TY3"),"Coal","Gas")</f>
        <v>Coal</v>
      </c>
      <c r="O5380" s="105">
        <f>IFERROR(VLOOKUP(A5380,Lookup!$J$5:$P$19,7,FALSE),0)</f>
        <v>3</v>
      </c>
      <c r="P5380" s="159">
        <f t="shared" ref="P5380:P5443" si="893">YEAR(E5380)</f>
        <v>2015</v>
      </c>
      <c r="Q5380" s="159">
        <f t="shared" ref="Q5380:Q5443" si="894">MONTH(E5380)</f>
        <v>2</v>
      </c>
      <c r="R5380" s="160">
        <f t="shared" ref="R5380:R5443" si="895">(F5380-E5380)*24</f>
        <v>2.0166666667792015</v>
      </c>
      <c r="S5380" s="158">
        <f t="shared" ref="S5380:S5443" si="896">R5380*(H5380-G5380)/H5380</f>
        <v>0.49465408807791733</v>
      </c>
      <c r="T5380" s="161">
        <f t="shared" ref="T5380:T5443" si="897">S5380*I5380</f>
        <v>243.86446542241325</v>
      </c>
      <c r="U5380" s="158">
        <f t="shared" si="889"/>
        <v>120.9245283018868</v>
      </c>
      <c r="V5380" s="160">
        <f t="shared" ref="V5380:V5443" si="898">ROUND(U5380,0)</f>
        <v>121</v>
      </c>
    </row>
    <row r="5381" spans="1:22" x14ac:dyDescent="0.25">
      <c r="A5381" s="98" t="s">
        <v>19</v>
      </c>
      <c r="B5381" s="98" t="s">
        <v>105</v>
      </c>
      <c r="C5381" s="98">
        <v>25</v>
      </c>
      <c r="D5381" s="98">
        <v>280</v>
      </c>
      <c r="E5381" s="157">
        <v>42041.34375</v>
      </c>
      <c r="F5381" s="157">
        <v>42041.388888888891</v>
      </c>
      <c r="G5381" s="98">
        <v>375</v>
      </c>
      <c r="H5381" s="98">
        <v>530</v>
      </c>
      <c r="I5381" s="98">
        <v>493</v>
      </c>
      <c r="J5381" s="98" t="s">
        <v>1988</v>
      </c>
      <c r="K5381" s="98" t="s">
        <v>3046</v>
      </c>
      <c r="L5381" s="105" t="str">
        <f t="shared" si="890"/>
        <v>Trimble</v>
      </c>
      <c r="M5381" s="105" t="str">
        <f t="shared" si="891"/>
        <v>Derate</v>
      </c>
      <c r="N5381" s="105" t="str">
        <f t="shared" si="892"/>
        <v>Coal</v>
      </c>
      <c r="O5381" s="105">
        <f>IFERROR(VLOOKUP(A5381,Lookup!$J$5:$P$19,7,FALSE),0)</f>
        <v>3</v>
      </c>
      <c r="P5381" s="159">
        <f t="shared" si="893"/>
        <v>2015</v>
      </c>
      <c r="Q5381" s="159">
        <f t="shared" si="894"/>
        <v>2</v>
      </c>
      <c r="R5381" s="160">
        <f t="shared" si="895"/>
        <v>1.0833333333721384</v>
      </c>
      <c r="S5381" s="158">
        <f t="shared" si="896"/>
        <v>0.31682389938241784</v>
      </c>
      <c r="T5381" s="161">
        <f t="shared" si="897"/>
        <v>156.19418239553198</v>
      </c>
      <c r="U5381" s="158">
        <f t="shared" ref="U5381:U5444" si="899">IF(G5381&gt;0,MAX((H5381-G5381),0)*I5381/H5381,I5381)</f>
        <v>144.17924528301887</v>
      </c>
      <c r="V5381" s="160">
        <f t="shared" si="898"/>
        <v>144</v>
      </c>
    </row>
    <row r="5382" spans="1:22" x14ac:dyDescent="0.25">
      <c r="A5382" s="98" t="s">
        <v>19</v>
      </c>
      <c r="B5382" s="98" t="s">
        <v>17</v>
      </c>
      <c r="C5382" s="98">
        <v>26</v>
      </c>
      <c r="D5382" s="98">
        <v>280</v>
      </c>
      <c r="E5382" s="157">
        <v>42041.388888888891</v>
      </c>
      <c r="F5382" s="157">
        <v>42041.402777777781</v>
      </c>
      <c r="G5382" s="98">
        <v>496</v>
      </c>
      <c r="H5382" s="98">
        <v>530</v>
      </c>
      <c r="I5382" s="98">
        <v>493</v>
      </c>
      <c r="J5382" s="98" t="s">
        <v>1988</v>
      </c>
      <c r="K5382" s="98" t="s">
        <v>3047</v>
      </c>
      <c r="L5382" s="105" t="str">
        <f t="shared" si="890"/>
        <v>Trimble</v>
      </c>
      <c r="M5382" s="105" t="str">
        <f t="shared" si="891"/>
        <v>Derate</v>
      </c>
      <c r="N5382" s="105" t="str">
        <f t="shared" si="892"/>
        <v>Coal</v>
      </c>
      <c r="O5382" s="105">
        <f>IFERROR(VLOOKUP(A5382,Lookup!$J$5:$P$19,7,FALSE),0)</f>
        <v>3</v>
      </c>
      <c r="P5382" s="159">
        <f t="shared" si="893"/>
        <v>2015</v>
      </c>
      <c r="Q5382" s="159">
        <f t="shared" si="894"/>
        <v>2</v>
      </c>
      <c r="R5382" s="160">
        <f t="shared" si="895"/>
        <v>0.33333333337213844</v>
      </c>
      <c r="S5382" s="158">
        <f t="shared" si="896"/>
        <v>2.1383647801231524E-2</v>
      </c>
      <c r="T5382" s="161">
        <f t="shared" si="897"/>
        <v>10.542138366007141</v>
      </c>
      <c r="U5382" s="158">
        <f t="shared" si="899"/>
        <v>31.626415094339624</v>
      </c>
      <c r="V5382" s="160">
        <f t="shared" si="898"/>
        <v>32</v>
      </c>
    </row>
    <row r="5383" spans="1:22" x14ac:dyDescent="0.25">
      <c r="A5383" s="98" t="s">
        <v>19</v>
      </c>
      <c r="B5383" s="98" t="s">
        <v>105</v>
      </c>
      <c r="C5383" s="98">
        <v>27</v>
      </c>
      <c r="D5383" s="98">
        <v>870</v>
      </c>
      <c r="E5383" s="157">
        <v>42042</v>
      </c>
      <c r="F5383" s="157">
        <v>42042.054166666669</v>
      </c>
      <c r="G5383" s="98">
        <v>325</v>
      </c>
      <c r="H5383" s="98">
        <v>530</v>
      </c>
      <c r="I5383" s="98">
        <v>493</v>
      </c>
      <c r="J5383" s="98" t="s">
        <v>2275</v>
      </c>
      <c r="K5383" s="98" t="s">
        <v>3048</v>
      </c>
      <c r="L5383" s="105" t="str">
        <f t="shared" si="890"/>
        <v>Trimble</v>
      </c>
      <c r="M5383" s="105" t="str">
        <f t="shared" si="891"/>
        <v>Derate</v>
      </c>
      <c r="N5383" s="105" t="str">
        <f t="shared" si="892"/>
        <v>Coal</v>
      </c>
      <c r="O5383" s="105">
        <f>IFERROR(VLOOKUP(A5383,Lookup!$J$5:$P$19,7,FALSE),0)</f>
        <v>3</v>
      </c>
      <c r="P5383" s="159">
        <f t="shared" si="893"/>
        <v>2015</v>
      </c>
      <c r="Q5383" s="159">
        <f t="shared" si="894"/>
        <v>2</v>
      </c>
      <c r="R5383" s="160">
        <f t="shared" si="895"/>
        <v>1.3000000000465661</v>
      </c>
      <c r="S5383" s="158">
        <f t="shared" si="896"/>
        <v>0.50283018869725671</v>
      </c>
      <c r="T5383" s="161">
        <f t="shared" si="897"/>
        <v>247.89528302774755</v>
      </c>
      <c r="U5383" s="158">
        <f t="shared" si="899"/>
        <v>190.68867924528303</v>
      </c>
      <c r="V5383" s="160">
        <f t="shared" si="898"/>
        <v>191</v>
      </c>
    </row>
    <row r="5384" spans="1:22" x14ac:dyDescent="0.25">
      <c r="A5384" s="98" t="s">
        <v>19</v>
      </c>
      <c r="B5384" s="98" t="s">
        <v>17</v>
      </c>
      <c r="C5384" s="98">
        <v>28</v>
      </c>
      <c r="D5384" s="98">
        <v>1493</v>
      </c>
      <c r="E5384" s="157">
        <v>42046.299305555556</v>
      </c>
      <c r="F5384" s="157">
        <v>42066.712500000001</v>
      </c>
      <c r="G5384" s="98">
        <v>530</v>
      </c>
      <c r="H5384" s="98">
        <v>530</v>
      </c>
      <c r="I5384" s="98">
        <v>493</v>
      </c>
      <c r="J5384" s="98" t="s">
        <v>2185</v>
      </c>
      <c r="K5384" s="98" t="s">
        <v>3049</v>
      </c>
      <c r="L5384" s="105" t="str">
        <f t="shared" si="890"/>
        <v>Trimble</v>
      </c>
      <c r="M5384" s="105" t="str">
        <f t="shared" si="891"/>
        <v>Derate</v>
      </c>
      <c r="N5384" s="105" t="str">
        <f t="shared" si="892"/>
        <v>Coal</v>
      </c>
      <c r="O5384" s="105">
        <f>IFERROR(VLOOKUP(A5384,Lookup!$J$5:$P$19,7,FALSE),0)</f>
        <v>3</v>
      </c>
      <c r="P5384" s="159">
        <f t="shared" si="893"/>
        <v>2015</v>
      </c>
      <c r="Q5384" s="159">
        <f t="shared" si="894"/>
        <v>2</v>
      </c>
      <c r="R5384" s="160">
        <f t="shared" si="895"/>
        <v>489.91666666668607</v>
      </c>
      <c r="S5384" s="158">
        <f t="shared" si="896"/>
        <v>0</v>
      </c>
      <c r="T5384" s="161">
        <f t="shared" si="897"/>
        <v>0</v>
      </c>
      <c r="U5384" s="158">
        <f t="shared" si="899"/>
        <v>0</v>
      </c>
      <c r="V5384" s="160">
        <f t="shared" si="898"/>
        <v>0</v>
      </c>
    </row>
    <row r="5385" spans="1:22" x14ac:dyDescent="0.25">
      <c r="A5385" s="98" t="s">
        <v>19</v>
      </c>
      <c r="B5385" s="98" t="s">
        <v>17</v>
      </c>
      <c r="C5385" s="98">
        <v>29</v>
      </c>
      <c r="D5385" s="98">
        <v>310</v>
      </c>
      <c r="E5385" s="157">
        <v>42054.565972222219</v>
      </c>
      <c r="F5385" s="157">
        <v>42054.597222222219</v>
      </c>
      <c r="G5385" s="98">
        <v>375</v>
      </c>
      <c r="H5385" s="98">
        <v>530</v>
      </c>
      <c r="I5385" s="98">
        <v>493</v>
      </c>
      <c r="J5385" s="98" t="s">
        <v>1966</v>
      </c>
      <c r="K5385" s="98" t="s">
        <v>3050</v>
      </c>
      <c r="L5385" s="105" t="str">
        <f t="shared" si="890"/>
        <v>Trimble</v>
      </c>
      <c r="M5385" s="105" t="str">
        <f t="shared" si="891"/>
        <v>Derate</v>
      </c>
      <c r="N5385" s="105" t="str">
        <f t="shared" si="892"/>
        <v>Coal</v>
      </c>
      <c r="O5385" s="105">
        <f>IFERROR(VLOOKUP(A5385,Lookup!$J$5:$P$19,7,FALSE),0)</f>
        <v>3</v>
      </c>
      <c r="P5385" s="159">
        <f t="shared" si="893"/>
        <v>2015</v>
      </c>
      <c r="Q5385" s="159">
        <f t="shared" si="894"/>
        <v>2</v>
      </c>
      <c r="R5385" s="160">
        <f t="shared" si="895"/>
        <v>0.75</v>
      </c>
      <c r="S5385" s="158">
        <f t="shared" si="896"/>
        <v>0.21933962264150944</v>
      </c>
      <c r="T5385" s="161">
        <f t="shared" si="897"/>
        <v>108.13443396226415</v>
      </c>
      <c r="U5385" s="158">
        <f t="shared" si="899"/>
        <v>144.17924528301887</v>
      </c>
      <c r="V5385" s="160">
        <f t="shared" si="898"/>
        <v>144</v>
      </c>
    </row>
    <row r="5386" spans="1:22" x14ac:dyDescent="0.25">
      <c r="A5386" s="98" t="s">
        <v>19</v>
      </c>
      <c r="B5386" s="98" t="s">
        <v>17</v>
      </c>
      <c r="C5386" s="98">
        <v>30</v>
      </c>
      <c r="D5386" s="98">
        <v>310</v>
      </c>
      <c r="E5386" s="157">
        <v>42057.314583333333</v>
      </c>
      <c r="F5386" s="157">
        <v>42057.367361111108</v>
      </c>
      <c r="G5386" s="98">
        <v>420</v>
      </c>
      <c r="H5386" s="98">
        <v>530</v>
      </c>
      <c r="I5386" s="98">
        <v>493</v>
      </c>
      <c r="J5386" s="98" t="s">
        <v>1966</v>
      </c>
      <c r="K5386" s="98" t="s">
        <v>3051</v>
      </c>
      <c r="L5386" s="105" t="str">
        <f t="shared" si="890"/>
        <v>Trimble</v>
      </c>
      <c r="M5386" s="105" t="str">
        <f t="shared" si="891"/>
        <v>Derate</v>
      </c>
      <c r="N5386" s="105" t="str">
        <f t="shared" si="892"/>
        <v>Coal</v>
      </c>
      <c r="O5386" s="105">
        <f>IFERROR(VLOOKUP(A5386,Lookup!$J$5:$P$19,7,FALSE),0)</f>
        <v>3</v>
      </c>
      <c r="P5386" s="159">
        <f t="shared" si="893"/>
        <v>2015</v>
      </c>
      <c r="Q5386" s="159">
        <f t="shared" si="894"/>
        <v>2</v>
      </c>
      <c r="R5386" s="160">
        <f t="shared" si="895"/>
        <v>1.2666666666045785</v>
      </c>
      <c r="S5386" s="158">
        <f t="shared" si="896"/>
        <v>0.26289308174812004</v>
      </c>
      <c r="T5386" s="161">
        <f t="shared" si="897"/>
        <v>129.60628930182318</v>
      </c>
      <c r="U5386" s="158">
        <f t="shared" si="899"/>
        <v>102.32075471698113</v>
      </c>
      <c r="V5386" s="160">
        <f t="shared" si="898"/>
        <v>102</v>
      </c>
    </row>
    <row r="5387" spans="1:22" x14ac:dyDescent="0.25">
      <c r="A5387" s="98" t="s">
        <v>19</v>
      </c>
      <c r="B5387" s="98" t="s">
        <v>17</v>
      </c>
      <c r="C5387" s="98">
        <v>31</v>
      </c>
      <c r="D5387" s="98">
        <v>280</v>
      </c>
      <c r="E5387" s="157">
        <v>42059.02847222222</v>
      </c>
      <c r="F5387" s="157">
        <v>42059.198611111111</v>
      </c>
      <c r="G5387" s="98">
        <v>360</v>
      </c>
      <c r="H5387" s="98">
        <v>530</v>
      </c>
      <c r="I5387" s="98">
        <v>493</v>
      </c>
      <c r="J5387" s="98" t="s">
        <v>1988</v>
      </c>
      <c r="K5387" s="98" t="s">
        <v>3052</v>
      </c>
      <c r="L5387" s="105" t="str">
        <f t="shared" si="890"/>
        <v>Trimble</v>
      </c>
      <c r="M5387" s="105" t="str">
        <f t="shared" si="891"/>
        <v>Derate</v>
      </c>
      <c r="N5387" s="105" t="str">
        <f t="shared" si="892"/>
        <v>Coal</v>
      </c>
      <c r="O5387" s="105">
        <f>IFERROR(VLOOKUP(A5387,Lookup!$J$5:$P$19,7,FALSE),0)</f>
        <v>3</v>
      </c>
      <c r="P5387" s="159">
        <f t="shared" si="893"/>
        <v>2015</v>
      </c>
      <c r="Q5387" s="159">
        <f t="shared" si="894"/>
        <v>2</v>
      </c>
      <c r="R5387" s="160">
        <f t="shared" si="895"/>
        <v>4.0833333333721384</v>
      </c>
      <c r="S5387" s="158">
        <f t="shared" si="896"/>
        <v>1.309748427685403</v>
      </c>
      <c r="T5387" s="161">
        <f t="shared" si="897"/>
        <v>645.70597484890368</v>
      </c>
      <c r="U5387" s="158">
        <f t="shared" si="899"/>
        <v>158.1320754716981</v>
      </c>
      <c r="V5387" s="160">
        <f t="shared" si="898"/>
        <v>158</v>
      </c>
    </row>
    <row r="5388" spans="1:22" x14ac:dyDescent="0.25">
      <c r="A5388" s="98" t="s">
        <v>19</v>
      </c>
      <c r="B5388" s="98" t="s">
        <v>17</v>
      </c>
      <c r="C5388" s="98">
        <v>32</v>
      </c>
      <c r="D5388" s="98">
        <v>280</v>
      </c>
      <c r="E5388" s="157">
        <v>42063.801388888889</v>
      </c>
      <c r="F5388" s="157">
        <v>42063.840277777781</v>
      </c>
      <c r="G5388" s="98">
        <v>375</v>
      </c>
      <c r="H5388" s="98">
        <v>530</v>
      </c>
      <c r="I5388" s="98">
        <v>493</v>
      </c>
      <c r="J5388" s="98" t="s">
        <v>1988</v>
      </c>
      <c r="K5388" s="98" t="s">
        <v>3053</v>
      </c>
      <c r="L5388" s="105" t="str">
        <f t="shared" si="890"/>
        <v>Trimble</v>
      </c>
      <c r="M5388" s="105" t="str">
        <f t="shared" si="891"/>
        <v>Derate</v>
      </c>
      <c r="N5388" s="105" t="str">
        <f t="shared" si="892"/>
        <v>Coal</v>
      </c>
      <c r="O5388" s="105">
        <f>IFERROR(VLOOKUP(A5388,Lookup!$J$5:$P$19,7,FALSE),0)</f>
        <v>3</v>
      </c>
      <c r="P5388" s="159">
        <f t="shared" si="893"/>
        <v>2015</v>
      </c>
      <c r="Q5388" s="159">
        <f t="shared" si="894"/>
        <v>2</v>
      </c>
      <c r="R5388" s="160">
        <f t="shared" si="895"/>
        <v>0.93333333340706304</v>
      </c>
      <c r="S5388" s="158">
        <f t="shared" si="896"/>
        <v>0.27295597486432976</v>
      </c>
      <c r="T5388" s="161">
        <f t="shared" si="897"/>
        <v>134.56729560811456</v>
      </c>
      <c r="U5388" s="158">
        <f t="shared" si="899"/>
        <v>144.17924528301887</v>
      </c>
      <c r="V5388" s="160">
        <f t="shared" si="898"/>
        <v>144</v>
      </c>
    </row>
    <row r="5389" spans="1:22" x14ac:dyDescent="0.25">
      <c r="A5389" s="98" t="s">
        <v>19</v>
      </c>
      <c r="B5389" s="98" t="s">
        <v>17</v>
      </c>
      <c r="C5389" s="98">
        <v>33</v>
      </c>
      <c r="D5389" s="98">
        <v>310</v>
      </c>
      <c r="E5389" s="157">
        <v>42064.392361111109</v>
      </c>
      <c r="F5389" s="157">
        <v>42065.243055555555</v>
      </c>
      <c r="G5389" s="98">
        <v>510</v>
      </c>
      <c r="H5389" s="98">
        <v>530</v>
      </c>
      <c r="I5389" s="98">
        <v>493</v>
      </c>
      <c r="J5389" s="98" t="s">
        <v>1966</v>
      </c>
      <c r="K5389" s="98" t="s">
        <v>3054</v>
      </c>
      <c r="L5389" s="105" t="str">
        <f t="shared" si="890"/>
        <v>Trimble</v>
      </c>
      <c r="M5389" s="105" t="str">
        <f t="shared" si="891"/>
        <v>Derate</v>
      </c>
      <c r="N5389" s="105" t="str">
        <f t="shared" si="892"/>
        <v>Coal</v>
      </c>
      <c r="O5389" s="105">
        <f>IFERROR(VLOOKUP(A5389,Lookup!$J$5:$P$19,7,FALSE),0)</f>
        <v>3</v>
      </c>
      <c r="P5389" s="159">
        <f t="shared" si="893"/>
        <v>2015</v>
      </c>
      <c r="Q5389" s="159">
        <f t="shared" si="894"/>
        <v>3</v>
      </c>
      <c r="R5389" s="160">
        <f t="shared" si="895"/>
        <v>20.416666666686069</v>
      </c>
      <c r="S5389" s="158">
        <f t="shared" si="896"/>
        <v>0.77044025157305918</v>
      </c>
      <c r="T5389" s="161">
        <f t="shared" si="897"/>
        <v>379.82704402551815</v>
      </c>
      <c r="U5389" s="158">
        <f t="shared" si="899"/>
        <v>18.60377358490566</v>
      </c>
      <c r="V5389" s="160">
        <f t="shared" si="898"/>
        <v>19</v>
      </c>
    </row>
    <row r="5390" spans="1:22" x14ac:dyDescent="0.25">
      <c r="A5390" s="98" t="s">
        <v>19</v>
      </c>
      <c r="B5390" s="98" t="s">
        <v>17</v>
      </c>
      <c r="C5390" s="98">
        <v>34</v>
      </c>
      <c r="D5390" s="98">
        <v>310</v>
      </c>
      <c r="E5390" s="157">
        <v>42065.243055555555</v>
      </c>
      <c r="F5390" s="157">
        <v>42066.673611111109</v>
      </c>
      <c r="G5390" s="98">
        <v>510</v>
      </c>
      <c r="H5390" s="98">
        <v>530</v>
      </c>
      <c r="I5390" s="98">
        <v>493</v>
      </c>
      <c r="J5390" s="98" t="s">
        <v>1966</v>
      </c>
      <c r="K5390" s="98" t="s">
        <v>3055</v>
      </c>
      <c r="L5390" s="105" t="str">
        <f t="shared" si="890"/>
        <v>Trimble</v>
      </c>
      <c r="M5390" s="105" t="str">
        <f t="shared" si="891"/>
        <v>Derate</v>
      </c>
      <c r="N5390" s="105" t="str">
        <f t="shared" si="892"/>
        <v>Coal</v>
      </c>
      <c r="O5390" s="105">
        <f>IFERROR(VLOOKUP(A5390,Lookup!$J$5:$P$19,7,FALSE),0)</f>
        <v>3</v>
      </c>
      <c r="P5390" s="159">
        <f t="shared" si="893"/>
        <v>2015</v>
      </c>
      <c r="Q5390" s="159">
        <f t="shared" si="894"/>
        <v>3</v>
      </c>
      <c r="R5390" s="160">
        <f t="shared" si="895"/>
        <v>34.333333333313931</v>
      </c>
      <c r="S5390" s="158">
        <f t="shared" si="896"/>
        <v>1.2955974842759974</v>
      </c>
      <c r="T5390" s="161">
        <f t="shared" si="897"/>
        <v>638.72955974806678</v>
      </c>
      <c r="U5390" s="158">
        <f t="shared" si="899"/>
        <v>18.60377358490566</v>
      </c>
      <c r="V5390" s="160">
        <f t="shared" si="898"/>
        <v>19</v>
      </c>
    </row>
    <row r="5391" spans="1:22" x14ac:dyDescent="0.25">
      <c r="A5391" s="98" t="s">
        <v>19</v>
      </c>
      <c r="B5391" s="98" t="s">
        <v>17</v>
      </c>
      <c r="C5391" s="98">
        <v>35</v>
      </c>
      <c r="D5391" s="98">
        <v>310</v>
      </c>
      <c r="E5391" s="157">
        <v>42066.712500000001</v>
      </c>
      <c r="F5391" s="157">
        <v>42067.808333333334</v>
      </c>
      <c r="G5391" s="98">
        <v>510</v>
      </c>
      <c r="H5391" s="98">
        <v>530</v>
      </c>
      <c r="I5391" s="98">
        <v>493</v>
      </c>
      <c r="J5391" s="98" t="s">
        <v>1966</v>
      </c>
      <c r="K5391" s="98" t="s">
        <v>3056</v>
      </c>
      <c r="L5391" s="105" t="str">
        <f t="shared" si="890"/>
        <v>Trimble</v>
      </c>
      <c r="M5391" s="105" t="str">
        <f t="shared" si="891"/>
        <v>Derate</v>
      </c>
      <c r="N5391" s="105" t="str">
        <f t="shared" si="892"/>
        <v>Coal</v>
      </c>
      <c r="O5391" s="105">
        <f>IFERROR(VLOOKUP(A5391,Lookup!$J$5:$P$19,7,FALSE),0)</f>
        <v>3</v>
      </c>
      <c r="P5391" s="159">
        <f t="shared" si="893"/>
        <v>2015</v>
      </c>
      <c r="Q5391" s="159">
        <f t="shared" si="894"/>
        <v>3</v>
      </c>
      <c r="R5391" s="160">
        <f t="shared" si="895"/>
        <v>26.299999999988358</v>
      </c>
      <c r="S5391" s="158">
        <f t="shared" si="896"/>
        <v>0.99245283018823993</v>
      </c>
      <c r="T5391" s="161">
        <f t="shared" si="897"/>
        <v>489.27924528280226</v>
      </c>
      <c r="U5391" s="158">
        <f t="shared" si="899"/>
        <v>18.60377358490566</v>
      </c>
      <c r="V5391" s="160">
        <f t="shared" si="898"/>
        <v>19</v>
      </c>
    </row>
    <row r="5392" spans="1:22" x14ac:dyDescent="0.25">
      <c r="A5392" s="98" t="s">
        <v>19</v>
      </c>
      <c r="B5392" s="98" t="s">
        <v>17</v>
      </c>
      <c r="C5392" s="98">
        <v>36</v>
      </c>
      <c r="D5392" s="98">
        <v>9270</v>
      </c>
      <c r="E5392" s="157">
        <v>42067.808333333334</v>
      </c>
      <c r="F5392" s="157">
        <v>42068.489583333336</v>
      </c>
      <c r="G5392" s="98">
        <v>490</v>
      </c>
      <c r="H5392" s="98">
        <v>530</v>
      </c>
      <c r="I5392" s="98">
        <v>493</v>
      </c>
      <c r="J5392" s="98" t="s">
        <v>2006</v>
      </c>
      <c r="K5392" s="98" t="s">
        <v>3057</v>
      </c>
      <c r="L5392" s="105" t="str">
        <f t="shared" si="890"/>
        <v>Trimble</v>
      </c>
      <c r="M5392" s="105" t="str">
        <f t="shared" si="891"/>
        <v>Derate</v>
      </c>
      <c r="N5392" s="105" t="str">
        <f t="shared" si="892"/>
        <v>Coal</v>
      </c>
      <c r="O5392" s="105">
        <f>IFERROR(VLOOKUP(A5392,Lookup!$J$5:$P$19,7,FALSE),0)</f>
        <v>3</v>
      </c>
      <c r="P5392" s="159">
        <f t="shared" si="893"/>
        <v>2015</v>
      </c>
      <c r="Q5392" s="159">
        <f t="shared" si="894"/>
        <v>3</v>
      </c>
      <c r="R5392" s="160">
        <f t="shared" si="895"/>
        <v>16.350000000034925</v>
      </c>
      <c r="S5392" s="158">
        <f t="shared" si="896"/>
        <v>1.2339622641535792</v>
      </c>
      <c r="T5392" s="161">
        <f t="shared" si="897"/>
        <v>608.34339622771461</v>
      </c>
      <c r="U5392" s="158">
        <f t="shared" si="899"/>
        <v>37.20754716981132</v>
      </c>
      <c r="V5392" s="160">
        <f t="shared" si="898"/>
        <v>37</v>
      </c>
    </row>
    <row r="5393" spans="1:22" x14ac:dyDescent="0.25">
      <c r="A5393" s="98" t="s">
        <v>19</v>
      </c>
      <c r="B5393" s="98" t="s">
        <v>17</v>
      </c>
      <c r="C5393" s="98">
        <v>37</v>
      </c>
      <c r="D5393" s="98">
        <v>1493</v>
      </c>
      <c r="E5393" s="157">
        <v>42068.489583333336</v>
      </c>
      <c r="F5393" s="157">
        <v>42068.871527777781</v>
      </c>
      <c r="G5393" s="98">
        <v>530</v>
      </c>
      <c r="H5393" s="98">
        <v>530</v>
      </c>
      <c r="I5393" s="98">
        <v>493</v>
      </c>
      <c r="J5393" s="98" t="s">
        <v>2185</v>
      </c>
      <c r="K5393" s="98" t="s">
        <v>3058</v>
      </c>
      <c r="L5393" s="105" t="str">
        <f t="shared" si="890"/>
        <v>Trimble</v>
      </c>
      <c r="M5393" s="105" t="str">
        <f t="shared" si="891"/>
        <v>Derate</v>
      </c>
      <c r="N5393" s="105" t="str">
        <f t="shared" si="892"/>
        <v>Coal</v>
      </c>
      <c r="O5393" s="105">
        <f>IFERROR(VLOOKUP(A5393,Lookup!$J$5:$P$19,7,FALSE),0)</f>
        <v>3</v>
      </c>
      <c r="P5393" s="159">
        <f t="shared" si="893"/>
        <v>2015</v>
      </c>
      <c r="Q5393" s="159">
        <f t="shared" si="894"/>
        <v>3</v>
      </c>
      <c r="R5393" s="160">
        <f t="shared" si="895"/>
        <v>9.1666666666860692</v>
      </c>
      <c r="S5393" s="158">
        <f t="shared" si="896"/>
        <v>0</v>
      </c>
      <c r="T5393" s="161">
        <f t="shared" si="897"/>
        <v>0</v>
      </c>
      <c r="U5393" s="158">
        <f t="shared" si="899"/>
        <v>0</v>
      </c>
      <c r="V5393" s="160">
        <f t="shared" si="898"/>
        <v>0</v>
      </c>
    </row>
    <row r="5394" spans="1:22" x14ac:dyDescent="0.25">
      <c r="A5394" s="98" t="s">
        <v>19</v>
      </c>
      <c r="B5394" s="98" t="s">
        <v>17</v>
      </c>
      <c r="C5394" s="98">
        <v>38</v>
      </c>
      <c r="D5394" s="98">
        <v>310</v>
      </c>
      <c r="E5394" s="157">
        <v>42068.871527777781</v>
      </c>
      <c r="F5394" s="157">
        <v>42068.897916666669</v>
      </c>
      <c r="G5394" s="98">
        <v>510</v>
      </c>
      <c r="H5394" s="98">
        <v>530</v>
      </c>
      <c r="I5394" s="98">
        <v>493</v>
      </c>
      <c r="J5394" s="98" t="s">
        <v>1966</v>
      </c>
      <c r="K5394" s="98" t="s">
        <v>3059</v>
      </c>
      <c r="L5394" s="105" t="str">
        <f t="shared" si="890"/>
        <v>Trimble</v>
      </c>
      <c r="M5394" s="105" t="str">
        <f t="shared" si="891"/>
        <v>Derate</v>
      </c>
      <c r="N5394" s="105" t="str">
        <f t="shared" si="892"/>
        <v>Coal</v>
      </c>
      <c r="O5394" s="105">
        <f>IFERROR(VLOOKUP(A5394,Lookup!$J$5:$P$19,7,FALSE),0)</f>
        <v>3</v>
      </c>
      <c r="P5394" s="159">
        <f t="shared" si="893"/>
        <v>2015</v>
      </c>
      <c r="Q5394" s="159">
        <f t="shared" si="894"/>
        <v>3</v>
      </c>
      <c r="R5394" s="160">
        <f t="shared" si="895"/>
        <v>0.63333333330228925</v>
      </c>
      <c r="S5394" s="158">
        <f t="shared" si="896"/>
        <v>2.3899371068010915E-2</v>
      </c>
      <c r="T5394" s="161">
        <f t="shared" si="897"/>
        <v>11.78238993652938</v>
      </c>
      <c r="U5394" s="158">
        <f t="shared" si="899"/>
        <v>18.60377358490566</v>
      </c>
      <c r="V5394" s="160">
        <f t="shared" si="898"/>
        <v>19</v>
      </c>
    </row>
    <row r="5395" spans="1:22" x14ac:dyDescent="0.25">
      <c r="A5395" s="98" t="s">
        <v>19</v>
      </c>
      <c r="B5395" s="98" t="s">
        <v>17</v>
      </c>
      <c r="C5395" s="98">
        <v>39</v>
      </c>
      <c r="D5395" s="98">
        <v>310</v>
      </c>
      <c r="E5395" s="157">
        <v>42068.897916666669</v>
      </c>
      <c r="F5395" s="157">
        <v>42069.326388888891</v>
      </c>
      <c r="G5395" s="98">
        <v>490</v>
      </c>
      <c r="H5395" s="98">
        <v>530</v>
      </c>
      <c r="I5395" s="98">
        <v>493</v>
      </c>
      <c r="J5395" s="98" t="s">
        <v>1966</v>
      </c>
      <c r="K5395" s="98" t="s">
        <v>3060</v>
      </c>
      <c r="L5395" s="105" t="str">
        <f t="shared" si="890"/>
        <v>Trimble</v>
      </c>
      <c r="M5395" s="105" t="str">
        <f t="shared" si="891"/>
        <v>Derate</v>
      </c>
      <c r="N5395" s="105" t="str">
        <f t="shared" si="892"/>
        <v>Coal</v>
      </c>
      <c r="O5395" s="105">
        <f>IFERROR(VLOOKUP(A5395,Lookup!$J$5:$P$19,7,FALSE),0)</f>
        <v>3</v>
      </c>
      <c r="P5395" s="159">
        <f t="shared" si="893"/>
        <v>2015</v>
      </c>
      <c r="Q5395" s="159">
        <f t="shared" si="894"/>
        <v>3</v>
      </c>
      <c r="R5395" s="160">
        <f t="shared" si="895"/>
        <v>10.283333333325572</v>
      </c>
      <c r="S5395" s="158">
        <f t="shared" si="896"/>
        <v>0.77610062893023191</v>
      </c>
      <c r="T5395" s="161">
        <f t="shared" si="897"/>
        <v>382.61761006260434</v>
      </c>
      <c r="U5395" s="158">
        <f t="shared" si="899"/>
        <v>37.20754716981132</v>
      </c>
      <c r="V5395" s="160">
        <f t="shared" si="898"/>
        <v>37</v>
      </c>
    </row>
    <row r="5396" spans="1:22" x14ac:dyDescent="0.25">
      <c r="A5396" s="98" t="s">
        <v>19</v>
      </c>
      <c r="B5396" s="98" t="s">
        <v>17</v>
      </c>
      <c r="C5396" s="98">
        <v>40</v>
      </c>
      <c r="D5396" s="98">
        <v>1493</v>
      </c>
      <c r="E5396" s="157">
        <v>42069.326388888891</v>
      </c>
      <c r="F5396" s="157">
        <v>42071.385416666664</v>
      </c>
      <c r="G5396" s="98">
        <v>530</v>
      </c>
      <c r="H5396" s="98">
        <v>530</v>
      </c>
      <c r="I5396" s="98">
        <v>493</v>
      </c>
      <c r="J5396" s="98" t="s">
        <v>2185</v>
      </c>
      <c r="K5396" s="98" t="s">
        <v>3058</v>
      </c>
      <c r="L5396" s="105" t="str">
        <f t="shared" si="890"/>
        <v>Trimble</v>
      </c>
      <c r="M5396" s="105" t="str">
        <f t="shared" si="891"/>
        <v>Derate</v>
      </c>
      <c r="N5396" s="105" t="str">
        <f t="shared" si="892"/>
        <v>Coal</v>
      </c>
      <c r="O5396" s="105">
        <f>IFERROR(VLOOKUP(A5396,Lookup!$J$5:$P$19,7,FALSE),0)</f>
        <v>3</v>
      </c>
      <c r="P5396" s="159">
        <f t="shared" si="893"/>
        <v>2015</v>
      </c>
      <c r="Q5396" s="159">
        <f t="shared" si="894"/>
        <v>3</v>
      </c>
      <c r="R5396" s="160">
        <f t="shared" si="895"/>
        <v>49.416666666569654</v>
      </c>
      <c r="S5396" s="158">
        <f t="shared" si="896"/>
        <v>0</v>
      </c>
      <c r="T5396" s="161">
        <f t="shared" si="897"/>
        <v>0</v>
      </c>
      <c r="U5396" s="158">
        <f t="shared" si="899"/>
        <v>0</v>
      </c>
      <c r="V5396" s="160">
        <f t="shared" si="898"/>
        <v>0</v>
      </c>
    </row>
    <row r="5397" spans="1:22" x14ac:dyDescent="0.25">
      <c r="A5397" s="98" t="s">
        <v>19</v>
      </c>
      <c r="B5397" s="98" t="s">
        <v>17</v>
      </c>
      <c r="C5397" s="98">
        <v>41</v>
      </c>
      <c r="D5397" s="98">
        <v>280</v>
      </c>
      <c r="E5397" s="157">
        <v>42071.385416666664</v>
      </c>
      <c r="F5397" s="157">
        <v>42071.742361111108</v>
      </c>
      <c r="G5397" s="98">
        <v>375</v>
      </c>
      <c r="H5397" s="98">
        <v>530</v>
      </c>
      <c r="I5397" s="98">
        <v>493</v>
      </c>
      <c r="J5397" s="98" t="s">
        <v>1988</v>
      </c>
      <c r="K5397" s="98" t="s">
        <v>3061</v>
      </c>
      <c r="L5397" s="105" t="str">
        <f t="shared" si="890"/>
        <v>Trimble</v>
      </c>
      <c r="M5397" s="105" t="str">
        <f t="shared" si="891"/>
        <v>Derate</v>
      </c>
      <c r="N5397" s="105" t="str">
        <f t="shared" si="892"/>
        <v>Coal</v>
      </c>
      <c r="O5397" s="105">
        <f>IFERROR(VLOOKUP(A5397,Lookup!$J$5:$P$19,7,FALSE),0)</f>
        <v>3</v>
      </c>
      <c r="P5397" s="159">
        <f t="shared" si="893"/>
        <v>2015</v>
      </c>
      <c r="Q5397" s="159">
        <f t="shared" si="894"/>
        <v>3</v>
      </c>
      <c r="R5397" s="160">
        <f t="shared" si="895"/>
        <v>8.5666666666511446</v>
      </c>
      <c r="S5397" s="158">
        <f t="shared" si="896"/>
        <v>2.5053459119451462</v>
      </c>
      <c r="T5397" s="161">
        <f t="shared" si="897"/>
        <v>1235.1355345889572</v>
      </c>
      <c r="U5397" s="158">
        <f t="shared" si="899"/>
        <v>144.17924528301887</v>
      </c>
      <c r="V5397" s="160">
        <f t="shared" si="898"/>
        <v>144</v>
      </c>
    </row>
    <row r="5398" spans="1:22" x14ac:dyDescent="0.25">
      <c r="A5398" s="98" t="s">
        <v>19</v>
      </c>
      <c r="B5398" s="98" t="s">
        <v>17</v>
      </c>
      <c r="C5398" s="98">
        <v>42</v>
      </c>
      <c r="D5398" s="98">
        <v>1493</v>
      </c>
      <c r="E5398" s="157">
        <v>42071.742361111108</v>
      </c>
      <c r="F5398" s="157">
        <v>42077.306944444441</v>
      </c>
      <c r="G5398" s="98">
        <v>530</v>
      </c>
      <c r="H5398" s="98">
        <v>530</v>
      </c>
      <c r="I5398" s="98">
        <v>493</v>
      </c>
      <c r="J5398" s="98" t="s">
        <v>2185</v>
      </c>
      <c r="K5398" s="98" t="s">
        <v>3058</v>
      </c>
      <c r="L5398" s="105" t="str">
        <f t="shared" si="890"/>
        <v>Trimble</v>
      </c>
      <c r="M5398" s="105" t="str">
        <f t="shared" si="891"/>
        <v>Derate</v>
      </c>
      <c r="N5398" s="105" t="str">
        <f t="shared" si="892"/>
        <v>Coal</v>
      </c>
      <c r="O5398" s="105">
        <f>IFERROR(VLOOKUP(A5398,Lookup!$J$5:$P$19,7,FALSE),0)</f>
        <v>3</v>
      </c>
      <c r="P5398" s="159">
        <f t="shared" si="893"/>
        <v>2015</v>
      </c>
      <c r="Q5398" s="159">
        <f t="shared" si="894"/>
        <v>3</v>
      </c>
      <c r="R5398" s="160">
        <f t="shared" si="895"/>
        <v>133.54999999998836</v>
      </c>
      <c r="S5398" s="158">
        <f t="shared" si="896"/>
        <v>0</v>
      </c>
      <c r="T5398" s="161">
        <f t="shared" si="897"/>
        <v>0</v>
      </c>
      <c r="U5398" s="158">
        <f t="shared" si="899"/>
        <v>0</v>
      </c>
      <c r="V5398" s="160">
        <f t="shared" si="898"/>
        <v>0</v>
      </c>
    </row>
    <row r="5399" spans="1:22" x14ac:dyDescent="0.25">
      <c r="A5399" s="98" t="s">
        <v>19</v>
      </c>
      <c r="B5399" s="98" t="s">
        <v>17</v>
      </c>
      <c r="C5399" s="98">
        <v>43</v>
      </c>
      <c r="D5399" s="98">
        <v>310</v>
      </c>
      <c r="E5399" s="157">
        <v>42077.306944444441</v>
      </c>
      <c r="F5399" s="157">
        <v>42077.357638888891</v>
      </c>
      <c r="G5399" s="98">
        <v>500</v>
      </c>
      <c r="H5399" s="98">
        <v>530</v>
      </c>
      <c r="I5399" s="98">
        <v>493</v>
      </c>
      <c r="J5399" s="98" t="s">
        <v>1966</v>
      </c>
      <c r="K5399" s="98" t="s">
        <v>3062</v>
      </c>
      <c r="L5399" s="105" t="str">
        <f t="shared" si="890"/>
        <v>Trimble</v>
      </c>
      <c r="M5399" s="105" t="str">
        <f t="shared" si="891"/>
        <v>Derate</v>
      </c>
      <c r="N5399" s="105" t="str">
        <f t="shared" si="892"/>
        <v>Coal</v>
      </c>
      <c r="O5399" s="105">
        <f>IFERROR(VLOOKUP(A5399,Lookup!$J$5:$P$19,7,FALSE),0)</f>
        <v>3</v>
      </c>
      <c r="P5399" s="159">
        <f t="shared" si="893"/>
        <v>2015</v>
      </c>
      <c r="Q5399" s="159">
        <f t="shared" si="894"/>
        <v>3</v>
      </c>
      <c r="R5399" s="160">
        <f t="shared" si="895"/>
        <v>1.216666666790843</v>
      </c>
      <c r="S5399" s="158">
        <f t="shared" si="896"/>
        <v>6.8867924535330735E-2</v>
      </c>
      <c r="T5399" s="161">
        <f t="shared" si="897"/>
        <v>33.95188679591805</v>
      </c>
      <c r="U5399" s="158">
        <f t="shared" si="899"/>
        <v>27.90566037735849</v>
      </c>
      <c r="V5399" s="160">
        <f t="shared" si="898"/>
        <v>28</v>
      </c>
    </row>
    <row r="5400" spans="1:22" x14ac:dyDescent="0.25">
      <c r="A5400" s="98" t="s">
        <v>19</v>
      </c>
      <c r="B5400" s="98" t="s">
        <v>17</v>
      </c>
      <c r="C5400" s="98">
        <v>44</v>
      </c>
      <c r="D5400" s="98">
        <v>310</v>
      </c>
      <c r="E5400" s="157">
        <v>42077.357638888891</v>
      </c>
      <c r="F5400" s="157">
        <v>42077.513888888891</v>
      </c>
      <c r="G5400" s="98">
        <v>490</v>
      </c>
      <c r="H5400" s="98">
        <v>530</v>
      </c>
      <c r="I5400" s="98">
        <v>493</v>
      </c>
      <c r="J5400" s="98" t="s">
        <v>1966</v>
      </c>
      <c r="K5400" s="98" t="s">
        <v>3062</v>
      </c>
      <c r="L5400" s="105" t="str">
        <f t="shared" si="890"/>
        <v>Trimble</v>
      </c>
      <c r="M5400" s="105" t="str">
        <f t="shared" si="891"/>
        <v>Derate</v>
      </c>
      <c r="N5400" s="105" t="str">
        <f t="shared" si="892"/>
        <v>Coal</v>
      </c>
      <c r="O5400" s="105">
        <f>IFERROR(VLOOKUP(A5400,Lookup!$J$5:$P$19,7,FALSE),0)</f>
        <v>3</v>
      </c>
      <c r="P5400" s="159">
        <f t="shared" si="893"/>
        <v>2015</v>
      </c>
      <c r="Q5400" s="159">
        <f t="shared" si="894"/>
        <v>3</v>
      </c>
      <c r="R5400" s="160">
        <f t="shared" si="895"/>
        <v>3.75</v>
      </c>
      <c r="S5400" s="158">
        <f t="shared" si="896"/>
        <v>0.28301886792452829</v>
      </c>
      <c r="T5400" s="161">
        <f t="shared" si="897"/>
        <v>139.52830188679246</v>
      </c>
      <c r="U5400" s="158">
        <f t="shared" si="899"/>
        <v>37.20754716981132</v>
      </c>
      <c r="V5400" s="160">
        <f t="shared" si="898"/>
        <v>37</v>
      </c>
    </row>
    <row r="5401" spans="1:22" x14ac:dyDescent="0.25">
      <c r="A5401" s="98" t="s">
        <v>19</v>
      </c>
      <c r="B5401" s="98" t="s">
        <v>17</v>
      </c>
      <c r="C5401" s="98">
        <v>45</v>
      </c>
      <c r="D5401" s="98">
        <v>1493</v>
      </c>
      <c r="E5401" s="157">
        <v>42077.513888888891</v>
      </c>
      <c r="F5401" s="157">
        <v>42079.5</v>
      </c>
      <c r="G5401" s="98">
        <v>530</v>
      </c>
      <c r="H5401" s="98">
        <v>530</v>
      </c>
      <c r="I5401" s="98">
        <v>493</v>
      </c>
      <c r="J5401" s="98" t="s">
        <v>2185</v>
      </c>
      <c r="K5401" s="98" t="s">
        <v>3058</v>
      </c>
      <c r="L5401" s="105" t="str">
        <f t="shared" si="890"/>
        <v>Trimble</v>
      </c>
      <c r="M5401" s="105" t="str">
        <f t="shared" si="891"/>
        <v>Derate</v>
      </c>
      <c r="N5401" s="105" t="str">
        <f t="shared" si="892"/>
        <v>Coal</v>
      </c>
      <c r="O5401" s="105">
        <f>IFERROR(VLOOKUP(A5401,Lookup!$J$5:$P$19,7,FALSE),0)</f>
        <v>3</v>
      </c>
      <c r="P5401" s="159">
        <f t="shared" si="893"/>
        <v>2015</v>
      </c>
      <c r="Q5401" s="159">
        <f t="shared" si="894"/>
        <v>3</v>
      </c>
      <c r="R5401" s="160">
        <f t="shared" si="895"/>
        <v>47.666666666627862</v>
      </c>
      <c r="S5401" s="158">
        <f t="shared" si="896"/>
        <v>0</v>
      </c>
      <c r="T5401" s="161">
        <f t="shared" si="897"/>
        <v>0</v>
      </c>
      <c r="U5401" s="158">
        <f t="shared" si="899"/>
        <v>0</v>
      </c>
      <c r="V5401" s="160">
        <f t="shared" si="898"/>
        <v>0</v>
      </c>
    </row>
    <row r="5402" spans="1:22" x14ac:dyDescent="0.25">
      <c r="A5402" s="98" t="s">
        <v>19</v>
      </c>
      <c r="B5402" s="98" t="s">
        <v>17</v>
      </c>
      <c r="C5402" s="98">
        <v>46</v>
      </c>
      <c r="D5402" s="98">
        <v>250</v>
      </c>
      <c r="E5402" s="157">
        <v>42079.5</v>
      </c>
      <c r="F5402" s="157">
        <v>42079.527777777781</v>
      </c>
      <c r="G5402" s="98">
        <v>375</v>
      </c>
      <c r="H5402" s="98">
        <v>530</v>
      </c>
      <c r="I5402" s="98">
        <v>493</v>
      </c>
      <c r="J5402" s="98" t="s">
        <v>1978</v>
      </c>
      <c r="K5402" s="98" t="s">
        <v>3063</v>
      </c>
      <c r="L5402" s="105" t="str">
        <f t="shared" si="890"/>
        <v>Trimble</v>
      </c>
      <c r="M5402" s="105" t="str">
        <f t="shared" si="891"/>
        <v>Derate</v>
      </c>
      <c r="N5402" s="105" t="str">
        <f t="shared" si="892"/>
        <v>Coal</v>
      </c>
      <c r="O5402" s="105">
        <f>IFERROR(VLOOKUP(A5402,Lookup!$J$5:$P$19,7,FALSE),0)</f>
        <v>3</v>
      </c>
      <c r="P5402" s="159">
        <f t="shared" si="893"/>
        <v>2015</v>
      </c>
      <c r="Q5402" s="159">
        <f t="shared" si="894"/>
        <v>3</v>
      </c>
      <c r="R5402" s="160">
        <f t="shared" si="895"/>
        <v>0.66666666674427688</v>
      </c>
      <c r="S5402" s="158">
        <f t="shared" si="896"/>
        <v>0.19496855348181683</v>
      </c>
      <c r="T5402" s="161">
        <f t="shared" si="897"/>
        <v>96.119496866535698</v>
      </c>
      <c r="U5402" s="158">
        <f t="shared" si="899"/>
        <v>144.17924528301887</v>
      </c>
      <c r="V5402" s="160">
        <f t="shared" si="898"/>
        <v>144</v>
      </c>
    </row>
    <row r="5403" spans="1:22" x14ac:dyDescent="0.25">
      <c r="A5403" s="98" t="s">
        <v>19</v>
      </c>
      <c r="B5403" s="98" t="s">
        <v>17</v>
      </c>
      <c r="C5403" s="98">
        <v>47</v>
      </c>
      <c r="D5403" s="98">
        <v>1493</v>
      </c>
      <c r="E5403" s="157">
        <v>42079.527777777781</v>
      </c>
      <c r="F5403" s="157">
        <v>42079.756944444445</v>
      </c>
      <c r="G5403" s="98">
        <v>530</v>
      </c>
      <c r="H5403" s="98">
        <v>530</v>
      </c>
      <c r="I5403" s="98">
        <v>493</v>
      </c>
      <c r="J5403" s="98" t="s">
        <v>2185</v>
      </c>
      <c r="K5403" s="98" t="s">
        <v>3058</v>
      </c>
      <c r="L5403" s="105" t="str">
        <f t="shared" si="890"/>
        <v>Trimble</v>
      </c>
      <c r="M5403" s="105" t="str">
        <f t="shared" si="891"/>
        <v>Derate</v>
      </c>
      <c r="N5403" s="105" t="str">
        <f t="shared" si="892"/>
        <v>Coal</v>
      </c>
      <c r="O5403" s="105">
        <f>IFERROR(VLOOKUP(A5403,Lookup!$J$5:$P$19,7,FALSE),0)</f>
        <v>3</v>
      </c>
      <c r="P5403" s="159">
        <f t="shared" si="893"/>
        <v>2015</v>
      </c>
      <c r="Q5403" s="159">
        <f t="shared" si="894"/>
        <v>3</v>
      </c>
      <c r="R5403" s="160">
        <f t="shared" si="895"/>
        <v>5.4999999999417923</v>
      </c>
      <c r="S5403" s="158">
        <f t="shared" si="896"/>
        <v>0</v>
      </c>
      <c r="T5403" s="161">
        <f t="shared" si="897"/>
        <v>0</v>
      </c>
      <c r="U5403" s="158">
        <f t="shared" si="899"/>
        <v>0</v>
      </c>
      <c r="V5403" s="160">
        <f t="shared" si="898"/>
        <v>0</v>
      </c>
    </row>
    <row r="5404" spans="1:22" x14ac:dyDescent="0.25">
      <c r="A5404" s="98" t="s">
        <v>19</v>
      </c>
      <c r="B5404" s="98" t="s">
        <v>17</v>
      </c>
      <c r="C5404" s="98">
        <v>48</v>
      </c>
      <c r="D5404" s="98">
        <v>340</v>
      </c>
      <c r="E5404" s="157">
        <v>42079.756944444445</v>
      </c>
      <c r="F5404" s="157">
        <v>42079.853472222225</v>
      </c>
      <c r="G5404" s="98">
        <v>490</v>
      </c>
      <c r="H5404" s="98">
        <v>530</v>
      </c>
      <c r="I5404" s="98">
        <v>493</v>
      </c>
      <c r="J5404" s="98" t="s">
        <v>1970</v>
      </c>
      <c r="K5404" s="98" t="s">
        <v>3064</v>
      </c>
      <c r="L5404" s="105" t="str">
        <f t="shared" si="890"/>
        <v>Trimble</v>
      </c>
      <c r="M5404" s="105" t="str">
        <f t="shared" si="891"/>
        <v>Derate</v>
      </c>
      <c r="N5404" s="105" t="str">
        <f t="shared" si="892"/>
        <v>Coal</v>
      </c>
      <c r="O5404" s="105">
        <f>IFERROR(VLOOKUP(A5404,Lookup!$J$5:$P$19,7,FALSE),0)</f>
        <v>3</v>
      </c>
      <c r="P5404" s="159">
        <f t="shared" si="893"/>
        <v>2015</v>
      </c>
      <c r="Q5404" s="159">
        <f t="shared" si="894"/>
        <v>3</v>
      </c>
      <c r="R5404" s="160">
        <f t="shared" si="895"/>
        <v>2.3166666667093523</v>
      </c>
      <c r="S5404" s="158">
        <f t="shared" si="896"/>
        <v>0.17484276729881904</v>
      </c>
      <c r="T5404" s="161">
        <f t="shared" si="897"/>
        <v>86.197484278317788</v>
      </c>
      <c r="U5404" s="158">
        <f t="shared" si="899"/>
        <v>37.20754716981132</v>
      </c>
      <c r="V5404" s="160">
        <f t="shared" si="898"/>
        <v>37</v>
      </c>
    </row>
    <row r="5405" spans="1:22" x14ac:dyDescent="0.25">
      <c r="A5405" s="98" t="s">
        <v>19</v>
      </c>
      <c r="B5405" s="98" t="s">
        <v>17</v>
      </c>
      <c r="C5405" s="98">
        <v>49</v>
      </c>
      <c r="D5405" s="98">
        <v>1493</v>
      </c>
      <c r="E5405" s="157">
        <v>42079.853472222225</v>
      </c>
      <c r="F5405" s="157">
        <v>42080.659722222219</v>
      </c>
      <c r="G5405" s="98">
        <v>530</v>
      </c>
      <c r="H5405" s="98">
        <v>530</v>
      </c>
      <c r="I5405" s="98">
        <v>493</v>
      </c>
      <c r="J5405" s="98" t="s">
        <v>2185</v>
      </c>
      <c r="K5405" s="98" t="s">
        <v>3058</v>
      </c>
      <c r="L5405" s="105" t="str">
        <f t="shared" si="890"/>
        <v>Trimble</v>
      </c>
      <c r="M5405" s="105" t="str">
        <f t="shared" si="891"/>
        <v>Derate</v>
      </c>
      <c r="N5405" s="105" t="str">
        <f t="shared" si="892"/>
        <v>Coal</v>
      </c>
      <c r="O5405" s="105">
        <f>IFERROR(VLOOKUP(A5405,Lookup!$J$5:$P$19,7,FALSE),0)</f>
        <v>3</v>
      </c>
      <c r="P5405" s="159">
        <f t="shared" si="893"/>
        <v>2015</v>
      </c>
      <c r="Q5405" s="159">
        <f t="shared" si="894"/>
        <v>3</v>
      </c>
      <c r="R5405" s="160">
        <f t="shared" si="895"/>
        <v>19.349999999860302</v>
      </c>
      <c r="S5405" s="158">
        <f t="shared" si="896"/>
        <v>0</v>
      </c>
      <c r="T5405" s="161">
        <f t="shared" si="897"/>
        <v>0</v>
      </c>
      <c r="U5405" s="158">
        <f t="shared" si="899"/>
        <v>0</v>
      </c>
      <c r="V5405" s="160">
        <f t="shared" si="898"/>
        <v>0</v>
      </c>
    </row>
    <row r="5406" spans="1:22" x14ac:dyDescent="0.25">
      <c r="A5406" s="98" t="s">
        <v>19</v>
      </c>
      <c r="B5406" s="98" t="s">
        <v>17</v>
      </c>
      <c r="C5406" s="98">
        <v>50</v>
      </c>
      <c r="D5406" s="98">
        <v>360</v>
      </c>
      <c r="E5406" s="157">
        <v>42080.659722222219</v>
      </c>
      <c r="F5406" s="157">
        <v>42081.435416666667</v>
      </c>
      <c r="G5406" s="98">
        <v>490</v>
      </c>
      <c r="H5406" s="98">
        <v>530</v>
      </c>
      <c r="I5406" s="98">
        <v>493</v>
      </c>
      <c r="J5406" s="98" t="s">
        <v>229</v>
      </c>
      <c r="K5406" s="98" t="s">
        <v>3065</v>
      </c>
      <c r="L5406" s="105" t="str">
        <f t="shared" si="890"/>
        <v>Trimble</v>
      </c>
      <c r="M5406" s="105" t="str">
        <f t="shared" si="891"/>
        <v>Derate</v>
      </c>
      <c r="N5406" s="105" t="str">
        <f t="shared" si="892"/>
        <v>Coal</v>
      </c>
      <c r="O5406" s="105">
        <f>IFERROR(VLOOKUP(A5406,Lookup!$J$5:$P$19,7,FALSE),0)</f>
        <v>3</v>
      </c>
      <c r="P5406" s="159">
        <f t="shared" si="893"/>
        <v>2015</v>
      </c>
      <c r="Q5406" s="159">
        <f t="shared" si="894"/>
        <v>3</v>
      </c>
      <c r="R5406" s="160">
        <f t="shared" si="895"/>
        <v>18.616666666755918</v>
      </c>
      <c r="S5406" s="158">
        <f t="shared" si="896"/>
        <v>1.4050314465476166</v>
      </c>
      <c r="T5406" s="161">
        <f t="shared" si="897"/>
        <v>692.68050314797495</v>
      </c>
      <c r="U5406" s="158">
        <f t="shared" si="899"/>
        <v>37.20754716981132</v>
      </c>
      <c r="V5406" s="160">
        <f t="shared" si="898"/>
        <v>37</v>
      </c>
    </row>
    <row r="5407" spans="1:22" x14ac:dyDescent="0.25">
      <c r="A5407" s="98" t="s">
        <v>19</v>
      </c>
      <c r="B5407" s="98" t="s">
        <v>17</v>
      </c>
      <c r="C5407" s="98">
        <v>51</v>
      </c>
      <c r="D5407" s="98">
        <v>3416</v>
      </c>
      <c r="E5407" s="157">
        <v>42081.435416666667</v>
      </c>
      <c r="F5407" s="157">
        <v>42082.020138888889</v>
      </c>
      <c r="G5407" s="98">
        <v>525</v>
      </c>
      <c r="H5407" s="98">
        <v>530</v>
      </c>
      <c r="I5407" s="98">
        <v>493</v>
      </c>
      <c r="J5407" s="98" t="s">
        <v>2164</v>
      </c>
      <c r="K5407" s="98" t="s">
        <v>3066</v>
      </c>
      <c r="L5407" s="105" t="str">
        <f t="shared" si="890"/>
        <v>Trimble</v>
      </c>
      <c r="M5407" s="105" t="str">
        <f t="shared" si="891"/>
        <v>Derate</v>
      </c>
      <c r="N5407" s="105" t="str">
        <f t="shared" si="892"/>
        <v>Coal</v>
      </c>
      <c r="O5407" s="105">
        <f>IFERROR(VLOOKUP(A5407,Lookup!$J$5:$P$19,7,FALSE),0)</f>
        <v>3</v>
      </c>
      <c r="P5407" s="159">
        <f t="shared" si="893"/>
        <v>2015</v>
      </c>
      <c r="Q5407" s="159">
        <f t="shared" si="894"/>
        <v>3</v>
      </c>
      <c r="R5407" s="160">
        <f t="shared" si="895"/>
        <v>14.033333333325572</v>
      </c>
      <c r="S5407" s="158">
        <f t="shared" si="896"/>
        <v>0.13238993710684502</v>
      </c>
      <c r="T5407" s="161">
        <f t="shared" si="897"/>
        <v>65.268238993674601</v>
      </c>
      <c r="U5407" s="158">
        <f t="shared" si="899"/>
        <v>4.6509433962264151</v>
      </c>
      <c r="V5407" s="160">
        <f t="shared" si="898"/>
        <v>5</v>
      </c>
    </row>
    <row r="5408" spans="1:22" x14ac:dyDescent="0.25">
      <c r="A5408" s="98" t="s">
        <v>19</v>
      </c>
      <c r="B5408" s="98" t="s">
        <v>20</v>
      </c>
      <c r="C5408" s="98">
        <v>52</v>
      </c>
      <c r="D5408" s="98">
        <v>1493</v>
      </c>
      <c r="E5408" s="157">
        <v>42082.020138888889</v>
      </c>
      <c r="F5408" s="157">
        <v>42086.472916666666</v>
      </c>
      <c r="G5408" s="98">
        <v>0</v>
      </c>
      <c r="H5408" s="98">
        <v>530</v>
      </c>
      <c r="I5408" s="98">
        <v>493</v>
      </c>
      <c r="J5408" s="98" t="s">
        <v>2185</v>
      </c>
      <c r="K5408" s="98" t="s">
        <v>3067</v>
      </c>
      <c r="L5408" s="105" t="str">
        <f t="shared" si="890"/>
        <v>Trimble</v>
      </c>
      <c r="M5408" s="105" t="str">
        <f t="shared" si="891"/>
        <v>Maintenance</v>
      </c>
      <c r="N5408" s="105" t="str">
        <f t="shared" si="892"/>
        <v>Coal</v>
      </c>
      <c r="O5408" s="105">
        <f>IFERROR(VLOOKUP(A5408,Lookup!$J$5:$P$19,7,FALSE),0)</f>
        <v>3</v>
      </c>
      <c r="P5408" s="159">
        <f t="shared" si="893"/>
        <v>2015</v>
      </c>
      <c r="Q5408" s="159">
        <f t="shared" si="894"/>
        <v>3</v>
      </c>
      <c r="R5408" s="160">
        <f t="shared" si="895"/>
        <v>106.8666666666395</v>
      </c>
      <c r="S5408" s="158">
        <f t="shared" si="896"/>
        <v>106.8666666666395</v>
      </c>
      <c r="T5408" s="161">
        <f t="shared" si="897"/>
        <v>52685.266666653275</v>
      </c>
      <c r="U5408" s="158">
        <f t="shared" si="899"/>
        <v>493</v>
      </c>
      <c r="V5408" s="160">
        <f t="shared" si="898"/>
        <v>493</v>
      </c>
    </row>
    <row r="5409" spans="1:22" x14ac:dyDescent="0.25">
      <c r="A5409" s="98" t="s">
        <v>19</v>
      </c>
      <c r="B5409" s="98" t="s">
        <v>17</v>
      </c>
      <c r="C5409" s="98">
        <v>53</v>
      </c>
      <c r="D5409" s="98">
        <v>3412</v>
      </c>
      <c r="E5409" s="157">
        <v>42086.472916666666</v>
      </c>
      <c r="F5409" s="157">
        <v>42087.177083333336</v>
      </c>
      <c r="G5409" s="98">
        <v>525</v>
      </c>
      <c r="H5409" s="98">
        <v>530</v>
      </c>
      <c r="I5409" s="98">
        <v>493</v>
      </c>
      <c r="J5409" s="98" t="s">
        <v>2162</v>
      </c>
      <c r="K5409" s="98" t="s">
        <v>3068</v>
      </c>
      <c r="L5409" s="105" t="str">
        <f t="shared" si="890"/>
        <v>Trimble</v>
      </c>
      <c r="M5409" s="105" t="str">
        <f t="shared" si="891"/>
        <v>Derate</v>
      </c>
      <c r="N5409" s="105" t="str">
        <f t="shared" si="892"/>
        <v>Coal</v>
      </c>
      <c r="O5409" s="105">
        <f>IFERROR(VLOOKUP(A5409,Lookup!$J$5:$P$19,7,FALSE),0)</f>
        <v>3</v>
      </c>
      <c r="P5409" s="159">
        <f t="shared" si="893"/>
        <v>2015</v>
      </c>
      <c r="Q5409" s="159">
        <f t="shared" si="894"/>
        <v>3</v>
      </c>
      <c r="R5409" s="160">
        <f t="shared" si="895"/>
        <v>16.900000000081491</v>
      </c>
      <c r="S5409" s="158">
        <f t="shared" si="896"/>
        <v>0.15943396226491974</v>
      </c>
      <c r="T5409" s="161">
        <f t="shared" si="897"/>
        <v>78.60094339660543</v>
      </c>
      <c r="U5409" s="158">
        <f t="shared" si="899"/>
        <v>4.6509433962264151</v>
      </c>
      <c r="V5409" s="160">
        <f t="shared" si="898"/>
        <v>5</v>
      </c>
    </row>
    <row r="5410" spans="1:22" x14ac:dyDescent="0.25">
      <c r="A5410" s="98" t="s">
        <v>19</v>
      </c>
      <c r="B5410" s="98" t="s">
        <v>17</v>
      </c>
      <c r="C5410" s="98">
        <v>54</v>
      </c>
      <c r="D5410" s="98">
        <v>360</v>
      </c>
      <c r="E5410" s="157">
        <v>42090.527777777781</v>
      </c>
      <c r="F5410" s="157">
        <v>42090.783333333333</v>
      </c>
      <c r="G5410" s="98">
        <v>530</v>
      </c>
      <c r="H5410" s="98">
        <v>530</v>
      </c>
      <c r="I5410" s="98">
        <v>493</v>
      </c>
      <c r="J5410" s="98" t="s">
        <v>229</v>
      </c>
      <c r="K5410" s="98" t="s">
        <v>3069</v>
      </c>
      <c r="L5410" s="105" t="str">
        <f t="shared" si="890"/>
        <v>Trimble</v>
      </c>
      <c r="M5410" s="105" t="str">
        <f t="shared" si="891"/>
        <v>Derate</v>
      </c>
      <c r="N5410" s="105" t="str">
        <f t="shared" si="892"/>
        <v>Coal</v>
      </c>
      <c r="O5410" s="105">
        <f>IFERROR(VLOOKUP(A5410,Lookup!$J$5:$P$19,7,FALSE),0)</f>
        <v>3</v>
      </c>
      <c r="P5410" s="159">
        <f t="shared" si="893"/>
        <v>2015</v>
      </c>
      <c r="Q5410" s="159">
        <f t="shared" si="894"/>
        <v>3</v>
      </c>
      <c r="R5410" s="160">
        <f t="shared" si="895"/>
        <v>6.1333333332440816</v>
      </c>
      <c r="S5410" s="158">
        <f t="shared" si="896"/>
        <v>0</v>
      </c>
      <c r="T5410" s="161">
        <f t="shared" si="897"/>
        <v>0</v>
      </c>
      <c r="U5410" s="158">
        <f t="shared" si="899"/>
        <v>0</v>
      </c>
      <c r="V5410" s="160">
        <f t="shared" si="898"/>
        <v>0</v>
      </c>
    </row>
    <row r="5411" spans="1:22" x14ac:dyDescent="0.25">
      <c r="A5411" s="98" t="s">
        <v>19</v>
      </c>
      <c r="B5411" s="98" t="s">
        <v>17</v>
      </c>
      <c r="C5411" s="98">
        <v>55</v>
      </c>
      <c r="D5411" s="98">
        <v>310</v>
      </c>
      <c r="E5411" s="157">
        <v>42092.693749999999</v>
      </c>
      <c r="F5411" s="157">
        <v>42092.748611111114</v>
      </c>
      <c r="G5411" s="98">
        <v>530</v>
      </c>
      <c r="H5411" s="98">
        <v>530</v>
      </c>
      <c r="I5411" s="98">
        <v>493</v>
      </c>
      <c r="J5411" s="98" t="s">
        <v>1966</v>
      </c>
      <c r="K5411" s="98" t="s">
        <v>3070</v>
      </c>
      <c r="L5411" s="105" t="str">
        <f t="shared" si="890"/>
        <v>Trimble</v>
      </c>
      <c r="M5411" s="105" t="str">
        <f t="shared" si="891"/>
        <v>Derate</v>
      </c>
      <c r="N5411" s="105" t="str">
        <f t="shared" si="892"/>
        <v>Coal</v>
      </c>
      <c r="O5411" s="105">
        <f>IFERROR(VLOOKUP(A5411,Lookup!$J$5:$P$19,7,FALSE),0)</f>
        <v>3</v>
      </c>
      <c r="P5411" s="159">
        <f t="shared" si="893"/>
        <v>2015</v>
      </c>
      <c r="Q5411" s="159">
        <f t="shared" si="894"/>
        <v>3</v>
      </c>
      <c r="R5411" s="160">
        <f t="shared" si="895"/>
        <v>1.3166666667675599</v>
      </c>
      <c r="S5411" s="158">
        <f t="shared" si="896"/>
        <v>0</v>
      </c>
      <c r="T5411" s="161">
        <f t="shared" si="897"/>
        <v>0</v>
      </c>
      <c r="U5411" s="158">
        <f t="shared" si="899"/>
        <v>0</v>
      </c>
      <c r="V5411" s="160">
        <f t="shared" si="898"/>
        <v>0</v>
      </c>
    </row>
    <row r="5412" spans="1:22" x14ac:dyDescent="0.25">
      <c r="A5412" s="98" t="s">
        <v>19</v>
      </c>
      <c r="B5412" s="98" t="s">
        <v>17</v>
      </c>
      <c r="C5412" s="98">
        <v>56</v>
      </c>
      <c r="D5412" s="98">
        <v>310</v>
      </c>
      <c r="E5412" s="157">
        <v>42093.395833333336</v>
      </c>
      <c r="F5412" s="157">
        <v>42093.541666666664</v>
      </c>
      <c r="G5412" s="98">
        <v>530</v>
      </c>
      <c r="H5412" s="98">
        <v>530</v>
      </c>
      <c r="I5412" s="98">
        <v>493</v>
      </c>
      <c r="J5412" s="98" t="s">
        <v>1966</v>
      </c>
      <c r="K5412" s="98" t="s">
        <v>3071</v>
      </c>
      <c r="L5412" s="105" t="str">
        <f t="shared" si="890"/>
        <v>Trimble</v>
      </c>
      <c r="M5412" s="105" t="str">
        <f t="shared" si="891"/>
        <v>Derate</v>
      </c>
      <c r="N5412" s="105" t="str">
        <f t="shared" si="892"/>
        <v>Coal</v>
      </c>
      <c r="O5412" s="105">
        <f>IFERROR(VLOOKUP(A5412,Lookup!$J$5:$P$19,7,FALSE),0)</f>
        <v>3</v>
      </c>
      <c r="P5412" s="159">
        <f t="shared" si="893"/>
        <v>2015</v>
      </c>
      <c r="Q5412" s="159">
        <f t="shared" si="894"/>
        <v>3</v>
      </c>
      <c r="R5412" s="160">
        <f t="shared" si="895"/>
        <v>3.4999999998835847</v>
      </c>
      <c r="S5412" s="158">
        <f t="shared" si="896"/>
        <v>0</v>
      </c>
      <c r="T5412" s="161">
        <f t="shared" si="897"/>
        <v>0</v>
      </c>
      <c r="U5412" s="158">
        <f t="shared" si="899"/>
        <v>0</v>
      </c>
      <c r="V5412" s="160">
        <f t="shared" si="898"/>
        <v>0</v>
      </c>
    </row>
    <row r="5413" spans="1:22" x14ac:dyDescent="0.25">
      <c r="A5413" s="98" t="s">
        <v>19</v>
      </c>
      <c r="B5413" s="98" t="s">
        <v>17</v>
      </c>
      <c r="C5413" s="98">
        <v>57</v>
      </c>
      <c r="D5413" s="98">
        <v>250</v>
      </c>
      <c r="E5413" s="157">
        <v>42098.306250000001</v>
      </c>
      <c r="F5413" s="157">
        <v>42098.379861111112</v>
      </c>
      <c r="G5413" s="98">
        <v>415</v>
      </c>
      <c r="H5413" s="98">
        <v>530</v>
      </c>
      <c r="I5413" s="98">
        <v>493</v>
      </c>
      <c r="J5413" s="98" t="s">
        <v>1978</v>
      </c>
      <c r="K5413" s="98" t="s">
        <v>3072</v>
      </c>
      <c r="L5413" s="105" t="str">
        <f t="shared" si="890"/>
        <v>Trimble</v>
      </c>
      <c r="M5413" s="105" t="str">
        <f t="shared" si="891"/>
        <v>Derate</v>
      </c>
      <c r="N5413" s="105" t="str">
        <f t="shared" si="892"/>
        <v>Coal</v>
      </c>
      <c r="O5413" s="105">
        <f>IFERROR(VLOOKUP(A5413,Lookup!$J$5:$P$19,7,FALSE),0)</f>
        <v>3</v>
      </c>
      <c r="P5413" s="159">
        <f t="shared" si="893"/>
        <v>2015</v>
      </c>
      <c r="Q5413" s="159">
        <f t="shared" si="894"/>
        <v>4</v>
      </c>
      <c r="R5413" s="160">
        <f t="shared" si="895"/>
        <v>1.7666666666627862</v>
      </c>
      <c r="S5413" s="158">
        <f t="shared" si="896"/>
        <v>0.38333333333249131</v>
      </c>
      <c r="T5413" s="161">
        <f t="shared" si="897"/>
        <v>188.98333333291822</v>
      </c>
      <c r="U5413" s="158">
        <f t="shared" si="899"/>
        <v>106.97169811320755</v>
      </c>
      <c r="V5413" s="160">
        <f t="shared" si="898"/>
        <v>107</v>
      </c>
    </row>
    <row r="5414" spans="1:22" x14ac:dyDescent="0.25">
      <c r="A5414" s="98" t="s">
        <v>19</v>
      </c>
      <c r="B5414" s="98" t="s">
        <v>17</v>
      </c>
      <c r="C5414" s="98">
        <v>58</v>
      </c>
      <c r="D5414" s="98">
        <v>310</v>
      </c>
      <c r="E5414" s="157">
        <v>42098.816666666666</v>
      </c>
      <c r="F5414" s="157">
        <v>42098.87222222222</v>
      </c>
      <c r="G5414" s="98">
        <v>500</v>
      </c>
      <c r="H5414" s="98">
        <v>530</v>
      </c>
      <c r="I5414" s="98">
        <v>493</v>
      </c>
      <c r="J5414" s="98" t="s">
        <v>1966</v>
      </c>
      <c r="K5414" s="98" t="s">
        <v>3073</v>
      </c>
      <c r="L5414" s="105" t="str">
        <f t="shared" si="890"/>
        <v>Trimble</v>
      </c>
      <c r="M5414" s="105" t="str">
        <f t="shared" si="891"/>
        <v>Derate</v>
      </c>
      <c r="N5414" s="105" t="str">
        <f t="shared" si="892"/>
        <v>Coal</v>
      </c>
      <c r="O5414" s="105">
        <f>IFERROR(VLOOKUP(A5414,Lookup!$J$5:$P$19,7,FALSE),0)</f>
        <v>3</v>
      </c>
      <c r="P5414" s="159">
        <f t="shared" si="893"/>
        <v>2015</v>
      </c>
      <c r="Q5414" s="159">
        <f t="shared" si="894"/>
        <v>4</v>
      </c>
      <c r="R5414" s="160">
        <f t="shared" si="895"/>
        <v>1.3333333333139308</v>
      </c>
      <c r="S5414" s="158">
        <f t="shared" si="896"/>
        <v>7.5471698112109284E-2</v>
      </c>
      <c r="T5414" s="161">
        <f t="shared" si="897"/>
        <v>37.20754716926988</v>
      </c>
      <c r="U5414" s="158">
        <f t="shared" si="899"/>
        <v>27.90566037735849</v>
      </c>
      <c r="V5414" s="160">
        <f t="shared" si="898"/>
        <v>28</v>
      </c>
    </row>
    <row r="5415" spans="1:22" x14ac:dyDescent="0.25">
      <c r="A5415" s="98" t="s">
        <v>19</v>
      </c>
      <c r="B5415" s="98" t="s">
        <v>17</v>
      </c>
      <c r="C5415" s="98">
        <v>59</v>
      </c>
      <c r="D5415" s="98">
        <v>250</v>
      </c>
      <c r="E5415" s="157">
        <v>42099.301388888889</v>
      </c>
      <c r="F5415" s="157">
        <v>42099.458333333336</v>
      </c>
      <c r="G5415" s="98">
        <v>440</v>
      </c>
      <c r="H5415" s="98">
        <v>530</v>
      </c>
      <c r="I5415" s="98">
        <v>493</v>
      </c>
      <c r="J5415" s="98" t="s">
        <v>1978</v>
      </c>
      <c r="K5415" s="98" t="s">
        <v>3072</v>
      </c>
      <c r="L5415" s="105" t="str">
        <f t="shared" si="890"/>
        <v>Trimble</v>
      </c>
      <c r="M5415" s="105" t="str">
        <f t="shared" si="891"/>
        <v>Derate</v>
      </c>
      <c r="N5415" s="105" t="str">
        <f t="shared" si="892"/>
        <v>Coal</v>
      </c>
      <c r="O5415" s="105">
        <f>IFERROR(VLOOKUP(A5415,Lookup!$J$5:$P$19,7,FALSE),0)</f>
        <v>3</v>
      </c>
      <c r="P5415" s="159">
        <f t="shared" si="893"/>
        <v>2015</v>
      </c>
      <c r="Q5415" s="159">
        <f t="shared" si="894"/>
        <v>4</v>
      </c>
      <c r="R5415" s="160">
        <f t="shared" si="895"/>
        <v>3.7666666667209938</v>
      </c>
      <c r="S5415" s="158">
        <f t="shared" si="896"/>
        <v>0.63962264151865933</v>
      </c>
      <c r="T5415" s="161">
        <f t="shared" si="897"/>
        <v>315.33396226869905</v>
      </c>
      <c r="U5415" s="158">
        <f t="shared" si="899"/>
        <v>83.716981132075475</v>
      </c>
      <c r="V5415" s="160">
        <f t="shared" si="898"/>
        <v>84</v>
      </c>
    </row>
    <row r="5416" spans="1:22" x14ac:dyDescent="0.25">
      <c r="A5416" s="98" t="s">
        <v>19</v>
      </c>
      <c r="B5416" s="98" t="s">
        <v>17</v>
      </c>
      <c r="C5416" s="98">
        <v>60</v>
      </c>
      <c r="D5416" s="98">
        <v>250</v>
      </c>
      <c r="E5416" s="157">
        <v>42102.876388888886</v>
      </c>
      <c r="F5416" s="157">
        <v>42102.908333333333</v>
      </c>
      <c r="G5416" s="98">
        <v>450</v>
      </c>
      <c r="H5416" s="98">
        <v>530</v>
      </c>
      <c r="I5416" s="98">
        <v>493</v>
      </c>
      <c r="J5416" s="98" t="s">
        <v>1978</v>
      </c>
      <c r="K5416" s="98" t="s">
        <v>3074</v>
      </c>
      <c r="L5416" s="105" t="str">
        <f t="shared" si="890"/>
        <v>Trimble</v>
      </c>
      <c r="M5416" s="105" t="str">
        <f t="shared" si="891"/>
        <v>Derate</v>
      </c>
      <c r="N5416" s="105" t="str">
        <f t="shared" si="892"/>
        <v>Coal</v>
      </c>
      <c r="O5416" s="105">
        <f>IFERROR(VLOOKUP(A5416,Lookup!$J$5:$P$19,7,FALSE),0)</f>
        <v>3</v>
      </c>
      <c r="P5416" s="159">
        <f t="shared" si="893"/>
        <v>2015</v>
      </c>
      <c r="Q5416" s="159">
        <f t="shared" si="894"/>
        <v>4</v>
      </c>
      <c r="R5416" s="160">
        <f t="shared" si="895"/>
        <v>0.76666666672099382</v>
      </c>
      <c r="S5416" s="158">
        <f t="shared" si="896"/>
        <v>0.1157232704484519</v>
      </c>
      <c r="T5416" s="161">
        <f t="shared" si="897"/>
        <v>57.051572331086788</v>
      </c>
      <c r="U5416" s="158">
        <f t="shared" si="899"/>
        <v>74.415094339622641</v>
      </c>
      <c r="V5416" s="160">
        <f t="shared" si="898"/>
        <v>74</v>
      </c>
    </row>
    <row r="5417" spans="1:22" x14ac:dyDescent="0.25">
      <c r="A5417" s="98" t="s">
        <v>19</v>
      </c>
      <c r="B5417" s="98" t="s">
        <v>17</v>
      </c>
      <c r="C5417" s="98">
        <v>61</v>
      </c>
      <c r="D5417" s="98">
        <v>250</v>
      </c>
      <c r="E5417" s="157">
        <v>42104.375694444447</v>
      </c>
      <c r="F5417" s="157">
        <v>42104.470138888886</v>
      </c>
      <c r="G5417" s="98">
        <v>440</v>
      </c>
      <c r="H5417" s="98">
        <v>530</v>
      </c>
      <c r="I5417" s="98">
        <v>493</v>
      </c>
      <c r="J5417" s="98" t="s">
        <v>1978</v>
      </c>
      <c r="K5417" s="98" t="s">
        <v>3072</v>
      </c>
      <c r="L5417" s="105" t="str">
        <f t="shared" si="890"/>
        <v>Trimble</v>
      </c>
      <c r="M5417" s="105" t="str">
        <f t="shared" si="891"/>
        <v>Derate</v>
      </c>
      <c r="N5417" s="105" t="str">
        <f t="shared" si="892"/>
        <v>Coal</v>
      </c>
      <c r="O5417" s="105">
        <f>IFERROR(VLOOKUP(A5417,Lookup!$J$5:$P$19,7,FALSE),0)</f>
        <v>3</v>
      </c>
      <c r="P5417" s="159">
        <f t="shared" si="893"/>
        <v>2015</v>
      </c>
      <c r="Q5417" s="159">
        <f t="shared" si="894"/>
        <v>4</v>
      </c>
      <c r="R5417" s="160">
        <f t="shared" si="895"/>
        <v>2.2666666665463708</v>
      </c>
      <c r="S5417" s="158">
        <f t="shared" si="896"/>
        <v>0.38490566035693091</v>
      </c>
      <c r="T5417" s="161">
        <f t="shared" si="897"/>
        <v>189.75849055596694</v>
      </c>
      <c r="U5417" s="158">
        <f t="shared" si="899"/>
        <v>83.716981132075475</v>
      </c>
      <c r="V5417" s="160">
        <f t="shared" si="898"/>
        <v>84</v>
      </c>
    </row>
    <row r="5418" spans="1:22" x14ac:dyDescent="0.25">
      <c r="A5418" s="98" t="s">
        <v>19</v>
      </c>
      <c r="B5418" s="98" t="s">
        <v>17</v>
      </c>
      <c r="C5418" s="98">
        <v>62</v>
      </c>
      <c r="D5418" s="98">
        <v>280</v>
      </c>
      <c r="E5418" s="157">
        <v>42105.734722222223</v>
      </c>
      <c r="F5418" s="157">
        <v>42105.783333333333</v>
      </c>
      <c r="G5418" s="98">
        <v>525</v>
      </c>
      <c r="H5418" s="98">
        <v>530</v>
      </c>
      <c r="I5418" s="98">
        <v>493</v>
      </c>
      <c r="J5418" s="98" t="s">
        <v>1988</v>
      </c>
      <c r="K5418" s="98" t="s">
        <v>3075</v>
      </c>
      <c r="L5418" s="105" t="str">
        <f t="shared" si="890"/>
        <v>Trimble</v>
      </c>
      <c r="M5418" s="105" t="str">
        <f t="shared" si="891"/>
        <v>Derate</v>
      </c>
      <c r="N5418" s="105" t="str">
        <f t="shared" si="892"/>
        <v>Coal</v>
      </c>
      <c r="O5418" s="105">
        <f>IFERROR(VLOOKUP(A5418,Lookup!$J$5:$P$19,7,FALSE),0)</f>
        <v>3</v>
      </c>
      <c r="P5418" s="159">
        <f t="shared" si="893"/>
        <v>2015</v>
      </c>
      <c r="Q5418" s="159">
        <f t="shared" si="894"/>
        <v>4</v>
      </c>
      <c r="R5418" s="160">
        <f t="shared" si="895"/>
        <v>1.1666666666278616</v>
      </c>
      <c r="S5418" s="158">
        <f t="shared" si="896"/>
        <v>1.1006289307810014E-2</v>
      </c>
      <c r="T5418" s="161">
        <f t="shared" si="897"/>
        <v>5.4261006287503371</v>
      </c>
      <c r="U5418" s="158">
        <f t="shared" si="899"/>
        <v>4.6509433962264151</v>
      </c>
      <c r="V5418" s="160">
        <f t="shared" si="898"/>
        <v>5</v>
      </c>
    </row>
    <row r="5419" spans="1:22" x14ac:dyDescent="0.25">
      <c r="A5419" s="98" t="s">
        <v>19</v>
      </c>
      <c r="B5419" s="98" t="s">
        <v>79</v>
      </c>
      <c r="C5419" s="98">
        <v>63</v>
      </c>
      <c r="D5419" s="98">
        <v>1190</v>
      </c>
      <c r="E5419" s="157">
        <v>42105.916666666664</v>
      </c>
      <c r="F5419" s="157">
        <v>42106.166666666664</v>
      </c>
      <c r="G5419" s="98">
        <v>0</v>
      </c>
      <c r="H5419" s="98">
        <v>530</v>
      </c>
      <c r="I5419" s="98">
        <v>493</v>
      </c>
      <c r="J5419" s="98" t="s">
        <v>2007</v>
      </c>
      <c r="K5419" s="98" t="s">
        <v>3076</v>
      </c>
      <c r="L5419" s="105" t="str">
        <f t="shared" si="890"/>
        <v>Trimble</v>
      </c>
      <c r="M5419" s="105" t="str">
        <f t="shared" si="891"/>
        <v>Other</v>
      </c>
      <c r="N5419" s="105" t="str">
        <f t="shared" si="892"/>
        <v>Coal</v>
      </c>
      <c r="O5419" s="105">
        <f>IFERROR(VLOOKUP(A5419,Lookup!$J$5:$P$19,7,FALSE),0)</f>
        <v>3</v>
      </c>
      <c r="P5419" s="159">
        <f t="shared" si="893"/>
        <v>2015</v>
      </c>
      <c r="Q5419" s="159">
        <f t="shared" si="894"/>
        <v>4</v>
      </c>
      <c r="R5419" s="160">
        <f t="shared" si="895"/>
        <v>6</v>
      </c>
      <c r="S5419" s="158">
        <f t="shared" si="896"/>
        <v>6</v>
      </c>
      <c r="T5419" s="161">
        <f t="shared" si="897"/>
        <v>2958</v>
      </c>
      <c r="U5419" s="158">
        <f t="shared" si="899"/>
        <v>493</v>
      </c>
      <c r="V5419" s="160">
        <f t="shared" si="898"/>
        <v>493</v>
      </c>
    </row>
    <row r="5420" spans="1:22" x14ac:dyDescent="0.25">
      <c r="A5420" s="98" t="s">
        <v>19</v>
      </c>
      <c r="B5420" s="98" t="s">
        <v>17</v>
      </c>
      <c r="C5420" s="98">
        <v>64</v>
      </c>
      <c r="D5420" s="98">
        <v>250</v>
      </c>
      <c r="E5420" s="157">
        <v>42106.601388888892</v>
      </c>
      <c r="F5420" s="157">
        <v>42106.661805555559</v>
      </c>
      <c r="G5420" s="98">
        <v>460</v>
      </c>
      <c r="H5420" s="98">
        <v>530</v>
      </c>
      <c r="I5420" s="98">
        <v>493</v>
      </c>
      <c r="J5420" s="98" t="s">
        <v>1978</v>
      </c>
      <c r="K5420" s="98" t="s">
        <v>3072</v>
      </c>
      <c r="L5420" s="105" t="str">
        <f t="shared" si="890"/>
        <v>Trimble</v>
      </c>
      <c r="M5420" s="105" t="str">
        <f t="shared" si="891"/>
        <v>Derate</v>
      </c>
      <c r="N5420" s="105" t="str">
        <f t="shared" si="892"/>
        <v>Coal</v>
      </c>
      <c r="O5420" s="105">
        <f>IFERROR(VLOOKUP(A5420,Lookup!$J$5:$P$19,7,FALSE),0)</f>
        <v>3</v>
      </c>
      <c r="P5420" s="159">
        <f t="shared" si="893"/>
        <v>2015</v>
      </c>
      <c r="Q5420" s="159">
        <f t="shared" si="894"/>
        <v>4</v>
      </c>
      <c r="R5420" s="160">
        <f t="shared" si="895"/>
        <v>1.4500000000116415</v>
      </c>
      <c r="S5420" s="158">
        <f t="shared" si="896"/>
        <v>0.19150943396380171</v>
      </c>
      <c r="T5420" s="161">
        <f t="shared" si="897"/>
        <v>94.414150944154244</v>
      </c>
      <c r="U5420" s="158">
        <f t="shared" si="899"/>
        <v>65.113207547169807</v>
      </c>
      <c r="V5420" s="160">
        <f t="shared" si="898"/>
        <v>65</v>
      </c>
    </row>
    <row r="5421" spans="1:22" x14ac:dyDescent="0.25">
      <c r="A5421" s="98" t="s">
        <v>19</v>
      </c>
      <c r="B5421" s="98" t="s">
        <v>17</v>
      </c>
      <c r="C5421" s="98">
        <v>65</v>
      </c>
      <c r="D5421" s="98">
        <v>310</v>
      </c>
      <c r="E5421" s="157">
        <v>42115.795138888891</v>
      </c>
      <c r="F5421" s="157">
        <v>42115.875</v>
      </c>
      <c r="G5421" s="98">
        <v>525</v>
      </c>
      <c r="H5421" s="98">
        <v>530</v>
      </c>
      <c r="I5421" s="98">
        <v>493</v>
      </c>
      <c r="J5421" s="98" t="s">
        <v>1966</v>
      </c>
      <c r="K5421" s="98" t="s">
        <v>3077</v>
      </c>
      <c r="L5421" s="105" t="str">
        <f t="shared" si="890"/>
        <v>Trimble</v>
      </c>
      <c r="M5421" s="105" t="str">
        <f t="shared" si="891"/>
        <v>Derate</v>
      </c>
      <c r="N5421" s="105" t="str">
        <f t="shared" si="892"/>
        <v>Coal</v>
      </c>
      <c r="O5421" s="105">
        <f>IFERROR(VLOOKUP(A5421,Lookup!$J$5:$P$19,7,FALSE),0)</f>
        <v>3</v>
      </c>
      <c r="P5421" s="159">
        <f t="shared" si="893"/>
        <v>2015</v>
      </c>
      <c r="Q5421" s="159">
        <f t="shared" si="894"/>
        <v>4</v>
      </c>
      <c r="R5421" s="160">
        <f t="shared" si="895"/>
        <v>1.9166666666278616</v>
      </c>
      <c r="S5421" s="158">
        <f t="shared" si="896"/>
        <v>1.8081761005923222E-2</v>
      </c>
      <c r="T5421" s="161">
        <f t="shared" si="897"/>
        <v>8.9143081759201479</v>
      </c>
      <c r="U5421" s="158">
        <f t="shared" si="899"/>
        <v>4.6509433962264151</v>
      </c>
      <c r="V5421" s="160">
        <f t="shared" si="898"/>
        <v>5</v>
      </c>
    </row>
    <row r="5422" spans="1:22" x14ac:dyDescent="0.25">
      <c r="A5422" s="98" t="s">
        <v>19</v>
      </c>
      <c r="B5422" s="98" t="s">
        <v>17</v>
      </c>
      <c r="C5422" s="98">
        <v>66</v>
      </c>
      <c r="D5422" s="98">
        <v>250</v>
      </c>
      <c r="E5422" s="157">
        <v>42118.541666666664</v>
      </c>
      <c r="F5422" s="157">
        <v>42118.806944444441</v>
      </c>
      <c r="G5422" s="98">
        <v>500</v>
      </c>
      <c r="H5422" s="98">
        <v>530</v>
      </c>
      <c r="I5422" s="98">
        <v>493</v>
      </c>
      <c r="J5422" s="98" t="s">
        <v>1978</v>
      </c>
      <c r="K5422" s="98" t="s">
        <v>3078</v>
      </c>
      <c r="L5422" s="105" t="str">
        <f t="shared" si="890"/>
        <v>Trimble</v>
      </c>
      <c r="M5422" s="105" t="str">
        <f t="shared" si="891"/>
        <v>Derate</v>
      </c>
      <c r="N5422" s="105" t="str">
        <f t="shared" si="892"/>
        <v>Coal</v>
      </c>
      <c r="O5422" s="105">
        <f>IFERROR(VLOOKUP(A5422,Lookup!$J$5:$P$19,7,FALSE),0)</f>
        <v>3</v>
      </c>
      <c r="P5422" s="159">
        <f t="shared" si="893"/>
        <v>2015</v>
      </c>
      <c r="Q5422" s="159">
        <f t="shared" si="894"/>
        <v>4</v>
      </c>
      <c r="R5422" s="160">
        <f t="shared" si="895"/>
        <v>6.3666666666395031</v>
      </c>
      <c r="S5422" s="158">
        <f t="shared" si="896"/>
        <v>0.36037735848902847</v>
      </c>
      <c r="T5422" s="161">
        <f t="shared" si="897"/>
        <v>177.66603773509104</v>
      </c>
      <c r="U5422" s="158">
        <f t="shared" si="899"/>
        <v>27.90566037735849</v>
      </c>
      <c r="V5422" s="160">
        <f t="shared" si="898"/>
        <v>28</v>
      </c>
    </row>
    <row r="5423" spans="1:22" x14ac:dyDescent="0.25">
      <c r="A5423" s="98" t="s">
        <v>19</v>
      </c>
      <c r="B5423" s="98" t="s">
        <v>15</v>
      </c>
      <c r="C5423" s="98">
        <v>67</v>
      </c>
      <c r="D5423" s="98">
        <v>1740</v>
      </c>
      <c r="E5423" s="157">
        <v>42126.037499999999</v>
      </c>
      <c r="F5423" s="157">
        <v>42126.176388888889</v>
      </c>
      <c r="G5423" s="98">
        <v>0</v>
      </c>
      <c r="H5423" s="98">
        <v>530</v>
      </c>
      <c r="I5423" s="98">
        <v>493</v>
      </c>
      <c r="J5423" s="98" t="s">
        <v>3079</v>
      </c>
      <c r="K5423" s="98" t="s">
        <v>3080</v>
      </c>
      <c r="L5423" s="105" t="str">
        <f t="shared" si="890"/>
        <v>Trimble</v>
      </c>
      <c r="M5423" s="105" t="str">
        <f t="shared" si="891"/>
        <v>Outage</v>
      </c>
      <c r="N5423" s="105" t="str">
        <f t="shared" si="892"/>
        <v>Coal</v>
      </c>
      <c r="O5423" s="105">
        <f>IFERROR(VLOOKUP(A5423,Lookup!$J$5:$P$19,7,FALSE),0)</f>
        <v>3</v>
      </c>
      <c r="P5423" s="159">
        <f t="shared" si="893"/>
        <v>2015</v>
      </c>
      <c r="Q5423" s="159">
        <f t="shared" si="894"/>
        <v>5</v>
      </c>
      <c r="R5423" s="160">
        <f t="shared" si="895"/>
        <v>3.3333333333721384</v>
      </c>
      <c r="S5423" s="158">
        <f t="shared" si="896"/>
        <v>3.3333333333721384</v>
      </c>
      <c r="T5423" s="161">
        <f t="shared" si="897"/>
        <v>1643.3333333524643</v>
      </c>
      <c r="U5423" s="158">
        <f t="shared" si="899"/>
        <v>493</v>
      </c>
      <c r="V5423" s="160">
        <f t="shared" si="898"/>
        <v>493</v>
      </c>
    </row>
    <row r="5424" spans="1:22" x14ac:dyDescent="0.25">
      <c r="A5424" s="98" t="s">
        <v>19</v>
      </c>
      <c r="B5424" s="98" t="s">
        <v>79</v>
      </c>
      <c r="C5424" s="98">
        <v>68</v>
      </c>
      <c r="D5424" s="98">
        <v>1850</v>
      </c>
      <c r="E5424" s="157">
        <v>42126.56527777778</v>
      </c>
      <c r="F5424" s="157">
        <v>42127.093055555553</v>
      </c>
      <c r="G5424" s="98">
        <v>0</v>
      </c>
      <c r="H5424" s="98">
        <v>530</v>
      </c>
      <c r="I5424" s="98">
        <v>493</v>
      </c>
      <c r="J5424" s="98" t="s">
        <v>2263</v>
      </c>
      <c r="K5424" s="98" t="s">
        <v>3081</v>
      </c>
      <c r="L5424" s="105" t="str">
        <f t="shared" si="890"/>
        <v>Trimble</v>
      </c>
      <c r="M5424" s="105" t="str">
        <f t="shared" si="891"/>
        <v>Other</v>
      </c>
      <c r="N5424" s="105" t="str">
        <f t="shared" si="892"/>
        <v>Coal</v>
      </c>
      <c r="O5424" s="105">
        <f>IFERROR(VLOOKUP(A5424,Lookup!$J$5:$P$19,7,FALSE),0)</f>
        <v>3</v>
      </c>
      <c r="P5424" s="159">
        <f t="shared" si="893"/>
        <v>2015</v>
      </c>
      <c r="Q5424" s="159">
        <f t="shared" si="894"/>
        <v>5</v>
      </c>
      <c r="R5424" s="160">
        <f t="shared" si="895"/>
        <v>12.666666666569654</v>
      </c>
      <c r="S5424" s="158">
        <f t="shared" si="896"/>
        <v>12.666666666569654</v>
      </c>
      <c r="T5424" s="161">
        <f t="shared" si="897"/>
        <v>6244.6666666188394</v>
      </c>
      <c r="U5424" s="158">
        <f t="shared" si="899"/>
        <v>493</v>
      </c>
      <c r="V5424" s="160">
        <f t="shared" si="898"/>
        <v>493</v>
      </c>
    </row>
    <row r="5425" spans="1:22" x14ac:dyDescent="0.25">
      <c r="A5425" s="98" t="s">
        <v>19</v>
      </c>
      <c r="B5425" s="98" t="s">
        <v>17</v>
      </c>
      <c r="C5425" s="98">
        <v>69</v>
      </c>
      <c r="D5425" s="98">
        <v>335</v>
      </c>
      <c r="E5425" s="157">
        <v>42132.460416666669</v>
      </c>
      <c r="F5425" s="157">
        <v>42132.618750000001</v>
      </c>
      <c r="G5425" s="98">
        <v>510</v>
      </c>
      <c r="H5425" s="98">
        <v>530</v>
      </c>
      <c r="I5425" s="98">
        <v>493</v>
      </c>
      <c r="J5425" s="98" t="s">
        <v>2131</v>
      </c>
      <c r="K5425" s="98" t="s">
        <v>3082</v>
      </c>
      <c r="L5425" s="105" t="str">
        <f t="shared" si="890"/>
        <v>Trimble</v>
      </c>
      <c r="M5425" s="105" t="str">
        <f t="shared" si="891"/>
        <v>Derate</v>
      </c>
      <c r="N5425" s="105" t="str">
        <f t="shared" si="892"/>
        <v>Coal</v>
      </c>
      <c r="O5425" s="105">
        <f>IFERROR(VLOOKUP(A5425,Lookup!$J$5:$P$19,7,FALSE),0)</f>
        <v>3</v>
      </c>
      <c r="P5425" s="159">
        <f t="shared" si="893"/>
        <v>2015</v>
      </c>
      <c r="Q5425" s="159">
        <f t="shared" si="894"/>
        <v>5</v>
      </c>
      <c r="R5425" s="160">
        <f t="shared" si="895"/>
        <v>3.7999999999883585</v>
      </c>
      <c r="S5425" s="158">
        <f t="shared" si="896"/>
        <v>0.14339622641465505</v>
      </c>
      <c r="T5425" s="161">
        <f t="shared" si="897"/>
        <v>70.694339622424934</v>
      </c>
      <c r="U5425" s="158">
        <f t="shared" si="899"/>
        <v>18.60377358490566</v>
      </c>
      <c r="V5425" s="160">
        <f t="shared" si="898"/>
        <v>19</v>
      </c>
    </row>
    <row r="5426" spans="1:22" x14ac:dyDescent="0.25">
      <c r="A5426" s="98" t="s">
        <v>19</v>
      </c>
      <c r="B5426" s="98" t="s">
        <v>17</v>
      </c>
      <c r="C5426" s="98">
        <v>70</v>
      </c>
      <c r="D5426" s="98">
        <v>310</v>
      </c>
      <c r="E5426" s="157">
        <v>42140.652083333334</v>
      </c>
      <c r="F5426" s="157">
        <v>42140.667361111111</v>
      </c>
      <c r="G5426" s="98">
        <v>510</v>
      </c>
      <c r="H5426" s="98">
        <v>530</v>
      </c>
      <c r="I5426" s="98">
        <v>493</v>
      </c>
      <c r="J5426" s="98" t="s">
        <v>1966</v>
      </c>
      <c r="K5426" s="98" t="s">
        <v>3083</v>
      </c>
      <c r="L5426" s="105" t="str">
        <f t="shared" si="890"/>
        <v>Trimble</v>
      </c>
      <c r="M5426" s="105" t="str">
        <f t="shared" si="891"/>
        <v>Derate</v>
      </c>
      <c r="N5426" s="105" t="str">
        <f t="shared" si="892"/>
        <v>Coal</v>
      </c>
      <c r="O5426" s="105">
        <f>IFERROR(VLOOKUP(A5426,Lookup!$J$5:$P$19,7,FALSE),0)</f>
        <v>3</v>
      </c>
      <c r="P5426" s="159">
        <f t="shared" si="893"/>
        <v>2015</v>
      </c>
      <c r="Q5426" s="159">
        <f t="shared" si="894"/>
        <v>5</v>
      </c>
      <c r="R5426" s="160">
        <f t="shared" si="895"/>
        <v>0.36666666663950309</v>
      </c>
      <c r="S5426" s="158">
        <f t="shared" si="896"/>
        <v>1.3836477986396343E-2</v>
      </c>
      <c r="T5426" s="161">
        <f t="shared" si="897"/>
        <v>6.8213836472933966</v>
      </c>
      <c r="U5426" s="158">
        <f t="shared" si="899"/>
        <v>18.60377358490566</v>
      </c>
      <c r="V5426" s="160">
        <f t="shared" si="898"/>
        <v>19</v>
      </c>
    </row>
    <row r="5427" spans="1:22" x14ac:dyDescent="0.25">
      <c r="A5427" s="98" t="s">
        <v>19</v>
      </c>
      <c r="B5427" s="98" t="s">
        <v>17</v>
      </c>
      <c r="C5427" s="98">
        <v>71</v>
      </c>
      <c r="D5427" s="98">
        <v>310</v>
      </c>
      <c r="E5427" s="157">
        <v>42140.667361111111</v>
      </c>
      <c r="F5427" s="157">
        <v>42141.68472222222</v>
      </c>
      <c r="G5427" s="98">
        <v>505</v>
      </c>
      <c r="H5427" s="98">
        <v>530</v>
      </c>
      <c r="I5427" s="98">
        <v>493</v>
      </c>
      <c r="J5427" s="98" t="s">
        <v>1966</v>
      </c>
      <c r="K5427" s="98" t="s">
        <v>3084</v>
      </c>
      <c r="L5427" s="105" t="str">
        <f t="shared" si="890"/>
        <v>Trimble</v>
      </c>
      <c r="M5427" s="105" t="str">
        <f t="shared" si="891"/>
        <v>Derate</v>
      </c>
      <c r="N5427" s="105" t="str">
        <f t="shared" si="892"/>
        <v>Coal</v>
      </c>
      <c r="O5427" s="105">
        <f>IFERROR(VLOOKUP(A5427,Lookup!$J$5:$P$19,7,FALSE),0)</f>
        <v>3</v>
      </c>
      <c r="P5427" s="159">
        <f t="shared" si="893"/>
        <v>2015</v>
      </c>
      <c r="Q5427" s="159">
        <f t="shared" si="894"/>
        <v>5</v>
      </c>
      <c r="R5427" s="160">
        <f t="shared" si="895"/>
        <v>24.416666666627862</v>
      </c>
      <c r="S5427" s="158">
        <f t="shared" si="896"/>
        <v>1.1517295597465973</v>
      </c>
      <c r="T5427" s="161">
        <f t="shared" si="897"/>
        <v>567.80267295507247</v>
      </c>
      <c r="U5427" s="158">
        <f t="shared" si="899"/>
        <v>23.254716981132077</v>
      </c>
      <c r="V5427" s="160">
        <f t="shared" si="898"/>
        <v>23</v>
      </c>
    </row>
    <row r="5428" spans="1:22" x14ac:dyDescent="0.25">
      <c r="A5428" s="98" t="s">
        <v>19</v>
      </c>
      <c r="B5428" s="98" t="s">
        <v>105</v>
      </c>
      <c r="C5428" s="98">
        <v>72</v>
      </c>
      <c r="D5428" s="98">
        <v>3412</v>
      </c>
      <c r="E5428" s="157">
        <v>42160.958333333336</v>
      </c>
      <c r="F5428" s="157">
        <v>42161.131249999999</v>
      </c>
      <c r="G5428" s="98">
        <v>500</v>
      </c>
      <c r="H5428" s="98">
        <v>530</v>
      </c>
      <c r="I5428" s="98">
        <v>493</v>
      </c>
      <c r="J5428" s="98" t="s">
        <v>2162</v>
      </c>
      <c r="K5428" s="98" t="s">
        <v>3085</v>
      </c>
      <c r="L5428" s="105" t="str">
        <f t="shared" si="890"/>
        <v>Trimble</v>
      </c>
      <c r="M5428" s="105" t="str">
        <f t="shared" si="891"/>
        <v>Derate</v>
      </c>
      <c r="N5428" s="105" t="str">
        <f t="shared" si="892"/>
        <v>Coal</v>
      </c>
      <c r="O5428" s="105">
        <f>IFERROR(VLOOKUP(A5428,Lookup!$J$5:$P$19,7,FALSE),0)</f>
        <v>3</v>
      </c>
      <c r="P5428" s="159">
        <f t="shared" si="893"/>
        <v>2015</v>
      </c>
      <c r="Q5428" s="159">
        <f t="shared" si="894"/>
        <v>6</v>
      </c>
      <c r="R5428" s="160">
        <f t="shared" si="895"/>
        <v>4.1499999999068677</v>
      </c>
      <c r="S5428" s="158">
        <f t="shared" si="896"/>
        <v>0.23490566037208685</v>
      </c>
      <c r="T5428" s="161">
        <f t="shared" si="897"/>
        <v>115.80849056343882</v>
      </c>
      <c r="U5428" s="158">
        <f t="shared" si="899"/>
        <v>27.90566037735849</v>
      </c>
      <c r="V5428" s="160">
        <f t="shared" si="898"/>
        <v>28</v>
      </c>
    </row>
    <row r="5429" spans="1:22" x14ac:dyDescent="0.25">
      <c r="A5429" s="98" t="s">
        <v>19</v>
      </c>
      <c r="B5429" s="98" t="s">
        <v>17</v>
      </c>
      <c r="C5429" s="98">
        <v>73</v>
      </c>
      <c r="D5429" s="98">
        <v>60</v>
      </c>
      <c r="E5429" s="157">
        <v>42168.4375</v>
      </c>
      <c r="F5429" s="157">
        <v>42168.506944444445</v>
      </c>
      <c r="G5429" s="98">
        <v>511</v>
      </c>
      <c r="H5429" s="98">
        <v>530</v>
      </c>
      <c r="I5429" s="98">
        <v>493</v>
      </c>
      <c r="J5429" s="98" t="s">
        <v>2300</v>
      </c>
      <c r="K5429" s="98" t="s">
        <v>3086</v>
      </c>
      <c r="L5429" s="105" t="str">
        <f t="shared" si="890"/>
        <v>Trimble</v>
      </c>
      <c r="M5429" s="105" t="str">
        <f t="shared" si="891"/>
        <v>Derate</v>
      </c>
      <c r="N5429" s="105" t="str">
        <f t="shared" si="892"/>
        <v>Coal</v>
      </c>
      <c r="O5429" s="105">
        <f>IFERROR(VLOOKUP(A5429,Lookup!$J$5:$P$19,7,FALSE),0)</f>
        <v>3</v>
      </c>
      <c r="P5429" s="159">
        <f t="shared" si="893"/>
        <v>2015</v>
      </c>
      <c r="Q5429" s="159">
        <f t="shared" si="894"/>
        <v>6</v>
      </c>
      <c r="R5429" s="160">
        <f t="shared" si="895"/>
        <v>1.6666666666860692</v>
      </c>
      <c r="S5429" s="158">
        <f t="shared" si="896"/>
        <v>5.9748427673651537E-2</v>
      </c>
      <c r="T5429" s="161">
        <f t="shared" si="897"/>
        <v>29.455974843110209</v>
      </c>
      <c r="U5429" s="158">
        <f t="shared" si="899"/>
        <v>17.673584905660377</v>
      </c>
      <c r="V5429" s="160">
        <f t="shared" si="898"/>
        <v>18</v>
      </c>
    </row>
    <row r="5430" spans="1:22" x14ac:dyDescent="0.25">
      <c r="A5430" s="98" t="s">
        <v>19</v>
      </c>
      <c r="B5430" s="98" t="s">
        <v>79</v>
      </c>
      <c r="C5430" s="98">
        <v>74</v>
      </c>
      <c r="D5430" s="98">
        <v>8812</v>
      </c>
      <c r="E5430" s="157">
        <v>42170.583333333336</v>
      </c>
      <c r="F5430" s="157">
        <v>42170.758333333331</v>
      </c>
      <c r="G5430" s="98">
        <v>0</v>
      </c>
      <c r="H5430" s="98">
        <v>530</v>
      </c>
      <c r="I5430" s="98">
        <v>493</v>
      </c>
      <c r="J5430" s="98" t="s">
        <v>2232</v>
      </c>
      <c r="K5430" s="98" t="s">
        <v>3772</v>
      </c>
      <c r="L5430" s="105" t="str">
        <f t="shared" si="890"/>
        <v>Trimble</v>
      </c>
      <c r="M5430" s="105" t="str">
        <f t="shared" si="891"/>
        <v>Other</v>
      </c>
      <c r="N5430" s="105" t="str">
        <f t="shared" si="892"/>
        <v>Coal</v>
      </c>
      <c r="O5430" s="105">
        <f>IFERROR(VLOOKUP(A5430,Lookup!$J$5:$P$19,7,FALSE),0)</f>
        <v>3</v>
      </c>
      <c r="P5430" s="159">
        <f t="shared" si="893"/>
        <v>2015</v>
      </c>
      <c r="Q5430" s="159">
        <f t="shared" si="894"/>
        <v>6</v>
      </c>
      <c r="R5430" s="160">
        <f t="shared" si="895"/>
        <v>4.1999999998952262</v>
      </c>
      <c r="S5430" s="158">
        <f t="shared" si="896"/>
        <v>4.1999999998952262</v>
      </c>
      <c r="T5430" s="161">
        <f t="shared" si="897"/>
        <v>2070.5999999483465</v>
      </c>
      <c r="U5430" s="158">
        <f t="shared" si="899"/>
        <v>493</v>
      </c>
      <c r="V5430" s="160">
        <f t="shared" si="898"/>
        <v>493</v>
      </c>
    </row>
    <row r="5431" spans="1:22" x14ac:dyDescent="0.25">
      <c r="A5431" s="98" t="s">
        <v>19</v>
      </c>
      <c r="B5431" s="98" t="s">
        <v>17</v>
      </c>
      <c r="C5431" s="98">
        <v>75</v>
      </c>
      <c r="D5431" s="98">
        <v>344</v>
      </c>
      <c r="E5431" s="157">
        <v>42171.04791666667</v>
      </c>
      <c r="F5431" s="157">
        <v>42171.532638888886</v>
      </c>
      <c r="G5431" s="98">
        <v>525</v>
      </c>
      <c r="H5431" s="98">
        <v>530</v>
      </c>
      <c r="I5431" s="98">
        <v>493</v>
      </c>
      <c r="J5431" s="98" t="s">
        <v>1968</v>
      </c>
      <c r="K5431" s="98" t="s">
        <v>3773</v>
      </c>
      <c r="L5431" s="105" t="str">
        <f t="shared" si="890"/>
        <v>Trimble</v>
      </c>
      <c r="M5431" s="105" t="str">
        <f t="shared" si="891"/>
        <v>Derate</v>
      </c>
      <c r="N5431" s="105" t="str">
        <f t="shared" si="892"/>
        <v>Coal</v>
      </c>
      <c r="O5431" s="105">
        <f>IFERROR(VLOOKUP(A5431,Lookup!$J$5:$P$19,7,FALSE),0)</f>
        <v>3</v>
      </c>
      <c r="P5431" s="159">
        <f t="shared" si="893"/>
        <v>2015</v>
      </c>
      <c r="Q5431" s="159">
        <f t="shared" si="894"/>
        <v>6</v>
      </c>
      <c r="R5431" s="160">
        <f t="shared" si="895"/>
        <v>11.633333333185874</v>
      </c>
      <c r="S5431" s="158">
        <f t="shared" si="896"/>
        <v>0.10974842767156485</v>
      </c>
      <c r="T5431" s="161">
        <f t="shared" si="897"/>
        <v>54.105974842081473</v>
      </c>
      <c r="U5431" s="158">
        <f t="shared" si="899"/>
        <v>4.6509433962264151</v>
      </c>
      <c r="V5431" s="160">
        <f t="shared" si="898"/>
        <v>5</v>
      </c>
    </row>
    <row r="5432" spans="1:22" x14ac:dyDescent="0.25">
      <c r="A5432" s="98" t="s">
        <v>19</v>
      </c>
      <c r="B5432" s="98" t="s">
        <v>79</v>
      </c>
      <c r="C5432" s="98">
        <v>76</v>
      </c>
      <c r="D5432" s="98">
        <v>8812</v>
      </c>
      <c r="E5432" s="157">
        <v>42171.291666666664</v>
      </c>
      <c r="F5432" s="157">
        <v>42171.760416666664</v>
      </c>
      <c r="G5432" s="98">
        <v>0</v>
      </c>
      <c r="H5432" s="98">
        <v>530</v>
      </c>
      <c r="I5432" s="98">
        <v>493</v>
      </c>
      <c r="J5432" s="98" t="s">
        <v>2232</v>
      </c>
      <c r="K5432" s="98" t="s">
        <v>3774</v>
      </c>
      <c r="L5432" s="105" t="str">
        <f t="shared" si="890"/>
        <v>Trimble</v>
      </c>
      <c r="M5432" s="105" t="str">
        <f t="shared" si="891"/>
        <v>Other</v>
      </c>
      <c r="N5432" s="105" t="str">
        <f t="shared" si="892"/>
        <v>Coal</v>
      </c>
      <c r="O5432" s="105">
        <f>IFERROR(VLOOKUP(A5432,Lookup!$J$5:$P$19,7,FALSE),0)</f>
        <v>3</v>
      </c>
      <c r="P5432" s="159">
        <f t="shared" si="893"/>
        <v>2015</v>
      </c>
      <c r="Q5432" s="159">
        <f t="shared" si="894"/>
        <v>6</v>
      </c>
      <c r="R5432" s="160">
        <f t="shared" si="895"/>
        <v>11.25</v>
      </c>
      <c r="S5432" s="158">
        <f t="shared" si="896"/>
        <v>11.25</v>
      </c>
      <c r="T5432" s="161">
        <f t="shared" si="897"/>
        <v>5546.25</v>
      </c>
      <c r="U5432" s="158">
        <f t="shared" si="899"/>
        <v>493</v>
      </c>
      <c r="V5432" s="160">
        <f t="shared" si="898"/>
        <v>493</v>
      </c>
    </row>
    <row r="5433" spans="1:22" x14ac:dyDescent="0.25">
      <c r="A5433" s="98" t="s">
        <v>19</v>
      </c>
      <c r="B5433" s="98" t="s">
        <v>79</v>
      </c>
      <c r="C5433" s="98">
        <v>77</v>
      </c>
      <c r="D5433" s="98">
        <v>8812</v>
      </c>
      <c r="E5433" s="157">
        <v>42172.333333333336</v>
      </c>
      <c r="F5433" s="157">
        <v>42172.71875</v>
      </c>
      <c r="G5433" s="98">
        <v>0</v>
      </c>
      <c r="H5433" s="98">
        <v>530</v>
      </c>
      <c r="I5433" s="98">
        <v>493</v>
      </c>
      <c r="J5433" s="98" t="s">
        <v>2232</v>
      </c>
      <c r="K5433" s="98" t="s">
        <v>3775</v>
      </c>
      <c r="L5433" s="105" t="str">
        <f t="shared" si="890"/>
        <v>Trimble</v>
      </c>
      <c r="M5433" s="105" t="str">
        <f t="shared" si="891"/>
        <v>Other</v>
      </c>
      <c r="N5433" s="105" t="str">
        <f t="shared" si="892"/>
        <v>Coal</v>
      </c>
      <c r="O5433" s="105">
        <f>IFERROR(VLOOKUP(A5433,Lookup!$J$5:$P$19,7,FALSE),0)</f>
        <v>3</v>
      </c>
      <c r="P5433" s="159">
        <f t="shared" si="893"/>
        <v>2015</v>
      </c>
      <c r="Q5433" s="159">
        <f t="shared" si="894"/>
        <v>6</v>
      </c>
      <c r="R5433" s="160">
        <f t="shared" si="895"/>
        <v>9.2499999999417923</v>
      </c>
      <c r="S5433" s="158">
        <f t="shared" si="896"/>
        <v>9.2499999999417923</v>
      </c>
      <c r="T5433" s="161">
        <f t="shared" si="897"/>
        <v>4560.2499999713036</v>
      </c>
      <c r="U5433" s="158">
        <f t="shared" si="899"/>
        <v>493</v>
      </c>
      <c r="V5433" s="160">
        <f t="shared" si="898"/>
        <v>493</v>
      </c>
    </row>
    <row r="5434" spans="1:22" x14ac:dyDescent="0.25">
      <c r="A5434" s="98" t="s">
        <v>19</v>
      </c>
      <c r="B5434" s="98" t="s">
        <v>79</v>
      </c>
      <c r="C5434" s="98">
        <v>78</v>
      </c>
      <c r="D5434" s="98">
        <v>8812</v>
      </c>
      <c r="E5434" s="157">
        <v>42173.333333333336</v>
      </c>
      <c r="F5434" s="157">
        <v>42173.754861111112</v>
      </c>
      <c r="G5434" s="98">
        <v>0</v>
      </c>
      <c r="H5434" s="98">
        <v>530</v>
      </c>
      <c r="I5434" s="98">
        <v>493</v>
      </c>
      <c r="J5434" s="98" t="s">
        <v>2232</v>
      </c>
      <c r="K5434" s="98" t="s">
        <v>3775</v>
      </c>
      <c r="L5434" s="105" t="str">
        <f t="shared" si="890"/>
        <v>Trimble</v>
      </c>
      <c r="M5434" s="105" t="str">
        <f t="shared" si="891"/>
        <v>Other</v>
      </c>
      <c r="N5434" s="105" t="str">
        <f t="shared" si="892"/>
        <v>Coal</v>
      </c>
      <c r="O5434" s="105">
        <f>IFERROR(VLOOKUP(A5434,Lookup!$J$5:$P$19,7,FALSE),0)</f>
        <v>3</v>
      </c>
      <c r="P5434" s="159">
        <f t="shared" si="893"/>
        <v>2015</v>
      </c>
      <c r="Q5434" s="159">
        <f t="shared" si="894"/>
        <v>6</v>
      </c>
      <c r="R5434" s="160">
        <f t="shared" si="895"/>
        <v>10.116666666639503</v>
      </c>
      <c r="S5434" s="158">
        <f t="shared" si="896"/>
        <v>10.116666666639503</v>
      </c>
      <c r="T5434" s="161">
        <f t="shared" si="897"/>
        <v>4987.516666653275</v>
      </c>
      <c r="U5434" s="158">
        <f t="shared" si="899"/>
        <v>493</v>
      </c>
      <c r="V5434" s="160">
        <f t="shared" si="898"/>
        <v>493</v>
      </c>
    </row>
    <row r="5435" spans="1:22" x14ac:dyDescent="0.25">
      <c r="A5435" s="98" t="s">
        <v>19</v>
      </c>
      <c r="B5435" s="98" t="s">
        <v>17</v>
      </c>
      <c r="C5435" s="98">
        <v>79</v>
      </c>
      <c r="D5435" s="98">
        <v>85</v>
      </c>
      <c r="E5435" s="157">
        <v>42178.598611111112</v>
      </c>
      <c r="F5435" s="157">
        <v>42178.617361111108</v>
      </c>
      <c r="G5435" s="98">
        <v>375</v>
      </c>
      <c r="H5435" s="98">
        <v>530</v>
      </c>
      <c r="I5435" s="98">
        <v>493</v>
      </c>
      <c r="J5435" s="98" t="s">
        <v>3776</v>
      </c>
      <c r="K5435" s="98" t="s">
        <v>3777</v>
      </c>
      <c r="L5435" s="105" t="str">
        <f t="shared" si="890"/>
        <v>Trimble</v>
      </c>
      <c r="M5435" s="105" t="str">
        <f t="shared" si="891"/>
        <v>Derate</v>
      </c>
      <c r="N5435" s="105" t="str">
        <f t="shared" si="892"/>
        <v>Coal</v>
      </c>
      <c r="O5435" s="105">
        <f>IFERROR(VLOOKUP(A5435,Lookup!$J$5:$P$19,7,FALSE),0)</f>
        <v>3</v>
      </c>
      <c r="P5435" s="159">
        <f t="shared" si="893"/>
        <v>2015</v>
      </c>
      <c r="Q5435" s="159">
        <f t="shared" si="894"/>
        <v>6</v>
      </c>
      <c r="R5435" s="160">
        <f t="shared" si="895"/>
        <v>0.44999999989522621</v>
      </c>
      <c r="S5435" s="158">
        <f t="shared" si="896"/>
        <v>0.13160377355426428</v>
      </c>
      <c r="T5435" s="161">
        <f t="shared" si="897"/>
        <v>64.880660362252286</v>
      </c>
      <c r="U5435" s="158">
        <f t="shared" si="899"/>
        <v>144.17924528301887</v>
      </c>
      <c r="V5435" s="160">
        <f t="shared" si="898"/>
        <v>144</v>
      </c>
    </row>
    <row r="5436" spans="1:22" x14ac:dyDescent="0.25">
      <c r="A5436" s="98" t="s">
        <v>19</v>
      </c>
      <c r="B5436" s="98" t="s">
        <v>105</v>
      </c>
      <c r="C5436" s="98">
        <v>80</v>
      </c>
      <c r="D5436" s="98">
        <v>1990</v>
      </c>
      <c r="E5436" s="157">
        <v>42180.25</v>
      </c>
      <c r="F5436" s="157">
        <v>42180.416666666664</v>
      </c>
      <c r="G5436" s="98">
        <v>520</v>
      </c>
      <c r="H5436" s="98">
        <v>530</v>
      </c>
      <c r="I5436" s="98">
        <v>493</v>
      </c>
      <c r="J5436" s="98" t="s">
        <v>2114</v>
      </c>
      <c r="K5436" s="98" t="s">
        <v>3778</v>
      </c>
      <c r="L5436" s="105" t="str">
        <f t="shared" si="890"/>
        <v>Trimble</v>
      </c>
      <c r="M5436" s="105" t="str">
        <f t="shared" si="891"/>
        <v>Derate</v>
      </c>
      <c r="N5436" s="105" t="str">
        <f t="shared" si="892"/>
        <v>Coal</v>
      </c>
      <c r="O5436" s="105">
        <f>IFERROR(VLOOKUP(A5436,Lookup!$J$5:$P$19,7,FALSE),0)</f>
        <v>3</v>
      </c>
      <c r="P5436" s="159">
        <f t="shared" si="893"/>
        <v>2015</v>
      </c>
      <c r="Q5436" s="159">
        <f t="shared" si="894"/>
        <v>6</v>
      </c>
      <c r="R5436" s="160">
        <f t="shared" si="895"/>
        <v>3.9999999999417923</v>
      </c>
      <c r="S5436" s="158">
        <f t="shared" si="896"/>
        <v>7.5471698112109284E-2</v>
      </c>
      <c r="T5436" s="161">
        <f t="shared" si="897"/>
        <v>37.20754716926988</v>
      </c>
      <c r="U5436" s="158">
        <f t="shared" si="899"/>
        <v>9.3018867924528301</v>
      </c>
      <c r="V5436" s="160">
        <f t="shared" si="898"/>
        <v>9</v>
      </c>
    </row>
    <row r="5437" spans="1:22" x14ac:dyDescent="0.25">
      <c r="A5437" s="98" t="s">
        <v>19</v>
      </c>
      <c r="B5437" s="98" t="s">
        <v>79</v>
      </c>
      <c r="C5437" s="98">
        <v>81</v>
      </c>
      <c r="D5437" s="98">
        <v>1990</v>
      </c>
      <c r="E5437" s="157">
        <v>42180.416666666664</v>
      </c>
      <c r="F5437" s="157">
        <v>42180.666666666664</v>
      </c>
      <c r="G5437" s="98">
        <v>0</v>
      </c>
      <c r="H5437" s="98">
        <v>530</v>
      </c>
      <c r="I5437" s="98">
        <v>493</v>
      </c>
      <c r="J5437" s="98" t="s">
        <v>2114</v>
      </c>
      <c r="K5437" s="98" t="s">
        <v>3779</v>
      </c>
      <c r="L5437" s="105" t="str">
        <f t="shared" si="890"/>
        <v>Trimble</v>
      </c>
      <c r="M5437" s="105" t="str">
        <f t="shared" si="891"/>
        <v>Other</v>
      </c>
      <c r="N5437" s="105" t="str">
        <f t="shared" si="892"/>
        <v>Coal</v>
      </c>
      <c r="O5437" s="105">
        <f>IFERROR(VLOOKUP(A5437,Lookup!$J$5:$P$19,7,FALSE),0)</f>
        <v>3</v>
      </c>
      <c r="P5437" s="159">
        <f t="shared" si="893"/>
        <v>2015</v>
      </c>
      <c r="Q5437" s="159">
        <f t="shared" si="894"/>
        <v>6</v>
      </c>
      <c r="R5437" s="160">
        <f t="shared" si="895"/>
        <v>6</v>
      </c>
      <c r="S5437" s="158">
        <f t="shared" si="896"/>
        <v>6</v>
      </c>
      <c r="T5437" s="161">
        <f t="shared" si="897"/>
        <v>2958</v>
      </c>
      <c r="U5437" s="158">
        <f t="shared" si="899"/>
        <v>493</v>
      </c>
      <c r="V5437" s="160">
        <f t="shared" si="898"/>
        <v>493</v>
      </c>
    </row>
    <row r="5438" spans="1:22" x14ac:dyDescent="0.25">
      <c r="A5438" s="98" t="s">
        <v>19</v>
      </c>
      <c r="B5438" s="98" t="s">
        <v>20</v>
      </c>
      <c r="C5438" s="98">
        <v>82</v>
      </c>
      <c r="D5438" s="98">
        <v>3110</v>
      </c>
      <c r="E5438" s="157">
        <v>42181.946527777778</v>
      </c>
      <c r="F5438" s="157">
        <v>42185.209722222222</v>
      </c>
      <c r="G5438" s="98">
        <v>0</v>
      </c>
      <c r="H5438" s="98">
        <v>530</v>
      </c>
      <c r="I5438" s="98">
        <v>493</v>
      </c>
      <c r="J5438" s="98" t="s">
        <v>2119</v>
      </c>
      <c r="K5438" s="98" t="s">
        <v>3780</v>
      </c>
      <c r="L5438" s="105" t="str">
        <f t="shared" si="890"/>
        <v>Trimble</v>
      </c>
      <c r="M5438" s="105" t="str">
        <f t="shared" si="891"/>
        <v>Maintenance</v>
      </c>
      <c r="N5438" s="105" t="str">
        <f t="shared" si="892"/>
        <v>Coal</v>
      </c>
      <c r="O5438" s="105">
        <f>IFERROR(VLOOKUP(A5438,Lookup!$J$5:$P$19,7,FALSE),0)</f>
        <v>3</v>
      </c>
      <c r="P5438" s="159">
        <f t="shared" si="893"/>
        <v>2015</v>
      </c>
      <c r="Q5438" s="159">
        <f t="shared" si="894"/>
        <v>6</v>
      </c>
      <c r="R5438" s="160">
        <f t="shared" si="895"/>
        <v>78.316666666651145</v>
      </c>
      <c r="S5438" s="158">
        <f t="shared" si="896"/>
        <v>78.316666666651145</v>
      </c>
      <c r="T5438" s="161">
        <f t="shared" si="897"/>
        <v>38610.116666659014</v>
      </c>
      <c r="U5438" s="158">
        <f t="shared" si="899"/>
        <v>493</v>
      </c>
      <c r="V5438" s="160">
        <f t="shared" si="898"/>
        <v>493</v>
      </c>
    </row>
    <row r="5439" spans="1:22" x14ac:dyDescent="0.25">
      <c r="A5439" s="98" t="s">
        <v>19</v>
      </c>
      <c r="B5439" s="98" t="s">
        <v>15</v>
      </c>
      <c r="C5439" s="98">
        <v>83</v>
      </c>
      <c r="D5439" s="98">
        <v>3330</v>
      </c>
      <c r="E5439" s="157">
        <v>42185.397222222222</v>
      </c>
      <c r="F5439" s="157">
        <v>42186.074999999997</v>
      </c>
      <c r="G5439" s="98">
        <v>0</v>
      </c>
      <c r="H5439" s="98">
        <v>530</v>
      </c>
      <c r="I5439" s="98">
        <v>493</v>
      </c>
      <c r="J5439" s="98" t="s">
        <v>2097</v>
      </c>
      <c r="K5439" s="98" t="s">
        <v>3781</v>
      </c>
      <c r="L5439" s="105" t="str">
        <f t="shared" si="890"/>
        <v>Trimble</v>
      </c>
      <c r="M5439" s="105" t="str">
        <f t="shared" si="891"/>
        <v>Outage</v>
      </c>
      <c r="N5439" s="105" t="str">
        <f t="shared" si="892"/>
        <v>Coal</v>
      </c>
      <c r="O5439" s="105">
        <f>IFERROR(VLOOKUP(A5439,Lookup!$J$5:$P$19,7,FALSE),0)</f>
        <v>3</v>
      </c>
      <c r="P5439" s="159">
        <f t="shared" si="893"/>
        <v>2015</v>
      </c>
      <c r="Q5439" s="159">
        <f t="shared" si="894"/>
        <v>6</v>
      </c>
      <c r="R5439" s="160">
        <f t="shared" si="895"/>
        <v>16.266666666604578</v>
      </c>
      <c r="S5439" s="158">
        <f t="shared" si="896"/>
        <v>16.266666666604578</v>
      </c>
      <c r="T5439" s="161">
        <f t="shared" si="897"/>
        <v>8019.4666666360572</v>
      </c>
      <c r="U5439" s="158">
        <f t="shared" si="899"/>
        <v>493</v>
      </c>
      <c r="V5439" s="160">
        <f t="shared" si="898"/>
        <v>493</v>
      </c>
    </row>
    <row r="5440" spans="1:22" x14ac:dyDescent="0.25">
      <c r="A5440" s="98" t="s">
        <v>19</v>
      </c>
      <c r="B5440" s="98" t="s">
        <v>15</v>
      </c>
      <c r="C5440" s="98">
        <v>84</v>
      </c>
      <c r="D5440" s="98">
        <v>380</v>
      </c>
      <c r="E5440" s="157">
        <v>42186.12777777778</v>
      </c>
      <c r="F5440" s="157">
        <v>42186.160416666666</v>
      </c>
      <c r="G5440" s="98">
        <v>0</v>
      </c>
      <c r="H5440" s="98">
        <v>530</v>
      </c>
      <c r="I5440" s="98">
        <v>493</v>
      </c>
      <c r="J5440" s="98" t="s">
        <v>2017</v>
      </c>
      <c r="K5440" s="98" t="s">
        <v>3782</v>
      </c>
      <c r="L5440" s="105" t="str">
        <f t="shared" si="890"/>
        <v>Trimble</v>
      </c>
      <c r="M5440" s="105" t="str">
        <f t="shared" si="891"/>
        <v>Outage</v>
      </c>
      <c r="N5440" s="105" t="str">
        <f t="shared" si="892"/>
        <v>Coal</v>
      </c>
      <c r="O5440" s="105">
        <f>IFERROR(VLOOKUP(A5440,Lookup!$J$5:$P$19,7,FALSE),0)</f>
        <v>3</v>
      </c>
      <c r="P5440" s="159">
        <f t="shared" si="893"/>
        <v>2015</v>
      </c>
      <c r="Q5440" s="159">
        <f t="shared" si="894"/>
        <v>7</v>
      </c>
      <c r="R5440" s="160">
        <f t="shared" si="895"/>
        <v>0.78333333326736465</v>
      </c>
      <c r="S5440" s="158">
        <f t="shared" si="896"/>
        <v>0.78333333326736465</v>
      </c>
      <c r="T5440" s="161">
        <f t="shared" si="897"/>
        <v>386.18333330081077</v>
      </c>
      <c r="U5440" s="158">
        <f t="shared" si="899"/>
        <v>493</v>
      </c>
      <c r="V5440" s="160">
        <f t="shared" si="898"/>
        <v>493</v>
      </c>
    </row>
    <row r="5441" spans="1:22" x14ac:dyDescent="0.25">
      <c r="A5441" s="98" t="s">
        <v>19</v>
      </c>
      <c r="B5441" s="98" t="s">
        <v>15</v>
      </c>
      <c r="C5441" s="98">
        <v>85</v>
      </c>
      <c r="D5441" s="98">
        <v>380</v>
      </c>
      <c r="E5441" s="157">
        <v>42186.205555555556</v>
      </c>
      <c r="F5441" s="157">
        <v>42186.238194444442</v>
      </c>
      <c r="G5441" s="98">
        <v>0</v>
      </c>
      <c r="H5441" s="98">
        <v>530</v>
      </c>
      <c r="I5441" s="98">
        <v>493</v>
      </c>
      <c r="J5441" s="98" t="s">
        <v>2017</v>
      </c>
      <c r="K5441" s="98" t="s">
        <v>3782</v>
      </c>
      <c r="L5441" s="105" t="str">
        <f t="shared" si="890"/>
        <v>Trimble</v>
      </c>
      <c r="M5441" s="105" t="str">
        <f t="shared" si="891"/>
        <v>Outage</v>
      </c>
      <c r="N5441" s="105" t="str">
        <f t="shared" si="892"/>
        <v>Coal</v>
      </c>
      <c r="O5441" s="105">
        <f>IFERROR(VLOOKUP(A5441,Lookup!$J$5:$P$19,7,FALSE),0)</f>
        <v>3</v>
      </c>
      <c r="P5441" s="159">
        <f t="shared" si="893"/>
        <v>2015</v>
      </c>
      <c r="Q5441" s="159">
        <f t="shared" si="894"/>
        <v>7</v>
      </c>
      <c r="R5441" s="160">
        <f t="shared" si="895"/>
        <v>0.78333333326736465</v>
      </c>
      <c r="S5441" s="158">
        <f t="shared" si="896"/>
        <v>0.78333333326736465</v>
      </c>
      <c r="T5441" s="161">
        <f t="shared" si="897"/>
        <v>386.18333330081077</v>
      </c>
      <c r="U5441" s="158">
        <f t="shared" si="899"/>
        <v>493</v>
      </c>
      <c r="V5441" s="160">
        <f t="shared" si="898"/>
        <v>493</v>
      </c>
    </row>
    <row r="5442" spans="1:22" x14ac:dyDescent="0.25">
      <c r="A5442" s="98" t="s">
        <v>19</v>
      </c>
      <c r="B5442" s="98" t="s">
        <v>17</v>
      </c>
      <c r="C5442" s="98">
        <v>86</v>
      </c>
      <c r="D5442" s="98">
        <v>3352</v>
      </c>
      <c r="E5442" s="157">
        <v>42186.784722222219</v>
      </c>
      <c r="F5442" s="157">
        <v>42186.837500000001</v>
      </c>
      <c r="G5442" s="98">
        <v>430</v>
      </c>
      <c r="H5442" s="98">
        <v>530</v>
      </c>
      <c r="I5442" s="98">
        <v>493</v>
      </c>
      <c r="J5442" s="98" t="s">
        <v>2106</v>
      </c>
      <c r="K5442" s="98" t="s">
        <v>3783</v>
      </c>
      <c r="L5442" s="105" t="str">
        <f t="shared" si="890"/>
        <v>Trimble</v>
      </c>
      <c r="M5442" s="105" t="str">
        <f t="shared" si="891"/>
        <v>Derate</v>
      </c>
      <c r="N5442" s="105" t="str">
        <f t="shared" si="892"/>
        <v>Coal</v>
      </c>
      <c r="O5442" s="105">
        <f>IFERROR(VLOOKUP(A5442,Lookup!$J$5:$P$19,7,FALSE),0)</f>
        <v>3</v>
      </c>
      <c r="P5442" s="159">
        <f t="shared" si="893"/>
        <v>2015</v>
      </c>
      <c r="Q5442" s="159">
        <f t="shared" si="894"/>
        <v>7</v>
      </c>
      <c r="R5442" s="160">
        <f t="shared" si="895"/>
        <v>1.2666666667792015</v>
      </c>
      <c r="S5442" s="158">
        <f t="shared" si="896"/>
        <v>0.23899371071305689</v>
      </c>
      <c r="T5442" s="161">
        <f t="shared" si="897"/>
        <v>117.82389938153705</v>
      </c>
      <c r="U5442" s="158">
        <f t="shared" si="899"/>
        <v>93.018867924528308</v>
      </c>
      <c r="V5442" s="160">
        <f t="shared" si="898"/>
        <v>93</v>
      </c>
    </row>
    <row r="5443" spans="1:22" x14ac:dyDescent="0.25">
      <c r="A5443" s="98" t="s">
        <v>19</v>
      </c>
      <c r="B5443" s="98" t="s">
        <v>15</v>
      </c>
      <c r="C5443" s="98">
        <v>87</v>
      </c>
      <c r="D5443" s="98">
        <v>3110</v>
      </c>
      <c r="E5443" s="157">
        <v>42186.837500000001</v>
      </c>
      <c r="F5443" s="157">
        <v>42188.510416666664</v>
      </c>
      <c r="G5443" s="98">
        <v>0</v>
      </c>
      <c r="H5443" s="98">
        <v>530</v>
      </c>
      <c r="I5443" s="98">
        <v>493</v>
      </c>
      <c r="J5443" s="98" t="s">
        <v>2119</v>
      </c>
      <c r="K5443" s="98" t="s">
        <v>3784</v>
      </c>
      <c r="L5443" s="105" t="str">
        <f t="shared" si="890"/>
        <v>Trimble</v>
      </c>
      <c r="M5443" s="105" t="str">
        <f t="shared" si="891"/>
        <v>Outage</v>
      </c>
      <c r="N5443" s="105" t="str">
        <f t="shared" si="892"/>
        <v>Coal</v>
      </c>
      <c r="O5443" s="105">
        <f>IFERROR(VLOOKUP(A5443,Lookup!$J$5:$P$19,7,FALSE),0)</f>
        <v>3</v>
      </c>
      <c r="P5443" s="159">
        <f t="shared" si="893"/>
        <v>2015</v>
      </c>
      <c r="Q5443" s="159">
        <f t="shared" si="894"/>
        <v>7</v>
      </c>
      <c r="R5443" s="160">
        <f t="shared" si="895"/>
        <v>40.149999999906868</v>
      </c>
      <c r="S5443" s="158">
        <f t="shared" si="896"/>
        <v>40.149999999906868</v>
      </c>
      <c r="T5443" s="161">
        <f t="shared" si="897"/>
        <v>19793.949999954086</v>
      </c>
      <c r="U5443" s="158">
        <f t="shared" si="899"/>
        <v>493</v>
      </c>
      <c r="V5443" s="160">
        <f t="shared" si="898"/>
        <v>493</v>
      </c>
    </row>
    <row r="5444" spans="1:22" x14ac:dyDescent="0.25">
      <c r="A5444" s="98" t="s">
        <v>19</v>
      </c>
      <c r="B5444" s="98" t="s">
        <v>17</v>
      </c>
      <c r="C5444" s="98">
        <v>88</v>
      </c>
      <c r="D5444" s="98">
        <v>3352</v>
      </c>
      <c r="E5444" s="157">
        <v>42188.958333333336</v>
      </c>
      <c r="F5444" s="157">
        <v>42189.104166666664</v>
      </c>
      <c r="G5444" s="98">
        <v>450</v>
      </c>
      <c r="H5444" s="98">
        <v>530</v>
      </c>
      <c r="I5444" s="98">
        <v>493</v>
      </c>
      <c r="J5444" s="98" t="s">
        <v>2106</v>
      </c>
      <c r="K5444" s="98" t="s">
        <v>3783</v>
      </c>
      <c r="L5444" s="105" t="str">
        <f t="shared" ref="L5444:L5507" si="900">IF(OR(A5444="BR1",A5444="BR2",A5444="BR3",A5444="BR5",A5444="BR6",A5444="BR7",A5444="BR8",A5444="BR9",A5444="BR10",A5444="BR11"),"Brown",IF(OR(A5444="CR4",A5444="CR5",A5444="CR6",A5444="CR11"),"Cane Run",IF(OR(A5444="GH1",A5444="GH2",A5444="GH3",A5444="GH4"),"Ghent",IF(OR(A5444="GR3",A5444="GR4"),"Green River",IF(OR(A5444="MC1",A5444="MC2",A5444="MC3",A5444="MC4"),"Mill Creek",IF(OR(A5444="TC1",A5444="TC2",A5444="TC5",A5444="TC6",A5444="TC7",A5444="TC8",A5444="TC9",A5444="TC10"),"Trimble",IF(A5444="TY3","Tyrone",IF(OR(A5444="HA1",A5444="HA2",A5444="HA3"),"Haeflin",IF(OR(A5444="PR11",A5444="PR12",A5444="PR13"),"Paddy's Run","Zorn")))))))))</f>
        <v>Trimble</v>
      </c>
      <c r="M5444" s="105" t="str">
        <f t="shared" ref="M5444:M5507" si="901">IF(OR(B5444="D1",B5444="D2",B5444="D3",B5444="D4",B5444="PD"),"Derate",IF(OR(B5444="SF",B5444="U1",B5444="U2",B5444="U3"),"Outage",IF(OR(B5444="ME",B5444="MO"),"Maintenance","Other")))</f>
        <v>Derate</v>
      </c>
      <c r="N5444" s="105" t="str">
        <f t="shared" ref="N5444:N5507" si="902">IF(OR(A5444="BR1",A5444="BR2",A5444="BR3",A5444="CR4",A5444="CR5",A5444="CR6",A5444="GH1",A5444="GH2",A5444="GH3",A5444="GH4",A5444="GR3",A5444="GR4",A5444="MC1",A5444="MC2",A5444="MC3",A5444="MC4",A5444="TC1",A5444="TC2",A5444="TY3"),"Coal","Gas")</f>
        <v>Coal</v>
      </c>
      <c r="O5444" s="105">
        <f>IFERROR(VLOOKUP(A5444,Lookup!$J$5:$P$19,7,FALSE),0)</f>
        <v>3</v>
      </c>
      <c r="P5444" s="159">
        <f t="shared" ref="P5444:P5507" si="903">YEAR(E5444)</f>
        <v>2015</v>
      </c>
      <c r="Q5444" s="159">
        <f t="shared" ref="Q5444:Q5507" si="904">MONTH(E5444)</f>
        <v>7</v>
      </c>
      <c r="R5444" s="160">
        <f t="shared" ref="R5444:R5507" si="905">(F5444-E5444)*24</f>
        <v>3.4999999998835847</v>
      </c>
      <c r="S5444" s="158">
        <f t="shared" ref="S5444:S5507" si="906">R5444*(H5444-G5444)/H5444</f>
        <v>0.52830188677488066</v>
      </c>
      <c r="T5444" s="161">
        <f t="shared" ref="T5444:T5507" si="907">S5444*I5444</f>
        <v>260.45283018001618</v>
      </c>
      <c r="U5444" s="158">
        <f t="shared" si="899"/>
        <v>74.415094339622641</v>
      </c>
      <c r="V5444" s="160">
        <f t="shared" ref="V5444:V5507" si="908">ROUND(U5444,0)</f>
        <v>74</v>
      </c>
    </row>
    <row r="5445" spans="1:22" x14ac:dyDescent="0.25">
      <c r="A5445" s="98" t="s">
        <v>19</v>
      </c>
      <c r="B5445" s="98" t="s">
        <v>17</v>
      </c>
      <c r="C5445" s="98">
        <v>89</v>
      </c>
      <c r="D5445" s="98">
        <v>3352</v>
      </c>
      <c r="E5445" s="157">
        <v>42189.104166666664</v>
      </c>
      <c r="F5445" s="157">
        <v>42189.15625</v>
      </c>
      <c r="G5445" s="98">
        <v>480</v>
      </c>
      <c r="H5445" s="98">
        <v>530</v>
      </c>
      <c r="I5445" s="98">
        <v>493</v>
      </c>
      <c r="J5445" s="98" t="s">
        <v>2106</v>
      </c>
      <c r="K5445" s="98" t="s">
        <v>3783</v>
      </c>
      <c r="L5445" s="105" t="str">
        <f t="shared" si="900"/>
        <v>Trimble</v>
      </c>
      <c r="M5445" s="105" t="str">
        <f t="shared" si="901"/>
        <v>Derate</v>
      </c>
      <c r="N5445" s="105" t="str">
        <f t="shared" si="902"/>
        <v>Coal</v>
      </c>
      <c r="O5445" s="105">
        <f>IFERROR(VLOOKUP(A5445,Lookup!$J$5:$P$19,7,FALSE),0)</f>
        <v>3</v>
      </c>
      <c r="P5445" s="159">
        <f t="shared" si="903"/>
        <v>2015</v>
      </c>
      <c r="Q5445" s="159">
        <f t="shared" si="904"/>
        <v>7</v>
      </c>
      <c r="R5445" s="160">
        <f t="shared" si="905"/>
        <v>1.2500000000582077</v>
      </c>
      <c r="S5445" s="158">
        <f t="shared" si="906"/>
        <v>0.11792452830737808</v>
      </c>
      <c r="T5445" s="161">
        <f t="shared" si="907"/>
        <v>58.136792455537396</v>
      </c>
      <c r="U5445" s="158">
        <f t="shared" ref="U5445:U5508" si="909">IF(G5445&gt;0,MAX((H5445-G5445),0)*I5445/H5445,I5445)</f>
        <v>46.509433962264154</v>
      </c>
      <c r="V5445" s="160">
        <f t="shared" si="908"/>
        <v>47</v>
      </c>
    </row>
    <row r="5446" spans="1:22" x14ac:dyDescent="0.25">
      <c r="A5446" s="98" t="s">
        <v>19</v>
      </c>
      <c r="B5446" s="98" t="s">
        <v>17</v>
      </c>
      <c r="C5446" s="98">
        <v>90</v>
      </c>
      <c r="D5446" s="98">
        <v>3352</v>
      </c>
      <c r="E5446" s="157">
        <v>42189.15625</v>
      </c>
      <c r="F5446" s="157">
        <v>42189.25</v>
      </c>
      <c r="G5446" s="98">
        <v>515</v>
      </c>
      <c r="H5446" s="98">
        <v>530</v>
      </c>
      <c r="I5446" s="98">
        <v>493</v>
      </c>
      <c r="J5446" s="98" t="s">
        <v>2106</v>
      </c>
      <c r="K5446" s="98" t="s">
        <v>3783</v>
      </c>
      <c r="L5446" s="105" t="str">
        <f t="shared" si="900"/>
        <v>Trimble</v>
      </c>
      <c r="M5446" s="105" t="str">
        <f t="shared" si="901"/>
        <v>Derate</v>
      </c>
      <c r="N5446" s="105" t="str">
        <f t="shared" si="902"/>
        <v>Coal</v>
      </c>
      <c r="O5446" s="105">
        <f>IFERROR(VLOOKUP(A5446,Lookup!$J$5:$P$19,7,FALSE),0)</f>
        <v>3</v>
      </c>
      <c r="P5446" s="159">
        <f t="shared" si="903"/>
        <v>2015</v>
      </c>
      <c r="Q5446" s="159">
        <f t="shared" si="904"/>
        <v>7</v>
      </c>
      <c r="R5446" s="160">
        <f t="shared" si="905"/>
        <v>2.25</v>
      </c>
      <c r="S5446" s="158">
        <f t="shared" si="906"/>
        <v>6.3679245283018868E-2</v>
      </c>
      <c r="T5446" s="161">
        <f t="shared" si="907"/>
        <v>31.393867924528301</v>
      </c>
      <c r="U5446" s="158">
        <f t="shared" si="909"/>
        <v>13.952830188679245</v>
      </c>
      <c r="V5446" s="160">
        <f t="shared" si="908"/>
        <v>14</v>
      </c>
    </row>
    <row r="5447" spans="1:22" x14ac:dyDescent="0.25">
      <c r="A5447" s="98" t="s">
        <v>19</v>
      </c>
      <c r="B5447" s="98" t="s">
        <v>17</v>
      </c>
      <c r="C5447" s="98">
        <v>91</v>
      </c>
      <c r="D5447" s="98">
        <v>3352</v>
      </c>
      <c r="E5447" s="157">
        <v>42189.25</v>
      </c>
      <c r="F5447" s="157">
        <v>42189.416666666664</v>
      </c>
      <c r="G5447" s="98">
        <v>525</v>
      </c>
      <c r="H5447" s="98">
        <v>530</v>
      </c>
      <c r="I5447" s="98">
        <v>493</v>
      </c>
      <c r="J5447" s="98" t="s">
        <v>2106</v>
      </c>
      <c r="K5447" s="98" t="s">
        <v>3783</v>
      </c>
      <c r="L5447" s="105" t="str">
        <f t="shared" si="900"/>
        <v>Trimble</v>
      </c>
      <c r="M5447" s="105" t="str">
        <f t="shared" si="901"/>
        <v>Derate</v>
      </c>
      <c r="N5447" s="105" t="str">
        <f t="shared" si="902"/>
        <v>Coal</v>
      </c>
      <c r="O5447" s="105">
        <f>IFERROR(VLOOKUP(A5447,Lookup!$J$5:$P$19,7,FALSE),0)</f>
        <v>3</v>
      </c>
      <c r="P5447" s="159">
        <f t="shared" si="903"/>
        <v>2015</v>
      </c>
      <c r="Q5447" s="159">
        <f t="shared" si="904"/>
        <v>7</v>
      </c>
      <c r="R5447" s="160">
        <f t="shared" si="905"/>
        <v>3.9999999999417923</v>
      </c>
      <c r="S5447" s="158">
        <f t="shared" si="906"/>
        <v>3.7735849056054642E-2</v>
      </c>
      <c r="T5447" s="161">
        <f t="shared" si="907"/>
        <v>18.60377358463494</v>
      </c>
      <c r="U5447" s="158">
        <f t="shared" si="909"/>
        <v>4.6509433962264151</v>
      </c>
      <c r="V5447" s="160">
        <f t="shared" si="908"/>
        <v>5</v>
      </c>
    </row>
    <row r="5448" spans="1:22" x14ac:dyDescent="0.25">
      <c r="A5448" s="98" t="s">
        <v>19</v>
      </c>
      <c r="B5448" s="98" t="s">
        <v>17</v>
      </c>
      <c r="C5448" s="98">
        <v>92</v>
      </c>
      <c r="D5448" s="98">
        <v>3440</v>
      </c>
      <c r="E5448" s="157">
        <v>42191.272916666669</v>
      </c>
      <c r="F5448" s="157">
        <v>42191.550694444442</v>
      </c>
      <c r="G5448" s="98">
        <v>475</v>
      </c>
      <c r="H5448" s="98">
        <v>530</v>
      </c>
      <c r="I5448" s="98">
        <v>493</v>
      </c>
      <c r="J5448" s="98" t="s">
        <v>2100</v>
      </c>
      <c r="K5448" s="98" t="s">
        <v>3785</v>
      </c>
      <c r="L5448" s="105" t="str">
        <f t="shared" si="900"/>
        <v>Trimble</v>
      </c>
      <c r="M5448" s="105" t="str">
        <f t="shared" si="901"/>
        <v>Derate</v>
      </c>
      <c r="N5448" s="105" t="str">
        <f t="shared" si="902"/>
        <v>Coal</v>
      </c>
      <c r="O5448" s="105">
        <f>IFERROR(VLOOKUP(A5448,Lookup!$J$5:$P$19,7,FALSE),0)</f>
        <v>3</v>
      </c>
      <c r="P5448" s="159">
        <f t="shared" si="903"/>
        <v>2015</v>
      </c>
      <c r="Q5448" s="159">
        <f t="shared" si="904"/>
        <v>7</v>
      </c>
      <c r="R5448" s="160">
        <f t="shared" si="905"/>
        <v>6.6666666665696539</v>
      </c>
      <c r="S5448" s="158">
        <f t="shared" si="906"/>
        <v>0.69182389936100186</v>
      </c>
      <c r="T5448" s="161">
        <f t="shared" si="907"/>
        <v>341.06918238497394</v>
      </c>
      <c r="U5448" s="158">
        <f t="shared" si="909"/>
        <v>51.160377358490564</v>
      </c>
      <c r="V5448" s="160">
        <f t="shared" si="908"/>
        <v>51</v>
      </c>
    </row>
    <row r="5449" spans="1:22" x14ac:dyDescent="0.25">
      <c r="A5449" s="98" t="s">
        <v>19</v>
      </c>
      <c r="B5449" s="98" t="s">
        <v>79</v>
      </c>
      <c r="C5449" s="98">
        <v>93</v>
      </c>
      <c r="D5449" s="98">
        <v>4700</v>
      </c>
      <c r="E5449" s="157">
        <v>42209.385416666664</v>
      </c>
      <c r="F5449" s="157">
        <v>42209.50277777778</v>
      </c>
      <c r="G5449" s="98">
        <v>0</v>
      </c>
      <c r="H5449" s="98">
        <v>530</v>
      </c>
      <c r="I5449" s="98">
        <v>493</v>
      </c>
      <c r="J5449" s="98" t="s">
        <v>2010</v>
      </c>
      <c r="K5449" s="98" t="s">
        <v>3786</v>
      </c>
      <c r="L5449" s="105" t="str">
        <f t="shared" si="900"/>
        <v>Trimble</v>
      </c>
      <c r="M5449" s="105" t="str">
        <f t="shared" si="901"/>
        <v>Other</v>
      </c>
      <c r="N5449" s="105" t="str">
        <f t="shared" si="902"/>
        <v>Coal</v>
      </c>
      <c r="O5449" s="105">
        <f>IFERROR(VLOOKUP(A5449,Lookup!$J$5:$P$19,7,FALSE),0)</f>
        <v>3</v>
      </c>
      <c r="P5449" s="159">
        <f t="shared" si="903"/>
        <v>2015</v>
      </c>
      <c r="Q5449" s="159">
        <f t="shared" si="904"/>
        <v>7</v>
      </c>
      <c r="R5449" s="160">
        <f t="shared" si="905"/>
        <v>2.8166666667675599</v>
      </c>
      <c r="S5449" s="158">
        <f t="shared" si="906"/>
        <v>2.8166666667675599</v>
      </c>
      <c r="T5449" s="161">
        <f t="shared" si="907"/>
        <v>1388.6166667164071</v>
      </c>
      <c r="U5449" s="158">
        <f t="shared" si="909"/>
        <v>493</v>
      </c>
      <c r="V5449" s="160">
        <f t="shared" si="908"/>
        <v>493</v>
      </c>
    </row>
    <row r="5450" spans="1:22" x14ac:dyDescent="0.25">
      <c r="A5450" s="98" t="s">
        <v>19</v>
      </c>
      <c r="B5450" s="98" t="s">
        <v>15</v>
      </c>
      <c r="C5450" s="98">
        <v>94</v>
      </c>
      <c r="D5450" s="98">
        <v>4260</v>
      </c>
      <c r="E5450" s="157">
        <v>42236.006944444445</v>
      </c>
      <c r="F5450" s="157">
        <v>42237.09097222222</v>
      </c>
      <c r="G5450" s="98">
        <v>0</v>
      </c>
      <c r="H5450" s="98">
        <v>530</v>
      </c>
      <c r="I5450" s="98">
        <v>493</v>
      </c>
      <c r="J5450" s="98" t="s">
        <v>1982</v>
      </c>
      <c r="K5450" s="98" t="s">
        <v>3787</v>
      </c>
      <c r="L5450" s="105" t="str">
        <f t="shared" si="900"/>
        <v>Trimble</v>
      </c>
      <c r="M5450" s="105" t="str">
        <f t="shared" si="901"/>
        <v>Outage</v>
      </c>
      <c r="N5450" s="105" t="str">
        <f t="shared" si="902"/>
        <v>Coal</v>
      </c>
      <c r="O5450" s="105">
        <f>IFERROR(VLOOKUP(A5450,Lookup!$J$5:$P$19,7,FALSE),0)</f>
        <v>3</v>
      </c>
      <c r="P5450" s="159">
        <f t="shared" si="903"/>
        <v>2015</v>
      </c>
      <c r="Q5450" s="159">
        <f t="shared" si="904"/>
        <v>8</v>
      </c>
      <c r="R5450" s="160">
        <f t="shared" si="905"/>
        <v>26.016666666604578</v>
      </c>
      <c r="S5450" s="158">
        <f t="shared" si="906"/>
        <v>26.016666666604578</v>
      </c>
      <c r="T5450" s="161">
        <f t="shared" si="907"/>
        <v>12826.216666636057</v>
      </c>
      <c r="U5450" s="158">
        <f t="shared" si="909"/>
        <v>493</v>
      </c>
      <c r="V5450" s="160">
        <f t="shared" si="908"/>
        <v>493</v>
      </c>
    </row>
    <row r="5451" spans="1:22" x14ac:dyDescent="0.25">
      <c r="A5451" s="98" t="s">
        <v>19</v>
      </c>
      <c r="B5451" s="98" t="s">
        <v>17</v>
      </c>
      <c r="C5451" s="98">
        <v>95</v>
      </c>
      <c r="D5451" s="98">
        <v>3352</v>
      </c>
      <c r="E5451" s="157">
        <v>42237.572916666664</v>
      </c>
      <c r="F5451" s="157">
        <v>42237.587500000001</v>
      </c>
      <c r="G5451" s="98">
        <v>480</v>
      </c>
      <c r="H5451" s="98">
        <v>530</v>
      </c>
      <c r="I5451" s="98">
        <v>493</v>
      </c>
      <c r="J5451" s="98" t="s">
        <v>2106</v>
      </c>
      <c r="K5451" s="98" t="s">
        <v>3788</v>
      </c>
      <c r="L5451" s="105" t="str">
        <f t="shared" si="900"/>
        <v>Trimble</v>
      </c>
      <c r="M5451" s="105" t="str">
        <f t="shared" si="901"/>
        <v>Derate</v>
      </c>
      <c r="N5451" s="105" t="str">
        <f t="shared" si="902"/>
        <v>Coal</v>
      </c>
      <c r="O5451" s="105">
        <f>IFERROR(VLOOKUP(A5451,Lookup!$J$5:$P$19,7,FALSE),0)</f>
        <v>3</v>
      </c>
      <c r="P5451" s="159">
        <f t="shared" si="903"/>
        <v>2015</v>
      </c>
      <c r="Q5451" s="159">
        <f t="shared" si="904"/>
        <v>8</v>
      </c>
      <c r="R5451" s="160">
        <f t="shared" si="905"/>
        <v>0.35000000009313226</v>
      </c>
      <c r="S5451" s="158">
        <f t="shared" si="906"/>
        <v>3.3018867933314364E-2</v>
      </c>
      <c r="T5451" s="161">
        <f t="shared" si="907"/>
        <v>16.278301891123981</v>
      </c>
      <c r="U5451" s="158">
        <f t="shared" si="909"/>
        <v>46.509433962264154</v>
      </c>
      <c r="V5451" s="160">
        <f t="shared" si="908"/>
        <v>47</v>
      </c>
    </row>
    <row r="5452" spans="1:22" x14ac:dyDescent="0.25">
      <c r="A5452" s="98" t="s">
        <v>19</v>
      </c>
      <c r="B5452" s="98" t="s">
        <v>32</v>
      </c>
      <c r="C5452" s="98">
        <v>96</v>
      </c>
      <c r="D5452" s="98">
        <v>1140</v>
      </c>
      <c r="E5452" s="157">
        <v>42245.916666666664</v>
      </c>
      <c r="F5452" s="157">
        <v>42245.927777777775</v>
      </c>
      <c r="G5452" s="98">
        <v>400</v>
      </c>
      <c r="H5452" s="98">
        <v>530</v>
      </c>
      <c r="I5452" s="98">
        <v>493</v>
      </c>
      <c r="J5452" s="98" t="s">
        <v>2044</v>
      </c>
      <c r="K5452" s="98" t="s">
        <v>3789</v>
      </c>
      <c r="L5452" s="105" t="str">
        <f t="shared" si="900"/>
        <v>Trimble</v>
      </c>
      <c r="M5452" s="105" t="str">
        <f t="shared" si="901"/>
        <v>Derate</v>
      </c>
      <c r="N5452" s="105" t="str">
        <f t="shared" si="902"/>
        <v>Coal</v>
      </c>
      <c r="O5452" s="105">
        <f>IFERROR(VLOOKUP(A5452,Lookup!$J$5:$P$19,7,FALSE),0)</f>
        <v>3</v>
      </c>
      <c r="P5452" s="159">
        <f t="shared" si="903"/>
        <v>2015</v>
      </c>
      <c r="Q5452" s="159">
        <f t="shared" si="904"/>
        <v>8</v>
      </c>
      <c r="R5452" s="160">
        <f t="shared" si="905"/>
        <v>0.26666666666278616</v>
      </c>
      <c r="S5452" s="158">
        <f t="shared" si="906"/>
        <v>6.5408805030494718E-2</v>
      </c>
      <c r="T5452" s="161">
        <f t="shared" si="907"/>
        <v>32.246540880033898</v>
      </c>
      <c r="U5452" s="158">
        <f t="shared" si="909"/>
        <v>120.9245283018868</v>
      </c>
      <c r="V5452" s="160">
        <f t="shared" si="908"/>
        <v>121</v>
      </c>
    </row>
    <row r="5453" spans="1:22" x14ac:dyDescent="0.25">
      <c r="A5453" s="98" t="s">
        <v>19</v>
      </c>
      <c r="B5453" s="98" t="s">
        <v>32</v>
      </c>
      <c r="C5453" s="98">
        <v>97</v>
      </c>
      <c r="D5453" s="98">
        <v>1140</v>
      </c>
      <c r="E5453" s="157">
        <v>42245.927777777775</v>
      </c>
      <c r="F5453" s="157">
        <v>42246.095138888886</v>
      </c>
      <c r="G5453" s="98">
        <v>300</v>
      </c>
      <c r="H5453" s="98">
        <v>530</v>
      </c>
      <c r="I5453" s="98">
        <v>493</v>
      </c>
      <c r="J5453" s="98" t="s">
        <v>2044</v>
      </c>
      <c r="K5453" s="98" t="s">
        <v>3790</v>
      </c>
      <c r="L5453" s="105" t="str">
        <f t="shared" si="900"/>
        <v>Trimble</v>
      </c>
      <c r="M5453" s="105" t="str">
        <f t="shared" si="901"/>
        <v>Derate</v>
      </c>
      <c r="N5453" s="105" t="str">
        <f t="shared" si="902"/>
        <v>Coal</v>
      </c>
      <c r="O5453" s="105">
        <f>IFERROR(VLOOKUP(A5453,Lookup!$J$5:$P$19,7,FALSE),0)</f>
        <v>3</v>
      </c>
      <c r="P5453" s="159">
        <f t="shared" si="903"/>
        <v>2015</v>
      </c>
      <c r="Q5453" s="159">
        <f t="shared" si="904"/>
        <v>8</v>
      </c>
      <c r="R5453" s="160">
        <f t="shared" si="905"/>
        <v>4.0166666666627862</v>
      </c>
      <c r="S5453" s="158">
        <f t="shared" si="906"/>
        <v>1.7430817610046052</v>
      </c>
      <c r="T5453" s="161">
        <f t="shared" si="907"/>
        <v>859.33930817527039</v>
      </c>
      <c r="U5453" s="158">
        <f t="shared" si="909"/>
        <v>213.9433962264151</v>
      </c>
      <c r="V5453" s="160">
        <f t="shared" si="908"/>
        <v>214</v>
      </c>
    </row>
    <row r="5454" spans="1:22" x14ac:dyDescent="0.25">
      <c r="A5454" s="98" t="s">
        <v>19</v>
      </c>
      <c r="B5454" s="98" t="s">
        <v>32</v>
      </c>
      <c r="C5454" s="98">
        <v>98</v>
      </c>
      <c r="D5454" s="98">
        <v>1140</v>
      </c>
      <c r="E5454" s="157">
        <v>42249.958333333336</v>
      </c>
      <c r="F5454" s="157">
        <v>42250.177083333336</v>
      </c>
      <c r="G5454" s="98">
        <v>400</v>
      </c>
      <c r="H5454" s="98">
        <v>530</v>
      </c>
      <c r="I5454" s="98">
        <v>493</v>
      </c>
      <c r="J5454" s="98" t="s">
        <v>2044</v>
      </c>
      <c r="K5454" s="98" t="s">
        <v>3791</v>
      </c>
      <c r="L5454" s="105" t="str">
        <f t="shared" si="900"/>
        <v>Trimble</v>
      </c>
      <c r="M5454" s="105" t="str">
        <f t="shared" si="901"/>
        <v>Derate</v>
      </c>
      <c r="N5454" s="105" t="str">
        <f t="shared" si="902"/>
        <v>Coal</v>
      </c>
      <c r="O5454" s="105">
        <f>IFERROR(VLOOKUP(A5454,Lookup!$J$5:$P$19,7,FALSE),0)</f>
        <v>3</v>
      </c>
      <c r="P5454" s="159">
        <f t="shared" si="903"/>
        <v>2015</v>
      </c>
      <c r="Q5454" s="159">
        <f t="shared" si="904"/>
        <v>9</v>
      </c>
      <c r="R5454" s="160">
        <f t="shared" si="905"/>
        <v>5.25</v>
      </c>
      <c r="S5454" s="158">
        <f t="shared" si="906"/>
        <v>1.2877358490566038</v>
      </c>
      <c r="T5454" s="161">
        <f t="shared" si="907"/>
        <v>634.85377358490564</v>
      </c>
      <c r="U5454" s="158">
        <f t="shared" si="909"/>
        <v>120.9245283018868</v>
      </c>
      <c r="V5454" s="160">
        <f t="shared" si="908"/>
        <v>121</v>
      </c>
    </row>
    <row r="5455" spans="1:22" x14ac:dyDescent="0.25">
      <c r="A5455" s="98" t="s">
        <v>19</v>
      </c>
      <c r="B5455" s="98" t="s">
        <v>17</v>
      </c>
      <c r="C5455" s="98">
        <v>99</v>
      </c>
      <c r="D5455" s="98">
        <v>310</v>
      </c>
      <c r="E5455" s="157">
        <v>42258.418055555558</v>
      </c>
      <c r="F5455" s="157">
        <v>42259.042361111111</v>
      </c>
      <c r="G5455" s="98">
        <v>450</v>
      </c>
      <c r="H5455" s="98">
        <v>530</v>
      </c>
      <c r="I5455" s="98">
        <v>493</v>
      </c>
      <c r="J5455" s="98" t="s">
        <v>1966</v>
      </c>
      <c r="K5455" s="98" t="s">
        <v>3792</v>
      </c>
      <c r="L5455" s="105" t="str">
        <f t="shared" si="900"/>
        <v>Trimble</v>
      </c>
      <c r="M5455" s="105" t="str">
        <f t="shared" si="901"/>
        <v>Derate</v>
      </c>
      <c r="N5455" s="105" t="str">
        <f t="shared" si="902"/>
        <v>Coal</v>
      </c>
      <c r="O5455" s="105">
        <f>IFERROR(VLOOKUP(A5455,Lookup!$J$5:$P$19,7,FALSE),0)</f>
        <v>3</v>
      </c>
      <c r="P5455" s="159">
        <f t="shared" si="903"/>
        <v>2015</v>
      </c>
      <c r="Q5455" s="159">
        <f t="shared" si="904"/>
        <v>9</v>
      </c>
      <c r="R5455" s="160">
        <f t="shared" si="905"/>
        <v>14.983333333279006</v>
      </c>
      <c r="S5455" s="158">
        <f t="shared" si="906"/>
        <v>2.261635220117586</v>
      </c>
      <c r="T5455" s="161">
        <f t="shared" si="907"/>
        <v>1114.98616351797</v>
      </c>
      <c r="U5455" s="158">
        <f t="shared" si="909"/>
        <v>74.415094339622641</v>
      </c>
      <c r="V5455" s="160">
        <f t="shared" si="908"/>
        <v>74</v>
      </c>
    </row>
    <row r="5456" spans="1:22" x14ac:dyDescent="0.25">
      <c r="A5456" s="98" t="s">
        <v>19</v>
      </c>
      <c r="B5456" s="98" t="s">
        <v>17</v>
      </c>
      <c r="C5456" s="98">
        <v>100</v>
      </c>
      <c r="D5456" s="98">
        <v>310</v>
      </c>
      <c r="E5456" s="157">
        <v>42261.298611111109</v>
      </c>
      <c r="F5456" s="157">
        <v>42261.602083333331</v>
      </c>
      <c r="G5456" s="98">
        <v>450</v>
      </c>
      <c r="H5456" s="98">
        <v>530</v>
      </c>
      <c r="I5456" s="98">
        <v>493</v>
      </c>
      <c r="J5456" s="98" t="s">
        <v>1966</v>
      </c>
      <c r="K5456" s="98" t="s">
        <v>3793</v>
      </c>
      <c r="L5456" s="105" t="str">
        <f t="shared" si="900"/>
        <v>Trimble</v>
      </c>
      <c r="M5456" s="105" t="str">
        <f t="shared" si="901"/>
        <v>Derate</v>
      </c>
      <c r="N5456" s="105" t="str">
        <f t="shared" si="902"/>
        <v>Coal</v>
      </c>
      <c r="O5456" s="105">
        <f>IFERROR(VLOOKUP(A5456,Lookup!$J$5:$P$19,7,FALSE),0)</f>
        <v>3</v>
      </c>
      <c r="P5456" s="159">
        <f t="shared" si="903"/>
        <v>2015</v>
      </c>
      <c r="Q5456" s="159">
        <f t="shared" si="904"/>
        <v>9</v>
      </c>
      <c r="R5456" s="160">
        <f t="shared" si="905"/>
        <v>7.2833333333255723</v>
      </c>
      <c r="S5456" s="158">
        <f t="shared" si="906"/>
        <v>1.0993710691812184</v>
      </c>
      <c r="T5456" s="161">
        <f t="shared" si="907"/>
        <v>541.98993710634068</v>
      </c>
      <c r="U5456" s="158">
        <f t="shared" si="909"/>
        <v>74.415094339622641</v>
      </c>
      <c r="V5456" s="160">
        <f t="shared" si="908"/>
        <v>74</v>
      </c>
    </row>
    <row r="5457" spans="1:22" x14ac:dyDescent="0.25">
      <c r="A5457" s="98" t="s">
        <v>19</v>
      </c>
      <c r="B5457" s="98" t="s">
        <v>17</v>
      </c>
      <c r="C5457" s="98">
        <v>101</v>
      </c>
      <c r="D5457" s="98">
        <v>310</v>
      </c>
      <c r="E5457" s="157">
        <v>42261.625</v>
      </c>
      <c r="F5457" s="157">
        <v>42261.855555555558</v>
      </c>
      <c r="G5457" s="98">
        <v>475</v>
      </c>
      <c r="H5457" s="98">
        <v>530</v>
      </c>
      <c r="I5457" s="98">
        <v>493</v>
      </c>
      <c r="J5457" s="98" t="s">
        <v>1966</v>
      </c>
      <c r="K5457" s="98" t="s">
        <v>3794</v>
      </c>
      <c r="L5457" s="105" t="str">
        <f t="shared" si="900"/>
        <v>Trimble</v>
      </c>
      <c r="M5457" s="105" t="str">
        <f t="shared" si="901"/>
        <v>Derate</v>
      </c>
      <c r="N5457" s="105" t="str">
        <f t="shared" si="902"/>
        <v>Coal</v>
      </c>
      <c r="O5457" s="105">
        <f>IFERROR(VLOOKUP(A5457,Lookup!$J$5:$P$19,7,FALSE),0)</f>
        <v>3</v>
      </c>
      <c r="P5457" s="159">
        <f t="shared" si="903"/>
        <v>2015</v>
      </c>
      <c r="Q5457" s="159">
        <f t="shared" si="904"/>
        <v>9</v>
      </c>
      <c r="R5457" s="160">
        <f t="shared" si="905"/>
        <v>5.53333333338378</v>
      </c>
      <c r="S5457" s="158">
        <f t="shared" si="906"/>
        <v>0.57421383648322244</v>
      </c>
      <c r="T5457" s="161">
        <f t="shared" si="907"/>
        <v>283.08742138622864</v>
      </c>
      <c r="U5457" s="158">
        <f t="shared" si="909"/>
        <v>51.160377358490564</v>
      </c>
      <c r="V5457" s="160">
        <f t="shared" si="908"/>
        <v>51</v>
      </c>
    </row>
    <row r="5458" spans="1:22" x14ac:dyDescent="0.25">
      <c r="A5458" s="98" t="s">
        <v>19</v>
      </c>
      <c r="B5458" s="98" t="s">
        <v>17</v>
      </c>
      <c r="C5458" s="98">
        <v>102</v>
      </c>
      <c r="D5458" s="98">
        <v>280</v>
      </c>
      <c r="E5458" s="157">
        <v>42262.011805555558</v>
      </c>
      <c r="F5458" s="157">
        <v>42262.0625</v>
      </c>
      <c r="G5458" s="98">
        <v>475</v>
      </c>
      <c r="H5458" s="98">
        <v>530</v>
      </c>
      <c r="I5458" s="98">
        <v>493</v>
      </c>
      <c r="J5458" s="98" t="s">
        <v>1988</v>
      </c>
      <c r="K5458" s="98" t="s">
        <v>3795</v>
      </c>
      <c r="L5458" s="105" t="str">
        <f t="shared" si="900"/>
        <v>Trimble</v>
      </c>
      <c r="M5458" s="105" t="str">
        <f t="shared" si="901"/>
        <v>Derate</v>
      </c>
      <c r="N5458" s="105" t="str">
        <f t="shared" si="902"/>
        <v>Coal</v>
      </c>
      <c r="O5458" s="105">
        <f>IFERROR(VLOOKUP(A5458,Lookup!$J$5:$P$19,7,FALSE),0)</f>
        <v>3</v>
      </c>
      <c r="P5458" s="159">
        <f t="shared" si="903"/>
        <v>2015</v>
      </c>
      <c r="Q5458" s="159">
        <f t="shared" si="904"/>
        <v>9</v>
      </c>
      <c r="R5458" s="160">
        <f t="shared" si="905"/>
        <v>1.21666666661622</v>
      </c>
      <c r="S5458" s="158">
        <f t="shared" si="906"/>
        <v>0.12625786162998509</v>
      </c>
      <c r="T5458" s="161">
        <f t="shared" si="907"/>
        <v>62.245125783582651</v>
      </c>
      <c r="U5458" s="158">
        <f t="shared" si="909"/>
        <v>51.160377358490564</v>
      </c>
      <c r="V5458" s="160">
        <f t="shared" si="908"/>
        <v>51</v>
      </c>
    </row>
    <row r="5459" spans="1:22" x14ac:dyDescent="0.25">
      <c r="A5459" s="98" t="s">
        <v>19</v>
      </c>
      <c r="B5459" s="98" t="s">
        <v>17</v>
      </c>
      <c r="C5459" s="98">
        <v>103</v>
      </c>
      <c r="D5459" s="98">
        <v>280</v>
      </c>
      <c r="E5459" s="157">
        <v>42263.722916666666</v>
      </c>
      <c r="F5459" s="157">
        <v>42263.822916666664</v>
      </c>
      <c r="G5459" s="98">
        <v>525</v>
      </c>
      <c r="H5459" s="98">
        <v>530</v>
      </c>
      <c r="I5459" s="98">
        <v>493</v>
      </c>
      <c r="J5459" s="98" t="s">
        <v>1988</v>
      </c>
      <c r="K5459" s="98" t="s">
        <v>3796</v>
      </c>
      <c r="L5459" s="105" t="str">
        <f t="shared" si="900"/>
        <v>Trimble</v>
      </c>
      <c r="M5459" s="105" t="str">
        <f t="shared" si="901"/>
        <v>Derate</v>
      </c>
      <c r="N5459" s="105" t="str">
        <f t="shared" si="902"/>
        <v>Coal</v>
      </c>
      <c r="O5459" s="105">
        <f>IFERROR(VLOOKUP(A5459,Lookup!$J$5:$P$19,7,FALSE),0)</f>
        <v>3</v>
      </c>
      <c r="P5459" s="159">
        <f t="shared" si="903"/>
        <v>2015</v>
      </c>
      <c r="Q5459" s="159">
        <f t="shared" si="904"/>
        <v>9</v>
      </c>
      <c r="R5459" s="160">
        <f t="shared" si="905"/>
        <v>2.3999999999650754</v>
      </c>
      <c r="S5459" s="158">
        <f t="shared" si="906"/>
        <v>2.2641509433632787E-2</v>
      </c>
      <c r="T5459" s="161">
        <f t="shared" si="907"/>
        <v>11.162264150780963</v>
      </c>
      <c r="U5459" s="158">
        <f t="shared" si="909"/>
        <v>4.6509433962264151</v>
      </c>
      <c r="V5459" s="160">
        <f t="shared" si="908"/>
        <v>5</v>
      </c>
    </row>
    <row r="5460" spans="1:22" x14ac:dyDescent="0.25">
      <c r="A5460" s="98" t="s">
        <v>19</v>
      </c>
      <c r="B5460" s="98" t="s">
        <v>79</v>
      </c>
      <c r="C5460" s="98">
        <v>104</v>
      </c>
      <c r="D5460" s="98">
        <v>1980</v>
      </c>
      <c r="E5460" s="157">
        <v>42278.955555555556</v>
      </c>
      <c r="F5460" s="157">
        <v>42279.092361111114</v>
      </c>
      <c r="G5460" s="98">
        <v>0</v>
      </c>
      <c r="H5460" s="98">
        <v>530</v>
      </c>
      <c r="I5460" s="98">
        <v>493</v>
      </c>
      <c r="J5460" s="98" t="s">
        <v>2126</v>
      </c>
      <c r="K5460" s="98" t="s">
        <v>3797</v>
      </c>
      <c r="L5460" s="105" t="str">
        <f t="shared" si="900"/>
        <v>Trimble</v>
      </c>
      <c r="M5460" s="105" t="str">
        <f t="shared" si="901"/>
        <v>Other</v>
      </c>
      <c r="N5460" s="105" t="str">
        <f t="shared" si="902"/>
        <v>Coal</v>
      </c>
      <c r="O5460" s="105">
        <f>IFERROR(VLOOKUP(A5460,Lookup!$J$5:$P$19,7,FALSE),0)</f>
        <v>3</v>
      </c>
      <c r="P5460" s="159">
        <f t="shared" si="903"/>
        <v>2015</v>
      </c>
      <c r="Q5460" s="159">
        <f t="shared" si="904"/>
        <v>10</v>
      </c>
      <c r="R5460" s="160">
        <f t="shared" si="905"/>
        <v>3.28333333338378</v>
      </c>
      <c r="S5460" s="158">
        <f t="shared" si="906"/>
        <v>3.28333333338378</v>
      </c>
      <c r="T5460" s="161">
        <f t="shared" si="907"/>
        <v>1618.6833333582035</v>
      </c>
      <c r="U5460" s="158">
        <f t="shared" si="909"/>
        <v>493</v>
      </c>
      <c r="V5460" s="160">
        <f t="shared" si="908"/>
        <v>493</v>
      </c>
    </row>
    <row r="5461" spans="1:22" x14ac:dyDescent="0.25">
      <c r="A5461" s="98" t="s">
        <v>19</v>
      </c>
      <c r="B5461" s="98" t="s">
        <v>79</v>
      </c>
      <c r="C5461" s="98">
        <v>105</v>
      </c>
      <c r="D5461" s="98">
        <v>1980</v>
      </c>
      <c r="E5461" s="157">
        <v>42283.913888888892</v>
      </c>
      <c r="F5461" s="157">
        <v>42284.040277777778</v>
      </c>
      <c r="G5461" s="98">
        <v>0</v>
      </c>
      <c r="H5461" s="98">
        <v>530</v>
      </c>
      <c r="I5461" s="98">
        <v>493</v>
      </c>
      <c r="J5461" s="98" t="s">
        <v>2126</v>
      </c>
      <c r="K5461" s="98" t="s">
        <v>3797</v>
      </c>
      <c r="L5461" s="105" t="str">
        <f t="shared" si="900"/>
        <v>Trimble</v>
      </c>
      <c r="M5461" s="105" t="str">
        <f t="shared" si="901"/>
        <v>Other</v>
      </c>
      <c r="N5461" s="105" t="str">
        <f t="shared" si="902"/>
        <v>Coal</v>
      </c>
      <c r="O5461" s="105">
        <f>IFERROR(VLOOKUP(A5461,Lookup!$J$5:$P$19,7,FALSE),0)</f>
        <v>3</v>
      </c>
      <c r="P5461" s="159">
        <f t="shared" si="903"/>
        <v>2015</v>
      </c>
      <c r="Q5461" s="159">
        <f t="shared" si="904"/>
        <v>10</v>
      </c>
      <c r="R5461" s="160">
        <f t="shared" si="905"/>
        <v>3.0333333332673647</v>
      </c>
      <c r="S5461" s="158">
        <f t="shared" si="906"/>
        <v>3.0333333332673647</v>
      </c>
      <c r="T5461" s="161">
        <f t="shared" si="907"/>
        <v>1495.4333333008108</v>
      </c>
      <c r="U5461" s="158">
        <f t="shared" si="909"/>
        <v>493</v>
      </c>
      <c r="V5461" s="160">
        <f t="shared" si="908"/>
        <v>493</v>
      </c>
    </row>
    <row r="5462" spans="1:22" x14ac:dyDescent="0.25">
      <c r="A5462" s="98" t="s">
        <v>19</v>
      </c>
      <c r="B5462" s="98" t="s">
        <v>17</v>
      </c>
      <c r="C5462" s="98">
        <v>106</v>
      </c>
      <c r="D5462" s="98">
        <v>310</v>
      </c>
      <c r="E5462" s="157">
        <v>42285.870138888888</v>
      </c>
      <c r="F5462" s="157">
        <v>42286.15902777778</v>
      </c>
      <c r="G5462" s="98">
        <v>435</v>
      </c>
      <c r="H5462" s="98">
        <v>530</v>
      </c>
      <c r="I5462" s="98">
        <v>493</v>
      </c>
      <c r="J5462" s="98" t="s">
        <v>1966</v>
      </c>
      <c r="K5462" s="98" t="s">
        <v>3798</v>
      </c>
      <c r="L5462" s="105" t="str">
        <f t="shared" si="900"/>
        <v>Trimble</v>
      </c>
      <c r="M5462" s="105" t="str">
        <f t="shared" si="901"/>
        <v>Derate</v>
      </c>
      <c r="N5462" s="105" t="str">
        <f t="shared" si="902"/>
        <v>Coal</v>
      </c>
      <c r="O5462" s="105">
        <f>IFERROR(VLOOKUP(A5462,Lookup!$J$5:$P$19,7,FALSE),0)</f>
        <v>3</v>
      </c>
      <c r="P5462" s="159">
        <f t="shared" si="903"/>
        <v>2015</v>
      </c>
      <c r="Q5462" s="159">
        <f t="shared" si="904"/>
        <v>10</v>
      </c>
      <c r="R5462" s="160">
        <f t="shared" si="905"/>
        <v>6.933333333407063</v>
      </c>
      <c r="S5462" s="158">
        <f t="shared" si="906"/>
        <v>1.2427672956106999</v>
      </c>
      <c r="T5462" s="161">
        <f t="shared" si="907"/>
        <v>612.68427673607505</v>
      </c>
      <c r="U5462" s="158">
        <f t="shared" si="909"/>
        <v>88.367924528301884</v>
      </c>
      <c r="V5462" s="160">
        <f t="shared" si="908"/>
        <v>88</v>
      </c>
    </row>
    <row r="5463" spans="1:22" x14ac:dyDescent="0.25">
      <c r="A5463" s="98" t="s">
        <v>19</v>
      </c>
      <c r="B5463" s="98" t="s">
        <v>17</v>
      </c>
      <c r="C5463" s="98">
        <v>107</v>
      </c>
      <c r="D5463" s="98">
        <v>310</v>
      </c>
      <c r="E5463" s="157">
        <v>42286.15902777778</v>
      </c>
      <c r="F5463" s="157">
        <v>42286.991666666669</v>
      </c>
      <c r="G5463" s="98">
        <v>420</v>
      </c>
      <c r="H5463" s="98">
        <v>530</v>
      </c>
      <c r="I5463" s="98">
        <v>493</v>
      </c>
      <c r="J5463" s="98" t="s">
        <v>1966</v>
      </c>
      <c r="K5463" s="98" t="s">
        <v>3799</v>
      </c>
      <c r="L5463" s="105" t="str">
        <f t="shared" si="900"/>
        <v>Trimble</v>
      </c>
      <c r="M5463" s="105" t="str">
        <f t="shared" si="901"/>
        <v>Derate</v>
      </c>
      <c r="N5463" s="105" t="str">
        <f t="shared" si="902"/>
        <v>Coal</v>
      </c>
      <c r="O5463" s="105">
        <f>IFERROR(VLOOKUP(A5463,Lookup!$J$5:$P$19,7,FALSE),0)</f>
        <v>3</v>
      </c>
      <c r="P5463" s="159">
        <f t="shared" si="903"/>
        <v>2015</v>
      </c>
      <c r="Q5463" s="159">
        <f t="shared" si="904"/>
        <v>10</v>
      </c>
      <c r="R5463" s="160">
        <f t="shared" si="905"/>
        <v>19.983333333337214</v>
      </c>
      <c r="S5463" s="158">
        <f t="shared" si="906"/>
        <v>4.1474842767303652</v>
      </c>
      <c r="T5463" s="161">
        <f t="shared" si="907"/>
        <v>2044.70974842807</v>
      </c>
      <c r="U5463" s="158">
        <f t="shared" si="909"/>
        <v>102.32075471698113</v>
      </c>
      <c r="V5463" s="160">
        <f t="shared" si="908"/>
        <v>102</v>
      </c>
    </row>
    <row r="5464" spans="1:22" x14ac:dyDescent="0.25">
      <c r="A5464" s="98" t="s">
        <v>19</v>
      </c>
      <c r="B5464" s="98" t="s">
        <v>38</v>
      </c>
      <c r="C5464" s="98">
        <v>108</v>
      </c>
      <c r="D5464" s="98">
        <v>8650</v>
      </c>
      <c r="E5464" s="157">
        <v>42286.991666666669</v>
      </c>
      <c r="F5464" s="157">
        <v>42331</v>
      </c>
      <c r="G5464" s="98">
        <v>0</v>
      </c>
      <c r="H5464" s="98">
        <v>530</v>
      </c>
      <c r="I5464" s="98">
        <v>493</v>
      </c>
      <c r="J5464" s="98" t="s">
        <v>2668</v>
      </c>
      <c r="K5464" s="98" t="s">
        <v>3800</v>
      </c>
      <c r="L5464" s="105" t="str">
        <f t="shared" si="900"/>
        <v>Trimble</v>
      </c>
      <c r="M5464" s="105" t="str">
        <f t="shared" si="901"/>
        <v>Other</v>
      </c>
      <c r="N5464" s="105" t="str">
        <f t="shared" si="902"/>
        <v>Coal</v>
      </c>
      <c r="O5464" s="105">
        <f>IFERROR(VLOOKUP(A5464,Lookup!$J$5:$P$19,7,FALSE),0)</f>
        <v>3</v>
      </c>
      <c r="P5464" s="159">
        <f t="shared" si="903"/>
        <v>2015</v>
      </c>
      <c r="Q5464" s="159">
        <f t="shared" si="904"/>
        <v>10</v>
      </c>
      <c r="R5464" s="160">
        <f t="shared" si="905"/>
        <v>1056.1999999999534</v>
      </c>
      <c r="S5464" s="158">
        <f t="shared" si="906"/>
        <v>1056.1999999999534</v>
      </c>
      <c r="T5464" s="161">
        <f t="shared" si="907"/>
        <v>520706.59999997704</v>
      </c>
      <c r="U5464" s="158">
        <f t="shared" si="909"/>
        <v>493</v>
      </c>
      <c r="V5464" s="160">
        <f t="shared" si="908"/>
        <v>493</v>
      </c>
    </row>
    <row r="5465" spans="1:22" x14ac:dyDescent="0.25">
      <c r="A5465" s="98" t="s">
        <v>19</v>
      </c>
      <c r="B5465" s="98" t="s">
        <v>121</v>
      </c>
      <c r="C5465" s="98">
        <v>109</v>
      </c>
      <c r="D5465" s="98">
        <v>8650</v>
      </c>
      <c r="E5465" s="157">
        <v>42331</v>
      </c>
      <c r="F5465" s="157">
        <v>42349.910416666666</v>
      </c>
      <c r="G5465" s="98">
        <v>0</v>
      </c>
      <c r="H5465" s="98">
        <v>530</v>
      </c>
      <c r="I5465" s="98">
        <v>493</v>
      </c>
      <c r="J5465" s="98" t="s">
        <v>2668</v>
      </c>
      <c r="K5465" s="98" t="s">
        <v>3801</v>
      </c>
      <c r="L5465" s="105" t="str">
        <f t="shared" si="900"/>
        <v>Trimble</v>
      </c>
      <c r="M5465" s="105" t="str">
        <f t="shared" si="901"/>
        <v>Other</v>
      </c>
      <c r="N5465" s="105" t="str">
        <f t="shared" si="902"/>
        <v>Coal</v>
      </c>
      <c r="O5465" s="105">
        <f>IFERROR(VLOOKUP(A5465,Lookup!$J$5:$P$19,7,FALSE),0)</f>
        <v>3</v>
      </c>
      <c r="P5465" s="159">
        <f t="shared" si="903"/>
        <v>2015</v>
      </c>
      <c r="Q5465" s="159">
        <f t="shared" si="904"/>
        <v>11</v>
      </c>
      <c r="R5465" s="160">
        <f t="shared" si="905"/>
        <v>453.84999999997672</v>
      </c>
      <c r="S5465" s="158">
        <f t="shared" si="906"/>
        <v>453.84999999997672</v>
      </c>
      <c r="T5465" s="161">
        <f t="shared" si="907"/>
        <v>223748.04999998852</v>
      </c>
      <c r="U5465" s="158">
        <f t="shared" si="909"/>
        <v>493</v>
      </c>
      <c r="V5465" s="160">
        <f t="shared" si="908"/>
        <v>493</v>
      </c>
    </row>
    <row r="5466" spans="1:22" x14ac:dyDescent="0.25">
      <c r="A5466" s="98" t="s">
        <v>19</v>
      </c>
      <c r="B5466" s="98" t="s">
        <v>79</v>
      </c>
      <c r="C5466" s="98">
        <v>110</v>
      </c>
      <c r="D5466" s="98">
        <v>1850</v>
      </c>
      <c r="E5466" s="157">
        <v>42351.449305555558</v>
      </c>
      <c r="F5466" s="157">
        <v>42351.496527777781</v>
      </c>
      <c r="G5466" s="98">
        <v>0</v>
      </c>
      <c r="H5466" s="98">
        <v>530</v>
      </c>
      <c r="I5466" s="98">
        <v>493</v>
      </c>
      <c r="J5466" s="98" t="s">
        <v>2263</v>
      </c>
      <c r="K5466" s="98" t="s">
        <v>3802</v>
      </c>
      <c r="L5466" s="105" t="str">
        <f t="shared" si="900"/>
        <v>Trimble</v>
      </c>
      <c r="M5466" s="105" t="str">
        <f t="shared" si="901"/>
        <v>Other</v>
      </c>
      <c r="N5466" s="105" t="str">
        <f t="shared" si="902"/>
        <v>Coal</v>
      </c>
      <c r="O5466" s="105">
        <f>IFERROR(VLOOKUP(A5466,Lookup!$J$5:$P$19,7,FALSE),0)</f>
        <v>3</v>
      </c>
      <c r="P5466" s="159">
        <f t="shared" si="903"/>
        <v>2015</v>
      </c>
      <c r="Q5466" s="159">
        <f t="shared" si="904"/>
        <v>12</v>
      </c>
      <c r="R5466" s="160">
        <f t="shared" si="905"/>
        <v>1.1333333333604969</v>
      </c>
      <c r="S5466" s="158">
        <f t="shared" si="906"/>
        <v>1.1333333333604969</v>
      </c>
      <c r="T5466" s="161">
        <f t="shared" si="907"/>
        <v>558.73333334672498</v>
      </c>
      <c r="U5466" s="158">
        <f t="shared" si="909"/>
        <v>493</v>
      </c>
      <c r="V5466" s="160">
        <f t="shared" si="908"/>
        <v>493</v>
      </c>
    </row>
    <row r="5467" spans="1:22" x14ac:dyDescent="0.25">
      <c r="A5467" s="98" t="s">
        <v>19</v>
      </c>
      <c r="B5467" s="98" t="s">
        <v>15</v>
      </c>
      <c r="C5467" s="98">
        <v>111</v>
      </c>
      <c r="D5467" s="98">
        <v>1090</v>
      </c>
      <c r="E5467" s="157">
        <v>42351.496527777781</v>
      </c>
      <c r="F5467" s="157">
        <v>42356.496527777781</v>
      </c>
      <c r="G5467" s="98">
        <v>0</v>
      </c>
      <c r="H5467" s="98">
        <v>530</v>
      </c>
      <c r="I5467" s="98">
        <v>493</v>
      </c>
      <c r="J5467" s="98" t="s">
        <v>2096</v>
      </c>
      <c r="K5467" s="98" t="s">
        <v>3803</v>
      </c>
      <c r="L5467" s="105" t="str">
        <f t="shared" si="900"/>
        <v>Trimble</v>
      </c>
      <c r="M5467" s="105" t="str">
        <f t="shared" si="901"/>
        <v>Outage</v>
      </c>
      <c r="N5467" s="105" t="str">
        <f t="shared" si="902"/>
        <v>Coal</v>
      </c>
      <c r="O5467" s="105">
        <f>IFERROR(VLOOKUP(A5467,Lookup!$J$5:$P$19,7,FALSE),0)</f>
        <v>3</v>
      </c>
      <c r="P5467" s="159">
        <f t="shared" si="903"/>
        <v>2015</v>
      </c>
      <c r="Q5467" s="159">
        <f t="shared" si="904"/>
        <v>12</v>
      </c>
      <c r="R5467" s="160">
        <f t="shared" si="905"/>
        <v>120</v>
      </c>
      <c r="S5467" s="158">
        <f t="shared" si="906"/>
        <v>120</v>
      </c>
      <c r="T5467" s="161">
        <f t="shared" si="907"/>
        <v>59160</v>
      </c>
      <c r="U5467" s="158">
        <f t="shared" si="909"/>
        <v>493</v>
      </c>
      <c r="V5467" s="160">
        <f t="shared" si="908"/>
        <v>493</v>
      </c>
    </row>
    <row r="5468" spans="1:22" x14ac:dyDescent="0.25">
      <c r="A5468" s="98" t="s">
        <v>19</v>
      </c>
      <c r="B5468" s="98" t="s">
        <v>15</v>
      </c>
      <c r="C5468" s="98">
        <v>112</v>
      </c>
      <c r="D5468" s="98">
        <v>8650</v>
      </c>
      <c r="E5468" s="157">
        <v>42356.496527777781</v>
      </c>
      <c r="F5468" s="157">
        <v>42357.140277777777</v>
      </c>
      <c r="G5468" s="98">
        <v>0</v>
      </c>
      <c r="H5468" s="98">
        <v>530</v>
      </c>
      <c r="I5468" s="98">
        <v>493</v>
      </c>
      <c r="J5468" s="98" t="s">
        <v>2668</v>
      </c>
      <c r="K5468" s="98" t="s">
        <v>3804</v>
      </c>
      <c r="L5468" s="105" t="str">
        <f t="shared" si="900"/>
        <v>Trimble</v>
      </c>
      <c r="M5468" s="105" t="str">
        <f t="shared" si="901"/>
        <v>Outage</v>
      </c>
      <c r="N5468" s="105" t="str">
        <f t="shared" si="902"/>
        <v>Coal</v>
      </c>
      <c r="O5468" s="105">
        <f>IFERROR(VLOOKUP(A5468,Lookup!$J$5:$P$19,7,FALSE),0)</f>
        <v>3</v>
      </c>
      <c r="P5468" s="159">
        <f t="shared" si="903"/>
        <v>2015</v>
      </c>
      <c r="Q5468" s="159">
        <f t="shared" si="904"/>
        <v>12</v>
      </c>
      <c r="R5468" s="160">
        <f t="shared" si="905"/>
        <v>15.449999999895226</v>
      </c>
      <c r="S5468" s="158">
        <f t="shared" si="906"/>
        <v>15.449999999895226</v>
      </c>
      <c r="T5468" s="161">
        <f t="shared" si="907"/>
        <v>7616.8499999483465</v>
      </c>
      <c r="U5468" s="158">
        <f t="shared" si="909"/>
        <v>493</v>
      </c>
      <c r="V5468" s="160">
        <f t="shared" si="908"/>
        <v>493</v>
      </c>
    </row>
    <row r="5469" spans="1:22" x14ac:dyDescent="0.25">
      <c r="A5469" s="98" t="s">
        <v>19</v>
      </c>
      <c r="B5469" s="98" t="s">
        <v>79</v>
      </c>
      <c r="C5469" s="98">
        <v>113</v>
      </c>
      <c r="D5469" s="98">
        <v>9999</v>
      </c>
      <c r="E5469" s="157">
        <v>42360.25</v>
      </c>
      <c r="F5469" s="157">
        <v>42360.5</v>
      </c>
      <c r="G5469" s="98">
        <v>0</v>
      </c>
      <c r="H5469" s="98">
        <v>530</v>
      </c>
      <c r="I5469" s="98">
        <v>493</v>
      </c>
      <c r="J5469" s="98" t="s">
        <v>2261</v>
      </c>
      <c r="K5469" s="98" t="s">
        <v>3805</v>
      </c>
      <c r="L5469" s="105" t="str">
        <f t="shared" si="900"/>
        <v>Trimble</v>
      </c>
      <c r="M5469" s="105" t="str">
        <f t="shared" si="901"/>
        <v>Other</v>
      </c>
      <c r="N5469" s="105" t="str">
        <f t="shared" si="902"/>
        <v>Coal</v>
      </c>
      <c r="O5469" s="105">
        <f>IFERROR(VLOOKUP(A5469,Lookup!$J$5:$P$19,7,FALSE),0)</f>
        <v>3</v>
      </c>
      <c r="P5469" s="159">
        <f t="shared" si="903"/>
        <v>2015</v>
      </c>
      <c r="Q5469" s="159">
        <f t="shared" si="904"/>
        <v>12</v>
      </c>
      <c r="R5469" s="160">
        <f t="shared" si="905"/>
        <v>6</v>
      </c>
      <c r="S5469" s="158">
        <f t="shared" si="906"/>
        <v>6</v>
      </c>
      <c r="T5469" s="161">
        <f t="shared" si="907"/>
        <v>2958</v>
      </c>
      <c r="U5469" s="158">
        <f t="shared" si="909"/>
        <v>493</v>
      </c>
      <c r="V5469" s="160">
        <f t="shared" si="908"/>
        <v>493</v>
      </c>
    </row>
    <row r="5470" spans="1:22" x14ac:dyDescent="0.25">
      <c r="A5470" s="98" t="s">
        <v>19</v>
      </c>
      <c r="B5470" s="98" t="s">
        <v>17</v>
      </c>
      <c r="C5470" s="98">
        <v>114</v>
      </c>
      <c r="D5470" s="98">
        <v>250</v>
      </c>
      <c r="E5470" s="157">
        <v>42363.128472222219</v>
      </c>
      <c r="F5470" s="157">
        <v>42363.138888888891</v>
      </c>
      <c r="G5470" s="98">
        <v>440</v>
      </c>
      <c r="H5470" s="98">
        <v>530</v>
      </c>
      <c r="I5470" s="98">
        <v>493</v>
      </c>
      <c r="J5470" s="98" t="s">
        <v>1978</v>
      </c>
      <c r="K5470" s="98" t="s">
        <v>3806</v>
      </c>
      <c r="L5470" s="105" t="str">
        <f t="shared" si="900"/>
        <v>Trimble</v>
      </c>
      <c r="M5470" s="105" t="str">
        <f t="shared" si="901"/>
        <v>Derate</v>
      </c>
      <c r="N5470" s="105" t="str">
        <f t="shared" si="902"/>
        <v>Coal</v>
      </c>
      <c r="O5470" s="105">
        <f>IFERROR(VLOOKUP(A5470,Lookup!$J$5:$P$19,7,FALSE),0)</f>
        <v>3</v>
      </c>
      <c r="P5470" s="159">
        <f t="shared" si="903"/>
        <v>2015</v>
      </c>
      <c r="Q5470" s="159">
        <f t="shared" si="904"/>
        <v>12</v>
      </c>
      <c r="R5470" s="160">
        <f t="shared" si="905"/>
        <v>0.25000000011641532</v>
      </c>
      <c r="S5470" s="158">
        <f t="shared" si="906"/>
        <v>4.2452830208447888E-2</v>
      </c>
      <c r="T5470" s="161">
        <f t="shared" si="907"/>
        <v>20.929245292764808</v>
      </c>
      <c r="U5470" s="158">
        <f t="shared" si="909"/>
        <v>83.716981132075475</v>
      </c>
      <c r="V5470" s="160">
        <f t="shared" si="908"/>
        <v>84</v>
      </c>
    </row>
    <row r="5471" spans="1:22" x14ac:dyDescent="0.25">
      <c r="A5471" s="98" t="s">
        <v>19</v>
      </c>
      <c r="B5471" s="98" t="s">
        <v>17</v>
      </c>
      <c r="C5471" s="98">
        <v>115</v>
      </c>
      <c r="D5471" s="98">
        <v>3412</v>
      </c>
      <c r="E5471" s="157">
        <v>42364.125694444447</v>
      </c>
      <c r="F5471" s="157">
        <v>42364.182638888888</v>
      </c>
      <c r="G5471" s="98">
        <v>300</v>
      </c>
      <c r="H5471" s="98">
        <v>530</v>
      </c>
      <c r="I5471" s="98">
        <v>493</v>
      </c>
      <c r="J5471" s="98" t="s">
        <v>2162</v>
      </c>
      <c r="K5471" s="98" t="s">
        <v>3807</v>
      </c>
      <c r="L5471" s="105" t="str">
        <f t="shared" si="900"/>
        <v>Trimble</v>
      </c>
      <c r="M5471" s="105" t="str">
        <f t="shared" si="901"/>
        <v>Derate</v>
      </c>
      <c r="N5471" s="105" t="str">
        <f t="shared" si="902"/>
        <v>Coal</v>
      </c>
      <c r="O5471" s="105">
        <f>IFERROR(VLOOKUP(A5471,Lookup!$J$5:$P$19,7,FALSE),0)</f>
        <v>3</v>
      </c>
      <c r="P5471" s="159">
        <f t="shared" si="903"/>
        <v>2015</v>
      </c>
      <c r="Q5471" s="159">
        <f t="shared" si="904"/>
        <v>12</v>
      </c>
      <c r="R5471" s="160">
        <f t="shared" si="905"/>
        <v>1.3666666665812954</v>
      </c>
      <c r="S5471" s="158">
        <f t="shared" si="906"/>
        <v>0.59308176096924137</v>
      </c>
      <c r="T5471" s="161">
        <f t="shared" si="907"/>
        <v>292.38930815783601</v>
      </c>
      <c r="U5471" s="158">
        <f t="shared" si="909"/>
        <v>213.9433962264151</v>
      </c>
      <c r="V5471" s="160">
        <f t="shared" si="908"/>
        <v>214</v>
      </c>
    </row>
    <row r="5472" spans="1:22" x14ac:dyDescent="0.25">
      <c r="A5472" s="98" t="s">
        <v>19</v>
      </c>
      <c r="B5472" s="98" t="s">
        <v>17</v>
      </c>
      <c r="C5472" s="98">
        <v>116</v>
      </c>
      <c r="D5472" s="98">
        <v>9270</v>
      </c>
      <c r="E5472" s="157">
        <v>42367.28402777778</v>
      </c>
      <c r="F5472" s="157">
        <v>42367.291666666664</v>
      </c>
      <c r="G5472" s="98">
        <v>438</v>
      </c>
      <c r="H5472" s="98">
        <v>530</v>
      </c>
      <c r="I5472" s="98">
        <v>493</v>
      </c>
      <c r="J5472" s="98" t="s">
        <v>2006</v>
      </c>
      <c r="K5472" s="98" t="s">
        <v>3808</v>
      </c>
      <c r="L5472" s="105" t="str">
        <f t="shared" si="900"/>
        <v>Trimble</v>
      </c>
      <c r="M5472" s="105" t="str">
        <f t="shared" si="901"/>
        <v>Derate</v>
      </c>
      <c r="N5472" s="105" t="str">
        <f t="shared" si="902"/>
        <v>Coal</v>
      </c>
      <c r="O5472" s="105">
        <f>IFERROR(VLOOKUP(A5472,Lookup!$J$5:$P$19,7,FALSE),0)</f>
        <v>3</v>
      </c>
      <c r="P5472" s="159">
        <f t="shared" si="903"/>
        <v>2015</v>
      </c>
      <c r="Q5472" s="159">
        <f t="shared" si="904"/>
        <v>12</v>
      </c>
      <c r="R5472" s="160">
        <f t="shared" si="905"/>
        <v>0.18333333323244005</v>
      </c>
      <c r="S5472" s="158">
        <f t="shared" si="906"/>
        <v>3.1823899353555632E-2</v>
      </c>
      <c r="T5472" s="161">
        <f t="shared" si="907"/>
        <v>15.689182381302926</v>
      </c>
      <c r="U5472" s="158">
        <f t="shared" si="909"/>
        <v>85.577358490566041</v>
      </c>
      <c r="V5472" s="160">
        <f t="shared" si="908"/>
        <v>86</v>
      </c>
    </row>
    <row r="5473" spans="1:22" x14ac:dyDescent="0.25">
      <c r="A5473" s="98" t="s">
        <v>19</v>
      </c>
      <c r="B5473" s="98" t="s">
        <v>17</v>
      </c>
      <c r="C5473" s="98">
        <v>117</v>
      </c>
      <c r="D5473" s="98">
        <v>9270</v>
      </c>
      <c r="E5473" s="157">
        <v>42367.291666666664</v>
      </c>
      <c r="F5473" s="157">
        <v>42367.324305555558</v>
      </c>
      <c r="G5473" s="98">
        <v>418</v>
      </c>
      <c r="H5473" s="98">
        <v>530</v>
      </c>
      <c r="I5473" s="98">
        <v>493</v>
      </c>
      <c r="J5473" s="98" t="s">
        <v>2006</v>
      </c>
      <c r="K5473" s="98" t="s">
        <v>3808</v>
      </c>
      <c r="L5473" s="105" t="str">
        <f t="shared" si="900"/>
        <v>Trimble</v>
      </c>
      <c r="M5473" s="105" t="str">
        <f t="shared" si="901"/>
        <v>Derate</v>
      </c>
      <c r="N5473" s="105" t="str">
        <f t="shared" si="902"/>
        <v>Coal</v>
      </c>
      <c r="O5473" s="105">
        <f>IFERROR(VLOOKUP(A5473,Lookup!$J$5:$P$19,7,FALSE),0)</f>
        <v>3</v>
      </c>
      <c r="P5473" s="159">
        <f t="shared" si="903"/>
        <v>2015</v>
      </c>
      <c r="Q5473" s="159">
        <f t="shared" si="904"/>
        <v>12</v>
      </c>
      <c r="R5473" s="160">
        <f t="shared" si="905"/>
        <v>0.78333333344198763</v>
      </c>
      <c r="S5473" s="158">
        <f t="shared" si="906"/>
        <v>0.16553459121792946</v>
      </c>
      <c r="T5473" s="161">
        <f t="shared" si="907"/>
        <v>81.608553470439219</v>
      </c>
      <c r="U5473" s="158">
        <f t="shared" si="909"/>
        <v>104.18113207547169</v>
      </c>
      <c r="V5473" s="160">
        <f t="shared" si="908"/>
        <v>104</v>
      </c>
    </row>
    <row r="5474" spans="1:22" x14ac:dyDescent="0.25">
      <c r="A5474" s="98" t="s">
        <v>19</v>
      </c>
      <c r="B5474" s="98" t="s">
        <v>17</v>
      </c>
      <c r="C5474" s="98">
        <v>118</v>
      </c>
      <c r="D5474" s="98">
        <v>340</v>
      </c>
      <c r="E5474" s="157">
        <v>42367.768750000003</v>
      </c>
      <c r="F5474" s="157">
        <v>42367.815972222219</v>
      </c>
      <c r="G5474" s="98">
        <v>350</v>
      </c>
      <c r="H5474" s="98">
        <v>530</v>
      </c>
      <c r="I5474" s="98">
        <v>493</v>
      </c>
      <c r="J5474" s="98" t="s">
        <v>1970</v>
      </c>
      <c r="K5474" s="98" t="s">
        <v>3809</v>
      </c>
      <c r="L5474" s="105" t="str">
        <f t="shared" si="900"/>
        <v>Trimble</v>
      </c>
      <c r="M5474" s="105" t="str">
        <f t="shared" si="901"/>
        <v>Derate</v>
      </c>
      <c r="N5474" s="105" t="str">
        <f t="shared" si="902"/>
        <v>Coal</v>
      </c>
      <c r="O5474" s="105">
        <f>IFERROR(VLOOKUP(A5474,Lookup!$J$5:$P$19,7,FALSE),0)</f>
        <v>3</v>
      </c>
      <c r="P5474" s="159">
        <f t="shared" si="903"/>
        <v>2015</v>
      </c>
      <c r="Q5474" s="159">
        <f t="shared" si="904"/>
        <v>12</v>
      </c>
      <c r="R5474" s="160">
        <f t="shared" si="905"/>
        <v>1.1333333331858739</v>
      </c>
      <c r="S5474" s="158">
        <f t="shared" si="906"/>
        <v>0.38490566032727791</v>
      </c>
      <c r="T5474" s="161">
        <f t="shared" si="907"/>
        <v>189.75849054134801</v>
      </c>
      <c r="U5474" s="158">
        <f t="shared" si="909"/>
        <v>167.43396226415095</v>
      </c>
      <c r="V5474" s="160">
        <f t="shared" si="908"/>
        <v>167</v>
      </c>
    </row>
    <row r="5475" spans="1:22" x14ac:dyDescent="0.25">
      <c r="A5475" s="98" t="s">
        <v>19</v>
      </c>
      <c r="B5475" s="98" t="s">
        <v>17</v>
      </c>
      <c r="C5475" s="98">
        <v>119</v>
      </c>
      <c r="D5475" s="98">
        <v>340</v>
      </c>
      <c r="E5475" s="157">
        <v>42368.477083333331</v>
      </c>
      <c r="F5475" s="157">
        <v>42368.49722222222</v>
      </c>
      <c r="G5475" s="98">
        <v>402</v>
      </c>
      <c r="H5475" s="98">
        <v>530</v>
      </c>
      <c r="I5475" s="98">
        <v>493</v>
      </c>
      <c r="J5475" s="98" t="s">
        <v>1970</v>
      </c>
      <c r="K5475" s="98" t="s">
        <v>3810</v>
      </c>
      <c r="L5475" s="105" t="str">
        <f t="shared" si="900"/>
        <v>Trimble</v>
      </c>
      <c r="M5475" s="105" t="str">
        <f t="shared" si="901"/>
        <v>Derate</v>
      </c>
      <c r="N5475" s="105" t="str">
        <f t="shared" si="902"/>
        <v>Coal</v>
      </c>
      <c r="O5475" s="105">
        <f>IFERROR(VLOOKUP(A5475,Lookup!$J$5:$P$19,7,FALSE),0)</f>
        <v>3</v>
      </c>
      <c r="P5475" s="159">
        <f t="shared" si="903"/>
        <v>2015</v>
      </c>
      <c r="Q5475" s="159">
        <f t="shared" si="904"/>
        <v>12</v>
      </c>
      <c r="R5475" s="160">
        <f t="shared" si="905"/>
        <v>0.48333333333721384</v>
      </c>
      <c r="S5475" s="158">
        <f t="shared" si="906"/>
        <v>0.11672955974936486</v>
      </c>
      <c r="T5475" s="161">
        <f t="shared" si="907"/>
        <v>57.547672956436877</v>
      </c>
      <c r="U5475" s="158">
        <f t="shared" si="909"/>
        <v>119.06415094339623</v>
      </c>
      <c r="V5475" s="160">
        <f t="shared" si="908"/>
        <v>119</v>
      </c>
    </row>
    <row r="5476" spans="1:22" x14ac:dyDescent="0.25">
      <c r="A5476" s="98" t="s">
        <v>19</v>
      </c>
      <c r="B5476" s="98" t="s">
        <v>17</v>
      </c>
      <c r="C5476" s="98">
        <v>120</v>
      </c>
      <c r="D5476" s="98">
        <v>340</v>
      </c>
      <c r="E5476" s="157">
        <v>42369.414583333331</v>
      </c>
      <c r="F5476" s="157">
        <v>42369.434027777781</v>
      </c>
      <c r="G5476" s="98">
        <v>420</v>
      </c>
      <c r="H5476" s="98">
        <v>530</v>
      </c>
      <c r="I5476" s="98">
        <v>493</v>
      </c>
      <c r="J5476" s="98" t="s">
        <v>1970</v>
      </c>
      <c r="K5476" s="98" t="s">
        <v>3811</v>
      </c>
      <c r="L5476" s="105" t="str">
        <f t="shared" si="900"/>
        <v>Trimble</v>
      </c>
      <c r="M5476" s="105" t="str">
        <f t="shared" si="901"/>
        <v>Derate</v>
      </c>
      <c r="N5476" s="105" t="str">
        <f t="shared" si="902"/>
        <v>Coal</v>
      </c>
      <c r="O5476" s="105">
        <f>IFERROR(VLOOKUP(A5476,Lookup!$J$5:$P$19,7,FALSE),0)</f>
        <v>3</v>
      </c>
      <c r="P5476" s="159">
        <f t="shared" si="903"/>
        <v>2015</v>
      </c>
      <c r="Q5476" s="159">
        <f t="shared" si="904"/>
        <v>12</v>
      </c>
      <c r="R5476" s="160">
        <f t="shared" si="905"/>
        <v>0.46666666679084301</v>
      </c>
      <c r="S5476" s="158">
        <f t="shared" si="906"/>
        <v>9.6855345937722132E-2</v>
      </c>
      <c r="T5476" s="161">
        <f t="shared" si="907"/>
        <v>47.749685547297013</v>
      </c>
      <c r="U5476" s="158">
        <f t="shared" si="909"/>
        <v>102.32075471698113</v>
      </c>
      <c r="V5476" s="160">
        <f t="shared" si="908"/>
        <v>102</v>
      </c>
    </row>
    <row r="5477" spans="1:22" x14ac:dyDescent="0.25">
      <c r="A5477" s="98" t="s">
        <v>19</v>
      </c>
      <c r="B5477" s="98" t="s">
        <v>17</v>
      </c>
      <c r="C5477" s="98">
        <v>1</v>
      </c>
      <c r="D5477" s="98">
        <v>100</v>
      </c>
      <c r="E5477" s="157">
        <v>42373.097222222219</v>
      </c>
      <c r="F5477" s="157">
        <v>42373.142361111109</v>
      </c>
      <c r="G5477" s="98">
        <v>385</v>
      </c>
      <c r="H5477" s="98">
        <v>530</v>
      </c>
      <c r="I5477" s="98">
        <v>493</v>
      </c>
      <c r="J5477" s="98" t="s">
        <v>2283</v>
      </c>
      <c r="K5477" s="98" t="s">
        <v>3812</v>
      </c>
      <c r="L5477" s="105" t="str">
        <f t="shared" si="900"/>
        <v>Trimble</v>
      </c>
      <c r="M5477" s="105" t="str">
        <f t="shared" si="901"/>
        <v>Derate</v>
      </c>
      <c r="N5477" s="105" t="str">
        <f t="shared" si="902"/>
        <v>Coal</v>
      </c>
      <c r="O5477" s="105">
        <f>IFERROR(VLOOKUP(A5477,Lookup!$J$5:$P$19,7,FALSE),0)</f>
        <v>3</v>
      </c>
      <c r="P5477" s="159">
        <f t="shared" si="903"/>
        <v>2016</v>
      </c>
      <c r="Q5477" s="159">
        <f t="shared" si="904"/>
        <v>1</v>
      </c>
      <c r="R5477" s="160">
        <f t="shared" si="905"/>
        <v>1.0833333333721384</v>
      </c>
      <c r="S5477" s="158">
        <f t="shared" si="906"/>
        <v>0.29638364780935861</v>
      </c>
      <c r="T5477" s="161">
        <f t="shared" si="907"/>
        <v>146.11713837001381</v>
      </c>
      <c r="U5477" s="158">
        <f t="shared" si="909"/>
        <v>134.87735849056602</v>
      </c>
      <c r="V5477" s="160">
        <f t="shared" si="908"/>
        <v>135</v>
      </c>
    </row>
    <row r="5478" spans="1:22" x14ac:dyDescent="0.25">
      <c r="A5478" s="98" t="s">
        <v>19</v>
      </c>
      <c r="B5478" s="98" t="s">
        <v>17</v>
      </c>
      <c r="C5478" s="98">
        <v>2</v>
      </c>
      <c r="D5478" s="98">
        <v>100</v>
      </c>
      <c r="E5478" s="157">
        <v>42373.197916666664</v>
      </c>
      <c r="F5478" s="162">
        <v>42373.219444444447</v>
      </c>
      <c r="G5478" s="98">
        <v>385</v>
      </c>
      <c r="H5478" s="98">
        <v>530</v>
      </c>
      <c r="I5478" s="98">
        <v>493</v>
      </c>
      <c r="J5478" s="98" t="s">
        <v>2283</v>
      </c>
      <c r="K5478" s="98" t="s">
        <v>3812</v>
      </c>
      <c r="L5478" s="105" t="str">
        <f t="shared" si="900"/>
        <v>Trimble</v>
      </c>
      <c r="M5478" s="105" t="str">
        <f t="shared" si="901"/>
        <v>Derate</v>
      </c>
      <c r="N5478" s="105" t="str">
        <f t="shared" si="902"/>
        <v>Coal</v>
      </c>
      <c r="O5478" s="105">
        <f>IFERROR(VLOOKUP(A5478,Lookup!$J$5:$P$19,7,FALSE),0)</f>
        <v>3</v>
      </c>
      <c r="P5478" s="159">
        <f t="shared" si="903"/>
        <v>2016</v>
      </c>
      <c r="Q5478" s="159">
        <f t="shared" si="904"/>
        <v>1</v>
      </c>
      <c r="R5478" s="160">
        <f t="shared" si="905"/>
        <v>0.51666666677920148</v>
      </c>
      <c r="S5478" s="158">
        <f t="shared" si="906"/>
        <v>0.14135220128864945</v>
      </c>
      <c r="T5478" s="161">
        <f t="shared" si="907"/>
        <v>69.68663523530418</v>
      </c>
      <c r="U5478" s="158">
        <f t="shared" si="909"/>
        <v>134.87735849056602</v>
      </c>
      <c r="V5478" s="160">
        <f t="shared" si="908"/>
        <v>135</v>
      </c>
    </row>
    <row r="5479" spans="1:22" x14ac:dyDescent="0.25">
      <c r="A5479" s="98" t="s">
        <v>19</v>
      </c>
      <c r="B5479" s="98" t="s">
        <v>79</v>
      </c>
      <c r="C5479" s="98">
        <v>3</v>
      </c>
      <c r="D5479" s="98">
        <v>4261</v>
      </c>
      <c r="E5479" s="157">
        <v>42373.375</v>
      </c>
      <c r="F5479" s="157">
        <v>42373.987500000003</v>
      </c>
      <c r="G5479" s="98">
        <v>0</v>
      </c>
      <c r="H5479" s="98">
        <v>530</v>
      </c>
      <c r="I5479" s="98">
        <v>493</v>
      </c>
      <c r="J5479" s="98" t="s">
        <v>1985</v>
      </c>
      <c r="K5479" s="98" t="s">
        <v>3813</v>
      </c>
      <c r="L5479" s="105" t="str">
        <f t="shared" si="900"/>
        <v>Trimble</v>
      </c>
      <c r="M5479" s="105" t="str">
        <f t="shared" si="901"/>
        <v>Other</v>
      </c>
      <c r="N5479" s="105" t="str">
        <f t="shared" si="902"/>
        <v>Coal</v>
      </c>
      <c r="O5479" s="105">
        <f>IFERROR(VLOOKUP(A5479,Lookup!$J$5:$P$19,7,FALSE),0)</f>
        <v>3</v>
      </c>
      <c r="P5479" s="159">
        <f t="shared" si="903"/>
        <v>2016</v>
      </c>
      <c r="Q5479" s="159">
        <f t="shared" si="904"/>
        <v>1</v>
      </c>
      <c r="R5479" s="160">
        <f t="shared" si="905"/>
        <v>14.700000000069849</v>
      </c>
      <c r="S5479" s="158">
        <f t="shared" si="906"/>
        <v>14.700000000069849</v>
      </c>
      <c r="T5479" s="161">
        <f t="shared" si="907"/>
        <v>7247.1000000344357</v>
      </c>
      <c r="U5479" s="158">
        <f t="shared" si="909"/>
        <v>493</v>
      </c>
      <c r="V5479" s="160">
        <f t="shared" si="908"/>
        <v>493</v>
      </c>
    </row>
    <row r="5480" spans="1:22" x14ac:dyDescent="0.25">
      <c r="A5480" s="98" t="s">
        <v>19</v>
      </c>
      <c r="B5480" s="98" t="s">
        <v>17</v>
      </c>
      <c r="C5480" s="98">
        <v>4</v>
      </c>
      <c r="D5480" s="98">
        <v>4261</v>
      </c>
      <c r="E5480" s="157">
        <v>42374.958333333336</v>
      </c>
      <c r="F5480" s="157">
        <v>42375.041666666664</v>
      </c>
      <c r="G5480" s="98">
        <v>495</v>
      </c>
      <c r="H5480" s="98">
        <v>530</v>
      </c>
      <c r="I5480" s="98">
        <v>493</v>
      </c>
      <c r="J5480" s="98" t="s">
        <v>1985</v>
      </c>
      <c r="K5480" s="98" t="s">
        <v>3814</v>
      </c>
      <c r="L5480" s="105" t="str">
        <f t="shared" si="900"/>
        <v>Trimble</v>
      </c>
      <c r="M5480" s="105" t="str">
        <f t="shared" si="901"/>
        <v>Derate</v>
      </c>
      <c r="N5480" s="105" t="str">
        <f t="shared" si="902"/>
        <v>Coal</v>
      </c>
      <c r="O5480" s="105">
        <f>IFERROR(VLOOKUP(A5480,Lookup!$J$5:$P$19,7,FALSE),0)</f>
        <v>3</v>
      </c>
      <c r="P5480" s="159">
        <f t="shared" si="903"/>
        <v>2016</v>
      </c>
      <c r="Q5480" s="159">
        <f t="shared" si="904"/>
        <v>1</v>
      </c>
      <c r="R5480" s="160">
        <f t="shared" si="905"/>
        <v>1.9999999998835847</v>
      </c>
      <c r="S5480" s="158">
        <f t="shared" si="906"/>
        <v>0.13207547169042541</v>
      </c>
      <c r="T5480" s="161">
        <f t="shared" si="907"/>
        <v>65.11320754337973</v>
      </c>
      <c r="U5480" s="158">
        <f t="shared" si="909"/>
        <v>32.556603773584904</v>
      </c>
      <c r="V5480" s="160">
        <f t="shared" si="908"/>
        <v>33</v>
      </c>
    </row>
    <row r="5481" spans="1:22" x14ac:dyDescent="0.25">
      <c r="A5481" s="98" t="s">
        <v>19</v>
      </c>
      <c r="B5481" s="98" t="s">
        <v>17</v>
      </c>
      <c r="C5481" s="98">
        <v>5</v>
      </c>
      <c r="D5481" s="98">
        <v>340</v>
      </c>
      <c r="E5481" s="157">
        <v>42379.341666666667</v>
      </c>
      <c r="F5481" s="157">
        <v>42379.375</v>
      </c>
      <c r="G5481" s="98">
        <v>500</v>
      </c>
      <c r="H5481" s="98">
        <v>530</v>
      </c>
      <c r="I5481" s="98">
        <v>493</v>
      </c>
      <c r="J5481" s="98" t="s">
        <v>1970</v>
      </c>
      <c r="K5481" s="98" t="s">
        <v>3815</v>
      </c>
      <c r="L5481" s="105" t="str">
        <f t="shared" si="900"/>
        <v>Trimble</v>
      </c>
      <c r="M5481" s="105" t="str">
        <f t="shared" si="901"/>
        <v>Derate</v>
      </c>
      <c r="N5481" s="105" t="str">
        <f t="shared" si="902"/>
        <v>Coal</v>
      </c>
      <c r="O5481" s="105">
        <f>IFERROR(VLOOKUP(A5481,Lookup!$J$5:$P$19,7,FALSE),0)</f>
        <v>3</v>
      </c>
      <c r="P5481" s="159">
        <f t="shared" si="903"/>
        <v>2016</v>
      </c>
      <c r="Q5481" s="159">
        <f t="shared" si="904"/>
        <v>1</v>
      </c>
      <c r="R5481" s="160">
        <f t="shared" si="905"/>
        <v>0.79999999998835847</v>
      </c>
      <c r="S5481" s="158">
        <f t="shared" si="906"/>
        <v>4.5283018867265573E-2</v>
      </c>
      <c r="T5481" s="161">
        <f t="shared" si="907"/>
        <v>22.324528301561926</v>
      </c>
      <c r="U5481" s="158">
        <f t="shared" si="909"/>
        <v>27.90566037735849</v>
      </c>
      <c r="V5481" s="160">
        <f t="shared" si="908"/>
        <v>28</v>
      </c>
    </row>
    <row r="5482" spans="1:22" x14ac:dyDescent="0.25">
      <c r="A5482" s="98" t="s">
        <v>19</v>
      </c>
      <c r="B5482" s="98" t="s">
        <v>17</v>
      </c>
      <c r="C5482" s="98">
        <v>6</v>
      </c>
      <c r="D5482" s="98">
        <v>340</v>
      </c>
      <c r="E5482" s="157">
        <v>42379.375</v>
      </c>
      <c r="F5482" s="157">
        <v>42379.395833333336</v>
      </c>
      <c r="G5482" s="98">
        <v>500</v>
      </c>
      <c r="H5482" s="98">
        <v>530</v>
      </c>
      <c r="I5482" s="98">
        <v>493</v>
      </c>
      <c r="J5482" s="98" t="s">
        <v>1970</v>
      </c>
      <c r="K5482" s="98" t="s">
        <v>3816</v>
      </c>
      <c r="L5482" s="105" t="str">
        <f t="shared" si="900"/>
        <v>Trimble</v>
      </c>
      <c r="M5482" s="105" t="str">
        <f t="shared" si="901"/>
        <v>Derate</v>
      </c>
      <c r="N5482" s="105" t="str">
        <f t="shared" si="902"/>
        <v>Coal</v>
      </c>
      <c r="O5482" s="105">
        <f>IFERROR(VLOOKUP(A5482,Lookup!$J$5:$P$19,7,FALSE),0)</f>
        <v>3</v>
      </c>
      <c r="P5482" s="159">
        <f t="shared" si="903"/>
        <v>2016</v>
      </c>
      <c r="Q5482" s="159">
        <f t="shared" si="904"/>
        <v>1</v>
      </c>
      <c r="R5482" s="160">
        <f t="shared" si="905"/>
        <v>0.50000000005820766</v>
      </c>
      <c r="S5482" s="158">
        <f t="shared" si="906"/>
        <v>2.8301886795747605E-2</v>
      </c>
      <c r="T5482" s="161">
        <f t="shared" si="907"/>
        <v>13.952830190303569</v>
      </c>
      <c r="U5482" s="158">
        <f t="shared" si="909"/>
        <v>27.90566037735849</v>
      </c>
      <c r="V5482" s="160">
        <f t="shared" si="908"/>
        <v>28</v>
      </c>
    </row>
    <row r="5483" spans="1:22" x14ac:dyDescent="0.25">
      <c r="A5483" s="98" t="s">
        <v>19</v>
      </c>
      <c r="B5483" s="98" t="s">
        <v>17</v>
      </c>
      <c r="C5483" s="98">
        <v>7</v>
      </c>
      <c r="D5483" s="98">
        <v>340</v>
      </c>
      <c r="E5483" s="157">
        <v>42379.395833333336</v>
      </c>
      <c r="F5483" s="157">
        <v>42379.444444444445</v>
      </c>
      <c r="G5483" s="98">
        <v>460</v>
      </c>
      <c r="H5483" s="98">
        <v>530</v>
      </c>
      <c r="I5483" s="98">
        <v>493</v>
      </c>
      <c r="J5483" s="98" t="s">
        <v>1970</v>
      </c>
      <c r="K5483" s="98" t="s">
        <v>3817</v>
      </c>
      <c r="L5483" s="105" t="str">
        <f t="shared" si="900"/>
        <v>Trimble</v>
      </c>
      <c r="M5483" s="105" t="str">
        <f t="shared" si="901"/>
        <v>Derate</v>
      </c>
      <c r="N5483" s="105" t="str">
        <f t="shared" si="902"/>
        <v>Coal</v>
      </c>
      <c r="O5483" s="105">
        <f>IFERROR(VLOOKUP(A5483,Lookup!$J$5:$P$19,7,FALSE),0)</f>
        <v>3</v>
      </c>
      <c r="P5483" s="159">
        <f t="shared" si="903"/>
        <v>2016</v>
      </c>
      <c r="Q5483" s="159">
        <f t="shared" si="904"/>
        <v>1</v>
      </c>
      <c r="R5483" s="160">
        <f t="shared" si="905"/>
        <v>1.1666666666278616</v>
      </c>
      <c r="S5483" s="158">
        <f t="shared" si="906"/>
        <v>0.1540880503093402</v>
      </c>
      <c r="T5483" s="161">
        <f t="shared" si="907"/>
        <v>75.965408802504712</v>
      </c>
      <c r="U5483" s="158">
        <f t="shared" si="909"/>
        <v>65.113207547169807</v>
      </c>
      <c r="V5483" s="160">
        <f t="shared" si="908"/>
        <v>65</v>
      </c>
    </row>
    <row r="5484" spans="1:22" x14ac:dyDescent="0.25">
      <c r="A5484" s="98" t="s">
        <v>19</v>
      </c>
      <c r="B5484" s="98" t="s">
        <v>17</v>
      </c>
      <c r="C5484" s="98">
        <v>8</v>
      </c>
      <c r="D5484" s="98">
        <v>340</v>
      </c>
      <c r="E5484" s="157">
        <v>42379.444444444445</v>
      </c>
      <c r="F5484" s="157">
        <v>42379.72152777778</v>
      </c>
      <c r="G5484" s="98">
        <v>500</v>
      </c>
      <c r="H5484" s="98">
        <v>530</v>
      </c>
      <c r="I5484" s="98">
        <v>493</v>
      </c>
      <c r="J5484" s="98" t="s">
        <v>1970</v>
      </c>
      <c r="K5484" s="98" t="s">
        <v>3818</v>
      </c>
      <c r="L5484" s="105" t="str">
        <f t="shared" si="900"/>
        <v>Trimble</v>
      </c>
      <c r="M5484" s="105" t="str">
        <f t="shared" si="901"/>
        <v>Derate</v>
      </c>
      <c r="N5484" s="105" t="str">
        <f t="shared" si="902"/>
        <v>Coal</v>
      </c>
      <c r="O5484" s="105">
        <f>IFERROR(VLOOKUP(A5484,Lookup!$J$5:$P$19,7,FALSE),0)</f>
        <v>3</v>
      </c>
      <c r="P5484" s="159">
        <f t="shared" si="903"/>
        <v>2016</v>
      </c>
      <c r="Q5484" s="159">
        <f t="shared" si="904"/>
        <v>1</v>
      </c>
      <c r="R5484" s="160">
        <f t="shared" si="905"/>
        <v>6.6500000000232831</v>
      </c>
      <c r="S5484" s="158">
        <f t="shared" si="906"/>
        <v>0.37641509434094056</v>
      </c>
      <c r="T5484" s="161">
        <f t="shared" si="907"/>
        <v>185.57264151008368</v>
      </c>
      <c r="U5484" s="158">
        <f t="shared" si="909"/>
        <v>27.90566037735849</v>
      </c>
      <c r="V5484" s="160">
        <f t="shared" si="908"/>
        <v>28</v>
      </c>
    </row>
    <row r="5485" spans="1:22" x14ac:dyDescent="0.25">
      <c r="A5485" s="98" t="s">
        <v>19</v>
      </c>
      <c r="B5485" s="98" t="s">
        <v>79</v>
      </c>
      <c r="C5485" s="98">
        <v>9</v>
      </c>
      <c r="D5485" s="98">
        <v>8650</v>
      </c>
      <c r="E5485" s="157">
        <v>42379.72152777778</v>
      </c>
      <c r="F5485" s="157">
        <v>42379.9375</v>
      </c>
      <c r="G5485" s="98">
        <v>0</v>
      </c>
      <c r="H5485" s="98">
        <v>530</v>
      </c>
      <c r="I5485" s="98">
        <v>493</v>
      </c>
      <c r="J5485" s="98" t="s">
        <v>2668</v>
      </c>
      <c r="K5485" s="98" t="s">
        <v>3819</v>
      </c>
      <c r="L5485" s="105" t="str">
        <f t="shared" si="900"/>
        <v>Trimble</v>
      </c>
      <c r="M5485" s="105" t="str">
        <f t="shared" si="901"/>
        <v>Other</v>
      </c>
      <c r="N5485" s="105" t="str">
        <f t="shared" si="902"/>
        <v>Coal</v>
      </c>
      <c r="O5485" s="105">
        <f>IFERROR(VLOOKUP(A5485,Lookup!$J$5:$P$19,7,FALSE),0)</f>
        <v>3</v>
      </c>
      <c r="P5485" s="159">
        <f t="shared" si="903"/>
        <v>2016</v>
      </c>
      <c r="Q5485" s="159">
        <f t="shared" si="904"/>
        <v>1</v>
      </c>
      <c r="R5485" s="160">
        <f t="shared" si="905"/>
        <v>5.1833333332906477</v>
      </c>
      <c r="S5485" s="158">
        <f t="shared" si="906"/>
        <v>5.1833333332906477</v>
      </c>
      <c r="T5485" s="161">
        <f t="shared" si="907"/>
        <v>2555.3833333122893</v>
      </c>
      <c r="U5485" s="158">
        <f t="shared" si="909"/>
        <v>493</v>
      </c>
      <c r="V5485" s="160">
        <f t="shared" si="908"/>
        <v>493</v>
      </c>
    </row>
    <row r="5486" spans="1:22" x14ac:dyDescent="0.25">
      <c r="A5486" s="98" t="s">
        <v>19</v>
      </c>
      <c r="B5486" s="98" t="s">
        <v>17</v>
      </c>
      <c r="C5486" s="98">
        <v>10</v>
      </c>
      <c r="D5486" s="98">
        <v>280</v>
      </c>
      <c r="E5486" s="157">
        <v>42381.652777777781</v>
      </c>
      <c r="F5486" s="157">
        <v>42381.875</v>
      </c>
      <c r="G5486" s="98">
        <v>525</v>
      </c>
      <c r="H5486" s="98">
        <v>530</v>
      </c>
      <c r="I5486" s="98">
        <v>493</v>
      </c>
      <c r="J5486" s="98" t="s">
        <v>1988</v>
      </c>
      <c r="K5486" s="98" t="s">
        <v>4399</v>
      </c>
      <c r="L5486" s="105" t="str">
        <f t="shared" si="900"/>
        <v>Trimble</v>
      </c>
      <c r="M5486" s="105" t="str">
        <f t="shared" si="901"/>
        <v>Derate</v>
      </c>
      <c r="N5486" s="105" t="str">
        <f t="shared" si="902"/>
        <v>Coal</v>
      </c>
      <c r="O5486" s="105">
        <f>IFERROR(VLOOKUP(A5486,Lookup!$J$5:$P$19,7,FALSE),0)</f>
        <v>3</v>
      </c>
      <c r="P5486" s="159">
        <f t="shared" si="903"/>
        <v>2016</v>
      </c>
      <c r="Q5486" s="159">
        <f t="shared" si="904"/>
        <v>1</v>
      </c>
      <c r="R5486" s="160">
        <f t="shared" si="905"/>
        <v>5.3333333332557231</v>
      </c>
      <c r="S5486" s="158">
        <f t="shared" si="906"/>
        <v>5.0314465408072863E-2</v>
      </c>
      <c r="T5486" s="161">
        <f t="shared" si="907"/>
        <v>24.805031446179921</v>
      </c>
      <c r="U5486" s="158">
        <f t="shared" si="909"/>
        <v>4.6509433962264151</v>
      </c>
      <c r="V5486" s="160">
        <f t="shared" si="908"/>
        <v>5</v>
      </c>
    </row>
    <row r="5487" spans="1:22" x14ac:dyDescent="0.25">
      <c r="A5487" s="98" t="s">
        <v>19</v>
      </c>
      <c r="B5487" s="98" t="s">
        <v>17</v>
      </c>
      <c r="C5487" s="98">
        <v>11</v>
      </c>
      <c r="D5487" s="98">
        <v>300</v>
      </c>
      <c r="E5487" s="157">
        <v>42381.875</v>
      </c>
      <c r="F5487" s="157">
        <v>42381.965277777781</v>
      </c>
      <c r="G5487" s="98">
        <v>395</v>
      </c>
      <c r="H5487" s="98">
        <v>530</v>
      </c>
      <c r="I5487" s="98">
        <v>493</v>
      </c>
      <c r="J5487" s="98" t="s">
        <v>1977</v>
      </c>
      <c r="K5487" s="98" t="s">
        <v>3820</v>
      </c>
      <c r="L5487" s="105" t="str">
        <f t="shared" si="900"/>
        <v>Trimble</v>
      </c>
      <c r="M5487" s="105" t="str">
        <f t="shared" si="901"/>
        <v>Derate</v>
      </c>
      <c r="N5487" s="105" t="str">
        <f t="shared" si="902"/>
        <v>Coal</v>
      </c>
      <c r="O5487" s="105">
        <f>IFERROR(VLOOKUP(A5487,Lookup!$J$5:$P$19,7,FALSE),0)</f>
        <v>3</v>
      </c>
      <c r="P5487" s="159">
        <f t="shared" si="903"/>
        <v>2016</v>
      </c>
      <c r="Q5487" s="159">
        <f t="shared" si="904"/>
        <v>1</v>
      </c>
      <c r="R5487" s="160">
        <f t="shared" si="905"/>
        <v>2.1666666667442769</v>
      </c>
      <c r="S5487" s="158">
        <f t="shared" si="906"/>
        <v>0.55188679247259886</v>
      </c>
      <c r="T5487" s="161">
        <f t="shared" si="907"/>
        <v>272.08018868899126</v>
      </c>
      <c r="U5487" s="158">
        <f t="shared" si="909"/>
        <v>125.5754716981132</v>
      </c>
      <c r="V5487" s="160">
        <f t="shared" si="908"/>
        <v>126</v>
      </c>
    </row>
    <row r="5488" spans="1:22" x14ac:dyDescent="0.25">
      <c r="A5488" s="98" t="s">
        <v>19</v>
      </c>
      <c r="B5488" s="98" t="s">
        <v>32</v>
      </c>
      <c r="C5488" s="98">
        <v>12</v>
      </c>
      <c r="D5488" s="98">
        <v>280</v>
      </c>
      <c r="E5488" s="157">
        <v>42382.517361111109</v>
      </c>
      <c r="F5488" s="157">
        <v>42382.799305555556</v>
      </c>
      <c r="G5488" s="98">
        <v>525</v>
      </c>
      <c r="H5488" s="98">
        <v>530</v>
      </c>
      <c r="I5488" s="98">
        <v>493</v>
      </c>
      <c r="J5488" s="98" t="s">
        <v>1988</v>
      </c>
      <c r="K5488" s="98" t="s">
        <v>4400</v>
      </c>
      <c r="L5488" s="105" t="str">
        <f t="shared" si="900"/>
        <v>Trimble</v>
      </c>
      <c r="M5488" s="105" t="str">
        <f t="shared" si="901"/>
        <v>Derate</v>
      </c>
      <c r="N5488" s="105" t="str">
        <f t="shared" si="902"/>
        <v>Coal</v>
      </c>
      <c r="O5488" s="105">
        <f>IFERROR(VLOOKUP(A5488,Lookup!$J$5:$P$19,7,FALSE),0)</f>
        <v>3</v>
      </c>
      <c r="P5488" s="159">
        <f t="shared" si="903"/>
        <v>2016</v>
      </c>
      <c r="Q5488" s="159">
        <f t="shared" si="904"/>
        <v>1</v>
      </c>
      <c r="R5488" s="160">
        <f t="shared" si="905"/>
        <v>6.7666666667209938</v>
      </c>
      <c r="S5488" s="158">
        <f t="shared" si="906"/>
        <v>6.3836477987933904E-2</v>
      </c>
      <c r="T5488" s="161">
        <f t="shared" si="907"/>
        <v>31.471383648051415</v>
      </c>
      <c r="U5488" s="158">
        <f t="shared" si="909"/>
        <v>4.6509433962264151</v>
      </c>
      <c r="V5488" s="160">
        <f t="shared" si="908"/>
        <v>5</v>
      </c>
    </row>
    <row r="5489" spans="1:22" x14ac:dyDescent="0.25">
      <c r="A5489" s="98" t="s">
        <v>19</v>
      </c>
      <c r="B5489" s="98" t="s">
        <v>79</v>
      </c>
      <c r="C5489" s="98">
        <v>13</v>
      </c>
      <c r="D5489" s="98">
        <v>8650</v>
      </c>
      <c r="E5489" s="157">
        <v>42383.25</v>
      </c>
      <c r="F5489" s="157">
        <v>42383.777083333334</v>
      </c>
      <c r="G5489" s="98">
        <v>0</v>
      </c>
      <c r="H5489" s="98">
        <v>530</v>
      </c>
      <c r="I5489" s="98">
        <v>493</v>
      </c>
      <c r="J5489" s="98" t="s">
        <v>2668</v>
      </c>
      <c r="K5489" s="98" t="s">
        <v>3821</v>
      </c>
      <c r="L5489" s="105" t="str">
        <f t="shared" si="900"/>
        <v>Trimble</v>
      </c>
      <c r="M5489" s="105" t="str">
        <f t="shared" si="901"/>
        <v>Other</v>
      </c>
      <c r="N5489" s="105" t="str">
        <f t="shared" si="902"/>
        <v>Coal</v>
      </c>
      <c r="O5489" s="105">
        <f>IFERROR(VLOOKUP(A5489,Lookup!$J$5:$P$19,7,FALSE),0)</f>
        <v>3</v>
      </c>
      <c r="P5489" s="159">
        <f t="shared" si="903"/>
        <v>2016</v>
      </c>
      <c r="Q5489" s="159">
        <f t="shared" si="904"/>
        <v>1</v>
      </c>
      <c r="R5489" s="160">
        <f t="shared" si="905"/>
        <v>12.650000000023283</v>
      </c>
      <c r="S5489" s="158">
        <f t="shared" si="906"/>
        <v>12.650000000023283</v>
      </c>
      <c r="T5489" s="161">
        <f t="shared" si="907"/>
        <v>6236.4500000114786</v>
      </c>
      <c r="U5489" s="158">
        <f t="shared" si="909"/>
        <v>493</v>
      </c>
      <c r="V5489" s="160">
        <f t="shared" si="908"/>
        <v>493</v>
      </c>
    </row>
    <row r="5490" spans="1:22" x14ac:dyDescent="0.25">
      <c r="A5490" s="98" t="s">
        <v>19</v>
      </c>
      <c r="B5490" s="98" t="s">
        <v>79</v>
      </c>
      <c r="C5490" s="98">
        <v>14</v>
      </c>
      <c r="D5490" s="98">
        <v>8650</v>
      </c>
      <c r="E5490" s="157">
        <v>42383.784722222219</v>
      </c>
      <c r="F5490" s="157">
        <v>42383.92083333333</v>
      </c>
      <c r="G5490" s="98">
        <v>0</v>
      </c>
      <c r="H5490" s="98">
        <v>530</v>
      </c>
      <c r="I5490" s="98">
        <v>493</v>
      </c>
      <c r="J5490" s="98" t="s">
        <v>2668</v>
      </c>
      <c r="K5490" s="98" t="s">
        <v>3822</v>
      </c>
      <c r="L5490" s="105" t="str">
        <f t="shared" si="900"/>
        <v>Trimble</v>
      </c>
      <c r="M5490" s="105" t="str">
        <f t="shared" si="901"/>
        <v>Other</v>
      </c>
      <c r="N5490" s="105" t="str">
        <f t="shared" si="902"/>
        <v>Coal</v>
      </c>
      <c r="O5490" s="105">
        <f>IFERROR(VLOOKUP(A5490,Lookup!$J$5:$P$19,7,FALSE),0)</f>
        <v>3</v>
      </c>
      <c r="P5490" s="159">
        <f t="shared" si="903"/>
        <v>2016</v>
      </c>
      <c r="Q5490" s="159">
        <f t="shared" si="904"/>
        <v>1</v>
      </c>
      <c r="R5490" s="160">
        <f t="shared" si="905"/>
        <v>3.2666666666627862</v>
      </c>
      <c r="S5490" s="158">
        <f t="shared" si="906"/>
        <v>3.2666666666627862</v>
      </c>
      <c r="T5490" s="161">
        <f t="shared" si="907"/>
        <v>1610.4666666647536</v>
      </c>
      <c r="U5490" s="158">
        <f t="shared" si="909"/>
        <v>493</v>
      </c>
      <c r="V5490" s="160">
        <f t="shared" si="908"/>
        <v>493</v>
      </c>
    </row>
    <row r="5491" spans="1:22" x14ac:dyDescent="0.25">
      <c r="A5491" s="98" t="s">
        <v>19</v>
      </c>
      <c r="B5491" s="98" t="s">
        <v>79</v>
      </c>
      <c r="C5491" s="98">
        <v>15</v>
      </c>
      <c r="D5491" s="98">
        <v>8650</v>
      </c>
      <c r="E5491" s="157">
        <v>42384.25</v>
      </c>
      <c r="F5491" s="157">
        <v>42384.866666666669</v>
      </c>
      <c r="G5491" s="98">
        <v>0</v>
      </c>
      <c r="H5491" s="98">
        <v>530</v>
      </c>
      <c r="I5491" s="98">
        <v>493</v>
      </c>
      <c r="J5491" s="98" t="s">
        <v>2668</v>
      </c>
      <c r="K5491" s="98" t="s">
        <v>3822</v>
      </c>
      <c r="L5491" s="105" t="str">
        <f t="shared" si="900"/>
        <v>Trimble</v>
      </c>
      <c r="M5491" s="105" t="str">
        <f t="shared" si="901"/>
        <v>Other</v>
      </c>
      <c r="N5491" s="105" t="str">
        <f t="shared" si="902"/>
        <v>Coal</v>
      </c>
      <c r="O5491" s="105">
        <f>IFERROR(VLOOKUP(A5491,Lookup!$J$5:$P$19,7,FALSE),0)</f>
        <v>3</v>
      </c>
      <c r="P5491" s="159">
        <f t="shared" si="903"/>
        <v>2016</v>
      </c>
      <c r="Q5491" s="159">
        <f t="shared" si="904"/>
        <v>1</v>
      </c>
      <c r="R5491" s="160">
        <f t="shared" si="905"/>
        <v>14.800000000046566</v>
      </c>
      <c r="S5491" s="158">
        <f t="shared" si="906"/>
        <v>14.800000000046566</v>
      </c>
      <c r="T5491" s="161">
        <f t="shared" si="907"/>
        <v>7296.4000000229571</v>
      </c>
      <c r="U5491" s="158">
        <f t="shared" si="909"/>
        <v>493</v>
      </c>
      <c r="V5491" s="160">
        <f t="shared" si="908"/>
        <v>493</v>
      </c>
    </row>
    <row r="5492" spans="1:22" x14ac:dyDescent="0.25">
      <c r="A5492" s="98" t="s">
        <v>19</v>
      </c>
      <c r="B5492" s="98" t="s">
        <v>79</v>
      </c>
      <c r="C5492" s="98">
        <v>16</v>
      </c>
      <c r="D5492" s="98">
        <v>8650</v>
      </c>
      <c r="E5492" s="157">
        <v>42385.270833333336</v>
      </c>
      <c r="F5492" s="157">
        <v>42385.84652777778</v>
      </c>
      <c r="G5492" s="98">
        <v>0</v>
      </c>
      <c r="H5492" s="98">
        <v>530</v>
      </c>
      <c r="I5492" s="98">
        <v>493</v>
      </c>
      <c r="J5492" s="98" t="s">
        <v>2668</v>
      </c>
      <c r="K5492" s="98" t="s">
        <v>3822</v>
      </c>
      <c r="L5492" s="105" t="str">
        <f t="shared" si="900"/>
        <v>Trimble</v>
      </c>
      <c r="M5492" s="105" t="str">
        <f t="shared" si="901"/>
        <v>Other</v>
      </c>
      <c r="N5492" s="105" t="str">
        <f t="shared" si="902"/>
        <v>Coal</v>
      </c>
      <c r="O5492" s="105">
        <f>IFERROR(VLOOKUP(A5492,Lookup!$J$5:$P$19,7,FALSE),0)</f>
        <v>3</v>
      </c>
      <c r="P5492" s="159">
        <f t="shared" si="903"/>
        <v>2016</v>
      </c>
      <c r="Q5492" s="159">
        <f t="shared" si="904"/>
        <v>1</v>
      </c>
      <c r="R5492" s="160">
        <f t="shared" si="905"/>
        <v>13.816666666651145</v>
      </c>
      <c r="S5492" s="158">
        <f t="shared" si="906"/>
        <v>13.816666666651145</v>
      </c>
      <c r="T5492" s="161">
        <f t="shared" si="907"/>
        <v>6811.6166666590143</v>
      </c>
      <c r="U5492" s="158">
        <f t="shared" si="909"/>
        <v>493</v>
      </c>
      <c r="V5492" s="160">
        <f t="shared" si="908"/>
        <v>493</v>
      </c>
    </row>
    <row r="5493" spans="1:22" x14ac:dyDescent="0.25">
      <c r="A5493" s="98" t="s">
        <v>19</v>
      </c>
      <c r="B5493" s="98" t="s">
        <v>17</v>
      </c>
      <c r="C5493" s="98">
        <v>17</v>
      </c>
      <c r="D5493" s="98">
        <v>250</v>
      </c>
      <c r="E5493" s="157">
        <v>42387.657638888886</v>
      </c>
      <c r="F5493" s="157">
        <v>42387.678472222222</v>
      </c>
      <c r="G5493" s="98">
        <v>400</v>
      </c>
      <c r="H5493" s="98">
        <v>530</v>
      </c>
      <c r="I5493" s="98">
        <v>493</v>
      </c>
      <c r="J5493" s="98" t="s">
        <v>1978</v>
      </c>
      <c r="K5493" s="98" t="s">
        <v>3823</v>
      </c>
      <c r="L5493" s="105" t="str">
        <f t="shared" si="900"/>
        <v>Trimble</v>
      </c>
      <c r="M5493" s="105" t="str">
        <f t="shared" si="901"/>
        <v>Derate</v>
      </c>
      <c r="N5493" s="105" t="str">
        <f t="shared" si="902"/>
        <v>Coal</v>
      </c>
      <c r="O5493" s="105">
        <f>IFERROR(VLOOKUP(A5493,Lookup!$J$5:$P$19,7,FALSE),0)</f>
        <v>3</v>
      </c>
      <c r="P5493" s="159">
        <f t="shared" si="903"/>
        <v>2016</v>
      </c>
      <c r="Q5493" s="159">
        <f t="shared" si="904"/>
        <v>1</v>
      </c>
      <c r="R5493" s="160">
        <f t="shared" si="905"/>
        <v>0.50000000005820766</v>
      </c>
      <c r="S5493" s="158">
        <f t="shared" si="906"/>
        <v>0.12264150944823962</v>
      </c>
      <c r="T5493" s="161">
        <f t="shared" si="907"/>
        <v>60.462264157982133</v>
      </c>
      <c r="U5493" s="158">
        <f t="shared" si="909"/>
        <v>120.9245283018868</v>
      </c>
      <c r="V5493" s="160">
        <f t="shared" si="908"/>
        <v>121</v>
      </c>
    </row>
    <row r="5494" spans="1:22" x14ac:dyDescent="0.25">
      <c r="A5494" s="98" t="s">
        <v>19</v>
      </c>
      <c r="B5494" s="98" t="s">
        <v>17</v>
      </c>
      <c r="C5494" s="98">
        <v>18</v>
      </c>
      <c r="D5494" s="98">
        <v>280</v>
      </c>
      <c r="E5494" s="157">
        <v>42388.076388888891</v>
      </c>
      <c r="F5494" s="157">
        <v>42388.09097222222</v>
      </c>
      <c r="G5494" s="98">
        <v>400</v>
      </c>
      <c r="H5494" s="98">
        <v>530</v>
      </c>
      <c r="I5494" s="98">
        <v>493</v>
      </c>
      <c r="J5494" s="98" t="s">
        <v>1988</v>
      </c>
      <c r="K5494" s="98" t="s">
        <v>3824</v>
      </c>
      <c r="L5494" s="105" t="str">
        <f t="shared" si="900"/>
        <v>Trimble</v>
      </c>
      <c r="M5494" s="105" t="str">
        <f t="shared" si="901"/>
        <v>Derate</v>
      </c>
      <c r="N5494" s="105" t="str">
        <f t="shared" si="902"/>
        <v>Coal</v>
      </c>
      <c r="O5494" s="105">
        <f>IFERROR(VLOOKUP(A5494,Lookup!$J$5:$P$19,7,FALSE),0)</f>
        <v>3</v>
      </c>
      <c r="P5494" s="159">
        <f t="shared" si="903"/>
        <v>2016</v>
      </c>
      <c r="Q5494" s="159">
        <f t="shared" si="904"/>
        <v>1</v>
      </c>
      <c r="R5494" s="160">
        <f t="shared" si="905"/>
        <v>0.34999999991850927</v>
      </c>
      <c r="S5494" s="158">
        <f t="shared" si="906"/>
        <v>8.5849056583785291E-2</v>
      </c>
      <c r="T5494" s="161">
        <f t="shared" si="907"/>
        <v>42.32358489580615</v>
      </c>
      <c r="U5494" s="158">
        <f t="shared" si="909"/>
        <v>120.9245283018868</v>
      </c>
      <c r="V5494" s="160">
        <f t="shared" si="908"/>
        <v>121</v>
      </c>
    </row>
    <row r="5495" spans="1:22" x14ac:dyDescent="0.25">
      <c r="A5495" s="98" t="s">
        <v>19</v>
      </c>
      <c r="B5495" s="98" t="s">
        <v>17</v>
      </c>
      <c r="C5495" s="98">
        <v>19</v>
      </c>
      <c r="D5495" s="98">
        <v>280</v>
      </c>
      <c r="E5495" s="157">
        <v>42388.211111111108</v>
      </c>
      <c r="F5495" s="157">
        <v>42388.245138888888</v>
      </c>
      <c r="G5495" s="98">
        <v>380</v>
      </c>
      <c r="H5495" s="98">
        <v>530</v>
      </c>
      <c r="I5495" s="98">
        <v>493</v>
      </c>
      <c r="J5495" s="98" t="s">
        <v>1988</v>
      </c>
      <c r="K5495" s="98" t="s">
        <v>3825</v>
      </c>
      <c r="L5495" s="105" t="str">
        <f t="shared" si="900"/>
        <v>Trimble</v>
      </c>
      <c r="M5495" s="105" t="str">
        <f t="shared" si="901"/>
        <v>Derate</v>
      </c>
      <c r="N5495" s="105" t="str">
        <f t="shared" si="902"/>
        <v>Coal</v>
      </c>
      <c r="O5495" s="105">
        <f>IFERROR(VLOOKUP(A5495,Lookup!$J$5:$P$19,7,FALSE),0)</f>
        <v>3</v>
      </c>
      <c r="P5495" s="159">
        <f t="shared" si="903"/>
        <v>2016</v>
      </c>
      <c r="Q5495" s="159">
        <f t="shared" si="904"/>
        <v>1</v>
      </c>
      <c r="R5495" s="160">
        <f t="shared" si="905"/>
        <v>0.81666666670935228</v>
      </c>
      <c r="S5495" s="158">
        <f t="shared" si="906"/>
        <v>0.23113207548377895</v>
      </c>
      <c r="T5495" s="161">
        <f t="shared" si="907"/>
        <v>113.94811321350302</v>
      </c>
      <c r="U5495" s="158">
        <f t="shared" si="909"/>
        <v>139.52830188679246</v>
      </c>
      <c r="V5495" s="160">
        <f t="shared" si="908"/>
        <v>140</v>
      </c>
    </row>
    <row r="5496" spans="1:22" x14ac:dyDescent="0.25">
      <c r="A5496" s="98" t="s">
        <v>19</v>
      </c>
      <c r="B5496" s="98" t="s">
        <v>17</v>
      </c>
      <c r="C5496" s="98">
        <v>20</v>
      </c>
      <c r="D5496" s="98">
        <v>280</v>
      </c>
      <c r="E5496" s="157">
        <v>42388.917361111111</v>
      </c>
      <c r="F5496" s="157">
        <v>42388.977777777778</v>
      </c>
      <c r="G5496" s="98">
        <v>374</v>
      </c>
      <c r="H5496" s="98">
        <v>530</v>
      </c>
      <c r="I5496" s="98">
        <v>493</v>
      </c>
      <c r="J5496" s="98" t="s">
        <v>1988</v>
      </c>
      <c r="K5496" s="98" t="s">
        <v>3826</v>
      </c>
      <c r="L5496" s="105" t="str">
        <f t="shared" si="900"/>
        <v>Trimble</v>
      </c>
      <c r="M5496" s="105" t="str">
        <f t="shared" si="901"/>
        <v>Derate</v>
      </c>
      <c r="N5496" s="105" t="str">
        <f t="shared" si="902"/>
        <v>Coal</v>
      </c>
      <c r="O5496" s="105">
        <f>IFERROR(VLOOKUP(A5496,Lookup!$J$5:$P$19,7,FALSE),0)</f>
        <v>3</v>
      </c>
      <c r="P5496" s="159">
        <f t="shared" si="903"/>
        <v>2016</v>
      </c>
      <c r="Q5496" s="159">
        <f t="shared" si="904"/>
        <v>1</v>
      </c>
      <c r="R5496" s="160">
        <f t="shared" si="905"/>
        <v>1.4500000000116415</v>
      </c>
      <c r="S5496" s="158">
        <f t="shared" si="906"/>
        <v>0.42679245283361522</v>
      </c>
      <c r="T5496" s="161">
        <f t="shared" si="907"/>
        <v>210.4086792469723</v>
      </c>
      <c r="U5496" s="158">
        <f t="shared" si="909"/>
        <v>145.10943396226415</v>
      </c>
      <c r="V5496" s="160">
        <f t="shared" si="908"/>
        <v>145</v>
      </c>
    </row>
    <row r="5497" spans="1:22" x14ac:dyDescent="0.25">
      <c r="A5497" s="98" t="s">
        <v>19</v>
      </c>
      <c r="B5497" s="98" t="s">
        <v>17</v>
      </c>
      <c r="C5497" s="98">
        <v>21</v>
      </c>
      <c r="D5497" s="98">
        <v>280</v>
      </c>
      <c r="E5497" s="157">
        <v>42388.977777777778</v>
      </c>
      <c r="F5497" s="157">
        <v>42389.008333333331</v>
      </c>
      <c r="G5497" s="98">
        <v>450</v>
      </c>
      <c r="H5497" s="98">
        <v>530</v>
      </c>
      <c r="I5497" s="98">
        <v>493</v>
      </c>
      <c r="J5497" s="98" t="s">
        <v>1988</v>
      </c>
      <c r="K5497" s="98" t="s">
        <v>3827</v>
      </c>
      <c r="L5497" s="105" t="str">
        <f t="shared" si="900"/>
        <v>Trimble</v>
      </c>
      <c r="M5497" s="105" t="str">
        <f t="shared" si="901"/>
        <v>Derate</v>
      </c>
      <c r="N5497" s="105" t="str">
        <f t="shared" si="902"/>
        <v>Coal</v>
      </c>
      <c r="O5497" s="105">
        <f>IFERROR(VLOOKUP(A5497,Lookup!$J$5:$P$19,7,FALSE),0)</f>
        <v>3</v>
      </c>
      <c r="P5497" s="159">
        <f t="shared" si="903"/>
        <v>2016</v>
      </c>
      <c r="Q5497" s="159">
        <f t="shared" si="904"/>
        <v>1</v>
      </c>
      <c r="R5497" s="160">
        <f t="shared" si="905"/>
        <v>0.73333333327900618</v>
      </c>
      <c r="S5497" s="158">
        <f t="shared" si="906"/>
        <v>0.11069182389117074</v>
      </c>
      <c r="T5497" s="161">
        <f t="shared" si="907"/>
        <v>54.571069178347173</v>
      </c>
      <c r="U5497" s="158">
        <f t="shared" si="909"/>
        <v>74.415094339622641</v>
      </c>
      <c r="V5497" s="160">
        <f t="shared" si="908"/>
        <v>74</v>
      </c>
    </row>
    <row r="5498" spans="1:22" x14ac:dyDescent="0.25">
      <c r="A5498" s="98" t="s">
        <v>19</v>
      </c>
      <c r="B5498" s="98" t="s">
        <v>17</v>
      </c>
      <c r="C5498" s="98">
        <v>22</v>
      </c>
      <c r="D5498" s="98">
        <v>280</v>
      </c>
      <c r="E5498" s="157">
        <v>42389.008333333331</v>
      </c>
      <c r="F5498" s="157">
        <v>42389.074999999997</v>
      </c>
      <c r="G5498" s="98">
        <v>525</v>
      </c>
      <c r="H5498" s="98">
        <v>530</v>
      </c>
      <c r="I5498" s="98">
        <v>493</v>
      </c>
      <c r="J5498" s="98" t="s">
        <v>1988</v>
      </c>
      <c r="K5498" s="98" t="s">
        <v>3828</v>
      </c>
      <c r="L5498" s="105" t="str">
        <f t="shared" si="900"/>
        <v>Trimble</v>
      </c>
      <c r="M5498" s="105" t="str">
        <f t="shared" si="901"/>
        <v>Derate</v>
      </c>
      <c r="N5498" s="105" t="str">
        <f t="shared" si="902"/>
        <v>Coal</v>
      </c>
      <c r="O5498" s="105">
        <f>IFERROR(VLOOKUP(A5498,Lookup!$J$5:$P$19,7,FALSE),0)</f>
        <v>3</v>
      </c>
      <c r="P5498" s="159">
        <f t="shared" si="903"/>
        <v>2016</v>
      </c>
      <c r="Q5498" s="159">
        <f t="shared" si="904"/>
        <v>1</v>
      </c>
      <c r="R5498" s="160">
        <f t="shared" si="905"/>
        <v>1.5999999999767169</v>
      </c>
      <c r="S5498" s="158">
        <f t="shared" si="906"/>
        <v>1.5094339622421857E-2</v>
      </c>
      <c r="T5498" s="161">
        <f t="shared" si="907"/>
        <v>7.4415094338539758</v>
      </c>
      <c r="U5498" s="158">
        <f t="shared" si="909"/>
        <v>4.6509433962264151</v>
      </c>
      <c r="V5498" s="160">
        <f t="shared" si="908"/>
        <v>5</v>
      </c>
    </row>
    <row r="5499" spans="1:22" x14ac:dyDescent="0.25">
      <c r="A5499" s="98" t="s">
        <v>19</v>
      </c>
      <c r="B5499" s="98" t="s">
        <v>79</v>
      </c>
      <c r="C5499" s="98">
        <v>23</v>
      </c>
      <c r="D5499" s="98">
        <v>8812</v>
      </c>
      <c r="E5499" s="157">
        <v>42394.5</v>
      </c>
      <c r="F5499" s="157">
        <v>42394.797222222223</v>
      </c>
      <c r="G5499" s="98">
        <v>0</v>
      </c>
      <c r="H5499" s="98">
        <v>530</v>
      </c>
      <c r="I5499" s="98">
        <v>493</v>
      </c>
      <c r="J5499" s="98" t="s">
        <v>2232</v>
      </c>
      <c r="K5499" s="98" t="s">
        <v>3829</v>
      </c>
      <c r="L5499" s="105" t="str">
        <f t="shared" si="900"/>
        <v>Trimble</v>
      </c>
      <c r="M5499" s="105" t="str">
        <f t="shared" si="901"/>
        <v>Other</v>
      </c>
      <c r="N5499" s="105" t="str">
        <f t="shared" si="902"/>
        <v>Coal</v>
      </c>
      <c r="O5499" s="105">
        <f>IFERROR(VLOOKUP(A5499,Lookup!$J$5:$P$19,7,FALSE),0)</f>
        <v>3</v>
      </c>
      <c r="P5499" s="159">
        <f t="shared" si="903"/>
        <v>2016</v>
      </c>
      <c r="Q5499" s="159">
        <f t="shared" si="904"/>
        <v>1</v>
      </c>
      <c r="R5499" s="160">
        <f t="shared" si="905"/>
        <v>7.1333333333604969</v>
      </c>
      <c r="S5499" s="158">
        <f t="shared" si="906"/>
        <v>7.1333333333604969</v>
      </c>
      <c r="T5499" s="161">
        <f t="shared" si="907"/>
        <v>3516.733333346725</v>
      </c>
      <c r="U5499" s="158">
        <f t="shared" si="909"/>
        <v>493</v>
      </c>
      <c r="V5499" s="160">
        <f t="shared" si="908"/>
        <v>493</v>
      </c>
    </row>
    <row r="5500" spans="1:22" x14ac:dyDescent="0.25">
      <c r="A5500" s="98" t="s">
        <v>19</v>
      </c>
      <c r="B5500" s="98" t="s">
        <v>79</v>
      </c>
      <c r="C5500" s="98">
        <v>24</v>
      </c>
      <c r="D5500" s="98">
        <v>8812</v>
      </c>
      <c r="E5500" s="157">
        <v>42395.291666666664</v>
      </c>
      <c r="F5500" s="157">
        <v>42395.755555555559</v>
      </c>
      <c r="G5500" s="98">
        <v>0</v>
      </c>
      <c r="H5500" s="98">
        <v>530</v>
      </c>
      <c r="I5500" s="98">
        <v>493</v>
      </c>
      <c r="J5500" s="98" t="s">
        <v>2232</v>
      </c>
      <c r="K5500" s="98" t="s">
        <v>3829</v>
      </c>
      <c r="L5500" s="105" t="str">
        <f t="shared" si="900"/>
        <v>Trimble</v>
      </c>
      <c r="M5500" s="105" t="str">
        <f t="shared" si="901"/>
        <v>Other</v>
      </c>
      <c r="N5500" s="105" t="str">
        <f t="shared" si="902"/>
        <v>Coal</v>
      </c>
      <c r="O5500" s="105">
        <f>IFERROR(VLOOKUP(A5500,Lookup!$J$5:$P$19,7,FALSE),0)</f>
        <v>3</v>
      </c>
      <c r="P5500" s="159">
        <f t="shared" si="903"/>
        <v>2016</v>
      </c>
      <c r="Q5500" s="159">
        <f t="shared" si="904"/>
        <v>1</v>
      </c>
      <c r="R5500" s="160">
        <f t="shared" si="905"/>
        <v>11.133333333476912</v>
      </c>
      <c r="S5500" s="158">
        <f t="shared" si="906"/>
        <v>11.133333333476912</v>
      </c>
      <c r="T5500" s="161">
        <f t="shared" si="907"/>
        <v>5488.7333334041177</v>
      </c>
      <c r="U5500" s="158">
        <f t="shared" si="909"/>
        <v>493</v>
      </c>
      <c r="V5500" s="160">
        <f t="shared" si="908"/>
        <v>493</v>
      </c>
    </row>
    <row r="5501" spans="1:22" x14ac:dyDescent="0.25">
      <c r="A5501" s="98" t="s">
        <v>19</v>
      </c>
      <c r="B5501" s="98" t="s">
        <v>79</v>
      </c>
      <c r="C5501" s="98">
        <v>25</v>
      </c>
      <c r="D5501" s="98">
        <v>8812</v>
      </c>
      <c r="E5501" s="157">
        <v>42396.291666666664</v>
      </c>
      <c r="F5501" s="157">
        <v>42396.412499999999</v>
      </c>
      <c r="G5501" s="98">
        <v>0</v>
      </c>
      <c r="H5501" s="98">
        <v>530</v>
      </c>
      <c r="I5501" s="98">
        <v>493</v>
      </c>
      <c r="J5501" s="98" t="s">
        <v>2232</v>
      </c>
      <c r="K5501" s="98" t="s">
        <v>3829</v>
      </c>
      <c r="L5501" s="105" t="str">
        <f t="shared" si="900"/>
        <v>Trimble</v>
      </c>
      <c r="M5501" s="105" t="str">
        <f t="shared" si="901"/>
        <v>Other</v>
      </c>
      <c r="N5501" s="105" t="str">
        <f t="shared" si="902"/>
        <v>Coal</v>
      </c>
      <c r="O5501" s="105">
        <f>IFERROR(VLOOKUP(A5501,Lookup!$J$5:$P$19,7,FALSE),0)</f>
        <v>3</v>
      </c>
      <c r="P5501" s="159">
        <f t="shared" si="903"/>
        <v>2016</v>
      </c>
      <c r="Q5501" s="159">
        <f t="shared" si="904"/>
        <v>1</v>
      </c>
      <c r="R5501" s="160">
        <f t="shared" si="905"/>
        <v>2.9000000000232831</v>
      </c>
      <c r="S5501" s="158">
        <f t="shared" si="906"/>
        <v>2.9000000000232831</v>
      </c>
      <c r="T5501" s="161">
        <f t="shared" si="907"/>
        <v>1429.7000000114786</v>
      </c>
      <c r="U5501" s="158">
        <f t="shared" si="909"/>
        <v>493</v>
      </c>
      <c r="V5501" s="160">
        <f t="shared" si="908"/>
        <v>493</v>
      </c>
    </row>
    <row r="5502" spans="1:22" x14ac:dyDescent="0.25">
      <c r="A5502" s="98" t="s">
        <v>19</v>
      </c>
      <c r="B5502" s="98" t="s">
        <v>17</v>
      </c>
      <c r="C5502" s="98">
        <v>26</v>
      </c>
      <c r="D5502" s="98">
        <v>8140</v>
      </c>
      <c r="E5502" s="157">
        <v>42396.412499999999</v>
      </c>
      <c r="F5502" s="157">
        <v>42396.457638888889</v>
      </c>
      <c r="G5502" s="98">
        <v>465</v>
      </c>
      <c r="H5502" s="98">
        <v>530</v>
      </c>
      <c r="I5502" s="98">
        <v>493</v>
      </c>
      <c r="J5502" s="98" t="s">
        <v>2280</v>
      </c>
      <c r="K5502" s="98" t="s">
        <v>3830</v>
      </c>
      <c r="L5502" s="105" t="str">
        <f t="shared" si="900"/>
        <v>Trimble</v>
      </c>
      <c r="M5502" s="105" t="str">
        <f t="shared" si="901"/>
        <v>Derate</v>
      </c>
      <c r="N5502" s="105" t="str">
        <f t="shared" si="902"/>
        <v>Coal</v>
      </c>
      <c r="O5502" s="105">
        <f>IFERROR(VLOOKUP(A5502,Lookup!$J$5:$P$19,7,FALSE),0)</f>
        <v>3</v>
      </c>
      <c r="P5502" s="159">
        <f t="shared" si="903"/>
        <v>2016</v>
      </c>
      <c r="Q5502" s="159">
        <f t="shared" si="904"/>
        <v>1</v>
      </c>
      <c r="R5502" s="160">
        <f t="shared" si="905"/>
        <v>1.0833333333721384</v>
      </c>
      <c r="S5502" s="158">
        <f t="shared" si="906"/>
        <v>0.13286163522488489</v>
      </c>
      <c r="T5502" s="161">
        <f t="shared" si="907"/>
        <v>65.500786165868249</v>
      </c>
      <c r="U5502" s="158">
        <f t="shared" si="909"/>
        <v>60.462264150943398</v>
      </c>
      <c r="V5502" s="160">
        <f t="shared" si="908"/>
        <v>60</v>
      </c>
    </row>
    <row r="5503" spans="1:22" x14ac:dyDescent="0.25">
      <c r="A5503" s="98" t="s">
        <v>19</v>
      </c>
      <c r="B5503" s="98" t="s">
        <v>79</v>
      </c>
      <c r="C5503" s="98">
        <v>27</v>
      </c>
      <c r="D5503" s="98">
        <v>8700</v>
      </c>
      <c r="E5503" s="157">
        <v>42397.291666666664</v>
      </c>
      <c r="F5503" s="157">
        <v>42397.713888888888</v>
      </c>
      <c r="G5503" s="98">
        <v>0</v>
      </c>
      <c r="H5503" s="98">
        <v>530</v>
      </c>
      <c r="I5503" s="98">
        <v>493</v>
      </c>
      <c r="J5503" s="98" t="s">
        <v>1987</v>
      </c>
      <c r="K5503" s="98" t="s">
        <v>3831</v>
      </c>
      <c r="L5503" s="105" t="str">
        <f t="shared" si="900"/>
        <v>Trimble</v>
      </c>
      <c r="M5503" s="105" t="str">
        <f t="shared" si="901"/>
        <v>Other</v>
      </c>
      <c r="N5503" s="105" t="str">
        <f t="shared" si="902"/>
        <v>Coal</v>
      </c>
      <c r="O5503" s="105">
        <f>IFERROR(VLOOKUP(A5503,Lookup!$J$5:$P$19,7,FALSE),0)</f>
        <v>3</v>
      </c>
      <c r="P5503" s="159">
        <f t="shared" si="903"/>
        <v>2016</v>
      </c>
      <c r="Q5503" s="159">
        <f t="shared" si="904"/>
        <v>1</v>
      </c>
      <c r="R5503" s="160">
        <f t="shared" si="905"/>
        <v>10.133333333360497</v>
      </c>
      <c r="S5503" s="158">
        <f t="shared" si="906"/>
        <v>10.133333333360497</v>
      </c>
      <c r="T5503" s="161">
        <f t="shared" si="907"/>
        <v>4995.733333346725</v>
      </c>
      <c r="U5503" s="158">
        <f t="shared" si="909"/>
        <v>493</v>
      </c>
      <c r="V5503" s="160">
        <f t="shared" si="908"/>
        <v>493</v>
      </c>
    </row>
    <row r="5504" spans="1:22" x14ac:dyDescent="0.25">
      <c r="A5504" s="98" t="s">
        <v>19</v>
      </c>
      <c r="B5504" s="98" t="s">
        <v>79</v>
      </c>
      <c r="C5504" s="98">
        <v>28</v>
      </c>
      <c r="D5504" s="98">
        <v>8812</v>
      </c>
      <c r="E5504" s="157">
        <v>42398.291666666664</v>
      </c>
      <c r="F5504" s="157">
        <v>42398.357638888891</v>
      </c>
      <c r="G5504" s="98">
        <v>0</v>
      </c>
      <c r="H5504" s="98">
        <v>530</v>
      </c>
      <c r="I5504" s="98">
        <v>493</v>
      </c>
      <c r="J5504" s="98" t="s">
        <v>2232</v>
      </c>
      <c r="K5504" s="98" t="s">
        <v>3829</v>
      </c>
      <c r="L5504" s="105" t="str">
        <f t="shared" si="900"/>
        <v>Trimble</v>
      </c>
      <c r="M5504" s="105" t="str">
        <f t="shared" si="901"/>
        <v>Other</v>
      </c>
      <c r="N5504" s="105" t="str">
        <f t="shared" si="902"/>
        <v>Coal</v>
      </c>
      <c r="O5504" s="105">
        <f>IFERROR(VLOOKUP(A5504,Lookup!$J$5:$P$19,7,FALSE),0)</f>
        <v>3</v>
      </c>
      <c r="P5504" s="159">
        <f t="shared" si="903"/>
        <v>2016</v>
      </c>
      <c r="Q5504" s="159">
        <f t="shared" si="904"/>
        <v>1</v>
      </c>
      <c r="R5504" s="160">
        <f t="shared" si="905"/>
        <v>1.5833333334303461</v>
      </c>
      <c r="S5504" s="158">
        <f t="shared" si="906"/>
        <v>1.5833333334303461</v>
      </c>
      <c r="T5504" s="161">
        <f t="shared" si="907"/>
        <v>780.58333338116063</v>
      </c>
      <c r="U5504" s="158">
        <f t="shared" si="909"/>
        <v>493</v>
      </c>
      <c r="V5504" s="160">
        <f t="shared" si="908"/>
        <v>493</v>
      </c>
    </row>
    <row r="5505" spans="1:22" x14ac:dyDescent="0.25">
      <c r="A5505" s="98" t="s">
        <v>19</v>
      </c>
      <c r="B5505" s="98" t="s">
        <v>79</v>
      </c>
      <c r="C5505" s="98">
        <v>29</v>
      </c>
      <c r="D5505" s="98">
        <v>8812</v>
      </c>
      <c r="E5505" s="157">
        <v>42401.541666666664</v>
      </c>
      <c r="F5505" s="157">
        <v>42401.75</v>
      </c>
      <c r="G5505" s="98">
        <v>0</v>
      </c>
      <c r="H5505" s="98">
        <v>530</v>
      </c>
      <c r="I5505" s="98">
        <v>493</v>
      </c>
      <c r="J5505" s="98" t="s">
        <v>2232</v>
      </c>
      <c r="K5505" s="98" t="s">
        <v>3829</v>
      </c>
      <c r="L5505" s="105" t="str">
        <f t="shared" si="900"/>
        <v>Trimble</v>
      </c>
      <c r="M5505" s="105" t="str">
        <f t="shared" si="901"/>
        <v>Other</v>
      </c>
      <c r="N5505" s="105" t="str">
        <f t="shared" si="902"/>
        <v>Coal</v>
      </c>
      <c r="O5505" s="105">
        <f>IFERROR(VLOOKUP(A5505,Lookup!$J$5:$P$19,7,FALSE),0)</f>
        <v>3</v>
      </c>
      <c r="P5505" s="159">
        <f t="shared" si="903"/>
        <v>2016</v>
      </c>
      <c r="Q5505" s="159">
        <f t="shared" si="904"/>
        <v>2</v>
      </c>
      <c r="R5505" s="160">
        <f t="shared" si="905"/>
        <v>5.0000000000582077</v>
      </c>
      <c r="S5505" s="158">
        <f t="shared" si="906"/>
        <v>5.0000000000582077</v>
      </c>
      <c r="T5505" s="161">
        <f t="shared" si="907"/>
        <v>2465.0000000286964</v>
      </c>
      <c r="U5505" s="158">
        <f t="shared" si="909"/>
        <v>493</v>
      </c>
      <c r="V5505" s="160">
        <f t="shared" si="908"/>
        <v>493</v>
      </c>
    </row>
    <row r="5506" spans="1:22" x14ac:dyDescent="0.25">
      <c r="A5506" s="98" t="s">
        <v>19</v>
      </c>
      <c r="B5506" s="98" t="s">
        <v>79</v>
      </c>
      <c r="C5506" s="98">
        <v>30</v>
      </c>
      <c r="D5506" s="98">
        <v>8812</v>
      </c>
      <c r="E5506" s="157">
        <v>42402.291666666664</v>
      </c>
      <c r="F5506" s="157">
        <v>42402.600694444445</v>
      </c>
      <c r="G5506" s="98">
        <v>0</v>
      </c>
      <c r="H5506" s="98">
        <v>530</v>
      </c>
      <c r="I5506" s="98">
        <v>493</v>
      </c>
      <c r="J5506" s="98" t="s">
        <v>2232</v>
      </c>
      <c r="K5506" s="98" t="s">
        <v>3829</v>
      </c>
      <c r="L5506" s="105" t="str">
        <f t="shared" si="900"/>
        <v>Trimble</v>
      </c>
      <c r="M5506" s="105" t="str">
        <f t="shared" si="901"/>
        <v>Other</v>
      </c>
      <c r="N5506" s="105" t="str">
        <f t="shared" si="902"/>
        <v>Coal</v>
      </c>
      <c r="O5506" s="105">
        <f>IFERROR(VLOOKUP(A5506,Lookup!$J$5:$P$19,7,FALSE),0)</f>
        <v>3</v>
      </c>
      <c r="P5506" s="159">
        <f t="shared" si="903"/>
        <v>2016</v>
      </c>
      <c r="Q5506" s="159">
        <f t="shared" si="904"/>
        <v>2</v>
      </c>
      <c r="R5506" s="160">
        <f t="shared" si="905"/>
        <v>7.4166666667442769</v>
      </c>
      <c r="S5506" s="158">
        <f t="shared" si="906"/>
        <v>7.4166666667442769</v>
      </c>
      <c r="T5506" s="161">
        <f t="shared" si="907"/>
        <v>3656.4166667049285</v>
      </c>
      <c r="U5506" s="158">
        <f t="shared" si="909"/>
        <v>493</v>
      </c>
      <c r="V5506" s="160">
        <f t="shared" si="908"/>
        <v>493</v>
      </c>
    </row>
    <row r="5507" spans="1:22" x14ac:dyDescent="0.25">
      <c r="A5507" s="98" t="s">
        <v>19</v>
      </c>
      <c r="B5507" s="98" t="s">
        <v>17</v>
      </c>
      <c r="C5507" s="98">
        <v>31</v>
      </c>
      <c r="D5507" s="98">
        <v>280</v>
      </c>
      <c r="E5507" s="157">
        <v>42412.060416666667</v>
      </c>
      <c r="F5507" s="157">
        <v>42412.079861111109</v>
      </c>
      <c r="G5507" s="98">
        <v>375</v>
      </c>
      <c r="H5507" s="98">
        <v>530</v>
      </c>
      <c r="I5507" s="98">
        <v>493</v>
      </c>
      <c r="J5507" s="98" t="s">
        <v>1988</v>
      </c>
      <c r="K5507" s="98" t="s">
        <v>4401</v>
      </c>
      <c r="L5507" s="105" t="str">
        <f t="shared" si="900"/>
        <v>Trimble</v>
      </c>
      <c r="M5507" s="105" t="str">
        <f t="shared" si="901"/>
        <v>Derate</v>
      </c>
      <c r="N5507" s="105" t="str">
        <f t="shared" si="902"/>
        <v>Coal</v>
      </c>
      <c r="O5507" s="105">
        <f>IFERROR(VLOOKUP(A5507,Lookup!$J$5:$P$19,7,FALSE),0)</f>
        <v>3</v>
      </c>
      <c r="P5507" s="159">
        <f t="shared" si="903"/>
        <v>2016</v>
      </c>
      <c r="Q5507" s="159">
        <f t="shared" si="904"/>
        <v>2</v>
      </c>
      <c r="R5507" s="160">
        <f t="shared" si="905"/>
        <v>0.46666666661622003</v>
      </c>
      <c r="S5507" s="158">
        <f t="shared" si="906"/>
        <v>0.13647798740663039</v>
      </c>
      <c r="T5507" s="161">
        <f t="shared" si="907"/>
        <v>67.28364779146878</v>
      </c>
      <c r="U5507" s="158">
        <f t="shared" si="909"/>
        <v>144.17924528301887</v>
      </c>
      <c r="V5507" s="160">
        <f t="shared" si="908"/>
        <v>144</v>
      </c>
    </row>
    <row r="5508" spans="1:22" x14ac:dyDescent="0.25">
      <c r="A5508" s="98" t="s">
        <v>19</v>
      </c>
      <c r="B5508" s="98" t="s">
        <v>17</v>
      </c>
      <c r="C5508" s="98">
        <v>32</v>
      </c>
      <c r="D5508" s="98">
        <v>360</v>
      </c>
      <c r="E5508" s="157">
        <v>42413.431250000001</v>
      </c>
      <c r="F5508" s="157">
        <v>42413.520833333336</v>
      </c>
      <c r="G5508" s="98">
        <v>375</v>
      </c>
      <c r="H5508" s="98">
        <v>530</v>
      </c>
      <c r="I5508" s="98">
        <v>493</v>
      </c>
      <c r="J5508" s="98" t="s">
        <v>229</v>
      </c>
      <c r="K5508" s="98" t="s">
        <v>3832</v>
      </c>
      <c r="L5508" s="105" t="str">
        <f t="shared" ref="L5508:L5571" si="910">IF(OR(A5508="BR1",A5508="BR2",A5508="BR3",A5508="BR5",A5508="BR6",A5508="BR7",A5508="BR8",A5508="BR9",A5508="BR10",A5508="BR11"),"Brown",IF(OR(A5508="CR4",A5508="CR5",A5508="CR6",A5508="CR11"),"Cane Run",IF(OR(A5508="GH1",A5508="GH2",A5508="GH3",A5508="GH4"),"Ghent",IF(OR(A5508="GR3",A5508="GR4"),"Green River",IF(OR(A5508="MC1",A5508="MC2",A5508="MC3",A5508="MC4"),"Mill Creek",IF(OR(A5508="TC1",A5508="TC2",A5508="TC5",A5508="TC6",A5508="TC7",A5508="TC8",A5508="TC9",A5508="TC10"),"Trimble",IF(A5508="TY3","Tyrone",IF(OR(A5508="HA1",A5508="HA2",A5508="HA3"),"Haeflin",IF(OR(A5508="PR11",A5508="PR12",A5508="PR13"),"Paddy's Run","Zorn")))))))))</f>
        <v>Trimble</v>
      </c>
      <c r="M5508" s="105" t="str">
        <f t="shared" ref="M5508:M5571" si="911">IF(OR(B5508="D1",B5508="D2",B5508="D3",B5508="D4",B5508="PD"),"Derate",IF(OR(B5508="SF",B5508="U1",B5508="U2",B5508="U3"),"Outage",IF(OR(B5508="ME",B5508="MO"),"Maintenance","Other")))</f>
        <v>Derate</v>
      </c>
      <c r="N5508" s="105" t="str">
        <f t="shared" ref="N5508:N5571" si="912">IF(OR(A5508="BR1",A5508="BR2",A5508="BR3",A5508="CR4",A5508="CR5",A5508="CR6",A5508="GH1",A5508="GH2",A5508="GH3",A5508="GH4",A5508="GR3",A5508="GR4",A5508="MC1",A5508="MC2",A5508="MC3",A5508="MC4",A5508="TC1",A5508="TC2",A5508="TY3"),"Coal","Gas")</f>
        <v>Coal</v>
      </c>
      <c r="O5508" s="105">
        <f>IFERROR(VLOOKUP(A5508,Lookup!$J$5:$P$19,7,FALSE),0)</f>
        <v>3</v>
      </c>
      <c r="P5508" s="159">
        <f t="shared" ref="P5508:P5571" si="913">YEAR(E5508)</f>
        <v>2016</v>
      </c>
      <c r="Q5508" s="159">
        <f t="shared" ref="Q5508:Q5571" si="914">MONTH(E5508)</f>
        <v>2</v>
      </c>
      <c r="R5508" s="160">
        <f t="shared" ref="R5508:R5571" si="915">(F5508-E5508)*24</f>
        <v>2.1500000000232831</v>
      </c>
      <c r="S5508" s="158">
        <f t="shared" ref="S5508:S5571" si="916">R5508*(H5508-G5508)/H5508</f>
        <v>0.6287735849124696</v>
      </c>
      <c r="T5508" s="161">
        <f t="shared" ref="T5508:T5571" si="917">S5508*I5508</f>
        <v>309.9853773618475</v>
      </c>
      <c r="U5508" s="158">
        <f t="shared" si="909"/>
        <v>144.17924528301887</v>
      </c>
      <c r="V5508" s="160">
        <f t="shared" ref="V5508:V5571" si="918">ROUND(U5508,0)</f>
        <v>144</v>
      </c>
    </row>
    <row r="5509" spans="1:22" x14ac:dyDescent="0.25">
      <c r="A5509" s="98" t="s">
        <v>19</v>
      </c>
      <c r="B5509" s="98" t="s">
        <v>17</v>
      </c>
      <c r="C5509" s="98">
        <v>33</v>
      </c>
      <c r="D5509" s="98">
        <v>280</v>
      </c>
      <c r="E5509" s="157">
        <v>42416.338888888888</v>
      </c>
      <c r="F5509" s="157">
        <v>42417.690972222219</v>
      </c>
      <c r="G5509" s="98">
        <v>525</v>
      </c>
      <c r="H5509" s="98">
        <v>530</v>
      </c>
      <c r="I5509" s="98">
        <v>493</v>
      </c>
      <c r="J5509" s="98" t="s">
        <v>1988</v>
      </c>
      <c r="K5509" s="98" t="s">
        <v>4402</v>
      </c>
      <c r="L5509" s="105" t="str">
        <f t="shared" si="910"/>
        <v>Trimble</v>
      </c>
      <c r="M5509" s="105" t="str">
        <f t="shared" si="911"/>
        <v>Derate</v>
      </c>
      <c r="N5509" s="105" t="str">
        <f t="shared" si="912"/>
        <v>Coal</v>
      </c>
      <c r="O5509" s="105">
        <f>IFERROR(VLOOKUP(A5509,Lookup!$J$5:$P$19,7,FALSE),0)</f>
        <v>3</v>
      </c>
      <c r="P5509" s="159">
        <f t="shared" si="913"/>
        <v>2016</v>
      </c>
      <c r="Q5509" s="159">
        <f t="shared" si="914"/>
        <v>2</v>
      </c>
      <c r="R5509" s="160">
        <f t="shared" si="915"/>
        <v>32.449999999953434</v>
      </c>
      <c r="S5509" s="158">
        <f t="shared" si="916"/>
        <v>0.30613207547125881</v>
      </c>
      <c r="T5509" s="161">
        <f t="shared" si="917"/>
        <v>150.9231132073306</v>
      </c>
      <c r="U5509" s="158">
        <f t="shared" ref="U5509:U5572" si="919">IF(G5509&gt;0,MAX((H5509-G5509),0)*I5509/H5509,I5509)</f>
        <v>4.6509433962264151</v>
      </c>
      <c r="V5509" s="160">
        <f t="shared" si="918"/>
        <v>5</v>
      </c>
    </row>
    <row r="5510" spans="1:22" x14ac:dyDescent="0.25">
      <c r="A5510" s="98" t="s">
        <v>19</v>
      </c>
      <c r="B5510" s="98" t="s">
        <v>79</v>
      </c>
      <c r="C5510" s="98">
        <v>34</v>
      </c>
      <c r="D5510" s="98">
        <v>9656</v>
      </c>
      <c r="E5510" s="157">
        <v>42417.291666666664</v>
      </c>
      <c r="F5510" s="157">
        <v>42418.291666666664</v>
      </c>
      <c r="G5510" s="98">
        <v>0</v>
      </c>
      <c r="H5510" s="98">
        <v>530</v>
      </c>
      <c r="I5510" s="98">
        <v>493</v>
      </c>
      <c r="J5510" s="98" t="s">
        <v>299</v>
      </c>
      <c r="K5510" s="98" t="s">
        <v>3833</v>
      </c>
      <c r="L5510" s="105" t="str">
        <f t="shared" si="910"/>
        <v>Trimble</v>
      </c>
      <c r="M5510" s="105" t="str">
        <f t="shared" si="911"/>
        <v>Other</v>
      </c>
      <c r="N5510" s="105" t="str">
        <f t="shared" si="912"/>
        <v>Coal</v>
      </c>
      <c r="O5510" s="105">
        <f>IFERROR(VLOOKUP(A5510,Lookup!$J$5:$P$19,7,FALSE),0)</f>
        <v>3</v>
      </c>
      <c r="P5510" s="159">
        <f t="shared" si="913"/>
        <v>2016</v>
      </c>
      <c r="Q5510" s="159">
        <f t="shared" si="914"/>
        <v>2</v>
      </c>
      <c r="R5510" s="160">
        <f t="shared" si="915"/>
        <v>24</v>
      </c>
      <c r="S5510" s="158">
        <f t="shared" si="916"/>
        <v>24</v>
      </c>
      <c r="T5510" s="161">
        <f t="shared" si="917"/>
        <v>11832</v>
      </c>
      <c r="U5510" s="158">
        <f t="shared" si="919"/>
        <v>493</v>
      </c>
      <c r="V5510" s="160">
        <f t="shared" si="918"/>
        <v>493</v>
      </c>
    </row>
    <row r="5511" spans="1:22" x14ac:dyDescent="0.25">
      <c r="A5511" s="98" t="s">
        <v>19</v>
      </c>
      <c r="B5511" s="98" t="s">
        <v>79</v>
      </c>
      <c r="C5511" s="98">
        <v>35</v>
      </c>
      <c r="D5511" s="98">
        <v>9656</v>
      </c>
      <c r="E5511" s="157">
        <v>42418.291666666664</v>
      </c>
      <c r="F5511" s="157">
        <v>42418.75</v>
      </c>
      <c r="G5511" s="98">
        <v>0</v>
      </c>
      <c r="H5511" s="98">
        <v>530</v>
      </c>
      <c r="I5511" s="98">
        <v>493</v>
      </c>
      <c r="J5511" s="98" t="s">
        <v>299</v>
      </c>
      <c r="K5511" s="98" t="s">
        <v>3833</v>
      </c>
      <c r="L5511" s="105" t="str">
        <f t="shared" si="910"/>
        <v>Trimble</v>
      </c>
      <c r="M5511" s="105" t="str">
        <f t="shared" si="911"/>
        <v>Other</v>
      </c>
      <c r="N5511" s="105" t="str">
        <f t="shared" si="912"/>
        <v>Coal</v>
      </c>
      <c r="O5511" s="105">
        <f>IFERROR(VLOOKUP(A5511,Lookup!$J$5:$P$19,7,FALSE),0)</f>
        <v>3</v>
      </c>
      <c r="P5511" s="159">
        <f t="shared" si="913"/>
        <v>2016</v>
      </c>
      <c r="Q5511" s="159">
        <f t="shared" si="914"/>
        <v>2</v>
      </c>
      <c r="R5511" s="160">
        <f t="shared" si="915"/>
        <v>11.000000000058208</v>
      </c>
      <c r="S5511" s="158">
        <f t="shared" si="916"/>
        <v>11.000000000058208</v>
      </c>
      <c r="T5511" s="161">
        <f t="shared" si="917"/>
        <v>5423.0000000286964</v>
      </c>
      <c r="U5511" s="158">
        <f t="shared" si="919"/>
        <v>493</v>
      </c>
      <c r="V5511" s="160">
        <f t="shared" si="918"/>
        <v>493</v>
      </c>
    </row>
    <row r="5512" spans="1:22" x14ac:dyDescent="0.25">
      <c r="A5512" s="98" t="s">
        <v>19</v>
      </c>
      <c r="B5512" s="98" t="s">
        <v>79</v>
      </c>
      <c r="C5512" s="98">
        <v>36</v>
      </c>
      <c r="D5512" s="98">
        <v>9656</v>
      </c>
      <c r="E5512" s="157">
        <v>42418.75</v>
      </c>
      <c r="F5512" s="157">
        <v>42418.908333333333</v>
      </c>
      <c r="G5512" s="98">
        <v>0</v>
      </c>
      <c r="H5512" s="98">
        <v>530</v>
      </c>
      <c r="I5512" s="98">
        <v>493</v>
      </c>
      <c r="J5512" s="98" t="s">
        <v>299</v>
      </c>
      <c r="K5512" s="98" t="s">
        <v>3833</v>
      </c>
      <c r="L5512" s="105" t="str">
        <f t="shared" si="910"/>
        <v>Trimble</v>
      </c>
      <c r="M5512" s="105" t="str">
        <f t="shared" si="911"/>
        <v>Other</v>
      </c>
      <c r="N5512" s="105" t="str">
        <f t="shared" si="912"/>
        <v>Coal</v>
      </c>
      <c r="O5512" s="105">
        <f>IFERROR(VLOOKUP(A5512,Lookup!$J$5:$P$19,7,FALSE),0)</f>
        <v>3</v>
      </c>
      <c r="P5512" s="159">
        <f t="shared" si="913"/>
        <v>2016</v>
      </c>
      <c r="Q5512" s="159">
        <f t="shared" si="914"/>
        <v>2</v>
      </c>
      <c r="R5512" s="160">
        <f t="shared" si="915"/>
        <v>3.7999999999883585</v>
      </c>
      <c r="S5512" s="158">
        <f t="shared" si="916"/>
        <v>3.7999999999883585</v>
      </c>
      <c r="T5512" s="161">
        <f t="shared" si="917"/>
        <v>1873.3999999942607</v>
      </c>
      <c r="U5512" s="158">
        <f t="shared" si="919"/>
        <v>493</v>
      </c>
      <c r="V5512" s="160">
        <f t="shared" si="918"/>
        <v>493</v>
      </c>
    </row>
    <row r="5513" spans="1:22" x14ac:dyDescent="0.25">
      <c r="A5513" s="98" t="s">
        <v>19</v>
      </c>
      <c r="B5513" s="98" t="s">
        <v>79</v>
      </c>
      <c r="C5513" s="98">
        <v>37</v>
      </c>
      <c r="D5513" s="98">
        <v>9656</v>
      </c>
      <c r="E5513" s="157">
        <v>42419.291666666664</v>
      </c>
      <c r="F5513" s="157">
        <v>42419.506944444445</v>
      </c>
      <c r="G5513" s="98">
        <v>0</v>
      </c>
      <c r="H5513" s="98">
        <v>530</v>
      </c>
      <c r="I5513" s="98">
        <v>493</v>
      </c>
      <c r="J5513" s="98" t="s">
        <v>299</v>
      </c>
      <c r="K5513" s="98" t="s">
        <v>3833</v>
      </c>
      <c r="L5513" s="105" t="str">
        <f t="shared" si="910"/>
        <v>Trimble</v>
      </c>
      <c r="M5513" s="105" t="str">
        <f t="shared" si="911"/>
        <v>Other</v>
      </c>
      <c r="N5513" s="105" t="str">
        <f t="shared" si="912"/>
        <v>Coal</v>
      </c>
      <c r="O5513" s="105">
        <f>IFERROR(VLOOKUP(A5513,Lookup!$J$5:$P$19,7,FALSE),0)</f>
        <v>3</v>
      </c>
      <c r="P5513" s="159">
        <f t="shared" si="913"/>
        <v>2016</v>
      </c>
      <c r="Q5513" s="159">
        <f t="shared" si="914"/>
        <v>2</v>
      </c>
      <c r="R5513" s="160">
        <f t="shared" si="915"/>
        <v>5.1666666667442769</v>
      </c>
      <c r="S5513" s="158">
        <f t="shared" si="916"/>
        <v>5.1666666667442769</v>
      </c>
      <c r="T5513" s="161">
        <f t="shared" si="917"/>
        <v>2547.1666667049285</v>
      </c>
      <c r="U5513" s="158">
        <f t="shared" si="919"/>
        <v>493</v>
      </c>
      <c r="V5513" s="160">
        <f t="shared" si="918"/>
        <v>493</v>
      </c>
    </row>
    <row r="5514" spans="1:22" x14ac:dyDescent="0.25">
      <c r="A5514" s="98" t="s">
        <v>19</v>
      </c>
      <c r="B5514" s="98" t="s">
        <v>17</v>
      </c>
      <c r="C5514" s="98">
        <v>38</v>
      </c>
      <c r="D5514" s="98">
        <v>250</v>
      </c>
      <c r="E5514" s="157">
        <v>42425.290277777778</v>
      </c>
      <c r="F5514" s="157">
        <v>42425.302083333336</v>
      </c>
      <c r="G5514" s="98">
        <v>390</v>
      </c>
      <c r="H5514" s="98">
        <v>530</v>
      </c>
      <c r="I5514" s="98">
        <v>493</v>
      </c>
      <c r="J5514" s="98" t="s">
        <v>1978</v>
      </c>
      <c r="K5514" s="98" t="s">
        <v>3834</v>
      </c>
      <c r="L5514" s="105" t="str">
        <f t="shared" si="910"/>
        <v>Trimble</v>
      </c>
      <c r="M5514" s="105" t="str">
        <f t="shared" si="911"/>
        <v>Derate</v>
      </c>
      <c r="N5514" s="105" t="str">
        <f t="shared" si="912"/>
        <v>Coal</v>
      </c>
      <c r="O5514" s="105">
        <f>IFERROR(VLOOKUP(A5514,Lookup!$J$5:$P$19,7,FALSE),0)</f>
        <v>3</v>
      </c>
      <c r="P5514" s="159">
        <f t="shared" si="913"/>
        <v>2016</v>
      </c>
      <c r="Q5514" s="159">
        <f t="shared" si="914"/>
        <v>2</v>
      </c>
      <c r="R5514" s="160">
        <f t="shared" si="915"/>
        <v>0.28333333338377997</v>
      </c>
      <c r="S5514" s="158">
        <f t="shared" si="916"/>
        <v>7.4842767308923017E-2</v>
      </c>
      <c r="T5514" s="161">
        <f t="shared" si="917"/>
        <v>36.89748428329905</v>
      </c>
      <c r="U5514" s="158">
        <f t="shared" si="919"/>
        <v>130.22641509433961</v>
      </c>
      <c r="V5514" s="160">
        <f t="shared" si="918"/>
        <v>130</v>
      </c>
    </row>
    <row r="5515" spans="1:22" x14ac:dyDescent="0.25">
      <c r="A5515" s="98" t="s">
        <v>19</v>
      </c>
      <c r="B5515" s="98" t="s">
        <v>17</v>
      </c>
      <c r="C5515" s="98">
        <v>39</v>
      </c>
      <c r="D5515" s="98">
        <v>250</v>
      </c>
      <c r="E5515" s="157">
        <v>42425.340277777781</v>
      </c>
      <c r="F5515" s="157">
        <v>42425.354166666664</v>
      </c>
      <c r="G5515" s="98">
        <v>460</v>
      </c>
      <c r="H5515" s="98">
        <v>530</v>
      </c>
      <c r="I5515" s="98">
        <v>493</v>
      </c>
      <c r="J5515" s="98" t="s">
        <v>1978</v>
      </c>
      <c r="K5515" s="98" t="s">
        <v>3835</v>
      </c>
      <c r="L5515" s="105" t="str">
        <f t="shared" si="910"/>
        <v>Trimble</v>
      </c>
      <c r="M5515" s="105" t="str">
        <f t="shared" si="911"/>
        <v>Derate</v>
      </c>
      <c r="N5515" s="105" t="str">
        <f t="shared" si="912"/>
        <v>Coal</v>
      </c>
      <c r="O5515" s="105">
        <f>IFERROR(VLOOKUP(A5515,Lookup!$J$5:$P$19,7,FALSE),0)</f>
        <v>3</v>
      </c>
      <c r="P5515" s="159">
        <f t="shared" si="913"/>
        <v>2016</v>
      </c>
      <c r="Q5515" s="159">
        <f t="shared" si="914"/>
        <v>2</v>
      </c>
      <c r="R5515" s="160">
        <f t="shared" si="915"/>
        <v>0.33333333319751546</v>
      </c>
      <c r="S5515" s="158">
        <f t="shared" si="916"/>
        <v>4.4025157214766193E-2</v>
      </c>
      <c r="T5515" s="161">
        <f t="shared" si="917"/>
        <v>21.704402506879735</v>
      </c>
      <c r="U5515" s="158">
        <f t="shared" si="919"/>
        <v>65.113207547169807</v>
      </c>
      <c r="V5515" s="160">
        <f t="shared" si="918"/>
        <v>65</v>
      </c>
    </row>
    <row r="5516" spans="1:22" x14ac:dyDescent="0.25">
      <c r="A5516" s="98" t="s">
        <v>19</v>
      </c>
      <c r="B5516" s="98" t="s">
        <v>17</v>
      </c>
      <c r="C5516" s="98">
        <v>40</v>
      </c>
      <c r="D5516" s="98">
        <v>8499</v>
      </c>
      <c r="E5516" s="157">
        <v>42429.133333333331</v>
      </c>
      <c r="F5516" s="157">
        <v>42429.326388888891</v>
      </c>
      <c r="G5516" s="98">
        <v>460</v>
      </c>
      <c r="H5516" s="98">
        <v>530</v>
      </c>
      <c r="I5516" s="98">
        <v>493</v>
      </c>
      <c r="J5516" s="98" t="s">
        <v>2265</v>
      </c>
      <c r="K5516" s="98" t="s">
        <v>3836</v>
      </c>
      <c r="L5516" s="105" t="str">
        <f t="shared" si="910"/>
        <v>Trimble</v>
      </c>
      <c r="M5516" s="105" t="str">
        <f t="shared" si="911"/>
        <v>Derate</v>
      </c>
      <c r="N5516" s="105" t="str">
        <f t="shared" si="912"/>
        <v>Coal</v>
      </c>
      <c r="O5516" s="105">
        <f>IFERROR(VLOOKUP(A5516,Lookup!$J$5:$P$19,7,FALSE),0)</f>
        <v>3</v>
      </c>
      <c r="P5516" s="159">
        <f t="shared" si="913"/>
        <v>2016</v>
      </c>
      <c r="Q5516" s="159">
        <f t="shared" si="914"/>
        <v>2</v>
      </c>
      <c r="R5516" s="160">
        <f t="shared" si="915"/>
        <v>4.6333333334187046</v>
      </c>
      <c r="S5516" s="158">
        <f t="shared" si="916"/>
        <v>0.6119496855458666</v>
      </c>
      <c r="T5516" s="161">
        <f t="shared" si="917"/>
        <v>301.69119497411225</v>
      </c>
      <c r="U5516" s="158">
        <f t="shared" si="919"/>
        <v>65.113207547169807</v>
      </c>
      <c r="V5516" s="160">
        <f t="shared" si="918"/>
        <v>65</v>
      </c>
    </row>
    <row r="5517" spans="1:22" x14ac:dyDescent="0.25">
      <c r="A5517" s="98" t="s">
        <v>19</v>
      </c>
      <c r="B5517" s="98" t="s">
        <v>17</v>
      </c>
      <c r="C5517" s="98">
        <v>41</v>
      </c>
      <c r="D5517" s="98">
        <v>3502</v>
      </c>
      <c r="E5517" s="157">
        <v>42440.379166666666</v>
      </c>
      <c r="F5517" s="157">
        <v>42441.020833333336</v>
      </c>
      <c r="G5517" s="98">
        <v>525</v>
      </c>
      <c r="H5517" s="98">
        <v>530</v>
      </c>
      <c r="I5517" s="98">
        <v>493</v>
      </c>
      <c r="J5517" s="98" t="s">
        <v>2196</v>
      </c>
      <c r="K5517" s="98" t="s">
        <v>3837</v>
      </c>
      <c r="L5517" s="105" t="str">
        <f t="shared" si="910"/>
        <v>Trimble</v>
      </c>
      <c r="M5517" s="105" t="str">
        <f t="shared" si="911"/>
        <v>Derate</v>
      </c>
      <c r="N5517" s="105" t="str">
        <f t="shared" si="912"/>
        <v>Coal</v>
      </c>
      <c r="O5517" s="105">
        <f>IFERROR(VLOOKUP(A5517,Lookup!$J$5:$P$19,7,FALSE),0)</f>
        <v>3</v>
      </c>
      <c r="P5517" s="159">
        <f t="shared" si="913"/>
        <v>2016</v>
      </c>
      <c r="Q5517" s="159">
        <f t="shared" si="914"/>
        <v>3</v>
      </c>
      <c r="R5517" s="160">
        <f t="shared" si="915"/>
        <v>15.400000000081491</v>
      </c>
      <c r="S5517" s="158">
        <f t="shared" si="916"/>
        <v>0.1452830188686933</v>
      </c>
      <c r="T5517" s="161">
        <f t="shared" si="917"/>
        <v>71.624528302265801</v>
      </c>
      <c r="U5517" s="158">
        <f t="shared" si="919"/>
        <v>4.6509433962264151</v>
      </c>
      <c r="V5517" s="160">
        <f t="shared" si="918"/>
        <v>5</v>
      </c>
    </row>
    <row r="5518" spans="1:22" x14ac:dyDescent="0.25">
      <c r="A5518" s="98" t="s">
        <v>19</v>
      </c>
      <c r="B5518" s="98" t="s">
        <v>79</v>
      </c>
      <c r="C5518" s="98">
        <v>42</v>
      </c>
      <c r="D5518" s="98">
        <v>9999</v>
      </c>
      <c r="E5518" s="157">
        <v>42444.25</v>
      </c>
      <c r="F5518" s="157">
        <v>42444.461805555555</v>
      </c>
      <c r="G5518" s="98">
        <v>0</v>
      </c>
      <c r="H5518" s="98">
        <v>530</v>
      </c>
      <c r="I5518" s="98">
        <v>493</v>
      </c>
      <c r="J5518" s="98" t="s">
        <v>2261</v>
      </c>
      <c r="K5518" s="98" t="s">
        <v>3838</v>
      </c>
      <c r="L5518" s="105" t="str">
        <f t="shared" si="910"/>
        <v>Trimble</v>
      </c>
      <c r="M5518" s="105" t="str">
        <f t="shared" si="911"/>
        <v>Other</v>
      </c>
      <c r="N5518" s="105" t="str">
        <f t="shared" si="912"/>
        <v>Coal</v>
      </c>
      <c r="O5518" s="105">
        <f>IFERROR(VLOOKUP(A5518,Lookup!$J$5:$P$19,7,FALSE),0)</f>
        <v>3</v>
      </c>
      <c r="P5518" s="159">
        <f t="shared" si="913"/>
        <v>2016</v>
      </c>
      <c r="Q5518" s="159">
        <f t="shared" si="914"/>
        <v>3</v>
      </c>
      <c r="R5518" s="160">
        <f t="shared" si="915"/>
        <v>5.0833333333139308</v>
      </c>
      <c r="S5518" s="158">
        <f t="shared" si="916"/>
        <v>5.0833333333139308</v>
      </c>
      <c r="T5518" s="161">
        <f t="shared" si="917"/>
        <v>2506.0833333237679</v>
      </c>
      <c r="U5518" s="158">
        <f t="shared" si="919"/>
        <v>493</v>
      </c>
      <c r="V5518" s="160">
        <f t="shared" si="918"/>
        <v>493</v>
      </c>
    </row>
    <row r="5519" spans="1:22" x14ac:dyDescent="0.25">
      <c r="A5519" s="98" t="s">
        <v>19</v>
      </c>
      <c r="B5519" s="98" t="s">
        <v>17</v>
      </c>
      <c r="C5519" s="98">
        <v>43</v>
      </c>
      <c r="D5519" s="98">
        <v>9270</v>
      </c>
      <c r="E5519" s="157">
        <v>42444.914583333331</v>
      </c>
      <c r="F5519" s="157">
        <v>42444.939583333333</v>
      </c>
      <c r="G5519" s="98">
        <v>456</v>
      </c>
      <c r="H5519" s="98">
        <v>530</v>
      </c>
      <c r="I5519" s="98">
        <v>493</v>
      </c>
      <c r="J5519" s="98" t="s">
        <v>2006</v>
      </c>
      <c r="K5519" s="98" t="s">
        <v>3839</v>
      </c>
      <c r="L5519" s="105" t="str">
        <f t="shared" si="910"/>
        <v>Trimble</v>
      </c>
      <c r="M5519" s="105" t="str">
        <f t="shared" si="911"/>
        <v>Derate</v>
      </c>
      <c r="N5519" s="105" t="str">
        <f t="shared" si="912"/>
        <v>Coal</v>
      </c>
      <c r="O5519" s="105">
        <f>IFERROR(VLOOKUP(A5519,Lookup!$J$5:$P$19,7,FALSE),0)</f>
        <v>3</v>
      </c>
      <c r="P5519" s="159">
        <f t="shared" si="913"/>
        <v>2016</v>
      </c>
      <c r="Q5519" s="159">
        <f t="shared" si="914"/>
        <v>3</v>
      </c>
      <c r="R5519" s="160">
        <f t="shared" si="915"/>
        <v>0.6000000000349246</v>
      </c>
      <c r="S5519" s="158">
        <f t="shared" si="916"/>
        <v>8.3773584910536644E-2</v>
      </c>
      <c r="T5519" s="161">
        <f t="shared" si="917"/>
        <v>41.300377360894565</v>
      </c>
      <c r="U5519" s="158">
        <f t="shared" si="919"/>
        <v>68.833962264150941</v>
      </c>
      <c r="V5519" s="160">
        <f t="shared" si="918"/>
        <v>69</v>
      </c>
    </row>
    <row r="5520" spans="1:22" x14ac:dyDescent="0.25">
      <c r="A5520" s="98" t="s">
        <v>19</v>
      </c>
      <c r="B5520" s="98" t="s">
        <v>15</v>
      </c>
      <c r="C5520" s="98">
        <v>44</v>
      </c>
      <c r="D5520" s="98">
        <v>1455</v>
      </c>
      <c r="E5520" s="157">
        <v>42453.337500000001</v>
      </c>
      <c r="F5520" s="157">
        <v>42453.638194444444</v>
      </c>
      <c r="G5520" s="98">
        <v>0</v>
      </c>
      <c r="H5520" s="98">
        <v>530</v>
      </c>
      <c r="I5520" s="98">
        <v>493</v>
      </c>
      <c r="J5520" s="98" t="s">
        <v>1990</v>
      </c>
      <c r="K5520" s="98" t="s">
        <v>3840</v>
      </c>
      <c r="L5520" s="105" t="str">
        <f t="shared" si="910"/>
        <v>Trimble</v>
      </c>
      <c r="M5520" s="105" t="str">
        <f t="shared" si="911"/>
        <v>Outage</v>
      </c>
      <c r="N5520" s="105" t="str">
        <f t="shared" si="912"/>
        <v>Coal</v>
      </c>
      <c r="O5520" s="105">
        <f>IFERROR(VLOOKUP(A5520,Lookup!$J$5:$P$19,7,FALSE),0)</f>
        <v>3</v>
      </c>
      <c r="P5520" s="159">
        <f t="shared" si="913"/>
        <v>2016</v>
      </c>
      <c r="Q5520" s="159">
        <f t="shared" si="914"/>
        <v>3</v>
      </c>
      <c r="R5520" s="160">
        <f t="shared" si="915"/>
        <v>7.21666666661622</v>
      </c>
      <c r="S5520" s="158">
        <f t="shared" si="916"/>
        <v>7.21666666661622</v>
      </c>
      <c r="T5520" s="161">
        <f t="shared" si="917"/>
        <v>3557.8166666417965</v>
      </c>
      <c r="U5520" s="158">
        <f t="shared" si="919"/>
        <v>493</v>
      </c>
      <c r="V5520" s="160">
        <f t="shared" si="918"/>
        <v>493</v>
      </c>
    </row>
    <row r="5521" spans="1:22" x14ac:dyDescent="0.25">
      <c r="A5521" s="98" t="s">
        <v>19</v>
      </c>
      <c r="B5521" s="98" t="s">
        <v>18</v>
      </c>
      <c r="C5521" s="98">
        <v>45</v>
      </c>
      <c r="D5521" s="98">
        <v>520</v>
      </c>
      <c r="E5521" s="157">
        <v>42453.638194444444</v>
      </c>
      <c r="F5521" s="157">
        <v>42456.866666666669</v>
      </c>
      <c r="G5521" s="98">
        <v>0</v>
      </c>
      <c r="H5521" s="98">
        <v>530</v>
      </c>
      <c r="I5521" s="98">
        <v>493</v>
      </c>
      <c r="J5521" s="98" t="s">
        <v>3330</v>
      </c>
      <c r="K5521" s="98" t="s">
        <v>4403</v>
      </c>
      <c r="L5521" s="105" t="str">
        <f t="shared" si="910"/>
        <v>Trimble</v>
      </c>
      <c r="M5521" s="105" t="str">
        <f t="shared" si="911"/>
        <v>Outage</v>
      </c>
      <c r="N5521" s="105" t="str">
        <f t="shared" si="912"/>
        <v>Coal</v>
      </c>
      <c r="O5521" s="105">
        <f>IFERROR(VLOOKUP(A5521,Lookup!$J$5:$P$19,7,FALSE),0)</f>
        <v>3</v>
      </c>
      <c r="P5521" s="159">
        <f t="shared" si="913"/>
        <v>2016</v>
      </c>
      <c r="Q5521" s="159">
        <f t="shared" si="914"/>
        <v>3</v>
      </c>
      <c r="R5521" s="160">
        <f t="shared" si="915"/>
        <v>77.483333333395422</v>
      </c>
      <c r="S5521" s="158">
        <f t="shared" si="916"/>
        <v>77.483333333395422</v>
      </c>
      <c r="T5521" s="161">
        <f t="shared" si="917"/>
        <v>38199.283333363943</v>
      </c>
      <c r="U5521" s="158">
        <f t="shared" si="919"/>
        <v>493</v>
      </c>
      <c r="V5521" s="160">
        <f t="shared" si="918"/>
        <v>493</v>
      </c>
    </row>
    <row r="5522" spans="1:22" x14ac:dyDescent="0.25">
      <c r="A5522" s="98" t="s">
        <v>19</v>
      </c>
      <c r="B5522" s="98" t="s">
        <v>17</v>
      </c>
      <c r="C5522" s="98">
        <v>46</v>
      </c>
      <c r="D5522" s="98">
        <v>95</v>
      </c>
      <c r="E5522" s="157">
        <v>42461.5</v>
      </c>
      <c r="F5522" s="157">
        <v>42461.957638888889</v>
      </c>
      <c r="G5522" s="98">
        <v>515</v>
      </c>
      <c r="H5522" s="98">
        <v>530</v>
      </c>
      <c r="I5522" s="98">
        <v>493</v>
      </c>
      <c r="J5522" s="98" t="s">
        <v>1998</v>
      </c>
      <c r="K5522" s="98" t="s">
        <v>3841</v>
      </c>
      <c r="L5522" s="105" t="str">
        <f t="shared" si="910"/>
        <v>Trimble</v>
      </c>
      <c r="M5522" s="105" t="str">
        <f t="shared" si="911"/>
        <v>Derate</v>
      </c>
      <c r="N5522" s="105" t="str">
        <f t="shared" si="912"/>
        <v>Coal</v>
      </c>
      <c r="O5522" s="105">
        <f>IFERROR(VLOOKUP(A5522,Lookup!$J$5:$P$19,7,FALSE),0)</f>
        <v>3</v>
      </c>
      <c r="P5522" s="159">
        <f t="shared" si="913"/>
        <v>2016</v>
      </c>
      <c r="Q5522" s="159">
        <f t="shared" si="914"/>
        <v>4</v>
      </c>
      <c r="R5522" s="160">
        <f t="shared" si="915"/>
        <v>10.983333333337214</v>
      </c>
      <c r="S5522" s="158">
        <f t="shared" si="916"/>
        <v>0.3108490566038834</v>
      </c>
      <c r="T5522" s="161">
        <f t="shared" si="917"/>
        <v>153.24858490571452</v>
      </c>
      <c r="U5522" s="158">
        <f t="shared" si="919"/>
        <v>13.952830188679245</v>
      </c>
      <c r="V5522" s="160">
        <f t="shared" si="918"/>
        <v>14</v>
      </c>
    </row>
    <row r="5523" spans="1:22" x14ac:dyDescent="0.25">
      <c r="A5523" s="98" t="s">
        <v>19</v>
      </c>
      <c r="B5523" s="98" t="s">
        <v>17</v>
      </c>
      <c r="C5523" s="98">
        <v>47</v>
      </c>
      <c r="D5523" s="98">
        <v>95</v>
      </c>
      <c r="E5523" s="157">
        <v>42462.381249999999</v>
      </c>
      <c r="F5523" s="157">
        <v>42463.03402777778</v>
      </c>
      <c r="G5523" s="98">
        <v>520</v>
      </c>
      <c r="H5523" s="98">
        <v>530</v>
      </c>
      <c r="I5523" s="98">
        <v>493</v>
      </c>
      <c r="J5523" s="98" t="s">
        <v>1998</v>
      </c>
      <c r="K5523" s="98" t="s">
        <v>3842</v>
      </c>
      <c r="L5523" s="105" t="str">
        <f t="shared" si="910"/>
        <v>Trimble</v>
      </c>
      <c r="M5523" s="105" t="str">
        <f t="shared" si="911"/>
        <v>Derate</v>
      </c>
      <c r="N5523" s="105" t="str">
        <f t="shared" si="912"/>
        <v>Coal</v>
      </c>
      <c r="O5523" s="105">
        <f>IFERROR(VLOOKUP(A5523,Lookup!$J$5:$P$19,7,FALSE),0)</f>
        <v>3</v>
      </c>
      <c r="P5523" s="159">
        <f t="shared" si="913"/>
        <v>2016</v>
      </c>
      <c r="Q5523" s="159">
        <f t="shared" si="914"/>
        <v>4</v>
      </c>
      <c r="R5523" s="160">
        <f t="shared" si="915"/>
        <v>15.666666666744277</v>
      </c>
      <c r="S5523" s="158">
        <f t="shared" si="916"/>
        <v>0.29559748427819388</v>
      </c>
      <c r="T5523" s="161">
        <f t="shared" si="917"/>
        <v>145.72955974914959</v>
      </c>
      <c r="U5523" s="158">
        <f t="shared" si="919"/>
        <v>9.3018867924528301</v>
      </c>
      <c r="V5523" s="160">
        <f t="shared" si="918"/>
        <v>9</v>
      </c>
    </row>
    <row r="5524" spans="1:22" x14ac:dyDescent="0.25">
      <c r="A5524" s="98" t="s">
        <v>19</v>
      </c>
      <c r="B5524" s="98" t="s">
        <v>17</v>
      </c>
      <c r="C5524" s="98">
        <v>48</v>
      </c>
      <c r="D5524" s="98">
        <v>340</v>
      </c>
      <c r="E5524" s="157">
        <v>42463.291666666664</v>
      </c>
      <c r="F5524" s="157">
        <v>42463.322916666664</v>
      </c>
      <c r="G5524" s="98">
        <v>450</v>
      </c>
      <c r="H5524" s="98">
        <v>530</v>
      </c>
      <c r="I5524" s="98">
        <v>493</v>
      </c>
      <c r="J5524" s="98" t="s">
        <v>1970</v>
      </c>
      <c r="K5524" s="98" t="s">
        <v>3843</v>
      </c>
      <c r="L5524" s="105" t="str">
        <f t="shared" si="910"/>
        <v>Trimble</v>
      </c>
      <c r="M5524" s="105" t="str">
        <f t="shared" si="911"/>
        <v>Derate</v>
      </c>
      <c r="N5524" s="105" t="str">
        <f t="shared" si="912"/>
        <v>Coal</v>
      </c>
      <c r="O5524" s="105">
        <f>IFERROR(VLOOKUP(A5524,Lookup!$J$5:$P$19,7,FALSE),0)</f>
        <v>3</v>
      </c>
      <c r="P5524" s="159">
        <f t="shared" si="913"/>
        <v>2016</v>
      </c>
      <c r="Q5524" s="159">
        <f t="shared" si="914"/>
        <v>4</v>
      </c>
      <c r="R5524" s="160">
        <f t="shared" si="915"/>
        <v>0.75</v>
      </c>
      <c r="S5524" s="158">
        <f t="shared" si="916"/>
        <v>0.11320754716981132</v>
      </c>
      <c r="T5524" s="161">
        <f t="shared" si="917"/>
        <v>55.811320754716981</v>
      </c>
      <c r="U5524" s="158">
        <f t="shared" si="919"/>
        <v>74.415094339622641</v>
      </c>
      <c r="V5524" s="160">
        <f t="shared" si="918"/>
        <v>74</v>
      </c>
    </row>
    <row r="5525" spans="1:22" x14ac:dyDescent="0.25">
      <c r="A5525" s="98" t="s">
        <v>19</v>
      </c>
      <c r="B5525" s="98" t="s">
        <v>17</v>
      </c>
      <c r="C5525" s="98">
        <v>49</v>
      </c>
      <c r="D5525" s="98">
        <v>340</v>
      </c>
      <c r="E5525" s="157">
        <v>42463.333333333336</v>
      </c>
      <c r="F5525" s="157">
        <v>42463.395833333336</v>
      </c>
      <c r="G5525" s="98">
        <v>500</v>
      </c>
      <c r="H5525" s="98">
        <v>530</v>
      </c>
      <c r="I5525" s="98">
        <v>493</v>
      </c>
      <c r="J5525" s="98" t="s">
        <v>1970</v>
      </c>
      <c r="K5525" s="98" t="s">
        <v>3843</v>
      </c>
      <c r="L5525" s="105" t="str">
        <f t="shared" si="910"/>
        <v>Trimble</v>
      </c>
      <c r="M5525" s="105" t="str">
        <f t="shared" si="911"/>
        <v>Derate</v>
      </c>
      <c r="N5525" s="105" t="str">
        <f t="shared" si="912"/>
        <v>Coal</v>
      </c>
      <c r="O5525" s="105">
        <f>IFERROR(VLOOKUP(A5525,Lookup!$J$5:$P$19,7,FALSE),0)</f>
        <v>3</v>
      </c>
      <c r="P5525" s="159">
        <f t="shared" si="913"/>
        <v>2016</v>
      </c>
      <c r="Q5525" s="159">
        <f t="shared" si="914"/>
        <v>4</v>
      </c>
      <c r="R5525" s="160">
        <f t="shared" si="915"/>
        <v>1.5</v>
      </c>
      <c r="S5525" s="158">
        <f t="shared" si="916"/>
        <v>8.4905660377358486E-2</v>
      </c>
      <c r="T5525" s="161">
        <f t="shared" si="917"/>
        <v>41.85849056603773</v>
      </c>
      <c r="U5525" s="158">
        <f t="shared" si="919"/>
        <v>27.90566037735849</v>
      </c>
      <c r="V5525" s="160">
        <f t="shared" si="918"/>
        <v>28</v>
      </c>
    </row>
    <row r="5526" spans="1:22" x14ac:dyDescent="0.25">
      <c r="A5526" s="98" t="s">
        <v>19</v>
      </c>
      <c r="B5526" s="98" t="s">
        <v>79</v>
      </c>
      <c r="C5526" s="98">
        <v>50</v>
      </c>
      <c r="D5526" s="98">
        <v>8460</v>
      </c>
      <c r="E5526" s="157">
        <v>42465.25</v>
      </c>
      <c r="F5526" s="157">
        <v>42465.75</v>
      </c>
      <c r="G5526" s="98">
        <v>0</v>
      </c>
      <c r="H5526" s="98">
        <v>530</v>
      </c>
      <c r="I5526" s="98">
        <v>493</v>
      </c>
      <c r="J5526" s="98" t="s">
        <v>2651</v>
      </c>
      <c r="K5526" s="98" t="s">
        <v>3844</v>
      </c>
      <c r="L5526" s="105" t="str">
        <f t="shared" si="910"/>
        <v>Trimble</v>
      </c>
      <c r="M5526" s="105" t="str">
        <f t="shared" si="911"/>
        <v>Other</v>
      </c>
      <c r="N5526" s="105" t="str">
        <f t="shared" si="912"/>
        <v>Coal</v>
      </c>
      <c r="O5526" s="105">
        <f>IFERROR(VLOOKUP(A5526,Lookup!$J$5:$P$19,7,FALSE),0)</f>
        <v>3</v>
      </c>
      <c r="P5526" s="159">
        <f t="shared" si="913"/>
        <v>2016</v>
      </c>
      <c r="Q5526" s="159">
        <f t="shared" si="914"/>
        <v>4</v>
      </c>
      <c r="R5526" s="160">
        <f t="shared" si="915"/>
        <v>12</v>
      </c>
      <c r="S5526" s="158">
        <f t="shared" si="916"/>
        <v>12</v>
      </c>
      <c r="T5526" s="161">
        <f t="shared" si="917"/>
        <v>5916</v>
      </c>
      <c r="U5526" s="158">
        <f t="shared" si="919"/>
        <v>493</v>
      </c>
      <c r="V5526" s="160">
        <f t="shared" si="918"/>
        <v>493</v>
      </c>
    </row>
    <row r="5527" spans="1:22" x14ac:dyDescent="0.25">
      <c r="A5527" s="98" t="s">
        <v>19</v>
      </c>
      <c r="B5527" s="98" t="s">
        <v>79</v>
      </c>
      <c r="C5527" s="98">
        <v>51</v>
      </c>
      <c r="D5527" s="98">
        <v>4490</v>
      </c>
      <c r="E5527" s="157">
        <v>42467.458333333336</v>
      </c>
      <c r="F5527" s="157">
        <v>42467.654166666667</v>
      </c>
      <c r="G5527" s="98">
        <v>0</v>
      </c>
      <c r="H5527" s="98">
        <v>530</v>
      </c>
      <c r="I5527" s="98">
        <v>493</v>
      </c>
      <c r="J5527" s="98" t="s">
        <v>2084</v>
      </c>
      <c r="K5527" s="98" t="s">
        <v>3845</v>
      </c>
      <c r="L5527" s="105" t="str">
        <f t="shared" si="910"/>
        <v>Trimble</v>
      </c>
      <c r="M5527" s="105" t="str">
        <f t="shared" si="911"/>
        <v>Other</v>
      </c>
      <c r="N5527" s="105" t="str">
        <f t="shared" si="912"/>
        <v>Coal</v>
      </c>
      <c r="O5527" s="105">
        <f>IFERROR(VLOOKUP(A5527,Lookup!$J$5:$P$19,7,FALSE),0)</f>
        <v>3</v>
      </c>
      <c r="P5527" s="159">
        <f t="shared" si="913"/>
        <v>2016</v>
      </c>
      <c r="Q5527" s="159">
        <f t="shared" si="914"/>
        <v>4</v>
      </c>
      <c r="R5527" s="160">
        <f t="shared" si="915"/>
        <v>4.6999999999534339</v>
      </c>
      <c r="S5527" s="158">
        <f t="shared" si="916"/>
        <v>4.6999999999534339</v>
      </c>
      <c r="T5527" s="161">
        <f t="shared" si="917"/>
        <v>2317.0999999770429</v>
      </c>
      <c r="U5527" s="158">
        <f t="shared" si="919"/>
        <v>493</v>
      </c>
      <c r="V5527" s="160">
        <f t="shared" si="918"/>
        <v>493</v>
      </c>
    </row>
    <row r="5528" spans="1:22" x14ac:dyDescent="0.25">
      <c r="A5528" s="98" t="s">
        <v>19</v>
      </c>
      <c r="B5528" s="98" t="s">
        <v>17</v>
      </c>
      <c r="C5528" s="98">
        <v>52</v>
      </c>
      <c r="D5528" s="98">
        <v>310</v>
      </c>
      <c r="E5528" s="157">
        <v>42471.531944444447</v>
      </c>
      <c r="F5528" s="157">
        <v>42471.558333333334</v>
      </c>
      <c r="G5528" s="98">
        <v>345</v>
      </c>
      <c r="H5528" s="98">
        <v>530</v>
      </c>
      <c r="I5528" s="98">
        <v>493</v>
      </c>
      <c r="J5528" s="98" t="s">
        <v>1966</v>
      </c>
      <c r="K5528" s="98" t="s">
        <v>3846</v>
      </c>
      <c r="L5528" s="105" t="str">
        <f t="shared" si="910"/>
        <v>Trimble</v>
      </c>
      <c r="M5528" s="105" t="str">
        <f t="shared" si="911"/>
        <v>Derate</v>
      </c>
      <c r="N5528" s="105" t="str">
        <f t="shared" si="912"/>
        <v>Coal</v>
      </c>
      <c r="O5528" s="105">
        <f>IFERROR(VLOOKUP(A5528,Lookup!$J$5:$P$19,7,FALSE),0)</f>
        <v>3</v>
      </c>
      <c r="P5528" s="159">
        <f t="shared" si="913"/>
        <v>2016</v>
      </c>
      <c r="Q5528" s="159">
        <f t="shared" si="914"/>
        <v>4</v>
      </c>
      <c r="R5528" s="160">
        <f t="shared" si="915"/>
        <v>0.63333333330228925</v>
      </c>
      <c r="S5528" s="158">
        <f t="shared" si="916"/>
        <v>0.22106918237910098</v>
      </c>
      <c r="T5528" s="161">
        <f t="shared" si="917"/>
        <v>108.98710691289678</v>
      </c>
      <c r="U5528" s="158">
        <f t="shared" si="919"/>
        <v>172.08490566037736</v>
      </c>
      <c r="V5528" s="160">
        <f t="shared" si="918"/>
        <v>172</v>
      </c>
    </row>
    <row r="5529" spans="1:22" x14ac:dyDescent="0.25">
      <c r="A5529" s="98" t="s">
        <v>19</v>
      </c>
      <c r="B5529" s="98" t="s">
        <v>17</v>
      </c>
      <c r="C5529" s="98">
        <v>53</v>
      </c>
      <c r="D5529" s="98">
        <v>95</v>
      </c>
      <c r="E5529" s="157">
        <v>42477.390972222223</v>
      </c>
      <c r="F5529" s="157">
        <v>42477.399305555555</v>
      </c>
      <c r="G5529" s="98">
        <v>400</v>
      </c>
      <c r="H5529" s="98">
        <v>530</v>
      </c>
      <c r="I5529" s="98">
        <v>493</v>
      </c>
      <c r="J5529" s="98" t="s">
        <v>1998</v>
      </c>
      <c r="K5529" s="98" t="s">
        <v>4404</v>
      </c>
      <c r="L5529" s="105" t="str">
        <f t="shared" si="910"/>
        <v>Trimble</v>
      </c>
      <c r="M5529" s="105" t="str">
        <f t="shared" si="911"/>
        <v>Derate</v>
      </c>
      <c r="N5529" s="105" t="str">
        <f t="shared" si="912"/>
        <v>Coal</v>
      </c>
      <c r="O5529" s="105">
        <f>IFERROR(VLOOKUP(A5529,Lookup!$J$5:$P$19,7,FALSE),0)</f>
        <v>3</v>
      </c>
      <c r="P5529" s="159">
        <f t="shared" si="913"/>
        <v>2016</v>
      </c>
      <c r="Q5529" s="159">
        <f t="shared" si="914"/>
        <v>4</v>
      </c>
      <c r="R5529" s="160">
        <f t="shared" si="915"/>
        <v>0.19999999995343387</v>
      </c>
      <c r="S5529" s="158">
        <f t="shared" si="916"/>
        <v>4.9056603762163024E-2</v>
      </c>
      <c r="T5529" s="161">
        <f t="shared" si="917"/>
        <v>24.18490565474637</v>
      </c>
      <c r="U5529" s="158">
        <f t="shared" si="919"/>
        <v>120.9245283018868</v>
      </c>
      <c r="V5529" s="160">
        <f t="shared" si="918"/>
        <v>121</v>
      </c>
    </row>
    <row r="5530" spans="1:22" x14ac:dyDescent="0.25">
      <c r="A5530" s="98" t="s">
        <v>19</v>
      </c>
      <c r="B5530" s="98" t="s">
        <v>17</v>
      </c>
      <c r="C5530" s="98">
        <v>54</v>
      </c>
      <c r="D5530" s="98">
        <v>3836</v>
      </c>
      <c r="E5530" s="157">
        <v>42486.375694444447</v>
      </c>
      <c r="F5530" s="157">
        <v>42486.407638888886</v>
      </c>
      <c r="G5530" s="98">
        <v>525</v>
      </c>
      <c r="H5530" s="98">
        <v>530</v>
      </c>
      <c r="I5530" s="98">
        <v>493</v>
      </c>
      <c r="J5530" s="98" t="s">
        <v>3847</v>
      </c>
      <c r="K5530" s="98" t="s">
        <v>3848</v>
      </c>
      <c r="L5530" s="105" t="str">
        <f t="shared" si="910"/>
        <v>Trimble</v>
      </c>
      <c r="M5530" s="105" t="str">
        <f t="shared" si="911"/>
        <v>Derate</v>
      </c>
      <c r="N5530" s="105" t="str">
        <f t="shared" si="912"/>
        <v>Coal</v>
      </c>
      <c r="O5530" s="105">
        <f>IFERROR(VLOOKUP(A5530,Lookup!$J$5:$P$19,7,FALSE),0)</f>
        <v>3</v>
      </c>
      <c r="P5530" s="159">
        <f t="shared" si="913"/>
        <v>2016</v>
      </c>
      <c r="Q5530" s="159">
        <f t="shared" si="914"/>
        <v>4</v>
      </c>
      <c r="R5530" s="160">
        <f t="shared" si="915"/>
        <v>0.76666666654637083</v>
      </c>
      <c r="S5530" s="158">
        <f t="shared" si="916"/>
        <v>7.2327044013808569E-3</v>
      </c>
      <c r="T5530" s="161">
        <f t="shared" si="917"/>
        <v>3.5657232698807624</v>
      </c>
      <c r="U5530" s="158">
        <f t="shared" si="919"/>
        <v>4.6509433962264151</v>
      </c>
      <c r="V5530" s="160">
        <f t="shared" si="918"/>
        <v>5</v>
      </c>
    </row>
    <row r="5531" spans="1:22" x14ac:dyDescent="0.25">
      <c r="A5531" s="98" t="s">
        <v>19</v>
      </c>
      <c r="B5531" s="98" t="s">
        <v>17</v>
      </c>
      <c r="C5531" s="98">
        <v>55</v>
      </c>
      <c r="D5531" s="98">
        <v>3836</v>
      </c>
      <c r="E5531" s="157">
        <v>42486.407638888886</v>
      </c>
      <c r="F5531" s="157">
        <v>42487.833333333336</v>
      </c>
      <c r="G5531" s="98">
        <v>510</v>
      </c>
      <c r="H5531" s="98">
        <v>530</v>
      </c>
      <c r="I5531" s="98">
        <v>493</v>
      </c>
      <c r="J5531" s="98" t="s">
        <v>3847</v>
      </c>
      <c r="K5531" s="98" t="s">
        <v>3848</v>
      </c>
      <c r="L5531" s="105" t="str">
        <f t="shared" si="910"/>
        <v>Trimble</v>
      </c>
      <c r="M5531" s="105" t="str">
        <f t="shared" si="911"/>
        <v>Derate</v>
      </c>
      <c r="N5531" s="105" t="str">
        <f t="shared" si="912"/>
        <v>Coal</v>
      </c>
      <c r="O5531" s="105">
        <f>IFERROR(VLOOKUP(A5531,Lookup!$J$5:$P$19,7,FALSE),0)</f>
        <v>3</v>
      </c>
      <c r="P5531" s="159">
        <f t="shared" si="913"/>
        <v>2016</v>
      </c>
      <c r="Q5531" s="159">
        <f t="shared" si="914"/>
        <v>4</v>
      </c>
      <c r="R5531" s="160">
        <f t="shared" si="915"/>
        <v>34.216666666790843</v>
      </c>
      <c r="S5531" s="158">
        <f t="shared" si="916"/>
        <v>1.291194968558145</v>
      </c>
      <c r="T5531" s="161">
        <f t="shared" si="917"/>
        <v>636.55911949916549</v>
      </c>
      <c r="U5531" s="158">
        <f t="shared" si="919"/>
        <v>18.60377358490566</v>
      </c>
      <c r="V5531" s="160">
        <f t="shared" si="918"/>
        <v>19</v>
      </c>
    </row>
    <row r="5532" spans="1:22" x14ac:dyDescent="0.25">
      <c r="A5532" s="98" t="s">
        <v>19</v>
      </c>
      <c r="B5532" s="98" t="s">
        <v>17</v>
      </c>
      <c r="C5532" s="98">
        <v>56</v>
      </c>
      <c r="D5532" s="98">
        <v>3836</v>
      </c>
      <c r="E5532" s="157">
        <v>42487.833333333336</v>
      </c>
      <c r="F5532" s="157">
        <v>42488.145833333336</v>
      </c>
      <c r="G5532" s="98">
        <v>520</v>
      </c>
      <c r="H5532" s="98">
        <v>530</v>
      </c>
      <c r="I5532" s="98">
        <v>493</v>
      </c>
      <c r="J5532" s="98" t="s">
        <v>3847</v>
      </c>
      <c r="K5532" s="98" t="s">
        <v>3848</v>
      </c>
      <c r="L5532" s="105" t="str">
        <f t="shared" si="910"/>
        <v>Trimble</v>
      </c>
      <c r="M5532" s="105" t="str">
        <f t="shared" si="911"/>
        <v>Derate</v>
      </c>
      <c r="N5532" s="105" t="str">
        <f t="shared" si="912"/>
        <v>Coal</v>
      </c>
      <c r="O5532" s="105">
        <f>IFERROR(VLOOKUP(A5532,Lookup!$J$5:$P$19,7,FALSE),0)</f>
        <v>3</v>
      </c>
      <c r="P5532" s="159">
        <f t="shared" si="913"/>
        <v>2016</v>
      </c>
      <c r="Q5532" s="159">
        <f t="shared" si="914"/>
        <v>4</v>
      </c>
      <c r="R5532" s="160">
        <f t="shared" si="915"/>
        <v>7.5</v>
      </c>
      <c r="S5532" s="158">
        <f t="shared" si="916"/>
        <v>0.14150943396226415</v>
      </c>
      <c r="T5532" s="161">
        <f t="shared" si="917"/>
        <v>69.764150943396231</v>
      </c>
      <c r="U5532" s="158">
        <f t="shared" si="919"/>
        <v>9.3018867924528301</v>
      </c>
      <c r="V5532" s="160">
        <f t="shared" si="918"/>
        <v>9</v>
      </c>
    </row>
    <row r="5533" spans="1:22" x14ac:dyDescent="0.25">
      <c r="A5533" s="98" t="s">
        <v>19</v>
      </c>
      <c r="B5533" s="98" t="s">
        <v>17</v>
      </c>
      <c r="C5533" s="98">
        <v>57</v>
      </c>
      <c r="D5533" s="98">
        <v>3836</v>
      </c>
      <c r="E5533" s="157">
        <v>42488.925694444442</v>
      </c>
      <c r="F5533" s="157">
        <v>42489.195833333331</v>
      </c>
      <c r="G5533" s="98">
        <v>510</v>
      </c>
      <c r="H5533" s="98">
        <v>530</v>
      </c>
      <c r="I5533" s="98">
        <v>493</v>
      </c>
      <c r="J5533" s="98" t="s">
        <v>3847</v>
      </c>
      <c r="K5533" s="98" t="s">
        <v>3848</v>
      </c>
      <c r="L5533" s="105" t="str">
        <f t="shared" si="910"/>
        <v>Trimble</v>
      </c>
      <c r="M5533" s="105" t="str">
        <f t="shared" si="911"/>
        <v>Derate</v>
      </c>
      <c r="N5533" s="105" t="str">
        <f t="shared" si="912"/>
        <v>Coal</v>
      </c>
      <c r="O5533" s="105">
        <f>IFERROR(VLOOKUP(A5533,Lookup!$J$5:$P$19,7,FALSE),0)</f>
        <v>3</v>
      </c>
      <c r="P5533" s="159">
        <f t="shared" si="913"/>
        <v>2016</v>
      </c>
      <c r="Q5533" s="159">
        <f t="shared" si="914"/>
        <v>4</v>
      </c>
      <c r="R5533" s="160">
        <f t="shared" si="915"/>
        <v>6.4833333333372138</v>
      </c>
      <c r="S5533" s="158">
        <f t="shared" si="916"/>
        <v>0.24465408805046091</v>
      </c>
      <c r="T5533" s="161">
        <f t="shared" si="917"/>
        <v>120.61446540887722</v>
      </c>
      <c r="U5533" s="158">
        <f t="shared" si="919"/>
        <v>18.60377358490566</v>
      </c>
      <c r="V5533" s="160">
        <f t="shared" si="918"/>
        <v>19</v>
      </c>
    </row>
    <row r="5534" spans="1:22" x14ac:dyDescent="0.25">
      <c r="A5534" s="98" t="s">
        <v>19</v>
      </c>
      <c r="B5534" s="98" t="s">
        <v>17</v>
      </c>
      <c r="C5534" s="98">
        <v>58</v>
      </c>
      <c r="D5534" s="98">
        <v>3836</v>
      </c>
      <c r="E5534" s="157">
        <v>42489.195833333331</v>
      </c>
      <c r="F5534" s="157">
        <v>42489.577777777777</v>
      </c>
      <c r="G5534" s="98">
        <v>525</v>
      </c>
      <c r="H5534" s="98">
        <v>530</v>
      </c>
      <c r="I5534" s="98">
        <v>493</v>
      </c>
      <c r="J5534" s="98" t="s">
        <v>3847</v>
      </c>
      <c r="K5534" s="98" t="s">
        <v>3848</v>
      </c>
      <c r="L5534" s="105" t="str">
        <f t="shared" si="910"/>
        <v>Trimble</v>
      </c>
      <c r="M5534" s="105" t="str">
        <f t="shared" si="911"/>
        <v>Derate</v>
      </c>
      <c r="N5534" s="105" t="str">
        <f t="shared" si="912"/>
        <v>Coal</v>
      </c>
      <c r="O5534" s="105">
        <f>IFERROR(VLOOKUP(A5534,Lookup!$J$5:$P$19,7,FALSE),0)</f>
        <v>3</v>
      </c>
      <c r="P5534" s="159">
        <f t="shared" si="913"/>
        <v>2016</v>
      </c>
      <c r="Q5534" s="159">
        <f t="shared" si="914"/>
        <v>4</v>
      </c>
      <c r="R5534" s="160">
        <f t="shared" si="915"/>
        <v>9.1666666666860692</v>
      </c>
      <c r="S5534" s="158">
        <f t="shared" si="916"/>
        <v>8.647798742156669E-2</v>
      </c>
      <c r="T5534" s="161">
        <f t="shared" si="917"/>
        <v>42.633647798832378</v>
      </c>
      <c r="U5534" s="158">
        <f t="shared" si="919"/>
        <v>4.6509433962264151</v>
      </c>
      <c r="V5534" s="160">
        <f t="shared" si="918"/>
        <v>5</v>
      </c>
    </row>
    <row r="5535" spans="1:22" x14ac:dyDescent="0.25">
      <c r="A5535" s="98" t="s">
        <v>19</v>
      </c>
      <c r="B5535" s="98" t="s">
        <v>17</v>
      </c>
      <c r="C5535" s="98">
        <v>59</v>
      </c>
      <c r="D5535" s="98">
        <v>3836</v>
      </c>
      <c r="E5535" s="157">
        <v>42489.577777777777</v>
      </c>
      <c r="F5535" s="157">
        <v>42489.662499999999</v>
      </c>
      <c r="G5535" s="98">
        <v>515</v>
      </c>
      <c r="H5535" s="98">
        <v>530</v>
      </c>
      <c r="I5535" s="98">
        <v>493</v>
      </c>
      <c r="J5535" s="98" t="s">
        <v>3847</v>
      </c>
      <c r="K5535" s="98" t="s">
        <v>3848</v>
      </c>
      <c r="L5535" s="105" t="str">
        <f t="shared" si="910"/>
        <v>Trimble</v>
      </c>
      <c r="M5535" s="105" t="str">
        <f t="shared" si="911"/>
        <v>Derate</v>
      </c>
      <c r="N5535" s="105" t="str">
        <f t="shared" si="912"/>
        <v>Coal</v>
      </c>
      <c r="O5535" s="105">
        <f>IFERROR(VLOOKUP(A5535,Lookup!$J$5:$P$19,7,FALSE),0)</f>
        <v>3</v>
      </c>
      <c r="P5535" s="159">
        <f t="shared" si="913"/>
        <v>2016</v>
      </c>
      <c r="Q5535" s="159">
        <f t="shared" si="914"/>
        <v>4</v>
      </c>
      <c r="R5535" s="160">
        <f t="shared" si="915"/>
        <v>2.0333333333255723</v>
      </c>
      <c r="S5535" s="158">
        <f t="shared" si="916"/>
        <v>5.7547169811101105E-2</v>
      </c>
      <c r="T5535" s="161">
        <f t="shared" si="917"/>
        <v>28.370754716872845</v>
      </c>
      <c r="U5535" s="158">
        <f t="shared" si="919"/>
        <v>13.952830188679245</v>
      </c>
      <c r="V5535" s="160">
        <f t="shared" si="918"/>
        <v>14</v>
      </c>
    </row>
    <row r="5536" spans="1:22" x14ac:dyDescent="0.25">
      <c r="A5536" s="98" t="s">
        <v>19</v>
      </c>
      <c r="B5536" s="98" t="s">
        <v>32</v>
      </c>
      <c r="C5536" s="98">
        <v>60</v>
      </c>
      <c r="D5536" s="98">
        <v>1999</v>
      </c>
      <c r="E5536" s="157">
        <v>42492.225694444445</v>
      </c>
      <c r="F5536" s="157">
        <v>42495</v>
      </c>
      <c r="G5536" s="98">
        <v>530</v>
      </c>
      <c r="H5536" s="98">
        <v>530</v>
      </c>
      <c r="I5536" s="98">
        <v>493</v>
      </c>
      <c r="J5536" s="98" t="s">
        <v>2108</v>
      </c>
      <c r="K5536" s="98" t="s">
        <v>3849</v>
      </c>
      <c r="L5536" s="105" t="str">
        <f t="shared" si="910"/>
        <v>Trimble</v>
      </c>
      <c r="M5536" s="105" t="str">
        <f t="shared" si="911"/>
        <v>Derate</v>
      </c>
      <c r="N5536" s="105" t="str">
        <f t="shared" si="912"/>
        <v>Coal</v>
      </c>
      <c r="O5536" s="105">
        <f>IFERROR(VLOOKUP(A5536,Lookup!$J$5:$P$19,7,FALSE),0)</f>
        <v>3</v>
      </c>
      <c r="P5536" s="159">
        <f t="shared" si="913"/>
        <v>2016</v>
      </c>
      <c r="Q5536" s="159">
        <f t="shared" si="914"/>
        <v>5</v>
      </c>
      <c r="R5536" s="160">
        <f t="shared" si="915"/>
        <v>66.583333333313931</v>
      </c>
      <c r="S5536" s="158">
        <f t="shared" si="916"/>
        <v>0</v>
      </c>
      <c r="T5536" s="161">
        <f t="shared" si="917"/>
        <v>0</v>
      </c>
      <c r="U5536" s="158">
        <f t="shared" si="919"/>
        <v>0</v>
      </c>
      <c r="V5536" s="160">
        <f t="shared" si="918"/>
        <v>0</v>
      </c>
    </row>
    <row r="5537" spans="1:22" x14ac:dyDescent="0.25">
      <c r="A5537" s="98" t="s">
        <v>19</v>
      </c>
      <c r="B5537" s="98" t="s">
        <v>17</v>
      </c>
      <c r="C5537" s="98">
        <v>61</v>
      </c>
      <c r="D5537" s="98">
        <v>3836</v>
      </c>
      <c r="E5537" s="157">
        <v>42502.408333333333</v>
      </c>
      <c r="F5537" s="157">
        <v>42503.147222222222</v>
      </c>
      <c r="G5537" s="98">
        <v>507</v>
      </c>
      <c r="H5537" s="98">
        <v>530</v>
      </c>
      <c r="I5537" s="98">
        <v>493</v>
      </c>
      <c r="J5537" s="98" t="s">
        <v>3847</v>
      </c>
      <c r="K5537" s="98" t="s">
        <v>3848</v>
      </c>
      <c r="L5537" s="105" t="str">
        <f t="shared" si="910"/>
        <v>Trimble</v>
      </c>
      <c r="M5537" s="105" t="str">
        <f t="shared" si="911"/>
        <v>Derate</v>
      </c>
      <c r="N5537" s="105" t="str">
        <f t="shared" si="912"/>
        <v>Coal</v>
      </c>
      <c r="O5537" s="105">
        <f>IFERROR(VLOOKUP(A5537,Lookup!$J$5:$P$19,7,FALSE),0)</f>
        <v>3</v>
      </c>
      <c r="P5537" s="159">
        <f t="shared" si="913"/>
        <v>2016</v>
      </c>
      <c r="Q5537" s="159">
        <f t="shared" si="914"/>
        <v>5</v>
      </c>
      <c r="R5537" s="160">
        <f t="shared" si="915"/>
        <v>17.733333333337214</v>
      </c>
      <c r="S5537" s="158">
        <f t="shared" si="916"/>
        <v>0.76955974842784136</v>
      </c>
      <c r="T5537" s="161">
        <f t="shared" si="917"/>
        <v>379.39295597492577</v>
      </c>
      <c r="U5537" s="158">
        <f t="shared" si="919"/>
        <v>21.39433962264151</v>
      </c>
      <c r="V5537" s="160">
        <f t="shared" si="918"/>
        <v>21</v>
      </c>
    </row>
    <row r="5538" spans="1:22" x14ac:dyDescent="0.25">
      <c r="A5538" s="98" t="s">
        <v>19</v>
      </c>
      <c r="B5538" s="98" t="s">
        <v>20</v>
      </c>
      <c r="C5538" s="98">
        <v>62</v>
      </c>
      <c r="D5538" s="98">
        <v>3831</v>
      </c>
      <c r="E5538" s="157">
        <v>42504.96875</v>
      </c>
      <c r="F5538" s="157">
        <v>42505.684027777781</v>
      </c>
      <c r="G5538" s="98">
        <v>0</v>
      </c>
      <c r="H5538" s="98">
        <v>530</v>
      </c>
      <c r="I5538" s="98">
        <v>493</v>
      </c>
      <c r="J5538" s="98" t="s">
        <v>3850</v>
      </c>
      <c r="K5538" s="98" t="s">
        <v>3851</v>
      </c>
      <c r="L5538" s="105" t="str">
        <f t="shared" si="910"/>
        <v>Trimble</v>
      </c>
      <c r="M5538" s="105" t="str">
        <f t="shared" si="911"/>
        <v>Maintenance</v>
      </c>
      <c r="N5538" s="105" t="str">
        <f t="shared" si="912"/>
        <v>Coal</v>
      </c>
      <c r="O5538" s="105">
        <f>IFERROR(VLOOKUP(A5538,Lookup!$J$5:$P$19,7,FALSE),0)</f>
        <v>3</v>
      </c>
      <c r="P5538" s="159">
        <f t="shared" si="913"/>
        <v>2016</v>
      </c>
      <c r="Q5538" s="159">
        <f t="shared" si="914"/>
        <v>5</v>
      </c>
      <c r="R5538" s="160">
        <f t="shared" si="915"/>
        <v>17.166666666744277</v>
      </c>
      <c r="S5538" s="158">
        <f t="shared" si="916"/>
        <v>17.166666666744277</v>
      </c>
      <c r="T5538" s="161">
        <f t="shared" si="917"/>
        <v>8463.1666667049285</v>
      </c>
      <c r="U5538" s="158">
        <f t="shared" si="919"/>
        <v>493</v>
      </c>
      <c r="V5538" s="160">
        <f t="shared" si="918"/>
        <v>493</v>
      </c>
    </row>
    <row r="5539" spans="1:22" x14ac:dyDescent="0.25">
      <c r="A5539" s="98" t="s">
        <v>19</v>
      </c>
      <c r="B5539" s="98" t="s">
        <v>17</v>
      </c>
      <c r="C5539" s="98">
        <v>63</v>
      </c>
      <c r="D5539" s="98">
        <v>310</v>
      </c>
      <c r="E5539" s="157">
        <v>42507.275694444441</v>
      </c>
      <c r="F5539" s="157">
        <v>42507.348611111112</v>
      </c>
      <c r="G5539" s="98">
        <v>412</v>
      </c>
      <c r="H5539" s="98">
        <v>530</v>
      </c>
      <c r="I5539" s="98">
        <v>493</v>
      </c>
      <c r="J5539" s="98" t="s">
        <v>1966</v>
      </c>
      <c r="K5539" s="98" t="s">
        <v>3852</v>
      </c>
      <c r="L5539" s="105" t="str">
        <f t="shared" si="910"/>
        <v>Trimble</v>
      </c>
      <c r="M5539" s="105" t="str">
        <f t="shared" si="911"/>
        <v>Derate</v>
      </c>
      <c r="N5539" s="105" t="str">
        <f t="shared" si="912"/>
        <v>Coal</v>
      </c>
      <c r="O5539" s="105">
        <f>IFERROR(VLOOKUP(A5539,Lookup!$J$5:$P$19,7,FALSE),0)</f>
        <v>3</v>
      </c>
      <c r="P5539" s="159">
        <f t="shared" si="913"/>
        <v>2016</v>
      </c>
      <c r="Q5539" s="159">
        <f t="shared" si="914"/>
        <v>5</v>
      </c>
      <c r="R5539" s="160">
        <f t="shared" si="915"/>
        <v>1.7500000001164153</v>
      </c>
      <c r="S5539" s="158">
        <f t="shared" si="916"/>
        <v>0.38962264153535286</v>
      </c>
      <c r="T5539" s="161">
        <f t="shared" si="917"/>
        <v>192.08396227692896</v>
      </c>
      <c r="U5539" s="158">
        <f t="shared" si="919"/>
        <v>109.76226415094339</v>
      </c>
      <c r="V5539" s="160">
        <f t="shared" si="918"/>
        <v>110</v>
      </c>
    </row>
    <row r="5540" spans="1:22" x14ac:dyDescent="0.25">
      <c r="A5540" s="98" t="s">
        <v>19</v>
      </c>
      <c r="B5540" s="98" t="s">
        <v>17</v>
      </c>
      <c r="C5540" s="98">
        <v>64</v>
      </c>
      <c r="D5540" s="98">
        <v>1455</v>
      </c>
      <c r="E5540" s="157">
        <v>42507.607638888891</v>
      </c>
      <c r="F5540" s="157">
        <v>42507.631944444445</v>
      </c>
      <c r="G5540" s="98">
        <v>500</v>
      </c>
      <c r="H5540" s="98">
        <v>530</v>
      </c>
      <c r="I5540" s="98">
        <v>493</v>
      </c>
      <c r="J5540" s="98" t="s">
        <v>1990</v>
      </c>
      <c r="K5540" s="98" t="s">
        <v>3853</v>
      </c>
      <c r="L5540" s="105" t="str">
        <f t="shared" si="910"/>
        <v>Trimble</v>
      </c>
      <c r="M5540" s="105" t="str">
        <f t="shared" si="911"/>
        <v>Derate</v>
      </c>
      <c r="N5540" s="105" t="str">
        <f t="shared" si="912"/>
        <v>Coal</v>
      </c>
      <c r="O5540" s="105">
        <f>IFERROR(VLOOKUP(A5540,Lookup!$J$5:$P$19,7,FALSE),0)</f>
        <v>3</v>
      </c>
      <c r="P5540" s="159">
        <f t="shared" si="913"/>
        <v>2016</v>
      </c>
      <c r="Q5540" s="159">
        <f t="shared" si="914"/>
        <v>5</v>
      </c>
      <c r="R5540" s="160">
        <f t="shared" si="915"/>
        <v>0.58333333331393078</v>
      </c>
      <c r="S5540" s="158">
        <f t="shared" si="916"/>
        <v>3.3018867923430041E-2</v>
      </c>
      <c r="T5540" s="161">
        <f t="shared" si="917"/>
        <v>16.278301886251011</v>
      </c>
      <c r="U5540" s="158">
        <f t="shared" si="919"/>
        <v>27.90566037735849</v>
      </c>
      <c r="V5540" s="160">
        <f t="shared" si="918"/>
        <v>28</v>
      </c>
    </row>
    <row r="5541" spans="1:22" x14ac:dyDescent="0.25">
      <c r="A5541" s="98" t="s">
        <v>19</v>
      </c>
      <c r="B5541" s="98" t="s">
        <v>17</v>
      </c>
      <c r="C5541" s="98">
        <v>65</v>
      </c>
      <c r="D5541" s="98">
        <v>3836</v>
      </c>
      <c r="E5541" s="157">
        <v>42507.631944444445</v>
      </c>
      <c r="F5541" s="157">
        <v>42507.822222222225</v>
      </c>
      <c r="G5541" s="98">
        <v>515</v>
      </c>
      <c r="H5541" s="98">
        <v>530</v>
      </c>
      <c r="I5541" s="98">
        <v>493</v>
      </c>
      <c r="J5541" s="98" t="s">
        <v>3847</v>
      </c>
      <c r="K5541" s="98" t="s">
        <v>3854</v>
      </c>
      <c r="L5541" s="105" t="str">
        <f t="shared" si="910"/>
        <v>Trimble</v>
      </c>
      <c r="M5541" s="105" t="str">
        <f t="shared" si="911"/>
        <v>Derate</v>
      </c>
      <c r="N5541" s="105" t="str">
        <f t="shared" si="912"/>
        <v>Coal</v>
      </c>
      <c r="O5541" s="105">
        <f>IFERROR(VLOOKUP(A5541,Lookup!$J$5:$P$19,7,FALSE),0)</f>
        <v>3</v>
      </c>
      <c r="P5541" s="159">
        <f t="shared" si="913"/>
        <v>2016</v>
      </c>
      <c r="Q5541" s="159">
        <f t="shared" si="914"/>
        <v>5</v>
      </c>
      <c r="R5541" s="160">
        <f t="shared" si="915"/>
        <v>4.5666666667093523</v>
      </c>
      <c r="S5541" s="158">
        <f t="shared" si="916"/>
        <v>0.12924528302007601</v>
      </c>
      <c r="T5541" s="161">
        <f t="shared" si="917"/>
        <v>63.717924528897477</v>
      </c>
      <c r="U5541" s="158">
        <f t="shared" si="919"/>
        <v>13.952830188679245</v>
      </c>
      <c r="V5541" s="160">
        <f t="shared" si="918"/>
        <v>14</v>
      </c>
    </row>
    <row r="5542" spans="1:22" x14ac:dyDescent="0.25">
      <c r="A5542" s="98" t="s">
        <v>19</v>
      </c>
      <c r="B5542" s="98" t="s">
        <v>17</v>
      </c>
      <c r="C5542" s="98">
        <v>66</v>
      </c>
      <c r="D5542" s="98">
        <v>310</v>
      </c>
      <c r="E5542" s="157">
        <v>42507.822222222225</v>
      </c>
      <c r="F5542" s="157">
        <v>42507.854166666664</v>
      </c>
      <c r="G5542" s="98">
        <v>440</v>
      </c>
      <c r="H5542" s="98">
        <v>530</v>
      </c>
      <c r="I5542" s="98">
        <v>493</v>
      </c>
      <c r="J5542" s="98" t="s">
        <v>1966</v>
      </c>
      <c r="K5542" s="98" t="s">
        <v>3855</v>
      </c>
      <c r="L5542" s="105" t="str">
        <f t="shared" si="910"/>
        <v>Trimble</v>
      </c>
      <c r="M5542" s="105" t="str">
        <f t="shared" si="911"/>
        <v>Derate</v>
      </c>
      <c r="N5542" s="105" t="str">
        <f t="shared" si="912"/>
        <v>Coal</v>
      </c>
      <c r="O5542" s="105">
        <f>IFERROR(VLOOKUP(A5542,Lookup!$J$5:$P$19,7,FALSE),0)</f>
        <v>3</v>
      </c>
      <c r="P5542" s="159">
        <f t="shared" si="913"/>
        <v>2016</v>
      </c>
      <c r="Q5542" s="159">
        <f t="shared" si="914"/>
        <v>5</v>
      </c>
      <c r="R5542" s="160">
        <f t="shared" si="915"/>
        <v>0.76666666654637083</v>
      </c>
      <c r="S5542" s="158">
        <f t="shared" si="916"/>
        <v>0.13018867922485541</v>
      </c>
      <c r="T5542" s="161">
        <f t="shared" si="917"/>
        <v>64.183018857853725</v>
      </c>
      <c r="U5542" s="158">
        <f t="shared" si="919"/>
        <v>83.716981132075475</v>
      </c>
      <c r="V5542" s="160">
        <f t="shared" si="918"/>
        <v>84</v>
      </c>
    </row>
    <row r="5543" spans="1:22" x14ac:dyDescent="0.25">
      <c r="A5543" s="98" t="s">
        <v>19</v>
      </c>
      <c r="B5543" s="98" t="s">
        <v>17</v>
      </c>
      <c r="C5543" s="98">
        <v>67</v>
      </c>
      <c r="D5543" s="98">
        <v>3836</v>
      </c>
      <c r="E5543" s="157">
        <v>42507.854166666664</v>
      </c>
      <c r="F5543" s="157">
        <v>42508.081944444442</v>
      </c>
      <c r="G5543" s="98">
        <v>515</v>
      </c>
      <c r="H5543" s="98">
        <v>530</v>
      </c>
      <c r="I5543" s="98">
        <v>493</v>
      </c>
      <c r="J5543" s="98" t="s">
        <v>3847</v>
      </c>
      <c r="K5543" s="98" t="s">
        <v>3854</v>
      </c>
      <c r="L5543" s="105" t="str">
        <f t="shared" si="910"/>
        <v>Trimble</v>
      </c>
      <c r="M5543" s="105" t="str">
        <f t="shared" si="911"/>
        <v>Derate</v>
      </c>
      <c r="N5543" s="105" t="str">
        <f t="shared" si="912"/>
        <v>Coal</v>
      </c>
      <c r="O5543" s="105">
        <f>IFERROR(VLOOKUP(A5543,Lookup!$J$5:$P$19,7,FALSE),0)</f>
        <v>3</v>
      </c>
      <c r="P5543" s="159">
        <f t="shared" si="913"/>
        <v>2016</v>
      </c>
      <c r="Q5543" s="159">
        <f t="shared" si="914"/>
        <v>5</v>
      </c>
      <c r="R5543" s="160">
        <f t="shared" si="915"/>
        <v>5.4666666666744277</v>
      </c>
      <c r="S5543" s="158">
        <f t="shared" si="916"/>
        <v>0.15471698113229512</v>
      </c>
      <c r="T5543" s="161">
        <f t="shared" si="917"/>
        <v>76.275471698221494</v>
      </c>
      <c r="U5543" s="158">
        <f t="shared" si="919"/>
        <v>13.952830188679245</v>
      </c>
      <c r="V5543" s="160">
        <f t="shared" si="918"/>
        <v>14</v>
      </c>
    </row>
    <row r="5544" spans="1:22" x14ac:dyDescent="0.25">
      <c r="A5544" s="98" t="s">
        <v>19</v>
      </c>
      <c r="B5544" s="98" t="s">
        <v>17</v>
      </c>
      <c r="C5544" s="98">
        <v>68</v>
      </c>
      <c r="D5544" s="98">
        <v>280</v>
      </c>
      <c r="E5544" s="157">
        <v>42508.629861111112</v>
      </c>
      <c r="F5544" s="157">
        <v>42508.65625</v>
      </c>
      <c r="G5544" s="98">
        <v>400</v>
      </c>
      <c r="H5544" s="98">
        <v>530</v>
      </c>
      <c r="I5544" s="98">
        <v>493</v>
      </c>
      <c r="J5544" s="98" t="s">
        <v>1988</v>
      </c>
      <c r="K5544" s="98" t="s">
        <v>4405</v>
      </c>
      <c r="L5544" s="105" t="str">
        <f t="shared" si="910"/>
        <v>Trimble</v>
      </c>
      <c r="M5544" s="105" t="str">
        <f t="shared" si="911"/>
        <v>Derate</v>
      </c>
      <c r="N5544" s="105" t="str">
        <f t="shared" si="912"/>
        <v>Coal</v>
      </c>
      <c r="O5544" s="105">
        <f>IFERROR(VLOOKUP(A5544,Lookup!$J$5:$P$19,7,FALSE),0)</f>
        <v>3</v>
      </c>
      <c r="P5544" s="159">
        <f t="shared" si="913"/>
        <v>2016</v>
      </c>
      <c r="Q5544" s="159">
        <f t="shared" si="914"/>
        <v>5</v>
      </c>
      <c r="R5544" s="160">
        <f t="shared" si="915"/>
        <v>0.63333333330228925</v>
      </c>
      <c r="S5544" s="158">
        <f t="shared" si="916"/>
        <v>0.15534591194207095</v>
      </c>
      <c r="T5544" s="161">
        <f t="shared" si="917"/>
        <v>76.585534587440975</v>
      </c>
      <c r="U5544" s="158">
        <f t="shared" si="919"/>
        <v>120.9245283018868</v>
      </c>
      <c r="V5544" s="160">
        <f t="shared" si="918"/>
        <v>121</v>
      </c>
    </row>
    <row r="5545" spans="1:22" x14ac:dyDescent="0.25">
      <c r="A5545" s="98" t="s">
        <v>19</v>
      </c>
      <c r="B5545" s="98" t="s">
        <v>17</v>
      </c>
      <c r="C5545" s="98">
        <v>69</v>
      </c>
      <c r="D5545" s="98">
        <v>3836</v>
      </c>
      <c r="E5545" s="157">
        <v>42508.8125</v>
      </c>
      <c r="F5545" s="157">
        <v>42509.225694444445</v>
      </c>
      <c r="G5545" s="98">
        <v>515</v>
      </c>
      <c r="H5545" s="98">
        <v>530</v>
      </c>
      <c r="I5545" s="98">
        <v>493</v>
      </c>
      <c r="J5545" s="98" t="s">
        <v>3847</v>
      </c>
      <c r="K5545" s="98" t="s">
        <v>3854</v>
      </c>
      <c r="L5545" s="105" t="str">
        <f t="shared" si="910"/>
        <v>Trimble</v>
      </c>
      <c r="M5545" s="105" t="str">
        <f t="shared" si="911"/>
        <v>Derate</v>
      </c>
      <c r="N5545" s="105" t="str">
        <f t="shared" si="912"/>
        <v>Coal</v>
      </c>
      <c r="O5545" s="105">
        <f>IFERROR(VLOOKUP(A5545,Lookup!$J$5:$P$19,7,FALSE),0)</f>
        <v>3</v>
      </c>
      <c r="P5545" s="159">
        <f t="shared" si="913"/>
        <v>2016</v>
      </c>
      <c r="Q5545" s="159">
        <f t="shared" si="914"/>
        <v>5</v>
      </c>
      <c r="R5545" s="160">
        <f t="shared" si="915"/>
        <v>9.9166666666860692</v>
      </c>
      <c r="S5545" s="158">
        <f t="shared" si="916"/>
        <v>0.2806603773590397</v>
      </c>
      <c r="T5545" s="161">
        <f t="shared" si="917"/>
        <v>138.36556603800656</v>
      </c>
      <c r="U5545" s="158">
        <f t="shared" si="919"/>
        <v>13.952830188679245</v>
      </c>
      <c r="V5545" s="160">
        <f t="shared" si="918"/>
        <v>14</v>
      </c>
    </row>
    <row r="5546" spans="1:22" x14ac:dyDescent="0.25">
      <c r="A5546" s="98" t="s">
        <v>19</v>
      </c>
      <c r="B5546" s="98" t="s">
        <v>17</v>
      </c>
      <c r="C5546" s="98">
        <v>70</v>
      </c>
      <c r="D5546" s="98">
        <v>280</v>
      </c>
      <c r="E5546" s="157">
        <v>42509.430555555555</v>
      </c>
      <c r="F5546" s="157">
        <v>42509.457638888889</v>
      </c>
      <c r="G5546" s="98">
        <v>400</v>
      </c>
      <c r="H5546" s="98">
        <v>530</v>
      </c>
      <c r="I5546" s="98">
        <v>493</v>
      </c>
      <c r="J5546" s="98" t="s">
        <v>1988</v>
      </c>
      <c r="K5546" s="98" t="s">
        <v>4406</v>
      </c>
      <c r="L5546" s="105" t="str">
        <f t="shared" si="910"/>
        <v>Trimble</v>
      </c>
      <c r="M5546" s="105" t="str">
        <f t="shared" si="911"/>
        <v>Derate</v>
      </c>
      <c r="N5546" s="105" t="str">
        <f t="shared" si="912"/>
        <v>Coal</v>
      </c>
      <c r="O5546" s="105">
        <f>IFERROR(VLOOKUP(A5546,Lookup!$J$5:$P$19,7,FALSE),0)</f>
        <v>3</v>
      </c>
      <c r="P5546" s="159">
        <f t="shared" si="913"/>
        <v>2016</v>
      </c>
      <c r="Q5546" s="159">
        <f t="shared" si="914"/>
        <v>5</v>
      </c>
      <c r="R5546" s="160">
        <f t="shared" si="915"/>
        <v>0.65000000002328306</v>
      </c>
      <c r="S5546" s="158">
        <f t="shared" si="916"/>
        <v>0.1594339622698619</v>
      </c>
      <c r="T5546" s="161">
        <f t="shared" si="917"/>
        <v>78.60094339904191</v>
      </c>
      <c r="U5546" s="158">
        <f t="shared" si="919"/>
        <v>120.9245283018868</v>
      </c>
      <c r="V5546" s="160">
        <f t="shared" si="918"/>
        <v>121</v>
      </c>
    </row>
    <row r="5547" spans="1:22" x14ac:dyDescent="0.25">
      <c r="A5547" s="98" t="s">
        <v>19</v>
      </c>
      <c r="B5547" s="98" t="s">
        <v>17</v>
      </c>
      <c r="C5547" s="98">
        <v>71</v>
      </c>
      <c r="D5547" s="98">
        <v>3836</v>
      </c>
      <c r="E5547" s="157">
        <v>42509.488888888889</v>
      </c>
      <c r="F5547" s="157">
        <v>42510.218055555553</v>
      </c>
      <c r="G5547" s="98">
        <v>515</v>
      </c>
      <c r="H5547" s="98">
        <v>530</v>
      </c>
      <c r="I5547" s="98">
        <v>493</v>
      </c>
      <c r="J5547" s="98" t="s">
        <v>3847</v>
      </c>
      <c r="K5547" s="98" t="s">
        <v>3854</v>
      </c>
      <c r="L5547" s="105" t="str">
        <f t="shared" si="910"/>
        <v>Trimble</v>
      </c>
      <c r="M5547" s="105" t="str">
        <f t="shared" si="911"/>
        <v>Derate</v>
      </c>
      <c r="N5547" s="105" t="str">
        <f t="shared" si="912"/>
        <v>Coal</v>
      </c>
      <c r="O5547" s="105">
        <f>IFERROR(VLOOKUP(A5547,Lookup!$J$5:$P$19,7,FALSE),0)</f>
        <v>3</v>
      </c>
      <c r="P5547" s="159">
        <f t="shared" si="913"/>
        <v>2016</v>
      </c>
      <c r="Q5547" s="159">
        <f t="shared" si="914"/>
        <v>5</v>
      </c>
      <c r="R5547" s="160">
        <f t="shared" si="915"/>
        <v>17.499999999941792</v>
      </c>
      <c r="S5547" s="158">
        <f t="shared" si="916"/>
        <v>0.49528301886627712</v>
      </c>
      <c r="T5547" s="161">
        <f t="shared" si="917"/>
        <v>244.17452830107462</v>
      </c>
      <c r="U5547" s="158">
        <f t="shared" si="919"/>
        <v>13.952830188679245</v>
      </c>
      <c r="V5547" s="160">
        <f t="shared" si="918"/>
        <v>14</v>
      </c>
    </row>
    <row r="5548" spans="1:22" x14ac:dyDescent="0.25">
      <c r="A5548" s="98" t="s">
        <v>19</v>
      </c>
      <c r="B5548" s="98" t="s">
        <v>17</v>
      </c>
      <c r="C5548" s="98">
        <v>72</v>
      </c>
      <c r="D5548" s="98">
        <v>280</v>
      </c>
      <c r="E5548" s="157">
        <v>42517.222916666666</v>
      </c>
      <c r="F5548" s="157">
        <v>42517.238194444442</v>
      </c>
      <c r="G5548" s="98">
        <v>386</v>
      </c>
      <c r="H5548" s="98">
        <v>530</v>
      </c>
      <c r="I5548" s="98">
        <v>493</v>
      </c>
      <c r="J5548" s="98" t="s">
        <v>1988</v>
      </c>
      <c r="K5548" s="98" t="s">
        <v>4407</v>
      </c>
      <c r="L5548" s="105" t="str">
        <f t="shared" si="910"/>
        <v>Trimble</v>
      </c>
      <c r="M5548" s="105" t="str">
        <f t="shared" si="911"/>
        <v>Derate</v>
      </c>
      <c r="N5548" s="105" t="str">
        <f t="shared" si="912"/>
        <v>Coal</v>
      </c>
      <c r="O5548" s="105">
        <f>IFERROR(VLOOKUP(A5548,Lookup!$J$5:$P$19,7,FALSE),0)</f>
        <v>3</v>
      </c>
      <c r="P5548" s="159">
        <f t="shared" si="913"/>
        <v>2016</v>
      </c>
      <c r="Q5548" s="159">
        <f t="shared" si="914"/>
        <v>5</v>
      </c>
      <c r="R5548" s="160">
        <f t="shared" si="915"/>
        <v>0.36666666663950309</v>
      </c>
      <c r="S5548" s="158">
        <f t="shared" si="916"/>
        <v>9.9622641502053674E-2</v>
      </c>
      <c r="T5548" s="161">
        <f t="shared" si="917"/>
        <v>49.113962260512459</v>
      </c>
      <c r="U5548" s="158">
        <f t="shared" si="919"/>
        <v>133.94716981132075</v>
      </c>
      <c r="V5548" s="160">
        <f t="shared" si="918"/>
        <v>134</v>
      </c>
    </row>
    <row r="5549" spans="1:22" x14ac:dyDescent="0.25">
      <c r="A5549" s="98" t="s">
        <v>19</v>
      </c>
      <c r="B5549" s="98" t="s">
        <v>79</v>
      </c>
      <c r="C5549" s="98">
        <v>73</v>
      </c>
      <c r="D5549" s="98">
        <v>9630</v>
      </c>
      <c r="E5549" s="157">
        <v>42529.416666666664</v>
      </c>
      <c r="F5549" s="157">
        <v>42529.475694444445</v>
      </c>
      <c r="G5549" s="98">
        <v>0</v>
      </c>
      <c r="H5549" s="98">
        <v>530</v>
      </c>
      <c r="I5549" s="98">
        <v>493</v>
      </c>
      <c r="J5549" s="98" t="s">
        <v>1967</v>
      </c>
      <c r="K5549" s="98" t="s">
        <v>3856</v>
      </c>
      <c r="L5549" s="105" t="str">
        <f t="shared" si="910"/>
        <v>Trimble</v>
      </c>
      <c r="M5549" s="105" t="str">
        <f t="shared" si="911"/>
        <v>Other</v>
      </c>
      <c r="N5549" s="105" t="str">
        <f t="shared" si="912"/>
        <v>Coal</v>
      </c>
      <c r="O5549" s="105">
        <f>IFERROR(VLOOKUP(A5549,Lookup!$J$5:$P$19,7,FALSE),0)</f>
        <v>3</v>
      </c>
      <c r="P5549" s="159">
        <f t="shared" si="913"/>
        <v>2016</v>
      </c>
      <c r="Q5549" s="159">
        <f t="shared" si="914"/>
        <v>6</v>
      </c>
      <c r="R5549" s="160">
        <f t="shared" si="915"/>
        <v>1.4166666667442769</v>
      </c>
      <c r="S5549" s="158">
        <f t="shared" si="916"/>
        <v>1.4166666667442769</v>
      </c>
      <c r="T5549" s="161">
        <f t="shared" si="917"/>
        <v>698.4166667049285</v>
      </c>
      <c r="U5549" s="158">
        <f t="shared" si="919"/>
        <v>493</v>
      </c>
      <c r="V5549" s="160">
        <f t="shared" si="918"/>
        <v>493</v>
      </c>
    </row>
    <row r="5550" spans="1:22" x14ac:dyDescent="0.25">
      <c r="A5550" s="98" t="s">
        <v>19</v>
      </c>
      <c r="B5550" s="98" t="s">
        <v>15</v>
      </c>
      <c r="C5550" s="98">
        <v>74</v>
      </c>
      <c r="D5550" s="98">
        <v>1471</v>
      </c>
      <c r="E5550" s="157">
        <v>42541.311111111114</v>
      </c>
      <c r="F5550" s="157">
        <v>42542.960416666669</v>
      </c>
      <c r="G5550" s="98">
        <v>0</v>
      </c>
      <c r="H5550" s="98">
        <v>530</v>
      </c>
      <c r="I5550" s="98">
        <v>493</v>
      </c>
      <c r="J5550" s="98" t="s">
        <v>2279</v>
      </c>
      <c r="K5550" s="98" t="s">
        <v>3857</v>
      </c>
      <c r="L5550" s="105" t="str">
        <f t="shared" si="910"/>
        <v>Trimble</v>
      </c>
      <c r="M5550" s="105" t="str">
        <f t="shared" si="911"/>
        <v>Outage</v>
      </c>
      <c r="N5550" s="105" t="str">
        <f t="shared" si="912"/>
        <v>Coal</v>
      </c>
      <c r="O5550" s="105">
        <f>IFERROR(VLOOKUP(A5550,Lookup!$J$5:$P$19,7,FALSE),0)</f>
        <v>3</v>
      </c>
      <c r="P5550" s="159">
        <f t="shared" si="913"/>
        <v>2016</v>
      </c>
      <c r="Q5550" s="159">
        <f t="shared" si="914"/>
        <v>6</v>
      </c>
      <c r="R5550" s="160">
        <f t="shared" si="915"/>
        <v>39.583333333313931</v>
      </c>
      <c r="S5550" s="158">
        <f t="shared" si="916"/>
        <v>39.583333333313931</v>
      </c>
      <c r="T5550" s="161">
        <f t="shared" si="917"/>
        <v>19514.583333323768</v>
      </c>
      <c r="U5550" s="158">
        <f t="shared" si="919"/>
        <v>493</v>
      </c>
      <c r="V5550" s="160">
        <f t="shared" si="918"/>
        <v>493</v>
      </c>
    </row>
    <row r="5551" spans="1:22" x14ac:dyDescent="0.25">
      <c r="A5551" s="98" t="s">
        <v>19</v>
      </c>
      <c r="B5551" s="98" t="s">
        <v>15</v>
      </c>
      <c r="C5551" s="98">
        <v>75</v>
      </c>
      <c r="D5551" s="98">
        <v>1488</v>
      </c>
      <c r="E5551" s="157">
        <v>42547.65902777778</v>
      </c>
      <c r="F5551" s="157">
        <v>42547.871527777781</v>
      </c>
      <c r="G5551" s="98">
        <v>0</v>
      </c>
      <c r="H5551" s="98">
        <v>530</v>
      </c>
      <c r="I5551" s="98">
        <v>493</v>
      </c>
      <c r="J5551" s="98" t="s">
        <v>2284</v>
      </c>
      <c r="K5551" s="98" t="s">
        <v>4408</v>
      </c>
      <c r="L5551" s="105" t="str">
        <f t="shared" si="910"/>
        <v>Trimble</v>
      </c>
      <c r="M5551" s="105" t="str">
        <f t="shared" si="911"/>
        <v>Outage</v>
      </c>
      <c r="N5551" s="105" t="str">
        <f t="shared" si="912"/>
        <v>Coal</v>
      </c>
      <c r="O5551" s="105">
        <f>IFERROR(VLOOKUP(A5551,Lookup!$J$5:$P$19,7,FALSE),0)</f>
        <v>3</v>
      </c>
      <c r="P5551" s="159">
        <f t="shared" si="913"/>
        <v>2016</v>
      </c>
      <c r="Q5551" s="159">
        <f t="shared" si="914"/>
        <v>6</v>
      </c>
      <c r="R5551" s="160">
        <f t="shared" si="915"/>
        <v>5.1000000000349246</v>
      </c>
      <c r="S5551" s="158">
        <f t="shared" si="916"/>
        <v>5.1000000000349246</v>
      </c>
      <c r="T5551" s="161">
        <f t="shared" si="917"/>
        <v>2514.3000000172178</v>
      </c>
      <c r="U5551" s="158">
        <f t="shared" si="919"/>
        <v>493</v>
      </c>
      <c r="V5551" s="160">
        <f t="shared" si="918"/>
        <v>493</v>
      </c>
    </row>
    <row r="5552" spans="1:22" x14ac:dyDescent="0.25">
      <c r="A5552" s="98" t="s">
        <v>19</v>
      </c>
      <c r="B5552" s="98" t="s">
        <v>17</v>
      </c>
      <c r="C5552" s="98">
        <v>76</v>
      </c>
      <c r="D5552" s="98">
        <v>280</v>
      </c>
      <c r="E5552" s="157">
        <v>42555.782638888886</v>
      </c>
      <c r="F5552" s="157">
        <v>42555.814583333333</v>
      </c>
      <c r="G5552" s="98">
        <v>375</v>
      </c>
      <c r="H5552" s="98">
        <v>530</v>
      </c>
      <c r="I5552" s="98">
        <v>493</v>
      </c>
      <c r="J5552" s="98" t="s">
        <v>1988</v>
      </c>
      <c r="K5552" s="98" t="s">
        <v>4409</v>
      </c>
      <c r="L5552" s="105" t="str">
        <f t="shared" si="910"/>
        <v>Trimble</v>
      </c>
      <c r="M5552" s="105" t="str">
        <f t="shared" si="911"/>
        <v>Derate</v>
      </c>
      <c r="N5552" s="105" t="str">
        <f t="shared" si="912"/>
        <v>Coal</v>
      </c>
      <c r="O5552" s="105">
        <f>IFERROR(VLOOKUP(A5552,Lookup!$J$5:$P$19,7,FALSE),0)</f>
        <v>3</v>
      </c>
      <c r="P5552" s="159">
        <f t="shared" si="913"/>
        <v>2016</v>
      </c>
      <c r="Q5552" s="159">
        <f t="shared" si="914"/>
        <v>7</v>
      </c>
      <c r="R5552" s="160">
        <f t="shared" si="915"/>
        <v>0.76666666672099382</v>
      </c>
      <c r="S5552" s="158">
        <f t="shared" si="916"/>
        <v>0.22421383649387555</v>
      </c>
      <c r="T5552" s="161">
        <f t="shared" si="917"/>
        <v>110.53742139148065</v>
      </c>
      <c r="U5552" s="158">
        <f t="shared" si="919"/>
        <v>144.17924528301887</v>
      </c>
      <c r="V5552" s="160">
        <f t="shared" si="918"/>
        <v>144</v>
      </c>
    </row>
    <row r="5553" spans="1:22" x14ac:dyDescent="0.25">
      <c r="A5553" s="98" t="s">
        <v>19</v>
      </c>
      <c r="B5553" s="98" t="s">
        <v>17</v>
      </c>
      <c r="C5553" s="98">
        <v>77</v>
      </c>
      <c r="D5553" s="98">
        <v>894</v>
      </c>
      <c r="E5553" s="157">
        <v>42556.524305555555</v>
      </c>
      <c r="F5553" s="157">
        <v>42556.539583333331</v>
      </c>
      <c r="G5553" s="98">
        <v>485</v>
      </c>
      <c r="H5553" s="98">
        <v>530</v>
      </c>
      <c r="I5553" s="98">
        <v>493</v>
      </c>
      <c r="J5553" s="98" t="s">
        <v>2302</v>
      </c>
      <c r="K5553" s="98" t="s">
        <v>4410</v>
      </c>
      <c r="L5553" s="105" t="str">
        <f t="shared" si="910"/>
        <v>Trimble</v>
      </c>
      <c r="M5553" s="105" t="str">
        <f t="shared" si="911"/>
        <v>Derate</v>
      </c>
      <c r="N5553" s="105" t="str">
        <f t="shared" si="912"/>
        <v>Coal</v>
      </c>
      <c r="O5553" s="105">
        <f>IFERROR(VLOOKUP(A5553,Lookup!$J$5:$P$19,7,FALSE),0)</f>
        <v>3</v>
      </c>
      <c r="P5553" s="159">
        <f t="shared" si="913"/>
        <v>2016</v>
      </c>
      <c r="Q5553" s="159">
        <f t="shared" si="914"/>
        <v>7</v>
      </c>
      <c r="R5553" s="160">
        <f t="shared" si="915"/>
        <v>0.36666666663950309</v>
      </c>
      <c r="S5553" s="158">
        <f t="shared" si="916"/>
        <v>3.1132075469391771E-2</v>
      </c>
      <c r="T5553" s="161">
        <f t="shared" si="917"/>
        <v>15.348113206410144</v>
      </c>
      <c r="U5553" s="158">
        <f t="shared" si="919"/>
        <v>41.858490566037737</v>
      </c>
      <c r="V5553" s="160">
        <f t="shared" si="918"/>
        <v>42</v>
      </c>
    </row>
    <row r="5554" spans="1:22" x14ac:dyDescent="0.25">
      <c r="A5554" s="98" t="s">
        <v>19</v>
      </c>
      <c r="B5554" s="98" t="s">
        <v>17</v>
      </c>
      <c r="C5554" s="98">
        <v>78</v>
      </c>
      <c r="D5554" s="98">
        <v>280</v>
      </c>
      <c r="E5554" s="157">
        <v>42557.736805555556</v>
      </c>
      <c r="F5554" s="157">
        <v>42557.760416666664</v>
      </c>
      <c r="G5554" s="98">
        <v>375</v>
      </c>
      <c r="H5554" s="98">
        <v>530</v>
      </c>
      <c r="I5554" s="98">
        <v>493</v>
      </c>
      <c r="J5554" s="98" t="s">
        <v>1988</v>
      </c>
      <c r="K5554" s="98" t="s">
        <v>4411</v>
      </c>
      <c r="L5554" s="105" t="str">
        <f t="shared" si="910"/>
        <v>Trimble</v>
      </c>
      <c r="M5554" s="105" t="str">
        <f t="shared" si="911"/>
        <v>Derate</v>
      </c>
      <c r="N5554" s="105" t="str">
        <f t="shared" si="912"/>
        <v>Coal</v>
      </c>
      <c r="O5554" s="105">
        <f>IFERROR(VLOOKUP(A5554,Lookup!$J$5:$P$19,7,FALSE),0)</f>
        <v>3</v>
      </c>
      <c r="P5554" s="159">
        <f t="shared" si="913"/>
        <v>2016</v>
      </c>
      <c r="Q5554" s="159">
        <f t="shared" si="914"/>
        <v>7</v>
      </c>
      <c r="R5554" s="160">
        <f t="shared" si="915"/>
        <v>0.56666666659293696</v>
      </c>
      <c r="S5554" s="158">
        <f t="shared" si="916"/>
        <v>0.16572327041868912</v>
      </c>
      <c r="T5554" s="161">
        <f t="shared" si="917"/>
        <v>81.701572316413731</v>
      </c>
      <c r="U5554" s="158">
        <f t="shared" si="919"/>
        <v>144.17924528301887</v>
      </c>
      <c r="V5554" s="160">
        <f t="shared" si="918"/>
        <v>144</v>
      </c>
    </row>
    <row r="5555" spans="1:22" x14ac:dyDescent="0.25">
      <c r="A5555" s="98" t="s">
        <v>19</v>
      </c>
      <c r="B5555" s="98" t="s">
        <v>17</v>
      </c>
      <c r="C5555" s="98">
        <v>79</v>
      </c>
      <c r="D5555" s="98">
        <v>280</v>
      </c>
      <c r="E5555" s="157">
        <v>42558.175000000003</v>
      </c>
      <c r="F5555" s="157">
        <v>42558.195138888892</v>
      </c>
      <c r="G5555" s="98">
        <v>375</v>
      </c>
      <c r="H5555" s="98">
        <v>530</v>
      </c>
      <c r="I5555" s="98">
        <v>493</v>
      </c>
      <c r="J5555" s="98" t="s">
        <v>1988</v>
      </c>
      <c r="K5555" s="98" t="s">
        <v>4412</v>
      </c>
      <c r="L5555" s="105" t="str">
        <f t="shared" si="910"/>
        <v>Trimble</v>
      </c>
      <c r="M5555" s="105" t="str">
        <f t="shared" si="911"/>
        <v>Derate</v>
      </c>
      <c r="N5555" s="105" t="str">
        <f t="shared" si="912"/>
        <v>Coal</v>
      </c>
      <c r="O5555" s="105">
        <f>IFERROR(VLOOKUP(A5555,Lookup!$J$5:$P$19,7,FALSE),0)</f>
        <v>3</v>
      </c>
      <c r="P5555" s="159">
        <f t="shared" si="913"/>
        <v>2016</v>
      </c>
      <c r="Q5555" s="159">
        <f t="shared" si="914"/>
        <v>7</v>
      </c>
      <c r="R5555" s="160">
        <f t="shared" si="915"/>
        <v>0.48333333333721384</v>
      </c>
      <c r="S5555" s="158">
        <f t="shared" si="916"/>
        <v>0.1413522012589965</v>
      </c>
      <c r="T5555" s="161">
        <f t="shared" si="917"/>
        <v>69.686635220685275</v>
      </c>
      <c r="U5555" s="158">
        <f t="shared" si="919"/>
        <v>144.17924528301887</v>
      </c>
      <c r="V5555" s="160">
        <f t="shared" si="918"/>
        <v>144</v>
      </c>
    </row>
    <row r="5556" spans="1:22" x14ac:dyDescent="0.25">
      <c r="A5556" s="98" t="s">
        <v>19</v>
      </c>
      <c r="B5556" s="98" t="s">
        <v>17</v>
      </c>
      <c r="C5556" s="98">
        <v>80</v>
      </c>
      <c r="D5556" s="98">
        <v>280</v>
      </c>
      <c r="E5556" s="157">
        <v>42561.227083333331</v>
      </c>
      <c r="F5556" s="157">
        <v>42561.250694444447</v>
      </c>
      <c r="G5556" s="98">
        <v>375</v>
      </c>
      <c r="H5556" s="98">
        <v>530</v>
      </c>
      <c r="I5556" s="98">
        <v>493</v>
      </c>
      <c r="J5556" s="98" t="s">
        <v>1988</v>
      </c>
      <c r="K5556" s="98" t="s">
        <v>4412</v>
      </c>
      <c r="L5556" s="105" t="str">
        <f t="shared" si="910"/>
        <v>Trimble</v>
      </c>
      <c r="M5556" s="105" t="str">
        <f t="shared" si="911"/>
        <v>Derate</v>
      </c>
      <c r="N5556" s="105" t="str">
        <f t="shared" si="912"/>
        <v>Coal</v>
      </c>
      <c r="O5556" s="105">
        <f>IFERROR(VLOOKUP(A5556,Lookup!$J$5:$P$19,7,FALSE),0)</f>
        <v>3</v>
      </c>
      <c r="P5556" s="159">
        <f t="shared" si="913"/>
        <v>2016</v>
      </c>
      <c r="Q5556" s="159">
        <f t="shared" si="914"/>
        <v>7</v>
      </c>
      <c r="R5556" s="160">
        <f t="shared" si="915"/>
        <v>0.56666666676755995</v>
      </c>
      <c r="S5556" s="158">
        <f t="shared" si="916"/>
        <v>0.1657232704697581</v>
      </c>
      <c r="T5556" s="161">
        <f t="shared" si="917"/>
        <v>81.701572341590747</v>
      </c>
      <c r="U5556" s="158">
        <f t="shared" si="919"/>
        <v>144.17924528301887</v>
      </c>
      <c r="V5556" s="160">
        <f t="shared" si="918"/>
        <v>144</v>
      </c>
    </row>
    <row r="5557" spans="1:22" x14ac:dyDescent="0.25">
      <c r="A5557" s="98" t="s">
        <v>19</v>
      </c>
      <c r="B5557" s="98" t="s">
        <v>17</v>
      </c>
      <c r="C5557" s="98">
        <v>81</v>
      </c>
      <c r="D5557" s="98">
        <v>9271</v>
      </c>
      <c r="E5557" s="157">
        <v>42576.298611111109</v>
      </c>
      <c r="F5557" s="157">
        <v>42576.305555555555</v>
      </c>
      <c r="G5557" s="98">
        <v>452</v>
      </c>
      <c r="H5557" s="98">
        <v>530</v>
      </c>
      <c r="I5557" s="98">
        <v>493</v>
      </c>
      <c r="J5557" s="98" t="s">
        <v>4413</v>
      </c>
      <c r="K5557" s="98" t="s">
        <v>4414</v>
      </c>
      <c r="L5557" s="105" t="str">
        <f t="shared" si="910"/>
        <v>Trimble</v>
      </c>
      <c r="M5557" s="105" t="str">
        <f t="shared" si="911"/>
        <v>Derate</v>
      </c>
      <c r="N5557" s="105" t="str">
        <f t="shared" si="912"/>
        <v>Coal</v>
      </c>
      <c r="O5557" s="105">
        <f>IFERROR(VLOOKUP(A5557,Lookup!$J$5:$P$19,7,FALSE),0)</f>
        <v>3</v>
      </c>
      <c r="P5557" s="159">
        <f t="shared" si="913"/>
        <v>2016</v>
      </c>
      <c r="Q5557" s="159">
        <f t="shared" si="914"/>
        <v>7</v>
      </c>
      <c r="R5557" s="160">
        <f t="shared" si="915"/>
        <v>0.16666666668606922</v>
      </c>
      <c r="S5557" s="158">
        <f t="shared" si="916"/>
        <v>2.4528301889647924E-2</v>
      </c>
      <c r="T5557" s="161">
        <f t="shared" si="917"/>
        <v>12.092452831596427</v>
      </c>
      <c r="U5557" s="158">
        <f t="shared" si="919"/>
        <v>72.554716981132074</v>
      </c>
      <c r="V5557" s="160">
        <f t="shared" si="918"/>
        <v>73</v>
      </c>
    </row>
    <row r="5558" spans="1:22" x14ac:dyDescent="0.25">
      <c r="A5558" s="98" t="s">
        <v>19</v>
      </c>
      <c r="B5558" s="98" t="s">
        <v>17</v>
      </c>
      <c r="C5558" s="98">
        <v>82</v>
      </c>
      <c r="D5558" s="98">
        <v>280</v>
      </c>
      <c r="E5558" s="157">
        <v>42577.927083333336</v>
      </c>
      <c r="F5558" s="157">
        <v>42577.936805555553</v>
      </c>
      <c r="G5558" s="98">
        <v>375</v>
      </c>
      <c r="H5558" s="98">
        <v>530</v>
      </c>
      <c r="I5558" s="98">
        <v>493</v>
      </c>
      <c r="J5558" s="98" t="s">
        <v>1988</v>
      </c>
      <c r="K5558" s="98" t="s">
        <v>4415</v>
      </c>
      <c r="L5558" s="105" t="str">
        <f t="shared" si="910"/>
        <v>Trimble</v>
      </c>
      <c r="M5558" s="105" t="str">
        <f t="shared" si="911"/>
        <v>Derate</v>
      </c>
      <c r="N5558" s="105" t="str">
        <f t="shared" si="912"/>
        <v>Coal</v>
      </c>
      <c r="O5558" s="105">
        <f>IFERROR(VLOOKUP(A5558,Lookup!$J$5:$P$19,7,FALSE),0)</f>
        <v>3</v>
      </c>
      <c r="P5558" s="159">
        <f t="shared" si="913"/>
        <v>2016</v>
      </c>
      <c r="Q5558" s="159">
        <f t="shared" si="914"/>
        <v>7</v>
      </c>
      <c r="R5558" s="160">
        <f t="shared" si="915"/>
        <v>0.23333333322079852</v>
      </c>
      <c r="S5558" s="158">
        <f t="shared" si="916"/>
        <v>6.8238993677780704E-2</v>
      </c>
      <c r="T5558" s="161">
        <f t="shared" si="917"/>
        <v>33.641823883145889</v>
      </c>
      <c r="U5558" s="158">
        <f t="shared" si="919"/>
        <v>144.17924528301887</v>
      </c>
      <c r="V5558" s="160">
        <f t="shared" si="918"/>
        <v>144</v>
      </c>
    </row>
    <row r="5559" spans="1:22" x14ac:dyDescent="0.25">
      <c r="A5559" s="98" t="s">
        <v>19</v>
      </c>
      <c r="B5559" s="98" t="s">
        <v>17</v>
      </c>
      <c r="C5559" s="98">
        <v>83</v>
      </c>
      <c r="D5559" s="98">
        <v>4292</v>
      </c>
      <c r="E5559" s="157">
        <v>42593.422222222223</v>
      </c>
      <c r="F5559" s="157">
        <v>42593.454861111109</v>
      </c>
      <c r="G5559" s="98">
        <v>490</v>
      </c>
      <c r="H5559" s="98">
        <v>530</v>
      </c>
      <c r="I5559" s="98">
        <v>493</v>
      </c>
      <c r="J5559" s="98" t="s">
        <v>2495</v>
      </c>
      <c r="K5559" s="98" t="s">
        <v>4416</v>
      </c>
      <c r="L5559" s="105" t="str">
        <f t="shared" si="910"/>
        <v>Trimble</v>
      </c>
      <c r="M5559" s="105" t="str">
        <f t="shared" si="911"/>
        <v>Derate</v>
      </c>
      <c r="N5559" s="105" t="str">
        <f t="shared" si="912"/>
        <v>Coal</v>
      </c>
      <c r="O5559" s="105">
        <f>IFERROR(VLOOKUP(A5559,Lookup!$J$5:$P$19,7,FALSE),0)</f>
        <v>3</v>
      </c>
      <c r="P5559" s="159">
        <f t="shared" si="913"/>
        <v>2016</v>
      </c>
      <c r="Q5559" s="159">
        <f t="shared" si="914"/>
        <v>8</v>
      </c>
      <c r="R5559" s="160">
        <f t="shared" si="915"/>
        <v>0.78333333326736465</v>
      </c>
      <c r="S5559" s="158">
        <f t="shared" si="916"/>
        <v>5.9119496850367145E-2</v>
      </c>
      <c r="T5559" s="161">
        <f t="shared" si="917"/>
        <v>29.145911947231003</v>
      </c>
      <c r="U5559" s="158">
        <f t="shared" si="919"/>
        <v>37.20754716981132</v>
      </c>
      <c r="V5559" s="160">
        <f t="shared" si="918"/>
        <v>37</v>
      </c>
    </row>
    <row r="5560" spans="1:22" x14ac:dyDescent="0.25">
      <c r="A5560" s="98" t="s">
        <v>19</v>
      </c>
      <c r="B5560" s="98" t="s">
        <v>17</v>
      </c>
      <c r="C5560" s="98">
        <v>84</v>
      </c>
      <c r="D5560" s="98">
        <v>4292</v>
      </c>
      <c r="E5560" s="157">
        <v>42593.5625</v>
      </c>
      <c r="F5560" s="157">
        <v>42593.70208333333</v>
      </c>
      <c r="G5560" s="98">
        <v>360</v>
      </c>
      <c r="H5560" s="98">
        <v>530</v>
      </c>
      <c r="I5560" s="98">
        <v>493</v>
      </c>
      <c r="J5560" s="98" t="s">
        <v>2495</v>
      </c>
      <c r="K5560" s="98" t="s">
        <v>4417</v>
      </c>
      <c r="L5560" s="105" t="str">
        <f t="shared" si="910"/>
        <v>Trimble</v>
      </c>
      <c r="M5560" s="105" t="str">
        <f t="shared" si="911"/>
        <v>Derate</v>
      </c>
      <c r="N5560" s="105" t="str">
        <f t="shared" si="912"/>
        <v>Coal</v>
      </c>
      <c r="O5560" s="105">
        <f>IFERROR(VLOOKUP(A5560,Lookup!$J$5:$P$19,7,FALSE),0)</f>
        <v>3</v>
      </c>
      <c r="P5560" s="159">
        <f t="shared" si="913"/>
        <v>2016</v>
      </c>
      <c r="Q5560" s="159">
        <f t="shared" si="914"/>
        <v>8</v>
      </c>
      <c r="R5560" s="160">
        <f t="shared" si="915"/>
        <v>3.3499999999185093</v>
      </c>
      <c r="S5560" s="158">
        <f t="shared" si="916"/>
        <v>1.074528301860654</v>
      </c>
      <c r="T5560" s="161">
        <f t="shared" si="917"/>
        <v>529.74245281730236</v>
      </c>
      <c r="U5560" s="158">
        <f t="shared" si="919"/>
        <v>158.1320754716981</v>
      </c>
      <c r="V5560" s="160">
        <f t="shared" si="918"/>
        <v>158</v>
      </c>
    </row>
    <row r="5561" spans="1:22" x14ac:dyDescent="0.25">
      <c r="A5561" s="98" t="s">
        <v>19</v>
      </c>
      <c r="B5561" s="98" t="s">
        <v>17</v>
      </c>
      <c r="C5561" s="98">
        <v>85</v>
      </c>
      <c r="D5561" s="98">
        <v>1475</v>
      </c>
      <c r="E5561" s="157">
        <v>42603.48541666667</v>
      </c>
      <c r="F5561" s="157">
        <v>42603.570138888892</v>
      </c>
      <c r="G5561" s="98">
        <v>465</v>
      </c>
      <c r="H5561" s="98">
        <v>530</v>
      </c>
      <c r="I5561" s="98">
        <v>493</v>
      </c>
      <c r="J5561" s="98" t="s">
        <v>1989</v>
      </c>
      <c r="K5561" s="98" t="s">
        <v>4418</v>
      </c>
      <c r="L5561" s="105" t="str">
        <f t="shared" si="910"/>
        <v>Trimble</v>
      </c>
      <c r="M5561" s="105" t="str">
        <f t="shared" si="911"/>
        <v>Derate</v>
      </c>
      <c r="N5561" s="105" t="str">
        <f t="shared" si="912"/>
        <v>Coal</v>
      </c>
      <c r="O5561" s="105">
        <f>IFERROR(VLOOKUP(A5561,Lookup!$J$5:$P$19,7,FALSE),0)</f>
        <v>3</v>
      </c>
      <c r="P5561" s="159">
        <f t="shared" si="913"/>
        <v>2016</v>
      </c>
      <c r="Q5561" s="159">
        <f t="shared" si="914"/>
        <v>8</v>
      </c>
      <c r="R5561" s="160">
        <f t="shared" si="915"/>
        <v>2.0333333333255723</v>
      </c>
      <c r="S5561" s="158">
        <f t="shared" si="916"/>
        <v>0.24937106918143812</v>
      </c>
      <c r="T5561" s="161">
        <f t="shared" si="917"/>
        <v>122.93993710644899</v>
      </c>
      <c r="U5561" s="158">
        <f t="shared" si="919"/>
        <v>60.462264150943398</v>
      </c>
      <c r="V5561" s="160">
        <f t="shared" si="918"/>
        <v>60</v>
      </c>
    </row>
    <row r="5562" spans="1:22" x14ac:dyDescent="0.25">
      <c r="A5562" s="98" t="s">
        <v>19</v>
      </c>
      <c r="B5562" s="98" t="s">
        <v>79</v>
      </c>
      <c r="C5562" s="98">
        <v>86</v>
      </c>
      <c r="D5562" s="98">
        <v>9999</v>
      </c>
      <c r="E5562" s="157">
        <v>42606.375</v>
      </c>
      <c r="F5562" s="157">
        <v>42606.597222222219</v>
      </c>
      <c r="G5562" s="98">
        <v>0</v>
      </c>
      <c r="H5562" s="98">
        <v>530</v>
      </c>
      <c r="I5562" s="98">
        <v>493</v>
      </c>
      <c r="J5562" s="98" t="s">
        <v>2261</v>
      </c>
      <c r="K5562" s="98" t="s">
        <v>4419</v>
      </c>
      <c r="L5562" s="105" t="str">
        <f t="shared" si="910"/>
        <v>Trimble</v>
      </c>
      <c r="M5562" s="105" t="str">
        <f t="shared" si="911"/>
        <v>Other</v>
      </c>
      <c r="N5562" s="105" t="str">
        <f t="shared" si="912"/>
        <v>Coal</v>
      </c>
      <c r="O5562" s="105">
        <f>IFERROR(VLOOKUP(A5562,Lookup!$J$5:$P$19,7,FALSE),0)</f>
        <v>3</v>
      </c>
      <c r="P5562" s="159">
        <f t="shared" si="913"/>
        <v>2016</v>
      </c>
      <c r="Q5562" s="159">
        <f t="shared" si="914"/>
        <v>8</v>
      </c>
      <c r="R5562" s="160">
        <f t="shared" si="915"/>
        <v>5.3333333332557231</v>
      </c>
      <c r="S5562" s="158">
        <f t="shared" si="916"/>
        <v>5.3333333332557231</v>
      </c>
      <c r="T5562" s="161">
        <f t="shared" si="917"/>
        <v>2629.3333332950715</v>
      </c>
      <c r="U5562" s="158">
        <f t="shared" si="919"/>
        <v>493</v>
      </c>
      <c r="V5562" s="160">
        <f t="shared" si="918"/>
        <v>493</v>
      </c>
    </row>
    <row r="5563" spans="1:22" x14ac:dyDescent="0.25">
      <c r="A5563" s="98" t="s">
        <v>19</v>
      </c>
      <c r="B5563" s="98" t="s">
        <v>15</v>
      </c>
      <c r="C5563" s="98">
        <v>87</v>
      </c>
      <c r="D5563" s="98">
        <v>3681</v>
      </c>
      <c r="E5563" s="162">
        <v>42614.943055555559</v>
      </c>
      <c r="F5563" s="157">
        <v>42615.272222222222</v>
      </c>
      <c r="G5563" s="98">
        <v>0</v>
      </c>
      <c r="H5563" s="98">
        <v>530</v>
      </c>
      <c r="I5563" s="98">
        <v>493</v>
      </c>
      <c r="J5563" s="98" t="s">
        <v>2309</v>
      </c>
      <c r="K5563" s="98" t="s">
        <v>4420</v>
      </c>
      <c r="L5563" s="105" t="str">
        <f t="shared" si="910"/>
        <v>Trimble</v>
      </c>
      <c r="M5563" s="105" t="str">
        <f t="shared" si="911"/>
        <v>Outage</v>
      </c>
      <c r="N5563" s="105" t="str">
        <f t="shared" si="912"/>
        <v>Coal</v>
      </c>
      <c r="O5563" s="105">
        <f>IFERROR(VLOOKUP(A5563,Lookup!$J$5:$P$19,7,FALSE),0)</f>
        <v>3</v>
      </c>
      <c r="P5563" s="159">
        <f t="shared" si="913"/>
        <v>2016</v>
      </c>
      <c r="Q5563" s="159">
        <f t="shared" si="914"/>
        <v>9</v>
      </c>
      <c r="R5563" s="160">
        <f t="shared" si="915"/>
        <v>7.8999999999068677</v>
      </c>
      <c r="S5563" s="158">
        <f t="shared" si="916"/>
        <v>7.8999999999068677</v>
      </c>
      <c r="T5563" s="161">
        <f t="shared" si="917"/>
        <v>3894.6999999540858</v>
      </c>
      <c r="U5563" s="158">
        <f t="shared" si="919"/>
        <v>493</v>
      </c>
      <c r="V5563" s="160">
        <f t="shared" si="918"/>
        <v>493</v>
      </c>
    </row>
    <row r="5564" spans="1:22" x14ac:dyDescent="0.25">
      <c r="A5564" s="98" t="s">
        <v>19</v>
      </c>
      <c r="B5564" s="98" t="s">
        <v>17</v>
      </c>
      <c r="C5564" s="98">
        <v>88</v>
      </c>
      <c r="D5564" s="98">
        <v>335</v>
      </c>
      <c r="E5564" s="157">
        <v>42620.209722222222</v>
      </c>
      <c r="F5564" s="157">
        <v>42620.229861111111</v>
      </c>
      <c r="G5564" s="98">
        <v>449</v>
      </c>
      <c r="H5564" s="98">
        <v>530</v>
      </c>
      <c r="I5564" s="98">
        <v>493</v>
      </c>
      <c r="J5564" s="98" t="s">
        <v>2131</v>
      </c>
      <c r="K5564" s="98" t="s">
        <v>4421</v>
      </c>
      <c r="L5564" s="105" t="str">
        <f t="shared" si="910"/>
        <v>Trimble</v>
      </c>
      <c r="M5564" s="105" t="str">
        <f t="shared" si="911"/>
        <v>Derate</v>
      </c>
      <c r="N5564" s="105" t="str">
        <f t="shared" si="912"/>
        <v>Coal</v>
      </c>
      <c r="O5564" s="105">
        <f>IFERROR(VLOOKUP(A5564,Lookup!$J$5:$P$19,7,FALSE),0)</f>
        <v>3</v>
      </c>
      <c r="P5564" s="159">
        <f t="shared" si="913"/>
        <v>2016</v>
      </c>
      <c r="Q5564" s="159">
        <f t="shared" si="914"/>
        <v>9</v>
      </c>
      <c r="R5564" s="160">
        <f t="shared" si="915"/>
        <v>0.48333333333721384</v>
      </c>
      <c r="S5564" s="158">
        <f t="shared" si="916"/>
        <v>7.3867924528894943E-2</v>
      </c>
      <c r="T5564" s="161">
        <f t="shared" si="917"/>
        <v>36.41688679274521</v>
      </c>
      <c r="U5564" s="158">
        <f t="shared" si="919"/>
        <v>75.345283018867931</v>
      </c>
      <c r="V5564" s="160">
        <f t="shared" si="918"/>
        <v>75</v>
      </c>
    </row>
    <row r="5565" spans="1:22" x14ac:dyDescent="0.25">
      <c r="A5565" s="98" t="s">
        <v>19</v>
      </c>
      <c r="B5565" s="98" t="s">
        <v>15</v>
      </c>
      <c r="C5565" s="98">
        <v>89</v>
      </c>
      <c r="D5565" s="98">
        <v>3681</v>
      </c>
      <c r="E5565" s="157">
        <v>42620.680555555555</v>
      </c>
      <c r="F5565" s="157">
        <v>42620.831944444442</v>
      </c>
      <c r="G5565" s="98">
        <v>0</v>
      </c>
      <c r="H5565" s="98">
        <v>530</v>
      </c>
      <c r="I5565" s="98">
        <v>493</v>
      </c>
      <c r="J5565" s="98" t="s">
        <v>2309</v>
      </c>
      <c r="K5565" s="98" t="s">
        <v>4420</v>
      </c>
      <c r="L5565" s="105" t="str">
        <f t="shared" si="910"/>
        <v>Trimble</v>
      </c>
      <c r="M5565" s="105" t="str">
        <f t="shared" si="911"/>
        <v>Outage</v>
      </c>
      <c r="N5565" s="105" t="str">
        <f t="shared" si="912"/>
        <v>Coal</v>
      </c>
      <c r="O5565" s="105">
        <f>IFERROR(VLOOKUP(A5565,Lookup!$J$5:$P$19,7,FALSE),0)</f>
        <v>3</v>
      </c>
      <c r="P5565" s="159">
        <f t="shared" si="913"/>
        <v>2016</v>
      </c>
      <c r="Q5565" s="159">
        <f t="shared" si="914"/>
        <v>9</v>
      </c>
      <c r="R5565" s="160">
        <f t="shared" si="915"/>
        <v>3.6333333333022892</v>
      </c>
      <c r="S5565" s="158">
        <f t="shared" si="916"/>
        <v>3.6333333333022892</v>
      </c>
      <c r="T5565" s="161">
        <f t="shared" si="917"/>
        <v>1791.2333333180286</v>
      </c>
      <c r="U5565" s="158">
        <f t="shared" si="919"/>
        <v>493</v>
      </c>
      <c r="V5565" s="160">
        <f t="shared" si="918"/>
        <v>493</v>
      </c>
    </row>
    <row r="5566" spans="1:22" x14ac:dyDescent="0.25">
      <c r="A5566" s="98" t="s">
        <v>19</v>
      </c>
      <c r="B5566" s="98" t="s">
        <v>17</v>
      </c>
      <c r="C5566" s="98">
        <v>90</v>
      </c>
      <c r="D5566" s="98">
        <v>280</v>
      </c>
      <c r="E5566" s="157">
        <v>42622.447916666664</v>
      </c>
      <c r="F5566" s="157">
        <v>42622.459027777775</v>
      </c>
      <c r="G5566" s="98">
        <v>415</v>
      </c>
      <c r="H5566" s="98">
        <v>530</v>
      </c>
      <c r="I5566" s="98">
        <v>493</v>
      </c>
      <c r="J5566" s="98" t="s">
        <v>1988</v>
      </c>
      <c r="K5566" s="98" t="s">
        <v>4422</v>
      </c>
      <c r="L5566" s="105" t="str">
        <f t="shared" si="910"/>
        <v>Trimble</v>
      </c>
      <c r="M5566" s="105" t="str">
        <f t="shared" si="911"/>
        <v>Derate</v>
      </c>
      <c r="N5566" s="105" t="str">
        <f t="shared" si="912"/>
        <v>Coal</v>
      </c>
      <c r="O5566" s="105">
        <f>IFERROR(VLOOKUP(A5566,Lookup!$J$5:$P$19,7,FALSE),0)</f>
        <v>3</v>
      </c>
      <c r="P5566" s="159">
        <f t="shared" si="913"/>
        <v>2016</v>
      </c>
      <c r="Q5566" s="159">
        <f t="shared" si="914"/>
        <v>9</v>
      </c>
      <c r="R5566" s="160">
        <f t="shared" si="915"/>
        <v>0.26666666666278616</v>
      </c>
      <c r="S5566" s="158">
        <f t="shared" si="916"/>
        <v>5.7861635219283787E-2</v>
      </c>
      <c r="T5566" s="161">
        <f t="shared" si="917"/>
        <v>28.525786163106908</v>
      </c>
      <c r="U5566" s="158">
        <f t="shared" si="919"/>
        <v>106.97169811320755</v>
      </c>
      <c r="V5566" s="160">
        <f t="shared" si="918"/>
        <v>107</v>
      </c>
    </row>
    <row r="5567" spans="1:22" x14ac:dyDescent="0.25">
      <c r="A5567" s="98" t="s">
        <v>19</v>
      </c>
      <c r="B5567" s="98" t="s">
        <v>17</v>
      </c>
      <c r="C5567" s="98">
        <v>91</v>
      </c>
      <c r="D5567" s="98">
        <v>325</v>
      </c>
      <c r="E5567" s="157">
        <v>42625.283333333333</v>
      </c>
      <c r="F5567" s="157">
        <v>42625.303472222222</v>
      </c>
      <c r="G5567" s="98">
        <v>380</v>
      </c>
      <c r="H5567" s="98">
        <v>530</v>
      </c>
      <c r="I5567" s="98">
        <v>493</v>
      </c>
      <c r="J5567" s="98" t="s">
        <v>2102</v>
      </c>
      <c r="K5567" s="98" t="s">
        <v>4423</v>
      </c>
      <c r="L5567" s="105" t="str">
        <f t="shared" si="910"/>
        <v>Trimble</v>
      </c>
      <c r="M5567" s="105" t="str">
        <f t="shared" si="911"/>
        <v>Derate</v>
      </c>
      <c r="N5567" s="105" t="str">
        <f t="shared" si="912"/>
        <v>Coal</v>
      </c>
      <c r="O5567" s="105">
        <f>IFERROR(VLOOKUP(A5567,Lookup!$J$5:$P$19,7,FALSE),0)</f>
        <v>3</v>
      </c>
      <c r="P5567" s="159">
        <f t="shared" si="913"/>
        <v>2016</v>
      </c>
      <c r="Q5567" s="159">
        <f t="shared" si="914"/>
        <v>9</v>
      </c>
      <c r="R5567" s="160">
        <f t="shared" si="915"/>
        <v>0.48333333333721384</v>
      </c>
      <c r="S5567" s="158">
        <f t="shared" si="916"/>
        <v>0.13679245283128694</v>
      </c>
      <c r="T5567" s="161">
        <f t="shared" si="917"/>
        <v>67.43867924582446</v>
      </c>
      <c r="U5567" s="158">
        <f t="shared" si="919"/>
        <v>139.52830188679246</v>
      </c>
      <c r="V5567" s="160">
        <f t="shared" si="918"/>
        <v>140</v>
      </c>
    </row>
    <row r="5568" spans="1:22" x14ac:dyDescent="0.25">
      <c r="A5568" s="98" t="s">
        <v>19</v>
      </c>
      <c r="B5568" s="98" t="s">
        <v>17</v>
      </c>
      <c r="C5568" s="98">
        <v>92</v>
      </c>
      <c r="D5568" s="98">
        <v>280</v>
      </c>
      <c r="E5568" s="157">
        <v>42625.359722222223</v>
      </c>
      <c r="F5568" s="157">
        <v>42625.679166666669</v>
      </c>
      <c r="G5568" s="98">
        <v>375</v>
      </c>
      <c r="H5568" s="98">
        <v>530</v>
      </c>
      <c r="I5568" s="98">
        <v>493</v>
      </c>
      <c r="J5568" s="98" t="s">
        <v>1988</v>
      </c>
      <c r="K5568" s="98" t="s">
        <v>4424</v>
      </c>
      <c r="L5568" s="105" t="str">
        <f t="shared" si="910"/>
        <v>Trimble</v>
      </c>
      <c r="M5568" s="105" t="str">
        <f t="shared" si="911"/>
        <v>Derate</v>
      </c>
      <c r="N5568" s="105" t="str">
        <f t="shared" si="912"/>
        <v>Coal</v>
      </c>
      <c r="O5568" s="105">
        <f>IFERROR(VLOOKUP(A5568,Lookup!$J$5:$P$19,7,FALSE),0)</f>
        <v>3</v>
      </c>
      <c r="P5568" s="159">
        <f t="shared" si="913"/>
        <v>2016</v>
      </c>
      <c r="Q5568" s="159">
        <f t="shared" si="914"/>
        <v>9</v>
      </c>
      <c r="R5568" s="160">
        <f t="shared" si="915"/>
        <v>7.6666666666860692</v>
      </c>
      <c r="S5568" s="158">
        <f t="shared" si="916"/>
        <v>2.2421383647855486</v>
      </c>
      <c r="T5568" s="161">
        <f t="shared" si="917"/>
        <v>1105.3742138392754</v>
      </c>
      <c r="U5568" s="158">
        <f t="shared" si="919"/>
        <v>144.17924528301887</v>
      </c>
      <c r="V5568" s="160">
        <f t="shared" si="918"/>
        <v>144</v>
      </c>
    </row>
    <row r="5569" spans="1:22" x14ac:dyDescent="0.25">
      <c r="A5569" s="98" t="s">
        <v>19</v>
      </c>
      <c r="B5569" s="98" t="s">
        <v>15</v>
      </c>
      <c r="C5569" s="98">
        <v>93</v>
      </c>
      <c r="D5569" s="98">
        <v>1475</v>
      </c>
      <c r="E5569" s="157">
        <v>42627.453472222223</v>
      </c>
      <c r="F5569" s="157">
        <v>42627.527083333334</v>
      </c>
      <c r="G5569" s="98">
        <v>0</v>
      </c>
      <c r="H5569" s="98">
        <v>530</v>
      </c>
      <c r="I5569" s="98">
        <v>493</v>
      </c>
      <c r="J5569" s="98" t="s">
        <v>1989</v>
      </c>
      <c r="K5569" s="98" t="s">
        <v>4425</v>
      </c>
      <c r="L5569" s="105" t="str">
        <f t="shared" si="910"/>
        <v>Trimble</v>
      </c>
      <c r="M5569" s="105" t="str">
        <f t="shared" si="911"/>
        <v>Outage</v>
      </c>
      <c r="N5569" s="105" t="str">
        <f t="shared" si="912"/>
        <v>Coal</v>
      </c>
      <c r="O5569" s="105">
        <f>IFERROR(VLOOKUP(A5569,Lookup!$J$5:$P$19,7,FALSE),0)</f>
        <v>3</v>
      </c>
      <c r="P5569" s="159">
        <f t="shared" si="913"/>
        <v>2016</v>
      </c>
      <c r="Q5569" s="159">
        <f t="shared" si="914"/>
        <v>9</v>
      </c>
      <c r="R5569" s="160">
        <f t="shared" si="915"/>
        <v>1.7666666666627862</v>
      </c>
      <c r="S5569" s="158">
        <f t="shared" si="916"/>
        <v>1.7666666666627862</v>
      </c>
      <c r="T5569" s="161">
        <f t="shared" si="917"/>
        <v>870.96666666475357</v>
      </c>
      <c r="U5569" s="158">
        <f t="shared" si="919"/>
        <v>493</v>
      </c>
      <c r="V5569" s="160">
        <f t="shared" si="918"/>
        <v>493</v>
      </c>
    </row>
    <row r="5570" spans="1:22" x14ac:dyDescent="0.25">
      <c r="A5570" s="98" t="s">
        <v>19</v>
      </c>
      <c r="B5570" s="98" t="s">
        <v>79</v>
      </c>
      <c r="C5570" s="98">
        <v>94</v>
      </c>
      <c r="D5570" s="98">
        <v>9999</v>
      </c>
      <c r="E5570" s="157">
        <v>42628.791666666664</v>
      </c>
      <c r="F5570" s="157">
        <v>42628.958333333336</v>
      </c>
      <c r="G5570" s="98">
        <v>0</v>
      </c>
      <c r="H5570" s="98">
        <v>530</v>
      </c>
      <c r="I5570" s="98">
        <v>493</v>
      </c>
      <c r="J5570" s="98" t="s">
        <v>2261</v>
      </c>
      <c r="K5570" s="98" t="s">
        <v>4426</v>
      </c>
      <c r="L5570" s="105" t="str">
        <f t="shared" si="910"/>
        <v>Trimble</v>
      </c>
      <c r="M5570" s="105" t="str">
        <f t="shared" si="911"/>
        <v>Other</v>
      </c>
      <c r="N5570" s="105" t="str">
        <f t="shared" si="912"/>
        <v>Coal</v>
      </c>
      <c r="O5570" s="105">
        <f>IFERROR(VLOOKUP(A5570,Lookup!$J$5:$P$19,7,FALSE),0)</f>
        <v>3</v>
      </c>
      <c r="P5570" s="159">
        <f t="shared" si="913"/>
        <v>2016</v>
      </c>
      <c r="Q5570" s="159">
        <f t="shared" si="914"/>
        <v>9</v>
      </c>
      <c r="R5570" s="160">
        <f t="shared" si="915"/>
        <v>4.0000000001164153</v>
      </c>
      <c r="S5570" s="158">
        <f t="shared" si="916"/>
        <v>4.0000000001164153</v>
      </c>
      <c r="T5570" s="161">
        <f t="shared" si="917"/>
        <v>1972.0000000573928</v>
      </c>
      <c r="U5570" s="158">
        <f t="shared" si="919"/>
        <v>493</v>
      </c>
      <c r="V5570" s="160">
        <f t="shared" si="918"/>
        <v>493</v>
      </c>
    </row>
    <row r="5571" spans="1:22" x14ac:dyDescent="0.25">
      <c r="A5571" s="98" t="s">
        <v>19</v>
      </c>
      <c r="B5571" s="98" t="s">
        <v>32</v>
      </c>
      <c r="C5571" s="98">
        <v>95</v>
      </c>
      <c r="D5571" s="98">
        <v>9999</v>
      </c>
      <c r="E5571" s="157">
        <v>42628.958333333336</v>
      </c>
      <c r="F5571" s="157">
        <v>42629</v>
      </c>
      <c r="G5571" s="98">
        <v>477</v>
      </c>
      <c r="H5571" s="98">
        <v>530</v>
      </c>
      <c r="I5571" s="98">
        <v>493</v>
      </c>
      <c r="J5571" s="98" t="s">
        <v>2261</v>
      </c>
      <c r="K5571" s="98" t="s">
        <v>4427</v>
      </c>
      <c r="L5571" s="105" t="str">
        <f t="shared" si="910"/>
        <v>Trimble</v>
      </c>
      <c r="M5571" s="105" t="str">
        <f t="shared" si="911"/>
        <v>Derate</v>
      </c>
      <c r="N5571" s="105" t="str">
        <f t="shared" si="912"/>
        <v>Coal</v>
      </c>
      <c r="O5571" s="105">
        <f>IFERROR(VLOOKUP(A5571,Lookup!$J$5:$P$19,7,FALSE),0)</f>
        <v>3</v>
      </c>
      <c r="P5571" s="159">
        <f t="shared" si="913"/>
        <v>2016</v>
      </c>
      <c r="Q5571" s="159">
        <f t="shared" si="914"/>
        <v>9</v>
      </c>
      <c r="R5571" s="160">
        <f t="shared" si="915"/>
        <v>0.99999999994179234</v>
      </c>
      <c r="S5571" s="158">
        <f t="shared" si="916"/>
        <v>9.9999999994179231E-2</v>
      </c>
      <c r="T5571" s="161">
        <f t="shared" si="917"/>
        <v>49.299999997130364</v>
      </c>
      <c r="U5571" s="158">
        <f t="shared" si="919"/>
        <v>49.3</v>
      </c>
      <c r="V5571" s="160">
        <f t="shared" si="918"/>
        <v>49</v>
      </c>
    </row>
    <row r="5572" spans="1:22" x14ac:dyDescent="0.25">
      <c r="A5572" s="98" t="s">
        <v>19</v>
      </c>
      <c r="B5572" s="98" t="s">
        <v>32</v>
      </c>
      <c r="C5572" s="98">
        <v>96</v>
      </c>
      <c r="D5572" s="98">
        <v>9999</v>
      </c>
      <c r="E5572" s="157">
        <v>42629</v>
      </c>
      <c r="F5572" s="157">
        <v>42629.041666666664</v>
      </c>
      <c r="G5572" s="98">
        <v>452</v>
      </c>
      <c r="H5572" s="98">
        <v>530</v>
      </c>
      <c r="I5572" s="98">
        <v>493</v>
      </c>
      <c r="J5572" s="98" t="s">
        <v>2261</v>
      </c>
      <c r="K5572" s="98" t="s">
        <v>4427</v>
      </c>
      <c r="L5572" s="105" t="str">
        <f t="shared" ref="L5572:L5635" si="920">IF(OR(A5572="BR1",A5572="BR2",A5572="BR3",A5572="BR5",A5572="BR6",A5572="BR7",A5572="BR8",A5572="BR9",A5572="BR10",A5572="BR11"),"Brown",IF(OR(A5572="CR4",A5572="CR5",A5572="CR6",A5572="CR11"),"Cane Run",IF(OR(A5572="GH1",A5572="GH2",A5572="GH3",A5572="GH4"),"Ghent",IF(OR(A5572="GR3",A5572="GR4"),"Green River",IF(OR(A5572="MC1",A5572="MC2",A5572="MC3",A5572="MC4"),"Mill Creek",IF(OR(A5572="TC1",A5572="TC2",A5572="TC5",A5572="TC6",A5572="TC7",A5572="TC8",A5572="TC9",A5572="TC10"),"Trimble",IF(A5572="TY3","Tyrone",IF(OR(A5572="HA1",A5572="HA2",A5572="HA3"),"Haeflin",IF(OR(A5572="PR11",A5572="PR12",A5572="PR13"),"Paddy's Run","Zorn")))))))))</f>
        <v>Trimble</v>
      </c>
      <c r="M5572" s="105" t="str">
        <f t="shared" ref="M5572:M5635" si="921">IF(OR(B5572="D1",B5572="D2",B5572="D3",B5572="D4",B5572="PD"),"Derate",IF(OR(B5572="SF",B5572="U1",B5572="U2",B5572="U3"),"Outage",IF(OR(B5572="ME",B5572="MO"),"Maintenance","Other")))</f>
        <v>Derate</v>
      </c>
      <c r="N5572" s="105" t="str">
        <f t="shared" ref="N5572:N5635" si="922">IF(OR(A5572="BR1",A5572="BR2",A5572="BR3",A5572="CR4",A5572="CR5",A5572="CR6",A5572="GH1",A5572="GH2",A5572="GH3",A5572="GH4",A5572="GR3",A5572="GR4",A5572="MC1",A5572="MC2",A5572="MC3",A5572="MC4",A5572="TC1",A5572="TC2",A5572="TY3"),"Coal","Gas")</f>
        <v>Coal</v>
      </c>
      <c r="O5572" s="105">
        <f>IFERROR(VLOOKUP(A5572,Lookup!$J$5:$P$19,7,FALSE),0)</f>
        <v>3</v>
      </c>
      <c r="P5572" s="159">
        <f t="shared" ref="P5572:P5635" si="923">YEAR(E5572)</f>
        <v>2016</v>
      </c>
      <c r="Q5572" s="159">
        <f t="shared" ref="Q5572:Q5635" si="924">MONTH(E5572)</f>
        <v>9</v>
      </c>
      <c r="R5572" s="160">
        <f t="shared" ref="R5572:R5635" si="925">(F5572-E5572)*24</f>
        <v>0.99999999994179234</v>
      </c>
      <c r="S5572" s="158">
        <f t="shared" ref="S5572:S5635" si="926">R5572*(H5572-G5572)/H5572</f>
        <v>0.14716981131218831</v>
      </c>
      <c r="T5572" s="161">
        <f t="shared" ref="T5572:T5635" si="927">S5572*I5572</f>
        <v>72.554716976908836</v>
      </c>
      <c r="U5572" s="158">
        <f t="shared" si="919"/>
        <v>72.554716981132074</v>
      </c>
      <c r="V5572" s="160">
        <f t="shared" ref="V5572:V5635" si="928">ROUND(U5572,0)</f>
        <v>73</v>
      </c>
    </row>
    <row r="5573" spans="1:22" x14ac:dyDescent="0.25">
      <c r="A5573" s="98" t="s">
        <v>19</v>
      </c>
      <c r="B5573" s="98" t="s">
        <v>32</v>
      </c>
      <c r="C5573" s="98">
        <v>97</v>
      </c>
      <c r="D5573" s="98">
        <v>9999</v>
      </c>
      <c r="E5573" s="157">
        <v>42629.041666666664</v>
      </c>
      <c r="F5573" s="157">
        <v>42629.083333333336</v>
      </c>
      <c r="G5573" s="98">
        <v>377</v>
      </c>
      <c r="H5573" s="98">
        <v>530</v>
      </c>
      <c r="I5573" s="98">
        <v>493</v>
      </c>
      <c r="J5573" s="98" t="s">
        <v>2261</v>
      </c>
      <c r="K5573" s="98" t="s">
        <v>4427</v>
      </c>
      <c r="L5573" s="105" t="str">
        <f t="shared" si="920"/>
        <v>Trimble</v>
      </c>
      <c r="M5573" s="105" t="str">
        <f t="shared" si="921"/>
        <v>Derate</v>
      </c>
      <c r="N5573" s="105" t="str">
        <f t="shared" si="922"/>
        <v>Coal</v>
      </c>
      <c r="O5573" s="105">
        <f>IFERROR(VLOOKUP(A5573,Lookup!$J$5:$P$19,7,FALSE),0)</f>
        <v>3</v>
      </c>
      <c r="P5573" s="159">
        <f t="shared" si="923"/>
        <v>2016</v>
      </c>
      <c r="Q5573" s="159">
        <f t="shared" si="924"/>
        <v>9</v>
      </c>
      <c r="R5573" s="160">
        <f t="shared" si="925"/>
        <v>1.0000000001164153</v>
      </c>
      <c r="S5573" s="158">
        <f t="shared" si="926"/>
        <v>0.28867924531662553</v>
      </c>
      <c r="T5573" s="161">
        <f t="shared" si="927"/>
        <v>142.31886794109639</v>
      </c>
      <c r="U5573" s="158">
        <f t="shared" ref="U5573:U5636" si="929">IF(G5573&gt;0,MAX((H5573-G5573),0)*I5573/H5573,I5573)</f>
        <v>142.31886792452829</v>
      </c>
      <c r="V5573" s="160">
        <f t="shared" si="928"/>
        <v>142</v>
      </c>
    </row>
    <row r="5574" spans="1:22" x14ac:dyDescent="0.25">
      <c r="A5574" s="98" t="s">
        <v>19</v>
      </c>
      <c r="B5574" s="98" t="s">
        <v>32</v>
      </c>
      <c r="C5574" s="98">
        <v>98</v>
      </c>
      <c r="D5574" s="98">
        <v>9999</v>
      </c>
      <c r="E5574" s="157">
        <v>42629.083333333336</v>
      </c>
      <c r="F5574" s="157">
        <v>42629.125</v>
      </c>
      <c r="G5574" s="98">
        <v>352</v>
      </c>
      <c r="H5574" s="98">
        <v>530</v>
      </c>
      <c r="I5574" s="98">
        <v>493</v>
      </c>
      <c r="J5574" s="98" t="s">
        <v>2261</v>
      </c>
      <c r="K5574" s="98" t="s">
        <v>4427</v>
      </c>
      <c r="L5574" s="105" t="str">
        <f t="shared" si="920"/>
        <v>Trimble</v>
      </c>
      <c r="M5574" s="105" t="str">
        <f t="shared" si="921"/>
        <v>Derate</v>
      </c>
      <c r="N5574" s="105" t="str">
        <f t="shared" si="922"/>
        <v>Coal</v>
      </c>
      <c r="O5574" s="105">
        <f>IFERROR(VLOOKUP(A5574,Lookup!$J$5:$P$19,7,FALSE),0)</f>
        <v>3</v>
      </c>
      <c r="P5574" s="159">
        <f t="shared" si="923"/>
        <v>2016</v>
      </c>
      <c r="Q5574" s="159">
        <f t="shared" si="924"/>
        <v>9</v>
      </c>
      <c r="R5574" s="160">
        <f t="shared" si="925"/>
        <v>0.99999999994179234</v>
      </c>
      <c r="S5574" s="158">
        <f t="shared" si="926"/>
        <v>0.33584905658422459</v>
      </c>
      <c r="T5574" s="161">
        <f t="shared" si="927"/>
        <v>165.57358489602274</v>
      </c>
      <c r="U5574" s="158">
        <f t="shared" si="929"/>
        <v>165.57358490566037</v>
      </c>
      <c r="V5574" s="160">
        <f t="shared" si="928"/>
        <v>166</v>
      </c>
    </row>
    <row r="5575" spans="1:22" x14ac:dyDescent="0.25">
      <c r="A5575" s="98" t="s">
        <v>19</v>
      </c>
      <c r="B5575" s="98" t="s">
        <v>32</v>
      </c>
      <c r="C5575" s="98">
        <v>99</v>
      </c>
      <c r="D5575" s="98">
        <v>9999</v>
      </c>
      <c r="E5575" s="157">
        <v>42629.125</v>
      </c>
      <c r="F5575" s="157">
        <v>42629.166666666664</v>
      </c>
      <c r="G5575" s="98">
        <v>277</v>
      </c>
      <c r="H5575" s="98">
        <v>530</v>
      </c>
      <c r="I5575" s="98">
        <v>493</v>
      </c>
      <c r="J5575" s="98" t="s">
        <v>2261</v>
      </c>
      <c r="K5575" s="98" t="s">
        <v>4427</v>
      </c>
      <c r="L5575" s="105" t="str">
        <f t="shared" si="920"/>
        <v>Trimble</v>
      </c>
      <c r="M5575" s="105" t="str">
        <f t="shared" si="921"/>
        <v>Derate</v>
      </c>
      <c r="N5575" s="105" t="str">
        <f t="shared" si="922"/>
        <v>Coal</v>
      </c>
      <c r="O5575" s="105">
        <f>IFERROR(VLOOKUP(A5575,Lookup!$J$5:$P$19,7,FALSE),0)</f>
        <v>3</v>
      </c>
      <c r="P5575" s="159">
        <f t="shared" si="923"/>
        <v>2016</v>
      </c>
      <c r="Q5575" s="159">
        <f t="shared" si="924"/>
        <v>9</v>
      </c>
      <c r="R5575" s="160">
        <f t="shared" si="925"/>
        <v>0.99999999994179234</v>
      </c>
      <c r="S5575" s="158">
        <f t="shared" si="926"/>
        <v>0.4773584905382518</v>
      </c>
      <c r="T5575" s="161">
        <f t="shared" si="927"/>
        <v>235.33773583535813</v>
      </c>
      <c r="U5575" s="158">
        <f t="shared" si="929"/>
        <v>235.3377358490566</v>
      </c>
      <c r="V5575" s="160">
        <f t="shared" si="928"/>
        <v>235</v>
      </c>
    </row>
    <row r="5576" spans="1:22" x14ac:dyDescent="0.25">
      <c r="A5576" s="98" t="s">
        <v>19</v>
      </c>
      <c r="B5576" s="98" t="s">
        <v>32</v>
      </c>
      <c r="C5576" s="98">
        <v>100</v>
      </c>
      <c r="D5576" s="98">
        <v>9999</v>
      </c>
      <c r="E5576" s="157">
        <v>42629.166666666664</v>
      </c>
      <c r="F5576" s="157">
        <v>42629.208333333336</v>
      </c>
      <c r="G5576" s="98">
        <v>237</v>
      </c>
      <c r="H5576" s="98">
        <v>530</v>
      </c>
      <c r="I5576" s="98">
        <v>493</v>
      </c>
      <c r="J5576" s="98" t="s">
        <v>2261</v>
      </c>
      <c r="K5576" s="98" t="s">
        <v>4427</v>
      </c>
      <c r="L5576" s="105" t="str">
        <f t="shared" si="920"/>
        <v>Trimble</v>
      </c>
      <c r="M5576" s="105" t="str">
        <f t="shared" si="921"/>
        <v>Derate</v>
      </c>
      <c r="N5576" s="105" t="str">
        <f t="shared" si="922"/>
        <v>Coal</v>
      </c>
      <c r="O5576" s="105">
        <f>IFERROR(VLOOKUP(A5576,Lookup!$J$5:$P$19,7,FALSE),0)</f>
        <v>3</v>
      </c>
      <c r="P5576" s="159">
        <f t="shared" si="923"/>
        <v>2016</v>
      </c>
      <c r="Q5576" s="159">
        <f t="shared" si="924"/>
        <v>9</v>
      </c>
      <c r="R5576" s="160">
        <f t="shared" si="925"/>
        <v>1.0000000001164153</v>
      </c>
      <c r="S5576" s="158">
        <f t="shared" si="926"/>
        <v>0.55283018874360323</v>
      </c>
      <c r="T5576" s="161">
        <f t="shared" si="927"/>
        <v>272.54528305059637</v>
      </c>
      <c r="U5576" s="158">
        <f t="shared" si="929"/>
        <v>272.54528301886791</v>
      </c>
      <c r="V5576" s="160">
        <f t="shared" si="928"/>
        <v>273</v>
      </c>
    </row>
    <row r="5577" spans="1:22" x14ac:dyDescent="0.25">
      <c r="A5577" s="98" t="s">
        <v>19</v>
      </c>
      <c r="B5577" s="98" t="s">
        <v>32</v>
      </c>
      <c r="C5577" s="98">
        <v>101</v>
      </c>
      <c r="D5577" s="98">
        <v>9999</v>
      </c>
      <c r="E5577" s="157">
        <v>42629.208333333336</v>
      </c>
      <c r="F5577" s="157">
        <v>42629.215277777781</v>
      </c>
      <c r="G5577" s="98">
        <v>452</v>
      </c>
      <c r="H5577" s="98">
        <v>530</v>
      </c>
      <c r="I5577" s="98">
        <v>493</v>
      </c>
      <c r="J5577" s="98" t="s">
        <v>2261</v>
      </c>
      <c r="K5577" s="98" t="s">
        <v>4427</v>
      </c>
      <c r="L5577" s="105" t="str">
        <f t="shared" si="920"/>
        <v>Trimble</v>
      </c>
      <c r="M5577" s="105" t="str">
        <f t="shared" si="921"/>
        <v>Derate</v>
      </c>
      <c r="N5577" s="105" t="str">
        <f t="shared" si="922"/>
        <v>Coal</v>
      </c>
      <c r="O5577" s="105">
        <f>IFERROR(VLOOKUP(A5577,Lookup!$J$5:$P$19,7,FALSE),0)</f>
        <v>3</v>
      </c>
      <c r="P5577" s="159">
        <f t="shared" si="923"/>
        <v>2016</v>
      </c>
      <c r="Q5577" s="159">
        <f t="shared" si="924"/>
        <v>9</v>
      </c>
      <c r="R5577" s="160">
        <f t="shared" si="925"/>
        <v>0.16666666668606922</v>
      </c>
      <c r="S5577" s="158">
        <f t="shared" si="926"/>
        <v>2.4528301889647924E-2</v>
      </c>
      <c r="T5577" s="161">
        <f t="shared" si="927"/>
        <v>12.092452831596427</v>
      </c>
      <c r="U5577" s="158">
        <f t="shared" si="929"/>
        <v>72.554716981132074</v>
      </c>
      <c r="V5577" s="160">
        <f t="shared" si="928"/>
        <v>73</v>
      </c>
    </row>
    <row r="5578" spans="1:22" x14ac:dyDescent="0.25">
      <c r="A5578" s="98" t="s">
        <v>19</v>
      </c>
      <c r="B5578" s="98" t="s">
        <v>79</v>
      </c>
      <c r="C5578" s="98">
        <v>102</v>
      </c>
      <c r="D5578" s="98">
        <v>8700</v>
      </c>
      <c r="E5578" s="157">
        <v>42633.291666666664</v>
      </c>
      <c r="F5578" s="157">
        <v>42633.631944444445</v>
      </c>
      <c r="G5578" s="98">
        <v>0</v>
      </c>
      <c r="H5578" s="98">
        <v>530</v>
      </c>
      <c r="I5578" s="98">
        <v>493</v>
      </c>
      <c r="J5578" s="98" t="s">
        <v>1987</v>
      </c>
      <c r="K5578" s="98" t="s">
        <v>4428</v>
      </c>
      <c r="L5578" s="105" t="str">
        <f t="shared" si="920"/>
        <v>Trimble</v>
      </c>
      <c r="M5578" s="105" t="str">
        <f t="shared" si="921"/>
        <v>Other</v>
      </c>
      <c r="N5578" s="105" t="str">
        <f t="shared" si="922"/>
        <v>Coal</v>
      </c>
      <c r="O5578" s="105">
        <f>IFERROR(VLOOKUP(A5578,Lookup!$J$5:$P$19,7,FALSE),0)</f>
        <v>3</v>
      </c>
      <c r="P5578" s="159">
        <f t="shared" si="923"/>
        <v>2016</v>
      </c>
      <c r="Q5578" s="159">
        <f t="shared" si="924"/>
        <v>9</v>
      </c>
      <c r="R5578" s="160">
        <f t="shared" si="925"/>
        <v>8.1666666667442769</v>
      </c>
      <c r="S5578" s="158">
        <f t="shared" si="926"/>
        <v>8.1666666667442769</v>
      </c>
      <c r="T5578" s="161">
        <f t="shared" si="927"/>
        <v>4026.1666667049285</v>
      </c>
      <c r="U5578" s="158">
        <f t="shared" si="929"/>
        <v>493</v>
      </c>
      <c r="V5578" s="160">
        <f t="shared" si="928"/>
        <v>493</v>
      </c>
    </row>
    <row r="5579" spans="1:22" x14ac:dyDescent="0.25">
      <c r="A5579" s="98" t="s">
        <v>19</v>
      </c>
      <c r="B5579" s="98" t="s">
        <v>79</v>
      </c>
      <c r="C5579" s="98">
        <v>103</v>
      </c>
      <c r="D5579" s="98">
        <v>8700</v>
      </c>
      <c r="E5579" s="157">
        <v>42634.295138888891</v>
      </c>
      <c r="F5579" s="157">
        <v>42634.474999999999</v>
      </c>
      <c r="G5579" s="98">
        <v>0</v>
      </c>
      <c r="H5579" s="98">
        <v>530</v>
      </c>
      <c r="I5579" s="98">
        <v>493</v>
      </c>
      <c r="J5579" s="98" t="s">
        <v>1987</v>
      </c>
      <c r="K5579" s="98" t="s">
        <v>4428</v>
      </c>
      <c r="L5579" s="105" t="str">
        <f t="shared" si="920"/>
        <v>Trimble</v>
      </c>
      <c r="M5579" s="105" t="str">
        <f t="shared" si="921"/>
        <v>Other</v>
      </c>
      <c r="N5579" s="105" t="str">
        <f t="shared" si="922"/>
        <v>Coal</v>
      </c>
      <c r="O5579" s="105">
        <f>IFERROR(VLOOKUP(A5579,Lookup!$J$5:$P$19,7,FALSE),0)</f>
        <v>3</v>
      </c>
      <c r="P5579" s="159">
        <f t="shared" si="923"/>
        <v>2016</v>
      </c>
      <c r="Q5579" s="159">
        <f t="shared" si="924"/>
        <v>9</v>
      </c>
      <c r="R5579" s="160">
        <f t="shared" si="925"/>
        <v>4.316666666592937</v>
      </c>
      <c r="S5579" s="158">
        <f t="shared" si="926"/>
        <v>4.316666666592937</v>
      </c>
      <c r="T5579" s="161">
        <f t="shared" si="927"/>
        <v>2128.1166666303179</v>
      </c>
      <c r="U5579" s="158">
        <f t="shared" si="929"/>
        <v>493</v>
      </c>
      <c r="V5579" s="160">
        <f t="shared" si="928"/>
        <v>493</v>
      </c>
    </row>
    <row r="5580" spans="1:22" x14ac:dyDescent="0.25">
      <c r="A5580" s="98" t="s">
        <v>19</v>
      </c>
      <c r="B5580" s="98" t="s">
        <v>17</v>
      </c>
      <c r="C5580" s="98">
        <v>104</v>
      </c>
      <c r="D5580" s="98">
        <v>263</v>
      </c>
      <c r="E5580" s="157">
        <v>42635.172222222223</v>
      </c>
      <c r="F5580" s="157">
        <v>42637.051388888889</v>
      </c>
      <c r="G5580" s="98">
        <v>460</v>
      </c>
      <c r="H5580" s="98">
        <v>530</v>
      </c>
      <c r="I5580" s="98">
        <v>493</v>
      </c>
      <c r="J5580" s="98" t="s">
        <v>2039</v>
      </c>
      <c r="K5580" s="98" t="s">
        <v>4429</v>
      </c>
      <c r="L5580" s="105" t="str">
        <f t="shared" si="920"/>
        <v>Trimble</v>
      </c>
      <c r="M5580" s="105" t="str">
        <f t="shared" si="921"/>
        <v>Derate</v>
      </c>
      <c r="N5580" s="105" t="str">
        <f t="shared" si="922"/>
        <v>Coal</v>
      </c>
      <c r="O5580" s="105">
        <f>IFERROR(VLOOKUP(A5580,Lookup!$J$5:$P$19,7,FALSE),0)</f>
        <v>3</v>
      </c>
      <c r="P5580" s="159">
        <f t="shared" si="923"/>
        <v>2016</v>
      </c>
      <c r="Q5580" s="159">
        <f t="shared" si="924"/>
        <v>9</v>
      </c>
      <c r="R5580" s="160">
        <f t="shared" si="925"/>
        <v>45.099999999976717</v>
      </c>
      <c r="S5580" s="158">
        <f t="shared" si="926"/>
        <v>5.9566037735818309</v>
      </c>
      <c r="T5580" s="161">
        <f t="shared" si="927"/>
        <v>2936.6056603758425</v>
      </c>
      <c r="U5580" s="158">
        <f t="shared" si="929"/>
        <v>65.113207547169807</v>
      </c>
      <c r="V5580" s="160">
        <f t="shared" si="928"/>
        <v>65</v>
      </c>
    </row>
    <row r="5581" spans="1:22" x14ac:dyDescent="0.25">
      <c r="A5581" s="98" t="s">
        <v>19</v>
      </c>
      <c r="B5581" s="98" t="s">
        <v>38</v>
      </c>
      <c r="C5581" s="98">
        <v>105</v>
      </c>
      <c r="D5581" s="98">
        <v>3620</v>
      </c>
      <c r="E5581" s="157">
        <v>42658.055555555555</v>
      </c>
      <c r="F5581" s="157">
        <v>42667.134722222225</v>
      </c>
      <c r="G5581" s="98">
        <v>0</v>
      </c>
      <c r="H5581" s="98">
        <v>530</v>
      </c>
      <c r="I5581" s="98">
        <v>493</v>
      </c>
      <c r="J5581" s="98" t="s">
        <v>2092</v>
      </c>
      <c r="K5581" s="98" t="s">
        <v>4430</v>
      </c>
      <c r="L5581" s="105" t="str">
        <f t="shared" si="920"/>
        <v>Trimble</v>
      </c>
      <c r="M5581" s="105" t="str">
        <f t="shared" si="921"/>
        <v>Other</v>
      </c>
      <c r="N5581" s="105" t="str">
        <f t="shared" si="922"/>
        <v>Coal</v>
      </c>
      <c r="O5581" s="105">
        <f>IFERROR(VLOOKUP(A5581,Lookup!$J$5:$P$19,7,FALSE),0)</f>
        <v>3</v>
      </c>
      <c r="P5581" s="159">
        <f t="shared" si="923"/>
        <v>2016</v>
      </c>
      <c r="Q5581" s="159">
        <f t="shared" si="924"/>
        <v>10</v>
      </c>
      <c r="R5581" s="160">
        <f t="shared" si="925"/>
        <v>217.90000000008149</v>
      </c>
      <c r="S5581" s="158">
        <f t="shared" si="926"/>
        <v>217.90000000008149</v>
      </c>
      <c r="T5581" s="161">
        <f t="shared" si="927"/>
        <v>107424.70000004017</v>
      </c>
      <c r="U5581" s="158">
        <f t="shared" si="929"/>
        <v>493</v>
      </c>
      <c r="V5581" s="160">
        <f t="shared" si="928"/>
        <v>493</v>
      </c>
    </row>
    <row r="5582" spans="1:22" x14ac:dyDescent="0.25">
      <c r="A5582" s="98" t="s">
        <v>19</v>
      </c>
      <c r="B5582" s="98" t="s">
        <v>15</v>
      </c>
      <c r="C5582" s="98">
        <v>106</v>
      </c>
      <c r="D5582" s="98">
        <v>3979</v>
      </c>
      <c r="E5582" s="157">
        <v>42677.198611111111</v>
      </c>
      <c r="F5582" s="157">
        <v>42677.749305555553</v>
      </c>
      <c r="G5582" s="98">
        <v>0</v>
      </c>
      <c r="H5582" s="98">
        <v>530</v>
      </c>
      <c r="I5582" s="98">
        <v>493</v>
      </c>
      <c r="J5582" s="98" t="s">
        <v>2103</v>
      </c>
      <c r="K5582" s="98" t="s">
        <v>4431</v>
      </c>
      <c r="L5582" s="105" t="str">
        <f t="shared" si="920"/>
        <v>Trimble</v>
      </c>
      <c r="M5582" s="105" t="str">
        <f t="shared" si="921"/>
        <v>Outage</v>
      </c>
      <c r="N5582" s="105" t="str">
        <f t="shared" si="922"/>
        <v>Coal</v>
      </c>
      <c r="O5582" s="105">
        <f>IFERROR(VLOOKUP(A5582,Lookup!$J$5:$P$19,7,FALSE),0)</f>
        <v>3</v>
      </c>
      <c r="P5582" s="159">
        <f t="shared" si="923"/>
        <v>2016</v>
      </c>
      <c r="Q5582" s="159">
        <f t="shared" si="924"/>
        <v>11</v>
      </c>
      <c r="R5582" s="160">
        <f t="shared" si="925"/>
        <v>13.21666666661622</v>
      </c>
      <c r="S5582" s="158">
        <f t="shared" si="926"/>
        <v>13.21666666661622</v>
      </c>
      <c r="T5582" s="161">
        <f t="shared" si="927"/>
        <v>6515.8166666417965</v>
      </c>
      <c r="U5582" s="158">
        <f t="shared" si="929"/>
        <v>493</v>
      </c>
      <c r="V5582" s="160">
        <f t="shared" si="928"/>
        <v>493</v>
      </c>
    </row>
    <row r="5583" spans="1:22" x14ac:dyDescent="0.25">
      <c r="A5583" s="98" t="s">
        <v>19</v>
      </c>
      <c r="B5583" s="98" t="s">
        <v>17</v>
      </c>
      <c r="C5583" s="98">
        <v>107</v>
      </c>
      <c r="D5583" s="98">
        <v>360</v>
      </c>
      <c r="E5583" s="157">
        <v>42685.904166666667</v>
      </c>
      <c r="F5583" s="157">
        <v>42685.92083333333</v>
      </c>
      <c r="G5583" s="98">
        <v>397</v>
      </c>
      <c r="H5583" s="98">
        <v>530</v>
      </c>
      <c r="I5583" s="98">
        <v>493</v>
      </c>
      <c r="J5583" s="98" t="s">
        <v>229</v>
      </c>
      <c r="K5583" s="98" t="s">
        <v>4432</v>
      </c>
      <c r="L5583" s="105" t="str">
        <f t="shared" si="920"/>
        <v>Trimble</v>
      </c>
      <c r="M5583" s="105" t="str">
        <f t="shared" si="921"/>
        <v>Derate</v>
      </c>
      <c r="N5583" s="105" t="str">
        <f t="shared" si="922"/>
        <v>Coal</v>
      </c>
      <c r="O5583" s="105">
        <f>IFERROR(VLOOKUP(A5583,Lookup!$J$5:$P$19,7,FALSE),0)</f>
        <v>3</v>
      </c>
      <c r="P5583" s="159">
        <f t="shared" si="923"/>
        <v>2016</v>
      </c>
      <c r="Q5583" s="159">
        <f t="shared" si="924"/>
        <v>11</v>
      </c>
      <c r="R5583" s="160">
        <f t="shared" si="925"/>
        <v>0.39999999990686774</v>
      </c>
      <c r="S5583" s="158">
        <f t="shared" si="926"/>
        <v>0.10037735846719512</v>
      </c>
      <c r="T5583" s="161">
        <f t="shared" si="927"/>
        <v>49.48603772432719</v>
      </c>
      <c r="U5583" s="158">
        <f t="shared" si="929"/>
        <v>123.71509433962264</v>
      </c>
      <c r="V5583" s="160">
        <f t="shared" si="928"/>
        <v>124</v>
      </c>
    </row>
    <row r="5584" spans="1:22" x14ac:dyDescent="0.25">
      <c r="A5584" s="98" t="s">
        <v>19</v>
      </c>
      <c r="B5584" s="98" t="s">
        <v>79</v>
      </c>
      <c r="C5584" s="98">
        <v>108</v>
      </c>
      <c r="D5584" s="98">
        <v>8700</v>
      </c>
      <c r="E5584" s="157">
        <v>42688.416666666664</v>
      </c>
      <c r="F5584" s="157">
        <v>42688.625</v>
      </c>
      <c r="G5584" s="98">
        <v>0</v>
      </c>
      <c r="H5584" s="98">
        <v>530</v>
      </c>
      <c r="I5584" s="98">
        <v>493</v>
      </c>
      <c r="J5584" s="98" t="s">
        <v>1987</v>
      </c>
      <c r="K5584" s="98" t="s">
        <v>4428</v>
      </c>
      <c r="L5584" s="105" t="str">
        <f t="shared" si="920"/>
        <v>Trimble</v>
      </c>
      <c r="M5584" s="105" t="str">
        <f t="shared" si="921"/>
        <v>Other</v>
      </c>
      <c r="N5584" s="105" t="str">
        <f t="shared" si="922"/>
        <v>Coal</v>
      </c>
      <c r="O5584" s="105">
        <f>IFERROR(VLOOKUP(A5584,Lookup!$J$5:$P$19,7,FALSE),0)</f>
        <v>3</v>
      </c>
      <c r="P5584" s="159">
        <f t="shared" si="923"/>
        <v>2016</v>
      </c>
      <c r="Q5584" s="159">
        <f t="shared" si="924"/>
        <v>11</v>
      </c>
      <c r="R5584" s="160">
        <f t="shared" si="925"/>
        <v>5.0000000000582077</v>
      </c>
      <c r="S5584" s="158">
        <f t="shared" si="926"/>
        <v>5.0000000000582077</v>
      </c>
      <c r="T5584" s="161">
        <f t="shared" si="927"/>
        <v>2465.0000000286964</v>
      </c>
      <c r="U5584" s="158">
        <f t="shared" si="929"/>
        <v>493</v>
      </c>
      <c r="V5584" s="160">
        <f t="shared" si="928"/>
        <v>493</v>
      </c>
    </row>
    <row r="5585" spans="1:22" x14ac:dyDescent="0.25">
      <c r="A5585" s="98" t="s">
        <v>19</v>
      </c>
      <c r="B5585" s="98" t="s">
        <v>79</v>
      </c>
      <c r="C5585" s="98">
        <v>109</v>
      </c>
      <c r="D5585" s="98">
        <v>8700</v>
      </c>
      <c r="E5585" s="157">
        <v>42689.333333333336</v>
      </c>
      <c r="F5585" s="157">
        <v>42689.65</v>
      </c>
      <c r="G5585" s="98">
        <v>0</v>
      </c>
      <c r="H5585" s="98">
        <v>530</v>
      </c>
      <c r="I5585" s="98">
        <v>493</v>
      </c>
      <c r="J5585" s="98" t="s">
        <v>1987</v>
      </c>
      <c r="K5585" s="98" t="s">
        <v>4428</v>
      </c>
      <c r="L5585" s="105" t="str">
        <f t="shared" si="920"/>
        <v>Trimble</v>
      </c>
      <c r="M5585" s="105" t="str">
        <f t="shared" si="921"/>
        <v>Other</v>
      </c>
      <c r="N5585" s="105" t="str">
        <f t="shared" si="922"/>
        <v>Coal</v>
      </c>
      <c r="O5585" s="105">
        <f>IFERROR(VLOOKUP(A5585,Lookup!$J$5:$P$19,7,FALSE),0)</f>
        <v>3</v>
      </c>
      <c r="P5585" s="159">
        <f t="shared" si="923"/>
        <v>2016</v>
      </c>
      <c r="Q5585" s="159">
        <f t="shared" si="924"/>
        <v>11</v>
      </c>
      <c r="R5585" s="160">
        <f t="shared" si="925"/>
        <v>7.5999999999767169</v>
      </c>
      <c r="S5585" s="158">
        <f t="shared" si="926"/>
        <v>7.5999999999767169</v>
      </c>
      <c r="T5585" s="161">
        <f t="shared" si="927"/>
        <v>3746.7999999885214</v>
      </c>
      <c r="U5585" s="158">
        <f t="shared" si="929"/>
        <v>493</v>
      </c>
      <c r="V5585" s="160">
        <f t="shared" si="928"/>
        <v>493</v>
      </c>
    </row>
    <row r="5586" spans="1:22" x14ac:dyDescent="0.25">
      <c r="A5586" s="98" t="s">
        <v>19</v>
      </c>
      <c r="B5586" s="98" t="s">
        <v>32</v>
      </c>
      <c r="C5586" s="98">
        <v>110</v>
      </c>
      <c r="D5586" s="98">
        <v>8700</v>
      </c>
      <c r="E5586" s="157">
        <v>42690.895833333336</v>
      </c>
      <c r="F5586" s="157">
        <v>42690.909722222219</v>
      </c>
      <c r="G5586" s="98">
        <v>255</v>
      </c>
      <c r="H5586" s="98">
        <v>530</v>
      </c>
      <c r="I5586" s="98">
        <v>493</v>
      </c>
      <c r="J5586" s="98" t="s">
        <v>1987</v>
      </c>
      <c r="K5586" s="98" t="s">
        <v>4428</v>
      </c>
      <c r="L5586" s="105" t="str">
        <f t="shared" si="920"/>
        <v>Trimble</v>
      </c>
      <c r="M5586" s="105" t="str">
        <f t="shared" si="921"/>
        <v>Derate</v>
      </c>
      <c r="N5586" s="105" t="str">
        <f t="shared" si="922"/>
        <v>Coal</v>
      </c>
      <c r="O5586" s="105">
        <f>IFERROR(VLOOKUP(A5586,Lookup!$J$5:$P$19,7,FALSE),0)</f>
        <v>3</v>
      </c>
      <c r="P5586" s="159">
        <f t="shared" si="923"/>
        <v>2016</v>
      </c>
      <c r="Q5586" s="159">
        <f t="shared" si="924"/>
        <v>11</v>
      </c>
      <c r="R5586" s="160">
        <f t="shared" si="925"/>
        <v>0.33333333319751546</v>
      </c>
      <c r="S5586" s="158">
        <f t="shared" si="926"/>
        <v>0.17295597477229577</v>
      </c>
      <c r="T5586" s="161">
        <f t="shared" si="927"/>
        <v>85.267295562741808</v>
      </c>
      <c r="U5586" s="158">
        <f t="shared" si="929"/>
        <v>255.80188679245282</v>
      </c>
      <c r="V5586" s="160">
        <f t="shared" si="928"/>
        <v>256</v>
      </c>
    </row>
    <row r="5587" spans="1:22" x14ac:dyDescent="0.25">
      <c r="A5587" s="98" t="s">
        <v>19</v>
      </c>
      <c r="B5587" s="98" t="s">
        <v>32</v>
      </c>
      <c r="C5587" s="98">
        <v>111</v>
      </c>
      <c r="D5587" s="98">
        <v>8700</v>
      </c>
      <c r="E5587" s="157">
        <v>42690.909722222219</v>
      </c>
      <c r="F5587" s="157">
        <v>42691.041666666664</v>
      </c>
      <c r="G5587" s="98">
        <v>275</v>
      </c>
      <c r="H5587" s="98">
        <v>530</v>
      </c>
      <c r="I5587" s="98">
        <v>493</v>
      </c>
      <c r="J5587" s="98" t="s">
        <v>1987</v>
      </c>
      <c r="K5587" s="98" t="s">
        <v>4428</v>
      </c>
      <c r="L5587" s="105" t="str">
        <f t="shared" si="920"/>
        <v>Trimble</v>
      </c>
      <c r="M5587" s="105" t="str">
        <f t="shared" si="921"/>
        <v>Derate</v>
      </c>
      <c r="N5587" s="105" t="str">
        <f t="shared" si="922"/>
        <v>Coal</v>
      </c>
      <c r="O5587" s="105">
        <f>IFERROR(VLOOKUP(A5587,Lookup!$J$5:$P$19,7,FALSE),0)</f>
        <v>3</v>
      </c>
      <c r="P5587" s="159">
        <f t="shared" si="923"/>
        <v>2016</v>
      </c>
      <c r="Q5587" s="159">
        <f t="shared" si="924"/>
        <v>11</v>
      </c>
      <c r="R5587" s="160">
        <f t="shared" si="925"/>
        <v>3.1666666666860692</v>
      </c>
      <c r="S5587" s="158">
        <f t="shared" si="926"/>
        <v>1.5235849056697126</v>
      </c>
      <c r="T5587" s="161">
        <f t="shared" si="927"/>
        <v>751.12735849516832</v>
      </c>
      <c r="U5587" s="158">
        <f t="shared" si="929"/>
        <v>237.19811320754718</v>
      </c>
      <c r="V5587" s="160">
        <f t="shared" si="928"/>
        <v>237</v>
      </c>
    </row>
    <row r="5588" spans="1:22" x14ac:dyDescent="0.25">
      <c r="A5588" s="98" t="s">
        <v>19</v>
      </c>
      <c r="B5588" s="98" t="s">
        <v>32</v>
      </c>
      <c r="C5588" s="98">
        <v>112</v>
      </c>
      <c r="D5588" s="98">
        <v>8700</v>
      </c>
      <c r="E5588" s="157">
        <v>42691.041666666664</v>
      </c>
      <c r="F5588" s="157">
        <v>42691.204861111109</v>
      </c>
      <c r="G5588" s="98">
        <v>390</v>
      </c>
      <c r="H5588" s="98">
        <v>530</v>
      </c>
      <c r="I5588" s="98">
        <v>493</v>
      </c>
      <c r="J5588" s="98" t="s">
        <v>1987</v>
      </c>
      <c r="K5588" s="98" t="s">
        <v>4428</v>
      </c>
      <c r="L5588" s="105" t="str">
        <f t="shared" si="920"/>
        <v>Trimble</v>
      </c>
      <c r="M5588" s="105" t="str">
        <f t="shared" si="921"/>
        <v>Derate</v>
      </c>
      <c r="N5588" s="105" t="str">
        <f t="shared" si="922"/>
        <v>Coal</v>
      </c>
      <c r="O5588" s="105">
        <f>IFERROR(VLOOKUP(A5588,Lookup!$J$5:$P$19,7,FALSE),0)</f>
        <v>3</v>
      </c>
      <c r="P5588" s="159">
        <f t="shared" si="923"/>
        <v>2016</v>
      </c>
      <c r="Q5588" s="159">
        <f t="shared" si="924"/>
        <v>11</v>
      </c>
      <c r="R5588" s="160">
        <f t="shared" si="925"/>
        <v>3.9166666666860692</v>
      </c>
      <c r="S5588" s="158">
        <f t="shared" si="926"/>
        <v>1.0345911949736786</v>
      </c>
      <c r="T5588" s="161">
        <f t="shared" si="927"/>
        <v>510.05345912202353</v>
      </c>
      <c r="U5588" s="158">
        <f t="shared" si="929"/>
        <v>130.22641509433961</v>
      </c>
      <c r="V5588" s="160">
        <f t="shared" si="928"/>
        <v>130</v>
      </c>
    </row>
    <row r="5589" spans="1:22" x14ac:dyDescent="0.25">
      <c r="A5589" s="98" t="s">
        <v>19</v>
      </c>
      <c r="B5589" s="98" t="s">
        <v>15</v>
      </c>
      <c r="C5589" s="98">
        <v>113</v>
      </c>
      <c r="D5589" s="98">
        <v>1475</v>
      </c>
      <c r="E5589" s="157">
        <v>42700.252083333333</v>
      </c>
      <c r="F5589" s="157">
        <v>42700.655555555553</v>
      </c>
      <c r="G5589" s="98">
        <v>0</v>
      </c>
      <c r="H5589" s="98">
        <v>530</v>
      </c>
      <c r="I5589" s="98">
        <v>493</v>
      </c>
      <c r="J5589" s="98" t="s">
        <v>1989</v>
      </c>
      <c r="K5589" s="98" t="s">
        <v>4433</v>
      </c>
      <c r="L5589" s="105" t="str">
        <f t="shared" si="920"/>
        <v>Trimble</v>
      </c>
      <c r="M5589" s="105" t="str">
        <f t="shared" si="921"/>
        <v>Outage</v>
      </c>
      <c r="N5589" s="105" t="str">
        <f t="shared" si="922"/>
        <v>Coal</v>
      </c>
      <c r="O5589" s="105">
        <f>IFERROR(VLOOKUP(A5589,Lookup!$J$5:$P$19,7,FALSE),0)</f>
        <v>3</v>
      </c>
      <c r="P5589" s="159">
        <f t="shared" si="923"/>
        <v>2016</v>
      </c>
      <c r="Q5589" s="159">
        <f t="shared" si="924"/>
        <v>11</v>
      </c>
      <c r="R5589" s="160">
        <f t="shared" si="925"/>
        <v>9.6833333332906477</v>
      </c>
      <c r="S5589" s="158">
        <f t="shared" si="926"/>
        <v>9.6833333332906477</v>
      </c>
      <c r="T5589" s="161">
        <f t="shared" si="927"/>
        <v>4773.8833333122893</v>
      </c>
      <c r="U5589" s="158">
        <f t="shared" si="929"/>
        <v>493</v>
      </c>
      <c r="V5589" s="160">
        <f t="shared" si="928"/>
        <v>493</v>
      </c>
    </row>
    <row r="5590" spans="1:22" x14ac:dyDescent="0.25">
      <c r="A5590" s="98" t="s">
        <v>19</v>
      </c>
      <c r="B5590" s="98" t="s">
        <v>17</v>
      </c>
      <c r="C5590" s="98">
        <v>114</v>
      </c>
      <c r="D5590" s="98">
        <v>360</v>
      </c>
      <c r="E5590" s="157">
        <v>42700.882638888892</v>
      </c>
      <c r="F5590" s="157">
        <v>42701.033333333333</v>
      </c>
      <c r="G5590" s="98">
        <v>400</v>
      </c>
      <c r="H5590" s="98">
        <v>530</v>
      </c>
      <c r="I5590" s="98">
        <v>493</v>
      </c>
      <c r="J5590" s="98" t="s">
        <v>229</v>
      </c>
      <c r="K5590" s="98" t="s">
        <v>4434</v>
      </c>
      <c r="L5590" s="105" t="str">
        <f t="shared" si="920"/>
        <v>Trimble</v>
      </c>
      <c r="M5590" s="105" t="str">
        <f t="shared" si="921"/>
        <v>Derate</v>
      </c>
      <c r="N5590" s="105" t="str">
        <f t="shared" si="922"/>
        <v>Coal</v>
      </c>
      <c r="O5590" s="105">
        <f>IFERROR(VLOOKUP(A5590,Lookup!$J$5:$P$19,7,FALSE),0)</f>
        <v>3</v>
      </c>
      <c r="P5590" s="159">
        <f t="shared" si="923"/>
        <v>2016</v>
      </c>
      <c r="Q5590" s="159">
        <f t="shared" si="924"/>
        <v>11</v>
      </c>
      <c r="R5590" s="160">
        <f t="shared" si="925"/>
        <v>3.6166666665812954</v>
      </c>
      <c r="S5590" s="158">
        <f t="shared" si="926"/>
        <v>0.88710691821805354</v>
      </c>
      <c r="T5590" s="161">
        <f t="shared" si="927"/>
        <v>437.3437106815004</v>
      </c>
      <c r="U5590" s="158">
        <f t="shared" si="929"/>
        <v>120.9245283018868</v>
      </c>
      <c r="V5590" s="160">
        <f t="shared" si="928"/>
        <v>121</v>
      </c>
    </row>
    <row r="5591" spans="1:22" x14ac:dyDescent="0.25">
      <c r="A5591" s="98" t="s">
        <v>19</v>
      </c>
      <c r="B5591" s="98" t="s">
        <v>17</v>
      </c>
      <c r="C5591" s="98">
        <v>115</v>
      </c>
      <c r="D5591" s="98">
        <v>360</v>
      </c>
      <c r="E5591" s="157">
        <v>42701.033333333333</v>
      </c>
      <c r="F5591" s="162">
        <v>42701.095833333333</v>
      </c>
      <c r="G5591" s="98">
        <v>375</v>
      </c>
      <c r="H5591" s="98">
        <v>530</v>
      </c>
      <c r="I5591" s="98">
        <v>493</v>
      </c>
      <c r="J5591" s="98" t="s">
        <v>229</v>
      </c>
      <c r="K5591" s="98" t="s">
        <v>4435</v>
      </c>
      <c r="L5591" s="105" t="str">
        <f t="shared" si="920"/>
        <v>Trimble</v>
      </c>
      <c r="M5591" s="105" t="str">
        <f t="shared" si="921"/>
        <v>Derate</v>
      </c>
      <c r="N5591" s="105" t="str">
        <f t="shared" si="922"/>
        <v>Coal</v>
      </c>
      <c r="O5591" s="105">
        <f>IFERROR(VLOOKUP(A5591,Lookup!$J$5:$P$19,7,FALSE),0)</f>
        <v>3</v>
      </c>
      <c r="P5591" s="159">
        <f t="shared" si="923"/>
        <v>2016</v>
      </c>
      <c r="Q5591" s="159">
        <f t="shared" si="924"/>
        <v>11</v>
      </c>
      <c r="R5591" s="160">
        <f t="shared" si="925"/>
        <v>1.5</v>
      </c>
      <c r="S5591" s="158">
        <f t="shared" si="926"/>
        <v>0.43867924528301888</v>
      </c>
      <c r="T5591" s="161">
        <f t="shared" si="927"/>
        <v>216.26886792452831</v>
      </c>
      <c r="U5591" s="158">
        <f t="shared" si="929"/>
        <v>144.17924528301887</v>
      </c>
      <c r="V5591" s="160">
        <f t="shared" si="928"/>
        <v>144</v>
      </c>
    </row>
    <row r="5592" spans="1:22" x14ac:dyDescent="0.25">
      <c r="A5592" s="98" t="s">
        <v>19</v>
      </c>
      <c r="B5592" s="98" t="s">
        <v>17</v>
      </c>
      <c r="C5592" s="98">
        <v>116</v>
      </c>
      <c r="D5592" s="98">
        <v>310</v>
      </c>
      <c r="E5592" s="162">
        <v>42702.634027777778</v>
      </c>
      <c r="F5592" s="157">
        <v>42702.666666666664</v>
      </c>
      <c r="G5592" s="98">
        <v>375</v>
      </c>
      <c r="H5592" s="98">
        <v>530</v>
      </c>
      <c r="I5592" s="98">
        <v>493</v>
      </c>
      <c r="J5592" s="98" t="s">
        <v>1966</v>
      </c>
      <c r="K5592" s="98" t="s">
        <v>4436</v>
      </c>
      <c r="L5592" s="105" t="str">
        <f t="shared" si="920"/>
        <v>Trimble</v>
      </c>
      <c r="M5592" s="105" t="str">
        <f t="shared" si="921"/>
        <v>Derate</v>
      </c>
      <c r="N5592" s="105" t="str">
        <f t="shared" si="922"/>
        <v>Coal</v>
      </c>
      <c r="O5592" s="105">
        <f>IFERROR(VLOOKUP(A5592,Lookup!$J$5:$P$19,7,FALSE),0)</f>
        <v>3</v>
      </c>
      <c r="P5592" s="159">
        <f t="shared" si="923"/>
        <v>2016</v>
      </c>
      <c r="Q5592" s="159">
        <f t="shared" si="924"/>
        <v>11</v>
      </c>
      <c r="R5592" s="160">
        <f t="shared" si="925"/>
        <v>0.78333333326736465</v>
      </c>
      <c r="S5592" s="158">
        <f t="shared" si="926"/>
        <v>0.22908805029517268</v>
      </c>
      <c r="T5592" s="161">
        <f t="shared" si="927"/>
        <v>112.94040879552013</v>
      </c>
      <c r="U5592" s="158">
        <f t="shared" si="929"/>
        <v>144.17924528301887</v>
      </c>
      <c r="V5592" s="160">
        <f t="shared" si="928"/>
        <v>144</v>
      </c>
    </row>
    <row r="5593" spans="1:22" x14ac:dyDescent="0.25">
      <c r="A5593" s="98" t="s">
        <v>19</v>
      </c>
      <c r="B5593" s="98" t="s">
        <v>17</v>
      </c>
      <c r="C5593" s="98">
        <v>117</v>
      </c>
      <c r="D5593" s="98">
        <v>330</v>
      </c>
      <c r="E5593" s="157">
        <v>42707.159722222219</v>
      </c>
      <c r="F5593" s="157">
        <v>42707.633333333331</v>
      </c>
      <c r="G5593" s="98">
        <v>450</v>
      </c>
      <c r="H5593" s="98">
        <v>530</v>
      </c>
      <c r="I5593" s="98">
        <v>493</v>
      </c>
      <c r="J5593" s="98" t="s">
        <v>2291</v>
      </c>
      <c r="K5593" s="98" t="s">
        <v>4437</v>
      </c>
      <c r="L5593" s="105" t="str">
        <f t="shared" si="920"/>
        <v>Trimble</v>
      </c>
      <c r="M5593" s="105" t="str">
        <f t="shared" si="921"/>
        <v>Derate</v>
      </c>
      <c r="N5593" s="105" t="str">
        <f t="shared" si="922"/>
        <v>Coal</v>
      </c>
      <c r="O5593" s="105">
        <f>IFERROR(VLOOKUP(A5593,Lookup!$J$5:$P$19,7,FALSE),0)</f>
        <v>3</v>
      </c>
      <c r="P5593" s="159">
        <f t="shared" si="923"/>
        <v>2016</v>
      </c>
      <c r="Q5593" s="159">
        <f t="shared" si="924"/>
        <v>12</v>
      </c>
      <c r="R5593" s="160">
        <f t="shared" si="925"/>
        <v>11.366666666697711</v>
      </c>
      <c r="S5593" s="158">
        <f t="shared" si="926"/>
        <v>1.7157232704449374</v>
      </c>
      <c r="T5593" s="161">
        <f t="shared" si="927"/>
        <v>845.85157232935421</v>
      </c>
      <c r="U5593" s="158">
        <f t="shared" si="929"/>
        <v>74.415094339622641</v>
      </c>
      <c r="V5593" s="160">
        <f t="shared" si="928"/>
        <v>74</v>
      </c>
    </row>
    <row r="5594" spans="1:22" x14ac:dyDescent="0.25">
      <c r="A5594" s="98" t="s">
        <v>19</v>
      </c>
      <c r="B5594" s="98" t="s">
        <v>17</v>
      </c>
      <c r="C5594" s="98">
        <v>118</v>
      </c>
      <c r="D5594" s="98">
        <v>310</v>
      </c>
      <c r="E5594" s="157">
        <v>42707.75</v>
      </c>
      <c r="F5594" s="157">
        <v>42707.908333333333</v>
      </c>
      <c r="G5594" s="98">
        <v>480</v>
      </c>
      <c r="H5594" s="98">
        <v>530</v>
      </c>
      <c r="I5594" s="98">
        <v>493</v>
      </c>
      <c r="J5594" s="98" t="s">
        <v>1966</v>
      </c>
      <c r="K5594" s="98" t="s">
        <v>4438</v>
      </c>
      <c r="L5594" s="105" t="str">
        <f t="shared" si="920"/>
        <v>Trimble</v>
      </c>
      <c r="M5594" s="105" t="str">
        <f t="shared" si="921"/>
        <v>Derate</v>
      </c>
      <c r="N5594" s="105" t="str">
        <f t="shared" si="922"/>
        <v>Coal</v>
      </c>
      <c r="O5594" s="105">
        <f>IFERROR(VLOOKUP(A5594,Lookup!$J$5:$P$19,7,FALSE),0)</f>
        <v>3</v>
      </c>
      <c r="P5594" s="159">
        <f t="shared" si="923"/>
        <v>2016</v>
      </c>
      <c r="Q5594" s="159">
        <f t="shared" si="924"/>
        <v>12</v>
      </c>
      <c r="R5594" s="160">
        <f t="shared" si="925"/>
        <v>3.7999999999883585</v>
      </c>
      <c r="S5594" s="158">
        <f t="shared" si="926"/>
        <v>0.35849056603663759</v>
      </c>
      <c r="T5594" s="161">
        <f t="shared" si="927"/>
        <v>176.73584905606234</v>
      </c>
      <c r="U5594" s="158">
        <f t="shared" si="929"/>
        <v>46.509433962264154</v>
      </c>
      <c r="V5594" s="160">
        <f t="shared" si="928"/>
        <v>47</v>
      </c>
    </row>
    <row r="5595" spans="1:22" x14ac:dyDescent="0.25">
      <c r="A5595" s="98" t="s">
        <v>19</v>
      </c>
      <c r="B5595" s="98" t="s">
        <v>17</v>
      </c>
      <c r="C5595" s="98">
        <v>119</v>
      </c>
      <c r="D5595" s="98">
        <v>1471</v>
      </c>
      <c r="E5595" s="157">
        <v>42712.197916666664</v>
      </c>
      <c r="F5595" s="157">
        <v>42712.544444444444</v>
      </c>
      <c r="G5595" s="98">
        <v>230</v>
      </c>
      <c r="H5595" s="98">
        <v>530</v>
      </c>
      <c r="I5595" s="98">
        <v>493</v>
      </c>
      <c r="J5595" s="98" t="s">
        <v>2279</v>
      </c>
      <c r="K5595" s="98" t="s">
        <v>4439</v>
      </c>
      <c r="L5595" s="105" t="str">
        <f t="shared" si="920"/>
        <v>Trimble</v>
      </c>
      <c r="M5595" s="105" t="str">
        <f t="shared" si="921"/>
        <v>Derate</v>
      </c>
      <c r="N5595" s="105" t="str">
        <f t="shared" si="922"/>
        <v>Coal</v>
      </c>
      <c r="O5595" s="105">
        <f>IFERROR(VLOOKUP(A5595,Lookup!$J$5:$P$19,7,FALSE),0)</f>
        <v>3</v>
      </c>
      <c r="P5595" s="159">
        <f t="shared" si="923"/>
        <v>2016</v>
      </c>
      <c r="Q5595" s="159">
        <f t="shared" si="924"/>
        <v>12</v>
      </c>
      <c r="R5595" s="160">
        <f t="shared" si="925"/>
        <v>8.3166666667093523</v>
      </c>
      <c r="S5595" s="158">
        <f t="shared" si="926"/>
        <v>4.7075471698354825</v>
      </c>
      <c r="T5595" s="161">
        <f t="shared" si="927"/>
        <v>2320.820754728893</v>
      </c>
      <c r="U5595" s="158">
        <f t="shared" si="929"/>
        <v>279.05660377358492</v>
      </c>
      <c r="V5595" s="160">
        <f t="shared" si="928"/>
        <v>279</v>
      </c>
    </row>
    <row r="5596" spans="1:22" x14ac:dyDescent="0.25">
      <c r="A5596" s="98" t="s">
        <v>19</v>
      </c>
      <c r="B5596" s="98" t="s">
        <v>17</v>
      </c>
      <c r="C5596" s="98">
        <v>120</v>
      </c>
      <c r="D5596" s="98">
        <v>280</v>
      </c>
      <c r="E5596" s="157">
        <v>42718.423611111109</v>
      </c>
      <c r="F5596" s="157">
        <v>42718.443055555559</v>
      </c>
      <c r="G5596" s="98">
        <v>375</v>
      </c>
      <c r="H5596" s="98">
        <v>530</v>
      </c>
      <c r="I5596" s="98">
        <v>493</v>
      </c>
      <c r="J5596" s="98" t="s">
        <v>1988</v>
      </c>
      <c r="K5596" s="98" t="s">
        <v>4440</v>
      </c>
      <c r="L5596" s="105" t="str">
        <f t="shared" si="920"/>
        <v>Trimble</v>
      </c>
      <c r="M5596" s="105" t="str">
        <f t="shared" si="921"/>
        <v>Derate</v>
      </c>
      <c r="N5596" s="105" t="str">
        <f t="shared" si="922"/>
        <v>Coal</v>
      </c>
      <c r="O5596" s="105">
        <f>IFERROR(VLOOKUP(A5596,Lookup!$J$5:$P$19,7,FALSE),0)</f>
        <v>3</v>
      </c>
      <c r="P5596" s="159">
        <f t="shared" si="923"/>
        <v>2016</v>
      </c>
      <c r="Q5596" s="159">
        <f t="shared" si="924"/>
        <v>12</v>
      </c>
      <c r="R5596" s="160">
        <f t="shared" si="925"/>
        <v>0.46666666679084301</v>
      </c>
      <c r="S5596" s="158">
        <f t="shared" si="926"/>
        <v>0.13647798745769937</v>
      </c>
      <c r="T5596" s="161">
        <f t="shared" si="927"/>
        <v>67.283647816645797</v>
      </c>
      <c r="U5596" s="158">
        <f t="shared" si="929"/>
        <v>144.17924528301887</v>
      </c>
      <c r="V5596" s="160">
        <f t="shared" si="928"/>
        <v>144</v>
      </c>
    </row>
    <row r="5597" spans="1:22" x14ac:dyDescent="0.25">
      <c r="A5597" s="98" t="s">
        <v>19</v>
      </c>
      <c r="B5597" s="98" t="s">
        <v>17</v>
      </c>
      <c r="C5597" s="98">
        <v>121</v>
      </c>
      <c r="D5597" s="98">
        <v>280</v>
      </c>
      <c r="E5597" s="157">
        <v>42723.219444444447</v>
      </c>
      <c r="F5597" s="157">
        <v>42723.242361111108</v>
      </c>
      <c r="G5597" s="98">
        <v>375</v>
      </c>
      <c r="H5597" s="98">
        <v>530</v>
      </c>
      <c r="I5597" s="98">
        <v>493</v>
      </c>
      <c r="J5597" s="98" t="s">
        <v>1988</v>
      </c>
      <c r="K5597" s="98" t="s">
        <v>4441</v>
      </c>
      <c r="L5597" s="105" t="str">
        <f t="shared" si="920"/>
        <v>Trimble</v>
      </c>
      <c r="M5597" s="105" t="str">
        <f t="shared" si="921"/>
        <v>Derate</v>
      </c>
      <c r="N5597" s="105" t="str">
        <f t="shared" si="922"/>
        <v>Coal</v>
      </c>
      <c r="O5597" s="105">
        <f>IFERROR(VLOOKUP(A5597,Lookup!$J$5:$P$19,7,FALSE),0)</f>
        <v>3</v>
      </c>
      <c r="P5597" s="159">
        <f t="shared" si="923"/>
        <v>2016</v>
      </c>
      <c r="Q5597" s="159">
        <f t="shared" si="924"/>
        <v>12</v>
      </c>
      <c r="R5597" s="160">
        <f t="shared" si="925"/>
        <v>0.54999999987194315</v>
      </c>
      <c r="S5597" s="158">
        <f t="shared" si="926"/>
        <v>0.16084905656632301</v>
      </c>
      <c r="T5597" s="161">
        <f t="shared" si="927"/>
        <v>79.298584887197237</v>
      </c>
      <c r="U5597" s="158">
        <f t="shared" si="929"/>
        <v>144.17924528301887</v>
      </c>
      <c r="V5597" s="160">
        <f t="shared" si="928"/>
        <v>144</v>
      </c>
    </row>
    <row r="5598" spans="1:22" x14ac:dyDescent="0.25">
      <c r="A5598" s="98" t="s">
        <v>19</v>
      </c>
      <c r="B5598" s="98" t="s">
        <v>17</v>
      </c>
      <c r="C5598" s="98">
        <v>122</v>
      </c>
      <c r="D5598" s="98">
        <v>8006</v>
      </c>
      <c r="E5598" s="157">
        <v>42726.614583333336</v>
      </c>
      <c r="F5598" s="157">
        <v>42726.769444444442</v>
      </c>
      <c r="G5598" s="98">
        <v>400</v>
      </c>
      <c r="H5598" s="98">
        <v>530</v>
      </c>
      <c r="I5598" s="98">
        <v>493</v>
      </c>
      <c r="J5598" s="98" t="s">
        <v>4442</v>
      </c>
      <c r="K5598" s="98" t="s">
        <v>4443</v>
      </c>
      <c r="L5598" s="105" t="str">
        <f t="shared" si="920"/>
        <v>Trimble</v>
      </c>
      <c r="M5598" s="105" t="str">
        <f t="shared" si="921"/>
        <v>Derate</v>
      </c>
      <c r="N5598" s="105" t="str">
        <f t="shared" si="922"/>
        <v>Coal</v>
      </c>
      <c r="O5598" s="105">
        <f>IFERROR(VLOOKUP(A5598,Lookup!$J$5:$P$19,7,FALSE),0)</f>
        <v>3</v>
      </c>
      <c r="P5598" s="159">
        <f t="shared" si="923"/>
        <v>2016</v>
      </c>
      <c r="Q5598" s="159">
        <f t="shared" si="924"/>
        <v>12</v>
      </c>
      <c r="R5598" s="160">
        <f t="shared" si="925"/>
        <v>3.7166666665580124</v>
      </c>
      <c r="S5598" s="158">
        <f t="shared" si="926"/>
        <v>0.91163522009913511</v>
      </c>
      <c r="T5598" s="161">
        <f t="shared" si="927"/>
        <v>449.43616350887362</v>
      </c>
      <c r="U5598" s="158">
        <f t="shared" si="929"/>
        <v>120.9245283018868</v>
      </c>
      <c r="V5598" s="160">
        <f t="shared" si="928"/>
        <v>121</v>
      </c>
    </row>
    <row r="5599" spans="1:22" x14ac:dyDescent="0.25">
      <c r="A5599" s="98" t="s">
        <v>19</v>
      </c>
      <c r="B5599" s="98" t="s">
        <v>17</v>
      </c>
      <c r="C5599" s="98">
        <v>1</v>
      </c>
      <c r="D5599" s="98">
        <v>280</v>
      </c>
      <c r="E5599" s="157">
        <v>42739.451388888891</v>
      </c>
      <c r="F5599" s="157">
        <v>42739.529166666667</v>
      </c>
      <c r="G5599" s="98">
        <v>375</v>
      </c>
      <c r="H5599" s="98">
        <v>530</v>
      </c>
      <c r="I5599" s="98">
        <v>493</v>
      </c>
      <c r="J5599" s="98" t="s">
        <v>1988</v>
      </c>
      <c r="K5599" s="98" t="s">
        <v>4444</v>
      </c>
      <c r="L5599" s="105" t="str">
        <f t="shared" si="920"/>
        <v>Trimble</v>
      </c>
      <c r="M5599" s="105" t="str">
        <f t="shared" si="921"/>
        <v>Derate</v>
      </c>
      <c r="N5599" s="105" t="str">
        <f t="shared" si="922"/>
        <v>Coal</v>
      </c>
      <c r="O5599" s="105">
        <f>IFERROR(VLOOKUP(A5599,Lookup!$J$5:$P$19,7,FALSE),0)</f>
        <v>3</v>
      </c>
      <c r="P5599" s="159">
        <f t="shared" si="923"/>
        <v>2017</v>
      </c>
      <c r="Q5599" s="159">
        <f t="shared" si="924"/>
        <v>1</v>
      </c>
      <c r="R5599" s="160">
        <f t="shared" si="925"/>
        <v>1.8666666666395031</v>
      </c>
      <c r="S5599" s="158">
        <f t="shared" si="926"/>
        <v>0.54591194967759049</v>
      </c>
      <c r="T5599" s="161">
        <f t="shared" si="927"/>
        <v>269.1345911910521</v>
      </c>
      <c r="U5599" s="158">
        <f t="shared" si="929"/>
        <v>144.17924528301887</v>
      </c>
      <c r="V5599" s="160">
        <f t="shared" si="928"/>
        <v>144</v>
      </c>
    </row>
    <row r="5600" spans="1:22" x14ac:dyDescent="0.25">
      <c r="A5600" s="98" t="s">
        <v>19</v>
      </c>
      <c r="B5600" s="98" t="s">
        <v>17</v>
      </c>
      <c r="C5600" s="98">
        <v>2</v>
      </c>
      <c r="D5600" s="98">
        <v>280</v>
      </c>
      <c r="E5600" s="157">
        <v>42739.758333333331</v>
      </c>
      <c r="F5600" s="157">
        <v>42739.847222222219</v>
      </c>
      <c r="G5600" s="98">
        <v>375</v>
      </c>
      <c r="H5600" s="98">
        <v>530</v>
      </c>
      <c r="I5600" s="98">
        <v>493</v>
      </c>
      <c r="J5600" s="98" t="s">
        <v>1988</v>
      </c>
      <c r="K5600" s="98" t="s">
        <v>4445</v>
      </c>
      <c r="L5600" s="105" t="str">
        <f t="shared" si="920"/>
        <v>Trimble</v>
      </c>
      <c r="M5600" s="105" t="str">
        <f t="shared" si="921"/>
        <v>Derate</v>
      </c>
      <c r="N5600" s="105" t="str">
        <f t="shared" si="922"/>
        <v>Coal</v>
      </c>
      <c r="O5600" s="105">
        <f>IFERROR(VLOOKUP(A5600,Lookup!$J$5:$P$19,7,FALSE),0)</f>
        <v>3</v>
      </c>
      <c r="P5600" s="159">
        <f t="shared" si="923"/>
        <v>2017</v>
      </c>
      <c r="Q5600" s="159">
        <f t="shared" si="924"/>
        <v>1</v>
      </c>
      <c r="R5600" s="160">
        <f t="shared" si="925"/>
        <v>2.1333333333022892</v>
      </c>
      <c r="S5600" s="158">
        <f t="shared" si="926"/>
        <v>0.62389937106010351</v>
      </c>
      <c r="T5600" s="161">
        <f t="shared" si="927"/>
        <v>307.58238993263103</v>
      </c>
      <c r="U5600" s="158">
        <f t="shared" si="929"/>
        <v>144.17924528301887</v>
      </c>
      <c r="V5600" s="160">
        <f t="shared" si="928"/>
        <v>144</v>
      </c>
    </row>
    <row r="5601" spans="1:22" x14ac:dyDescent="0.25">
      <c r="A5601" s="98" t="s">
        <v>19</v>
      </c>
      <c r="B5601" s="98" t="s">
        <v>79</v>
      </c>
      <c r="C5601" s="98">
        <v>3</v>
      </c>
      <c r="D5601" s="98">
        <v>8601</v>
      </c>
      <c r="E5601" s="157">
        <v>42740.291666666664</v>
      </c>
      <c r="F5601" s="157">
        <v>42740.704861111109</v>
      </c>
      <c r="G5601" s="98">
        <v>0</v>
      </c>
      <c r="H5601" s="98">
        <v>530</v>
      </c>
      <c r="I5601" s="98">
        <v>493</v>
      </c>
      <c r="J5601" s="98" t="s">
        <v>232</v>
      </c>
      <c r="K5601" s="98" t="s">
        <v>4446</v>
      </c>
      <c r="L5601" s="105" t="str">
        <f t="shared" si="920"/>
        <v>Trimble</v>
      </c>
      <c r="M5601" s="105" t="str">
        <f t="shared" si="921"/>
        <v>Other</v>
      </c>
      <c r="N5601" s="105" t="str">
        <f t="shared" si="922"/>
        <v>Coal</v>
      </c>
      <c r="O5601" s="105">
        <f>IFERROR(VLOOKUP(A5601,Lookup!$J$5:$P$19,7,FALSE),0)</f>
        <v>3</v>
      </c>
      <c r="P5601" s="159">
        <f t="shared" si="923"/>
        <v>2017</v>
      </c>
      <c r="Q5601" s="159">
        <f t="shared" si="924"/>
        <v>1</v>
      </c>
      <c r="R5601" s="160">
        <f t="shared" si="925"/>
        <v>9.9166666666860692</v>
      </c>
      <c r="S5601" s="158">
        <f t="shared" si="926"/>
        <v>9.9166666666860692</v>
      </c>
      <c r="T5601" s="161">
        <f t="shared" si="927"/>
        <v>4888.9166666762321</v>
      </c>
      <c r="U5601" s="158">
        <f t="shared" si="929"/>
        <v>493</v>
      </c>
      <c r="V5601" s="160">
        <f t="shared" si="928"/>
        <v>493</v>
      </c>
    </row>
    <row r="5602" spans="1:22" x14ac:dyDescent="0.25">
      <c r="A5602" s="98" t="s">
        <v>19</v>
      </c>
      <c r="B5602" s="98" t="s">
        <v>79</v>
      </c>
      <c r="C5602" s="98">
        <v>4</v>
      </c>
      <c r="D5602" s="98">
        <v>8601</v>
      </c>
      <c r="E5602" s="157">
        <v>42741.291666666664</v>
      </c>
      <c r="F5602" s="157">
        <v>42741.627083333333</v>
      </c>
      <c r="G5602" s="98">
        <v>0</v>
      </c>
      <c r="H5602" s="98">
        <v>530</v>
      </c>
      <c r="I5602" s="98">
        <v>493</v>
      </c>
      <c r="J5602" s="98" t="s">
        <v>232</v>
      </c>
      <c r="K5602" s="98" t="s">
        <v>4447</v>
      </c>
      <c r="L5602" s="105" t="str">
        <f t="shared" si="920"/>
        <v>Trimble</v>
      </c>
      <c r="M5602" s="105" t="str">
        <f t="shared" si="921"/>
        <v>Other</v>
      </c>
      <c r="N5602" s="105" t="str">
        <f t="shared" si="922"/>
        <v>Coal</v>
      </c>
      <c r="O5602" s="105">
        <f>IFERROR(VLOOKUP(A5602,Lookup!$J$5:$P$19,7,FALSE),0)</f>
        <v>3</v>
      </c>
      <c r="P5602" s="159">
        <f t="shared" si="923"/>
        <v>2017</v>
      </c>
      <c r="Q5602" s="159">
        <f t="shared" si="924"/>
        <v>1</v>
      </c>
      <c r="R5602" s="160">
        <f t="shared" si="925"/>
        <v>8.0500000000465661</v>
      </c>
      <c r="S5602" s="158">
        <f t="shared" si="926"/>
        <v>8.0500000000465661</v>
      </c>
      <c r="T5602" s="161">
        <f t="shared" si="927"/>
        <v>3968.6500000229571</v>
      </c>
      <c r="U5602" s="158">
        <f t="shared" si="929"/>
        <v>493</v>
      </c>
      <c r="V5602" s="160">
        <f t="shared" si="928"/>
        <v>493</v>
      </c>
    </row>
    <row r="5603" spans="1:22" x14ac:dyDescent="0.25">
      <c r="A5603" s="98" t="s">
        <v>19</v>
      </c>
      <c r="B5603" s="98" t="s">
        <v>17</v>
      </c>
      <c r="C5603" s="98">
        <v>5</v>
      </c>
      <c r="D5603" s="98">
        <v>280</v>
      </c>
      <c r="E5603" s="157">
        <v>42741.5625</v>
      </c>
      <c r="F5603" s="157">
        <v>42741.589583333334</v>
      </c>
      <c r="G5603" s="98">
        <v>490</v>
      </c>
      <c r="H5603" s="98">
        <v>530</v>
      </c>
      <c r="I5603" s="98">
        <v>493</v>
      </c>
      <c r="J5603" s="98" t="s">
        <v>1988</v>
      </c>
      <c r="K5603" s="98" t="s">
        <v>4448</v>
      </c>
      <c r="L5603" s="105" t="str">
        <f t="shared" si="920"/>
        <v>Trimble</v>
      </c>
      <c r="M5603" s="105" t="str">
        <f t="shared" si="921"/>
        <v>Derate</v>
      </c>
      <c r="N5603" s="105" t="str">
        <f t="shared" si="922"/>
        <v>Coal</v>
      </c>
      <c r="O5603" s="105">
        <f>IFERROR(VLOOKUP(A5603,Lookup!$J$5:$P$19,7,FALSE),0)</f>
        <v>3</v>
      </c>
      <c r="P5603" s="159">
        <f t="shared" si="923"/>
        <v>2017</v>
      </c>
      <c r="Q5603" s="159">
        <f t="shared" si="924"/>
        <v>1</v>
      </c>
      <c r="R5603" s="160">
        <f t="shared" si="925"/>
        <v>0.65000000002328306</v>
      </c>
      <c r="S5603" s="158">
        <f t="shared" si="926"/>
        <v>4.9056603775342121E-2</v>
      </c>
      <c r="T5603" s="161">
        <f t="shared" si="927"/>
        <v>24.184905661243665</v>
      </c>
      <c r="U5603" s="158">
        <f t="shared" si="929"/>
        <v>37.20754716981132</v>
      </c>
      <c r="V5603" s="160">
        <f t="shared" si="928"/>
        <v>37</v>
      </c>
    </row>
    <row r="5604" spans="1:22" x14ac:dyDescent="0.25">
      <c r="A5604" s="98" t="s">
        <v>19</v>
      </c>
      <c r="B5604" s="98" t="s">
        <v>17</v>
      </c>
      <c r="C5604" s="98">
        <v>6</v>
      </c>
      <c r="D5604" s="98">
        <v>280</v>
      </c>
      <c r="E5604" s="157">
        <v>42741.661111111112</v>
      </c>
      <c r="F5604" s="157">
        <v>42741.711111111108</v>
      </c>
      <c r="G5604" s="98">
        <v>490</v>
      </c>
      <c r="H5604" s="98">
        <v>530</v>
      </c>
      <c r="I5604" s="98">
        <v>493</v>
      </c>
      <c r="J5604" s="98" t="s">
        <v>1988</v>
      </c>
      <c r="K5604" s="98" t="s">
        <v>4449</v>
      </c>
      <c r="L5604" s="105" t="str">
        <f t="shared" si="920"/>
        <v>Trimble</v>
      </c>
      <c r="M5604" s="105" t="str">
        <f t="shared" si="921"/>
        <v>Derate</v>
      </c>
      <c r="N5604" s="105" t="str">
        <f t="shared" si="922"/>
        <v>Coal</v>
      </c>
      <c r="O5604" s="105">
        <f>IFERROR(VLOOKUP(A5604,Lookup!$J$5:$P$19,7,FALSE),0)</f>
        <v>3</v>
      </c>
      <c r="P5604" s="159">
        <f t="shared" si="923"/>
        <v>2017</v>
      </c>
      <c r="Q5604" s="159">
        <f t="shared" si="924"/>
        <v>1</v>
      </c>
      <c r="R5604" s="160">
        <f t="shared" si="925"/>
        <v>1.1999999998952262</v>
      </c>
      <c r="S5604" s="158">
        <f t="shared" si="926"/>
        <v>9.0566037727941598E-2</v>
      </c>
      <c r="T5604" s="161">
        <f t="shared" si="927"/>
        <v>44.649056599875209</v>
      </c>
      <c r="U5604" s="158">
        <f t="shared" si="929"/>
        <v>37.20754716981132</v>
      </c>
      <c r="V5604" s="160">
        <f t="shared" si="928"/>
        <v>37</v>
      </c>
    </row>
    <row r="5605" spans="1:22" x14ac:dyDescent="0.25">
      <c r="A5605" s="98" t="s">
        <v>19</v>
      </c>
      <c r="B5605" s="98" t="s">
        <v>15</v>
      </c>
      <c r="C5605" s="98">
        <v>7</v>
      </c>
      <c r="D5605" s="98">
        <v>1750</v>
      </c>
      <c r="E5605" s="157">
        <v>42761.791666666664</v>
      </c>
      <c r="F5605" s="157">
        <v>42761.977083333331</v>
      </c>
      <c r="G5605" s="98">
        <v>0</v>
      </c>
      <c r="H5605" s="98">
        <v>530</v>
      </c>
      <c r="I5605" s="98">
        <v>493</v>
      </c>
      <c r="J5605" s="98" t="s">
        <v>2018</v>
      </c>
      <c r="K5605" s="98" t="s">
        <v>4450</v>
      </c>
      <c r="L5605" s="105" t="str">
        <f t="shared" si="920"/>
        <v>Trimble</v>
      </c>
      <c r="M5605" s="105" t="str">
        <f t="shared" si="921"/>
        <v>Outage</v>
      </c>
      <c r="N5605" s="105" t="str">
        <f t="shared" si="922"/>
        <v>Coal</v>
      </c>
      <c r="O5605" s="105">
        <f>IFERROR(VLOOKUP(A5605,Lookup!$J$5:$P$19,7,FALSE),0)</f>
        <v>3</v>
      </c>
      <c r="P5605" s="159">
        <f t="shared" si="923"/>
        <v>2017</v>
      </c>
      <c r="Q5605" s="159">
        <f t="shared" si="924"/>
        <v>1</v>
      </c>
      <c r="R5605" s="160">
        <f t="shared" si="925"/>
        <v>4.4500000000116415</v>
      </c>
      <c r="S5605" s="158">
        <f t="shared" si="926"/>
        <v>4.4500000000116415</v>
      </c>
      <c r="T5605" s="161">
        <f t="shared" si="927"/>
        <v>2193.8500000057393</v>
      </c>
      <c r="U5605" s="158">
        <f t="shared" si="929"/>
        <v>493</v>
      </c>
      <c r="V5605" s="160">
        <f t="shared" si="928"/>
        <v>493</v>
      </c>
    </row>
    <row r="5606" spans="1:22" x14ac:dyDescent="0.25">
      <c r="A5606" s="98" t="s">
        <v>19</v>
      </c>
      <c r="B5606" s="98" t="s">
        <v>17</v>
      </c>
      <c r="C5606" s="98">
        <v>8</v>
      </c>
      <c r="D5606" s="98">
        <v>310</v>
      </c>
      <c r="E5606" s="157">
        <v>42767.706944444442</v>
      </c>
      <c r="F5606" s="157">
        <v>42767.758333333331</v>
      </c>
      <c r="G5606" s="98">
        <v>375</v>
      </c>
      <c r="H5606" s="98">
        <v>530</v>
      </c>
      <c r="I5606" s="98">
        <v>493</v>
      </c>
      <c r="J5606" s="98" t="s">
        <v>1966</v>
      </c>
      <c r="K5606" s="98" t="s">
        <v>4451</v>
      </c>
      <c r="L5606" s="105" t="str">
        <f t="shared" si="920"/>
        <v>Trimble</v>
      </c>
      <c r="M5606" s="105" t="str">
        <f t="shared" si="921"/>
        <v>Derate</v>
      </c>
      <c r="N5606" s="105" t="str">
        <f t="shared" si="922"/>
        <v>Coal</v>
      </c>
      <c r="O5606" s="105">
        <f>IFERROR(VLOOKUP(A5606,Lookup!$J$5:$P$19,7,FALSE),0)</f>
        <v>3</v>
      </c>
      <c r="P5606" s="159">
        <f t="shared" si="923"/>
        <v>2017</v>
      </c>
      <c r="Q5606" s="159">
        <f t="shared" si="924"/>
        <v>2</v>
      </c>
      <c r="R5606" s="160">
        <f t="shared" si="925"/>
        <v>1.2333333333372138</v>
      </c>
      <c r="S5606" s="158">
        <f t="shared" si="926"/>
        <v>0.36069182390050591</v>
      </c>
      <c r="T5606" s="161">
        <f t="shared" si="927"/>
        <v>177.82106918294943</v>
      </c>
      <c r="U5606" s="158">
        <f t="shared" si="929"/>
        <v>144.17924528301887</v>
      </c>
      <c r="V5606" s="160">
        <f t="shared" si="928"/>
        <v>144</v>
      </c>
    </row>
    <row r="5607" spans="1:22" x14ac:dyDescent="0.25">
      <c r="A5607" s="98" t="s">
        <v>19</v>
      </c>
      <c r="B5607" s="98" t="s">
        <v>17</v>
      </c>
      <c r="C5607" s="98">
        <v>9</v>
      </c>
      <c r="D5607" s="98">
        <v>280</v>
      </c>
      <c r="E5607" s="157">
        <v>42767.836111111108</v>
      </c>
      <c r="F5607" s="157">
        <v>42767.853472222225</v>
      </c>
      <c r="G5607" s="98">
        <v>375</v>
      </c>
      <c r="H5607" s="98">
        <v>530</v>
      </c>
      <c r="I5607" s="98">
        <v>493</v>
      </c>
      <c r="J5607" s="98" t="s">
        <v>1988</v>
      </c>
      <c r="K5607" s="98" t="s">
        <v>4452</v>
      </c>
      <c r="L5607" s="105" t="str">
        <f t="shared" si="920"/>
        <v>Trimble</v>
      </c>
      <c r="M5607" s="105" t="str">
        <f t="shared" si="921"/>
        <v>Derate</v>
      </c>
      <c r="N5607" s="105" t="str">
        <f t="shared" si="922"/>
        <v>Coal</v>
      </c>
      <c r="O5607" s="105">
        <f>IFERROR(VLOOKUP(A5607,Lookup!$J$5:$P$19,7,FALSE),0)</f>
        <v>3</v>
      </c>
      <c r="P5607" s="159">
        <f t="shared" si="923"/>
        <v>2017</v>
      </c>
      <c r="Q5607" s="159">
        <f t="shared" si="924"/>
        <v>2</v>
      </c>
      <c r="R5607" s="160">
        <f t="shared" si="925"/>
        <v>0.41666666680248454</v>
      </c>
      <c r="S5607" s="158">
        <f t="shared" si="926"/>
        <v>0.12185534595167001</v>
      </c>
      <c r="T5607" s="161">
        <f t="shared" si="927"/>
        <v>60.074685554173314</v>
      </c>
      <c r="U5607" s="158">
        <f t="shared" si="929"/>
        <v>144.17924528301887</v>
      </c>
      <c r="V5607" s="160">
        <f t="shared" si="928"/>
        <v>144</v>
      </c>
    </row>
    <row r="5608" spans="1:22" x14ac:dyDescent="0.25">
      <c r="A5608" s="98" t="s">
        <v>19</v>
      </c>
      <c r="B5608" s="98" t="s">
        <v>79</v>
      </c>
      <c r="C5608" s="98">
        <v>10</v>
      </c>
      <c r="D5608" s="98">
        <v>8700</v>
      </c>
      <c r="E5608" s="157">
        <v>42773.333333333336</v>
      </c>
      <c r="F5608" s="157">
        <v>42773.629166666666</v>
      </c>
      <c r="G5608" s="98">
        <v>0</v>
      </c>
      <c r="H5608" s="98">
        <v>530</v>
      </c>
      <c r="I5608" s="98">
        <v>493</v>
      </c>
      <c r="J5608" s="98" t="s">
        <v>1987</v>
      </c>
      <c r="K5608" s="98" t="s">
        <v>4428</v>
      </c>
      <c r="L5608" s="105" t="str">
        <f t="shared" si="920"/>
        <v>Trimble</v>
      </c>
      <c r="M5608" s="105" t="str">
        <f t="shared" si="921"/>
        <v>Other</v>
      </c>
      <c r="N5608" s="105" t="str">
        <f t="shared" si="922"/>
        <v>Coal</v>
      </c>
      <c r="O5608" s="105">
        <f>IFERROR(VLOOKUP(A5608,Lookup!$J$5:$P$19,7,FALSE),0)</f>
        <v>3</v>
      </c>
      <c r="P5608" s="159">
        <f t="shared" si="923"/>
        <v>2017</v>
      </c>
      <c r="Q5608" s="159">
        <f t="shared" si="924"/>
        <v>2</v>
      </c>
      <c r="R5608" s="160">
        <f t="shared" si="925"/>
        <v>7.0999999999185093</v>
      </c>
      <c r="S5608" s="158">
        <f t="shared" si="926"/>
        <v>7.0999999999185093</v>
      </c>
      <c r="T5608" s="161">
        <f t="shared" si="927"/>
        <v>3500.2999999598251</v>
      </c>
      <c r="U5608" s="158">
        <f t="shared" si="929"/>
        <v>493</v>
      </c>
      <c r="V5608" s="160">
        <f t="shared" si="928"/>
        <v>493</v>
      </c>
    </row>
    <row r="5609" spans="1:22" x14ac:dyDescent="0.25">
      <c r="A5609" s="98" t="s">
        <v>19</v>
      </c>
      <c r="B5609" s="98" t="s">
        <v>17</v>
      </c>
      <c r="C5609" s="98">
        <v>11</v>
      </c>
      <c r="D5609" s="98">
        <v>280</v>
      </c>
      <c r="E5609" s="157">
        <v>42775.216666666667</v>
      </c>
      <c r="F5609" s="157">
        <v>42775.243750000001</v>
      </c>
      <c r="G5609" s="98">
        <v>375</v>
      </c>
      <c r="H5609" s="98">
        <v>530</v>
      </c>
      <c r="I5609" s="98">
        <v>493</v>
      </c>
      <c r="J5609" s="98" t="s">
        <v>1988</v>
      </c>
      <c r="K5609" s="98" t="s">
        <v>4453</v>
      </c>
      <c r="L5609" s="105" t="str">
        <f t="shared" si="920"/>
        <v>Trimble</v>
      </c>
      <c r="M5609" s="105" t="str">
        <f t="shared" si="921"/>
        <v>Derate</v>
      </c>
      <c r="N5609" s="105" t="str">
        <f t="shared" si="922"/>
        <v>Coal</v>
      </c>
      <c r="O5609" s="105">
        <f>IFERROR(VLOOKUP(A5609,Lookup!$J$5:$P$19,7,FALSE),0)</f>
        <v>3</v>
      </c>
      <c r="P5609" s="159">
        <f t="shared" si="923"/>
        <v>2017</v>
      </c>
      <c r="Q5609" s="159">
        <f t="shared" si="924"/>
        <v>2</v>
      </c>
      <c r="R5609" s="160">
        <f t="shared" si="925"/>
        <v>0.65000000002328306</v>
      </c>
      <c r="S5609" s="158">
        <f t="shared" si="926"/>
        <v>0.19009433962945071</v>
      </c>
      <c r="T5609" s="161">
        <f t="shared" si="927"/>
        <v>93.716509437319203</v>
      </c>
      <c r="U5609" s="158">
        <f t="shared" si="929"/>
        <v>144.17924528301887</v>
      </c>
      <c r="V5609" s="160">
        <f t="shared" si="928"/>
        <v>144</v>
      </c>
    </row>
    <row r="5610" spans="1:22" x14ac:dyDescent="0.25">
      <c r="A5610" s="98" t="s">
        <v>19</v>
      </c>
      <c r="B5610" s="98" t="s">
        <v>17</v>
      </c>
      <c r="C5610" s="98">
        <v>12</v>
      </c>
      <c r="D5610" s="98">
        <v>280</v>
      </c>
      <c r="E5610" s="157">
        <v>42782.476388888892</v>
      </c>
      <c r="F5610" s="157">
        <v>42782.511111111111</v>
      </c>
      <c r="G5610" s="98">
        <v>375</v>
      </c>
      <c r="H5610" s="98">
        <v>530</v>
      </c>
      <c r="I5610" s="98">
        <v>493</v>
      </c>
      <c r="J5610" s="98" t="s">
        <v>1988</v>
      </c>
      <c r="K5610" s="98" t="s">
        <v>4454</v>
      </c>
      <c r="L5610" s="105" t="str">
        <f t="shared" si="920"/>
        <v>Trimble</v>
      </c>
      <c r="M5610" s="105" t="str">
        <f t="shared" si="921"/>
        <v>Derate</v>
      </c>
      <c r="N5610" s="105" t="str">
        <f t="shared" si="922"/>
        <v>Coal</v>
      </c>
      <c r="O5610" s="105">
        <f>IFERROR(VLOOKUP(A5610,Lookup!$J$5:$P$19,7,FALSE),0)</f>
        <v>3</v>
      </c>
      <c r="P5610" s="159">
        <f t="shared" si="923"/>
        <v>2017</v>
      </c>
      <c r="Q5610" s="159">
        <f t="shared" si="924"/>
        <v>2</v>
      </c>
      <c r="R5610" s="160">
        <f t="shared" si="925"/>
        <v>0.83333333325572312</v>
      </c>
      <c r="S5610" s="158">
        <f t="shared" si="926"/>
        <v>0.24371069180120206</v>
      </c>
      <c r="T5610" s="161">
        <f t="shared" si="927"/>
        <v>120.14937105799261</v>
      </c>
      <c r="U5610" s="158">
        <f t="shared" si="929"/>
        <v>144.17924528301887</v>
      </c>
      <c r="V5610" s="160">
        <f t="shared" si="928"/>
        <v>144</v>
      </c>
    </row>
    <row r="5611" spans="1:22" x14ac:dyDescent="0.25">
      <c r="A5611" s="98" t="s">
        <v>19</v>
      </c>
      <c r="B5611" s="98" t="s">
        <v>17</v>
      </c>
      <c r="C5611" s="98">
        <v>13</v>
      </c>
      <c r="D5611" s="98">
        <v>250</v>
      </c>
      <c r="E5611" s="157">
        <v>42791.881249999999</v>
      </c>
      <c r="F5611" s="157">
        <v>42791.907638888886</v>
      </c>
      <c r="G5611" s="98">
        <v>350</v>
      </c>
      <c r="H5611" s="98">
        <v>530</v>
      </c>
      <c r="I5611" s="98">
        <v>493</v>
      </c>
      <c r="J5611" s="98" t="s">
        <v>1978</v>
      </c>
      <c r="K5611" s="98" t="s">
        <v>4455</v>
      </c>
      <c r="L5611" s="105" t="str">
        <f t="shared" si="920"/>
        <v>Trimble</v>
      </c>
      <c r="M5611" s="105" t="str">
        <f t="shared" si="921"/>
        <v>Derate</v>
      </c>
      <c r="N5611" s="105" t="str">
        <f t="shared" si="922"/>
        <v>Coal</v>
      </c>
      <c r="O5611" s="105">
        <f>IFERROR(VLOOKUP(A5611,Lookup!$J$5:$P$19,7,FALSE),0)</f>
        <v>3</v>
      </c>
      <c r="P5611" s="159">
        <f t="shared" si="923"/>
        <v>2017</v>
      </c>
      <c r="Q5611" s="159">
        <f t="shared" si="924"/>
        <v>2</v>
      </c>
      <c r="R5611" s="160">
        <f t="shared" si="925"/>
        <v>0.63333333330228925</v>
      </c>
      <c r="S5611" s="158">
        <f t="shared" si="926"/>
        <v>0.21509433961209823</v>
      </c>
      <c r="T5611" s="161">
        <f t="shared" si="927"/>
        <v>106.04150942876443</v>
      </c>
      <c r="U5611" s="158">
        <f t="shared" si="929"/>
        <v>167.43396226415095</v>
      </c>
      <c r="V5611" s="160">
        <f t="shared" si="928"/>
        <v>167</v>
      </c>
    </row>
    <row r="5612" spans="1:22" x14ac:dyDescent="0.25">
      <c r="A5612" s="98" t="s">
        <v>19</v>
      </c>
      <c r="B5612" s="98" t="s">
        <v>79</v>
      </c>
      <c r="C5612" s="98">
        <v>14</v>
      </c>
      <c r="D5612" s="98">
        <v>9999</v>
      </c>
      <c r="E5612" s="157">
        <v>42793.25</v>
      </c>
      <c r="F5612" s="157">
        <v>42793.50277777778</v>
      </c>
      <c r="G5612" s="98">
        <v>0</v>
      </c>
      <c r="H5612" s="98">
        <v>530</v>
      </c>
      <c r="I5612" s="98">
        <v>493</v>
      </c>
      <c r="J5612" s="98" t="s">
        <v>2261</v>
      </c>
      <c r="K5612" s="98" t="s">
        <v>4456</v>
      </c>
      <c r="L5612" s="105" t="str">
        <f t="shared" si="920"/>
        <v>Trimble</v>
      </c>
      <c r="M5612" s="105" t="str">
        <f t="shared" si="921"/>
        <v>Other</v>
      </c>
      <c r="N5612" s="105" t="str">
        <f t="shared" si="922"/>
        <v>Coal</v>
      </c>
      <c r="O5612" s="105">
        <f>IFERROR(VLOOKUP(A5612,Lookup!$J$5:$P$19,7,FALSE),0)</f>
        <v>3</v>
      </c>
      <c r="P5612" s="159">
        <f t="shared" si="923"/>
        <v>2017</v>
      </c>
      <c r="Q5612" s="159">
        <f t="shared" si="924"/>
        <v>2</v>
      </c>
      <c r="R5612" s="160">
        <f t="shared" si="925"/>
        <v>6.0666666667093523</v>
      </c>
      <c r="S5612" s="158">
        <f t="shared" si="926"/>
        <v>6.0666666667093523</v>
      </c>
      <c r="T5612" s="161">
        <f t="shared" si="927"/>
        <v>2990.8666666877107</v>
      </c>
      <c r="U5612" s="158">
        <f t="shared" si="929"/>
        <v>493</v>
      </c>
      <c r="V5612" s="160">
        <f t="shared" si="928"/>
        <v>493</v>
      </c>
    </row>
    <row r="5613" spans="1:22" x14ac:dyDescent="0.25">
      <c r="A5613" s="98" t="s">
        <v>19</v>
      </c>
      <c r="B5613" s="98" t="s">
        <v>17</v>
      </c>
      <c r="C5613" s="98">
        <v>15</v>
      </c>
      <c r="D5613" s="98">
        <v>280</v>
      </c>
      <c r="E5613" s="157">
        <v>42805.47152777778</v>
      </c>
      <c r="F5613" s="157">
        <v>42805.490972222222</v>
      </c>
      <c r="G5613" s="98">
        <v>365</v>
      </c>
      <c r="H5613" s="98">
        <v>530</v>
      </c>
      <c r="I5613" s="98">
        <v>493</v>
      </c>
      <c r="J5613" s="98" t="s">
        <v>1988</v>
      </c>
      <c r="K5613" s="98" t="s">
        <v>4457</v>
      </c>
      <c r="L5613" s="105" t="str">
        <f t="shared" si="920"/>
        <v>Trimble</v>
      </c>
      <c r="M5613" s="105" t="str">
        <f t="shared" si="921"/>
        <v>Derate</v>
      </c>
      <c r="N5613" s="105" t="str">
        <f t="shared" si="922"/>
        <v>Coal</v>
      </c>
      <c r="O5613" s="105">
        <f>IFERROR(VLOOKUP(A5613,Lookup!$J$5:$P$19,7,FALSE),0)</f>
        <v>3</v>
      </c>
      <c r="P5613" s="159">
        <f t="shared" si="923"/>
        <v>2017</v>
      </c>
      <c r="Q5613" s="159">
        <f t="shared" si="924"/>
        <v>3</v>
      </c>
      <c r="R5613" s="160">
        <f t="shared" si="925"/>
        <v>0.46666666661622003</v>
      </c>
      <c r="S5613" s="158">
        <f t="shared" si="926"/>
        <v>0.14528301885221945</v>
      </c>
      <c r="T5613" s="161">
        <f t="shared" si="927"/>
        <v>71.624528294144184</v>
      </c>
      <c r="U5613" s="158">
        <f t="shared" si="929"/>
        <v>153.48113207547169</v>
      </c>
      <c r="V5613" s="160">
        <f t="shared" si="928"/>
        <v>153</v>
      </c>
    </row>
    <row r="5614" spans="1:22" x14ac:dyDescent="0.25">
      <c r="A5614" s="98" t="s">
        <v>19</v>
      </c>
      <c r="B5614" s="98" t="s">
        <v>17</v>
      </c>
      <c r="C5614" s="98">
        <v>16</v>
      </c>
      <c r="D5614" s="98">
        <v>280</v>
      </c>
      <c r="E5614" s="157">
        <v>42811.241666666669</v>
      </c>
      <c r="F5614" s="157">
        <v>42811.262499999997</v>
      </c>
      <c r="G5614" s="98">
        <v>365</v>
      </c>
      <c r="H5614" s="98">
        <v>530</v>
      </c>
      <c r="I5614" s="98">
        <v>493</v>
      </c>
      <c r="J5614" s="98" t="s">
        <v>1988</v>
      </c>
      <c r="K5614" s="98" t="s">
        <v>4458</v>
      </c>
      <c r="L5614" s="105" t="str">
        <f t="shared" si="920"/>
        <v>Trimble</v>
      </c>
      <c r="M5614" s="105" t="str">
        <f t="shared" si="921"/>
        <v>Derate</v>
      </c>
      <c r="N5614" s="105" t="str">
        <f t="shared" si="922"/>
        <v>Coal</v>
      </c>
      <c r="O5614" s="105">
        <f>IFERROR(VLOOKUP(A5614,Lookup!$J$5:$P$19,7,FALSE),0)</f>
        <v>3</v>
      </c>
      <c r="P5614" s="159">
        <f t="shared" si="923"/>
        <v>2017</v>
      </c>
      <c r="Q5614" s="159">
        <f t="shared" si="924"/>
        <v>3</v>
      </c>
      <c r="R5614" s="160">
        <f t="shared" si="925"/>
        <v>0.49999999988358468</v>
      </c>
      <c r="S5614" s="158">
        <f t="shared" si="926"/>
        <v>0.15566037732224805</v>
      </c>
      <c r="T5614" s="161">
        <f t="shared" si="927"/>
        <v>76.740566019868282</v>
      </c>
      <c r="U5614" s="158">
        <f t="shared" si="929"/>
        <v>153.48113207547169</v>
      </c>
      <c r="V5614" s="160">
        <f t="shared" si="928"/>
        <v>153</v>
      </c>
    </row>
    <row r="5615" spans="1:22" x14ac:dyDescent="0.25">
      <c r="A5615" s="98" t="s">
        <v>19</v>
      </c>
      <c r="B5615" s="98" t="s">
        <v>17</v>
      </c>
      <c r="C5615" s="98">
        <v>17</v>
      </c>
      <c r="D5615" s="98">
        <v>280</v>
      </c>
      <c r="E5615" s="157">
        <v>42812.527777777781</v>
      </c>
      <c r="F5615" s="157">
        <v>42812.539583333331</v>
      </c>
      <c r="G5615" s="98">
        <v>365</v>
      </c>
      <c r="H5615" s="98">
        <v>530</v>
      </c>
      <c r="I5615" s="98">
        <v>493</v>
      </c>
      <c r="J5615" s="98" t="s">
        <v>1988</v>
      </c>
      <c r="K5615" s="98" t="s">
        <v>4459</v>
      </c>
      <c r="L5615" s="105" t="str">
        <f t="shared" si="920"/>
        <v>Trimble</v>
      </c>
      <c r="M5615" s="105" t="str">
        <f t="shared" si="921"/>
        <v>Derate</v>
      </c>
      <c r="N5615" s="105" t="str">
        <f t="shared" si="922"/>
        <v>Coal</v>
      </c>
      <c r="O5615" s="105">
        <f>IFERROR(VLOOKUP(A5615,Lookup!$J$5:$P$19,7,FALSE),0)</f>
        <v>3</v>
      </c>
      <c r="P5615" s="159">
        <f t="shared" si="923"/>
        <v>2017</v>
      </c>
      <c r="Q5615" s="159">
        <f t="shared" si="924"/>
        <v>3</v>
      </c>
      <c r="R5615" s="160">
        <f t="shared" si="925"/>
        <v>0.28333333320915699</v>
      </c>
      <c r="S5615" s="158">
        <f t="shared" si="926"/>
        <v>8.8207547131152642E-2</v>
      </c>
      <c r="T5615" s="161">
        <f t="shared" si="927"/>
        <v>43.486320735658254</v>
      </c>
      <c r="U5615" s="158">
        <f t="shared" si="929"/>
        <v>153.48113207547169</v>
      </c>
      <c r="V5615" s="160">
        <f t="shared" si="928"/>
        <v>153</v>
      </c>
    </row>
    <row r="5616" spans="1:22" x14ac:dyDescent="0.25">
      <c r="A5616" s="98" t="s">
        <v>19</v>
      </c>
      <c r="B5616" s="98" t="s">
        <v>17</v>
      </c>
      <c r="C5616" s="98">
        <v>18</v>
      </c>
      <c r="D5616" s="98">
        <v>280</v>
      </c>
      <c r="E5616" s="157">
        <v>42813.353472222225</v>
      </c>
      <c r="F5616" s="157">
        <v>42813.363194444442</v>
      </c>
      <c r="G5616" s="98">
        <v>375</v>
      </c>
      <c r="H5616" s="98">
        <v>530</v>
      </c>
      <c r="I5616" s="98">
        <v>493</v>
      </c>
      <c r="J5616" s="98" t="s">
        <v>1988</v>
      </c>
      <c r="K5616" s="98" t="s">
        <v>4459</v>
      </c>
      <c r="L5616" s="105" t="str">
        <f t="shared" si="920"/>
        <v>Trimble</v>
      </c>
      <c r="M5616" s="105" t="str">
        <f t="shared" si="921"/>
        <v>Derate</v>
      </c>
      <c r="N5616" s="105" t="str">
        <f t="shared" si="922"/>
        <v>Coal</v>
      </c>
      <c r="O5616" s="105">
        <f>IFERROR(VLOOKUP(A5616,Lookup!$J$5:$P$19,7,FALSE),0)</f>
        <v>3</v>
      </c>
      <c r="P5616" s="159">
        <f t="shared" si="923"/>
        <v>2017</v>
      </c>
      <c r="Q5616" s="159">
        <f t="shared" si="924"/>
        <v>3</v>
      </c>
      <c r="R5616" s="160">
        <f t="shared" si="925"/>
        <v>0.23333333322079852</v>
      </c>
      <c r="S5616" s="158">
        <f t="shared" si="926"/>
        <v>6.8238993677780704E-2</v>
      </c>
      <c r="T5616" s="161">
        <f t="shared" si="927"/>
        <v>33.641823883145889</v>
      </c>
      <c r="U5616" s="158">
        <f t="shared" si="929"/>
        <v>144.17924528301887</v>
      </c>
      <c r="V5616" s="160">
        <f t="shared" si="928"/>
        <v>144</v>
      </c>
    </row>
    <row r="5617" spans="1:22" x14ac:dyDescent="0.25">
      <c r="A5617" s="98" t="s">
        <v>19</v>
      </c>
      <c r="B5617" s="98" t="s">
        <v>17</v>
      </c>
      <c r="C5617" s="98">
        <v>20</v>
      </c>
      <c r="D5617" s="98">
        <v>280</v>
      </c>
      <c r="E5617" s="157">
        <v>42813.817361111112</v>
      </c>
      <c r="F5617" s="157">
        <v>42813.843055555553</v>
      </c>
      <c r="G5617" s="98">
        <v>375</v>
      </c>
      <c r="H5617" s="98">
        <v>530</v>
      </c>
      <c r="I5617" s="98">
        <v>493</v>
      </c>
      <c r="J5617" s="98" t="s">
        <v>1988</v>
      </c>
      <c r="K5617" s="98" t="s">
        <v>4458</v>
      </c>
      <c r="L5617" s="105" t="str">
        <f t="shared" si="920"/>
        <v>Trimble</v>
      </c>
      <c r="M5617" s="105" t="str">
        <f t="shared" si="921"/>
        <v>Derate</v>
      </c>
      <c r="N5617" s="105" t="str">
        <f t="shared" si="922"/>
        <v>Coal</v>
      </c>
      <c r="O5617" s="105">
        <f>IFERROR(VLOOKUP(A5617,Lookup!$J$5:$P$19,7,FALSE),0)</f>
        <v>3</v>
      </c>
      <c r="P5617" s="159">
        <f t="shared" si="923"/>
        <v>2017</v>
      </c>
      <c r="Q5617" s="159">
        <f t="shared" si="924"/>
        <v>3</v>
      </c>
      <c r="R5617" s="160">
        <f t="shared" si="925"/>
        <v>0.61666666658129543</v>
      </c>
      <c r="S5617" s="158">
        <f t="shared" si="926"/>
        <v>0.18034591192471847</v>
      </c>
      <c r="T5617" s="161">
        <f t="shared" si="927"/>
        <v>88.9105345788862</v>
      </c>
      <c r="U5617" s="158">
        <f t="shared" si="929"/>
        <v>144.17924528301887</v>
      </c>
      <c r="V5617" s="160">
        <f t="shared" si="928"/>
        <v>144</v>
      </c>
    </row>
    <row r="5618" spans="1:22" x14ac:dyDescent="0.25">
      <c r="A5618" s="98" t="s">
        <v>19</v>
      </c>
      <c r="B5618" s="98" t="s">
        <v>17</v>
      </c>
      <c r="C5618" s="98">
        <v>19</v>
      </c>
      <c r="D5618" s="98">
        <v>280</v>
      </c>
      <c r="E5618" s="157">
        <v>42814.217361111114</v>
      </c>
      <c r="F5618" s="157">
        <v>42814.232638888891</v>
      </c>
      <c r="G5618" s="98">
        <v>375</v>
      </c>
      <c r="H5618" s="98">
        <v>530</v>
      </c>
      <c r="I5618" s="98">
        <v>493</v>
      </c>
      <c r="J5618" s="98" t="s">
        <v>1988</v>
      </c>
      <c r="K5618" s="98" t="s">
        <v>4459</v>
      </c>
      <c r="L5618" s="105" t="str">
        <f t="shared" si="920"/>
        <v>Trimble</v>
      </c>
      <c r="M5618" s="105" t="str">
        <f t="shared" si="921"/>
        <v>Derate</v>
      </c>
      <c r="N5618" s="105" t="str">
        <f t="shared" si="922"/>
        <v>Coal</v>
      </c>
      <c r="O5618" s="105">
        <f>IFERROR(VLOOKUP(A5618,Lookup!$J$5:$P$19,7,FALSE),0)</f>
        <v>3</v>
      </c>
      <c r="P5618" s="159">
        <f t="shared" si="923"/>
        <v>2017</v>
      </c>
      <c r="Q5618" s="159">
        <f t="shared" si="924"/>
        <v>3</v>
      </c>
      <c r="R5618" s="160">
        <f t="shared" si="925"/>
        <v>0.36666666663950309</v>
      </c>
      <c r="S5618" s="158">
        <f t="shared" si="926"/>
        <v>0.10723270439457167</v>
      </c>
      <c r="T5618" s="161">
        <f t="shared" si="927"/>
        <v>52.86572326652383</v>
      </c>
      <c r="U5618" s="158">
        <f t="shared" si="929"/>
        <v>144.17924528301887</v>
      </c>
      <c r="V5618" s="160">
        <f t="shared" si="928"/>
        <v>144</v>
      </c>
    </row>
    <row r="5619" spans="1:22" x14ac:dyDescent="0.25">
      <c r="A5619" s="98" t="s">
        <v>19</v>
      </c>
      <c r="B5619" s="98" t="s">
        <v>17</v>
      </c>
      <c r="C5619" s="98">
        <v>21</v>
      </c>
      <c r="D5619" s="98">
        <v>280</v>
      </c>
      <c r="E5619" s="157">
        <v>42815.785416666666</v>
      </c>
      <c r="F5619" s="157">
        <v>42815.796527777777</v>
      </c>
      <c r="G5619" s="98">
        <v>375</v>
      </c>
      <c r="H5619" s="98">
        <v>530</v>
      </c>
      <c r="I5619" s="98">
        <v>493</v>
      </c>
      <c r="J5619" s="98" t="s">
        <v>1988</v>
      </c>
      <c r="K5619" s="98" t="s">
        <v>4459</v>
      </c>
      <c r="L5619" s="105" t="str">
        <f t="shared" si="920"/>
        <v>Trimble</v>
      </c>
      <c r="M5619" s="105" t="str">
        <f t="shared" si="921"/>
        <v>Derate</v>
      </c>
      <c r="N5619" s="105" t="str">
        <f t="shared" si="922"/>
        <v>Coal</v>
      </c>
      <c r="O5619" s="105">
        <f>IFERROR(VLOOKUP(A5619,Lookup!$J$5:$P$19,7,FALSE),0)</f>
        <v>3</v>
      </c>
      <c r="P5619" s="159">
        <f t="shared" si="923"/>
        <v>2017</v>
      </c>
      <c r="Q5619" s="159">
        <f t="shared" si="924"/>
        <v>3</v>
      </c>
      <c r="R5619" s="160">
        <f t="shared" si="925"/>
        <v>0.26666666666278616</v>
      </c>
      <c r="S5619" s="158">
        <f t="shared" si="926"/>
        <v>7.7987421382512939E-2</v>
      </c>
      <c r="T5619" s="161">
        <f t="shared" si="927"/>
        <v>38.447798741578879</v>
      </c>
      <c r="U5619" s="158">
        <f t="shared" si="929"/>
        <v>144.17924528301887</v>
      </c>
      <c r="V5619" s="160">
        <f t="shared" si="928"/>
        <v>144</v>
      </c>
    </row>
    <row r="5620" spans="1:22" x14ac:dyDescent="0.25">
      <c r="A5620" s="98" t="s">
        <v>19</v>
      </c>
      <c r="B5620" s="98" t="s">
        <v>17</v>
      </c>
      <c r="C5620" s="98">
        <v>22</v>
      </c>
      <c r="D5620" s="98">
        <v>250</v>
      </c>
      <c r="E5620" s="157">
        <v>42815.99722222222</v>
      </c>
      <c r="F5620" s="157">
        <v>42816.011805555558</v>
      </c>
      <c r="G5620" s="98">
        <v>370</v>
      </c>
      <c r="H5620" s="98">
        <v>530</v>
      </c>
      <c r="I5620" s="98">
        <v>493</v>
      </c>
      <c r="J5620" s="98" t="s">
        <v>1978</v>
      </c>
      <c r="K5620" s="98" t="s">
        <v>4460</v>
      </c>
      <c r="L5620" s="105" t="str">
        <f t="shared" si="920"/>
        <v>Trimble</v>
      </c>
      <c r="M5620" s="105" t="str">
        <f t="shared" si="921"/>
        <v>Derate</v>
      </c>
      <c r="N5620" s="105" t="str">
        <f t="shared" si="922"/>
        <v>Coal</v>
      </c>
      <c r="O5620" s="105">
        <f>IFERROR(VLOOKUP(A5620,Lookup!$J$5:$P$19,7,FALSE),0)</f>
        <v>3</v>
      </c>
      <c r="P5620" s="159">
        <f t="shared" si="923"/>
        <v>2017</v>
      </c>
      <c r="Q5620" s="159">
        <f t="shared" si="924"/>
        <v>3</v>
      </c>
      <c r="R5620" s="160">
        <f t="shared" si="925"/>
        <v>0.35000000009313226</v>
      </c>
      <c r="S5620" s="158">
        <f t="shared" si="926"/>
        <v>0.10566037738660597</v>
      </c>
      <c r="T5620" s="161">
        <f t="shared" si="927"/>
        <v>52.090566051596745</v>
      </c>
      <c r="U5620" s="158">
        <f t="shared" si="929"/>
        <v>148.83018867924528</v>
      </c>
      <c r="V5620" s="160">
        <f t="shared" si="928"/>
        <v>149</v>
      </c>
    </row>
    <row r="5621" spans="1:22" x14ac:dyDescent="0.25">
      <c r="A5621" s="98" t="s">
        <v>19</v>
      </c>
      <c r="B5621" s="98" t="s">
        <v>17</v>
      </c>
      <c r="C5621" s="98">
        <v>23</v>
      </c>
      <c r="D5621" s="98">
        <v>280</v>
      </c>
      <c r="E5621" s="157">
        <v>42816.511111111111</v>
      </c>
      <c r="F5621" s="157">
        <v>42816.531944444447</v>
      </c>
      <c r="G5621" s="98">
        <v>375</v>
      </c>
      <c r="H5621" s="98">
        <v>530</v>
      </c>
      <c r="I5621" s="98">
        <v>493</v>
      </c>
      <c r="J5621" s="98" t="s">
        <v>1988</v>
      </c>
      <c r="K5621" s="98" t="s">
        <v>4459</v>
      </c>
      <c r="L5621" s="105" t="str">
        <f t="shared" si="920"/>
        <v>Trimble</v>
      </c>
      <c r="M5621" s="105" t="str">
        <f t="shared" si="921"/>
        <v>Derate</v>
      </c>
      <c r="N5621" s="105" t="str">
        <f t="shared" si="922"/>
        <v>Coal</v>
      </c>
      <c r="O5621" s="105">
        <f>IFERROR(VLOOKUP(A5621,Lookup!$J$5:$P$19,7,FALSE),0)</f>
        <v>3</v>
      </c>
      <c r="P5621" s="159">
        <f t="shared" si="923"/>
        <v>2017</v>
      </c>
      <c r="Q5621" s="159">
        <f t="shared" si="924"/>
        <v>3</v>
      </c>
      <c r="R5621" s="160">
        <f t="shared" si="925"/>
        <v>0.50000000005820766</v>
      </c>
      <c r="S5621" s="158">
        <f t="shared" si="926"/>
        <v>0.14622641511136261</v>
      </c>
      <c r="T5621" s="161">
        <f t="shared" si="927"/>
        <v>72.08962264990177</v>
      </c>
      <c r="U5621" s="158">
        <f t="shared" si="929"/>
        <v>144.17924528301887</v>
      </c>
      <c r="V5621" s="160">
        <f t="shared" si="928"/>
        <v>144</v>
      </c>
    </row>
    <row r="5622" spans="1:22" x14ac:dyDescent="0.25">
      <c r="A5622" s="98" t="s">
        <v>19</v>
      </c>
      <c r="B5622" s="98" t="s">
        <v>17</v>
      </c>
      <c r="C5622" s="98">
        <v>24</v>
      </c>
      <c r="D5622" s="98">
        <v>590</v>
      </c>
      <c r="E5622" s="157">
        <v>42824</v>
      </c>
      <c r="F5622" s="157">
        <v>42824.074305555558</v>
      </c>
      <c r="G5622" s="98">
        <v>375</v>
      </c>
      <c r="H5622" s="98">
        <v>530</v>
      </c>
      <c r="I5622" s="98">
        <v>493</v>
      </c>
      <c r="J5622" s="98" t="s">
        <v>2116</v>
      </c>
      <c r="K5622" s="98" t="s">
        <v>4461</v>
      </c>
      <c r="L5622" s="105" t="str">
        <f t="shared" si="920"/>
        <v>Trimble</v>
      </c>
      <c r="M5622" s="105" t="str">
        <f t="shared" si="921"/>
        <v>Derate</v>
      </c>
      <c r="N5622" s="105" t="str">
        <f t="shared" si="922"/>
        <v>Coal</v>
      </c>
      <c r="O5622" s="105">
        <f>IFERROR(VLOOKUP(A5622,Lookup!$J$5:$P$19,7,FALSE),0)</f>
        <v>3</v>
      </c>
      <c r="P5622" s="159">
        <f t="shared" si="923"/>
        <v>2017</v>
      </c>
      <c r="Q5622" s="159">
        <f t="shared" si="924"/>
        <v>3</v>
      </c>
      <c r="R5622" s="160">
        <f t="shared" si="925"/>
        <v>1.78333333338378</v>
      </c>
      <c r="S5622" s="158">
        <f t="shared" si="926"/>
        <v>0.52154088051789793</v>
      </c>
      <c r="T5622" s="161">
        <f t="shared" si="927"/>
        <v>257.11965409532365</v>
      </c>
      <c r="U5622" s="158">
        <f t="shared" si="929"/>
        <v>144.17924528301887</v>
      </c>
      <c r="V5622" s="160">
        <f t="shared" si="928"/>
        <v>144</v>
      </c>
    </row>
    <row r="5623" spans="1:22" x14ac:dyDescent="0.25">
      <c r="A5623" s="98" t="s">
        <v>19</v>
      </c>
      <c r="B5623" s="98" t="s">
        <v>17</v>
      </c>
      <c r="C5623" s="98">
        <v>25</v>
      </c>
      <c r="D5623" s="98">
        <v>280</v>
      </c>
      <c r="E5623" s="157">
        <v>42824.967361111114</v>
      </c>
      <c r="F5623" s="157">
        <v>42824.982638888891</v>
      </c>
      <c r="G5623" s="98">
        <v>400</v>
      </c>
      <c r="H5623" s="98">
        <v>530</v>
      </c>
      <c r="I5623" s="98">
        <v>493</v>
      </c>
      <c r="J5623" s="98" t="s">
        <v>1988</v>
      </c>
      <c r="K5623" s="98" t="s">
        <v>4458</v>
      </c>
      <c r="L5623" s="105" t="str">
        <f t="shared" si="920"/>
        <v>Trimble</v>
      </c>
      <c r="M5623" s="105" t="str">
        <f t="shared" si="921"/>
        <v>Derate</v>
      </c>
      <c r="N5623" s="105" t="str">
        <f t="shared" si="922"/>
        <v>Coal</v>
      </c>
      <c r="O5623" s="105">
        <f>IFERROR(VLOOKUP(A5623,Lookup!$J$5:$P$19,7,FALSE),0)</f>
        <v>3</v>
      </c>
      <c r="P5623" s="159">
        <f t="shared" si="923"/>
        <v>2017</v>
      </c>
      <c r="Q5623" s="159">
        <f t="shared" si="924"/>
        <v>3</v>
      </c>
      <c r="R5623" s="160">
        <f t="shared" si="925"/>
        <v>0.36666666663950309</v>
      </c>
      <c r="S5623" s="158">
        <f t="shared" si="926"/>
        <v>8.9937106911576234E-2</v>
      </c>
      <c r="T5623" s="161">
        <f t="shared" si="927"/>
        <v>44.338993707407084</v>
      </c>
      <c r="U5623" s="158">
        <f t="shared" si="929"/>
        <v>120.9245283018868</v>
      </c>
      <c r="V5623" s="160">
        <f t="shared" si="928"/>
        <v>121</v>
      </c>
    </row>
    <row r="5624" spans="1:22" x14ac:dyDescent="0.25">
      <c r="A5624" s="98" t="s">
        <v>19</v>
      </c>
      <c r="B5624" s="98" t="s">
        <v>17</v>
      </c>
      <c r="C5624" s="98">
        <v>26</v>
      </c>
      <c r="D5624" s="98">
        <v>310</v>
      </c>
      <c r="E5624" s="157">
        <v>42833.104166666664</v>
      </c>
      <c r="F5624" s="157">
        <v>42833.331250000003</v>
      </c>
      <c r="G5624" s="98">
        <v>500</v>
      </c>
      <c r="H5624" s="98">
        <v>530</v>
      </c>
      <c r="I5624" s="98">
        <v>493</v>
      </c>
      <c r="J5624" s="98" t="s">
        <v>1966</v>
      </c>
      <c r="K5624" s="98" t="s">
        <v>4462</v>
      </c>
      <c r="L5624" s="105" t="str">
        <f t="shared" si="920"/>
        <v>Trimble</v>
      </c>
      <c r="M5624" s="105" t="str">
        <f t="shared" si="921"/>
        <v>Derate</v>
      </c>
      <c r="N5624" s="105" t="str">
        <f t="shared" si="922"/>
        <v>Coal</v>
      </c>
      <c r="O5624" s="105">
        <f>IFERROR(VLOOKUP(A5624,Lookup!$J$5:$P$19,7,FALSE),0)</f>
        <v>3</v>
      </c>
      <c r="P5624" s="159">
        <f t="shared" si="923"/>
        <v>2017</v>
      </c>
      <c r="Q5624" s="159">
        <f t="shared" si="924"/>
        <v>4</v>
      </c>
      <c r="R5624" s="160">
        <f t="shared" si="925"/>
        <v>5.4500000001280569</v>
      </c>
      <c r="S5624" s="158">
        <f t="shared" si="926"/>
        <v>0.30849056604498437</v>
      </c>
      <c r="T5624" s="161">
        <f t="shared" si="927"/>
        <v>152.08584906017728</v>
      </c>
      <c r="U5624" s="158">
        <f t="shared" si="929"/>
        <v>27.90566037735849</v>
      </c>
      <c r="V5624" s="160">
        <f t="shared" si="928"/>
        <v>28</v>
      </c>
    </row>
    <row r="5625" spans="1:22" x14ac:dyDescent="0.25">
      <c r="A5625" s="98" t="s">
        <v>19</v>
      </c>
      <c r="B5625" s="98" t="s">
        <v>17</v>
      </c>
      <c r="C5625" s="98">
        <v>27</v>
      </c>
      <c r="D5625" s="98">
        <v>280</v>
      </c>
      <c r="E5625" s="157">
        <v>42836.159722222219</v>
      </c>
      <c r="F5625" s="157">
        <v>42836.182638888888</v>
      </c>
      <c r="G5625" s="98">
        <v>375</v>
      </c>
      <c r="H5625" s="98">
        <v>530</v>
      </c>
      <c r="I5625" s="98">
        <v>493</v>
      </c>
      <c r="J5625" s="98" t="s">
        <v>1988</v>
      </c>
      <c r="K5625" s="98" t="s">
        <v>4463</v>
      </c>
      <c r="L5625" s="105" t="str">
        <f t="shared" si="920"/>
        <v>Trimble</v>
      </c>
      <c r="M5625" s="105" t="str">
        <f t="shared" si="921"/>
        <v>Derate</v>
      </c>
      <c r="N5625" s="105" t="str">
        <f t="shared" si="922"/>
        <v>Coal</v>
      </c>
      <c r="O5625" s="105">
        <f>IFERROR(VLOOKUP(A5625,Lookup!$J$5:$P$19,7,FALSE),0)</f>
        <v>3</v>
      </c>
      <c r="P5625" s="159">
        <f t="shared" si="923"/>
        <v>2017</v>
      </c>
      <c r="Q5625" s="159">
        <f t="shared" si="924"/>
        <v>4</v>
      </c>
      <c r="R5625" s="160">
        <f t="shared" si="925"/>
        <v>0.55000000004656613</v>
      </c>
      <c r="S5625" s="158">
        <f t="shared" si="926"/>
        <v>0.16084905661739199</v>
      </c>
      <c r="T5625" s="161">
        <f t="shared" si="927"/>
        <v>79.298584912374253</v>
      </c>
      <c r="U5625" s="158">
        <f t="shared" si="929"/>
        <v>144.17924528301887</v>
      </c>
      <c r="V5625" s="160">
        <f t="shared" si="928"/>
        <v>144</v>
      </c>
    </row>
    <row r="5626" spans="1:22" x14ac:dyDescent="0.25">
      <c r="A5626" s="98" t="s">
        <v>19</v>
      </c>
      <c r="B5626" s="98" t="s">
        <v>38</v>
      </c>
      <c r="C5626" s="98">
        <v>28</v>
      </c>
      <c r="D5626" s="98">
        <v>1493</v>
      </c>
      <c r="E5626" s="157">
        <v>42837.112500000003</v>
      </c>
      <c r="F5626" s="157">
        <v>42840.445833333331</v>
      </c>
      <c r="G5626" s="98">
        <v>0</v>
      </c>
      <c r="H5626" s="98">
        <v>530</v>
      </c>
      <c r="I5626" s="98">
        <v>493</v>
      </c>
      <c r="J5626" s="98" t="s">
        <v>2185</v>
      </c>
      <c r="K5626" s="98" t="s">
        <v>4464</v>
      </c>
      <c r="L5626" s="105" t="str">
        <f t="shared" si="920"/>
        <v>Trimble</v>
      </c>
      <c r="M5626" s="105" t="str">
        <f t="shared" si="921"/>
        <v>Other</v>
      </c>
      <c r="N5626" s="105" t="str">
        <f t="shared" si="922"/>
        <v>Coal</v>
      </c>
      <c r="O5626" s="105">
        <f>IFERROR(VLOOKUP(A5626,Lookup!$J$5:$P$19,7,FALSE),0)</f>
        <v>3</v>
      </c>
      <c r="P5626" s="159">
        <f t="shared" si="923"/>
        <v>2017</v>
      </c>
      <c r="Q5626" s="159">
        <f t="shared" si="924"/>
        <v>4</v>
      </c>
      <c r="R5626" s="160">
        <f t="shared" si="925"/>
        <v>79.999999999883585</v>
      </c>
      <c r="S5626" s="158">
        <f t="shared" si="926"/>
        <v>79.999999999883585</v>
      </c>
      <c r="T5626" s="161">
        <f t="shared" si="927"/>
        <v>39439.999999942607</v>
      </c>
      <c r="U5626" s="158">
        <f t="shared" si="929"/>
        <v>493</v>
      </c>
      <c r="V5626" s="160">
        <f t="shared" si="928"/>
        <v>493</v>
      </c>
    </row>
    <row r="5627" spans="1:22" x14ac:dyDescent="0.25">
      <c r="A5627" s="98" t="s">
        <v>19</v>
      </c>
      <c r="B5627" s="98" t="s">
        <v>15</v>
      </c>
      <c r="C5627" s="98">
        <v>29</v>
      </c>
      <c r="D5627" s="98">
        <v>1000</v>
      </c>
      <c r="E5627" s="157">
        <v>42841.87777777778</v>
      </c>
      <c r="F5627" s="157">
        <v>42843.533333333333</v>
      </c>
      <c r="G5627" s="98">
        <v>0</v>
      </c>
      <c r="H5627" s="98">
        <v>530</v>
      </c>
      <c r="I5627" s="98">
        <v>493</v>
      </c>
      <c r="J5627" s="98" t="s">
        <v>2002</v>
      </c>
      <c r="K5627" s="98" t="s">
        <v>4465</v>
      </c>
      <c r="L5627" s="105" t="str">
        <f t="shared" si="920"/>
        <v>Trimble</v>
      </c>
      <c r="M5627" s="105" t="str">
        <f t="shared" si="921"/>
        <v>Outage</v>
      </c>
      <c r="N5627" s="105" t="str">
        <f t="shared" si="922"/>
        <v>Coal</v>
      </c>
      <c r="O5627" s="105">
        <f>IFERROR(VLOOKUP(A5627,Lookup!$J$5:$P$19,7,FALSE),0)</f>
        <v>3</v>
      </c>
      <c r="P5627" s="159">
        <f t="shared" si="923"/>
        <v>2017</v>
      </c>
      <c r="Q5627" s="159">
        <f t="shared" si="924"/>
        <v>4</v>
      </c>
      <c r="R5627" s="160">
        <f t="shared" si="925"/>
        <v>39.733333333279006</v>
      </c>
      <c r="S5627" s="158">
        <f t="shared" si="926"/>
        <v>39.733333333279006</v>
      </c>
      <c r="T5627" s="161">
        <f t="shared" si="927"/>
        <v>19588.53333330655</v>
      </c>
      <c r="U5627" s="158">
        <f t="shared" si="929"/>
        <v>493</v>
      </c>
      <c r="V5627" s="160">
        <f t="shared" si="928"/>
        <v>493</v>
      </c>
    </row>
    <row r="5628" spans="1:22" x14ac:dyDescent="0.25">
      <c r="A5628" s="98" t="s">
        <v>19</v>
      </c>
      <c r="B5628" s="98" t="s">
        <v>79</v>
      </c>
      <c r="C5628" s="98">
        <v>30</v>
      </c>
      <c r="D5628" s="98">
        <v>8812</v>
      </c>
      <c r="E5628" s="157">
        <v>42849.541666666664</v>
      </c>
      <c r="F5628" s="157">
        <v>42849.773611111108</v>
      </c>
      <c r="G5628" s="98">
        <v>0</v>
      </c>
      <c r="H5628" s="98">
        <v>530</v>
      </c>
      <c r="I5628" s="98">
        <v>493</v>
      </c>
      <c r="J5628" s="98" t="s">
        <v>2232</v>
      </c>
      <c r="K5628" s="98" t="s">
        <v>3829</v>
      </c>
      <c r="L5628" s="105" t="str">
        <f t="shared" si="920"/>
        <v>Trimble</v>
      </c>
      <c r="M5628" s="105" t="str">
        <f t="shared" si="921"/>
        <v>Other</v>
      </c>
      <c r="N5628" s="105" t="str">
        <f t="shared" si="922"/>
        <v>Coal</v>
      </c>
      <c r="O5628" s="105">
        <f>IFERROR(VLOOKUP(A5628,Lookup!$J$5:$P$19,7,FALSE),0)</f>
        <v>3</v>
      </c>
      <c r="P5628" s="159">
        <f t="shared" si="923"/>
        <v>2017</v>
      </c>
      <c r="Q5628" s="159">
        <f t="shared" si="924"/>
        <v>4</v>
      </c>
      <c r="R5628" s="160">
        <f t="shared" si="925"/>
        <v>5.5666666666511446</v>
      </c>
      <c r="S5628" s="158">
        <f t="shared" si="926"/>
        <v>5.5666666666511446</v>
      </c>
      <c r="T5628" s="161">
        <f t="shared" si="927"/>
        <v>2744.3666666590143</v>
      </c>
      <c r="U5628" s="158">
        <f t="shared" si="929"/>
        <v>493</v>
      </c>
      <c r="V5628" s="160">
        <f t="shared" si="928"/>
        <v>493</v>
      </c>
    </row>
    <row r="5629" spans="1:22" x14ac:dyDescent="0.25">
      <c r="A5629" s="98" t="s">
        <v>19</v>
      </c>
      <c r="B5629" s="98" t="s">
        <v>79</v>
      </c>
      <c r="C5629" s="98">
        <v>31</v>
      </c>
      <c r="D5629" s="98">
        <v>8812</v>
      </c>
      <c r="E5629" s="157">
        <v>42850.25</v>
      </c>
      <c r="F5629" s="157">
        <v>42850.679861111108</v>
      </c>
      <c r="G5629" s="98">
        <v>0</v>
      </c>
      <c r="H5629" s="98">
        <v>530</v>
      </c>
      <c r="I5629" s="98">
        <v>493</v>
      </c>
      <c r="J5629" s="98" t="s">
        <v>2232</v>
      </c>
      <c r="K5629" s="98" t="s">
        <v>3829</v>
      </c>
      <c r="L5629" s="105" t="str">
        <f t="shared" si="920"/>
        <v>Trimble</v>
      </c>
      <c r="M5629" s="105" t="str">
        <f t="shared" si="921"/>
        <v>Other</v>
      </c>
      <c r="N5629" s="105" t="str">
        <f t="shared" si="922"/>
        <v>Coal</v>
      </c>
      <c r="O5629" s="105">
        <f>IFERROR(VLOOKUP(A5629,Lookup!$J$5:$P$19,7,FALSE),0)</f>
        <v>3</v>
      </c>
      <c r="P5629" s="159">
        <f t="shared" si="923"/>
        <v>2017</v>
      </c>
      <c r="Q5629" s="159">
        <f t="shared" si="924"/>
        <v>4</v>
      </c>
      <c r="R5629" s="160">
        <f t="shared" si="925"/>
        <v>10.316666666592937</v>
      </c>
      <c r="S5629" s="158">
        <f t="shared" si="926"/>
        <v>10.316666666592937</v>
      </c>
      <c r="T5629" s="161">
        <f t="shared" si="927"/>
        <v>5086.1166666303179</v>
      </c>
      <c r="U5629" s="158">
        <f t="shared" si="929"/>
        <v>493</v>
      </c>
      <c r="V5629" s="160">
        <f t="shared" si="928"/>
        <v>493</v>
      </c>
    </row>
    <row r="5630" spans="1:22" x14ac:dyDescent="0.25">
      <c r="A5630" s="98" t="s">
        <v>19</v>
      </c>
      <c r="B5630" s="98" t="s">
        <v>79</v>
      </c>
      <c r="C5630" s="98">
        <v>32</v>
      </c>
      <c r="D5630" s="98">
        <v>8812</v>
      </c>
      <c r="E5630" s="157">
        <v>42851.25</v>
      </c>
      <c r="F5630" s="157">
        <v>42851.645833333336</v>
      </c>
      <c r="G5630" s="98">
        <v>0</v>
      </c>
      <c r="H5630" s="98">
        <v>530</v>
      </c>
      <c r="I5630" s="98">
        <v>493</v>
      </c>
      <c r="J5630" s="98" t="s">
        <v>2232</v>
      </c>
      <c r="K5630" s="98" t="s">
        <v>3829</v>
      </c>
      <c r="L5630" s="105" t="str">
        <f t="shared" si="920"/>
        <v>Trimble</v>
      </c>
      <c r="M5630" s="105" t="str">
        <f t="shared" si="921"/>
        <v>Other</v>
      </c>
      <c r="N5630" s="105" t="str">
        <f t="shared" si="922"/>
        <v>Coal</v>
      </c>
      <c r="O5630" s="105">
        <f>IFERROR(VLOOKUP(A5630,Lookup!$J$5:$P$19,7,FALSE),0)</f>
        <v>3</v>
      </c>
      <c r="P5630" s="159">
        <f t="shared" si="923"/>
        <v>2017</v>
      </c>
      <c r="Q5630" s="159">
        <f t="shared" si="924"/>
        <v>4</v>
      </c>
      <c r="R5630" s="160">
        <f t="shared" si="925"/>
        <v>9.5000000000582077</v>
      </c>
      <c r="S5630" s="158">
        <f t="shared" si="926"/>
        <v>9.5000000000582077</v>
      </c>
      <c r="T5630" s="161">
        <f t="shared" si="927"/>
        <v>4683.5000000286964</v>
      </c>
      <c r="U5630" s="158">
        <f t="shared" si="929"/>
        <v>493</v>
      </c>
      <c r="V5630" s="160">
        <f t="shared" si="928"/>
        <v>493</v>
      </c>
    </row>
    <row r="5631" spans="1:22" x14ac:dyDescent="0.25">
      <c r="A5631" s="98" t="s">
        <v>19</v>
      </c>
      <c r="B5631" s="98" t="s">
        <v>79</v>
      </c>
      <c r="C5631" s="98">
        <v>33</v>
      </c>
      <c r="D5631" s="98">
        <v>8812</v>
      </c>
      <c r="E5631" s="157">
        <v>42852.25</v>
      </c>
      <c r="F5631" s="157">
        <v>42852.74722222222</v>
      </c>
      <c r="G5631" s="98">
        <v>0</v>
      </c>
      <c r="H5631" s="98">
        <v>530</v>
      </c>
      <c r="I5631" s="98">
        <v>493</v>
      </c>
      <c r="J5631" s="98" t="s">
        <v>2232</v>
      </c>
      <c r="K5631" s="98" t="s">
        <v>3829</v>
      </c>
      <c r="L5631" s="105" t="str">
        <f t="shared" si="920"/>
        <v>Trimble</v>
      </c>
      <c r="M5631" s="105" t="str">
        <f t="shared" si="921"/>
        <v>Other</v>
      </c>
      <c r="N5631" s="105" t="str">
        <f t="shared" si="922"/>
        <v>Coal</v>
      </c>
      <c r="O5631" s="105">
        <f>IFERROR(VLOOKUP(A5631,Lookup!$J$5:$P$19,7,FALSE),0)</f>
        <v>3</v>
      </c>
      <c r="P5631" s="159">
        <f t="shared" si="923"/>
        <v>2017</v>
      </c>
      <c r="Q5631" s="159">
        <f t="shared" si="924"/>
        <v>4</v>
      </c>
      <c r="R5631" s="160">
        <f t="shared" si="925"/>
        <v>11.933333333290648</v>
      </c>
      <c r="S5631" s="158">
        <f t="shared" si="926"/>
        <v>11.933333333290648</v>
      </c>
      <c r="T5631" s="161">
        <f t="shared" si="927"/>
        <v>5883.1333333122893</v>
      </c>
      <c r="U5631" s="158">
        <f t="shared" si="929"/>
        <v>493</v>
      </c>
      <c r="V5631" s="160">
        <f t="shared" si="928"/>
        <v>493</v>
      </c>
    </row>
    <row r="5632" spans="1:22" x14ac:dyDescent="0.25">
      <c r="A5632" s="98" t="s">
        <v>19</v>
      </c>
      <c r="B5632" s="98" t="s">
        <v>15</v>
      </c>
      <c r="C5632" s="98">
        <v>34</v>
      </c>
      <c r="D5632" s="98">
        <v>1000</v>
      </c>
      <c r="E5632" s="157">
        <v>42852.74722222222</v>
      </c>
      <c r="F5632" s="157">
        <v>42855.478472222225</v>
      </c>
      <c r="G5632" s="98">
        <v>0</v>
      </c>
      <c r="H5632" s="98">
        <v>530</v>
      </c>
      <c r="I5632" s="98">
        <v>493</v>
      </c>
      <c r="J5632" s="98" t="s">
        <v>2002</v>
      </c>
      <c r="K5632" s="98" t="s">
        <v>4466</v>
      </c>
      <c r="L5632" s="105" t="str">
        <f t="shared" si="920"/>
        <v>Trimble</v>
      </c>
      <c r="M5632" s="105" t="str">
        <f t="shared" si="921"/>
        <v>Outage</v>
      </c>
      <c r="N5632" s="105" t="str">
        <f t="shared" si="922"/>
        <v>Coal</v>
      </c>
      <c r="O5632" s="105">
        <f>IFERROR(VLOOKUP(A5632,Lookup!$J$5:$P$19,7,FALSE),0)</f>
        <v>3</v>
      </c>
      <c r="P5632" s="159">
        <f t="shared" si="923"/>
        <v>2017</v>
      </c>
      <c r="Q5632" s="159">
        <f t="shared" si="924"/>
        <v>4</v>
      </c>
      <c r="R5632" s="160">
        <f t="shared" si="925"/>
        <v>65.550000000104774</v>
      </c>
      <c r="S5632" s="158">
        <f t="shared" si="926"/>
        <v>65.550000000104774</v>
      </c>
      <c r="T5632" s="161">
        <f t="shared" si="927"/>
        <v>32316.150000051653</v>
      </c>
      <c r="U5632" s="158">
        <f t="shared" si="929"/>
        <v>493</v>
      </c>
      <c r="V5632" s="160">
        <f t="shared" si="928"/>
        <v>493</v>
      </c>
    </row>
    <row r="5633" spans="1:22" x14ac:dyDescent="0.25">
      <c r="A5633" s="98" t="s">
        <v>19</v>
      </c>
      <c r="B5633" s="98" t="s">
        <v>17</v>
      </c>
      <c r="C5633" s="98">
        <v>35</v>
      </c>
      <c r="D5633" s="98">
        <v>250</v>
      </c>
      <c r="E5633" s="157">
        <v>42856.020833333336</v>
      </c>
      <c r="F5633" s="157">
        <v>42856.056944444441</v>
      </c>
      <c r="G5633" s="98">
        <v>375</v>
      </c>
      <c r="H5633" s="98">
        <v>530</v>
      </c>
      <c r="I5633" s="98">
        <v>493</v>
      </c>
      <c r="J5633" s="98" t="s">
        <v>1978</v>
      </c>
      <c r="K5633" s="98" t="s">
        <v>4467</v>
      </c>
      <c r="L5633" s="105" t="str">
        <f t="shared" si="920"/>
        <v>Trimble</v>
      </c>
      <c r="M5633" s="105" t="str">
        <f t="shared" si="921"/>
        <v>Derate</v>
      </c>
      <c r="N5633" s="105" t="str">
        <f t="shared" si="922"/>
        <v>Coal</v>
      </c>
      <c r="O5633" s="105">
        <f>IFERROR(VLOOKUP(A5633,Lookup!$J$5:$P$19,7,FALSE),0)</f>
        <v>3</v>
      </c>
      <c r="P5633" s="159">
        <f t="shared" si="923"/>
        <v>2017</v>
      </c>
      <c r="Q5633" s="159">
        <f t="shared" si="924"/>
        <v>5</v>
      </c>
      <c r="R5633" s="160">
        <f t="shared" si="925"/>
        <v>0.86666666652308777</v>
      </c>
      <c r="S5633" s="158">
        <f t="shared" si="926"/>
        <v>0.25345911945486527</v>
      </c>
      <c r="T5633" s="161">
        <f t="shared" si="927"/>
        <v>124.95534589124858</v>
      </c>
      <c r="U5633" s="158">
        <f t="shared" si="929"/>
        <v>144.17924528301887</v>
      </c>
      <c r="V5633" s="160">
        <f t="shared" si="928"/>
        <v>144</v>
      </c>
    </row>
    <row r="5634" spans="1:22" x14ac:dyDescent="0.25">
      <c r="A5634" s="98" t="s">
        <v>19</v>
      </c>
      <c r="B5634" s="98" t="s">
        <v>17</v>
      </c>
      <c r="C5634" s="98">
        <v>36</v>
      </c>
      <c r="D5634" s="98">
        <v>310</v>
      </c>
      <c r="E5634" s="157">
        <v>42867.306250000001</v>
      </c>
      <c r="F5634" s="157">
        <v>42867.331944444442</v>
      </c>
      <c r="G5634" s="98">
        <v>500</v>
      </c>
      <c r="H5634" s="98">
        <v>530</v>
      </c>
      <c r="I5634" s="98">
        <v>493</v>
      </c>
      <c r="J5634" s="98" t="s">
        <v>1966</v>
      </c>
      <c r="K5634" s="98" t="s">
        <v>4468</v>
      </c>
      <c r="L5634" s="105" t="str">
        <f t="shared" si="920"/>
        <v>Trimble</v>
      </c>
      <c r="M5634" s="105" t="str">
        <f t="shared" si="921"/>
        <v>Derate</v>
      </c>
      <c r="N5634" s="105" t="str">
        <f t="shared" si="922"/>
        <v>Coal</v>
      </c>
      <c r="O5634" s="105">
        <f>IFERROR(VLOOKUP(A5634,Lookup!$J$5:$P$19,7,FALSE),0)</f>
        <v>3</v>
      </c>
      <c r="P5634" s="159">
        <f t="shared" si="923"/>
        <v>2017</v>
      </c>
      <c r="Q5634" s="159">
        <f t="shared" si="924"/>
        <v>5</v>
      </c>
      <c r="R5634" s="160">
        <f t="shared" si="925"/>
        <v>0.61666666658129543</v>
      </c>
      <c r="S5634" s="158">
        <f t="shared" si="926"/>
        <v>3.4905660372526154E-2</v>
      </c>
      <c r="T5634" s="161">
        <f t="shared" si="927"/>
        <v>17.208490563655396</v>
      </c>
      <c r="U5634" s="158">
        <f t="shared" si="929"/>
        <v>27.90566037735849</v>
      </c>
      <c r="V5634" s="160">
        <f t="shared" si="928"/>
        <v>28</v>
      </c>
    </row>
    <row r="5635" spans="1:22" x14ac:dyDescent="0.25">
      <c r="A5635" s="98" t="s">
        <v>19</v>
      </c>
      <c r="B5635" s="98" t="s">
        <v>17</v>
      </c>
      <c r="C5635" s="98">
        <v>37</v>
      </c>
      <c r="D5635" s="98">
        <v>310</v>
      </c>
      <c r="E5635" s="157">
        <v>42867.631249999999</v>
      </c>
      <c r="F5635" s="157">
        <v>42867.650694444441</v>
      </c>
      <c r="G5635" s="98">
        <v>495</v>
      </c>
      <c r="H5635" s="98">
        <v>530</v>
      </c>
      <c r="I5635" s="98">
        <v>493</v>
      </c>
      <c r="J5635" s="98" t="s">
        <v>1966</v>
      </c>
      <c r="K5635" s="98" t="s">
        <v>4469</v>
      </c>
      <c r="L5635" s="105" t="str">
        <f t="shared" si="920"/>
        <v>Trimble</v>
      </c>
      <c r="M5635" s="105" t="str">
        <f t="shared" si="921"/>
        <v>Derate</v>
      </c>
      <c r="N5635" s="105" t="str">
        <f t="shared" si="922"/>
        <v>Coal</v>
      </c>
      <c r="O5635" s="105">
        <f>IFERROR(VLOOKUP(A5635,Lookup!$J$5:$P$19,7,FALSE),0)</f>
        <v>3</v>
      </c>
      <c r="P5635" s="159">
        <f t="shared" si="923"/>
        <v>2017</v>
      </c>
      <c r="Q5635" s="159">
        <f t="shared" si="924"/>
        <v>5</v>
      </c>
      <c r="R5635" s="160">
        <f t="shared" si="925"/>
        <v>0.46666666661622003</v>
      </c>
      <c r="S5635" s="158">
        <f t="shared" si="926"/>
        <v>3.0817610059561702E-2</v>
      </c>
      <c r="T5635" s="161">
        <f t="shared" si="927"/>
        <v>15.193081759363919</v>
      </c>
      <c r="U5635" s="158">
        <f t="shared" si="929"/>
        <v>32.556603773584904</v>
      </c>
      <c r="V5635" s="160">
        <f t="shared" si="928"/>
        <v>33</v>
      </c>
    </row>
    <row r="5636" spans="1:22" x14ac:dyDescent="0.25">
      <c r="A5636" s="98" t="s">
        <v>19</v>
      </c>
      <c r="B5636" s="98" t="s">
        <v>32</v>
      </c>
      <c r="C5636" s="98">
        <v>38</v>
      </c>
      <c r="D5636" s="98">
        <v>8812</v>
      </c>
      <c r="E5636" s="157">
        <v>42867.916666666664</v>
      </c>
      <c r="F5636" s="157">
        <v>42868.097222222219</v>
      </c>
      <c r="G5636" s="98">
        <v>450</v>
      </c>
      <c r="H5636" s="98">
        <v>530</v>
      </c>
      <c r="I5636" s="98">
        <v>493</v>
      </c>
      <c r="J5636" s="98" t="s">
        <v>2232</v>
      </c>
      <c r="K5636" s="98" t="s">
        <v>4470</v>
      </c>
      <c r="L5636" s="105" t="str">
        <f t="shared" ref="L5636:L5699" si="930">IF(OR(A5636="BR1",A5636="BR2",A5636="BR3",A5636="BR5",A5636="BR6",A5636="BR7",A5636="BR8",A5636="BR9",A5636="BR10",A5636="BR11"),"Brown",IF(OR(A5636="CR4",A5636="CR5",A5636="CR6",A5636="CR11"),"Cane Run",IF(OR(A5636="GH1",A5636="GH2",A5636="GH3",A5636="GH4"),"Ghent",IF(OR(A5636="GR3",A5636="GR4"),"Green River",IF(OR(A5636="MC1",A5636="MC2",A5636="MC3",A5636="MC4"),"Mill Creek",IF(OR(A5636="TC1",A5636="TC2",A5636="TC5",A5636="TC6",A5636="TC7",A5636="TC8",A5636="TC9",A5636="TC10"),"Trimble",IF(A5636="TY3","Tyrone",IF(OR(A5636="HA1",A5636="HA2",A5636="HA3"),"Haeflin",IF(OR(A5636="PR11",A5636="PR12",A5636="PR13"),"Paddy's Run","Zorn")))))))))</f>
        <v>Trimble</v>
      </c>
      <c r="M5636" s="105" t="str">
        <f t="shared" ref="M5636:M5699" si="931">IF(OR(B5636="D1",B5636="D2",B5636="D3",B5636="D4",B5636="PD"),"Derate",IF(OR(B5636="SF",B5636="U1",B5636="U2",B5636="U3"),"Outage",IF(OR(B5636="ME",B5636="MO"),"Maintenance","Other")))</f>
        <v>Derate</v>
      </c>
      <c r="N5636" s="105" t="str">
        <f t="shared" ref="N5636:N5699" si="932">IF(OR(A5636="BR1",A5636="BR2",A5636="BR3",A5636="CR4",A5636="CR5",A5636="CR6",A5636="GH1",A5636="GH2",A5636="GH3",A5636="GH4",A5636="GR3",A5636="GR4",A5636="MC1",A5636="MC2",A5636="MC3",A5636="MC4",A5636="TC1",A5636="TC2",A5636="TY3"),"Coal","Gas")</f>
        <v>Coal</v>
      </c>
      <c r="O5636" s="105">
        <f>IFERROR(VLOOKUP(A5636,Lookup!$J$5:$P$19,7,FALSE),0)</f>
        <v>3</v>
      </c>
      <c r="P5636" s="159">
        <f t="shared" ref="P5636:P5699" si="933">YEAR(E5636)</f>
        <v>2017</v>
      </c>
      <c r="Q5636" s="159">
        <f t="shared" ref="Q5636:Q5699" si="934">MONTH(E5636)</f>
        <v>5</v>
      </c>
      <c r="R5636" s="160">
        <f t="shared" ref="R5636:R5699" si="935">(F5636-E5636)*24</f>
        <v>4.3333333333139308</v>
      </c>
      <c r="S5636" s="158">
        <f t="shared" ref="S5636:S5699" si="936">R5636*(H5636-G5636)/H5636</f>
        <v>0.65408805031153672</v>
      </c>
      <c r="T5636" s="161">
        <f t="shared" ref="T5636:T5699" si="937">S5636*I5636</f>
        <v>322.46540880358759</v>
      </c>
      <c r="U5636" s="158">
        <f t="shared" si="929"/>
        <v>74.415094339622641</v>
      </c>
      <c r="V5636" s="160">
        <f t="shared" ref="V5636:V5699" si="938">ROUND(U5636,0)</f>
        <v>74</v>
      </c>
    </row>
    <row r="5637" spans="1:22" x14ac:dyDescent="0.25">
      <c r="A5637" s="98" t="s">
        <v>19</v>
      </c>
      <c r="B5637" s="98" t="s">
        <v>32</v>
      </c>
      <c r="C5637" s="98">
        <v>39</v>
      </c>
      <c r="D5637" s="98">
        <v>8812</v>
      </c>
      <c r="E5637" s="157">
        <v>42868.097222222219</v>
      </c>
      <c r="F5637" s="157">
        <v>42868.125</v>
      </c>
      <c r="G5637" s="98">
        <v>415</v>
      </c>
      <c r="H5637" s="98">
        <v>530</v>
      </c>
      <c r="I5637" s="98">
        <v>493</v>
      </c>
      <c r="J5637" s="98" t="s">
        <v>2232</v>
      </c>
      <c r="K5637" s="98" t="s">
        <v>4470</v>
      </c>
      <c r="L5637" s="105" t="str">
        <f t="shared" si="930"/>
        <v>Trimble</v>
      </c>
      <c r="M5637" s="105" t="str">
        <f t="shared" si="931"/>
        <v>Derate</v>
      </c>
      <c r="N5637" s="105" t="str">
        <f t="shared" si="932"/>
        <v>Coal</v>
      </c>
      <c r="O5637" s="105">
        <f>IFERROR(VLOOKUP(A5637,Lookup!$J$5:$P$19,7,FALSE),0)</f>
        <v>3</v>
      </c>
      <c r="P5637" s="159">
        <f t="shared" si="933"/>
        <v>2017</v>
      </c>
      <c r="Q5637" s="159">
        <f t="shared" si="934"/>
        <v>5</v>
      </c>
      <c r="R5637" s="160">
        <f t="shared" si="935"/>
        <v>0.66666666674427688</v>
      </c>
      <c r="S5637" s="158">
        <f t="shared" si="936"/>
        <v>0.14465408806715441</v>
      </c>
      <c r="T5637" s="161">
        <f t="shared" si="937"/>
        <v>71.314465417107129</v>
      </c>
      <c r="U5637" s="158">
        <f t="shared" ref="U5637:U5700" si="939">IF(G5637&gt;0,MAX((H5637-G5637),0)*I5637/H5637,I5637)</f>
        <v>106.97169811320755</v>
      </c>
      <c r="V5637" s="160">
        <f t="shared" si="938"/>
        <v>107</v>
      </c>
    </row>
    <row r="5638" spans="1:22" x14ac:dyDescent="0.25">
      <c r="A5638" s="98" t="s">
        <v>19</v>
      </c>
      <c r="B5638" s="98" t="s">
        <v>32</v>
      </c>
      <c r="C5638" s="98">
        <v>40</v>
      </c>
      <c r="D5638" s="98">
        <v>8812</v>
      </c>
      <c r="E5638" s="157">
        <v>42868.125</v>
      </c>
      <c r="F5638" s="157">
        <v>42868.208333333336</v>
      </c>
      <c r="G5638" s="98">
        <v>380</v>
      </c>
      <c r="H5638" s="98">
        <v>530</v>
      </c>
      <c r="I5638" s="98">
        <v>493</v>
      </c>
      <c r="J5638" s="98" t="s">
        <v>2232</v>
      </c>
      <c r="K5638" s="98" t="s">
        <v>4470</v>
      </c>
      <c r="L5638" s="105" t="str">
        <f t="shared" si="930"/>
        <v>Trimble</v>
      </c>
      <c r="M5638" s="105" t="str">
        <f t="shared" si="931"/>
        <v>Derate</v>
      </c>
      <c r="N5638" s="105" t="str">
        <f t="shared" si="932"/>
        <v>Coal</v>
      </c>
      <c r="O5638" s="105">
        <f>IFERROR(VLOOKUP(A5638,Lookup!$J$5:$P$19,7,FALSE),0)</f>
        <v>3</v>
      </c>
      <c r="P5638" s="159">
        <f t="shared" si="933"/>
        <v>2017</v>
      </c>
      <c r="Q5638" s="159">
        <f t="shared" si="934"/>
        <v>5</v>
      </c>
      <c r="R5638" s="160">
        <f t="shared" si="935"/>
        <v>2.0000000000582077</v>
      </c>
      <c r="S5638" s="158">
        <f t="shared" si="936"/>
        <v>0.56603773586553052</v>
      </c>
      <c r="T5638" s="161">
        <f t="shared" si="937"/>
        <v>279.05660378170654</v>
      </c>
      <c r="U5638" s="158">
        <f t="shared" si="939"/>
        <v>139.52830188679246</v>
      </c>
      <c r="V5638" s="160">
        <f t="shared" si="938"/>
        <v>140</v>
      </c>
    </row>
    <row r="5639" spans="1:22" x14ac:dyDescent="0.25">
      <c r="A5639" s="98" t="s">
        <v>19</v>
      </c>
      <c r="B5639" s="98" t="s">
        <v>32</v>
      </c>
      <c r="C5639" s="98">
        <v>41</v>
      </c>
      <c r="D5639" s="98">
        <v>8812</v>
      </c>
      <c r="E5639" s="157">
        <v>42868.208333333336</v>
      </c>
      <c r="F5639" s="157">
        <v>42868.25</v>
      </c>
      <c r="G5639" s="98">
        <v>385</v>
      </c>
      <c r="H5639" s="98">
        <v>530</v>
      </c>
      <c r="I5639" s="98">
        <v>493</v>
      </c>
      <c r="J5639" s="98" t="s">
        <v>2232</v>
      </c>
      <c r="K5639" s="98" t="s">
        <v>4470</v>
      </c>
      <c r="L5639" s="105" t="str">
        <f t="shared" si="930"/>
        <v>Trimble</v>
      </c>
      <c r="M5639" s="105" t="str">
        <f t="shared" si="931"/>
        <v>Derate</v>
      </c>
      <c r="N5639" s="105" t="str">
        <f t="shared" si="932"/>
        <v>Coal</v>
      </c>
      <c r="O5639" s="105">
        <f>IFERROR(VLOOKUP(A5639,Lookup!$J$5:$P$19,7,FALSE),0)</f>
        <v>3</v>
      </c>
      <c r="P5639" s="159">
        <f t="shared" si="933"/>
        <v>2017</v>
      </c>
      <c r="Q5639" s="159">
        <f t="shared" si="934"/>
        <v>5</v>
      </c>
      <c r="R5639" s="160">
        <f t="shared" si="935"/>
        <v>0.99999999994179234</v>
      </c>
      <c r="S5639" s="158">
        <f t="shared" si="936"/>
        <v>0.27358490564445265</v>
      </c>
      <c r="T5639" s="161">
        <f t="shared" si="937"/>
        <v>134.87735848271515</v>
      </c>
      <c r="U5639" s="158">
        <f t="shared" si="939"/>
        <v>134.87735849056602</v>
      </c>
      <c r="V5639" s="160">
        <f t="shared" si="938"/>
        <v>135</v>
      </c>
    </row>
    <row r="5640" spans="1:22" x14ac:dyDescent="0.25">
      <c r="A5640" s="98" t="s">
        <v>19</v>
      </c>
      <c r="B5640" s="98" t="s">
        <v>32</v>
      </c>
      <c r="C5640" s="98">
        <v>42</v>
      </c>
      <c r="D5640" s="98">
        <v>8812</v>
      </c>
      <c r="E5640" s="157">
        <v>42868.25</v>
      </c>
      <c r="F5640" s="157">
        <v>42868.586805555555</v>
      </c>
      <c r="G5640" s="98">
        <v>380</v>
      </c>
      <c r="H5640" s="98">
        <v>530</v>
      </c>
      <c r="I5640" s="98">
        <v>493</v>
      </c>
      <c r="J5640" s="98" t="s">
        <v>2232</v>
      </c>
      <c r="K5640" s="98" t="s">
        <v>4470</v>
      </c>
      <c r="L5640" s="105" t="str">
        <f t="shared" si="930"/>
        <v>Trimble</v>
      </c>
      <c r="M5640" s="105" t="str">
        <f t="shared" si="931"/>
        <v>Derate</v>
      </c>
      <c r="N5640" s="105" t="str">
        <f t="shared" si="932"/>
        <v>Coal</v>
      </c>
      <c r="O5640" s="105">
        <f>IFERROR(VLOOKUP(A5640,Lookup!$J$5:$P$19,7,FALSE),0)</f>
        <v>3</v>
      </c>
      <c r="P5640" s="159">
        <f t="shared" si="933"/>
        <v>2017</v>
      </c>
      <c r="Q5640" s="159">
        <f t="shared" si="934"/>
        <v>5</v>
      </c>
      <c r="R5640" s="160">
        <f t="shared" si="935"/>
        <v>8.0833333333139308</v>
      </c>
      <c r="S5640" s="158">
        <f t="shared" si="936"/>
        <v>2.2877358490511126</v>
      </c>
      <c r="T5640" s="161">
        <f t="shared" si="937"/>
        <v>1127.8537735821985</v>
      </c>
      <c r="U5640" s="158">
        <f t="shared" si="939"/>
        <v>139.52830188679246</v>
      </c>
      <c r="V5640" s="160">
        <f t="shared" si="938"/>
        <v>140</v>
      </c>
    </row>
    <row r="5641" spans="1:22" x14ac:dyDescent="0.25">
      <c r="A5641" s="98" t="s">
        <v>19</v>
      </c>
      <c r="B5641" s="98" t="s">
        <v>32</v>
      </c>
      <c r="C5641" s="98">
        <v>43</v>
      </c>
      <c r="D5641" s="98">
        <v>8812</v>
      </c>
      <c r="E5641" s="157">
        <v>42868.586805555555</v>
      </c>
      <c r="F5641" s="157">
        <v>42869.481249999997</v>
      </c>
      <c r="G5641" s="98">
        <v>450</v>
      </c>
      <c r="H5641" s="98">
        <v>530</v>
      </c>
      <c r="I5641" s="98">
        <v>493</v>
      </c>
      <c r="J5641" s="98" t="s">
        <v>2232</v>
      </c>
      <c r="K5641" s="98" t="s">
        <v>4470</v>
      </c>
      <c r="L5641" s="105" t="str">
        <f t="shared" si="930"/>
        <v>Trimble</v>
      </c>
      <c r="M5641" s="105" t="str">
        <f t="shared" si="931"/>
        <v>Derate</v>
      </c>
      <c r="N5641" s="105" t="str">
        <f t="shared" si="932"/>
        <v>Coal</v>
      </c>
      <c r="O5641" s="105">
        <f>IFERROR(VLOOKUP(A5641,Lookup!$J$5:$P$19,7,FALSE),0)</f>
        <v>3</v>
      </c>
      <c r="P5641" s="159">
        <f t="shared" si="933"/>
        <v>2017</v>
      </c>
      <c r="Q5641" s="159">
        <f t="shared" si="934"/>
        <v>5</v>
      </c>
      <c r="R5641" s="160">
        <f t="shared" si="935"/>
        <v>21.46666666661622</v>
      </c>
      <c r="S5641" s="158">
        <f t="shared" si="936"/>
        <v>3.2402515723194294</v>
      </c>
      <c r="T5641" s="161">
        <f t="shared" si="937"/>
        <v>1597.4440251534786</v>
      </c>
      <c r="U5641" s="158">
        <f t="shared" si="939"/>
        <v>74.415094339622641</v>
      </c>
      <c r="V5641" s="160">
        <f t="shared" si="938"/>
        <v>74</v>
      </c>
    </row>
    <row r="5642" spans="1:22" x14ac:dyDescent="0.25">
      <c r="A5642" s="98" t="s">
        <v>19</v>
      </c>
      <c r="B5642" s="98" t="s">
        <v>17</v>
      </c>
      <c r="C5642" s="98">
        <v>44</v>
      </c>
      <c r="D5642" s="98">
        <v>310</v>
      </c>
      <c r="E5642" s="157">
        <v>42869.481249999997</v>
      </c>
      <c r="F5642" s="157">
        <v>42869.5</v>
      </c>
      <c r="G5642" s="98">
        <v>375</v>
      </c>
      <c r="H5642" s="98">
        <v>530</v>
      </c>
      <c r="I5642" s="98">
        <v>493</v>
      </c>
      <c r="J5642" s="98" t="s">
        <v>1966</v>
      </c>
      <c r="K5642" s="98" t="s">
        <v>4471</v>
      </c>
      <c r="L5642" s="105" t="str">
        <f t="shared" si="930"/>
        <v>Trimble</v>
      </c>
      <c r="M5642" s="105" t="str">
        <f t="shared" si="931"/>
        <v>Derate</v>
      </c>
      <c r="N5642" s="105" t="str">
        <f t="shared" si="932"/>
        <v>Coal</v>
      </c>
      <c r="O5642" s="105">
        <f>IFERROR(VLOOKUP(A5642,Lookup!$J$5:$P$19,7,FALSE),0)</f>
        <v>3</v>
      </c>
      <c r="P5642" s="159">
        <f t="shared" si="933"/>
        <v>2017</v>
      </c>
      <c r="Q5642" s="159">
        <f t="shared" si="934"/>
        <v>5</v>
      </c>
      <c r="R5642" s="160">
        <f t="shared" si="935"/>
        <v>0.45000000006984919</v>
      </c>
      <c r="S5642" s="158">
        <f t="shared" si="936"/>
        <v>0.13160377360533326</v>
      </c>
      <c r="T5642" s="161">
        <f t="shared" si="937"/>
        <v>64.880660387429302</v>
      </c>
      <c r="U5642" s="158">
        <f t="shared" si="939"/>
        <v>144.17924528301887</v>
      </c>
      <c r="V5642" s="160">
        <f t="shared" si="938"/>
        <v>144</v>
      </c>
    </row>
    <row r="5643" spans="1:22" x14ac:dyDescent="0.25">
      <c r="A5643" s="98" t="s">
        <v>19</v>
      </c>
      <c r="B5643" s="98" t="s">
        <v>32</v>
      </c>
      <c r="C5643" s="98">
        <v>45</v>
      </c>
      <c r="D5643" s="98">
        <v>8812</v>
      </c>
      <c r="E5643" s="157">
        <v>42869.5</v>
      </c>
      <c r="F5643" s="157">
        <v>42869.574305555558</v>
      </c>
      <c r="G5643" s="98">
        <v>450</v>
      </c>
      <c r="H5643" s="98">
        <v>530</v>
      </c>
      <c r="I5643" s="98">
        <v>493</v>
      </c>
      <c r="J5643" s="98" t="s">
        <v>2232</v>
      </c>
      <c r="K5643" s="98" t="s">
        <v>4470</v>
      </c>
      <c r="L5643" s="105" t="str">
        <f t="shared" si="930"/>
        <v>Trimble</v>
      </c>
      <c r="M5643" s="105" t="str">
        <f t="shared" si="931"/>
        <v>Derate</v>
      </c>
      <c r="N5643" s="105" t="str">
        <f t="shared" si="932"/>
        <v>Coal</v>
      </c>
      <c r="O5643" s="105">
        <f>IFERROR(VLOOKUP(A5643,Lookup!$J$5:$P$19,7,FALSE),0)</f>
        <v>3</v>
      </c>
      <c r="P5643" s="159">
        <f t="shared" si="933"/>
        <v>2017</v>
      </c>
      <c r="Q5643" s="159">
        <f t="shared" si="934"/>
        <v>5</v>
      </c>
      <c r="R5643" s="160">
        <f t="shared" si="935"/>
        <v>1.78333333338378</v>
      </c>
      <c r="S5643" s="158">
        <f t="shared" si="936"/>
        <v>0.26918238994472149</v>
      </c>
      <c r="T5643" s="161">
        <f t="shared" si="937"/>
        <v>132.70691824274769</v>
      </c>
      <c r="U5643" s="158">
        <f t="shared" si="939"/>
        <v>74.415094339622641</v>
      </c>
      <c r="V5643" s="160">
        <f t="shared" si="938"/>
        <v>74</v>
      </c>
    </row>
    <row r="5644" spans="1:22" x14ac:dyDescent="0.25">
      <c r="A5644" s="98" t="s">
        <v>19</v>
      </c>
      <c r="B5644" s="98" t="s">
        <v>17</v>
      </c>
      <c r="C5644" s="98">
        <v>46</v>
      </c>
      <c r="D5644" s="98">
        <v>310</v>
      </c>
      <c r="E5644" s="157">
        <v>42869.574305555558</v>
      </c>
      <c r="F5644" s="157">
        <v>42869.618750000001</v>
      </c>
      <c r="G5644" s="98">
        <v>375</v>
      </c>
      <c r="H5644" s="98">
        <v>530</v>
      </c>
      <c r="I5644" s="98">
        <v>493</v>
      </c>
      <c r="J5644" s="98" t="s">
        <v>1966</v>
      </c>
      <c r="K5644" s="98" t="s">
        <v>4472</v>
      </c>
      <c r="L5644" s="105" t="str">
        <f t="shared" si="930"/>
        <v>Trimble</v>
      </c>
      <c r="M5644" s="105" t="str">
        <f t="shared" si="931"/>
        <v>Derate</v>
      </c>
      <c r="N5644" s="105" t="str">
        <f t="shared" si="932"/>
        <v>Coal</v>
      </c>
      <c r="O5644" s="105">
        <f>IFERROR(VLOOKUP(A5644,Lookup!$J$5:$P$19,7,FALSE),0)</f>
        <v>3</v>
      </c>
      <c r="P5644" s="159">
        <f t="shared" si="933"/>
        <v>2017</v>
      </c>
      <c r="Q5644" s="159">
        <f t="shared" si="934"/>
        <v>5</v>
      </c>
      <c r="R5644" s="160">
        <f t="shared" si="935"/>
        <v>1.0666666666511446</v>
      </c>
      <c r="S5644" s="158">
        <f t="shared" si="936"/>
        <v>0.31194968553005176</v>
      </c>
      <c r="T5644" s="161">
        <f t="shared" si="937"/>
        <v>153.79119496631552</v>
      </c>
      <c r="U5644" s="158">
        <f t="shared" si="939"/>
        <v>144.17924528301887</v>
      </c>
      <c r="V5644" s="160">
        <f t="shared" si="938"/>
        <v>144</v>
      </c>
    </row>
    <row r="5645" spans="1:22" x14ac:dyDescent="0.25">
      <c r="A5645" s="98" t="s">
        <v>19</v>
      </c>
      <c r="B5645" s="98" t="s">
        <v>32</v>
      </c>
      <c r="C5645" s="98">
        <v>47</v>
      </c>
      <c r="D5645" s="98">
        <v>8812</v>
      </c>
      <c r="E5645" s="157">
        <v>42869.618750000001</v>
      </c>
      <c r="F5645" s="157">
        <v>42869.988194444442</v>
      </c>
      <c r="G5645" s="98">
        <v>450</v>
      </c>
      <c r="H5645" s="98">
        <v>530</v>
      </c>
      <c r="I5645" s="98">
        <v>493</v>
      </c>
      <c r="J5645" s="98" t="s">
        <v>2232</v>
      </c>
      <c r="K5645" s="98" t="s">
        <v>4470</v>
      </c>
      <c r="L5645" s="105" t="str">
        <f t="shared" si="930"/>
        <v>Trimble</v>
      </c>
      <c r="M5645" s="105" t="str">
        <f t="shared" si="931"/>
        <v>Derate</v>
      </c>
      <c r="N5645" s="105" t="str">
        <f t="shared" si="932"/>
        <v>Coal</v>
      </c>
      <c r="O5645" s="105">
        <f>IFERROR(VLOOKUP(A5645,Lookup!$J$5:$P$19,7,FALSE),0)</f>
        <v>3</v>
      </c>
      <c r="P5645" s="159">
        <f t="shared" si="933"/>
        <v>2017</v>
      </c>
      <c r="Q5645" s="159">
        <f t="shared" si="934"/>
        <v>5</v>
      </c>
      <c r="R5645" s="160">
        <f t="shared" si="935"/>
        <v>8.8666666665812954</v>
      </c>
      <c r="S5645" s="158">
        <f t="shared" si="936"/>
        <v>1.3383647798613276</v>
      </c>
      <c r="T5645" s="161">
        <f t="shared" si="937"/>
        <v>659.81383647163454</v>
      </c>
      <c r="U5645" s="158">
        <f t="shared" si="939"/>
        <v>74.415094339622641</v>
      </c>
      <c r="V5645" s="160">
        <f t="shared" si="938"/>
        <v>74</v>
      </c>
    </row>
    <row r="5646" spans="1:22" x14ac:dyDescent="0.25">
      <c r="A5646" s="98" t="s">
        <v>19</v>
      </c>
      <c r="B5646" s="98" t="s">
        <v>17</v>
      </c>
      <c r="C5646" s="98">
        <v>48</v>
      </c>
      <c r="D5646" s="98">
        <v>310</v>
      </c>
      <c r="E5646" s="157">
        <v>42869.988194444442</v>
      </c>
      <c r="F5646" s="157">
        <v>42870.009027777778</v>
      </c>
      <c r="G5646" s="98">
        <v>375</v>
      </c>
      <c r="H5646" s="98">
        <v>530</v>
      </c>
      <c r="I5646" s="98">
        <v>493</v>
      </c>
      <c r="J5646" s="98" t="s">
        <v>1966</v>
      </c>
      <c r="K5646" s="98" t="s">
        <v>4473</v>
      </c>
      <c r="L5646" s="105" t="str">
        <f t="shared" si="930"/>
        <v>Trimble</v>
      </c>
      <c r="M5646" s="105" t="str">
        <f t="shared" si="931"/>
        <v>Derate</v>
      </c>
      <c r="N5646" s="105" t="str">
        <f t="shared" si="932"/>
        <v>Coal</v>
      </c>
      <c r="O5646" s="105">
        <f>IFERROR(VLOOKUP(A5646,Lookup!$J$5:$P$19,7,FALSE),0)</f>
        <v>3</v>
      </c>
      <c r="P5646" s="159">
        <f t="shared" si="933"/>
        <v>2017</v>
      </c>
      <c r="Q5646" s="159">
        <f t="shared" si="934"/>
        <v>5</v>
      </c>
      <c r="R5646" s="160">
        <f t="shared" si="935"/>
        <v>0.50000000005820766</v>
      </c>
      <c r="S5646" s="158">
        <f t="shared" si="936"/>
        <v>0.14622641511136261</v>
      </c>
      <c r="T5646" s="161">
        <f t="shared" si="937"/>
        <v>72.08962264990177</v>
      </c>
      <c r="U5646" s="158">
        <f t="shared" si="939"/>
        <v>144.17924528301887</v>
      </c>
      <c r="V5646" s="160">
        <f t="shared" si="938"/>
        <v>144</v>
      </c>
    </row>
    <row r="5647" spans="1:22" x14ac:dyDescent="0.25">
      <c r="A5647" s="98" t="s">
        <v>19</v>
      </c>
      <c r="B5647" s="98" t="s">
        <v>32</v>
      </c>
      <c r="C5647" s="98">
        <v>49</v>
      </c>
      <c r="D5647" s="98">
        <v>8812</v>
      </c>
      <c r="E5647" s="157">
        <v>42870.009027777778</v>
      </c>
      <c r="F5647" s="157">
        <v>42870.031944444447</v>
      </c>
      <c r="G5647" s="98">
        <v>450</v>
      </c>
      <c r="H5647" s="98">
        <v>530</v>
      </c>
      <c r="I5647" s="98">
        <v>493</v>
      </c>
      <c r="J5647" s="98" t="s">
        <v>2232</v>
      </c>
      <c r="K5647" s="98" t="s">
        <v>4470</v>
      </c>
      <c r="L5647" s="105" t="str">
        <f t="shared" si="930"/>
        <v>Trimble</v>
      </c>
      <c r="M5647" s="105" t="str">
        <f t="shared" si="931"/>
        <v>Derate</v>
      </c>
      <c r="N5647" s="105" t="str">
        <f t="shared" si="932"/>
        <v>Coal</v>
      </c>
      <c r="O5647" s="105">
        <f>IFERROR(VLOOKUP(A5647,Lookup!$J$5:$P$19,7,FALSE),0)</f>
        <v>3</v>
      </c>
      <c r="P5647" s="159">
        <f t="shared" si="933"/>
        <v>2017</v>
      </c>
      <c r="Q5647" s="159">
        <f t="shared" si="934"/>
        <v>5</v>
      </c>
      <c r="R5647" s="160">
        <f t="shared" si="935"/>
        <v>0.55000000004656613</v>
      </c>
      <c r="S5647" s="158">
        <f t="shared" si="936"/>
        <v>8.3018867931557147E-2</v>
      </c>
      <c r="T5647" s="161">
        <f t="shared" si="937"/>
        <v>40.928301890257671</v>
      </c>
      <c r="U5647" s="158">
        <f t="shared" si="939"/>
        <v>74.415094339622641</v>
      </c>
      <c r="V5647" s="160">
        <f t="shared" si="938"/>
        <v>74</v>
      </c>
    </row>
    <row r="5648" spans="1:22" x14ac:dyDescent="0.25">
      <c r="A5648" s="98" t="s">
        <v>19</v>
      </c>
      <c r="B5648" s="98" t="s">
        <v>17</v>
      </c>
      <c r="C5648" s="98">
        <v>50</v>
      </c>
      <c r="D5648" s="98">
        <v>310</v>
      </c>
      <c r="E5648" s="157">
        <v>42870.031944444447</v>
      </c>
      <c r="F5648" s="157">
        <v>42870.04583333333</v>
      </c>
      <c r="G5648" s="98">
        <v>375</v>
      </c>
      <c r="H5648" s="98">
        <v>530</v>
      </c>
      <c r="I5648" s="98">
        <v>493</v>
      </c>
      <c r="J5648" s="98" t="s">
        <v>1966</v>
      </c>
      <c r="K5648" s="98" t="s">
        <v>4473</v>
      </c>
      <c r="L5648" s="105" t="str">
        <f t="shared" si="930"/>
        <v>Trimble</v>
      </c>
      <c r="M5648" s="105" t="str">
        <f t="shared" si="931"/>
        <v>Derate</v>
      </c>
      <c r="N5648" s="105" t="str">
        <f t="shared" si="932"/>
        <v>Coal</v>
      </c>
      <c r="O5648" s="105">
        <f>IFERROR(VLOOKUP(A5648,Lookup!$J$5:$P$19,7,FALSE),0)</f>
        <v>3</v>
      </c>
      <c r="P5648" s="159">
        <f t="shared" si="933"/>
        <v>2017</v>
      </c>
      <c r="Q5648" s="159">
        <f t="shared" si="934"/>
        <v>5</v>
      </c>
      <c r="R5648" s="160">
        <f t="shared" si="935"/>
        <v>0.33333333319751546</v>
      </c>
      <c r="S5648" s="158">
        <f t="shared" si="936"/>
        <v>9.748427668983943E-2</v>
      </c>
      <c r="T5648" s="161">
        <f t="shared" si="937"/>
        <v>48.05974840809084</v>
      </c>
      <c r="U5648" s="158">
        <f t="shared" si="939"/>
        <v>144.17924528301887</v>
      </c>
      <c r="V5648" s="160">
        <f t="shared" si="938"/>
        <v>144</v>
      </c>
    </row>
    <row r="5649" spans="1:22" x14ac:dyDescent="0.25">
      <c r="A5649" s="98" t="s">
        <v>19</v>
      </c>
      <c r="B5649" s="98" t="s">
        <v>32</v>
      </c>
      <c r="C5649" s="98">
        <v>51</v>
      </c>
      <c r="D5649" s="98">
        <v>8812</v>
      </c>
      <c r="E5649" s="157">
        <v>42870.04583333333</v>
      </c>
      <c r="F5649" s="162">
        <v>42870.166666666664</v>
      </c>
      <c r="G5649" s="98">
        <v>450</v>
      </c>
      <c r="H5649" s="98">
        <v>530</v>
      </c>
      <c r="I5649" s="98">
        <v>493</v>
      </c>
      <c r="J5649" s="98" t="s">
        <v>2232</v>
      </c>
      <c r="K5649" s="98" t="s">
        <v>4470</v>
      </c>
      <c r="L5649" s="105" t="str">
        <f t="shared" si="930"/>
        <v>Trimble</v>
      </c>
      <c r="M5649" s="105" t="str">
        <f t="shared" si="931"/>
        <v>Derate</v>
      </c>
      <c r="N5649" s="105" t="str">
        <f t="shared" si="932"/>
        <v>Coal</v>
      </c>
      <c r="O5649" s="105">
        <f>IFERROR(VLOOKUP(A5649,Lookup!$J$5:$P$19,7,FALSE),0)</f>
        <v>3</v>
      </c>
      <c r="P5649" s="159">
        <f t="shared" si="933"/>
        <v>2017</v>
      </c>
      <c r="Q5649" s="159">
        <f t="shared" si="934"/>
        <v>5</v>
      </c>
      <c r="R5649" s="160">
        <f t="shared" si="935"/>
        <v>2.9000000000232831</v>
      </c>
      <c r="S5649" s="158">
        <f t="shared" si="936"/>
        <v>0.4377358490601182</v>
      </c>
      <c r="T5649" s="161">
        <f t="shared" si="937"/>
        <v>215.80377358663827</v>
      </c>
      <c r="U5649" s="158">
        <f t="shared" si="939"/>
        <v>74.415094339622641</v>
      </c>
      <c r="V5649" s="160">
        <f t="shared" si="938"/>
        <v>74</v>
      </c>
    </row>
    <row r="5650" spans="1:22" x14ac:dyDescent="0.25">
      <c r="A5650" s="98" t="s">
        <v>19</v>
      </c>
      <c r="B5650" s="98" t="s">
        <v>79</v>
      </c>
      <c r="C5650" s="98">
        <v>52</v>
      </c>
      <c r="D5650" s="98">
        <v>8812</v>
      </c>
      <c r="E5650" s="162">
        <v>42870.291666666664</v>
      </c>
      <c r="F5650" s="157">
        <v>42870.496527777781</v>
      </c>
      <c r="G5650" s="98">
        <v>0</v>
      </c>
      <c r="H5650" s="98">
        <v>530</v>
      </c>
      <c r="I5650" s="98">
        <v>493</v>
      </c>
      <c r="J5650" s="98" t="s">
        <v>2232</v>
      </c>
      <c r="K5650" s="98" t="s">
        <v>4474</v>
      </c>
      <c r="L5650" s="105" t="str">
        <f t="shared" si="930"/>
        <v>Trimble</v>
      </c>
      <c r="M5650" s="105" t="str">
        <f t="shared" si="931"/>
        <v>Other</v>
      </c>
      <c r="N5650" s="105" t="str">
        <f t="shared" si="932"/>
        <v>Coal</v>
      </c>
      <c r="O5650" s="105">
        <f>IFERROR(VLOOKUP(A5650,Lookup!$J$5:$P$19,7,FALSE),0)</f>
        <v>3</v>
      </c>
      <c r="P5650" s="159">
        <f t="shared" si="933"/>
        <v>2017</v>
      </c>
      <c r="Q5650" s="159">
        <f t="shared" si="934"/>
        <v>5</v>
      </c>
      <c r="R5650" s="160">
        <f t="shared" si="935"/>
        <v>4.9166666668024845</v>
      </c>
      <c r="S5650" s="158">
        <f t="shared" si="936"/>
        <v>4.9166666668024845</v>
      </c>
      <c r="T5650" s="161">
        <f t="shared" si="937"/>
        <v>2423.9166667336249</v>
      </c>
      <c r="U5650" s="158">
        <f t="shared" si="939"/>
        <v>493</v>
      </c>
      <c r="V5650" s="160">
        <f t="shared" si="938"/>
        <v>493</v>
      </c>
    </row>
    <row r="5651" spans="1:22" x14ac:dyDescent="0.25">
      <c r="A5651" s="98" t="s">
        <v>19</v>
      </c>
      <c r="B5651" s="98" t="s">
        <v>32</v>
      </c>
      <c r="C5651" s="98">
        <v>53</v>
      </c>
      <c r="D5651" s="98">
        <v>4260</v>
      </c>
      <c r="E5651" s="157">
        <v>42879.958333333336</v>
      </c>
      <c r="F5651" s="157">
        <v>42880.002083333333</v>
      </c>
      <c r="G5651" s="98">
        <v>450</v>
      </c>
      <c r="H5651" s="98">
        <v>530</v>
      </c>
      <c r="I5651" s="98">
        <v>493</v>
      </c>
      <c r="J5651" s="98" t="s">
        <v>1982</v>
      </c>
      <c r="K5651" s="98" t="s">
        <v>4475</v>
      </c>
      <c r="L5651" s="105" t="str">
        <f t="shared" si="930"/>
        <v>Trimble</v>
      </c>
      <c r="M5651" s="105" t="str">
        <f t="shared" si="931"/>
        <v>Derate</v>
      </c>
      <c r="N5651" s="105" t="str">
        <f t="shared" si="932"/>
        <v>Coal</v>
      </c>
      <c r="O5651" s="105">
        <f>IFERROR(VLOOKUP(A5651,Lookup!$J$5:$P$19,7,FALSE),0)</f>
        <v>3</v>
      </c>
      <c r="P5651" s="159">
        <f t="shared" si="933"/>
        <v>2017</v>
      </c>
      <c r="Q5651" s="159">
        <f t="shared" si="934"/>
        <v>5</v>
      </c>
      <c r="R5651" s="160">
        <f t="shared" si="935"/>
        <v>1.0499999999301508</v>
      </c>
      <c r="S5651" s="158">
        <f t="shared" si="936"/>
        <v>0.15849056602719258</v>
      </c>
      <c r="T5651" s="161">
        <f t="shared" si="937"/>
        <v>78.135849051405941</v>
      </c>
      <c r="U5651" s="158">
        <f t="shared" si="939"/>
        <v>74.415094339622641</v>
      </c>
      <c r="V5651" s="160">
        <f t="shared" si="938"/>
        <v>74</v>
      </c>
    </row>
    <row r="5652" spans="1:22" x14ac:dyDescent="0.25">
      <c r="A5652" s="98" t="s">
        <v>19</v>
      </c>
      <c r="B5652" s="98" t="s">
        <v>17</v>
      </c>
      <c r="C5652" s="98">
        <v>54</v>
      </c>
      <c r="D5652" s="98">
        <v>280</v>
      </c>
      <c r="E5652" s="157">
        <v>42888.606944444444</v>
      </c>
      <c r="F5652" s="157">
        <v>42888.635416666664</v>
      </c>
      <c r="G5652" s="98">
        <v>375</v>
      </c>
      <c r="H5652" s="98">
        <v>530</v>
      </c>
      <c r="I5652" s="98">
        <v>493</v>
      </c>
      <c r="J5652" s="98" t="s">
        <v>1988</v>
      </c>
      <c r="K5652" s="98" t="s">
        <v>4476</v>
      </c>
      <c r="L5652" s="105" t="str">
        <f t="shared" si="930"/>
        <v>Trimble</v>
      </c>
      <c r="M5652" s="105" t="str">
        <f t="shared" si="931"/>
        <v>Derate</v>
      </c>
      <c r="N5652" s="105" t="str">
        <f t="shared" si="932"/>
        <v>Coal</v>
      </c>
      <c r="O5652" s="105">
        <f>IFERROR(VLOOKUP(A5652,Lookup!$J$5:$P$19,7,FALSE),0)</f>
        <v>3</v>
      </c>
      <c r="P5652" s="159">
        <f t="shared" si="933"/>
        <v>2017</v>
      </c>
      <c r="Q5652" s="159">
        <f t="shared" si="934"/>
        <v>6</v>
      </c>
      <c r="R5652" s="160">
        <f t="shared" si="935"/>
        <v>0.68333333329064772</v>
      </c>
      <c r="S5652" s="158">
        <f t="shared" si="936"/>
        <v>0.19984276728311395</v>
      </c>
      <c r="T5652" s="161">
        <f t="shared" si="937"/>
        <v>98.522484270575177</v>
      </c>
      <c r="U5652" s="158">
        <f t="shared" si="939"/>
        <v>144.17924528301887</v>
      </c>
      <c r="V5652" s="160">
        <f t="shared" si="938"/>
        <v>144</v>
      </c>
    </row>
    <row r="5653" spans="1:22" x14ac:dyDescent="0.25">
      <c r="A5653" s="98" t="s">
        <v>19</v>
      </c>
      <c r="B5653" s="98" t="s">
        <v>20</v>
      </c>
      <c r="C5653" s="98">
        <v>55</v>
      </c>
      <c r="D5653" s="98">
        <v>1000</v>
      </c>
      <c r="E5653" s="157">
        <v>42895.42291666667</v>
      </c>
      <c r="F5653" s="157">
        <v>42897.986805555556</v>
      </c>
      <c r="G5653" s="98">
        <v>0</v>
      </c>
      <c r="H5653" s="98">
        <v>530</v>
      </c>
      <c r="I5653" s="98">
        <v>493</v>
      </c>
      <c r="J5653" s="98" t="s">
        <v>2002</v>
      </c>
      <c r="K5653" s="98" t="s">
        <v>4477</v>
      </c>
      <c r="L5653" s="105" t="str">
        <f t="shared" si="930"/>
        <v>Trimble</v>
      </c>
      <c r="M5653" s="105" t="str">
        <f t="shared" si="931"/>
        <v>Maintenance</v>
      </c>
      <c r="N5653" s="105" t="str">
        <f t="shared" si="932"/>
        <v>Coal</v>
      </c>
      <c r="O5653" s="105">
        <f>IFERROR(VLOOKUP(A5653,Lookup!$J$5:$P$19,7,FALSE),0)</f>
        <v>3</v>
      </c>
      <c r="P5653" s="159">
        <f t="shared" si="933"/>
        <v>2017</v>
      </c>
      <c r="Q5653" s="159">
        <f t="shared" si="934"/>
        <v>6</v>
      </c>
      <c r="R5653" s="160">
        <f t="shared" si="935"/>
        <v>61.533333333267365</v>
      </c>
      <c r="S5653" s="158">
        <f t="shared" si="936"/>
        <v>61.533333333267365</v>
      </c>
      <c r="T5653" s="161">
        <f t="shared" si="937"/>
        <v>30335.933333300811</v>
      </c>
      <c r="U5653" s="158">
        <f t="shared" si="939"/>
        <v>493</v>
      </c>
      <c r="V5653" s="160">
        <f t="shared" si="938"/>
        <v>493</v>
      </c>
    </row>
    <row r="5654" spans="1:22" x14ac:dyDescent="0.25">
      <c r="A5654" s="98" t="s">
        <v>19</v>
      </c>
      <c r="B5654" s="98" t="s">
        <v>17</v>
      </c>
      <c r="C5654" s="98">
        <v>56</v>
      </c>
      <c r="D5654" s="98">
        <v>3829</v>
      </c>
      <c r="E5654" s="157">
        <v>42898.449305555558</v>
      </c>
      <c r="F5654" s="157">
        <v>42898.890972222223</v>
      </c>
      <c r="G5654" s="98">
        <v>300</v>
      </c>
      <c r="H5654" s="98">
        <v>530</v>
      </c>
      <c r="I5654" s="98">
        <v>493</v>
      </c>
      <c r="J5654" s="98" t="s">
        <v>2982</v>
      </c>
      <c r="K5654" s="98" t="s">
        <v>4478</v>
      </c>
      <c r="L5654" s="105" t="str">
        <f t="shared" si="930"/>
        <v>Trimble</v>
      </c>
      <c r="M5654" s="105" t="str">
        <f t="shared" si="931"/>
        <v>Derate</v>
      </c>
      <c r="N5654" s="105" t="str">
        <f t="shared" si="932"/>
        <v>Coal</v>
      </c>
      <c r="O5654" s="105">
        <f>IFERROR(VLOOKUP(A5654,Lookup!$J$5:$P$19,7,FALSE),0)</f>
        <v>3</v>
      </c>
      <c r="P5654" s="159">
        <f t="shared" si="933"/>
        <v>2017</v>
      </c>
      <c r="Q5654" s="159">
        <f t="shared" si="934"/>
        <v>6</v>
      </c>
      <c r="R5654" s="160">
        <f t="shared" si="935"/>
        <v>10.599999999976717</v>
      </c>
      <c r="S5654" s="158">
        <f t="shared" si="936"/>
        <v>4.5999999999898957</v>
      </c>
      <c r="T5654" s="161">
        <f t="shared" si="937"/>
        <v>2267.7999999950184</v>
      </c>
      <c r="U5654" s="158">
        <f t="shared" si="939"/>
        <v>213.9433962264151</v>
      </c>
      <c r="V5654" s="160">
        <f t="shared" si="938"/>
        <v>214</v>
      </c>
    </row>
    <row r="5655" spans="1:22" x14ac:dyDescent="0.25">
      <c r="A5655" s="98" t="s">
        <v>19</v>
      </c>
      <c r="B5655" s="98" t="s">
        <v>17</v>
      </c>
      <c r="C5655" s="98">
        <v>57</v>
      </c>
      <c r="D5655" s="98">
        <v>1475</v>
      </c>
      <c r="E5655" s="157">
        <v>42899.198611111111</v>
      </c>
      <c r="F5655" s="157">
        <v>42899.364583333336</v>
      </c>
      <c r="G5655" s="98">
        <v>275</v>
      </c>
      <c r="H5655" s="98">
        <v>530</v>
      </c>
      <c r="I5655" s="98">
        <v>493</v>
      </c>
      <c r="J5655" s="98" t="s">
        <v>1989</v>
      </c>
      <c r="K5655" s="98" t="s">
        <v>4479</v>
      </c>
      <c r="L5655" s="105" t="str">
        <f t="shared" si="930"/>
        <v>Trimble</v>
      </c>
      <c r="M5655" s="105" t="str">
        <f t="shared" si="931"/>
        <v>Derate</v>
      </c>
      <c r="N5655" s="105" t="str">
        <f t="shared" si="932"/>
        <v>Coal</v>
      </c>
      <c r="O5655" s="105">
        <f>IFERROR(VLOOKUP(A5655,Lookup!$J$5:$P$19,7,FALSE),0)</f>
        <v>3</v>
      </c>
      <c r="P5655" s="159">
        <f t="shared" si="933"/>
        <v>2017</v>
      </c>
      <c r="Q5655" s="159">
        <f t="shared" si="934"/>
        <v>6</v>
      </c>
      <c r="R5655" s="160">
        <f t="shared" si="935"/>
        <v>3.9833333333954215</v>
      </c>
      <c r="S5655" s="158">
        <f t="shared" si="936"/>
        <v>1.9165094339921367</v>
      </c>
      <c r="T5655" s="161">
        <f t="shared" si="937"/>
        <v>944.83915095812335</v>
      </c>
      <c r="U5655" s="158">
        <f t="shared" si="939"/>
        <v>237.19811320754718</v>
      </c>
      <c r="V5655" s="160">
        <f t="shared" si="938"/>
        <v>237</v>
      </c>
    </row>
    <row r="5656" spans="1:22" x14ac:dyDescent="0.25">
      <c r="A5656" s="98" t="s">
        <v>19</v>
      </c>
      <c r="B5656" s="98" t="s">
        <v>32</v>
      </c>
      <c r="C5656" s="98">
        <v>58</v>
      </c>
      <c r="D5656" s="98">
        <v>590</v>
      </c>
      <c r="E5656" s="157">
        <v>42903</v>
      </c>
      <c r="F5656" s="157">
        <v>42903.178472222222</v>
      </c>
      <c r="G5656" s="98">
        <v>430</v>
      </c>
      <c r="H5656" s="98">
        <v>530</v>
      </c>
      <c r="I5656" s="98">
        <v>493</v>
      </c>
      <c r="J5656" s="98" t="s">
        <v>2116</v>
      </c>
      <c r="K5656" s="98" t="s">
        <v>4480</v>
      </c>
      <c r="L5656" s="105" t="str">
        <f t="shared" si="930"/>
        <v>Trimble</v>
      </c>
      <c r="M5656" s="105" t="str">
        <f t="shared" si="931"/>
        <v>Derate</v>
      </c>
      <c r="N5656" s="105" t="str">
        <f t="shared" si="932"/>
        <v>Coal</v>
      </c>
      <c r="O5656" s="105">
        <f>IFERROR(VLOOKUP(A5656,Lookup!$J$5:$P$19,7,FALSE),0)</f>
        <v>3</v>
      </c>
      <c r="P5656" s="159">
        <f t="shared" si="933"/>
        <v>2017</v>
      </c>
      <c r="Q5656" s="159">
        <f t="shared" si="934"/>
        <v>6</v>
      </c>
      <c r="R5656" s="160">
        <f t="shared" si="935"/>
        <v>4.2833333333255723</v>
      </c>
      <c r="S5656" s="158">
        <f t="shared" si="936"/>
        <v>0.80817610062746648</v>
      </c>
      <c r="T5656" s="161">
        <f t="shared" si="937"/>
        <v>398.43081760934098</v>
      </c>
      <c r="U5656" s="158">
        <f t="shared" si="939"/>
        <v>93.018867924528308</v>
      </c>
      <c r="V5656" s="160">
        <f t="shared" si="938"/>
        <v>93</v>
      </c>
    </row>
    <row r="5657" spans="1:22" x14ac:dyDescent="0.25">
      <c r="A5657" s="98" t="s">
        <v>19</v>
      </c>
      <c r="B5657" s="98" t="s">
        <v>17</v>
      </c>
      <c r="C5657" s="98">
        <v>59</v>
      </c>
      <c r="D5657" s="98">
        <v>4640</v>
      </c>
      <c r="E5657" s="157">
        <v>42903.072916666664</v>
      </c>
      <c r="F5657" s="157">
        <v>42903.178472222222</v>
      </c>
      <c r="G5657" s="98">
        <v>375</v>
      </c>
      <c r="H5657" s="98">
        <v>530</v>
      </c>
      <c r="I5657" s="98">
        <v>493</v>
      </c>
      <c r="J5657" s="98" t="s">
        <v>2004</v>
      </c>
      <c r="K5657" s="98" t="s">
        <v>4481</v>
      </c>
      <c r="L5657" s="105" t="str">
        <f t="shared" si="930"/>
        <v>Trimble</v>
      </c>
      <c r="M5657" s="105" t="str">
        <f t="shared" si="931"/>
        <v>Derate</v>
      </c>
      <c r="N5657" s="105" t="str">
        <f t="shared" si="932"/>
        <v>Coal</v>
      </c>
      <c r="O5657" s="105">
        <f>IFERROR(VLOOKUP(A5657,Lookup!$J$5:$P$19,7,FALSE),0)</f>
        <v>3</v>
      </c>
      <c r="P5657" s="159">
        <f t="shared" si="933"/>
        <v>2017</v>
      </c>
      <c r="Q5657" s="159">
        <f t="shared" si="934"/>
        <v>6</v>
      </c>
      <c r="R5657" s="160">
        <f t="shared" si="935"/>
        <v>2.53333333338378</v>
      </c>
      <c r="S5657" s="158">
        <f t="shared" si="936"/>
        <v>0.74088050315940734</v>
      </c>
      <c r="T5657" s="161">
        <f t="shared" si="937"/>
        <v>365.25408805758781</v>
      </c>
      <c r="U5657" s="158">
        <f t="shared" si="939"/>
        <v>144.17924528301887</v>
      </c>
      <c r="V5657" s="160">
        <f t="shared" si="938"/>
        <v>144</v>
      </c>
    </row>
    <row r="5658" spans="1:22" x14ac:dyDescent="0.25">
      <c r="A5658" s="98" t="s">
        <v>19</v>
      </c>
      <c r="B5658" s="98" t="s">
        <v>32</v>
      </c>
      <c r="C5658" s="98">
        <v>60</v>
      </c>
      <c r="D5658" s="98">
        <v>590</v>
      </c>
      <c r="E5658" s="157">
        <v>42903.178472222222</v>
      </c>
      <c r="F5658" s="157">
        <v>42903.445833333331</v>
      </c>
      <c r="G5658" s="98">
        <v>375</v>
      </c>
      <c r="H5658" s="98">
        <v>530</v>
      </c>
      <c r="I5658" s="98">
        <v>493</v>
      </c>
      <c r="J5658" s="98" t="s">
        <v>2116</v>
      </c>
      <c r="K5658" s="98" t="s">
        <v>4892</v>
      </c>
      <c r="L5658" s="105" t="str">
        <f t="shared" si="930"/>
        <v>Trimble</v>
      </c>
      <c r="M5658" s="105" t="str">
        <f t="shared" si="931"/>
        <v>Derate</v>
      </c>
      <c r="N5658" s="105" t="str">
        <f t="shared" si="932"/>
        <v>Coal</v>
      </c>
      <c r="O5658" s="105">
        <f>IFERROR(VLOOKUP(A5658,Lookup!$J$5:$P$19,7,FALSE),0)</f>
        <v>3</v>
      </c>
      <c r="P5658" s="159">
        <f t="shared" si="933"/>
        <v>2017</v>
      </c>
      <c r="Q5658" s="159">
        <f t="shared" si="934"/>
        <v>6</v>
      </c>
      <c r="R5658" s="160">
        <f t="shared" si="935"/>
        <v>6.4166666666278616</v>
      </c>
      <c r="S5658" s="158">
        <f t="shared" si="936"/>
        <v>1.8765723270326764</v>
      </c>
      <c r="T5658" s="161">
        <f t="shared" si="937"/>
        <v>925.1501572271095</v>
      </c>
      <c r="U5658" s="158">
        <f t="shared" si="939"/>
        <v>144.17924528301887</v>
      </c>
      <c r="V5658" s="160">
        <f t="shared" si="938"/>
        <v>144</v>
      </c>
    </row>
    <row r="5659" spans="1:22" x14ac:dyDescent="0.25">
      <c r="A5659" s="98" t="s">
        <v>19</v>
      </c>
      <c r="B5659" s="98" t="s">
        <v>20</v>
      </c>
      <c r="C5659" s="98">
        <v>61</v>
      </c>
      <c r="D5659" s="98">
        <v>1000</v>
      </c>
      <c r="E5659" s="157">
        <v>42911.506249999999</v>
      </c>
      <c r="F5659" s="157">
        <v>42913.882638888892</v>
      </c>
      <c r="G5659" s="98">
        <v>0</v>
      </c>
      <c r="H5659" s="98">
        <v>530</v>
      </c>
      <c r="I5659" s="98">
        <v>493</v>
      </c>
      <c r="J5659" s="98" t="s">
        <v>2002</v>
      </c>
      <c r="K5659" s="98" t="s">
        <v>4482</v>
      </c>
      <c r="L5659" s="105" t="str">
        <f t="shared" si="930"/>
        <v>Trimble</v>
      </c>
      <c r="M5659" s="105" t="str">
        <f t="shared" si="931"/>
        <v>Maintenance</v>
      </c>
      <c r="N5659" s="105" t="str">
        <f t="shared" si="932"/>
        <v>Coal</v>
      </c>
      <c r="O5659" s="105">
        <f>IFERROR(VLOOKUP(A5659,Lookup!$J$5:$P$19,7,FALSE),0)</f>
        <v>3</v>
      </c>
      <c r="P5659" s="159">
        <f t="shared" si="933"/>
        <v>2017</v>
      </c>
      <c r="Q5659" s="159">
        <f t="shared" si="934"/>
        <v>6</v>
      </c>
      <c r="R5659" s="160">
        <f t="shared" si="935"/>
        <v>57.033333333441988</v>
      </c>
      <c r="S5659" s="158">
        <f t="shared" si="936"/>
        <v>57.033333333441988</v>
      </c>
      <c r="T5659" s="161">
        <f t="shared" si="937"/>
        <v>28117.4333333869</v>
      </c>
      <c r="U5659" s="158">
        <f t="shared" si="939"/>
        <v>493</v>
      </c>
      <c r="V5659" s="160">
        <f t="shared" si="938"/>
        <v>493</v>
      </c>
    </row>
    <row r="5660" spans="1:22" x14ac:dyDescent="0.25">
      <c r="A5660" s="98" t="s">
        <v>19</v>
      </c>
      <c r="B5660" s="98" t="s">
        <v>17</v>
      </c>
      <c r="C5660" s="98">
        <v>62</v>
      </c>
      <c r="D5660" s="98">
        <v>3352</v>
      </c>
      <c r="E5660" s="157">
        <v>42914.224999999999</v>
      </c>
      <c r="F5660" s="157">
        <v>42914.381944444445</v>
      </c>
      <c r="G5660" s="98">
        <v>500</v>
      </c>
      <c r="H5660" s="98">
        <v>530</v>
      </c>
      <c r="I5660" s="98">
        <v>493</v>
      </c>
      <c r="J5660" s="98" t="s">
        <v>2106</v>
      </c>
      <c r="K5660" s="98" t="s">
        <v>4483</v>
      </c>
      <c r="L5660" s="105" t="str">
        <f t="shared" si="930"/>
        <v>Trimble</v>
      </c>
      <c r="M5660" s="105" t="str">
        <f t="shared" si="931"/>
        <v>Derate</v>
      </c>
      <c r="N5660" s="105" t="str">
        <f t="shared" si="932"/>
        <v>Coal</v>
      </c>
      <c r="O5660" s="105">
        <f>IFERROR(VLOOKUP(A5660,Lookup!$J$5:$P$19,7,FALSE),0)</f>
        <v>3</v>
      </c>
      <c r="P5660" s="159">
        <f t="shared" si="933"/>
        <v>2017</v>
      </c>
      <c r="Q5660" s="159">
        <f t="shared" si="934"/>
        <v>6</v>
      </c>
      <c r="R5660" s="160">
        <f t="shared" si="935"/>
        <v>3.7666666667209938</v>
      </c>
      <c r="S5660" s="158">
        <f t="shared" si="936"/>
        <v>0.21320754717288645</v>
      </c>
      <c r="T5660" s="161">
        <f t="shared" si="937"/>
        <v>105.11132075623303</v>
      </c>
      <c r="U5660" s="158">
        <f t="shared" si="939"/>
        <v>27.90566037735849</v>
      </c>
      <c r="V5660" s="160">
        <f t="shared" si="938"/>
        <v>28</v>
      </c>
    </row>
    <row r="5661" spans="1:22" x14ac:dyDescent="0.25">
      <c r="A5661" s="98" t="s">
        <v>19</v>
      </c>
      <c r="B5661" s="98" t="s">
        <v>17</v>
      </c>
      <c r="C5661" s="98">
        <v>63</v>
      </c>
      <c r="D5661" s="98">
        <v>3352</v>
      </c>
      <c r="E5661" s="157">
        <v>42914.381944444445</v>
      </c>
      <c r="F5661" s="157">
        <v>42914.525000000001</v>
      </c>
      <c r="G5661" s="98">
        <v>510</v>
      </c>
      <c r="H5661" s="98">
        <v>530</v>
      </c>
      <c r="I5661" s="98">
        <v>493</v>
      </c>
      <c r="J5661" s="98" t="s">
        <v>2106</v>
      </c>
      <c r="K5661" s="98" t="s">
        <v>4483</v>
      </c>
      <c r="L5661" s="105" t="str">
        <f t="shared" si="930"/>
        <v>Trimble</v>
      </c>
      <c r="M5661" s="105" t="str">
        <f t="shared" si="931"/>
        <v>Derate</v>
      </c>
      <c r="N5661" s="105" t="str">
        <f t="shared" si="932"/>
        <v>Coal</v>
      </c>
      <c r="O5661" s="105">
        <f>IFERROR(VLOOKUP(A5661,Lookup!$J$5:$P$19,7,FALSE),0)</f>
        <v>3</v>
      </c>
      <c r="P5661" s="159">
        <f t="shared" si="933"/>
        <v>2017</v>
      </c>
      <c r="Q5661" s="159">
        <f t="shared" si="934"/>
        <v>6</v>
      </c>
      <c r="R5661" s="160">
        <f t="shared" si="935"/>
        <v>3.4333333333488554</v>
      </c>
      <c r="S5661" s="158">
        <f t="shared" si="936"/>
        <v>0.12955974842825868</v>
      </c>
      <c r="T5661" s="161">
        <f t="shared" si="937"/>
        <v>63.872955975131532</v>
      </c>
      <c r="U5661" s="158">
        <f t="shared" si="939"/>
        <v>18.60377358490566</v>
      </c>
      <c r="V5661" s="160">
        <f t="shared" si="938"/>
        <v>19</v>
      </c>
    </row>
    <row r="5662" spans="1:22" x14ac:dyDescent="0.25">
      <c r="A5662" s="98" t="s">
        <v>19</v>
      </c>
      <c r="B5662" s="98" t="s">
        <v>17</v>
      </c>
      <c r="C5662" s="98">
        <v>64</v>
      </c>
      <c r="D5662" s="98">
        <v>3352</v>
      </c>
      <c r="E5662" s="157">
        <v>42914.525000000001</v>
      </c>
      <c r="F5662" s="157">
        <v>42914.808333333334</v>
      </c>
      <c r="G5662" s="98">
        <v>520</v>
      </c>
      <c r="H5662" s="98">
        <v>530</v>
      </c>
      <c r="I5662" s="98">
        <v>493</v>
      </c>
      <c r="J5662" s="98" t="s">
        <v>2106</v>
      </c>
      <c r="K5662" s="98" t="s">
        <v>4483</v>
      </c>
      <c r="L5662" s="105" t="str">
        <f t="shared" si="930"/>
        <v>Trimble</v>
      </c>
      <c r="M5662" s="105" t="str">
        <f t="shared" si="931"/>
        <v>Derate</v>
      </c>
      <c r="N5662" s="105" t="str">
        <f t="shared" si="932"/>
        <v>Coal</v>
      </c>
      <c r="O5662" s="105">
        <f>IFERROR(VLOOKUP(A5662,Lookup!$J$5:$P$19,7,FALSE),0)</f>
        <v>3</v>
      </c>
      <c r="P5662" s="159">
        <f t="shared" si="933"/>
        <v>2017</v>
      </c>
      <c r="Q5662" s="159">
        <f t="shared" si="934"/>
        <v>6</v>
      </c>
      <c r="R5662" s="160">
        <f t="shared" si="935"/>
        <v>6.7999999999883585</v>
      </c>
      <c r="S5662" s="158">
        <f t="shared" si="936"/>
        <v>0.12830188679223317</v>
      </c>
      <c r="T5662" s="161">
        <f t="shared" si="937"/>
        <v>63.252830188570954</v>
      </c>
      <c r="U5662" s="158">
        <f t="shared" si="939"/>
        <v>9.3018867924528301</v>
      </c>
      <c r="V5662" s="160">
        <f t="shared" si="938"/>
        <v>9</v>
      </c>
    </row>
    <row r="5663" spans="1:22" x14ac:dyDescent="0.25">
      <c r="A5663" s="98" t="s">
        <v>19</v>
      </c>
      <c r="B5663" s="98" t="s">
        <v>105</v>
      </c>
      <c r="C5663" s="98">
        <v>65</v>
      </c>
      <c r="D5663" s="98">
        <v>4842</v>
      </c>
      <c r="E5663" s="157">
        <v>42943.166666666664</v>
      </c>
      <c r="F5663" s="157">
        <v>42943.25</v>
      </c>
      <c r="G5663" s="98">
        <v>450</v>
      </c>
      <c r="H5663" s="98">
        <v>530</v>
      </c>
      <c r="I5663" s="98">
        <v>493</v>
      </c>
      <c r="J5663" s="98" t="s">
        <v>60</v>
      </c>
      <c r="K5663" s="98" t="s">
        <v>4893</v>
      </c>
      <c r="L5663" s="105" t="str">
        <f t="shared" si="930"/>
        <v>Trimble</v>
      </c>
      <c r="M5663" s="105" t="str">
        <f t="shared" si="931"/>
        <v>Derate</v>
      </c>
      <c r="N5663" s="105" t="str">
        <f t="shared" si="932"/>
        <v>Coal</v>
      </c>
      <c r="O5663" s="105">
        <f>IFERROR(VLOOKUP(A5663,Lookup!$J$5:$P$19,7,FALSE),0)</f>
        <v>3</v>
      </c>
      <c r="P5663" s="159">
        <f t="shared" si="933"/>
        <v>2017</v>
      </c>
      <c r="Q5663" s="159">
        <f t="shared" si="934"/>
        <v>7</v>
      </c>
      <c r="R5663" s="160">
        <f t="shared" si="935"/>
        <v>2.0000000000582077</v>
      </c>
      <c r="S5663" s="158">
        <f t="shared" si="936"/>
        <v>0.30188679246161626</v>
      </c>
      <c r="T5663" s="161">
        <f t="shared" si="937"/>
        <v>148.83018868357681</v>
      </c>
      <c r="U5663" s="158">
        <f t="shared" si="939"/>
        <v>74.415094339622641</v>
      </c>
      <c r="V5663" s="160">
        <f t="shared" si="938"/>
        <v>74</v>
      </c>
    </row>
    <row r="5664" spans="1:22" x14ac:dyDescent="0.25">
      <c r="A5664" s="98" t="s">
        <v>19</v>
      </c>
      <c r="B5664" s="98" t="s">
        <v>79</v>
      </c>
      <c r="C5664" s="98">
        <v>66</v>
      </c>
      <c r="D5664" s="98">
        <v>8700</v>
      </c>
      <c r="E5664" s="157">
        <v>42948.291666666664</v>
      </c>
      <c r="F5664" s="157">
        <v>42948.769444444442</v>
      </c>
      <c r="G5664" s="98">
        <v>0</v>
      </c>
      <c r="H5664" s="98">
        <v>530</v>
      </c>
      <c r="I5664" s="98">
        <v>493</v>
      </c>
      <c r="J5664" s="98" t="s">
        <v>1987</v>
      </c>
      <c r="K5664" s="98" t="s">
        <v>4428</v>
      </c>
      <c r="L5664" s="105" t="str">
        <f t="shared" si="930"/>
        <v>Trimble</v>
      </c>
      <c r="M5664" s="105" t="str">
        <f t="shared" si="931"/>
        <v>Other</v>
      </c>
      <c r="N5664" s="105" t="str">
        <f t="shared" si="932"/>
        <v>Coal</v>
      </c>
      <c r="O5664" s="105">
        <f>IFERROR(VLOOKUP(A5664,Lookup!$J$5:$P$19,7,FALSE),0)</f>
        <v>3</v>
      </c>
      <c r="P5664" s="159">
        <f t="shared" si="933"/>
        <v>2017</v>
      </c>
      <c r="Q5664" s="159">
        <f t="shared" si="934"/>
        <v>8</v>
      </c>
      <c r="R5664" s="160">
        <f t="shared" si="935"/>
        <v>11.466666666674428</v>
      </c>
      <c r="S5664" s="158">
        <f t="shared" si="936"/>
        <v>11.466666666674428</v>
      </c>
      <c r="T5664" s="161">
        <f t="shared" si="937"/>
        <v>5653.0666666704929</v>
      </c>
      <c r="U5664" s="158">
        <f t="shared" si="939"/>
        <v>493</v>
      </c>
      <c r="V5664" s="160">
        <f t="shared" si="938"/>
        <v>493</v>
      </c>
    </row>
    <row r="5665" spans="1:22" x14ac:dyDescent="0.25">
      <c r="A5665" s="98" t="s">
        <v>19</v>
      </c>
      <c r="B5665" s="98" t="s">
        <v>17</v>
      </c>
      <c r="C5665" s="98">
        <v>67</v>
      </c>
      <c r="D5665" s="98">
        <v>335</v>
      </c>
      <c r="E5665" s="157">
        <v>42950.54791666667</v>
      </c>
      <c r="F5665" s="157">
        <v>42950.5625</v>
      </c>
      <c r="G5665" s="98">
        <v>375</v>
      </c>
      <c r="H5665" s="98">
        <v>530</v>
      </c>
      <c r="I5665" s="98">
        <v>493</v>
      </c>
      <c r="J5665" s="98" t="s">
        <v>2131</v>
      </c>
      <c r="K5665" s="98" t="s">
        <v>4894</v>
      </c>
      <c r="L5665" s="105" t="str">
        <f t="shared" si="930"/>
        <v>Trimble</v>
      </c>
      <c r="M5665" s="105" t="str">
        <f t="shared" si="931"/>
        <v>Derate</v>
      </c>
      <c r="N5665" s="105" t="str">
        <f t="shared" si="932"/>
        <v>Coal</v>
      </c>
      <c r="O5665" s="105">
        <f>IFERROR(VLOOKUP(A5665,Lookup!$J$5:$P$19,7,FALSE),0)</f>
        <v>3</v>
      </c>
      <c r="P5665" s="159">
        <f t="shared" si="933"/>
        <v>2017</v>
      </c>
      <c r="Q5665" s="159">
        <f t="shared" si="934"/>
        <v>8</v>
      </c>
      <c r="R5665" s="160">
        <f t="shared" si="935"/>
        <v>0.34999999991850927</v>
      </c>
      <c r="S5665" s="158">
        <f t="shared" si="936"/>
        <v>0.10235849054220554</v>
      </c>
      <c r="T5665" s="161">
        <f t="shared" si="937"/>
        <v>50.462735837307335</v>
      </c>
      <c r="U5665" s="158">
        <f t="shared" si="939"/>
        <v>144.17924528301887</v>
      </c>
      <c r="V5665" s="160">
        <f t="shared" si="938"/>
        <v>144</v>
      </c>
    </row>
    <row r="5666" spans="1:22" x14ac:dyDescent="0.25">
      <c r="A5666" s="98" t="s">
        <v>19</v>
      </c>
      <c r="B5666" s="98" t="s">
        <v>17</v>
      </c>
      <c r="C5666" s="98">
        <v>68</v>
      </c>
      <c r="D5666" s="98">
        <v>270</v>
      </c>
      <c r="E5666" s="157">
        <v>42950.572916666664</v>
      </c>
      <c r="F5666" s="157">
        <v>42950.586805555555</v>
      </c>
      <c r="G5666" s="98">
        <v>450</v>
      </c>
      <c r="H5666" s="98">
        <v>530</v>
      </c>
      <c r="I5666" s="98">
        <v>493</v>
      </c>
      <c r="J5666" s="98" t="s">
        <v>2031</v>
      </c>
      <c r="K5666" s="98" t="s">
        <v>4895</v>
      </c>
      <c r="L5666" s="105" t="str">
        <f t="shared" si="930"/>
        <v>Trimble</v>
      </c>
      <c r="M5666" s="105" t="str">
        <f t="shared" si="931"/>
        <v>Derate</v>
      </c>
      <c r="N5666" s="105" t="str">
        <f t="shared" si="932"/>
        <v>Coal</v>
      </c>
      <c r="O5666" s="105">
        <f>IFERROR(VLOOKUP(A5666,Lookup!$J$5:$P$19,7,FALSE),0)</f>
        <v>3</v>
      </c>
      <c r="P5666" s="159">
        <f t="shared" si="933"/>
        <v>2017</v>
      </c>
      <c r="Q5666" s="159">
        <f t="shared" si="934"/>
        <v>8</v>
      </c>
      <c r="R5666" s="160">
        <f t="shared" si="935"/>
        <v>0.33333333337213844</v>
      </c>
      <c r="S5666" s="158">
        <f t="shared" si="936"/>
        <v>5.0314465414662404E-2</v>
      </c>
      <c r="T5666" s="161">
        <f t="shared" si="937"/>
        <v>24.805031449428565</v>
      </c>
      <c r="U5666" s="158">
        <f t="shared" si="939"/>
        <v>74.415094339622641</v>
      </c>
      <c r="V5666" s="160">
        <f t="shared" si="938"/>
        <v>74</v>
      </c>
    </row>
    <row r="5667" spans="1:22" x14ac:dyDescent="0.25">
      <c r="A5667" s="98" t="s">
        <v>19</v>
      </c>
      <c r="B5667" s="98" t="s">
        <v>79</v>
      </c>
      <c r="C5667" s="98">
        <v>69</v>
      </c>
      <c r="D5667" s="98">
        <v>9656</v>
      </c>
      <c r="E5667" s="157">
        <v>42954.260416666664</v>
      </c>
      <c r="F5667" s="157">
        <v>42954.666666666664</v>
      </c>
      <c r="G5667" s="98">
        <v>0</v>
      </c>
      <c r="H5667" s="98">
        <v>530</v>
      </c>
      <c r="I5667" s="98">
        <v>493</v>
      </c>
      <c r="J5667" s="98" t="s">
        <v>299</v>
      </c>
      <c r="K5667" s="98" t="s">
        <v>4896</v>
      </c>
      <c r="L5667" s="105" t="str">
        <f t="shared" si="930"/>
        <v>Trimble</v>
      </c>
      <c r="M5667" s="105" t="str">
        <f t="shared" si="931"/>
        <v>Other</v>
      </c>
      <c r="N5667" s="105" t="str">
        <f t="shared" si="932"/>
        <v>Coal</v>
      </c>
      <c r="O5667" s="105">
        <f>IFERROR(VLOOKUP(A5667,Lookup!$J$5:$P$19,7,FALSE),0)</f>
        <v>3</v>
      </c>
      <c r="P5667" s="159">
        <f t="shared" si="933"/>
        <v>2017</v>
      </c>
      <c r="Q5667" s="159">
        <f t="shared" si="934"/>
        <v>8</v>
      </c>
      <c r="R5667" s="160">
        <f t="shared" si="935"/>
        <v>9.75</v>
      </c>
      <c r="S5667" s="158">
        <f t="shared" si="936"/>
        <v>9.75</v>
      </c>
      <c r="T5667" s="161">
        <f t="shared" si="937"/>
        <v>4806.75</v>
      </c>
      <c r="U5667" s="158">
        <f t="shared" si="939"/>
        <v>493</v>
      </c>
      <c r="V5667" s="160">
        <f t="shared" si="938"/>
        <v>493</v>
      </c>
    </row>
    <row r="5668" spans="1:22" x14ac:dyDescent="0.25">
      <c r="A5668" s="98" t="s">
        <v>19</v>
      </c>
      <c r="B5668" s="98" t="s">
        <v>79</v>
      </c>
      <c r="C5668" s="98">
        <v>70</v>
      </c>
      <c r="D5668" s="98">
        <v>9656</v>
      </c>
      <c r="E5668" s="157">
        <v>42955.25</v>
      </c>
      <c r="F5668" s="157">
        <v>42955.65625</v>
      </c>
      <c r="G5668" s="98">
        <v>0</v>
      </c>
      <c r="H5668" s="98">
        <v>530</v>
      </c>
      <c r="I5668" s="98">
        <v>493</v>
      </c>
      <c r="J5668" s="98" t="s">
        <v>299</v>
      </c>
      <c r="K5668" s="98" t="s">
        <v>4896</v>
      </c>
      <c r="L5668" s="105" t="str">
        <f t="shared" si="930"/>
        <v>Trimble</v>
      </c>
      <c r="M5668" s="105" t="str">
        <f t="shared" si="931"/>
        <v>Other</v>
      </c>
      <c r="N5668" s="105" t="str">
        <f t="shared" si="932"/>
        <v>Coal</v>
      </c>
      <c r="O5668" s="105">
        <f>IFERROR(VLOOKUP(A5668,Lookup!$J$5:$P$19,7,FALSE),0)</f>
        <v>3</v>
      </c>
      <c r="P5668" s="159">
        <f t="shared" si="933"/>
        <v>2017</v>
      </c>
      <c r="Q5668" s="159">
        <f t="shared" si="934"/>
        <v>8</v>
      </c>
      <c r="R5668" s="160">
        <f t="shared" si="935"/>
        <v>9.75</v>
      </c>
      <c r="S5668" s="158">
        <f t="shared" si="936"/>
        <v>9.75</v>
      </c>
      <c r="T5668" s="161">
        <f t="shared" si="937"/>
        <v>4806.75</v>
      </c>
      <c r="U5668" s="158">
        <f t="shared" si="939"/>
        <v>493</v>
      </c>
      <c r="V5668" s="160">
        <f t="shared" si="938"/>
        <v>493</v>
      </c>
    </row>
    <row r="5669" spans="1:22" x14ac:dyDescent="0.25">
      <c r="A5669" s="98" t="s">
        <v>19</v>
      </c>
      <c r="B5669" s="98" t="s">
        <v>79</v>
      </c>
      <c r="C5669" s="98">
        <v>71</v>
      </c>
      <c r="D5669" s="98">
        <v>9656</v>
      </c>
      <c r="E5669" s="157">
        <v>42956.25</v>
      </c>
      <c r="F5669" s="157">
        <v>42956.625</v>
      </c>
      <c r="G5669" s="98">
        <v>0</v>
      </c>
      <c r="H5669" s="98">
        <v>530</v>
      </c>
      <c r="I5669" s="98">
        <v>493</v>
      </c>
      <c r="J5669" s="98" t="s">
        <v>299</v>
      </c>
      <c r="K5669" s="98" t="s">
        <v>4896</v>
      </c>
      <c r="L5669" s="105" t="str">
        <f t="shared" si="930"/>
        <v>Trimble</v>
      </c>
      <c r="M5669" s="105" t="str">
        <f t="shared" si="931"/>
        <v>Other</v>
      </c>
      <c r="N5669" s="105" t="str">
        <f t="shared" si="932"/>
        <v>Coal</v>
      </c>
      <c r="O5669" s="105">
        <f>IFERROR(VLOOKUP(A5669,Lookup!$J$5:$P$19,7,FALSE),0)</f>
        <v>3</v>
      </c>
      <c r="P5669" s="159">
        <f t="shared" si="933"/>
        <v>2017</v>
      </c>
      <c r="Q5669" s="159">
        <f t="shared" si="934"/>
        <v>8</v>
      </c>
      <c r="R5669" s="160">
        <f t="shared" si="935"/>
        <v>9</v>
      </c>
      <c r="S5669" s="158">
        <f t="shared" si="936"/>
        <v>9</v>
      </c>
      <c r="T5669" s="161">
        <f t="shared" si="937"/>
        <v>4437</v>
      </c>
      <c r="U5669" s="158">
        <f t="shared" si="939"/>
        <v>493</v>
      </c>
      <c r="V5669" s="160">
        <f t="shared" si="938"/>
        <v>493</v>
      </c>
    </row>
    <row r="5670" spans="1:22" x14ac:dyDescent="0.25">
      <c r="A5670" s="98" t="s">
        <v>19</v>
      </c>
      <c r="B5670" s="98" t="s">
        <v>79</v>
      </c>
      <c r="C5670" s="98">
        <v>72</v>
      </c>
      <c r="D5670" s="98">
        <v>9656</v>
      </c>
      <c r="E5670" s="157">
        <v>42957.25</v>
      </c>
      <c r="F5670" s="157">
        <v>42957.600694444445</v>
      </c>
      <c r="G5670" s="98">
        <v>0</v>
      </c>
      <c r="H5670" s="98">
        <v>530</v>
      </c>
      <c r="I5670" s="98">
        <v>493</v>
      </c>
      <c r="J5670" s="98" t="s">
        <v>299</v>
      </c>
      <c r="K5670" s="98" t="s">
        <v>4896</v>
      </c>
      <c r="L5670" s="105" t="str">
        <f t="shared" si="930"/>
        <v>Trimble</v>
      </c>
      <c r="M5670" s="105" t="str">
        <f t="shared" si="931"/>
        <v>Other</v>
      </c>
      <c r="N5670" s="105" t="str">
        <f t="shared" si="932"/>
        <v>Coal</v>
      </c>
      <c r="O5670" s="105">
        <f>IFERROR(VLOOKUP(A5670,Lookup!$J$5:$P$19,7,FALSE),0)</f>
        <v>3</v>
      </c>
      <c r="P5670" s="159">
        <f t="shared" si="933"/>
        <v>2017</v>
      </c>
      <c r="Q5670" s="159">
        <f t="shared" si="934"/>
        <v>8</v>
      </c>
      <c r="R5670" s="160">
        <f t="shared" si="935"/>
        <v>8.4166666666860692</v>
      </c>
      <c r="S5670" s="158">
        <f t="shared" si="936"/>
        <v>8.4166666666860692</v>
      </c>
      <c r="T5670" s="161">
        <f t="shared" si="937"/>
        <v>4149.4166666762321</v>
      </c>
      <c r="U5670" s="158">
        <f t="shared" si="939"/>
        <v>493</v>
      </c>
      <c r="V5670" s="160">
        <f t="shared" si="938"/>
        <v>493</v>
      </c>
    </row>
    <row r="5671" spans="1:22" x14ac:dyDescent="0.25">
      <c r="A5671" s="98" t="s">
        <v>19</v>
      </c>
      <c r="B5671" s="98" t="s">
        <v>105</v>
      </c>
      <c r="C5671" s="98">
        <v>73</v>
      </c>
      <c r="D5671" s="98">
        <v>4842</v>
      </c>
      <c r="E5671" s="157">
        <v>42962.208333333336</v>
      </c>
      <c r="F5671" s="157">
        <v>42962.229166666664</v>
      </c>
      <c r="G5671" s="98">
        <v>450</v>
      </c>
      <c r="H5671" s="98">
        <v>530</v>
      </c>
      <c r="I5671" s="98">
        <v>493</v>
      </c>
      <c r="J5671" s="98" t="s">
        <v>60</v>
      </c>
      <c r="K5671" s="98" t="s">
        <v>4893</v>
      </c>
      <c r="L5671" s="105" t="str">
        <f t="shared" si="930"/>
        <v>Trimble</v>
      </c>
      <c r="M5671" s="105" t="str">
        <f t="shared" si="931"/>
        <v>Derate</v>
      </c>
      <c r="N5671" s="105" t="str">
        <f t="shared" si="932"/>
        <v>Coal</v>
      </c>
      <c r="O5671" s="105">
        <f>IFERROR(VLOOKUP(A5671,Lookup!$J$5:$P$19,7,FALSE),0)</f>
        <v>3</v>
      </c>
      <c r="P5671" s="159">
        <f t="shared" si="933"/>
        <v>2017</v>
      </c>
      <c r="Q5671" s="159">
        <f t="shared" si="934"/>
        <v>8</v>
      </c>
      <c r="R5671" s="160">
        <f t="shared" si="935"/>
        <v>0.49999999988358468</v>
      </c>
      <c r="S5671" s="158">
        <f t="shared" si="936"/>
        <v>7.547169809563542E-2</v>
      </c>
      <c r="T5671" s="161">
        <f t="shared" si="937"/>
        <v>37.207547161148263</v>
      </c>
      <c r="U5671" s="158">
        <f t="shared" si="939"/>
        <v>74.415094339622641</v>
      </c>
      <c r="V5671" s="160">
        <f t="shared" si="938"/>
        <v>74</v>
      </c>
    </row>
    <row r="5672" spans="1:22" x14ac:dyDescent="0.25">
      <c r="A5672" s="98" t="s">
        <v>19</v>
      </c>
      <c r="B5672" s="98" t="s">
        <v>79</v>
      </c>
      <c r="C5672" s="98">
        <v>74</v>
      </c>
      <c r="D5672" s="98">
        <v>9999</v>
      </c>
      <c r="E5672" s="157">
        <v>42963.333333333336</v>
      </c>
      <c r="F5672" s="157">
        <v>42963.513888888891</v>
      </c>
      <c r="G5672" s="98">
        <v>0</v>
      </c>
      <c r="H5672" s="98">
        <v>530</v>
      </c>
      <c r="I5672" s="98">
        <v>493</v>
      </c>
      <c r="J5672" s="98" t="s">
        <v>2261</v>
      </c>
      <c r="K5672" s="98" t="s">
        <v>4897</v>
      </c>
      <c r="L5672" s="105" t="str">
        <f t="shared" si="930"/>
        <v>Trimble</v>
      </c>
      <c r="M5672" s="105" t="str">
        <f t="shared" si="931"/>
        <v>Other</v>
      </c>
      <c r="N5672" s="105" t="str">
        <f t="shared" si="932"/>
        <v>Coal</v>
      </c>
      <c r="O5672" s="105">
        <f>IFERROR(VLOOKUP(A5672,Lookup!$J$5:$P$19,7,FALSE),0)</f>
        <v>3</v>
      </c>
      <c r="P5672" s="159">
        <f t="shared" si="933"/>
        <v>2017</v>
      </c>
      <c r="Q5672" s="159">
        <f t="shared" si="934"/>
        <v>8</v>
      </c>
      <c r="R5672" s="160">
        <f t="shared" si="935"/>
        <v>4.3333333333139308</v>
      </c>
      <c r="S5672" s="158">
        <f t="shared" si="936"/>
        <v>4.3333333333139308</v>
      </c>
      <c r="T5672" s="161">
        <f t="shared" si="937"/>
        <v>2136.3333333237679</v>
      </c>
      <c r="U5672" s="158">
        <f t="shared" si="939"/>
        <v>493</v>
      </c>
      <c r="V5672" s="160">
        <f t="shared" si="938"/>
        <v>493</v>
      </c>
    </row>
    <row r="5673" spans="1:22" x14ac:dyDescent="0.25">
      <c r="A5673" s="98" t="s">
        <v>19</v>
      </c>
      <c r="B5673" s="98" t="s">
        <v>79</v>
      </c>
      <c r="C5673" s="98">
        <v>75</v>
      </c>
      <c r="D5673" s="98">
        <v>9656</v>
      </c>
      <c r="E5673" s="157">
        <v>42969.416666666664</v>
      </c>
      <c r="F5673" s="157">
        <v>42969.500694444447</v>
      </c>
      <c r="G5673" s="98">
        <v>0</v>
      </c>
      <c r="H5673" s="98">
        <v>530</v>
      </c>
      <c r="I5673" s="98">
        <v>493</v>
      </c>
      <c r="J5673" s="98" t="s">
        <v>299</v>
      </c>
      <c r="K5673" s="98" t="s">
        <v>4898</v>
      </c>
      <c r="L5673" s="105" t="str">
        <f t="shared" si="930"/>
        <v>Trimble</v>
      </c>
      <c r="M5673" s="105" t="str">
        <f t="shared" si="931"/>
        <v>Other</v>
      </c>
      <c r="N5673" s="105" t="str">
        <f t="shared" si="932"/>
        <v>Coal</v>
      </c>
      <c r="O5673" s="105">
        <f>IFERROR(VLOOKUP(A5673,Lookup!$J$5:$P$19,7,FALSE),0)</f>
        <v>3</v>
      </c>
      <c r="P5673" s="159">
        <f t="shared" si="933"/>
        <v>2017</v>
      </c>
      <c r="Q5673" s="159">
        <f t="shared" si="934"/>
        <v>8</v>
      </c>
      <c r="R5673" s="160">
        <f t="shared" si="935"/>
        <v>2.0166666667792015</v>
      </c>
      <c r="S5673" s="158">
        <f t="shared" si="936"/>
        <v>2.0166666667792015</v>
      </c>
      <c r="T5673" s="161">
        <f t="shared" si="937"/>
        <v>994.21666672214633</v>
      </c>
      <c r="U5673" s="158">
        <f t="shared" si="939"/>
        <v>493</v>
      </c>
      <c r="V5673" s="160">
        <f t="shared" si="938"/>
        <v>493</v>
      </c>
    </row>
    <row r="5674" spans="1:22" x14ac:dyDescent="0.25">
      <c r="A5674" s="98" t="s">
        <v>19</v>
      </c>
      <c r="B5674" s="98" t="s">
        <v>105</v>
      </c>
      <c r="C5674" s="98">
        <v>76</v>
      </c>
      <c r="D5674" s="98">
        <v>4842</v>
      </c>
      <c r="E5674" s="157">
        <v>42977.166666666664</v>
      </c>
      <c r="F5674" s="157">
        <v>42977.208333333336</v>
      </c>
      <c r="G5674" s="98">
        <v>450</v>
      </c>
      <c r="H5674" s="98">
        <v>530</v>
      </c>
      <c r="I5674" s="98">
        <v>493</v>
      </c>
      <c r="J5674" s="98" t="s">
        <v>60</v>
      </c>
      <c r="K5674" s="98" t="s">
        <v>4899</v>
      </c>
      <c r="L5674" s="105" t="str">
        <f t="shared" si="930"/>
        <v>Trimble</v>
      </c>
      <c r="M5674" s="105" t="str">
        <f t="shared" si="931"/>
        <v>Derate</v>
      </c>
      <c r="N5674" s="105" t="str">
        <f t="shared" si="932"/>
        <v>Coal</v>
      </c>
      <c r="O5674" s="105">
        <f>IFERROR(VLOOKUP(A5674,Lookup!$J$5:$P$19,7,FALSE),0)</f>
        <v>3</v>
      </c>
      <c r="P5674" s="159">
        <f t="shared" si="933"/>
        <v>2017</v>
      </c>
      <c r="Q5674" s="159">
        <f t="shared" si="934"/>
        <v>8</v>
      </c>
      <c r="R5674" s="160">
        <f t="shared" si="935"/>
        <v>1.0000000001164153</v>
      </c>
      <c r="S5674" s="158">
        <f t="shared" si="936"/>
        <v>0.15094339624398723</v>
      </c>
      <c r="T5674" s="161">
        <f t="shared" si="937"/>
        <v>74.415094348285706</v>
      </c>
      <c r="U5674" s="158">
        <f t="shared" si="939"/>
        <v>74.415094339622641</v>
      </c>
      <c r="V5674" s="160">
        <f t="shared" si="938"/>
        <v>74</v>
      </c>
    </row>
    <row r="5675" spans="1:22" x14ac:dyDescent="0.25">
      <c r="A5675" s="98" t="s">
        <v>19</v>
      </c>
      <c r="B5675" s="98" t="s">
        <v>105</v>
      </c>
      <c r="C5675" s="98">
        <v>78</v>
      </c>
      <c r="D5675" s="98">
        <v>510</v>
      </c>
      <c r="E5675" s="157">
        <v>42985</v>
      </c>
      <c r="F5675" s="157">
        <v>42985.077777777777</v>
      </c>
      <c r="G5675" s="98">
        <v>450</v>
      </c>
      <c r="H5675" s="98">
        <v>530</v>
      </c>
      <c r="I5675" s="98">
        <v>493</v>
      </c>
      <c r="J5675" s="98" t="s">
        <v>3188</v>
      </c>
      <c r="K5675" s="98" t="s">
        <v>4900</v>
      </c>
      <c r="L5675" s="105" t="str">
        <f t="shared" si="930"/>
        <v>Trimble</v>
      </c>
      <c r="M5675" s="105" t="str">
        <f t="shared" si="931"/>
        <v>Derate</v>
      </c>
      <c r="N5675" s="105" t="str">
        <f t="shared" si="932"/>
        <v>Coal</v>
      </c>
      <c r="O5675" s="105">
        <f>IFERROR(VLOOKUP(A5675,Lookup!$J$5:$P$19,7,FALSE),0)</f>
        <v>3</v>
      </c>
      <c r="P5675" s="159">
        <f t="shared" si="933"/>
        <v>2017</v>
      </c>
      <c r="Q5675" s="159">
        <f t="shared" si="934"/>
        <v>9</v>
      </c>
      <c r="R5675" s="160">
        <f t="shared" si="935"/>
        <v>1.8666666666395031</v>
      </c>
      <c r="S5675" s="158">
        <f t="shared" si="936"/>
        <v>0.281761006285208</v>
      </c>
      <c r="T5675" s="161">
        <f t="shared" si="937"/>
        <v>138.90817609860756</v>
      </c>
      <c r="U5675" s="158">
        <f t="shared" si="939"/>
        <v>74.415094339622641</v>
      </c>
      <c r="V5675" s="160">
        <f t="shared" si="938"/>
        <v>74</v>
      </c>
    </row>
    <row r="5676" spans="1:22" x14ac:dyDescent="0.25">
      <c r="A5676" s="98" t="s">
        <v>19</v>
      </c>
      <c r="B5676" s="98" t="s">
        <v>17</v>
      </c>
      <c r="C5676" s="98">
        <v>79</v>
      </c>
      <c r="D5676" s="98">
        <v>280</v>
      </c>
      <c r="E5676" s="157">
        <v>42991.029166666667</v>
      </c>
      <c r="F5676" s="157">
        <v>42991.039583333331</v>
      </c>
      <c r="G5676" s="98">
        <v>400</v>
      </c>
      <c r="H5676" s="98">
        <v>530</v>
      </c>
      <c r="I5676" s="98">
        <v>493</v>
      </c>
      <c r="J5676" s="98" t="s">
        <v>1988</v>
      </c>
      <c r="K5676" s="98" t="s">
        <v>4901</v>
      </c>
      <c r="L5676" s="105" t="str">
        <f t="shared" si="930"/>
        <v>Trimble</v>
      </c>
      <c r="M5676" s="105" t="str">
        <f t="shared" si="931"/>
        <v>Derate</v>
      </c>
      <c r="N5676" s="105" t="str">
        <f t="shared" si="932"/>
        <v>Coal</v>
      </c>
      <c r="O5676" s="105">
        <f>IFERROR(VLOOKUP(A5676,Lookup!$J$5:$P$19,7,FALSE),0)</f>
        <v>3</v>
      </c>
      <c r="P5676" s="159">
        <f t="shared" si="933"/>
        <v>2017</v>
      </c>
      <c r="Q5676" s="159">
        <f t="shared" si="934"/>
        <v>9</v>
      </c>
      <c r="R5676" s="160">
        <f t="shared" si="935"/>
        <v>0.24999999994179234</v>
      </c>
      <c r="S5676" s="158">
        <f t="shared" si="936"/>
        <v>6.1320754702703782E-2</v>
      </c>
      <c r="T5676" s="161">
        <f t="shared" si="937"/>
        <v>30.231132068432963</v>
      </c>
      <c r="U5676" s="158">
        <f t="shared" si="939"/>
        <v>120.9245283018868</v>
      </c>
      <c r="V5676" s="160">
        <f t="shared" si="938"/>
        <v>121</v>
      </c>
    </row>
    <row r="5677" spans="1:22" x14ac:dyDescent="0.25">
      <c r="A5677" s="98" t="s">
        <v>19</v>
      </c>
      <c r="B5677" s="98" t="s">
        <v>105</v>
      </c>
      <c r="C5677" s="98">
        <v>80</v>
      </c>
      <c r="D5677" s="98">
        <v>9999</v>
      </c>
      <c r="E5677" s="157">
        <v>42996.041666666664</v>
      </c>
      <c r="F5677" s="157">
        <v>42996.145833333336</v>
      </c>
      <c r="G5677" s="98">
        <v>375</v>
      </c>
      <c r="H5677" s="98">
        <v>530</v>
      </c>
      <c r="I5677" s="98">
        <v>493</v>
      </c>
      <c r="J5677" s="98" t="s">
        <v>2261</v>
      </c>
      <c r="K5677" s="98" t="s">
        <v>4902</v>
      </c>
      <c r="L5677" s="105" t="str">
        <f t="shared" si="930"/>
        <v>Trimble</v>
      </c>
      <c r="M5677" s="105" t="str">
        <f t="shared" si="931"/>
        <v>Derate</v>
      </c>
      <c r="N5677" s="105" t="str">
        <f t="shared" si="932"/>
        <v>Coal</v>
      </c>
      <c r="O5677" s="105">
        <f>IFERROR(VLOOKUP(A5677,Lookup!$J$5:$P$19,7,FALSE),0)</f>
        <v>3</v>
      </c>
      <c r="P5677" s="159">
        <f t="shared" si="933"/>
        <v>2017</v>
      </c>
      <c r="Q5677" s="159">
        <f t="shared" si="934"/>
        <v>9</v>
      </c>
      <c r="R5677" s="160">
        <f t="shared" si="935"/>
        <v>2.5000000001164153</v>
      </c>
      <c r="S5677" s="158">
        <f t="shared" si="936"/>
        <v>0.73113207550574411</v>
      </c>
      <c r="T5677" s="161">
        <f t="shared" si="937"/>
        <v>360.44811322433185</v>
      </c>
      <c r="U5677" s="158">
        <f t="shared" si="939"/>
        <v>144.17924528301887</v>
      </c>
      <c r="V5677" s="160">
        <f t="shared" si="938"/>
        <v>144</v>
      </c>
    </row>
    <row r="5678" spans="1:22" x14ac:dyDescent="0.25">
      <c r="A5678" s="98" t="s">
        <v>19</v>
      </c>
      <c r="B5678" s="98" t="s">
        <v>105</v>
      </c>
      <c r="C5678" s="98">
        <v>81</v>
      </c>
      <c r="D5678" s="98">
        <v>9999</v>
      </c>
      <c r="E5678" s="157">
        <v>42996.145833333336</v>
      </c>
      <c r="F5678" s="157">
        <v>42996.25</v>
      </c>
      <c r="G5678" s="98">
        <v>450</v>
      </c>
      <c r="H5678" s="98">
        <v>530</v>
      </c>
      <c r="I5678" s="98">
        <v>493</v>
      </c>
      <c r="J5678" s="98" t="s">
        <v>2261</v>
      </c>
      <c r="K5678" s="98" t="s">
        <v>4902</v>
      </c>
      <c r="L5678" s="105" t="str">
        <f t="shared" si="930"/>
        <v>Trimble</v>
      </c>
      <c r="M5678" s="105" t="str">
        <f t="shared" si="931"/>
        <v>Derate</v>
      </c>
      <c r="N5678" s="105" t="str">
        <f t="shared" si="932"/>
        <v>Coal</v>
      </c>
      <c r="O5678" s="105">
        <f>IFERROR(VLOOKUP(A5678,Lookup!$J$5:$P$19,7,FALSE),0)</f>
        <v>3</v>
      </c>
      <c r="P5678" s="159">
        <f t="shared" si="933"/>
        <v>2017</v>
      </c>
      <c r="Q5678" s="159">
        <f t="shared" si="934"/>
        <v>9</v>
      </c>
      <c r="R5678" s="160">
        <f t="shared" si="935"/>
        <v>2.4999999999417923</v>
      </c>
      <c r="S5678" s="158">
        <f t="shared" si="936"/>
        <v>0.37735849055725168</v>
      </c>
      <c r="T5678" s="161">
        <f t="shared" si="937"/>
        <v>186.03773584472509</v>
      </c>
      <c r="U5678" s="158">
        <f t="shared" si="939"/>
        <v>74.415094339622641</v>
      </c>
      <c r="V5678" s="160">
        <f t="shared" si="938"/>
        <v>74</v>
      </c>
    </row>
    <row r="5679" spans="1:22" x14ac:dyDescent="0.25">
      <c r="A5679" s="98" t="s">
        <v>19</v>
      </c>
      <c r="B5679" s="98" t="s">
        <v>38</v>
      </c>
      <c r="C5679" s="98">
        <v>82</v>
      </c>
      <c r="D5679" s="98">
        <v>4400</v>
      </c>
      <c r="E5679" s="157">
        <v>43002.072916666664</v>
      </c>
      <c r="F5679" s="157">
        <v>43064.086805555555</v>
      </c>
      <c r="G5679" s="98">
        <v>0</v>
      </c>
      <c r="H5679" s="98">
        <v>530</v>
      </c>
      <c r="I5679" s="98">
        <v>493</v>
      </c>
      <c r="J5679" s="98" t="s">
        <v>2079</v>
      </c>
      <c r="K5679" s="98" t="s">
        <v>4903</v>
      </c>
      <c r="L5679" s="105" t="str">
        <f t="shared" si="930"/>
        <v>Trimble</v>
      </c>
      <c r="M5679" s="105" t="str">
        <f t="shared" si="931"/>
        <v>Other</v>
      </c>
      <c r="N5679" s="105" t="str">
        <f t="shared" si="932"/>
        <v>Coal</v>
      </c>
      <c r="O5679" s="105">
        <f>IFERROR(VLOOKUP(A5679,Lookup!$J$5:$P$19,7,FALSE),0)</f>
        <v>3</v>
      </c>
      <c r="P5679" s="159">
        <f t="shared" si="933"/>
        <v>2017</v>
      </c>
      <c r="Q5679" s="159">
        <f t="shared" si="934"/>
        <v>9</v>
      </c>
      <c r="R5679" s="160">
        <f t="shared" si="935"/>
        <v>1488.3333333333721</v>
      </c>
      <c r="S5679" s="158">
        <f t="shared" si="936"/>
        <v>1488.3333333333721</v>
      </c>
      <c r="T5679" s="161">
        <f t="shared" si="937"/>
        <v>733748.33333335246</v>
      </c>
      <c r="U5679" s="158">
        <f t="shared" si="939"/>
        <v>493</v>
      </c>
      <c r="V5679" s="160">
        <f t="shared" si="938"/>
        <v>493</v>
      </c>
    </row>
    <row r="5680" spans="1:22" x14ac:dyDescent="0.25">
      <c r="A5680" s="98" t="s">
        <v>19</v>
      </c>
      <c r="B5680" s="98" t="s">
        <v>38</v>
      </c>
      <c r="C5680" s="98">
        <v>83</v>
      </c>
      <c r="D5680" s="98">
        <v>4040</v>
      </c>
      <c r="E5680" s="157">
        <v>43064.086805555555</v>
      </c>
      <c r="F5680" s="157">
        <v>43064.991666666669</v>
      </c>
      <c r="G5680" s="98">
        <v>0</v>
      </c>
      <c r="H5680" s="98">
        <v>530</v>
      </c>
      <c r="I5680" s="98">
        <v>493</v>
      </c>
      <c r="J5680" s="98" t="s">
        <v>2257</v>
      </c>
      <c r="K5680" s="98" t="s">
        <v>4904</v>
      </c>
      <c r="L5680" s="105" t="str">
        <f t="shared" si="930"/>
        <v>Trimble</v>
      </c>
      <c r="M5680" s="105" t="str">
        <f t="shared" si="931"/>
        <v>Other</v>
      </c>
      <c r="N5680" s="105" t="str">
        <f t="shared" si="932"/>
        <v>Coal</v>
      </c>
      <c r="O5680" s="105">
        <f>IFERROR(VLOOKUP(A5680,Lookup!$J$5:$P$19,7,FALSE),0)</f>
        <v>3</v>
      </c>
      <c r="P5680" s="159">
        <f t="shared" si="933"/>
        <v>2017</v>
      </c>
      <c r="Q5680" s="159">
        <f t="shared" si="934"/>
        <v>11</v>
      </c>
      <c r="R5680" s="160">
        <f t="shared" si="935"/>
        <v>21.716666666732635</v>
      </c>
      <c r="S5680" s="158">
        <f t="shared" si="936"/>
        <v>21.716666666732635</v>
      </c>
      <c r="T5680" s="161">
        <f t="shared" si="937"/>
        <v>10706.316666699189</v>
      </c>
      <c r="U5680" s="158">
        <f t="shared" si="939"/>
        <v>493</v>
      </c>
      <c r="V5680" s="160">
        <f t="shared" si="938"/>
        <v>493</v>
      </c>
    </row>
    <row r="5681" spans="1:22" x14ac:dyDescent="0.25">
      <c r="A5681" s="98" t="s">
        <v>19</v>
      </c>
      <c r="B5681" s="98" t="s">
        <v>20</v>
      </c>
      <c r="C5681" s="98">
        <v>84</v>
      </c>
      <c r="D5681" s="98">
        <v>4040</v>
      </c>
      <c r="E5681" s="157">
        <v>43065.009027777778</v>
      </c>
      <c r="F5681" s="157">
        <v>43065.081944444442</v>
      </c>
      <c r="G5681" s="98">
        <v>0</v>
      </c>
      <c r="H5681" s="98">
        <v>530</v>
      </c>
      <c r="I5681" s="98">
        <v>493</v>
      </c>
      <c r="J5681" s="98" t="s">
        <v>2257</v>
      </c>
      <c r="K5681" s="98" t="s">
        <v>4905</v>
      </c>
      <c r="L5681" s="105" t="str">
        <f t="shared" si="930"/>
        <v>Trimble</v>
      </c>
      <c r="M5681" s="105" t="str">
        <f t="shared" si="931"/>
        <v>Maintenance</v>
      </c>
      <c r="N5681" s="105" t="str">
        <f t="shared" si="932"/>
        <v>Coal</v>
      </c>
      <c r="O5681" s="105">
        <f>IFERROR(VLOOKUP(A5681,Lookup!$J$5:$P$19,7,FALSE),0)</f>
        <v>3</v>
      </c>
      <c r="P5681" s="159">
        <f t="shared" si="933"/>
        <v>2017</v>
      </c>
      <c r="Q5681" s="159">
        <f t="shared" si="934"/>
        <v>11</v>
      </c>
      <c r="R5681" s="160">
        <f t="shared" si="935"/>
        <v>1.7499999999417923</v>
      </c>
      <c r="S5681" s="158">
        <f t="shared" si="936"/>
        <v>1.7499999999417923</v>
      </c>
      <c r="T5681" s="161">
        <f t="shared" si="937"/>
        <v>862.74999997130362</v>
      </c>
      <c r="U5681" s="158">
        <f t="shared" si="939"/>
        <v>493</v>
      </c>
      <c r="V5681" s="160">
        <f t="shared" si="938"/>
        <v>493</v>
      </c>
    </row>
    <row r="5682" spans="1:22" x14ac:dyDescent="0.25">
      <c r="A5682" s="98" t="s">
        <v>19</v>
      </c>
      <c r="B5682" s="98" t="s">
        <v>20</v>
      </c>
      <c r="C5682" s="98">
        <v>85</v>
      </c>
      <c r="D5682" s="98">
        <v>4040</v>
      </c>
      <c r="E5682" s="157">
        <v>43065.180555555555</v>
      </c>
      <c r="F5682" s="157">
        <v>43065.602083333331</v>
      </c>
      <c r="G5682" s="98">
        <v>0</v>
      </c>
      <c r="H5682" s="98">
        <v>530</v>
      </c>
      <c r="I5682" s="98">
        <v>493</v>
      </c>
      <c r="J5682" s="98" t="s">
        <v>2257</v>
      </c>
      <c r="K5682" s="98" t="s">
        <v>4905</v>
      </c>
      <c r="L5682" s="105" t="str">
        <f t="shared" si="930"/>
        <v>Trimble</v>
      </c>
      <c r="M5682" s="105" t="str">
        <f t="shared" si="931"/>
        <v>Maintenance</v>
      </c>
      <c r="N5682" s="105" t="str">
        <f t="shared" si="932"/>
        <v>Coal</v>
      </c>
      <c r="O5682" s="105">
        <f>IFERROR(VLOOKUP(A5682,Lookup!$J$5:$P$19,7,FALSE),0)</f>
        <v>3</v>
      </c>
      <c r="P5682" s="159">
        <f t="shared" si="933"/>
        <v>2017</v>
      </c>
      <c r="Q5682" s="159">
        <f t="shared" si="934"/>
        <v>11</v>
      </c>
      <c r="R5682" s="160">
        <f t="shared" si="935"/>
        <v>10.116666666639503</v>
      </c>
      <c r="S5682" s="158">
        <f t="shared" si="936"/>
        <v>10.116666666639503</v>
      </c>
      <c r="T5682" s="161">
        <f t="shared" si="937"/>
        <v>4987.516666653275</v>
      </c>
      <c r="U5682" s="158">
        <f t="shared" si="939"/>
        <v>493</v>
      </c>
      <c r="V5682" s="160">
        <f t="shared" si="938"/>
        <v>493</v>
      </c>
    </row>
    <row r="5683" spans="1:22" x14ac:dyDescent="0.25">
      <c r="A5683" s="98" t="s">
        <v>19</v>
      </c>
      <c r="B5683" s="98" t="s">
        <v>17</v>
      </c>
      <c r="C5683" s="98">
        <v>86</v>
      </c>
      <c r="D5683" s="98">
        <v>1850</v>
      </c>
      <c r="E5683" s="157">
        <v>43066.606249999997</v>
      </c>
      <c r="F5683" s="157">
        <v>43066.67083333333</v>
      </c>
      <c r="G5683" s="98">
        <v>375</v>
      </c>
      <c r="H5683" s="98">
        <v>530</v>
      </c>
      <c r="I5683" s="98">
        <v>493</v>
      </c>
      <c r="J5683" s="98" t="s">
        <v>2263</v>
      </c>
      <c r="K5683" s="98" t="s">
        <v>4906</v>
      </c>
      <c r="L5683" s="105" t="str">
        <f t="shared" si="930"/>
        <v>Trimble</v>
      </c>
      <c r="M5683" s="105" t="str">
        <f t="shared" si="931"/>
        <v>Derate</v>
      </c>
      <c r="N5683" s="105" t="str">
        <f t="shared" si="932"/>
        <v>Coal</v>
      </c>
      <c r="O5683" s="105">
        <f>IFERROR(VLOOKUP(A5683,Lookup!$J$5:$P$19,7,FALSE),0)</f>
        <v>3</v>
      </c>
      <c r="P5683" s="159">
        <f t="shared" si="933"/>
        <v>2017</v>
      </c>
      <c r="Q5683" s="159">
        <f t="shared" si="934"/>
        <v>11</v>
      </c>
      <c r="R5683" s="160">
        <f t="shared" si="935"/>
        <v>1.5499999999883585</v>
      </c>
      <c r="S5683" s="158">
        <f t="shared" si="936"/>
        <v>0.45330188678904826</v>
      </c>
      <c r="T5683" s="161">
        <f t="shared" si="937"/>
        <v>223.47783018700079</v>
      </c>
      <c r="U5683" s="158">
        <f t="shared" si="939"/>
        <v>144.17924528301887</v>
      </c>
      <c r="V5683" s="160">
        <f t="shared" si="938"/>
        <v>144</v>
      </c>
    </row>
    <row r="5684" spans="1:22" x14ac:dyDescent="0.25">
      <c r="A5684" s="98" t="s">
        <v>19</v>
      </c>
      <c r="B5684" s="98" t="s">
        <v>17</v>
      </c>
      <c r="C5684" s="98">
        <v>87</v>
      </c>
      <c r="D5684" s="98">
        <v>1850</v>
      </c>
      <c r="E5684" s="157">
        <v>43066.67083333333</v>
      </c>
      <c r="F5684" s="157">
        <v>43067.056944444441</v>
      </c>
      <c r="G5684" s="98">
        <v>392</v>
      </c>
      <c r="H5684" s="98">
        <v>530</v>
      </c>
      <c r="I5684" s="98">
        <v>493</v>
      </c>
      <c r="J5684" s="98" t="s">
        <v>2263</v>
      </c>
      <c r="K5684" s="98" t="s">
        <v>4906</v>
      </c>
      <c r="L5684" s="105" t="str">
        <f t="shared" si="930"/>
        <v>Trimble</v>
      </c>
      <c r="M5684" s="105" t="str">
        <f t="shared" si="931"/>
        <v>Derate</v>
      </c>
      <c r="N5684" s="105" t="str">
        <f t="shared" si="932"/>
        <v>Coal</v>
      </c>
      <c r="O5684" s="105">
        <f>IFERROR(VLOOKUP(A5684,Lookup!$J$5:$P$19,7,FALSE),0)</f>
        <v>3</v>
      </c>
      <c r="P5684" s="159">
        <f t="shared" si="933"/>
        <v>2017</v>
      </c>
      <c r="Q5684" s="159">
        <f t="shared" si="934"/>
        <v>11</v>
      </c>
      <c r="R5684" s="160">
        <f t="shared" si="935"/>
        <v>9.2666666666627862</v>
      </c>
      <c r="S5684" s="158">
        <f t="shared" si="936"/>
        <v>2.4128301886782348</v>
      </c>
      <c r="T5684" s="161">
        <f t="shared" si="937"/>
        <v>1189.5252830183697</v>
      </c>
      <c r="U5684" s="158">
        <f t="shared" si="939"/>
        <v>128.36603773584906</v>
      </c>
      <c r="V5684" s="160">
        <f t="shared" si="938"/>
        <v>128</v>
      </c>
    </row>
    <row r="5685" spans="1:22" x14ac:dyDescent="0.25">
      <c r="A5685" s="98" t="s">
        <v>19</v>
      </c>
      <c r="B5685" s="98" t="s">
        <v>17</v>
      </c>
      <c r="C5685" s="98">
        <v>88</v>
      </c>
      <c r="D5685" s="98">
        <v>1850</v>
      </c>
      <c r="E5685" s="157">
        <v>43067.056944444441</v>
      </c>
      <c r="F5685" s="157">
        <v>43067.25</v>
      </c>
      <c r="G5685" s="98">
        <v>430</v>
      </c>
      <c r="H5685" s="98">
        <v>530</v>
      </c>
      <c r="I5685" s="98">
        <v>493</v>
      </c>
      <c r="J5685" s="98" t="s">
        <v>2263</v>
      </c>
      <c r="K5685" s="98" t="s">
        <v>4906</v>
      </c>
      <c r="L5685" s="105" t="str">
        <f t="shared" si="930"/>
        <v>Trimble</v>
      </c>
      <c r="M5685" s="105" t="str">
        <f t="shared" si="931"/>
        <v>Derate</v>
      </c>
      <c r="N5685" s="105" t="str">
        <f t="shared" si="932"/>
        <v>Coal</v>
      </c>
      <c r="O5685" s="105">
        <f>IFERROR(VLOOKUP(A5685,Lookup!$J$5:$P$19,7,FALSE),0)</f>
        <v>3</v>
      </c>
      <c r="P5685" s="159">
        <f t="shared" si="933"/>
        <v>2017</v>
      </c>
      <c r="Q5685" s="159">
        <f t="shared" si="934"/>
        <v>11</v>
      </c>
      <c r="R5685" s="160">
        <f t="shared" si="935"/>
        <v>4.6333333334187046</v>
      </c>
      <c r="S5685" s="158">
        <f t="shared" si="936"/>
        <v>0.87421383649409523</v>
      </c>
      <c r="T5685" s="161">
        <f t="shared" si="937"/>
        <v>430.98742139158895</v>
      </c>
      <c r="U5685" s="158">
        <f t="shared" si="939"/>
        <v>93.018867924528308</v>
      </c>
      <c r="V5685" s="160">
        <f t="shared" si="938"/>
        <v>93</v>
      </c>
    </row>
    <row r="5686" spans="1:22" x14ac:dyDescent="0.25">
      <c r="A5686" s="98" t="s">
        <v>19</v>
      </c>
      <c r="B5686" s="98" t="s">
        <v>17</v>
      </c>
      <c r="C5686" s="98">
        <v>89</v>
      </c>
      <c r="D5686" s="98">
        <v>1850</v>
      </c>
      <c r="E5686" s="157">
        <v>43067.25</v>
      </c>
      <c r="F5686" s="157">
        <v>43067.280555555553</v>
      </c>
      <c r="G5686" s="98">
        <v>460</v>
      </c>
      <c r="H5686" s="98">
        <v>530</v>
      </c>
      <c r="I5686" s="98">
        <v>493</v>
      </c>
      <c r="J5686" s="98" t="s">
        <v>2263</v>
      </c>
      <c r="K5686" s="98" t="s">
        <v>4906</v>
      </c>
      <c r="L5686" s="105" t="str">
        <f t="shared" si="930"/>
        <v>Trimble</v>
      </c>
      <c r="M5686" s="105" t="str">
        <f t="shared" si="931"/>
        <v>Derate</v>
      </c>
      <c r="N5686" s="105" t="str">
        <f t="shared" si="932"/>
        <v>Coal</v>
      </c>
      <c r="O5686" s="105">
        <f>IFERROR(VLOOKUP(A5686,Lookup!$J$5:$P$19,7,FALSE),0)</f>
        <v>3</v>
      </c>
      <c r="P5686" s="159">
        <f t="shared" si="933"/>
        <v>2017</v>
      </c>
      <c r="Q5686" s="159">
        <f t="shared" si="934"/>
        <v>11</v>
      </c>
      <c r="R5686" s="160">
        <f t="shared" si="935"/>
        <v>0.73333333327900618</v>
      </c>
      <c r="S5686" s="158">
        <f t="shared" si="936"/>
        <v>9.6855345904774404E-2</v>
      </c>
      <c r="T5686" s="161">
        <f t="shared" si="937"/>
        <v>47.749685531053778</v>
      </c>
      <c r="U5686" s="158">
        <f t="shared" si="939"/>
        <v>65.113207547169807</v>
      </c>
      <c r="V5686" s="160">
        <f t="shared" si="938"/>
        <v>65</v>
      </c>
    </row>
    <row r="5687" spans="1:22" x14ac:dyDescent="0.25">
      <c r="A5687" s="98" t="s">
        <v>19</v>
      </c>
      <c r="B5687" s="98" t="s">
        <v>17</v>
      </c>
      <c r="C5687" s="98">
        <v>90</v>
      </c>
      <c r="D5687" s="98">
        <v>256</v>
      </c>
      <c r="E5687" s="157">
        <v>43067.280555555553</v>
      </c>
      <c r="F5687" s="157">
        <v>43067.323611111111</v>
      </c>
      <c r="G5687" s="98">
        <v>375</v>
      </c>
      <c r="H5687" s="98">
        <v>530</v>
      </c>
      <c r="I5687" s="98">
        <v>493</v>
      </c>
      <c r="J5687" s="98" t="s">
        <v>4907</v>
      </c>
      <c r="K5687" s="98" t="s">
        <v>4908</v>
      </c>
      <c r="L5687" s="105" t="str">
        <f t="shared" si="930"/>
        <v>Trimble</v>
      </c>
      <c r="M5687" s="105" t="str">
        <f t="shared" si="931"/>
        <v>Derate</v>
      </c>
      <c r="N5687" s="105" t="str">
        <f t="shared" si="932"/>
        <v>Coal</v>
      </c>
      <c r="O5687" s="105">
        <f>IFERROR(VLOOKUP(A5687,Lookup!$J$5:$P$19,7,FALSE),0)</f>
        <v>3</v>
      </c>
      <c r="P5687" s="159">
        <f t="shared" si="933"/>
        <v>2017</v>
      </c>
      <c r="Q5687" s="159">
        <f t="shared" si="934"/>
        <v>11</v>
      </c>
      <c r="R5687" s="160">
        <f t="shared" si="935"/>
        <v>1.03333333338378</v>
      </c>
      <c r="S5687" s="158">
        <f t="shared" si="936"/>
        <v>0.30220125787638846</v>
      </c>
      <c r="T5687" s="161">
        <f t="shared" si="937"/>
        <v>148.9852201330595</v>
      </c>
      <c r="U5687" s="158">
        <f t="shared" si="939"/>
        <v>144.17924528301887</v>
      </c>
      <c r="V5687" s="160">
        <f t="shared" si="938"/>
        <v>144</v>
      </c>
    </row>
    <row r="5688" spans="1:22" x14ac:dyDescent="0.25">
      <c r="A5688" s="98" t="s">
        <v>19</v>
      </c>
      <c r="B5688" s="98" t="s">
        <v>17</v>
      </c>
      <c r="C5688" s="98">
        <v>91</v>
      </c>
      <c r="D5688" s="98">
        <v>1850</v>
      </c>
      <c r="E5688" s="157">
        <v>43067.323611111111</v>
      </c>
      <c r="F5688" s="157">
        <v>43067.408333333333</v>
      </c>
      <c r="G5688" s="98">
        <v>450</v>
      </c>
      <c r="H5688" s="98">
        <v>530</v>
      </c>
      <c r="I5688" s="98">
        <v>493</v>
      </c>
      <c r="J5688" s="98" t="s">
        <v>2263</v>
      </c>
      <c r="K5688" s="98" t="s">
        <v>4906</v>
      </c>
      <c r="L5688" s="105" t="str">
        <f t="shared" si="930"/>
        <v>Trimble</v>
      </c>
      <c r="M5688" s="105" t="str">
        <f t="shared" si="931"/>
        <v>Derate</v>
      </c>
      <c r="N5688" s="105" t="str">
        <f t="shared" si="932"/>
        <v>Coal</v>
      </c>
      <c r="O5688" s="105">
        <f>IFERROR(VLOOKUP(A5688,Lookup!$J$5:$P$19,7,FALSE),0)</f>
        <v>3</v>
      </c>
      <c r="P5688" s="159">
        <f t="shared" si="933"/>
        <v>2017</v>
      </c>
      <c r="Q5688" s="159">
        <f t="shared" si="934"/>
        <v>11</v>
      </c>
      <c r="R5688" s="160">
        <f t="shared" si="935"/>
        <v>2.0333333333255723</v>
      </c>
      <c r="S5688" s="158">
        <f t="shared" si="936"/>
        <v>0.30691823899253923</v>
      </c>
      <c r="T5688" s="161">
        <f t="shared" si="937"/>
        <v>151.31069182332183</v>
      </c>
      <c r="U5688" s="158">
        <f t="shared" si="939"/>
        <v>74.415094339622641</v>
      </c>
      <c r="V5688" s="160">
        <f t="shared" si="938"/>
        <v>74</v>
      </c>
    </row>
    <row r="5689" spans="1:22" x14ac:dyDescent="0.25">
      <c r="A5689" s="98" t="s">
        <v>19</v>
      </c>
      <c r="B5689" s="98" t="s">
        <v>17</v>
      </c>
      <c r="C5689" s="98">
        <v>92</v>
      </c>
      <c r="D5689" s="98">
        <v>280</v>
      </c>
      <c r="E5689" s="157">
        <v>43067.408333333333</v>
      </c>
      <c r="F5689" s="157">
        <v>43067.438888888886</v>
      </c>
      <c r="G5689" s="98">
        <v>375</v>
      </c>
      <c r="H5689" s="98">
        <v>530</v>
      </c>
      <c r="I5689" s="98">
        <v>493</v>
      </c>
      <c r="J5689" s="98" t="s">
        <v>1988</v>
      </c>
      <c r="K5689" s="98" t="s">
        <v>4909</v>
      </c>
      <c r="L5689" s="105" t="str">
        <f t="shared" si="930"/>
        <v>Trimble</v>
      </c>
      <c r="M5689" s="105" t="str">
        <f t="shared" si="931"/>
        <v>Derate</v>
      </c>
      <c r="N5689" s="105" t="str">
        <f t="shared" si="932"/>
        <v>Coal</v>
      </c>
      <c r="O5689" s="105">
        <f>IFERROR(VLOOKUP(A5689,Lookup!$J$5:$P$19,7,FALSE),0)</f>
        <v>3</v>
      </c>
      <c r="P5689" s="159">
        <f t="shared" si="933"/>
        <v>2017</v>
      </c>
      <c r="Q5689" s="159">
        <f t="shared" si="934"/>
        <v>11</v>
      </c>
      <c r="R5689" s="160">
        <f t="shared" si="935"/>
        <v>0.73333333327900618</v>
      </c>
      <c r="S5689" s="158">
        <f t="shared" si="936"/>
        <v>0.21446540878914333</v>
      </c>
      <c r="T5689" s="161">
        <f t="shared" si="937"/>
        <v>105.73144653304766</v>
      </c>
      <c r="U5689" s="158">
        <f t="shared" si="939"/>
        <v>144.17924528301887</v>
      </c>
      <c r="V5689" s="160">
        <f t="shared" si="938"/>
        <v>144</v>
      </c>
    </row>
    <row r="5690" spans="1:22" x14ac:dyDescent="0.25">
      <c r="A5690" s="98" t="s">
        <v>19</v>
      </c>
      <c r="B5690" s="98" t="s">
        <v>17</v>
      </c>
      <c r="C5690" s="98">
        <v>93</v>
      </c>
      <c r="D5690" s="98">
        <v>1850</v>
      </c>
      <c r="E5690" s="157">
        <v>43067.438888888886</v>
      </c>
      <c r="F5690" s="157">
        <v>43067.490277777775</v>
      </c>
      <c r="G5690" s="98">
        <v>446</v>
      </c>
      <c r="H5690" s="98">
        <v>530</v>
      </c>
      <c r="I5690" s="98">
        <v>493</v>
      </c>
      <c r="J5690" s="98" t="s">
        <v>2263</v>
      </c>
      <c r="K5690" s="98" t="s">
        <v>4906</v>
      </c>
      <c r="L5690" s="105" t="str">
        <f t="shared" si="930"/>
        <v>Trimble</v>
      </c>
      <c r="M5690" s="105" t="str">
        <f t="shared" si="931"/>
        <v>Derate</v>
      </c>
      <c r="N5690" s="105" t="str">
        <f t="shared" si="932"/>
        <v>Coal</v>
      </c>
      <c r="O5690" s="105">
        <f>IFERROR(VLOOKUP(A5690,Lookup!$J$5:$P$19,7,FALSE),0)</f>
        <v>3</v>
      </c>
      <c r="P5690" s="159">
        <f t="shared" si="933"/>
        <v>2017</v>
      </c>
      <c r="Q5690" s="159">
        <f t="shared" si="934"/>
        <v>11</v>
      </c>
      <c r="R5690" s="160">
        <f t="shared" si="935"/>
        <v>1.2333333333372138</v>
      </c>
      <c r="S5690" s="158">
        <f t="shared" si="936"/>
        <v>0.19547169811382256</v>
      </c>
      <c r="T5690" s="161">
        <f t="shared" si="937"/>
        <v>96.36754717011452</v>
      </c>
      <c r="U5690" s="158">
        <f t="shared" si="939"/>
        <v>78.135849056603774</v>
      </c>
      <c r="V5690" s="160">
        <f t="shared" si="938"/>
        <v>78</v>
      </c>
    </row>
    <row r="5691" spans="1:22" x14ac:dyDescent="0.25">
      <c r="A5691" s="98" t="s">
        <v>19</v>
      </c>
      <c r="B5691" s="98" t="s">
        <v>17</v>
      </c>
      <c r="C5691" s="98">
        <v>94</v>
      </c>
      <c r="D5691" s="98">
        <v>1850</v>
      </c>
      <c r="E5691" s="157">
        <v>43067.490277777775</v>
      </c>
      <c r="F5691" s="157">
        <v>43067.6875</v>
      </c>
      <c r="G5691" s="98">
        <v>476</v>
      </c>
      <c r="H5691" s="98">
        <v>530</v>
      </c>
      <c r="I5691" s="98">
        <v>493</v>
      </c>
      <c r="J5691" s="98" t="s">
        <v>2263</v>
      </c>
      <c r="K5691" s="98" t="s">
        <v>4906</v>
      </c>
      <c r="L5691" s="105" t="str">
        <f t="shared" si="930"/>
        <v>Trimble</v>
      </c>
      <c r="M5691" s="105" t="str">
        <f t="shared" si="931"/>
        <v>Derate</v>
      </c>
      <c r="N5691" s="105" t="str">
        <f t="shared" si="932"/>
        <v>Coal</v>
      </c>
      <c r="O5691" s="105">
        <f>IFERROR(VLOOKUP(A5691,Lookup!$J$5:$P$19,7,FALSE),0)</f>
        <v>3</v>
      </c>
      <c r="P5691" s="159">
        <f t="shared" si="933"/>
        <v>2017</v>
      </c>
      <c r="Q5691" s="159">
        <f t="shared" si="934"/>
        <v>11</v>
      </c>
      <c r="R5691" s="160">
        <f t="shared" si="935"/>
        <v>4.7333333333954215</v>
      </c>
      <c r="S5691" s="158">
        <f t="shared" si="936"/>
        <v>0.48226415094972219</v>
      </c>
      <c r="T5691" s="161">
        <f t="shared" si="937"/>
        <v>237.75622641821303</v>
      </c>
      <c r="U5691" s="158">
        <f t="shared" si="939"/>
        <v>50.230188679245281</v>
      </c>
      <c r="V5691" s="160">
        <f t="shared" si="938"/>
        <v>50</v>
      </c>
    </row>
    <row r="5692" spans="1:22" x14ac:dyDescent="0.25">
      <c r="A5692" s="98" t="s">
        <v>19</v>
      </c>
      <c r="B5692" s="98" t="s">
        <v>17</v>
      </c>
      <c r="C5692" s="98">
        <v>95</v>
      </c>
      <c r="D5692" s="98">
        <v>3310</v>
      </c>
      <c r="E5692" s="157">
        <v>43067.6875</v>
      </c>
      <c r="F5692" s="157">
        <v>43067.716666666667</v>
      </c>
      <c r="G5692" s="98">
        <v>275</v>
      </c>
      <c r="H5692" s="98">
        <v>530</v>
      </c>
      <c r="I5692" s="98">
        <v>493</v>
      </c>
      <c r="J5692" s="98" t="s">
        <v>2099</v>
      </c>
      <c r="K5692" s="98" t="s">
        <v>4910</v>
      </c>
      <c r="L5692" s="105" t="str">
        <f t="shared" si="930"/>
        <v>Trimble</v>
      </c>
      <c r="M5692" s="105" t="str">
        <f t="shared" si="931"/>
        <v>Derate</v>
      </c>
      <c r="N5692" s="105" t="str">
        <f t="shared" si="932"/>
        <v>Coal</v>
      </c>
      <c r="O5692" s="105">
        <f>IFERROR(VLOOKUP(A5692,Lookup!$J$5:$P$19,7,FALSE),0)</f>
        <v>3</v>
      </c>
      <c r="P5692" s="159">
        <f t="shared" si="933"/>
        <v>2017</v>
      </c>
      <c r="Q5692" s="159">
        <f t="shared" si="934"/>
        <v>11</v>
      </c>
      <c r="R5692" s="160">
        <f t="shared" si="935"/>
        <v>0.70000000001164153</v>
      </c>
      <c r="S5692" s="158">
        <f t="shared" si="936"/>
        <v>0.33679245283578979</v>
      </c>
      <c r="T5692" s="161">
        <f t="shared" si="937"/>
        <v>166.03867924804436</v>
      </c>
      <c r="U5692" s="158">
        <f t="shared" si="939"/>
        <v>237.19811320754718</v>
      </c>
      <c r="V5692" s="160">
        <f t="shared" si="938"/>
        <v>237</v>
      </c>
    </row>
    <row r="5693" spans="1:22" x14ac:dyDescent="0.25">
      <c r="A5693" s="98" t="s">
        <v>19</v>
      </c>
      <c r="B5693" s="98" t="s">
        <v>17</v>
      </c>
      <c r="C5693" s="98">
        <v>96</v>
      </c>
      <c r="D5693" s="98">
        <v>3310</v>
      </c>
      <c r="E5693" s="157">
        <v>43067.716666666667</v>
      </c>
      <c r="F5693" s="157">
        <v>43067.75</v>
      </c>
      <c r="G5693" s="98">
        <v>250</v>
      </c>
      <c r="H5693" s="98">
        <v>530</v>
      </c>
      <c r="I5693" s="98">
        <v>493</v>
      </c>
      <c r="J5693" s="98" t="s">
        <v>2099</v>
      </c>
      <c r="K5693" s="98" t="s">
        <v>4910</v>
      </c>
      <c r="L5693" s="105" t="str">
        <f t="shared" si="930"/>
        <v>Trimble</v>
      </c>
      <c r="M5693" s="105" t="str">
        <f t="shared" si="931"/>
        <v>Derate</v>
      </c>
      <c r="N5693" s="105" t="str">
        <f t="shared" si="932"/>
        <v>Coal</v>
      </c>
      <c r="O5693" s="105">
        <f>IFERROR(VLOOKUP(A5693,Lookup!$J$5:$P$19,7,FALSE),0)</f>
        <v>3</v>
      </c>
      <c r="P5693" s="159">
        <f t="shared" si="933"/>
        <v>2017</v>
      </c>
      <c r="Q5693" s="159">
        <f t="shared" si="934"/>
        <v>11</v>
      </c>
      <c r="R5693" s="160">
        <f t="shared" si="935"/>
        <v>0.79999999998835847</v>
      </c>
      <c r="S5693" s="158">
        <f t="shared" si="936"/>
        <v>0.42264150942781203</v>
      </c>
      <c r="T5693" s="161">
        <f t="shared" si="937"/>
        <v>208.36226414791133</v>
      </c>
      <c r="U5693" s="158">
        <f t="shared" si="939"/>
        <v>260.45283018867923</v>
      </c>
      <c r="V5693" s="160">
        <f t="shared" si="938"/>
        <v>260</v>
      </c>
    </row>
    <row r="5694" spans="1:22" x14ac:dyDescent="0.25">
      <c r="A5694" s="98" t="s">
        <v>19</v>
      </c>
      <c r="B5694" s="98" t="s">
        <v>15</v>
      </c>
      <c r="C5694" s="98">
        <v>97</v>
      </c>
      <c r="D5694" s="98">
        <v>3344</v>
      </c>
      <c r="E5694" s="157">
        <v>43067.75</v>
      </c>
      <c r="F5694" s="157">
        <v>43067.831944444442</v>
      </c>
      <c r="G5694" s="98">
        <v>0</v>
      </c>
      <c r="H5694" s="98">
        <v>530</v>
      </c>
      <c r="I5694" s="98">
        <v>493</v>
      </c>
      <c r="J5694" s="98" t="s">
        <v>2165</v>
      </c>
      <c r="K5694" s="98" t="s">
        <v>4911</v>
      </c>
      <c r="L5694" s="105" t="str">
        <f t="shared" si="930"/>
        <v>Trimble</v>
      </c>
      <c r="M5694" s="105" t="str">
        <f t="shared" si="931"/>
        <v>Outage</v>
      </c>
      <c r="N5694" s="105" t="str">
        <f t="shared" si="932"/>
        <v>Coal</v>
      </c>
      <c r="O5694" s="105">
        <f>IFERROR(VLOOKUP(A5694,Lookup!$J$5:$P$19,7,FALSE),0)</f>
        <v>3</v>
      </c>
      <c r="P5694" s="159">
        <f t="shared" si="933"/>
        <v>2017</v>
      </c>
      <c r="Q5694" s="159">
        <f t="shared" si="934"/>
        <v>11</v>
      </c>
      <c r="R5694" s="160">
        <f t="shared" si="935"/>
        <v>1.96666666661622</v>
      </c>
      <c r="S5694" s="158">
        <f t="shared" si="936"/>
        <v>1.96666666661622</v>
      </c>
      <c r="T5694" s="161">
        <f t="shared" si="937"/>
        <v>969.56666664179647</v>
      </c>
      <c r="U5694" s="158">
        <f t="shared" si="939"/>
        <v>493</v>
      </c>
      <c r="V5694" s="160">
        <f t="shared" si="938"/>
        <v>493</v>
      </c>
    </row>
    <row r="5695" spans="1:22" x14ac:dyDescent="0.25">
      <c r="A5695" s="98" t="s">
        <v>19</v>
      </c>
      <c r="B5695" s="98" t="s">
        <v>17</v>
      </c>
      <c r="C5695" s="98">
        <v>98</v>
      </c>
      <c r="D5695" s="98">
        <v>1850</v>
      </c>
      <c r="E5695" s="157">
        <v>43067.832638888889</v>
      </c>
      <c r="F5695" s="157">
        <v>43067.879166666666</v>
      </c>
      <c r="G5695" s="98">
        <v>476</v>
      </c>
      <c r="H5695" s="98">
        <v>530</v>
      </c>
      <c r="I5695" s="98">
        <v>493</v>
      </c>
      <c r="J5695" s="98" t="s">
        <v>2263</v>
      </c>
      <c r="K5695" s="98" t="s">
        <v>4906</v>
      </c>
      <c r="L5695" s="105" t="str">
        <f t="shared" si="930"/>
        <v>Trimble</v>
      </c>
      <c r="M5695" s="105" t="str">
        <f t="shared" si="931"/>
        <v>Derate</v>
      </c>
      <c r="N5695" s="105" t="str">
        <f t="shared" si="932"/>
        <v>Coal</v>
      </c>
      <c r="O5695" s="105">
        <f>IFERROR(VLOOKUP(A5695,Lookup!$J$5:$P$19,7,FALSE),0)</f>
        <v>3</v>
      </c>
      <c r="P5695" s="159">
        <f t="shared" si="933"/>
        <v>2017</v>
      </c>
      <c r="Q5695" s="159">
        <f t="shared" si="934"/>
        <v>11</v>
      </c>
      <c r="R5695" s="160">
        <f t="shared" si="935"/>
        <v>1.1166666666395031</v>
      </c>
      <c r="S5695" s="158">
        <f t="shared" si="936"/>
        <v>0.11377358490289277</v>
      </c>
      <c r="T5695" s="161">
        <f t="shared" si="937"/>
        <v>56.090377357126137</v>
      </c>
      <c r="U5695" s="158">
        <f t="shared" si="939"/>
        <v>50.230188679245281</v>
      </c>
      <c r="V5695" s="160">
        <f t="shared" si="938"/>
        <v>50</v>
      </c>
    </row>
    <row r="5696" spans="1:22" x14ac:dyDescent="0.25">
      <c r="A5696" s="98" t="s">
        <v>19</v>
      </c>
      <c r="B5696" s="98" t="s">
        <v>33</v>
      </c>
      <c r="C5696" s="98">
        <v>99</v>
      </c>
      <c r="D5696" s="98">
        <v>4040</v>
      </c>
      <c r="E5696" s="157">
        <v>43067.879166666666</v>
      </c>
      <c r="F5696" s="157">
        <v>43069.324305555558</v>
      </c>
      <c r="G5696" s="98">
        <v>0</v>
      </c>
      <c r="H5696" s="98">
        <v>530</v>
      </c>
      <c r="I5696" s="98">
        <v>493</v>
      </c>
      <c r="J5696" s="98" t="s">
        <v>2257</v>
      </c>
      <c r="K5696" s="98" t="s">
        <v>4905</v>
      </c>
      <c r="L5696" s="105" t="str">
        <f t="shared" si="930"/>
        <v>Trimble</v>
      </c>
      <c r="M5696" s="105" t="str">
        <f t="shared" si="931"/>
        <v>Outage</v>
      </c>
      <c r="N5696" s="105" t="str">
        <f t="shared" si="932"/>
        <v>Coal</v>
      </c>
      <c r="O5696" s="105">
        <f>IFERROR(VLOOKUP(A5696,Lookup!$J$5:$P$19,7,FALSE),0)</f>
        <v>3</v>
      </c>
      <c r="P5696" s="159">
        <f t="shared" si="933"/>
        <v>2017</v>
      </c>
      <c r="Q5696" s="159">
        <f t="shared" si="934"/>
        <v>11</v>
      </c>
      <c r="R5696" s="160">
        <f t="shared" si="935"/>
        <v>34.683333333407063</v>
      </c>
      <c r="S5696" s="158">
        <f t="shared" si="936"/>
        <v>34.683333333407063</v>
      </c>
      <c r="T5696" s="161">
        <f t="shared" si="937"/>
        <v>17098.883333369682</v>
      </c>
      <c r="U5696" s="158">
        <f t="shared" si="939"/>
        <v>493</v>
      </c>
      <c r="V5696" s="160">
        <f t="shared" si="938"/>
        <v>493</v>
      </c>
    </row>
    <row r="5697" spans="1:22" x14ac:dyDescent="0.25">
      <c r="A5697" s="98" t="s">
        <v>19</v>
      </c>
      <c r="B5697" s="98" t="s">
        <v>33</v>
      </c>
      <c r="C5697" s="98">
        <v>100</v>
      </c>
      <c r="D5697" s="98">
        <v>4260</v>
      </c>
      <c r="E5697" s="157">
        <v>43069.75277777778</v>
      </c>
      <c r="F5697" s="157">
        <v>43071.932638888888</v>
      </c>
      <c r="G5697" s="98">
        <v>0</v>
      </c>
      <c r="H5697" s="98">
        <v>530</v>
      </c>
      <c r="I5697" s="98">
        <v>493</v>
      </c>
      <c r="J5697" s="98" t="s">
        <v>1982</v>
      </c>
      <c r="K5697" s="98" t="s">
        <v>4912</v>
      </c>
      <c r="L5697" s="105" t="str">
        <f t="shared" si="930"/>
        <v>Trimble</v>
      </c>
      <c r="M5697" s="105" t="str">
        <f t="shared" si="931"/>
        <v>Outage</v>
      </c>
      <c r="N5697" s="105" t="str">
        <f t="shared" si="932"/>
        <v>Coal</v>
      </c>
      <c r="O5697" s="105">
        <f>IFERROR(VLOOKUP(A5697,Lookup!$J$5:$P$19,7,FALSE),0)</f>
        <v>3</v>
      </c>
      <c r="P5697" s="159">
        <f t="shared" si="933"/>
        <v>2017</v>
      </c>
      <c r="Q5697" s="159">
        <f t="shared" si="934"/>
        <v>11</v>
      </c>
      <c r="R5697" s="160">
        <f t="shared" si="935"/>
        <v>52.316666666592937</v>
      </c>
      <c r="S5697" s="158">
        <f t="shared" si="936"/>
        <v>52.316666666592937</v>
      </c>
      <c r="T5697" s="161">
        <f t="shared" si="937"/>
        <v>25792.116666630318</v>
      </c>
      <c r="U5697" s="158">
        <f t="shared" si="939"/>
        <v>493</v>
      </c>
      <c r="V5697" s="160">
        <f t="shared" si="938"/>
        <v>493</v>
      </c>
    </row>
    <row r="5698" spans="1:22" x14ac:dyDescent="0.25">
      <c r="A5698" s="98" t="s">
        <v>19</v>
      </c>
      <c r="B5698" s="98" t="s">
        <v>15</v>
      </c>
      <c r="C5698" s="98">
        <v>101</v>
      </c>
      <c r="D5698" s="98">
        <v>710</v>
      </c>
      <c r="E5698" s="157">
        <v>43071.932638888888</v>
      </c>
      <c r="F5698" s="157">
        <v>43072.831250000003</v>
      </c>
      <c r="G5698" s="98">
        <v>0</v>
      </c>
      <c r="H5698" s="98">
        <v>530</v>
      </c>
      <c r="I5698" s="98">
        <v>493</v>
      </c>
      <c r="J5698" s="98" t="s">
        <v>4063</v>
      </c>
      <c r="K5698" s="98" t="s">
        <v>4913</v>
      </c>
      <c r="L5698" s="105" t="str">
        <f t="shared" si="930"/>
        <v>Trimble</v>
      </c>
      <c r="M5698" s="105" t="str">
        <f t="shared" si="931"/>
        <v>Outage</v>
      </c>
      <c r="N5698" s="105" t="str">
        <f t="shared" si="932"/>
        <v>Coal</v>
      </c>
      <c r="O5698" s="105">
        <f>IFERROR(VLOOKUP(A5698,Lookup!$J$5:$P$19,7,FALSE),0)</f>
        <v>3</v>
      </c>
      <c r="P5698" s="159">
        <f t="shared" si="933"/>
        <v>2017</v>
      </c>
      <c r="Q5698" s="159">
        <f t="shared" si="934"/>
        <v>12</v>
      </c>
      <c r="R5698" s="160">
        <f t="shared" si="935"/>
        <v>21.56666666676756</v>
      </c>
      <c r="S5698" s="158">
        <f t="shared" si="936"/>
        <v>21.56666666676756</v>
      </c>
      <c r="T5698" s="161">
        <f t="shared" si="937"/>
        <v>10632.366666716407</v>
      </c>
      <c r="U5698" s="158">
        <f t="shared" si="939"/>
        <v>493</v>
      </c>
      <c r="V5698" s="160">
        <f t="shared" si="938"/>
        <v>493</v>
      </c>
    </row>
    <row r="5699" spans="1:22" x14ac:dyDescent="0.25">
      <c r="A5699" s="98" t="s">
        <v>19</v>
      </c>
      <c r="B5699" s="98" t="s">
        <v>17</v>
      </c>
      <c r="C5699" s="98">
        <v>102</v>
      </c>
      <c r="D5699" s="98">
        <v>4551</v>
      </c>
      <c r="E5699" s="157">
        <v>43081.287499999999</v>
      </c>
      <c r="F5699" s="157">
        <v>43081.324305555558</v>
      </c>
      <c r="G5699" s="98">
        <v>500</v>
      </c>
      <c r="H5699" s="98">
        <v>530</v>
      </c>
      <c r="I5699" s="98">
        <v>493</v>
      </c>
      <c r="J5699" s="98" t="s">
        <v>4914</v>
      </c>
      <c r="K5699" s="98" t="s">
        <v>4915</v>
      </c>
      <c r="L5699" s="105" t="str">
        <f t="shared" si="930"/>
        <v>Trimble</v>
      </c>
      <c r="M5699" s="105" t="str">
        <f t="shared" si="931"/>
        <v>Derate</v>
      </c>
      <c r="N5699" s="105" t="str">
        <f t="shared" si="932"/>
        <v>Coal</v>
      </c>
      <c r="O5699" s="105">
        <f>IFERROR(VLOOKUP(A5699,Lookup!$J$5:$P$19,7,FALSE),0)</f>
        <v>3</v>
      </c>
      <c r="P5699" s="159">
        <f t="shared" si="933"/>
        <v>2017</v>
      </c>
      <c r="Q5699" s="159">
        <f t="shared" si="934"/>
        <v>12</v>
      </c>
      <c r="R5699" s="160">
        <f t="shared" si="935"/>
        <v>0.88333333341870457</v>
      </c>
      <c r="S5699" s="158">
        <f t="shared" si="936"/>
        <v>5.0000000004832332E-2</v>
      </c>
      <c r="T5699" s="161">
        <f t="shared" si="937"/>
        <v>24.650000002382338</v>
      </c>
      <c r="U5699" s="158">
        <f t="shared" si="939"/>
        <v>27.90566037735849</v>
      </c>
      <c r="V5699" s="160">
        <f t="shared" si="938"/>
        <v>28</v>
      </c>
    </row>
    <row r="5700" spans="1:22" x14ac:dyDescent="0.25">
      <c r="A5700" s="98" t="s">
        <v>19</v>
      </c>
      <c r="B5700" s="98" t="s">
        <v>17</v>
      </c>
      <c r="C5700" s="98">
        <v>103</v>
      </c>
      <c r="D5700" s="98">
        <v>3415</v>
      </c>
      <c r="E5700" s="157">
        <v>43081.775694444441</v>
      </c>
      <c r="F5700" s="157">
        <v>43081.81527777778</v>
      </c>
      <c r="G5700" s="98">
        <v>415</v>
      </c>
      <c r="H5700" s="98">
        <v>530</v>
      </c>
      <c r="I5700" s="98">
        <v>493</v>
      </c>
      <c r="J5700" s="98" t="s">
        <v>2109</v>
      </c>
      <c r="K5700" s="98" t="s">
        <v>4916</v>
      </c>
      <c r="L5700" s="105" t="str">
        <f t="shared" ref="L5700:L5728" si="940">IF(OR(A5700="BR1",A5700="BR2",A5700="BR3",A5700="BR5",A5700="BR6",A5700="BR7",A5700="BR8",A5700="BR9",A5700="BR10",A5700="BR11"),"Brown",IF(OR(A5700="CR4",A5700="CR5",A5700="CR6",A5700="CR11"),"Cane Run",IF(OR(A5700="GH1",A5700="GH2",A5700="GH3",A5700="GH4"),"Ghent",IF(OR(A5700="GR3",A5700="GR4"),"Green River",IF(OR(A5700="MC1",A5700="MC2",A5700="MC3",A5700="MC4"),"Mill Creek",IF(OR(A5700="TC1",A5700="TC2",A5700="TC5",A5700="TC6",A5700="TC7",A5700="TC8",A5700="TC9",A5700="TC10"),"Trimble",IF(A5700="TY3","Tyrone",IF(OR(A5700="HA1",A5700="HA2",A5700="HA3"),"Haeflin",IF(OR(A5700="PR11",A5700="PR12",A5700="PR13"),"Paddy's Run","Zorn")))))))))</f>
        <v>Trimble</v>
      </c>
      <c r="M5700" s="105" t="str">
        <f t="shared" ref="M5700:M5728" si="941">IF(OR(B5700="D1",B5700="D2",B5700="D3",B5700="D4",B5700="PD"),"Derate",IF(OR(B5700="SF",B5700="U1",B5700="U2",B5700="U3"),"Outage",IF(OR(B5700="ME",B5700="MO"),"Maintenance","Other")))</f>
        <v>Derate</v>
      </c>
      <c r="N5700" s="105" t="str">
        <f t="shared" ref="N5700:N5728" si="942">IF(OR(A5700="BR1",A5700="BR2",A5700="BR3",A5700="CR4",A5700="CR5",A5700="CR6",A5700="GH1",A5700="GH2",A5700="GH3",A5700="GH4",A5700="GR3",A5700="GR4",A5700="MC1",A5700="MC2",A5700="MC3",A5700="MC4",A5700="TC1",A5700="TC2",A5700="TY3"),"Coal","Gas")</f>
        <v>Coal</v>
      </c>
      <c r="O5700" s="105">
        <f>IFERROR(VLOOKUP(A5700,Lookup!$J$5:$P$19,7,FALSE),0)</f>
        <v>3</v>
      </c>
      <c r="P5700" s="159">
        <f t="shared" ref="P5700:P5728" si="943">YEAR(E5700)</f>
        <v>2017</v>
      </c>
      <c r="Q5700" s="159">
        <f t="shared" ref="Q5700:Q5728" si="944">MONTH(E5700)</f>
        <v>12</v>
      </c>
      <c r="R5700" s="160">
        <f t="shared" ref="R5700:R5728" si="945">(F5700-E5700)*24</f>
        <v>0.95000000012805685</v>
      </c>
      <c r="S5700" s="158">
        <f t="shared" ref="S5700:S5728" si="946">R5700*(H5700-G5700)/H5700</f>
        <v>0.20613207549948404</v>
      </c>
      <c r="T5700" s="161">
        <f t="shared" ref="T5700:T5728" si="947">S5700*I5700</f>
        <v>101.62311322124563</v>
      </c>
      <c r="U5700" s="158">
        <f t="shared" si="939"/>
        <v>106.97169811320755</v>
      </c>
      <c r="V5700" s="160">
        <f t="shared" ref="V5700:V5728" si="948">ROUND(U5700,0)</f>
        <v>107</v>
      </c>
    </row>
    <row r="5701" spans="1:22" x14ac:dyDescent="0.25">
      <c r="A5701" s="98" t="s">
        <v>19</v>
      </c>
      <c r="B5701" s="98" t="s">
        <v>79</v>
      </c>
      <c r="C5701" s="98">
        <v>104</v>
      </c>
      <c r="D5701" s="98">
        <v>8700</v>
      </c>
      <c r="E5701" s="157">
        <v>43083.333333333336</v>
      </c>
      <c r="F5701" s="157">
        <v>43083.743055555555</v>
      </c>
      <c r="G5701" s="98">
        <v>0</v>
      </c>
      <c r="H5701" s="98">
        <v>530</v>
      </c>
      <c r="I5701" s="98">
        <v>493</v>
      </c>
      <c r="J5701" s="98" t="s">
        <v>1987</v>
      </c>
      <c r="K5701" s="98" t="s">
        <v>4428</v>
      </c>
      <c r="L5701" s="105" t="str">
        <f t="shared" si="940"/>
        <v>Trimble</v>
      </c>
      <c r="M5701" s="105" t="str">
        <f t="shared" si="941"/>
        <v>Other</v>
      </c>
      <c r="N5701" s="105" t="str">
        <f t="shared" si="942"/>
        <v>Coal</v>
      </c>
      <c r="O5701" s="105">
        <f>IFERROR(VLOOKUP(A5701,Lookup!$J$5:$P$19,7,FALSE),0)</f>
        <v>3</v>
      </c>
      <c r="P5701" s="159">
        <f t="shared" si="943"/>
        <v>2017</v>
      </c>
      <c r="Q5701" s="159">
        <f t="shared" si="944"/>
        <v>12</v>
      </c>
      <c r="R5701" s="160">
        <f t="shared" si="945"/>
        <v>9.8333333332557231</v>
      </c>
      <c r="S5701" s="158">
        <f t="shared" si="946"/>
        <v>9.8333333332557231</v>
      </c>
      <c r="T5701" s="161">
        <f t="shared" si="947"/>
        <v>4847.8333332950715</v>
      </c>
      <c r="U5701" s="158">
        <f t="shared" ref="U5701:U5728" si="949">IF(G5701&gt;0,MAX((H5701-G5701),0)*I5701/H5701,I5701)</f>
        <v>493</v>
      </c>
      <c r="V5701" s="160">
        <f t="shared" si="948"/>
        <v>493</v>
      </c>
    </row>
    <row r="5702" spans="1:22" x14ac:dyDescent="0.25">
      <c r="A5702" s="98" t="s">
        <v>19</v>
      </c>
      <c r="B5702" s="98" t="s">
        <v>79</v>
      </c>
      <c r="C5702" s="98">
        <v>105</v>
      </c>
      <c r="D5702" s="98">
        <v>9656</v>
      </c>
      <c r="E5702" s="157">
        <v>43084.395833333336</v>
      </c>
      <c r="F5702" s="157">
        <v>43084.5</v>
      </c>
      <c r="G5702" s="98">
        <v>0</v>
      </c>
      <c r="H5702" s="98">
        <v>530</v>
      </c>
      <c r="I5702" s="98">
        <v>493</v>
      </c>
      <c r="J5702" s="98" t="s">
        <v>299</v>
      </c>
      <c r="K5702" s="98" t="s">
        <v>4917</v>
      </c>
      <c r="L5702" s="105" t="str">
        <f t="shared" si="940"/>
        <v>Trimble</v>
      </c>
      <c r="M5702" s="105" t="str">
        <f t="shared" si="941"/>
        <v>Other</v>
      </c>
      <c r="N5702" s="105" t="str">
        <f t="shared" si="942"/>
        <v>Coal</v>
      </c>
      <c r="O5702" s="105">
        <f>IFERROR(VLOOKUP(A5702,Lookup!$J$5:$P$19,7,FALSE),0)</f>
        <v>3</v>
      </c>
      <c r="P5702" s="159">
        <f t="shared" si="943"/>
        <v>2017</v>
      </c>
      <c r="Q5702" s="159">
        <f t="shared" si="944"/>
        <v>12</v>
      </c>
      <c r="R5702" s="160">
        <f t="shared" si="945"/>
        <v>2.4999999999417923</v>
      </c>
      <c r="S5702" s="158">
        <f t="shared" si="946"/>
        <v>2.4999999999417923</v>
      </c>
      <c r="T5702" s="161">
        <f t="shared" si="947"/>
        <v>1232.4999999713036</v>
      </c>
      <c r="U5702" s="158">
        <f t="shared" si="949"/>
        <v>493</v>
      </c>
      <c r="V5702" s="160">
        <f t="shared" si="948"/>
        <v>493</v>
      </c>
    </row>
    <row r="5703" spans="1:22" x14ac:dyDescent="0.25">
      <c r="A5703" s="98" t="s">
        <v>19</v>
      </c>
      <c r="B5703" s="98" t="s">
        <v>79</v>
      </c>
      <c r="C5703" s="98">
        <v>106</v>
      </c>
      <c r="D5703" s="98">
        <v>8700</v>
      </c>
      <c r="E5703" s="157">
        <v>43084.527777777781</v>
      </c>
      <c r="F5703" s="157">
        <v>43084.586111111108</v>
      </c>
      <c r="G5703" s="98">
        <v>0</v>
      </c>
      <c r="H5703" s="98">
        <v>530</v>
      </c>
      <c r="I5703" s="98">
        <v>493</v>
      </c>
      <c r="J5703" s="98" t="s">
        <v>1987</v>
      </c>
      <c r="K5703" s="98" t="s">
        <v>4428</v>
      </c>
      <c r="L5703" s="105" t="str">
        <f t="shared" si="940"/>
        <v>Trimble</v>
      </c>
      <c r="M5703" s="105" t="str">
        <f t="shared" si="941"/>
        <v>Other</v>
      </c>
      <c r="N5703" s="105" t="str">
        <f t="shared" si="942"/>
        <v>Coal</v>
      </c>
      <c r="O5703" s="105">
        <f>IFERROR(VLOOKUP(A5703,Lookup!$J$5:$P$19,7,FALSE),0)</f>
        <v>3</v>
      </c>
      <c r="P5703" s="159">
        <f t="shared" si="943"/>
        <v>2017</v>
      </c>
      <c r="Q5703" s="159">
        <f t="shared" si="944"/>
        <v>12</v>
      </c>
      <c r="R5703" s="160">
        <f t="shared" si="945"/>
        <v>1.3999999998486601</v>
      </c>
      <c r="S5703" s="158">
        <f t="shared" si="946"/>
        <v>1.3999999998486601</v>
      </c>
      <c r="T5703" s="161">
        <f t="shared" si="947"/>
        <v>690.19999992538942</v>
      </c>
      <c r="U5703" s="158">
        <f t="shared" si="949"/>
        <v>493</v>
      </c>
      <c r="V5703" s="160">
        <f t="shared" si="948"/>
        <v>493</v>
      </c>
    </row>
    <row r="5704" spans="1:22" x14ac:dyDescent="0.25">
      <c r="A5704" s="98" t="s">
        <v>19</v>
      </c>
      <c r="B5704" s="98" t="s">
        <v>17</v>
      </c>
      <c r="C5704" s="98">
        <v>107</v>
      </c>
      <c r="D5704" s="98">
        <v>3661</v>
      </c>
      <c r="E5704" s="157">
        <v>43086.761111111111</v>
      </c>
      <c r="F5704" s="157">
        <v>43086.797222222223</v>
      </c>
      <c r="G5704" s="98">
        <v>450</v>
      </c>
      <c r="H5704" s="98">
        <v>530</v>
      </c>
      <c r="I5704" s="98">
        <v>493</v>
      </c>
      <c r="J5704" s="98" t="s">
        <v>2170</v>
      </c>
      <c r="K5704" s="98" t="s">
        <v>4918</v>
      </c>
      <c r="L5704" s="105" t="str">
        <f t="shared" si="940"/>
        <v>Trimble</v>
      </c>
      <c r="M5704" s="105" t="str">
        <f t="shared" si="941"/>
        <v>Derate</v>
      </c>
      <c r="N5704" s="105" t="str">
        <f t="shared" si="942"/>
        <v>Coal</v>
      </c>
      <c r="O5704" s="105">
        <f>IFERROR(VLOOKUP(A5704,Lookup!$J$5:$P$19,7,FALSE),0)</f>
        <v>3</v>
      </c>
      <c r="P5704" s="159">
        <f t="shared" si="943"/>
        <v>2017</v>
      </c>
      <c r="Q5704" s="159">
        <f t="shared" si="944"/>
        <v>12</v>
      </c>
      <c r="R5704" s="160">
        <f t="shared" si="945"/>
        <v>0.86666666669771075</v>
      </c>
      <c r="S5704" s="158">
        <f t="shared" si="946"/>
        <v>0.13081761006757897</v>
      </c>
      <c r="T5704" s="161">
        <f t="shared" si="947"/>
        <v>64.493081763316439</v>
      </c>
      <c r="U5704" s="158">
        <f t="shared" si="949"/>
        <v>74.415094339622641</v>
      </c>
      <c r="V5704" s="160">
        <f t="shared" si="948"/>
        <v>74</v>
      </c>
    </row>
    <row r="5705" spans="1:22" x14ac:dyDescent="0.25">
      <c r="A5705" s="98" t="s">
        <v>19</v>
      </c>
      <c r="B5705" s="98" t="s">
        <v>79</v>
      </c>
      <c r="C5705" s="98">
        <v>108</v>
      </c>
      <c r="D5705" s="98">
        <v>8812</v>
      </c>
      <c r="E5705" s="157">
        <v>43088.291666666664</v>
      </c>
      <c r="F5705" s="157">
        <v>43088.722222222219</v>
      </c>
      <c r="G5705" s="98">
        <v>0</v>
      </c>
      <c r="H5705" s="98">
        <v>530</v>
      </c>
      <c r="I5705" s="98">
        <v>493</v>
      </c>
      <c r="J5705" s="98" t="s">
        <v>2232</v>
      </c>
      <c r="K5705" s="98" t="s">
        <v>4474</v>
      </c>
      <c r="L5705" s="105" t="str">
        <f t="shared" si="940"/>
        <v>Trimble</v>
      </c>
      <c r="M5705" s="105" t="str">
        <f t="shared" si="941"/>
        <v>Other</v>
      </c>
      <c r="N5705" s="105" t="str">
        <f t="shared" si="942"/>
        <v>Coal</v>
      </c>
      <c r="O5705" s="105">
        <f>IFERROR(VLOOKUP(A5705,Lookup!$J$5:$P$19,7,FALSE),0)</f>
        <v>3</v>
      </c>
      <c r="P5705" s="159">
        <f t="shared" si="943"/>
        <v>2017</v>
      </c>
      <c r="Q5705" s="159">
        <f t="shared" si="944"/>
        <v>12</v>
      </c>
      <c r="R5705" s="160">
        <f t="shared" si="945"/>
        <v>10.333333333313931</v>
      </c>
      <c r="S5705" s="158">
        <f t="shared" si="946"/>
        <v>10.333333333313931</v>
      </c>
      <c r="T5705" s="161">
        <f t="shared" si="947"/>
        <v>5094.3333333237679</v>
      </c>
      <c r="U5705" s="158">
        <f t="shared" si="949"/>
        <v>493</v>
      </c>
      <c r="V5705" s="160">
        <f t="shared" si="948"/>
        <v>493</v>
      </c>
    </row>
    <row r="5706" spans="1:22" x14ac:dyDescent="0.25">
      <c r="A5706" s="98" t="s">
        <v>19</v>
      </c>
      <c r="B5706" s="98" t="s">
        <v>79</v>
      </c>
      <c r="C5706" s="98">
        <v>109</v>
      </c>
      <c r="D5706" s="98">
        <v>8812</v>
      </c>
      <c r="E5706" s="157">
        <v>43089.302083333336</v>
      </c>
      <c r="F5706" s="157">
        <v>43089.689583333333</v>
      </c>
      <c r="G5706" s="98">
        <v>0</v>
      </c>
      <c r="H5706" s="98">
        <v>530</v>
      </c>
      <c r="I5706" s="98">
        <v>493</v>
      </c>
      <c r="J5706" s="98" t="s">
        <v>2232</v>
      </c>
      <c r="K5706" s="98" t="s">
        <v>4474</v>
      </c>
      <c r="L5706" s="105" t="str">
        <f t="shared" si="940"/>
        <v>Trimble</v>
      </c>
      <c r="M5706" s="105" t="str">
        <f t="shared" si="941"/>
        <v>Other</v>
      </c>
      <c r="N5706" s="105" t="str">
        <f t="shared" si="942"/>
        <v>Coal</v>
      </c>
      <c r="O5706" s="105">
        <f>IFERROR(VLOOKUP(A5706,Lookup!$J$5:$P$19,7,FALSE),0)</f>
        <v>3</v>
      </c>
      <c r="P5706" s="159">
        <f t="shared" si="943"/>
        <v>2017</v>
      </c>
      <c r="Q5706" s="159">
        <f t="shared" si="944"/>
        <v>12</v>
      </c>
      <c r="R5706" s="160">
        <f t="shared" si="945"/>
        <v>9.2999999999301508</v>
      </c>
      <c r="S5706" s="158">
        <f t="shared" si="946"/>
        <v>9.2999999999301508</v>
      </c>
      <c r="T5706" s="161">
        <f t="shared" si="947"/>
        <v>4584.8999999655643</v>
      </c>
      <c r="U5706" s="158">
        <f t="shared" si="949"/>
        <v>493</v>
      </c>
      <c r="V5706" s="160">
        <f t="shared" si="948"/>
        <v>493</v>
      </c>
    </row>
    <row r="5707" spans="1:22" x14ac:dyDescent="0.25">
      <c r="A5707" s="98" t="s">
        <v>19</v>
      </c>
      <c r="B5707" s="98" t="s">
        <v>79</v>
      </c>
      <c r="C5707" s="98">
        <v>110</v>
      </c>
      <c r="D5707" s="98">
        <v>8812</v>
      </c>
      <c r="E5707" s="157">
        <v>43090.291666666664</v>
      </c>
      <c r="F5707" s="157">
        <v>43090.441666666666</v>
      </c>
      <c r="G5707" s="98">
        <v>0</v>
      </c>
      <c r="H5707" s="98">
        <v>530</v>
      </c>
      <c r="I5707" s="98">
        <v>493</v>
      </c>
      <c r="J5707" s="98" t="s">
        <v>2232</v>
      </c>
      <c r="K5707" s="98" t="s">
        <v>4474</v>
      </c>
      <c r="L5707" s="105" t="str">
        <f t="shared" si="940"/>
        <v>Trimble</v>
      </c>
      <c r="M5707" s="105" t="str">
        <f t="shared" si="941"/>
        <v>Other</v>
      </c>
      <c r="N5707" s="105" t="str">
        <f t="shared" si="942"/>
        <v>Coal</v>
      </c>
      <c r="O5707" s="105">
        <f>IFERROR(VLOOKUP(A5707,Lookup!$J$5:$P$19,7,FALSE),0)</f>
        <v>3</v>
      </c>
      <c r="P5707" s="159">
        <f t="shared" si="943"/>
        <v>2017</v>
      </c>
      <c r="Q5707" s="159">
        <f t="shared" si="944"/>
        <v>12</v>
      </c>
      <c r="R5707" s="160">
        <f t="shared" si="945"/>
        <v>3.6000000000349246</v>
      </c>
      <c r="S5707" s="158">
        <f t="shared" si="946"/>
        <v>3.6000000000349246</v>
      </c>
      <c r="T5707" s="161">
        <f t="shared" si="947"/>
        <v>1774.8000000172178</v>
      </c>
      <c r="U5707" s="158">
        <f t="shared" si="949"/>
        <v>493</v>
      </c>
      <c r="V5707" s="160">
        <f t="shared" si="948"/>
        <v>493</v>
      </c>
    </row>
    <row r="5708" spans="1:22" x14ac:dyDescent="0.25">
      <c r="A5708" s="98" t="s">
        <v>19</v>
      </c>
      <c r="B5708" s="98" t="s">
        <v>17</v>
      </c>
      <c r="C5708" s="98">
        <v>1</v>
      </c>
      <c r="D5708" s="98">
        <v>897</v>
      </c>
      <c r="E5708" s="157">
        <v>43102.170138888891</v>
      </c>
      <c r="F5708" s="157">
        <v>43102.458333333336</v>
      </c>
      <c r="G5708" s="98">
        <v>400</v>
      </c>
      <c r="H5708" s="98">
        <v>530</v>
      </c>
      <c r="I5708" s="98">
        <v>493</v>
      </c>
      <c r="J5708" s="98" t="s">
        <v>3091</v>
      </c>
      <c r="K5708" s="98" t="s">
        <v>4919</v>
      </c>
      <c r="L5708" s="105" t="str">
        <f t="shared" si="940"/>
        <v>Trimble</v>
      </c>
      <c r="M5708" s="105" t="str">
        <f t="shared" si="941"/>
        <v>Derate</v>
      </c>
      <c r="N5708" s="105" t="str">
        <f t="shared" si="942"/>
        <v>Coal</v>
      </c>
      <c r="O5708" s="105">
        <f>IFERROR(VLOOKUP(A5708,Lookup!$J$5:$P$19,7,FALSE),0)</f>
        <v>3</v>
      </c>
      <c r="P5708" s="159">
        <f t="shared" si="943"/>
        <v>2018</v>
      </c>
      <c r="Q5708" s="159">
        <f t="shared" si="944"/>
        <v>1</v>
      </c>
      <c r="R5708" s="160">
        <f t="shared" si="945"/>
        <v>6.9166666666860692</v>
      </c>
      <c r="S5708" s="158">
        <f t="shared" si="946"/>
        <v>1.6965408805079039</v>
      </c>
      <c r="T5708" s="161">
        <f t="shared" si="947"/>
        <v>836.39465409039656</v>
      </c>
      <c r="U5708" s="158">
        <f t="shared" si="949"/>
        <v>120.9245283018868</v>
      </c>
      <c r="V5708" s="160">
        <f t="shared" si="948"/>
        <v>121</v>
      </c>
    </row>
    <row r="5709" spans="1:22" x14ac:dyDescent="0.25">
      <c r="A5709" s="98" t="s">
        <v>19</v>
      </c>
      <c r="B5709" s="98" t="s">
        <v>17</v>
      </c>
      <c r="C5709" s="98">
        <v>2</v>
      </c>
      <c r="D5709" s="98">
        <v>897</v>
      </c>
      <c r="E5709" s="157">
        <v>43102.458333333336</v>
      </c>
      <c r="F5709" s="157">
        <v>43102.697916666664</v>
      </c>
      <c r="G5709" s="98">
        <v>360</v>
      </c>
      <c r="H5709" s="98">
        <v>530</v>
      </c>
      <c r="I5709" s="98">
        <v>493</v>
      </c>
      <c r="J5709" s="98" t="s">
        <v>3091</v>
      </c>
      <c r="K5709" s="98" t="s">
        <v>4919</v>
      </c>
      <c r="L5709" s="105" t="str">
        <f t="shared" si="940"/>
        <v>Trimble</v>
      </c>
      <c r="M5709" s="105" t="str">
        <f t="shared" si="941"/>
        <v>Derate</v>
      </c>
      <c r="N5709" s="105" t="str">
        <f t="shared" si="942"/>
        <v>Coal</v>
      </c>
      <c r="O5709" s="105">
        <f>IFERROR(VLOOKUP(A5709,Lookup!$J$5:$P$19,7,FALSE),0)</f>
        <v>3</v>
      </c>
      <c r="P5709" s="159">
        <f t="shared" si="943"/>
        <v>2018</v>
      </c>
      <c r="Q5709" s="159">
        <f t="shared" si="944"/>
        <v>1</v>
      </c>
      <c r="R5709" s="160">
        <f t="shared" si="945"/>
        <v>5.7499999998835847</v>
      </c>
      <c r="S5709" s="158">
        <f t="shared" si="946"/>
        <v>1.8443396226041686</v>
      </c>
      <c r="T5709" s="161">
        <f t="shared" si="947"/>
        <v>909.25943394385513</v>
      </c>
      <c r="U5709" s="158">
        <f t="shared" si="949"/>
        <v>158.1320754716981</v>
      </c>
      <c r="V5709" s="160">
        <f t="shared" si="948"/>
        <v>158</v>
      </c>
    </row>
    <row r="5710" spans="1:22" x14ac:dyDescent="0.25">
      <c r="A5710" s="98" t="s">
        <v>19</v>
      </c>
      <c r="B5710" s="98" t="s">
        <v>20</v>
      </c>
      <c r="C5710" s="98">
        <v>3</v>
      </c>
      <c r="D5710" s="98">
        <v>4551</v>
      </c>
      <c r="E5710" s="157">
        <v>43120.056250000001</v>
      </c>
      <c r="F5710" s="157">
        <v>43122.521527777775</v>
      </c>
      <c r="G5710" s="98">
        <v>0</v>
      </c>
      <c r="H5710" s="98">
        <v>530</v>
      </c>
      <c r="I5710" s="98">
        <v>493</v>
      </c>
      <c r="J5710" s="98" t="s">
        <v>4914</v>
      </c>
      <c r="K5710" s="98" t="s">
        <v>4920</v>
      </c>
      <c r="L5710" s="105" t="str">
        <f t="shared" si="940"/>
        <v>Trimble</v>
      </c>
      <c r="M5710" s="105" t="str">
        <f t="shared" si="941"/>
        <v>Maintenance</v>
      </c>
      <c r="N5710" s="105" t="str">
        <f t="shared" si="942"/>
        <v>Coal</v>
      </c>
      <c r="O5710" s="105">
        <f>IFERROR(VLOOKUP(A5710,Lookup!$J$5:$P$19,7,FALSE),0)</f>
        <v>3</v>
      </c>
      <c r="P5710" s="159">
        <f t="shared" si="943"/>
        <v>2018</v>
      </c>
      <c r="Q5710" s="159">
        <f t="shared" si="944"/>
        <v>1</v>
      </c>
      <c r="R5710" s="160">
        <f t="shared" si="945"/>
        <v>59.166666666569654</v>
      </c>
      <c r="S5710" s="158">
        <f t="shared" si="946"/>
        <v>59.166666666569654</v>
      </c>
      <c r="T5710" s="161">
        <f t="shared" si="947"/>
        <v>29169.166666618839</v>
      </c>
      <c r="U5710" s="158">
        <f t="shared" si="949"/>
        <v>493</v>
      </c>
      <c r="V5710" s="160">
        <f t="shared" si="948"/>
        <v>493</v>
      </c>
    </row>
    <row r="5711" spans="1:22" x14ac:dyDescent="0.25">
      <c r="A5711" s="98" t="s">
        <v>19</v>
      </c>
      <c r="B5711" s="98" t="s">
        <v>17</v>
      </c>
      <c r="C5711" s="98">
        <v>4</v>
      </c>
      <c r="D5711" s="98">
        <v>4610</v>
      </c>
      <c r="E5711" s="157">
        <v>43131.3125</v>
      </c>
      <c r="F5711" s="157">
        <v>43131.605555555558</v>
      </c>
      <c r="G5711" s="98">
        <v>500</v>
      </c>
      <c r="H5711" s="98">
        <v>530</v>
      </c>
      <c r="I5711" s="98">
        <v>493</v>
      </c>
      <c r="J5711" s="98" t="s">
        <v>2171</v>
      </c>
      <c r="K5711" s="98" t="s">
        <v>4921</v>
      </c>
      <c r="L5711" s="105" t="str">
        <f t="shared" si="940"/>
        <v>Trimble</v>
      </c>
      <c r="M5711" s="105" t="str">
        <f t="shared" si="941"/>
        <v>Derate</v>
      </c>
      <c r="N5711" s="105" t="str">
        <f t="shared" si="942"/>
        <v>Coal</v>
      </c>
      <c r="O5711" s="105">
        <f>IFERROR(VLOOKUP(A5711,Lookup!$J$5:$P$19,7,FALSE),0)</f>
        <v>3</v>
      </c>
      <c r="P5711" s="159">
        <f t="shared" si="943"/>
        <v>2018</v>
      </c>
      <c r="Q5711" s="159">
        <f t="shared" si="944"/>
        <v>1</v>
      </c>
      <c r="R5711" s="160">
        <f t="shared" si="945"/>
        <v>7.03333333338378</v>
      </c>
      <c r="S5711" s="158">
        <f t="shared" si="946"/>
        <v>0.39811320755002527</v>
      </c>
      <c r="T5711" s="161">
        <f t="shared" si="947"/>
        <v>196.26981132216247</v>
      </c>
      <c r="U5711" s="158">
        <f t="shared" si="949"/>
        <v>27.90566037735849</v>
      </c>
      <c r="V5711" s="160">
        <f t="shared" si="948"/>
        <v>28</v>
      </c>
    </row>
    <row r="5712" spans="1:22" x14ac:dyDescent="0.25">
      <c r="A5712" s="98" t="s">
        <v>19</v>
      </c>
      <c r="B5712" s="98" t="s">
        <v>32</v>
      </c>
      <c r="C5712" s="98">
        <v>5</v>
      </c>
      <c r="D5712" s="98">
        <v>9999</v>
      </c>
      <c r="E5712" s="157">
        <v>43131.875</v>
      </c>
      <c r="F5712" s="157">
        <v>43131.918749999997</v>
      </c>
      <c r="G5712" s="98">
        <v>200</v>
      </c>
      <c r="H5712" s="98">
        <v>530</v>
      </c>
      <c r="I5712" s="98">
        <v>493</v>
      </c>
      <c r="J5712" s="98" t="s">
        <v>2261</v>
      </c>
      <c r="K5712" s="98" t="s">
        <v>4922</v>
      </c>
      <c r="L5712" s="105" t="str">
        <f t="shared" si="940"/>
        <v>Trimble</v>
      </c>
      <c r="M5712" s="105" t="str">
        <f t="shared" si="941"/>
        <v>Derate</v>
      </c>
      <c r="N5712" s="105" t="str">
        <f t="shared" si="942"/>
        <v>Coal</v>
      </c>
      <c r="O5712" s="105">
        <f>IFERROR(VLOOKUP(A5712,Lookup!$J$5:$P$19,7,FALSE),0)</f>
        <v>3</v>
      </c>
      <c r="P5712" s="159">
        <f t="shared" si="943"/>
        <v>2018</v>
      </c>
      <c r="Q5712" s="159">
        <f t="shared" si="944"/>
        <v>1</v>
      </c>
      <c r="R5712" s="160">
        <f t="shared" si="945"/>
        <v>1.0499999999301508</v>
      </c>
      <c r="S5712" s="158">
        <f t="shared" si="946"/>
        <v>0.65377358486216941</v>
      </c>
      <c r="T5712" s="161">
        <f t="shared" si="947"/>
        <v>322.31037733704954</v>
      </c>
      <c r="U5712" s="158">
        <f t="shared" si="949"/>
        <v>306.96226415094338</v>
      </c>
      <c r="V5712" s="160">
        <f t="shared" si="948"/>
        <v>307</v>
      </c>
    </row>
    <row r="5713" spans="1:22" x14ac:dyDescent="0.25">
      <c r="A5713" s="98" t="s">
        <v>19</v>
      </c>
      <c r="B5713" s="98" t="s">
        <v>15</v>
      </c>
      <c r="C5713" s="98">
        <v>6</v>
      </c>
      <c r="D5713" s="98">
        <v>4470</v>
      </c>
      <c r="E5713" s="157">
        <v>43131.918749999997</v>
      </c>
      <c r="F5713" s="157">
        <v>43132.213888888888</v>
      </c>
      <c r="G5713" s="98">
        <v>0</v>
      </c>
      <c r="H5713" s="98">
        <v>530</v>
      </c>
      <c r="I5713" s="98">
        <v>493</v>
      </c>
      <c r="J5713" s="98" t="s">
        <v>2498</v>
      </c>
      <c r="K5713" s="98" t="s">
        <v>4923</v>
      </c>
      <c r="L5713" s="105" t="str">
        <f t="shared" si="940"/>
        <v>Trimble</v>
      </c>
      <c r="M5713" s="105" t="str">
        <f t="shared" si="941"/>
        <v>Outage</v>
      </c>
      <c r="N5713" s="105" t="str">
        <f t="shared" si="942"/>
        <v>Coal</v>
      </c>
      <c r="O5713" s="105">
        <f>IFERROR(VLOOKUP(A5713,Lookup!$J$5:$P$19,7,FALSE),0)</f>
        <v>3</v>
      </c>
      <c r="P5713" s="159">
        <f t="shared" si="943"/>
        <v>2018</v>
      </c>
      <c r="Q5713" s="159">
        <f t="shared" si="944"/>
        <v>1</v>
      </c>
      <c r="R5713" s="160">
        <f t="shared" si="945"/>
        <v>7.0833333333721384</v>
      </c>
      <c r="S5713" s="158">
        <f t="shared" si="946"/>
        <v>7.0833333333721384</v>
      </c>
      <c r="T5713" s="161">
        <f t="shared" si="947"/>
        <v>3492.0833333524643</v>
      </c>
      <c r="U5713" s="158">
        <f t="shared" si="949"/>
        <v>493</v>
      </c>
      <c r="V5713" s="160">
        <f t="shared" si="948"/>
        <v>493</v>
      </c>
    </row>
    <row r="5714" spans="1:22" x14ac:dyDescent="0.25">
      <c r="A5714" s="98" t="s">
        <v>19</v>
      </c>
      <c r="B5714" s="98" t="s">
        <v>20</v>
      </c>
      <c r="C5714" s="98">
        <v>7</v>
      </c>
      <c r="D5714" s="98">
        <v>4610</v>
      </c>
      <c r="E5714" s="157">
        <v>43134.506944444445</v>
      </c>
      <c r="F5714" s="157">
        <v>43134.913888888892</v>
      </c>
      <c r="G5714" s="98">
        <v>0</v>
      </c>
      <c r="H5714" s="98">
        <v>530</v>
      </c>
      <c r="I5714" s="98">
        <v>493</v>
      </c>
      <c r="J5714" s="98" t="s">
        <v>2171</v>
      </c>
      <c r="K5714" s="98" t="s">
        <v>4924</v>
      </c>
      <c r="L5714" s="105" t="str">
        <f t="shared" si="940"/>
        <v>Trimble</v>
      </c>
      <c r="M5714" s="105" t="str">
        <f t="shared" si="941"/>
        <v>Maintenance</v>
      </c>
      <c r="N5714" s="105" t="str">
        <f t="shared" si="942"/>
        <v>Coal</v>
      </c>
      <c r="O5714" s="105">
        <f>IFERROR(VLOOKUP(A5714,Lookup!$J$5:$P$19,7,FALSE),0)</f>
        <v>3</v>
      </c>
      <c r="P5714" s="159">
        <f t="shared" si="943"/>
        <v>2018</v>
      </c>
      <c r="Q5714" s="159">
        <f t="shared" si="944"/>
        <v>2</v>
      </c>
      <c r="R5714" s="160">
        <f t="shared" si="945"/>
        <v>9.7666666667209938</v>
      </c>
      <c r="S5714" s="158">
        <f t="shared" si="946"/>
        <v>9.7666666667209938</v>
      </c>
      <c r="T5714" s="161">
        <f t="shared" si="947"/>
        <v>4814.96666669345</v>
      </c>
      <c r="U5714" s="158">
        <f t="shared" si="949"/>
        <v>493</v>
      </c>
      <c r="V5714" s="160">
        <f t="shared" si="948"/>
        <v>493</v>
      </c>
    </row>
    <row r="5715" spans="1:22" x14ac:dyDescent="0.25">
      <c r="A5715" s="98" t="s">
        <v>19</v>
      </c>
      <c r="B5715" s="98" t="s">
        <v>79</v>
      </c>
      <c r="C5715" s="98">
        <v>8</v>
      </c>
      <c r="D5715" s="98">
        <v>9999</v>
      </c>
      <c r="E5715" s="157">
        <v>43138.291666666664</v>
      </c>
      <c r="F5715" s="157">
        <v>43138.505555555559</v>
      </c>
      <c r="G5715" s="98">
        <v>0</v>
      </c>
      <c r="H5715" s="98">
        <v>530</v>
      </c>
      <c r="I5715" s="98">
        <v>493</v>
      </c>
      <c r="J5715" s="98" t="s">
        <v>2261</v>
      </c>
      <c r="K5715" s="98" t="s">
        <v>4925</v>
      </c>
      <c r="L5715" s="105" t="str">
        <f t="shared" si="940"/>
        <v>Trimble</v>
      </c>
      <c r="M5715" s="105" t="str">
        <f t="shared" si="941"/>
        <v>Other</v>
      </c>
      <c r="N5715" s="105" t="str">
        <f t="shared" si="942"/>
        <v>Coal</v>
      </c>
      <c r="O5715" s="105">
        <f>IFERROR(VLOOKUP(A5715,Lookup!$J$5:$P$19,7,FALSE),0)</f>
        <v>3</v>
      </c>
      <c r="P5715" s="159">
        <f t="shared" si="943"/>
        <v>2018</v>
      </c>
      <c r="Q5715" s="159">
        <f t="shared" si="944"/>
        <v>2</v>
      </c>
      <c r="R5715" s="160">
        <f t="shared" si="945"/>
        <v>5.1333333334769122</v>
      </c>
      <c r="S5715" s="158">
        <f t="shared" si="946"/>
        <v>5.1333333334769122</v>
      </c>
      <c r="T5715" s="161">
        <f t="shared" si="947"/>
        <v>2530.7333334041177</v>
      </c>
      <c r="U5715" s="158">
        <f t="shared" si="949"/>
        <v>493</v>
      </c>
      <c r="V5715" s="160">
        <f t="shared" si="948"/>
        <v>493</v>
      </c>
    </row>
    <row r="5716" spans="1:22" x14ac:dyDescent="0.25">
      <c r="A5716" s="98" t="s">
        <v>19</v>
      </c>
      <c r="B5716" s="98" t="s">
        <v>32</v>
      </c>
      <c r="C5716" s="98">
        <v>9</v>
      </c>
      <c r="D5716" s="98">
        <v>9999</v>
      </c>
      <c r="E5716" s="157">
        <v>43146.708333333336</v>
      </c>
      <c r="F5716" s="157">
        <v>43146.833333333336</v>
      </c>
      <c r="G5716" s="98">
        <v>450</v>
      </c>
      <c r="H5716" s="98">
        <v>530</v>
      </c>
      <c r="I5716" s="98">
        <v>493</v>
      </c>
      <c r="J5716" s="98" t="s">
        <v>2261</v>
      </c>
      <c r="K5716" s="98" t="s">
        <v>4926</v>
      </c>
      <c r="L5716" s="105" t="str">
        <f t="shared" si="940"/>
        <v>Trimble</v>
      </c>
      <c r="M5716" s="105" t="str">
        <f t="shared" si="941"/>
        <v>Derate</v>
      </c>
      <c r="N5716" s="105" t="str">
        <f t="shared" si="942"/>
        <v>Coal</v>
      </c>
      <c r="O5716" s="105">
        <f>IFERROR(VLOOKUP(A5716,Lookup!$J$5:$P$19,7,FALSE),0)</f>
        <v>3</v>
      </c>
      <c r="P5716" s="159">
        <f t="shared" si="943"/>
        <v>2018</v>
      </c>
      <c r="Q5716" s="159">
        <f t="shared" si="944"/>
        <v>2</v>
      </c>
      <c r="R5716" s="160">
        <f t="shared" si="945"/>
        <v>3</v>
      </c>
      <c r="S5716" s="158">
        <f t="shared" si="946"/>
        <v>0.45283018867924529</v>
      </c>
      <c r="T5716" s="161">
        <f t="shared" si="947"/>
        <v>223.24528301886792</v>
      </c>
      <c r="U5716" s="158">
        <f t="shared" si="949"/>
        <v>74.415094339622641</v>
      </c>
      <c r="V5716" s="160">
        <f t="shared" si="948"/>
        <v>74</v>
      </c>
    </row>
    <row r="5717" spans="1:22" x14ac:dyDescent="0.25">
      <c r="A5717" s="98" t="s">
        <v>19</v>
      </c>
      <c r="B5717" s="98" t="s">
        <v>32</v>
      </c>
      <c r="C5717" s="98">
        <v>10</v>
      </c>
      <c r="D5717" s="98">
        <v>9999</v>
      </c>
      <c r="E5717" s="157">
        <v>43146.833333333336</v>
      </c>
      <c r="F5717" s="157">
        <v>43147.040972222225</v>
      </c>
      <c r="G5717" s="98">
        <v>350</v>
      </c>
      <c r="H5717" s="98">
        <v>530</v>
      </c>
      <c r="I5717" s="98">
        <v>493</v>
      </c>
      <c r="J5717" s="98" t="s">
        <v>2261</v>
      </c>
      <c r="K5717" s="98" t="s">
        <v>4926</v>
      </c>
      <c r="L5717" s="105" t="str">
        <f t="shared" si="940"/>
        <v>Trimble</v>
      </c>
      <c r="M5717" s="105" t="str">
        <f t="shared" si="941"/>
        <v>Derate</v>
      </c>
      <c r="N5717" s="105" t="str">
        <f t="shared" si="942"/>
        <v>Coal</v>
      </c>
      <c r="O5717" s="105">
        <f>IFERROR(VLOOKUP(A5717,Lookup!$J$5:$P$19,7,FALSE),0)</f>
        <v>3</v>
      </c>
      <c r="P5717" s="159">
        <f t="shared" si="943"/>
        <v>2018</v>
      </c>
      <c r="Q5717" s="159">
        <f t="shared" si="944"/>
        <v>2</v>
      </c>
      <c r="R5717" s="160">
        <f t="shared" si="945"/>
        <v>4.9833333333372138</v>
      </c>
      <c r="S5717" s="158">
        <f t="shared" si="946"/>
        <v>1.6924528301899973</v>
      </c>
      <c r="T5717" s="161">
        <f t="shared" si="947"/>
        <v>834.37924528366864</v>
      </c>
      <c r="U5717" s="158">
        <f t="shared" si="949"/>
        <v>167.43396226415095</v>
      </c>
      <c r="V5717" s="160">
        <f t="shared" si="948"/>
        <v>167</v>
      </c>
    </row>
    <row r="5718" spans="1:22" x14ac:dyDescent="0.25">
      <c r="A5718" s="98" t="s">
        <v>19</v>
      </c>
      <c r="B5718" s="98" t="s">
        <v>20</v>
      </c>
      <c r="C5718" s="98">
        <v>11</v>
      </c>
      <c r="D5718" s="98">
        <v>4551</v>
      </c>
      <c r="E5718" s="157">
        <v>43147.040972222225</v>
      </c>
      <c r="F5718" s="157">
        <v>43150.10833333333</v>
      </c>
      <c r="G5718" s="98">
        <v>0</v>
      </c>
      <c r="H5718" s="98">
        <v>530</v>
      </c>
      <c r="I5718" s="98">
        <v>493</v>
      </c>
      <c r="J5718" s="98" t="s">
        <v>4914</v>
      </c>
      <c r="K5718" s="98" t="s">
        <v>4920</v>
      </c>
      <c r="L5718" s="105" t="str">
        <f t="shared" si="940"/>
        <v>Trimble</v>
      </c>
      <c r="M5718" s="105" t="str">
        <f t="shared" si="941"/>
        <v>Maintenance</v>
      </c>
      <c r="N5718" s="105" t="str">
        <f t="shared" si="942"/>
        <v>Coal</v>
      </c>
      <c r="O5718" s="105">
        <f>IFERROR(VLOOKUP(A5718,Lookup!$J$5:$P$19,7,FALSE),0)</f>
        <v>3</v>
      </c>
      <c r="P5718" s="159">
        <f t="shared" si="943"/>
        <v>2018</v>
      </c>
      <c r="Q5718" s="159">
        <f t="shared" si="944"/>
        <v>2</v>
      </c>
      <c r="R5718" s="160">
        <f t="shared" si="945"/>
        <v>73.616666666523088</v>
      </c>
      <c r="S5718" s="158">
        <f t="shared" si="946"/>
        <v>73.616666666523088</v>
      </c>
      <c r="T5718" s="161">
        <f t="shared" si="947"/>
        <v>36293.016666595882</v>
      </c>
      <c r="U5718" s="158">
        <f t="shared" si="949"/>
        <v>493</v>
      </c>
      <c r="V5718" s="160">
        <f t="shared" si="948"/>
        <v>493</v>
      </c>
    </row>
    <row r="5719" spans="1:22" x14ac:dyDescent="0.25">
      <c r="A5719" s="98" t="s">
        <v>19</v>
      </c>
      <c r="B5719" s="98" t="s">
        <v>17</v>
      </c>
      <c r="C5719" s="98">
        <v>12</v>
      </c>
      <c r="D5719" s="98">
        <v>250</v>
      </c>
      <c r="E5719" s="157">
        <v>43155.734722222223</v>
      </c>
      <c r="F5719" s="157">
        <v>43156.072916666664</v>
      </c>
      <c r="G5719" s="98">
        <v>450</v>
      </c>
      <c r="H5719" s="98">
        <v>530</v>
      </c>
      <c r="I5719" s="98">
        <v>493</v>
      </c>
      <c r="J5719" s="98" t="s">
        <v>1978</v>
      </c>
      <c r="K5719" s="98" t="s">
        <v>4927</v>
      </c>
      <c r="L5719" s="105" t="str">
        <f t="shared" si="940"/>
        <v>Trimble</v>
      </c>
      <c r="M5719" s="105" t="str">
        <f t="shared" si="941"/>
        <v>Derate</v>
      </c>
      <c r="N5719" s="105" t="str">
        <f t="shared" si="942"/>
        <v>Coal</v>
      </c>
      <c r="O5719" s="105">
        <f>IFERROR(VLOOKUP(A5719,Lookup!$J$5:$P$19,7,FALSE),0)</f>
        <v>3</v>
      </c>
      <c r="P5719" s="159">
        <f t="shared" si="943"/>
        <v>2018</v>
      </c>
      <c r="Q5719" s="159">
        <f t="shared" si="944"/>
        <v>2</v>
      </c>
      <c r="R5719" s="160">
        <f t="shared" si="945"/>
        <v>8.1166666665812954</v>
      </c>
      <c r="S5719" s="158">
        <f t="shared" si="946"/>
        <v>1.2251572326915163</v>
      </c>
      <c r="T5719" s="161">
        <f t="shared" si="947"/>
        <v>604.00251571691751</v>
      </c>
      <c r="U5719" s="158">
        <f t="shared" si="949"/>
        <v>74.415094339622641</v>
      </c>
      <c r="V5719" s="160">
        <f t="shared" si="948"/>
        <v>74</v>
      </c>
    </row>
    <row r="5720" spans="1:22" x14ac:dyDescent="0.25">
      <c r="A5720" s="98" t="s">
        <v>19</v>
      </c>
      <c r="B5720" s="98" t="s">
        <v>17</v>
      </c>
      <c r="C5720" s="98">
        <v>13</v>
      </c>
      <c r="D5720" s="98">
        <v>250</v>
      </c>
      <c r="E5720" s="157">
        <v>43157.191666666666</v>
      </c>
      <c r="F5720" s="157">
        <v>43157.222222222219</v>
      </c>
      <c r="G5720" s="98">
        <v>400</v>
      </c>
      <c r="H5720" s="98">
        <v>530</v>
      </c>
      <c r="I5720" s="98">
        <v>493</v>
      </c>
      <c r="J5720" s="98" t="s">
        <v>1978</v>
      </c>
      <c r="K5720" s="98" t="s">
        <v>4928</v>
      </c>
      <c r="L5720" s="105" t="str">
        <f t="shared" si="940"/>
        <v>Trimble</v>
      </c>
      <c r="M5720" s="105" t="str">
        <f t="shared" si="941"/>
        <v>Derate</v>
      </c>
      <c r="N5720" s="105" t="str">
        <f t="shared" si="942"/>
        <v>Coal</v>
      </c>
      <c r="O5720" s="105">
        <f>IFERROR(VLOOKUP(A5720,Lookup!$J$5:$P$19,7,FALSE),0)</f>
        <v>3</v>
      </c>
      <c r="P5720" s="159">
        <f t="shared" si="943"/>
        <v>2018</v>
      </c>
      <c r="Q5720" s="159">
        <f t="shared" si="944"/>
        <v>2</v>
      </c>
      <c r="R5720" s="160">
        <f t="shared" si="945"/>
        <v>0.73333333327900618</v>
      </c>
      <c r="S5720" s="158">
        <f t="shared" si="946"/>
        <v>0.17987421382315247</v>
      </c>
      <c r="T5720" s="161">
        <f t="shared" si="947"/>
        <v>88.677987414814169</v>
      </c>
      <c r="U5720" s="158">
        <f t="shared" si="949"/>
        <v>120.9245283018868</v>
      </c>
      <c r="V5720" s="160">
        <f t="shared" si="948"/>
        <v>121</v>
      </c>
    </row>
    <row r="5721" spans="1:22" x14ac:dyDescent="0.25">
      <c r="A5721" s="98" t="s">
        <v>19</v>
      </c>
      <c r="B5721" s="98" t="s">
        <v>17</v>
      </c>
      <c r="C5721" s="98">
        <v>14</v>
      </c>
      <c r="D5721" s="98">
        <v>310</v>
      </c>
      <c r="E5721" s="157">
        <v>43158.186805555553</v>
      </c>
      <c r="F5721" s="157">
        <v>43158.237500000003</v>
      </c>
      <c r="G5721" s="98">
        <v>375</v>
      </c>
      <c r="H5721" s="98">
        <v>530</v>
      </c>
      <c r="I5721" s="98">
        <v>493</v>
      </c>
      <c r="J5721" s="98" t="s">
        <v>1966</v>
      </c>
      <c r="K5721" s="98" t="s">
        <v>4929</v>
      </c>
      <c r="L5721" s="105" t="str">
        <f t="shared" si="940"/>
        <v>Trimble</v>
      </c>
      <c r="M5721" s="105" t="str">
        <f t="shared" si="941"/>
        <v>Derate</v>
      </c>
      <c r="N5721" s="105" t="str">
        <f t="shared" si="942"/>
        <v>Coal</v>
      </c>
      <c r="O5721" s="105">
        <f>IFERROR(VLOOKUP(A5721,Lookup!$J$5:$P$19,7,FALSE),0)</f>
        <v>3</v>
      </c>
      <c r="P5721" s="159">
        <f t="shared" si="943"/>
        <v>2018</v>
      </c>
      <c r="Q5721" s="159">
        <f t="shared" si="944"/>
        <v>2</v>
      </c>
      <c r="R5721" s="160">
        <f t="shared" si="945"/>
        <v>1.216666666790843</v>
      </c>
      <c r="S5721" s="158">
        <f t="shared" si="946"/>
        <v>0.35581761009920881</v>
      </c>
      <c r="T5721" s="161">
        <f t="shared" si="947"/>
        <v>175.41808177890994</v>
      </c>
      <c r="U5721" s="158">
        <f t="shared" si="949"/>
        <v>144.17924528301887</v>
      </c>
      <c r="V5721" s="160">
        <f t="shared" si="948"/>
        <v>144</v>
      </c>
    </row>
    <row r="5722" spans="1:22" x14ac:dyDescent="0.25">
      <c r="A5722" s="98" t="s">
        <v>19</v>
      </c>
      <c r="B5722" s="98" t="s">
        <v>17</v>
      </c>
      <c r="C5722" s="98">
        <v>15</v>
      </c>
      <c r="D5722" s="98">
        <v>310</v>
      </c>
      <c r="E5722" s="157">
        <v>43158.237500000003</v>
      </c>
      <c r="F5722" s="157">
        <v>43158.311805555553</v>
      </c>
      <c r="G5722" s="98">
        <v>450</v>
      </c>
      <c r="H5722" s="98">
        <v>530</v>
      </c>
      <c r="I5722" s="98">
        <v>493</v>
      </c>
      <c r="J5722" s="98" t="s">
        <v>1966</v>
      </c>
      <c r="K5722" s="98" t="s">
        <v>4929</v>
      </c>
      <c r="L5722" s="105" t="str">
        <f t="shared" si="940"/>
        <v>Trimble</v>
      </c>
      <c r="M5722" s="105" t="str">
        <f t="shared" si="941"/>
        <v>Derate</v>
      </c>
      <c r="N5722" s="105" t="str">
        <f t="shared" si="942"/>
        <v>Coal</v>
      </c>
      <c r="O5722" s="105">
        <f>IFERROR(VLOOKUP(A5722,Lookup!$J$5:$P$19,7,FALSE),0)</f>
        <v>3</v>
      </c>
      <c r="P5722" s="159">
        <f t="shared" si="943"/>
        <v>2018</v>
      </c>
      <c r="Q5722" s="159">
        <f t="shared" si="944"/>
        <v>2</v>
      </c>
      <c r="R5722" s="160">
        <f t="shared" si="945"/>
        <v>1.783333333209157</v>
      </c>
      <c r="S5722" s="158">
        <f t="shared" si="946"/>
        <v>0.2691823899183633</v>
      </c>
      <c r="T5722" s="161">
        <f t="shared" si="947"/>
        <v>132.70691822975311</v>
      </c>
      <c r="U5722" s="158">
        <f t="shared" si="949"/>
        <v>74.415094339622641</v>
      </c>
      <c r="V5722" s="160">
        <f t="shared" si="948"/>
        <v>74</v>
      </c>
    </row>
    <row r="5723" spans="1:22" x14ac:dyDescent="0.25">
      <c r="A5723" s="98" t="s">
        <v>19</v>
      </c>
      <c r="B5723" s="98" t="s">
        <v>17</v>
      </c>
      <c r="C5723" s="98">
        <v>16</v>
      </c>
      <c r="D5723" s="98">
        <v>310</v>
      </c>
      <c r="E5723" s="157">
        <v>43159.62222222222</v>
      </c>
      <c r="F5723" s="157">
        <v>43159.65902777778</v>
      </c>
      <c r="G5723" s="98">
        <v>400</v>
      </c>
      <c r="H5723" s="98">
        <v>530</v>
      </c>
      <c r="I5723" s="98">
        <v>493</v>
      </c>
      <c r="J5723" s="98" t="s">
        <v>1966</v>
      </c>
      <c r="K5723" s="98" t="s">
        <v>4930</v>
      </c>
      <c r="L5723" s="105" t="str">
        <f t="shared" si="940"/>
        <v>Trimble</v>
      </c>
      <c r="M5723" s="105" t="str">
        <f t="shared" si="941"/>
        <v>Derate</v>
      </c>
      <c r="N5723" s="105" t="str">
        <f t="shared" si="942"/>
        <v>Coal</v>
      </c>
      <c r="O5723" s="105">
        <f>IFERROR(VLOOKUP(A5723,Lookup!$J$5:$P$19,7,FALSE),0)</f>
        <v>3</v>
      </c>
      <c r="P5723" s="159">
        <f t="shared" si="943"/>
        <v>2018</v>
      </c>
      <c r="Q5723" s="159">
        <f t="shared" si="944"/>
        <v>2</v>
      </c>
      <c r="R5723" s="160">
        <f t="shared" si="945"/>
        <v>0.88333333341870457</v>
      </c>
      <c r="S5723" s="158">
        <f t="shared" si="946"/>
        <v>0.21666666668760678</v>
      </c>
      <c r="T5723" s="161">
        <f t="shared" si="947"/>
        <v>106.81666667699014</v>
      </c>
      <c r="U5723" s="158">
        <f t="shared" si="949"/>
        <v>120.9245283018868</v>
      </c>
      <c r="V5723" s="160">
        <f t="shared" si="948"/>
        <v>121</v>
      </c>
    </row>
    <row r="5724" spans="1:22" x14ac:dyDescent="0.25">
      <c r="A5724" s="98" t="s">
        <v>19</v>
      </c>
      <c r="B5724" s="98" t="s">
        <v>15</v>
      </c>
      <c r="C5724" s="98">
        <v>17</v>
      </c>
      <c r="D5724" s="98">
        <v>1400</v>
      </c>
      <c r="E5724" s="157">
        <v>43166.125694444447</v>
      </c>
      <c r="F5724" s="157">
        <v>43166.627083333333</v>
      </c>
      <c r="G5724" s="98">
        <v>0</v>
      </c>
      <c r="H5724" s="98">
        <v>530</v>
      </c>
      <c r="I5724" s="98">
        <v>493</v>
      </c>
      <c r="J5724" s="98" t="s">
        <v>2043</v>
      </c>
      <c r="K5724" s="98" t="s">
        <v>4931</v>
      </c>
      <c r="L5724" s="105" t="str">
        <f t="shared" si="940"/>
        <v>Trimble</v>
      </c>
      <c r="M5724" s="105" t="str">
        <f t="shared" si="941"/>
        <v>Outage</v>
      </c>
      <c r="N5724" s="105" t="str">
        <f t="shared" si="942"/>
        <v>Coal</v>
      </c>
      <c r="O5724" s="105">
        <f>IFERROR(VLOOKUP(A5724,Lookup!$J$5:$P$19,7,FALSE),0)</f>
        <v>3</v>
      </c>
      <c r="P5724" s="159">
        <f t="shared" si="943"/>
        <v>2018</v>
      </c>
      <c r="Q5724" s="159">
        <f t="shared" si="944"/>
        <v>3</v>
      </c>
      <c r="R5724" s="160">
        <f t="shared" si="945"/>
        <v>12.033333333267365</v>
      </c>
      <c r="S5724" s="158">
        <f t="shared" si="946"/>
        <v>12.033333333267365</v>
      </c>
      <c r="T5724" s="161">
        <f t="shared" si="947"/>
        <v>5932.4333333008108</v>
      </c>
      <c r="U5724" s="158">
        <f t="shared" si="949"/>
        <v>493</v>
      </c>
      <c r="V5724" s="160">
        <f t="shared" si="948"/>
        <v>493</v>
      </c>
    </row>
    <row r="5725" spans="1:22" x14ac:dyDescent="0.25">
      <c r="A5725" s="98" t="s">
        <v>19</v>
      </c>
      <c r="B5725" s="98" t="s">
        <v>17</v>
      </c>
      <c r="C5725" s="98">
        <v>18</v>
      </c>
      <c r="D5725" s="98">
        <v>330</v>
      </c>
      <c r="E5725" s="157">
        <v>43169.895833333336</v>
      </c>
      <c r="F5725" s="157">
        <v>43169.916666666664</v>
      </c>
      <c r="G5725" s="98">
        <v>375</v>
      </c>
      <c r="H5725" s="98">
        <v>530</v>
      </c>
      <c r="I5725" s="98">
        <v>493</v>
      </c>
      <c r="J5725" s="98" t="s">
        <v>2291</v>
      </c>
      <c r="K5725" s="98" t="s">
        <v>4932</v>
      </c>
      <c r="L5725" s="105" t="str">
        <f t="shared" si="940"/>
        <v>Trimble</v>
      </c>
      <c r="M5725" s="105" t="str">
        <f t="shared" si="941"/>
        <v>Derate</v>
      </c>
      <c r="N5725" s="105" t="str">
        <f t="shared" si="942"/>
        <v>Coal</v>
      </c>
      <c r="O5725" s="105">
        <f>IFERROR(VLOOKUP(A5725,Lookup!$J$5:$P$19,7,FALSE),0)</f>
        <v>3</v>
      </c>
      <c r="P5725" s="159">
        <f t="shared" si="943"/>
        <v>2018</v>
      </c>
      <c r="Q5725" s="159">
        <f t="shared" si="944"/>
        <v>3</v>
      </c>
      <c r="R5725" s="160">
        <f t="shared" si="945"/>
        <v>0.49999999988358468</v>
      </c>
      <c r="S5725" s="158">
        <f t="shared" si="946"/>
        <v>0.14622641506029363</v>
      </c>
      <c r="T5725" s="161">
        <f t="shared" si="947"/>
        <v>72.089622624724754</v>
      </c>
      <c r="U5725" s="158">
        <f t="shared" si="949"/>
        <v>144.17924528301887</v>
      </c>
      <c r="V5725" s="160">
        <f t="shared" si="948"/>
        <v>144</v>
      </c>
    </row>
    <row r="5726" spans="1:22" x14ac:dyDescent="0.25">
      <c r="A5726" s="98" t="s">
        <v>19</v>
      </c>
      <c r="B5726" s="98" t="s">
        <v>17</v>
      </c>
      <c r="C5726" s="98">
        <v>19</v>
      </c>
      <c r="D5726" s="98">
        <v>280</v>
      </c>
      <c r="E5726" s="157">
        <v>43190.17291666667</v>
      </c>
      <c r="F5726" s="157">
        <v>43190.19027777778</v>
      </c>
      <c r="G5726" s="98">
        <v>375</v>
      </c>
      <c r="H5726" s="98">
        <v>530</v>
      </c>
      <c r="I5726" s="98">
        <v>493</v>
      </c>
      <c r="J5726" s="98" t="s">
        <v>1988</v>
      </c>
      <c r="K5726" s="98" t="s">
        <v>4933</v>
      </c>
      <c r="L5726" s="105" t="str">
        <f t="shared" si="940"/>
        <v>Trimble</v>
      </c>
      <c r="M5726" s="105" t="str">
        <f t="shared" si="941"/>
        <v>Derate</v>
      </c>
      <c r="N5726" s="105" t="str">
        <f t="shared" si="942"/>
        <v>Coal</v>
      </c>
      <c r="O5726" s="105">
        <f>IFERROR(VLOOKUP(A5726,Lookup!$J$5:$P$19,7,FALSE),0)</f>
        <v>3</v>
      </c>
      <c r="P5726" s="159">
        <f t="shared" si="943"/>
        <v>2018</v>
      </c>
      <c r="Q5726" s="159">
        <f t="shared" si="944"/>
        <v>3</v>
      </c>
      <c r="R5726" s="160">
        <f t="shared" si="945"/>
        <v>0.41666666662786156</v>
      </c>
      <c r="S5726" s="158">
        <f t="shared" si="946"/>
        <v>0.12185534590060103</v>
      </c>
      <c r="T5726" s="161">
        <f t="shared" si="947"/>
        <v>60.074685528996305</v>
      </c>
      <c r="U5726" s="158">
        <f t="shared" si="949"/>
        <v>144.17924528301887</v>
      </c>
      <c r="V5726" s="160">
        <f t="shared" si="948"/>
        <v>144</v>
      </c>
    </row>
    <row r="5727" spans="1:22" x14ac:dyDescent="0.25">
      <c r="A5727" s="98" t="s">
        <v>19</v>
      </c>
      <c r="B5727" s="98" t="s">
        <v>17</v>
      </c>
      <c r="C5727" s="98">
        <v>20</v>
      </c>
      <c r="D5727" s="98">
        <v>280</v>
      </c>
      <c r="E5727" s="157">
        <v>43190.206250000003</v>
      </c>
      <c r="F5727" s="157">
        <v>43190.303472222222</v>
      </c>
      <c r="G5727" s="98">
        <v>375</v>
      </c>
      <c r="H5727" s="98">
        <v>530</v>
      </c>
      <c r="I5727" s="98">
        <v>493</v>
      </c>
      <c r="J5727" s="98" t="s">
        <v>1988</v>
      </c>
      <c r="K5727" s="98" t="s">
        <v>4933</v>
      </c>
      <c r="L5727" s="105" t="str">
        <f t="shared" si="940"/>
        <v>Trimble</v>
      </c>
      <c r="M5727" s="105" t="str">
        <f t="shared" si="941"/>
        <v>Derate</v>
      </c>
      <c r="N5727" s="105" t="str">
        <f t="shared" si="942"/>
        <v>Coal</v>
      </c>
      <c r="O5727" s="105">
        <f>IFERROR(VLOOKUP(A5727,Lookup!$J$5:$P$19,7,FALSE),0)</f>
        <v>3</v>
      </c>
      <c r="P5727" s="159">
        <f t="shared" si="943"/>
        <v>2018</v>
      </c>
      <c r="Q5727" s="159">
        <f t="shared" si="944"/>
        <v>3</v>
      </c>
      <c r="R5727" s="160">
        <f t="shared" si="945"/>
        <v>2.3333333332557231</v>
      </c>
      <c r="S5727" s="158">
        <f t="shared" si="946"/>
        <v>0.68238993708422091</v>
      </c>
      <c r="T5727" s="161">
        <f t="shared" si="947"/>
        <v>336.4182389825209</v>
      </c>
      <c r="U5727" s="158">
        <f t="shared" si="949"/>
        <v>144.17924528301887</v>
      </c>
      <c r="V5727" s="160">
        <f t="shared" si="948"/>
        <v>144</v>
      </c>
    </row>
    <row r="5728" spans="1:22" x14ac:dyDescent="0.25">
      <c r="A5728" s="98" t="s">
        <v>19</v>
      </c>
      <c r="B5728" s="98" t="s">
        <v>17</v>
      </c>
      <c r="C5728" s="98">
        <v>21</v>
      </c>
      <c r="D5728" s="98">
        <v>331</v>
      </c>
      <c r="E5728" s="157">
        <v>43219.959722222222</v>
      </c>
      <c r="F5728" s="157">
        <v>43219.995138888888</v>
      </c>
      <c r="G5728" s="98">
        <v>380</v>
      </c>
      <c r="H5728" s="98">
        <v>530</v>
      </c>
      <c r="I5728" s="98">
        <v>493</v>
      </c>
      <c r="J5728" s="98" t="s">
        <v>2101</v>
      </c>
      <c r="K5728" s="98" t="s">
        <v>4934</v>
      </c>
      <c r="L5728" s="105" t="str">
        <f t="shared" si="940"/>
        <v>Trimble</v>
      </c>
      <c r="M5728" s="105" t="str">
        <f t="shared" si="941"/>
        <v>Derate</v>
      </c>
      <c r="N5728" s="105" t="str">
        <f t="shared" si="942"/>
        <v>Coal</v>
      </c>
      <c r="O5728" s="105">
        <f>IFERROR(VLOOKUP(A5728,Lookup!$J$5:$P$19,7,FALSE),0)</f>
        <v>3</v>
      </c>
      <c r="P5728" s="159">
        <f t="shared" si="943"/>
        <v>2018</v>
      </c>
      <c r="Q5728" s="159">
        <f t="shared" si="944"/>
        <v>4</v>
      </c>
      <c r="R5728" s="160">
        <f t="shared" si="945"/>
        <v>0.84999999997671694</v>
      </c>
      <c r="S5728" s="158">
        <f t="shared" si="946"/>
        <v>0.2405660377292595</v>
      </c>
      <c r="T5728" s="161">
        <f t="shared" si="947"/>
        <v>118.59905660052493</v>
      </c>
      <c r="U5728" s="158">
        <f t="shared" si="949"/>
        <v>139.52830188679246</v>
      </c>
      <c r="V5728" s="160">
        <f t="shared" si="948"/>
        <v>140</v>
      </c>
    </row>
    <row r="5729" spans="1:22" x14ac:dyDescent="0.25">
      <c r="A5729" s="98" t="s">
        <v>69</v>
      </c>
      <c r="B5729" s="98" t="s">
        <v>15</v>
      </c>
      <c r="C5729" s="98">
        <v>1</v>
      </c>
      <c r="D5729" s="98">
        <v>4240</v>
      </c>
      <c r="E5729" s="157">
        <v>41275</v>
      </c>
      <c r="F5729" s="157">
        <v>41281.754166666666</v>
      </c>
      <c r="G5729" s="98">
        <v>0</v>
      </c>
      <c r="H5729" s="98">
        <v>795</v>
      </c>
      <c r="I5729" s="98">
        <v>747</v>
      </c>
      <c r="J5729" s="98" t="s">
        <v>2276</v>
      </c>
      <c r="K5729" s="98" t="s">
        <v>790</v>
      </c>
      <c r="L5729" s="105" t="str">
        <f t="shared" ref="L5729:L5760" si="950">IF(OR(A5729="BR1",A5729="BR2",A5729="BR3",A5729="BR5",A5729="BR6",A5729="BR7",A5729="BR8",A5729="BR9",A5729="BR10",A5729="BR11"),"Brown",IF(OR(A5729="CR4",A5729="CR5",A5729="CR6",A5729="CR11"),"Cane Run",IF(OR(A5729="GH1",A5729="GH2",A5729="GH3",A5729="GH4"),"Ghent",IF(OR(A5729="GR3",A5729="GR4"),"Green River",IF(OR(A5729="MC1",A5729="MC2",A5729="MC3",A5729="MC4"),"Mill Creek",IF(OR(A5729="TC1",A5729="TC2",A5729="TC5",A5729="TC6",A5729="TC7",A5729="TC8",A5729="TC9",A5729="TC10"),"Trimble",IF(A5729="TY3","Tyrone",IF(OR(A5729="HA1",A5729="HA2",A5729="HA3"),"Haeflin",IF(OR(A5729="PR11",A5729="PR12",A5729="PR13"),"Paddy's Run","Zorn")))))))))</f>
        <v>Trimble</v>
      </c>
      <c r="M5729" s="105" t="str">
        <f t="shared" ref="M5729:M5760" si="951">IF(OR(B5729="D1",B5729="D2",B5729="D3",B5729="D4",B5729="PD"),"Derate",IF(OR(B5729="SF",B5729="U1",B5729="U2",B5729="U3"),"Outage",IF(OR(B5729="ME",B5729="MO"),"Maintenance","Other")))</f>
        <v>Outage</v>
      </c>
      <c r="N5729" s="105" t="str">
        <f t="shared" ref="N5729:N5760" si="952">IF(OR(A5729="BR1",A5729="BR2",A5729="BR3",A5729="CR4",A5729="CR5",A5729="CR6",A5729="GH1",A5729="GH2",A5729="GH3",A5729="GH4",A5729="GR3",A5729="GR4",A5729="MC1",A5729="MC2",A5729="MC3",A5729="MC4",A5729="TC1",A5729="TC2",A5729="TY3"),"Coal","Gas")</f>
        <v>Coal</v>
      </c>
      <c r="O5729" s="105">
        <f>IFERROR(VLOOKUP(A5729,Lookup!$J$5:$P$19,7,FALSE),0)</f>
        <v>3</v>
      </c>
      <c r="P5729" s="159">
        <f t="shared" ref="P5729:P5760" si="953">YEAR(E5729)</f>
        <v>2013</v>
      </c>
      <c r="Q5729" s="159">
        <f t="shared" ref="Q5729:Q5760" si="954">MONTH(E5729)</f>
        <v>1</v>
      </c>
      <c r="R5729" s="160">
        <f t="shared" ref="R5729:R5760" si="955">(F5729-E5729)*24</f>
        <v>162.09999999997672</v>
      </c>
      <c r="S5729" s="158">
        <f t="shared" ref="S5729:S5760" si="956">R5729*(H5729-G5729)/H5729</f>
        <v>162.09999999997672</v>
      </c>
      <c r="T5729" s="161">
        <f t="shared" ref="T5729:T5760" si="957">S5729*I5729</f>
        <v>121088.69999998261</v>
      </c>
      <c r="U5729" s="158">
        <f t="shared" ref="U5729:U5761" si="958">IF(G5729&gt;0,MAX((H5729-G5729),0)*I5729/H5729,I5729)</f>
        <v>747</v>
      </c>
      <c r="V5729" s="160">
        <f t="shared" ref="V5729:V5760" si="959">ROUND(U5729,0)</f>
        <v>747</v>
      </c>
    </row>
    <row r="5730" spans="1:22" x14ac:dyDescent="0.25">
      <c r="A5730" s="98" t="s">
        <v>69</v>
      </c>
      <c r="B5730" s="98" t="s">
        <v>79</v>
      </c>
      <c r="C5730" s="98">
        <v>2</v>
      </c>
      <c r="D5730" s="98">
        <v>338</v>
      </c>
      <c r="E5730" s="157">
        <v>41281.754166666666</v>
      </c>
      <c r="F5730" s="157">
        <v>41282.145833333336</v>
      </c>
      <c r="G5730" s="98">
        <v>0</v>
      </c>
      <c r="H5730" s="98">
        <v>795</v>
      </c>
      <c r="I5730" s="98">
        <v>747</v>
      </c>
      <c r="J5730" s="98" t="s">
        <v>1979</v>
      </c>
      <c r="K5730" s="98" t="s">
        <v>791</v>
      </c>
      <c r="L5730" s="105" t="str">
        <f t="shared" si="950"/>
        <v>Trimble</v>
      </c>
      <c r="M5730" s="105" t="str">
        <f t="shared" si="951"/>
        <v>Other</v>
      </c>
      <c r="N5730" s="105" t="str">
        <f t="shared" si="952"/>
        <v>Coal</v>
      </c>
      <c r="O5730" s="105">
        <f>IFERROR(VLOOKUP(A5730,Lookup!$J$5:$P$19,7,FALSE),0)</f>
        <v>3</v>
      </c>
      <c r="P5730" s="159">
        <f t="shared" si="953"/>
        <v>2013</v>
      </c>
      <c r="Q5730" s="159">
        <f t="shared" si="954"/>
        <v>1</v>
      </c>
      <c r="R5730" s="160">
        <f t="shared" si="955"/>
        <v>9.4000000000814907</v>
      </c>
      <c r="S5730" s="158">
        <f t="shared" si="956"/>
        <v>9.4000000000814907</v>
      </c>
      <c r="T5730" s="161">
        <f t="shared" si="957"/>
        <v>7021.8000000608736</v>
      </c>
      <c r="U5730" s="158">
        <f t="shared" si="958"/>
        <v>747</v>
      </c>
      <c r="V5730" s="160">
        <f t="shared" si="959"/>
        <v>747</v>
      </c>
    </row>
    <row r="5731" spans="1:22" x14ac:dyDescent="0.25">
      <c r="A5731" s="98" t="s">
        <v>69</v>
      </c>
      <c r="B5731" s="98" t="s">
        <v>17</v>
      </c>
      <c r="C5731" s="98">
        <v>3</v>
      </c>
      <c r="D5731" s="98">
        <v>338</v>
      </c>
      <c r="E5731" s="157">
        <v>41282.145833333336</v>
      </c>
      <c r="F5731" s="157">
        <v>41282.635416666664</v>
      </c>
      <c r="G5731" s="98">
        <v>660</v>
      </c>
      <c r="H5731" s="98">
        <v>795</v>
      </c>
      <c r="I5731" s="98">
        <v>747</v>
      </c>
      <c r="J5731" s="98" t="s">
        <v>1979</v>
      </c>
      <c r="K5731" s="98" t="s">
        <v>792</v>
      </c>
      <c r="L5731" s="105" t="str">
        <f t="shared" si="950"/>
        <v>Trimble</v>
      </c>
      <c r="M5731" s="105" t="str">
        <f t="shared" si="951"/>
        <v>Derate</v>
      </c>
      <c r="N5731" s="105" t="str">
        <f t="shared" si="952"/>
        <v>Coal</v>
      </c>
      <c r="O5731" s="105">
        <f>IFERROR(VLOOKUP(A5731,Lookup!$J$5:$P$19,7,FALSE),0)</f>
        <v>3</v>
      </c>
      <c r="P5731" s="159">
        <f t="shared" si="953"/>
        <v>2013</v>
      </c>
      <c r="Q5731" s="159">
        <f t="shared" si="954"/>
        <v>1</v>
      </c>
      <c r="R5731" s="160">
        <f t="shared" si="955"/>
        <v>11.749999999883585</v>
      </c>
      <c r="S5731" s="158">
        <f t="shared" si="956"/>
        <v>1.9952830188481558</v>
      </c>
      <c r="T5731" s="161">
        <f t="shared" si="957"/>
        <v>1490.4764150795725</v>
      </c>
      <c r="U5731" s="158">
        <f t="shared" si="958"/>
        <v>126.84905660377359</v>
      </c>
      <c r="V5731" s="160">
        <f t="shared" si="959"/>
        <v>127</v>
      </c>
    </row>
    <row r="5732" spans="1:22" x14ac:dyDescent="0.25">
      <c r="A5732" s="98" t="s">
        <v>69</v>
      </c>
      <c r="B5732" s="98" t="s">
        <v>17</v>
      </c>
      <c r="C5732" s="98">
        <v>4</v>
      </c>
      <c r="D5732" s="98">
        <v>338</v>
      </c>
      <c r="E5732" s="157">
        <v>41282.635416666664</v>
      </c>
      <c r="F5732" s="157">
        <v>41282.708333333336</v>
      </c>
      <c r="G5732" s="98">
        <v>785</v>
      </c>
      <c r="H5732" s="98">
        <v>795</v>
      </c>
      <c r="I5732" s="98">
        <v>747</v>
      </c>
      <c r="J5732" s="98" t="s">
        <v>1979</v>
      </c>
      <c r="K5732" s="98" t="s">
        <v>793</v>
      </c>
      <c r="L5732" s="105" t="str">
        <f t="shared" si="950"/>
        <v>Trimble</v>
      </c>
      <c r="M5732" s="105" t="str">
        <f t="shared" si="951"/>
        <v>Derate</v>
      </c>
      <c r="N5732" s="105" t="str">
        <f t="shared" si="952"/>
        <v>Coal</v>
      </c>
      <c r="O5732" s="105">
        <f>IFERROR(VLOOKUP(A5732,Lookup!$J$5:$P$19,7,FALSE),0)</f>
        <v>3</v>
      </c>
      <c r="P5732" s="159">
        <f t="shared" si="953"/>
        <v>2013</v>
      </c>
      <c r="Q5732" s="159">
        <f t="shared" si="954"/>
        <v>1</v>
      </c>
      <c r="R5732" s="160">
        <f t="shared" si="955"/>
        <v>1.7500000001164153</v>
      </c>
      <c r="S5732" s="158">
        <f t="shared" si="956"/>
        <v>2.2012578617816546E-2</v>
      </c>
      <c r="T5732" s="161">
        <f t="shared" si="957"/>
        <v>16.443396227508959</v>
      </c>
      <c r="U5732" s="158">
        <f t="shared" si="958"/>
        <v>9.3962264150943398</v>
      </c>
      <c r="V5732" s="160">
        <f t="shared" si="959"/>
        <v>9</v>
      </c>
    </row>
    <row r="5733" spans="1:22" x14ac:dyDescent="0.25">
      <c r="A5733" s="98" t="s">
        <v>69</v>
      </c>
      <c r="B5733" s="98" t="s">
        <v>17</v>
      </c>
      <c r="C5733" s="98">
        <v>5</v>
      </c>
      <c r="D5733" s="98">
        <v>9610</v>
      </c>
      <c r="E5733" s="157">
        <v>41282.802083333336</v>
      </c>
      <c r="F5733" s="157">
        <v>41282.934027777781</v>
      </c>
      <c r="G5733" s="98">
        <v>449</v>
      </c>
      <c r="H5733" s="98">
        <v>795</v>
      </c>
      <c r="I5733" s="98">
        <v>747</v>
      </c>
      <c r="J5733" s="98" t="s">
        <v>3087</v>
      </c>
      <c r="K5733" s="98" t="s">
        <v>794</v>
      </c>
      <c r="L5733" s="105" t="str">
        <f t="shared" si="950"/>
        <v>Trimble</v>
      </c>
      <c r="M5733" s="105" t="str">
        <f t="shared" si="951"/>
        <v>Derate</v>
      </c>
      <c r="N5733" s="105" t="str">
        <f t="shared" si="952"/>
        <v>Coal</v>
      </c>
      <c r="O5733" s="105">
        <f>IFERROR(VLOOKUP(A5733,Lookup!$J$5:$P$19,7,FALSE),0)</f>
        <v>3</v>
      </c>
      <c r="P5733" s="159">
        <f t="shared" si="953"/>
        <v>2013</v>
      </c>
      <c r="Q5733" s="159">
        <f t="shared" si="954"/>
        <v>1</v>
      </c>
      <c r="R5733" s="160">
        <f t="shared" si="955"/>
        <v>3.1666666666860692</v>
      </c>
      <c r="S5733" s="158">
        <f t="shared" si="956"/>
        <v>1.3781970649979622</v>
      </c>
      <c r="T5733" s="161">
        <f t="shared" si="957"/>
        <v>1029.5132075534777</v>
      </c>
      <c r="U5733" s="158">
        <f t="shared" si="958"/>
        <v>325.10943396226418</v>
      </c>
      <c r="V5733" s="160">
        <f t="shared" si="959"/>
        <v>325</v>
      </c>
    </row>
    <row r="5734" spans="1:22" x14ac:dyDescent="0.25">
      <c r="A5734" s="98" t="s">
        <v>69</v>
      </c>
      <c r="B5734" s="98" t="s">
        <v>17</v>
      </c>
      <c r="C5734" s="98">
        <v>6</v>
      </c>
      <c r="D5734" s="98">
        <v>9610</v>
      </c>
      <c r="E5734" s="157">
        <v>41282.934027777781</v>
      </c>
      <c r="F5734" s="157">
        <v>41283.159722222219</v>
      </c>
      <c r="G5734" s="98">
        <v>619</v>
      </c>
      <c r="H5734" s="98">
        <v>795</v>
      </c>
      <c r="I5734" s="98">
        <v>747</v>
      </c>
      <c r="J5734" s="98" t="s">
        <v>3087</v>
      </c>
      <c r="K5734" s="98" t="s">
        <v>794</v>
      </c>
      <c r="L5734" s="105" t="str">
        <f t="shared" si="950"/>
        <v>Trimble</v>
      </c>
      <c r="M5734" s="105" t="str">
        <f t="shared" si="951"/>
        <v>Derate</v>
      </c>
      <c r="N5734" s="105" t="str">
        <f t="shared" si="952"/>
        <v>Coal</v>
      </c>
      <c r="O5734" s="105">
        <f>IFERROR(VLOOKUP(A5734,Lookup!$J$5:$P$19,7,FALSE),0)</f>
        <v>3</v>
      </c>
      <c r="P5734" s="159">
        <f t="shared" si="953"/>
        <v>2013</v>
      </c>
      <c r="Q5734" s="159">
        <f t="shared" si="954"/>
        <v>1</v>
      </c>
      <c r="R5734" s="160">
        <f t="shared" si="955"/>
        <v>5.4166666665114462</v>
      </c>
      <c r="S5734" s="158">
        <f t="shared" si="956"/>
        <v>1.1991614255421565</v>
      </c>
      <c r="T5734" s="161">
        <f t="shared" si="957"/>
        <v>895.77358487999095</v>
      </c>
      <c r="U5734" s="158">
        <f t="shared" si="958"/>
        <v>165.37358490566038</v>
      </c>
      <c r="V5734" s="160">
        <f t="shared" si="959"/>
        <v>165</v>
      </c>
    </row>
    <row r="5735" spans="1:22" x14ac:dyDescent="0.25">
      <c r="A5735" s="98" t="s">
        <v>69</v>
      </c>
      <c r="B5735" s="98" t="s">
        <v>17</v>
      </c>
      <c r="C5735" s="98">
        <v>7</v>
      </c>
      <c r="D5735" s="98">
        <v>4099</v>
      </c>
      <c r="E5735" s="157">
        <v>41283.166666666664</v>
      </c>
      <c r="F5735" s="157">
        <v>41283.375</v>
      </c>
      <c r="G5735" s="98">
        <v>794</v>
      </c>
      <c r="H5735" s="98">
        <v>795</v>
      </c>
      <c r="I5735" s="98">
        <v>747</v>
      </c>
      <c r="J5735" s="98" t="s">
        <v>2293</v>
      </c>
      <c r="K5735" s="98" t="s">
        <v>96</v>
      </c>
      <c r="L5735" s="105" t="str">
        <f t="shared" si="950"/>
        <v>Trimble</v>
      </c>
      <c r="M5735" s="105" t="str">
        <f t="shared" si="951"/>
        <v>Derate</v>
      </c>
      <c r="N5735" s="105" t="str">
        <f t="shared" si="952"/>
        <v>Coal</v>
      </c>
      <c r="O5735" s="105">
        <f>IFERROR(VLOOKUP(A5735,Lookup!$J$5:$P$19,7,FALSE),0)</f>
        <v>3</v>
      </c>
      <c r="P5735" s="159">
        <f t="shared" si="953"/>
        <v>2013</v>
      </c>
      <c r="Q5735" s="159">
        <f t="shared" si="954"/>
        <v>1</v>
      </c>
      <c r="R5735" s="160">
        <f t="shared" si="955"/>
        <v>5.0000000000582077</v>
      </c>
      <c r="S5735" s="158">
        <f t="shared" si="956"/>
        <v>6.2893081761738459E-3</v>
      </c>
      <c r="T5735" s="161">
        <f t="shared" si="957"/>
        <v>4.698113207601863</v>
      </c>
      <c r="U5735" s="158">
        <f t="shared" si="958"/>
        <v>0.93962264150943398</v>
      </c>
      <c r="V5735" s="160">
        <f t="shared" si="959"/>
        <v>1</v>
      </c>
    </row>
    <row r="5736" spans="1:22" x14ac:dyDescent="0.25">
      <c r="A5736" s="98" t="s">
        <v>69</v>
      </c>
      <c r="B5736" s="98" t="s">
        <v>32</v>
      </c>
      <c r="C5736" s="98">
        <v>8</v>
      </c>
      <c r="D5736" s="98">
        <v>360</v>
      </c>
      <c r="E5736" s="157">
        <v>41283.375</v>
      </c>
      <c r="F5736" s="157">
        <v>41283.604166666664</v>
      </c>
      <c r="G5736" s="98">
        <v>390</v>
      </c>
      <c r="H5736" s="98">
        <v>795</v>
      </c>
      <c r="I5736" s="98">
        <v>747</v>
      </c>
      <c r="J5736" s="98" t="s">
        <v>229</v>
      </c>
      <c r="K5736" s="98" t="s">
        <v>795</v>
      </c>
      <c r="L5736" s="105" t="str">
        <f t="shared" si="950"/>
        <v>Trimble</v>
      </c>
      <c r="M5736" s="105" t="str">
        <f t="shared" si="951"/>
        <v>Derate</v>
      </c>
      <c r="N5736" s="105" t="str">
        <f t="shared" si="952"/>
        <v>Coal</v>
      </c>
      <c r="O5736" s="105">
        <f>IFERROR(VLOOKUP(A5736,Lookup!$J$5:$P$19,7,FALSE),0)</f>
        <v>3</v>
      </c>
      <c r="P5736" s="159">
        <f t="shared" si="953"/>
        <v>2013</v>
      </c>
      <c r="Q5736" s="159">
        <f t="shared" si="954"/>
        <v>1</v>
      </c>
      <c r="R5736" s="160">
        <f t="shared" si="955"/>
        <v>5.4999999999417923</v>
      </c>
      <c r="S5736" s="158">
        <f t="shared" si="956"/>
        <v>2.8018867924231774</v>
      </c>
      <c r="T5736" s="161">
        <f t="shared" si="957"/>
        <v>2093.0094339401135</v>
      </c>
      <c r="U5736" s="158">
        <f t="shared" si="958"/>
        <v>380.54716981132077</v>
      </c>
      <c r="V5736" s="160">
        <f t="shared" si="959"/>
        <v>381</v>
      </c>
    </row>
    <row r="5737" spans="1:22" x14ac:dyDescent="0.25">
      <c r="A5737" s="98" t="s">
        <v>69</v>
      </c>
      <c r="B5737" s="98" t="s">
        <v>32</v>
      </c>
      <c r="C5737" s="98">
        <v>9</v>
      </c>
      <c r="D5737" s="98">
        <v>360</v>
      </c>
      <c r="E5737" s="157">
        <v>41283.604166666664</v>
      </c>
      <c r="F5737" s="157">
        <v>41283.708333333336</v>
      </c>
      <c r="G5737" s="98">
        <v>445</v>
      </c>
      <c r="H5737" s="98">
        <v>795</v>
      </c>
      <c r="I5737" s="98">
        <v>747</v>
      </c>
      <c r="J5737" s="98" t="s">
        <v>229</v>
      </c>
      <c r="K5737" s="98" t="s">
        <v>795</v>
      </c>
      <c r="L5737" s="105" t="str">
        <f t="shared" si="950"/>
        <v>Trimble</v>
      </c>
      <c r="M5737" s="105" t="str">
        <f t="shared" si="951"/>
        <v>Derate</v>
      </c>
      <c r="N5737" s="105" t="str">
        <f t="shared" si="952"/>
        <v>Coal</v>
      </c>
      <c r="O5737" s="105">
        <f>IFERROR(VLOOKUP(A5737,Lookup!$J$5:$P$19,7,FALSE),0)</f>
        <v>3</v>
      </c>
      <c r="P5737" s="159">
        <f t="shared" si="953"/>
        <v>2013</v>
      </c>
      <c r="Q5737" s="159">
        <f t="shared" si="954"/>
        <v>1</v>
      </c>
      <c r="R5737" s="160">
        <f t="shared" si="955"/>
        <v>2.5000000001164153</v>
      </c>
      <c r="S5737" s="158">
        <f t="shared" si="956"/>
        <v>1.1006289308688622</v>
      </c>
      <c r="T5737" s="161">
        <f t="shared" si="957"/>
        <v>822.16981135904007</v>
      </c>
      <c r="U5737" s="158">
        <f t="shared" si="958"/>
        <v>328.8679245283019</v>
      </c>
      <c r="V5737" s="160">
        <f t="shared" si="959"/>
        <v>329</v>
      </c>
    </row>
    <row r="5738" spans="1:22" x14ac:dyDescent="0.25">
      <c r="A5738" s="98" t="s">
        <v>69</v>
      </c>
      <c r="B5738" s="98" t="s">
        <v>32</v>
      </c>
      <c r="C5738" s="98">
        <v>10</v>
      </c>
      <c r="D5738" s="98">
        <v>360</v>
      </c>
      <c r="E5738" s="157">
        <v>41283.708333333336</v>
      </c>
      <c r="F5738" s="157">
        <v>41284.166666666664</v>
      </c>
      <c r="G5738" s="98">
        <v>399</v>
      </c>
      <c r="H5738" s="98">
        <v>795</v>
      </c>
      <c r="I5738" s="98">
        <v>747</v>
      </c>
      <c r="J5738" s="98" t="s">
        <v>229</v>
      </c>
      <c r="K5738" s="98" t="s">
        <v>795</v>
      </c>
      <c r="L5738" s="105" t="str">
        <f t="shared" si="950"/>
        <v>Trimble</v>
      </c>
      <c r="M5738" s="105" t="str">
        <f t="shared" si="951"/>
        <v>Derate</v>
      </c>
      <c r="N5738" s="105" t="str">
        <f t="shared" si="952"/>
        <v>Coal</v>
      </c>
      <c r="O5738" s="105">
        <f>IFERROR(VLOOKUP(A5738,Lookup!$J$5:$P$19,7,FALSE),0)</f>
        <v>3</v>
      </c>
      <c r="P5738" s="159">
        <f t="shared" si="953"/>
        <v>2013</v>
      </c>
      <c r="Q5738" s="159">
        <f t="shared" si="954"/>
        <v>1</v>
      </c>
      <c r="R5738" s="160">
        <f t="shared" si="955"/>
        <v>10.999999999883585</v>
      </c>
      <c r="S5738" s="158">
        <f t="shared" si="956"/>
        <v>5.4792452829608802</v>
      </c>
      <c r="T5738" s="161">
        <f t="shared" si="957"/>
        <v>4092.9962263717775</v>
      </c>
      <c r="U5738" s="158">
        <f t="shared" si="958"/>
        <v>372.09056603773587</v>
      </c>
      <c r="V5738" s="160">
        <f t="shared" si="959"/>
        <v>372</v>
      </c>
    </row>
    <row r="5739" spans="1:22" x14ac:dyDescent="0.25">
      <c r="A5739" s="98" t="s">
        <v>69</v>
      </c>
      <c r="B5739" s="98" t="s">
        <v>17</v>
      </c>
      <c r="C5739" s="98">
        <v>11</v>
      </c>
      <c r="D5739" s="98">
        <v>385</v>
      </c>
      <c r="E5739" s="157">
        <v>41284.166666666664</v>
      </c>
      <c r="F5739" s="157">
        <v>41284.208333333336</v>
      </c>
      <c r="G5739" s="98">
        <v>499</v>
      </c>
      <c r="H5739" s="98">
        <v>795</v>
      </c>
      <c r="I5739" s="98">
        <v>747</v>
      </c>
      <c r="J5739" s="98" t="s">
        <v>228</v>
      </c>
      <c r="K5739" s="98" t="s">
        <v>796</v>
      </c>
      <c r="L5739" s="105" t="str">
        <f t="shared" si="950"/>
        <v>Trimble</v>
      </c>
      <c r="M5739" s="105" t="str">
        <f t="shared" si="951"/>
        <v>Derate</v>
      </c>
      <c r="N5739" s="105" t="str">
        <f t="shared" si="952"/>
        <v>Coal</v>
      </c>
      <c r="O5739" s="105">
        <f>IFERROR(VLOOKUP(A5739,Lookup!$J$5:$P$19,7,FALSE),0)</f>
        <v>3</v>
      </c>
      <c r="P5739" s="159">
        <f t="shared" si="953"/>
        <v>2013</v>
      </c>
      <c r="Q5739" s="159">
        <f t="shared" si="954"/>
        <v>1</v>
      </c>
      <c r="R5739" s="160">
        <f t="shared" si="955"/>
        <v>1.0000000001164153</v>
      </c>
      <c r="S5739" s="158">
        <f t="shared" si="956"/>
        <v>0.37232704406850181</v>
      </c>
      <c r="T5739" s="161">
        <f t="shared" si="957"/>
        <v>278.12830191917084</v>
      </c>
      <c r="U5739" s="158">
        <f t="shared" si="958"/>
        <v>278.12830188679243</v>
      </c>
      <c r="V5739" s="160">
        <f t="shared" si="959"/>
        <v>278</v>
      </c>
    </row>
    <row r="5740" spans="1:22" x14ac:dyDescent="0.25">
      <c r="A5740" s="98" t="s">
        <v>69</v>
      </c>
      <c r="B5740" s="98" t="s">
        <v>17</v>
      </c>
      <c r="C5740" s="98">
        <v>12</v>
      </c>
      <c r="D5740" s="98">
        <v>9610</v>
      </c>
      <c r="E5740" s="157">
        <v>41284.208333333336</v>
      </c>
      <c r="F5740" s="157">
        <v>41284.291666666664</v>
      </c>
      <c r="G5740" s="98">
        <v>650</v>
      </c>
      <c r="H5740" s="98">
        <v>795</v>
      </c>
      <c r="I5740" s="98">
        <v>747</v>
      </c>
      <c r="J5740" s="98" t="s">
        <v>3087</v>
      </c>
      <c r="K5740" s="98" t="s">
        <v>797</v>
      </c>
      <c r="L5740" s="105" t="str">
        <f t="shared" si="950"/>
        <v>Trimble</v>
      </c>
      <c r="M5740" s="105" t="str">
        <f t="shared" si="951"/>
        <v>Derate</v>
      </c>
      <c r="N5740" s="105" t="str">
        <f t="shared" si="952"/>
        <v>Coal</v>
      </c>
      <c r="O5740" s="105">
        <f>IFERROR(VLOOKUP(A5740,Lookup!$J$5:$P$19,7,FALSE),0)</f>
        <v>3</v>
      </c>
      <c r="P5740" s="159">
        <f t="shared" si="953"/>
        <v>2013</v>
      </c>
      <c r="Q5740" s="159">
        <f t="shared" si="954"/>
        <v>1</v>
      </c>
      <c r="R5740" s="160">
        <f t="shared" si="955"/>
        <v>1.9999999998835847</v>
      </c>
      <c r="S5740" s="158">
        <f t="shared" si="956"/>
        <v>0.36477987419260349</v>
      </c>
      <c r="T5740" s="161">
        <f t="shared" si="957"/>
        <v>272.49056602187483</v>
      </c>
      <c r="U5740" s="158">
        <f t="shared" si="958"/>
        <v>136.24528301886792</v>
      </c>
      <c r="V5740" s="160">
        <f t="shared" si="959"/>
        <v>136</v>
      </c>
    </row>
    <row r="5741" spans="1:22" x14ac:dyDescent="0.25">
      <c r="A5741" s="98" t="s">
        <v>69</v>
      </c>
      <c r="B5741" s="98" t="s">
        <v>17</v>
      </c>
      <c r="C5741" s="98">
        <v>13</v>
      </c>
      <c r="D5741" s="98">
        <v>9610</v>
      </c>
      <c r="E5741" s="157">
        <v>41284.645833333336</v>
      </c>
      <c r="F5741" s="157">
        <v>41285.270833333336</v>
      </c>
      <c r="G5741" s="98">
        <v>469</v>
      </c>
      <c r="H5741" s="98">
        <v>795</v>
      </c>
      <c r="I5741" s="98">
        <v>747</v>
      </c>
      <c r="J5741" s="98" t="s">
        <v>3087</v>
      </c>
      <c r="K5741" s="98" t="s">
        <v>797</v>
      </c>
      <c r="L5741" s="105" t="str">
        <f t="shared" si="950"/>
        <v>Trimble</v>
      </c>
      <c r="M5741" s="105" t="str">
        <f t="shared" si="951"/>
        <v>Derate</v>
      </c>
      <c r="N5741" s="105" t="str">
        <f t="shared" si="952"/>
        <v>Coal</v>
      </c>
      <c r="O5741" s="105">
        <f>IFERROR(VLOOKUP(A5741,Lookup!$J$5:$P$19,7,FALSE),0)</f>
        <v>3</v>
      </c>
      <c r="P5741" s="159">
        <f t="shared" si="953"/>
        <v>2013</v>
      </c>
      <c r="Q5741" s="159">
        <f t="shared" si="954"/>
        <v>1</v>
      </c>
      <c r="R5741" s="160">
        <f t="shared" si="955"/>
        <v>15</v>
      </c>
      <c r="S5741" s="158">
        <f t="shared" si="956"/>
        <v>6.1509433962264151</v>
      </c>
      <c r="T5741" s="161">
        <f t="shared" si="957"/>
        <v>4594.7547169811323</v>
      </c>
      <c r="U5741" s="158">
        <f t="shared" si="958"/>
        <v>306.31698113207545</v>
      </c>
      <c r="V5741" s="160">
        <f t="shared" si="959"/>
        <v>306</v>
      </c>
    </row>
    <row r="5742" spans="1:22" x14ac:dyDescent="0.25">
      <c r="A5742" s="98" t="s">
        <v>69</v>
      </c>
      <c r="B5742" s="98" t="s">
        <v>17</v>
      </c>
      <c r="C5742" s="98">
        <v>14</v>
      </c>
      <c r="D5742" s="98">
        <v>4099</v>
      </c>
      <c r="E5742" s="157">
        <v>41285.270833333336</v>
      </c>
      <c r="F5742" s="157">
        <v>41285.423611111109</v>
      </c>
      <c r="G5742" s="98">
        <v>779</v>
      </c>
      <c r="H5742" s="98">
        <v>795</v>
      </c>
      <c r="I5742" s="98">
        <v>747</v>
      </c>
      <c r="J5742" s="98" t="s">
        <v>2293</v>
      </c>
      <c r="K5742" s="98" t="s">
        <v>96</v>
      </c>
      <c r="L5742" s="105" t="str">
        <f t="shared" si="950"/>
        <v>Trimble</v>
      </c>
      <c r="M5742" s="105" t="str">
        <f t="shared" si="951"/>
        <v>Derate</v>
      </c>
      <c r="N5742" s="105" t="str">
        <f t="shared" si="952"/>
        <v>Coal</v>
      </c>
      <c r="O5742" s="105">
        <f>IFERROR(VLOOKUP(A5742,Lookup!$J$5:$P$19,7,FALSE),0)</f>
        <v>3</v>
      </c>
      <c r="P5742" s="159">
        <f t="shared" si="953"/>
        <v>2013</v>
      </c>
      <c r="Q5742" s="159">
        <f t="shared" si="954"/>
        <v>1</v>
      </c>
      <c r="R5742" s="160">
        <f t="shared" si="955"/>
        <v>3.6666666665696539</v>
      </c>
      <c r="S5742" s="158">
        <f t="shared" si="956"/>
        <v>7.379454926429492E-2</v>
      </c>
      <c r="T5742" s="161">
        <f t="shared" si="957"/>
        <v>55.124528300428302</v>
      </c>
      <c r="U5742" s="158">
        <f t="shared" si="958"/>
        <v>15.033962264150944</v>
      </c>
      <c r="V5742" s="160">
        <f t="shared" si="959"/>
        <v>15</v>
      </c>
    </row>
    <row r="5743" spans="1:22" x14ac:dyDescent="0.25">
      <c r="A5743" s="98" t="s">
        <v>69</v>
      </c>
      <c r="B5743" s="98" t="s">
        <v>17</v>
      </c>
      <c r="C5743" s="98">
        <v>15</v>
      </c>
      <c r="D5743" s="98">
        <v>9610</v>
      </c>
      <c r="E5743" s="157">
        <v>41285.423611111109</v>
      </c>
      <c r="F5743" s="157">
        <v>41286</v>
      </c>
      <c r="G5743" s="98">
        <v>777</v>
      </c>
      <c r="H5743" s="98">
        <v>795</v>
      </c>
      <c r="I5743" s="98">
        <v>747</v>
      </c>
      <c r="J5743" s="98" t="s">
        <v>3087</v>
      </c>
      <c r="K5743" s="98" t="s">
        <v>794</v>
      </c>
      <c r="L5743" s="105" t="str">
        <f t="shared" si="950"/>
        <v>Trimble</v>
      </c>
      <c r="M5743" s="105" t="str">
        <f t="shared" si="951"/>
        <v>Derate</v>
      </c>
      <c r="N5743" s="105" t="str">
        <f t="shared" si="952"/>
        <v>Coal</v>
      </c>
      <c r="O5743" s="105">
        <f>IFERROR(VLOOKUP(A5743,Lookup!$J$5:$P$19,7,FALSE),0)</f>
        <v>3</v>
      </c>
      <c r="P5743" s="159">
        <f t="shared" si="953"/>
        <v>2013</v>
      </c>
      <c r="Q5743" s="159">
        <f t="shared" si="954"/>
        <v>1</v>
      </c>
      <c r="R5743" s="160">
        <f t="shared" si="955"/>
        <v>13.833333333372138</v>
      </c>
      <c r="S5743" s="158">
        <f t="shared" si="956"/>
        <v>0.31320754717068994</v>
      </c>
      <c r="T5743" s="161">
        <f t="shared" si="957"/>
        <v>233.96603773650537</v>
      </c>
      <c r="U5743" s="158">
        <f t="shared" si="958"/>
        <v>16.913207547169812</v>
      </c>
      <c r="V5743" s="160">
        <f t="shared" si="959"/>
        <v>17</v>
      </c>
    </row>
    <row r="5744" spans="1:22" x14ac:dyDescent="0.25">
      <c r="A5744" s="98" t="s">
        <v>69</v>
      </c>
      <c r="B5744" s="98" t="s">
        <v>17</v>
      </c>
      <c r="C5744" s="98">
        <v>16</v>
      </c>
      <c r="D5744" s="98">
        <v>9270</v>
      </c>
      <c r="E5744" s="157">
        <v>41288.364583333336</v>
      </c>
      <c r="F5744" s="157">
        <v>41288.916666666664</v>
      </c>
      <c r="G5744" s="98">
        <v>789</v>
      </c>
      <c r="H5744" s="98">
        <v>795</v>
      </c>
      <c r="I5744" s="98">
        <v>747</v>
      </c>
      <c r="J5744" s="98" t="s">
        <v>2006</v>
      </c>
      <c r="K5744" s="98" t="s">
        <v>798</v>
      </c>
      <c r="L5744" s="105" t="str">
        <f t="shared" si="950"/>
        <v>Trimble</v>
      </c>
      <c r="M5744" s="105" t="str">
        <f t="shared" si="951"/>
        <v>Derate</v>
      </c>
      <c r="N5744" s="105" t="str">
        <f t="shared" si="952"/>
        <v>Coal</v>
      </c>
      <c r="O5744" s="105">
        <f>IFERROR(VLOOKUP(A5744,Lookup!$J$5:$P$19,7,FALSE),0)</f>
        <v>3</v>
      </c>
      <c r="P5744" s="159">
        <f t="shared" si="953"/>
        <v>2013</v>
      </c>
      <c r="Q5744" s="159">
        <f t="shared" si="954"/>
        <v>1</v>
      </c>
      <c r="R5744" s="160">
        <f t="shared" si="955"/>
        <v>13.249999999883585</v>
      </c>
      <c r="S5744" s="158">
        <f t="shared" si="956"/>
        <v>9.9999999999121389E-2</v>
      </c>
      <c r="T5744" s="161">
        <f t="shared" si="957"/>
        <v>74.699999999343675</v>
      </c>
      <c r="U5744" s="158">
        <f t="shared" si="958"/>
        <v>5.6377358490566039</v>
      </c>
      <c r="V5744" s="160">
        <f t="shared" si="959"/>
        <v>6</v>
      </c>
    </row>
    <row r="5745" spans="1:22" x14ac:dyDescent="0.25">
      <c r="A5745" s="98" t="s">
        <v>69</v>
      </c>
      <c r="B5745" s="98" t="s">
        <v>17</v>
      </c>
      <c r="C5745" s="98">
        <v>17</v>
      </c>
      <c r="D5745" s="98">
        <v>9600</v>
      </c>
      <c r="E5745" s="157">
        <v>41290.083333333336</v>
      </c>
      <c r="F5745" s="157">
        <v>41290.135416666664</v>
      </c>
      <c r="G5745" s="98">
        <v>764</v>
      </c>
      <c r="H5745" s="98">
        <v>795</v>
      </c>
      <c r="I5745" s="98">
        <v>747</v>
      </c>
      <c r="J5745" s="98" t="s">
        <v>2111</v>
      </c>
      <c r="K5745" s="98" t="s">
        <v>799</v>
      </c>
      <c r="L5745" s="105" t="str">
        <f t="shared" si="950"/>
        <v>Trimble</v>
      </c>
      <c r="M5745" s="105" t="str">
        <f t="shared" si="951"/>
        <v>Derate</v>
      </c>
      <c r="N5745" s="105" t="str">
        <f t="shared" si="952"/>
        <v>Coal</v>
      </c>
      <c r="O5745" s="105">
        <f>IFERROR(VLOOKUP(A5745,Lookup!$J$5:$P$19,7,FALSE),0)</f>
        <v>3</v>
      </c>
      <c r="P5745" s="159">
        <f t="shared" si="953"/>
        <v>2013</v>
      </c>
      <c r="Q5745" s="159">
        <f t="shared" si="954"/>
        <v>1</v>
      </c>
      <c r="R5745" s="160">
        <f t="shared" si="955"/>
        <v>1.2499999998835847</v>
      </c>
      <c r="S5745" s="158">
        <f t="shared" si="956"/>
        <v>4.8742138360240411E-2</v>
      </c>
      <c r="T5745" s="161">
        <f t="shared" si="957"/>
        <v>36.410377355099584</v>
      </c>
      <c r="U5745" s="158">
        <f t="shared" si="958"/>
        <v>29.128301886792453</v>
      </c>
      <c r="V5745" s="160">
        <f t="shared" si="959"/>
        <v>29</v>
      </c>
    </row>
    <row r="5746" spans="1:22" x14ac:dyDescent="0.25">
      <c r="A5746" s="98" t="s">
        <v>69</v>
      </c>
      <c r="B5746" s="98" t="s">
        <v>17</v>
      </c>
      <c r="C5746" s="98">
        <v>18</v>
      </c>
      <c r="D5746" s="98">
        <v>9600</v>
      </c>
      <c r="E5746" s="157">
        <v>41290.135416666664</v>
      </c>
      <c r="F5746" s="157">
        <v>41290.166666666664</v>
      </c>
      <c r="G5746" s="98">
        <v>789</v>
      </c>
      <c r="H5746" s="98">
        <v>795</v>
      </c>
      <c r="I5746" s="98">
        <v>747</v>
      </c>
      <c r="J5746" s="98" t="s">
        <v>2111</v>
      </c>
      <c r="K5746" s="98" t="s">
        <v>800</v>
      </c>
      <c r="L5746" s="105" t="str">
        <f t="shared" si="950"/>
        <v>Trimble</v>
      </c>
      <c r="M5746" s="105" t="str">
        <f t="shared" si="951"/>
        <v>Derate</v>
      </c>
      <c r="N5746" s="105" t="str">
        <f t="shared" si="952"/>
        <v>Coal</v>
      </c>
      <c r="O5746" s="105">
        <f>IFERROR(VLOOKUP(A5746,Lookup!$J$5:$P$19,7,FALSE),0)</f>
        <v>3</v>
      </c>
      <c r="P5746" s="159">
        <f t="shared" si="953"/>
        <v>2013</v>
      </c>
      <c r="Q5746" s="159">
        <f t="shared" si="954"/>
        <v>1</v>
      </c>
      <c r="R5746" s="160">
        <f t="shared" si="955"/>
        <v>0.75</v>
      </c>
      <c r="S5746" s="158">
        <f t="shared" si="956"/>
        <v>5.6603773584905656E-3</v>
      </c>
      <c r="T5746" s="161">
        <f t="shared" si="957"/>
        <v>4.2283018867924529</v>
      </c>
      <c r="U5746" s="158">
        <f t="shared" si="958"/>
        <v>5.6377358490566039</v>
      </c>
      <c r="V5746" s="160">
        <f t="shared" si="959"/>
        <v>6</v>
      </c>
    </row>
    <row r="5747" spans="1:22" x14ac:dyDescent="0.25">
      <c r="A5747" s="98" t="s">
        <v>69</v>
      </c>
      <c r="B5747" s="98" t="s">
        <v>17</v>
      </c>
      <c r="C5747" s="98">
        <v>19</v>
      </c>
      <c r="D5747" s="98">
        <v>9600</v>
      </c>
      <c r="E5747" s="157">
        <v>41290.263888888891</v>
      </c>
      <c r="F5747" s="157">
        <v>41290.416666666664</v>
      </c>
      <c r="G5747" s="98">
        <v>789</v>
      </c>
      <c r="H5747" s="98">
        <v>795</v>
      </c>
      <c r="I5747" s="98">
        <v>747</v>
      </c>
      <c r="J5747" s="98" t="s">
        <v>2111</v>
      </c>
      <c r="K5747" s="98" t="s">
        <v>801</v>
      </c>
      <c r="L5747" s="105" t="str">
        <f t="shared" si="950"/>
        <v>Trimble</v>
      </c>
      <c r="M5747" s="105" t="str">
        <f t="shared" si="951"/>
        <v>Derate</v>
      </c>
      <c r="N5747" s="105" t="str">
        <f t="shared" si="952"/>
        <v>Coal</v>
      </c>
      <c r="O5747" s="105">
        <f>IFERROR(VLOOKUP(A5747,Lookup!$J$5:$P$19,7,FALSE),0)</f>
        <v>3</v>
      </c>
      <c r="P5747" s="159">
        <f t="shared" si="953"/>
        <v>2013</v>
      </c>
      <c r="Q5747" s="159">
        <f t="shared" si="954"/>
        <v>1</v>
      </c>
      <c r="R5747" s="160">
        <f t="shared" si="955"/>
        <v>3.6666666665696539</v>
      </c>
      <c r="S5747" s="158">
        <f t="shared" si="956"/>
        <v>2.7672955974110597E-2</v>
      </c>
      <c r="T5747" s="161">
        <f t="shared" si="957"/>
        <v>20.671698112660614</v>
      </c>
      <c r="U5747" s="158">
        <f t="shared" si="958"/>
        <v>5.6377358490566039</v>
      </c>
      <c r="V5747" s="160">
        <f t="shared" si="959"/>
        <v>6</v>
      </c>
    </row>
    <row r="5748" spans="1:22" x14ac:dyDescent="0.25">
      <c r="A5748" s="98" t="s">
        <v>69</v>
      </c>
      <c r="B5748" s="98" t="s">
        <v>105</v>
      </c>
      <c r="C5748" s="98">
        <v>20</v>
      </c>
      <c r="D5748" s="98">
        <v>920</v>
      </c>
      <c r="E5748" s="157">
        <v>41293.000694444447</v>
      </c>
      <c r="F5748" s="157">
        <v>41293.25</v>
      </c>
      <c r="G5748" s="98">
        <v>435</v>
      </c>
      <c r="H5748" s="98">
        <v>795</v>
      </c>
      <c r="I5748" s="98">
        <v>747</v>
      </c>
      <c r="J5748" s="98" t="s">
        <v>1974</v>
      </c>
      <c r="K5748" s="98" t="s">
        <v>802</v>
      </c>
      <c r="L5748" s="105" t="str">
        <f t="shared" si="950"/>
        <v>Trimble</v>
      </c>
      <c r="M5748" s="105" t="str">
        <f t="shared" si="951"/>
        <v>Derate</v>
      </c>
      <c r="N5748" s="105" t="str">
        <f t="shared" si="952"/>
        <v>Coal</v>
      </c>
      <c r="O5748" s="105">
        <f>IFERROR(VLOOKUP(A5748,Lookup!$J$5:$P$19,7,FALSE),0)</f>
        <v>3</v>
      </c>
      <c r="P5748" s="159">
        <f t="shared" si="953"/>
        <v>2013</v>
      </c>
      <c r="Q5748" s="159">
        <f t="shared" si="954"/>
        <v>1</v>
      </c>
      <c r="R5748" s="160">
        <f t="shared" si="955"/>
        <v>5.9833333332790062</v>
      </c>
      <c r="S5748" s="158">
        <f t="shared" si="956"/>
        <v>2.70943396223955</v>
      </c>
      <c r="T5748" s="161">
        <f t="shared" si="957"/>
        <v>2023.9471697929439</v>
      </c>
      <c r="U5748" s="158">
        <f t="shared" si="958"/>
        <v>338.2641509433962</v>
      </c>
      <c r="V5748" s="160">
        <f t="shared" si="959"/>
        <v>338</v>
      </c>
    </row>
    <row r="5749" spans="1:22" x14ac:dyDescent="0.25">
      <c r="A5749" s="98" t="s">
        <v>69</v>
      </c>
      <c r="B5749" s="98" t="s">
        <v>105</v>
      </c>
      <c r="C5749" s="98">
        <v>21</v>
      </c>
      <c r="D5749" s="98">
        <v>920</v>
      </c>
      <c r="E5749" s="157">
        <v>41293.25</v>
      </c>
      <c r="F5749" s="157">
        <v>41293.270833333336</v>
      </c>
      <c r="G5749" s="98">
        <v>680</v>
      </c>
      <c r="H5749" s="98">
        <v>795</v>
      </c>
      <c r="I5749" s="98">
        <v>747</v>
      </c>
      <c r="J5749" s="98" t="s">
        <v>1974</v>
      </c>
      <c r="K5749" s="98" t="s">
        <v>803</v>
      </c>
      <c r="L5749" s="105" t="str">
        <f t="shared" si="950"/>
        <v>Trimble</v>
      </c>
      <c r="M5749" s="105" t="str">
        <f t="shared" si="951"/>
        <v>Derate</v>
      </c>
      <c r="N5749" s="105" t="str">
        <f t="shared" si="952"/>
        <v>Coal</v>
      </c>
      <c r="O5749" s="105">
        <f>IFERROR(VLOOKUP(A5749,Lookup!$J$5:$P$19,7,FALSE),0)</f>
        <v>3</v>
      </c>
      <c r="P5749" s="159">
        <f t="shared" si="953"/>
        <v>2013</v>
      </c>
      <c r="Q5749" s="159">
        <f t="shared" si="954"/>
        <v>1</v>
      </c>
      <c r="R5749" s="160">
        <f t="shared" si="955"/>
        <v>0.50000000005820766</v>
      </c>
      <c r="S5749" s="158">
        <f t="shared" si="956"/>
        <v>7.2327044033577204E-2</v>
      </c>
      <c r="T5749" s="161">
        <f t="shared" si="957"/>
        <v>54.028301893082173</v>
      </c>
      <c r="U5749" s="158">
        <f t="shared" si="958"/>
        <v>108.05660377358491</v>
      </c>
      <c r="V5749" s="160">
        <f t="shared" si="959"/>
        <v>108</v>
      </c>
    </row>
    <row r="5750" spans="1:22" x14ac:dyDescent="0.25">
      <c r="A5750" s="98" t="s">
        <v>69</v>
      </c>
      <c r="B5750" s="98" t="s">
        <v>17</v>
      </c>
      <c r="C5750" s="98">
        <v>22</v>
      </c>
      <c r="D5750" s="98">
        <v>1455</v>
      </c>
      <c r="E5750" s="157">
        <v>41299.425000000003</v>
      </c>
      <c r="F5750" s="157">
        <v>41299.510416666664</v>
      </c>
      <c r="G5750" s="98">
        <v>784</v>
      </c>
      <c r="H5750" s="98">
        <v>795</v>
      </c>
      <c r="I5750" s="98">
        <v>747</v>
      </c>
      <c r="J5750" s="98" t="s">
        <v>1990</v>
      </c>
      <c r="K5750" s="98" t="s">
        <v>804</v>
      </c>
      <c r="L5750" s="105" t="str">
        <f t="shared" si="950"/>
        <v>Trimble</v>
      </c>
      <c r="M5750" s="105" t="str">
        <f t="shared" si="951"/>
        <v>Derate</v>
      </c>
      <c r="N5750" s="105" t="str">
        <f t="shared" si="952"/>
        <v>Coal</v>
      </c>
      <c r="O5750" s="105">
        <f>IFERROR(VLOOKUP(A5750,Lookup!$J$5:$P$19,7,FALSE),0)</f>
        <v>3</v>
      </c>
      <c r="P5750" s="159">
        <f t="shared" si="953"/>
        <v>2013</v>
      </c>
      <c r="Q5750" s="159">
        <f t="shared" si="954"/>
        <v>1</v>
      </c>
      <c r="R5750" s="160">
        <f t="shared" si="955"/>
        <v>2.0499999998719431</v>
      </c>
      <c r="S5750" s="158">
        <f t="shared" si="956"/>
        <v>2.8364779872441979E-2</v>
      </c>
      <c r="T5750" s="161">
        <f t="shared" si="957"/>
        <v>21.188490564714158</v>
      </c>
      <c r="U5750" s="158">
        <f t="shared" si="958"/>
        <v>10.335849056603774</v>
      </c>
      <c r="V5750" s="160">
        <f t="shared" si="959"/>
        <v>10</v>
      </c>
    </row>
    <row r="5751" spans="1:22" x14ac:dyDescent="0.25">
      <c r="A5751" s="98" t="s">
        <v>69</v>
      </c>
      <c r="B5751" s="98" t="s">
        <v>17</v>
      </c>
      <c r="C5751" s="98">
        <v>23</v>
      </c>
      <c r="D5751" s="98">
        <v>9610</v>
      </c>
      <c r="E5751" s="157">
        <v>41303.885416666664</v>
      </c>
      <c r="F5751" s="157">
        <v>41303.9375</v>
      </c>
      <c r="G5751" s="98">
        <v>500</v>
      </c>
      <c r="H5751" s="98">
        <v>795</v>
      </c>
      <c r="I5751" s="98">
        <v>747</v>
      </c>
      <c r="J5751" s="98" t="s">
        <v>3087</v>
      </c>
      <c r="K5751" s="98" t="s">
        <v>805</v>
      </c>
      <c r="L5751" s="105" t="str">
        <f t="shared" si="950"/>
        <v>Trimble</v>
      </c>
      <c r="M5751" s="105" t="str">
        <f t="shared" si="951"/>
        <v>Derate</v>
      </c>
      <c r="N5751" s="105" t="str">
        <f t="shared" si="952"/>
        <v>Coal</v>
      </c>
      <c r="O5751" s="105">
        <f>IFERROR(VLOOKUP(A5751,Lookup!$J$5:$P$19,7,FALSE),0)</f>
        <v>3</v>
      </c>
      <c r="P5751" s="159">
        <f t="shared" si="953"/>
        <v>2013</v>
      </c>
      <c r="Q5751" s="159">
        <f t="shared" si="954"/>
        <v>1</v>
      </c>
      <c r="R5751" s="160">
        <f t="shared" si="955"/>
        <v>1.2500000000582077</v>
      </c>
      <c r="S5751" s="158">
        <f t="shared" si="956"/>
        <v>0.46383647800902045</v>
      </c>
      <c r="T5751" s="161">
        <f t="shared" si="957"/>
        <v>346.48584907273829</v>
      </c>
      <c r="U5751" s="158">
        <f t="shared" si="958"/>
        <v>277.18867924528303</v>
      </c>
      <c r="V5751" s="160">
        <f t="shared" si="959"/>
        <v>277</v>
      </c>
    </row>
    <row r="5752" spans="1:22" x14ac:dyDescent="0.25">
      <c r="A5752" s="98" t="s">
        <v>69</v>
      </c>
      <c r="B5752" s="98" t="s">
        <v>17</v>
      </c>
      <c r="C5752" s="98">
        <v>24</v>
      </c>
      <c r="D5752" s="98">
        <v>9610</v>
      </c>
      <c r="E5752" s="157">
        <v>41303.9375</v>
      </c>
      <c r="F5752" s="157">
        <v>41304.03125</v>
      </c>
      <c r="G5752" s="98">
        <v>425</v>
      </c>
      <c r="H5752" s="98">
        <v>795</v>
      </c>
      <c r="I5752" s="98">
        <v>747</v>
      </c>
      <c r="J5752" s="98" t="s">
        <v>3087</v>
      </c>
      <c r="K5752" s="98" t="s">
        <v>806</v>
      </c>
      <c r="L5752" s="105" t="str">
        <f t="shared" si="950"/>
        <v>Trimble</v>
      </c>
      <c r="M5752" s="105" t="str">
        <f t="shared" si="951"/>
        <v>Derate</v>
      </c>
      <c r="N5752" s="105" t="str">
        <f t="shared" si="952"/>
        <v>Coal</v>
      </c>
      <c r="O5752" s="105">
        <f>IFERROR(VLOOKUP(A5752,Lookup!$J$5:$P$19,7,FALSE),0)</f>
        <v>3</v>
      </c>
      <c r="P5752" s="159">
        <f t="shared" si="953"/>
        <v>2013</v>
      </c>
      <c r="Q5752" s="159">
        <f t="shared" si="954"/>
        <v>1</v>
      </c>
      <c r="R5752" s="160">
        <f t="shared" si="955"/>
        <v>2.25</v>
      </c>
      <c r="S5752" s="158">
        <f t="shared" si="956"/>
        <v>1.0471698113207548</v>
      </c>
      <c r="T5752" s="161">
        <f t="shared" si="957"/>
        <v>782.2358490566038</v>
      </c>
      <c r="U5752" s="158">
        <f t="shared" si="958"/>
        <v>347.66037735849056</v>
      </c>
      <c r="V5752" s="160">
        <f t="shared" si="959"/>
        <v>348</v>
      </c>
    </row>
    <row r="5753" spans="1:22" x14ac:dyDescent="0.25">
      <c r="A5753" s="98" t="s">
        <v>69</v>
      </c>
      <c r="B5753" s="98" t="s">
        <v>17</v>
      </c>
      <c r="C5753" s="98">
        <v>25</v>
      </c>
      <c r="D5753" s="98">
        <v>9610</v>
      </c>
      <c r="E5753" s="157">
        <v>41304.03125</v>
      </c>
      <c r="F5753" s="157">
        <v>41304.0625</v>
      </c>
      <c r="G5753" s="98">
        <v>650</v>
      </c>
      <c r="H5753" s="98">
        <v>795</v>
      </c>
      <c r="I5753" s="98">
        <v>747</v>
      </c>
      <c r="J5753" s="98" t="s">
        <v>3087</v>
      </c>
      <c r="K5753" s="98" t="s">
        <v>807</v>
      </c>
      <c r="L5753" s="105" t="str">
        <f t="shared" si="950"/>
        <v>Trimble</v>
      </c>
      <c r="M5753" s="105" t="str">
        <f t="shared" si="951"/>
        <v>Derate</v>
      </c>
      <c r="N5753" s="105" t="str">
        <f t="shared" si="952"/>
        <v>Coal</v>
      </c>
      <c r="O5753" s="105">
        <f>IFERROR(VLOOKUP(A5753,Lookup!$J$5:$P$19,7,FALSE),0)</f>
        <v>3</v>
      </c>
      <c r="P5753" s="159">
        <f t="shared" si="953"/>
        <v>2013</v>
      </c>
      <c r="Q5753" s="159">
        <f t="shared" si="954"/>
        <v>1</v>
      </c>
      <c r="R5753" s="160">
        <f t="shared" si="955"/>
        <v>0.75</v>
      </c>
      <c r="S5753" s="158">
        <f t="shared" si="956"/>
        <v>0.13679245283018868</v>
      </c>
      <c r="T5753" s="161">
        <f t="shared" si="957"/>
        <v>102.18396226415094</v>
      </c>
      <c r="U5753" s="158">
        <f t="shared" si="958"/>
        <v>136.24528301886792</v>
      </c>
      <c r="V5753" s="160">
        <f t="shared" si="959"/>
        <v>136</v>
      </c>
    </row>
    <row r="5754" spans="1:22" x14ac:dyDescent="0.25">
      <c r="A5754" s="98" t="s">
        <v>69</v>
      </c>
      <c r="B5754" s="98" t="s">
        <v>17</v>
      </c>
      <c r="C5754" s="98">
        <v>26</v>
      </c>
      <c r="D5754" s="98">
        <v>9270</v>
      </c>
      <c r="E5754" s="157">
        <v>41304.677083333336</v>
      </c>
      <c r="F5754" s="157">
        <v>41304.875</v>
      </c>
      <c r="G5754" s="98">
        <v>800</v>
      </c>
      <c r="H5754" s="98">
        <v>795</v>
      </c>
      <c r="I5754" s="98">
        <v>747</v>
      </c>
      <c r="J5754" s="98" t="s">
        <v>2006</v>
      </c>
      <c r="K5754" s="98" t="s">
        <v>808</v>
      </c>
      <c r="L5754" s="105" t="str">
        <f t="shared" si="950"/>
        <v>Trimble</v>
      </c>
      <c r="M5754" s="105" t="str">
        <f t="shared" si="951"/>
        <v>Derate</v>
      </c>
      <c r="N5754" s="105" t="str">
        <f t="shared" si="952"/>
        <v>Coal</v>
      </c>
      <c r="O5754" s="105">
        <f>IFERROR(VLOOKUP(A5754,Lookup!$J$5:$P$19,7,FALSE),0)</f>
        <v>3</v>
      </c>
      <c r="P5754" s="159">
        <f t="shared" si="953"/>
        <v>2013</v>
      </c>
      <c r="Q5754" s="159">
        <f t="shared" si="954"/>
        <v>1</v>
      </c>
      <c r="R5754" s="160">
        <f t="shared" si="955"/>
        <v>4.7499999999417923</v>
      </c>
      <c r="S5754" s="158">
        <f t="shared" si="956"/>
        <v>-2.9874213836111902E-2</v>
      </c>
      <c r="T5754" s="161">
        <f t="shared" si="957"/>
        <v>-22.316037735575591</v>
      </c>
      <c r="U5754" s="158">
        <f t="shared" si="958"/>
        <v>0</v>
      </c>
      <c r="V5754" s="160">
        <f t="shared" si="959"/>
        <v>0</v>
      </c>
    </row>
    <row r="5755" spans="1:22" x14ac:dyDescent="0.25">
      <c r="A5755" s="98" t="s">
        <v>69</v>
      </c>
      <c r="B5755" s="98" t="s">
        <v>17</v>
      </c>
      <c r="C5755" s="98">
        <v>27</v>
      </c>
      <c r="D5755" s="98">
        <v>310</v>
      </c>
      <c r="E5755" s="157">
        <v>41308.75</v>
      </c>
      <c r="F5755" s="157">
        <v>41308.791666666664</v>
      </c>
      <c r="G5755" s="98">
        <v>650</v>
      </c>
      <c r="H5755" s="98">
        <v>795</v>
      </c>
      <c r="I5755" s="98">
        <v>747</v>
      </c>
      <c r="J5755" s="98" t="s">
        <v>1966</v>
      </c>
      <c r="K5755" s="98" t="s">
        <v>809</v>
      </c>
      <c r="L5755" s="105" t="str">
        <f t="shared" si="950"/>
        <v>Trimble</v>
      </c>
      <c r="M5755" s="105" t="str">
        <f t="shared" si="951"/>
        <v>Derate</v>
      </c>
      <c r="N5755" s="105" t="str">
        <f t="shared" si="952"/>
        <v>Coal</v>
      </c>
      <c r="O5755" s="105">
        <f>IFERROR(VLOOKUP(A5755,Lookup!$J$5:$P$19,7,FALSE),0)</f>
        <v>3</v>
      </c>
      <c r="P5755" s="159">
        <f t="shared" si="953"/>
        <v>2013</v>
      </c>
      <c r="Q5755" s="159">
        <f t="shared" si="954"/>
        <v>2</v>
      </c>
      <c r="R5755" s="160">
        <f t="shared" si="955"/>
        <v>0.99999999994179234</v>
      </c>
      <c r="S5755" s="158">
        <f t="shared" si="956"/>
        <v>0.18238993709630175</v>
      </c>
      <c r="T5755" s="161">
        <f t="shared" si="957"/>
        <v>136.24528301093741</v>
      </c>
      <c r="U5755" s="158">
        <f t="shared" si="958"/>
        <v>136.24528301886792</v>
      </c>
      <c r="V5755" s="160">
        <f t="shared" si="959"/>
        <v>136</v>
      </c>
    </row>
    <row r="5756" spans="1:22" x14ac:dyDescent="0.25">
      <c r="A5756" s="98" t="s">
        <v>69</v>
      </c>
      <c r="B5756" s="98" t="s">
        <v>17</v>
      </c>
      <c r="C5756" s="98">
        <v>28</v>
      </c>
      <c r="D5756" s="98">
        <v>3710</v>
      </c>
      <c r="E5756" s="157">
        <v>41310.048611111109</v>
      </c>
      <c r="F5756" s="157">
        <v>41310.05972222222</v>
      </c>
      <c r="G5756" s="98">
        <v>600</v>
      </c>
      <c r="H5756" s="98">
        <v>795</v>
      </c>
      <c r="I5756" s="98">
        <v>747</v>
      </c>
      <c r="J5756" s="98" t="s">
        <v>2268</v>
      </c>
      <c r="K5756" s="98" t="s">
        <v>810</v>
      </c>
      <c r="L5756" s="105" t="str">
        <f t="shared" si="950"/>
        <v>Trimble</v>
      </c>
      <c r="M5756" s="105" t="str">
        <f t="shared" si="951"/>
        <v>Derate</v>
      </c>
      <c r="N5756" s="105" t="str">
        <f t="shared" si="952"/>
        <v>Coal</v>
      </c>
      <c r="O5756" s="105">
        <f>IFERROR(VLOOKUP(A5756,Lookup!$J$5:$P$19,7,FALSE),0)</f>
        <v>3</v>
      </c>
      <c r="P5756" s="159">
        <f t="shared" si="953"/>
        <v>2013</v>
      </c>
      <c r="Q5756" s="159">
        <f t="shared" si="954"/>
        <v>2</v>
      </c>
      <c r="R5756" s="160">
        <f t="shared" si="955"/>
        <v>0.26666666666278616</v>
      </c>
      <c r="S5756" s="158">
        <f t="shared" si="956"/>
        <v>6.5408805030494718E-2</v>
      </c>
      <c r="T5756" s="161">
        <f t="shared" si="957"/>
        <v>48.860377357779555</v>
      </c>
      <c r="U5756" s="158">
        <f t="shared" si="958"/>
        <v>183.22641509433961</v>
      </c>
      <c r="V5756" s="160">
        <f t="shared" si="959"/>
        <v>183</v>
      </c>
    </row>
    <row r="5757" spans="1:22" x14ac:dyDescent="0.25">
      <c r="A5757" s="98" t="s">
        <v>69</v>
      </c>
      <c r="B5757" s="98" t="s">
        <v>15</v>
      </c>
      <c r="C5757" s="98">
        <v>29</v>
      </c>
      <c r="D5757" s="98">
        <v>1480</v>
      </c>
      <c r="E5757" s="157">
        <v>41310.05972222222</v>
      </c>
      <c r="F5757" s="157">
        <v>41312.71875</v>
      </c>
      <c r="G5757" s="98">
        <v>0</v>
      </c>
      <c r="H5757" s="98">
        <v>795</v>
      </c>
      <c r="I5757" s="98">
        <v>747</v>
      </c>
      <c r="J5757" s="98" t="s">
        <v>1972</v>
      </c>
      <c r="K5757" s="98" t="s">
        <v>811</v>
      </c>
      <c r="L5757" s="105" t="str">
        <f t="shared" si="950"/>
        <v>Trimble</v>
      </c>
      <c r="M5757" s="105" t="str">
        <f t="shared" si="951"/>
        <v>Outage</v>
      </c>
      <c r="N5757" s="105" t="str">
        <f t="shared" si="952"/>
        <v>Coal</v>
      </c>
      <c r="O5757" s="105">
        <f>IFERROR(VLOOKUP(A5757,Lookup!$J$5:$P$19,7,FALSE),0)</f>
        <v>3</v>
      </c>
      <c r="P5757" s="159">
        <f t="shared" si="953"/>
        <v>2013</v>
      </c>
      <c r="Q5757" s="159">
        <f t="shared" si="954"/>
        <v>2</v>
      </c>
      <c r="R5757" s="160">
        <f t="shared" si="955"/>
        <v>63.816666666709352</v>
      </c>
      <c r="S5757" s="158">
        <f t="shared" si="956"/>
        <v>63.816666666709352</v>
      </c>
      <c r="T5757" s="161">
        <f t="shared" si="957"/>
        <v>47671.050000031886</v>
      </c>
      <c r="U5757" s="158">
        <f t="shared" si="958"/>
        <v>747</v>
      </c>
      <c r="V5757" s="160">
        <f t="shared" si="959"/>
        <v>747</v>
      </c>
    </row>
    <row r="5758" spans="1:22" x14ac:dyDescent="0.25">
      <c r="A5758" s="98" t="s">
        <v>69</v>
      </c>
      <c r="B5758" s="98" t="s">
        <v>15</v>
      </c>
      <c r="C5758" s="98">
        <v>30</v>
      </c>
      <c r="D5758" s="98">
        <v>3499</v>
      </c>
      <c r="E5758" s="157">
        <v>41312.758333333331</v>
      </c>
      <c r="F5758" s="157">
        <v>41313.132638888892</v>
      </c>
      <c r="G5758" s="98">
        <v>0</v>
      </c>
      <c r="H5758" s="98">
        <v>795</v>
      </c>
      <c r="I5758" s="98">
        <v>747</v>
      </c>
      <c r="J5758" s="98" t="s">
        <v>2188</v>
      </c>
      <c r="K5758" s="98" t="s">
        <v>812</v>
      </c>
      <c r="L5758" s="105" t="str">
        <f t="shared" si="950"/>
        <v>Trimble</v>
      </c>
      <c r="M5758" s="105" t="str">
        <f t="shared" si="951"/>
        <v>Outage</v>
      </c>
      <c r="N5758" s="105" t="str">
        <f t="shared" si="952"/>
        <v>Coal</v>
      </c>
      <c r="O5758" s="105">
        <f>IFERROR(VLOOKUP(A5758,Lookup!$J$5:$P$19,7,FALSE),0)</f>
        <v>3</v>
      </c>
      <c r="P5758" s="159">
        <f t="shared" si="953"/>
        <v>2013</v>
      </c>
      <c r="Q5758" s="159">
        <f t="shared" si="954"/>
        <v>2</v>
      </c>
      <c r="R5758" s="160">
        <f t="shared" si="955"/>
        <v>8.9833333334536292</v>
      </c>
      <c r="S5758" s="158">
        <f t="shared" si="956"/>
        <v>8.9833333334536292</v>
      </c>
      <c r="T5758" s="161">
        <f t="shared" si="957"/>
        <v>6710.550000089861</v>
      </c>
      <c r="U5758" s="158">
        <f t="shared" si="958"/>
        <v>747</v>
      </c>
      <c r="V5758" s="160">
        <f t="shared" si="959"/>
        <v>747</v>
      </c>
    </row>
    <row r="5759" spans="1:22" x14ac:dyDescent="0.25">
      <c r="A5759" s="98" t="s">
        <v>69</v>
      </c>
      <c r="B5759" s="98" t="s">
        <v>15</v>
      </c>
      <c r="C5759" s="98">
        <v>31</v>
      </c>
      <c r="D5759" s="98">
        <v>530</v>
      </c>
      <c r="E5759" s="157">
        <v>41313.184027777781</v>
      </c>
      <c r="F5759" s="157">
        <v>41313.232638888891</v>
      </c>
      <c r="G5759" s="98">
        <v>0</v>
      </c>
      <c r="H5759" s="98">
        <v>795</v>
      </c>
      <c r="I5759" s="98">
        <v>747</v>
      </c>
      <c r="J5759" s="98" t="s">
        <v>3438</v>
      </c>
      <c r="K5759" s="98" t="s">
        <v>813</v>
      </c>
      <c r="L5759" s="105" t="str">
        <f t="shared" si="950"/>
        <v>Trimble</v>
      </c>
      <c r="M5759" s="105" t="str">
        <f t="shared" si="951"/>
        <v>Outage</v>
      </c>
      <c r="N5759" s="105" t="str">
        <f t="shared" si="952"/>
        <v>Coal</v>
      </c>
      <c r="O5759" s="105">
        <f>IFERROR(VLOOKUP(A5759,Lookup!$J$5:$P$19,7,FALSE),0)</f>
        <v>3</v>
      </c>
      <c r="P5759" s="159">
        <f t="shared" si="953"/>
        <v>2013</v>
      </c>
      <c r="Q5759" s="159">
        <f t="shared" si="954"/>
        <v>2</v>
      </c>
      <c r="R5759" s="160">
        <f t="shared" si="955"/>
        <v>1.1666666666278616</v>
      </c>
      <c r="S5759" s="158">
        <f t="shared" si="956"/>
        <v>1.1666666666278616</v>
      </c>
      <c r="T5759" s="161">
        <f t="shared" si="957"/>
        <v>871.49999997101258</v>
      </c>
      <c r="U5759" s="158">
        <f t="shared" si="958"/>
        <v>747</v>
      </c>
      <c r="V5759" s="160">
        <f t="shared" si="959"/>
        <v>747</v>
      </c>
    </row>
    <row r="5760" spans="1:22" x14ac:dyDescent="0.25">
      <c r="A5760" s="98" t="s">
        <v>69</v>
      </c>
      <c r="B5760" s="98" t="s">
        <v>17</v>
      </c>
      <c r="C5760" s="98">
        <v>32</v>
      </c>
      <c r="D5760" s="98">
        <v>8650</v>
      </c>
      <c r="E5760" s="157">
        <v>41313.676388888889</v>
      </c>
      <c r="F5760" s="157">
        <v>41313.761805555558</v>
      </c>
      <c r="G5760" s="98">
        <v>729</v>
      </c>
      <c r="H5760" s="98">
        <v>795</v>
      </c>
      <c r="I5760" s="98">
        <v>747</v>
      </c>
      <c r="J5760" s="98" t="s">
        <v>2668</v>
      </c>
      <c r="K5760" s="98" t="s">
        <v>814</v>
      </c>
      <c r="L5760" s="105" t="str">
        <f t="shared" si="950"/>
        <v>Trimble</v>
      </c>
      <c r="M5760" s="105" t="str">
        <f t="shared" si="951"/>
        <v>Derate</v>
      </c>
      <c r="N5760" s="105" t="str">
        <f t="shared" si="952"/>
        <v>Coal</v>
      </c>
      <c r="O5760" s="105">
        <f>IFERROR(VLOOKUP(A5760,Lookup!$J$5:$P$19,7,FALSE),0)</f>
        <v>3</v>
      </c>
      <c r="P5760" s="159">
        <f t="shared" si="953"/>
        <v>2013</v>
      </c>
      <c r="Q5760" s="159">
        <f t="shared" si="954"/>
        <v>2</v>
      </c>
      <c r="R5760" s="160">
        <f t="shared" si="955"/>
        <v>2.0500000000465661</v>
      </c>
      <c r="S5760" s="158">
        <f t="shared" si="956"/>
        <v>0.17018867924914888</v>
      </c>
      <c r="T5760" s="161">
        <f t="shared" si="957"/>
        <v>127.13094339911422</v>
      </c>
      <c r="U5760" s="158">
        <f t="shared" si="958"/>
        <v>62.015094339622642</v>
      </c>
      <c r="V5760" s="160">
        <f t="shared" si="959"/>
        <v>62</v>
      </c>
    </row>
    <row r="5761" spans="1:22" x14ac:dyDescent="0.25">
      <c r="A5761" s="98" t="s">
        <v>69</v>
      </c>
      <c r="B5761" s="98" t="s">
        <v>15</v>
      </c>
      <c r="C5761" s="98">
        <v>33</v>
      </c>
      <c r="D5761" s="98">
        <v>1035</v>
      </c>
      <c r="E5761" s="157">
        <v>41313.761805555558</v>
      </c>
      <c r="F5761" s="157">
        <v>41315.893750000003</v>
      </c>
      <c r="G5761" s="98">
        <v>0</v>
      </c>
      <c r="H5761" s="98">
        <v>795</v>
      </c>
      <c r="I5761" s="98">
        <v>747</v>
      </c>
      <c r="J5761" s="98" t="s">
        <v>2088</v>
      </c>
      <c r="K5761" s="98" t="s">
        <v>815</v>
      </c>
      <c r="L5761" s="105" t="str">
        <f t="shared" ref="L5761:L5824" si="960">IF(OR(A5761="BR1",A5761="BR2",A5761="BR3",A5761="BR5",A5761="BR6",A5761="BR7",A5761="BR8",A5761="BR9",A5761="BR10",A5761="BR11"),"Brown",IF(OR(A5761="CR4",A5761="CR5",A5761="CR6",A5761="CR11"),"Cane Run",IF(OR(A5761="GH1",A5761="GH2",A5761="GH3",A5761="GH4"),"Ghent",IF(OR(A5761="GR3",A5761="GR4"),"Green River",IF(OR(A5761="MC1",A5761="MC2",A5761="MC3",A5761="MC4"),"Mill Creek",IF(OR(A5761="TC1",A5761="TC2",A5761="TC5",A5761="TC6",A5761="TC7",A5761="TC8",A5761="TC9",A5761="TC10"),"Trimble",IF(A5761="TY3","Tyrone",IF(OR(A5761="HA1",A5761="HA2",A5761="HA3"),"Haeflin",IF(OR(A5761="PR11",A5761="PR12",A5761="PR13"),"Paddy's Run","Zorn")))))))))</f>
        <v>Trimble</v>
      </c>
      <c r="M5761" s="105" t="str">
        <f t="shared" ref="M5761:M5824" si="961">IF(OR(B5761="D1",B5761="D2",B5761="D3",B5761="D4",B5761="PD"),"Derate",IF(OR(B5761="SF",B5761="U1",B5761="U2",B5761="U3"),"Outage",IF(OR(B5761="ME",B5761="MO"),"Maintenance","Other")))</f>
        <v>Outage</v>
      </c>
      <c r="N5761" s="105" t="str">
        <f t="shared" ref="N5761:N5824" si="962">IF(OR(A5761="BR1",A5761="BR2",A5761="BR3",A5761="CR4",A5761="CR5",A5761="CR6",A5761="GH1",A5761="GH2",A5761="GH3",A5761="GH4",A5761="GR3",A5761="GR4",A5761="MC1",A5761="MC2",A5761="MC3",A5761="MC4",A5761="TC1",A5761="TC2",A5761="TY3"),"Coal","Gas")</f>
        <v>Coal</v>
      </c>
      <c r="O5761" s="105">
        <f>IFERROR(VLOOKUP(A5761,Lookup!$J$5:$P$19,7,FALSE),0)</f>
        <v>3</v>
      </c>
      <c r="P5761" s="159">
        <f t="shared" ref="P5761:P5824" si="963">YEAR(E5761)</f>
        <v>2013</v>
      </c>
      <c r="Q5761" s="159">
        <f t="shared" ref="Q5761:Q5824" si="964">MONTH(E5761)</f>
        <v>2</v>
      </c>
      <c r="R5761" s="160">
        <f t="shared" ref="R5761:R5824" si="965">(F5761-E5761)*24</f>
        <v>51.166666666686069</v>
      </c>
      <c r="S5761" s="158">
        <f t="shared" ref="S5761:S5824" si="966">R5761*(H5761-G5761)/H5761</f>
        <v>51.166666666686069</v>
      </c>
      <c r="T5761" s="161">
        <f t="shared" ref="T5761:T5824" si="967">S5761*I5761</f>
        <v>38221.500000014494</v>
      </c>
      <c r="U5761" s="158">
        <f t="shared" si="958"/>
        <v>747</v>
      </c>
      <c r="V5761" s="160">
        <f t="shared" ref="V5761:V5824" si="968">ROUND(U5761,0)</f>
        <v>747</v>
      </c>
    </row>
    <row r="5762" spans="1:22" x14ac:dyDescent="0.25">
      <c r="A5762" s="98" t="s">
        <v>69</v>
      </c>
      <c r="B5762" s="98" t="s">
        <v>17</v>
      </c>
      <c r="C5762" s="98">
        <v>34</v>
      </c>
      <c r="D5762" s="98">
        <v>550</v>
      </c>
      <c r="E5762" s="157">
        <v>41316.134027777778</v>
      </c>
      <c r="F5762" s="157">
        <v>41316.490277777775</v>
      </c>
      <c r="G5762" s="98">
        <v>521</v>
      </c>
      <c r="H5762" s="98">
        <v>795</v>
      </c>
      <c r="I5762" s="98">
        <v>747</v>
      </c>
      <c r="J5762" s="98" t="s">
        <v>2373</v>
      </c>
      <c r="K5762" s="98" t="s">
        <v>816</v>
      </c>
      <c r="L5762" s="105" t="str">
        <f t="shared" si="960"/>
        <v>Trimble</v>
      </c>
      <c r="M5762" s="105" t="str">
        <f t="shared" si="961"/>
        <v>Derate</v>
      </c>
      <c r="N5762" s="105" t="str">
        <f t="shared" si="962"/>
        <v>Coal</v>
      </c>
      <c r="O5762" s="105">
        <f>IFERROR(VLOOKUP(A5762,Lookup!$J$5:$P$19,7,FALSE),0)</f>
        <v>3</v>
      </c>
      <c r="P5762" s="159">
        <f t="shared" si="963"/>
        <v>2013</v>
      </c>
      <c r="Q5762" s="159">
        <f t="shared" si="964"/>
        <v>2</v>
      </c>
      <c r="R5762" s="160">
        <f t="shared" si="965"/>
        <v>8.5499999999301508</v>
      </c>
      <c r="S5762" s="158">
        <f t="shared" si="966"/>
        <v>2.9467924528061147</v>
      </c>
      <c r="T5762" s="161">
        <f t="shared" si="967"/>
        <v>2201.2539622461677</v>
      </c>
      <c r="U5762" s="158">
        <f t="shared" ref="U5762:U5825" si="969">IF(G5762&gt;0,MAX((H5762-G5762),0)*I5762/H5762,I5762)</f>
        <v>257.4566037735849</v>
      </c>
      <c r="V5762" s="160">
        <f t="shared" si="968"/>
        <v>257</v>
      </c>
    </row>
    <row r="5763" spans="1:22" x14ac:dyDescent="0.25">
      <c r="A5763" s="98" t="s">
        <v>69</v>
      </c>
      <c r="B5763" s="98" t="s">
        <v>15</v>
      </c>
      <c r="C5763" s="98">
        <v>35</v>
      </c>
      <c r="D5763" s="98">
        <v>550</v>
      </c>
      <c r="E5763" s="157">
        <v>41316.490277777775</v>
      </c>
      <c r="F5763" s="157">
        <v>41318.550694444442</v>
      </c>
      <c r="G5763" s="98">
        <v>0</v>
      </c>
      <c r="H5763" s="98">
        <v>795</v>
      </c>
      <c r="I5763" s="98">
        <v>747</v>
      </c>
      <c r="J5763" s="98" t="s">
        <v>2373</v>
      </c>
      <c r="K5763" s="98" t="s">
        <v>817</v>
      </c>
      <c r="L5763" s="105" t="str">
        <f t="shared" si="960"/>
        <v>Trimble</v>
      </c>
      <c r="M5763" s="105" t="str">
        <f t="shared" si="961"/>
        <v>Outage</v>
      </c>
      <c r="N5763" s="105" t="str">
        <f t="shared" si="962"/>
        <v>Coal</v>
      </c>
      <c r="O5763" s="105">
        <f>IFERROR(VLOOKUP(A5763,Lookup!$J$5:$P$19,7,FALSE),0)</f>
        <v>3</v>
      </c>
      <c r="P5763" s="159">
        <f t="shared" si="963"/>
        <v>2013</v>
      </c>
      <c r="Q5763" s="159">
        <f t="shared" si="964"/>
        <v>2</v>
      </c>
      <c r="R5763" s="160">
        <f t="shared" si="965"/>
        <v>49.450000000011642</v>
      </c>
      <c r="S5763" s="158">
        <f t="shared" si="966"/>
        <v>49.450000000011642</v>
      </c>
      <c r="T5763" s="161">
        <f t="shared" si="967"/>
        <v>36939.150000008696</v>
      </c>
      <c r="U5763" s="158">
        <f t="shared" si="969"/>
        <v>747</v>
      </c>
      <c r="V5763" s="160">
        <f t="shared" si="968"/>
        <v>747</v>
      </c>
    </row>
    <row r="5764" spans="1:22" x14ac:dyDescent="0.25">
      <c r="A5764" s="98" t="s">
        <v>69</v>
      </c>
      <c r="B5764" s="98" t="s">
        <v>17</v>
      </c>
      <c r="C5764" s="98">
        <v>36</v>
      </c>
      <c r="D5764" s="98">
        <v>550</v>
      </c>
      <c r="E5764" s="157">
        <v>41318.989583333336</v>
      </c>
      <c r="F5764" s="157">
        <v>41326.603472222225</v>
      </c>
      <c r="G5764" s="98">
        <v>750</v>
      </c>
      <c r="H5764" s="98">
        <v>795</v>
      </c>
      <c r="I5764" s="98">
        <v>747</v>
      </c>
      <c r="J5764" s="98" t="s">
        <v>2373</v>
      </c>
      <c r="K5764" s="98" t="s">
        <v>818</v>
      </c>
      <c r="L5764" s="105" t="str">
        <f t="shared" si="960"/>
        <v>Trimble</v>
      </c>
      <c r="M5764" s="105" t="str">
        <f t="shared" si="961"/>
        <v>Derate</v>
      </c>
      <c r="N5764" s="105" t="str">
        <f t="shared" si="962"/>
        <v>Coal</v>
      </c>
      <c r="O5764" s="105">
        <f>IFERROR(VLOOKUP(A5764,Lookup!$J$5:$P$19,7,FALSE),0)</f>
        <v>3</v>
      </c>
      <c r="P5764" s="159">
        <f t="shared" si="963"/>
        <v>2013</v>
      </c>
      <c r="Q5764" s="159">
        <f t="shared" si="964"/>
        <v>2</v>
      </c>
      <c r="R5764" s="160">
        <f t="shared" si="965"/>
        <v>182.73333333333721</v>
      </c>
      <c r="S5764" s="158">
        <f t="shared" si="966"/>
        <v>10.343396226415313</v>
      </c>
      <c r="T5764" s="161">
        <f t="shared" si="967"/>
        <v>7726.5169811322394</v>
      </c>
      <c r="U5764" s="158">
        <f t="shared" si="969"/>
        <v>42.283018867924525</v>
      </c>
      <c r="V5764" s="160">
        <f t="shared" si="968"/>
        <v>42</v>
      </c>
    </row>
    <row r="5765" spans="1:22" x14ac:dyDescent="0.25">
      <c r="A5765" s="98" t="s">
        <v>69</v>
      </c>
      <c r="B5765" s="98" t="s">
        <v>17</v>
      </c>
      <c r="C5765" s="98">
        <v>37</v>
      </c>
      <c r="D5765" s="98">
        <v>8825</v>
      </c>
      <c r="E5765" s="157">
        <v>41326.603472222225</v>
      </c>
      <c r="F5765" s="157">
        <v>41326.652777777781</v>
      </c>
      <c r="G5765" s="98">
        <v>660</v>
      </c>
      <c r="H5765" s="98">
        <v>795</v>
      </c>
      <c r="I5765" s="98">
        <v>747</v>
      </c>
      <c r="J5765" s="98" t="s">
        <v>2187</v>
      </c>
      <c r="K5765" s="98" t="s">
        <v>819</v>
      </c>
      <c r="L5765" s="105" t="str">
        <f t="shared" si="960"/>
        <v>Trimble</v>
      </c>
      <c r="M5765" s="105" t="str">
        <f t="shared" si="961"/>
        <v>Derate</v>
      </c>
      <c r="N5765" s="105" t="str">
        <f t="shared" si="962"/>
        <v>Coal</v>
      </c>
      <c r="O5765" s="105">
        <f>IFERROR(VLOOKUP(A5765,Lookup!$J$5:$P$19,7,FALSE),0)</f>
        <v>3</v>
      </c>
      <c r="P5765" s="159">
        <f t="shared" si="963"/>
        <v>2013</v>
      </c>
      <c r="Q5765" s="159">
        <f t="shared" si="964"/>
        <v>2</v>
      </c>
      <c r="R5765" s="160">
        <f t="shared" si="965"/>
        <v>1.1833333333488554</v>
      </c>
      <c r="S5765" s="158">
        <f t="shared" si="966"/>
        <v>0.20094339622905091</v>
      </c>
      <c r="T5765" s="161">
        <f t="shared" si="967"/>
        <v>150.10471698310104</v>
      </c>
      <c r="U5765" s="158">
        <f t="shared" si="969"/>
        <v>126.84905660377359</v>
      </c>
      <c r="V5765" s="160">
        <f t="shared" si="968"/>
        <v>127</v>
      </c>
    </row>
    <row r="5766" spans="1:22" x14ac:dyDescent="0.25">
      <c r="A5766" s="98" t="s">
        <v>69</v>
      </c>
      <c r="B5766" s="98" t="s">
        <v>17</v>
      </c>
      <c r="C5766" s="98">
        <v>38</v>
      </c>
      <c r="D5766" s="98">
        <v>8825</v>
      </c>
      <c r="E5766" s="157">
        <v>41326.652777777781</v>
      </c>
      <c r="F5766" s="157">
        <v>41326.675694444442</v>
      </c>
      <c r="G5766" s="98">
        <v>505</v>
      </c>
      <c r="H5766" s="98">
        <v>795</v>
      </c>
      <c r="I5766" s="98">
        <v>747</v>
      </c>
      <c r="J5766" s="98" t="s">
        <v>2187</v>
      </c>
      <c r="K5766" s="98" t="s">
        <v>820</v>
      </c>
      <c r="L5766" s="105" t="str">
        <f t="shared" si="960"/>
        <v>Trimble</v>
      </c>
      <c r="M5766" s="105" t="str">
        <f t="shared" si="961"/>
        <v>Derate</v>
      </c>
      <c r="N5766" s="105" t="str">
        <f t="shared" si="962"/>
        <v>Coal</v>
      </c>
      <c r="O5766" s="105">
        <f>IFERROR(VLOOKUP(A5766,Lookup!$J$5:$P$19,7,FALSE),0)</f>
        <v>3</v>
      </c>
      <c r="P5766" s="159">
        <f t="shared" si="963"/>
        <v>2013</v>
      </c>
      <c r="Q5766" s="159">
        <f t="shared" si="964"/>
        <v>2</v>
      </c>
      <c r="R5766" s="160">
        <f t="shared" si="965"/>
        <v>0.54999999987194315</v>
      </c>
      <c r="S5766" s="158">
        <f t="shared" si="966"/>
        <v>0.2006289307708975</v>
      </c>
      <c r="T5766" s="161">
        <f t="shared" si="967"/>
        <v>149.86981128586044</v>
      </c>
      <c r="U5766" s="158">
        <f t="shared" si="969"/>
        <v>272.49056603773585</v>
      </c>
      <c r="V5766" s="160">
        <f t="shared" si="968"/>
        <v>272</v>
      </c>
    </row>
    <row r="5767" spans="1:22" x14ac:dyDescent="0.25">
      <c r="A5767" s="98" t="s">
        <v>69</v>
      </c>
      <c r="B5767" s="98" t="s">
        <v>17</v>
      </c>
      <c r="C5767" s="98">
        <v>39</v>
      </c>
      <c r="D5767" s="98">
        <v>8823</v>
      </c>
      <c r="E5767" s="157">
        <v>41326.675694444442</v>
      </c>
      <c r="F5767" s="157">
        <v>41326.729166666664</v>
      </c>
      <c r="G5767" s="98">
        <v>360</v>
      </c>
      <c r="H5767" s="98">
        <v>795</v>
      </c>
      <c r="I5767" s="98">
        <v>747</v>
      </c>
      <c r="J5767" s="98" t="s">
        <v>258</v>
      </c>
      <c r="K5767" s="98" t="s">
        <v>821</v>
      </c>
      <c r="L5767" s="105" t="str">
        <f t="shared" si="960"/>
        <v>Trimble</v>
      </c>
      <c r="M5767" s="105" t="str">
        <f t="shared" si="961"/>
        <v>Derate</v>
      </c>
      <c r="N5767" s="105" t="str">
        <f t="shared" si="962"/>
        <v>Coal</v>
      </c>
      <c r="O5767" s="105">
        <f>IFERROR(VLOOKUP(A5767,Lookup!$J$5:$P$19,7,FALSE),0)</f>
        <v>3</v>
      </c>
      <c r="P5767" s="159">
        <f t="shared" si="963"/>
        <v>2013</v>
      </c>
      <c r="Q5767" s="159">
        <f t="shared" si="964"/>
        <v>2</v>
      </c>
      <c r="R5767" s="160">
        <f t="shared" si="965"/>
        <v>1.2833333333255723</v>
      </c>
      <c r="S5767" s="158">
        <f t="shared" si="966"/>
        <v>0.70220125785738863</v>
      </c>
      <c r="T5767" s="161">
        <f t="shared" si="967"/>
        <v>524.54433961946927</v>
      </c>
      <c r="U5767" s="158">
        <f t="shared" si="969"/>
        <v>408.7358490566038</v>
      </c>
      <c r="V5767" s="160">
        <f t="shared" si="968"/>
        <v>409</v>
      </c>
    </row>
    <row r="5768" spans="1:22" x14ac:dyDescent="0.25">
      <c r="A5768" s="98" t="s">
        <v>69</v>
      </c>
      <c r="B5768" s="98" t="s">
        <v>17</v>
      </c>
      <c r="C5768" s="98">
        <v>40</v>
      </c>
      <c r="D5768" s="98">
        <v>8823</v>
      </c>
      <c r="E5768" s="157">
        <v>41326.729166666664</v>
      </c>
      <c r="F5768" s="157">
        <v>41326.875</v>
      </c>
      <c r="G5768" s="98">
        <v>498</v>
      </c>
      <c r="H5768" s="98">
        <v>795</v>
      </c>
      <c r="I5768" s="98">
        <v>747</v>
      </c>
      <c r="J5768" s="98" t="s">
        <v>258</v>
      </c>
      <c r="K5768" s="98" t="s">
        <v>822</v>
      </c>
      <c r="L5768" s="105" t="str">
        <f t="shared" si="960"/>
        <v>Trimble</v>
      </c>
      <c r="M5768" s="105" t="str">
        <f t="shared" si="961"/>
        <v>Derate</v>
      </c>
      <c r="N5768" s="105" t="str">
        <f t="shared" si="962"/>
        <v>Coal</v>
      </c>
      <c r="O5768" s="105">
        <f>IFERROR(VLOOKUP(A5768,Lookup!$J$5:$P$19,7,FALSE),0)</f>
        <v>3</v>
      </c>
      <c r="P5768" s="159">
        <f t="shared" si="963"/>
        <v>2013</v>
      </c>
      <c r="Q5768" s="159">
        <f t="shared" si="964"/>
        <v>2</v>
      </c>
      <c r="R5768" s="160">
        <f t="shared" si="965"/>
        <v>3.5000000000582077</v>
      </c>
      <c r="S5768" s="158">
        <f t="shared" si="966"/>
        <v>1.3075471698330663</v>
      </c>
      <c r="T5768" s="161">
        <f t="shared" si="967"/>
        <v>976.73773586530046</v>
      </c>
      <c r="U5768" s="158">
        <f t="shared" si="969"/>
        <v>279.06792452830189</v>
      </c>
      <c r="V5768" s="160">
        <f t="shared" si="968"/>
        <v>279</v>
      </c>
    </row>
    <row r="5769" spans="1:22" x14ac:dyDescent="0.25">
      <c r="A5769" s="98" t="s">
        <v>69</v>
      </c>
      <c r="B5769" s="98" t="s">
        <v>105</v>
      </c>
      <c r="C5769" s="98">
        <v>41</v>
      </c>
      <c r="D5769" s="98">
        <v>9656</v>
      </c>
      <c r="E5769" s="157">
        <v>41326.875</v>
      </c>
      <c r="F5769" s="157">
        <v>41327.03125</v>
      </c>
      <c r="G5769" s="98">
        <v>498</v>
      </c>
      <c r="H5769" s="98">
        <v>795</v>
      </c>
      <c r="I5769" s="98">
        <v>747</v>
      </c>
      <c r="J5769" s="98" t="s">
        <v>299</v>
      </c>
      <c r="K5769" s="98" t="s">
        <v>823</v>
      </c>
      <c r="L5769" s="105" t="str">
        <f t="shared" si="960"/>
        <v>Trimble</v>
      </c>
      <c r="M5769" s="105" t="str">
        <f t="shared" si="961"/>
        <v>Derate</v>
      </c>
      <c r="N5769" s="105" t="str">
        <f t="shared" si="962"/>
        <v>Coal</v>
      </c>
      <c r="O5769" s="105">
        <f>IFERROR(VLOOKUP(A5769,Lookup!$J$5:$P$19,7,FALSE),0)</f>
        <v>3</v>
      </c>
      <c r="P5769" s="159">
        <f t="shared" si="963"/>
        <v>2013</v>
      </c>
      <c r="Q5769" s="159">
        <f t="shared" si="964"/>
        <v>2</v>
      </c>
      <c r="R5769" s="160">
        <f t="shared" si="965"/>
        <v>3.75</v>
      </c>
      <c r="S5769" s="158">
        <f t="shared" si="966"/>
        <v>1.4009433962264151</v>
      </c>
      <c r="T5769" s="161">
        <f t="shared" si="967"/>
        <v>1046.5047169811321</v>
      </c>
      <c r="U5769" s="158">
        <f t="shared" si="969"/>
        <v>279.06792452830189</v>
      </c>
      <c r="V5769" s="160">
        <f t="shared" si="968"/>
        <v>279</v>
      </c>
    </row>
    <row r="5770" spans="1:22" x14ac:dyDescent="0.25">
      <c r="A5770" s="98" t="s">
        <v>69</v>
      </c>
      <c r="B5770" s="98" t="s">
        <v>105</v>
      </c>
      <c r="C5770" s="98">
        <v>42</v>
      </c>
      <c r="D5770" s="98">
        <v>9656</v>
      </c>
      <c r="E5770" s="157">
        <v>41327.03125</v>
      </c>
      <c r="F5770" s="157">
        <v>41327.229166666664</v>
      </c>
      <c r="G5770" s="98">
        <v>625</v>
      </c>
      <c r="H5770" s="98">
        <v>795</v>
      </c>
      <c r="I5770" s="98">
        <v>747</v>
      </c>
      <c r="J5770" s="98" t="s">
        <v>299</v>
      </c>
      <c r="K5770" s="98" t="s">
        <v>824</v>
      </c>
      <c r="L5770" s="105" t="str">
        <f t="shared" si="960"/>
        <v>Trimble</v>
      </c>
      <c r="M5770" s="105" t="str">
        <f t="shared" si="961"/>
        <v>Derate</v>
      </c>
      <c r="N5770" s="105" t="str">
        <f t="shared" si="962"/>
        <v>Coal</v>
      </c>
      <c r="O5770" s="105">
        <f>IFERROR(VLOOKUP(A5770,Lookup!$J$5:$P$19,7,FALSE),0)</f>
        <v>3</v>
      </c>
      <c r="P5770" s="159">
        <f t="shared" si="963"/>
        <v>2013</v>
      </c>
      <c r="Q5770" s="159">
        <f t="shared" si="964"/>
        <v>2</v>
      </c>
      <c r="R5770" s="160">
        <f t="shared" si="965"/>
        <v>4.7499999999417923</v>
      </c>
      <c r="S5770" s="158">
        <f t="shared" si="966"/>
        <v>1.0157232704278047</v>
      </c>
      <c r="T5770" s="161">
        <f t="shared" si="967"/>
        <v>758.74528300957013</v>
      </c>
      <c r="U5770" s="158">
        <f t="shared" si="969"/>
        <v>159.73584905660377</v>
      </c>
      <c r="V5770" s="160">
        <f t="shared" si="968"/>
        <v>160</v>
      </c>
    </row>
    <row r="5771" spans="1:22" x14ac:dyDescent="0.25">
      <c r="A5771" s="98" t="s">
        <v>69</v>
      </c>
      <c r="B5771" s="98" t="s">
        <v>17</v>
      </c>
      <c r="C5771" s="98">
        <v>43</v>
      </c>
      <c r="D5771" s="98">
        <v>550</v>
      </c>
      <c r="E5771" s="157">
        <v>41327.229166666664</v>
      </c>
      <c r="F5771" s="157">
        <v>41330.270833333336</v>
      </c>
      <c r="G5771" s="98">
        <v>750</v>
      </c>
      <c r="H5771" s="98">
        <v>795</v>
      </c>
      <c r="I5771" s="98">
        <v>747</v>
      </c>
      <c r="J5771" s="98" t="s">
        <v>2373</v>
      </c>
      <c r="K5771" s="98" t="s">
        <v>825</v>
      </c>
      <c r="L5771" s="105" t="str">
        <f t="shared" si="960"/>
        <v>Trimble</v>
      </c>
      <c r="M5771" s="105" t="str">
        <f t="shared" si="961"/>
        <v>Derate</v>
      </c>
      <c r="N5771" s="105" t="str">
        <f t="shared" si="962"/>
        <v>Coal</v>
      </c>
      <c r="O5771" s="105">
        <f>IFERROR(VLOOKUP(A5771,Lookup!$J$5:$P$19,7,FALSE),0)</f>
        <v>3</v>
      </c>
      <c r="P5771" s="159">
        <f t="shared" si="963"/>
        <v>2013</v>
      </c>
      <c r="Q5771" s="159">
        <f t="shared" si="964"/>
        <v>2</v>
      </c>
      <c r="R5771" s="160">
        <f t="shared" si="965"/>
        <v>73.000000000116415</v>
      </c>
      <c r="S5771" s="158">
        <f t="shared" si="966"/>
        <v>4.1320754717047024</v>
      </c>
      <c r="T5771" s="161">
        <f t="shared" si="967"/>
        <v>3086.6603773634129</v>
      </c>
      <c r="U5771" s="158">
        <f t="shared" si="969"/>
        <v>42.283018867924525</v>
      </c>
      <c r="V5771" s="160">
        <f t="shared" si="968"/>
        <v>42</v>
      </c>
    </row>
    <row r="5772" spans="1:22" x14ac:dyDescent="0.25">
      <c r="A5772" s="98" t="s">
        <v>69</v>
      </c>
      <c r="B5772" s="98" t="s">
        <v>17</v>
      </c>
      <c r="C5772" s="98">
        <v>44</v>
      </c>
      <c r="D5772" s="98">
        <v>1495</v>
      </c>
      <c r="E5772" s="157">
        <v>41330.270833333336</v>
      </c>
      <c r="F5772" s="157">
        <v>41330.333333333336</v>
      </c>
      <c r="G5772" s="98">
        <v>650</v>
      </c>
      <c r="H5772" s="98">
        <v>795</v>
      </c>
      <c r="I5772" s="98">
        <v>747</v>
      </c>
      <c r="J5772" s="98" t="s">
        <v>2988</v>
      </c>
      <c r="K5772" s="98" t="s">
        <v>826</v>
      </c>
      <c r="L5772" s="105" t="str">
        <f t="shared" si="960"/>
        <v>Trimble</v>
      </c>
      <c r="M5772" s="105" t="str">
        <f t="shared" si="961"/>
        <v>Derate</v>
      </c>
      <c r="N5772" s="105" t="str">
        <f t="shared" si="962"/>
        <v>Coal</v>
      </c>
      <c r="O5772" s="105">
        <f>IFERROR(VLOOKUP(A5772,Lookup!$J$5:$P$19,7,FALSE),0)</f>
        <v>3</v>
      </c>
      <c r="P5772" s="159">
        <f t="shared" si="963"/>
        <v>2013</v>
      </c>
      <c r="Q5772" s="159">
        <f t="shared" si="964"/>
        <v>2</v>
      </c>
      <c r="R5772" s="160">
        <f t="shared" si="965"/>
        <v>1.5</v>
      </c>
      <c r="S5772" s="158">
        <f t="shared" si="966"/>
        <v>0.27358490566037735</v>
      </c>
      <c r="T5772" s="161">
        <f t="shared" si="967"/>
        <v>204.36792452830187</v>
      </c>
      <c r="U5772" s="158">
        <f t="shared" si="969"/>
        <v>136.24528301886792</v>
      </c>
      <c r="V5772" s="160">
        <f t="shared" si="968"/>
        <v>136</v>
      </c>
    </row>
    <row r="5773" spans="1:22" x14ac:dyDescent="0.25">
      <c r="A5773" s="98" t="s">
        <v>69</v>
      </c>
      <c r="B5773" s="98" t="s">
        <v>17</v>
      </c>
      <c r="C5773" s="98">
        <v>45</v>
      </c>
      <c r="D5773" s="98">
        <v>360</v>
      </c>
      <c r="E5773" s="157">
        <v>41330.333333333336</v>
      </c>
      <c r="F5773" s="157">
        <v>41330.385416666664</v>
      </c>
      <c r="G5773" s="98">
        <v>605</v>
      </c>
      <c r="H5773" s="98">
        <v>795</v>
      </c>
      <c r="I5773" s="98">
        <v>747</v>
      </c>
      <c r="J5773" s="98" t="s">
        <v>229</v>
      </c>
      <c r="K5773" s="98" t="s">
        <v>827</v>
      </c>
      <c r="L5773" s="105" t="str">
        <f t="shared" si="960"/>
        <v>Trimble</v>
      </c>
      <c r="M5773" s="105" t="str">
        <f t="shared" si="961"/>
        <v>Derate</v>
      </c>
      <c r="N5773" s="105" t="str">
        <f t="shared" si="962"/>
        <v>Coal</v>
      </c>
      <c r="O5773" s="105">
        <f>IFERROR(VLOOKUP(A5773,Lookup!$J$5:$P$19,7,FALSE),0)</f>
        <v>3</v>
      </c>
      <c r="P5773" s="159">
        <f t="shared" si="963"/>
        <v>2013</v>
      </c>
      <c r="Q5773" s="159">
        <f t="shared" si="964"/>
        <v>2</v>
      </c>
      <c r="R5773" s="160">
        <f t="shared" si="965"/>
        <v>1.2499999998835847</v>
      </c>
      <c r="S5773" s="158">
        <f t="shared" si="966"/>
        <v>0.29874213833695734</v>
      </c>
      <c r="T5773" s="161">
        <f t="shared" si="967"/>
        <v>223.16037733770713</v>
      </c>
      <c r="U5773" s="158">
        <f t="shared" si="969"/>
        <v>178.52830188679246</v>
      </c>
      <c r="V5773" s="160">
        <f t="shared" si="968"/>
        <v>179</v>
      </c>
    </row>
    <row r="5774" spans="1:22" x14ac:dyDescent="0.25">
      <c r="A5774" s="98" t="s">
        <v>69</v>
      </c>
      <c r="B5774" s="98" t="s">
        <v>17</v>
      </c>
      <c r="C5774" s="98">
        <v>46</v>
      </c>
      <c r="D5774" s="98">
        <v>1495</v>
      </c>
      <c r="E5774" s="157">
        <v>41330.385416666664</v>
      </c>
      <c r="F5774" s="157">
        <v>41330.458333333336</v>
      </c>
      <c r="G5774" s="98">
        <v>605</v>
      </c>
      <c r="H5774" s="98">
        <v>795</v>
      </c>
      <c r="I5774" s="98">
        <v>747</v>
      </c>
      <c r="J5774" s="98" t="s">
        <v>2988</v>
      </c>
      <c r="K5774" s="98" t="s">
        <v>828</v>
      </c>
      <c r="L5774" s="105" t="str">
        <f t="shared" si="960"/>
        <v>Trimble</v>
      </c>
      <c r="M5774" s="105" t="str">
        <f t="shared" si="961"/>
        <v>Derate</v>
      </c>
      <c r="N5774" s="105" t="str">
        <f t="shared" si="962"/>
        <v>Coal</v>
      </c>
      <c r="O5774" s="105">
        <f>IFERROR(VLOOKUP(A5774,Lookup!$J$5:$P$19,7,FALSE),0)</f>
        <v>3</v>
      </c>
      <c r="P5774" s="159">
        <f t="shared" si="963"/>
        <v>2013</v>
      </c>
      <c r="Q5774" s="159">
        <f t="shared" si="964"/>
        <v>2</v>
      </c>
      <c r="R5774" s="160">
        <f t="shared" si="965"/>
        <v>1.7500000001164153</v>
      </c>
      <c r="S5774" s="158">
        <f t="shared" si="966"/>
        <v>0.41823899373851436</v>
      </c>
      <c r="T5774" s="161">
        <f t="shared" si="967"/>
        <v>312.42452832267026</v>
      </c>
      <c r="U5774" s="158">
        <f t="shared" si="969"/>
        <v>178.52830188679246</v>
      </c>
      <c r="V5774" s="160">
        <f t="shared" si="968"/>
        <v>179</v>
      </c>
    </row>
    <row r="5775" spans="1:22" x14ac:dyDescent="0.25">
      <c r="A5775" s="98" t="s">
        <v>69</v>
      </c>
      <c r="B5775" s="98" t="s">
        <v>17</v>
      </c>
      <c r="C5775" s="98">
        <v>47</v>
      </c>
      <c r="D5775" s="98">
        <v>1495</v>
      </c>
      <c r="E5775" s="157">
        <v>41330.458333333336</v>
      </c>
      <c r="F5775" s="157">
        <v>41330.638194444444</v>
      </c>
      <c r="G5775" s="98">
        <v>542</v>
      </c>
      <c r="H5775" s="98">
        <v>795</v>
      </c>
      <c r="I5775" s="98">
        <v>747</v>
      </c>
      <c r="J5775" s="98" t="s">
        <v>2988</v>
      </c>
      <c r="K5775" s="98" t="s">
        <v>829</v>
      </c>
      <c r="L5775" s="105" t="str">
        <f t="shared" si="960"/>
        <v>Trimble</v>
      </c>
      <c r="M5775" s="105" t="str">
        <f t="shared" si="961"/>
        <v>Derate</v>
      </c>
      <c r="N5775" s="105" t="str">
        <f t="shared" si="962"/>
        <v>Coal</v>
      </c>
      <c r="O5775" s="105">
        <f>IFERROR(VLOOKUP(A5775,Lookup!$J$5:$P$19,7,FALSE),0)</f>
        <v>3</v>
      </c>
      <c r="P5775" s="159">
        <f t="shared" si="963"/>
        <v>2013</v>
      </c>
      <c r="Q5775" s="159">
        <f t="shared" si="964"/>
        <v>2</v>
      </c>
      <c r="R5775" s="160">
        <f t="shared" si="965"/>
        <v>4.316666666592937</v>
      </c>
      <c r="S5775" s="158">
        <f t="shared" si="966"/>
        <v>1.3737316561610227</v>
      </c>
      <c r="T5775" s="161">
        <f t="shared" si="967"/>
        <v>1026.177547152284</v>
      </c>
      <c r="U5775" s="158">
        <f t="shared" si="969"/>
        <v>237.72452830188681</v>
      </c>
      <c r="V5775" s="160">
        <f t="shared" si="968"/>
        <v>238</v>
      </c>
    </row>
    <row r="5776" spans="1:22" x14ac:dyDescent="0.25">
      <c r="A5776" s="98" t="s">
        <v>69</v>
      </c>
      <c r="B5776" s="98" t="s">
        <v>15</v>
      </c>
      <c r="C5776" s="98">
        <v>48</v>
      </c>
      <c r="D5776" s="98">
        <v>1495</v>
      </c>
      <c r="E5776" s="157">
        <v>41330.638194444444</v>
      </c>
      <c r="F5776" s="157">
        <v>41333.616666666669</v>
      </c>
      <c r="G5776" s="98">
        <v>0</v>
      </c>
      <c r="H5776" s="98">
        <v>795</v>
      </c>
      <c r="I5776" s="98">
        <v>747</v>
      </c>
      <c r="J5776" s="98" t="s">
        <v>2988</v>
      </c>
      <c r="K5776" s="98" t="s">
        <v>830</v>
      </c>
      <c r="L5776" s="105" t="str">
        <f t="shared" si="960"/>
        <v>Trimble</v>
      </c>
      <c r="M5776" s="105" t="str">
        <f t="shared" si="961"/>
        <v>Outage</v>
      </c>
      <c r="N5776" s="105" t="str">
        <f t="shared" si="962"/>
        <v>Coal</v>
      </c>
      <c r="O5776" s="105">
        <f>IFERROR(VLOOKUP(A5776,Lookup!$J$5:$P$19,7,FALSE),0)</f>
        <v>3</v>
      </c>
      <c r="P5776" s="159">
        <f t="shared" si="963"/>
        <v>2013</v>
      </c>
      <c r="Q5776" s="159">
        <f t="shared" si="964"/>
        <v>2</v>
      </c>
      <c r="R5776" s="160">
        <f t="shared" si="965"/>
        <v>71.483333333395422</v>
      </c>
      <c r="S5776" s="158">
        <f t="shared" si="966"/>
        <v>71.483333333395422</v>
      </c>
      <c r="T5776" s="161">
        <f t="shared" si="967"/>
        <v>53398.05000004638</v>
      </c>
      <c r="U5776" s="158">
        <f t="shared" si="969"/>
        <v>747</v>
      </c>
      <c r="V5776" s="160">
        <f t="shared" si="968"/>
        <v>747</v>
      </c>
    </row>
    <row r="5777" spans="1:22" x14ac:dyDescent="0.25">
      <c r="A5777" s="98" t="s">
        <v>69</v>
      </c>
      <c r="B5777" s="98" t="s">
        <v>17</v>
      </c>
      <c r="C5777" s="98">
        <v>49</v>
      </c>
      <c r="D5777" s="98">
        <v>4640</v>
      </c>
      <c r="E5777" s="157">
        <v>41333.833333333336</v>
      </c>
      <c r="F5777" s="157">
        <v>41334.125</v>
      </c>
      <c r="G5777" s="98">
        <v>265</v>
      </c>
      <c r="H5777" s="98">
        <v>795</v>
      </c>
      <c r="I5777" s="98">
        <v>747</v>
      </c>
      <c r="J5777" s="98" t="s">
        <v>2004</v>
      </c>
      <c r="K5777" s="98" t="s">
        <v>831</v>
      </c>
      <c r="L5777" s="105" t="str">
        <f t="shared" si="960"/>
        <v>Trimble</v>
      </c>
      <c r="M5777" s="105" t="str">
        <f t="shared" si="961"/>
        <v>Derate</v>
      </c>
      <c r="N5777" s="105" t="str">
        <f t="shared" si="962"/>
        <v>Coal</v>
      </c>
      <c r="O5777" s="105">
        <f>IFERROR(VLOOKUP(A5777,Lookup!$J$5:$P$19,7,FALSE),0)</f>
        <v>3</v>
      </c>
      <c r="P5777" s="159">
        <f t="shared" si="963"/>
        <v>2013</v>
      </c>
      <c r="Q5777" s="159">
        <f t="shared" si="964"/>
        <v>2</v>
      </c>
      <c r="R5777" s="160">
        <f t="shared" si="965"/>
        <v>6.9999999999417923</v>
      </c>
      <c r="S5777" s="158">
        <f t="shared" si="966"/>
        <v>4.6666666666278616</v>
      </c>
      <c r="T5777" s="161">
        <f t="shared" si="967"/>
        <v>3485.9999999710126</v>
      </c>
      <c r="U5777" s="158">
        <f t="shared" si="969"/>
        <v>498</v>
      </c>
      <c r="V5777" s="160">
        <f t="shared" si="968"/>
        <v>498</v>
      </c>
    </row>
    <row r="5778" spans="1:22" x14ac:dyDescent="0.25">
      <c r="A5778" s="98" t="s">
        <v>69</v>
      </c>
      <c r="B5778" s="98" t="s">
        <v>17</v>
      </c>
      <c r="C5778" s="98">
        <v>50</v>
      </c>
      <c r="D5778" s="98">
        <v>4640</v>
      </c>
      <c r="E5778" s="157">
        <v>41334.125</v>
      </c>
      <c r="F5778" s="157">
        <v>41334.3125</v>
      </c>
      <c r="G5778" s="98">
        <v>509</v>
      </c>
      <c r="H5778" s="98">
        <v>795</v>
      </c>
      <c r="I5778" s="98">
        <v>747</v>
      </c>
      <c r="J5778" s="98" t="s">
        <v>2004</v>
      </c>
      <c r="K5778" s="98" t="s">
        <v>832</v>
      </c>
      <c r="L5778" s="105" t="str">
        <f t="shared" si="960"/>
        <v>Trimble</v>
      </c>
      <c r="M5778" s="105" t="str">
        <f t="shared" si="961"/>
        <v>Derate</v>
      </c>
      <c r="N5778" s="105" t="str">
        <f t="shared" si="962"/>
        <v>Coal</v>
      </c>
      <c r="O5778" s="105">
        <f>IFERROR(VLOOKUP(A5778,Lookup!$J$5:$P$19,7,FALSE),0)</f>
        <v>3</v>
      </c>
      <c r="P5778" s="159">
        <f t="shared" si="963"/>
        <v>2013</v>
      </c>
      <c r="Q5778" s="159">
        <f t="shared" si="964"/>
        <v>3</v>
      </c>
      <c r="R5778" s="160">
        <f t="shared" si="965"/>
        <v>4.5</v>
      </c>
      <c r="S5778" s="158">
        <f t="shared" si="966"/>
        <v>1.618867924528302</v>
      </c>
      <c r="T5778" s="161">
        <f t="shared" si="967"/>
        <v>1209.2943396226415</v>
      </c>
      <c r="U5778" s="158">
        <f t="shared" si="969"/>
        <v>268.73207547169812</v>
      </c>
      <c r="V5778" s="160">
        <f t="shared" si="968"/>
        <v>269</v>
      </c>
    </row>
    <row r="5779" spans="1:22" x14ac:dyDescent="0.25">
      <c r="A5779" s="98" t="s">
        <v>69</v>
      </c>
      <c r="B5779" s="98" t="s">
        <v>17</v>
      </c>
      <c r="C5779" s="98">
        <v>51</v>
      </c>
      <c r="D5779" s="98">
        <v>550</v>
      </c>
      <c r="E5779" s="157">
        <v>41334.3125</v>
      </c>
      <c r="F5779" s="157">
        <v>41377.454861111109</v>
      </c>
      <c r="G5779" s="98">
        <v>750</v>
      </c>
      <c r="H5779" s="98">
        <v>795</v>
      </c>
      <c r="I5779" s="98">
        <v>747</v>
      </c>
      <c r="J5779" s="98" t="s">
        <v>2373</v>
      </c>
      <c r="K5779" s="98" t="s">
        <v>833</v>
      </c>
      <c r="L5779" s="105" t="str">
        <f t="shared" si="960"/>
        <v>Trimble</v>
      </c>
      <c r="M5779" s="105" t="str">
        <f t="shared" si="961"/>
        <v>Derate</v>
      </c>
      <c r="N5779" s="105" t="str">
        <f t="shared" si="962"/>
        <v>Coal</v>
      </c>
      <c r="O5779" s="105">
        <f>IFERROR(VLOOKUP(A5779,Lookup!$J$5:$P$19,7,FALSE),0)</f>
        <v>3</v>
      </c>
      <c r="P5779" s="159">
        <f t="shared" si="963"/>
        <v>2013</v>
      </c>
      <c r="Q5779" s="159">
        <f t="shared" si="964"/>
        <v>3</v>
      </c>
      <c r="R5779" s="160">
        <f t="shared" si="965"/>
        <v>1035.4166666666279</v>
      </c>
      <c r="S5779" s="158">
        <f t="shared" si="966"/>
        <v>58.608490566035542</v>
      </c>
      <c r="T5779" s="161">
        <f t="shared" si="967"/>
        <v>43780.542452828551</v>
      </c>
      <c r="U5779" s="158">
        <f t="shared" si="969"/>
        <v>42.283018867924525</v>
      </c>
      <c r="V5779" s="160">
        <f t="shared" si="968"/>
        <v>42</v>
      </c>
    </row>
    <row r="5780" spans="1:22" x14ac:dyDescent="0.25">
      <c r="A5780" s="98" t="s">
        <v>69</v>
      </c>
      <c r="B5780" s="98" t="s">
        <v>17</v>
      </c>
      <c r="C5780" s="98">
        <v>52</v>
      </c>
      <c r="D5780" s="98">
        <v>9270</v>
      </c>
      <c r="E5780" s="157">
        <v>41345.03125</v>
      </c>
      <c r="F5780" s="157">
        <v>41345.090277777781</v>
      </c>
      <c r="G5780" s="98">
        <v>734</v>
      </c>
      <c r="H5780" s="98">
        <v>795</v>
      </c>
      <c r="I5780" s="98">
        <v>747</v>
      </c>
      <c r="J5780" s="98" t="s">
        <v>2006</v>
      </c>
      <c r="K5780" s="98" t="s">
        <v>834</v>
      </c>
      <c r="L5780" s="105" t="str">
        <f t="shared" si="960"/>
        <v>Trimble</v>
      </c>
      <c r="M5780" s="105" t="str">
        <f t="shared" si="961"/>
        <v>Derate</v>
      </c>
      <c r="N5780" s="105" t="str">
        <f t="shared" si="962"/>
        <v>Coal</v>
      </c>
      <c r="O5780" s="105">
        <f>IFERROR(VLOOKUP(A5780,Lookup!$J$5:$P$19,7,FALSE),0)</f>
        <v>3</v>
      </c>
      <c r="P5780" s="159">
        <f t="shared" si="963"/>
        <v>2013</v>
      </c>
      <c r="Q5780" s="159">
        <f t="shared" si="964"/>
        <v>3</v>
      </c>
      <c r="R5780" s="160">
        <f t="shared" si="965"/>
        <v>1.4166666667442769</v>
      </c>
      <c r="S5780" s="158">
        <f t="shared" si="966"/>
        <v>0.10870020964956087</v>
      </c>
      <c r="T5780" s="161">
        <f t="shared" si="967"/>
        <v>81.199056608221966</v>
      </c>
      <c r="U5780" s="158">
        <f t="shared" si="969"/>
        <v>57.316981132075469</v>
      </c>
      <c r="V5780" s="160">
        <f t="shared" si="968"/>
        <v>57</v>
      </c>
    </row>
    <row r="5781" spans="1:22" x14ac:dyDescent="0.25">
      <c r="A5781" s="98" t="s">
        <v>69</v>
      </c>
      <c r="B5781" s="98" t="s">
        <v>17</v>
      </c>
      <c r="C5781" s="98">
        <v>53</v>
      </c>
      <c r="D5781" s="98">
        <v>9270</v>
      </c>
      <c r="E5781" s="157">
        <v>41345.090277777781</v>
      </c>
      <c r="F5781" s="157">
        <v>41345.317361111112</v>
      </c>
      <c r="G5781" s="98">
        <v>719</v>
      </c>
      <c r="H5781" s="98">
        <v>795</v>
      </c>
      <c r="I5781" s="98">
        <v>747</v>
      </c>
      <c r="J5781" s="98" t="s">
        <v>2006</v>
      </c>
      <c r="K5781" s="98" t="s">
        <v>835</v>
      </c>
      <c r="L5781" s="105" t="str">
        <f t="shared" si="960"/>
        <v>Trimble</v>
      </c>
      <c r="M5781" s="105" t="str">
        <f t="shared" si="961"/>
        <v>Derate</v>
      </c>
      <c r="N5781" s="105" t="str">
        <f t="shared" si="962"/>
        <v>Coal</v>
      </c>
      <c r="O5781" s="105">
        <f>IFERROR(VLOOKUP(A5781,Lookup!$J$5:$P$19,7,FALSE),0)</f>
        <v>3</v>
      </c>
      <c r="P5781" s="159">
        <f t="shared" si="963"/>
        <v>2013</v>
      </c>
      <c r="Q5781" s="159">
        <f t="shared" si="964"/>
        <v>3</v>
      </c>
      <c r="R5781" s="160">
        <f t="shared" si="965"/>
        <v>5.4499999999534339</v>
      </c>
      <c r="S5781" s="158">
        <f t="shared" si="966"/>
        <v>0.5210062893037245</v>
      </c>
      <c r="T5781" s="161">
        <f t="shared" si="967"/>
        <v>389.19169810988222</v>
      </c>
      <c r="U5781" s="158">
        <f t="shared" si="969"/>
        <v>71.411320754716982</v>
      </c>
      <c r="V5781" s="160">
        <f t="shared" si="968"/>
        <v>71</v>
      </c>
    </row>
    <row r="5782" spans="1:22" x14ac:dyDescent="0.25">
      <c r="A5782" s="98" t="s">
        <v>69</v>
      </c>
      <c r="B5782" s="98" t="s">
        <v>17</v>
      </c>
      <c r="C5782" s="98">
        <v>54</v>
      </c>
      <c r="D5782" s="98">
        <v>9270</v>
      </c>
      <c r="E5782" s="157">
        <v>41345.317361111112</v>
      </c>
      <c r="F5782" s="157">
        <v>41345.416666666664</v>
      </c>
      <c r="G5782" s="98">
        <v>704</v>
      </c>
      <c r="H5782" s="98">
        <v>795</v>
      </c>
      <c r="I5782" s="98">
        <v>747</v>
      </c>
      <c r="J5782" s="98" t="s">
        <v>2006</v>
      </c>
      <c r="K5782" s="98" t="s">
        <v>836</v>
      </c>
      <c r="L5782" s="105" t="str">
        <f t="shared" si="960"/>
        <v>Trimble</v>
      </c>
      <c r="M5782" s="105" t="str">
        <f t="shared" si="961"/>
        <v>Derate</v>
      </c>
      <c r="N5782" s="105" t="str">
        <f t="shared" si="962"/>
        <v>Coal</v>
      </c>
      <c r="O5782" s="105">
        <f>IFERROR(VLOOKUP(A5782,Lookup!$J$5:$P$19,7,FALSE),0)</f>
        <v>3</v>
      </c>
      <c r="P5782" s="159">
        <f t="shared" si="963"/>
        <v>2013</v>
      </c>
      <c r="Q5782" s="159">
        <f t="shared" si="964"/>
        <v>3</v>
      </c>
      <c r="R5782" s="160">
        <f t="shared" si="965"/>
        <v>2.3833333332440816</v>
      </c>
      <c r="S5782" s="158">
        <f t="shared" si="966"/>
        <v>0.27280922430844207</v>
      </c>
      <c r="T5782" s="161">
        <f t="shared" si="967"/>
        <v>203.78849055840621</v>
      </c>
      <c r="U5782" s="158">
        <f t="shared" si="969"/>
        <v>85.505660377358495</v>
      </c>
      <c r="V5782" s="160">
        <f t="shared" si="968"/>
        <v>86</v>
      </c>
    </row>
    <row r="5783" spans="1:22" x14ac:dyDescent="0.25">
      <c r="A5783" s="98" t="s">
        <v>69</v>
      </c>
      <c r="B5783" s="98" t="s">
        <v>17</v>
      </c>
      <c r="C5783" s="98">
        <v>55</v>
      </c>
      <c r="D5783" s="98">
        <v>1999</v>
      </c>
      <c r="E5783" s="157">
        <v>41345.416666666664</v>
      </c>
      <c r="F5783" s="157">
        <v>41345.791666666664</v>
      </c>
      <c r="G5783" s="98">
        <v>604</v>
      </c>
      <c r="H5783" s="98">
        <v>795</v>
      </c>
      <c r="I5783" s="98">
        <v>747</v>
      </c>
      <c r="J5783" s="98" t="s">
        <v>2108</v>
      </c>
      <c r="K5783" s="98" t="s">
        <v>837</v>
      </c>
      <c r="L5783" s="105" t="str">
        <f t="shared" si="960"/>
        <v>Trimble</v>
      </c>
      <c r="M5783" s="105" t="str">
        <f t="shared" si="961"/>
        <v>Derate</v>
      </c>
      <c r="N5783" s="105" t="str">
        <f t="shared" si="962"/>
        <v>Coal</v>
      </c>
      <c r="O5783" s="105">
        <f>IFERROR(VLOOKUP(A5783,Lookup!$J$5:$P$19,7,FALSE),0)</f>
        <v>3</v>
      </c>
      <c r="P5783" s="159">
        <f t="shared" si="963"/>
        <v>2013</v>
      </c>
      <c r="Q5783" s="159">
        <f t="shared" si="964"/>
        <v>3</v>
      </c>
      <c r="R5783" s="160">
        <f t="shared" si="965"/>
        <v>9</v>
      </c>
      <c r="S5783" s="158">
        <f t="shared" si="966"/>
        <v>2.1622641509433964</v>
      </c>
      <c r="T5783" s="161">
        <f t="shared" si="967"/>
        <v>1615.211320754717</v>
      </c>
      <c r="U5783" s="158">
        <f t="shared" si="969"/>
        <v>179.46792452830189</v>
      </c>
      <c r="V5783" s="160">
        <f t="shared" si="968"/>
        <v>179</v>
      </c>
    </row>
    <row r="5784" spans="1:22" x14ac:dyDescent="0.25">
      <c r="A5784" s="98" t="s">
        <v>69</v>
      </c>
      <c r="B5784" s="98" t="s">
        <v>17</v>
      </c>
      <c r="C5784" s="98">
        <v>56</v>
      </c>
      <c r="D5784" s="98">
        <v>1999</v>
      </c>
      <c r="E5784" s="157">
        <v>41345.791666666664</v>
      </c>
      <c r="F5784" s="157">
        <v>41346</v>
      </c>
      <c r="G5784" s="98">
        <v>545</v>
      </c>
      <c r="H5784" s="98">
        <v>795</v>
      </c>
      <c r="I5784" s="98">
        <v>747</v>
      </c>
      <c r="J5784" s="98" t="s">
        <v>2108</v>
      </c>
      <c r="K5784" s="98" t="s">
        <v>838</v>
      </c>
      <c r="L5784" s="105" t="str">
        <f t="shared" si="960"/>
        <v>Trimble</v>
      </c>
      <c r="M5784" s="105" t="str">
        <f t="shared" si="961"/>
        <v>Derate</v>
      </c>
      <c r="N5784" s="105" t="str">
        <f t="shared" si="962"/>
        <v>Coal</v>
      </c>
      <c r="O5784" s="105">
        <f>IFERROR(VLOOKUP(A5784,Lookup!$J$5:$P$19,7,FALSE),0)</f>
        <v>3</v>
      </c>
      <c r="P5784" s="159">
        <f t="shared" si="963"/>
        <v>2013</v>
      </c>
      <c r="Q5784" s="159">
        <f t="shared" si="964"/>
        <v>3</v>
      </c>
      <c r="R5784" s="160">
        <f t="shared" si="965"/>
        <v>5.0000000000582077</v>
      </c>
      <c r="S5784" s="158">
        <f t="shared" si="966"/>
        <v>1.5723270440434616</v>
      </c>
      <c r="T5784" s="161">
        <f t="shared" si="967"/>
        <v>1174.5283019004657</v>
      </c>
      <c r="U5784" s="158">
        <f t="shared" si="969"/>
        <v>234.90566037735849</v>
      </c>
      <c r="V5784" s="160">
        <f t="shared" si="968"/>
        <v>235</v>
      </c>
    </row>
    <row r="5785" spans="1:22" x14ac:dyDescent="0.25">
      <c r="A5785" s="98" t="s">
        <v>69</v>
      </c>
      <c r="B5785" s="98" t="s">
        <v>17</v>
      </c>
      <c r="C5785" s="98">
        <v>57</v>
      </c>
      <c r="D5785" s="98">
        <v>1999</v>
      </c>
      <c r="E5785" s="157">
        <v>41346</v>
      </c>
      <c r="F5785" s="157">
        <v>41346.458333333336</v>
      </c>
      <c r="G5785" s="98">
        <v>550</v>
      </c>
      <c r="H5785" s="98">
        <v>795</v>
      </c>
      <c r="I5785" s="98">
        <v>747</v>
      </c>
      <c r="J5785" s="98" t="s">
        <v>2108</v>
      </c>
      <c r="K5785" s="98" t="s">
        <v>839</v>
      </c>
      <c r="L5785" s="105" t="str">
        <f t="shared" si="960"/>
        <v>Trimble</v>
      </c>
      <c r="M5785" s="105" t="str">
        <f t="shared" si="961"/>
        <v>Derate</v>
      </c>
      <c r="N5785" s="105" t="str">
        <f t="shared" si="962"/>
        <v>Coal</v>
      </c>
      <c r="O5785" s="105">
        <f>IFERROR(VLOOKUP(A5785,Lookup!$J$5:$P$19,7,FALSE),0)</f>
        <v>3</v>
      </c>
      <c r="P5785" s="159">
        <f t="shared" si="963"/>
        <v>2013</v>
      </c>
      <c r="Q5785" s="159">
        <f t="shared" si="964"/>
        <v>3</v>
      </c>
      <c r="R5785" s="160">
        <f t="shared" si="965"/>
        <v>11.000000000058208</v>
      </c>
      <c r="S5785" s="158">
        <f t="shared" si="966"/>
        <v>3.389937106936177</v>
      </c>
      <c r="T5785" s="161">
        <f t="shared" si="967"/>
        <v>2532.2830188813241</v>
      </c>
      <c r="U5785" s="158">
        <f t="shared" si="969"/>
        <v>230.20754716981133</v>
      </c>
      <c r="V5785" s="160">
        <f t="shared" si="968"/>
        <v>230</v>
      </c>
    </row>
    <row r="5786" spans="1:22" x14ac:dyDescent="0.25">
      <c r="A5786" s="98" t="s">
        <v>69</v>
      </c>
      <c r="B5786" s="98" t="s">
        <v>17</v>
      </c>
      <c r="C5786" s="98">
        <v>58</v>
      </c>
      <c r="D5786" s="98">
        <v>1999</v>
      </c>
      <c r="E5786" s="157">
        <v>41346.458333333336</v>
      </c>
      <c r="F5786" s="157">
        <v>41346.583333333336</v>
      </c>
      <c r="G5786" s="98">
        <v>470</v>
      </c>
      <c r="H5786" s="98">
        <v>795</v>
      </c>
      <c r="I5786" s="98">
        <v>747</v>
      </c>
      <c r="J5786" s="98" t="s">
        <v>2108</v>
      </c>
      <c r="K5786" s="98" t="s">
        <v>840</v>
      </c>
      <c r="L5786" s="105" t="str">
        <f t="shared" si="960"/>
        <v>Trimble</v>
      </c>
      <c r="M5786" s="105" t="str">
        <f t="shared" si="961"/>
        <v>Derate</v>
      </c>
      <c r="N5786" s="105" t="str">
        <f t="shared" si="962"/>
        <v>Coal</v>
      </c>
      <c r="O5786" s="105">
        <f>IFERROR(VLOOKUP(A5786,Lookup!$J$5:$P$19,7,FALSE),0)</f>
        <v>3</v>
      </c>
      <c r="P5786" s="159">
        <f t="shared" si="963"/>
        <v>2013</v>
      </c>
      <c r="Q5786" s="159">
        <f t="shared" si="964"/>
        <v>3</v>
      </c>
      <c r="R5786" s="160">
        <f t="shared" si="965"/>
        <v>3</v>
      </c>
      <c r="S5786" s="158">
        <f t="shared" si="966"/>
        <v>1.2264150943396226</v>
      </c>
      <c r="T5786" s="161">
        <f t="shared" si="967"/>
        <v>916.13207547169804</v>
      </c>
      <c r="U5786" s="158">
        <f t="shared" si="969"/>
        <v>305.37735849056605</v>
      </c>
      <c r="V5786" s="160">
        <f t="shared" si="968"/>
        <v>305</v>
      </c>
    </row>
    <row r="5787" spans="1:22" x14ac:dyDescent="0.25">
      <c r="A5787" s="98" t="s">
        <v>69</v>
      </c>
      <c r="B5787" s="98" t="s">
        <v>17</v>
      </c>
      <c r="C5787" s="98">
        <v>59</v>
      </c>
      <c r="D5787" s="98">
        <v>1999</v>
      </c>
      <c r="E5787" s="157">
        <v>41346.583333333336</v>
      </c>
      <c r="F5787" s="157">
        <v>41350.717361111114</v>
      </c>
      <c r="G5787" s="98">
        <v>500</v>
      </c>
      <c r="H5787" s="98">
        <v>795</v>
      </c>
      <c r="I5787" s="98">
        <v>747</v>
      </c>
      <c r="J5787" s="98" t="s">
        <v>2108</v>
      </c>
      <c r="K5787" s="98" t="s">
        <v>841</v>
      </c>
      <c r="L5787" s="105" t="str">
        <f t="shared" si="960"/>
        <v>Trimble</v>
      </c>
      <c r="M5787" s="105" t="str">
        <f t="shared" si="961"/>
        <v>Derate</v>
      </c>
      <c r="N5787" s="105" t="str">
        <f t="shared" si="962"/>
        <v>Coal</v>
      </c>
      <c r="O5787" s="105">
        <f>IFERROR(VLOOKUP(A5787,Lookup!$J$5:$P$19,7,FALSE),0)</f>
        <v>3</v>
      </c>
      <c r="P5787" s="159">
        <f t="shared" si="963"/>
        <v>2013</v>
      </c>
      <c r="Q5787" s="159">
        <f t="shared" si="964"/>
        <v>3</v>
      </c>
      <c r="R5787" s="160">
        <f t="shared" si="965"/>
        <v>99.216666666674428</v>
      </c>
      <c r="S5787" s="158">
        <f t="shared" si="966"/>
        <v>36.816247379457806</v>
      </c>
      <c r="T5787" s="161">
        <f t="shared" si="967"/>
        <v>27501.73679245498</v>
      </c>
      <c r="U5787" s="158">
        <f t="shared" si="969"/>
        <v>277.18867924528303</v>
      </c>
      <c r="V5787" s="160">
        <f t="shared" si="968"/>
        <v>277</v>
      </c>
    </row>
    <row r="5788" spans="1:22" x14ac:dyDescent="0.25">
      <c r="A5788" s="98" t="s">
        <v>69</v>
      </c>
      <c r="B5788" s="98" t="s">
        <v>15</v>
      </c>
      <c r="C5788" s="98">
        <v>60</v>
      </c>
      <c r="D5788" s="98">
        <v>1999</v>
      </c>
      <c r="E5788" s="157">
        <v>41350.717361111114</v>
      </c>
      <c r="F5788" s="157">
        <v>41357.240972222222</v>
      </c>
      <c r="G5788" s="98">
        <v>0</v>
      </c>
      <c r="H5788" s="98">
        <v>795</v>
      </c>
      <c r="I5788" s="98">
        <v>747</v>
      </c>
      <c r="J5788" s="98" t="s">
        <v>2108</v>
      </c>
      <c r="K5788" s="98" t="s">
        <v>842</v>
      </c>
      <c r="L5788" s="105" t="str">
        <f t="shared" si="960"/>
        <v>Trimble</v>
      </c>
      <c r="M5788" s="105" t="str">
        <f t="shared" si="961"/>
        <v>Outage</v>
      </c>
      <c r="N5788" s="105" t="str">
        <f t="shared" si="962"/>
        <v>Coal</v>
      </c>
      <c r="O5788" s="105">
        <f>IFERROR(VLOOKUP(A5788,Lookup!$J$5:$P$19,7,FALSE),0)</f>
        <v>3</v>
      </c>
      <c r="P5788" s="159">
        <f t="shared" si="963"/>
        <v>2013</v>
      </c>
      <c r="Q5788" s="159">
        <f t="shared" si="964"/>
        <v>3</v>
      </c>
      <c r="R5788" s="160">
        <f t="shared" si="965"/>
        <v>156.56666666659294</v>
      </c>
      <c r="S5788" s="158">
        <f t="shared" si="966"/>
        <v>156.56666666659294</v>
      </c>
      <c r="T5788" s="161">
        <f t="shared" si="967"/>
        <v>116955.29999994492</v>
      </c>
      <c r="U5788" s="158">
        <f t="shared" si="969"/>
        <v>747</v>
      </c>
      <c r="V5788" s="160">
        <f t="shared" si="968"/>
        <v>747</v>
      </c>
    </row>
    <row r="5789" spans="1:22" x14ac:dyDescent="0.25">
      <c r="A5789" s="98" t="s">
        <v>69</v>
      </c>
      <c r="B5789" s="98" t="s">
        <v>38</v>
      </c>
      <c r="C5789" s="98">
        <v>61</v>
      </c>
      <c r="D5789" s="98">
        <v>360</v>
      </c>
      <c r="E5789" s="157">
        <v>41357.240972222222</v>
      </c>
      <c r="F5789" s="157">
        <v>41379</v>
      </c>
      <c r="G5789" s="98">
        <v>0</v>
      </c>
      <c r="H5789" s="98">
        <v>795</v>
      </c>
      <c r="I5789" s="98">
        <v>747</v>
      </c>
      <c r="J5789" s="98" t="s">
        <v>229</v>
      </c>
      <c r="K5789" s="98" t="s">
        <v>843</v>
      </c>
      <c r="L5789" s="105" t="str">
        <f t="shared" si="960"/>
        <v>Trimble</v>
      </c>
      <c r="M5789" s="105" t="str">
        <f t="shared" si="961"/>
        <v>Other</v>
      </c>
      <c r="N5789" s="105" t="str">
        <f t="shared" si="962"/>
        <v>Coal</v>
      </c>
      <c r="O5789" s="105">
        <f>IFERROR(VLOOKUP(A5789,Lookup!$J$5:$P$19,7,FALSE),0)</f>
        <v>3</v>
      </c>
      <c r="P5789" s="159">
        <f t="shared" si="963"/>
        <v>2013</v>
      </c>
      <c r="Q5789" s="159">
        <f t="shared" si="964"/>
        <v>3</v>
      </c>
      <c r="R5789" s="160">
        <f t="shared" si="965"/>
        <v>522.21666666667443</v>
      </c>
      <c r="S5789" s="158">
        <f t="shared" si="966"/>
        <v>522.21666666667443</v>
      </c>
      <c r="T5789" s="161">
        <f t="shared" si="967"/>
        <v>390095.8500000058</v>
      </c>
      <c r="U5789" s="158">
        <f t="shared" si="969"/>
        <v>747</v>
      </c>
      <c r="V5789" s="160">
        <f t="shared" si="968"/>
        <v>747</v>
      </c>
    </row>
    <row r="5790" spans="1:22" x14ac:dyDescent="0.25">
      <c r="A5790" s="98" t="s">
        <v>69</v>
      </c>
      <c r="B5790" s="98" t="s">
        <v>121</v>
      </c>
      <c r="C5790" s="98">
        <v>62</v>
      </c>
      <c r="D5790" s="98">
        <v>4289</v>
      </c>
      <c r="E5790" s="157">
        <v>41379</v>
      </c>
      <c r="F5790" s="157">
        <v>41424.229166666664</v>
      </c>
      <c r="G5790" s="98">
        <v>0</v>
      </c>
      <c r="H5790" s="98">
        <v>795</v>
      </c>
      <c r="I5790" s="98">
        <v>747</v>
      </c>
      <c r="J5790" s="98" t="s">
        <v>2649</v>
      </c>
      <c r="K5790" s="98" t="s">
        <v>844</v>
      </c>
      <c r="L5790" s="105" t="str">
        <f t="shared" si="960"/>
        <v>Trimble</v>
      </c>
      <c r="M5790" s="105" t="str">
        <f t="shared" si="961"/>
        <v>Other</v>
      </c>
      <c r="N5790" s="105" t="str">
        <f t="shared" si="962"/>
        <v>Coal</v>
      </c>
      <c r="O5790" s="105">
        <f>IFERROR(VLOOKUP(A5790,Lookup!$J$5:$P$19,7,FALSE),0)</f>
        <v>3</v>
      </c>
      <c r="P5790" s="159">
        <f t="shared" si="963"/>
        <v>2013</v>
      </c>
      <c r="Q5790" s="159">
        <f t="shared" si="964"/>
        <v>4</v>
      </c>
      <c r="R5790" s="160">
        <f t="shared" si="965"/>
        <v>1085.4999999999418</v>
      </c>
      <c r="S5790" s="158">
        <f t="shared" si="966"/>
        <v>1085.4999999999418</v>
      </c>
      <c r="T5790" s="161">
        <f t="shared" si="967"/>
        <v>810868.49999995646</v>
      </c>
      <c r="U5790" s="158">
        <f t="shared" si="969"/>
        <v>747</v>
      </c>
      <c r="V5790" s="160">
        <f t="shared" si="968"/>
        <v>747</v>
      </c>
    </row>
    <row r="5791" spans="1:22" x14ac:dyDescent="0.25">
      <c r="A5791" s="98" t="s">
        <v>69</v>
      </c>
      <c r="B5791" s="98" t="s">
        <v>18</v>
      </c>
      <c r="C5791" s="98">
        <v>63</v>
      </c>
      <c r="D5791" s="98">
        <v>4499</v>
      </c>
      <c r="E5791" s="157">
        <v>41424.229166666664</v>
      </c>
      <c r="F5791" s="157">
        <v>41424.548611111109</v>
      </c>
      <c r="G5791" s="98">
        <v>0</v>
      </c>
      <c r="H5791" s="98">
        <v>795</v>
      </c>
      <c r="I5791" s="98">
        <v>747</v>
      </c>
      <c r="J5791" s="98" t="s">
        <v>2082</v>
      </c>
      <c r="K5791" s="98" t="s">
        <v>845</v>
      </c>
      <c r="L5791" s="105" t="str">
        <f t="shared" si="960"/>
        <v>Trimble</v>
      </c>
      <c r="M5791" s="105" t="str">
        <f t="shared" si="961"/>
        <v>Outage</v>
      </c>
      <c r="N5791" s="105" t="str">
        <f t="shared" si="962"/>
        <v>Coal</v>
      </c>
      <c r="O5791" s="105">
        <f>IFERROR(VLOOKUP(A5791,Lookup!$J$5:$P$19,7,FALSE),0)</f>
        <v>3</v>
      </c>
      <c r="P5791" s="159">
        <f t="shared" si="963"/>
        <v>2013</v>
      </c>
      <c r="Q5791" s="159">
        <f t="shared" si="964"/>
        <v>5</v>
      </c>
      <c r="R5791" s="160">
        <f t="shared" si="965"/>
        <v>7.6666666666860692</v>
      </c>
      <c r="S5791" s="158">
        <f t="shared" si="966"/>
        <v>7.6666666666860692</v>
      </c>
      <c r="T5791" s="161">
        <f t="shared" si="967"/>
        <v>5727.0000000144937</v>
      </c>
      <c r="U5791" s="158">
        <f t="shared" si="969"/>
        <v>747</v>
      </c>
      <c r="V5791" s="160">
        <f t="shared" si="968"/>
        <v>747</v>
      </c>
    </row>
    <row r="5792" spans="1:22" x14ac:dyDescent="0.25">
      <c r="A5792" s="98" t="s">
        <v>69</v>
      </c>
      <c r="B5792" s="98" t="s">
        <v>18</v>
      </c>
      <c r="C5792" s="98">
        <v>64</v>
      </c>
      <c r="D5792" s="98">
        <v>4899</v>
      </c>
      <c r="E5792" s="157">
        <v>41424.548611111109</v>
      </c>
      <c r="F5792" s="157">
        <v>41427.54791666667</v>
      </c>
      <c r="G5792" s="98">
        <v>0</v>
      </c>
      <c r="H5792" s="98">
        <v>795</v>
      </c>
      <c r="I5792" s="98">
        <v>747</v>
      </c>
      <c r="J5792" s="98" t="s">
        <v>2243</v>
      </c>
      <c r="K5792" s="98" t="s">
        <v>846</v>
      </c>
      <c r="L5792" s="105" t="str">
        <f t="shared" si="960"/>
        <v>Trimble</v>
      </c>
      <c r="M5792" s="105" t="str">
        <f t="shared" si="961"/>
        <v>Outage</v>
      </c>
      <c r="N5792" s="105" t="str">
        <f t="shared" si="962"/>
        <v>Coal</v>
      </c>
      <c r="O5792" s="105">
        <f>IFERROR(VLOOKUP(A5792,Lookup!$J$5:$P$19,7,FALSE),0)</f>
        <v>3</v>
      </c>
      <c r="P5792" s="159">
        <f t="shared" si="963"/>
        <v>2013</v>
      </c>
      <c r="Q5792" s="159">
        <f t="shared" si="964"/>
        <v>5</v>
      </c>
      <c r="R5792" s="160">
        <f t="shared" si="965"/>
        <v>71.983333333453629</v>
      </c>
      <c r="S5792" s="158">
        <f t="shared" si="966"/>
        <v>71.983333333453629</v>
      </c>
      <c r="T5792" s="161">
        <f t="shared" si="967"/>
        <v>53771.550000089861</v>
      </c>
      <c r="U5792" s="158">
        <f t="shared" si="969"/>
        <v>747</v>
      </c>
      <c r="V5792" s="160">
        <f t="shared" si="968"/>
        <v>747</v>
      </c>
    </row>
    <row r="5793" spans="1:22" x14ac:dyDescent="0.25">
      <c r="A5793" s="98" t="s">
        <v>69</v>
      </c>
      <c r="B5793" s="98" t="s">
        <v>15</v>
      </c>
      <c r="C5793" s="98">
        <v>65</v>
      </c>
      <c r="D5793" s="98">
        <v>4609</v>
      </c>
      <c r="E5793" s="157">
        <v>41427.604166666664</v>
      </c>
      <c r="F5793" s="157">
        <v>41427.947916666664</v>
      </c>
      <c r="G5793" s="98">
        <v>0</v>
      </c>
      <c r="H5793" s="98">
        <v>795</v>
      </c>
      <c r="I5793" s="98">
        <v>747</v>
      </c>
      <c r="J5793" s="98" t="s">
        <v>2105</v>
      </c>
      <c r="K5793" s="98" t="s">
        <v>847</v>
      </c>
      <c r="L5793" s="105" t="str">
        <f t="shared" si="960"/>
        <v>Trimble</v>
      </c>
      <c r="M5793" s="105" t="str">
        <f t="shared" si="961"/>
        <v>Outage</v>
      </c>
      <c r="N5793" s="105" t="str">
        <f t="shared" si="962"/>
        <v>Coal</v>
      </c>
      <c r="O5793" s="105">
        <f>IFERROR(VLOOKUP(A5793,Lookup!$J$5:$P$19,7,FALSE),0)</f>
        <v>3</v>
      </c>
      <c r="P5793" s="159">
        <f t="shared" si="963"/>
        <v>2013</v>
      </c>
      <c r="Q5793" s="159">
        <f t="shared" si="964"/>
        <v>6</v>
      </c>
      <c r="R5793" s="160">
        <f t="shared" si="965"/>
        <v>8.25</v>
      </c>
      <c r="S5793" s="158">
        <f t="shared" si="966"/>
        <v>8.25</v>
      </c>
      <c r="T5793" s="161">
        <f t="shared" si="967"/>
        <v>6162.75</v>
      </c>
      <c r="U5793" s="158">
        <f t="shared" si="969"/>
        <v>747</v>
      </c>
      <c r="V5793" s="160">
        <f t="shared" si="968"/>
        <v>747</v>
      </c>
    </row>
    <row r="5794" spans="1:22" x14ac:dyDescent="0.25">
      <c r="A5794" s="98" t="s">
        <v>69</v>
      </c>
      <c r="B5794" s="98" t="s">
        <v>15</v>
      </c>
      <c r="C5794" s="98">
        <v>66</v>
      </c>
      <c r="D5794" s="98">
        <v>9930</v>
      </c>
      <c r="E5794" s="157">
        <v>41428.01458333333</v>
      </c>
      <c r="F5794" s="157">
        <v>41428.355555555558</v>
      </c>
      <c r="G5794" s="98">
        <v>0</v>
      </c>
      <c r="H5794" s="98">
        <v>795</v>
      </c>
      <c r="I5794" s="98">
        <v>747</v>
      </c>
      <c r="J5794" s="98" t="s">
        <v>2639</v>
      </c>
      <c r="K5794" s="98" t="s">
        <v>848</v>
      </c>
      <c r="L5794" s="105" t="str">
        <f t="shared" si="960"/>
        <v>Trimble</v>
      </c>
      <c r="M5794" s="105" t="str">
        <f t="shared" si="961"/>
        <v>Outage</v>
      </c>
      <c r="N5794" s="105" t="str">
        <f t="shared" si="962"/>
        <v>Coal</v>
      </c>
      <c r="O5794" s="105">
        <f>IFERROR(VLOOKUP(A5794,Lookup!$J$5:$P$19,7,FALSE),0)</f>
        <v>3</v>
      </c>
      <c r="P5794" s="159">
        <f t="shared" si="963"/>
        <v>2013</v>
      </c>
      <c r="Q5794" s="159">
        <f t="shared" si="964"/>
        <v>6</v>
      </c>
      <c r="R5794" s="160">
        <f t="shared" si="965"/>
        <v>8.1833333334652707</v>
      </c>
      <c r="S5794" s="158">
        <f t="shared" si="966"/>
        <v>8.1833333334652707</v>
      </c>
      <c r="T5794" s="161">
        <f t="shared" si="967"/>
        <v>6112.9500000985572</v>
      </c>
      <c r="U5794" s="158">
        <f t="shared" si="969"/>
        <v>747</v>
      </c>
      <c r="V5794" s="160">
        <f t="shared" si="968"/>
        <v>747</v>
      </c>
    </row>
    <row r="5795" spans="1:22" x14ac:dyDescent="0.25">
      <c r="A5795" s="98" t="s">
        <v>69</v>
      </c>
      <c r="B5795" s="98" t="s">
        <v>15</v>
      </c>
      <c r="C5795" s="98">
        <v>67</v>
      </c>
      <c r="D5795" s="98">
        <v>1000</v>
      </c>
      <c r="E5795" s="157">
        <v>41428.355555555558</v>
      </c>
      <c r="F5795" s="157">
        <v>41430.702777777777</v>
      </c>
      <c r="G5795" s="98">
        <v>0</v>
      </c>
      <c r="H5795" s="98">
        <v>795</v>
      </c>
      <c r="I5795" s="98">
        <v>747</v>
      </c>
      <c r="J5795" s="98" t="s">
        <v>2002</v>
      </c>
      <c r="K5795" s="98" t="s">
        <v>849</v>
      </c>
      <c r="L5795" s="105" t="str">
        <f t="shared" si="960"/>
        <v>Trimble</v>
      </c>
      <c r="M5795" s="105" t="str">
        <f t="shared" si="961"/>
        <v>Outage</v>
      </c>
      <c r="N5795" s="105" t="str">
        <f t="shared" si="962"/>
        <v>Coal</v>
      </c>
      <c r="O5795" s="105">
        <f>IFERROR(VLOOKUP(A5795,Lookup!$J$5:$P$19,7,FALSE),0)</f>
        <v>3</v>
      </c>
      <c r="P5795" s="159">
        <f t="shared" si="963"/>
        <v>2013</v>
      </c>
      <c r="Q5795" s="159">
        <f t="shared" si="964"/>
        <v>6</v>
      </c>
      <c r="R5795" s="160">
        <f t="shared" si="965"/>
        <v>56.333333333255723</v>
      </c>
      <c r="S5795" s="158">
        <f t="shared" si="966"/>
        <v>56.333333333255723</v>
      </c>
      <c r="T5795" s="161">
        <f t="shared" si="967"/>
        <v>42080.999999942025</v>
      </c>
      <c r="U5795" s="158">
        <f t="shared" si="969"/>
        <v>747</v>
      </c>
      <c r="V5795" s="160">
        <f t="shared" si="968"/>
        <v>747</v>
      </c>
    </row>
    <row r="5796" spans="1:22" x14ac:dyDescent="0.25">
      <c r="A5796" s="98" t="s">
        <v>69</v>
      </c>
      <c r="B5796" s="98" t="s">
        <v>105</v>
      </c>
      <c r="C5796" s="98">
        <v>68</v>
      </c>
      <c r="D5796" s="98">
        <v>360</v>
      </c>
      <c r="E5796" s="157">
        <v>41431.083333333336</v>
      </c>
      <c r="F5796" s="157">
        <v>41431.5</v>
      </c>
      <c r="G5796" s="98">
        <v>438</v>
      </c>
      <c r="H5796" s="98">
        <v>795</v>
      </c>
      <c r="I5796" s="98">
        <v>747</v>
      </c>
      <c r="J5796" s="98" t="s">
        <v>229</v>
      </c>
      <c r="K5796" s="98" t="s">
        <v>850</v>
      </c>
      <c r="L5796" s="105" t="str">
        <f t="shared" si="960"/>
        <v>Trimble</v>
      </c>
      <c r="M5796" s="105" t="str">
        <f t="shared" si="961"/>
        <v>Derate</v>
      </c>
      <c r="N5796" s="105" t="str">
        <f t="shared" si="962"/>
        <v>Coal</v>
      </c>
      <c r="O5796" s="105">
        <f>IFERROR(VLOOKUP(A5796,Lookup!$J$5:$P$19,7,FALSE),0)</f>
        <v>3</v>
      </c>
      <c r="P5796" s="159">
        <f t="shared" si="963"/>
        <v>2013</v>
      </c>
      <c r="Q5796" s="159">
        <f t="shared" si="964"/>
        <v>6</v>
      </c>
      <c r="R5796" s="160">
        <f t="shared" si="965"/>
        <v>9.9999999999417923</v>
      </c>
      <c r="S5796" s="158">
        <f t="shared" si="966"/>
        <v>4.4905660377097103</v>
      </c>
      <c r="T5796" s="161">
        <f t="shared" si="967"/>
        <v>3354.4528301691535</v>
      </c>
      <c r="U5796" s="158">
        <f t="shared" si="969"/>
        <v>335.44528301886794</v>
      </c>
      <c r="V5796" s="160">
        <f t="shared" si="968"/>
        <v>335</v>
      </c>
    </row>
    <row r="5797" spans="1:22" x14ac:dyDescent="0.25">
      <c r="A5797" s="98" t="s">
        <v>69</v>
      </c>
      <c r="B5797" s="98" t="s">
        <v>32</v>
      </c>
      <c r="C5797" s="98">
        <v>69</v>
      </c>
      <c r="D5797" s="98">
        <v>360</v>
      </c>
      <c r="E5797" s="157">
        <v>41431.5</v>
      </c>
      <c r="F5797" s="157">
        <v>41432.177083333336</v>
      </c>
      <c r="G5797" s="98">
        <v>475</v>
      </c>
      <c r="H5797" s="98">
        <v>795</v>
      </c>
      <c r="I5797" s="98">
        <v>747</v>
      </c>
      <c r="J5797" s="98" t="s">
        <v>229</v>
      </c>
      <c r="K5797" s="98" t="s">
        <v>851</v>
      </c>
      <c r="L5797" s="105" t="str">
        <f t="shared" si="960"/>
        <v>Trimble</v>
      </c>
      <c r="M5797" s="105" t="str">
        <f t="shared" si="961"/>
        <v>Derate</v>
      </c>
      <c r="N5797" s="105" t="str">
        <f t="shared" si="962"/>
        <v>Coal</v>
      </c>
      <c r="O5797" s="105">
        <f>IFERROR(VLOOKUP(A5797,Lookup!$J$5:$P$19,7,FALSE),0)</f>
        <v>3</v>
      </c>
      <c r="P5797" s="159">
        <f t="shared" si="963"/>
        <v>2013</v>
      </c>
      <c r="Q5797" s="159">
        <f t="shared" si="964"/>
        <v>6</v>
      </c>
      <c r="R5797" s="160">
        <f t="shared" si="965"/>
        <v>16.250000000058208</v>
      </c>
      <c r="S5797" s="158">
        <f t="shared" si="966"/>
        <v>6.5408805031680837</v>
      </c>
      <c r="T5797" s="161">
        <f t="shared" si="967"/>
        <v>4886.0377358665583</v>
      </c>
      <c r="U5797" s="158">
        <f t="shared" si="969"/>
        <v>300.67924528301887</v>
      </c>
      <c r="V5797" s="160">
        <f t="shared" si="968"/>
        <v>301</v>
      </c>
    </row>
    <row r="5798" spans="1:22" x14ac:dyDescent="0.25">
      <c r="A5798" s="98" t="s">
        <v>69</v>
      </c>
      <c r="B5798" s="98" t="s">
        <v>17</v>
      </c>
      <c r="C5798" s="98">
        <v>70</v>
      </c>
      <c r="D5798" s="98">
        <v>9620</v>
      </c>
      <c r="E5798" s="157">
        <v>41432.177083333336</v>
      </c>
      <c r="F5798" s="157">
        <v>41432.541666666664</v>
      </c>
      <c r="G5798" s="98">
        <v>595</v>
      </c>
      <c r="H5798" s="98">
        <v>795</v>
      </c>
      <c r="I5798" s="98">
        <v>747</v>
      </c>
      <c r="J5798" s="98" t="s">
        <v>2029</v>
      </c>
      <c r="K5798" s="98" t="s">
        <v>852</v>
      </c>
      <c r="L5798" s="105" t="str">
        <f t="shared" si="960"/>
        <v>Trimble</v>
      </c>
      <c r="M5798" s="105" t="str">
        <f t="shared" si="961"/>
        <v>Derate</v>
      </c>
      <c r="N5798" s="105" t="str">
        <f t="shared" si="962"/>
        <v>Coal</v>
      </c>
      <c r="O5798" s="105">
        <f>IFERROR(VLOOKUP(A5798,Lookup!$J$5:$P$19,7,FALSE),0)</f>
        <v>3</v>
      </c>
      <c r="P5798" s="159">
        <f t="shared" si="963"/>
        <v>2013</v>
      </c>
      <c r="Q5798" s="159">
        <f t="shared" si="964"/>
        <v>6</v>
      </c>
      <c r="R5798" s="160">
        <f t="shared" si="965"/>
        <v>8.7499999998835847</v>
      </c>
      <c r="S5798" s="158">
        <f t="shared" si="966"/>
        <v>2.2012578616059333</v>
      </c>
      <c r="T5798" s="161">
        <f t="shared" si="967"/>
        <v>1644.3396226196321</v>
      </c>
      <c r="U5798" s="158">
        <f t="shared" si="969"/>
        <v>187.9245283018868</v>
      </c>
      <c r="V5798" s="160">
        <f t="shared" si="968"/>
        <v>188</v>
      </c>
    </row>
    <row r="5799" spans="1:22" x14ac:dyDescent="0.25">
      <c r="A5799" s="98" t="s">
        <v>69</v>
      </c>
      <c r="B5799" s="98" t="s">
        <v>17</v>
      </c>
      <c r="C5799" s="98">
        <v>71</v>
      </c>
      <c r="D5799" s="98">
        <v>9620</v>
      </c>
      <c r="E5799" s="157">
        <v>41432.541666666664</v>
      </c>
      <c r="F5799" s="157">
        <v>41432.583333333336</v>
      </c>
      <c r="G5799" s="98">
        <v>660</v>
      </c>
      <c r="H5799" s="98">
        <v>795</v>
      </c>
      <c r="I5799" s="98">
        <v>747</v>
      </c>
      <c r="J5799" s="98" t="s">
        <v>2029</v>
      </c>
      <c r="K5799" s="98" t="s">
        <v>853</v>
      </c>
      <c r="L5799" s="105" t="str">
        <f t="shared" si="960"/>
        <v>Trimble</v>
      </c>
      <c r="M5799" s="105" t="str">
        <f t="shared" si="961"/>
        <v>Derate</v>
      </c>
      <c r="N5799" s="105" t="str">
        <f t="shared" si="962"/>
        <v>Coal</v>
      </c>
      <c r="O5799" s="105">
        <f>IFERROR(VLOOKUP(A5799,Lookup!$J$5:$P$19,7,FALSE),0)</f>
        <v>3</v>
      </c>
      <c r="P5799" s="159">
        <f t="shared" si="963"/>
        <v>2013</v>
      </c>
      <c r="Q5799" s="159">
        <f t="shared" si="964"/>
        <v>6</v>
      </c>
      <c r="R5799" s="160">
        <f t="shared" si="965"/>
        <v>1.0000000001164153</v>
      </c>
      <c r="S5799" s="158">
        <f t="shared" si="966"/>
        <v>0.16981132077448563</v>
      </c>
      <c r="T5799" s="161">
        <f t="shared" si="967"/>
        <v>126.84905661854077</v>
      </c>
      <c r="U5799" s="158">
        <f t="shared" si="969"/>
        <v>126.84905660377359</v>
      </c>
      <c r="V5799" s="160">
        <f t="shared" si="968"/>
        <v>127</v>
      </c>
    </row>
    <row r="5800" spans="1:22" x14ac:dyDescent="0.25">
      <c r="A5800" s="98" t="s">
        <v>69</v>
      </c>
      <c r="B5800" s="98" t="s">
        <v>17</v>
      </c>
      <c r="C5800" s="98">
        <v>72</v>
      </c>
      <c r="D5800" s="98">
        <v>9620</v>
      </c>
      <c r="E5800" s="157">
        <v>41432.583333333336</v>
      </c>
      <c r="F5800" s="157">
        <v>41432.625</v>
      </c>
      <c r="G5800" s="98">
        <v>690</v>
      </c>
      <c r="H5800" s="98">
        <v>795</v>
      </c>
      <c r="I5800" s="98">
        <v>747</v>
      </c>
      <c r="J5800" s="98" t="s">
        <v>2029</v>
      </c>
      <c r="K5800" s="98" t="s">
        <v>854</v>
      </c>
      <c r="L5800" s="105" t="str">
        <f t="shared" si="960"/>
        <v>Trimble</v>
      </c>
      <c r="M5800" s="105" t="str">
        <f t="shared" si="961"/>
        <v>Derate</v>
      </c>
      <c r="N5800" s="105" t="str">
        <f t="shared" si="962"/>
        <v>Coal</v>
      </c>
      <c r="O5800" s="105">
        <f>IFERROR(VLOOKUP(A5800,Lookup!$J$5:$P$19,7,FALSE),0)</f>
        <v>3</v>
      </c>
      <c r="P5800" s="159">
        <f t="shared" si="963"/>
        <v>2013</v>
      </c>
      <c r="Q5800" s="159">
        <f t="shared" si="964"/>
        <v>6</v>
      </c>
      <c r="R5800" s="160">
        <f t="shared" si="965"/>
        <v>0.99999999994179234</v>
      </c>
      <c r="S5800" s="158">
        <f t="shared" si="966"/>
        <v>0.13207547169042541</v>
      </c>
      <c r="T5800" s="161">
        <f t="shared" si="967"/>
        <v>98.660377352747787</v>
      </c>
      <c r="U5800" s="158">
        <f t="shared" si="969"/>
        <v>98.660377358490564</v>
      </c>
      <c r="V5800" s="160">
        <f t="shared" si="968"/>
        <v>99</v>
      </c>
    </row>
    <row r="5801" spans="1:22" x14ac:dyDescent="0.25">
      <c r="A5801" s="98" t="s">
        <v>69</v>
      </c>
      <c r="B5801" s="98" t="s">
        <v>17</v>
      </c>
      <c r="C5801" s="98">
        <v>73</v>
      </c>
      <c r="D5801" s="98">
        <v>9620</v>
      </c>
      <c r="E5801" s="157">
        <v>41432.625</v>
      </c>
      <c r="F5801" s="157">
        <v>41432.666666666664</v>
      </c>
      <c r="G5801" s="98">
        <v>710</v>
      </c>
      <c r="H5801" s="98">
        <v>795</v>
      </c>
      <c r="I5801" s="98">
        <v>747</v>
      </c>
      <c r="J5801" s="98" t="s">
        <v>2029</v>
      </c>
      <c r="K5801" s="98" t="s">
        <v>855</v>
      </c>
      <c r="L5801" s="105" t="str">
        <f t="shared" si="960"/>
        <v>Trimble</v>
      </c>
      <c r="M5801" s="105" t="str">
        <f t="shared" si="961"/>
        <v>Derate</v>
      </c>
      <c r="N5801" s="105" t="str">
        <f t="shared" si="962"/>
        <v>Coal</v>
      </c>
      <c r="O5801" s="105">
        <f>IFERROR(VLOOKUP(A5801,Lookup!$J$5:$P$19,7,FALSE),0)</f>
        <v>3</v>
      </c>
      <c r="P5801" s="159">
        <f t="shared" si="963"/>
        <v>2013</v>
      </c>
      <c r="Q5801" s="159">
        <f t="shared" si="964"/>
        <v>6</v>
      </c>
      <c r="R5801" s="160">
        <f t="shared" si="965"/>
        <v>0.99999999994179234</v>
      </c>
      <c r="S5801" s="158">
        <f t="shared" si="966"/>
        <v>0.10691823898748723</v>
      </c>
      <c r="T5801" s="161">
        <f t="shared" si="967"/>
        <v>79.86792452365296</v>
      </c>
      <c r="U5801" s="158">
        <f t="shared" si="969"/>
        <v>79.867924528301884</v>
      </c>
      <c r="V5801" s="160">
        <f t="shared" si="968"/>
        <v>80</v>
      </c>
    </row>
    <row r="5802" spans="1:22" x14ac:dyDescent="0.25">
      <c r="A5802" s="98" t="s">
        <v>69</v>
      </c>
      <c r="B5802" s="98" t="s">
        <v>17</v>
      </c>
      <c r="C5802" s="98">
        <v>74</v>
      </c>
      <c r="D5802" s="98">
        <v>9620</v>
      </c>
      <c r="E5802" s="157">
        <v>41432.666666666664</v>
      </c>
      <c r="F5802" s="157">
        <v>41432.809027777781</v>
      </c>
      <c r="G5802" s="98">
        <v>690</v>
      </c>
      <c r="H5802" s="98">
        <v>795</v>
      </c>
      <c r="I5802" s="98">
        <v>747</v>
      </c>
      <c r="J5802" s="98" t="s">
        <v>2029</v>
      </c>
      <c r="K5802" s="98" t="s">
        <v>854</v>
      </c>
      <c r="L5802" s="105" t="str">
        <f t="shared" si="960"/>
        <v>Trimble</v>
      </c>
      <c r="M5802" s="105" t="str">
        <f t="shared" si="961"/>
        <v>Derate</v>
      </c>
      <c r="N5802" s="105" t="str">
        <f t="shared" si="962"/>
        <v>Coal</v>
      </c>
      <c r="O5802" s="105">
        <f>IFERROR(VLOOKUP(A5802,Lookup!$J$5:$P$19,7,FALSE),0)</f>
        <v>3</v>
      </c>
      <c r="P5802" s="159">
        <f t="shared" si="963"/>
        <v>2013</v>
      </c>
      <c r="Q5802" s="159">
        <f t="shared" si="964"/>
        <v>6</v>
      </c>
      <c r="R5802" s="160">
        <f t="shared" si="965"/>
        <v>3.4166666668024845</v>
      </c>
      <c r="S5802" s="158">
        <f t="shared" si="966"/>
        <v>0.45125786165315834</v>
      </c>
      <c r="T5802" s="161">
        <f t="shared" si="967"/>
        <v>337.08962265490931</v>
      </c>
      <c r="U5802" s="158">
        <f t="shared" si="969"/>
        <v>98.660377358490564</v>
      </c>
      <c r="V5802" s="160">
        <f t="shared" si="968"/>
        <v>99</v>
      </c>
    </row>
    <row r="5803" spans="1:22" x14ac:dyDescent="0.25">
      <c r="A5803" s="98" t="s">
        <v>69</v>
      </c>
      <c r="B5803" s="98" t="s">
        <v>17</v>
      </c>
      <c r="C5803" s="98">
        <v>75</v>
      </c>
      <c r="D5803" s="98">
        <v>3441</v>
      </c>
      <c r="E5803" s="157">
        <v>41432.809027777781</v>
      </c>
      <c r="F5803" s="157">
        <v>41432.875</v>
      </c>
      <c r="G5803" s="98">
        <v>730</v>
      </c>
      <c r="H5803" s="98">
        <v>795</v>
      </c>
      <c r="I5803" s="98">
        <v>747</v>
      </c>
      <c r="J5803" s="98" t="s">
        <v>2282</v>
      </c>
      <c r="K5803" s="98" t="s">
        <v>856</v>
      </c>
      <c r="L5803" s="105" t="str">
        <f t="shared" si="960"/>
        <v>Trimble</v>
      </c>
      <c r="M5803" s="105" t="str">
        <f t="shared" si="961"/>
        <v>Derate</v>
      </c>
      <c r="N5803" s="105" t="str">
        <f t="shared" si="962"/>
        <v>Coal</v>
      </c>
      <c r="O5803" s="105">
        <f>IFERROR(VLOOKUP(A5803,Lookup!$J$5:$P$19,7,FALSE),0)</f>
        <v>3</v>
      </c>
      <c r="P5803" s="159">
        <f t="shared" si="963"/>
        <v>2013</v>
      </c>
      <c r="Q5803" s="159">
        <f t="shared" si="964"/>
        <v>6</v>
      </c>
      <c r="R5803" s="160">
        <f t="shared" si="965"/>
        <v>1.5833333332557231</v>
      </c>
      <c r="S5803" s="158">
        <f t="shared" si="966"/>
        <v>0.12945492661839245</v>
      </c>
      <c r="T5803" s="161">
        <f t="shared" si="967"/>
        <v>96.702830183939156</v>
      </c>
      <c r="U5803" s="158">
        <f t="shared" si="969"/>
        <v>61.075471698113205</v>
      </c>
      <c r="V5803" s="160">
        <f t="shared" si="968"/>
        <v>61</v>
      </c>
    </row>
    <row r="5804" spans="1:22" x14ac:dyDescent="0.25">
      <c r="A5804" s="98" t="s">
        <v>69</v>
      </c>
      <c r="B5804" s="98" t="s">
        <v>17</v>
      </c>
      <c r="C5804" s="98">
        <v>76</v>
      </c>
      <c r="D5804" s="98">
        <v>3441</v>
      </c>
      <c r="E5804" s="157">
        <v>41432.875</v>
      </c>
      <c r="F5804" s="157">
        <v>41432.895833333336</v>
      </c>
      <c r="G5804" s="98">
        <v>750</v>
      </c>
      <c r="H5804" s="98">
        <v>795</v>
      </c>
      <c r="I5804" s="98">
        <v>747</v>
      </c>
      <c r="J5804" s="98" t="s">
        <v>2282</v>
      </c>
      <c r="K5804" s="98" t="s">
        <v>857</v>
      </c>
      <c r="L5804" s="105" t="str">
        <f t="shared" si="960"/>
        <v>Trimble</v>
      </c>
      <c r="M5804" s="105" t="str">
        <f t="shared" si="961"/>
        <v>Derate</v>
      </c>
      <c r="N5804" s="105" t="str">
        <f t="shared" si="962"/>
        <v>Coal</v>
      </c>
      <c r="O5804" s="105">
        <f>IFERROR(VLOOKUP(A5804,Lookup!$J$5:$P$19,7,FALSE),0)</f>
        <v>3</v>
      </c>
      <c r="P5804" s="159">
        <f t="shared" si="963"/>
        <v>2013</v>
      </c>
      <c r="Q5804" s="159">
        <f t="shared" si="964"/>
        <v>6</v>
      </c>
      <c r="R5804" s="160">
        <f t="shared" si="965"/>
        <v>0.50000000005820766</v>
      </c>
      <c r="S5804" s="158">
        <f t="shared" si="966"/>
        <v>2.8301886795747605E-2</v>
      </c>
      <c r="T5804" s="161">
        <f t="shared" si="967"/>
        <v>21.141509436423462</v>
      </c>
      <c r="U5804" s="158">
        <f t="shared" si="969"/>
        <v>42.283018867924525</v>
      </c>
      <c r="V5804" s="160">
        <f t="shared" si="968"/>
        <v>42</v>
      </c>
    </row>
    <row r="5805" spans="1:22" x14ac:dyDescent="0.25">
      <c r="A5805" s="98" t="s">
        <v>69</v>
      </c>
      <c r="B5805" s="98" t="s">
        <v>17</v>
      </c>
      <c r="C5805" s="98">
        <v>77</v>
      </c>
      <c r="D5805" s="98">
        <v>1455</v>
      </c>
      <c r="E5805" s="157">
        <v>41432.895833333336</v>
      </c>
      <c r="F5805" s="157">
        <v>41433</v>
      </c>
      <c r="G5805" s="98">
        <v>375</v>
      </c>
      <c r="H5805" s="98">
        <v>795</v>
      </c>
      <c r="I5805" s="98">
        <v>747</v>
      </c>
      <c r="J5805" s="98" t="s">
        <v>1990</v>
      </c>
      <c r="K5805" s="98" t="s">
        <v>858</v>
      </c>
      <c r="L5805" s="105" t="str">
        <f t="shared" si="960"/>
        <v>Trimble</v>
      </c>
      <c r="M5805" s="105" t="str">
        <f t="shared" si="961"/>
        <v>Derate</v>
      </c>
      <c r="N5805" s="105" t="str">
        <f t="shared" si="962"/>
        <v>Coal</v>
      </c>
      <c r="O5805" s="105">
        <f>IFERROR(VLOOKUP(A5805,Lookup!$J$5:$P$19,7,FALSE),0)</f>
        <v>3</v>
      </c>
      <c r="P5805" s="159">
        <f t="shared" si="963"/>
        <v>2013</v>
      </c>
      <c r="Q5805" s="159">
        <f t="shared" si="964"/>
        <v>6</v>
      </c>
      <c r="R5805" s="160">
        <f t="shared" si="965"/>
        <v>2.4999999999417923</v>
      </c>
      <c r="S5805" s="158">
        <f t="shared" si="966"/>
        <v>1.3207547169503808</v>
      </c>
      <c r="T5805" s="161">
        <f t="shared" si="967"/>
        <v>986.60377356193453</v>
      </c>
      <c r="U5805" s="158">
        <f t="shared" si="969"/>
        <v>394.64150943396226</v>
      </c>
      <c r="V5805" s="160">
        <f t="shared" si="968"/>
        <v>395</v>
      </c>
    </row>
    <row r="5806" spans="1:22" x14ac:dyDescent="0.25">
      <c r="A5806" s="98" t="s">
        <v>69</v>
      </c>
      <c r="B5806" s="98" t="s">
        <v>17</v>
      </c>
      <c r="C5806" s="98">
        <v>78</v>
      </c>
      <c r="D5806" s="98">
        <v>1455</v>
      </c>
      <c r="E5806" s="157">
        <v>41433</v>
      </c>
      <c r="F5806" s="157">
        <v>41433.208333333336</v>
      </c>
      <c r="G5806" s="98">
        <v>480</v>
      </c>
      <c r="H5806" s="98">
        <v>795</v>
      </c>
      <c r="I5806" s="98">
        <v>747</v>
      </c>
      <c r="J5806" s="98" t="s">
        <v>1990</v>
      </c>
      <c r="K5806" s="98" t="s">
        <v>858</v>
      </c>
      <c r="L5806" s="105" t="str">
        <f t="shared" si="960"/>
        <v>Trimble</v>
      </c>
      <c r="M5806" s="105" t="str">
        <f t="shared" si="961"/>
        <v>Derate</v>
      </c>
      <c r="N5806" s="105" t="str">
        <f t="shared" si="962"/>
        <v>Coal</v>
      </c>
      <c r="O5806" s="105">
        <f>IFERROR(VLOOKUP(A5806,Lookup!$J$5:$P$19,7,FALSE),0)</f>
        <v>3</v>
      </c>
      <c r="P5806" s="159">
        <f t="shared" si="963"/>
        <v>2013</v>
      </c>
      <c r="Q5806" s="159">
        <f t="shared" si="964"/>
        <v>6</v>
      </c>
      <c r="R5806" s="160">
        <f t="shared" si="965"/>
        <v>5.0000000000582077</v>
      </c>
      <c r="S5806" s="158">
        <f t="shared" si="966"/>
        <v>1.9811320754947614</v>
      </c>
      <c r="T5806" s="161">
        <f t="shared" si="967"/>
        <v>1479.9056603945869</v>
      </c>
      <c r="U5806" s="158">
        <f t="shared" si="969"/>
        <v>295.98113207547169</v>
      </c>
      <c r="V5806" s="160">
        <f t="shared" si="968"/>
        <v>296</v>
      </c>
    </row>
    <row r="5807" spans="1:22" x14ac:dyDescent="0.25">
      <c r="A5807" s="98" t="s">
        <v>69</v>
      </c>
      <c r="B5807" s="98" t="s">
        <v>17</v>
      </c>
      <c r="C5807" s="98">
        <v>79</v>
      </c>
      <c r="D5807" s="98">
        <v>1455</v>
      </c>
      <c r="E5807" s="157">
        <v>41433.208333333336</v>
      </c>
      <c r="F5807" s="157">
        <v>41433.5</v>
      </c>
      <c r="G5807" s="98">
        <v>700</v>
      </c>
      <c r="H5807" s="98">
        <v>795</v>
      </c>
      <c r="I5807" s="98">
        <v>747</v>
      </c>
      <c r="J5807" s="98" t="s">
        <v>1990</v>
      </c>
      <c r="K5807" s="98" t="s">
        <v>858</v>
      </c>
      <c r="L5807" s="105" t="str">
        <f t="shared" si="960"/>
        <v>Trimble</v>
      </c>
      <c r="M5807" s="105" t="str">
        <f t="shared" si="961"/>
        <v>Derate</v>
      </c>
      <c r="N5807" s="105" t="str">
        <f t="shared" si="962"/>
        <v>Coal</v>
      </c>
      <c r="O5807" s="105">
        <f>IFERROR(VLOOKUP(A5807,Lookup!$J$5:$P$19,7,FALSE),0)</f>
        <v>3</v>
      </c>
      <c r="P5807" s="159">
        <f t="shared" si="963"/>
        <v>2013</v>
      </c>
      <c r="Q5807" s="159">
        <f t="shared" si="964"/>
        <v>6</v>
      </c>
      <c r="R5807" s="160">
        <f t="shared" si="965"/>
        <v>6.9999999999417923</v>
      </c>
      <c r="S5807" s="158">
        <f t="shared" si="966"/>
        <v>0.83647798741442803</v>
      </c>
      <c r="T5807" s="161">
        <f t="shared" si="967"/>
        <v>624.8490565985777</v>
      </c>
      <c r="U5807" s="158">
        <f t="shared" si="969"/>
        <v>89.264150943396231</v>
      </c>
      <c r="V5807" s="160">
        <f t="shared" si="968"/>
        <v>89</v>
      </c>
    </row>
    <row r="5808" spans="1:22" x14ac:dyDescent="0.25">
      <c r="A5808" s="98" t="s">
        <v>69</v>
      </c>
      <c r="B5808" s="98" t="s">
        <v>17</v>
      </c>
      <c r="C5808" s="98">
        <v>80</v>
      </c>
      <c r="D5808" s="98">
        <v>1455</v>
      </c>
      <c r="E5808" s="157">
        <v>41433.5</v>
      </c>
      <c r="F5808" s="157">
        <v>41433.625</v>
      </c>
      <c r="G5808" s="98">
        <v>760</v>
      </c>
      <c r="H5808" s="98">
        <v>795</v>
      </c>
      <c r="I5808" s="98">
        <v>747</v>
      </c>
      <c r="J5808" s="98" t="s">
        <v>1990</v>
      </c>
      <c r="K5808" s="98" t="s">
        <v>858</v>
      </c>
      <c r="L5808" s="105" t="str">
        <f t="shared" si="960"/>
        <v>Trimble</v>
      </c>
      <c r="M5808" s="105" t="str">
        <f t="shared" si="961"/>
        <v>Derate</v>
      </c>
      <c r="N5808" s="105" t="str">
        <f t="shared" si="962"/>
        <v>Coal</v>
      </c>
      <c r="O5808" s="105">
        <f>IFERROR(VLOOKUP(A5808,Lookup!$J$5:$P$19,7,FALSE),0)</f>
        <v>3</v>
      </c>
      <c r="P5808" s="159">
        <f t="shared" si="963"/>
        <v>2013</v>
      </c>
      <c r="Q5808" s="159">
        <f t="shared" si="964"/>
        <v>6</v>
      </c>
      <c r="R5808" s="160">
        <f t="shared" si="965"/>
        <v>3</v>
      </c>
      <c r="S5808" s="158">
        <f t="shared" si="966"/>
        <v>0.13207547169811321</v>
      </c>
      <c r="T5808" s="161">
        <f t="shared" si="967"/>
        <v>98.660377358490564</v>
      </c>
      <c r="U5808" s="158">
        <f t="shared" si="969"/>
        <v>32.886792452830186</v>
      </c>
      <c r="V5808" s="160">
        <f t="shared" si="968"/>
        <v>33</v>
      </c>
    </row>
    <row r="5809" spans="1:22" x14ac:dyDescent="0.25">
      <c r="A5809" s="98" t="s">
        <v>69</v>
      </c>
      <c r="B5809" s="98" t="s">
        <v>17</v>
      </c>
      <c r="C5809" s="98">
        <v>81</v>
      </c>
      <c r="D5809" s="98">
        <v>1455</v>
      </c>
      <c r="E5809" s="157">
        <v>41433.625</v>
      </c>
      <c r="F5809" s="157">
        <v>41433.708333333336</v>
      </c>
      <c r="G5809" s="98">
        <v>680</v>
      </c>
      <c r="H5809" s="98">
        <v>795</v>
      </c>
      <c r="I5809" s="98">
        <v>747</v>
      </c>
      <c r="J5809" s="98" t="s">
        <v>1990</v>
      </c>
      <c r="K5809" s="98" t="s">
        <v>858</v>
      </c>
      <c r="L5809" s="105" t="str">
        <f t="shared" si="960"/>
        <v>Trimble</v>
      </c>
      <c r="M5809" s="105" t="str">
        <f t="shared" si="961"/>
        <v>Derate</v>
      </c>
      <c r="N5809" s="105" t="str">
        <f t="shared" si="962"/>
        <v>Coal</v>
      </c>
      <c r="O5809" s="105">
        <f>IFERROR(VLOOKUP(A5809,Lookup!$J$5:$P$19,7,FALSE),0)</f>
        <v>3</v>
      </c>
      <c r="P5809" s="159">
        <f t="shared" si="963"/>
        <v>2013</v>
      </c>
      <c r="Q5809" s="159">
        <f t="shared" si="964"/>
        <v>6</v>
      </c>
      <c r="R5809" s="160">
        <f t="shared" si="965"/>
        <v>2.0000000000582077</v>
      </c>
      <c r="S5809" s="158">
        <f t="shared" si="966"/>
        <v>0.28930817610904891</v>
      </c>
      <c r="T5809" s="161">
        <f t="shared" si="967"/>
        <v>216.11320755345955</v>
      </c>
      <c r="U5809" s="158">
        <f t="shared" si="969"/>
        <v>108.05660377358491</v>
      </c>
      <c r="V5809" s="160">
        <f t="shared" si="968"/>
        <v>108</v>
      </c>
    </row>
    <row r="5810" spans="1:22" x14ac:dyDescent="0.25">
      <c r="A5810" s="98" t="s">
        <v>69</v>
      </c>
      <c r="B5810" s="98" t="s">
        <v>17</v>
      </c>
      <c r="C5810" s="98">
        <v>82</v>
      </c>
      <c r="D5810" s="98">
        <v>1455</v>
      </c>
      <c r="E5810" s="157">
        <v>41433.708333333336</v>
      </c>
      <c r="F5810" s="157">
        <v>41433.72152777778</v>
      </c>
      <c r="G5810" s="98">
        <v>660</v>
      </c>
      <c r="H5810" s="98">
        <v>795</v>
      </c>
      <c r="I5810" s="98">
        <v>747</v>
      </c>
      <c r="J5810" s="98" t="s">
        <v>1990</v>
      </c>
      <c r="K5810" s="98" t="s">
        <v>858</v>
      </c>
      <c r="L5810" s="105" t="str">
        <f t="shared" si="960"/>
        <v>Trimble</v>
      </c>
      <c r="M5810" s="105" t="str">
        <f t="shared" si="961"/>
        <v>Derate</v>
      </c>
      <c r="N5810" s="105" t="str">
        <f t="shared" si="962"/>
        <v>Coal</v>
      </c>
      <c r="O5810" s="105">
        <f>IFERROR(VLOOKUP(A5810,Lookup!$J$5:$P$19,7,FALSE),0)</f>
        <v>3</v>
      </c>
      <c r="P5810" s="159">
        <f t="shared" si="963"/>
        <v>2013</v>
      </c>
      <c r="Q5810" s="159">
        <f t="shared" si="964"/>
        <v>6</v>
      </c>
      <c r="R5810" s="160">
        <f t="shared" si="965"/>
        <v>0.31666666665114462</v>
      </c>
      <c r="S5810" s="158">
        <f t="shared" si="966"/>
        <v>5.3773584903024557E-2</v>
      </c>
      <c r="T5810" s="161">
        <f t="shared" si="967"/>
        <v>40.168867922559343</v>
      </c>
      <c r="U5810" s="158">
        <f t="shared" si="969"/>
        <v>126.84905660377359</v>
      </c>
      <c r="V5810" s="160">
        <f t="shared" si="968"/>
        <v>127</v>
      </c>
    </row>
    <row r="5811" spans="1:22" x14ac:dyDescent="0.25">
      <c r="A5811" s="98" t="s">
        <v>69</v>
      </c>
      <c r="B5811" s="98" t="s">
        <v>17</v>
      </c>
      <c r="C5811" s="98">
        <v>83</v>
      </c>
      <c r="D5811" s="98">
        <v>1455</v>
      </c>
      <c r="E5811" s="157">
        <v>41433.72152777778</v>
      </c>
      <c r="F5811" s="157">
        <v>41433.75</v>
      </c>
      <c r="G5811" s="98">
        <v>615</v>
      </c>
      <c r="H5811" s="98">
        <v>795</v>
      </c>
      <c r="I5811" s="98">
        <v>747</v>
      </c>
      <c r="J5811" s="98" t="s">
        <v>1990</v>
      </c>
      <c r="K5811" s="98" t="s">
        <v>858</v>
      </c>
      <c r="L5811" s="105" t="str">
        <f t="shared" si="960"/>
        <v>Trimble</v>
      </c>
      <c r="M5811" s="105" t="str">
        <f t="shared" si="961"/>
        <v>Derate</v>
      </c>
      <c r="N5811" s="105" t="str">
        <f t="shared" si="962"/>
        <v>Coal</v>
      </c>
      <c r="O5811" s="105">
        <f>IFERROR(VLOOKUP(A5811,Lookup!$J$5:$P$19,7,FALSE),0)</f>
        <v>3</v>
      </c>
      <c r="P5811" s="159">
        <f t="shared" si="963"/>
        <v>2013</v>
      </c>
      <c r="Q5811" s="159">
        <f t="shared" si="964"/>
        <v>6</v>
      </c>
      <c r="R5811" s="160">
        <f t="shared" si="965"/>
        <v>0.68333333329064772</v>
      </c>
      <c r="S5811" s="158">
        <f t="shared" si="966"/>
        <v>0.15471698112241081</v>
      </c>
      <c r="T5811" s="161">
        <f t="shared" si="967"/>
        <v>115.57358489844087</v>
      </c>
      <c r="U5811" s="158">
        <f t="shared" si="969"/>
        <v>169.1320754716981</v>
      </c>
      <c r="V5811" s="160">
        <f t="shared" si="968"/>
        <v>169</v>
      </c>
    </row>
    <row r="5812" spans="1:22" x14ac:dyDescent="0.25">
      <c r="A5812" s="98" t="s">
        <v>69</v>
      </c>
      <c r="B5812" s="98" t="s">
        <v>17</v>
      </c>
      <c r="C5812" s="98">
        <v>84</v>
      </c>
      <c r="D5812" s="98">
        <v>1455</v>
      </c>
      <c r="E5812" s="157">
        <v>41433.75</v>
      </c>
      <c r="F5812" s="157">
        <v>41434</v>
      </c>
      <c r="G5812" s="98">
        <v>575</v>
      </c>
      <c r="H5812" s="98">
        <v>795</v>
      </c>
      <c r="I5812" s="98">
        <v>747</v>
      </c>
      <c r="J5812" s="98" t="s">
        <v>1990</v>
      </c>
      <c r="K5812" s="98" t="s">
        <v>858</v>
      </c>
      <c r="L5812" s="105" t="str">
        <f t="shared" si="960"/>
        <v>Trimble</v>
      </c>
      <c r="M5812" s="105" t="str">
        <f t="shared" si="961"/>
        <v>Derate</v>
      </c>
      <c r="N5812" s="105" t="str">
        <f t="shared" si="962"/>
        <v>Coal</v>
      </c>
      <c r="O5812" s="105">
        <f>IFERROR(VLOOKUP(A5812,Lookup!$J$5:$P$19,7,FALSE),0)</f>
        <v>3</v>
      </c>
      <c r="P5812" s="159">
        <f t="shared" si="963"/>
        <v>2013</v>
      </c>
      <c r="Q5812" s="159">
        <f t="shared" si="964"/>
        <v>6</v>
      </c>
      <c r="R5812" s="160">
        <f t="shared" si="965"/>
        <v>6</v>
      </c>
      <c r="S5812" s="158">
        <f t="shared" si="966"/>
        <v>1.6603773584905661</v>
      </c>
      <c r="T5812" s="161">
        <f t="shared" si="967"/>
        <v>1240.3018867924529</v>
      </c>
      <c r="U5812" s="158">
        <f t="shared" si="969"/>
        <v>206.71698113207546</v>
      </c>
      <c r="V5812" s="160">
        <f t="shared" si="968"/>
        <v>207</v>
      </c>
    </row>
    <row r="5813" spans="1:22" x14ac:dyDescent="0.25">
      <c r="A5813" s="98" t="s">
        <v>69</v>
      </c>
      <c r="B5813" s="98" t="s">
        <v>17</v>
      </c>
      <c r="C5813" s="98">
        <v>85</v>
      </c>
      <c r="D5813" s="98">
        <v>1455</v>
      </c>
      <c r="E5813" s="157">
        <v>41434</v>
      </c>
      <c r="F5813" s="157">
        <v>41434.010416666664</v>
      </c>
      <c r="G5813" s="98">
        <v>670</v>
      </c>
      <c r="H5813" s="98">
        <v>795</v>
      </c>
      <c r="I5813" s="98">
        <v>747</v>
      </c>
      <c r="J5813" s="98" t="s">
        <v>1990</v>
      </c>
      <c r="K5813" s="98" t="s">
        <v>858</v>
      </c>
      <c r="L5813" s="105" t="str">
        <f t="shared" si="960"/>
        <v>Trimble</v>
      </c>
      <c r="M5813" s="105" t="str">
        <f t="shared" si="961"/>
        <v>Derate</v>
      </c>
      <c r="N5813" s="105" t="str">
        <f t="shared" si="962"/>
        <v>Coal</v>
      </c>
      <c r="O5813" s="105">
        <f>IFERROR(VLOOKUP(A5813,Lookup!$J$5:$P$19,7,FALSE),0)</f>
        <v>3</v>
      </c>
      <c r="P5813" s="159">
        <f t="shared" si="963"/>
        <v>2013</v>
      </c>
      <c r="Q5813" s="159">
        <f t="shared" si="964"/>
        <v>6</v>
      </c>
      <c r="R5813" s="160">
        <f t="shared" si="965"/>
        <v>0.24999999994179234</v>
      </c>
      <c r="S5813" s="158">
        <f t="shared" si="966"/>
        <v>3.9308176091476785E-2</v>
      </c>
      <c r="T5813" s="161">
        <f t="shared" si="967"/>
        <v>29.363207540333157</v>
      </c>
      <c r="U5813" s="158">
        <f t="shared" si="969"/>
        <v>117.45283018867924</v>
      </c>
      <c r="V5813" s="160">
        <f t="shared" si="968"/>
        <v>117</v>
      </c>
    </row>
    <row r="5814" spans="1:22" x14ac:dyDescent="0.25">
      <c r="A5814" s="98" t="s">
        <v>69</v>
      </c>
      <c r="B5814" s="98" t="s">
        <v>17</v>
      </c>
      <c r="C5814" s="98">
        <v>86</v>
      </c>
      <c r="D5814" s="98">
        <v>1455</v>
      </c>
      <c r="E5814" s="157">
        <v>41434.010416666664</v>
      </c>
      <c r="F5814" s="157">
        <v>41435.1</v>
      </c>
      <c r="G5814" s="98">
        <v>620</v>
      </c>
      <c r="H5814" s="98">
        <v>795</v>
      </c>
      <c r="I5814" s="98">
        <v>747</v>
      </c>
      <c r="J5814" s="98" t="s">
        <v>1990</v>
      </c>
      <c r="K5814" s="98" t="s">
        <v>858</v>
      </c>
      <c r="L5814" s="105" t="str">
        <f t="shared" si="960"/>
        <v>Trimble</v>
      </c>
      <c r="M5814" s="105" t="str">
        <f t="shared" si="961"/>
        <v>Derate</v>
      </c>
      <c r="N5814" s="105" t="str">
        <f t="shared" si="962"/>
        <v>Coal</v>
      </c>
      <c r="O5814" s="105">
        <f>IFERROR(VLOOKUP(A5814,Lookup!$J$5:$P$19,7,FALSE),0)</f>
        <v>3</v>
      </c>
      <c r="P5814" s="159">
        <f t="shared" si="963"/>
        <v>2013</v>
      </c>
      <c r="Q5814" s="159">
        <f t="shared" si="964"/>
        <v>6</v>
      </c>
      <c r="R5814" s="160">
        <f t="shared" si="965"/>
        <v>26.150000000023283</v>
      </c>
      <c r="S5814" s="158">
        <f t="shared" si="966"/>
        <v>5.7562893081812261</v>
      </c>
      <c r="T5814" s="161">
        <f t="shared" si="967"/>
        <v>4299.948113211376</v>
      </c>
      <c r="U5814" s="158">
        <f t="shared" si="969"/>
        <v>164.43396226415095</v>
      </c>
      <c r="V5814" s="160">
        <f t="shared" si="968"/>
        <v>164</v>
      </c>
    </row>
    <row r="5815" spans="1:22" x14ac:dyDescent="0.25">
      <c r="A5815" s="98" t="s">
        <v>69</v>
      </c>
      <c r="B5815" s="98" t="s">
        <v>17</v>
      </c>
      <c r="C5815" s="98">
        <v>87</v>
      </c>
      <c r="D5815" s="98">
        <v>1455</v>
      </c>
      <c r="E5815" s="157">
        <v>41435.1</v>
      </c>
      <c r="F5815" s="157">
        <v>41435.140277777777</v>
      </c>
      <c r="G5815" s="98">
        <v>600</v>
      </c>
      <c r="H5815" s="98">
        <v>795</v>
      </c>
      <c r="I5815" s="98">
        <v>747</v>
      </c>
      <c r="J5815" s="98" t="s">
        <v>1990</v>
      </c>
      <c r="K5815" s="98" t="s">
        <v>858</v>
      </c>
      <c r="L5815" s="105" t="str">
        <f t="shared" si="960"/>
        <v>Trimble</v>
      </c>
      <c r="M5815" s="105" t="str">
        <f t="shared" si="961"/>
        <v>Derate</v>
      </c>
      <c r="N5815" s="105" t="str">
        <f t="shared" si="962"/>
        <v>Coal</v>
      </c>
      <c r="O5815" s="105">
        <f>IFERROR(VLOOKUP(A5815,Lookup!$J$5:$P$19,7,FALSE),0)</f>
        <v>3</v>
      </c>
      <c r="P5815" s="159">
        <f t="shared" si="963"/>
        <v>2013</v>
      </c>
      <c r="Q5815" s="159">
        <f t="shared" si="964"/>
        <v>6</v>
      </c>
      <c r="R5815" s="160">
        <f t="shared" si="965"/>
        <v>0.96666666667442769</v>
      </c>
      <c r="S5815" s="158">
        <f t="shared" si="966"/>
        <v>0.23710691824089736</v>
      </c>
      <c r="T5815" s="161">
        <f t="shared" si="967"/>
        <v>177.11886792595033</v>
      </c>
      <c r="U5815" s="158">
        <f t="shared" si="969"/>
        <v>183.22641509433961</v>
      </c>
      <c r="V5815" s="160">
        <f t="shared" si="968"/>
        <v>183</v>
      </c>
    </row>
    <row r="5816" spans="1:22" x14ac:dyDescent="0.25">
      <c r="A5816" s="98" t="s">
        <v>69</v>
      </c>
      <c r="B5816" s="98" t="s">
        <v>17</v>
      </c>
      <c r="C5816" s="98">
        <v>88</v>
      </c>
      <c r="D5816" s="98">
        <v>1455</v>
      </c>
      <c r="E5816" s="157">
        <v>41435.140277777777</v>
      </c>
      <c r="F5816" s="157">
        <v>41435.520833333336</v>
      </c>
      <c r="G5816" s="98">
        <v>580</v>
      </c>
      <c r="H5816" s="98">
        <v>795</v>
      </c>
      <c r="I5816" s="98">
        <v>747</v>
      </c>
      <c r="J5816" s="98" t="s">
        <v>1990</v>
      </c>
      <c r="K5816" s="98" t="s">
        <v>858</v>
      </c>
      <c r="L5816" s="105" t="str">
        <f t="shared" si="960"/>
        <v>Trimble</v>
      </c>
      <c r="M5816" s="105" t="str">
        <f t="shared" si="961"/>
        <v>Derate</v>
      </c>
      <c r="N5816" s="105" t="str">
        <f t="shared" si="962"/>
        <v>Coal</v>
      </c>
      <c r="O5816" s="105">
        <f>IFERROR(VLOOKUP(A5816,Lookup!$J$5:$P$19,7,FALSE),0)</f>
        <v>3</v>
      </c>
      <c r="P5816" s="159">
        <f t="shared" si="963"/>
        <v>2013</v>
      </c>
      <c r="Q5816" s="159">
        <f t="shared" si="964"/>
        <v>6</v>
      </c>
      <c r="R5816" s="160">
        <f t="shared" si="965"/>
        <v>9.1333333334187046</v>
      </c>
      <c r="S5816" s="158">
        <f t="shared" si="966"/>
        <v>2.470020964383675</v>
      </c>
      <c r="T5816" s="161">
        <f t="shared" si="967"/>
        <v>1845.1056603946051</v>
      </c>
      <c r="U5816" s="158">
        <f t="shared" si="969"/>
        <v>202.01886792452831</v>
      </c>
      <c r="V5816" s="160">
        <f t="shared" si="968"/>
        <v>202</v>
      </c>
    </row>
    <row r="5817" spans="1:22" x14ac:dyDescent="0.25">
      <c r="A5817" s="98" t="s">
        <v>69</v>
      </c>
      <c r="B5817" s="98" t="s">
        <v>17</v>
      </c>
      <c r="C5817" s="98">
        <v>89</v>
      </c>
      <c r="D5817" s="98">
        <v>1455</v>
      </c>
      <c r="E5817" s="157">
        <v>41437.611111111109</v>
      </c>
      <c r="F5817" s="157">
        <v>41437.729166666664</v>
      </c>
      <c r="G5817" s="98">
        <v>750</v>
      </c>
      <c r="H5817" s="98">
        <v>795</v>
      </c>
      <c r="I5817" s="98">
        <v>747</v>
      </c>
      <c r="J5817" s="98" t="s">
        <v>1990</v>
      </c>
      <c r="K5817" s="98" t="s">
        <v>858</v>
      </c>
      <c r="L5817" s="105" t="str">
        <f t="shared" si="960"/>
        <v>Trimble</v>
      </c>
      <c r="M5817" s="105" t="str">
        <f t="shared" si="961"/>
        <v>Derate</v>
      </c>
      <c r="N5817" s="105" t="str">
        <f t="shared" si="962"/>
        <v>Coal</v>
      </c>
      <c r="O5817" s="105">
        <f>IFERROR(VLOOKUP(A5817,Lookup!$J$5:$P$19,7,FALSE),0)</f>
        <v>3</v>
      </c>
      <c r="P5817" s="159">
        <f t="shared" si="963"/>
        <v>2013</v>
      </c>
      <c r="Q5817" s="159">
        <f t="shared" si="964"/>
        <v>6</v>
      </c>
      <c r="R5817" s="160">
        <f t="shared" si="965"/>
        <v>2.8333333333139308</v>
      </c>
      <c r="S5817" s="158">
        <f t="shared" si="966"/>
        <v>0.16037735848946777</v>
      </c>
      <c r="T5817" s="161">
        <f t="shared" si="967"/>
        <v>119.80188679163243</v>
      </c>
      <c r="U5817" s="158">
        <f t="shared" si="969"/>
        <v>42.283018867924525</v>
      </c>
      <c r="V5817" s="160">
        <f t="shared" si="968"/>
        <v>42</v>
      </c>
    </row>
    <row r="5818" spans="1:22" x14ac:dyDescent="0.25">
      <c r="A5818" s="98" t="s">
        <v>69</v>
      </c>
      <c r="B5818" s="98" t="s">
        <v>17</v>
      </c>
      <c r="C5818" s="98">
        <v>90</v>
      </c>
      <c r="D5818" s="98">
        <v>1455</v>
      </c>
      <c r="E5818" s="157">
        <v>41438.604166666664</v>
      </c>
      <c r="F5818" s="157">
        <v>41438.770833333336</v>
      </c>
      <c r="G5818" s="98">
        <v>695</v>
      </c>
      <c r="H5818" s="98">
        <v>795</v>
      </c>
      <c r="I5818" s="98">
        <v>747</v>
      </c>
      <c r="J5818" s="98" t="s">
        <v>1990</v>
      </c>
      <c r="K5818" s="98" t="s">
        <v>858</v>
      </c>
      <c r="L5818" s="105" t="str">
        <f t="shared" si="960"/>
        <v>Trimble</v>
      </c>
      <c r="M5818" s="105" t="str">
        <f t="shared" si="961"/>
        <v>Derate</v>
      </c>
      <c r="N5818" s="105" t="str">
        <f t="shared" si="962"/>
        <v>Coal</v>
      </c>
      <c r="O5818" s="105">
        <f>IFERROR(VLOOKUP(A5818,Lookup!$J$5:$P$19,7,FALSE),0)</f>
        <v>3</v>
      </c>
      <c r="P5818" s="159">
        <f t="shared" si="963"/>
        <v>2013</v>
      </c>
      <c r="Q5818" s="159">
        <f t="shared" si="964"/>
        <v>6</v>
      </c>
      <c r="R5818" s="160">
        <f t="shared" si="965"/>
        <v>4.0000000001164153</v>
      </c>
      <c r="S5818" s="158">
        <f t="shared" si="966"/>
        <v>0.50314465410269371</v>
      </c>
      <c r="T5818" s="161">
        <f t="shared" si="967"/>
        <v>375.8490566147122</v>
      </c>
      <c r="U5818" s="158">
        <f t="shared" si="969"/>
        <v>93.962264150943398</v>
      </c>
      <c r="V5818" s="160">
        <f t="shared" si="968"/>
        <v>94</v>
      </c>
    </row>
    <row r="5819" spans="1:22" x14ac:dyDescent="0.25">
      <c r="A5819" s="98" t="s">
        <v>69</v>
      </c>
      <c r="B5819" s="98" t="s">
        <v>17</v>
      </c>
      <c r="C5819" s="98">
        <v>91</v>
      </c>
      <c r="D5819" s="98">
        <v>1455</v>
      </c>
      <c r="E5819" s="157">
        <v>41439.166666666664</v>
      </c>
      <c r="F5819" s="157">
        <v>41439.201388888891</v>
      </c>
      <c r="G5819" s="98">
        <v>650</v>
      </c>
      <c r="H5819" s="98">
        <v>795</v>
      </c>
      <c r="I5819" s="98">
        <v>747</v>
      </c>
      <c r="J5819" s="98" t="s">
        <v>1990</v>
      </c>
      <c r="K5819" s="98" t="s">
        <v>858</v>
      </c>
      <c r="L5819" s="105" t="str">
        <f t="shared" si="960"/>
        <v>Trimble</v>
      </c>
      <c r="M5819" s="105" t="str">
        <f t="shared" si="961"/>
        <v>Derate</v>
      </c>
      <c r="N5819" s="105" t="str">
        <f t="shared" si="962"/>
        <v>Coal</v>
      </c>
      <c r="O5819" s="105">
        <f>IFERROR(VLOOKUP(A5819,Lookup!$J$5:$P$19,7,FALSE),0)</f>
        <v>3</v>
      </c>
      <c r="P5819" s="159">
        <f t="shared" si="963"/>
        <v>2013</v>
      </c>
      <c r="Q5819" s="159">
        <f t="shared" si="964"/>
        <v>6</v>
      </c>
      <c r="R5819" s="160">
        <f t="shared" si="965"/>
        <v>0.8333333334303461</v>
      </c>
      <c r="S5819" s="158">
        <f t="shared" si="966"/>
        <v>0.15199161427345936</v>
      </c>
      <c r="T5819" s="161">
        <f t="shared" si="967"/>
        <v>113.53773586227415</v>
      </c>
      <c r="U5819" s="158">
        <f t="shared" si="969"/>
        <v>136.24528301886792</v>
      </c>
      <c r="V5819" s="160">
        <f t="shared" si="968"/>
        <v>136</v>
      </c>
    </row>
    <row r="5820" spans="1:22" x14ac:dyDescent="0.25">
      <c r="A5820" s="98" t="s">
        <v>69</v>
      </c>
      <c r="B5820" s="98" t="s">
        <v>17</v>
      </c>
      <c r="C5820" s="98">
        <v>92</v>
      </c>
      <c r="D5820" s="98">
        <v>1455</v>
      </c>
      <c r="E5820" s="157">
        <v>41439.201388888891</v>
      </c>
      <c r="F5820" s="157">
        <v>41439.222222222219</v>
      </c>
      <c r="G5820" s="98">
        <v>623</v>
      </c>
      <c r="H5820" s="98">
        <v>795</v>
      </c>
      <c r="I5820" s="98">
        <v>747</v>
      </c>
      <c r="J5820" s="98" t="s">
        <v>1990</v>
      </c>
      <c r="K5820" s="98" t="s">
        <v>858</v>
      </c>
      <c r="L5820" s="105" t="str">
        <f t="shared" si="960"/>
        <v>Trimble</v>
      </c>
      <c r="M5820" s="105" t="str">
        <f t="shared" si="961"/>
        <v>Derate</v>
      </c>
      <c r="N5820" s="105" t="str">
        <f t="shared" si="962"/>
        <v>Coal</v>
      </c>
      <c r="O5820" s="105">
        <f>IFERROR(VLOOKUP(A5820,Lookup!$J$5:$P$19,7,FALSE),0)</f>
        <v>3</v>
      </c>
      <c r="P5820" s="159">
        <f t="shared" si="963"/>
        <v>2013</v>
      </c>
      <c r="Q5820" s="159">
        <f t="shared" si="964"/>
        <v>6</v>
      </c>
      <c r="R5820" s="160">
        <f t="shared" si="965"/>
        <v>0.49999999988358468</v>
      </c>
      <c r="S5820" s="158">
        <f t="shared" si="966"/>
        <v>0.10817610060374411</v>
      </c>
      <c r="T5820" s="161">
        <f t="shared" si="967"/>
        <v>80.807547150996854</v>
      </c>
      <c r="U5820" s="158">
        <f t="shared" si="969"/>
        <v>161.61509433962263</v>
      </c>
      <c r="V5820" s="160">
        <f t="shared" si="968"/>
        <v>162</v>
      </c>
    </row>
    <row r="5821" spans="1:22" x14ac:dyDescent="0.25">
      <c r="A5821" s="98" t="s">
        <v>69</v>
      </c>
      <c r="B5821" s="98" t="s">
        <v>17</v>
      </c>
      <c r="C5821" s="98">
        <v>93</v>
      </c>
      <c r="D5821" s="98">
        <v>1455</v>
      </c>
      <c r="E5821" s="157">
        <v>41439.222222222219</v>
      </c>
      <c r="F5821" s="157">
        <v>41439.423611111109</v>
      </c>
      <c r="G5821" s="98">
        <v>270</v>
      </c>
      <c r="H5821" s="98">
        <v>795</v>
      </c>
      <c r="I5821" s="98">
        <v>747</v>
      </c>
      <c r="J5821" s="98" t="s">
        <v>1990</v>
      </c>
      <c r="K5821" s="98" t="s">
        <v>859</v>
      </c>
      <c r="L5821" s="105" t="str">
        <f t="shared" si="960"/>
        <v>Trimble</v>
      </c>
      <c r="M5821" s="105" t="str">
        <f t="shared" si="961"/>
        <v>Derate</v>
      </c>
      <c r="N5821" s="105" t="str">
        <f t="shared" si="962"/>
        <v>Coal</v>
      </c>
      <c r="O5821" s="105">
        <f>IFERROR(VLOOKUP(A5821,Lookup!$J$5:$P$19,7,FALSE),0)</f>
        <v>3</v>
      </c>
      <c r="P5821" s="159">
        <f t="shared" si="963"/>
        <v>2013</v>
      </c>
      <c r="Q5821" s="159">
        <f t="shared" si="964"/>
        <v>6</v>
      </c>
      <c r="R5821" s="160">
        <f t="shared" si="965"/>
        <v>4.8333333333721384</v>
      </c>
      <c r="S5821" s="158">
        <f t="shared" si="966"/>
        <v>3.1918238993966952</v>
      </c>
      <c r="T5821" s="161">
        <f t="shared" si="967"/>
        <v>2384.2924528493313</v>
      </c>
      <c r="U5821" s="158">
        <f t="shared" si="969"/>
        <v>493.30188679245282</v>
      </c>
      <c r="V5821" s="160">
        <f t="shared" si="968"/>
        <v>493</v>
      </c>
    </row>
    <row r="5822" spans="1:22" x14ac:dyDescent="0.25">
      <c r="A5822" s="98" t="s">
        <v>69</v>
      </c>
      <c r="B5822" s="98" t="s">
        <v>17</v>
      </c>
      <c r="C5822" s="98">
        <v>94</v>
      </c>
      <c r="D5822" s="98">
        <v>9610</v>
      </c>
      <c r="E5822" s="157">
        <v>41439.423611111109</v>
      </c>
      <c r="F5822" s="157">
        <v>41439.572916666664</v>
      </c>
      <c r="G5822" s="98">
        <v>445</v>
      </c>
      <c r="H5822" s="98">
        <v>795</v>
      </c>
      <c r="I5822" s="98">
        <v>747</v>
      </c>
      <c r="J5822" s="98" t="s">
        <v>3087</v>
      </c>
      <c r="K5822" s="98" t="s">
        <v>860</v>
      </c>
      <c r="L5822" s="105" t="str">
        <f t="shared" si="960"/>
        <v>Trimble</v>
      </c>
      <c r="M5822" s="105" t="str">
        <f t="shared" si="961"/>
        <v>Derate</v>
      </c>
      <c r="N5822" s="105" t="str">
        <f t="shared" si="962"/>
        <v>Coal</v>
      </c>
      <c r="O5822" s="105">
        <f>IFERROR(VLOOKUP(A5822,Lookup!$J$5:$P$19,7,FALSE),0)</f>
        <v>3</v>
      </c>
      <c r="P5822" s="159">
        <f t="shared" si="963"/>
        <v>2013</v>
      </c>
      <c r="Q5822" s="159">
        <f t="shared" si="964"/>
        <v>6</v>
      </c>
      <c r="R5822" s="160">
        <f t="shared" si="965"/>
        <v>3.5833333333139308</v>
      </c>
      <c r="S5822" s="158">
        <f t="shared" si="966"/>
        <v>1.5775681341633658</v>
      </c>
      <c r="T5822" s="161">
        <f t="shared" si="967"/>
        <v>1178.4433962200342</v>
      </c>
      <c r="U5822" s="158">
        <f t="shared" si="969"/>
        <v>328.8679245283019</v>
      </c>
      <c r="V5822" s="160">
        <f t="shared" si="968"/>
        <v>329</v>
      </c>
    </row>
    <row r="5823" spans="1:22" x14ac:dyDescent="0.25">
      <c r="A5823" s="98" t="s">
        <v>69</v>
      </c>
      <c r="B5823" s="98" t="s">
        <v>17</v>
      </c>
      <c r="C5823" s="98">
        <v>95</v>
      </c>
      <c r="D5823" s="98">
        <v>9616</v>
      </c>
      <c r="E5823" s="157">
        <v>41444.315972222219</v>
      </c>
      <c r="F5823" s="157">
        <v>41444.411805555559</v>
      </c>
      <c r="G5823" s="98">
        <v>690</v>
      </c>
      <c r="H5823" s="98">
        <v>795</v>
      </c>
      <c r="I5823" s="98">
        <v>747</v>
      </c>
      <c r="J5823" s="98" t="s">
        <v>3088</v>
      </c>
      <c r="K5823" s="98" t="s">
        <v>861</v>
      </c>
      <c r="L5823" s="105" t="str">
        <f t="shared" si="960"/>
        <v>Trimble</v>
      </c>
      <c r="M5823" s="105" t="str">
        <f t="shared" si="961"/>
        <v>Derate</v>
      </c>
      <c r="N5823" s="105" t="str">
        <f t="shared" si="962"/>
        <v>Coal</v>
      </c>
      <c r="O5823" s="105">
        <f>IFERROR(VLOOKUP(A5823,Lookup!$J$5:$P$19,7,FALSE),0)</f>
        <v>3</v>
      </c>
      <c r="P5823" s="159">
        <f t="shared" si="963"/>
        <v>2013</v>
      </c>
      <c r="Q5823" s="159">
        <f t="shared" si="964"/>
        <v>6</v>
      </c>
      <c r="R5823" s="160">
        <f t="shared" si="965"/>
        <v>2.3000000001629815</v>
      </c>
      <c r="S5823" s="158">
        <f t="shared" si="966"/>
        <v>0.3037735849271862</v>
      </c>
      <c r="T5823" s="161">
        <f t="shared" si="967"/>
        <v>226.9188679406081</v>
      </c>
      <c r="U5823" s="158">
        <f t="shared" si="969"/>
        <v>98.660377358490564</v>
      </c>
      <c r="V5823" s="160">
        <f t="shared" si="968"/>
        <v>99</v>
      </c>
    </row>
    <row r="5824" spans="1:22" x14ac:dyDescent="0.25">
      <c r="A5824" s="98" t="s">
        <v>69</v>
      </c>
      <c r="B5824" s="98" t="s">
        <v>105</v>
      </c>
      <c r="C5824" s="98">
        <v>96</v>
      </c>
      <c r="D5824" s="98">
        <v>920</v>
      </c>
      <c r="E5824" s="157">
        <v>41447.958333333336</v>
      </c>
      <c r="F5824" s="157">
        <v>41448.229166666664</v>
      </c>
      <c r="G5824" s="98">
        <v>450</v>
      </c>
      <c r="H5824" s="98">
        <v>795</v>
      </c>
      <c r="I5824" s="98">
        <v>747</v>
      </c>
      <c r="J5824" s="98" t="s">
        <v>1974</v>
      </c>
      <c r="K5824" s="98" t="s">
        <v>802</v>
      </c>
      <c r="L5824" s="105" t="str">
        <f t="shared" si="960"/>
        <v>Trimble</v>
      </c>
      <c r="M5824" s="105" t="str">
        <f t="shared" si="961"/>
        <v>Derate</v>
      </c>
      <c r="N5824" s="105" t="str">
        <f t="shared" si="962"/>
        <v>Coal</v>
      </c>
      <c r="O5824" s="105">
        <f>IFERROR(VLOOKUP(A5824,Lookup!$J$5:$P$19,7,FALSE),0)</f>
        <v>3</v>
      </c>
      <c r="P5824" s="159">
        <f t="shared" si="963"/>
        <v>2013</v>
      </c>
      <c r="Q5824" s="159">
        <f t="shared" si="964"/>
        <v>6</v>
      </c>
      <c r="R5824" s="160">
        <f t="shared" si="965"/>
        <v>6.4999999998835847</v>
      </c>
      <c r="S5824" s="158">
        <f t="shared" si="966"/>
        <v>2.8207547169306122</v>
      </c>
      <c r="T5824" s="161">
        <f t="shared" si="967"/>
        <v>2107.1037735471673</v>
      </c>
      <c r="U5824" s="158">
        <f t="shared" si="969"/>
        <v>324.16981132075472</v>
      </c>
      <c r="V5824" s="160">
        <f t="shared" si="968"/>
        <v>324</v>
      </c>
    </row>
    <row r="5825" spans="1:22" x14ac:dyDescent="0.25">
      <c r="A5825" s="98" t="s">
        <v>69</v>
      </c>
      <c r="B5825" s="98" t="s">
        <v>17</v>
      </c>
      <c r="C5825" s="98">
        <v>97</v>
      </c>
      <c r="D5825" s="98">
        <v>9620</v>
      </c>
      <c r="E5825" s="157">
        <v>41451.074305555558</v>
      </c>
      <c r="F5825" s="157">
        <v>41451.09097222222</v>
      </c>
      <c r="G5825" s="98">
        <v>732</v>
      </c>
      <c r="H5825" s="98">
        <v>795</v>
      </c>
      <c r="I5825" s="98">
        <v>747</v>
      </c>
      <c r="J5825" s="98" t="s">
        <v>2029</v>
      </c>
      <c r="K5825" s="98" t="s">
        <v>862</v>
      </c>
      <c r="L5825" s="105" t="str">
        <f t="shared" ref="L5825:L5888" si="970">IF(OR(A5825="BR1",A5825="BR2",A5825="BR3",A5825="BR5",A5825="BR6",A5825="BR7",A5825="BR8",A5825="BR9",A5825="BR10",A5825="BR11"),"Brown",IF(OR(A5825="CR4",A5825="CR5",A5825="CR6",A5825="CR11"),"Cane Run",IF(OR(A5825="GH1",A5825="GH2",A5825="GH3",A5825="GH4"),"Ghent",IF(OR(A5825="GR3",A5825="GR4"),"Green River",IF(OR(A5825="MC1",A5825="MC2",A5825="MC3",A5825="MC4"),"Mill Creek",IF(OR(A5825="TC1",A5825="TC2",A5825="TC5",A5825="TC6",A5825="TC7",A5825="TC8",A5825="TC9",A5825="TC10"),"Trimble",IF(A5825="TY3","Tyrone",IF(OR(A5825="HA1",A5825="HA2",A5825="HA3"),"Haeflin",IF(OR(A5825="PR11",A5825="PR12",A5825="PR13"),"Paddy's Run","Zorn")))))))))</f>
        <v>Trimble</v>
      </c>
      <c r="M5825" s="105" t="str">
        <f t="shared" ref="M5825:M5888" si="971">IF(OR(B5825="D1",B5825="D2",B5825="D3",B5825="D4",B5825="PD"),"Derate",IF(OR(B5825="SF",B5825="U1",B5825="U2",B5825="U3"),"Outage",IF(OR(B5825="ME",B5825="MO"),"Maintenance","Other")))</f>
        <v>Derate</v>
      </c>
      <c r="N5825" s="105" t="str">
        <f t="shared" ref="N5825:N5888" si="972">IF(OR(A5825="BR1",A5825="BR2",A5825="BR3",A5825="CR4",A5825="CR5",A5825="CR6",A5825="GH1",A5825="GH2",A5825="GH3",A5825="GH4",A5825="GR3",A5825="GR4",A5825="MC1",A5825="MC2",A5825="MC3",A5825="MC4",A5825="TC1",A5825="TC2",A5825="TY3"),"Coal","Gas")</f>
        <v>Coal</v>
      </c>
      <c r="O5825" s="105">
        <f>IFERROR(VLOOKUP(A5825,Lookup!$J$5:$P$19,7,FALSE),0)</f>
        <v>3</v>
      </c>
      <c r="P5825" s="159">
        <f t="shared" ref="P5825:P5888" si="973">YEAR(E5825)</f>
        <v>2013</v>
      </c>
      <c r="Q5825" s="159">
        <f t="shared" ref="Q5825:Q5888" si="974">MONTH(E5825)</f>
        <v>6</v>
      </c>
      <c r="R5825" s="160">
        <f t="shared" ref="R5825:R5888" si="975">(F5825-E5825)*24</f>
        <v>0.39999999990686774</v>
      </c>
      <c r="S5825" s="158">
        <f t="shared" ref="S5825:S5888" si="976">R5825*(H5825-G5825)/H5825</f>
        <v>3.1698113200166876E-2</v>
      </c>
      <c r="T5825" s="161">
        <f t="shared" ref="T5825:T5888" si="977">S5825*I5825</f>
        <v>23.678490560524658</v>
      </c>
      <c r="U5825" s="158">
        <f t="shared" si="969"/>
        <v>59.196226415094337</v>
      </c>
      <c r="V5825" s="160">
        <f t="shared" ref="V5825:V5888" si="978">ROUND(U5825,0)</f>
        <v>59</v>
      </c>
    </row>
    <row r="5826" spans="1:22" x14ac:dyDescent="0.25">
      <c r="A5826" s="98" t="s">
        <v>69</v>
      </c>
      <c r="B5826" s="98" t="s">
        <v>17</v>
      </c>
      <c r="C5826" s="98">
        <v>98</v>
      </c>
      <c r="D5826" s="98">
        <v>9620</v>
      </c>
      <c r="E5826" s="157">
        <v>41451.09097222222</v>
      </c>
      <c r="F5826" s="157">
        <v>41451.113888888889</v>
      </c>
      <c r="G5826" s="98">
        <v>685</v>
      </c>
      <c r="H5826" s="98">
        <v>795</v>
      </c>
      <c r="I5826" s="98">
        <v>747</v>
      </c>
      <c r="J5826" s="98" t="s">
        <v>2029</v>
      </c>
      <c r="K5826" s="98" t="s">
        <v>862</v>
      </c>
      <c r="L5826" s="105" t="str">
        <f t="shared" si="970"/>
        <v>Trimble</v>
      </c>
      <c r="M5826" s="105" t="str">
        <f t="shared" si="971"/>
        <v>Derate</v>
      </c>
      <c r="N5826" s="105" t="str">
        <f t="shared" si="972"/>
        <v>Coal</v>
      </c>
      <c r="O5826" s="105">
        <f>IFERROR(VLOOKUP(A5826,Lookup!$J$5:$P$19,7,FALSE),0)</f>
        <v>3</v>
      </c>
      <c r="P5826" s="159">
        <f t="shared" si="973"/>
        <v>2013</v>
      </c>
      <c r="Q5826" s="159">
        <f t="shared" si="974"/>
        <v>6</v>
      </c>
      <c r="R5826" s="160">
        <f t="shared" si="975"/>
        <v>0.55000000004656613</v>
      </c>
      <c r="S5826" s="158">
        <f t="shared" si="976"/>
        <v>7.6100628937260717E-2</v>
      </c>
      <c r="T5826" s="161">
        <f t="shared" si="977"/>
        <v>56.847169816133757</v>
      </c>
      <c r="U5826" s="158">
        <f t="shared" ref="U5826:U5889" si="979">IF(G5826&gt;0,MAX((H5826-G5826),0)*I5826/H5826,I5826)</f>
        <v>103.35849056603773</v>
      </c>
      <c r="V5826" s="160">
        <f t="shared" si="978"/>
        <v>103</v>
      </c>
    </row>
    <row r="5827" spans="1:22" x14ac:dyDescent="0.25">
      <c r="A5827" s="98" t="s">
        <v>69</v>
      </c>
      <c r="B5827" s="98" t="s">
        <v>17</v>
      </c>
      <c r="C5827" s="98">
        <v>99</v>
      </c>
      <c r="D5827" s="98">
        <v>9620</v>
      </c>
      <c r="E5827" s="157">
        <v>41451.113888888889</v>
      </c>
      <c r="F5827" s="157">
        <v>41451.291666666664</v>
      </c>
      <c r="G5827" s="98">
        <v>650</v>
      </c>
      <c r="H5827" s="98">
        <v>795</v>
      </c>
      <c r="I5827" s="98">
        <v>747</v>
      </c>
      <c r="J5827" s="98" t="s">
        <v>2029</v>
      </c>
      <c r="K5827" s="98" t="s">
        <v>862</v>
      </c>
      <c r="L5827" s="105" t="str">
        <f t="shared" si="970"/>
        <v>Trimble</v>
      </c>
      <c r="M5827" s="105" t="str">
        <f t="shared" si="971"/>
        <v>Derate</v>
      </c>
      <c r="N5827" s="105" t="str">
        <f t="shared" si="972"/>
        <v>Coal</v>
      </c>
      <c r="O5827" s="105">
        <f>IFERROR(VLOOKUP(A5827,Lookup!$J$5:$P$19,7,FALSE),0)</f>
        <v>3</v>
      </c>
      <c r="P5827" s="159">
        <f t="shared" si="973"/>
        <v>2013</v>
      </c>
      <c r="Q5827" s="159">
        <f t="shared" si="974"/>
        <v>6</v>
      </c>
      <c r="R5827" s="160">
        <f t="shared" si="975"/>
        <v>4.2666666666045785</v>
      </c>
      <c r="S5827" s="158">
        <f t="shared" si="976"/>
        <v>0.77819706497819352</v>
      </c>
      <c r="T5827" s="161">
        <f t="shared" si="977"/>
        <v>581.31320753871057</v>
      </c>
      <c r="U5827" s="158">
        <f t="shared" si="979"/>
        <v>136.24528301886792</v>
      </c>
      <c r="V5827" s="160">
        <f t="shared" si="978"/>
        <v>136</v>
      </c>
    </row>
    <row r="5828" spans="1:22" x14ac:dyDescent="0.25">
      <c r="A5828" s="98" t="s">
        <v>69</v>
      </c>
      <c r="B5828" s="98" t="s">
        <v>17</v>
      </c>
      <c r="C5828" s="98">
        <v>100</v>
      </c>
      <c r="D5828" s="98">
        <v>9620</v>
      </c>
      <c r="E5828" s="157">
        <v>41452.75</v>
      </c>
      <c r="F5828" s="157">
        <v>41453</v>
      </c>
      <c r="G5828" s="98">
        <v>680</v>
      </c>
      <c r="H5828" s="98">
        <v>795</v>
      </c>
      <c r="I5828" s="98">
        <v>747</v>
      </c>
      <c r="J5828" s="98" t="s">
        <v>2029</v>
      </c>
      <c r="K5828" s="98" t="s">
        <v>862</v>
      </c>
      <c r="L5828" s="105" t="str">
        <f t="shared" si="970"/>
        <v>Trimble</v>
      </c>
      <c r="M5828" s="105" t="str">
        <f t="shared" si="971"/>
        <v>Derate</v>
      </c>
      <c r="N5828" s="105" t="str">
        <f t="shared" si="972"/>
        <v>Coal</v>
      </c>
      <c r="O5828" s="105">
        <f>IFERROR(VLOOKUP(A5828,Lookup!$J$5:$P$19,7,FALSE),0)</f>
        <v>3</v>
      </c>
      <c r="P5828" s="159">
        <f t="shared" si="973"/>
        <v>2013</v>
      </c>
      <c r="Q5828" s="159">
        <f t="shared" si="974"/>
        <v>6</v>
      </c>
      <c r="R5828" s="160">
        <f t="shared" si="975"/>
        <v>6</v>
      </c>
      <c r="S5828" s="158">
        <f t="shared" si="976"/>
        <v>0.86792452830188682</v>
      </c>
      <c r="T5828" s="161">
        <f t="shared" si="977"/>
        <v>648.33962264150944</v>
      </c>
      <c r="U5828" s="158">
        <f t="shared" si="979"/>
        <v>108.05660377358491</v>
      </c>
      <c r="V5828" s="160">
        <f t="shared" si="978"/>
        <v>108</v>
      </c>
    </row>
    <row r="5829" spans="1:22" x14ac:dyDescent="0.25">
      <c r="A5829" s="98" t="s">
        <v>69</v>
      </c>
      <c r="B5829" s="98" t="s">
        <v>105</v>
      </c>
      <c r="C5829" s="98">
        <v>101</v>
      </c>
      <c r="D5829" s="98">
        <v>920</v>
      </c>
      <c r="E5829" s="157">
        <v>41455</v>
      </c>
      <c r="F5829" s="157">
        <v>41455.375</v>
      </c>
      <c r="G5829" s="98">
        <v>450</v>
      </c>
      <c r="H5829" s="98">
        <v>795</v>
      </c>
      <c r="I5829" s="98">
        <v>747</v>
      </c>
      <c r="J5829" s="98" t="s">
        <v>1974</v>
      </c>
      <c r="K5829" s="98" t="s">
        <v>863</v>
      </c>
      <c r="L5829" s="105" t="str">
        <f t="shared" si="970"/>
        <v>Trimble</v>
      </c>
      <c r="M5829" s="105" t="str">
        <f t="shared" si="971"/>
        <v>Derate</v>
      </c>
      <c r="N5829" s="105" t="str">
        <f t="shared" si="972"/>
        <v>Coal</v>
      </c>
      <c r="O5829" s="105">
        <f>IFERROR(VLOOKUP(A5829,Lookup!$J$5:$P$19,7,FALSE),0)</f>
        <v>3</v>
      </c>
      <c r="P5829" s="159">
        <f t="shared" si="973"/>
        <v>2013</v>
      </c>
      <c r="Q5829" s="159">
        <f t="shared" si="974"/>
        <v>6</v>
      </c>
      <c r="R5829" s="160">
        <f t="shared" si="975"/>
        <v>9</v>
      </c>
      <c r="S5829" s="158">
        <f t="shared" si="976"/>
        <v>3.9056603773584904</v>
      </c>
      <c r="T5829" s="161">
        <f t="shared" si="977"/>
        <v>2917.5283018867922</v>
      </c>
      <c r="U5829" s="158">
        <f t="shared" si="979"/>
        <v>324.16981132075472</v>
      </c>
      <c r="V5829" s="160">
        <f t="shared" si="978"/>
        <v>324</v>
      </c>
    </row>
    <row r="5830" spans="1:22" x14ac:dyDescent="0.25">
      <c r="A5830" s="98" t="s">
        <v>69</v>
      </c>
      <c r="B5830" s="98" t="s">
        <v>79</v>
      </c>
      <c r="C5830" s="98">
        <v>102</v>
      </c>
      <c r="D5830" s="98">
        <v>920</v>
      </c>
      <c r="E5830" s="157">
        <v>41462.000694444447</v>
      </c>
      <c r="F5830" s="157">
        <v>41463.15625</v>
      </c>
      <c r="G5830" s="98">
        <v>0</v>
      </c>
      <c r="H5830" s="98">
        <v>795</v>
      </c>
      <c r="I5830" s="98">
        <v>747</v>
      </c>
      <c r="J5830" s="98" t="s">
        <v>1974</v>
      </c>
      <c r="K5830" s="98" t="s">
        <v>864</v>
      </c>
      <c r="L5830" s="105" t="str">
        <f t="shared" si="970"/>
        <v>Trimble</v>
      </c>
      <c r="M5830" s="105" t="str">
        <f t="shared" si="971"/>
        <v>Other</v>
      </c>
      <c r="N5830" s="105" t="str">
        <f t="shared" si="972"/>
        <v>Coal</v>
      </c>
      <c r="O5830" s="105">
        <f>IFERROR(VLOOKUP(A5830,Lookup!$J$5:$P$19,7,FALSE),0)</f>
        <v>3</v>
      </c>
      <c r="P5830" s="159">
        <f t="shared" si="973"/>
        <v>2013</v>
      </c>
      <c r="Q5830" s="159">
        <f t="shared" si="974"/>
        <v>7</v>
      </c>
      <c r="R5830" s="160">
        <f t="shared" si="975"/>
        <v>27.733333333279006</v>
      </c>
      <c r="S5830" s="158">
        <f t="shared" si="976"/>
        <v>27.733333333279006</v>
      </c>
      <c r="T5830" s="161">
        <f t="shared" si="977"/>
        <v>20716.799999959418</v>
      </c>
      <c r="U5830" s="158">
        <f t="shared" si="979"/>
        <v>747</v>
      </c>
      <c r="V5830" s="160">
        <f t="shared" si="978"/>
        <v>747</v>
      </c>
    </row>
    <row r="5831" spans="1:22" x14ac:dyDescent="0.25">
      <c r="A5831" s="98" t="s">
        <v>69</v>
      </c>
      <c r="B5831" s="98" t="s">
        <v>17</v>
      </c>
      <c r="C5831" s="98">
        <v>103</v>
      </c>
      <c r="D5831" s="98">
        <v>9620</v>
      </c>
      <c r="E5831" s="157">
        <v>41463.15625</v>
      </c>
      <c r="F5831" s="157">
        <v>41463.260416666664</v>
      </c>
      <c r="G5831" s="98">
        <v>680</v>
      </c>
      <c r="H5831" s="98">
        <v>795</v>
      </c>
      <c r="I5831" s="98">
        <v>747</v>
      </c>
      <c r="J5831" s="98" t="s">
        <v>2029</v>
      </c>
      <c r="K5831" s="98" t="s">
        <v>865</v>
      </c>
      <c r="L5831" s="105" t="str">
        <f t="shared" si="970"/>
        <v>Trimble</v>
      </c>
      <c r="M5831" s="105" t="str">
        <f t="shared" si="971"/>
        <v>Derate</v>
      </c>
      <c r="N5831" s="105" t="str">
        <f t="shared" si="972"/>
        <v>Coal</v>
      </c>
      <c r="O5831" s="105">
        <f>IFERROR(VLOOKUP(A5831,Lookup!$J$5:$P$19,7,FALSE),0)</f>
        <v>3</v>
      </c>
      <c r="P5831" s="159">
        <f t="shared" si="973"/>
        <v>2013</v>
      </c>
      <c r="Q5831" s="159">
        <f t="shared" si="974"/>
        <v>7</v>
      </c>
      <c r="R5831" s="160">
        <f t="shared" si="975"/>
        <v>2.4999999999417923</v>
      </c>
      <c r="S5831" s="158">
        <f t="shared" si="976"/>
        <v>0.36163522011736621</v>
      </c>
      <c r="T5831" s="161">
        <f t="shared" si="977"/>
        <v>270.14150942767253</v>
      </c>
      <c r="U5831" s="158">
        <f t="shared" si="979"/>
        <v>108.05660377358491</v>
      </c>
      <c r="V5831" s="160">
        <f t="shared" si="978"/>
        <v>108</v>
      </c>
    </row>
    <row r="5832" spans="1:22" x14ac:dyDescent="0.25">
      <c r="A5832" s="98" t="s">
        <v>69</v>
      </c>
      <c r="B5832" s="98" t="s">
        <v>17</v>
      </c>
      <c r="C5832" s="98">
        <v>104</v>
      </c>
      <c r="D5832" s="98">
        <v>9600</v>
      </c>
      <c r="E5832" s="157">
        <v>41463.680555555555</v>
      </c>
      <c r="F5832" s="157">
        <v>41464.017361111109</v>
      </c>
      <c r="G5832" s="98">
        <v>650</v>
      </c>
      <c r="H5832" s="98">
        <v>795</v>
      </c>
      <c r="I5832" s="98">
        <v>747</v>
      </c>
      <c r="J5832" s="98" t="s">
        <v>2111</v>
      </c>
      <c r="K5832" s="98" t="s">
        <v>1846</v>
      </c>
      <c r="L5832" s="105" t="str">
        <f t="shared" si="970"/>
        <v>Trimble</v>
      </c>
      <c r="M5832" s="105" t="str">
        <f t="shared" si="971"/>
        <v>Derate</v>
      </c>
      <c r="N5832" s="105" t="str">
        <f t="shared" si="972"/>
        <v>Coal</v>
      </c>
      <c r="O5832" s="105">
        <f>IFERROR(VLOOKUP(A5832,Lookup!$J$5:$P$19,7,FALSE),0)</f>
        <v>3</v>
      </c>
      <c r="P5832" s="159">
        <f t="shared" si="973"/>
        <v>2013</v>
      </c>
      <c r="Q5832" s="159">
        <f t="shared" si="974"/>
        <v>7</v>
      </c>
      <c r="R5832" s="160">
        <f t="shared" si="975"/>
        <v>8.0833333333139308</v>
      </c>
      <c r="S5832" s="158">
        <f t="shared" si="976"/>
        <v>1.4743186582773835</v>
      </c>
      <c r="T5832" s="161">
        <f t="shared" si="977"/>
        <v>1101.3160377332056</v>
      </c>
      <c r="U5832" s="158">
        <f t="shared" si="979"/>
        <v>136.24528301886792</v>
      </c>
      <c r="V5832" s="160">
        <f t="shared" si="978"/>
        <v>136</v>
      </c>
    </row>
    <row r="5833" spans="1:22" x14ac:dyDescent="0.25">
      <c r="A5833" s="98" t="s">
        <v>69</v>
      </c>
      <c r="B5833" s="98" t="s">
        <v>17</v>
      </c>
      <c r="C5833" s="98">
        <v>105</v>
      </c>
      <c r="D5833" s="98">
        <v>9600</v>
      </c>
      <c r="E5833" s="157">
        <v>41464.879861111112</v>
      </c>
      <c r="F5833" s="157">
        <v>41465</v>
      </c>
      <c r="G5833" s="98">
        <v>700</v>
      </c>
      <c r="H5833" s="98">
        <v>795</v>
      </c>
      <c r="I5833" s="98">
        <v>747</v>
      </c>
      <c r="J5833" s="98" t="s">
        <v>2111</v>
      </c>
      <c r="K5833" s="98" t="s">
        <v>1846</v>
      </c>
      <c r="L5833" s="105" t="str">
        <f t="shared" si="970"/>
        <v>Trimble</v>
      </c>
      <c r="M5833" s="105" t="str">
        <f t="shared" si="971"/>
        <v>Derate</v>
      </c>
      <c r="N5833" s="105" t="str">
        <f t="shared" si="972"/>
        <v>Coal</v>
      </c>
      <c r="O5833" s="105">
        <f>IFERROR(VLOOKUP(A5833,Lookup!$J$5:$P$19,7,FALSE),0)</f>
        <v>3</v>
      </c>
      <c r="P5833" s="159">
        <f t="shared" si="973"/>
        <v>2013</v>
      </c>
      <c r="Q5833" s="159">
        <f t="shared" si="974"/>
        <v>7</v>
      </c>
      <c r="R5833" s="160">
        <f t="shared" si="975"/>
        <v>2.8833333333022892</v>
      </c>
      <c r="S5833" s="158">
        <f t="shared" si="976"/>
        <v>0.34454926624366977</v>
      </c>
      <c r="T5833" s="161">
        <f t="shared" si="977"/>
        <v>257.37830188402131</v>
      </c>
      <c r="U5833" s="158">
        <f t="shared" si="979"/>
        <v>89.264150943396231</v>
      </c>
      <c r="V5833" s="160">
        <f t="shared" si="978"/>
        <v>89</v>
      </c>
    </row>
    <row r="5834" spans="1:22" x14ac:dyDescent="0.25">
      <c r="A5834" s="98" t="s">
        <v>69</v>
      </c>
      <c r="B5834" s="98" t="s">
        <v>17</v>
      </c>
      <c r="C5834" s="98">
        <v>106</v>
      </c>
      <c r="D5834" s="98">
        <v>8650</v>
      </c>
      <c r="E5834" s="157">
        <v>41465.0625</v>
      </c>
      <c r="F5834" s="157">
        <v>41465.083333333336</v>
      </c>
      <c r="G5834" s="98">
        <v>739</v>
      </c>
      <c r="H5834" s="98">
        <v>795</v>
      </c>
      <c r="I5834" s="98">
        <v>747</v>
      </c>
      <c r="J5834" s="98" t="s">
        <v>2668</v>
      </c>
      <c r="K5834" s="98" t="s">
        <v>1847</v>
      </c>
      <c r="L5834" s="105" t="str">
        <f t="shared" si="970"/>
        <v>Trimble</v>
      </c>
      <c r="M5834" s="105" t="str">
        <f t="shared" si="971"/>
        <v>Derate</v>
      </c>
      <c r="N5834" s="105" t="str">
        <f t="shared" si="972"/>
        <v>Coal</v>
      </c>
      <c r="O5834" s="105">
        <f>IFERROR(VLOOKUP(A5834,Lookup!$J$5:$P$19,7,FALSE),0)</f>
        <v>3</v>
      </c>
      <c r="P5834" s="159">
        <f t="shared" si="973"/>
        <v>2013</v>
      </c>
      <c r="Q5834" s="159">
        <f t="shared" si="974"/>
        <v>7</v>
      </c>
      <c r="R5834" s="160">
        <f t="shared" si="975"/>
        <v>0.50000000005820766</v>
      </c>
      <c r="S5834" s="158">
        <f t="shared" si="976"/>
        <v>3.5220125790263686E-2</v>
      </c>
      <c r="T5834" s="161">
        <f t="shared" si="977"/>
        <v>26.309433965326974</v>
      </c>
      <c r="U5834" s="158">
        <f t="shared" si="979"/>
        <v>52.618867924528303</v>
      </c>
      <c r="V5834" s="160">
        <f t="shared" si="978"/>
        <v>53</v>
      </c>
    </row>
    <row r="5835" spans="1:22" x14ac:dyDescent="0.25">
      <c r="A5835" s="98" t="s">
        <v>69</v>
      </c>
      <c r="B5835" s="98" t="s">
        <v>17</v>
      </c>
      <c r="C5835" s="98">
        <v>107</v>
      </c>
      <c r="D5835" s="98">
        <v>9620</v>
      </c>
      <c r="E5835" s="157">
        <v>41466.170138888891</v>
      </c>
      <c r="F5835" s="157">
        <v>41466.291666666664</v>
      </c>
      <c r="G5835" s="98">
        <v>725</v>
      </c>
      <c r="H5835" s="98">
        <v>795</v>
      </c>
      <c r="I5835" s="98">
        <v>747</v>
      </c>
      <c r="J5835" s="98" t="s">
        <v>2029</v>
      </c>
      <c r="K5835" s="98" t="s">
        <v>1848</v>
      </c>
      <c r="L5835" s="105" t="str">
        <f t="shared" si="970"/>
        <v>Trimble</v>
      </c>
      <c r="M5835" s="105" t="str">
        <f t="shared" si="971"/>
        <v>Derate</v>
      </c>
      <c r="N5835" s="105" t="str">
        <f t="shared" si="972"/>
        <v>Coal</v>
      </c>
      <c r="O5835" s="105">
        <f>IFERROR(VLOOKUP(A5835,Lookup!$J$5:$P$19,7,FALSE),0)</f>
        <v>3</v>
      </c>
      <c r="P5835" s="159">
        <f t="shared" si="973"/>
        <v>2013</v>
      </c>
      <c r="Q5835" s="159">
        <f t="shared" si="974"/>
        <v>7</v>
      </c>
      <c r="R5835" s="160">
        <f t="shared" si="975"/>
        <v>2.9166666665696539</v>
      </c>
      <c r="S5835" s="158">
        <f t="shared" si="976"/>
        <v>0.25681341718223366</v>
      </c>
      <c r="T5835" s="161">
        <f t="shared" si="977"/>
        <v>191.83962263512853</v>
      </c>
      <c r="U5835" s="158">
        <f t="shared" si="979"/>
        <v>65.773584905660371</v>
      </c>
      <c r="V5835" s="160">
        <f t="shared" si="978"/>
        <v>66</v>
      </c>
    </row>
    <row r="5836" spans="1:22" x14ac:dyDescent="0.25">
      <c r="A5836" s="98" t="s">
        <v>69</v>
      </c>
      <c r="B5836" s="98" t="s">
        <v>79</v>
      </c>
      <c r="C5836" s="98">
        <v>108</v>
      </c>
      <c r="D5836" s="98">
        <v>8810</v>
      </c>
      <c r="E5836" s="157">
        <v>41471</v>
      </c>
      <c r="F5836" s="157">
        <v>41471.125</v>
      </c>
      <c r="G5836" s="98">
        <v>0</v>
      </c>
      <c r="H5836" s="98">
        <v>795</v>
      </c>
      <c r="I5836" s="98">
        <v>747</v>
      </c>
      <c r="J5836" s="98" t="s">
        <v>2984</v>
      </c>
      <c r="K5836" s="98" t="s">
        <v>1849</v>
      </c>
      <c r="L5836" s="105" t="str">
        <f t="shared" si="970"/>
        <v>Trimble</v>
      </c>
      <c r="M5836" s="105" t="str">
        <f t="shared" si="971"/>
        <v>Other</v>
      </c>
      <c r="N5836" s="105" t="str">
        <f t="shared" si="972"/>
        <v>Coal</v>
      </c>
      <c r="O5836" s="105">
        <f>IFERROR(VLOOKUP(A5836,Lookup!$J$5:$P$19,7,FALSE),0)</f>
        <v>3</v>
      </c>
      <c r="P5836" s="159">
        <f t="shared" si="973"/>
        <v>2013</v>
      </c>
      <c r="Q5836" s="159">
        <f t="shared" si="974"/>
        <v>7</v>
      </c>
      <c r="R5836" s="160">
        <f t="shared" si="975"/>
        <v>3</v>
      </c>
      <c r="S5836" s="158">
        <f t="shared" si="976"/>
        <v>3</v>
      </c>
      <c r="T5836" s="161">
        <f t="shared" si="977"/>
        <v>2241</v>
      </c>
      <c r="U5836" s="158">
        <f t="shared" si="979"/>
        <v>747</v>
      </c>
      <c r="V5836" s="160">
        <f t="shared" si="978"/>
        <v>747</v>
      </c>
    </row>
    <row r="5837" spans="1:22" x14ac:dyDescent="0.25">
      <c r="A5837" s="98" t="s">
        <v>69</v>
      </c>
      <c r="B5837" s="98" t="s">
        <v>79</v>
      </c>
      <c r="C5837" s="98">
        <v>109</v>
      </c>
      <c r="D5837" s="98">
        <v>1190</v>
      </c>
      <c r="E5837" s="157">
        <v>41476</v>
      </c>
      <c r="F5837" s="157">
        <v>41476.291666666664</v>
      </c>
      <c r="G5837" s="98">
        <v>0</v>
      </c>
      <c r="H5837" s="98">
        <v>795</v>
      </c>
      <c r="I5837" s="98">
        <v>747</v>
      </c>
      <c r="J5837" s="98" t="s">
        <v>2007</v>
      </c>
      <c r="K5837" s="98" t="s">
        <v>1850</v>
      </c>
      <c r="L5837" s="105" t="str">
        <f t="shared" si="970"/>
        <v>Trimble</v>
      </c>
      <c r="M5837" s="105" t="str">
        <f t="shared" si="971"/>
        <v>Other</v>
      </c>
      <c r="N5837" s="105" t="str">
        <f t="shared" si="972"/>
        <v>Coal</v>
      </c>
      <c r="O5837" s="105">
        <f>IFERROR(VLOOKUP(A5837,Lookup!$J$5:$P$19,7,FALSE),0)</f>
        <v>3</v>
      </c>
      <c r="P5837" s="159">
        <f t="shared" si="973"/>
        <v>2013</v>
      </c>
      <c r="Q5837" s="159">
        <f t="shared" si="974"/>
        <v>7</v>
      </c>
      <c r="R5837" s="160">
        <f t="shared" si="975"/>
        <v>6.9999999999417923</v>
      </c>
      <c r="S5837" s="158">
        <f t="shared" si="976"/>
        <v>6.9999999999417923</v>
      </c>
      <c r="T5837" s="161">
        <f t="shared" si="977"/>
        <v>5228.9999999565189</v>
      </c>
      <c r="U5837" s="158">
        <f t="shared" si="979"/>
        <v>747</v>
      </c>
      <c r="V5837" s="160">
        <f t="shared" si="978"/>
        <v>747</v>
      </c>
    </row>
    <row r="5838" spans="1:22" x14ac:dyDescent="0.25">
      <c r="A5838" s="98" t="s">
        <v>69</v>
      </c>
      <c r="B5838" s="98" t="s">
        <v>17</v>
      </c>
      <c r="C5838" s="98">
        <v>110</v>
      </c>
      <c r="D5838" s="98">
        <v>4250</v>
      </c>
      <c r="E5838" s="157">
        <v>41476.916666666664</v>
      </c>
      <c r="F5838" s="157">
        <v>41477</v>
      </c>
      <c r="G5838" s="98">
        <v>750</v>
      </c>
      <c r="H5838" s="98">
        <v>795</v>
      </c>
      <c r="I5838" s="98">
        <v>747</v>
      </c>
      <c r="J5838" s="98" t="s">
        <v>2098</v>
      </c>
      <c r="K5838" s="98" t="s">
        <v>1851</v>
      </c>
      <c r="L5838" s="105" t="str">
        <f t="shared" si="970"/>
        <v>Trimble</v>
      </c>
      <c r="M5838" s="105" t="str">
        <f t="shared" si="971"/>
        <v>Derate</v>
      </c>
      <c r="N5838" s="105" t="str">
        <f t="shared" si="972"/>
        <v>Coal</v>
      </c>
      <c r="O5838" s="105">
        <f>IFERROR(VLOOKUP(A5838,Lookup!$J$5:$P$19,7,FALSE),0)</f>
        <v>3</v>
      </c>
      <c r="P5838" s="159">
        <f t="shared" si="973"/>
        <v>2013</v>
      </c>
      <c r="Q5838" s="159">
        <f t="shared" si="974"/>
        <v>7</v>
      </c>
      <c r="R5838" s="160">
        <f t="shared" si="975"/>
        <v>2.0000000000582077</v>
      </c>
      <c r="S5838" s="158">
        <f t="shared" si="976"/>
        <v>0.11320754717310609</v>
      </c>
      <c r="T5838" s="161">
        <f t="shared" si="977"/>
        <v>84.566037738310243</v>
      </c>
      <c r="U5838" s="158">
        <f t="shared" si="979"/>
        <v>42.283018867924525</v>
      </c>
      <c r="V5838" s="160">
        <f t="shared" si="978"/>
        <v>42</v>
      </c>
    </row>
    <row r="5839" spans="1:22" x14ac:dyDescent="0.25">
      <c r="A5839" s="98" t="s">
        <v>69</v>
      </c>
      <c r="B5839" s="98" t="s">
        <v>79</v>
      </c>
      <c r="C5839" s="98">
        <v>111</v>
      </c>
      <c r="D5839" s="98">
        <v>1190</v>
      </c>
      <c r="E5839" s="157">
        <v>41483</v>
      </c>
      <c r="F5839" s="157">
        <v>41483.375</v>
      </c>
      <c r="G5839" s="98">
        <v>0</v>
      </c>
      <c r="H5839" s="98">
        <v>795</v>
      </c>
      <c r="I5839" s="98">
        <v>747</v>
      </c>
      <c r="J5839" s="98" t="s">
        <v>2007</v>
      </c>
      <c r="K5839" s="98" t="s">
        <v>1850</v>
      </c>
      <c r="L5839" s="105" t="str">
        <f t="shared" si="970"/>
        <v>Trimble</v>
      </c>
      <c r="M5839" s="105" t="str">
        <f t="shared" si="971"/>
        <v>Other</v>
      </c>
      <c r="N5839" s="105" t="str">
        <f t="shared" si="972"/>
        <v>Coal</v>
      </c>
      <c r="O5839" s="105">
        <f>IFERROR(VLOOKUP(A5839,Lookup!$J$5:$P$19,7,FALSE),0)</f>
        <v>3</v>
      </c>
      <c r="P5839" s="159">
        <f t="shared" si="973"/>
        <v>2013</v>
      </c>
      <c r="Q5839" s="159">
        <f t="shared" si="974"/>
        <v>7</v>
      </c>
      <c r="R5839" s="160">
        <f t="shared" si="975"/>
        <v>9</v>
      </c>
      <c r="S5839" s="158">
        <f t="shared" si="976"/>
        <v>9</v>
      </c>
      <c r="T5839" s="161">
        <f t="shared" si="977"/>
        <v>6723</v>
      </c>
      <c r="U5839" s="158">
        <f t="shared" si="979"/>
        <v>747</v>
      </c>
      <c r="V5839" s="160">
        <f t="shared" si="978"/>
        <v>747</v>
      </c>
    </row>
    <row r="5840" spans="1:22" x14ac:dyDescent="0.25">
      <c r="A5840" s="98" t="s">
        <v>69</v>
      </c>
      <c r="B5840" s="98" t="s">
        <v>79</v>
      </c>
      <c r="C5840" s="98">
        <v>112</v>
      </c>
      <c r="D5840" s="98">
        <v>1990</v>
      </c>
      <c r="E5840" s="157">
        <v>41485.333333333336</v>
      </c>
      <c r="F5840" s="157">
        <v>41485.5</v>
      </c>
      <c r="G5840" s="98">
        <v>0</v>
      </c>
      <c r="H5840" s="98">
        <v>795</v>
      </c>
      <c r="I5840" s="98">
        <v>747</v>
      </c>
      <c r="J5840" s="98" t="s">
        <v>2114</v>
      </c>
      <c r="K5840" s="98" t="s">
        <v>1852</v>
      </c>
      <c r="L5840" s="105" t="str">
        <f t="shared" si="970"/>
        <v>Trimble</v>
      </c>
      <c r="M5840" s="105" t="str">
        <f t="shared" si="971"/>
        <v>Other</v>
      </c>
      <c r="N5840" s="105" t="str">
        <f t="shared" si="972"/>
        <v>Coal</v>
      </c>
      <c r="O5840" s="105">
        <f>IFERROR(VLOOKUP(A5840,Lookup!$J$5:$P$19,7,FALSE),0)</f>
        <v>3</v>
      </c>
      <c r="P5840" s="159">
        <f t="shared" si="973"/>
        <v>2013</v>
      </c>
      <c r="Q5840" s="159">
        <f t="shared" si="974"/>
        <v>7</v>
      </c>
      <c r="R5840" s="160">
        <f t="shared" si="975"/>
        <v>3.9999999999417923</v>
      </c>
      <c r="S5840" s="158">
        <f t="shared" si="976"/>
        <v>3.9999999999417923</v>
      </c>
      <c r="T5840" s="161">
        <f t="shared" si="977"/>
        <v>2987.9999999565189</v>
      </c>
      <c r="U5840" s="158">
        <f t="shared" si="979"/>
        <v>747</v>
      </c>
      <c r="V5840" s="160">
        <f t="shared" si="978"/>
        <v>747</v>
      </c>
    </row>
    <row r="5841" spans="1:22" x14ac:dyDescent="0.25">
      <c r="A5841" s="98" t="s">
        <v>69</v>
      </c>
      <c r="B5841" s="98" t="s">
        <v>17</v>
      </c>
      <c r="C5841" s="98">
        <v>113</v>
      </c>
      <c r="D5841" s="98">
        <v>8125</v>
      </c>
      <c r="E5841" s="157">
        <v>41487.743055555555</v>
      </c>
      <c r="F5841" s="157">
        <v>41487.849305555559</v>
      </c>
      <c r="G5841" s="98">
        <v>680</v>
      </c>
      <c r="H5841" s="98">
        <v>795</v>
      </c>
      <c r="I5841" s="98">
        <v>747</v>
      </c>
      <c r="J5841" s="98" t="s">
        <v>2267</v>
      </c>
      <c r="K5841" s="98" t="s">
        <v>1853</v>
      </c>
      <c r="L5841" s="105" t="str">
        <f t="shared" si="970"/>
        <v>Trimble</v>
      </c>
      <c r="M5841" s="105" t="str">
        <f t="shared" si="971"/>
        <v>Derate</v>
      </c>
      <c r="N5841" s="105" t="str">
        <f t="shared" si="972"/>
        <v>Coal</v>
      </c>
      <c r="O5841" s="105">
        <f>IFERROR(VLOOKUP(A5841,Lookup!$J$5:$P$19,7,FALSE),0)</f>
        <v>3</v>
      </c>
      <c r="P5841" s="159">
        <f t="shared" si="973"/>
        <v>2013</v>
      </c>
      <c r="Q5841" s="159">
        <f t="shared" si="974"/>
        <v>8</v>
      </c>
      <c r="R5841" s="160">
        <f t="shared" si="975"/>
        <v>2.5500000001047738</v>
      </c>
      <c r="S5841" s="158">
        <f t="shared" si="976"/>
        <v>0.36886792454345785</v>
      </c>
      <c r="T5841" s="161">
        <f t="shared" si="977"/>
        <v>275.54433963396303</v>
      </c>
      <c r="U5841" s="158">
        <f t="shared" si="979"/>
        <v>108.05660377358491</v>
      </c>
      <c r="V5841" s="160">
        <f t="shared" si="978"/>
        <v>108</v>
      </c>
    </row>
    <row r="5842" spans="1:22" x14ac:dyDescent="0.25">
      <c r="A5842" s="98" t="s">
        <v>69</v>
      </c>
      <c r="B5842" s="98" t="s">
        <v>79</v>
      </c>
      <c r="C5842" s="98">
        <v>114</v>
      </c>
      <c r="D5842" s="98">
        <v>1190</v>
      </c>
      <c r="E5842" s="157">
        <v>41490</v>
      </c>
      <c r="F5842" s="157">
        <v>41490.375</v>
      </c>
      <c r="G5842" s="98">
        <v>0</v>
      </c>
      <c r="H5842" s="98">
        <v>795</v>
      </c>
      <c r="I5842" s="98">
        <v>747</v>
      </c>
      <c r="J5842" s="98" t="s">
        <v>2007</v>
      </c>
      <c r="K5842" s="98" t="s">
        <v>1854</v>
      </c>
      <c r="L5842" s="105" t="str">
        <f t="shared" si="970"/>
        <v>Trimble</v>
      </c>
      <c r="M5842" s="105" t="str">
        <f t="shared" si="971"/>
        <v>Other</v>
      </c>
      <c r="N5842" s="105" t="str">
        <f t="shared" si="972"/>
        <v>Coal</v>
      </c>
      <c r="O5842" s="105">
        <f>IFERROR(VLOOKUP(A5842,Lookup!$J$5:$P$19,7,FALSE),0)</f>
        <v>3</v>
      </c>
      <c r="P5842" s="159">
        <f t="shared" si="973"/>
        <v>2013</v>
      </c>
      <c r="Q5842" s="159">
        <f t="shared" si="974"/>
        <v>8</v>
      </c>
      <c r="R5842" s="160">
        <f t="shared" si="975"/>
        <v>9</v>
      </c>
      <c r="S5842" s="158">
        <f t="shared" si="976"/>
        <v>9</v>
      </c>
      <c r="T5842" s="161">
        <f t="shared" si="977"/>
        <v>6723</v>
      </c>
      <c r="U5842" s="158">
        <f t="shared" si="979"/>
        <v>747</v>
      </c>
      <c r="V5842" s="160">
        <f t="shared" si="978"/>
        <v>747</v>
      </c>
    </row>
    <row r="5843" spans="1:22" x14ac:dyDescent="0.25">
      <c r="A5843" s="98" t="s">
        <v>69</v>
      </c>
      <c r="B5843" s="98" t="s">
        <v>17</v>
      </c>
      <c r="C5843" s="98">
        <v>115</v>
      </c>
      <c r="D5843" s="98">
        <v>9616</v>
      </c>
      <c r="E5843" s="157">
        <v>41493.055555555555</v>
      </c>
      <c r="F5843" s="157">
        <v>41493.121527777781</v>
      </c>
      <c r="G5843" s="98">
        <v>681</v>
      </c>
      <c r="H5843" s="98">
        <v>795</v>
      </c>
      <c r="I5843" s="98">
        <v>747</v>
      </c>
      <c r="J5843" s="98" t="s">
        <v>3088</v>
      </c>
      <c r="K5843" s="98" t="s">
        <v>1855</v>
      </c>
      <c r="L5843" s="105" t="str">
        <f t="shared" si="970"/>
        <v>Trimble</v>
      </c>
      <c r="M5843" s="105" t="str">
        <f t="shared" si="971"/>
        <v>Derate</v>
      </c>
      <c r="N5843" s="105" t="str">
        <f t="shared" si="972"/>
        <v>Coal</v>
      </c>
      <c r="O5843" s="105">
        <f>IFERROR(VLOOKUP(A5843,Lookup!$J$5:$P$19,7,FALSE),0)</f>
        <v>3</v>
      </c>
      <c r="P5843" s="159">
        <f t="shared" si="973"/>
        <v>2013</v>
      </c>
      <c r="Q5843" s="159">
        <f t="shared" si="974"/>
        <v>8</v>
      </c>
      <c r="R5843" s="160">
        <f t="shared" si="975"/>
        <v>1.5833333334303461</v>
      </c>
      <c r="S5843" s="158">
        <f t="shared" si="976"/>
        <v>0.22704402517114397</v>
      </c>
      <c r="T5843" s="161">
        <f t="shared" si="977"/>
        <v>169.60188680284455</v>
      </c>
      <c r="U5843" s="158">
        <f t="shared" si="979"/>
        <v>107.11698113207547</v>
      </c>
      <c r="V5843" s="160">
        <f t="shared" si="978"/>
        <v>107</v>
      </c>
    </row>
    <row r="5844" spans="1:22" x14ac:dyDescent="0.25">
      <c r="A5844" s="98" t="s">
        <v>69</v>
      </c>
      <c r="B5844" s="98" t="s">
        <v>17</v>
      </c>
      <c r="C5844" s="98">
        <v>116</v>
      </c>
      <c r="D5844" s="98">
        <v>310</v>
      </c>
      <c r="E5844" s="157">
        <v>41493.462500000001</v>
      </c>
      <c r="F5844" s="157">
        <v>41493.5</v>
      </c>
      <c r="G5844" s="98">
        <v>650</v>
      </c>
      <c r="H5844" s="98">
        <v>795</v>
      </c>
      <c r="I5844" s="98">
        <v>747</v>
      </c>
      <c r="J5844" s="98" t="s">
        <v>1966</v>
      </c>
      <c r="K5844" s="98" t="s">
        <v>1856</v>
      </c>
      <c r="L5844" s="105" t="str">
        <f t="shared" si="970"/>
        <v>Trimble</v>
      </c>
      <c r="M5844" s="105" t="str">
        <f t="shared" si="971"/>
        <v>Derate</v>
      </c>
      <c r="N5844" s="105" t="str">
        <f t="shared" si="972"/>
        <v>Coal</v>
      </c>
      <c r="O5844" s="105">
        <f>IFERROR(VLOOKUP(A5844,Lookup!$J$5:$P$19,7,FALSE),0)</f>
        <v>3</v>
      </c>
      <c r="P5844" s="159">
        <f t="shared" si="973"/>
        <v>2013</v>
      </c>
      <c r="Q5844" s="159">
        <f t="shared" si="974"/>
        <v>8</v>
      </c>
      <c r="R5844" s="160">
        <f t="shared" si="975"/>
        <v>0.8999999999650754</v>
      </c>
      <c r="S5844" s="158">
        <f t="shared" si="976"/>
        <v>0.16415094338985653</v>
      </c>
      <c r="T5844" s="161">
        <f t="shared" si="977"/>
        <v>122.62075471222283</v>
      </c>
      <c r="U5844" s="158">
        <f t="shared" si="979"/>
        <v>136.24528301886792</v>
      </c>
      <c r="V5844" s="160">
        <f t="shared" si="978"/>
        <v>136</v>
      </c>
    </row>
    <row r="5845" spans="1:22" x14ac:dyDescent="0.25">
      <c r="A5845" s="98" t="s">
        <v>69</v>
      </c>
      <c r="B5845" s="98" t="s">
        <v>79</v>
      </c>
      <c r="C5845" s="98">
        <v>117</v>
      </c>
      <c r="D5845" s="98">
        <v>1190</v>
      </c>
      <c r="E5845" s="157">
        <v>41497</v>
      </c>
      <c r="F5845" s="157">
        <v>41497.34375</v>
      </c>
      <c r="G5845" s="98">
        <v>0</v>
      </c>
      <c r="H5845" s="98">
        <v>795</v>
      </c>
      <c r="I5845" s="98">
        <v>747</v>
      </c>
      <c r="J5845" s="98" t="s">
        <v>2007</v>
      </c>
      <c r="K5845" s="98" t="s">
        <v>1857</v>
      </c>
      <c r="L5845" s="105" t="str">
        <f t="shared" si="970"/>
        <v>Trimble</v>
      </c>
      <c r="M5845" s="105" t="str">
        <f t="shared" si="971"/>
        <v>Other</v>
      </c>
      <c r="N5845" s="105" t="str">
        <f t="shared" si="972"/>
        <v>Coal</v>
      </c>
      <c r="O5845" s="105">
        <f>IFERROR(VLOOKUP(A5845,Lookup!$J$5:$P$19,7,FALSE),0)</f>
        <v>3</v>
      </c>
      <c r="P5845" s="159">
        <f t="shared" si="973"/>
        <v>2013</v>
      </c>
      <c r="Q5845" s="159">
        <f t="shared" si="974"/>
        <v>8</v>
      </c>
      <c r="R5845" s="160">
        <f t="shared" si="975"/>
        <v>8.25</v>
      </c>
      <c r="S5845" s="158">
        <f t="shared" si="976"/>
        <v>8.25</v>
      </c>
      <c r="T5845" s="161">
        <f t="shared" si="977"/>
        <v>6162.75</v>
      </c>
      <c r="U5845" s="158">
        <f t="shared" si="979"/>
        <v>747</v>
      </c>
      <c r="V5845" s="160">
        <f t="shared" si="978"/>
        <v>747</v>
      </c>
    </row>
    <row r="5846" spans="1:22" x14ac:dyDescent="0.25">
      <c r="A5846" s="98" t="s">
        <v>69</v>
      </c>
      <c r="B5846" s="98" t="s">
        <v>79</v>
      </c>
      <c r="C5846" s="98">
        <v>118</v>
      </c>
      <c r="D5846" s="98">
        <v>1190</v>
      </c>
      <c r="E5846" s="157">
        <v>41504</v>
      </c>
      <c r="F5846" s="157">
        <v>41504.375</v>
      </c>
      <c r="G5846" s="98">
        <v>0</v>
      </c>
      <c r="H5846" s="98">
        <v>795</v>
      </c>
      <c r="I5846" s="98">
        <v>747</v>
      </c>
      <c r="J5846" s="98" t="s">
        <v>2007</v>
      </c>
      <c r="K5846" s="98" t="s">
        <v>1858</v>
      </c>
      <c r="L5846" s="105" t="str">
        <f t="shared" si="970"/>
        <v>Trimble</v>
      </c>
      <c r="M5846" s="105" t="str">
        <f t="shared" si="971"/>
        <v>Other</v>
      </c>
      <c r="N5846" s="105" t="str">
        <f t="shared" si="972"/>
        <v>Coal</v>
      </c>
      <c r="O5846" s="105">
        <f>IFERROR(VLOOKUP(A5846,Lookup!$J$5:$P$19,7,FALSE),0)</f>
        <v>3</v>
      </c>
      <c r="P5846" s="159">
        <f t="shared" si="973"/>
        <v>2013</v>
      </c>
      <c r="Q5846" s="159">
        <f t="shared" si="974"/>
        <v>8</v>
      </c>
      <c r="R5846" s="160">
        <f t="shared" si="975"/>
        <v>9</v>
      </c>
      <c r="S5846" s="158">
        <f t="shared" si="976"/>
        <v>9</v>
      </c>
      <c r="T5846" s="161">
        <f t="shared" si="977"/>
        <v>6723</v>
      </c>
      <c r="U5846" s="158">
        <f t="shared" si="979"/>
        <v>747</v>
      </c>
      <c r="V5846" s="160">
        <f t="shared" si="978"/>
        <v>747</v>
      </c>
    </row>
    <row r="5847" spans="1:22" x14ac:dyDescent="0.25">
      <c r="A5847" s="98" t="s">
        <v>69</v>
      </c>
      <c r="B5847" s="98" t="s">
        <v>105</v>
      </c>
      <c r="C5847" s="98">
        <v>119</v>
      </c>
      <c r="D5847" s="98">
        <v>3441</v>
      </c>
      <c r="E5847" s="157">
        <v>41509.854166666664</v>
      </c>
      <c r="F5847" s="157">
        <v>41510</v>
      </c>
      <c r="G5847" s="98">
        <v>450</v>
      </c>
      <c r="H5847" s="98">
        <v>795</v>
      </c>
      <c r="I5847" s="98">
        <v>747</v>
      </c>
      <c r="J5847" s="98" t="s">
        <v>2282</v>
      </c>
      <c r="K5847" s="98" t="s">
        <v>1859</v>
      </c>
      <c r="L5847" s="105" t="str">
        <f t="shared" si="970"/>
        <v>Trimble</v>
      </c>
      <c r="M5847" s="105" t="str">
        <f t="shared" si="971"/>
        <v>Derate</v>
      </c>
      <c r="N5847" s="105" t="str">
        <f t="shared" si="972"/>
        <v>Coal</v>
      </c>
      <c r="O5847" s="105">
        <f>IFERROR(VLOOKUP(A5847,Lookup!$J$5:$P$19,7,FALSE),0)</f>
        <v>3</v>
      </c>
      <c r="P5847" s="159">
        <f t="shared" si="973"/>
        <v>2013</v>
      </c>
      <c r="Q5847" s="159">
        <f t="shared" si="974"/>
        <v>8</v>
      </c>
      <c r="R5847" s="160">
        <f t="shared" si="975"/>
        <v>3.5000000000582077</v>
      </c>
      <c r="S5847" s="158">
        <f t="shared" si="976"/>
        <v>1.5188679245535619</v>
      </c>
      <c r="T5847" s="161">
        <f t="shared" si="977"/>
        <v>1134.5943396415107</v>
      </c>
      <c r="U5847" s="158">
        <f t="shared" si="979"/>
        <v>324.16981132075472</v>
      </c>
      <c r="V5847" s="160">
        <f t="shared" si="978"/>
        <v>324</v>
      </c>
    </row>
    <row r="5848" spans="1:22" x14ac:dyDescent="0.25">
      <c r="A5848" s="98" t="s">
        <v>69</v>
      </c>
      <c r="B5848" s="98" t="s">
        <v>79</v>
      </c>
      <c r="C5848" s="98">
        <v>120</v>
      </c>
      <c r="D5848" s="98">
        <v>1190</v>
      </c>
      <c r="E5848" s="157">
        <v>41510</v>
      </c>
      <c r="F5848" s="157">
        <v>41510.333333333336</v>
      </c>
      <c r="G5848" s="98">
        <v>0</v>
      </c>
      <c r="H5848" s="98">
        <v>795</v>
      </c>
      <c r="I5848" s="98">
        <v>747</v>
      </c>
      <c r="J5848" s="98" t="s">
        <v>2007</v>
      </c>
      <c r="K5848" s="98" t="s">
        <v>1860</v>
      </c>
      <c r="L5848" s="105" t="str">
        <f t="shared" si="970"/>
        <v>Trimble</v>
      </c>
      <c r="M5848" s="105" t="str">
        <f t="shared" si="971"/>
        <v>Other</v>
      </c>
      <c r="N5848" s="105" t="str">
        <f t="shared" si="972"/>
        <v>Coal</v>
      </c>
      <c r="O5848" s="105">
        <f>IFERROR(VLOOKUP(A5848,Lookup!$J$5:$P$19,7,FALSE),0)</f>
        <v>3</v>
      </c>
      <c r="P5848" s="159">
        <f t="shared" si="973"/>
        <v>2013</v>
      </c>
      <c r="Q5848" s="159">
        <f t="shared" si="974"/>
        <v>8</v>
      </c>
      <c r="R5848" s="160">
        <f t="shared" si="975"/>
        <v>8.0000000000582077</v>
      </c>
      <c r="S5848" s="158">
        <f t="shared" si="976"/>
        <v>8.0000000000582077</v>
      </c>
      <c r="T5848" s="161">
        <f t="shared" si="977"/>
        <v>5976.0000000434811</v>
      </c>
      <c r="U5848" s="158">
        <f t="shared" si="979"/>
        <v>747</v>
      </c>
      <c r="V5848" s="160">
        <f t="shared" si="978"/>
        <v>747</v>
      </c>
    </row>
    <row r="5849" spans="1:22" x14ac:dyDescent="0.25">
      <c r="A5849" s="98" t="s">
        <v>69</v>
      </c>
      <c r="B5849" s="98" t="s">
        <v>17</v>
      </c>
      <c r="C5849" s="98">
        <v>121</v>
      </c>
      <c r="D5849" s="98">
        <v>9616</v>
      </c>
      <c r="E5849" s="157">
        <v>41517.828472222223</v>
      </c>
      <c r="F5849" s="157">
        <v>41517.875</v>
      </c>
      <c r="G5849" s="98">
        <v>685</v>
      </c>
      <c r="H5849" s="98">
        <v>795</v>
      </c>
      <c r="I5849" s="98">
        <v>747</v>
      </c>
      <c r="J5849" s="98" t="s">
        <v>3088</v>
      </c>
      <c r="K5849" s="98" t="s">
        <v>1861</v>
      </c>
      <c r="L5849" s="105" t="str">
        <f t="shared" si="970"/>
        <v>Trimble</v>
      </c>
      <c r="M5849" s="105" t="str">
        <f t="shared" si="971"/>
        <v>Derate</v>
      </c>
      <c r="N5849" s="105" t="str">
        <f t="shared" si="972"/>
        <v>Coal</v>
      </c>
      <c r="O5849" s="105">
        <f>IFERROR(VLOOKUP(A5849,Lookup!$J$5:$P$19,7,FALSE),0)</f>
        <v>3</v>
      </c>
      <c r="P5849" s="159">
        <f t="shared" si="973"/>
        <v>2013</v>
      </c>
      <c r="Q5849" s="159">
        <f t="shared" si="974"/>
        <v>8</v>
      </c>
      <c r="R5849" s="160">
        <f t="shared" si="975"/>
        <v>1.1166666666395031</v>
      </c>
      <c r="S5849" s="158">
        <f t="shared" si="976"/>
        <v>0.15450733752244697</v>
      </c>
      <c r="T5849" s="161">
        <f t="shared" si="977"/>
        <v>115.41698112926788</v>
      </c>
      <c r="U5849" s="158">
        <f t="shared" si="979"/>
        <v>103.35849056603773</v>
      </c>
      <c r="V5849" s="160">
        <f t="shared" si="978"/>
        <v>103</v>
      </c>
    </row>
    <row r="5850" spans="1:22" x14ac:dyDescent="0.25">
      <c r="A5850" s="98" t="s">
        <v>69</v>
      </c>
      <c r="B5850" s="98" t="s">
        <v>17</v>
      </c>
      <c r="C5850" s="98">
        <v>122</v>
      </c>
      <c r="D5850" s="98">
        <v>9616</v>
      </c>
      <c r="E5850" s="157">
        <v>41518.699999999997</v>
      </c>
      <c r="F5850" s="157">
        <v>41518.748611111114</v>
      </c>
      <c r="G5850" s="98">
        <v>681</v>
      </c>
      <c r="H5850" s="98">
        <v>795</v>
      </c>
      <c r="I5850" s="98">
        <v>747</v>
      </c>
      <c r="J5850" s="98" t="s">
        <v>3088</v>
      </c>
      <c r="K5850" s="98" t="s">
        <v>1862</v>
      </c>
      <c r="L5850" s="105" t="str">
        <f t="shared" si="970"/>
        <v>Trimble</v>
      </c>
      <c r="M5850" s="105" t="str">
        <f t="shared" si="971"/>
        <v>Derate</v>
      </c>
      <c r="N5850" s="105" t="str">
        <f t="shared" si="972"/>
        <v>Coal</v>
      </c>
      <c r="O5850" s="105">
        <f>IFERROR(VLOOKUP(A5850,Lookup!$J$5:$P$19,7,FALSE),0)</f>
        <v>3</v>
      </c>
      <c r="P5850" s="159">
        <f t="shared" si="973"/>
        <v>2013</v>
      </c>
      <c r="Q5850" s="159">
        <f t="shared" si="974"/>
        <v>9</v>
      </c>
      <c r="R5850" s="160">
        <f t="shared" si="975"/>
        <v>1.1666666668024845</v>
      </c>
      <c r="S5850" s="158">
        <f t="shared" si="976"/>
        <v>0.1672955975037525</v>
      </c>
      <c r="T5850" s="161">
        <f t="shared" si="977"/>
        <v>124.96981133530312</v>
      </c>
      <c r="U5850" s="158">
        <f t="shared" si="979"/>
        <v>107.11698113207547</v>
      </c>
      <c r="V5850" s="160">
        <f t="shared" si="978"/>
        <v>107</v>
      </c>
    </row>
    <row r="5851" spans="1:22" x14ac:dyDescent="0.25">
      <c r="A5851" s="98" t="s">
        <v>69</v>
      </c>
      <c r="B5851" s="98" t="s">
        <v>17</v>
      </c>
      <c r="C5851" s="98">
        <v>123</v>
      </c>
      <c r="D5851" s="98">
        <v>1455</v>
      </c>
      <c r="E5851" s="157">
        <v>41518.748611111114</v>
      </c>
      <c r="F5851" s="157">
        <v>41518.8125</v>
      </c>
      <c r="G5851" s="98">
        <v>700</v>
      </c>
      <c r="H5851" s="98">
        <v>795</v>
      </c>
      <c r="I5851" s="98">
        <v>747</v>
      </c>
      <c r="J5851" s="98" t="s">
        <v>1990</v>
      </c>
      <c r="K5851" s="98" t="s">
        <v>1863</v>
      </c>
      <c r="L5851" s="105" t="str">
        <f t="shared" si="970"/>
        <v>Trimble</v>
      </c>
      <c r="M5851" s="105" t="str">
        <f t="shared" si="971"/>
        <v>Derate</v>
      </c>
      <c r="N5851" s="105" t="str">
        <f t="shared" si="972"/>
        <v>Coal</v>
      </c>
      <c r="O5851" s="105">
        <f>IFERROR(VLOOKUP(A5851,Lookup!$J$5:$P$19,7,FALSE),0)</f>
        <v>3</v>
      </c>
      <c r="P5851" s="159">
        <f t="shared" si="973"/>
        <v>2013</v>
      </c>
      <c r="Q5851" s="159">
        <f t="shared" si="974"/>
        <v>9</v>
      </c>
      <c r="R5851" s="160">
        <f t="shared" si="975"/>
        <v>1.5333333332673647</v>
      </c>
      <c r="S5851" s="158">
        <f t="shared" si="976"/>
        <v>0.18322851152251526</v>
      </c>
      <c r="T5851" s="161">
        <f t="shared" si="977"/>
        <v>136.87169810731891</v>
      </c>
      <c r="U5851" s="158">
        <f t="shared" si="979"/>
        <v>89.264150943396231</v>
      </c>
      <c r="V5851" s="160">
        <f t="shared" si="978"/>
        <v>89</v>
      </c>
    </row>
    <row r="5852" spans="1:22" x14ac:dyDescent="0.25">
      <c r="A5852" s="98" t="s">
        <v>69</v>
      </c>
      <c r="B5852" s="98" t="s">
        <v>17</v>
      </c>
      <c r="C5852" s="98">
        <v>124</v>
      </c>
      <c r="D5852" s="98">
        <v>9616</v>
      </c>
      <c r="E5852" s="157">
        <v>41518.829861111109</v>
      </c>
      <c r="F5852" s="157">
        <v>41519</v>
      </c>
      <c r="G5852" s="98">
        <v>750</v>
      </c>
      <c r="H5852" s="98">
        <v>795</v>
      </c>
      <c r="I5852" s="98">
        <v>747</v>
      </c>
      <c r="J5852" s="98" t="s">
        <v>3088</v>
      </c>
      <c r="K5852" s="98" t="s">
        <v>1864</v>
      </c>
      <c r="L5852" s="105" t="str">
        <f t="shared" si="970"/>
        <v>Trimble</v>
      </c>
      <c r="M5852" s="105" t="str">
        <f t="shared" si="971"/>
        <v>Derate</v>
      </c>
      <c r="N5852" s="105" t="str">
        <f t="shared" si="972"/>
        <v>Coal</v>
      </c>
      <c r="O5852" s="105">
        <f>IFERROR(VLOOKUP(A5852,Lookup!$J$5:$P$19,7,FALSE),0)</f>
        <v>3</v>
      </c>
      <c r="P5852" s="159">
        <f t="shared" si="973"/>
        <v>2013</v>
      </c>
      <c r="Q5852" s="159">
        <f t="shared" si="974"/>
        <v>9</v>
      </c>
      <c r="R5852" s="160">
        <f t="shared" si="975"/>
        <v>4.0833333333721384</v>
      </c>
      <c r="S5852" s="158">
        <f t="shared" si="976"/>
        <v>0.23113207547389464</v>
      </c>
      <c r="T5852" s="161">
        <f t="shared" si="977"/>
        <v>172.6556603789993</v>
      </c>
      <c r="U5852" s="158">
        <f t="shared" si="979"/>
        <v>42.283018867924525</v>
      </c>
      <c r="V5852" s="160">
        <f t="shared" si="978"/>
        <v>42</v>
      </c>
    </row>
    <row r="5853" spans="1:22" x14ac:dyDescent="0.25">
      <c r="A5853" s="98" t="s">
        <v>69</v>
      </c>
      <c r="B5853" s="98" t="s">
        <v>79</v>
      </c>
      <c r="C5853" s="98">
        <v>125</v>
      </c>
      <c r="D5853" s="98">
        <v>1190</v>
      </c>
      <c r="E5853" s="157">
        <v>41519</v>
      </c>
      <c r="F5853" s="157">
        <v>41519.291666666664</v>
      </c>
      <c r="G5853" s="98">
        <v>0</v>
      </c>
      <c r="H5853" s="98">
        <v>795</v>
      </c>
      <c r="I5853" s="98">
        <v>747</v>
      </c>
      <c r="J5853" s="98" t="s">
        <v>2007</v>
      </c>
      <c r="K5853" s="98" t="s">
        <v>1865</v>
      </c>
      <c r="L5853" s="105" t="str">
        <f t="shared" si="970"/>
        <v>Trimble</v>
      </c>
      <c r="M5853" s="105" t="str">
        <f t="shared" si="971"/>
        <v>Other</v>
      </c>
      <c r="N5853" s="105" t="str">
        <f t="shared" si="972"/>
        <v>Coal</v>
      </c>
      <c r="O5853" s="105">
        <f>IFERROR(VLOOKUP(A5853,Lookup!$J$5:$P$19,7,FALSE),0)</f>
        <v>3</v>
      </c>
      <c r="P5853" s="159">
        <f t="shared" si="973"/>
        <v>2013</v>
      </c>
      <c r="Q5853" s="159">
        <f t="shared" si="974"/>
        <v>9</v>
      </c>
      <c r="R5853" s="160">
        <f t="shared" si="975"/>
        <v>6.9999999999417923</v>
      </c>
      <c r="S5853" s="158">
        <f t="shared" si="976"/>
        <v>6.9999999999417923</v>
      </c>
      <c r="T5853" s="161">
        <f t="shared" si="977"/>
        <v>5228.9999999565189</v>
      </c>
      <c r="U5853" s="158">
        <f t="shared" si="979"/>
        <v>747</v>
      </c>
      <c r="V5853" s="160">
        <f t="shared" si="978"/>
        <v>747</v>
      </c>
    </row>
    <row r="5854" spans="1:22" x14ac:dyDescent="0.25">
      <c r="A5854" s="98" t="s">
        <v>69</v>
      </c>
      <c r="B5854" s="98" t="s">
        <v>17</v>
      </c>
      <c r="C5854" s="98">
        <v>126</v>
      </c>
      <c r="D5854" s="98">
        <v>9616</v>
      </c>
      <c r="E5854" s="157">
        <v>41519.5</v>
      </c>
      <c r="F5854" s="157">
        <v>41519.5625</v>
      </c>
      <c r="G5854" s="98">
        <v>680</v>
      </c>
      <c r="H5854" s="98">
        <v>795</v>
      </c>
      <c r="I5854" s="98">
        <v>747</v>
      </c>
      <c r="J5854" s="98" t="s">
        <v>3088</v>
      </c>
      <c r="K5854" s="98" t="s">
        <v>1866</v>
      </c>
      <c r="L5854" s="105" t="str">
        <f t="shared" si="970"/>
        <v>Trimble</v>
      </c>
      <c r="M5854" s="105" t="str">
        <f t="shared" si="971"/>
        <v>Derate</v>
      </c>
      <c r="N5854" s="105" t="str">
        <f t="shared" si="972"/>
        <v>Coal</v>
      </c>
      <c r="O5854" s="105">
        <f>IFERROR(VLOOKUP(A5854,Lookup!$J$5:$P$19,7,FALSE),0)</f>
        <v>3</v>
      </c>
      <c r="P5854" s="159">
        <f t="shared" si="973"/>
        <v>2013</v>
      </c>
      <c r="Q5854" s="159">
        <f t="shared" si="974"/>
        <v>9</v>
      </c>
      <c r="R5854" s="160">
        <f t="shared" si="975"/>
        <v>1.5</v>
      </c>
      <c r="S5854" s="158">
        <f t="shared" si="976"/>
        <v>0.21698113207547171</v>
      </c>
      <c r="T5854" s="161">
        <f t="shared" si="977"/>
        <v>162.08490566037736</v>
      </c>
      <c r="U5854" s="158">
        <f t="shared" si="979"/>
        <v>108.05660377358491</v>
      </c>
      <c r="V5854" s="160">
        <f t="shared" si="978"/>
        <v>108</v>
      </c>
    </row>
    <row r="5855" spans="1:22" x14ac:dyDescent="0.25">
      <c r="A5855" s="98" t="s">
        <v>69</v>
      </c>
      <c r="B5855" s="98" t="s">
        <v>17</v>
      </c>
      <c r="C5855" s="98">
        <v>127</v>
      </c>
      <c r="D5855" s="98">
        <v>250</v>
      </c>
      <c r="E5855" s="157">
        <v>41520.789583333331</v>
      </c>
      <c r="F5855" s="157">
        <v>41520.833333333336</v>
      </c>
      <c r="G5855" s="98">
        <v>699</v>
      </c>
      <c r="H5855" s="98">
        <v>795</v>
      </c>
      <c r="I5855" s="98">
        <v>747</v>
      </c>
      <c r="J5855" s="98" t="s">
        <v>1978</v>
      </c>
      <c r="K5855" s="98" t="s">
        <v>1867</v>
      </c>
      <c r="L5855" s="105" t="str">
        <f t="shared" si="970"/>
        <v>Trimble</v>
      </c>
      <c r="M5855" s="105" t="str">
        <f t="shared" si="971"/>
        <v>Derate</v>
      </c>
      <c r="N5855" s="105" t="str">
        <f t="shared" si="972"/>
        <v>Coal</v>
      </c>
      <c r="O5855" s="105">
        <f>IFERROR(VLOOKUP(A5855,Lookup!$J$5:$P$19,7,FALSE),0)</f>
        <v>3</v>
      </c>
      <c r="P5855" s="159">
        <f t="shared" si="973"/>
        <v>2013</v>
      </c>
      <c r="Q5855" s="159">
        <f t="shared" si="974"/>
        <v>9</v>
      </c>
      <c r="R5855" s="160">
        <f t="shared" si="975"/>
        <v>1.0500000001047738</v>
      </c>
      <c r="S5855" s="158">
        <f t="shared" si="976"/>
        <v>0.1267924528428406</v>
      </c>
      <c r="T5855" s="161">
        <f t="shared" si="977"/>
        <v>94.713962273601936</v>
      </c>
      <c r="U5855" s="158">
        <f t="shared" si="979"/>
        <v>90.203773584905662</v>
      </c>
      <c r="V5855" s="160">
        <f t="shared" si="978"/>
        <v>90</v>
      </c>
    </row>
    <row r="5856" spans="1:22" x14ac:dyDescent="0.25">
      <c r="A5856" s="98" t="s">
        <v>69</v>
      </c>
      <c r="B5856" s="98" t="s">
        <v>17</v>
      </c>
      <c r="C5856" s="98">
        <v>128</v>
      </c>
      <c r="D5856" s="98">
        <v>250</v>
      </c>
      <c r="E5856" s="157">
        <v>41520.833333333336</v>
      </c>
      <c r="F5856" s="157">
        <v>41521.208333333336</v>
      </c>
      <c r="G5856" s="98">
        <v>659</v>
      </c>
      <c r="H5856" s="98">
        <v>795</v>
      </c>
      <c r="I5856" s="98">
        <v>747</v>
      </c>
      <c r="J5856" s="98" t="s">
        <v>1978</v>
      </c>
      <c r="K5856" s="98" t="s">
        <v>1868</v>
      </c>
      <c r="L5856" s="105" t="str">
        <f t="shared" si="970"/>
        <v>Trimble</v>
      </c>
      <c r="M5856" s="105" t="str">
        <f t="shared" si="971"/>
        <v>Derate</v>
      </c>
      <c r="N5856" s="105" t="str">
        <f t="shared" si="972"/>
        <v>Coal</v>
      </c>
      <c r="O5856" s="105">
        <f>IFERROR(VLOOKUP(A5856,Lookup!$J$5:$P$19,7,FALSE),0)</f>
        <v>3</v>
      </c>
      <c r="P5856" s="159">
        <f t="shared" si="973"/>
        <v>2013</v>
      </c>
      <c r="Q5856" s="159">
        <f t="shared" si="974"/>
        <v>9</v>
      </c>
      <c r="R5856" s="160">
        <f t="shared" si="975"/>
        <v>9</v>
      </c>
      <c r="S5856" s="158">
        <f t="shared" si="976"/>
        <v>1.5396226415094341</v>
      </c>
      <c r="T5856" s="161">
        <f t="shared" si="977"/>
        <v>1150.0981132075472</v>
      </c>
      <c r="U5856" s="158">
        <f t="shared" si="979"/>
        <v>127.78867924528302</v>
      </c>
      <c r="V5856" s="160">
        <f t="shared" si="978"/>
        <v>128</v>
      </c>
    </row>
    <row r="5857" spans="1:22" x14ac:dyDescent="0.25">
      <c r="A5857" s="98" t="s">
        <v>69</v>
      </c>
      <c r="B5857" s="98" t="s">
        <v>79</v>
      </c>
      <c r="C5857" s="98">
        <v>129</v>
      </c>
      <c r="D5857" s="98">
        <v>1190</v>
      </c>
      <c r="E5857" s="157">
        <v>41523.875</v>
      </c>
      <c r="F5857" s="157">
        <v>41524.25</v>
      </c>
      <c r="G5857" s="98">
        <v>0</v>
      </c>
      <c r="H5857" s="98">
        <v>795</v>
      </c>
      <c r="I5857" s="98">
        <v>747</v>
      </c>
      <c r="J5857" s="98" t="s">
        <v>2007</v>
      </c>
      <c r="K5857" s="98" t="s">
        <v>1869</v>
      </c>
      <c r="L5857" s="105" t="str">
        <f t="shared" si="970"/>
        <v>Trimble</v>
      </c>
      <c r="M5857" s="105" t="str">
        <f t="shared" si="971"/>
        <v>Other</v>
      </c>
      <c r="N5857" s="105" t="str">
        <f t="shared" si="972"/>
        <v>Coal</v>
      </c>
      <c r="O5857" s="105">
        <f>IFERROR(VLOOKUP(A5857,Lookup!$J$5:$P$19,7,FALSE),0)</f>
        <v>3</v>
      </c>
      <c r="P5857" s="159">
        <f t="shared" si="973"/>
        <v>2013</v>
      </c>
      <c r="Q5857" s="159">
        <f t="shared" si="974"/>
        <v>9</v>
      </c>
      <c r="R5857" s="160">
        <f t="shared" si="975"/>
        <v>9</v>
      </c>
      <c r="S5857" s="158">
        <f t="shared" si="976"/>
        <v>9</v>
      </c>
      <c r="T5857" s="161">
        <f t="shared" si="977"/>
        <v>6723</v>
      </c>
      <c r="U5857" s="158">
        <f t="shared" si="979"/>
        <v>747</v>
      </c>
      <c r="V5857" s="160">
        <f t="shared" si="978"/>
        <v>747</v>
      </c>
    </row>
    <row r="5858" spans="1:22" x14ac:dyDescent="0.25">
      <c r="A5858" s="98" t="s">
        <v>69</v>
      </c>
      <c r="B5858" s="98" t="s">
        <v>17</v>
      </c>
      <c r="C5858" s="98">
        <v>130</v>
      </c>
      <c r="D5858" s="98">
        <v>266</v>
      </c>
      <c r="E5858" s="157">
        <v>41527.456250000003</v>
      </c>
      <c r="F5858" s="157">
        <v>41527.479166666664</v>
      </c>
      <c r="G5858" s="98">
        <v>764</v>
      </c>
      <c r="H5858" s="98">
        <v>795</v>
      </c>
      <c r="I5858" s="98">
        <v>747</v>
      </c>
      <c r="J5858" s="98" t="s">
        <v>2647</v>
      </c>
      <c r="K5858" s="98" t="s">
        <v>1870</v>
      </c>
      <c r="L5858" s="105" t="str">
        <f t="shared" si="970"/>
        <v>Trimble</v>
      </c>
      <c r="M5858" s="105" t="str">
        <f t="shared" si="971"/>
        <v>Derate</v>
      </c>
      <c r="N5858" s="105" t="str">
        <f t="shared" si="972"/>
        <v>Coal</v>
      </c>
      <c r="O5858" s="105">
        <f>IFERROR(VLOOKUP(A5858,Lookup!$J$5:$P$19,7,FALSE),0)</f>
        <v>3</v>
      </c>
      <c r="P5858" s="159">
        <f t="shared" si="973"/>
        <v>2013</v>
      </c>
      <c r="Q5858" s="159">
        <f t="shared" si="974"/>
        <v>9</v>
      </c>
      <c r="R5858" s="160">
        <f t="shared" si="975"/>
        <v>0.54999999987194315</v>
      </c>
      <c r="S5858" s="158">
        <f t="shared" si="976"/>
        <v>2.1446540875509734E-2</v>
      </c>
      <c r="T5858" s="161">
        <f t="shared" si="977"/>
        <v>16.020566034005771</v>
      </c>
      <c r="U5858" s="158">
        <f t="shared" si="979"/>
        <v>29.128301886792453</v>
      </c>
      <c r="V5858" s="160">
        <f t="shared" si="978"/>
        <v>29</v>
      </c>
    </row>
    <row r="5859" spans="1:22" x14ac:dyDescent="0.25">
      <c r="A5859" s="98" t="s">
        <v>69</v>
      </c>
      <c r="B5859" s="98" t="s">
        <v>17</v>
      </c>
      <c r="C5859" s="98">
        <v>131</v>
      </c>
      <c r="D5859" s="98">
        <v>1400</v>
      </c>
      <c r="E5859" s="157">
        <v>41527.636805555558</v>
      </c>
      <c r="F5859" s="157">
        <v>41528.25</v>
      </c>
      <c r="G5859" s="98">
        <v>771</v>
      </c>
      <c r="H5859" s="98">
        <v>795</v>
      </c>
      <c r="I5859" s="98">
        <v>747</v>
      </c>
      <c r="J5859" s="98" t="s">
        <v>2043</v>
      </c>
      <c r="K5859" s="98" t="s">
        <v>1871</v>
      </c>
      <c r="L5859" s="105" t="str">
        <f t="shared" si="970"/>
        <v>Trimble</v>
      </c>
      <c r="M5859" s="105" t="str">
        <f t="shared" si="971"/>
        <v>Derate</v>
      </c>
      <c r="N5859" s="105" t="str">
        <f t="shared" si="972"/>
        <v>Coal</v>
      </c>
      <c r="O5859" s="105">
        <f>IFERROR(VLOOKUP(A5859,Lookup!$J$5:$P$19,7,FALSE),0)</f>
        <v>3</v>
      </c>
      <c r="P5859" s="159">
        <f t="shared" si="973"/>
        <v>2013</v>
      </c>
      <c r="Q5859" s="159">
        <f t="shared" si="974"/>
        <v>9</v>
      </c>
      <c r="R5859" s="160">
        <f t="shared" si="975"/>
        <v>14.71666666661622</v>
      </c>
      <c r="S5859" s="158">
        <f t="shared" si="976"/>
        <v>0.4442767295582255</v>
      </c>
      <c r="T5859" s="161">
        <f t="shared" si="977"/>
        <v>331.87471697999445</v>
      </c>
      <c r="U5859" s="158">
        <f t="shared" si="979"/>
        <v>22.550943396226415</v>
      </c>
      <c r="V5859" s="160">
        <f t="shared" si="978"/>
        <v>23</v>
      </c>
    </row>
    <row r="5860" spans="1:22" x14ac:dyDescent="0.25">
      <c r="A5860" s="98" t="s">
        <v>69</v>
      </c>
      <c r="B5860" s="98" t="s">
        <v>17</v>
      </c>
      <c r="C5860" s="98">
        <v>132</v>
      </c>
      <c r="D5860" s="98">
        <v>1400</v>
      </c>
      <c r="E5860" s="157">
        <v>41528.25</v>
      </c>
      <c r="F5860" s="157">
        <v>41528.794444444444</v>
      </c>
      <c r="G5860" s="98">
        <v>749</v>
      </c>
      <c r="H5860" s="98">
        <v>795</v>
      </c>
      <c r="I5860" s="98">
        <v>747</v>
      </c>
      <c r="J5860" s="98" t="s">
        <v>2043</v>
      </c>
      <c r="K5860" s="98" t="s">
        <v>1871</v>
      </c>
      <c r="L5860" s="105" t="str">
        <f t="shared" si="970"/>
        <v>Trimble</v>
      </c>
      <c r="M5860" s="105" t="str">
        <f t="shared" si="971"/>
        <v>Derate</v>
      </c>
      <c r="N5860" s="105" t="str">
        <f t="shared" si="972"/>
        <v>Coal</v>
      </c>
      <c r="O5860" s="105">
        <f>IFERROR(VLOOKUP(A5860,Lookup!$J$5:$P$19,7,FALSE),0)</f>
        <v>3</v>
      </c>
      <c r="P5860" s="159">
        <f t="shared" si="973"/>
        <v>2013</v>
      </c>
      <c r="Q5860" s="159">
        <f t="shared" si="974"/>
        <v>9</v>
      </c>
      <c r="R5860" s="160">
        <f t="shared" si="975"/>
        <v>13.066666666651145</v>
      </c>
      <c r="S5860" s="158">
        <f t="shared" si="976"/>
        <v>0.75605870020874544</v>
      </c>
      <c r="T5860" s="161">
        <f t="shared" si="977"/>
        <v>564.77584905593289</v>
      </c>
      <c r="U5860" s="158">
        <f t="shared" si="979"/>
        <v>43.222641509433963</v>
      </c>
      <c r="V5860" s="160">
        <f t="shared" si="978"/>
        <v>43</v>
      </c>
    </row>
    <row r="5861" spans="1:22" x14ac:dyDescent="0.25">
      <c r="A5861" s="98" t="s">
        <v>69</v>
      </c>
      <c r="B5861" s="98" t="s">
        <v>17</v>
      </c>
      <c r="C5861" s="98">
        <v>133</v>
      </c>
      <c r="D5861" s="98">
        <v>1400</v>
      </c>
      <c r="E5861" s="157">
        <v>41528.794444444444</v>
      </c>
      <c r="F5861" s="157">
        <v>41529.004166666666</v>
      </c>
      <c r="G5861" s="98">
        <v>729</v>
      </c>
      <c r="H5861" s="98">
        <v>795</v>
      </c>
      <c r="I5861" s="98">
        <v>747</v>
      </c>
      <c r="J5861" s="98" t="s">
        <v>2043</v>
      </c>
      <c r="K5861" s="98" t="s">
        <v>1871</v>
      </c>
      <c r="L5861" s="105" t="str">
        <f t="shared" si="970"/>
        <v>Trimble</v>
      </c>
      <c r="M5861" s="105" t="str">
        <f t="shared" si="971"/>
        <v>Derate</v>
      </c>
      <c r="N5861" s="105" t="str">
        <f t="shared" si="972"/>
        <v>Coal</v>
      </c>
      <c r="O5861" s="105">
        <f>IFERROR(VLOOKUP(A5861,Lookup!$J$5:$P$19,7,FALSE),0)</f>
        <v>3</v>
      </c>
      <c r="P5861" s="159">
        <f t="shared" si="973"/>
        <v>2013</v>
      </c>
      <c r="Q5861" s="159">
        <f t="shared" si="974"/>
        <v>9</v>
      </c>
      <c r="R5861" s="160">
        <f t="shared" si="975"/>
        <v>5.0333333333255723</v>
      </c>
      <c r="S5861" s="158">
        <f t="shared" si="976"/>
        <v>0.4178616352194815</v>
      </c>
      <c r="T5861" s="161">
        <f t="shared" si="977"/>
        <v>312.14264150895269</v>
      </c>
      <c r="U5861" s="158">
        <f t="shared" si="979"/>
        <v>62.015094339622642</v>
      </c>
      <c r="V5861" s="160">
        <f t="shared" si="978"/>
        <v>62</v>
      </c>
    </row>
    <row r="5862" spans="1:22" x14ac:dyDescent="0.25">
      <c r="A5862" s="98" t="s">
        <v>69</v>
      </c>
      <c r="B5862" s="98" t="s">
        <v>17</v>
      </c>
      <c r="C5862" s="98">
        <v>134</v>
      </c>
      <c r="D5862" s="98">
        <v>1400</v>
      </c>
      <c r="E5862" s="157">
        <v>41529.004166666666</v>
      </c>
      <c r="F5862" s="157">
        <v>41529.397222222222</v>
      </c>
      <c r="G5862" s="98">
        <v>719</v>
      </c>
      <c r="H5862" s="98">
        <v>795</v>
      </c>
      <c r="I5862" s="98">
        <v>747</v>
      </c>
      <c r="J5862" s="98" t="s">
        <v>2043</v>
      </c>
      <c r="K5862" s="98" t="s">
        <v>1871</v>
      </c>
      <c r="L5862" s="105" t="str">
        <f t="shared" si="970"/>
        <v>Trimble</v>
      </c>
      <c r="M5862" s="105" t="str">
        <f t="shared" si="971"/>
        <v>Derate</v>
      </c>
      <c r="N5862" s="105" t="str">
        <f t="shared" si="972"/>
        <v>Coal</v>
      </c>
      <c r="O5862" s="105">
        <f>IFERROR(VLOOKUP(A5862,Lookup!$J$5:$P$19,7,FALSE),0)</f>
        <v>3</v>
      </c>
      <c r="P5862" s="159">
        <f t="shared" si="973"/>
        <v>2013</v>
      </c>
      <c r="Q5862" s="159">
        <f t="shared" si="974"/>
        <v>9</v>
      </c>
      <c r="R5862" s="160">
        <f t="shared" si="975"/>
        <v>9.4333333333488554</v>
      </c>
      <c r="S5862" s="158">
        <f t="shared" si="976"/>
        <v>0.90180293501196607</v>
      </c>
      <c r="T5862" s="161">
        <f t="shared" si="977"/>
        <v>673.6467924539387</v>
      </c>
      <c r="U5862" s="158">
        <f t="shared" si="979"/>
        <v>71.411320754716982</v>
      </c>
      <c r="V5862" s="160">
        <f t="shared" si="978"/>
        <v>71</v>
      </c>
    </row>
    <row r="5863" spans="1:22" x14ac:dyDescent="0.25">
      <c r="A5863" s="98" t="s">
        <v>69</v>
      </c>
      <c r="B5863" s="98" t="s">
        <v>17</v>
      </c>
      <c r="C5863" s="98">
        <v>135</v>
      </c>
      <c r="D5863" s="98">
        <v>1400</v>
      </c>
      <c r="E5863" s="157">
        <v>41529.397222222222</v>
      </c>
      <c r="F5863" s="157">
        <v>41529.626388888886</v>
      </c>
      <c r="G5863" s="98">
        <v>680</v>
      </c>
      <c r="H5863" s="98">
        <v>795</v>
      </c>
      <c r="I5863" s="98">
        <v>747</v>
      </c>
      <c r="J5863" s="98" t="s">
        <v>2043</v>
      </c>
      <c r="K5863" s="98" t="s">
        <v>1872</v>
      </c>
      <c r="L5863" s="105" t="str">
        <f t="shared" si="970"/>
        <v>Trimble</v>
      </c>
      <c r="M5863" s="105" t="str">
        <f t="shared" si="971"/>
        <v>Derate</v>
      </c>
      <c r="N5863" s="105" t="str">
        <f t="shared" si="972"/>
        <v>Coal</v>
      </c>
      <c r="O5863" s="105">
        <f>IFERROR(VLOOKUP(A5863,Lookup!$J$5:$P$19,7,FALSE),0)</f>
        <v>3</v>
      </c>
      <c r="P5863" s="159">
        <f t="shared" si="973"/>
        <v>2013</v>
      </c>
      <c r="Q5863" s="159">
        <f t="shared" si="974"/>
        <v>9</v>
      </c>
      <c r="R5863" s="160">
        <f t="shared" si="975"/>
        <v>5.4999999999417923</v>
      </c>
      <c r="S5863" s="158">
        <f t="shared" si="976"/>
        <v>0.79559748426830956</v>
      </c>
      <c r="T5863" s="161">
        <f t="shared" si="977"/>
        <v>594.31132074842719</v>
      </c>
      <c r="U5863" s="158">
        <f t="shared" si="979"/>
        <v>108.05660377358491</v>
      </c>
      <c r="V5863" s="160">
        <f t="shared" si="978"/>
        <v>108</v>
      </c>
    </row>
    <row r="5864" spans="1:22" x14ac:dyDescent="0.25">
      <c r="A5864" s="98" t="s">
        <v>69</v>
      </c>
      <c r="B5864" s="98" t="s">
        <v>17</v>
      </c>
      <c r="C5864" s="98">
        <v>136</v>
      </c>
      <c r="D5864" s="98">
        <v>1400</v>
      </c>
      <c r="E5864" s="157">
        <v>41529.626388888886</v>
      </c>
      <c r="F5864" s="157">
        <v>41529.677777777775</v>
      </c>
      <c r="G5864" s="98">
        <v>275</v>
      </c>
      <c r="H5864" s="98">
        <v>795</v>
      </c>
      <c r="I5864" s="98">
        <v>747</v>
      </c>
      <c r="J5864" s="98" t="s">
        <v>2043</v>
      </c>
      <c r="K5864" s="98" t="s">
        <v>1873</v>
      </c>
      <c r="L5864" s="105" t="str">
        <f t="shared" si="970"/>
        <v>Trimble</v>
      </c>
      <c r="M5864" s="105" t="str">
        <f t="shared" si="971"/>
        <v>Derate</v>
      </c>
      <c r="N5864" s="105" t="str">
        <f t="shared" si="972"/>
        <v>Coal</v>
      </c>
      <c r="O5864" s="105">
        <f>IFERROR(VLOOKUP(A5864,Lookup!$J$5:$P$19,7,FALSE),0)</f>
        <v>3</v>
      </c>
      <c r="P5864" s="159">
        <f t="shared" si="973"/>
        <v>2013</v>
      </c>
      <c r="Q5864" s="159">
        <f t="shared" si="974"/>
        <v>9</v>
      </c>
      <c r="R5864" s="160">
        <f t="shared" si="975"/>
        <v>1.2333333333372138</v>
      </c>
      <c r="S5864" s="158">
        <f t="shared" si="976"/>
        <v>0.80670859539037887</v>
      </c>
      <c r="T5864" s="161">
        <f t="shared" si="977"/>
        <v>602.61132075661305</v>
      </c>
      <c r="U5864" s="158">
        <f t="shared" si="979"/>
        <v>488.60377358490564</v>
      </c>
      <c r="V5864" s="160">
        <f t="shared" si="978"/>
        <v>489</v>
      </c>
    </row>
    <row r="5865" spans="1:22" x14ac:dyDescent="0.25">
      <c r="A5865" s="98" t="s">
        <v>69</v>
      </c>
      <c r="B5865" s="98" t="s">
        <v>15</v>
      </c>
      <c r="C5865" s="98">
        <v>137</v>
      </c>
      <c r="D5865" s="98">
        <v>1400</v>
      </c>
      <c r="E5865" s="157">
        <v>41529.677777777775</v>
      </c>
      <c r="F5865" s="157">
        <v>41529.803472222222</v>
      </c>
      <c r="G5865" s="98">
        <v>0</v>
      </c>
      <c r="H5865" s="98">
        <v>795</v>
      </c>
      <c r="I5865" s="98">
        <v>747</v>
      </c>
      <c r="J5865" s="98" t="s">
        <v>2043</v>
      </c>
      <c r="K5865" s="98" t="s">
        <v>1874</v>
      </c>
      <c r="L5865" s="105" t="str">
        <f t="shared" si="970"/>
        <v>Trimble</v>
      </c>
      <c r="M5865" s="105" t="str">
        <f t="shared" si="971"/>
        <v>Outage</v>
      </c>
      <c r="N5865" s="105" t="str">
        <f t="shared" si="972"/>
        <v>Coal</v>
      </c>
      <c r="O5865" s="105">
        <f>IFERROR(VLOOKUP(A5865,Lookup!$J$5:$P$19,7,FALSE),0)</f>
        <v>3</v>
      </c>
      <c r="P5865" s="159">
        <f t="shared" si="973"/>
        <v>2013</v>
      </c>
      <c r="Q5865" s="159">
        <f t="shared" si="974"/>
        <v>9</v>
      </c>
      <c r="R5865" s="160">
        <f t="shared" si="975"/>
        <v>3.0166666667209938</v>
      </c>
      <c r="S5865" s="158">
        <f t="shared" si="976"/>
        <v>3.0166666667209938</v>
      </c>
      <c r="T5865" s="161">
        <f t="shared" si="977"/>
        <v>2253.4500000405824</v>
      </c>
      <c r="U5865" s="158">
        <f t="shared" si="979"/>
        <v>747</v>
      </c>
      <c r="V5865" s="160">
        <f t="shared" si="978"/>
        <v>747</v>
      </c>
    </row>
    <row r="5866" spans="1:22" x14ac:dyDescent="0.25">
      <c r="A5866" s="98" t="s">
        <v>69</v>
      </c>
      <c r="B5866" s="98" t="s">
        <v>20</v>
      </c>
      <c r="C5866" s="98">
        <v>138</v>
      </c>
      <c r="D5866" s="98">
        <v>266</v>
      </c>
      <c r="E5866" s="157">
        <v>41529.803472222222</v>
      </c>
      <c r="F5866" s="157">
        <v>41533.664583333331</v>
      </c>
      <c r="G5866" s="98">
        <v>0</v>
      </c>
      <c r="H5866" s="98">
        <v>795</v>
      </c>
      <c r="I5866" s="98">
        <v>747</v>
      </c>
      <c r="J5866" s="98" t="s">
        <v>2647</v>
      </c>
      <c r="K5866" s="98" t="s">
        <v>1875</v>
      </c>
      <c r="L5866" s="105" t="str">
        <f t="shared" si="970"/>
        <v>Trimble</v>
      </c>
      <c r="M5866" s="105" t="str">
        <f t="shared" si="971"/>
        <v>Maintenance</v>
      </c>
      <c r="N5866" s="105" t="str">
        <f t="shared" si="972"/>
        <v>Coal</v>
      </c>
      <c r="O5866" s="105">
        <f>IFERROR(VLOOKUP(A5866,Lookup!$J$5:$P$19,7,FALSE),0)</f>
        <v>3</v>
      </c>
      <c r="P5866" s="159">
        <f t="shared" si="973"/>
        <v>2013</v>
      </c>
      <c r="Q5866" s="159">
        <f t="shared" si="974"/>
        <v>9</v>
      </c>
      <c r="R5866" s="160">
        <f t="shared" si="975"/>
        <v>92.666666666627862</v>
      </c>
      <c r="S5866" s="158">
        <f t="shared" si="976"/>
        <v>92.666666666627862</v>
      </c>
      <c r="T5866" s="161">
        <f t="shared" si="977"/>
        <v>69221.999999971013</v>
      </c>
      <c r="U5866" s="158">
        <f t="shared" si="979"/>
        <v>747</v>
      </c>
      <c r="V5866" s="160">
        <f t="shared" si="978"/>
        <v>747</v>
      </c>
    </row>
    <row r="5867" spans="1:22" x14ac:dyDescent="0.25">
      <c r="A5867" s="98" t="s">
        <v>69</v>
      </c>
      <c r="B5867" s="98" t="s">
        <v>17</v>
      </c>
      <c r="C5867" s="98">
        <v>139</v>
      </c>
      <c r="D5867" s="98">
        <v>1415</v>
      </c>
      <c r="E5867" s="157">
        <v>41534.083333333336</v>
      </c>
      <c r="F5867" s="157">
        <v>41534.333333333336</v>
      </c>
      <c r="G5867" s="98">
        <v>650</v>
      </c>
      <c r="H5867" s="98">
        <v>795</v>
      </c>
      <c r="I5867" s="98">
        <v>747</v>
      </c>
      <c r="J5867" s="98" t="s">
        <v>2184</v>
      </c>
      <c r="K5867" s="98" t="s">
        <v>1876</v>
      </c>
      <c r="L5867" s="105" t="str">
        <f t="shared" si="970"/>
        <v>Trimble</v>
      </c>
      <c r="M5867" s="105" t="str">
        <f t="shared" si="971"/>
        <v>Derate</v>
      </c>
      <c r="N5867" s="105" t="str">
        <f t="shared" si="972"/>
        <v>Coal</v>
      </c>
      <c r="O5867" s="105">
        <f>IFERROR(VLOOKUP(A5867,Lookup!$J$5:$P$19,7,FALSE),0)</f>
        <v>3</v>
      </c>
      <c r="P5867" s="159">
        <f t="shared" si="973"/>
        <v>2013</v>
      </c>
      <c r="Q5867" s="159">
        <f t="shared" si="974"/>
        <v>9</v>
      </c>
      <c r="R5867" s="160">
        <f t="shared" si="975"/>
        <v>6</v>
      </c>
      <c r="S5867" s="158">
        <f t="shared" si="976"/>
        <v>1.0943396226415094</v>
      </c>
      <c r="T5867" s="161">
        <f t="shared" si="977"/>
        <v>817.47169811320748</v>
      </c>
      <c r="U5867" s="158">
        <f t="shared" si="979"/>
        <v>136.24528301886792</v>
      </c>
      <c r="V5867" s="160">
        <f t="shared" si="978"/>
        <v>136</v>
      </c>
    </row>
    <row r="5868" spans="1:22" x14ac:dyDescent="0.25">
      <c r="A5868" s="98" t="s">
        <v>69</v>
      </c>
      <c r="B5868" s="98" t="s">
        <v>79</v>
      </c>
      <c r="C5868" s="98">
        <v>140</v>
      </c>
      <c r="D5868" s="98">
        <v>1190</v>
      </c>
      <c r="E5868" s="157">
        <v>41537.708333333336</v>
      </c>
      <c r="F5868" s="157">
        <v>41537.96875</v>
      </c>
      <c r="G5868" s="98">
        <v>0</v>
      </c>
      <c r="H5868" s="98">
        <v>795</v>
      </c>
      <c r="I5868" s="98">
        <v>747</v>
      </c>
      <c r="J5868" s="98" t="s">
        <v>2007</v>
      </c>
      <c r="K5868" s="98" t="s">
        <v>1877</v>
      </c>
      <c r="L5868" s="105" t="str">
        <f t="shared" si="970"/>
        <v>Trimble</v>
      </c>
      <c r="M5868" s="105" t="str">
        <f t="shared" si="971"/>
        <v>Other</v>
      </c>
      <c r="N5868" s="105" t="str">
        <f t="shared" si="972"/>
        <v>Coal</v>
      </c>
      <c r="O5868" s="105">
        <f>IFERROR(VLOOKUP(A5868,Lookup!$J$5:$P$19,7,FALSE),0)</f>
        <v>3</v>
      </c>
      <c r="P5868" s="159">
        <f t="shared" si="973"/>
        <v>2013</v>
      </c>
      <c r="Q5868" s="159">
        <f t="shared" si="974"/>
        <v>9</v>
      </c>
      <c r="R5868" s="160">
        <f t="shared" si="975"/>
        <v>6.2499999999417923</v>
      </c>
      <c r="S5868" s="158">
        <f t="shared" si="976"/>
        <v>6.2499999999417923</v>
      </c>
      <c r="T5868" s="161">
        <f t="shared" si="977"/>
        <v>4668.7499999565189</v>
      </c>
      <c r="U5868" s="158">
        <f t="shared" si="979"/>
        <v>747</v>
      </c>
      <c r="V5868" s="160">
        <f t="shared" si="978"/>
        <v>747</v>
      </c>
    </row>
    <row r="5869" spans="1:22" x14ac:dyDescent="0.25">
      <c r="A5869" s="98" t="s">
        <v>69</v>
      </c>
      <c r="B5869" s="98" t="s">
        <v>17</v>
      </c>
      <c r="C5869" s="98">
        <v>141</v>
      </c>
      <c r="D5869" s="98">
        <v>250</v>
      </c>
      <c r="E5869" s="157">
        <v>41538.49722222222</v>
      </c>
      <c r="F5869" s="157">
        <v>41538.53125</v>
      </c>
      <c r="G5869" s="98">
        <v>665</v>
      </c>
      <c r="H5869" s="98">
        <v>795</v>
      </c>
      <c r="I5869" s="98">
        <v>747</v>
      </c>
      <c r="J5869" s="98" t="s">
        <v>1978</v>
      </c>
      <c r="K5869" s="98" t="s">
        <v>1878</v>
      </c>
      <c r="L5869" s="105" t="str">
        <f t="shared" si="970"/>
        <v>Trimble</v>
      </c>
      <c r="M5869" s="105" t="str">
        <f t="shared" si="971"/>
        <v>Derate</v>
      </c>
      <c r="N5869" s="105" t="str">
        <f t="shared" si="972"/>
        <v>Coal</v>
      </c>
      <c r="O5869" s="105">
        <f>IFERROR(VLOOKUP(A5869,Lookup!$J$5:$P$19,7,FALSE),0)</f>
        <v>3</v>
      </c>
      <c r="P5869" s="159">
        <f t="shared" si="973"/>
        <v>2013</v>
      </c>
      <c r="Q5869" s="159">
        <f t="shared" si="974"/>
        <v>9</v>
      </c>
      <c r="R5869" s="160">
        <f t="shared" si="975"/>
        <v>0.81666666670935228</v>
      </c>
      <c r="S5869" s="158">
        <f t="shared" si="976"/>
        <v>0.13354297694618339</v>
      </c>
      <c r="T5869" s="161">
        <f t="shared" si="977"/>
        <v>99.75660377879899</v>
      </c>
      <c r="U5869" s="158">
        <f t="shared" si="979"/>
        <v>122.15094339622641</v>
      </c>
      <c r="V5869" s="160">
        <f t="shared" si="978"/>
        <v>122</v>
      </c>
    </row>
    <row r="5870" spans="1:22" x14ac:dyDescent="0.25">
      <c r="A5870" s="98" t="s">
        <v>69</v>
      </c>
      <c r="B5870" s="98" t="s">
        <v>17</v>
      </c>
      <c r="C5870" s="98">
        <v>142</v>
      </c>
      <c r="D5870" s="98">
        <v>9305</v>
      </c>
      <c r="E5870" s="157">
        <v>41539.96875</v>
      </c>
      <c r="F5870" s="157">
        <v>41540.041666666664</v>
      </c>
      <c r="G5870" s="98">
        <v>730</v>
      </c>
      <c r="H5870" s="98">
        <v>795</v>
      </c>
      <c r="I5870" s="98">
        <v>747</v>
      </c>
      <c r="J5870" s="98" t="s">
        <v>3089</v>
      </c>
      <c r="K5870" s="98" t="s">
        <v>1879</v>
      </c>
      <c r="L5870" s="105" t="str">
        <f t="shared" si="970"/>
        <v>Trimble</v>
      </c>
      <c r="M5870" s="105" t="str">
        <f t="shared" si="971"/>
        <v>Derate</v>
      </c>
      <c r="N5870" s="105" t="str">
        <f t="shared" si="972"/>
        <v>Coal</v>
      </c>
      <c r="O5870" s="105">
        <f>IFERROR(VLOOKUP(A5870,Lookup!$J$5:$P$19,7,FALSE),0)</f>
        <v>3</v>
      </c>
      <c r="P5870" s="159">
        <f t="shared" si="973"/>
        <v>2013</v>
      </c>
      <c r="Q5870" s="159">
        <f t="shared" si="974"/>
        <v>9</v>
      </c>
      <c r="R5870" s="160">
        <f t="shared" si="975"/>
        <v>1.7499999999417923</v>
      </c>
      <c r="S5870" s="158">
        <f t="shared" si="976"/>
        <v>0.14308176100153019</v>
      </c>
      <c r="T5870" s="161">
        <f t="shared" si="977"/>
        <v>106.88207546814306</v>
      </c>
      <c r="U5870" s="158">
        <f t="shared" si="979"/>
        <v>61.075471698113205</v>
      </c>
      <c r="V5870" s="160">
        <f t="shared" si="978"/>
        <v>61</v>
      </c>
    </row>
    <row r="5871" spans="1:22" x14ac:dyDescent="0.25">
      <c r="A5871" s="98" t="s">
        <v>69</v>
      </c>
      <c r="B5871" s="98" t="s">
        <v>17</v>
      </c>
      <c r="C5871" s="98">
        <v>143</v>
      </c>
      <c r="D5871" s="98">
        <v>310</v>
      </c>
      <c r="E5871" s="157">
        <v>41540.902777777781</v>
      </c>
      <c r="F5871" s="157">
        <v>41540.994444444441</v>
      </c>
      <c r="G5871" s="98">
        <v>650</v>
      </c>
      <c r="H5871" s="98">
        <v>795</v>
      </c>
      <c r="I5871" s="98">
        <v>747</v>
      </c>
      <c r="J5871" s="98" t="s">
        <v>1966</v>
      </c>
      <c r="K5871" s="98" t="s">
        <v>1880</v>
      </c>
      <c r="L5871" s="105" t="str">
        <f t="shared" si="970"/>
        <v>Trimble</v>
      </c>
      <c r="M5871" s="105" t="str">
        <f t="shared" si="971"/>
        <v>Derate</v>
      </c>
      <c r="N5871" s="105" t="str">
        <f t="shared" si="972"/>
        <v>Coal</v>
      </c>
      <c r="O5871" s="105">
        <f>IFERROR(VLOOKUP(A5871,Lookup!$J$5:$P$19,7,FALSE),0)</f>
        <v>3</v>
      </c>
      <c r="P5871" s="159">
        <f t="shared" si="973"/>
        <v>2013</v>
      </c>
      <c r="Q5871" s="159">
        <f t="shared" si="974"/>
        <v>9</v>
      </c>
      <c r="R5871" s="160">
        <f t="shared" si="975"/>
        <v>2.1999999998370185</v>
      </c>
      <c r="S5871" s="158">
        <f t="shared" si="976"/>
        <v>0.40125786160549393</v>
      </c>
      <c r="T5871" s="161">
        <f t="shared" si="977"/>
        <v>299.73962261930399</v>
      </c>
      <c r="U5871" s="158">
        <f t="shared" si="979"/>
        <v>136.24528301886792</v>
      </c>
      <c r="V5871" s="160">
        <f t="shared" si="978"/>
        <v>136</v>
      </c>
    </row>
    <row r="5872" spans="1:22" x14ac:dyDescent="0.25">
      <c r="A5872" s="98" t="s">
        <v>69</v>
      </c>
      <c r="B5872" s="98" t="s">
        <v>79</v>
      </c>
      <c r="C5872" s="98">
        <v>144</v>
      </c>
      <c r="D5872" s="98">
        <v>1190</v>
      </c>
      <c r="E5872" s="157">
        <v>41546.000694444447</v>
      </c>
      <c r="F5872" s="157">
        <v>41546.34375</v>
      </c>
      <c r="G5872" s="98">
        <v>0</v>
      </c>
      <c r="H5872" s="98">
        <v>795</v>
      </c>
      <c r="I5872" s="98">
        <v>747</v>
      </c>
      <c r="J5872" s="98" t="s">
        <v>2007</v>
      </c>
      <c r="K5872" s="98" t="s">
        <v>1877</v>
      </c>
      <c r="L5872" s="105" t="str">
        <f t="shared" si="970"/>
        <v>Trimble</v>
      </c>
      <c r="M5872" s="105" t="str">
        <f t="shared" si="971"/>
        <v>Other</v>
      </c>
      <c r="N5872" s="105" t="str">
        <f t="shared" si="972"/>
        <v>Coal</v>
      </c>
      <c r="O5872" s="105">
        <f>IFERROR(VLOOKUP(A5872,Lookup!$J$5:$P$19,7,FALSE),0)</f>
        <v>3</v>
      </c>
      <c r="P5872" s="159">
        <f t="shared" si="973"/>
        <v>2013</v>
      </c>
      <c r="Q5872" s="159">
        <f t="shared" si="974"/>
        <v>9</v>
      </c>
      <c r="R5872" s="160">
        <f t="shared" si="975"/>
        <v>8.2333333332790062</v>
      </c>
      <c r="S5872" s="158">
        <f t="shared" si="976"/>
        <v>8.2333333332790062</v>
      </c>
      <c r="T5872" s="161">
        <f t="shared" si="977"/>
        <v>6150.2999999594176</v>
      </c>
      <c r="U5872" s="158">
        <f t="shared" si="979"/>
        <v>747</v>
      </c>
      <c r="V5872" s="160">
        <f t="shared" si="978"/>
        <v>747</v>
      </c>
    </row>
    <row r="5873" spans="1:22" x14ac:dyDescent="0.25">
      <c r="A5873" s="98" t="s">
        <v>69</v>
      </c>
      <c r="B5873" s="98" t="s">
        <v>17</v>
      </c>
      <c r="C5873" s="98">
        <v>145</v>
      </c>
      <c r="D5873" s="98">
        <v>510</v>
      </c>
      <c r="E5873" s="157">
        <v>41548.020833333336</v>
      </c>
      <c r="F5873" s="157">
        <v>41548.347916666666</v>
      </c>
      <c r="G5873" s="98">
        <v>804</v>
      </c>
      <c r="H5873" s="98">
        <v>795</v>
      </c>
      <c r="I5873" s="98">
        <v>747</v>
      </c>
      <c r="J5873" s="98" t="s">
        <v>3188</v>
      </c>
      <c r="K5873" s="98" t="s">
        <v>1881</v>
      </c>
      <c r="L5873" s="105" t="str">
        <f t="shared" si="970"/>
        <v>Trimble</v>
      </c>
      <c r="M5873" s="105" t="str">
        <f t="shared" si="971"/>
        <v>Derate</v>
      </c>
      <c r="N5873" s="105" t="str">
        <f t="shared" si="972"/>
        <v>Coal</v>
      </c>
      <c r="O5873" s="105">
        <f>IFERROR(VLOOKUP(A5873,Lookup!$J$5:$P$19,7,FALSE),0)</f>
        <v>3</v>
      </c>
      <c r="P5873" s="159">
        <f t="shared" si="973"/>
        <v>2013</v>
      </c>
      <c r="Q5873" s="159">
        <f t="shared" si="974"/>
        <v>10</v>
      </c>
      <c r="R5873" s="160">
        <f t="shared" si="975"/>
        <v>7.8499999999185093</v>
      </c>
      <c r="S5873" s="158">
        <f t="shared" si="976"/>
        <v>-8.8867924527379349E-2</v>
      </c>
      <c r="T5873" s="161">
        <f t="shared" si="977"/>
        <v>-66.384339621952378</v>
      </c>
      <c r="U5873" s="158">
        <f t="shared" si="979"/>
        <v>0</v>
      </c>
      <c r="V5873" s="160">
        <f t="shared" si="978"/>
        <v>0</v>
      </c>
    </row>
    <row r="5874" spans="1:22" x14ac:dyDescent="0.25">
      <c r="A5874" s="98" t="s">
        <v>69</v>
      </c>
      <c r="B5874" s="98" t="s">
        <v>17</v>
      </c>
      <c r="C5874" s="98">
        <v>146</v>
      </c>
      <c r="D5874" s="98">
        <v>9616</v>
      </c>
      <c r="E5874" s="157">
        <v>41548.347916666666</v>
      </c>
      <c r="F5874" s="157">
        <v>41548.4375</v>
      </c>
      <c r="G5874" s="98">
        <v>704</v>
      </c>
      <c r="H5874" s="98">
        <v>795</v>
      </c>
      <c r="I5874" s="98">
        <v>747</v>
      </c>
      <c r="J5874" s="98" t="s">
        <v>3088</v>
      </c>
      <c r="K5874" s="98" t="s">
        <v>1882</v>
      </c>
      <c r="L5874" s="105" t="str">
        <f t="shared" si="970"/>
        <v>Trimble</v>
      </c>
      <c r="M5874" s="105" t="str">
        <f t="shared" si="971"/>
        <v>Derate</v>
      </c>
      <c r="N5874" s="105" t="str">
        <f t="shared" si="972"/>
        <v>Coal</v>
      </c>
      <c r="O5874" s="105">
        <f>IFERROR(VLOOKUP(A5874,Lookup!$J$5:$P$19,7,FALSE),0)</f>
        <v>3</v>
      </c>
      <c r="P5874" s="159">
        <f t="shared" si="973"/>
        <v>2013</v>
      </c>
      <c r="Q5874" s="159">
        <f t="shared" si="974"/>
        <v>10</v>
      </c>
      <c r="R5874" s="160">
        <f t="shared" si="975"/>
        <v>2.1500000000232831</v>
      </c>
      <c r="S5874" s="158">
        <f t="shared" si="976"/>
        <v>0.24610062893348272</v>
      </c>
      <c r="T5874" s="161">
        <f t="shared" si="977"/>
        <v>183.83716981331159</v>
      </c>
      <c r="U5874" s="158">
        <f t="shared" si="979"/>
        <v>85.505660377358495</v>
      </c>
      <c r="V5874" s="160">
        <f t="shared" si="978"/>
        <v>86</v>
      </c>
    </row>
    <row r="5875" spans="1:22" x14ac:dyDescent="0.25">
      <c r="A5875" s="98" t="s">
        <v>69</v>
      </c>
      <c r="B5875" s="98" t="s">
        <v>17</v>
      </c>
      <c r="C5875" s="98">
        <v>147</v>
      </c>
      <c r="D5875" s="98">
        <v>510</v>
      </c>
      <c r="E5875" s="157">
        <v>41548.4375</v>
      </c>
      <c r="F5875" s="157">
        <v>41549.419444444444</v>
      </c>
      <c r="G5875" s="98">
        <v>804</v>
      </c>
      <c r="H5875" s="98">
        <v>795</v>
      </c>
      <c r="I5875" s="98">
        <v>747</v>
      </c>
      <c r="J5875" s="98" t="s">
        <v>3188</v>
      </c>
      <c r="K5875" s="98" t="s">
        <v>1881</v>
      </c>
      <c r="L5875" s="105" t="str">
        <f t="shared" si="970"/>
        <v>Trimble</v>
      </c>
      <c r="M5875" s="105" t="str">
        <f t="shared" si="971"/>
        <v>Derate</v>
      </c>
      <c r="N5875" s="105" t="str">
        <f t="shared" si="972"/>
        <v>Coal</v>
      </c>
      <c r="O5875" s="105">
        <f>IFERROR(VLOOKUP(A5875,Lookup!$J$5:$P$19,7,FALSE),0)</f>
        <v>3</v>
      </c>
      <c r="P5875" s="159">
        <f t="shared" si="973"/>
        <v>2013</v>
      </c>
      <c r="Q5875" s="159">
        <f t="shared" si="974"/>
        <v>10</v>
      </c>
      <c r="R5875" s="160">
        <f t="shared" si="975"/>
        <v>23.566666666651145</v>
      </c>
      <c r="S5875" s="158">
        <f t="shared" si="976"/>
        <v>-0.26679245283001296</v>
      </c>
      <c r="T5875" s="161">
        <f t="shared" si="977"/>
        <v>-199.29396226401968</v>
      </c>
      <c r="U5875" s="158">
        <f t="shared" si="979"/>
        <v>0</v>
      </c>
      <c r="V5875" s="160">
        <f t="shared" si="978"/>
        <v>0</v>
      </c>
    </row>
    <row r="5876" spans="1:22" x14ac:dyDescent="0.25">
      <c r="A5876" s="98" t="s">
        <v>69</v>
      </c>
      <c r="B5876" s="98" t="s">
        <v>17</v>
      </c>
      <c r="C5876" s="98">
        <v>148</v>
      </c>
      <c r="D5876" s="98">
        <v>510</v>
      </c>
      <c r="E5876" s="157">
        <v>41549.419444444444</v>
      </c>
      <c r="F5876" s="157">
        <v>41549.461111111108</v>
      </c>
      <c r="G5876" s="98">
        <v>799</v>
      </c>
      <c r="H5876" s="98">
        <v>795</v>
      </c>
      <c r="I5876" s="98">
        <v>747</v>
      </c>
      <c r="J5876" s="98" t="s">
        <v>3188</v>
      </c>
      <c r="K5876" s="98" t="s">
        <v>1881</v>
      </c>
      <c r="L5876" s="105" t="str">
        <f t="shared" si="970"/>
        <v>Trimble</v>
      </c>
      <c r="M5876" s="105" t="str">
        <f t="shared" si="971"/>
        <v>Derate</v>
      </c>
      <c r="N5876" s="105" t="str">
        <f t="shared" si="972"/>
        <v>Coal</v>
      </c>
      <c r="O5876" s="105">
        <f>IFERROR(VLOOKUP(A5876,Lookup!$J$5:$P$19,7,FALSE),0)</f>
        <v>3</v>
      </c>
      <c r="P5876" s="159">
        <f t="shared" si="973"/>
        <v>2013</v>
      </c>
      <c r="Q5876" s="159">
        <f t="shared" si="974"/>
        <v>10</v>
      </c>
      <c r="R5876" s="160">
        <f t="shared" si="975"/>
        <v>0.99999999994179234</v>
      </c>
      <c r="S5876" s="158">
        <f t="shared" si="976"/>
        <v>-5.0314465405876347E-3</v>
      </c>
      <c r="T5876" s="161">
        <f t="shared" si="977"/>
        <v>-3.7584905658189633</v>
      </c>
      <c r="U5876" s="158">
        <f t="shared" si="979"/>
        <v>0</v>
      </c>
      <c r="V5876" s="160">
        <f t="shared" si="978"/>
        <v>0</v>
      </c>
    </row>
    <row r="5877" spans="1:22" x14ac:dyDescent="0.25">
      <c r="A5877" s="98" t="s">
        <v>69</v>
      </c>
      <c r="B5877" s="98" t="s">
        <v>17</v>
      </c>
      <c r="C5877" s="98">
        <v>149</v>
      </c>
      <c r="D5877" s="98">
        <v>510</v>
      </c>
      <c r="E5877" s="157">
        <v>41549.461111111108</v>
      </c>
      <c r="F5877" s="157">
        <v>41549.550694444442</v>
      </c>
      <c r="G5877" s="98">
        <v>804</v>
      </c>
      <c r="H5877" s="98">
        <v>795</v>
      </c>
      <c r="I5877" s="98">
        <v>747</v>
      </c>
      <c r="J5877" s="98" t="s">
        <v>3188</v>
      </c>
      <c r="K5877" s="98" t="s">
        <v>1881</v>
      </c>
      <c r="L5877" s="105" t="str">
        <f t="shared" si="970"/>
        <v>Trimble</v>
      </c>
      <c r="M5877" s="105" t="str">
        <f t="shared" si="971"/>
        <v>Derate</v>
      </c>
      <c r="N5877" s="105" t="str">
        <f t="shared" si="972"/>
        <v>Coal</v>
      </c>
      <c r="O5877" s="105">
        <f>IFERROR(VLOOKUP(A5877,Lookup!$J$5:$P$19,7,FALSE),0)</f>
        <v>3</v>
      </c>
      <c r="P5877" s="159">
        <f t="shared" si="973"/>
        <v>2013</v>
      </c>
      <c r="Q5877" s="159">
        <f t="shared" si="974"/>
        <v>10</v>
      </c>
      <c r="R5877" s="160">
        <f t="shared" si="975"/>
        <v>2.1500000000232831</v>
      </c>
      <c r="S5877" s="158">
        <f t="shared" si="976"/>
        <v>-2.4339622641773015E-2</v>
      </c>
      <c r="T5877" s="161">
        <f t="shared" si="977"/>
        <v>-18.18169811340444</v>
      </c>
      <c r="U5877" s="158">
        <f t="shared" si="979"/>
        <v>0</v>
      </c>
      <c r="V5877" s="160">
        <f t="shared" si="978"/>
        <v>0</v>
      </c>
    </row>
    <row r="5878" spans="1:22" x14ac:dyDescent="0.25">
      <c r="A5878" s="98" t="s">
        <v>69</v>
      </c>
      <c r="B5878" s="98" t="s">
        <v>17</v>
      </c>
      <c r="C5878" s="98">
        <v>150</v>
      </c>
      <c r="D5878" s="98">
        <v>510</v>
      </c>
      <c r="E5878" s="157">
        <v>41549.550694444442</v>
      </c>
      <c r="F5878" s="157">
        <v>41553.000694444447</v>
      </c>
      <c r="G5878" s="98">
        <v>799</v>
      </c>
      <c r="H5878" s="98">
        <v>795</v>
      </c>
      <c r="I5878" s="98">
        <v>747</v>
      </c>
      <c r="J5878" s="98" t="s">
        <v>3188</v>
      </c>
      <c r="K5878" s="98" t="s">
        <v>1881</v>
      </c>
      <c r="L5878" s="105" t="str">
        <f t="shared" si="970"/>
        <v>Trimble</v>
      </c>
      <c r="M5878" s="105" t="str">
        <f t="shared" si="971"/>
        <v>Derate</v>
      </c>
      <c r="N5878" s="105" t="str">
        <f t="shared" si="972"/>
        <v>Coal</v>
      </c>
      <c r="O5878" s="105">
        <f>IFERROR(VLOOKUP(A5878,Lookup!$J$5:$P$19,7,FALSE),0)</f>
        <v>3</v>
      </c>
      <c r="P5878" s="159">
        <f t="shared" si="973"/>
        <v>2013</v>
      </c>
      <c r="Q5878" s="159">
        <f t="shared" si="974"/>
        <v>10</v>
      </c>
      <c r="R5878" s="160">
        <f t="shared" si="975"/>
        <v>82.800000000104774</v>
      </c>
      <c r="S5878" s="158">
        <f t="shared" si="976"/>
        <v>-0.41660377358543282</v>
      </c>
      <c r="T5878" s="161">
        <f t="shared" si="977"/>
        <v>-311.20301886831834</v>
      </c>
      <c r="U5878" s="158">
        <f t="shared" si="979"/>
        <v>0</v>
      </c>
      <c r="V5878" s="160">
        <f t="shared" si="978"/>
        <v>0</v>
      </c>
    </row>
    <row r="5879" spans="1:22" x14ac:dyDescent="0.25">
      <c r="A5879" s="98" t="s">
        <v>69</v>
      </c>
      <c r="B5879" s="98" t="s">
        <v>79</v>
      </c>
      <c r="C5879" s="98">
        <v>151</v>
      </c>
      <c r="D5879" s="98">
        <v>1190</v>
      </c>
      <c r="E5879" s="157">
        <v>41553.000694444447</v>
      </c>
      <c r="F5879" s="157">
        <v>41553.375</v>
      </c>
      <c r="G5879" s="98">
        <v>0</v>
      </c>
      <c r="H5879" s="98">
        <v>795</v>
      </c>
      <c r="I5879" s="98">
        <v>747</v>
      </c>
      <c r="J5879" s="98" t="s">
        <v>2007</v>
      </c>
      <c r="K5879" s="98" t="s">
        <v>1883</v>
      </c>
      <c r="L5879" s="105" t="str">
        <f t="shared" si="970"/>
        <v>Trimble</v>
      </c>
      <c r="M5879" s="105" t="str">
        <f t="shared" si="971"/>
        <v>Other</v>
      </c>
      <c r="N5879" s="105" t="str">
        <f t="shared" si="972"/>
        <v>Coal</v>
      </c>
      <c r="O5879" s="105">
        <f>IFERROR(VLOOKUP(A5879,Lookup!$J$5:$P$19,7,FALSE),0)</f>
        <v>3</v>
      </c>
      <c r="P5879" s="159">
        <f t="shared" si="973"/>
        <v>2013</v>
      </c>
      <c r="Q5879" s="159">
        <f t="shared" si="974"/>
        <v>10</v>
      </c>
      <c r="R5879" s="160">
        <f t="shared" si="975"/>
        <v>8.9833333332790062</v>
      </c>
      <c r="S5879" s="158">
        <f t="shared" si="976"/>
        <v>8.9833333332790062</v>
      </c>
      <c r="T5879" s="161">
        <f t="shared" si="977"/>
        <v>6710.5499999594176</v>
      </c>
      <c r="U5879" s="158">
        <f t="shared" si="979"/>
        <v>747</v>
      </c>
      <c r="V5879" s="160">
        <f t="shared" si="978"/>
        <v>747</v>
      </c>
    </row>
    <row r="5880" spans="1:22" x14ac:dyDescent="0.25">
      <c r="A5880" s="98" t="s">
        <v>69</v>
      </c>
      <c r="B5880" s="98" t="s">
        <v>17</v>
      </c>
      <c r="C5880" s="98">
        <v>152</v>
      </c>
      <c r="D5880" s="98">
        <v>510</v>
      </c>
      <c r="E5880" s="157">
        <v>41553.375</v>
      </c>
      <c r="F5880" s="157">
        <v>41560</v>
      </c>
      <c r="G5880" s="98">
        <v>799</v>
      </c>
      <c r="H5880" s="98">
        <v>795</v>
      </c>
      <c r="I5880" s="98">
        <v>747</v>
      </c>
      <c r="J5880" s="98" t="s">
        <v>3188</v>
      </c>
      <c r="K5880" s="98" t="s">
        <v>1881</v>
      </c>
      <c r="L5880" s="105" t="str">
        <f t="shared" si="970"/>
        <v>Trimble</v>
      </c>
      <c r="M5880" s="105" t="str">
        <f t="shared" si="971"/>
        <v>Derate</v>
      </c>
      <c r="N5880" s="105" t="str">
        <f t="shared" si="972"/>
        <v>Coal</v>
      </c>
      <c r="O5880" s="105">
        <f>IFERROR(VLOOKUP(A5880,Lookup!$J$5:$P$19,7,FALSE),0)</f>
        <v>3</v>
      </c>
      <c r="P5880" s="159">
        <f t="shared" si="973"/>
        <v>2013</v>
      </c>
      <c r="Q5880" s="159">
        <f t="shared" si="974"/>
        <v>10</v>
      </c>
      <c r="R5880" s="160">
        <f t="shared" si="975"/>
        <v>159</v>
      </c>
      <c r="S5880" s="158">
        <f t="shared" si="976"/>
        <v>-0.8</v>
      </c>
      <c r="T5880" s="161">
        <f t="shared" si="977"/>
        <v>-597.6</v>
      </c>
      <c r="U5880" s="158">
        <f t="shared" si="979"/>
        <v>0</v>
      </c>
      <c r="V5880" s="160">
        <f t="shared" si="978"/>
        <v>0</v>
      </c>
    </row>
    <row r="5881" spans="1:22" x14ac:dyDescent="0.25">
      <c r="A5881" s="98" t="s">
        <v>69</v>
      </c>
      <c r="B5881" s="98" t="s">
        <v>79</v>
      </c>
      <c r="C5881" s="98">
        <v>153</v>
      </c>
      <c r="D5881" s="98">
        <v>1190</v>
      </c>
      <c r="E5881" s="157">
        <v>41560</v>
      </c>
      <c r="F5881" s="157">
        <v>41560.375</v>
      </c>
      <c r="G5881" s="98">
        <v>0</v>
      </c>
      <c r="H5881" s="98">
        <v>795</v>
      </c>
      <c r="I5881" s="98">
        <v>747</v>
      </c>
      <c r="J5881" s="98" t="s">
        <v>2007</v>
      </c>
      <c r="K5881" s="98" t="s">
        <v>1884</v>
      </c>
      <c r="L5881" s="105" t="str">
        <f t="shared" si="970"/>
        <v>Trimble</v>
      </c>
      <c r="M5881" s="105" t="str">
        <f t="shared" si="971"/>
        <v>Other</v>
      </c>
      <c r="N5881" s="105" t="str">
        <f t="shared" si="972"/>
        <v>Coal</v>
      </c>
      <c r="O5881" s="105">
        <f>IFERROR(VLOOKUP(A5881,Lookup!$J$5:$P$19,7,FALSE),0)</f>
        <v>3</v>
      </c>
      <c r="P5881" s="159">
        <f t="shared" si="973"/>
        <v>2013</v>
      </c>
      <c r="Q5881" s="159">
        <f t="shared" si="974"/>
        <v>10</v>
      </c>
      <c r="R5881" s="160">
        <f t="shared" si="975"/>
        <v>9</v>
      </c>
      <c r="S5881" s="158">
        <f t="shared" si="976"/>
        <v>9</v>
      </c>
      <c r="T5881" s="161">
        <f t="shared" si="977"/>
        <v>6723</v>
      </c>
      <c r="U5881" s="158">
        <f t="shared" si="979"/>
        <v>747</v>
      </c>
      <c r="V5881" s="160">
        <f t="shared" si="978"/>
        <v>747</v>
      </c>
    </row>
    <row r="5882" spans="1:22" x14ac:dyDescent="0.25">
      <c r="A5882" s="98" t="s">
        <v>69</v>
      </c>
      <c r="B5882" s="98" t="s">
        <v>17</v>
      </c>
      <c r="C5882" s="98">
        <v>154</v>
      </c>
      <c r="D5882" s="98">
        <v>510</v>
      </c>
      <c r="E5882" s="157">
        <v>41560.375</v>
      </c>
      <c r="F5882" s="157">
        <v>41561.695138888892</v>
      </c>
      <c r="G5882" s="98">
        <v>799</v>
      </c>
      <c r="H5882" s="98">
        <v>795</v>
      </c>
      <c r="I5882" s="98">
        <v>747</v>
      </c>
      <c r="J5882" s="98" t="s">
        <v>3188</v>
      </c>
      <c r="K5882" s="98" t="s">
        <v>1881</v>
      </c>
      <c r="L5882" s="105" t="str">
        <f t="shared" si="970"/>
        <v>Trimble</v>
      </c>
      <c r="M5882" s="105" t="str">
        <f t="shared" si="971"/>
        <v>Derate</v>
      </c>
      <c r="N5882" s="105" t="str">
        <f t="shared" si="972"/>
        <v>Coal</v>
      </c>
      <c r="O5882" s="105">
        <f>IFERROR(VLOOKUP(A5882,Lookup!$J$5:$P$19,7,FALSE),0)</f>
        <v>3</v>
      </c>
      <c r="P5882" s="159">
        <f t="shared" si="973"/>
        <v>2013</v>
      </c>
      <c r="Q5882" s="159">
        <f t="shared" si="974"/>
        <v>10</v>
      </c>
      <c r="R5882" s="160">
        <f t="shared" si="975"/>
        <v>31.683333333407063</v>
      </c>
      <c r="S5882" s="158">
        <f t="shared" si="976"/>
        <v>-0.1594129979039349</v>
      </c>
      <c r="T5882" s="161">
        <f t="shared" si="977"/>
        <v>-119.08150943423936</v>
      </c>
      <c r="U5882" s="158">
        <f t="shared" si="979"/>
        <v>0</v>
      </c>
      <c r="V5882" s="160">
        <f t="shared" si="978"/>
        <v>0</v>
      </c>
    </row>
    <row r="5883" spans="1:22" x14ac:dyDescent="0.25">
      <c r="A5883" s="98" t="s">
        <v>69</v>
      </c>
      <c r="B5883" s="98" t="s">
        <v>17</v>
      </c>
      <c r="C5883" s="98">
        <v>155</v>
      </c>
      <c r="D5883" s="98">
        <v>8821</v>
      </c>
      <c r="E5883" s="157">
        <v>41561.695138888892</v>
      </c>
      <c r="F5883" s="157">
        <v>41561.75</v>
      </c>
      <c r="G5883" s="98">
        <v>676</v>
      </c>
      <c r="H5883" s="98">
        <v>795</v>
      </c>
      <c r="I5883" s="98">
        <v>747</v>
      </c>
      <c r="J5883" s="98" t="s">
        <v>3090</v>
      </c>
      <c r="K5883" s="98" t="s">
        <v>1885</v>
      </c>
      <c r="L5883" s="105" t="str">
        <f t="shared" si="970"/>
        <v>Trimble</v>
      </c>
      <c r="M5883" s="105" t="str">
        <f t="shared" si="971"/>
        <v>Derate</v>
      </c>
      <c r="N5883" s="105" t="str">
        <f t="shared" si="972"/>
        <v>Coal</v>
      </c>
      <c r="O5883" s="105">
        <f>IFERROR(VLOOKUP(A5883,Lookup!$J$5:$P$19,7,FALSE),0)</f>
        <v>3</v>
      </c>
      <c r="P5883" s="159">
        <f t="shared" si="973"/>
        <v>2013</v>
      </c>
      <c r="Q5883" s="159">
        <f t="shared" si="974"/>
        <v>10</v>
      </c>
      <c r="R5883" s="160">
        <f t="shared" si="975"/>
        <v>1.316666666592937</v>
      </c>
      <c r="S5883" s="158">
        <f t="shared" si="976"/>
        <v>0.19708595386737043</v>
      </c>
      <c r="T5883" s="161">
        <f t="shared" si="977"/>
        <v>147.22320753892572</v>
      </c>
      <c r="U5883" s="158">
        <f t="shared" si="979"/>
        <v>111.81509433962265</v>
      </c>
      <c r="V5883" s="160">
        <f t="shared" si="978"/>
        <v>112</v>
      </c>
    </row>
    <row r="5884" spans="1:22" x14ac:dyDescent="0.25">
      <c r="A5884" s="98" t="s">
        <v>69</v>
      </c>
      <c r="B5884" s="98" t="s">
        <v>17</v>
      </c>
      <c r="C5884" s="98">
        <v>156</v>
      </c>
      <c r="D5884" s="98">
        <v>510</v>
      </c>
      <c r="E5884" s="157">
        <v>41561.75</v>
      </c>
      <c r="F5884" s="157">
        <v>41567</v>
      </c>
      <c r="G5884" s="98">
        <v>799</v>
      </c>
      <c r="H5884" s="98">
        <v>795</v>
      </c>
      <c r="I5884" s="98">
        <v>747</v>
      </c>
      <c r="J5884" s="98" t="s">
        <v>3188</v>
      </c>
      <c r="K5884" s="98" t="s">
        <v>1881</v>
      </c>
      <c r="L5884" s="105" t="str">
        <f t="shared" si="970"/>
        <v>Trimble</v>
      </c>
      <c r="M5884" s="105" t="str">
        <f t="shared" si="971"/>
        <v>Derate</v>
      </c>
      <c r="N5884" s="105" t="str">
        <f t="shared" si="972"/>
        <v>Coal</v>
      </c>
      <c r="O5884" s="105">
        <f>IFERROR(VLOOKUP(A5884,Lookup!$J$5:$P$19,7,FALSE),0)</f>
        <v>3</v>
      </c>
      <c r="P5884" s="159">
        <f t="shared" si="973"/>
        <v>2013</v>
      </c>
      <c r="Q5884" s="159">
        <f t="shared" si="974"/>
        <v>10</v>
      </c>
      <c r="R5884" s="160">
        <f t="shared" si="975"/>
        <v>126</v>
      </c>
      <c r="S5884" s="158">
        <f t="shared" si="976"/>
        <v>-0.63396226415094337</v>
      </c>
      <c r="T5884" s="161">
        <f t="shared" si="977"/>
        <v>-473.5698113207547</v>
      </c>
      <c r="U5884" s="158">
        <f t="shared" si="979"/>
        <v>0</v>
      </c>
      <c r="V5884" s="160">
        <f t="shared" si="978"/>
        <v>0</v>
      </c>
    </row>
    <row r="5885" spans="1:22" x14ac:dyDescent="0.25">
      <c r="A5885" s="98" t="s">
        <v>69</v>
      </c>
      <c r="B5885" s="98" t="s">
        <v>79</v>
      </c>
      <c r="C5885" s="98">
        <v>157</v>
      </c>
      <c r="D5885" s="98">
        <v>1190</v>
      </c>
      <c r="E5885" s="157">
        <v>41567</v>
      </c>
      <c r="F5885" s="157">
        <v>41567.291666666664</v>
      </c>
      <c r="G5885" s="98">
        <v>0</v>
      </c>
      <c r="H5885" s="98">
        <v>795</v>
      </c>
      <c r="I5885" s="98">
        <v>747</v>
      </c>
      <c r="J5885" s="98" t="s">
        <v>2007</v>
      </c>
      <c r="K5885" s="98" t="s">
        <v>1886</v>
      </c>
      <c r="L5885" s="105" t="str">
        <f t="shared" si="970"/>
        <v>Trimble</v>
      </c>
      <c r="M5885" s="105" t="str">
        <f t="shared" si="971"/>
        <v>Other</v>
      </c>
      <c r="N5885" s="105" t="str">
        <f t="shared" si="972"/>
        <v>Coal</v>
      </c>
      <c r="O5885" s="105">
        <f>IFERROR(VLOOKUP(A5885,Lookup!$J$5:$P$19,7,FALSE),0)</f>
        <v>3</v>
      </c>
      <c r="P5885" s="159">
        <f t="shared" si="973"/>
        <v>2013</v>
      </c>
      <c r="Q5885" s="159">
        <f t="shared" si="974"/>
        <v>10</v>
      </c>
      <c r="R5885" s="160">
        <f t="shared" si="975"/>
        <v>6.9999999999417923</v>
      </c>
      <c r="S5885" s="158">
        <f t="shared" si="976"/>
        <v>6.9999999999417923</v>
      </c>
      <c r="T5885" s="161">
        <f t="shared" si="977"/>
        <v>5228.9999999565189</v>
      </c>
      <c r="U5885" s="158">
        <f t="shared" si="979"/>
        <v>747</v>
      </c>
      <c r="V5885" s="160">
        <f t="shared" si="978"/>
        <v>747</v>
      </c>
    </row>
    <row r="5886" spans="1:22" x14ac:dyDescent="0.25">
      <c r="A5886" s="98" t="s">
        <v>69</v>
      </c>
      <c r="B5886" s="98" t="s">
        <v>17</v>
      </c>
      <c r="C5886" s="98">
        <v>158</v>
      </c>
      <c r="D5886" s="98">
        <v>510</v>
      </c>
      <c r="E5886" s="157">
        <v>41567.291666666664</v>
      </c>
      <c r="F5886" s="157">
        <v>41567.373611111114</v>
      </c>
      <c r="G5886" s="98">
        <v>799</v>
      </c>
      <c r="H5886" s="98">
        <v>795</v>
      </c>
      <c r="I5886" s="98">
        <v>747</v>
      </c>
      <c r="J5886" s="98" t="s">
        <v>3188</v>
      </c>
      <c r="K5886" s="98" t="s">
        <v>1881</v>
      </c>
      <c r="L5886" s="105" t="str">
        <f t="shared" si="970"/>
        <v>Trimble</v>
      </c>
      <c r="M5886" s="105" t="str">
        <f t="shared" si="971"/>
        <v>Derate</v>
      </c>
      <c r="N5886" s="105" t="str">
        <f t="shared" si="972"/>
        <v>Coal</v>
      </c>
      <c r="O5886" s="105">
        <f>IFERROR(VLOOKUP(A5886,Lookup!$J$5:$P$19,7,FALSE),0)</f>
        <v>3</v>
      </c>
      <c r="P5886" s="159">
        <f t="shared" si="973"/>
        <v>2013</v>
      </c>
      <c r="Q5886" s="159">
        <f t="shared" si="974"/>
        <v>10</v>
      </c>
      <c r="R5886" s="160">
        <f t="shared" si="975"/>
        <v>1.966666666790843</v>
      </c>
      <c r="S5886" s="158">
        <f t="shared" si="976"/>
        <v>-9.895178197689777E-3</v>
      </c>
      <c r="T5886" s="161">
        <f t="shared" si="977"/>
        <v>-7.3916981136742637</v>
      </c>
      <c r="U5886" s="158">
        <f t="shared" si="979"/>
        <v>0</v>
      </c>
      <c r="V5886" s="160">
        <f t="shared" si="978"/>
        <v>0</v>
      </c>
    </row>
    <row r="5887" spans="1:22" x14ac:dyDescent="0.25">
      <c r="A5887" s="98" t="s">
        <v>69</v>
      </c>
      <c r="B5887" s="98" t="s">
        <v>17</v>
      </c>
      <c r="C5887" s="98">
        <v>159</v>
      </c>
      <c r="D5887" s="98">
        <v>9616</v>
      </c>
      <c r="E5887" s="157">
        <v>41567.373611111114</v>
      </c>
      <c r="F5887" s="157">
        <v>41567.458333333336</v>
      </c>
      <c r="G5887" s="98">
        <v>699</v>
      </c>
      <c r="H5887" s="98">
        <v>795</v>
      </c>
      <c r="I5887" s="98">
        <v>747</v>
      </c>
      <c r="J5887" s="98" t="s">
        <v>3088</v>
      </c>
      <c r="K5887" s="98" t="s">
        <v>1887</v>
      </c>
      <c r="L5887" s="105" t="str">
        <f t="shared" si="970"/>
        <v>Trimble</v>
      </c>
      <c r="M5887" s="105" t="str">
        <f t="shared" si="971"/>
        <v>Derate</v>
      </c>
      <c r="N5887" s="105" t="str">
        <f t="shared" si="972"/>
        <v>Coal</v>
      </c>
      <c r="O5887" s="105">
        <f>IFERROR(VLOOKUP(A5887,Lookup!$J$5:$P$19,7,FALSE),0)</f>
        <v>3</v>
      </c>
      <c r="P5887" s="159">
        <f t="shared" si="973"/>
        <v>2013</v>
      </c>
      <c r="Q5887" s="159">
        <f t="shared" si="974"/>
        <v>10</v>
      </c>
      <c r="R5887" s="160">
        <f t="shared" si="975"/>
        <v>2.0333333333255723</v>
      </c>
      <c r="S5887" s="158">
        <f t="shared" si="976"/>
        <v>0.24553459119403137</v>
      </c>
      <c r="T5887" s="161">
        <f t="shared" si="977"/>
        <v>183.41433962194142</v>
      </c>
      <c r="U5887" s="158">
        <f t="shared" si="979"/>
        <v>90.203773584905662</v>
      </c>
      <c r="V5887" s="160">
        <f t="shared" si="978"/>
        <v>90</v>
      </c>
    </row>
    <row r="5888" spans="1:22" x14ac:dyDescent="0.25">
      <c r="A5888" s="98" t="s">
        <v>69</v>
      </c>
      <c r="B5888" s="98" t="s">
        <v>17</v>
      </c>
      <c r="C5888" s="98">
        <v>160</v>
      </c>
      <c r="D5888" s="98">
        <v>510</v>
      </c>
      <c r="E5888" s="157">
        <v>41567.458333333336</v>
      </c>
      <c r="F5888" s="157">
        <v>41574</v>
      </c>
      <c r="G5888" s="98">
        <v>799</v>
      </c>
      <c r="H5888" s="98">
        <v>795</v>
      </c>
      <c r="I5888" s="98">
        <v>747</v>
      </c>
      <c r="J5888" s="98" t="s">
        <v>3188</v>
      </c>
      <c r="K5888" s="98" t="s">
        <v>1881</v>
      </c>
      <c r="L5888" s="105" t="str">
        <f t="shared" si="970"/>
        <v>Trimble</v>
      </c>
      <c r="M5888" s="105" t="str">
        <f t="shared" si="971"/>
        <v>Derate</v>
      </c>
      <c r="N5888" s="105" t="str">
        <f t="shared" si="972"/>
        <v>Coal</v>
      </c>
      <c r="O5888" s="105">
        <f>IFERROR(VLOOKUP(A5888,Lookup!$J$5:$P$19,7,FALSE),0)</f>
        <v>3</v>
      </c>
      <c r="P5888" s="159">
        <f t="shared" si="973"/>
        <v>2013</v>
      </c>
      <c r="Q5888" s="159">
        <f t="shared" si="974"/>
        <v>10</v>
      </c>
      <c r="R5888" s="160">
        <f t="shared" si="975"/>
        <v>156.99999999994179</v>
      </c>
      <c r="S5888" s="158">
        <f t="shared" si="976"/>
        <v>-0.78993710691794616</v>
      </c>
      <c r="T5888" s="161">
        <f t="shared" si="977"/>
        <v>-590.08301886770573</v>
      </c>
      <c r="U5888" s="158">
        <f t="shared" si="979"/>
        <v>0</v>
      </c>
      <c r="V5888" s="160">
        <f t="shared" si="978"/>
        <v>0</v>
      </c>
    </row>
    <row r="5889" spans="1:22" x14ac:dyDescent="0.25">
      <c r="A5889" s="98" t="s">
        <v>69</v>
      </c>
      <c r="B5889" s="98" t="s">
        <v>79</v>
      </c>
      <c r="C5889" s="98">
        <v>161</v>
      </c>
      <c r="D5889" s="98">
        <v>1190</v>
      </c>
      <c r="E5889" s="157">
        <v>41574</v>
      </c>
      <c r="F5889" s="157">
        <v>41574.145138888889</v>
      </c>
      <c r="G5889" s="98">
        <v>0</v>
      </c>
      <c r="H5889" s="98">
        <v>795</v>
      </c>
      <c r="I5889" s="98">
        <v>747</v>
      </c>
      <c r="J5889" s="98" t="s">
        <v>2007</v>
      </c>
      <c r="K5889" s="98" t="s">
        <v>1888</v>
      </c>
      <c r="L5889" s="105" t="str">
        <f t="shared" ref="L5889:L5952" si="980">IF(OR(A5889="BR1",A5889="BR2",A5889="BR3",A5889="BR5",A5889="BR6",A5889="BR7",A5889="BR8",A5889="BR9",A5889="BR10",A5889="BR11"),"Brown",IF(OR(A5889="CR4",A5889="CR5",A5889="CR6",A5889="CR11"),"Cane Run",IF(OR(A5889="GH1",A5889="GH2",A5889="GH3",A5889="GH4"),"Ghent",IF(OR(A5889="GR3",A5889="GR4"),"Green River",IF(OR(A5889="MC1",A5889="MC2",A5889="MC3",A5889="MC4"),"Mill Creek",IF(OR(A5889="TC1",A5889="TC2",A5889="TC5",A5889="TC6",A5889="TC7",A5889="TC8",A5889="TC9",A5889="TC10"),"Trimble",IF(A5889="TY3","Tyrone",IF(OR(A5889="HA1",A5889="HA2",A5889="HA3"),"Haeflin",IF(OR(A5889="PR11",A5889="PR12",A5889="PR13"),"Paddy's Run","Zorn")))))))))</f>
        <v>Trimble</v>
      </c>
      <c r="M5889" s="105" t="str">
        <f t="shared" ref="M5889:M5952" si="981">IF(OR(B5889="D1",B5889="D2",B5889="D3",B5889="D4",B5889="PD"),"Derate",IF(OR(B5889="SF",B5889="U1",B5889="U2",B5889="U3"),"Outage",IF(OR(B5889="ME",B5889="MO"),"Maintenance","Other")))</f>
        <v>Other</v>
      </c>
      <c r="N5889" s="105" t="str">
        <f t="shared" ref="N5889:N5952" si="982">IF(OR(A5889="BR1",A5889="BR2",A5889="BR3",A5889="CR4",A5889="CR5",A5889="CR6",A5889="GH1",A5889="GH2",A5889="GH3",A5889="GH4",A5889="GR3",A5889="GR4",A5889="MC1",A5889="MC2",A5889="MC3",A5889="MC4",A5889="TC1",A5889="TC2",A5889="TY3"),"Coal","Gas")</f>
        <v>Coal</v>
      </c>
      <c r="O5889" s="105">
        <f>IFERROR(VLOOKUP(A5889,Lookup!$J$5:$P$19,7,FALSE),0)</f>
        <v>3</v>
      </c>
      <c r="P5889" s="159">
        <f t="shared" ref="P5889:P5952" si="983">YEAR(E5889)</f>
        <v>2013</v>
      </c>
      <c r="Q5889" s="159">
        <f t="shared" ref="Q5889:Q5952" si="984">MONTH(E5889)</f>
        <v>10</v>
      </c>
      <c r="R5889" s="160">
        <f t="shared" ref="R5889:R5952" si="985">(F5889-E5889)*24</f>
        <v>3.4833333333372138</v>
      </c>
      <c r="S5889" s="158">
        <f t="shared" ref="S5889:S5952" si="986">R5889*(H5889-G5889)/H5889</f>
        <v>3.4833333333372138</v>
      </c>
      <c r="T5889" s="161">
        <f t="shared" ref="T5889:T5952" si="987">S5889*I5889</f>
        <v>2602.0500000028987</v>
      </c>
      <c r="U5889" s="158">
        <f t="shared" si="979"/>
        <v>747</v>
      </c>
      <c r="V5889" s="160">
        <f t="shared" ref="V5889:V5952" si="988">ROUND(U5889,0)</f>
        <v>747</v>
      </c>
    </row>
    <row r="5890" spans="1:22" x14ac:dyDescent="0.25">
      <c r="A5890" s="98" t="s">
        <v>69</v>
      </c>
      <c r="B5890" s="98" t="s">
        <v>15</v>
      </c>
      <c r="C5890" s="98">
        <v>162</v>
      </c>
      <c r="D5890" s="98">
        <v>3150</v>
      </c>
      <c r="E5890" s="157">
        <v>41574.145138888889</v>
      </c>
      <c r="F5890" s="157">
        <v>41574.291666666664</v>
      </c>
      <c r="G5890" s="98">
        <v>0</v>
      </c>
      <c r="H5890" s="98">
        <v>795</v>
      </c>
      <c r="I5890" s="98">
        <v>747</v>
      </c>
      <c r="J5890" s="98" t="s">
        <v>2250</v>
      </c>
      <c r="K5890" s="98" t="s">
        <v>1889</v>
      </c>
      <c r="L5890" s="105" t="str">
        <f t="shared" si="980"/>
        <v>Trimble</v>
      </c>
      <c r="M5890" s="105" t="str">
        <f t="shared" si="981"/>
        <v>Outage</v>
      </c>
      <c r="N5890" s="105" t="str">
        <f t="shared" si="982"/>
        <v>Coal</v>
      </c>
      <c r="O5890" s="105">
        <f>IFERROR(VLOOKUP(A5890,Lookup!$J$5:$P$19,7,FALSE),0)</f>
        <v>3</v>
      </c>
      <c r="P5890" s="159">
        <f t="shared" si="983"/>
        <v>2013</v>
      </c>
      <c r="Q5890" s="159">
        <f t="shared" si="984"/>
        <v>10</v>
      </c>
      <c r="R5890" s="160">
        <f t="shared" si="985"/>
        <v>3.5166666666045785</v>
      </c>
      <c r="S5890" s="158">
        <f t="shared" si="986"/>
        <v>3.5166666666045785</v>
      </c>
      <c r="T5890" s="161">
        <f t="shared" si="987"/>
        <v>2626.9499999536201</v>
      </c>
      <c r="U5890" s="158">
        <f t="shared" ref="U5890:U5953" si="989">IF(G5890&gt;0,MAX((H5890-G5890),0)*I5890/H5890,I5890)</f>
        <v>747</v>
      </c>
      <c r="V5890" s="160">
        <f t="shared" si="988"/>
        <v>747</v>
      </c>
    </row>
    <row r="5891" spans="1:22" x14ac:dyDescent="0.25">
      <c r="A5891" s="98" t="s">
        <v>69</v>
      </c>
      <c r="B5891" s="98" t="s">
        <v>18</v>
      </c>
      <c r="C5891" s="98">
        <v>163</v>
      </c>
      <c r="D5891" s="98">
        <v>385</v>
      </c>
      <c r="E5891" s="157">
        <v>41574.291666666664</v>
      </c>
      <c r="F5891" s="157">
        <v>41574.711805555555</v>
      </c>
      <c r="G5891" s="98">
        <v>0</v>
      </c>
      <c r="H5891" s="98">
        <v>795</v>
      </c>
      <c r="I5891" s="98">
        <v>747</v>
      </c>
      <c r="J5891" s="98" t="s">
        <v>228</v>
      </c>
      <c r="K5891" s="98" t="s">
        <v>1890</v>
      </c>
      <c r="L5891" s="105" t="str">
        <f t="shared" si="980"/>
        <v>Trimble</v>
      </c>
      <c r="M5891" s="105" t="str">
        <f t="shared" si="981"/>
        <v>Outage</v>
      </c>
      <c r="N5891" s="105" t="str">
        <f t="shared" si="982"/>
        <v>Coal</v>
      </c>
      <c r="O5891" s="105">
        <f>IFERROR(VLOOKUP(A5891,Lookup!$J$5:$P$19,7,FALSE),0)</f>
        <v>3</v>
      </c>
      <c r="P5891" s="159">
        <f t="shared" si="983"/>
        <v>2013</v>
      </c>
      <c r="Q5891" s="159">
        <f t="shared" si="984"/>
        <v>10</v>
      </c>
      <c r="R5891" s="160">
        <f t="shared" si="985"/>
        <v>10.083333333372138</v>
      </c>
      <c r="S5891" s="158">
        <f t="shared" si="986"/>
        <v>10.083333333372138</v>
      </c>
      <c r="T5891" s="161">
        <f t="shared" si="987"/>
        <v>7532.2500000289874</v>
      </c>
      <c r="U5891" s="158">
        <f t="shared" si="989"/>
        <v>747</v>
      </c>
      <c r="V5891" s="160">
        <f t="shared" si="988"/>
        <v>747</v>
      </c>
    </row>
    <row r="5892" spans="1:22" x14ac:dyDescent="0.25">
      <c r="A5892" s="98" t="s">
        <v>69</v>
      </c>
      <c r="B5892" s="98" t="s">
        <v>17</v>
      </c>
      <c r="C5892" s="98">
        <v>164</v>
      </c>
      <c r="D5892" s="98">
        <v>510</v>
      </c>
      <c r="E5892" s="157">
        <v>41574.927083333336</v>
      </c>
      <c r="F5892" s="157">
        <v>41575.506944444445</v>
      </c>
      <c r="G5892" s="98">
        <v>799</v>
      </c>
      <c r="H5892" s="98">
        <v>795</v>
      </c>
      <c r="I5892" s="98">
        <v>747</v>
      </c>
      <c r="J5892" s="98" t="s">
        <v>3188</v>
      </c>
      <c r="K5892" s="98" t="s">
        <v>1881</v>
      </c>
      <c r="L5892" s="105" t="str">
        <f t="shared" si="980"/>
        <v>Trimble</v>
      </c>
      <c r="M5892" s="105" t="str">
        <f t="shared" si="981"/>
        <v>Derate</v>
      </c>
      <c r="N5892" s="105" t="str">
        <f t="shared" si="982"/>
        <v>Coal</v>
      </c>
      <c r="O5892" s="105">
        <f>IFERROR(VLOOKUP(A5892,Lookup!$J$5:$P$19,7,FALSE),0)</f>
        <v>3</v>
      </c>
      <c r="P5892" s="159">
        <f t="shared" si="983"/>
        <v>2013</v>
      </c>
      <c r="Q5892" s="159">
        <f t="shared" si="984"/>
        <v>10</v>
      </c>
      <c r="R5892" s="160">
        <f t="shared" si="985"/>
        <v>13.916666666627862</v>
      </c>
      <c r="S5892" s="158">
        <f t="shared" si="986"/>
        <v>-7.0020964360391763E-2</v>
      </c>
      <c r="T5892" s="161">
        <f t="shared" si="987"/>
        <v>-52.305660377212646</v>
      </c>
      <c r="U5892" s="158">
        <f t="shared" si="989"/>
        <v>0</v>
      </c>
      <c r="V5892" s="160">
        <f t="shared" si="988"/>
        <v>0</v>
      </c>
    </row>
    <row r="5893" spans="1:22" x14ac:dyDescent="0.25">
      <c r="A5893" s="98" t="s">
        <v>69</v>
      </c>
      <c r="B5893" s="98" t="s">
        <v>17</v>
      </c>
      <c r="C5893" s="98">
        <v>165</v>
      </c>
      <c r="D5893" s="98">
        <v>8823</v>
      </c>
      <c r="E5893" s="157">
        <v>41575.506944444445</v>
      </c>
      <c r="F5893" s="157">
        <v>41575.541666666664</v>
      </c>
      <c r="G5893" s="98">
        <v>699</v>
      </c>
      <c r="H5893" s="98">
        <v>795</v>
      </c>
      <c r="I5893" s="98">
        <v>747</v>
      </c>
      <c r="J5893" s="98" t="s">
        <v>258</v>
      </c>
      <c r="K5893" s="98" t="s">
        <v>1891</v>
      </c>
      <c r="L5893" s="105" t="str">
        <f t="shared" si="980"/>
        <v>Trimble</v>
      </c>
      <c r="M5893" s="105" t="str">
        <f t="shared" si="981"/>
        <v>Derate</v>
      </c>
      <c r="N5893" s="105" t="str">
        <f t="shared" si="982"/>
        <v>Coal</v>
      </c>
      <c r="O5893" s="105">
        <f>IFERROR(VLOOKUP(A5893,Lookup!$J$5:$P$19,7,FALSE),0)</f>
        <v>3</v>
      </c>
      <c r="P5893" s="159">
        <f t="shared" si="983"/>
        <v>2013</v>
      </c>
      <c r="Q5893" s="159">
        <f t="shared" si="984"/>
        <v>10</v>
      </c>
      <c r="R5893" s="160">
        <f t="shared" si="985"/>
        <v>0.83333333325572312</v>
      </c>
      <c r="S5893" s="158">
        <f t="shared" si="986"/>
        <v>0.10062893080823826</v>
      </c>
      <c r="T5893" s="161">
        <f t="shared" si="987"/>
        <v>75.169811313753982</v>
      </c>
      <c r="U5893" s="158">
        <f t="shared" si="989"/>
        <v>90.203773584905662</v>
      </c>
      <c r="V5893" s="160">
        <f t="shared" si="988"/>
        <v>90</v>
      </c>
    </row>
    <row r="5894" spans="1:22" x14ac:dyDescent="0.25">
      <c r="A5894" s="98" t="s">
        <v>69</v>
      </c>
      <c r="B5894" s="98" t="s">
        <v>17</v>
      </c>
      <c r="C5894" s="98">
        <v>166</v>
      </c>
      <c r="D5894" s="98">
        <v>510</v>
      </c>
      <c r="E5894" s="157">
        <v>41575.541666666664</v>
      </c>
      <c r="F5894" s="157">
        <v>41577.25</v>
      </c>
      <c r="G5894" s="98">
        <v>799</v>
      </c>
      <c r="H5894" s="98">
        <v>795</v>
      </c>
      <c r="I5894" s="98">
        <v>747</v>
      </c>
      <c r="J5894" s="98" t="s">
        <v>3188</v>
      </c>
      <c r="K5894" s="98" t="s">
        <v>1881</v>
      </c>
      <c r="L5894" s="105" t="str">
        <f t="shared" si="980"/>
        <v>Trimble</v>
      </c>
      <c r="M5894" s="105" t="str">
        <f t="shared" si="981"/>
        <v>Derate</v>
      </c>
      <c r="N5894" s="105" t="str">
        <f t="shared" si="982"/>
        <v>Coal</v>
      </c>
      <c r="O5894" s="105">
        <f>IFERROR(VLOOKUP(A5894,Lookup!$J$5:$P$19,7,FALSE),0)</f>
        <v>3</v>
      </c>
      <c r="P5894" s="159">
        <f t="shared" si="983"/>
        <v>2013</v>
      </c>
      <c r="Q5894" s="159">
        <f t="shared" si="984"/>
        <v>10</v>
      </c>
      <c r="R5894" s="160">
        <f t="shared" si="985"/>
        <v>41.000000000058208</v>
      </c>
      <c r="S5894" s="158">
        <f t="shared" si="986"/>
        <v>-0.20628930817639349</v>
      </c>
      <c r="T5894" s="161">
        <f t="shared" si="987"/>
        <v>-154.09811320776595</v>
      </c>
      <c r="U5894" s="158">
        <f t="shared" si="989"/>
        <v>0</v>
      </c>
      <c r="V5894" s="160">
        <f t="shared" si="988"/>
        <v>0</v>
      </c>
    </row>
    <row r="5895" spans="1:22" x14ac:dyDescent="0.25">
      <c r="A5895" s="98" t="s">
        <v>69</v>
      </c>
      <c r="B5895" s="98" t="s">
        <v>17</v>
      </c>
      <c r="C5895" s="98">
        <v>167</v>
      </c>
      <c r="D5895" s="98">
        <v>510</v>
      </c>
      <c r="E5895" s="157">
        <v>41577.25</v>
      </c>
      <c r="F5895" s="157">
        <v>41577.291666666664</v>
      </c>
      <c r="G5895" s="98">
        <v>699</v>
      </c>
      <c r="H5895" s="98">
        <v>795</v>
      </c>
      <c r="I5895" s="98">
        <v>747</v>
      </c>
      <c r="J5895" s="98" t="s">
        <v>3188</v>
      </c>
      <c r="K5895" s="98" t="s">
        <v>1892</v>
      </c>
      <c r="L5895" s="105" t="str">
        <f t="shared" si="980"/>
        <v>Trimble</v>
      </c>
      <c r="M5895" s="105" t="str">
        <f t="shared" si="981"/>
        <v>Derate</v>
      </c>
      <c r="N5895" s="105" t="str">
        <f t="shared" si="982"/>
        <v>Coal</v>
      </c>
      <c r="O5895" s="105">
        <f>IFERROR(VLOOKUP(A5895,Lookup!$J$5:$P$19,7,FALSE),0)</f>
        <v>3</v>
      </c>
      <c r="P5895" s="159">
        <f t="shared" si="983"/>
        <v>2013</v>
      </c>
      <c r="Q5895" s="159">
        <f t="shared" si="984"/>
        <v>10</v>
      </c>
      <c r="R5895" s="160">
        <f t="shared" si="985"/>
        <v>0.99999999994179234</v>
      </c>
      <c r="S5895" s="158">
        <f t="shared" si="986"/>
        <v>0.12075471697410323</v>
      </c>
      <c r="T5895" s="161">
        <f t="shared" si="987"/>
        <v>90.203773579655106</v>
      </c>
      <c r="U5895" s="158">
        <f t="shared" si="989"/>
        <v>90.203773584905662</v>
      </c>
      <c r="V5895" s="160">
        <f t="shared" si="988"/>
        <v>90</v>
      </c>
    </row>
    <row r="5896" spans="1:22" x14ac:dyDescent="0.25">
      <c r="A5896" s="98" t="s">
        <v>69</v>
      </c>
      <c r="B5896" s="98" t="s">
        <v>17</v>
      </c>
      <c r="C5896" s="98">
        <v>168</v>
      </c>
      <c r="D5896" s="98">
        <v>510</v>
      </c>
      <c r="E5896" s="157">
        <v>41577.291666666664</v>
      </c>
      <c r="F5896" s="157">
        <v>41578.54791666667</v>
      </c>
      <c r="G5896" s="98">
        <v>799</v>
      </c>
      <c r="H5896" s="98">
        <v>795</v>
      </c>
      <c r="I5896" s="98">
        <v>747</v>
      </c>
      <c r="J5896" s="98" t="s">
        <v>3188</v>
      </c>
      <c r="K5896" s="98" t="s">
        <v>1881</v>
      </c>
      <c r="L5896" s="105" t="str">
        <f t="shared" si="980"/>
        <v>Trimble</v>
      </c>
      <c r="M5896" s="105" t="str">
        <f t="shared" si="981"/>
        <v>Derate</v>
      </c>
      <c r="N5896" s="105" t="str">
        <f t="shared" si="982"/>
        <v>Coal</v>
      </c>
      <c r="O5896" s="105">
        <f>IFERROR(VLOOKUP(A5896,Lookup!$J$5:$P$19,7,FALSE),0)</f>
        <v>3</v>
      </c>
      <c r="P5896" s="159">
        <f t="shared" si="983"/>
        <v>2013</v>
      </c>
      <c r="Q5896" s="159">
        <f t="shared" si="984"/>
        <v>10</v>
      </c>
      <c r="R5896" s="160">
        <f t="shared" si="985"/>
        <v>30.150000000139698</v>
      </c>
      <c r="S5896" s="158">
        <f t="shared" si="986"/>
        <v>-0.15169811320825005</v>
      </c>
      <c r="T5896" s="161">
        <f t="shared" si="987"/>
        <v>-113.31849056656279</v>
      </c>
      <c r="U5896" s="158">
        <f t="shared" si="989"/>
        <v>0</v>
      </c>
      <c r="V5896" s="160">
        <f t="shared" si="988"/>
        <v>0</v>
      </c>
    </row>
    <row r="5897" spans="1:22" x14ac:dyDescent="0.25">
      <c r="A5897" s="98" t="s">
        <v>69</v>
      </c>
      <c r="B5897" s="98" t="s">
        <v>17</v>
      </c>
      <c r="C5897" s="98">
        <v>169</v>
      </c>
      <c r="D5897" s="98">
        <v>510</v>
      </c>
      <c r="E5897" s="157">
        <v>41578.54791666667</v>
      </c>
      <c r="F5897" s="157">
        <v>41578.666666666664</v>
      </c>
      <c r="G5897" s="98">
        <v>699</v>
      </c>
      <c r="H5897" s="98">
        <v>795</v>
      </c>
      <c r="I5897" s="98">
        <v>747</v>
      </c>
      <c r="J5897" s="98" t="s">
        <v>3188</v>
      </c>
      <c r="K5897" s="98" t="s">
        <v>1893</v>
      </c>
      <c r="L5897" s="105" t="str">
        <f t="shared" si="980"/>
        <v>Trimble</v>
      </c>
      <c r="M5897" s="105" t="str">
        <f t="shared" si="981"/>
        <v>Derate</v>
      </c>
      <c r="N5897" s="105" t="str">
        <f t="shared" si="982"/>
        <v>Coal</v>
      </c>
      <c r="O5897" s="105">
        <f>IFERROR(VLOOKUP(A5897,Lookup!$J$5:$P$19,7,FALSE),0)</f>
        <v>3</v>
      </c>
      <c r="P5897" s="159">
        <f t="shared" si="983"/>
        <v>2013</v>
      </c>
      <c r="Q5897" s="159">
        <f t="shared" si="984"/>
        <v>10</v>
      </c>
      <c r="R5897" s="160">
        <f t="shared" si="985"/>
        <v>2.8499999998603016</v>
      </c>
      <c r="S5897" s="158">
        <f t="shared" si="986"/>
        <v>0.3441509433793572</v>
      </c>
      <c r="T5897" s="161">
        <f t="shared" si="987"/>
        <v>257.08075470437984</v>
      </c>
      <c r="U5897" s="158">
        <f t="shared" si="989"/>
        <v>90.203773584905662</v>
      </c>
      <c r="V5897" s="160">
        <f t="shared" si="988"/>
        <v>90</v>
      </c>
    </row>
    <row r="5898" spans="1:22" x14ac:dyDescent="0.25">
      <c r="A5898" s="98" t="s">
        <v>69</v>
      </c>
      <c r="B5898" s="98" t="s">
        <v>17</v>
      </c>
      <c r="C5898" s="98">
        <v>170</v>
      </c>
      <c r="D5898" s="98">
        <v>510</v>
      </c>
      <c r="E5898" s="157">
        <v>41578.666666666664</v>
      </c>
      <c r="F5898" s="157">
        <v>41579.395833333336</v>
      </c>
      <c r="G5898" s="98">
        <v>799</v>
      </c>
      <c r="H5898" s="98">
        <v>795</v>
      </c>
      <c r="I5898" s="98">
        <v>747</v>
      </c>
      <c r="J5898" s="98" t="s">
        <v>3188</v>
      </c>
      <c r="K5898" s="98" t="s">
        <v>1881</v>
      </c>
      <c r="L5898" s="105" t="str">
        <f t="shared" si="980"/>
        <v>Trimble</v>
      </c>
      <c r="M5898" s="105" t="str">
        <f t="shared" si="981"/>
        <v>Derate</v>
      </c>
      <c r="N5898" s="105" t="str">
        <f t="shared" si="982"/>
        <v>Coal</v>
      </c>
      <c r="O5898" s="105">
        <f>IFERROR(VLOOKUP(A5898,Lookup!$J$5:$P$19,7,FALSE),0)</f>
        <v>3</v>
      </c>
      <c r="P5898" s="159">
        <f t="shared" si="983"/>
        <v>2013</v>
      </c>
      <c r="Q5898" s="159">
        <f t="shared" si="984"/>
        <v>10</v>
      </c>
      <c r="R5898" s="160">
        <f t="shared" si="985"/>
        <v>17.500000000116415</v>
      </c>
      <c r="S5898" s="158">
        <f t="shared" si="986"/>
        <v>-8.8050314465994539E-2</v>
      </c>
      <c r="T5898" s="161">
        <f t="shared" si="987"/>
        <v>-65.773584906097923</v>
      </c>
      <c r="U5898" s="158">
        <f t="shared" si="989"/>
        <v>0</v>
      </c>
      <c r="V5898" s="160">
        <f t="shared" si="988"/>
        <v>0</v>
      </c>
    </row>
    <row r="5899" spans="1:22" x14ac:dyDescent="0.25">
      <c r="A5899" s="98" t="s">
        <v>69</v>
      </c>
      <c r="B5899" s="98" t="s">
        <v>17</v>
      </c>
      <c r="C5899" s="98">
        <v>171</v>
      </c>
      <c r="D5899" s="98">
        <v>510</v>
      </c>
      <c r="E5899" s="157">
        <v>41579.395833333336</v>
      </c>
      <c r="F5899" s="157">
        <v>41579.416666666664</v>
      </c>
      <c r="G5899" s="98">
        <v>659</v>
      </c>
      <c r="H5899" s="98">
        <v>795</v>
      </c>
      <c r="I5899" s="98">
        <v>747</v>
      </c>
      <c r="J5899" s="98" t="s">
        <v>3188</v>
      </c>
      <c r="K5899" s="98" t="s">
        <v>1894</v>
      </c>
      <c r="L5899" s="105" t="str">
        <f t="shared" si="980"/>
        <v>Trimble</v>
      </c>
      <c r="M5899" s="105" t="str">
        <f t="shared" si="981"/>
        <v>Derate</v>
      </c>
      <c r="N5899" s="105" t="str">
        <f t="shared" si="982"/>
        <v>Coal</v>
      </c>
      <c r="O5899" s="105">
        <f>IFERROR(VLOOKUP(A5899,Lookup!$J$5:$P$19,7,FALSE),0)</f>
        <v>3</v>
      </c>
      <c r="P5899" s="159">
        <f t="shared" si="983"/>
        <v>2013</v>
      </c>
      <c r="Q5899" s="159">
        <f t="shared" si="984"/>
        <v>11</v>
      </c>
      <c r="R5899" s="160">
        <f t="shared" si="985"/>
        <v>0.49999999988358468</v>
      </c>
      <c r="S5899" s="158">
        <f t="shared" si="986"/>
        <v>8.5534591175053479E-2</v>
      </c>
      <c r="T5899" s="161">
        <f t="shared" si="987"/>
        <v>63.894339607764948</v>
      </c>
      <c r="U5899" s="158">
        <f t="shared" si="989"/>
        <v>127.78867924528302</v>
      </c>
      <c r="V5899" s="160">
        <f t="shared" si="988"/>
        <v>128</v>
      </c>
    </row>
    <row r="5900" spans="1:22" x14ac:dyDescent="0.25">
      <c r="A5900" s="98" t="s">
        <v>69</v>
      </c>
      <c r="B5900" s="98" t="s">
        <v>17</v>
      </c>
      <c r="C5900" s="98">
        <v>172</v>
      </c>
      <c r="D5900" s="98">
        <v>510</v>
      </c>
      <c r="E5900" s="157">
        <v>41579.416666666664</v>
      </c>
      <c r="F5900" s="157">
        <v>41581</v>
      </c>
      <c r="G5900" s="98">
        <v>709</v>
      </c>
      <c r="H5900" s="98">
        <v>795</v>
      </c>
      <c r="I5900" s="98">
        <v>747</v>
      </c>
      <c r="J5900" s="98" t="s">
        <v>3188</v>
      </c>
      <c r="K5900" s="98" t="s">
        <v>1895</v>
      </c>
      <c r="L5900" s="105" t="str">
        <f t="shared" si="980"/>
        <v>Trimble</v>
      </c>
      <c r="M5900" s="105" t="str">
        <f t="shared" si="981"/>
        <v>Derate</v>
      </c>
      <c r="N5900" s="105" t="str">
        <f t="shared" si="982"/>
        <v>Coal</v>
      </c>
      <c r="O5900" s="105">
        <f>IFERROR(VLOOKUP(A5900,Lookup!$J$5:$P$19,7,FALSE),0)</f>
        <v>3</v>
      </c>
      <c r="P5900" s="159">
        <f t="shared" si="983"/>
        <v>2013</v>
      </c>
      <c r="Q5900" s="159">
        <f t="shared" si="984"/>
        <v>11</v>
      </c>
      <c r="R5900" s="160">
        <f t="shared" si="985"/>
        <v>38.000000000058208</v>
      </c>
      <c r="S5900" s="158">
        <f t="shared" si="986"/>
        <v>4.1106918239056673</v>
      </c>
      <c r="T5900" s="161">
        <f t="shared" si="987"/>
        <v>3070.6867924575336</v>
      </c>
      <c r="U5900" s="158">
        <f t="shared" si="989"/>
        <v>80.807547169811315</v>
      </c>
      <c r="V5900" s="160">
        <f t="shared" si="988"/>
        <v>81</v>
      </c>
    </row>
    <row r="5901" spans="1:22" x14ac:dyDescent="0.25">
      <c r="A5901" s="98" t="s">
        <v>69</v>
      </c>
      <c r="B5901" s="98" t="s">
        <v>79</v>
      </c>
      <c r="C5901" s="98">
        <v>173</v>
      </c>
      <c r="D5901" s="98">
        <v>1190</v>
      </c>
      <c r="E5901" s="157">
        <v>41581</v>
      </c>
      <c r="F5901" s="157">
        <v>41581.333333333336</v>
      </c>
      <c r="G5901" s="98">
        <v>0</v>
      </c>
      <c r="H5901" s="98">
        <v>795</v>
      </c>
      <c r="I5901" s="98">
        <v>747</v>
      </c>
      <c r="J5901" s="98" t="s">
        <v>2007</v>
      </c>
      <c r="K5901" s="98" t="s">
        <v>1896</v>
      </c>
      <c r="L5901" s="105" t="str">
        <f t="shared" si="980"/>
        <v>Trimble</v>
      </c>
      <c r="M5901" s="105" t="str">
        <f t="shared" si="981"/>
        <v>Other</v>
      </c>
      <c r="N5901" s="105" t="str">
        <f t="shared" si="982"/>
        <v>Coal</v>
      </c>
      <c r="O5901" s="105">
        <f>IFERROR(VLOOKUP(A5901,Lookup!$J$5:$P$19,7,FALSE),0)</f>
        <v>3</v>
      </c>
      <c r="P5901" s="159">
        <f t="shared" si="983"/>
        <v>2013</v>
      </c>
      <c r="Q5901" s="159">
        <f t="shared" si="984"/>
        <v>11</v>
      </c>
      <c r="R5901" s="160">
        <f t="shared" si="985"/>
        <v>8.0000000000582077</v>
      </c>
      <c r="S5901" s="158">
        <f t="shared" si="986"/>
        <v>8.0000000000582077</v>
      </c>
      <c r="T5901" s="161">
        <f t="shared" si="987"/>
        <v>5976.0000000434811</v>
      </c>
      <c r="U5901" s="158">
        <f t="shared" si="989"/>
        <v>747</v>
      </c>
      <c r="V5901" s="160">
        <f t="shared" si="988"/>
        <v>747</v>
      </c>
    </row>
    <row r="5902" spans="1:22" x14ac:dyDescent="0.25">
      <c r="A5902" s="98" t="s">
        <v>69</v>
      </c>
      <c r="B5902" s="98" t="s">
        <v>17</v>
      </c>
      <c r="C5902" s="98">
        <v>174</v>
      </c>
      <c r="D5902" s="98">
        <v>510</v>
      </c>
      <c r="E5902" s="157">
        <v>41581.333333333336</v>
      </c>
      <c r="F5902" s="157">
        <v>41588</v>
      </c>
      <c r="G5902" s="98">
        <v>709</v>
      </c>
      <c r="H5902" s="98">
        <v>795</v>
      </c>
      <c r="I5902" s="98">
        <v>747</v>
      </c>
      <c r="J5902" s="98" t="s">
        <v>3188</v>
      </c>
      <c r="K5902" s="98" t="s">
        <v>1897</v>
      </c>
      <c r="L5902" s="105" t="str">
        <f t="shared" si="980"/>
        <v>Trimble</v>
      </c>
      <c r="M5902" s="105" t="str">
        <f t="shared" si="981"/>
        <v>Derate</v>
      </c>
      <c r="N5902" s="105" t="str">
        <f t="shared" si="982"/>
        <v>Coal</v>
      </c>
      <c r="O5902" s="105">
        <f>IFERROR(VLOOKUP(A5902,Lookup!$J$5:$P$19,7,FALSE),0)</f>
        <v>3</v>
      </c>
      <c r="P5902" s="159">
        <f t="shared" si="983"/>
        <v>2013</v>
      </c>
      <c r="Q5902" s="159">
        <f t="shared" si="984"/>
        <v>11</v>
      </c>
      <c r="R5902" s="160">
        <f t="shared" si="985"/>
        <v>159.99999999994179</v>
      </c>
      <c r="S5902" s="158">
        <f t="shared" si="986"/>
        <v>17.308176100622635</v>
      </c>
      <c r="T5902" s="161">
        <f t="shared" si="987"/>
        <v>12929.207547165108</v>
      </c>
      <c r="U5902" s="158">
        <f t="shared" si="989"/>
        <v>80.807547169811315</v>
      </c>
      <c r="V5902" s="160">
        <f t="shared" si="988"/>
        <v>81</v>
      </c>
    </row>
    <row r="5903" spans="1:22" x14ac:dyDescent="0.25">
      <c r="A5903" s="98" t="s">
        <v>69</v>
      </c>
      <c r="B5903" s="98" t="s">
        <v>79</v>
      </c>
      <c r="C5903" s="98">
        <v>175</v>
      </c>
      <c r="D5903" s="98">
        <v>1190</v>
      </c>
      <c r="E5903" s="157">
        <v>41588</v>
      </c>
      <c r="F5903" s="157">
        <v>41588.333333333336</v>
      </c>
      <c r="G5903" s="98">
        <v>0</v>
      </c>
      <c r="H5903" s="98">
        <v>795</v>
      </c>
      <c r="I5903" s="98">
        <v>747</v>
      </c>
      <c r="J5903" s="98" t="s">
        <v>2007</v>
      </c>
      <c r="K5903" s="98" t="s">
        <v>1888</v>
      </c>
      <c r="L5903" s="105" t="str">
        <f t="shared" si="980"/>
        <v>Trimble</v>
      </c>
      <c r="M5903" s="105" t="str">
        <f t="shared" si="981"/>
        <v>Other</v>
      </c>
      <c r="N5903" s="105" t="str">
        <f t="shared" si="982"/>
        <v>Coal</v>
      </c>
      <c r="O5903" s="105">
        <f>IFERROR(VLOOKUP(A5903,Lookup!$J$5:$P$19,7,FALSE),0)</f>
        <v>3</v>
      </c>
      <c r="P5903" s="159">
        <f t="shared" si="983"/>
        <v>2013</v>
      </c>
      <c r="Q5903" s="159">
        <f t="shared" si="984"/>
        <v>11</v>
      </c>
      <c r="R5903" s="160">
        <f t="shared" si="985"/>
        <v>8.0000000000582077</v>
      </c>
      <c r="S5903" s="158">
        <f t="shared" si="986"/>
        <v>8.0000000000582077</v>
      </c>
      <c r="T5903" s="161">
        <f t="shared" si="987"/>
        <v>5976.0000000434811</v>
      </c>
      <c r="U5903" s="158">
        <f t="shared" si="989"/>
        <v>747</v>
      </c>
      <c r="V5903" s="160">
        <f t="shared" si="988"/>
        <v>747</v>
      </c>
    </row>
    <row r="5904" spans="1:22" x14ac:dyDescent="0.25">
      <c r="A5904" s="98" t="s">
        <v>69</v>
      </c>
      <c r="B5904" s="98" t="s">
        <v>17</v>
      </c>
      <c r="C5904" s="98">
        <v>176</v>
      </c>
      <c r="D5904" s="98">
        <v>510</v>
      </c>
      <c r="E5904" s="157">
        <v>41588.333333333336</v>
      </c>
      <c r="F5904" s="157">
        <v>41594.084027777775</v>
      </c>
      <c r="G5904" s="98">
        <v>709</v>
      </c>
      <c r="H5904" s="98">
        <v>795</v>
      </c>
      <c r="I5904" s="98">
        <v>747</v>
      </c>
      <c r="J5904" s="98" t="s">
        <v>3188</v>
      </c>
      <c r="K5904" s="98" t="s">
        <v>1897</v>
      </c>
      <c r="L5904" s="105" t="str">
        <f t="shared" si="980"/>
        <v>Trimble</v>
      </c>
      <c r="M5904" s="105" t="str">
        <f t="shared" si="981"/>
        <v>Derate</v>
      </c>
      <c r="N5904" s="105" t="str">
        <f t="shared" si="982"/>
        <v>Coal</v>
      </c>
      <c r="O5904" s="105">
        <f>IFERROR(VLOOKUP(A5904,Lookup!$J$5:$P$19,7,FALSE),0)</f>
        <v>3</v>
      </c>
      <c r="P5904" s="159">
        <f t="shared" si="983"/>
        <v>2013</v>
      </c>
      <c r="Q5904" s="159">
        <f t="shared" si="984"/>
        <v>11</v>
      </c>
      <c r="R5904" s="160">
        <f t="shared" si="985"/>
        <v>138.01666666654637</v>
      </c>
      <c r="S5904" s="158">
        <f t="shared" si="986"/>
        <v>14.930104821789921</v>
      </c>
      <c r="T5904" s="161">
        <f t="shared" si="987"/>
        <v>11152.788301877072</v>
      </c>
      <c r="U5904" s="158">
        <f t="shared" si="989"/>
        <v>80.807547169811315</v>
      </c>
      <c r="V5904" s="160">
        <f t="shared" si="988"/>
        <v>81</v>
      </c>
    </row>
    <row r="5905" spans="1:22" x14ac:dyDescent="0.25">
      <c r="A5905" s="98" t="s">
        <v>69</v>
      </c>
      <c r="B5905" s="98" t="s">
        <v>20</v>
      </c>
      <c r="C5905" s="98">
        <v>177</v>
      </c>
      <c r="D5905" s="98">
        <v>510</v>
      </c>
      <c r="E5905" s="157">
        <v>41594.084027777775</v>
      </c>
      <c r="F5905" s="157">
        <v>41596.736111111109</v>
      </c>
      <c r="G5905" s="98">
        <v>0</v>
      </c>
      <c r="H5905" s="98">
        <v>795</v>
      </c>
      <c r="I5905" s="98">
        <v>747</v>
      </c>
      <c r="J5905" s="98" t="s">
        <v>3188</v>
      </c>
      <c r="K5905" s="98" t="s">
        <v>1898</v>
      </c>
      <c r="L5905" s="105" t="str">
        <f t="shared" si="980"/>
        <v>Trimble</v>
      </c>
      <c r="M5905" s="105" t="str">
        <f t="shared" si="981"/>
        <v>Maintenance</v>
      </c>
      <c r="N5905" s="105" t="str">
        <f t="shared" si="982"/>
        <v>Coal</v>
      </c>
      <c r="O5905" s="105">
        <f>IFERROR(VLOOKUP(A5905,Lookup!$J$5:$P$19,7,FALSE),0)</f>
        <v>3</v>
      </c>
      <c r="P5905" s="159">
        <f t="shared" si="983"/>
        <v>2013</v>
      </c>
      <c r="Q5905" s="159">
        <f t="shared" si="984"/>
        <v>11</v>
      </c>
      <c r="R5905" s="160">
        <f t="shared" si="985"/>
        <v>63.650000000023283</v>
      </c>
      <c r="S5905" s="158">
        <f t="shared" si="986"/>
        <v>63.650000000023283</v>
      </c>
      <c r="T5905" s="161">
        <f t="shared" si="987"/>
        <v>47546.550000017392</v>
      </c>
      <c r="U5905" s="158">
        <f t="shared" si="989"/>
        <v>747</v>
      </c>
      <c r="V5905" s="160">
        <f t="shared" si="988"/>
        <v>747</v>
      </c>
    </row>
    <row r="5906" spans="1:22" x14ac:dyDescent="0.25">
      <c r="A5906" s="98" t="s">
        <v>69</v>
      </c>
      <c r="B5906" s="98" t="s">
        <v>15</v>
      </c>
      <c r="C5906" s="98">
        <v>178</v>
      </c>
      <c r="D5906" s="98">
        <v>3431</v>
      </c>
      <c r="E5906" s="157">
        <v>41597.12777777778</v>
      </c>
      <c r="F5906" s="157">
        <v>41599.070138888892</v>
      </c>
      <c r="G5906" s="98">
        <v>0</v>
      </c>
      <c r="H5906" s="98">
        <v>795</v>
      </c>
      <c r="I5906" s="98">
        <v>747</v>
      </c>
      <c r="J5906" s="98" t="s">
        <v>2123</v>
      </c>
      <c r="K5906" s="98" t="s">
        <v>1899</v>
      </c>
      <c r="L5906" s="105" t="str">
        <f t="shared" si="980"/>
        <v>Trimble</v>
      </c>
      <c r="M5906" s="105" t="str">
        <f t="shared" si="981"/>
        <v>Outage</v>
      </c>
      <c r="N5906" s="105" t="str">
        <f t="shared" si="982"/>
        <v>Coal</v>
      </c>
      <c r="O5906" s="105">
        <f>IFERROR(VLOOKUP(A5906,Lookup!$J$5:$P$19,7,FALSE),0)</f>
        <v>3</v>
      </c>
      <c r="P5906" s="159">
        <f t="shared" si="983"/>
        <v>2013</v>
      </c>
      <c r="Q5906" s="159">
        <f t="shared" si="984"/>
        <v>11</v>
      </c>
      <c r="R5906" s="160">
        <f t="shared" si="985"/>
        <v>46.616666666697711</v>
      </c>
      <c r="S5906" s="158">
        <f t="shared" si="986"/>
        <v>46.616666666697711</v>
      </c>
      <c r="T5906" s="161">
        <f t="shared" si="987"/>
        <v>34822.65000002319</v>
      </c>
      <c r="U5906" s="158">
        <f t="shared" si="989"/>
        <v>747</v>
      </c>
      <c r="V5906" s="160">
        <f t="shared" si="988"/>
        <v>747</v>
      </c>
    </row>
    <row r="5907" spans="1:22" x14ac:dyDescent="0.25">
      <c r="A5907" s="98" t="s">
        <v>69</v>
      </c>
      <c r="B5907" s="98" t="s">
        <v>17</v>
      </c>
      <c r="C5907" s="98">
        <v>179</v>
      </c>
      <c r="D5907" s="98">
        <v>9610</v>
      </c>
      <c r="E5907" s="157">
        <v>41599.666666666664</v>
      </c>
      <c r="F5907" s="157">
        <v>41600.041666666664</v>
      </c>
      <c r="G5907" s="98">
        <v>649</v>
      </c>
      <c r="H5907" s="98">
        <v>795</v>
      </c>
      <c r="I5907" s="98">
        <v>747</v>
      </c>
      <c r="J5907" s="98" t="s">
        <v>3087</v>
      </c>
      <c r="K5907" s="98" t="s">
        <v>1900</v>
      </c>
      <c r="L5907" s="105" t="str">
        <f t="shared" si="980"/>
        <v>Trimble</v>
      </c>
      <c r="M5907" s="105" t="str">
        <f t="shared" si="981"/>
        <v>Derate</v>
      </c>
      <c r="N5907" s="105" t="str">
        <f t="shared" si="982"/>
        <v>Coal</v>
      </c>
      <c r="O5907" s="105">
        <f>IFERROR(VLOOKUP(A5907,Lookup!$J$5:$P$19,7,FALSE),0)</f>
        <v>3</v>
      </c>
      <c r="P5907" s="159">
        <f t="shared" si="983"/>
        <v>2013</v>
      </c>
      <c r="Q5907" s="159">
        <f t="shared" si="984"/>
        <v>11</v>
      </c>
      <c r="R5907" s="160">
        <f t="shared" si="985"/>
        <v>9</v>
      </c>
      <c r="S5907" s="158">
        <f t="shared" si="986"/>
        <v>1.6528301886792454</v>
      </c>
      <c r="T5907" s="161">
        <f t="shared" si="987"/>
        <v>1234.6641509433962</v>
      </c>
      <c r="U5907" s="158">
        <f t="shared" si="989"/>
        <v>137.18490566037735</v>
      </c>
      <c r="V5907" s="160">
        <f t="shared" si="988"/>
        <v>137</v>
      </c>
    </row>
    <row r="5908" spans="1:22" x14ac:dyDescent="0.25">
      <c r="A5908" s="98" t="s">
        <v>69</v>
      </c>
      <c r="B5908" s="98" t="s">
        <v>17</v>
      </c>
      <c r="C5908" s="98">
        <v>180</v>
      </c>
      <c r="D5908" s="98">
        <v>9610</v>
      </c>
      <c r="E5908" s="157">
        <v>41600.041666666664</v>
      </c>
      <c r="F5908" s="157">
        <v>41600.078472222223</v>
      </c>
      <c r="G5908" s="98">
        <v>750</v>
      </c>
      <c r="H5908" s="98">
        <v>795</v>
      </c>
      <c r="I5908" s="98">
        <v>747</v>
      </c>
      <c r="J5908" s="98" t="s">
        <v>3087</v>
      </c>
      <c r="K5908" s="98" t="s">
        <v>1901</v>
      </c>
      <c r="L5908" s="105" t="str">
        <f t="shared" si="980"/>
        <v>Trimble</v>
      </c>
      <c r="M5908" s="105" t="str">
        <f t="shared" si="981"/>
        <v>Derate</v>
      </c>
      <c r="N5908" s="105" t="str">
        <f t="shared" si="982"/>
        <v>Coal</v>
      </c>
      <c r="O5908" s="105">
        <f>IFERROR(VLOOKUP(A5908,Lookup!$J$5:$P$19,7,FALSE),0)</f>
        <v>3</v>
      </c>
      <c r="P5908" s="159">
        <f t="shared" si="983"/>
        <v>2013</v>
      </c>
      <c r="Q5908" s="159">
        <f t="shared" si="984"/>
        <v>11</v>
      </c>
      <c r="R5908" s="160">
        <f t="shared" si="985"/>
        <v>0.88333333341870457</v>
      </c>
      <c r="S5908" s="158">
        <f t="shared" si="986"/>
        <v>5.0000000004832332E-2</v>
      </c>
      <c r="T5908" s="161">
        <f t="shared" si="987"/>
        <v>37.35000000360975</v>
      </c>
      <c r="U5908" s="158">
        <f t="shared" si="989"/>
        <v>42.283018867924525</v>
      </c>
      <c r="V5908" s="160">
        <f t="shared" si="988"/>
        <v>42</v>
      </c>
    </row>
    <row r="5909" spans="1:22" x14ac:dyDescent="0.25">
      <c r="A5909" s="98" t="s">
        <v>69</v>
      </c>
      <c r="B5909" s="98" t="s">
        <v>17</v>
      </c>
      <c r="C5909" s="98">
        <v>181</v>
      </c>
      <c r="D5909" s="98">
        <v>9616</v>
      </c>
      <c r="E5909" s="157">
        <v>41601.563888888886</v>
      </c>
      <c r="F5909" s="157">
        <v>41601.625</v>
      </c>
      <c r="G5909" s="98">
        <v>709</v>
      </c>
      <c r="H5909" s="98">
        <v>795</v>
      </c>
      <c r="I5909" s="98">
        <v>747</v>
      </c>
      <c r="J5909" s="98" t="s">
        <v>3088</v>
      </c>
      <c r="K5909" s="98" t="s">
        <v>1902</v>
      </c>
      <c r="L5909" s="105" t="str">
        <f t="shared" si="980"/>
        <v>Trimble</v>
      </c>
      <c r="M5909" s="105" t="str">
        <f t="shared" si="981"/>
        <v>Derate</v>
      </c>
      <c r="N5909" s="105" t="str">
        <f t="shared" si="982"/>
        <v>Coal</v>
      </c>
      <c r="O5909" s="105">
        <f>IFERROR(VLOOKUP(A5909,Lookup!$J$5:$P$19,7,FALSE),0)</f>
        <v>3</v>
      </c>
      <c r="P5909" s="159">
        <f t="shared" si="983"/>
        <v>2013</v>
      </c>
      <c r="Q5909" s="159">
        <f t="shared" si="984"/>
        <v>11</v>
      </c>
      <c r="R5909" s="160">
        <f t="shared" si="985"/>
        <v>1.4666666667326353</v>
      </c>
      <c r="S5909" s="158">
        <f t="shared" si="986"/>
        <v>0.1586582809295681</v>
      </c>
      <c r="T5909" s="161">
        <f t="shared" si="987"/>
        <v>118.51773585438737</v>
      </c>
      <c r="U5909" s="158">
        <f t="shared" si="989"/>
        <v>80.807547169811315</v>
      </c>
      <c r="V5909" s="160">
        <f t="shared" si="988"/>
        <v>81</v>
      </c>
    </row>
    <row r="5910" spans="1:22" x14ac:dyDescent="0.25">
      <c r="A5910" s="98" t="s">
        <v>69</v>
      </c>
      <c r="B5910" s="98" t="s">
        <v>17</v>
      </c>
      <c r="C5910" s="98">
        <v>182</v>
      </c>
      <c r="D5910" s="98">
        <v>9616</v>
      </c>
      <c r="E5910" s="157">
        <v>41605.350694444445</v>
      </c>
      <c r="F5910" s="157">
        <v>41605.357638888891</v>
      </c>
      <c r="G5910" s="98">
        <v>749</v>
      </c>
      <c r="H5910" s="98">
        <v>795</v>
      </c>
      <c r="I5910" s="98">
        <v>747</v>
      </c>
      <c r="J5910" s="98" t="s">
        <v>3088</v>
      </c>
      <c r="K5910" s="98" t="s">
        <v>1903</v>
      </c>
      <c r="L5910" s="105" t="str">
        <f t="shared" si="980"/>
        <v>Trimble</v>
      </c>
      <c r="M5910" s="105" t="str">
        <f t="shared" si="981"/>
        <v>Derate</v>
      </c>
      <c r="N5910" s="105" t="str">
        <f t="shared" si="982"/>
        <v>Coal</v>
      </c>
      <c r="O5910" s="105">
        <f>IFERROR(VLOOKUP(A5910,Lookup!$J$5:$P$19,7,FALSE),0)</f>
        <v>3</v>
      </c>
      <c r="P5910" s="159">
        <f t="shared" si="983"/>
        <v>2013</v>
      </c>
      <c r="Q5910" s="159">
        <f t="shared" si="984"/>
        <v>11</v>
      </c>
      <c r="R5910" s="160">
        <f t="shared" si="985"/>
        <v>0.16666666668606922</v>
      </c>
      <c r="S5910" s="158">
        <f t="shared" si="986"/>
        <v>9.6436058711436273E-3</v>
      </c>
      <c r="T5910" s="161">
        <f t="shared" si="987"/>
        <v>7.2037735857442895</v>
      </c>
      <c r="U5910" s="158">
        <f t="shared" si="989"/>
        <v>43.222641509433963</v>
      </c>
      <c r="V5910" s="160">
        <f t="shared" si="988"/>
        <v>43</v>
      </c>
    </row>
    <row r="5911" spans="1:22" x14ac:dyDescent="0.25">
      <c r="A5911" s="98" t="s">
        <v>69</v>
      </c>
      <c r="B5911" s="98" t="s">
        <v>17</v>
      </c>
      <c r="C5911" s="98">
        <v>183</v>
      </c>
      <c r="D5911" s="98">
        <v>9616</v>
      </c>
      <c r="E5911" s="157">
        <v>41605.357638888891</v>
      </c>
      <c r="F5911" s="157">
        <v>41605.416666666664</v>
      </c>
      <c r="G5911" s="98">
        <v>709</v>
      </c>
      <c r="H5911" s="98">
        <v>795</v>
      </c>
      <c r="I5911" s="98">
        <v>747</v>
      </c>
      <c r="J5911" s="98" t="s">
        <v>3088</v>
      </c>
      <c r="K5911" s="98" t="s">
        <v>1903</v>
      </c>
      <c r="L5911" s="105" t="str">
        <f t="shared" si="980"/>
        <v>Trimble</v>
      </c>
      <c r="M5911" s="105" t="str">
        <f t="shared" si="981"/>
        <v>Derate</v>
      </c>
      <c r="N5911" s="105" t="str">
        <f t="shared" si="982"/>
        <v>Coal</v>
      </c>
      <c r="O5911" s="105">
        <f>IFERROR(VLOOKUP(A5911,Lookup!$J$5:$P$19,7,FALSE),0)</f>
        <v>3</v>
      </c>
      <c r="P5911" s="159">
        <f t="shared" si="983"/>
        <v>2013</v>
      </c>
      <c r="Q5911" s="159">
        <f t="shared" si="984"/>
        <v>11</v>
      </c>
      <c r="R5911" s="160">
        <f t="shared" si="985"/>
        <v>1.4166666665696539</v>
      </c>
      <c r="S5911" s="158">
        <f t="shared" si="986"/>
        <v>0.15324947588049087</v>
      </c>
      <c r="T5911" s="161">
        <f t="shared" si="987"/>
        <v>114.47735848272669</v>
      </c>
      <c r="U5911" s="158">
        <f t="shared" si="989"/>
        <v>80.807547169811315</v>
      </c>
      <c r="V5911" s="160">
        <f t="shared" si="988"/>
        <v>81</v>
      </c>
    </row>
    <row r="5912" spans="1:22" x14ac:dyDescent="0.25">
      <c r="A5912" s="98" t="s">
        <v>69</v>
      </c>
      <c r="B5912" s="98" t="s">
        <v>17</v>
      </c>
      <c r="C5912" s="98">
        <v>184</v>
      </c>
      <c r="D5912" s="98">
        <v>9616</v>
      </c>
      <c r="E5912" s="157">
        <v>41605.416666666664</v>
      </c>
      <c r="F5912" s="157">
        <v>41605.5</v>
      </c>
      <c r="G5912" s="98">
        <v>737</v>
      </c>
      <c r="H5912" s="98">
        <v>795</v>
      </c>
      <c r="I5912" s="98">
        <v>747</v>
      </c>
      <c r="J5912" s="98" t="s">
        <v>3088</v>
      </c>
      <c r="K5912" s="98" t="s">
        <v>1903</v>
      </c>
      <c r="L5912" s="105" t="str">
        <f t="shared" si="980"/>
        <v>Trimble</v>
      </c>
      <c r="M5912" s="105" t="str">
        <f t="shared" si="981"/>
        <v>Derate</v>
      </c>
      <c r="N5912" s="105" t="str">
        <f t="shared" si="982"/>
        <v>Coal</v>
      </c>
      <c r="O5912" s="105">
        <f>IFERROR(VLOOKUP(A5912,Lookup!$J$5:$P$19,7,FALSE),0)</f>
        <v>3</v>
      </c>
      <c r="P5912" s="159">
        <f t="shared" si="983"/>
        <v>2013</v>
      </c>
      <c r="Q5912" s="159">
        <f t="shared" si="984"/>
        <v>11</v>
      </c>
      <c r="R5912" s="160">
        <f t="shared" si="985"/>
        <v>2.0000000000582077</v>
      </c>
      <c r="S5912" s="158">
        <f t="shared" si="986"/>
        <v>0.14591194968978119</v>
      </c>
      <c r="T5912" s="161">
        <f t="shared" si="987"/>
        <v>108.99622641826655</v>
      </c>
      <c r="U5912" s="158">
        <f t="shared" si="989"/>
        <v>54.498113207547171</v>
      </c>
      <c r="V5912" s="160">
        <f t="shared" si="988"/>
        <v>54</v>
      </c>
    </row>
    <row r="5913" spans="1:22" x14ac:dyDescent="0.25">
      <c r="A5913" s="98" t="s">
        <v>69</v>
      </c>
      <c r="B5913" s="98" t="s">
        <v>17</v>
      </c>
      <c r="C5913" s="98">
        <v>185</v>
      </c>
      <c r="D5913" s="98">
        <v>9616</v>
      </c>
      <c r="E5913" s="157">
        <v>41605.5</v>
      </c>
      <c r="F5913" s="157">
        <v>41605.541666666664</v>
      </c>
      <c r="G5913" s="98">
        <v>686</v>
      </c>
      <c r="H5913" s="98">
        <v>795</v>
      </c>
      <c r="I5913" s="98">
        <v>747</v>
      </c>
      <c r="J5913" s="98" t="s">
        <v>3088</v>
      </c>
      <c r="K5913" s="98" t="s">
        <v>1903</v>
      </c>
      <c r="L5913" s="105" t="str">
        <f t="shared" si="980"/>
        <v>Trimble</v>
      </c>
      <c r="M5913" s="105" t="str">
        <f t="shared" si="981"/>
        <v>Derate</v>
      </c>
      <c r="N5913" s="105" t="str">
        <f t="shared" si="982"/>
        <v>Coal</v>
      </c>
      <c r="O5913" s="105">
        <f>IFERROR(VLOOKUP(A5913,Lookup!$J$5:$P$19,7,FALSE),0)</f>
        <v>3</v>
      </c>
      <c r="P5913" s="159">
        <f t="shared" si="983"/>
        <v>2013</v>
      </c>
      <c r="Q5913" s="159">
        <f t="shared" si="984"/>
        <v>11</v>
      </c>
      <c r="R5913" s="160">
        <f t="shared" si="985"/>
        <v>0.99999999994179234</v>
      </c>
      <c r="S5913" s="158">
        <f t="shared" si="986"/>
        <v>0.13710691823101304</v>
      </c>
      <c r="T5913" s="161">
        <f t="shared" si="987"/>
        <v>102.41886791856673</v>
      </c>
      <c r="U5913" s="158">
        <f t="shared" si="989"/>
        <v>102.4188679245283</v>
      </c>
      <c r="V5913" s="160">
        <f t="shared" si="988"/>
        <v>102</v>
      </c>
    </row>
    <row r="5914" spans="1:22" x14ac:dyDescent="0.25">
      <c r="A5914" s="98" t="s">
        <v>69</v>
      </c>
      <c r="B5914" s="98" t="s">
        <v>17</v>
      </c>
      <c r="C5914" s="98">
        <v>186</v>
      </c>
      <c r="D5914" s="98">
        <v>9616</v>
      </c>
      <c r="E5914" s="157">
        <v>41605.541666666664</v>
      </c>
      <c r="F5914" s="157">
        <v>41607.000694444447</v>
      </c>
      <c r="G5914" s="98">
        <v>754</v>
      </c>
      <c r="H5914" s="98">
        <v>795</v>
      </c>
      <c r="I5914" s="98">
        <v>747</v>
      </c>
      <c r="J5914" s="98" t="s">
        <v>3088</v>
      </c>
      <c r="K5914" s="98" t="s">
        <v>1903</v>
      </c>
      <c r="L5914" s="105" t="str">
        <f t="shared" si="980"/>
        <v>Trimble</v>
      </c>
      <c r="M5914" s="105" t="str">
        <f t="shared" si="981"/>
        <v>Derate</v>
      </c>
      <c r="N5914" s="105" t="str">
        <f t="shared" si="982"/>
        <v>Coal</v>
      </c>
      <c r="O5914" s="105">
        <f>IFERROR(VLOOKUP(A5914,Lookup!$J$5:$P$19,7,FALSE),0)</f>
        <v>3</v>
      </c>
      <c r="P5914" s="159">
        <f t="shared" si="983"/>
        <v>2013</v>
      </c>
      <c r="Q5914" s="159">
        <f t="shared" si="984"/>
        <v>11</v>
      </c>
      <c r="R5914" s="160">
        <f t="shared" si="985"/>
        <v>35.016666666779201</v>
      </c>
      <c r="S5914" s="158">
        <f t="shared" si="986"/>
        <v>1.8058909853307512</v>
      </c>
      <c r="T5914" s="161">
        <f t="shared" si="987"/>
        <v>1349.0005660420711</v>
      </c>
      <c r="U5914" s="158">
        <f t="shared" si="989"/>
        <v>38.524528301886789</v>
      </c>
      <c r="V5914" s="160">
        <f t="shared" si="988"/>
        <v>39</v>
      </c>
    </row>
    <row r="5915" spans="1:22" x14ac:dyDescent="0.25">
      <c r="A5915" s="98" t="s">
        <v>69</v>
      </c>
      <c r="B5915" s="98" t="s">
        <v>79</v>
      </c>
      <c r="C5915" s="98">
        <v>187</v>
      </c>
      <c r="D5915" s="98">
        <v>1190</v>
      </c>
      <c r="E5915" s="157">
        <v>41607.000694444447</v>
      </c>
      <c r="F5915" s="157">
        <v>41607.333333333336</v>
      </c>
      <c r="G5915" s="98">
        <v>0</v>
      </c>
      <c r="H5915" s="98">
        <v>795</v>
      </c>
      <c r="I5915" s="98">
        <v>747</v>
      </c>
      <c r="J5915" s="98" t="s">
        <v>2007</v>
      </c>
      <c r="K5915" s="98" t="s">
        <v>1904</v>
      </c>
      <c r="L5915" s="105" t="str">
        <f t="shared" si="980"/>
        <v>Trimble</v>
      </c>
      <c r="M5915" s="105" t="str">
        <f t="shared" si="981"/>
        <v>Other</v>
      </c>
      <c r="N5915" s="105" t="str">
        <f t="shared" si="982"/>
        <v>Coal</v>
      </c>
      <c r="O5915" s="105">
        <f>IFERROR(VLOOKUP(A5915,Lookup!$J$5:$P$19,7,FALSE),0)</f>
        <v>3</v>
      </c>
      <c r="P5915" s="159">
        <f t="shared" si="983"/>
        <v>2013</v>
      </c>
      <c r="Q5915" s="159">
        <f t="shared" si="984"/>
        <v>11</v>
      </c>
      <c r="R5915" s="160">
        <f t="shared" si="985"/>
        <v>7.9833333333372138</v>
      </c>
      <c r="S5915" s="158">
        <f t="shared" si="986"/>
        <v>7.9833333333372138</v>
      </c>
      <c r="T5915" s="161">
        <f t="shared" si="987"/>
        <v>5963.5500000028987</v>
      </c>
      <c r="U5915" s="158">
        <f t="shared" si="989"/>
        <v>747</v>
      </c>
      <c r="V5915" s="160">
        <f t="shared" si="988"/>
        <v>747</v>
      </c>
    </row>
    <row r="5916" spans="1:22" x14ac:dyDescent="0.25">
      <c r="A5916" s="98" t="s">
        <v>69</v>
      </c>
      <c r="B5916" s="98" t="s">
        <v>79</v>
      </c>
      <c r="C5916" s="98">
        <v>188</v>
      </c>
      <c r="D5916" s="98">
        <v>1190</v>
      </c>
      <c r="E5916" s="157">
        <v>41609</v>
      </c>
      <c r="F5916" s="157">
        <v>41609.375</v>
      </c>
      <c r="G5916" s="98">
        <v>0</v>
      </c>
      <c r="H5916" s="98">
        <v>795</v>
      </c>
      <c r="I5916" s="98">
        <v>747</v>
      </c>
      <c r="J5916" s="98" t="s">
        <v>2007</v>
      </c>
      <c r="K5916" s="98" t="s">
        <v>1904</v>
      </c>
      <c r="L5916" s="105" t="str">
        <f t="shared" si="980"/>
        <v>Trimble</v>
      </c>
      <c r="M5916" s="105" t="str">
        <f t="shared" si="981"/>
        <v>Other</v>
      </c>
      <c r="N5916" s="105" t="str">
        <f t="shared" si="982"/>
        <v>Coal</v>
      </c>
      <c r="O5916" s="105">
        <f>IFERROR(VLOOKUP(A5916,Lookup!$J$5:$P$19,7,FALSE),0)</f>
        <v>3</v>
      </c>
      <c r="P5916" s="159">
        <f t="shared" si="983"/>
        <v>2013</v>
      </c>
      <c r="Q5916" s="159">
        <f t="shared" si="984"/>
        <v>12</v>
      </c>
      <c r="R5916" s="160">
        <f t="shared" si="985"/>
        <v>9</v>
      </c>
      <c r="S5916" s="158">
        <f t="shared" si="986"/>
        <v>9</v>
      </c>
      <c r="T5916" s="161">
        <f t="shared" si="987"/>
        <v>6723</v>
      </c>
      <c r="U5916" s="158">
        <f t="shared" si="989"/>
        <v>747</v>
      </c>
      <c r="V5916" s="160">
        <f t="shared" si="988"/>
        <v>747</v>
      </c>
    </row>
    <row r="5917" spans="1:22" x14ac:dyDescent="0.25">
      <c r="A5917" s="98" t="s">
        <v>69</v>
      </c>
      <c r="B5917" s="98" t="s">
        <v>17</v>
      </c>
      <c r="C5917" s="98">
        <v>189</v>
      </c>
      <c r="D5917" s="98">
        <v>8821</v>
      </c>
      <c r="E5917" s="157">
        <v>41612.133333333331</v>
      </c>
      <c r="F5917" s="157">
        <v>41612.208333333336</v>
      </c>
      <c r="G5917" s="98">
        <v>709</v>
      </c>
      <c r="H5917" s="98">
        <v>795</v>
      </c>
      <c r="I5917" s="98">
        <v>747</v>
      </c>
      <c r="J5917" s="98" t="s">
        <v>3090</v>
      </c>
      <c r="K5917" s="98" t="s">
        <v>1905</v>
      </c>
      <c r="L5917" s="105" t="str">
        <f t="shared" si="980"/>
        <v>Trimble</v>
      </c>
      <c r="M5917" s="105" t="str">
        <f t="shared" si="981"/>
        <v>Derate</v>
      </c>
      <c r="N5917" s="105" t="str">
        <f t="shared" si="982"/>
        <v>Coal</v>
      </c>
      <c r="O5917" s="105">
        <f>IFERROR(VLOOKUP(A5917,Lookup!$J$5:$P$19,7,FALSE),0)</f>
        <v>3</v>
      </c>
      <c r="P5917" s="159">
        <f t="shared" si="983"/>
        <v>2013</v>
      </c>
      <c r="Q5917" s="159">
        <f t="shared" si="984"/>
        <v>12</v>
      </c>
      <c r="R5917" s="160">
        <f t="shared" si="985"/>
        <v>1.8000000001047738</v>
      </c>
      <c r="S5917" s="158">
        <f t="shared" si="986"/>
        <v>0.19471698114340949</v>
      </c>
      <c r="T5917" s="161">
        <f t="shared" si="987"/>
        <v>145.45358491412688</v>
      </c>
      <c r="U5917" s="158">
        <f t="shared" si="989"/>
        <v>80.807547169811315</v>
      </c>
      <c r="V5917" s="160">
        <f t="shared" si="988"/>
        <v>81</v>
      </c>
    </row>
    <row r="5918" spans="1:22" x14ac:dyDescent="0.25">
      <c r="A5918" s="98" t="s">
        <v>69</v>
      </c>
      <c r="B5918" s="98" t="s">
        <v>20</v>
      </c>
      <c r="C5918" s="98">
        <v>190</v>
      </c>
      <c r="D5918" s="98">
        <v>1495</v>
      </c>
      <c r="E5918" s="157">
        <v>41612.631249999999</v>
      </c>
      <c r="F5918" s="157">
        <v>41615.799305555556</v>
      </c>
      <c r="G5918" s="98">
        <v>0</v>
      </c>
      <c r="H5918" s="98">
        <v>795</v>
      </c>
      <c r="I5918" s="98">
        <v>747</v>
      </c>
      <c r="J5918" s="98" t="s">
        <v>2988</v>
      </c>
      <c r="K5918" s="98" t="s">
        <v>1906</v>
      </c>
      <c r="L5918" s="105" t="str">
        <f t="shared" si="980"/>
        <v>Trimble</v>
      </c>
      <c r="M5918" s="105" t="str">
        <f t="shared" si="981"/>
        <v>Maintenance</v>
      </c>
      <c r="N5918" s="105" t="str">
        <f t="shared" si="982"/>
        <v>Coal</v>
      </c>
      <c r="O5918" s="105">
        <f>IFERROR(VLOOKUP(A5918,Lookup!$J$5:$P$19,7,FALSE),0)</f>
        <v>3</v>
      </c>
      <c r="P5918" s="159">
        <f t="shared" si="983"/>
        <v>2013</v>
      </c>
      <c r="Q5918" s="159">
        <f t="shared" si="984"/>
        <v>12</v>
      </c>
      <c r="R5918" s="160">
        <f t="shared" si="985"/>
        <v>76.03333333338378</v>
      </c>
      <c r="S5918" s="158">
        <f t="shared" si="986"/>
        <v>76.03333333338378</v>
      </c>
      <c r="T5918" s="161">
        <f t="shared" si="987"/>
        <v>56796.900000037684</v>
      </c>
      <c r="U5918" s="158">
        <f t="shared" si="989"/>
        <v>747</v>
      </c>
      <c r="V5918" s="160">
        <f t="shared" si="988"/>
        <v>747</v>
      </c>
    </row>
    <row r="5919" spans="1:22" x14ac:dyDescent="0.25">
      <c r="A5919" s="98" t="s">
        <v>69</v>
      </c>
      <c r="B5919" s="98" t="s">
        <v>15</v>
      </c>
      <c r="C5919" s="98">
        <v>191</v>
      </c>
      <c r="D5919" s="98">
        <v>897</v>
      </c>
      <c r="E5919" s="157">
        <v>41624.133333333331</v>
      </c>
      <c r="F5919" s="157">
        <v>41627.428472222222</v>
      </c>
      <c r="G5919" s="98">
        <v>0</v>
      </c>
      <c r="H5919" s="98">
        <v>795</v>
      </c>
      <c r="I5919" s="98">
        <v>747</v>
      </c>
      <c r="J5919" s="98" t="s">
        <v>3091</v>
      </c>
      <c r="K5919" s="98" t="s">
        <v>1907</v>
      </c>
      <c r="L5919" s="105" t="str">
        <f t="shared" si="980"/>
        <v>Trimble</v>
      </c>
      <c r="M5919" s="105" t="str">
        <f t="shared" si="981"/>
        <v>Outage</v>
      </c>
      <c r="N5919" s="105" t="str">
        <f t="shared" si="982"/>
        <v>Coal</v>
      </c>
      <c r="O5919" s="105">
        <f>IFERROR(VLOOKUP(A5919,Lookup!$J$5:$P$19,7,FALSE),0)</f>
        <v>3</v>
      </c>
      <c r="P5919" s="159">
        <f t="shared" si="983"/>
        <v>2013</v>
      </c>
      <c r="Q5919" s="159">
        <f t="shared" si="984"/>
        <v>12</v>
      </c>
      <c r="R5919" s="160">
        <f t="shared" si="985"/>
        <v>79.083333333372138</v>
      </c>
      <c r="S5919" s="158">
        <f t="shared" si="986"/>
        <v>79.083333333372138</v>
      </c>
      <c r="T5919" s="161">
        <f t="shared" si="987"/>
        <v>59075.250000028987</v>
      </c>
      <c r="U5919" s="158">
        <f t="shared" si="989"/>
        <v>747</v>
      </c>
      <c r="V5919" s="160">
        <f t="shared" si="988"/>
        <v>747</v>
      </c>
    </row>
    <row r="5920" spans="1:22" x14ac:dyDescent="0.25">
      <c r="A5920" s="98" t="s">
        <v>69</v>
      </c>
      <c r="B5920" s="98" t="s">
        <v>15</v>
      </c>
      <c r="C5920" s="98">
        <v>192</v>
      </c>
      <c r="D5920" s="98">
        <v>1700</v>
      </c>
      <c r="E5920" s="157">
        <v>41627.563888888886</v>
      </c>
      <c r="F5920" s="157">
        <v>41627.768055555556</v>
      </c>
      <c r="G5920" s="98">
        <v>0</v>
      </c>
      <c r="H5920" s="98">
        <v>795</v>
      </c>
      <c r="I5920" s="98">
        <v>747</v>
      </c>
      <c r="J5920" s="98" t="s">
        <v>2036</v>
      </c>
      <c r="K5920" s="98" t="s">
        <v>1908</v>
      </c>
      <c r="L5920" s="105" t="str">
        <f t="shared" si="980"/>
        <v>Trimble</v>
      </c>
      <c r="M5920" s="105" t="str">
        <f t="shared" si="981"/>
        <v>Outage</v>
      </c>
      <c r="N5920" s="105" t="str">
        <f t="shared" si="982"/>
        <v>Coal</v>
      </c>
      <c r="O5920" s="105">
        <f>IFERROR(VLOOKUP(A5920,Lookup!$J$5:$P$19,7,FALSE),0)</f>
        <v>3</v>
      </c>
      <c r="P5920" s="159">
        <f t="shared" si="983"/>
        <v>2013</v>
      </c>
      <c r="Q5920" s="159">
        <f t="shared" si="984"/>
        <v>12</v>
      </c>
      <c r="R5920" s="160">
        <f t="shared" si="985"/>
        <v>4.9000000000814907</v>
      </c>
      <c r="S5920" s="158">
        <f t="shared" si="986"/>
        <v>4.9000000000814907</v>
      </c>
      <c r="T5920" s="161">
        <f t="shared" si="987"/>
        <v>3660.3000000608736</v>
      </c>
      <c r="U5920" s="158">
        <f t="shared" si="989"/>
        <v>747</v>
      </c>
      <c r="V5920" s="160">
        <f t="shared" si="988"/>
        <v>747</v>
      </c>
    </row>
    <row r="5921" spans="1:22" x14ac:dyDescent="0.25">
      <c r="A5921" s="98" t="s">
        <v>69</v>
      </c>
      <c r="B5921" s="98" t="s">
        <v>17</v>
      </c>
      <c r="C5921" s="98">
        <v>193</v>
      </c>
      <c r="D5921" s="98">
        <v>9616</v>
      </c>
      <c r="E5921" s="157">
        <v>41631.566666666666</v>
      </c>
      <c r="F5921" s="157">
        <v>41631.583333333336</v>
      </c>
      <c r="G5921" s="98">
        <v>709</v>
      </c>
      <c r="H5921" s="98">
        <v>795</v>
      </c>
      <c r="I5921" s="98">
        <v>747</v>
      </c>
      <c r="J5921" s="98" t="s">
        <v>3088</v>
      </c>
      <c r="K5921" s="98" t="s">
        <v>1909</v>
      </c>
      <c r="L5921" s="105" t="str">
        <f t="shared" si="980"/>
        <v>Trimble</v>
      </c>
      <c r="M5921" s="105" t="str">
        <f t="shared" si="981"/>
        <v>Derate</v>
      </c>
      <c r="N5921" s="105" t="str">
        <f t="shared" si="982"/>
        <v>Coal</v>
      </c>
      <c r="O5921" s="105">
        <f>IFERROR(VLOOKUP(A5921,Lookup!$J$5:$P$19,7,FALSE),0)</f>
        <v>3</v>
      </c>
      <c r="P5921" s="159">
        <f t="shared" si="983"/>
        <v>2013</v>
      </c>
      <c r="Q5921" s="159">
        <f t="shared" si="984"/>
        <v>12</v>
      </c>
      <c r="R5921" s="160">
        <f t="shared" si="985"/>
        <v>0.40000000008149073</v>
      </c>
      <c r="S5921" s="158">
        <f t="shared" si="986"/>
        <v>4.3270440260387677E-2</v>
      </c>
      <c r="T5921" s="161">
        <f t="shared" si="987"/>
        <v>32.323018874509593</v>
      </c>
      <c r="U5921" s="158">
        <f t="shared" si="989"/>
        <v>80.807547169811315</v>
      </c>
      <c r="V5921" s="160">
        <f t="shared" si="988"/>
        <v>81</v>
      </c>
    </row>
    <row r="5922" spans="1:22" x14ac:dyDescent="0.25">
      <c r="A5922" s="98" t="s">
        <v>69</v>
      </c>
      <c r="B5922" s="98" t="s">
        <v>17</v>
      </c>
      <c r="C5922" s="98">
        <v>194</v>
      </c>
      <c r="D5922" s="98">
        <v>9616</v>
      </c>
      <c r="E5922" s="157">
        <v>41631.583333333336</v>
      </c>
      <c r="F5922" s="157">
        <v>41631.708333333336</v>
      </c>
      <c r="G5922" s="98">
        <v>659</v>
      </c>
      <c r="H5922" s="98">
        <v>795</v>
      </c>
      <c r="I5922" s="98">
        <v>747</v>
      </c>
      <c r="J5922" s="98" t="s">
        <v>3088</v>
      </c>
      <c r="K5922" s="98" t="s">
        <v>1909</v>
      </c>
      <c r="L5922" s="105" t="str">
        <f t="shared" si="980"/>
        <v>Trimble</v>
      </c>
      <c r="M5922" s="105" t="str">
        <f t="shared" si="981"/>
        <v>Derate</v>
      </c>
      <c r="N5922" s="105" t="str">
        <f t="shared" si="982"/>
        <v>Coal</v>
      </c>
      <c r="O5922" s="105">
        <f>IFERROR(VLOOKUP(A5922,Lookup!$J$5:$P$19,7,FALSE),0)</f>
        <v>3</v>
      </c>
      <c r="P5922" s="159">
        <f t="shared" si="983"/>
        <v>2013</v>
      </c>
      <c r="Q5922" s="159">
        <f t="shared" si="984"/>
        <v>12</v>
      </c>
      <c r="R5922" s="160">
        <f t="shared" si="985"/>
        <v>3</v>
      </c>
      <c r="S5922" s="158">
        <f t="shared" si="986"/>
        <v>0.51320754716981132</v>
      </c>
      <c r="T5922" s="161">
        <f t="shared" si="987"/>
        <v>383.36603773584903</v>
      </c>
      <c r="U5922" s="158">
        <f t="shared" si="989"/>
        <v>127.78867924528302</v>
      </c>
      <c r="V5922" s="160">
        <f t="shared" si="988"/>
        <v>128</v>
      </c>
    </row>
    <row r="5923" spans="1:22" x14ac:dyDescent="0.25">
      <c r="A5923" s="98" t="s">
        <v>69</v>
      </c>
      <c r="B5923" s="98" t="s">
        <v>17</v>
      </c>
      <c r="C5923" s="98">
        <v>195</v>
      </c>
      <c r="D5923" s="98">
        <v>310</v>
      </c>
      <c r="E5923" s="157">
        <v>41637.3125</v>
      </c>
      <c r="F5923" s="157">
        <v>41637.333333333336</v>
      </c>
      <c r="G5923" s="98">
        <v>669</v>
      </c>
      <c r="H5923" s="98">
        <v>795</v>
      </c>
      <c r="I5923" s="98">
        <v>747</v>
      </c>
      <c r="J5923" s="98" t="s">
        <v>1966</v>
      </c>
      <c r="K5923" s="98" t="s">
        <v>1910</v>
      </c>
      <c r="L5923" s="105" t="str">
        <f t="shared" si="980"/>
        <v>Trimble</v>
      </c>
      <c r="M5923" s="105" t="str">
        <f t="shared" si="981"/>
        <v>Derate</v>
      </c>
      <c r="N5923" s="105" t="str">
        <f t="shared" si="982"/>
        <v>Coal</v>
      </c>
      <c r="O5923" s="105">
        <f>IFERROR(VLOOKUP(A5923,Lookup!$J$5:$P$19,7,FALSE),0)</f>
        <v>3</v>
      </c>
      <c r="P5923" s="159">
        <f t="shared" si="983"/>
        <v>2013</v>
      </c>
      <c r="Q5923" s="159">
        <f t="shared" si="984"/>
        <v>12</v>
      </c>
      <c r="R5923" s="160">
        <f t="shared" si="985"/>
        <v>0.50000000005820766</v>
      </c>
      <c r="S5923" s="158">
        <f t="shared" si="986"/>
        <v>7.9245283028093291E-2</v>
      </c>
      <c r="T5923" s="161">
        <f t="shared" si="987"/>
        <v>59.196226421985692</v>
      </c>
      <c r="U5923" s="158">
        <f t="shared" si="989"/>
        <v>118.39245283018867</v>
      </c>
      <c r="V5923" s="160">
        <f t="shared" si="988"/>
        <v>118</v>
      </c>
    </row>
    <row r="5924" spans="1:22" x14ac:dyDescent="0.25">
      <c r="A5924" s="98" t="s">
        <v>69</v>
      </c>
      <c r="B5924" s="98" t="s">
        <v>17</v>
      </c>
      <c r="C5924" s="98">
        <v>196</v>
      </c>
      <c r="D5924" s="98">
        <v>3439</v>
      </c>
      <c r="E5924" s="157">
        <v>41638.958333333336</v>
      </c>
      <c r="F5924" s="157">
        <v>41639</v>
      </c>
      <c r="G5924" s="98">
        <v>749</v>
      </c>
      <c r="H5924" s="98">
        <v>795</v>
      </c>
      <c r="I5924" s="98">
        <v>747</v>
      </c>
      <c r="J5924" s="98" t="s">
        <v>2026</v>
      </c>
      <c r="K5924" s="98" t="s">
        <v>1911</v>
      </c>
      <c r="L5924" s="105" t="str">
        <f t="shared" si="980"/>
        <v>Trimble</v>
      </c>
      <c r="M5924" s="105" t="str">
        <f t="shared" si="981"/>
        <v>Derate</v>
      </c>
      <c r="N5924" s="105" t="str">
        <f t="shared" si="982"/>
        <v>Coal</v>
      </c>
      <c r="O5924" s="105">
        <f>IFERROR(VLOOKUP(A5924,Lookup!$J$5:$P$19,7,FALSE),0)</f>
        <v>3</v>
      </c>
      <c r="P5924" s="159">
        <f t="shared" si="983"/>
        <v>2013</v>
      </c>
      <c r="Q5924" s="159">
        <f t="shared" si="984"/>
        <v>12</v>
      </c>
      <c r="R5924" s="160">
        <f t="shared" si="985"/>
        <v>0.99999999994179234</v>
      </c>
      <c r="S5924" s="158">
        <f t="shared" si="986"/>
        <v>5.7861635216757794E-2</v>
      </c>
      <c r="T5924" s="161">
        <f t="shared" si="987"/>
        <v>43.222641506918073</v>
      </c>
      <c r="U5924" s="158">
        <f t="shared" si="989"/>
        <v>43.222641509433963</v>
      </c>
      <c r="V5924" s="160">
        <f t="shared" si="988"/>
        <v>43</v>
      </c>
    </row>
    <row r="5925" spans="1:22" x14ac:dyDescent="0.25">
      <c r="A5925" s="98" t="s">
        <v>69</v>
      </c>
      <c r="B5925" s="98" t="s">
        <v>17</v>
      </c>
      <c r="C5925" s="98">
        <v>197</v>
      </c>
      <c r="D5925" s="98">
        <v>4250</v>
      </c>
      <c r="E5925" s="157">
        <v>41639.083333333336</v>
      </c>
      <c r="F5925" s="157">
        <v>41639.1875</v>
      </c>
      <c r="G5925" s="98">
        <v>802</v>
      </c>
      <c r="H5925" s="98">
        <v>795</v>
      </c>
      <c r="I5925" s="98">
        <v>747</v>
      </c>
      <c r="J5925" s="98" t="s">
        <v>2098</v>
      </c>
      <c r="K5925" s="98" t="s">
        <v>1912</v>
      </c>
      <c r="L5925" s="105" t="str">
        <f t="shared" si="980"/>
        <v>Trimble</v>
      </c>
      <c r="M5925" s="105" t="str">
        <f t="shared" si="981"/>
        <v>Derate</v>
      </c>
      <c r="N5925" s="105" t="str">
        <f t="shared" si="982"/>
        <v>Coal</v>
      </c>
      <c r="O5925" s="105">
        <f>IFERROR(VLOOKUP(A5925,Lookup!$J$5:$P$19,7,FALSE),0)</f>
        <v>3</v>
      </c>
      <c r="P5925" s="159">
        <f t="shared" si="983"/>
        <v>2013</v>
      </c>
      <c r="Q5925" s="159">
        <f t="shared" si="984"/>
        <v>12</v>
      </c>
      <c r="R5925" s="160">
        <f t="shared" si="985"/>
        <v>2.4999999999417923</v>
      </c>
      <c r="S5925" s="158">
        <f t="shared" si="986"/>
        <v>-2.2012578615839679E-2</v>
      </c>
      <c r="T5925" s="161">
        <f t="shared" si="987"/>
        <v>-16.443396226032242</v>
      </c>
      <c r="U5925" s="158">
        <f t="shared" si="989"/>
        <v>0</v>
      </c>
      <c r="V5925" s="160">
        <f t="shared" si="988"/>
        <v>0</v>
      </c>
    </row>
    <row r="5926" spans="1:22" x14ac:dyDescent="0.25">
      <c r="A5926" s="98" t="s">
        <v>69</v>
      </c>
      <c r="B5926" s="98" t="s">
        <v>17</v>
      </c>
      <c r="C5926" s="98">
        <v>198</v>
      </c>
      <c r="D5926" s="98">
        <v>4250</v>
      </c>
      <c r="E5926" s="157">
        <v>41639.1875</v>
      </c>
      <c r="F5926" s="157">
        <v>41639.270833333336</v>
      </c>
      <c r="G5926" s="98">
        <v>797</v>
      </c>
      <c r="H5926" s="98">
        <v>795</v>
      </c>
      <c r="I5926" s="98">
        <v>747</v>
      </c>
      <c r="J5926" s="98" t="s">
        <v>2098</v>
      </c>
      <c r="K5926" s="98" t="s">
        <v>1912</v>
      </c>
      <c r="L5926" s="105" t="str">
        <f t="shared" si="980"/>
        <v>Trimble</v>
      </c>
      <c r="M5926" s="105" t="str">
        <f t="shared" si="981"/>
        <v>Derate</v>
      </c>
      <c r="N5926" s="105" t="str">
        <f t="shared" si="982"/>
        <v>Coal</v>
      </c>
      <c r="O5926" s="105">
        <f>IFERROR(VLOOKUP(A5926,Lookup!$J$5:$P$19,7,FALSE),0)</f>
        <v>3</v>
      </c>
      <c r="P5926" s="159">
        <f t="shared" si="983"/>
        <v>2013</v>
      </c>
      <c r="Q5926" s="159">
        <f t="shared" si="984"/>
        <v>12</v>
      </c>
      <c r="R5926" s="160">
        <f t="shared" si="985"/>
        <v>2.0000000000582077</v>
      </c>
      <c r="S5926" s="158">
        <f t="shared" si="986"/>
        <v>-5.0314465410269378E-3</v>
      </c>
      <c r="T5926" s="161">
        <f t="shared" si="987"/>
        <v>-3.7584905661471226</v>
      </c>
      <c r="U5926" s="158">
        <f t="shared" si="989"/>
        <v>0</v>
      </c>
      <c r="V5926" s="160">
        <f t="shared" si="988"/>
        <v>0</v>
      </c>
    </row>
    <row r="5927" spans="1:22" x14ac:dyDescent="0.25">
      <c r="A5927" s="98" t="s">
        <v>69</v>
      </c>
      <c r="B5927" s="98" t="s">
        <v>17</v>
      </c>
      <c r="C5927" s="98">
        <v>199</v>
      </c>
      <c r="D5927" s="98">
        <v>3439</v>
      </c>
      <c r="E5927" s="157">
        <v>41639.270833333336</v>
      </c>
      <c r="F5927" s="157">
        <v>41640</v>
      </c>
      <c r="G5927" s="98">
        <v>752</v>
      </c>
      <c r="H5927" s="98">
        <v>795</v>
      </c>
      <c r="I5927" s="98">
        <v>747</v>
      </c>
      <c r="J5927" s="98" t="s">
        <v>2026</v>
      </c>
      <c r="K5927" s="98" t="s">
        <v>1913</v>
      </c>
      <c r="L5927" s="105" t="str">
        <f t="shared" si="980"/>
        <v>Trimble</v>
      </c>
      <c r="M5927" s="105" t="str">
        <f t="shared" si="981"/>
        <v>Derate</v>
      </c>
      <c r="N5927" s="105" t="str">
        <f t="shared" si="982"/>
        <v>Coal</v>
      </c>
      <c r="O5927" s="105">
        <f>IFERROR(VLOOKUP(A5927,Lookup!$J$5:$P$19,7,FALSE),0)</f>
        <v>3</v>
      </c>
      <c r="P5927" s="159">
        <f t="shared" si="983"/>
        <v>2013</v>
      </c>
      <c r="Q5927" s="159">
        <f t="shared" si="984"/>
        <v>12</v>
      </c>
      <c r="R5927" s="160">
        <f t="shared" si="985"/>
        <v>17.499999999941792</v>
      </c>
      <c r="S5927" s="158">
        <f t="shared" si="986"/>
        <v>0.9465408804999963</v>
      </c>
      <c r="T5927" s="161">
        <f t="shared" si="987"/>
        <v>707.06603773349718</v>
      </c>
      <c r="U5927" s="158">
        <f t="shared" si="989"/>
        <v>40.403773584905657</v>
      </c>
      <c r="V5927" s="160">
        <f t="shared" si="988"/>
        <v>40</v>
      </c>
    </row>
    <row r="5928" spans="1:22" x14ac:dyDescent="0.25">
      <c r="A5928" s="98" t="s">
        <v>69</v>
      </c>
      <c r="B5928" s="98" t="s">
        <v>17</v>
      </c>
      <c r="C5928" s="98">
        <v>1</v>
      </c>
      <c r="D5928" s="98">
        <v>3439</v>
      </c>
      <c r="E5928" s="157">
        <v>41640</v>
      </c>
      <c r="F5928" s="157">
        <v>41643.083333333336</v>
      </c>
      <c r="G5928" s="98">
        <v>752</v>
      </c>
      <c r="H5928" s="98">
        <v>795</v>
      </c>
      <c r="I5928" s="98">
        <v>747</v>
      </c>
      <c r="J5928" s="98" t="s">
        <v>2026</v>
      </c>
      <c r="K5928" s="98" t="s">
        <v>1913</v>
      </c>
      <c r="L5928" s="105" t="str">
        <f t="shared" si="980"/>
        <v>Trimble</v>
      </c>
      <c r="M5928" s="105" t="str">
        <f t="shared" si="981"/>
        <v>Derate</v>
      </c>
      <c r="N5928" s="105" t="str">
        <f t="shared" si="982"/>
        <v>Coal</v>
      </c>
      <c r="O5928" s="105">
        <f>IFERROR(VLOOKUP(A5928,Lookup!$J$5:$P$19,7,FALSE),0)</f>
        <v>3</v>
      </c>
      <c r="P5928" s="159">
        <f t="shared" si="983"/>
        <v>2014</v>
      </c>
      <c r="Q5928" s="159">
        <f t="shared" si="984"/>
        <v>1</v>
      </c>
      <c r="R5928" s="160">
        <f t="shared" si="985"/>
        <v>74.000000000058208</v>
      </c>
      <c r="S5928" s="158">
        <f t="shared" si="986"/>
        <v>4.0025157232735884</v>
      </c>
      <c r="T5928" s="161">
        <f t="shared" si="987"/>
        <v>2989.8792452853704</v>
      </c>
      <c r="U5928" s="158">
        <f t="shared" si="989"/>
        <v>40.403773584905657</v>
      </c>
      <c r="V5928" s="160">
        <f t="shared" si="988"/>
        <v>40</v>
      </c>
    </row>
    <row r="5929" spans="1:22" x14ac:dyDescent="0.25">
      <c r="A5929" s="98" t="s">
        <v>69</v>
      </c>
      <c r="B5929" s="98" t="s">
        <v>79</v>
      </c>
      <c r="C5929" s="98">
        <v>2</v>
      </c>
      <c r="D5929" s="98">
        <v>1190</v>
      </c>
      <c r="E5929" s="157">
        <v>41643.5</v>
      </c>
      <c r="F5929" s="157">
        <v>41643.708333333336</v>
      </c>
      <c r="G5929" s="98">
        <v>0</v>
      </c>
      <c r="H5929" s="98">
        <v>795</v>
      </c>
      <c r="I5929" s="98">
        <v>747</v>
      </c>
      <c r="J5929" s="98" t="s">
        <v>2007</v>
      </c>
      <c r="K5929" s="98" t="s">
        <v>1914</v>
      </c>
      <c r="L5929" s="105" t="str">
        <f t="shared" si="980"/>
        <v>Trimble</v>
      </c>
      <c r="M5929" s="105" t="str">
        <f t="shared" si="981"/>
        <v>Other</v>
      </c>
      <c r="N5929" s="105" t="str">
        <f t="shared" si="982"/>
        <v>Coal</v>
      </c>
      <c r="O5929" s="105">
        <f>IFERROR(VLOOKUP(A5929,Lookup!$J$5:$P$19,7,FALSE),0)</f>
        <v>3</v>
      </c>
      <c r="P5929" s="159">
        <f t="shared" si="983"/>
        <v>2014</v>
      </c>
      <c r="Q5929" s="159">
        <f t="shared" si="984"/>
        <v>1</v>
      </c>
      <c r="R5929" s="160">
        <f t="shared" si="985"/>
        <v>5.0000000000582077</v>
      </c>
      <c r="S5929" s="158">
        <f t="shared" si="986"/>
        <v>5.0000000000582077</v>
      </c>
      <c r="T5929" s="161">
        <f t="shared" si="987"/>
        <v>3735.0000000434811</v>
      </c>
      <c r="U5929" s="158">
        <f t="shared" si="989"/>
        <v>747</v>
      </c>
      <c r="V5929" s="160">
        <f t="shared" si="988"/>
        <v>747</v>
      </c>
    </row>
    <row r="5930" spans="1:22" x14ac:dyDescent="0.25">
      <c r="A5930" s="98" t="s">
        <v>69</v>
      </c>
      <c r="B5930" s="98" t="s">
        <v>79</v>
      </c>
      <c r="C5930" s="98">
        <v>3</v>
      </c>
      <c r="D5930" s="98">
        <v>1190</v>
      </c>
      <c r="E5930" s="157">
        <v>41650</v>
      </c>
      <c r="F5930" s="157">
        <v>41650.224305555559</v>
      </c>
      <c r="G5930" s="98">
        <v>0</v>
      </c>
      <c r="H5930" s="98">
        <v>795</v>
      </c>
      <c r="I5930" s="98">
        <v>747</v>
      </c>
      <c r="J5930" s="98" t="s">
        <v>2007</v>
      </c>
      <c r="K5930" s="98" t="s">
        <v>1915</v>
      </c>
      <c r="L5930" s="105" t="str">
        <f t="shared" si="980"/>
        <v>Trimble</v>
      </c>
      <c r="M5930" s="105" t="str">
        <f t="shared" si="981"/>
        <v>Other</v>
      </c>
      <c r="N5930" s="105" t="str">
        <f t="shared" si="982"/>
        <v>Coal</v>
      </c>
      <c r="O5930" s="105">
        <f>IFERROR(VLOOKUP(A5930,Lookup!$J$5:$P$19,7,FALSE),0)</f>
        <v>3</v>
      </c>
      <c r="P5930" s="159">
        <f t="shared" si="983"/>
        <v>2014</v>
      </c>
      <c r="Q5930" s="159">
        <f t="shared" si="984"/>
        <v>1</v>
      </c>
      <c r="R5930" s="160">
        <f t="shared" si="985"/>
        <v>5.3833333334187046</v>
      </c>
      <c r="S5930" s="158">
        <f t="shared" si="986"/>
        <v>5.3833333334187046</v>
      </c>
      <c r="T5930" s="161">
        <f t="shared" si="987"/>
        <v>4021.3500000637723</v>
      </c>
      <c r="U5930" s="158">
        <f t="shared" si="989"/>
        <v>747</v>
      </c>
      <c r="V5930" s="160">
        <f t="shared" si="988"/>
        <v>747</v>
      </c>
    </row>
    <row r="5931" spans="1:22" x14ac:dyDescent="0.25">
      <c r="A5931" s="98" t="s">
        <v>69</v>
      </c>
      <c r="B5931" s="98" t="s">
        <v>17</v>
      </c>
      <c r="C5931" s="98">
        <v>4</v>
      </c>
      <c r="D5931" s="98">
        <v>8000</v>
      </c>
      <c r="E5931" s="157">
        <v>41650.224305555559</v>
      </c>
      <c r="F5931" s="157">
        <v>41650.79791666667</v>
      </c>
      <c r="G5931" s="98">
        <v>610</v>
      </c>
      <c r="H5931" s="98">
        <v>795</v>
      </c>
      <c r="I5931" s="98">
        <v>747</v>
      </c>
      <c r="J5931" s="98" t="s">
        <v>2272</v>
      </c>
      <c r="K5931" s="98" t="s">
        <v>1778</v>
      </c>
      <c r="L5931" s="105" t="str">
        <f t="shared" si="980"/>
        <v>Trimble</v>
      </c>
      <c r="M5931" s="105" t="str">
        <f t="shared" si="981"/>
        <v>Derate</v>
      </c>
      <c r="N5931" s="105" t="str">
        <f t="shared" si="982"/>
        <v>Coal</v>
      </c>
      <c r="O5931" s="105">
        <f>IFERROR(VLOOKUP(A5931,Lookup!$J$5:$P$19,7,FALSE),0)</f>
        <v>3</v>
      </c>
      <c r="P5931" s="159">
        <f t="shared" si="983"/>
        <v>2014</v>
      </c>
      <c r="Q5931" s="159">
        <f t="shared" si="984"/>
        <v>1</v>
      </c>
      <c r="R5931" s="160">
        <f t="shared" si="985"/>
        <v>13.766666666662786</v>
      </c>
      <c r="S5931" s="158">
        <f t="shared" si="986"/>
        <v>3.2035639412988872</v>
      </c>
      <c r="T5931" s="161">
        <f t="shared" si="987"/>
        <v>2393.0622641502687</v>
      </c>
      <c r="U5931" s="158">
        <f t="shared" si="989"/>
        <v>173.83018867924528</v>
      </c>
      <c r="V5931" s="160">
        <f t="shared" si="988"/>
        <v>174</v>
      </c>
    </row>
    <row r="5932" spans="1:22" x14ac:dyDescent="0.25">
      <c r="A5932" s="98" t="s">
        <v>69</v>
      </c>
      <c r="B5932" s="98" t="s">
        <v>17</v>
      </c>
      <c r="C5932" s="98">
        <v>5</v>
      </c>
      <c r="D5932" s="98">
        <v>8000</v>
      </c>
      <c r="E5932" s="157">
        <v>41650.79791666667</v>
      </c>
      <c r="F5932" s="157">
        <v>41651.114583333336</v>
      </c>
      <c r="G5932" s="98">
        <v>480</v>
      </c>
      <c r="H5932" s="98">
        <v>795</v>
      </c>
      <c r="I5932" s="98">
        <v>747</v>
      </c>
      <c r="J5932" s="98" t="s">
        <v>2272</v>
      </c>
      <c r="K5932" s="98" t="s">
        <v>1778</v>
      </c>
      <c r="L5932" s="105" t="str">
        <f t="shared" si="980"/>
        <v>Trimble</v>
      </c>
      <c r="M5932" s="105" t="str">
        <f t="shared" si="981"/>
        <v>Derate</v>
      </c>
      <c r="N5932" s="105" t="str">
        <f t="shared" si="982"/>
        <v>Coal</v>
      </c>
      <c r="O5932" s="105">
        <f>IFERROR(VLOOKUP(A5932,Lookup!$J$5:$P$19,7,FALSE),0)</f>
        <v>3</v>
      </c>
      <c r="P5932" s="159">
        <f t="shared" si="983"/>
        <v>2014</v>
      </c>
      <c r="Q5932" s="159">
        <f t="shared" si="984"/>
        <v>1</v>
      </c>
      <c r="R5932" s="160">
        <f t="shared" si="985"/>
        <v>7.5999999999767169</v>
      </c>
      <c r="S5932" s="158">
        <f t="shared" si="986"/>
        <v>3.0113207547077558</v>
      </c>
      <c r="T5932" s="161">
        <f t="shared" si="987"/>
        <v>2249.4566037666937</v>
      </c>
      <c r="U5932" s="158">
        <f t="shared" si="989"/>
        <v>295.98113207547169</v>
      </c>
      <c r="V5932" s="160">
        <f t="shared" si="988"/>
        <v>296</v>
      </c>
    </row>
    <row r="5933" spans="1:22" x14ac:dyDescent="0.25">
      <c r="A5933" s="98" t="s">
        <v>69</v>
      </c>
      <c r="B5933" s="98" t="s">
        <v>17</v>
      </c>
      <c r="C5933" s="98">
        <v>6</v>
      </c>
      <c r="D5933" s="98">
        <v>8650</v>
      </c>
      <c r="E5933" s="157">
        <v>41656.8125</v>
      </c>
      <c r="F5933" s="157">
        <v>41656.927083333336</v>
      </c>
      <c r="G5933" s="98">
        <v>649</v>
      </c>
      <c r="H5933" s="98">
        <v>795</v>
      </c>
      <c r="I5933" s="98">
        <v>747</v>
      </c>
      <c r="J5933" s="98" t="s">
        <v>2668</v>
      </c>
      <c r="K5933" s="98" t="s">
        <v>1916</v>
      </c>
      <c r="L5933" s="105" t="str">
        <f t="shared" si="980"/>
        <v>Trimble</v>
      </c>
      <c r="M5933" s="105" t="str">
        <f t="shared" si="981"/>
        <v>Derate</v>
      </c>
      <c r="N5933" s="105" t="str">
        <f t="shared" si="982"/>
        <v>Coal</v>
      </c>
      <c r="O5933" s="105">
        <f>IFERROR(VLOOKUP(A5933,Lookup!$J$5:$P$19,7,FALSE),0)</f>
        <v>3</v>
      </c>
      <c r="P5933" s="159">
        <f t="shared" si="983"/>
        <v>2014</v>
      </c>
      <c r="Q5933" s="159">
        <f t="shared" si="984"/>
        <v>1</v>
      </c>
      <c r="R5933" s="160">
        <f t="shared" si="985"/>
        <v>2.7500000000582077</v>
      </c>
      <c r="S5933" s="158">
        <f t="shared" si="986"/>
        <v>0.50503144655157017</v>
      </c>
      <c r="T5933" s="161">
        <f t="shared" si="987"/>
        <v>377.25849057402291</v>
      </c>
      <c r="U5933" s="158">
        <f t="shared" si="989"/>
        <v>137.18490566037735</v>
      </c>
      <c r="V5933" s="160">
        <f t="shared" si="988"/>
        <v>137</v>
      </c>
    </row>
    <row r="5934" spans="1:22" x14ac:dyDescent="0.25">
      <c r="A5934" s="98" t="s">
        <v>69</v>
      </c>
      <c r="B5934" s="98" t="s">
        <v>17</v>
      </c>
      <c r="C5934" s="98">
        <v>7</v>
      </c>
      <c r="D5934" s="98">
        <v>8650</v>
      </c>
      <c r="E5934" s="157">
        <v>41657.177083333336</v>
      </c>
      <c r="F5934" s="157">
        <v>41657.239583333336</v>
      </c>
      <c r="G5934" s="98">
        <v>649</v>
      </c>
      <c r="H5934" s="98">
        <v>795</v>
      </c>
      <c r="I5934" s="98">
        <v>747</v>
      </c>
      <c r="J5934" s="98" t="s">
        <v>2668</v>
      </c>
      <c r="K5934" s="98" t="s">
        <v>1916</v>
      </c>
      <c r="L5934" s="105" t="str">
        <f t="shared" si="980"/>
        <v>Trimble</v>
      </c>
      <c r="M5934" s="105" t="str">
        <f t="shared" si="981"/>
        <v>Derate</v>
      </c>
      <c r="N5934" s="105" t="str">
        <f t="shared" si="982"/>
        <v>Coal</v>
      </c>
      <c r="O5934" s="105">
        <f>IFERROR(VLOOKUP(A5934,Lookup!$J$5:$P$19,7,FALSE),0)</f>
        <v>3</v>
      </c>
      <c r="P5934" s="159">
        <f t="shared" si="983"/>
        <v>2014</v>
      </c>
      <c r="Q5934" s="159">
        <f t="shared" si="984"/>
        <v>1</v>
      </c>
      <c r="R5934" s="160">
        <f t="shared" si="985"/>
        <v>1.5</v>
      </c>
      <c r="S5934" s="158">
        <f t="shared" si="986"/>
        <v>0.27547169811320754</v>
      </c>
      <c r="T5934" s="161">
        <f t="shared" si="987"/>
        <v>205.77735849056603</v>
      </c>
      <c r="U5934" s="158">
        <f t="shared" si="989"/>
        <v>137.18490566037735</v>
      </c>
      <c r="V5934" s="160">
        <f t="shared" si="988"/>
        <v>137</v>
      </c>
    </row>
    <row r="5935" spans="1:22" x14ac:dyDescent="0.25">
      <c r="A5935" s="98" t="s">
        <v>69</v>
      </c>
      <c r="B5935" s="98" t="s">
        <v>17</v>
      </c>
      <c r="C5935" s="98">
        <v>8</v>
      </c>
      <c r="D5935" s="98">
        <v>9620</v>
      </c>
      <c r="E5935" s="157">
        <v>41657.475694444445</v>
      </c>
      <c r="F5935" s="157">
        <v>41657.583333333336</v>
      </c>
      <c r="G5935" s="98">
        <v>709</v>
      </c>
      <c r="H5935" s="98">
        <v>795</v>
      </c>
      <c r="I5935" s="98">
        <v>747</v>
      </c>
      <c r="J5935" s="98" t="s">
        <v>2029</v>
      </c>
      <c r="K5935" s="98" t="s">
        <v>1917</v>
      </c>
      <c r="L5935" s="105" t="str">
        <f t="shared" si="980"/>
        <v>Trimble</v>
      </c>
      <c r="M5935" s="105" t="str">
        <f t="shared" si="981"/>
        <v>Derate</v>
      </c>
      <c r="N5935" s="105" t="str">
        <f t="shared" si="982"/>
        <v>Coal</v>
      </c>
      <c r="O5935" s="105">
        <f>IFERROR(VLOOKUP(A5935,Lookup!$J$5:$P$19,7,FALSE),0)</f>
        <v>3</v>
      </c>
      <c r="P5935" s="159">
        <f t="shared" si="983"/>
        <v>2014</v>
      </c>
      <c r="Q5935" s="159">
        <f t="shared" si="984"/>
        <v>1</v>
      </c>
      <c r="R5935" s="160">
        <f t="shared" si="985"/>
        <v>2.5833333333721384</v>
      </c>
      <c r="S5935" s="158">
        <f t="shared" si="986"/>
        <v>0.27945492662893573</v>
      </c>
      <c r="T5935" s="161">
        <f t="shared" si="987"/>
        <v>208.75283019181498</v>
      </c>
      <c r="U5935" s="158">
        <f t="shared" si="989"/>
        <v>80.807547169811315</v>
      </c>
      <c r="V5935" s="160">
        <f t="shared" si="988"/>
        <v>81</v>
      </c>
    </row>
    <row r="5936" spans="1:22" x14ac:dyDescent="0.25">
      <c r="A5936" s="98" t="s">
        <v>69</v>
      </c>
      <c r="B5936" s="98" t="s">
        <v>17</v>
      </c>
      <c r="C5936" s="98">
        <v>9</v>
      </c>
      <c r="D5936" s="98">
        <v>9620</v>
      </c>
      <c r="E5936" s="157">
        <v>41657.746527777781</v>
      </c>
      <c r="F5936" s="157">
        <v>41657.756944444445</v>
      </c>
      <c r="G5936" s="98">
        <v>649</v>
      </c>
      <c r="H5936" s="98">
        <v>795</v>
      </c>
      <c r="I5936" s="98">
        <v>747</v>
      </c>
      <c r="J5936" s="98" t="s">
        <v>2029</v>
      </c>
      <c r="K5936" s="98" t="s">
        <v>1916</v>
      </c>
      <c r="L5936" s="105" t="str">
        <f t="shared" si="980"/>
        <v>Trimble</v>
      </c>
      <c r="M5936" s="105" t="str">
        <f t="shared" si="981"/>
        <v>Derate</v>
      </c>
      <c r="N5936" s="105" t="str">
        <f t="shared" si="982"/>
        <v>Coal</v>
      </c>
      <c r="O5936" s="105">
        <f>IFERROR(VLOOKUP(A5936,Lookup!$J$5:$P$19,7,FALSE),0)</f>
        <v>3</v>
      </c>
      <c r="P5936" s="159">
        <f t="shared" si="983"/>
        <v>2014</v>
      </c>
      <c r="Q5936" s="159">
        <f t="shared" si="984"/>
        <v>1</v>
      </c>
      <c r="R5936" s="160">
        <f t="shared" si="985"/>
        <v>0.24999999994179234</v>
      </c>
      <c r="S5936" s="158">
        <f t="shared" si="986"/>
        <v>4.5911949674844882E-2</v>
      </c>
      <c r="T5936" s="161">
        <f t="shared" si="987"/>
        <v>34.296226407109124</v>
      </c>
      <c r="U5936" s="158">
        <f t="shared" si="989"/>
        <v>137.18490566037735</v>
      </c>
      <c r="V5936" s="160">
        <f t="shared" si="988"/>
        <v>137</v>
      </c>
    </row>
    <row r="5937" spans="1:22" x14ac:dyDescent="0.25">
      <c r="A5937" s="98" t="s">
        <v>69</v>
      </c>
      <c r="B5937" s="98" t="s">
        <v>17</v>
      </c>
      <c r="C5937" s="98">
        <v>10</v>
      </c>
      <c r="D5937" s="98">
        <v>9620</v>
      </c>
      <c r="E5937" s="157">
        <v>41657.756944444445</v>
      </c>
      <c r="F5937" s="157">
        <v>41657.802083333336</v>
      </c>
      <c r="G5937" s="98">
        <v>729</v>
      </c>
      <c r="H5937" s="98">
        <v>795</v>
      </c>
      <c r="I5937" s="98">
        <v>747</v>
      </c>
      <c r="J5937" s="98" t="s">
        <v>2029</v>
      </c>
      <c r="K5937" s="98" t="s">
        <v>1916</v>
      </c>
      <c r="L5937" s="105" t="str">
        <f t="shared" si="980"/>
        <v>Trimble</v>
      </c>
      <c r="M5937" s="105" t="str">
        <f t="shared" si="981"/>
        <v>Derate</v>
      </c>
      <c r="N5937" s="105" t="str">
        <f t="shared" si="982"/>
        <v>Coal</v>
      </c>
      <c r="O5937" s="105">
        <f>IFERROR(VLOOKUP(A5937,Lookup!$J$5:$P$19,7,FALSE),0)</f>
        <v>3</v>
      </c>
      <c r="P5937" s="159">
        <f t="shared" si="983"/>
        <v>2014</v>
      </c>
      <c r="Q5937" s="159">
        <f t="shared" si="984"/>
        <v>1</v>
      </c>
      <c r="R5937" s="160">
        <f t="shared" si="985"/>
        <v>1.0833333333721384</v>
      </c>
      <c r="S5937" s="158">
        <f t="shared" si="986"/>
        <v>8.993710692146055E-2</v>
      </c>
      <c r="T5937" s="161">
        <f t="shared" si="987"/>
        <v>67.183018870331026</v>
      </c>
      <c r="U5937" s="158">
        <f t="shared" si="989"/>
        <v>62.015094339622642</v>
      </c>
      <c r="V5937" s="160">
        <f t="shared" si="988"/>
        <v>62</v>
      </c>
    </row>
    <row r="5938" spans="1:22" x14ac:dyDescent="0.25">
      <c r="A5938" s="98" t="s">
        <v>69</v>
      </c>
      <c r="B5938" s="98" t="s">
        <v>79</v>
      </c>
      <c r="C5938" s="98">
        <v>11</v>
      </c>
      <c r="D5938" s="98">
        <v>1190</v>
      </c>
      <c r="E5938" s="157">
        <v>41658</v>
      </c>
      <c r="F5938" s="157">
        <v>41658.260416666664</v>
      </c>
      <c r="G5938" s="98">
        <v>0</v>
      </c>
      <c r="H5938" s="98">
        <v>795</v>
      </c>
      <c r="I5938" s="98">
        <v>747</v>
      </c>
      <c r="J5938" s="98" t="s">
        <v>2007</v>
      </c>
      <c r="K5938" s="98" t="s">
        <v>1918</v>
      </c>
      <c r="L5938" s="105" t="str">
        <f t="shared" si="980"/>
        <v>Trimble</v>
      </c>
      <c r="M5938" s="105" t="str">
        <f t="shared" si="981"/>
        <v>Other</v>
      </c>
      <c r="N5938" s="105" t="str">
        <f t="shared" si="982"/>
        <v>Coal</v>
      </c>
      <c r="O5938" s="105">
        <f>IFERROR(VLOOKUP(A5938,Lookup!$J$5:$P$19,7,FALSE),0)</f>
        <v>3</v>
      </c>
      <c r="P5938" s="159">
        <f t="shared" si="983"/>
        <v>2014</v>
      </c>
      <c r="Q5938" s="159">
        <f t="shared" si="984"/>
        <v>1</v>
      </c>
      <c r="R5938" s="160">
        <f t="shared" si="985"/>
        <v>6.2499999999417923</v>
      </c>
      <c r="S5938" s="158">
        <f t="shared" si="986"/>
        <v>6.2499999999417923</v>
      </c>
      <c r="T5938" s="161">
        <f t="shared" si="987"/>
        <v>4668.7499999565189</v>
      </c>
      <c r="U5938" s="158">
        <f t="shared" si="989"/>
        <v>747</v>
      </c>
      <c r="V5938" s="160">
        <f t="shared" si="988"/>
        <v>747</v>
      </c>
    </row>
    <row r="5939" spans="1:22" x14ac:dyDescent="0.25">
      <c r="A5939" s="98" t="s">
        <v>69</v>
      </c>
      <c r="B5939" s="98" t="s">
        <v>17</v>
      </c>
      <c r="C5939" s="98">
        <v>12</v>
      </c>
      <c r="D5939" s="98">
        <v>9620</v>
      </c>
      <c r="E5939" s="157">
        <v>41658.436805555553</v>
      </c>
      <c r="F5939" s="157">
        <v>41658.541666666664</v>
      </c>
      <c r="G5939" s="98">
        <v>709</v>
      </c>
      <c r="H5939" s="98">
        <v>795</v>
      </c>
      <c r="I5939" s="98">
        <v>747</v>
      </c>
      <c r="J5939" s="98" t="s">
        <v>2029</v>
      </c>
      <c r="K5939" s="98" t="s">
        <v>1919</v>
      </c>
      <c r="L5939" s="105" t="str">
        <f t="shared" si="980"/>
        <v>Trimble</v>
      </c>
      <c r="M5939" s="105" t="str">
        <f t="shared" si="981"/>
        <v>Derate</v>
      </c>
      <c r="N5939" s="105" t="str">
        <f t="shared" si="982"/>
        <v>Coal</v>
      </c>
      <c r="O5939" s="105">
        <f>IFERROR(VLOOKUP(A5939,Lookup!$J$5:$P$19,7,FALSE),0)</f>
        <v>3</v>
      </c>
      <c r="P5939" s="159">
        <f t="shared" si="983"/>
        <v>2014</v>
      </c>
      <c r="Q5939" s="159">
        <f t="shared" si="984"/>
        <v>1</v>
      </c>
      <c r="R5939" s="160">
        <f t="shared" si="985"/>
        <v>2.5166666666627862</v>
      </c>
      <c r="S5939" s="158">
        <f t="shared" si="986"/>
        <v>0.27224318658238944</v>
      </c>
      <c r="T5939" s="161">
        <f t="shared" si="987"/>
        <v>203.36566037704492</v>
      </c>
      <c r="U5939" s="158">
        <f t="shared" si="989"/>
        <v>80.807547169811315</v>
      </c>
      <c r="V5939" s="160">
        <f t="shared" si="988"/>
        <v>81</v>
      </c>
    </row>
    <row r="5940" spans="1:22" x14ac:dyDescent="0.25">
      <c r="A5940" s="98" t="s">
        <v>69</v>
      </c>
      <c r="B5940" s="98" t="s">
        <v>17</v>
      </c>
      <c r="C5940" s="98">
        <v>13</v>
      </c>
      <c r="D5940" s="98">
        <v>9620</v>
      </c>
      <c r="E5940" s="157">
        <v>41658.743055555555</v>
      </c>
      <c r="F5940" s="157">
        <v>41658.84375</v>
      </c>
      <c r="G5940" s="98">
        <v>709</v>
      </c>
      <c r="H5940" s="98">
        <v>795</v>
      </c>
      <c r="I5940" s="98">
        <v>747</v>
      </c>
      <c r="J5940" s="98" t="s">
        <v>2029</v>
      </c>
      <c r="K5940" s="98" t="s">
        <v>1919</v>
      </c>
      <c r="L5940" s="105" t="str">
        <f t="shared" si="980"/>
        <v>Trimble</v>
      </c>
      <c r="M5940" s="105" t="str">
        <f t="shared" si="981"/>
        <v>Derate</v>
      </c>
      <c r="N5940" s="105" t="str">
        <f t="shared" si="982"/>
        <v>Coal</v>
      </c>
      <c r="O5940" s="105">
        <f>IFERROR(VLOOKUP(A5940,Lookup!$J$5:$P$19,7,FALSE),0)</f>
        <v>3</v>
      </c>
      <c r="P5940" s="159">
        <f t="shared" si="983"/>
        <v>2014</v>
      </c>
      <c r="Q5940" s="159">
        <f t="shared" si="984"/>
        <v>1</v>
      </c>
      <c r="R5940" s="160">
        <f t="shared" si="985"/>
        <v>2.4166666666860692</v>
      </c>
      <c r="S5940" s="158">
        <f t="shared" si="986"/>
        <v>0.26142557652201504</v>
      </c>
      <c r="T5940" s="161">
        <f t="shared" si="987"/>
        <v>195.28490566194523</v>
      </c>
      <c r="U5940" s="158">
        <f t="shared" si="989"/>
        <v>80.807547169811315</v>
      </c>
      <c r="V5940" s="160">
        <f t="shared" si="988"/>
        <v>81</v>
      </c>
    </row>
    <row r="5941" spans="1:22" x14ac:dyDescent="0.25">
      <c r="A5941" s="98" t="s">
        <v>69</v>
      </c>
      <c r="B5941" s="98" t="s">
        <v>17</v>
      </c>
      <c r="C5941" s="98">
        <v>14</v>
      </c>
      <c r="D5941" s="98">
        <v>9610</v>
      </c>
      <c r="E5941" s="157">
        <v>41659.072916666664</v>
      </c>
      <c r="F5941" s="157">
        <v>41659.6875</v>
      </c>
      <c r="G5941" s="98">
        <v>709</v>
      </c>
      <c r="H5941" s="98">
        <v>795</v>
      </c>
      <c r="I5941" s="98">
        <v>747</v>
      </c>
      <c r="J5941" s="98" t="s">
        <v>3087</v>
      </c>
      <c r="K5941" s="98" t="s">
        <v>1920</v>
      </c>
      <c r="L5941" s="105" t="str">
        <f t="shared" si="980"/>
        <v>Trimble</v>
      </c>
      <c r="M5941" s="105" t="str">
        <f t="shared" si="981"/>
        <v>Derate</v>
      </c>
      <c r="N5941" s="105" t="str">
        <f t="shared" si="982"/>
        <v>Coal</v>
      </c>
      <c r="O5941" s="105">
        <f>IFERROR(VLOOKUP(A5941,Lookup!$J$5:$P$19,7,FALSE),0)</f>
        <v>3</v>
      </c>
      <c r="P5941" s="159">
        <f t="shared" si="983"/>
        <v>2014</v>
      </c>
      <c r="Q5941" s="159">
        <f t="shared" si="984"/>
        <v>1</v>
      </c>
      <c r="R5941" s="160">
        <f t="shared" si="985"/>
        <v>14.750000000058208</v>
      </c>
      <c r="S5941" s="158">
        <f t="shared" si="986"/>
        <v>1.5955974842830263</v>
      </c>
      <c r="T5941" s="161">
        <f t="shared" si="987"/>
        <v>1191.9113207594207</v>
      </c>
      <c r="U5941" s="158">
        <f t="shared" si="989"/>
        <v>80.807547169811315</v>
      </c>
      <c r="V5941" s="160">
        <f t="shared" si="988"/>
        <v>81</v>
      </c>
    </row>
    <row r="5942" spans="1:22" x14ac:dyDescent="0.25">
      <c r="A5942" s="98" t="s">
        <v>69</v>
      </c>
      <c r="B5942" s="98" t="s">
        <v>79</v>
      </c>
      <c r="C5942" s="98">
        <v>15</v>
      </c>
      <c r="D5942" s="98">
        <v>1190</v>
      </c>
      <c r="E5942" s="157">
        <v>41665.5</v>
      </c>
      <c r="F5942" s="157">
        <v>41665.75</v>
      </c>
      <c r="G5942" s="98">
        <v>0</v>
      </c>
      <c r="H5942" s="98">
        <v>795</v>
      </c>
      <c r="I5942" s="98">
        <v>747</v>
      </c>
      <c r="J5942" s="98" t="s">
        <v>2007</v>
      </c>
      <c r="K5942" s="98" t="s">
        <v>1921</v>
      </c>
      <c r="L5942" s="105" t="str">
        <f t="shared" si="980"/>
        <v>Trimble</v>
      </c>
      <c r="M5942" s="105" t="str">
        <f t="shared" si="981"/>
        <v>Other</v>
      </c>
      <c r="N5942" s="105" t="str">
        <f t="shared" si="982"/>
        <v>Coal</v>
      </c>
      <c r="O5942" s="105">
        <f>IFERROR(VLOOKUP(A5942,Lookup!$J$5:$P$19,7,FALSE),0)</f>
        <v>3</v>
      </c>
      <c r="P5942" s="159">
        <f t="shared" si="983"/>
        <v>2014</v>
      </c>
      <c r="Q5942" s="159">
        <f t="shared" si="984"/>
        <v>1</v>
      </c>
      <c r="R5942" s="160">
        <f t="shared" si="985"/>
        <v>6</v>
      </c>
      <c r="S5942" s="158">
        <f t="shared" si="986"/>
        <v>6</v>
      </c>
      <c r="T5942" s="161">
        <f t="shared" si="987"/>
        <v>4482</v>
      </c>
      <c r="U5942" s="158">
        <f t="shared" si="989"/>
        <v>747</v>
      </c>
      <c r="V5942" s="160">
        <f t="shared" si="988"/>
        <v>747</v>
      </c>
    </row>
    <row r="5943" spans="1:22" x14ac:dyDescent="0.25">
      <c r="A5943" s="98" t="s">
        <v>69</v>
      </c>
      <c r="B5943" s="98" t="s">
        <v>79</v>
      </c>
      <c r="C5943" s="98">
        <v>16</v>
      </c>
      <c r="D5943" s="98">
        <v>1190</v>
      </c>
      <c r="E5943" s="157">
        <v>41671.000694444447</v>
      </c>
      <c r="F5943" s="157">
        <v>41671.260416666664</v>
      </c>
      <c r="G5943" s="98">
        <v>0</v>
      </c>
      <c r="H5943" s="98">
        <v>795</v>
      </c>
      <c r="I5943" s="98">
        <v>747</v>
      </c>
      <c r="J5943" s="98" t="s">
        <v>2007</v>
      </c>
      <c r="K5943" s="98" t="s">
        <v>1922</v>
      </c>
      <c r="L5943" s="105" t="str">
        <f t="shared" si="980"/>
        <v>Trimble</v>
      </c>
      <c r="M5943" s="105" t="str">
        <f t="shared" si="981"/>
        <v>Other</v>
      </c>
      <c r="N5943" s="105" t="str">
        <f t="shared" si="982"/>
        <v>Coal</v>
      </c>
      <c r="O5943" s="105">
        <f>IFERROR(VLOOKUP(A5943,Lookup!$J$5:$P$19,7,FALSE),0)</f>
        <v>3</v>
      </c>
      <c r="P5943" s="159">
        <f t="shared" si="983"/>
        <v>2014</v>
      </c>
      <c r="Q5943" s="159">
        <f t="shared" si="984"/>
        <v>2</v>
      </c>
      <c r="R5943" s="160">
        <f t="shared" si="985"/>
        <v>6.2333333332207985</v>
      </c>
      <c r="S5943" s="158">
        <f t="shared" si="986"/>
        <v>6.2333333332207985</v>
      </c>
      <c r="T5943" s="161">
        <f t="shared" si="987"/>
        <v>4656.2999999159365</v>
      </c>
      <c r="U5943" s="158">
        <f t="shared" si="989"/>
        <v>747</v>
      </c>
      <c r="V5943" s="160">
        <f t="shared" si="988"/>
        <v>747</v>
      </c>
    </row>
    <row r="5944" spans="1:22" x14ac:dyDescent="0.25">
      <c r="A5944" s="98" t="s">
        <v>69</v>
      </c>
      <c r="B5944" s="98" t="s">
        <v>17</v>
      </c>
      <c r="C5944" s="98">
        <v>17</v>
      </c>
      <c r="D5944" s="98">
        <v>310</v>
      </c>
      <c r="E5944" s="157">
        <v>41672.6875</v>
      </c>
      <c r="F5944" s="157">
        <v>41672.791666666664</v>
      </c>
      <c r="G5944" s="98">
        <v>679</v>
      </c>
      <c r="H5944" s="98">
        <v>795</v>
      </c>
      <c r="I5944" s="98">
        <v>747</v>
      </c>
      <c r="J5944" s="98" t="s">
        <v>1966</v>
      </c>
      <c r="K5944" s="98" t="s">
        <v>1923</v>
      </c>
      <c r="L5944" s="105" t="str">
        <f t="shared" si="980"/>
        <v>Trimble</v>
      </c>
      <c r="M5944" s="105" t="str">
        <f t="shared" si="981"/>
        <v>Derate</v>
      </c>
      <c r="N5944" s="105" t="str">
        <f t="shared" si="982"/>
        <v>Coal</v>
      </c>
      <c r="O5944" s="105">
        <f>IFERROR(VLOOKUP(A5944,Lookup!$J$5:$P$19,7,FALSE),0)</f>
        <v>3</v>
      </c>
      <c r="P5944" s="159">
        <f t="shared" si="983"/>
        <v>2014</v>
      </c>
      <c r="Q5944" s="159">
        <f t="shared" si="984"/>
        <v>2</v>
      </c>
      <c r="R5944" s="160">
        <f t="shared" si="985"/>
        <v>2.4999999999417923</v>
      </c>
      <c r="S5944" s="158">
        <f t="shared" si="986"/>
        <v>0.3647798742053433</v>
      </c>
      <c r="T5944" s="161">
        <f t="shared" si="987"/>
        <v>272.49056603139144</v>
      </c>
      <c r="U5944" s="158">
        <f t="shared" si="989"/>
        <v>108.99622641509434</v>
      </c>
      <c r="V5944" s="160">
        <f t="shared" si="988"/>
        <v>109</v>
      </c>
    </row>
    <row r="5945" spans="1:22" x14ac:dyDescent="0.25">
      <c r="A5945" s="98" t="s">
        <v>69</v>
      </c>
      <c r="B5945" s="98" t="s">
        <v>17</v>
      </c>
      <c r="C5945" s="98">
        <v>18</v>
      </c>
      <c r="D5945" s="98">
        <v>1455</v>
      </c>
      <c r="E5945" s="157">
        <v>41674.65625</v>
      </c>
      <c r="F5945" s="157">
        <v>41674.677083333336</v>
      </c>
      <c r="G5945" s="98">
        <v>784</v>
      </c>
      <c r="H5945" s="98">
        <v>795</v>
      </c>
      <c r="I5945" s="98">
        <v>747</v>
      </c>
      <c r="J5945" s="98" t="s">
        <v>1990</v>
      </c>
      <c r="K5945" s="98" t="s">
        <v>1924</v>
      </c>
      <c r="L5945" s="105" t="str">
        <f t="shared" si="980"/>
        <v>Trimble</v>
      </c>
      <c r="M5945" s="105" t="str">
        <f t="shared" si="981"/>
        <v>Derate</v>
      </c>
      <c r="N5945" s="105" t="str">
        <f t="shared" si="982"/>
        <v>Coal</v>
      </c>
      <c r="O5945" s="105">
        <f>IFERROR(VLOOKUP(A5945,Lookup!$J$5:$P$19,7,FALSE),0)</f>
        <v>3</v>
      </c>
      <c r="P5945" s="159">
        <f t="shared" si="983"/>
        <v>2014</v>
      </c>
      <c r="Q5945" s="159">
        <f t="shared" si="984"/>
        <v>2</v>
      </c>
      <c r="R5945" s="160">
        <f t="shared" si="985"/>
        <v>0.50000000005820766</v>
      </c>
      <c r="S5945" s="158">
        <f t="shared" si="986"/>
        <v>6.9182389945160808E-3</v>
      </c>
      <c r="T5945" s="161">
        <f t="shared" si="987"/>
        <v>5.1679245289035123</v>
      </c>
      <c r="U5945" s="158">
        <f t="shared" si="989"/>
        <v>10.335849056603774</v>
      </c>
      <c r="V5945" s="160">
        <f t="shared" si="988"/>
        <v>10</v>
      </c>
    </row>
    <row r="5946" spans="1:22" x14ac:dyDescent="0.25">
      <c r="A5946" s="98" t="s">
        <v>69</v>
      </c>
      <c r="B5946" s="98" t="s">
        <v>38</v>
      </c>
      <c r="C5946" s="98">
        <v>20</v>
      </c>
      <c r="D5946" s="98">
        <v>360</v>
      </c>
      <c r="E5946" s="157">
        <v>41678.13958333333</v>
      </c>
      <c r="F5946" s="157">
        <v>41785</v>
      </c>
      <c r="G5946" s="98">
        <v>0</v>
      </c>
      <c r="H5946" s="98">
        <v>795</v>
      </c>
      <c r="I5946" s="98">
        <v>747</v>
      </c>
      <c r="J5946" s="98" t="s">
        <v>229</v>
      </c>
      <c r="K5946" s="98" t="s">
        <v>1925</v>
      </c>
      <c r="L5946" s="105" t="str">
        <f t="shared" si="980"/>
        <v>Trimble</v>
      </c>
      <c r="M5946" s="105" t="str">
        <f t="shared" si="981"/>
        <v>Other</v>
      </c>
      <c r="N5946" s="105" t="str">
        <f t="shared" si="982"/>
        <v>Coal</v>
      </c>
      <c r="O5946" s="105">
        <f>IFERROR(VLOOKUP(A5946,Lookup!$J$5:$P$19,7,FALSE),0)</f>
        <v>3</v>
      </c>
      <c r="P5946" s="159">
        <f t="shared" si="983"/>
        <v>2014</v>
      </c>
      <c r="Q5946" s="159">
        <f t="shared" si="984"/>
        <v>2</v>
      </c>
      <c r="R5946" s="160">
        <f t="shared" si="985"/>
        <v>2564.6500000000815</v>
      </c>
      <c r="S5946" s="158">
        <f t="shared" si="986"/>
        <v>2564.6500000000815</v>
      </c>
      <c r="T5946" s="161">
        <f t="shared" si="987"/>
        <v>1915793.5500000608</v>
      </c>
      <c r="U5946" s="158">
        <f t="shared" si="989"/>
        <v>747</v>
      </c>
      <c r="V5946" s="160">
        <f t="shared" si="988"/>
        <v>747</v>
      </c>
    </row>
    <row r="5947" spans="1:22" x14ac:dyDescent="0.25">
      <c r="A5947" s="98" t="s">
        <v>69</v>
      </c>
      <c r="B5947" s="98" t="s">
        <v>121</v>
      </c>
      <c r="C5947" s="98">
        <v>21</v>
      </c>
      <c r="D5947" s="98">
        <v>360</v>
      </c>
      <c r="E5947" s="157">
        <v>41785</v>
      </c>
      <c r="F5947" s="157">
        <v>41787.207638888889</v>
      </c>
      <c r="G5947" s="98">
        <v>0</v>
      </c>
      <c r="H5947" s="98">
        <v>795</v>
      </c>
      <c r="I5947" s="98">
        <v>747</v>
      </c>
      <c r="J5947" s="98" t="s">
        <v>229</v>
      </c>
      <c r="K5947" s="98" t="s">
        <v>1926</v>
      </c>
      <c r="L5947" s="105" t="str">
        <f t="shared" si="980"/>
        <v>Trimble</v>
      </c>
      <c r="M5947" s="105" t="str">
        <f t="shared" si="981"/>
        <v>Other</v>
      </c>
      <c r="N5947" s="105" t="str">
        <f t="shared" si="982"/>
        <v>Coal</v>
      </c>
      <c r="O5947" s="105">
        <f>IFERROR(VLOOKUP(A5947,Lookup!$J$5:$P$19,7,FALSE),0)</f>
        <v>3</v>
      </c>
      <c r="P5947" s="159">
        <f t="shared" si="983"/>
        <v>2014</v>
      </c>
      <c r="Q5947" s="159">
        <f t="shared" si="984"/>
        <v>5</v>
      </c>
      <c r="R5947" s="160">
        <f t="shared" si="985"/>
        <v>52.983333333337214</v>
      </c>
      <c r="S5947" s="158">
        <f t="shared" si="986"/>
        <v>52.983333333337214</v>
      </c>
      <c r="T5947" s="161">
        <f t="shared" si="987"/>
        <v>39578.550000002899</v>
      </c>
      <c r="U5947" s="158">
        <f t="shared" si="989"/>
        <v>747</v>
      </c>
      <c r="V5947" s="160">
        <f t="shared" si="988"/>
        <v>747</v>
      </c>
    </row>
    <row r="5948" spans="1:22" x14ac:dyDescent="0.25">
      <c r="A5948" s="98" t="s">
        <v>69</v>
      </c>
      <c r="B5948" s="98" t="s">
        <v>15</v>
      </c>
      <c r="C5948" s="98">
        <v>22</v>
      </c>
      <c r="D5948" s="98">
        <v>3499</v>
      </c>
      <c r="E5948" s="157">
        <v>41787.315972222219</v>
      </c>
      <c r="F5948" s="157">
        <v>41787.59375</v>
      </c>
      <c r="G5948" s="98">
        <v>0</v>
      </c>
      <c r="H5948" s="98">
        <v>795</v>
      </c>
      <c r="I5948" s="98">
        <v>747</v>
      </c>
      <c r="J5948" s="98" t="s">
        <v>2188</v>
      </c>
      <c r="K5948" s="98" t="s">
        <v>1927</v>
      </c>
      <c r="L5948" s="105" t="str">
        <f t="shared" si="980"/>
        <v>Trimble</v>
      </c>
      <c r="M5948" s="105" t="str">
        <f t="shared" si="981"/>
        <v>Outage</v>
      </c>
      <c r="N5948" s="105" t="str">
        <f t="shared" si="982"/>
        <v>Coal</v>
      </c>
      <c r="O5948" s="105">
        <f>IFERROR(VLOOKUP(A5948,Lookup!$J$5:$P$19,7,FALSE),0)</f>
        <v>3</v>
      </c>
      <c r="P5948" s="159">
        <f t="shared" si="983"/>
        <v>2014</v>
      </c>
      <c r="Q5948" s="159">
        <f t="shared" si="984"/>
        <v>5</v>
      </c>
      <c r="R5948" s="160">
        <f t="shared" si="985"/>
        <v>6.6666666667442769</v>
      </c>
      <c r="S5948" s="158">
        <f t="shared" si="986"/>
        <v>6.6666666667442769</v>
      </c>
      <c r="T5948" s="161">
        <f t="shared" si="987"/>
        <v>4980.0000000579748</v>
      </c>
      <c r="U5948" s="158">
        <f t="shared" si="989"/>
        <v>747</v>
      </c>
      <c r="V5948" s="160">
        <f t="shared" si="988"/>
        <v>747</v>
      </c>
    </row>
    <row r="5949" spans="1:22" x14ac:dyDescent="0.25">
      <c r="A5949" s="98" t="s">
        <v>69</v>
      </c>
      <c r="B5949" s="98" t="s">
        <v>15</v>
      </c>
      <c r="C5949" s="98">
        <v>23</v>
      </c>
      <c r="D5949" s="98">
        <v>4303</v>
      </c>
      <c r="E5949" s="157">
        <v>41787.866666666669</v>
      </c>
      <c r="F5949" s="157">
        <v>41788.371527777781</v>
      </c>
      <c r="G5949" s="98">
        <v>0</v>
      </c>
      <c r="H5949" s="98">
        <v>795</v>
      </c>
      <c r="I5949" s="98">
        <v>747</v>
      </c>
      <c r="J5949" s="98" t="s">
        <v>3092</v>
      </c>
      <c r="K5949" s="98" t="s">
        <v>1928</v>
      </c>
      <c r="L5949" s="105" t="str">
        <f t="shared" si="980"/>
        <v>Trimble</v>
      </c>
      <c r="M5949" s="105" t="str">
        <f t="shared" si="981"/>
        <v>Outage</v>
      </c>
      <c r="N5949" s="105" t="str">
        <f t="shared" si="982"/>
        <v>Coal</v>
      </c>
      <c r="O5949" s="105">
        <f>IFERROR(VLOOKUP(A5949,Lookup!$J$5:$P$19,7,FALSE),0)</f>
        <v>3</v>
      </c>
      <c r="P5949" s="159">
        <f t="shared" si="983"/>
        <v>2014</v>
      </c>
      <c r="Q5949" s="159">
        <f t="shared" si="984"/>
        <v>5</v>
      </c>
      <c r="R5949" s="160">
        <f t="shared" si="985"/>
        <v>12.116666666697711</v>
      </c>
      <c r="S5949" s="158">
        <f t="shared" si="986"/>
        <v>12.116666666697711</v>
      </c>
      <c r="T5949" s="161">
        <f t="shared" si="987"/>
        <v>9051.1500000231899</v>
      </c>
      <c r="U5949" s="158">
        <f t="shared" si="989"/>
        <v>747</v>
      </c>
      <c r="V5949" s="160">
        <f t="shared" si="988"/>
        <v>747</v>
      </c>
    </row>
    <row r="5950" spans="1:22" x14ac:dyDescent="0.25">
      <c r="A5950" s="98" t="s">
        <v>69</v>
      </c>
      <c r="B5950" s="98" t="s">
        <v>105</v>
      </c>
      <c r="C5950" s="98">
        <v>24</v>
      </c>
      <c r="D5950" s="98">
        <v>360</v>
      </c>
      <c r="E5950" s="157">
        <v>41788.96875</v>
      </c>
      <c r="F5950" s="157">
        <v>41791.575694444444</v>
      </c>
      <c r="G5950" s="98">
        <v>430</v>
      </c>
      <c r="H5950" s="98">
        <v>795</v>
      </c>
      <c r="I5950" s="98">
        <v>747</v>
      </c>
      <c r="J5950" s="98" t="s">
        <v>229</v>
      </c>
      <c r="K5950" s="98" t="s">
        <v>1929</v>
      </c>
      <c r="L5950" s="105" t="str">
        <f t="shared" si="980"/>
        <v>Trimble</v>
      </c>
      <c r="M5950" s="105" t="str">
        <f t="shared" si="981"/>
        <v>Derate</v>
      </c>
      <c r="N5950" s="105" t="str">
        <f t="shared" si="982"/>
        <v>Coal</v>
      </c>
      <c r="O5950" s="105">
        <f>IFERROR(VLOOKUP(A5950,Lookup!$J$5:$P$19,7,FALSE),0)</f>
        <v>3</v>
      </c>
      <c r="P5950" s="159">
        <f t="shared" si="983"/>
        <v>2014</v>
      </c>
      <c r="Q5950" s="159">
        <f t="shared" si="984"/>
        <v>5</v>
      </c>
      <c r="R5950" s="160">
        <f t="shared" si="985"/>
        <v>62.566666666651145</v>
      </c>
      <c r="S5950" s="158">
        <f t="shared" si="986"/>
        <v>28.725576519909016</v>
      </c>
      <c r="T5950" s="161">
        <f t="shared" si="987"/>
        <v>21458.005660372033</v>
      </c>
      <c r="U5950" s="158">
        <f t="shared" si="989"/>
        <v>342.96226415094338</v>
      </c>
      <c r="V5950" s="160">
        <f t="shared" si="988"/>
        <v>343</v>
      </c>
    </row>
    <row r="5951" spans="1:22" x14ac:dyDescent="0.25">
      <c r="A5951" s="98" t="s">
        <v>69</v>
      </c>
      <c r="B5951" s="98" t="s">
        <v>15</v>
      </c>
      <c r="C5951" s="98">
        <v>25</v>
      </c>
      <c r="D5951" s="98">
        <v>3853</v>
      </c>
      <c r="E5951" s="157">
        <v>41791.575694444444</v>
      </c>
      <c r="F5951" s="157">
        <v>41792.138888888891</v>
      </c>
      <c r="G5951" s="98">
        <v>0</v>
      </c>
      <c r="H5951" s="98">
        <v>795</v>
      </c>
      <c r="I5951" s="98">
        <v>747</v>
      </c>
      <c r="J5951" s="98" t="s">
        <v>2981</v>
      </c>
      <c r="K5951" s="98" t="s">
        <v>1930</v>
      </c>
      <c r="L5951" s="105" t="str">
        <f t="shared" si="980"/>
        <v>Trimble</v>
      </c>
      <c r="M5951" s="105" t="str">
        <f t="shared" si="981"/>
        <v>Outage</v>
      </c>
      <c r="N5951" s="105" t="str">
        <f t="shared" si="982"/>
        <v>Coal</v>
      </c>
      <c r="O5951" s="105">
        <f>IFERROR(VLOOKUP(A5951,Lookup!$J$5:$P$19,7,FALSE),0)</f>
        <v>3</v>
      </c>
      <c r="P5951" s="159">
        <f t="shared" si="983"/>
        <v>2014</v>
      </c>
      <c r="Q5951" s="159">
        <f t="shared" si="984"/>
        <v>6</v>
      </c>
      <c r="R5951" s="160">
        <f t="shared" si="985"/>
        <v>13.516666666720994</v>
      </c>
      <c r="S5951" s="158">
        <f t="shared" si="986"/>
        <v>13.516666666720994</v>
      </c>
      <c r="T5951" s="161">
        <f t="shared" si="987"/>
        <v>10096.950000040582</v>
      </c>
      <c r="U5951" s="158">
        <f t="shared" si="989"/>
        <v>747</v>
      </c>
      <c r="V5951" s="160">
        <f t="shared" si="988"/>
        <v>747</v>
      </c>
    </row>
    <row r="5952" spans="1:22" x14ac:dyDescent="0.25">
      <c r="A5952" s="98" t="s">
        <v>69</v>
      </c>
      <c r="B5952" s="98" t="s">
        <v>18</v>
      </c>
      <c r="C5952" s="98">
        <v>26</v>
      </c>
      <c r="D5952" s="98">
        <v>1455</v>
      </c>
      <c r="E5952" s="157">
        <v>41792.138888888891</v>
      </c>
      <c r="F5952" s="157">
        <v>41792.833333333336</v>
      </c>
      <c r="G5952" s="98">
        <v>0</v>
      </c>
      <c r="H5952" s="98">
        <v>795</v>
      </c>
      <c r="I5952" s="98">
        <v>747</v>
      </c>
      <c r="J5952" s="98" t="s">
        <v>1990</v>
      </c>
      <c r="K5952" s="98" t="s">
        <v>1931</v>
      </c>
      <c r="L5952" s="105" t="str">
        <f t="shared" si="980"/>
        <v>Trimble</v>
      </c>
      <c r="M5952" s="105" t="str">
        <f t="shared" si="981"/>
        <v>Outage</v>
      </c>
      <c r="N5952" s="105" t="str">
        <f t="shared" si="982"/>
        <v>Coal</v>
      </c>
      <c r="O5952" s="105">
        <f>IFERROR(VLOOKUP(A5952,Lookup!$J$5:$P$19,7,FALSE),0)</f>
        <v>3</v>
      </c>
      <c r="P5952" s="159">
        <f t="shared" si="983"/>
        <v>2014</v>
      </c>
      <c r="Q5952" s="159">
        <f t="shared" si="984"/>
        <v>6</v>
      </c>
      <c r="R5952" s="160">
        <f t="shared" si="985"/>
        <v>16.666666666686069</v>
      </c>
      <c r="S5952" s="158">
        <f t="shared" si="986"/>
        <v>16.666666666686069</v>
      </c>
      <c r="T5952" s="161">
        <f t="shared" si="987"/>
        <v>12450.000000014494</v>
      </c>
      <c r="U5952" s="158">
        <f t="shared" si="989"/>
        <v>747</v>
      </c>
      <c r="V5952" s="160">
        <f t="shared" si="988"/>
        <v>747</v>
      </c>
    </row>
    <row r="5953" spans="1:22" x14ac:dyDescent="0.25">
      <c r="A5953" s="98" t="s">
        <v>69</v>
      </c>
      <c r="B5953" s="98" t="s">
        <v>17</v>
      </c>
      <c r="C5953" s="98">
        <v>27</v>
      </c>
      <c r="D5953" s="98">
        <v>3441</v>
      </c>
      <c r="E5953" s="157">
        <v>41793.25</v>
      </c>
      <c r="F5953" s="157">
        <v>41793.291666666664</v>
      </c>
      <c r="G5953" s="98">
        <v>724</v>
      </c>
      <c r="H5953" s="98">
        <v>795</v>
      </c>
      <c r="I5953" s="98">
        <v>747</v>
      </c>
      <c r="J5953" s="98" t="s">
        <v>2282</v>
      </c>
      <c r="K5953" s="98" t="s">
        <v>1932</v>
      </c>
      <c r="L5953" s="105" t="str">
        <f t="shared" ref="L5953:L6016" si="990">IF(OR(A5953="BR1",A5953="BR2",A5953="BR3",A5953="BR5",A5953="BR6",A5953="BR7",A5953="BR8",A5953="BR9",A5953="BR10",A5953="BR11"),"Brown",IF(OR(A5953="CR4",A5953="CR5",A5953="CR6",A5953="CR11"),"Cane Run",IF(OR(A5953="GH1",A5953="GH2",A5953="GH3",A5953="GH4"),"Ghent",IF(OR(A5953="GR3",A5953="GR4"),"Green River",IF(OR(A5953="MC1",A5953="MC2",A5953="MC3",A5953="MC4"),"Mill Creek",IF(OR(A5953="TC1",A5953="TC2",A5953="TC5",A5953="TC6",A5953="TC7",A5953="TC8",A5953="TC9",A5953="TC10"),"Trimble",IF(A5953="TY3","Tyrone",IF(OR(A5953="HA1",A5953="HA2",A5953="HA3"),"Haeflin",IF(OR(A5953="PR11",A5953="PR12",A5953="PR13"),"Paddy's Run","Zorn")))))))))</f>
        <v>Trimble</v>
      </c>
      <c r="M5953" s="105" t="str">
        <f t="shared" ref="M5953:M6016" si="991">IF(OR(B5953="D1",B5953="D2",B5953="D3",B5953="D4",B5953="PD"),"Derate",IF(OR(B5953="SF",B5953="U1",B5953="U2",B5953="U3"),"Outage",IF(OR(B5953="ME",B5953="MO"),"Maintenance","Other")))</f>
        <v>Derate</v>
      </c>
      <c r="N5953" s="105" t="str">
        <f t="shared" ref="N5953:N6016" si="992">IF(OR(A5953="BR1",A5953="BR2",A5953="BR3",A5953="CR4",A5953="CR5",A5953="CR6",A5953="GH1",A5953="GH2",A5953="GH3",A5953="GH4",A5953="GR3",A5953="GR4",A5953="MC1",A5953="MC2",A5953="MC3",A5953="MC4",A5953="TC1",A5953="TC2",A5953="TY3"),"Coal","Gas")</f>
        <v>Coal</v>
      </c>
      <c r="O5953" s="105">
        <f>IFERROR(VLOOKUP(A5953,Lookup!$J$5:$P$19,7,FALSE),0)</f>
        <v>3</v>
      </c>
      <c r="P5953" s="159">
        <f t="shared" ref="P5953:P6016" si="993">YEAR(E5953)</f>
        <v>2014</v>
      </c>
      <c r="Q5953" s="159">
        <f t="shared" ref="Q5953:Q6016" si="994">MONTH(E5953)</f>
        <v>6</v>
      </c>
      <c r="R5953" s="160">
        <f t="shared" ref="R5953:R6016" si="995">(F5953-E5953)*24</f>
        <v>0.99999999994179234</v>
      </c>
      <c r="S5953" s="158">
        <f t="shared" ref="S5953:S6016" si="996">R5953*(H5953-G5953)/H5953</f>
        <v>8.9308176095430514E-2</v>
      </c>
      <c r="T5953" s="161">
        <f t="shared" ref="T5953:T6016" si="997">S5953*I5953</f>
        <v>66.7132075432866</v>
      </c>
      <c r="U5953" s="158">
        <f t="shared" si="989"/>
        <v>66.713207547169816</v>
      </c>
      <c r="V5953" s="160">
        <f t="shared" ref="V5953:V6016" si="998">ROUND(U5953,0)</f>
        <v>67</v>
      </c>
    </row>
    <row r="5954" spans="1:22" x14ac:dyDescent="0.25">
      <c r="A5954" s="98" t="s">
        <v>69</v>
      </c>
      <c r="B5954" s="98" t="s">
        <v>105</v>
      </c>
      <c r="C5954" s="98">
        <v>28</v>
      </c>
      <c r="D5954" s="98">
        <v>1710</v>
      </c>
      <c r="E5954" s="157">
        <v>41793.545138888891</v>
      </c>
      <c r="F5954" s="157">
        <v>41794</v>
      </c>
      <c r="G5954" s="98">
        <v>774</v>
      </c>
      <c r="H5954" s="98">
        <v>795</v>
      </c>
      <c r="I5954" s="98">
        <v>747</v>
      </c>
      <c r="J5954" s="98" t="s">
        <v>2020</v>
      </c>
      <c r="K5954" s="98" t="s">
        <v>1933</v>
      </c>
      <c r="L5954" s="105" t="str">
        <f t="shared" si="990"/>
        <v>Trimble</v>
      </c>
      <c r="M5954" s="105" t="str">
        <f t="shared" si="991"/>
        <v>Derate</v>
      </c>
      <c r="N5954" s="105" t="str">
        <f t="shared" si="992"/>
        <v>Coal</v>
      </c>
      <c r="O5954" s="105">
        <f>IFERROR(VLOOKUP(A5954,Lookup!$J$5:$P$19,7,FALSE),0)</f>
        <v>3</v>
      </c>
      <c r="P5954" s="159">
        <f t="shared" si="993"/>
        <v>2014</v>
      </c>
      <c r="Q5954" s="159">
        <f t="shared" si="994"/>
        <v>6</v>
      </c>
      <c r="R5954" s="160">
        <f t="shared" si="995"/>
        <v>10.916666666627862</v>
      </c>
      <c r="S5954" s="158">
        <f t="shared" si="996"/>
        <v>0.28836477987318881</v>
      </c>
      <c r="T5954" s="161">
        <f t="shared" si="997"/>
        <v>215.40849056527205</v>
      </c>
      <c r="U5954" s="158">
        <f t="shared" ref="U5954:U6017" si="999">IF(G5954&gt;0,MAX((H5954-G5954),0)*I5954/H5954,I5954)</f>
        <v>19.732075471698113</v>
      </c>
      <c r="V5954" s="160">
        <f t="shared" si="998"/>
        <v>20</v>
      </c>
    </row>
    <row r="5955" spans="1:22" x14ac:dyDescent="0.25">
      <c r="A5955" s="98" t="s">
        <v>69</v>
      </c>
      <c r="B5955" s="98" t="s">
        <v>79</v>
      </c>
      <c r="C5955" s="98">
        <v>29</v>
      </c>
      <c r="D5955" s="98">
        <v>1190</v>
      </c>
      <c r="E5955" s="157">
        <v>41797.916666666664</v>
      </c>
      <c r="F5955" s="157">
        <v>41798.395833333336</v>
      </c>
      <c r="G5955" s="98">
        <v>0</v>
      </c>
      <c r="H5955" s="98">
        <v>795</v>
      </c>
      <c r="I5955" s="98">
        <v>747</v>
      </c>
      <c r="J5955" s="98" t="s">
        <v>2007</v>
      </c>
      <c r="K5955" s="98" t="s">
        <v>1934</v>
      </c>
      <c r="L5955" s="105" t="str">
        <f t="shared" si="990"/>
        <v>Trimble</v>
      </c>
      <c r="M5955" s="105" t="str">
        <f t="shared" si="991"/>
        <v>Other</v>
      </c>
      <c r="N5955" s="105" t="str">
        <f t="shared" si="992"/>
        <v>Coal</v>
      </c>
      <c r="O5955" s="105">
        <f>IFERROR(VLOOKUP(A5955,Lookup!$J$5:$P$19,7,FALSE),0)</f>
        <v>3</v>
      </c>
      <c r="P5955" s="159">
        <f t="shared" si="993"/>
        <v>2014</v>
      </c>
      <c r="Q5955" s="159">
        <f t="shared" si="994"/>
        <v>6</v>
      </c>
      <c r="R5955" s="160">
        <f t="shared" si="995"/>
        <v>11.500000000116415</v>
      </c>
      <c r="S5955" s="158">
        <f t="shared" si="996"/>
        <v>11.500000000116415</v>
      </c>
      <c r="T5955" s="161">
        <f t="shared" si="997"/>
        <v>8590.5000000869622</v>
      </c>
      <c r="U5955" s="158">
        <f t="shared" si="999"/>
        <v>747</v>
      </c>
      <c r="V5955" s="160">
        <f t="shared" si="998"/>
        <v>747</v>
      </c>
    </row>
    <row r="5956" spans="1:22" x14ac:dyDescent="0.25">
      <c r="A5956" s="98" t="s">
        <v>69</v>
      </c>
      <c r="B5956" s="98" t="s">
        <v>17</v>
      </c>
      <c r="C5956" s="98">
        <v>30</v>
      </c>
      <c r="D5956" s="98">
        <v>9610</v>
      </c>
      <c r="E5956" s="157">
        <v>41799.791666666664</v>
      </c>
      <c r="F5956" s="157">
        <v>41799.833333333336</v>
      </c>
      <c r="G5956" s="98">
        <v>681</v>
      </c>
      <c r="H5956" s="98">
        <v>795</v>
      </c>
      <c r="I5956" s="98">
        <v>747</v>
      </c>
      <c r="J5956" s="98" t="s">
        <v>3087</v>
      </c>
      <c r="K5956" s="98" t="s">
        <v>1935</v>
      </c>
      <c r="L5956" s="105" t="str">
        <f t="shared" si="990"/>
        <v>Trimble</v>
      </c>
      <c r="M5956" s="105" t="str">
        <f t="shared" si="991"/>
        <v>Derate</v>
      </c>
      <c r="N5956" s="105" t="str">
        <f t="shared" si="992"/>
        <v>Coal</v>
      </c>
      <c r="O5956" s="105">
        <f>IFERROR(VLOOKUP(A5956,Lookup!$J$5:$P$19,7,FALSE),0)</f>
        <v>3</v>
      </c>
      <c r="P5956" s="159">
        <f t="shared" si="993"/>
        <v>2014</v>
      </c>
      <c r="Q5956" s="159">
        <f t="shared" si="994"/>
        <v>6</v>
      </c>
      <c r="R5956" s="160">
        <f t="shared" si="995"/>
        <v>1.0000000001164153</v>
      </c>
      <c r="S5956" s="158">
        <f t="shared" si="996"/>
        <v>0.14339622643178787</v>
      </c>
      <c r="T5956" s="161">
        <f t="shared" si="997"/>
        <v>107.11698114454553</v>
      </c>
      <c r="U5956" s="158">
        <f t="shared" si="999"/>
        <v>107.11698113207547</v>
      </c>
      <c r="V5956" s="160">
        <f t="shared" si="998"/>
        <v>107</v>
      </c>
    </row>
    <row r="5957" spans="1:22" x14ac:dyDescent="0.25">
      <c r="A5957" s="98" t="s">
        <v>69</v>
      </c>
      <c r="B5957" s="98" t="s">
        <v>17</v>
      </c>
      <c r="C5957" s="98">
        <v>31</v>
      </c>
      <c r="D5957" s="98">
        <v>1100</v>
      </c>
      <c r="E5957" s="157">
        <v>41800.375</v>
      </c>
      <c r="F5957" s="157">
        <v>41800.552083333336</v>
      </c>
      <c r="G5957" s="98">
        <v>650</v>
      </c>
      <c r="H5957" s="98">
        <v>795</v>
      </c>
      <c r="I5957" s="98">
        <v>747</v>
      </c>
      <c r="J5957" s="98" t="s">
        <v>2038</v>
      </c>
      <c r="K5957" s="98" t="s">
        <v>1936</v>
      </c>
      <c r="L5957" s="105" t="str">
        <f t="shared" si="990"/>
        <v>Trimble</v>
      </c>
      <c r="M5957" s="105" t="str">
        <f t="shared" si="991"/>
        <v>Derate</v>
      </c>
      <c r="N5957" s="105" t="str">
        <f t="shared" si="992"/>
        <v>Coal</v>
      </c>
      <c r="O5957" s="105">
        <f>IFERROR(VLOOKUP(A5957,Lookup!$J$5:$P$19,7,FALSE),0)</f>
        <v>3</v>
      </c>
      <c r="P5957" s="159">
        <f t="shared" si="993"/>
        <v>2014</v>
      </c>
      <c r="Q5957" s="159">
        <f t="shared" si="994"/>
        <v>6</v>
      </c>
      <c r="R5957" s="160">
        <f t="shared" si="995"/>
        <v>4.2500000000582077</v>
      </c>
      <c r="S5957" s="158">
        <f t="shared" si="996"/>
        <v>0.77515723271501902</v>
      </c>
      <c r="T5957" s="161">
        <f t="shared" si="997"/>
        <v>579.04245283811917</v>
      </c>
      <c r="U5957" s="158">
        <f t="shared" si="999"/>
        <v>136.24528301886792</v>
      </c>
      <c r="V5957" s="160">
        <f t="shared" si="998"/>
        <v>136</v>
      </c>
    </row>
    <row r="5958" spans="1:22" x14ac:dyDescent="0.25">
      <c r="A5958" s="98" t="s">
        <v>69</v>
      </c>
      <c r="B5958" s="98" t="s">
        <v>17</v>
      </c>
      <c r="C5958" s="98">
        <v>32</v>
      </c>
      <c r="D5958" s="98">
        <v>380</v>
      </c>
      <c r="E5958" s="157">
        <v>41800.552083333336</v>
      </c>
      <c r="F5958" s="157">
        <v>41800.666666666664</v>
      </c>
      <c r="G5958" s="98">
        <v>659</v>
      </c>
      <c r="H5958" s="98">
        <v>795</v>
      </c>
      <c r="I5958" s="98">
        <v>747</v>
      </c>
      <c r="J5958" s="98" t="s">
        <v>2017</v>
      </c>
      <c r="K5958" s="98" t="s">
        <v>1937</v>
      </c>
      <c r="L5958" s="105" t="str">
        <f t="shared" si="990"/>
        <v>Trimble</v>
      </c>
      <c r="M5958" s="105" t="str">
        <f t="shared" si="991"/>
        <v>Derate</v>
      </c>
      <c r="N5958" s="105" t="str">
        <f t="shared" si="992"/>
        <v>Coal</v>
      </c>
      <c r="O5958" s="105">
        <f>IFERROR(VLOOKUP(A5958,Lookup!$J$5:$P$19,7,FALSE),0)</f>
        <v>3</v>
      </c>
      <c r="P5958" s="159">
        <f t="shared" si="993"/>
        <v>2014</v>
      </c>
      <c r="Q5958" s="159">
        <f t="shared" si="994"/>
        <v>6</v>
      </c>
      <c r="R5958" s="160">
        <f t="shared" si="995"/>
        <v>2.7499999998835847</v>
      </c>
      <c r="S5958" s="158">
        <f t="shared" si="996"/>
        <v>0.47044025155241198</v>
      </c>
      <c r="T5958" s="161">
        <f t="shared" si="997"/>
        <v>351.41886790965174</v>
      </c>
      <c r="U5958" s="158">
        <f t="shared" si="999"/>
        <v>127.78867924528302</v>
      </c>
      <c r="V5958" s="160">
        <f t="shared" si="998"/>
        <v>128</v>
      </c>
    </row>
    <row r="5959" spans="1:22" x14ac:dyDescent="0.25">
      <c r="A5959" s="98" t="s">
        <v>69</v>
      </c>
      <c r="B5959" s="98" t="s">
        <v>17</v>
      </c>
      <c r="C5959" s="98">
        <v>33</v>
      </c>
      <c r="D5959" s="98">
        <v>9616</v>
      </c>
      <c r="E5959" s="157">
        <v>41804.15</v>
      </c>
      <c r="F5959" s="157">
        <v>41805.000694444447</v>
      </c>
      <c r="G5959" s="98">
        <v>681</v>
      </c>
      <c r="H5959" s="98">
        <v>795</v>
      </c>
      <c r="I5959" s="98">
        <v>747</v>
      </c>
      <c r="J5959" s="98" t="s">
        <v>3088</v>
      </c>
      <c r="K5959" s="98" t="s">
        <v>1938</v>
      </c>
      <c r="L5959" s="105" t="str">
        <f t="shared" si="990"/>
        <v>Trimble</v>
      </c>
      <c r="M5959" s="105" t="str">
        <f t="shared" si="991"/>
        <v>Derate</v>
      </c>
      <c r="N5959" s="105" t="str">
        <f t="shared" si="992"/>
        <v>Coal</v>
      </c>
      <c r="O5959" s="105">
        <f>IFERROR(VLOOKUP(A5959,Lookup!$J$5:$P$19,7,FALSE),0)</f>
        <v>3</v>
      </c>
      <c r="P5959" s="159">
        <f t="shared" si="993"/>
        <v>2014</v>
      </c>
      <c r="Q5959" s="159">
        <f t="shared" si="994"/>
        <v>6</v>
      </c>
      <c r="R5959" s="160">
        <f t="shared" si="995"/>
        <v>20.416666666686069</v>
      </c>
      <c r="S5959" s="158">
        <f t="shared" si="996"/>
        <v>2.9276729559776249</v>
      </c>
      <c r="T5959" s="161">
        <f t="shared" si="997"/>
        <v>2186.971698115286</v>
      </c>
      <c r="U5959" s="158">
        <f t="shared" si="999"/>
        <v>107.11698113207547</v>
      </c>
      <c r="V5959" s="160">
        <f t="shared" si="998"/>
        <v>107</v>
      </c>
    </row>
    <row r="5960" spans="1:22" x14ac:dyDescent="0.25">
      <c r="A5960" s="98" t="s">
        <v>69</v>
      </c>
      <c r="B5960" s="98" t="s">
        <v>79</v>
      </c>
      <c r="C5960" s="98">
        <v>34</v>
      </c>
      <c r="D5960" s="98">
        <v>1190</v>
      </c>
      <c r="E5960" s="157">
        <v>41805.000694444447</v>
      </c>
      <c r="F5960" s="157">
        <v>41805.409722222219</v>
      </c>
      <c r="G5960" s="98">
        <v>0</v>
      </c>
      <c r="H5960" s="98">
        <v>795</v>
      </c>
      <c r="I5960" s="98">
        <v>747</v>
      </c>
      <c r="J5960" s="98" t="s">
        <v>2007</v>
      </c>
      <c r="K5960" s="98" t="s">
        <v>1939</v>
      </c>
      <c r="L5960" s="105" t="str">
        <f t="shared" si="990"/>
        <v>Trimble</v>
      </c>
      <c r="M5960" s="105" t="str">
        <f t="shared" si="991"/>
        <v>Other</v>
      </c>
      <c r="N5960" s="105" t="str">
        <f t="shared" si="992"/>
        <v>Coal</v>
      </c>
      <c r="O5960" s="105">
        <f>IFERROR(VLOOKUP(A5960,Lookup!$J$5:$P$19,7,FALSE),0)</f>
        <v>3</v>
      </c>
      <c r="P5960" s="159">
        <f t="shared" si="993"/>
        <v>2014</v>
      </c>
      <c r="Q5960" s="159">
        <f t="shared" si="994"/>
        <v>6</v>
      </c>
      <c r="R5960" s="160">
        <f t="shared" si="995"/>
        <v>9.8166666665347293</v>
      </c>
      <c r="S5960" s="158">
        <f t="shared" si="996"/>
        <v>9.8166666665347293</v>
      </c>
      <c r="T5960" s="161">
        <f t="shared" si="997"/>
        <v>7333.0499999014428</v>
      </c>
      <c r="U5960" s="158">
        <f t="shared" si="999"/>
        <v>747</v>
      </c>
      <c r="V5960" s="160">
        <f t="shared" si="998"/>
        <v>747</v>
      </c>
    </row>
    <row r="5961" spans="1:22" x14ac:dyDescent="0.25">
      <c r="A5961" s="98" t="s">
        <v>69</v>
      </c>
      <c r="B5961" s="98" t="s">
        <v>17</v>
      </c>
      <c r="C5961" s="98">
        <v>35</v>
      </c>
      <c r="D5961" s="98">
        <v>9616</v>
      </c>
      <c r="E5961" s="157">
        <v>41805.409722222219</v>
      </c>
      <c r="F5961" s="157">
        <v>41805.541666666664</v>
      </c>
      <c r="G5961" s="98">
        <v>681</v>
      </c>
      <c r="H5961" s="98">
        <v>795</v>
      </c>
      <c r="I5961" s="98">
        <v>747</v>
      </c>
      <c r="J5961" s="98" t="s">
        <v>3088</v>
      </c>
      <c r="K5961" s="98" t="s">
        <v>1940</v>
      </c>
      <c r="L5961" s="105" t="str">
        <f t="shared" si="990"/>
        <v>Trimble</v>
      </c>
      <c r="M5961" s="105" t="str">
        <f t="shared" si="991"/>
        <v>Derate</v>
      </c>
      <c r="N5961" s="105" t="str">
        <f t="shared" si="992"/>
        <v>Coal</v>
      </c>
      <c r="O5961" s="105">
        <f>IFERROR(VLOOKUP(A5961,Lookup!$J$5:$P$19,7,FALSE),0)</f>
        <v>3</v>
      </c>
      <c r="P5961" s="159">
        <f t="shared" si="993"/>
        <v>2014</v>
      </c>
      <c r="Q5961" s="159">
        <f t="shared" si="994"/>
        <v>6</v>
      </c>
      <c r="R5961" s="160">
        <f t="shared" si="995"/>
        <v>3.1666666666860692</v>
      </c>
      <c r="S5961" s="158">
        <f t="shared" si="996"/>
        <v>0.45408805031724764</v>
      </c>
      <c r="T5961" s="161">
        <f t="shared" si="997"/>
        <v>339.20377358698397</v>
      </c>
      <c r="U5961" s="158">
        <f t="shared" si="999"/>
        <v>107.11698113207547</v>
      </c>
      <c r="V5961" s="160">
        <f t="shared" si="998"/>
        <v>107</v>
      </c>
    </row>
    <row r="5962" spans="1:22" x14ac:dyDescent="0.25">
      <c r="A5962" s="98" t="s">
        <v>69</v>
      </c>
      <c r="B5962" s="98" t="s">
        <v>17</v>
      </c>
      <c r="C5962" s="98">
        <v>36</v>
      </c>
      <c r="D5962" s="98">
        <v>9616</v>
      </c>
      <c r="E5962" s="157">
        <v>41805.541666666664</v>
      </c>
      <c r="F5962" s="157">
        <v>41805.75</v>
      </c>
      <c r="G5962" s="98">
        <v>659</v>
      </c>
      <c r="H5962" s="98">
        <v>795</v>
      </c>
      <c r="I5962" s="98">
        <v>747</v>
      </c>
      <c r="J5962" s="98" t="s">
        <v>3088</v>
      </c>
      <c r="K5962" s="98" t="s">
        <v>1940</v>
      </c>
      <c r="L5962" s="105" t="str">
        <f t="shared" si="990"/>
        <v>Trimble</v>
      </c>
      <c r="M5962" s="105" t="str">
        <f t="shared" si="991"/>
        <v>Derate</v>
      </c>
      <c r="N5962" s="105" t="str">
        <f t="shared" si="992"/>
        <v>Coal</v>
      </c>
      <c r="O5962" s="105">
        <f>IFERROR(VLOOKUP(A5962,Lookup!$J$5:$P$19,7,FALSE),0)</f>
        <v>3</v>
      </c>
      <c r="P5962" s="159">
        <f t="shared" si="993"/>
        <v>2014</v>
      </c>
      <c r="Q5962" s="159">
        <f t="shared" si="994"/>
        <v>6</v>
      </c>
      <c r="R5962" s="160">
        <f t="shared" si="995"/>
        <v>5.0000000000582077</v>
      </c>
      <c r="S5962" s="158">
        <f t="shared" si="996"/>
        <v>0.85534591195964305</v>
      </c>
      <c r="T5962" s="161">
        <f t="shared" si="997"/>
        <v>638.94339623385338</v>
      </c>
      <c r="U5962" s="158">
        <f t="shared" si="999"/>
        <v>127.78867924528302</v>
      </c>
      <c r="V5962" s="160">
        <f t="shared" si="998"/>
        <v>128</v>
      </c>
    </row>
    <row r="5963" spans="1:22" x14ac:dyDescent="0.25">
      <c r="A5963" s="98" t="s">
        <v>69</v>
      </c>
      <c r="B5963" s="98" t="s">
        <v>105</v>
      </c>
      <c r="C5963" s="98">
        <v>37</v>
      </c>
      <c r="D5963" s="98">
        <v>9616</v>
      </c>
      <c r="E5963" s="157">
        <v>41805.75</v>
      </c>
      <c r="F5963" s="157">
        <v>41806.875</v>
      </c>
      <c r="G5963" s="98">
        <v>681</v>
      </c>
      <c r="H5963" s="98">
        <v>795</v>
      </c>
      <c r="I5963" s="98">
        <v>747</v>
      </c>
      <c r="J5963" s="98" t="s">
        <v>3088</v>
      </c>
      <c r="K5963" s="98" t="s">
        <v>1941</v>
      </c>
      <c r="L5963" s="105" t="str">
        <f t="shared" si="990"/>
        <v>Trimble</v>
      </c>
      <c r="M5963" s="105" t="str">
        <f t="shared" si="991"/>
        <v>Derate</v>
      </c>
      <c r="N5963" s="105" t="str">
        <f t="shared" si="992"/>
        <v>Coal</v>
      </c>
      <c r="O5963" s="105">
        <f>IFERROR(VLOOKUP(A5963,Lookup!$J$5:$P$19,7,FALSE),0)</f>
        <v>3</v>
      </c>
      <c r="P5963" s="159">
        <f t="shared" si="993"/>
        <v>2014</v>
      </c>
      <c r="Q5963" s="159">
        <f t="shared" si="994"/>
        <v>6</v>
      </c>
      <c r="R5963" s="160">
        <f t="shared" si="995"/>
        <v>27</v>
      </c>
      <c r="S5963" s="158">
        <f t="shared" si="996"/>
        <v>3.8716981132075472</v>
      </c>
      <c r="T5963" s="161">
        <f t="shared" si="997"/>
        <v>2892.1584905660379</v>
      </c>
      <c r="U5963" s="158">
        <f t="shared" si="999"/>
        <v>107.11698113207547</v>
      </c>
      <c r="V5963" s="160">
        <f t="shared" si="998"/>
        <v>107</v>
      </c>
    </row>
    <row r="5964" spans="1:22" x14ac:dyDescent="0.25">
      <c r="A5964" s="98" t="s">
        <v>69</v>
      </c>
      <c r="B5964" s="98" t="s">
        <v>17</v>
      </c>
      <c r="C5964" s="98">
        <v>38</v>
      </c>
      <c r="D5964" s="98">
        <v>385</v>
      </c>
      <c r="E5964" s="157">
        <v>41814.229166666664</v>
      </c>
      <c r="F5964" s="157">
        <v>41814.4375</v>
      </c>
      <c r="G5964" s="98">
        <v>740</v>
      </c>
      <c r="H5964" s="98">
        <v>795</v>
      </c>
      <c r="I5964" s="98">
        <v>747</v>
      </c>
      <c r="J5964" s="98" t="s">
        <v>228</v>
      </c>
      <c r="K5964" s="98" t="s">
        <v>1942</v>
      </c>
      <c r="L5964" s="105" t="str">
        <f t="shared" si="990"/>
        <v>Trimble</v>
      </c>
      <c r="M5964" s="105" t="str">
        <f t="shared" si="991"/>
        <v>Derate</v>
      </c>
      <c r="N5964" s="105" t="str">
        <f t="shared" si="992"/>
        <v>Coal</v>
      </c>
      <c r="O5964" s="105">
        <f>IFERROR(VLOOKUP(A5964,Lookup!$J$5:$P$19,7,FALSE),0)</f>
        <v>3</v>
      </c>
      <c r="P5964" s="159">
        <f t="shared" si="993"/>
        <v>2014</v>
      </c>
      <c r="Q5964" s="159">
        <f t="shared" si="994"/>
        <v>6</v>
      </c>
      <c r="R5964" s="160">
        <f t="shared" si="995"/>
        <v>5.0000000000582077</v>
      </c>
      <c r="S5964" s="158">
        <f t="shared" si="996"/>
        <v>0.34591194968956152</v>
      </c>
      <c r="T5964" s="161">
        <f t="shared" si="997"/>
        <v>258.39622641810246</v>
      </c>
      <c r="U5964" s="158">
        <f t="shared" si="999"/>
        <v>51.679245283018865</v>
      </c>
      <c r="V5964" s="160">
        <f t="shared" si="998"/>
        <v>52</v>
      </c>
    </row>
    <row r="5965" spans="1:22" x14ac:dyDescent="0.25">
      <c r="A5965" s="98" t="s">
        <v>69</v>
      </c>
      <c r="B5965" s="98" t="s">
        <v>79</v>
      </c>
      <c r="C5965" s="98">
        <v>39</v>
      </c>
      <c r="D5965" s="98">
        <v>1190</v>
      </c>
      <c r="E5965" s="157">
        <v>41815.958333333336</v>
      </c>
      <c r="F5965" s="157">
        <v>41816.208333333336</v>
      </c>
      <c r="G5965" s="98">
        <v>0</v>
      </c>
      <c r="H5965" s="98">
        <v>795</v>
      </c>
      <c r="I5965" s="98">
        <v>747</v>
      </c>
      <c r="J5965" s="98" t="s">
        <v>2007</v>
      </c>
      <c r="K5965" s="98" t="s">
        <v>1943</v>
      </c>
      <c r="L5965" s="105" t="str">
        <f t="shared" si="990"/>
        <v>Trimble</v>
      </c>
      <c r="M5965" s="105" t="str">
        <f t="shared" si="991"/>
        <v>Other</v>
      </c>
      <c r="N5965" s="105" t="str">
        <f t="shared" si="992"/>
        <v>Coal</v>
      </c>
      <c r="O5965" s="105">
        <f>IFERROR(VLOOKUP(A5965,Lookup!$J$5:$P$19,7,FALSE),0)</f>
        <v>3</v>
      </c>
      <c r="P5965" s="159">
        <f t="shared" si="993"/>
        <v>2014</v>
      </c>
      <c r="Q5965" s="159">
        <f t="shared" si="994"/>
        <v>6</v>
      </c>
      <c r="R5965" s="160">
        <f t="shared" si="995"/>
        <v>6</v>
      </c>
      <c r="S5965" s="158">
        <f t="shared" si="996"/>
        <v>6</v>
      </c>
      <c r="T5965" s="161">
        <f t="shared" si="997"/>
        <v>4482</v>
      </c>
      <c r="U5965" s="158">
        <f t="shared" si="999"/>
        <v>747</v>
      </c>
      <c r="V5965" s="160">
        <f t="shared" si="998"/>
        <v>747</v>
      </c>
    </row>
    <row r="5966" spans="1:22" x14ac:dyDescent="0.25">
      <c r="A5966" s="98" t="s">
        <v>69</v>
      </c>
      <c r="B5966" s="98" t="s">
        <v>17</v>
      </c>
      <c r="C5966" s="98">
        <v>40</v>
      </c>
      <c r="D5966" s="98">
        <v>310</v>
      </c>
      <c r="E5966" s="157">
        <v>41816.208333333336</v>
      </c>
      <c r="F5966" s="157">
        <v>41816.260416666664</v>
      </c>
      <c r="G5966" s="98">
        <v>449</v>
      </c>
      <c r="H5966" s="98">
        <v>795</v>
      </c>
      <c r="I5966" s="98">
        <v>747</v>
      </c>
      <c r="J5966" s="98" t="s">
        <v>1966</v>
      </c>
      <c r="K5966" s="98" t="s">
        <v>1944</v>
      </c>
      <c r="L5966" s="105" t="str">
        <f t="shared" si="990"/>
        <v>Trimble</v>
      </c>
      <c r="M5966" s="105" t="str">
        <f t="shared" si="991"/>
        <v>Derate</v>
      </c>
      <c r="N5966" s="105" t="str">
        <f t="shared" si="992"/>
        <v>Coal</v>
      </c>
      <c r="O5966" s="105">
        <f>IFERROR(VLOOKUP(A5966,Lookup!$J$5:$P$19,7,FALSE),0)</f>
        <v>3</v>
      </c>
      <c r="P5966" s="159">
        <f t="shared" si="993"/>
        <v>2014</v>
      </c>
      <c r="Q5966" s="159">
        <f t="shared" si="994"/>
        <v>6</v>
      </c>
      <c r="R5966" s="160">
        <f t="shared" si="995"/>
        <v>1.2499999998835847</v>
      </c>
      <c r="S5966" s="158">
        <f t="shared" si="996"/>
        <v>0.54402515718203814</v>
      </c>
      <c r="T5966" s="161">
        <f t="shared" si="997"/>
        <v>406.38679241498249</v>
      </c>
      <c r="U5966" s="158">
        <f t="shared" si="999"/>
        <v>325.10943396226418</v>
      </c>
      <c r="V5966" s="160">
        <f t="shared" si="998"/>
        <v>325</v>
      </c>
    </row>
    <row r="5967" spans="1:22" x14ac:dyDescent="0.25">
      <c r="A5967" s="98" t="s">
        <v>69</v>
      </c>
      <c r="B5967" s="98" t="s">
        <v>15</v>
      </c>
      <c r="C5967" s="98">
        <v>41</v>
      </c>
      <c r="D5967" s="98">
        <v>4299</v>
      </c>
      <c r="E5967" s="157">
        <v>41819.03125</v>
      </c>
      <c r="F5967" s="157">
        <v>41832.1875</v>
      </c>
      <c r="G5967" s="98">
        <v>0</v>
      </c>
      <c r="H5967" s="98">
        <v>795</v>
      </c>
      <c r="I5967" s="98">
        <v>747</v>
      </c>
      <c r="J5967" s="98" t="s">
        <v>2121</v>
      </c>
      <c r="K5967" s="98" t="s">
        <v>1945</v>
      </c>
      <c r="L5967" s="105" t="str">
        <f t="shared" si="990"/>
        <v>Trimble</v>
      </c>
      <c r="M5967" s="105" t="str">
        <f t="shared" si="991"/>
        <v>Outage</v>
      </c>
      <c r="N5967" s="105" t="str">
        <f t="shared" si="992"/>
        <v>Coal</v>
      </c>
      <c r="O5967" s="105">
        <f>IFERROR(VLOOKUP(A5967,Lookup!$J$5:$P$19,7,FALSE),0)</f>
        <v>3</v>
      </c>
      <c r="P5967" s="159">
        <f t="shared" si="993"/>
        <v>2014</v>
      </c>
      <c r="Q5967" s="159">
        <f t="shared" si="994"/>
        <v>6</v>
      </c>
      <c r="R5967" s="160">
        <f t="shared" si="995"/>
        <v>315.75</v>
      </c>
      <c r="S5967" s="158">
        <f t="shared" si="996"/>
        <v>315.75</v>
      </c>
      <c r="T5967" s="161">
        <f t="shared" si="997"/>
        <v>235865.25</v>
      </c>
      <c r="U5967" s="158">
        <f t="shared" si="999"/>
        <v>747</v>
      </c>
      <c r="V5967" s="160">
        <f t="shared" si="998"/>
        <v>747</v>
      </c>
    </row>
    <row r="5968" spans="1:22" x14ac:dyDescent="0.25">
      <c r="A5968" s="98" t="s">
        <v>69</v>
      </c>
      <c r="B5968" s="98" t="s">
        <v>18</v>
      </c>
      <c r="C5968" s="98">
        <v>42</v>
      </c>
      <c r="D5968" s="98">
        <v>4309</v>
      </c>
      <c r="E5968" s="157">
        <v>41832.1875</v>
      </c>
      <c r="F5968" s="157">
        <v>41832.734027777777</v>
      </c>
      <c r="G5968" s="98">
        <v>0</v>
      </c>
      <c r="H5968" s="98">
        <v>795</v>
      </c>
      <c r="I5968" s="98">
        <v>747</v>
      </c>
      <c r="J5968" s="98" t="s">
        <v>2266</v>
      </c>
      <c r="K5968" s="98" t="s">
        <v>3093</v>
      </c>
      <c r="L5968" s="105" t="str">
        <f t="shared" si="990"/>
        <v>Trimble</v>
      </c>
      <c r="M5968" s="105" t="str">
        <f t="shared" si="991"/>
        <v>Outage</v>
      </c>
      <c r="N5968" s="105" t="str">
        <f t="shared" si="992"/>
        <v>Coal</v>
      </c>
      <c r="O5968" s="105">
        <f>IFERROR(VLOOKUP(A5968,Lookup!$J$5:$P$19,7,FALSE),0)</f>
        <v>3</v>
      </c>
      <c r="P5968" s="159">
        <f t="shared" si="993"/>
        <v>2014</v>
      </c>
      <c r="Q5968" s="159">
        <f t="shared" si="994"/>
        <v>7</v>
      </c>
      <c r="R5968" s="160">
        <f t="shared" si="995"/>
        <v>13.116666666639503</v>
      </c>
      <c r="S5968" s="158">
        <f t="shared" si="996"/>
        <v>13.116666666639503</v>
      </c>
      <c r="T5968" s="161">
        <f t="shared" si="997"/>
        <v>9798.1499999797088</v>
      </c>
      <c r="U5968" s="158">
        <f t="shared" si="999"/>
        <v>747</v>
      </c>
      <c r="V5968" s="160">
        <f t="shared" si="998"/>
        <v>747</v>
      </c>
    </row>
    <row r="5969" spans="1:22" x14ac:dyDescent="0.25">
      <c r="A5969" s="98" t="s">
        <v>69</v>
      </c>
      <c r="B5969" s="98" t="s">
        <v>18</v>
      </c>
      <c r="C5969" s="98">
        <v>43</v>
      </c>
      <c r="D5969" s="98">
        <v>4309</v>
      </c>
      <c r="E5969" s="157">
        <v>41832.734027777777</v>
      </c>
      <c r="F5969" s="157">
        <v>41833.300000000003</v>
      </c>
      <c r="G5969" s="98">
        <v>0</v>
      </c>
      <c r="H5969" s="98">
        <v>795</v>
      </c>
      <c r="I5969" s="98">
        <v>747</v>
      </c>
      <c r="J5969" s="98" t="s">
        <v>2266</v>
      </c>
      <c r="K5969" s="98" t="s">
        <v>3094</v>
      </c>
      <c r="L5969" s="105" t="str">
        <f t="shared" si="990"/>
        <v>Trimble</v>
      </c>
      <c r="M5969" s="105" t="str">
        <f t="shared" si="991"/>
        <v>Outage</v>
      </c>
      <c r="N5969" s="105" t="str">
        <f t="shared" si="992"/>
        <v>Coal</v>
      </c>
      <c r="O5969" s="105">
        <f>IFERROR(VLOOKUP(A5969,Lookup!$J$5:$P$19,7,FALSE),0)</f>
        <v>3</v>
      </c>
      <c r="P5969" s="159">
        <f t="shared" si="993"/>
        <v>2014</v>
      </c>
      <c r="Q5969" s="159">
        <f t="shared" si="994"/>
        <v>7</v>
      </c>
      <c r="R5969" s="160">
        <f t="shared" si="995"/>
        <v>13.583333333430346</v>
      </c>
      <c r="S5969" s="158">
        <f t="shared" si="996"/>
        <v>13.583333333430346</v>
      </c>
      <c r="T5969" s="161">
        <f t="shared" si="997"/>
        <v>10146.750000072469</v>
      </c>
      <c r="U5969" s="158">
        <f t="shared" si="999"/>
        <v>747</v>
      </c>
      <c r="V5969" s="160">
        <f t="shared" si="998"/>
        <v>747</v>
      </c>
    </row>
    <row r="5970" spans="1:22" x14ac:dyDescent="0.25">
      <c r="A5970" s="98" t="s">
        <v>69</v>
      </c>
      <c r="B5970" s="98" t="s">
        <v>17</v>
      </c>
      <c r="C5970" s="98">
        <v>44</v>
      </c>
      <c r="D5970" s="98">
        <v>9616</v>
      </c>
      <c r="E5970" s="157">
        <v>41834.125</v>
      </c>
      <c r="F5970" s="157">
        <v>41834.375</v>
      </c>
      <c r="G5970" s="98">
        <v>705</v>
      </c>
      <c r="H5970" s="98">
        <v>795</v>
      </c>
      <c r="I5970" s="98">
        <v>747</v>
      </c>
      <c r="J5970" s="98" t="s">
        <v>3088</v>
      </c>
      <c r="K5970" s="98" t="s">
        <v>3095</v>
      </c>
      <c r="L5970" s="105" t="str">
        <f t="shared" si="990"/>
        <v>Trimble</v>
      </c>
      <c r="M5970" s="105" t="str">
        <f t="shared" si="991"/>
        <v>Derate</v>
      </c>
      <c r="N5970" s="105" t="str">
        <f t="shared" si="992"/>
        <v>Coal</v>
      </c>
      <c r="O5970" s="105">
        <f>IFERROR(VLOOKUP(A5970,Lookup!$J$5:$P$19,7,FALSE),0)</f>
        <v>3</v>
      </c>
      <c r="P5970" s="159">
        <f t="shared" si="993"/>
        <v>2014</v>
      </c>
      <c r="Q5970" s="159">
        <f t="shared" si="994"/>
        <v>7</v>
      </c>
      <c r="R5970" s="160">
        <f t="shared" si="995"/>
        <v>6</v>
      </c>
      <c r="S5970" s="158">
        <f t="shared" si="996"/>
        <v>0.67924528301886788</v>
      </c>
      <c r="T5970" s="161">
        <f t="shared" si="997"/>
        <v>507.3962264150943</v>
      </c>
      <c r="U5970" s="158">
        <f t="shared" si="999"/>
        <v>84.566037735849051</v>
      </c>
      <c r="V5970" s="160">
        <f t="shared" si="998"/>
        <v>85</v>
      </c>
    </row>
    <row r="5971" spans="1:22" x14ac:dyDescent="0.25">
      <c r="A5971" s="98" t="s">
        <v>69</v>
      </c>
      <c r="B5971" s="98" t="s">
        <v>17</v>
      </c>
      <c r="C5971" s="98">
        <v>45</v>
      </c>
      <c r="D5971" s="98">
        <v>310</v>
      </c>
      <c r="E5971" s="157">
        <v>41835.333333333336</v>
      </c>
      <c r="F5971" s="157">
        <v>41835.451388888891</v>
      </c>
      <c r="G5971" s="98">
        <v>717</v>
      </c>
      <c r="H5971" s="98">
        <v>795</v>
      </c>
      <c r="I5971" s="98">
        <v>747</v>
      </c>
      <c r="J5971" s="98" t="s">
        <v>1966</v>
      </c>
      <c r="K5971" s="98" t="s">
        <v>3096</v>
      </c>
      <c r="L5971" s="105" t="str">
        <f t="shared" si="990"/>
        <v>Trimble</v>
      </c>
      <c r="M5971" s="105" t="str">
        <f t="shared" si="991"/>
        <v>Derate</v>
      </c>
      <c r="N5971" s="105" t="str">
        <f t="shared" si="992"/>
        <v>Coal</v>
      </c>
      <c r="O5971" s="105">
        <f>IFERROR(VLOOKUP(A5971,Lookup!$J$5:$P$19,7,FALSE),0)</f>
        <v>3</v>
      </c>
      <c r="P5971" s="159">
        <f t="shared" si="993"/>
        <v>2014</v>
      </c>
      <c r="Q5971" s="159">
        <f t="shared" si="994"/>
        <v>7</v>
      </c>
      <c r="R5971" s="160">
        <f t="shared" si="995"/>
        <v>2.8333333333139308</v>
      </c>
      <c r="S5971" s="158">
        <f t="shared" si="996"/>
        <v>0.27798742138174415</v>
      </c>
      <c r="T5971" s="161">
        <f t="shared" si="997"/>
        <v>207.65660377216287</v>
      </c>
      <c r="U5971" s="158">
        <f t="shared" si="999"/>
        <v>73.290566037735843</v>
      </c>
      <c r="V5971" s="160">
        <f t="shared" si="998"/>
        <v>73</v>
      </c>
    </row>
    <row r="5972" spans="1:22" x14ac:dyDescent="0.25">
      <c r="A5972" s="98" t="s">
        <v>69</v>
      </c>
      <c r="B5972" s="98" t="s">
        <v>17</v>
      </c>
      <c r="C5972" s="98">
        <v>46</v>
      </c>
      <c r="D5972" s="98">
        <v>3340</v>
      </c>
      <c r="E5972" s="157">
        <v>41836.5</v>
      </c>
      <c r="F5972" s="157">
        <v>41838.78125</v>
      </c>
      <c r="G5972" s="98">
        <v>668</v>
      </c>
      <c r="H5972" s="98">
        <v>795</v>
      </c>
      <c r="I5972" s="98">
        <v>747</v>
      </c>
      <c r="J5972" s="98" t="s">
        <v>2389</v>
      </c>
      <c r="K5972" s="98" t="s">
        <v>3097</v>
      </c>
      <c r="L5972" s="105" t="str">
        <f t="shared" si="990"/>
        <v>Trimble</v>
      </c>
      <c r="M5972" s="105" t="str">
        <f t="shared" si="991"/>
        <v>Derate</v>
      </c>
      <c r="N5972" s="105" t="str">
        <f t="shared" si="992"/>
        <v>Coal</v>
      </c>
      <c r="O5972" s="105">
        <f>IFERROR(VLOOKUP(A5972,Lookup!$J$5:$P$19,7,FALSE),0)</f>
        <v>3</v>
      </c>
      <c r="P5972" s="159">
        <f t="shared" si="993"/>
        <v>2014</v>
      </c>
      <c r="Q5972" s="159">
        <f t="shared" si="994"/>
        <v>7</v>
      </c>
      <c r="R5972" s="160">
        <f t="shared" si="995"/>
        <v>54.75</v>
      </c>
      <c r="S5972" s="158">
        <f t="shared" si="996"/>
        <v>8.7462264150943394</v>
      </c>
      <c r="T5972" s="161">
        <f t="shared" si="997"/>
        <v>6533.4311320754714</v>
      </c>
      <c r="U5972" s="158">
        <f t="shared" si="999"/>
        <v>119.33207547169812</v>
      </c>
      <c r="V5972" s="160">
        <f t="shared" si="998"/>
        <v>119</v>
      </c>
    </row>
    <row r="5973" spans="1:22" x14ac:dyDescent="0.25">
      <c r="A5973" s="98" t="s">
        <v>69</v>
      </c>
      <c r="B5973" s="98" t="s">
        <v>79</v>
      </c>
      <c r="C5973" s="98">
        <v>47</v>
      </c>
      <c r="D5973" s="98">
        <v>1190</v>
      </c>
      <c r="E5973" s="157">
        <v>41839.96875</v>
      </c>
      <c r="F5973" s="157">
        <v>41840.395833333336</v>
      </c>
      <c r="G5973" s="98">
        <v>0</v>
      </c>
      <c r="H5973" s="98">
        <v>795</v>
      </c>
      <c r="I5973" s="98">
        <v>747</v>
      </c>
      <c r="J5973" s="98" t="s">
        <v>2007</v>
      </c>
      <c r="K5973" s="98" t="s">
        <v>3098</v>
      </c>
      <c r="L5973" s="105" t="str">
        <f t="shared" si="990"/>
        <v>Trimble</v>
      </c>
      <c r="M5973" s="105" t="str">
        <f t="shared" si="991"/>
        <v>Other</v>
      </c>
      <c r="N5973" s="105" t="str">
        <f t="shared" si="992"/>
        <v>Coal</v>
      </c>
      <c r="O5973" s="105">
        <f>IFERROR(VLOOKUP(A5973,Lookup!$J$5:$P$19,7,FALSE),0)</f>
        <v>3</v>
      </c>
      <c r="P5973" s="159">
        <f t="shared" si="993"/>
        <v>2014</v>
      </c>
      <c r="Q5973" s="159">
        <f t="shared" si="994"/>
        <v>7</v>
      </c>
      <c r="R5973" s="160">
        <f t="shared" si="995"/>
        <v>10.250000000058208</v>
      </c>
      <c r="S5973" s="158">
        <f t="shared" si="996"/>
        <v>10.250000000058208</v>
      </c>
      <c r="T5973" s="161">
        <f t="shared" si="997"/>
        <v>7656.7500000434811</v>
      </c>
      <c r="U5973" s="158">
        <f t="shared" si="999"/>
        <v>747</v>
      </c>
      <c r="V5973" s="160">
        <f t="shared" si="998"/>
        <v>747</v>
      </c>
    </row>
    <row r="5974" spans="1:22" x14ac:dyDescent="0.25">
      <c r="A5974" s="98" t="s">
        <v>69</v>
      </c>
      <c r="B5974" s="98" t="s">
        <v>79</v>
      </c>
      <c r="C5974" s="98">
        <v>48</v>
      </c>
      <c r="D5974" s="98">
        <v>4842</v>
      </c>
      <c r="E5974" s="157">
        <v>41842.488194444442</v>
      </c>
      <c r="F5974" s="157">
        <v>41842.587500000001</v>
      </c>
      <c r="G5974" s="98">
        <v>0</v>
      </c>
      <c r="H5974" s="98">
        <v>795</v>
      </c>
      <c r="I5974" s="98">
        <v>747</v>
      </c>
      <c r="J5974" s="98" t="s">
        <v>60</v>
      </c>
      <c r="K5974" s="98" t="s">
        <v>3099</v>
      </c>
      <c r="L5974" s="105" t="str">
        <f t="shared" si="990"/>
        <v>Trimble</v>
      </c>
      <c r="M5974" s="105" t="str">
        <f t="shared" si="991"/>
        <v>Other</v>
      </c>
      <c r="N5974" s="105" t="str">
        <f t="shared" si="992"/>
        <v>Coal</v>
      </c>
      <c r="O5974" s="105">
        <f>IFERROR(VLOOKUP(A5974,Lookup!$J$5:$P$19,7,FALSE),0)</f>
        <v>3</v>
      </c>
      <c r="P5974" s="159">
        <f t="shared" si="993"/>
        <v>2014</v>
      </c>
      <c r="Q5974" s="159">
        <f t="shared" si="994"/>
        <v>7</v>
      </c>
      <c r="R5974" s="160">
        <f t="shared" si="995"/>
        <v>2.3833333334187046</v>
      </c>
      <c r="S5974" s="158">
        <f t="shared" si="996"/>
        <v>2.3833333334187046</v>
      </c>
      <c r="T5974" s="161">
        <f t="shared" si="997"/>
        <v>1780.3500000637723</v>
      </c>
      <c r="U5974" s="158">
        <f t="shared" si="999"/>
        <v>747</v>
      </c>
      <c r="V5974" s="160">
        <f t="shared" si="998"/>
        <v>747</v>
      </c>
    </row>
    <row r="5975" spans="1:22" x14ac:dyDescent="0.25">
      <c r="A5975" s="98" t="s">
        <v>69</v>
      </c>
      <c r="B5975" s="98" t="s">
        <v>15</v>
      </c>
      <c r="C5975" s="98">
        <v>49</v>
      </c>
      <c r="D5975" s="98">
        <v>3671</v>
      </c>
      <c r="E5975" s="157">
        <v>41843.515277777777</v>
      </c>
      <c r="F5975" s="157">
        <v>41845.568749999999</v>
      </c>
      <c r="G5975" s="98">
        <v>0</v>
      </c>
      <c r="H5975" s="98">
        <v>795</v>
      </c>
      <c r="I5975" s="98">
        <v>747</v>
      </c>
      <c r="J5975" s="98" t="s">
        <v>2277</v>
      </c>
      <c r="K5975" s="98" t="s">
        <v>3100</v>
      </c>
      <c r="L5975" s="105" t="str">
        <f t="shared" si="990"/>
        <v>Trimble</v>
      </c>
      <c r="M5975" s="105" t="str">
        <f t="shared" si="991"/>
        <v>Outage</v>
      </c>
      <c r="N5975" s="105" t="str">
        <f t="shared" si="992"/>
        <v>Coal</v>
      </c>
      <c r="O5975" s="105">
        <f>IFERROR(VLOOKUP(A5975,Lookup!$J$5:$P$19,7,FALSE),0)</f>
        <v>3</v>
      </c>
      <c r="P5975" s="159">
        <f t="shared" si="993"/>
        <v>2014</v>
      </c>
      <c r="Q5975" s="159">
        <f t="shared" si="994"/>
        <v>7</v>
      </c>
      <c r="R5975" s="160">
        <f t="shared" si="995"/>
        <v>49.283333333325572</v>
      </c>
      <c r="S5975" s="158">
        <f t="shared" si="996"/>
        <v>49.283333333325572</v>
      </c>
      <c r="T5975" s="161">
        <f t="shared" si="997"/>
        <v>36814.649999994203</v>
      </c>
      <c r="U5975" s="158">
        <f t="shared" si="999"/>
        <v>747</v>
      </c>
      <c r="V5975" s="160">
        <f t="shared" si="998"/>
        <v>747</v>
      </c>
    </row>
    <row r="5976" spans="1:22" x14ac:dyDescent="0.25">
      <c r="A5976" s="98" t="s">
        <v>69</v>
      </c>
      <c r="B5976" s="98" t="s">
        <v>17</v>
      </c>
      <c r="C5976" s="98">
        <v>50</v>
      </c>
      <c r="D5976" s="98">
        <v>360</v>
      </c>
      <c r="E5976" s="157">
        <v>41847.041666666664</v>
      </c>
      <c r="F5976" s="157">
        <v>41847.083333333336</v>
      </c>
      <c r="G5976" s="98">
        <v>721</v>
      </c>
      <c r="H5976" s="98">
        <v>795</v>
      </c>
      <c r="I5976" s="98">
        <v>747</v>
      </c>
      <c r="J5976" s="98" t="s">
        <v>229</v>
      </c>
      <c r="K5976" s="98" t="s">
        <v>3101</v>
      </c>
      <c r="L5976" s="105" t="str">
        <f t="shared" si="990"/>
        <v>Trimble</v>
      </c>
      <c r="M5976" s="105" t="str">
        <f t="shared" si="991"/>
        <v>Derate</v>
      </c>
      <c r="N5976" s="105" t="str">
        <f t="shared" si="992"/>
        <v>Coal</v>
      </c>
      <c r="O5976" s="105">
        <f>IFERROR(VLOOKUP(A5976,Lookup!$J$5:$P$19,7,FALSE),0)</f>
        <v>3</v>
      </c>
      <c r="P5976" s="159">
        <f t="shared" si="993"/>
        <v>2014</v>
      </c>
      <c r="Q5976" s="159">
        <f t="shared" si="994"/>
        <v>7</v>
      </c>
      <c r="R5976" s="160">
        <f t="shared" si="995"/>
        <v>1.0000000001164153</v>
      </c>
      <c r="S5976" s="158">
        <f t="shared" si="996"/>
        <v>9.3081761017125453E-2</v>
      </c>
      <c r="T5976" s="161">
        <f t="shared" si="997"/>
        <v>69.532075479792709</v>
      </c>
      <c r="U5976" s="158">
        <f t="shared" si="999"/>
        <v>69.532075471698107</v>
      </c>
      <c r="V5976" s="160">
        <f t="shared" si="998"/>
        <v>70</v>
      </c>
    </row>
    <row r="5977" spans="1:22" x14ac:dyDescent="0.25">
      <c r="A5977" s="98" t="s">
        <v>69</v>
      </c>
      <c r="B5977" s="98" t="s">
        <v>17</v>
      </c>
      <c r="C5977" s="98">
        <v>51</v>
      </c>
      <c r="D5977" s="98">
        <v>310</v>
      </c>
      <c r="E5977" s="157">
        <v>41852.678472222222</v>
      </c>
      <c r="F5977" s="157">
        <v>41852.760416666664</v>
      </c>
      <c r="G5977" s="98">
        <v>625</v>
      </c>
      <c r="H5977" s="98">
        <v>795</v>
      </c>
      <c r="I5977" s="98">
        <v>747</v>
      </c>
      <c r="J5977" s="98" t="s">
        <v>1966</v>
      </c>
      <c r="K5977" s="98" t="s">
        <v>3102</v>
      </c>
      <c r="L5977" s="105" t="str">
        <f t="shared" si="990"/>
        <v>Trimble</v>
      </c>
      <c r="M5977" s="105" t="str">
        <f t="shared" si="991"/>
        <v>Derate</v>
      </c>
      <c r="N5977" s="105" t="str">
        <f t="shared" si="992"/>
        <v>Coal</v>
      </c>
      <c r="O5977" s="105">
        <f>IFERROR(VLOOKUP(A5977,Lookup!$J$5:$P$19,7,FALSE),0)</f>
        <v>3</v>
      </c>
      <c r="P5977" s="159">
        <f t="shared" si="993"/>
        <v>2014</v>
      </c>
      <c r="Q5977" s="159">
        <f t="shared" si="994"/>
        <v>8</v>
      </c>
      <c r="R5977" s="160">
        <f t="shared" si="995"/>
        <v>1.96666666661622</v>
      </c>
      <c r="S5977" s="158">
        <f t="shared" si="996"/>
        <v>0.42054507336447472</v>
      </c>
      <c r="T5977" s="161">
        <f t="shared" si="997"/>
        <v>314.14716980326261</v>
      </c>
      <c r="U5977" s="158">
        <f t="shared" si="999"/>
        <v>159.73584905660377</v>
      </c>
      <c r="V5977" s="160">
        <f t="shared" si="998"/>
        <v>160</v>
      </c>
    </row>
    <row r="5978" spans="1:22" x14ac:dyDescent="0.25">
      <c r="A5978" s="98" t="s">
        <v>69</v>
      </c>
      <c r="B5978" s="98" t="s">
        <v>79</v>
      </c>
      <c r="C5978" s="98">
        <v>52</v>
      </c>
      <c r="D5978" s="98">
        <v>1190</v>
      </c>
      <c r="E5978" s="157">
        <v>41853</v>
      </c>
      <c r="F5978" s="157">
        <v>41854.333333333336</v>
      </c>
      <c r="G5978" s="98">
        <v>0</v>
      </c>
      <c r="H5978" s="98">
        <v>795</v>
      </c>
      <c r="I5978" s="98">
        <v>747</v>
      </c>
      <c r="J5978" s="98" t="s">
        <v>2007</v>
      </c>
      <c r="K5978" s="98" t="s">
        <v>3103</v>
      </c>
      <c r="L5978" s="105" t="str">
        <f t="shared" si="990"/>
        <v>Trimble</v>
      </c>
      <c r="M5978" s="105" t="str">
        <f t="shared" si="991"/>
        <v>Other</v>
      </c>
      <c r="N5978" s="105" t="str">
        <f t="shared" si="992"/>
        <v>Coal</v>
      </c>
      <c r="O5978" s="105">
        <f>IFERROR(VLOOKUP(A5978,Lookup!$J$5:$P$19,7,FALSE),0)</f>
        <v>3</v>
      </c>
      <c r="P5978" s="159">
        <f t="shared" si="993"/>
        <v>2014</v>
      </c>
      <c r="Q5978" s="159">
        <f t="shared" si="994"/>
        <v>8</v>
      </c>
      <c r="R5978" s="160">
        <f t="shared" si="995"/>
        <v>32.000000000058208</v>
      </c>
      <c r="S5978" s="158">
        <f t="shared" si="996"/>
        <v>32.000000000058208</v>
      </c>
      <c r="T5978" s="161">
        <f t="shared" si="997"/>
        <v>23904.000000043481</v>
      </c>
      <c r="U5978" s="158">
        <f t="shared" si="999"/>
        <v>747</v>
      </c>
      <c r="V5978" s="160">
        <f t="shared" si="998"/>
        <v>747</v>
      </c>
    </row>
    <row r="5979" spans="1:22" x14ac:dyDescent="0.25">
      <c r="A5979" s="98" t="s">
        <v>69</v>
      </c>
      <c r="B5979" s="98" t="s">
        <v>17</v>
      </c>
      <c r="C5979" s="98">
        <v>53</v>
      </c>
      <c r="D5979" s="98">
        <v>310</v>
      </c>
      <c r="E5979" s="157">
        <v>41855.451388888891</v>
      </c>
      <c r="F5979" s="157">
        <v>41855.493055555555</v>
      </c>
      <c r="G5979" s="98">
        <v>620</v>
      </c>
      <c r="H5979" s="98">
        <v>795</v>
      </c>
      <c r="I5979" s="98">
        <v>747</v>
      </c>
      <c r="J5979" s="98" t="s">
        <v>1966</v>
      </c>
      <c r="K5979" s="98" t="s">
        <v>3104</v>
      </c>
      <c r="L5979" s="105" t="str">
        <f t="shared" si="990"/>
        <v>Trimble</v>
      </c>
      <c r="M5979" s="105" t="str">
        <f t="shared" si="991"/>
        <v>Derate</v>
      </c>
      <c r="N5979" s="105" t="str">
        <f t="shared" si="992"/>
        <v>Coal</v>
      </c>
      <c r="O5979" s="105">
        <f>IFERROR(VLOOKUP(A5979,Lookup!$J$5:$P$19,7,FALSE),0)</f>
        <v>3</v>
      </c>
      <c r="P5979" s="159">
        <f t="shared" si="993"/>
        <v>2014</v>
      </c>
      <c r="Q5979" s="159">
        <f t="shared" si="994"/>
        <v>8</v>
      </c>
      <c r="R5979" s="160">
        <f t="shared" si="995"/>
        <v>0.99999999994179234</v>
      </c>
      <c r="S5979" s="158">
        <f t="shared" si="996"/>
        <v>0.22012578615070902</v>
      </c>
      <c r="T5979" s="161">
        <f t="shared" si="997"/>
        <v>164.43396225457963</v>
      </c>
      <c r="U5979" s="158">
        <f t="shared" si="999"/>
        <v>164.43396226415095</v>
      </c>
      <c r="V5979" s="160">
        <f t="shared" si="998"/>
        <v>164</v>
      </c>
    </row>
    <row r="5980" spans="1:22" x14ac:dyDescent="0.25">
      <c r="A5980" s="98" t="s">
        <v>69</v>
      </c>
      <c r="B5980" s="98" t="s">
        <v>79</v>
      </c>
      <c r="C5980" s="98">
        <v>54</v>
      </c>
      <c r="D5980" s="98">
        <v>1190</v>
      </c>
      <c r="E5980" s="157">
        <v>41861</v>
      </c>
      <c r="F5980" s="157">
        <v>41861.25</v>
      </c>
      <c r="G5980" s="98">
        <v>0</v>
      </c>
      <c r="H5980" s="98">
        <v>795</v>
      </c>
      <c r="I5980" s="98">
        <v>747</v>
      </c>
      <c r="J5980" s="98" t="s">
        <v>2007</v>
      </c>
      <c r="K5980" s="98" t="s">
        <v>3105</v>
      </c>
      <c r="L5980" s="105" t="str">
        <f t="shared" si="990"/>
        <v>Trimble</v>
      </c>
      <c r="M5980" s="105" t="str">
        <f t="shared" si="991"/>
        <v>Other</v>
      </c>
      <c r="N5980" s="105" t="str">
        <f t="shared" si="992"/>
        <v>Coal</v>
      </c>
      <c r="O5980" s="105">
        <f>IFERROR(VLOOKUP(A5980,Lookup!$J$5:$P$19,7,FALSE),0)</f>
        <v>3</v>
      </c>
      <c r="P5980" s="159">
        <f t="shared" si="993"/>
        <v>2014</v>
      </c>
      <c r="Q5980" s="159">
        <f t="shared" si="994"/>
        <v>8</v>
      </c>
      <c r="R5980" s="160">
        <f t="shared" si="995"/>
        <v>6</v>
      </c>
      <c r="S5980" s="158">
        <f t="shared" si="996"/>
        <v>6</v>
      </c>
      <c r="T5980" s="161">
        <f t="shared" si="997"/>
        <v>4482</v>
      </c>
      <c r="U5980" s="158">
        <f t="shared" si="999"/>
        <v>747</v>
      </c>
      <c r="V5980" s="160">
        <f t="shared" si="998"/>
        <v>747</v>
      </c>
    </row>
    <row r="5981" spans="1:22" x14ac:dyDescent="0.25">
      <c r="A5981" s="98" t="s">
        <v>69</v>
      </c>
      <c r="B5981" s="98" t="s">
        <v>15</v>
      </c>
      <c r="C5981" s="98">
        <v>55</v>
      </c>
      <c r="D5981" s="98">
        <v>4750</v>
      </c>
      <c r="E5981" s="157">
        <v>41862.033333333333</v>
      </c>
      <c r="F5981" s="157">
        <v>41863.552083333336</v>
      </c>
      <c r="G5981" s="98">
        <v>0</v>
      </c>
      <c r="H5981" s="98">
        <v>795</v>
      </c>
      <c r="I5981" s="98">
        <v>747</v>
      </c>
      <c r="J5981" s="98" t="s">
        <v>2129</v>
      </c>
      <c r="K5981" s="98" t="s">
        <v>3106</v>
      </c>
      <c r="L5981" s="105" t="str">
        <f t="shared" si="990"/>
        <v>Trimble</v>
      </c>
      <c r="M5981" s="105" t="str">
        <f t="shared" si="991"/>
        <v>Outage</v>
      </c>
      <c r="N5981" s="105" t="str">
        <f t="shared" si="992"/>
        <v>Coal</v>
      </c>
      <c r="O5981" s="105">
        <f>IFERROR(VLOOKUP(A5981,Lookup!$J$5:$P$19,7,FALSE),0)</f>
        <v>3</v>
      </c>
      <c r="P5981" s="159">
        <f t="shared" si="993"/>
        <v>2014</v>
      </c>
      <c r="Q5981" s="159">
        <f t="shared" si="994"/>
        <v>8</v>
      </c>
      <c r="R5981" s="160">
        <f t="shared" si="995"/>
        <v>36.450000000069849</v>
      </c>
      <c r="S5981" s="158">
        <f t="shared" si="996"/>
        <v>36.450000000069849</v>
      </c>
      <c r="T5981" s="161">
        <f t="shared" si="997"/>
        <v>27228.150000052177</v>
      </c>
      <c r="U5981" s="158">
        <f t="shared" si="999"/>
        <v>747</v>
      </c>
      <c r="V5981" s="160">
        <f t="shared" si="998"/>
        <v>747</v>
      </c>
    </row>
    <row r="5982" spans="1:22" x14ac:dyDescent="0.25">
      <c r="A5982" s="98" t="s">
        <v>69</v>
      </c>
      <c r="B5982" s="98" t="s">
        <v>79</v>
      </c>
      <c r="C5982" s="98">
        <v>56</v>
      </c>
      <c r="D5982" s="98">
        <v>1190</v>
      </c>
      <c r="E5982" s="157">
        <v>41868</v>
      </c>
      <c r="F5982" s="157">
        <v>41868.364583333336</v>
      </c>
      <c r="G5982" s="98">
        <v>0</v>
      </c>
      <c r="H5982" s="98">
        <v>795</v>
      </c>
      <c r="I5982" s="98">
        <v>747</v>
      </c>
      <c r="J5982" s="98" t="s">
        <v>2007</v>
      </c>
      <c r="K5982" s="98" t="s">
        <v>1918</v>
      </c>
      <c r="L5982" s="105" t="str">
        <f t="shared" si="990"/>
        <v>Trimble</v>
      </c>
      <c r="M5982" s="105" t="str">
        <f t="shared" si="991"/>
        <v>Other</v>
      </c>
      <c r="N5982" s="105" t="str">
        <f t="shared" si="992"/>
        <v>Coal</v>
      </c>
      <c r="O5982" s="105">
        <f>IFERROR(VLOOKUP(A5982,Lookup!$J$5:$P$19,7,FALSE),0)</f>
        <v>3</v>
      </c>
      <c r="P5982" s="159">
        <f t="shared" si="993"/>
        <v>2014</v>
      </c>
      <c r="Q5982" s="159">
        <f t="shared" si="994"/>
        <v>8</v>
      </c>
      <c r="R5982" s="160">
        <f t="shared" si="995"/>
        <v>8.7500000000582077</v>
      </c>
      <c r="S5982" s="158">
        <f t="shared" si="996"/>
        <v>8.7500000000582077</v>
      </c>
      <c r="T5982" s="161">
        <f t="shared" si="997"/>
        <v>6536.2500000434811</v>
      </c>
      <c r="U5982" s="158">
        <f t="shared" si="999"/>
        <v>747</v>
      </c>
      <c r="V5982" s="160">
        <f t="shared" si="998"/>
        <v>747</v>
      </c>
    </row>
    <row r="5983" spans="1:22" x14ac:dyDescent="0.25">
      <c r="A5983" s="98" t="s">
        <v>69</v>
      </c>
      <c r="B5983" s="98" t="s">
        <v>79</v>
      </c>
      <c r="C5983" s="98">
        <v>57</v>
      </c>
      <c r="D5983" s="98">
        <v>1190</v>
      </c>
      <c r="E5983" s="157">
        <v>41875</v>
      </c>
      <c r="F5983" s="157">
        <v>41875.3125</v>
      </c>
      <c r="G5983" s="98">
        <v>0</v>
      </c>
      <c r="H5983" s="98">
        <v>795</v>
      </c>
      <c r="I5983" s="98">
        <v>747</v>
      </c>
      <c r="J5983" s="98" t="s">
        <v>2007</v>
      </c>
      <c r="K5983" s="98" t="s">
        <v>1918</v>
      </c>
      <c r="L5983" s="105" t="str">
        <f t="shared" si="990"/>
        <v>Trimble</v>
      </c>
      <c r="M5983" s="105" t="str">
        <f t="shared" si="991"/>
        <v>Other</v>
      </c>
      <c r="N5983" s="105" t="str">
        <f t="shared" si="992"/>
        <v>Coal</v>
      </c>
      <c r="O5983" s="105">
        <f>IFERROR(VLOOKUP(A5983,Lookup!$J$5:$P$19,7,FALSE),0)</f>
        <v>3</v>
      </c>
      <c r="P5983" s="159">
        <f t="shared" si="993"/>
        <v>2014</v>
      </c>
      <c r="Q5983" s="159">
        <f t="shared" si="994"/>
        <v>8</v>
      </c>
      <c r="R5983" s="160">
        <f t="shared" si="995"/>
        <v>7.5</v>
      </c>
      <c r="S5983" s="158">
        <f t="shared" si="996"/>
        <v>7.5</v>
      </c>
      <c r="T5983" s="161">
        <f t="shared" si="997"/>
        <v>5602.5</v>
      </c>
      <c r="U5983" s="158">
        <f t="shared" si="999"/>
        <v>747</v>
      </c>
      <c r="V5983" s="160">
        <f t="shared" si="998"/>
        <v>747</v>
      </c>
    </row>
    <row r="5984" spans="1:22" x14ac:dyDescent="0.25">
      <c r="A5984" s="98" t="s">
        <v>69</v>
      </c>
      <c r="B5984" s="98" t="s">
        <v>79</v>
      </c>
      <c r="C5984" s="98">
        <v>58</v>
      </c>
      <c r="D5984" s="98">
        <v>1190</v>
      </c>
      <c r="E5984" s="157">
        <v>41882.001388888886</v>
      </c>
      <c r="F5984" s="157">
        <v>41882.416666666664</v>
      </c>
      <c r="G5984" s="98">
        <v>0</v>
      </c>
      <c r="H5984" s="98">
        <v>795</v>
      </c>
      <c r="I5984" s="98">
        <v>747</v>
      </c>
      <c r="J5984" s="98" t="s">
        <v>2007</v>
      </c>
      <c r="K5984" s="98" t="s">
        <v>1918</v>
      </c>
      <c r="L5984" s="105" t="str">
        <f t="shared" si="990"/>
        <v>Trimble</v>
      </c>
      <c r="M5984" s="105" t="str">
        <f t="shared" si="991"/>
        <v>Other</v>
      </c>
      <c r="N5984" s="105" t="str">
        <f t="shared" si="992"/>
        <v>Coal</v>
      </c>
      <c r="O5984" s="105">
        <f>IFERROR(VLOOKUP(A5984,Lookup!$J$5:$P$19,7,FALSE),0)</f>
        <v>3</v>
      </c>
      <c r="P5984" s="159">
        <f t="shared" si="993"/>
        <v>2014</v>
      </c>
      <c r="Q5984" s="159">
        <f t="shared" si="994"/>
        <v>8</v>
      </c>
      <c r="R5984" s="160">
        <f t="shared" si="995"/>
        <v>9.9666666666744277</v>
      </c>
      <c r="S5984" s="158">
        <f t="shared" si="996"/>
        <v>9.9666666666744277</v>
      </c>
      <c r="T5984" s="161">
        <f t="shared" si="997"/>
        <v>7445.1000000057975</v>
      </c>
      <c r="U5984" s="158">
        <f t="shared" si="999"/>
        <v>747</v>
      </c>
      <c r="V5984" s="160">
        <f t="shared" si="998"/>
        <v>747</v>
      </c>
    </row>
    <row r="5985" spans="1:22" x14ac:dyDescent="0.25">
      <c r="A5985" s="98" t="s">
        <v>69</v>
      </c>
      <c r="B5985" s="98" t="s">
        <v>17</v>
      </c>
      <c r="C5985" s="98">
        <v>59</v>
      </c>
      <c r="D5985" s="98">
        <v>9600</v>
      </c>
      <c r="E5985" s="157">
        <v>41885.916666666664</v>
      </c>
      <c r="F5985" s="157">
        <v>41886.520833333336</v>
      </c>
      <c r="G5985" s="98">
        <v>681</v>
      </c>
      <c r="H5985" s="98">
        <v>795</v>
      </c>
      <c r="I5985" s="98">
        <v>747</v>
      </c>
      <c r="J5985" s="98" t="s">
        <v>2111</v>
      </c>
      <c r="K5985" s="98" t="s">
        <v>3107</v>
      </c>
      <c r="L5985" s="105" t="str">
        <f t="shared" si="990"/>
        <v>Trimble</v>
      </c>
      <c r="M5985" s="105" t="str">
        <f t="shared" si="991"/>
        <v>Derate</v>
      </c>
      <c r="N5985" s="105" t="str">
        <f t="shared" si="992"/>
        <v>Coal</v>
      </c>
      <c r="O5985" s="105">
        <f>IFERROR(VLOOKUP(A5985,Lookup!$J$5:$P$19,7,FALSE),0)</f>
        <v>3</v>
      </c>
      <c r="P5985" s="159">
        <f t="shared" si="993"/>
        <v>2014</v>
      </c>
      <c r="Q5985" s="159">
        <f t="shared" si="994"/>
        <v>9</v>
      </c>
      <c r="R5985" s="160">
        <f t="shared" si="995"/>
        <v>14.500000000116415</v>
      </c>
      <c r="S5985" s="158">
        <f t="shared" si="996"/>
        <v>2.0792452830355614</v>
      </c>
      <c r="T5985" s="161">
        <f t="shared" si="997"/>
        <v>1553.1962264275644</v>
      </c>
      <c r="U5985" s="158">
        <f t="shared" si="999"/>
        <v>107.11698113207547</v>
      </c>
      <c r="V5985" s="160">
        <f t="shared" si="998"/>
        <v>107</v>
      </c>
    </row>
    <row r="5986" spans="1:22" x14ac:dyDescent="0.25">
      <c r="A5986" s="98" t="s">
        <v>69</v>
      </c>
      <c r="B5986" s="98" t="s">
        <v>79</v>
      </c>
      <c r="C5986" s="98">
        <v>60</v>
      </c>
      <c r="D5986" s="98">
        <v>1190</v>
      </c>
      <c r="E5986" s="157">
        <v>41889</v>
      </c>
      <c r="F5986" s="157">
        <v>41889.333333333336</v>
      </c>
      <c r="G5986" s="98">
        <v>0</v>
      </c>
      <c r="H5986" s="98">
        <v>795</v>
      </c>
      <c r="I5986" s="98">
        <v>747</v>
      </c>
      <c r="J5986" s="98" t="s">
        <v>2007</v>
      </c>
      <c r="K5986" s="98" t="s">
        <v>3108</v>
      </c>
      <c r="L5986" s="105" t="str">
        <f t="shared" si="990"/>
        <v>Trimble</v>
      </c>
      <c r="M5986" s="105" t="str">
        <f t="shared" si="991"/>
        <v>Other</v>
      </c>
      <c r="N5986" s="105" t="str">
        <f t="shared" si="992"/>
        <v>Coal</v>
      </c>
      <c r="O5986" s="105">
        <f>IFERROR(VLOOKUP(A5986,Lookup!$J$5:$P$19,7,FALSE),0)</f>
        <v>3</v>
      </c>
      <c r="P5986" s="159">
        <f t="shared" si="993"/>
        <v>2014</v>
      </c>
      <c r="Q5986" s="159">
        <f t="shared" si="994"/>
        <v>9</v>
      </c>
      <c r="R5986" s="160">
        <f t="shared" si="995"/>
        <v>8.0000000000582077</v>
      </c>
      <c r="S5986" s="158">
        <f t="shared" si="996"/>
        <v>8.0000000000582077</v>
      </c>
      <c r="T5986" s="161">
        <f t="shared" si="997"/>
        <v>5976.0000000434811</v>
      </c>
      <c r="U5986" s="158">
        <f t="shared" si="999"/>
        <v>747</v>
      </c>
      <c r="V5986" s="160">
        <f t="shared" si="998"/>
        <v>747</v>
      </c>
    </row>
    <row r="5987" spans="1:22" x14ac:dyDescent="0.25">
      <c r="A5987" s="98" t="s">
        <v>69</v>
      </c>
      <c r="B5987" s="98" t="s">
        <v>79</v>
      </c>
      <c r="C5987" s="98">
        <v>61</v>
      </c>
      <c r="D5987" s="98">
        <v>360</v>
      </c>
      <c r="E5987" s="157">
        <v>41891.000694444447</v>
      </c>
      <c r="F5987" s="157">
        <v>41891.208333333336</v>
      </c>
      <c r="G5987" s="98">
        <v>0</v>
      </c>
      <c r="H5987" s="98">
        <v>795</v>
      </c>
      <c r="I5987" s="98">
        <v>747</v>
      </c>
      <c r="J5987" s="98" t="s">
        <v>229</v>
      </c>
      <c r="K5987" s="98" t="s">
        <v>3109</v>
      </c>
      <c r="L5987" s="105" t="str">
        <f t="shared" si="990"/>
        <v>Trimble</v>
      </c>
      <c r="M5987" s="105" t="str">
        <f t="shared" si="991"/>
        <v>Other</v>
      </c>
      <c r="N5987" s="105" t="str">
        <f t="shared" si="992"/>
        <v>Coal</v>
      </c>
      <c r="O5987" s="105">
        <f>IFERROR(VLOOKUP(A5987,Lookup!$J$5:$P$19,7,FALSE),0)</f>
        <v>3</v>
      </c>
      <c r="P5987" s="159">
        <f t="shared" si="993"/>
        <v>2014</v>
      </c>
      <c r="Q5987" s="159">
        <f t="shared" si="994"/>
        <v>9</v>
      </c>
      <c r="R5987" s="160">
        <f t="shared" si="995"/>
        <v>4.9833333333372138</v>
      </c>
      <c r="S5987" s="158">
        <f t="shared" si="996"/>
        <v>4.9833333333372138</v>
      </c>
      <c r="T5987" s="161">
        <f t="shared" si="997"/>
        <v>3722.5500000028987</v>
      </c>
      <c r="U5987" s="158">
        <f t="shared" si="999"/>
        <v>747</v>
      </c>
      <c r="V5987" s="160">
        <f t="shared" si="998"/>
        <v>747</v>
      </c>
    </row>
    <row r="5988" spans="1:22" x14ac:dyDescent="0.25">
      <c r="A5988" s="98" t="s">
        <v>69</v>
      </c>
      <c r="B5988" s="98" t="s">
        <v>17</v>
      </c>
      <c r="C5988" s="98">
        <v>62</v>
      </c>
      <c r="D5988" s="98">
        <v>250</v>
      </c>
      <c r="E5988" s="157">
        <v>41894.020833333336</v>
      </c>
      <c r="F5988" s="157">
        <v>41894.104166666664</v>
      </c>
      <c r="G5988" s="98">
        <v>650</v>
      </c>
      <c r="H5988" s="98">
        <v>795</v>
      </c>
      <c r="I5988" s="98">
        <v>747</v>
      </c>
      <c r="J5988" s="98" t="s">
        <v>1978</v>
      </c>
      <c r="K5988" s="98" t="s">
        <v>3110</v>
      </c>
      <c r="L5988" s="105" t="str">
        <f t="shared" si="990"/>
        <v>Trimble</v>
      </c>
      <c r="M5988" s="105" t="str">
        <f t="shared" si="991"/>
        <v>Derate</v>
      </c>
      <c r="N5988" s="105" t="str">
        <f t="shared" si="992"/>
        <v>Coal</v>
      </c>
      <c r="O5988" s="105">
        <f>IFERROR(VLOOKUP(A5988,Lookup!$J$5:$P$19,7,FALSE),0)</f>
        <v>3</v>
      </c>
      <c r="P5988" s="159">
        <f t="shared" si="993"/>
        <v>2014</v>
      </c>
      <c r="Q5988" s="159">
        <f t="shared" si="994"/>
        <v>9</v>
      </c>
      <c r="R5988" s="160">
        <f t="shared" si="995"/>
        <v>1.9999999998835847</v>
      </c>
      <c r="S5988" s="158">
        <f t="shared" si="996"/>
        <v>0.36477987419260349</v>
      </c>
      <c r="T5988" s="161">
        <f t="shared" si="997"/>
        <v>272.49056602187483</v>
      </c>
      <c r="U5988" s="158">
        <f t="shared" si="999"/>
        <v>136.24528301886792</v>
      </c>
      <c r="V5988" s="160">
        <f t="shared" si="998"/>
        <v>136</v>
      </c>
    </row>
    <row r="5989" spans="1:22" x14ac:dyDescent="0.25">
      <c r="A5989" s="98" t="s">
        <v>69</v>
      </c>
      <c r="B5989" s="98" t="s">
        <v>79</v>
      </c>
      <c r="C5989" s="98">
        <v>63</v>
      </c>
      <c r="D5989" s="98">
        <v>1190</v>
      </c>
      <c r="E5989" s="157">
        <v>41896</v>
      </c>
      <c r="F5989" s="157">
        <v>41896.333333333336</v>
      </c>
      <c r="G5989" s="98">
        <v>0</v>
      </c>
      <c r="H5989" s="98">
        <v>795</v>
      </c>
      <c r="I5989" s="98">
        <v>747</v>
      </c>
      <c r="J5989" s="98" t="s">
        <v>2007</v>
      </c>
      <c r="K5989" s="98" t="s">
        <v>3111</v>
      </c>
      <c r="L5989" s="105" t="str">
        <f t="shared" si="990"/>
        <v>Trimble</v>
      </c>
      <c r="M5989" s="105" t="str">
        <f t="shared" si="991"/>
        <v>Other</v>
      </c>
      <c r="N5989" s="105" t="str">
        <f t="shared" si="992"/>
        <v>Coal</v>
      </c>
      <c r="O5989" s="105">
        <f>IFERROR(VLOOKUP(A5989,Lookup!$J$5:$P$19,7,FALSE),0)</f>
        <v>3</v>
      </c>
      <c r="P5989" s="159">
        <f t="shared" si="993"/>
        <v>2014</v>
      </c>
      <c r="Q5989" s="159">
        <f t="shared" si="994"/>
        <v>9</v>
      </c>
      <c r="R5989" s="160">
        <f t="shared" si="995"/>
        <v>8.0000000000582077</v>
      </c>
      <c r="S5989" s="158">
        <f t="shared" si="996"/>
        <v>8.0000000000582077</v>
      </c>
      <c r="T5989" s="161">
        <f t="shared" si="997"/>
        <v>5976.0000000434811</v>
      </c>
      <c r="U5989" s="158">
        <f t="shared" si="999"/>
        <v>747</v>
      </c>
      <c r="V5989" s="160">
        <f t="shared" si="998"/>
        <v>747</v>
      </c>
    </row>
    <row r="5990" spans="1:22" x14ac:dyDescent="0.25">
      <c r="A5990" s="98" t="s">
        <v>69</v>
      </c>
      <c r="B5990" s="98" t="s">
        <v>15</v>
      </c>
      <c r="C5990" s="98">
        <v>64</v>
      </c>
      <c r="D5990" s="98">
        <v>1030</v>
      </c>
      <c r="E5990" s="157">
        <v>41896.548611111109</v>
      </c>
      <c r="F5990" s="157">
        <v>41901.439583333333</v>
      </c>
      <c r="G5990" s="98">
        <v>0</v>
      </c>
      <c r="H5990" s="98">
        <v>795</v>
      </c>
      <c r="I5990" s="98">
        <v>747</v>
      </c>
      <c r="J5990" s="98" t="s">
        <v>2032</v>
      </c>
      <c r="K5990" s="98" t="s">
        <v>3112</v>
      </c>
      <c r="L5990" s="105" t="str">
        <f t="shared" si="990"/>
        <v>Trimble</v>
      </c>
      <c r="M5990" s="105" t="str">
        <f t="shared" si="991"/>
        <v>Outage</v>
      </c>
      <c r="N5990" s="105" t="str">
        <f t="shared" si="992"/>
        <v>Coal</v>
      </c>
      <c r="O5990" s="105">
        <f>IFERROR(VLOOKUP(A5990,Lookup!$J$5:$P$19,7,FALSE),0)</f>
        <v>3</v>
      </c>
      <c r="P5990" s="159">
        <f t="shared" si="993"/>
        <v>2014</v>
      </c>
      <c r="Q5990" s="159">
        <f t="shared" si="994"/>
        <v>9</v>
      </c>
      <c r="R5990" s="160">
        <f t="shared" si="995"/>
        <v>117.3833333333605</v>
      </c>
      <c r="S5990" s="158">
        <f t="shared" si="996"/>
        <v>117.3833333333605</v>
      </c>
      <c r="T5990" s="161">
        <f t="shared" si="997"/>
        <v>87685.350000020291</v>
      </c>
      <c r="U5990" s="158">
        <f t="shared" si="999"/>
        <v>747</v>
      </c>
      <c r="V5990" s="160">
        <f t="shared" si="998"/>
        <v>747</v>
      </c>
    </row>
    <row r="5991" spans="1:22" x14ac:dyDescent="0.25">
      <c r="A5991" s="98" t="s">
        <v>69</v>
      </c>
      <c r="B5991" s="98" t="s">
        <v>79</v>
      </c>
      <c r="C5991" s="98">
        <v>65</v>
      </c>
      <c r="D5991" s="98">
        <v>1990</v>
      </c>
      <c r="E5991" s="157">
        <v>41903.083333333336</v>
      </c>
      <c r="F5991" s="157">
        <v>41903.28125</v>
      </c>
      <c r="G5991" s="98">
        <v>0</v>
      </c>
      <c r="H5991" s="98">
        <v>795</v>
      </c>
      <c r="I5991" s="98">
        <v>747</v>
      </c>
      <c r="J5991" s="98" t="s">
        <v>2114</v>
      </c>
      <c r="K5991" s="98" t="s">
        <v>3113</v>
      </c>
      <c r="L5991" s="105" t="str">
        <f t="shared" si="990"/>
        <v>Trimble</v>
      </c>
      <c r="M5991" s="105" t="str">
        <f t="shared" si="991"/>
        <v>Other</v>
      </c>
      <c r="N5991" s="105" t="str">
        <f t="shared" si="992"/>
        <v>Coal</v>
      </c>
      <c r="O5991" s="105">
        <f>IFERROR(VLOOKUP(A5991,Lookup!$J$5:$P$19,7,FALSE),0)</f>
        <v>3</v>
      </c>
      <c r="P5991" s="159">
        <f t="shared" si="993"/>
        <v>2014</v>
      </c>
      <c r="Q5991" s="159">
        <f t="shared" si="994"/>
        <v>9</v>
      </c>
      <c r="R5991" s="160">
        <f t="shared" si="995"/>
        <v>4.7499999999417923</v>
      </c>
      <c r="S5991" s="158">
        <f t="shared" si="996"/>
        <v>4.7499999999417923</v>
      </c>
      <c r="T5991" s="161">
        <f t="shared" si="997"/>
        <v>3548.2499999565189</v>
      </c>
      <c r="U5991" s="158">
        <f t="shared" si="999"/>
        <v>747</v>
      </c>
      <c r="V5991" s="160">
        <f t="shared" si="998"/>
        <v>747</v>
      </c>
    </row>
    <row r="5992" spans="1:22" x14ac:dyDescent="0.25">
      <c r="A5992" s="98" t="s">
        <v>69</v>
      </c>
      <c r="B5992" s="98" t="s">
        <v>17</v>
      </c>
      <c r="C5992" s="98">
        <v>66</v>
      </c>
      <c r="D5992" s="98">
        <v>3431</v>
      </c>
      <c r="E5992" s="157">
        <v>41904</v>
      </c>
      <c r="F5992" s="157">
        <v>41904.409722222219</v>
      </c>
      <c r="G5992" s="98">
        <v>430</v>
      </c>
      <c r="H5992" s="98">
        <v>795</v>
      </c>
      <c r="I5992" s="98">
        <v>747</v>
      </c>
      <c r="J5992" s="98" t="s">
        <v>2123</v>
      </c>
      <c r="K5992" s="98" t="s">
        <v>3114</v>
      </c>
      <c r="L5992" s="105" t="str">
        <f t="shared" si="990"/>
        <v>Trimble</v>
      </c>
      <c r="M5992" s="105" t="str">
        <f t="shared" si="991"/>
        <v>Derate</v>
      </c>
      <c r="N5992" s="105" t="str">
        <f t="shared" si="992"/>
        <v>Coal</v>
      </c>
      <c r="O5992" s="105">
        <f>IFERROR(VLOOKUP(A5992,Lookup!$J$5:$P$19,7,FALSE),0)</f>
        <v>3</v>
      </c>
      <c r="P5992" s="159">
        <f t="shared" si="993"/>
        <v>2014</v>
      </c>
      <c r="Q5992" s="159">
        <f t="shared" si="994"/>
        <v>9</v>
      </c>
      <c r="R5992" s="160">
        <f t="shared" si="995"/>
        <v>9.8333333332557231</v>
      </c>
      <c r="S5992" s="158">
        <f t="shared" si="996"/>
        <v>4.514675052375269</v>
      </c>
      <c r="T5992" s="161">
        <f t="shared" si="997"/>
        <v>3372.4622641243259</v>
      </c>
      <c r="U5992" s="158">
        <f t="shared" si="999"/>
        <v>342.96226415094338</v>
      </c>
      <c r="V5992" s="160">
        <f t="shared" si="998"/>
        <v>343</v>
      </c>
    </row>
    <row r="5993" spans="1:22" x14ac:dyDescent="0.25">
      <c r="A5993" s="98" t="s">
        <v>69</v>
      </c>
      <c r="B5993" s="98" t="s">
        <v>15</v>
      </c>
      <c r="C5993" s="98">
        <v>67</v>
      </c>
      <c r="D5993" s="98">
        <v>3431</v>
      </c>
      <c r="E5993" s="157">
        <v>41904.409722222219</v>
      </c>
      <c r="F5993" s="157">
        <v>41905.083333333336</v>
      </c>
      <c r="G5993" s="98">
        <v>0</v>
      </c>
      <c r="H5993" s="98">
        <v>795</v>
      </c>
      <c r="I5993" s="98">
        <v>747</v>
      </c>
      <c r="J5993" s="98" t="s">
        <v>2123</v>
      </c>
      <c r="K5993" s="98" t="s">
        <v>3115</v>
      </c>
      <c r="L5993" s="105" t="str">
        <f t="shared" si="990"/>
        <v>Trimble</v>
      </c>
      <c r="M5993" s="105" t="str">
        <f t="shared" si="991"/>
        <v>Outage</v>
      </c>
      <c r="N5993" s="105" t="str">
        <f t="shared" si="992"/>
        <v>Coal</v>
      </c>
      <c r="O5993" s="105">
        <f>IFERROR(VLOOKUP(A5993,Lookup!$J$5:$P$19,7,FALSE),0)</f>
        <v>3</v>
      </c>
      <c r="P5993" s="159">
        <f t="shared" si="993"/>
        <v>2014</v>
      </c>
      <c r="Q5993" s="159">
        <f t="shared" si="994"/>
        <v>9</v>
      </c>
      <c r="R5993" s="160">
        <f t="shared" si="995"/>
        <v>16.166666666802485</v>
      </c>
      <c r="S5993" s="158">
        <f t="shared" si="996"/>
        <v>16.166666666802485</v>
      </c>
      <c r="T5993" s="161">
        <f t="shared" si="997"/>
        <v>12076.500000101456</v>
      </c>
      <c r="U5993" s="158">
        <f t="shared" si="999"/>
        <v>747</v>
      </c>
      <c r="V5993" s="160">
        <f t="shared" si="998"/>
        <v>747</v>
      </c>
    </row>
    <row r="5994" spans="1:22" x14ac:dyDescent="0.25">
      <c r="A5994" s="98" t="s">
        <v>69</v>
      </c>
      <c r="B5994" s="98" t="s">
        <v>79</v>
      </c>
      <c r="C5994" s="98">
        <v>68</v>
      </c>
      <c r="D5994" s="98">
        <v>1190</v>
      </c>
      <c r="E5994" s="157">
        <v>41910</v>
      </c>
      <c r="F5994" s="157">
        <v>41910.386111111111</v>
      </c>
      <c r="G5994" s="98">
        <v>0</v>
      </c>
      <c r="H5994" s="98">
        <v>795</v>
      </c>
      <c r="I5994" s="98">
        <v>747</v>
      </c>
      <c r="J5994" s="98" t="s">
        <v>2007</v>
      </c>
      <c r="K5994" s="98" t="s">
        <v>3116</v>
      </c>
      <c r="L5994" s="105" t="str">
        <f t="shared" si="990"/>
        <v>Trimble</v>
      </c>
      <c r="M5994" s="105" t="str">
        <f t="shared" si="991"/>
        <v>Other</v>
      </c>
      <c r="N5994" s="105" t="str">
        <f t="shared" si="992"/>
        <v>Coal</v>
      </c>
      <c r="O5994" s="105">
        <f>IFERROR(VLOOKUP(A5994,Lookup!$J$5:$P$19,7,FALSE),0)</f>
        <v>3</v>
      </c>
      <c r="P5994" s="159">
        <f t="shared" si="993"/>
        <v>2014</v>
      </c>
      <c r="Q5994" s="159">
        <f t="shared" si="994"/>
        <v>9</v>
      </c>
      <c r="R5994" s="160">
        <f t="shared" si="995"/>
        <v>9.2666666666627862</v>
      </c>
      <c r="S5994" s="158">
        <f t="shared" si="996"/>
        <v>9.2666666666627862</v>
      </c>
      <c r="T5994" s="161">
        <f t="shared" si="997"/>
        <v>6922.1999999971013</v>
      </c>
      <c r="U5994" s="158">
        <f t="shared" si="999"/>
        <v>747</v>
      </c>
      <c r="V5994" s="160">
        <f t="shared" si="998"/>
        <v>747</v>
      </c>
    </row>
    <row r="5995" spans="1:22" x14ac:dyDescent="0.25">
      <c r="A5995" s="98" t="s">
        <v>69</v>
      </c>
      <c r="B5995" s="98" t="s">
        <v>20</v>
      </c>
      <c r="C5995" s="98">
        <v>69</v>
      </c>
      <c r="D5995" s="98">
        <v>775</v>
      </c>
      <c r="E5995" s="157">
        <v>41916.151388888888</v>
      </c>
      <c r="F5995" s="157">
        <v>41918.787499999999</v>
      </c>
      <c r="G5995" s="98">
        <v>0</v>
      </c>
      <c r="H5995" s="98">
        <v>795</v>
      </c>
      <c r="I5995" s="98">
        <v>747</v>
      </c>
      <c r="J5995" s="98" t="s">
        <v>2499</v>
      </c>
      <c r="K5995" s="98" t="s">
        <v>3117</v>
      </c>
      <c r="L5995" s="105" t="str">
        <f t="shared" si="990"/>
        <v>Trimble</v>
      </c>
      <c r="M5995" s="105" t="str">
        <f t="shared" si="991"/>
        <v>Maintenance</v>
      </c>
      <c r="N5995" s="105" t="str">
        <f t="shared" si="992"/>
        <v>Coal</v>
      </c>
      <c r="O5995" s="105">
        <f>IFERROR(VLOOKUP(A5995,Lookup!$J$5:$P$19,7,FALSE),0)</f>
        <v>3</v>
      </c>
      <c r="P5995" s="159">
        <f t="shared" si="993"/>
        <v>2014</v>
      </c>
      <c r="Q5995" s="159">
        <f t="shared" si="994"/>
        <v>10</v>
      </c>
      <c r="R5995" s="160">
        <f t="shared" si="995"/>
        <v>63.266666666662786</v>
      </c>
      <c r="S5995" s="158">
        <f t="shared" si="996"/>
        <v>63.266666666662786</v>
      </c>
      <c r="T5995" s="161">
        <f t="shared" si="997"/>
        <v>47260.199999997101</v>
      </c>
      <c r="U5995" s="158">
        <f t="shared" si="999"/>
        <v>747</v>
      </c>
      <c r="V5995" s="160">
        <f t="shared" si="998"/>
        <v>747</v>
      </c>
    </row>
    <row r="5996" spans="1:22" x14ac:dyDescent="0.25">
      <c r="A5996" s="98" t="s">
        <v>69</v>
      </c>
      <c r="B5996" s="98" t="s">
        <v>17</v>
      </c>
      <c r="C5996" s="98">
        <v>70</v>
      </c>
      <c r="D5996" s="98">
        <v>335</v>
      </c>
      <c r="E5996" s="157">
        <v>41919.418055555558</v>
      </c>
      <c r="F5996" s="157">
        <v>41919.541666666664</v>
      </c>
      <c r="G5996" s="98">
        <v>669</v>
      </c>
      <c r="H5996" s="98">
        <v>795</v>
      </c>
      <c r="I5996" s="98">
        <v>747</v>
      </c>
      <c r="J5996" s="98" t="s">
        <v>2131</v>
      </c>
      <c r="K5996" s="98" t="s">
        <v>3118</v>
      </c>
      <c r="L5996" s="105" t="str">
        <f t="shared" si="990"/>
        <v>Trimble</v>
      </c>
      <c r="M5996" s="105" t="str">
        <f t="shared" si="991"/>
        <v>Derate</v>
      </c>
      <c r="N5996" s="105" t="str">
        <f t="shared" si="992"/>
        <v>Coal</v>
      </c>
      <c r="O5996" s="105">
        <f>IFERROR(VLOOKUP(A5996,Lookup!$J$5:$P$19,7,FALSE),0)</f>
        <v>3</v>
      </c>
      <c r="P5996" s="159">
        <f t="shared" si="993"/>
        <v>2014</v>
      </c>
      <c r="Q5996" s="159">
        <f t="shared" si="994"/>
        <v>10</v>
      </c>
      <c r="R5996" s="160">
        <f t="shared" si="995"/>
        <v>2.9666666665580124</v>
      </c>
      <c r="S5996" s="158">
        <f t="shared" si="996"/>
        <v>0.47018867922806235</v>
      </c>
      <c r="T5996" s="161">
        <f t="shared" si="997"/>
        <v>351.23094338336256</v>
      </c>
      <c r="U5996" s="158">
        <f t="shared" si="999"/>
        <v>118.39245283018867</v>
      </c>
      <c r="V5996" s="160">
        <f t="shared" si="998"/>
        <v>118</v>
      </c>
    </row>
    <row r="5997" spans="1:22" x14ac:dyDescent="0.25">
      <c r="A5997" s="98" t="s">
        <v>69</v>
      </c>
      <c r="B5997" s="98" t="s">
        <v>17</v>
      </c>
      <c r="C5997" s="98">
        <v>71</v>
      </c>
      <c r="D5997" s="98">
        <v>1400</v>
      </c>
      <c r="E5997" s="157">
        <v>41919.697916666664</v>
      </c>
      <c r="F5997" s="157">
        <v>41919.770833333336</v>
      </c>
      <c r="G5997" s="98">
        <v>779</v>
      </c>
      <c r="H5997" s="98">
        <v>795</v>
      </c>
      <c r="I5997" s="98">
        <v>747</v>
      </c>
      <c r="J5997" s="98" t="s">
        <v>2043</v>
      </c>
      <c r="K5997" s="98" t="s">
        <v>3119</v>
      </c>
      <c r="L5997" s="105" t="str">
        <f t="shared" si="990"/>
        <v>Trimble</v>
      </c>
      <c r="M5997" s="105" t="str">
        <f t="shared" si="991"/>
        <v>Derate</v>
      </c>
      <c r="N5997" s="105" t="str">
        <f t="shared" si="992"/>
        <v>Coal</v>
      </c>
      <c r="O5997" s="105">
        <f>IFERROR(VLOOKUP(A5997,Lookup!$J$5:$P$19,7,FALSE),0)</f>
        <v>3</v>
      </c>
      <c r="P5997" s="159">
        <f t="shared" si="993"/>
        <v>2014</v>
      </c>
      <c r="Q5997" s="159">
        <f t="shared" si="994"/>
        <v>10</v>
      </c>
      <c r="R5997" s="160">
        <f t="shared" si="995"/>
        <v>1.7500000001164153</v>
      </c>
      <c r="S5997" s="158">
        <f t="shared" si="996"/>
        <v>3.5220125788506473E-2</v>
      </c>
      <c r="T5997" s="161">
        <f t="shared" si="997"/>
        <v>26.309433964014335</v>
      </c>
      <c r="U5997" s="158">
        <f t="shared" si="999"/>
        <v>15.033962264150944</v>
      </c>
      <c r="V5997" s="160">
        <f t="shared" si="998"/>
        <v>15</v>
      </c>
    </row>
    <row r="5998" spans="1:22" x14ac:dyDescent="0.25">
      <c r="A5998" s="98" t="s">
        <v>69</v>
      </c>
      <c r="B5998" s="98" t="s">
        <v>17</v>
      </c>
      <c r="C5998" s="98">
        <v>72</v>
      </c>
      <c r="D5998" s="98">
        <v>310</v>
      </c>
      <c r="E5998" s="157">
        <v>41920.427083333336</v>
      </c>
      <c r="F5998" s="157">
        <v>41920.745833333334</v>
      </c>
      <c r="G5998" s="98">
        <v>669</v>
      </c>
      <c r="H5998" s="98">
        <v>795</v>
      </c>
      <c r="I5998" s="98">
        <v>747</v>
      </c>
      <c r="J5998" s="98" t="s">
        <v>1966</v>
      </c>
      <c r="K5998" s="98" t="s">
        <v>3120</v>
      </c>
      <c r="L5998" s="105" t="str">
        <f t="shared" si="990"/>
        <v>Trimble</v>
      </c>
      <c r="M5998" s="105" t="str">
        <f t="shared" si="991"/>
        <v>Derate</v>
      </c>
      <c r="N5998" s="105" t="str">
        <f t="shared" si="992"/>
        <v>Coal</v>
      </c>
      <c r="O5998" s="105">
        <f>IFERROR(VLOOKUP(A5998,Lookup!$J$5:$P$19,7,FALSE),0)</f>
        <v>3</v>
      </c>
      <c r="P5998" s="159">
        <f t="shared" si="993"/>
        <v>2014</v>
      </c>
      <c r="Q5998" s="159">
        <f t="shared" si="994"/>
        <v>10</v>
      </c>
      <c r="R5998" s="160">
        <f t="shared" si="995"/>
        <v>7.6499999999650754</v>
      </c>
      <c r="S5998" s="158">
        <f t="shared" si="996"/>
        <v>1.2124528301831441</v>
      </c>
      <c r="T5998" s="161">
        <f t="shared" si="997"/>
        <v>905.7022641468086</v>
      </c>
      <c r="U5998" s="158">
        <f t="shared" si="999"/>
        <v>118.39245283018867</v>
      </c>
      <c r="V5998" s="160">
        <f t="shared" si="998"/>
        <v>118</v>
      </c>
    </row>
    <row r="5999" spans="1:22" x14ac:dyDescent="0.25">
      <c r="A5999" s="98" t="s">
        <v>69</v>
      </c>
      <c r="B5999" s="98" t="s">
        <v>79</v>
      </c>
      <c r="C5999" s="98">
        <v>73</v>
      </c>
      <c r="D5999" s="98">
        <v>1190</v>
      </c>
      <c r="E5999" s="157">
        <v>41924.000694444447</v>
      </c>
      <c r="F5999" s="157">
        <v>41924.416666666664</v>
      </c>
      <c r="G5999" s="98">
        <v>0</v>
      </c>
      <c r="H5999" s="98">
        <v>795</v>
      </c>
      <c r="I5999" s="98">
        <v>747</v>
      </c>
      <c r="J5999" s="98" t="s">
        <v>2007</v>
      </c>
      <c r="K5999" s="98" t="s">
        <v>3121</v>
      </c>
      <c r="L5999" s="105" t="str">
        <f t="shared" si="990"/>
        <v>Trimble</v>
      </c>
      <c r="M5999" s="105" t="str">
        <f t="shared" si="991"/>
        <v>Other</v>
      </c>
      <c r="N5999" s="105" t="str">
        <f t="shared" si="992"/>
        <v>Coal</v>
      </c>
      <c r="O5999" s="105">
        <f>IFERROR(VLOOKUP(A5999,Lookup!$J$5:$P$19,7,FALSE),0)</f>
        <v>3</v>
      </c>
      <c r="P5999" s="159">
        <f t="shared" si="993"/>
        <v>2014</v>
      </c>
      <c r="Q5999" s="159">
        <f t="shared" si="994"/>
        <v>10</v>
      </c>
      <c r="R5999" s="160">
        <f t="shared" si="995"/>
        <v>9.9833333332207985</v>
      </c>
      <c r="S5999" s="158">
        <f t="shared" si="996"/>
        <v>9.9833333332207985</v>
      </c>
      <c r="T5999" s="161">
        <f t="shared" si="997"/>
        <v>7457.5499999159365</v>
      </c>
      <c r="U5999" s="158">
        <f t="shared" si="999"/>
        <v>747</v>
      </c>
      <c r="V5999" s="160">
        <f t="shared" si="998"/>
        <v>747</v>
      </c>
    </row>
    <row r="6000" spans="1:22" x14ac:dyDescent="0.25">
      <c r="A6000" s="98" t="s">
        <v>69</v>
      </c>
      <c r="B6000" s="98" t="s">
        <v>79</v>
      </c>
      <c r="C6000" s="98">
        <v>74</v>
      </c>
      <c r="D6000" s="98">
        <v>4490</v>
      </c>
      <c r="E6000" s="157">
        <v>41928.375</v>
      </c>
      <c r="F6000" s="157">
        <v>41928.4375</v>
      </c>
      <c r="G6000" s="98">
        <v>0</v>
      </c>
      <c r="H6000" s="98">
        <v>795</v>
      </c>
      <c r="I6000" s="98">
        <v>747</v>
      </c>
      <c r="J6000" s="98" t="s">
        <v>2084</v>
      </c>
      <c r="K6000" s="98" t="s">
        <v>3122</v>
      </c>
      <c r="L6000" s="105" t="str">
        <f t="shared" si="990"/>
        <v>Trimble</v>
      </c>
      <c r="M6000" s="105" t="str">
        <f t="shared" si="991"/>
        <v>Other</v>
      </c>
      <c r="N6000" s="105" t="str">
        <f t="shared" si="992"/>
        <v>Coal</v>
      </c>
      <c r="O6000" s="105">
        <f>IFERROR(VLOOKUP(A6000,Lookup!$J$5:$P$19,7,FALSE),0)</f>
        <v>3</v>
      </c>
      <c r="P6000" s="159">
        <f t="shared" si="993"/>
        <v>2014</v>
      </c>
      <c r="Q6000" s="159">
        <f t="shared" si="994"/>
        <v>10</v>
      </c>
      <c r="R6000" s="160">
        <f t="shared" si="995"/>
        <v>1.5</v>
      </c>
      <c r="S6000" s="158">
        <f t="shared" si="996"/>
        <v>1.5</v>
      </c>
      <c r="T6000" s="161">
        <f t="shared" si="997"/>
        <v>1120.5</v>
      </c>
      <c r="U6000" s="158">
        <f t="shared" si="999"/>
        <v>747</v>
      </c>
      <c r="V6000" s="160">
        <f t="shared" si="998"/>
        <v>747</v>
      </c>
    </row>
    <row r="6001" spans="1:22" x14ac:dyDescent="0.25">
      <c r="A6001" s="98" t="s">
        <v>69</v>
      </c>
      <c r="B6001" s="98" t="s">
        <v>79</v>
      </c>
      <c r="C6001" s="98">
        <v>75</v>
      </c>
      <c r="D6001" s="98">
        <v>1190</v>
      </c>
      <c r="E6001" s="157">
        <v>41931</v>
      </c>
      <c r="F6001" s="157">
        <v>41931.333333333336</v>
      </c>
      <c r="G6001" s="98">
        <v>0</v>
      </c>
      <c r="H6001" s="98">
        <v>795</v>
      </c>
      <c r="I6001" s="98">
        <v>747</v>
      </c>
      <c r="J6001" s="98" t="s">
        <v>2007</v>
      </c>
      <c r="K6001" s="98" t="s">
        <v>3123</v>
      </c>
      <c r="L6001" s="105" t="str">
        <f t="shared" si="990"/>
        <v>Trimble</v>
      </c>
      <c r="M6001" s="105" t="str">
        <f t="shared" si="991"/>
        <v>Other</v>
      </c>
      <c r="N6001" s="105" t="str">
        <f t="shared" si="992"/>
        <v>Coal</v>
      </c>
      <c r="O6001" s="105">
        <f>IFERROR(VLOOKUP(A6001,Lookup!$J$5:$P$19,7,FALSE),0)</f>
        <v>3</v>
      </c>
      <c r="P6001" s="159">
        <f t="shared" si="993"/>
        <v>2014</v>
      </c>
      <c r="Q6001" s="159">
        <f t="shared" si="994"/>
        <v>10</v>
      </c>
      <c r="R6001" s="160">
        <f t="shared" si="995"/>
        <v>8.0000000000582077</v>
      </c>
      <c r="S6001" s="158">
        <f t="shared" si="996"/>
        <v>8.0000000000582077</v>
      </c>
      <c r="T6001" s="161">
        <f t="shared" si="997"/>
        <v>5976.0000000434811</v>
      </c>
      <c r="U6001" s="158">
        <f t="shared" si="999"/>
        <v>747</v>
      </c>
      <c r="V6001" s="160">
        <f t="shared" si="998"/>
        <v>747</v>
      </c>
    </row>
    <row r="6002" spans="1:22" x14ac:dyDescent="0.25">
      <c r="A6002" s="98" t="s">
        <v>69</v>
      </c>
      <c r="B6002" s="98" t="s">
        <v>79</v>
      </c>
      <c r="C6002" s="98">
        <v>76</v>
      </c>
      <c r="D6002" s="98">
        <v>4267</v>
      </c>
      <c r="E6002" s="157">
        <v>41932</v>
      </c>
      <c r="F6002" s="157">
        <v>41932.25</v>
      </c>
      <c r="G6002" s="98">
        <v>0</v>
      </c>
      <c r="H6002" s="98">
        <v>795</v>
      </c>
      <c r="I6002" s="98">
        <v>747</v>
      </c>
      <c r="J6002" s="98" t="s">
        <v>2025</v>
      </c>
      <c r="K6002" s="98" t="s">
        <v>3124</v>
      </c>
      <c r="L6002" s="105" t="str">
        <f t="shared" si="990"/>
        <v>Trimble</v>
      </c>
      <c r="M6002" s="105" t="str">
        <f t="shared" si="991"/>
        <v>Other</v>
      </c>
      <c r="N6002" s="105" t="str">
        <f t="shared" si="992"/>
        <v>Coal</v>
      </c>
      <c r="O6002" s="105">
        <f>IFERROR(VLOOKUP(A6002,Lookup!$J$5:$P$19,7,FALSE),0)</f>
        <v>3</v>
      </c>
      <c r="P6002" s="159">
        <f t="shared" si="993"/>
        <v>2014</v>
      </c>
      <c r="Q6002" s="159">
        <f t="shared" si="994"/>
        <v>10</v>
      </c>
      <c r="R6002" s="160">
        <f t="shared" si="995"/>
        <v>6</v>
      </c>
      <c r="S6002" s="158">
        <f t="shared" si="996"/>
        <v>6</v>
      </c>
      <c r="T6002" s="161">
        <f t="shared" si="997"/>
        <v>4482</v>
      </c>
      <c r="U6002" s="158">
        <f t="shared" si="999"/>
        <v>747</v>
      </c>
      <c r="V6002" s="160">
        <f t="shared" si="998"/>
        <v>747</v>
      </c>
    </row>
    <row r="6003" spans="1:22" x14ac:dyDescent="0.25">
      <c r="A6003" s="98" t="s">
        <v>69</v>
      </c>
      <c r="B6003" s="98" t="s">
        <v>32</v>
      </c>
      <c r="C6003" s="98">
        <v>77</v>
      </c>
      <c r="D6003" s="98">
        <v>1990</v>
      </c>
      <c r="E6003" s="157">
        <v>41933</v>
      </c>
      <c r="F6003" s="157">
        <v>41933.25</v>
      </c>
      <c r="G6003" s="98">
        <v>784</v>
      </c>
      <c r="H6003" s="98">
        <v>795</v>
      </c>
      <c r="I6003" s="98">
        <v>747</v>
      </c>
      <c r="J6003" s="98" t="s">
        <v>2114</v>
      </c>
      <c r="K6003" s="98" t="s">
        <v>3125</v>
      </c>
      <c r="L6003" s="105" t="str">
        <f t="shared" si="990"/>
        <v>Trimble</v>
      </c>
      <c r="M6003" s="105" t="str">
        <f t="shared" si="991"/>
        <v>Derate</v>
      </c>
      <c r="N6003" s="105" t="str">
        <f t="shared" si="992"/>
        <v>Coal</v>
      </c>
      <c r="O6003" s="105">
        <f>IFERROR(VLOOKUP(A6003,Lookup!$J$5:$P$19,7,FALSE),0)</f>
        <v>3</v>
      </c>
      <c r="P6003" s="159">
        <f t="shared" si="993"/>
        <v>2014</v>
      </c>
      <c r="Q6003" s="159">
        <f t="shared" si="994"/>
        <v>10</v>
      </c>
      <c r="R6003" s="160">
        <f t="shared" si="995"/>
        <v>6</v>
      </c>
      <c r="S6003" s="158">
        <f t="shared" si="996"/>
        <v>8.3018867924528297E-2</v>
      </c>
      <c r="T6003" s="161">
        <f t="shared" si="997"/>
        <v>62.015094339622635</v>
      </c>
      <c r="U6003" s="158">
        <f t="shared" si="999"/>
        <v>10.335849056603774</v>
      </c>
      <c r="V6003" s="160">
        <f t="shared" si="998"/>
        <v>10</v>
      </c>
    </row>
    <row r="6004" spans="1:22" x14ac:dyDescent="0.25">
      <c r="A6004" s="98" t="s">
        <v>69</v>
      </c>
      <c r="B6004" s="98" t="s">
        <v>17</v>
      </c>
      <c r="C6004" s="98">
        <v>78</v>
      </c>
      <c r="D6004" s="98">
        <v>1990</v>
      </c>
      <c r="E6004" s="157">
        <v>41934.354166666664</v>
      </c>
      <c r="F6004" s="157">
        <v>41934.46875</v>
      </c>
      <c r="G6004" s="98">
        <v>777</v>
      </c>
      <c r="H6004" s="98">
        <v>795</v>
      </c>
      <c r="I6004" s="98">
        <v>747</v>
      </c>
      <c r="J6004" s="98" t="s">
        <v>2114</v>
      </c>
      <c r="K6004" s="98" t="s">
        <v>3126</v>
      </c>
      <c r="L6004" s="105" t="str">
        <f t="shared" si="990"/>
        <v>Trimble</v>
      </c>
      <c r="M6004" s="105" t="str">
        <f t="shared" si="991"/>
        <v>Derate</v>
      </c>
      <c r="N6004" s="105" t="str">
        <f t="shared" si="992"/>
        <v>Coal</v>
      </c>
      <c r="O6004" s="105">
        <f>IFERROR(VLOOKUP(A6004,Lookup!$J$5:$P$19,7,FALSE),0)</f>
        <v>3</v>
      </c>
      <c r="P6004" s="159">
        <f t="shared" si="993"/>
        <v>2014</v>
      </c>
      <c r="Q6004" s="159">
        <f t="shared" si="994"/>
        <v>10</v>
      </c>
      <c r="R6004" s="160">
        <f t="shared" si="995"/>
        <v>2.7500000000582077</v>
      </c>
      <c r="S6004" s="158">
        <f t="shared" si="996"/>
        <v>6.2264150944714138E-2</v>
      </c>
      <c r="T6004" s="161">
        <f t="shared" si="997"/>
        <v>46.511320755701462</v>
      </c>
      <c r="U6004" s="158">
        <f t="shared" si="999"/>
        <v>16.913207547169812</v>
      </c>
      <c r="V6004" s="160">
        <f t="shared" si="998"/>
        <v>17</v>
      </c>
    </row>
    <row r="6005" spans="1:22" x14ac:dyDescent="0.25">
      <c r="A6005" s="98" t="s">
        <v>69</v>
      </c>
      <c r="B6005" s="98" t="s">
        <v>17</v>
      </c>
      <c r="C6005" s="98">
        <v>79</v>
      </c>
      <c r="D6005" s="98">
        <v>1990</v>
      </c>
      <c r="E6005" s="157">
        <v>41934.46875</v>
      </c>
      <c r="F6005" s="157">
        <v>41934.572916666664</v>
      </c>
      <c r="G6005" s="98">
        <v>787</v>
      </c>
      <c r="H6005" s="98">
        <v>795</v>
      </c>
      <c r="I6005" s="98">
        <v>747</v>
      </c>
      <c r="J6005" s="98" t="s">
        <v>2114</v>
      </c>
      <c r="K6005" s="98" t="s">
        <v>3126</v>
      </c>
      <c r="L6005" s="105" t="str">
        <f t="shared" si="990"/>
        <v>Trimble</v>
      </c>
      <c r="M6005" s="105" t="str">
        <f t="shared" si="991"/>
        <v>Derate</v>
      </c>
      <c r="N6005" s="105" t="str">
        <f t="shared" si="992"/>
        <v>Coal</v>
      </c>
      <c r="O6005" s="105">
        <f>IFERROR(VLOOKUP(A6005,Lookup!$J$5:$P$19,7,FALSE),0)</f>
        <v>3</v>
      </c>
      <c r="P6005" s="159">
        <f t="shared" si="993"/>
        <v>2014</v>
      </c>
      <c r="Q6005" s="159">
        <f t="shared" si="994"/>
        <v>10</v>
      </c>
      <c r="R6005" s="160">
        <f t="shared" si="995"/>
        <v>2.4999999999417923</v>
      </c>
      <c r="S6005" s="158">
        <f t="shared" si="996"/>
        <v>2.5157232703816777E-2</v>
      </c>
      <c r="T6005" s="161">
        <f t="shared" si="997"/>
        <v>18.792452829751134</v>
      </c>
      <c r="U6005" s="158">
        <f t="shared" si="999"/>
        <v>7.5169811320754718</v>
      </c>
      <c r="V6005" s="160">
        <f t="shared" si="998"/>
        <v>8</v>
      </c>
    </row>
    <row r="6006" spans="1:22" x14ac:dyDescent="0.25">
      <c r="A6006" s="98" t="s">
        <v>69</v>
      </c>
      <c r="B6006" s="98" t="s">
        <v>17</v>
      </c>
      <c r="C6006" s="98">
        <v>80</v>
      </c>
      <c r="D6006" s="98">
        <v>1990</v>
      </c>
      <c r="E6006" s="157">
        <v>41934.572916666664</v>
      </c>
      <c r="F6006" s="157">
        <v>41934.708333333336</v>
      </c>
      <c r="G6006" s="98">
        <v>792</v>
      </c>
      <c r="H6006" s="98">
        <v>795</v>
      </c>
      <c r="I6006" s="98">
        <v>747</v>
      </c>
      <c r="J6006" s="98" t="s">
        <v>2114</v>
      </c>
      <c r="K6006" s="98" t="s">
        <v>3126</v>
      </c>
      <c r="L6006" s="105" t="str">
        <f t="shared" si="990"/>
        <v>Trimble</v>
      </c>
      <c r="M6006" s="105" t="str">
        <f t="shared" si="991"/>
        <v>Derate</v>
      </c>
      <c r="N6006" s="105" t="str">
        <f t="shared" si="992"/>
        <v>Coal</v>
      </c>
      <c r="O6006" s="105">
        <f>IFERROR(VLOOKUP(A6006,Lookup!$J$5:$P$19,7,FALSE),0)</f>
        <v>3</v>
      </c>
      <c r="P6006" s="159">
        <f t="shared" si="993"/>
        <v>2014</v>
      </c>
      <c r="Q6006" s="159">
        <f t="shared" si="994"/>
        <v>10</v>
      </c>
      <c r="R6006" s="160">
        <f t="shared" si="995"/>
        <v>3.2500000001164153</v>
      </c>
      <c r="S6006" s="158">
        <f t="shared" si="996"/>
        <v>1.226415094383553E-2</v>
      </c>
      <c r="T6006" s="161">
        <f t="shared" si="997"/>
        <v>9.161320755045141</v>
      </c>
      <c r="U6006" s="158">
        <f t="shared" si="999"/>
        <v>2.8188679245283019</v>
      </c>
      <c r="V6006" s="160">
        <f t="shared" si="998"/>
        <v>3</v>
      </c>
    </row>
    <row r="6007" spans="1:22" x14ac:dyDescent="0.25">
      <c r="A6007" s="98" t="s">
        <v>69</v>
      </c>
      <c r="B6007" s="98" t="s">
        <v>32</v>
      </c>
      <c r="C6007" s="98">
        <v>81</v>
      </c>
      <c r="D6007" s="98">
        <v>1990</v>
      </c>
      <c r="E6007" s="157">
        <v>41935.395833333336</v>
      </c>
      <c r="F6007" s="157">
        <v>41935.739583333336</v>
      </c>
      <c r="G6007" s="98">
        <v>792</v>
      </c>
      <c r="H6007" s="98">
        <v>795</v>
      </c>
      <c r="I6007" s="98">
        <v>747</v>
      </c>
      <c r="J6007" s="98" t="s">
        <v>2114</v>
      </c>
      <c r="K6007" s="98" t="s">
        <v>3127</v>
      </c>
      <c r="L6007" s="105" t="str">
        <f t="shared" si="990"/>
        <v>Trimble</v>
      </c>
      <c r="M6007" s="105" t="str">
        <f t="shared" si="991"/>
        <v>Derate</v>
      </c>
      <c r="N6007" s="105" t="str">
        <f t="shared" si="992"/>
        <v>Coal</v>
      </c>
      <c r="O6007" s="105">
        <f>IFERROR(VLOOKUP(A6007,Lookup!$J$5:$P$19,7,FALSE),0)</f>
        <v>3</v>
      </c>
      <c r="P6007" s="159">
        <f t="shared" si="993"/>
        <v>2014</v>
      </c>
      <c r="Q6007" s="159">
        <f t="shared" si="994"/>
        <v>10</v>
      </c>
      <c r="R6007" s="160">
        <f t="shared" si="995"/>
        <v>8.25</v>
      </c>
      <c r="S6007" s="158">
        <f t="shared" si="996"/>
        <v>3.1132075471698113E-2</v>
      </c>
      <c r="T6007" s="161">
        <f t="shared" si="997"/>
        <v>23.255660377358492</v>
      </c>
      <c r="U6007" s="158">
        <f t="shared" si="999"/>
        <v>2.8188679245283019</v>
      </c>
      <c r="V6007" s="160">
        <f t="shared" si="998"/>
        <v>3</v>
      </c>
    </row>
    <row r="6008" spans="1:22" x14ac:dyDescent="0.25">
      <c r="A6008" s="98" t="s">
        <v>69</v>
      </c>
      <c r="B6008" s="98" t="s">
        <v>17</v>
      </c>
      <c r="C6008" s="98">
        <v>82</v>
      </c>
      <c r="D6008" s="98">
        <v>1990</v>
      </c>
      <c r="E6008" s="157">
        <v>41936.416666666664</v>
      </c>
      <c r="F6008" s="157">
        <v>41936.75</v>
      </c>
      <c r="G6008" s="98">
        <v>792</v>
      </c>
      <c r="H6008" s="98">
        <v>795</v>
      </c>
      <c r="I6008" s="98">
        <v>747</v>
      </c>
      <c r="J6008" s="98" t="s">
        <v>2114</v>
      </c>
      <c r="K6008" s="98" t="s">
        <v>3127</v>
      </c>
      <c r="L6008" s="105" t="str">
        <f t="shared" si="990"/>
        <v>Trimble</v>
      </c>
      <c r="M6008" s="105" t="str">
        <f t="shared" si="991"/>
        <v>Derate</v>
      </c>
      <c r="N6008" s="105" t="str">
        <f t="shared" si="992"/>
        <v>Coal</v>
      </c>
      <c r="O6008" s="105">
        <f>IFERROR(VLOOKUP(A6008,Lookup!$J$5:$P$19,7,FALSE),0)</f>
        <v>3</v>
      </c>
      <c r="P6008" s="159">
        <f t="shared" si="993"/>
        <v>2014</v>
      </c>
      <c r="Q6008" s="159">
        <f t="shared" si="994"/>
        <v>10</v>
      </c>
      <c r="R6008" s="160">
        <f t="shared" si="995"/>
        <v>8.0000000000582077</v>
      </c>
      <c r="S6008" s="158">
        <f t="shared" si="996"/>
        <v>3.018867924550267E-2</v>
      </c>
      <c r="T6008" s="161">
        <f t="shared" si="997"/>
        <v>22.550943396390494</v>
      </c>
      <c r="U6008" s="158">
        <f t="shared" si="999"/>
        <v>2.8188679245283019</v>
      </c>
      <c r="V6008" s="160">
        <f t="shared" si="998"/>
        <v>3</v>
      </c>
    </row>
    <row r="6009" spans="1:22" x14ac:dyDescent="0.25">
      <c r="A6009" s="98" t="s">
        <v>69</v>
      </c>
      <c r="B6009" s="98" t="s">
        <v>79</v>
      </c>
      <c r="C6009" s="98">
        <v>83</v>
      </c>
      <c r="D6009" s="98">
        <v>1190</v>
      </c>
      <c r="E6009" s="157">
        <v>41938.000694444447</v>
      </c>
      <c r="F6009" s="157">
        <v>41938.333333333336</v>
      </c>
      <c r="G6009" s="98">
        <v>0</v>
      </c>
      <c r="H6009" s="98">
        <v>795</v>
      </c>
      <c r="I6009" s="98">
        <v>747</v>
      </c>
      <c r="J6009" s="98" t="s">
        <v>2007</v>
      </c>
      <c r="K6009" s="98" t="s">
        <v>3128</v>
      </c>
      <c r="L6009" s="105" t="str">
        <f t="shared" si="990"/>
        <v>Trimble</v>
      </c>
      <c r="M6009" s="105" t="str">
        <f t="shared" si="991"/>
        <v>Other</v>
      </c>
      <c r="N6009" s="105" t="str">
        <f t="shared" si="992"/>
        <v>Coal</v>
      </c>
      <c r="O6009" s="105">
        <f>IFERROR(VLOOKUP(A6009,Lookup!$J$5:$P$19,7,FALSE),0)</f>
        <v>3</v>
      </c>
      <c r="P6009" s="159">
        <f t="shared" si="993"/>
        <v>2014</v>
      </c>
      <c r="Q6009" s="159">
        <f t="shared" si="994"/>
        <v>10</v>
      </c>
      <c r="R6009" s="160">
        <f t="shared" si="995"/>
        <v>7.9833333333372138</v>
      </c>
      <c r="S6009" s="158">
        <f t="shared" si="996"/>
        <v>7.9833333333372138</v>
      </c>
      <c r="T6009" s="161">
        <f t="shared" si="997"/>
        <v>5963.5500000028987</v>
      </c>
      <c r="U6009" s="158">
        <f t="shared" si="999"/>
        <v>747</v>
      </c>
      <c r="V6009" s="160">
        <f t="shared" si="998"/>
        <v>747</v>
      </c>
    </row>
    <row r="6010" spans="1:22" x14ac:dyDescent="0.25">
      <c r="A6010" s="98" t="s">
        <v>69</v>
      </c>
      <c r="B6010" s="98" t="s">
        <v>32</v>
      </c>
      <c r="C6010" s="98">
        <v>84</v>
      </c>
      <c r="D6010" s="98">
        <v>1990</v>
      </c>
      <c r="E6010" s="157">
        <v>41941.541666666664</v>
      </c>
      <c r="F6010" s="157">
        <v>41941.625</v>
      </c>
      <c r="G6010" s="98">
        <v>762</v>
      </c>
      <c r="H6010" s="98">
        <v>795</v>
      </c>
      <c r="I6010" s="98">
        <v>747</v>
      </c>
      <c r="J6010" s="98" t="s">
        <v>2114</v>
      </c>
      <c r="K6010" s="98" t="s">
        <v>3129</v>
      </c>
      <c r="L6010" s="105" t="str">
        <f t="shared" si="990"/>
        <v>Trimble</v>
      </c>
      <c r="M6010" s="105" t="str">
        <f t="shared" si="991"/>
        <v>Derate</v>
      </c>
      <c r="N6010" s="105" t="str">
        <f t="shared" si="992"/>
        <v>Coal</v>
      </c>
      <c r="O6010" s="105">
        <f>IFERROR(VLOOKUP(A6010,Lookup!$J$5:$P$19,7,FALSE),0)</f>
        <v>3</v>
      </c>
      <c r="P6010" s="159">
        <f t="shared" si="993"/>
        <v>2014</v>
      </c>
      <c r="Q6010" s="159">
        <f t="shared" si="994"/>
        <v>10</v>
      </c>
      <c r="R6010" s="160">
        <f t="shared" si="995"/>
        <v>2.0000000000582077</v>
      </c>
      <c r="S6010" s="158">
        <f t="shared" si="996"/>
        <v>8.3018867926944476E-2</v>
      </c>
      <c r="T6010" s="161">
        <f t="shared" si="997"/>
        <v>62.01509434142752</v>
      </c>
      <c r="U6010" s="158">
        <f t="shared" si="999"/>
        <v>31.007547169811321</v>
      </c>
      <c r="V6010" s="160">
        <f t="shared" si="998"/>
        <v>31</v>
      </c>
    </row>
    <row r="6011" spans="1:22" x14ac:dyDescent="0.25">
      <c r="A6011" s="98" t="s">
        <v>69</v>
      </c>
      <c r="B6011" s="98" t="s">
        <v>32</v>
      </c>
      <c r="C6011" s="98">
        <v>85</v>
      </c>
      <c r="D6011" s="98">
        <v>1990</v>
      </c>
      <c r="E6011" s="157">
        <v>41942.583333333336</v>
      </c>
      <c r="F6011" s="157">
        <v>41942.625</v>
      </c>
      <c r="G6011" s="98">
        <v>660</v>
      </c>
      <c r="H6011" s="98">
        <v>795</v>
      </c>
      <c r="I6011" s="98">
        <v>747</v>
      </c>
      <c r="J6011" s="98" t="s">
        <v>2114</v>
      </c>
      <c r="K6011" s="98" t="s">
        <v>3130</v>
      </c>
      <c r="L6011" s="105" t="str">
        <f t="shared" si="990"/>
        <v>Trimble</v>
      </c>
      <c r="M6011" s="105" t="str">
        <f t="shared" si="991"/>
        <v>Derate</v>
      </c>
      <c r="N6011" s="105" t="str">
        <f t="shared" si="992"/>
        <v>Coal</v>
      </c>
      <c r="O6011" s="105">
        <f>IFERROR(VLOOKUP(A6011,Lookup!$J$5:$P$19,7,FALSE),0)</f>
        <v>3</v>
      </c>
      <c r="P6011" s="159">
        <f t="shared" si="993"/>
        <v>2014</v>
      </c>
      <c r="Q6011" s="159">
        <f t="shared" si="994"/>
        <v>10</v>
      </c>
      <c r="R6011" s="160">
        <f t="shared" si="995"/>
        <v>0.99999999994179234</v>
      </c>
      <c r="S6011" s="158">
        <f t="shared" si="996"/>
        <v>0.16981132074483266</v>
      </c>
      <c r="T6011" s="161">
        <f t="shared" si="997"/>
        <v>126.84905659639</v>
      </c>
      <c r="U6011" s="158">
        <f t="shared" si="999"/>
        <v>126.84905660377359</v>
      </c>
      <c r="V6011" s="160">
        <f t="shared" si="998"/>
        <v>127</v>
      </c>
    </row>
    <row r="6012" spans="1:22" x14ac:dyDescent="0.25">
      <c r="A6012" s="98" t="s">
        <v>69</v>
      </c>
      <c r="B6012" s="98" t="s">
        <v>32</v>
      </c>
      <c r="C6012" s="98">
        <v>86</v>
      </c>
      <c r="D6012" s="98">
        <v>1990</v>
      </c>
      <c r="E6012" s="157">
        <v>41943.416666666664</v>
      </c>
      <c r="F6012" s="157">
        <v>41943.458333333336</v>
      </c>
      <c r="G6012" s="98">
        <v>695</v>
      </c>
      <c r="H6012" s="98">
        <v>795</v>
      </c>
      <c r="I6012" s="98">
        <v>747</v>
      </c>
      <c r="J6012" s="98" t="s">
        <v>2114</v>
      </c>
      <c r="K6012" s="98" t="s">
        <v>3130</v>
      </c>
      <c r="L6012" s="105" t="str">
        <f t="shared" si="990"/>
        <v>Trimble</v>
      </c>
      <c r="M6012" s="105" t="str">
        <f t="shared" si="991"/>
        <v>Derate</v>
      </c>
      <c r="N6012" s="105" t="str">
        <f t="shared" si="992"/>
        <v>Coal</v>
      </c>
      <c r="O6012" s="105">
        <f>IFERROR(VLOOKUP(A6012,Lookup!$J$5:$P$19,7,FALSE),0)</f>
        <v>3</v>
      </c>
      <c r="P6012" s="159">
        <f t="shared" si="993"/>
        <v>2014</v>
      </c>
      <c r="Q6012" s="159">
        <f t="shared" si="994"/>
        <v>10</v>
      </c>
      <c r="R6012" s="160">
        <f t="shared" si="995"/>
        <v>1.0000000001164153</v>
      </c>
      <c r="S6012" s="158">
        <f t="shared" si="996"/>
        <v>0.125786163536656</v>
      </c>
      <c r="T6012" s="161">
        <f t="shared" si="997"/>
        <v>93.962264161882032</v>
      </c>
      <c r="U6012" s="158">
        <f t="shared" si="999"/>
        <v>93.962264150943398</v>
      </c>
      <c r="V6012" s="160">
        <f t="shared" si="998"/>
        <v>94</v>
      </c>
    </row>
    <row r="6013" spans="1:22" x14ac:dyDescent="0.25">
      <c r="A6013" s="98" t="s">
        <v>69</v>
      </c>
      <c r="B6013" s="98" t="s">
        <v>32</v>
      </c>
      <c r="C6013" s="98">
        <v>87</v>
      </c>
      <c r="D6013" s="98">
        <v>1990</v>
      </c>
      <c r="E6013" s="157">
        <v>41943.520833333336</v>
      </c>
      <c r="F6013" s="157">
        <v>41943.5625</v>
      </c>
      <c r="G6013" s="98">
        <v>695</v>
      </c>
      <c r="H6013" s="98">
        <v>795</v>
      </c>
      <c r="I6013" s="98">
        <v>747</v>
      </c>
      <c r="J6013" s="98" t="s">
        <v>2114</v>
      </c>
      <c r="K6013" s="98" t="s">
        <v>3130</v>
      </c>
      <c r="L6013" s="105" t="str">
        <f t="shared" si="990"/>
        <v>Trimble</v>
      </c>
      <c r="M6013" s="105" t="str">
        <f t="shared" si="991"/>
        <v>Derate</v>
      </c>
      <c r="N6013" s="105" t="str">
        <f t="shared" si="992"/>
        <v>Coal</v>
      </c>
      <c r="O6013" s="105">
        <f>IFERROR(VLOOKUP(A6013,Lookup!$J$5:$P$19,7,FALSE),0)</f>
        <v>3</v>
      </c>
      <c r="P6013" s="159">
        <f t="shared" si="993"/>
        <v>2014</v>
      </c>
      <c r="Q6013" s="159">
        <f t="shared" si="994"/>
        <v>10</v>
      </c>
      <c r="R6013" s="160">
        <f t="shared" si="995"/>
        <v>0.99999999994179234</v>
      </c>
      <c r="S6013" s="158">
        <f t="shared" si="996"/>
        <v>0.12578616351469085</v>
      </c>
      <c r="T6013" s="161">
        <f t="shared" si="997"/>
        <v>93.962264145474066</v>
      </c>
      <c r="U6013" s="158">
        <f t="shared" si="999"/>
        <v>93.962264150943398</v>
      </c>
      <c r="V6013" s="160">
        <f t="shared" si="998"/>
        <v>94</v>
      </c>
    </row>
    <row r="6014" spans="1:22" x14ac:dyDescent="0.25">
      <c r="A6014" s="98" t="s">
        <v>69</v>
      </c>
      <c r="B6014" s="98" t="s">
        <v>32</v>
      </c>
      <c r="C6014" s="98">
        <v>88</v>
      </c>
      <c r="D6014" s="98">
        <v>1990</v>
      </c>
      <c r="E6014" s="157">
        <v>41943.625</v>
      </c>
      <c r="F6014" s="157">
        <v>41943.68472222222</v>
      </c>
      <c r="G6014" s="98">
        <v>695</v>
      </c>
      <c r="H6014" s="98">
        <v>795</v>
      </c>
      <c r="I6014" s="98">
        <v>747</v>
      </c>
      <c r="J6014" s="98" t="s">
        <v>2114</v>
      </c>
      <c r="K6014" s="98" t="s">
        <v>3130</v>
      </c>
      <c r="L6014" s="105" t="str">
        <f t="shared" si="990"/>
        <v>Trimble</v>
      </c>
      <c r="M6014" s="105" t="str">
        <f t="shared" si="991"/>
        <v>Derate</v>
      </c>
      <c r="N6014" s="105" t="str">
        <f t="shared" si="992"/>
        <v>Coal</v>
      </c>
      <c r="O6014" s="105">
        <f>IFERROR(VLOOKUP(A6014,Lookup!$J$5:$P$19,7,FALSE),0)</f>
        <v>3</v>
      </c>
      <c r="P6014" s="159">
        <f t="shared" si="993"/>
        <v>2014</v>
      </c>
      <c r="Q6014" s="159">
        <f t="shared" si="994"/>
        <v>10</v>
      </c>
      <c r="R6014" s="160">
        <f t="shared" si="995"/>
        <v>1.4333333332906477</v>
      </c>
      <c r="S6014" s="158">
        <f t="shared" si="996"/>
        <v>0.18029350104284877</v>
      </c>
      <c r="T6014" s="161">
        <f t="shared" si="997"/>
        <v>134.67924527900803</v>
      </c>
      <c r="U6014" s="158">
        <f t="shared" si="999"/>
        <v>93.962264150943398</v>
      </c>
      <c r="V6014" s="160">
        <f t="shared" si="998"/>
        <v>94</v>
      </c>
    </row>
    <row r="6015" spans="1:22" x14ac:dyDescent="0.25">
      <c r="A6015" s="98" t="s">
        <v>69</v>
      </c>
      <c r="B6015" s="98" t="s">
        <v>32</v>
      </c>
      <c r="C6015" s="98">
        <v>89</v>
      </c>
      <c r="D6015" s="98">
        <v>1990</v>
      </c>
      <c r="E6015" s="157">
        <v>41944.458333333336</v>
      </c>
      <c r="F6015" s="157">
        <v>41944.5</v>
      </c>
      <c r="G6015" s="98">
        <v>658</v>
      </c>
      <c r="H6015" s="98">
        <v>795</v>
      </c>
      <c r="I6015" s="98">
        <v>747</v>
      </c>
      <c r="J6015" s="98" t="s">
        <v>2114</v>
      </c>
      <c r="K6015" s="98" t="s">
        <v>3130</v>
      </c>
      <c r="L6015" s="105" t="str">
        <f t="shared" si="990"/>
        <v>Trimble</v>
      </c>
      <c r="M6015" s="105" t="str">
        <f t="shared" si="991"/>
        <v>Derate</v>
      </c>
      <c r="N6015" s="105" t="str">
        <f t="shared" si="992"/>
        <v>Coal</v>
      </c>
      <c r="O6015" s="105">
        <f>IFERROR(VLOOKUP(A6015,Lookup!$J$5:$P$19,7,FALSE),0)</f>
        <v>3</v>
      </c>
      <c r="P6015" s="159">
        <f t="shared" si="993"/>
        <v>2014</v>
      </c>
      <c r="Q6015" s="159">
        <f t="shared" si="994"/>
        <v>11</v>
      </c>
      <c r="R6015" s="160">
        <f t="shared" si="995"/>
        <v>0.99999999994179234</v>
      </c>
      <c r="S6015" s="158">
        <f t="shared" si="996"/>
        <v>0.17232704401512647</v>
      </c>
      <c r="T6015" s="161">
        <f t="shared" si="997"/>
        <v>128.72830187929947</v>
      </c>
      <c r="U6015" s="158">
        <f t="shared" si="999"/>
        <v>128.72830188679245</v>
      </c>
      <c r="V6015" s="160">
        <f t="shared" si="998"/>
        <v>129</v>
      </c>
    </row>
    <row r="6016" spans="1:22" x14ac:dyDescent="0.25">
      <c r="A6016" s="98" t="s">
        <v>69</v>
      </c>
      <c r="B6016" s="98" t="s">
        <v>32</v>
      </c>
      <c r="C6016" s="98">
        <v>90</v>
      </c>
      <c r="D6016" s="98">
        <v>1990</v>
      </c>
      <c r="E6016" s="157">
        <v>41944.5</v>
      </c>
      <c r="F6016" s="157">
        <v>41944.541666666664</v>
      </c>
      <c r="G6016" s="98">
        <v>480</v>
      </c>
      <c r="H6016" s="98">
        <v>795</v>
      </c>
      <c r="I6016" s="98">
        <v>747</v>
      </c>
      <c r="J6016" s="98" t="s">
        <v>2114</v>
      </c>
      <c r="K6016" s="98" t="s">
        <v>3130</v>
      </c>
      <c r="L6016" s="105" t="str">
        <f t="shared" si="990"/>
        <v>Trimble</v>
      </c>
      <c r="M6016" s="105" t="str">
        <f t="shared" si="991"/>
        <v>Derate</v>
      </c>
      <c r="N6016" s="105" t="str">
        <f t="shared" si="992"/>
        <v>Coal</v>
      </c>
      <c r="O6016" s="105">
        <f>IFERROR(VLOOKUP(A6016,Lookup!$J$5:$P$19,7,FALSE),0)</f>
        <v>3</v>
      </c>
      <c r="P6016" s="159">
        <f t="shared" si="993"/>
        <v>2014</v>
      </c>
      <c r="Q6016" s="159">
        <f t="shared" si="994"/>
        <v>11</v>
      </c>
      <c r="R6016" s="160">
        <f t="shared" si="995"/>
        <v>0.99999999994179234</v>
      </c>
      <c r="S6016" s="158">
        <f t="shared" si="996"/>
        <v>0.39622641507127621</v>
      </c>
      <c r="T6016" s="161">
        <f t="shared" si="997"/>
        <v>295.9811320582433</v>
      </c>
      <c r="U6016" s="158">
        <f t="shared" si="999"/>
        <v>295.98113207547169</v>
      </c>
      <c r="V6016" s="160">
        <f t="shared" si="998"/>
        <v>296</v>
      </c>
    </row>
    <row r="6017" spans="1:22" x14ac:dyDescent="0.25">
      <c r="A6017" s="98" t="s">
        <v>69</v>
      </c>
      <c r="B6017" s="98" t="s">
        <v>32</v>
      </c>
      <c r="C6017" s="98">
        <v>91</v>
      </c>
      <c r="D6017" s="98">
        <v>1990</v>
      </c>
      <c r="E6017" s="157">
        <v>41944.541666666664</v>
      </c>
      <c r="F6017" s="157">
        <v>41944.583333333336</v>
      </c>
      <c r="G6017" s="98">
        <v>658</v>
      </c>
      <c r="H6017" s="98">
        <v>795</v>
      </c>
      <c r="I6017" s="98">
        <v>747</v>
      </c>
      <c r="J6017" s="98" t="s">
        <v>2114</v>
      </c>
      <c r="K6017" s="98" t="s">
        <v>3130</v>
      </c>
      <c r="L6017" s="105" t="str">
        <f t="shared" ref="L6017:L6080" si="1000">IF(OR(A6017="BR1",A6017="BR2",A6017="BR3",A6017="BR5",A6017="BR6",A6017="BR7",A6017="BR8",A6017="BR9",A6017="BR10",A6017="BR11"),"Brown",IF(OR(A6017="CR4",A6017="CR5",A6017="CR6",A6017="CR11"),"Cane Run",IF(OR(A6017="GH1",A6017="GH2",A6017="GH3",A6017="GH4"),"Ghent",IF(OR(A6017="GR3",A6017="GR4"),"Green River",IF(OR(A6017="MC1",A6017="MC2",A6017="MC3",A6017="MC4"),"Mill Creek",IF(OR(A6017="TC1",A6017="TC2",A6017="TC5",A6017="TC6",A6017="TC7",A6017="TC8",A6017="TC9",A6017="TC10"),"Trimble",IF(A6017="TY3","Tyrone",IF(OR(A6017="HA1",A6017="HA2",A6017="HA3"),"Haeflin",IF(OR(A6017="PR11",A6017="PR12",A6017="PR13"),"Paddy's Run","Zorn")))))))))</f>
        <v>Trimble</v>
      </c>
      <c r="M6017" s="105" t="str">
        <f t="shared" ref="M6017:M6080" si="1001">IF(OR(B6017="D1",B6017="D2",B6017="D3",B6017="D4",B6017="PD"),"Derate",IF(OR(B6017="SF",B6017="U1",B6017="U2",B6017="U3"),"Outage",IF(OR(B6017="ME",B6017="MO"),"Maintenance","Other")))</f>
        <v>Derate</v>
      </c>
      <c r="N6017" s="105" t="str">
        <f t="shared" ref="N6017:N6080" si="1002">IF(OR(A6017="BR1",A6017="BR2",A6017="BR3",A6017="CR4",A6017="CR5",A6017="CR6",A6017="GH1",A6017="GH2",A6017="GH3",A6017="GH4",A6017="GR3",A6017="GR4",A6017="MC1",A6017="MC2",A6017="MC3",A6017="MC4",A6017="TC1",A6017="TC2",A6017="TY3"),"Coal","Gas")</f>
        <v>Coal</v>
      </c>
      <c r="O6017" s="105">
        <f>IFERROR(VLOOKUP(A6017,Lookup!$J$5:$P$19,7,FALSE),0)</f>
        <v>3</v>
      </c>
      <c r="P6017" s="159">
        <f t="shared" ref="P6017:P6080" si="1003">YEAR(E6017)</f>
        <v>2014</v>
      </c>
      <c r="Q6017" s="159">
        <f t="shared" ref="Q6017:Q6080" si="1004">MONTH(E6017)</f>
        <v>11</v>
      </c>
      <c r="R6017" s="160">
        <f t="shared" ref="R6017:R6080" si="1005">(F6017-E6017)*24</f>
        <v>1.0000000001164153</v>
      </c>
      <c r="S6017" s="158">
        <f t="shared" ref="S6017:S6080" si="1006">R6017*(H6017-G6017)/H6017</f>
        <v>0.17232704404521873</v>
      </c>
      <c r="T6017" s="161">
        <f t="shared" ref="T6017:T6080" si="1007">S6017*I6017</f>
        <v>128.72830190177839</v>
      </c>
      <c r="U6017" s="158">
        <f t="shared" si="999"/>
        <v>128.72830188679245</v>
      </c>
      <c r="V6017" s="160">
        <f t="shared" ref="V6017:V6080" si="1008">ROUND(U6017,0)</f>
        <v>129</v>
      </c>
    </row>
    <row r="6018" spans="1:22" x14ac:dyDescent="0.25">
      <c r="A6018" s="98" t="s">
        <v>69</v>
      </c>
      <c r="B6018" s="98" t="s">
        <v>32</v>
      </c>
      <c r="C6018" s="98">
        <v>92</v>
      </c>
      <c r="D6018" s="98">
        <v>1990</v>
      </c>
      <c r="E6018" s="157">
        <v>41944.583333333336</v>
      </c>
      <c r="F6018" s="157">
        <v>41944.625</v>
      </c>
      <c r="G6018" s="98">
        <v>480</v>
      </c>
      <c r="H6018" s="98">
        <v>795</v>
      </c>
      <c r="I6018" s="98">
        <v>747</v>
      </c>
      <c r="J6018" s="98" t="s">
        <v>2114</v>
      </c>
      <c r="K6018" s="98" t="s">
        <v>3130</v>
      </c>
      <c r="L6018" s="105" t="str">
        <f t="shared" si="1000"/>
        <v>Trimble</v>
      </c>
      <c r="M6018" s="105" t="str">
        <f t="shared" si="1001"/>
        <v>Derate</v>
      </c>
      <c r="N6018" s="105" t="str">
        <f t="shared" si="1002"/>
        <v>Coal</v>
      </c>
      <c r="O6018" s="105">
        <f>IFERROR(VLOOKUP(A6018,Lookup!$J$5:$P$19,7,FALSE),0)</f>
        <v>3</v>
      </c>
      <c r="P6018" s="159">
        <f t="shared" si="1003"/>
        <v>2014</v>
      </c>
      <c r="Q6018" s="159">
        <f t="shared" si="1004"/>
        <v>11</v>
      </c>
      <c r="R6018" s="160">
        <f t="shared" si="1005"/>
        <v>0.99999999994179234</v>
      </c>
      <c r="S6018" s="158">
        <f t="shared" si="1006"/>
        <v>0.39622641507127621</v>
      </c>
      <c r="T6018" s="161">
        <f t="shared" si="1007"/>
        <v>295.9811320582433</v>
      </c>
      <c r="U6018" s="158">
        <f t="shared" ref="U6018:U6081" si="1009">IF(G6018&gt;0,MAX((H6018-G6018),0)*I6018/H6018,I6018)</f>
        <v>295.98113207547169</v>
      </c>
      <c r="V6018" s="160">
        <f t="shared" si="1008"/>
        <v>296</v>
      </c>
    </row>
    <row r="6019" spans="1:22" x14ac:dyDescent="0.25">
      <c r="A6019" s="98" t="s">
        <v>69</v>
      </c>
      <c r="B6019" s="98" t="s">
        <v>32</v>
      </c>
      <c r="C6019" s="98">
        <v>93</v>
      </c>
      <c r="D6019" s="98">
        <v>1990</v>
      </c>
      <c r="E6019" s="157">
        <v>41944.625</v>
      </c>
      <c r="F6019" s="157">
        <v>41944.666666666664</v>
      </c>
      <c r="G6019" s="98">
        <v>658</v>
      </c>
      <c r="H6019" s="98">
        <v>795</v>
      </c>
      <c r="I6019" s="98">
        <v>747</v>
      </c>
      <c r="J6019" s="98" t="s">
        <v>2114</v>
      </c>
      <c r="K6019" s="98" t="s">
        <v>3130</v>
      </c>
      <c r="L6019" s="105" t="str">
        <f t="shared" si="1000"/>
        <v>Trimble</v>
      </c>
      <c r="M6019" s="105" t="str">
        <f t="shared" si="1001"/>
        <v>Derate</v>
      </c>
      <c r="N6019" s="105" t="str">
        <f t="shared" si="1002"/>
        <v>Coal</v>
      </c>
      <c r="O6019" s="105">
        <f>IFERROR(VLOOKUP(A6019,Lookup!$J$5:$P$19,7,FALSE),0)</f>
        <v>3</v>
      </c>
      <c r="P6019" s="159">
        <f t="shared" si="1003"/>
        <v>2014</v>
      </c>
      <c r="Q6019" s="159">
        <f t="shared" si="1004"/>
        <v>11</v>
      </c>
      <c r="R6019" s="160">
        <f t="shared" si="1005"/>
        <v>0.99999999994179234</v>
      </c>
      <c r="S6019" s="158">
        <f t="shared" si="1006"/>
        <v>0.17232704401512647</v>
      </c>
      <c r="T6019" s="161">
        <f t="shared" si="1007"/>
        <v>128.72830187929947</v>
      </c>
      <c r="U6019" s="158">
        <f t="shared" si="1009"/>
        <v>128.72830188679245</v>
      </c>
      <c r="V6019" s="160">
        <f t="shared" si="1008"/>
        <v>129</v>
      </c>
    </row>
    <row r="6020" spans="1:22" x14ac:dyDescent="0.25">
      <c r="A6020" s="98" t="s">
        <v>69</v>
      </c>
      <c r="B6020" s="98" t="s">
        <v>32</v>
      </c>
      <c r="C6020" s="98">
        <v>94</v>
      </c>
      <c r="D6020" s="98">
        <v>1990</v>
      </c>
      <c r="E6020" s="157">
        <v>41944.666666666664</v>
      </c>
      <c r="F6020" s="157">
        <v>41944.708333333336</v>
      </c>
      <c r="G6020" s="98">
        <v>480</v>
      </c>
      <c r="H6020" s="98">
        <v>795</v>
      </c>
      <c r="I6020" s="98">
        <v>747</v>
      </c>
      <c r="J6020" s="98" t="s">
        <v>2114</v>
      </c>
      <c r="K6020" s="98" t="s">
        <v>3130</v>
      </c>
      <c r="L6020" s="105" t="str">
        <f t="shared" si="1000"/>
        <v>Trimble</v>
      </c>
      <c r="M6020" s="105" t="str">
        <f t="shared" si="1001"/>
        <v>Derate</v>
      </c>
      <c r="N6020" s="105" t="str">
        <f t="shared" si="1002"/>
        <v>Coal</v>
      </c>
      <c r="O6020" s="105">
        <f>IFERROR(VLOOKUP(A6020,Lookup!$J$5:$P$19,7,FALSE),0)</f>
        <v>3</v>
      </c>
      <c r="P6020" s="159">
        <f t="shared" si="1003"/>
        <v>2014</v>
      </c>
      <c r="Q6020" s="159">
        <f t="shared" si="1004"/>
        <v>11</v>
      </c>
      <c r="R6020" s="160">
        <f t="shared" si="1005"/>
        <v>1.0000000001164153</v>
      </c>
      <c r="S6020" s="158">
        <f t="shared" si="1006"/>
        <v>0.39622641514046647</v>
      </c>
      <c r="T6020" s="161">
        <f t="shared" si="1007"/>
        <v>295.98113210992847</v>
      </c>
      <c r="U6020" s="158">
        <f t="shared" si="1009"/>
        <v>295.98113207547169</v>
      </c>
      <c r="V6020" s="160">
        <f t="shared" si="1008"/>
        <v>296</v>
      </c>
    </row>
    <row r="6021" spans="1:22" x14ac:dyDescent="0.25">
      <c r="A6021" s="98" t="s">
        <v>69</v>
      </c>
      <c r="B6021" s="98" t="s">
        <v>32</v>
      </c>
      <c r="C6021" s="98">
        <v>95</v>
      </c>
      <c r="D6021" s="98">
        <v>1990</v>
      </c>
      <c r="E6021" s="157">
        <v>41944.708333333336</v>
      </c>
      <c r="F6021" s="157">
        <v>41944.75</v>
      </c>
      <c r="G6021" s="98">
        <v>650</v>
      </c>
      <c r="H6021" s="98">
        <v>795</v>
      </c>
      <c r="I6021" s="98">
        <v>747</v>
      </c>
      <c r="J6021" s="98" t="s">
        <v>2114</v>
      </c>
      <c r="K6021" s="98" t="s">
        <v>3130</v>
      </c>
      <c r="L6021" s="105" t="str">
        <f t="shared" si="1000"/>
        <v>Trimble</v>
      </c>
      <c r="M6021" s="105" t="str">
        <f t="shared" si="1001"/>
        <v>Derate</v>
      </c>
      <c r="N6021" s="105" t="str">
        <f t="shared" si="1002"/>
        <v>Coal</v>
      </c>
      <c r="O6021" s="105">
        <f>IFERROR(VLOOKUP(A6021,Lookup!$J$5:$P$19,7,FALSE),0)</f>
        <v>3</v>
      </c>
      <c r="P6021" s="159">
        <f t="shared" si="1003"/>
        <v>2014</v>
      </c>
      <c r="Q6021" s="159">
        <f t="shared" si="1004"/>
        <v>11</v>
      </c>
      <c r="R6021" s="160">
        <f t="shared" si="1005"/>
        <v>0.99999999994179234</v>
      </c>
      <c r="S6021" s="158">
        <f t="shared" si="1006"/>
        <v>0.18238993709630175</v>
      </c>
      <c r="T6021" s="161">
        <f t="shared" si="1007"/>
        <v>136.24528301093741</v>
      </c>
      <c r="U6021" s="158">
        <f t="shared" si="1009"/>
        <v>136.24528301886792</v>
      </c>
      <c r="V6021" s="160">
        <f t="shared" si="1008"/>
        <v>136</v>
      </c>
    </row>
    <row r="6022" spans="1:22" x14ac:dyDescent="0.25">
      <c r="A6022" s="98" t="s">
        <v>69</v>
      </c>
      <c r="B6022" s="98" t="s">
        <v>32</v>
      </c>
      <c r="C6022" s="98">
        <v>96</v>
      </c>
      <c r="D6022" s="98">
        <v>1990</v>
      </c>
      <c r="E6022" s="157">
        <v>41945.385416666664</v>
      </c>
      <c r="F6022" s="157">
        <v>41945.5</v>
      </c>
      <c r="G6022" s="98">
        <v>658</v>
      </c>
      <c r="H6022" s="98">
        <v>795</v>
      </c>
      <c r="I6022" s="98">
        <v>747</v>
      </c>
      <c r="J6022" s="98" t="s">
        <v>2114</v>
      </c>
      <c r="K6022" s="98" t="s">
        <v>3130</v>
      </c>
      <c r="L6022" s="105" t="str">
        <f t="shared" si="1000"/>
        <v>Trimble</v>
      </c>
      <c r="M6022" s="105" t="str">
        <f t="shared" si="1001"/>
        <v>Derate</v>
      </c>
      <c r="N6022" s="105" t="str">
        <f t="shared" si="1002"/>
        <v>Coal</v>
      </c>
      <c r="O6022" s="105">
        <f>IFERROR(VLOOKUP(A6022,Lookup!$J$5:$P$19,7,FALSE),0)</f>
        <v>3</v>
      </c>
      <c r="P6022" s="159">
        <f t="shared" si="1003"/>
        <v>2014</v>
      </c>
      <c r="Q6022" s="159">
        <f t="shared" si="1004"/>
        <v>11</v>
      </c>
      <c r="R6022" s="160">
        <f t="shared" si="1005"/>
        <v>2.7500000000582077</v>
      </c>
      <c r="S6022" s="158">
        <f t="shared" si="1006"/>
        <v>0.47389937107921315</v>
      </c>
      <c r="T6022" s="161">
        <f t="shared" si="1007"/>
        <v>354.00283019617223</v>
      </c>
      <c r="U6022" s="158">
        <f t="shared" si="1009"/>
        <v>128.72830188679245</v>
      </c>
      <c r="V6022" s="160">
        <f t="shared" si="1008"/>
        <v>129</v>
      </c>
    </row>
    <row r="6023" spans="1:22" x14ac:dyDescent="0.25">
      <c r="A6023" s="98" t="s">
        <v>69</v>
      </c>
      <c r="B6023" s="98" t="s">
        <v>32</v>
      </c>
      <c r="C6023" s="98">
        <v>97</v>
      </c>
      <c r="D6023" s="98">
        <v>1990</v>
      </c>
      <c r="E6023" s="157">
        <v>41945.5</v>
      </c>
      <c r="F6023" s="157">
        <v>41945.541666666664</v>
      </c>
      <c r="G6023" s="98">
        <v>499</v>
      </c>
      <c r="H6023" s="98">
        <v>795</v>
      </c>
      <c r="I6023" s="98">
        <v>747</v>
      </c>
      <c r="J6023" s="98" t="s">
        <v>2114</v>
      </c>
      <c r="K6023" s="98" t="s">
        <v>3130</v>
      </c>
      <c r="L6023" s="105" t="str">
        <f t="shared" si="1000"/>
        <v>Trimble</v>
      </c>
      <c r="M6023" s="105" t="str">
        <f t="shared" si="1001"/>
        <v>Derate</v>
      </c>
      <c r="N6023" s="105" t="str">
        <f t="shared" si="1002"/>
        <v>Coal</v>
      </c>
      <c r="O6023" s="105">
        <f>IFERROR(VLOOKUP(A6023,Lookup!$J$5:$P$19,7,FALSE),0)</f>
        <v>3</v>
      </c>
      <c r="P6023" s="159">
        <f t="shared" si="1003"/>
        <v>2014</v>
      </c>
      <c r="Q6023" s="159">
        <f t="shared" si="1004"/>
        <v>11</v>
      </c>
      <c r="R6023" s="160">
        <f t="shared" si="1005"/>
        <v>0.99999999994179234</v>
      </c>
      <c r="S6023" s="158">
        <f t="shared" si="1006"/>
        <v>0.37232704400348493</v>
      </c>
      <c r="T6023" s="161">
        <f t="shared" si="1007"/>
        <v>278.12830187060325</v>
      </c>
      <c r="U6023" s="158">
        <f t="shared" si="1009"/>
        <v>278.12830188679243</v>
      </c>
      <c r="V6023" s="160">
        <f t="shared" si="1008"/>
        <v>278</v>
      </c>
    </row>
    <row r="6024" spans="1:22" x14ac:dyDescent="0.25">
      <c r="A6024" s="98" t="s">
        <v>69</v>
      </c>
      <c r="B6024" s="98" t="s">
        <v>32</v>
      </c>
      <c r="C6024" s="98">
        <v>98</v>
      </c>
      <c r="D6024" s="98">
        <v>1990</v>
      </c>
      <c r="E6024" s="157">
        <v>41945.541666666664</v>
      </c>
      <c r="F6024" s="157">
        <v>41945.625</v>
      </c>
      <c r="G6024" s="98">
        <v>658</v>
      </c>
      <c r="H6024" s="98">
        <v>795</v>
      </c>
      <c r="I6024" s="98">
        <v>747</v>
      </c>
      <c r="J6024" s="98" t="s">
        <v>2114</v>
      </c>
      <c r="K6024" s="98" t="s">
        <v>3130</v>
      </c>
      <c r="L6024" s="105" t="str">
        <f t="shared" si="1000"/>
        <v>Trimble</v>
      </c>
      <c r="M6024" s="105" t="str">
        <f t="shared" si="1001"/>
        <v>Derate</v>
      </c>
      <c r="N6024" s="105" t="str">
        <f t="shared" si="1002"/>
        <v>Coal</v>
      </c>
      <c r="O6024" s="105">
        <f>IFERROR(VLOOKUP(A6024,Lookup!$J$5:$P$19,7,FALSE),0)</f>
        <v>3</v>
      </c>
      <c r="P6024" s="159">
        <f t="shared" si="1003"/>
        <v>2014</v>
      </c>
      <c r="Q6024" s="159">
        <f t="shared" si="1004"/>
        <v>11</v>
      </c>
      <c r="R6024" s="160">
        <f t="shared" si="1005"/>
        <v>2.0000000000582077</v>
      </c>
      <c r="S6024" s="158">
        <f t="shared" si="1006"/>
        <v>0.3446540880603452</v>
      </c>
      <c r="T6024" s="161">
        <f t="shared" si="1007"/>
        <v>257.45660378107789</v>
      </c>
      <c r="U6024" s="158">
        <f t="shared" si="1009"/>
        <v>128.72830188679245</v>
      </c>
      <c r="V6024" s="160">
        <f t="shared" si="1008"/>
        <v>129</v>
      </c>
    </row>
    <row r="6025" spans="1:22" x14ac:dyDescent="0.25">
      <c r="A6025" s="98" t="s">
        <v>69</v>
      </c>
      <c r="B6025" s="98" t="s">
        <v>32</v>
      </c>
      <c r="C6025" s="98">
        <v>99</v>
      </c>
      <c r="D6025" s="98">
        <v>1990</v>
      </c>
      <c r="E6025" s="157">
        <v>41945.666666666664</v>
      </c>
      <c r="F6025" s="157">
        <v>41945.708333333336</v>
      </c>
      <c r="G6025" s="98">
        <v>499</v>
      </c>
      <c r="H6025" s="98">
        <v>795</v>
      </c>
      <c r="I6025" s="98">
        <v>747</v>
      </c>
      <c r="J6025" s="98" t="s">
        <v>2114</v>
      </c>
      <c r="K6025" s="98" t="s">
        <v>3130</v>
      </c>
      <c r="L6025" s="105" t="str">
        <f t="shared" si="1000"/>
        <v>Trimble</v>
      </c>
      <c r="M6025" s="105" t="str">
        <f t="shared" si="1001"/>
        <v>Derate</v>
      </c>
      <c r="N6025" s="105" t="str">
        <f t="shared" si="1002"/>
        <v>Coal</v>
      </c>
      <c r="O6025" s="105">
        <f>IFERROR(VLOOKUP(A6025,Lookup!$J$5:$P$19,7,FALSE),0)</f>
        <v>3</v>
      </c>
      <c r="P6025" s="159">
        <f t="shared" si="1003"/>
        <v>2014</v>
      </c>
      <c r="Q6025" s="159">
        <f t="shared" si="1004"/>
        <v>11</v>
      </c>
      <c r="R6025" s="160">
        <f t="shared" si="1005"/>
        <v>1.0000000001164153</v>
      </c>
      <c r="S6025" s="158">
        <f t="shared" si="1006"/>
        <v>0.37232704406850181</v>
      </c>
      <c r="T6025" s="161">
        <f t="shared" si="1007"/>
        <v>278.12830191917084</v>
      </c>
      <c r="U6025" s="158">
        <f t="shared" si="1009"/>
        <v>278.12830188679243</v>
      </c>
      <c r="V6025" s="160">
        <f t="shared" si="1008"/>
        <v>278</v>
      </c>
    </row>
    <row r="6026" spans="1:22" x14ac:dyDescent="0.25">
      <c r="A6026" s="98" t="s">
        <v>69</v>
      </c>
      <c r="B6026" s="98" t="s">
        <v>32</v>
      </c>
      <c r="C6026" s="98">
        <v>100</v>
      </c>
      <c r="D6026" s="98">
        <v>1990</v>
      </c>
      <c r="E6026" s="157">
        <v>41946.416666666664</v>
      </c>
      <c r="F6026" s="157">
        <v>41946.458333333336</v>
      </c>
      <c r="G6026" s="98">
        <v>650</v>
      </c>
      <c r="H6026" s="98">
        <v>795</v>
      </c>
      <c r="I6026" s="98">
        <v>747</v>
      </c>
      <c r="J6026" s="98" t="s">
        <v>2114</v>
      </c>
      <c r="K6026" s="98" t="s">
        <v>3131</v>
      </c>
      <c r="L6026" s="105" t="str">
        <f t="shared" si="1000"/>
        <v>Trimble</v>
      </c>
      <c r="M6026" s="105" t="str">
        <f t="shared" si="1001"/>
        <v>Derate</v>
      </c>
      <c r="N6026" s="105" t="str">
        <f t="shared" si="1002"/>
        <v>Coal</v>
      </c>
      <c r="O6026" s="105">
        <f>IFERROR(VLOOKUP(A6026,Lookup!$J$5:$P$19,7,FALSE),0)</f>
        <v>3</v>
      </c>
      <c r="P6026" s="159">
        <f t="shared" si="1003"/>
        <v>2014</v>
      </c>
      <c r="Q6026" s="159">
        <f t="shared" si="1004"/>
        <v>11</v>
      </c>
      <c r="R6026" s="160">
        <f t="shared" si="1005"/>
        <v>1.0000000001164153</v>
      </c>
      <c r="S6026" s="158">
        <f t="shared" si="1006"/>
        <v>0.18238993712815121</v>
      </c>
      <c r="T6026" s="161">
        <f t="shared" si="1007"/>
        <v>136.24528303472897</v>
      </c>
      <c r="U6026" s="158">
        <f t="shared" si="1009"/>
        <v>136.24528301886792</v>
      </c>
      <c r="V6026" s="160">
        <f t="shared" si="1008"/>
        <v>136</v>
      </c>
    </row>
    <row r="6027" spans="1:22" x14ac:dyDescent="0.25">
      <c r="A6027" s="98" t="s">
        <v>69</v>
      </c>
      <c r="B6027" s="98" t="s">
        <v>32</v>
      </c>
      <c r="C6027" s="98">
        <v>101</v>
      </c>
      <c r="D6027" s="98">
        <v>1990</v>
      </c>
      <c r="E6027" s="157">
        <v>41946.541666666664</v>
      </c>
      <c r="F6027" s="157">
        <v>41946.583333333336</v>
      </c>
      <c r="G6027" s="98">
        <v>650</v>
      </c>
      <c r="H6027" s="98">
        <v>795</v>
      </c>
      <c r="I6027" s="98">
        <v>747</v>
      </c>
      <c r="J6027" s="98" t="s">
        <v>2114</v>
      </c>
      <c r="K6027" s="98" t="s">
        <v>3131</v>
      </c>
      <c r="L6027" s="105" t="str">
        <f t="shared" si="1000"/>
        <v>Trimble</v>
      </c>
      <c r="M6027" s="105" t="str">
        <f t="shared" si="1001"/>
        <v>Derate</v>
      </c>
      <c r="N6027" s="105" t="str">
        <f t="shared" si="1002"/>
        <v>Coal</v>
      </c>
      <c r="O6027" s="105">
        <f>IFERROR(VLOOKUP(A6027,Lookup!$J$5:$P$19,7,FALSE),0)</f>
        <v>3</v>
      </c>
      <c r="P6027" s="159">
        <f t="shared" si="1003"/>
        <v>2014</v>
      </c>
      <c r="Q6027" s="159">
        <f t="shared" si="1004"/>
        <v>11</v>
      </c>
      <c r="R6027" s="160">
        <f t="shared" si="1005"/>
        <v>1.0000000001164153</v>
      </c>
      <c r="S6027" s="158">
        <f t="shared" si="1006"/>
        <v>0.18238993712815121</v>
      </c>
      <c r="T6027" s="161">
        <f t="shared" si="1007"/>
        <v>136.24528303472897</v>
      </c>
      <c r="U6027" s="158">
        <f t="shared" si="1009"/>
        <v>136.24528301886792</v>
      </c>
      <c r="V6027" s="160">
        <f t="shared" si="1008"/>
        <v>136</v>
      </c>
    </row>
    <row r="6028" spans="1:22" x14ac:dyDescent="0.25">
      <c r="A6028" s="98" t="s">
        <v>69</v>
      </c>
      <c r="B6028" s="98" t="s">
        <v>32</v>
      </c>
      <c r="C6028" s="98">
        <v>102</v>
      </c>
      <c r="D6028" s="98">
        <v>1990</v>
      </c>
      <c r="E6028" s="157">
        <v>41946.625</v>
      </c>
      <c r="F6028" s="157">
        <v>41946.666666666664</v>
      </c>
      <c r="G6028" s="98">
        <v>650</v>
      </c>
      <c r="H6028" s="98">
        <v>795</v>
      </c>
      <c r="I6028" s="98">
        <v>747</v>
      </c>
      <c r="J6028" s="98" t="s">
        <v>2114</v>
      </c>
      <c r="K6028" s="98" t="s">
        <v>3131</v>
      </c>
      <c r="L6028" s="105" t="str">
        <f t="shared" si="1000"/>
        <v>Trimble</v>
      </c>
      <c r="M6028" s="105" t="str">
        <f t="shared" si="1001"/>
        <v>Derate</v>
      </c>
      <c r="N6028" s="105" t="str">
        <f t="shared" si="1002"/>
        <v>Coal</v>
      </c>
      <c r="O6028" s="105">
        <f>IFERROR(VLOOKUP(A6028,Lookup!$J$5:$P$19,7,FALSE),0)</f>
        <v>3</v>
      </c>
      <c r="P6028" s="159">
        <f t="shared" si="1003"/>
        <v>2014</v>
      </c>
      <c r="Q6028" s="159">
        <f t="shared" si="1004"/>
        <v>11</v>
      </c>
      <c r="R6028" s="160">
        <f t="shared" si="1005"/>
        <v>0.99999999994179234</v>
      </c>
      <c r="S6028" s="158">
        <f t="shared" si="1006"/>
        <v>0.18238993709630175</v>
      </c>
      <c r="T6028" s="161">
        <f t="shared" si="1007"/>
        <v>136.24528301093741</v>
      </c>
      <c r="U6028" s="158">
        <f t="shared" si="1009"/>
        <v>136.24528301886792</v>
      </c>
      <c r="V6028" s="160">
        <f t="shared" si="1008"/>
        <v>136</v>
      </c>
    </row>
    <row r="6029" spans="1:22" x14ac:dyDescent="0.25">
      <c r="A6029" s="98" t="s">
        <v>69</v>
      </c>
      <c r="B6029" s="98" t="s">
        <v>79</v>
      </c>
      <c r="C6029" s="98">
        <v>103</v>
      </c>
      <c r="D6029" s="98">
        <v>1190</v>
      </c>
      <c r="E6029" s="157">
        <v>41952</v>
      </c>
      <c r="F6029" s="157">
        <v>41952.333333333336</v>
      </c>
      <c r="G6029" s="98">
        <v>0</v>
      </c>
      <c r="H6029" s="98">
        <v>795</v>
      </c>
      <c r="I6029" s="98">
        <v>747</v>
      </c>
      <c r="J6029" s="98" t="s">
        <v>2007</v>
      </c>
      <c r="K6029" s="98" t="s">
        <v>3132</v>
      </c>
      <c r="L6029" s="105" t="str">
        <f t="shared" si="1000"/>
        <v>Trimble</v>
      </c>
      <c r="M6029" s="105" t="str">
        <f t="shared" si="1001"/>
        <v>Other</v>
      </c>
      <c r="N6029" s="105" t="str">
        <f t="shared" si="1002"/>
        <v>Coal</v>
      </c>
      <c r="O6029" s="105">
        <f>IFERROR(VLOOKUP(A6029,Lookup!$J$5:$P$19,7,FALSE),0)</f>
        <v>3</v>
      </c>
      <c r="P6029" s="159">
        <f t="shared" si="1003"/>
        <v>2014</v>
      </c>
      <c r="Q6029" s="159">
        <f t="shared" si="1004"/>
        <v>11</v>
      </c>
      <c r="R6029" s="160">
        <f t="shared" si="1005"/>
        <v>8.0000000000582077</v>
      </c>
      <c r="S6029" s="158">
        <f t="shared" si="1006"/>
        <v>8.0000000000582077</v>
      </c>
      <c r="T6029" s="161">
        <f t="shared" si="1007"/>
        <v>5976.0000000434811</v>
      </c>
      <c r="U6029" s="158">
        <f t="shared" si="1009"/>
        <v>747</v>
      </c>
      <c r="V6029" s="160">
        <f t="shared" si="1008"/>
        <v>747</v>
      </c>
    </row>
    <row r="6030" spans="1:22" x14ac:dyDescent="0.25">
      <c r="A6030" s="98" t="s">
        <v>69</v>
      </c>
      <c r="B6030" s="98" t="s">
        <v>17</v>
      </c>
      <c r="C6030" s="98">
        <v>104</v>
      </c>
      <c r="D6030" s="98">
        <v>370</v>
      </c>
      <c r="E6030" s="157">
        <v>41952.333333333336</v>
      </c>
      <c r="F6030" s="157">
        <v>41952.409722222219</v>
      </c>
      <c r="G6030" s="98">
        <v>650</v>
      </c>
      <c r="H6030" s="98">
        <v>795</v>
      </c>
      <c r="I6030" s="98">
        <v>747</v>
      </c>
      <c r="J6030" s="98" t="s">
        <v>1995</v>
      </c>
      <c r="K6030" s="98" t="s">
        <v>3133</v>
      </c>
      <c r="L6030" s="105" t="str">
        <f t="shared" si="1000"/>
        <v>Trimble</v>
      </c>
      <c r="M6030" s="105" t="str">
        <f t="shared" si="1001"/>
        <v>Derate</v>
      </c>
      <c r="N6030" s="105" t="str">
        <f t="shared" si="1002"/>
        <v>Coal</v>
      </c>
      <c r="O6030" s="105">
        <f>IFERROR(VLOOKUP(A6030,Lookup!$J$5:$P$19,7,FALSE),0)</f>
        <v>3</v>
      </c>
      <c r="P6030" s="159">
        <f t="shared" si="1003"/>
        <v>2014</v>
      </c>
      <c r="Q6030" s="159">
        <f t="shared" si="1004"/>
        <v>11</v>
      </c>
      <c r="R6030" s="160">
        <f t="shared" si="1005"/>
        <v>1.8333333331975155</v>
      </c>
      <c r="S6030" s="158">
        <f t="shared" si="1006"/>
        <v>0.33438155133791164</v>
      </c>
      <c r="T6030" s="161">
        <f t="shared" si="1007"/>
        <v>249.78301884941999</v>
      </c>
      <c r="U6030" s="158">
        <f t="shared" si="1009"/>
        <v>136.24528301886792</v>
      </c>
      <c r="V6030" s="160">
        <f t="shared" si="1008"/>
        <v>136</v>
      </c>
    </row>
    <row r="6031" spans="1:22" x14ac:dyDescent="0.25">
      <c r="A6031" s="98" t="s">
        <v>69</v>
      </c>
      <c r="B6031" s="98" t="s">
        <v>79</v>
      </c>
      <c r="C6031" s="98">
        <v>105</v>
      </c>
      <c r="D6031" s="98">
        <v>1190</v>
      </c>
      <c r="E6031" s="157">
        <v>41954.958333333336</v>
      </c>
      <c r="F6031" s="157">
        <v>41955.208333333336</v>
      </c>
      <c r="G6031" s="98">
        <v>0</v>
      </c>
      <c r="H6031" s="98">
        <v>795</v>
      </c>
      <c r="I6031" s="98">
        <v>747</v>
      </c>
      <c r="J6031" s="98" t="s">
        <v>2007</v>
      </c>
      <c r="K6031" s="98" t="s">
        <v>3134</v>
      </c>
      <c r="L6031" s="105" t="str">
        <f t="shared" si="1000"/>
        <v>Trimble</v>
      </c>
      <c r="M6031" s="105" t="str">
        <f t="shared" si="1001"/>
        <v>Other</v>
      </c>
      <c r="N6031" s="105" t="str">
        <f t="shared" si="1002"/>
        <v>Coal</v>
      </c>
      <c r="O6031" s="105">
        <f>IFERROR(VLOOKUP(A6031,Lookup!$J$5:$P$19,7,FALSE),0)</f>
        <v>3</v>
      </c>
      <c r="P6031" s="159">
        <f t="shared" si="1003"/>
        <v>2014</v>
      </c>
      <c r="Q6031" s="159">
        <f t="shared" si="1004"/>
        <v>11</v>
      </c>
      <c r="R6031" s="160">
        <f t="shared" si="1005"/>
        <v>6</v>
      </c>
      <c r="S6031" s="158">
        <f t="shared" si="1006"/>
        <v>6</v>
      </c>
      <c r="T6031" s="161">
        <f t="shared" si="1007"/>
        <v>4482</v>
      </c>
      <c r="U6031" s="158">
        <f t="shared" si="1009"/>
        <v>747</v>
      </c>
      <c r="V6031" s="160">
        <f t="shared" si="1008"/>
        <v>747</v>
      </c>
    </row>
    <row r="6032" spans="1:22" x14ac:dyDescent="0.25">
      <c r="A6032" s="98" t="s">
        <v>69</v>
      </c>
      <c r="B6032" s="98" t="s">
        <v>79</v>
      </c>
      <c r="C6032" s="98">
        <v>106</v>
      </c>
      <c r="D6032" s="98">
        <v>1190</v>
      </c>
      <c r="E6032" s="157">
        <v>41959</v>
      </c>
      <c r="F6032" s="157">
        <v>41959.25</v>
      </c>
      <c r="G6032" s="98">
        <v>0</v>
      </c>
      <c r="H6032" s="98">
        <v>795</v>
      </c>
      <c r="I6032" s="98">
        <v>747</v>
      </c>
      <c r="J6032" s="98" t="s">
        <v>2007</v>
      </c>
      <c r="K6032" s="98" t="s">
        <v>3134</v>
      </c>
      <c r="L6032" s="105" t="str">
        <f t="shared" si="1000"/>
        <v>Trimble</v>
      </c>
      <c r="M6032" s="105" t="str">
        <f t="shared" si="1001"/>
        <v>Other</v>
      </c>
      <c r="N6032" s="105" t="str">
        <f t="shared" si="1002"/>
        <v>Coal</v>
      </c>
      <c r="O6032" s="105">
        <f>IFERROR(VLOOKUP(A6032,Lookup!$J$5:$P$19,7,FALSE),0)</f>
        <v>3</v>
      </c>
      <c r="P6032" s="159">
        <f t="shared" si="1003"/>
        <v>2014</v>
      </c>
      <c r="Q6032" s="159">
        <f t="shared" si="1004"/>
        <v>11</v>
      </c>
      <c r="R6032" s="160">
        <f t="shared" si="1005"/>
        <v>6</v>
      </c>
      <c r="S6032" s="158">
        <f t="shared" si="1006"/>
        <v>6</v>
      </c>
      <c r="T6032" s="161">
        <f t="shared" si="1007"/>
        <v>4482</v>
      </c>
      <c r="U6032" s="158">
        <f t="shared" si="1009"/>
        <v>747</v>
      </c>
      <c r="V6032" s="160">
        <f t="shared" si="1008"/>
        <v>747</v>
      </c>
    </row>
    <row r="6033" spans="1:22" x14ac:dyDescent="0.25">
      <c r="A6033" s="98" t="s">
        <v>69</v>
      </c>
      <c r="B6033" s="98" t="s">
        <v>79</v>
      </c>
      <c r="C6033" s="98">
        <v>107</v>
      </c>
      <c r="D6033" s="98">
        <v>1190</v>
      </c>
      <c r="E6033" s="162">
        <v>41966.000694444447</v>
      </c>
      <c r="F6033" s="157">
        <v>41966.25</v>
      </c>
      <c r="G6033" s="98">
        <v>0</v>
      </c>
      <c r="H6033" s="98">
        <v>795</v>
      </c>
      <c r="I6033" s="98">
        <v>747</v>
      </c>
      <c r="J6033" s="98" t="s">
        <v>2007</v>
      </c>
      <c r="K6033" s="98" t="s">
        <v>3135</v>
      </c>
      <c r="L6033" s="105" t="str">
        <f t="shared" si="1000"/>
        <v>Trimble</v>
      </c>
      <c r="M6033" s="105" t="str">
        <f t="shared" si="1001"/>
        <v>Other</v>
      </c>
      <c r="N6033" s="105" t="str">
        <f t="shared" si="1002"/>
        <v>Coal</v>
      </c>
      <c r="O6033" s="105">
        <f>IFERROR(VLOOKUP(A6033,Lookup!$J$5:$P$19,7,FALSE),0)</f>
        <v>3</v>
      </c>
      <c r="P6033" s="159">
        <f t="shared" si="1003"/>
        <v>2014</v>
      </c>
      <c r="Q6033" s="159">
        <f t="shared" si="1004"/>
        <v>11</v>
      </c>
      <c r="R6033" s="160">
        <f t="shared" si="1005"/>
        <v>5.9833333332790062</v>
      </c>
      <c r="S6033" s="158">
        <f t="shared" si="1006"/>
        <v>5.9833333332790062</v>
      </c>
      <c r="T6033" s="161">
        <f t="shared" si="1007"/>
        <v>4469.5499999594176</v>
      </c>
      <c r="U6033" s="158">
        <f t="shared" si="1009"/>
        <v>747</v>
      </c>
      <c r="V6033" s="160">
        <f t="shared" si="1008"/>
        <v>747</v>
      </c>
    </row>
    <row r="6034" spans="1:22" x14ac:dyDescent="0.25">
      <c r="A6034" s="98" t="s">
        <v>69</v>
      </c>
      <c r="B6034" s="98" t="s">
        <v>105</v>
      </c>
      <c r="C6034" s="98">
        <v>108</v>
      </c>
      <c r="D6034" s="98">
        <v>1190</v>
      </c>
      <c r="E6034" s="157">
        <v>41973.000694444447</v>
      </c>
      <c r="F6034" s="157">
        <v>41973.26666666667</v>
      </c>
      <c r="G6034" s="98">
        <v>400</v>
      </c>
      <c r="H6034" s="98">
        <v>795</v>
      </c>
      <c r="I6034" s="98">
        <v>747</v>
      </c>
      <c r="J6034" s="98" t="s">
        <v>2007</v>
      </c>
      <c r="K6034" s="98" t="s">
        <v>3136</v>
      </c>
      <c r="L6034" s="105" t="str">
        <f t="shared" si="1000"/>
        <v>Trimble</v>
      </c>
      <c r="M6034" s="105" t="str">
        <f t="shared" si="1001"/>
        <v>Derate</v>
      </c>
      <c r="N6034" s="105" t="str">
        <f t="shared" si="1002"/>
        <v>Coal</v>
      </c>
      <c r="O6034" s="105">
        <f>IFERROR(VLOOKUP(A6034,Lookup!$J$5:$P$19,7,FALSE),0)</f>
        <v>3</v>
      </c>
      <c r="P6034" s="159">
        <f t="shared" si="1003"/>
        <v>2014</v>
      </c>
      <c r="Q6034" s="159">
        <f t="shared" si="1004"/>
        <v>11</v>
      </c>
      <c r="R6034" s="160">
        <f t="shared" si="1005"/>
        <v>6.3833333333604969</v>
      </c>
      <c r="S6034" s="158">
        <f t="shared" si="1006"/>
        <v>3.1715932914181084</v>
      </c>
      <c r="T6034" s="161">
        <f t="shared" si="1007"/>
        <v>2369.1801886893268</v>
      </c>
      <c r="U6034" s="158">
        <f t="shared" si="1009"/>
        <v>371.15094339622641</v>
      </c>
      <c r="V6034" s="160">
        <f t="shared" si="1008"/>
        <v>371</v>
      </c>
    </row>
    <row r="6035" spans="1:22" x14ac:dyDescent="0.25">
      <c r="A6035" s="98" t="s">
        <v>69</v>
      </c>
      <c r="B6035" s="98" t="s">
        <v>17</v>
      </c>
      <c r="C6035" s="98">
        <v>109</v>
      </c>
      <c r="D6035" s="98">
        <v>385</v>
      </c>
      <c r="E6035" s="157">
        <v>41973.273611111108</v>
      </c>
      <c r="F6035" s="157">
        <v>41973.333333333336</v>
      </c>
      <c r="G6035" s="98">
        <v>659</v>
      </c>
      <c r="H6035" s="98">
        <v>795</v>
      </c>
      <c r="I6035" s="98">
        <v>747</v>
      </c>
      <c r="J6035" s="98" t="s">
        <v>228</v>
      </c>
      <c r="K6035" s="98" t="s">
        <v>3137</v>
      </c>
      <c r="L6035" s="105" t="str">
        <f t="shared" si="1000"/>
        <v>Trimble</v>
      </c>
      <c r="M6035" s="105" t="str">
        <f t="shared" si="1001"/>
        <v>Derate</v>
      </c>
      <c r="N6035" s="105" t="str">
        <f t="shared" si="1002"/>
        <v>Coal</v>
      </c>
      <c r="O6035" s="105">
        <f>IFERROR(VLOOKUP(A6035,Lookup!$J$5:$P$19,7,FALSE),0)</f>
        <v>3</v>
      </c>
      <c r="P6035" s="159">
        <f t="shared" si="1003"/>
        <v>2014</v>
      </c>
      <c r="Q6035" s="159">
        <f t="shared" si="1004"/>
        <v>11</v>
      </c>
      <c r="R6035" s="160">
        <f t="shared" si="1005"/>
        <v>1.4333333334652707</v>
      </c>
      <c r="S6035" s="158">
        <f t="shared" si="1006"/>
        <v>0.24519916144814694</v>
      </c>
      <c r="T6035" s="161">
        <f t="shared" si="1007"/>
        <v>183.16377360176577</v>
      </c>
      <c r="U6035" s="158">
        <f t="shared" si="1009"/>
        <v>127.78867924528302</v>
      </c>
      <c r="V6035" s="160">
        <f t="shared" si="1008"/>
        <v>128</v>
      </c>
    </row>
    <row r="6036" spans="1:22" x14ac:dyDescent="0.25">
      <c r="A6036" s="98" t="s">
        <v>69</v>
      </c>
      <c r="B6036" s="98" t="s">
        <v>105</v>
      </c>
      <c r="C6036" s="98">
        <v>110</v>
      </c>
      <c r="D6036" s="98">
        <v>3439</v>
      </c>
      <c r="E6036" s="157">
        <v>41979</v>
      </c>
      <c r="F6036" s="157">
        <v>41979.20416666667</v>
      </c>
      <c r="G6036" s="98">
        <v>749</v>
      </c>
      <c r="H6036" s="98">
        <v>795</v>
      </c>
      <c r="I6036" s="98">
        <v>747</v>
      </c>
      <c r="J6036" s="98" t="s">
        <v>2026</v>
      </c>
      <c r="K6036" s="98" t="s">
        <v>3138</v>
      </c>
      <c r="L6036" s="105" t="str">
        <f t="shared" si="1000"/>
        <v>Trimble</v>
      </c>
      <c r="M6036" s="105" t="str">
        <f t="shared" si="1001"/>
        <v>Derate</v>
      </c>
      <c r="N6036" s="105" t="str">
        <f t="shared" si="1002"/>
        <v>Coal</v>
      </c>
      <c r="O6036" s="105">
        <f>IFERROR(VLOOKUP(A6036,Lookup!$J$5:$P$19,7,FALSE),0)</f>
        <v>3</v>
      </c>
      <c r="P6036" s="159">
        <f t="shared" si="1003"/>
        <v>2014</v>
      </c>
      <c r="Q6036" s="159">
        <f t="shared" si="1004"/>
        <v>12</v>
      </c>
      <c r="R6036" s="160">
        <f t="shared" si="1005"/>
        <v>4.9000000000814907</v>
      </c>
      <c r="S6036" s="158">
        <f t="shared" si="1006"/>
        <v>0.28352201258333154</v>
      </c>
      <c r="T6036" s="161">
        <f t="shared" si="1007"/>
        <v>211.79094339974867</v>
      </c>
      <c r="U6036" s="158">
        <f t="shared" si="1009"/>
        <v>43.222641509433963</v>
      </c>
      <c r="V6036" s="160">
        <f t="shared" si="1008"/>
        <v>43</v>
      </c>
    </row>
    <row r="6037" spans="1:22" x14ac:dyDescent="0.25">
      <c r="A6037" s="98" t="s">
        <v>69</v>
      </c>
      <c r="B6037" s="98" t="s">
        <v>15</v>
      </c>
      <c r="C6037" s="98">
        <v>111</v>
      </c>
      <c r="D6037" s="98">
        <v>3441</v>
      </c>
      <c r="E6037" s="157">
        <v>41979.20416666667</v>
      </c>
      <c r="F6037" s="157">
        <v>41980.704861111109</v>
      </c>
      <c r="G6037" s="98">
        <v>0</v>
      </c>
      <c r="H6037" s="98">
        <v>795</v>
      </c>
      <c r="I6037" s="98">
        <v>747</v>
      </c>
      <c r="J6037" s="98" t="s">
        <v>2282</v>
      </c>
      <c r="K6037" s="98" t="s">
        <v>3139</v>
      </c>
      <c r="L6037" s="105" t="str">
        <f t="shared" si="1000"/>
        <v>Trimble</v>
      </c>
      <c r="M6037" s="105" t="str">
        <f t="shared" si="1001"/>
        <v>Outage</v>
      </c>
      <c r="N6037" s="105" t="str">
        <f t="shared" si="1002"/>
        <v>Coal</v>
      </c>
      <c r="O6037" s="105">
        <f>IFERROR(VLOOKUP(A6037,Lookup!$J$5:$P$19,7,FALSE),0)</f>
        <v>3</v>
      </c>
      <c r="P6037" s="159">
        <f t="shared" si="1003"/>
        <v>2014</v>
      </c>
      <c r="Q6037" s="159">
        <f t="shared" si="1004"/>
        <v>12</v>
      </c>
      <c r="R6037" s="160">
        <f t="shared" si="1005"/>
        <v>36.016666666546371</v>
      </c>
      <c r="S6037" s="158">
        <f t="shared" si="1006"/>
        <v>36.016666666546371</v>
      </c>
      <c r="T6037" s="161">
        <f t="shared" si="1007"/>
        <v>26904.449999910139</v>
      </c>
      <c r="U6037" s="158">
        <f t="shared" si="1009"/>
        <v>747</v>
      </c>
      <c r="V6037" s="160">
        <f t="shared" si="1008"/>
        <v>747</v>
      </c>
    </row>
    <row r="6038" spans="1:22" x14ac:dyDescent="0.25">
      <c r="A6038" s="98" t="s">
        <v>69</v>
      </c>
      <c r="B6038" s="98" t="s">
        <v>18</v>
      </c>
      <c r="C6038" s="98">
        <v>112</v>
      </c>
      <c r="D6038" s="98">
        <v>250</v>
      </c>
      <c r="E6038" s="157">
        <v>41980.704861111109</v>
      </c>
      <c r="F6038" s="157">
        <v>41980.720833333333</v>
      </c>
      <c r="G6038" s="98">
        <v>0</v>
      </c>
      <c r="H6038" s="98">
        <v>795</v>
      </c>
      <c r="I6038" s="98">
        <v>747</v>
      </c>
      <c r="J6038" s="98" t="s">
        <v>1978</v>
      </c>
      <c r="K6038" s="98" t="s">
        <v>3140</v>
      </c>
      <c r="L6038" s="105" t="str">
        <f t="shared" si="1000"/>
        <v>Trimble</v>
      </c>
      <c r="M6038" s="105" t="str">
        <f t="shared" si="1001"/>
        <v>Outage</v>
      </c>
      <c r="N6038" s="105" t="str">
        <f t="shared" si="1002"/>
        <v>Coal</v>
      </c>
      <c r="O6038" s="105">
        <f>IFERROR(VLOOKUP(A6038,Lookup!$J$5:$P$19,7,FALSE),0)</f>
        <v>3</v>
      </c>
      <c r="P6038" s="159">
        <f t="shared" si="1003"/>
        <v>2014</v>
      </c>
      <c r="Q6038" s="159">
        <f t="shared" si="1004"/>
        <v>12</v>
      </c>
      <c r="R6038" s="160">
        <f t="shared" si="1005"/>
        <v>0.38333333336049691</v>
      </c>
      <c r="S6038" s="158">
        <f t="shared" si="1006"/>
        <v>0.38333333336049691</v>
      </c>
      <c r="T6038" s="161">
        <f t="shared" si="1007"/>
        <v>286.35000002029119</v>
      </c>
      <c r="U6038" s="158">
        <f t="shared" si="1009"/>
        <v>747</v>
      </c>
      <c r="V6038" s="160">
        <f t="shared" si="1008"/>
        <v>747</v>
      </c>
    </row>
    <row r="6039" spans="1:22" x14ac:dyDescent="0.25">
      <c r="A6039" s="98" t="s">
        <v>69</v>
      </c>
      <c r="B6039" s="98" t="s">
        <v>18</v>
      </c>
      <c r="C6039" s="98">
        <v>113</v>
      </c>
      <c r="D6039" s="98">
        <v>3499</v>
      </c>
      <c r="E6039" s="157">
        <v>41980.720833333333</v>
      </c>
      <c r="F6039" s="157">
        <v>41980.990972222222</v>
      </c>
      <c r="G6039" s="98">
        <v>0</v>
      </c>
      <c r="H6039" s="98">
        <v>795</v>
      </c>
      <c r="I6039" s="98">
        <v>747</v>
      </c>
      <c r="J6039" s="98" t="s">
        <v>2188</v>
      </c>
      <c r="K6039" s="98" t="s">
        <v>3141</v>
      </c>
      <c r="L6039" s="105" t="str">
        <f t="shared" si="1000"/>
        <v>Trimble</v>
      </c>
      <c r="M6039" s="105" t="str">
        <f t="shared" si="1001"/>
        <v>Outage</v>
      </c>
      <c r="N6039" s="105" t="str">
        <f t="shared" si="1002"/>
        <v>Coal</v>
      </c>
      <c r="O6039" s="105">
        <f>IFERROR(VLOOKUP(A6039,Lookup!$J$5:$P$19,7,FALSE),0)</f>
        <v>3</v>
      </c>
      <c r="P6039" s="159">
        <f t="shared" si="1003"/>
        <v>2014</v>
      </c>
      <c r="Q6039" s="159">
        <f t="shared" si="1004"/>
        <v>12</v>
      </c>
      <c r="R6039" s="160">
        <f t="shared" si="1005"/>
        <v>6.4833333333372138</v>
      </c>
      <c r="S6039" s="158">
        <f t="shared" si="1006"/>
        <v>6.4833333333372138</v>
      </c>
      <c r="T6039" s="161">
        <f t="shared" si="1007"/>
        <v>4843.0500000028987</v>
      </c>
      <c r="U6039" s="158">
        <f t="shared" si="1009"/>
        <v>747</v>
      </c>
      <c r="V6039" s="160">
        <f t="shared" si="1008"/>
        <v>747</v>
      </c>
    </row>
    <row r="6040" spans="1:22" x14ac:dyDescent="0.25">
      <c r="A6040" s="98" t="s">
        <v>69</v>
      </c>
      <c r="B6040" s="98" t="s">
        <v>105</v>
      </c>
      <c r="C6040" s="98">
        <v>114</v>
      </c>
      <c r="D6040" s="98">
        <v>1190</v>
      </c>
      <c r="E6040" s="157">
        <v>41986.999305555553</v>
      </c>
      <c r="F6040" s="157">
        <v>41987.291666666664</v>
      </c>
      <c r="G6040" s="98">
        <v>434</v>
      </c>
      <c r="H6040" s="98">
        <v>795</v>
      </c>
      <c r="I6040" s="98">
        <v>747</v>
      </c>
      <c r="J6040" s="98" t="s">
        <v>2007</v>
      </c>
      <c r="K6040" s="98" t="s">
        <v>3142</v>
      </c>
      <c r="L6040" s="105" t="str">
        <f t="shared" si="1000"/>
        <v>Trimble</v>
      </c>
      <c r="M6040" s="105" t="str">
        <f t="shared" si="1001"/>
        <v>Derate</v>
      </c>
      <c r="N6040" s="105" t="str">
        <f t="shared" si="1002"/>
        <v>Coal</v>
      </c>
      <c r="O6040" s="105">
        <f>IFERROR(VLOOKUP(A6040,Lookup!$J$5:$P$19,7,FALSE),0)</f>
        <v>3</v>
      </c>
      <c r="P6040" s="159">
        <f t="shared" si="1003"/>
        <v>2014</v>
      </c>
      <c r="Q6040" s="159">
        <f t="shared" si="1004"/>
        <v>12</v>
      </c>
      <c r="R6040" s="160">
        <f t="shared" si="1005"/>
        <v>7.0166666666627862</v>
      </c>
      <c r="S6040" s="158">
        <f t="shared" si="1006"/>
        <v>3.1861844863714035</v>
      </c>
      <c r="T6040" s="161">
        <f t="shared" si="1007"/>
        <v>2380.0798113194382</v>
      </c>
      <c r="U6040" s="158">
        <f t="shared" si="1009"/>
        <v>339.20377358490566</v>
      </c>
      <c r="V6040" s="160">
        <f t="shared" si="1008"/>
        <v>339</v>
      </c>
    </row>
    <row r="6041" spans="1:22" x14ac:dyDescent="0.25">
      <c r="A6041" s="98" t="s">
        <v>69</v>
      </c>
      <c r="B6041" s="98" t="s">
        <v>15</v>
      </c>
      <c r="C6041" s="98">
        <v>115</v>
      </c>
      <c r="D6041" s="98">
        <v>1035</v>
      </c>
      <c r="E6041" s="157">
        <v>41990.548611111109</v>
      </c>
      <c r="F6041" s="157">
        <v>41993.686805555553</v>
      </c>
      <c r="G6041" s="98">
        <v>0</v>
      </c>
      <c r="H6041" s="98">
        <v>795</v>
      </c>
      <c r="I6041" s="98">
        <v>747</v>
      </c>
      <c r="J6041" s="98" t="s">
        <v>2088</v>
      </c>
      <c r="K6041" s="98" t="s">
        <v>3143</v>
      </c>
      <c r="L6041" s="105" t="str">
        <f t="shared" si="1000"/>
        <v>Trimble</v>
      </c>
      <c r="M6041" s="105" t="str">
        <f t="shared" si="1001"/>
        <v>Outage</v>
      </c>
      <c r="N6041" s="105" t="str">
        <f t="shared" si="1002"/>
        <v>Coal</v>
      </c>
      <c r="O6041" s="105">
        <f>IFERROR(VLOOKUP(A6041,Lookup!$J$5:$P$19,7,FALSE),0)</f>
        <v>3</v>
      </c>
      <c r="P6041" s="159">
        <f t="shared" si="1003"/>
        <v>2014</v>
      </c>
      <c r="Q6041" s="159">
        <f t="shared" si="1004"/>
        <v>12</v>
      </c>
      <c r="R6041" s="160">
        <f t="shared" si="1005"/>
        <v>75.316666666651145</v>
      </c>
      <c r="S6041" s="158">
        <f t="shared" si="1006"/>
        <v>75.316666666651145</v>
      </c>
      <c r="T6041" s="161">
        <f t="shared" si="1007"/>
        <v>56261.549999988405</v>
      </c>
      <c r="U6041" s="158">
        <f t="shared" si="1009"/>
        <v>747</v>
      </c>
      <c r="V6041" s="160">
        <f t="shared" si="1008"/>
        <v>747</v>
      </c>
    </row>
    <row r="6042" spans="1:22" x14ac:dyDescent="0.25">
      <c r="A6042" s="98" t="s">
        <v>69</v>
      </c>
      <c r="B6042" s="98" t="s">
        <v>105</v>
      </c>
      <c r="C6042" s="98">
        <v>1</v>
      </c>
      <c r="D6042" s="98">
        <v>1990</v>
      </c>
      <c r="E6042" s="157">
        <v>42007</v>
      </c>
      <c r="F6042" s="157">
        <v>42007.083333333336</v>
      </c>
      <c r="G6042" s="98">
        <v>709</v>
      </c>
      <c r="H6042" s="98">
        <v>795</v>
      </c>
      <c r="I6042" s="98">
        <v>747</v>
      </c>
      <c r="J6042" s="98" t="s">
        <v>2114</v>
      </c>
      <c r="K6042" s="98" t="s">
        <v>3144</v>
      </c>
      <c r="L6042" s="105" t="str">
        <f t="shared" si="1000"/>
        <v>Trimble</v>
      </c>
      <c r="M6042" s="105" t="str">
        <f t="shared" si="1001"/>
        <v>Derate</v>
      </c>
      <c r="N6042" s="105" t="str">
        <f t="shared" si="1002"/>
        <v>Coal</v>
      </c>
      <c r="O6042" s="105">
        <f>IFERROR(VLOOKUP(A6042,Lookup!$J$5:$P$19,7,FALSE),0)</f>
        <v>3</v>
      </c>
      <c r="P6042" s="159">
        <f t="shared" si="1003"/>
        <v>2015</v>
      </c>
      <c r="Q6042" s="159">
        <f t="shared" si="1004"/>
        <v>1</v>
      </c>
      <c r="R6042" s="160">
        <f t="shared" si="1005"/>
        <v>2.0000000000582077</v>
      </c>
      <c r="S6042" s="158">
        <f t="shared" si="1006"/>
        <v>0.2163522012641583</v>
      </c>
      <c r="T6042" s="161">
        <f t="shared" si="1007"/>
        <v>161.61509434432625</v>
      </c>
      <c r="U6042" s="158">
        <f t="shared" si="1009"/>
        <v>80.807547169811315</v>
      </c>
      <c r="V6042" s="160">
        <f t="shared" si="1008"/>
        <v>81</v>
      </c>
    </row>
    <row r="6043" spans="1:22" x14ac:dyDescent="0.25">
      <c r="A6043" s="98" t="s">
        <v>69</v>
      </c>
      <c r="B6043" s="98" t="s">
        <v>79</v>
      </c>
      <c r="C6043" s="98">
        <v>2</v>
      </c>
      <c r="D6043" s="98">
        <v>1190</v>
      </c>
      <c r="E6043" s="157">
        <v>42007.083333333336</v>
      </c>
      <c r="F6043" s="157">
        <v>42007.416666666664</v>
      </c>
      <c r="G6043" s="98">
        <v>0</v>
      </c>
      <c r="H6043" s="98">
        <v>795</v>
      </c>
      <c r="I6043" s="98">
        <v>747</v>
      </c>
      <c r="J6043" s="98" t="s">
        <v>2007</v>
      </c>
      <c r="K6043" s="98" t="s">
        <v>3132</v>
      </c>
      <c r="L6043" s="105" t="str">
        <f t="shared" si="1000"/>
        <v>Trimble</v>
      </c>
      <c r="M6043" s="105" t="str">
        <f t="shared" si="1001"/>
        <v>Other</v>
      </c>
      <c r="N6043" s="105" t="str">
        <f t="shared" si="1002"/>
        <v>Coal</v>
      </c>
      <c r="O6043" s="105">
        <f>IFERROR(VLOOKUP(A6043,Lookup!$J$5:$P$19,7,FALSE),0)</f>
        <v>3</v>
      </c>
      <c r="P6043" s="159">
        <f t="shared" si="1003"/>
        <v>2015</v>
      </c>
      <c r="Q6043" s="159">
        <f t="shared" si="1004"/>
        <v>1</v>
      </c>
      <c r="R6043" s="160">
        <f t="shared" si="1005"/>
        <v>7.9999999998835847</v>
      </c>
      <c r="S6043" s="158">
        <f t="shared" si="1006"/>
        <v>7.9999999998835847</v>
      </c>
      <c r="T6043" s="161">
        <f t="shared" si="1007"/>
        <v>5975.9999999130378</v>
      </c>
      <c r="U6043" s="158">
        <f t="shared" si="1009"/>
        <v>747</v>
      </c>
      <c r="V6043" s="160">
        <f t="shared" si="1008"/>
        <v>747</v>
      </c>
    </row>
    <row r="6044" spans="1:22" x14ac:dyDescent="0.25">
      <c r="A6044" s="98" t="s">
        <v>69</v>
      </c>
      <c r="B6044" s="98" t="s">
        <v>79</v>
      </c>
      <c r="C6044" s="98">
        <v>3</v>
      </c>
      <c r="D6044" s="98">
        <v>1190</v>
      </c>
      <c r="E6044" s="157">
        <v>42015.458333333336</v>
      </c>
      <c r="F6044" s="157">
        <v>42015.708333333336</v>
      </c>
      <c r="G6044" s="98">
        <v>0</v>
      </c>
      <c r="H6044" s="98">
        <v>795</v>
      </c>
      <c r="I6044" s="98">
        <v>747</v>
      </c>
      <c r="J6044" s="98" t="s">
        <v>2007</v>
      </c>
      <c r="K6044" s="98" t="s">
        <v>3128</v>
      </c>
      <c r="L6044" s="105" t="str">
        <f t="shared" si="1000"/>
        <v>Trimble</v>
      </c>
      <c r="M6044" s="105" t="str">
        <f t="shared" si="1001"/>
        <v>Other</v>
      </c>
      <c r="N6044" s="105" t="str">
        <f t="shared" si="1002"/>
        <v>Coal</v>
      </c>
      <c r="O6044" s="105">
        <f>IFERROR(VLOOKUP(A6044,Lookup!$J$5:$P$19,7,FALSE),0)</f>
        <v>3</v>
      </c>
      <c r="P6044" s="159">
        <f t="shared" si="1003"/>
        <v>2015</v>
      </c>
      <c r="Q6044" s="159">
        <f t="shared" si="1004"/>
        <v>1</v>
      </c>
      <c r="R6044" s="160">
        <f t="shared" si="1005"/>
        <v>6</v>
      </c>
      <c r="S6044" s="158">
        <f t="shared" si="1006"/>
        <v>6</v>
      </c>
      <c r="T6044" s="161">
        <f t="shared" si="1007"/>
        <v>4482</v>
      </c>
      <c r="U6044" s="158">
        <f t="shared" si="1009"/>
        <v>747</v>
      </c>
      <c r="V6044" s="160">
        <f t="shared" si="1008"/>
        <v>747</v>
      </c>
    </row>
    <row r="6045" spans="1:22" x14ac:dyDescent="0.25">
      <c r="A6045" s="98" t="s">
        <v>69</v>
      </c>
      <c r="B6045" s="98" t="s">
        <v>17</v>
      </c>
      <c r="C6045" s="98">
        <v>4</v>
      </c>
      <c r="D6045" s="98">
        <v>4269</v>
      </c>
      <c r="E6045" s="157">
        <v>42016.354166666664</v>
      </c>
      <c r="F6045" s="157">
        <v>42016.583333333336</v>
      </c>
      <c r="G6045" s="98">
        <v>799</v>
      </c>
      <c r="H6045" s="98">
        <v>795</v>
      </c>
      <c r="I6045" s="98">
        <v>747</v>
      </c>
      <c r="J6045" s="98" t="s">
        <v>2286</v>
      </c>
      <c r="K6045" s="98" t="s">
        <v>3145</v>
      </c>
      <c r="L6045" s="105" t="str">
        <f t="shared" si="1000"/>
        <v>Trimble</v>
      </c>
      <c r="M6045" s="105" t="str">
        <f t="shared" si="1001"/>
        <v>Derate</v>
      </c>
      <c r="N6045" s="105" t="str">
        <f t="shared" si="1002"/>
        <v>Coal</v>
      </c>
      <c r="O6045" s="105">
        <f>IFERROR(VLOOKUP(A6045,Lookup!$J$5:$P$19,7,FALSE),0)</f>
        <v>3</v>
      </c>
      <c r="P6045" s="159">
        <f t="shared" si="1003"/>
        <v>2015</v>
      </c>
      <c r="Q6045" s="159">
        <f t="shared" si="1004"/>
        <v>1</v>
      </c>
      <c r="R6045" s="160">
        <f t="shared" si="1005"/>
        <v>5.5000000001164153</v>
      </c>
      <c r="S6045" s="158">
        <f t="shared" si="1006"/>
        <v>-2.7672955975428504E-2</v>
      </c>
      <c r="T6045" s="161">
        <f t="shared" si="1007"/>
        <v>-20.671698113645093</v>
      </c>
      <c r="U6045" s="158">
        <f t="shared" si="1009"/>
        <v>0</v>
      </c>
      <c r="V6045" s="160">
        <f t="shared" si="1008"/>
        <v>0</v>
      </c>
    </row>
    <row r="6046" spans="1:22" x14ac:dyDescent="0.25">
      <c r="A6046" s="98" t="s">
        <v>69</v>
      </c>
      <c r="B6046" s="98" t="s">
        <v>17</v>
      </c>
      <c r="C6046" s="98">
        <v>5</v>
      </c>
      <c r="D6046" s="98">
        <v>4269</v>
      </c>
      <c r="E6046" s="157">
        <v>42016.583333333336</v>
      </c>
      <c r="F6046" s="157">
        <v>42016.791666666664</v>
      </c>
      <c r="G6046" s="98">
        <v>549</v>
      </c>
      <c r="H6046" s="98">
        <v>795</v>
      </c>
      <c r="I6046" s="98">
        <v>747</v>
      </c>
      <c r="J6046" s="98" t="s">
        <v>2286</v>
      </c>
      <c r="K6046" s="98" t="s">
        <v>3146</v>
      </c>
      <c r="L6046" s="105" t="str">
        <f t="shared" si="1000"/>
        <v>Trimble</v>
      </c>
      <c r="M6046" s="105" t="str">
        <f t="shared" si="1001"/>
        <v>Derate</v>
      </c>
      <c r="N6046" s="105" t="str">
        <f t="shared" si="1002"/>
        <v>Coal</v>
      </c>
      <c r="O6046" s="105">
        <f>IFERROR(VLOOKUP(A6046,Lookup!$J$5:$P$19,7,FALSE),0)</f>
        <v>3</v>
      </c>
      <c r="P6046" s="159">
        <f t="shared" si="1003"/>
        <v>2015</v>
      </c>
      <c r="Q6046" s="159">
        <f t="shared" si="1004"/>
        <v>1</v>
      </c>
      <c r="R6046" s="160">
        <f t="shared" si="1005"/>
        <v>4.9999999998835847</v>
      </c>
      <c r="S6046" s="158">
        <f t="shared" si="1006"/>
        <v>1.5471698112847319</v>
      </c>
      <c r="T6046" s="161">
        <f t="shared" si="1007"/>
        <v>1155.7358490296947</v>
      </c>
      <c r="U6046" s="158">
        <f t="shared" si="1009"/>
        <v>231.14716981132077</v>
      </c>
      <c r="V6046" s="160">
        <f t="shared" si="1008"/>
        <v>231</v>
      </c>
    </row>
    <row r="6047" spans="1:22" x14ac:dyDescent="0.25">
      <c r="A6047" s="98" t="s">
        <v>69</v>
      </c>
      <c r="B6047" s="98" t="s">
        <v>17</v>
      </c>
      <c r="C6047" s="98">
        <v>6</v>
      </c>
      <c r="D6047" s="98">
        <v>4269</v>
      </c>
      <c r="E6047" s="157">
        <v>42016.791666666664</v>
      </c>
      <c r="F6047" s="157">
        <v>42067.666666666664</v>
      </c>
      <c r="G6047" s="98">
        <v>789</v>
      </c>
      <c r="H6047" s="98">
        <v>795</v>
      </c>
      <c r="I6047" s="98">
        <v>747</v>
      </c>
      <c r="J6047" s="98" t="s">
        <v>2286</v>
      </c>
      <c r="K6047" s="98" t="s">
        <v>3147</v>
      </c>
      <c r="L6047" s="105" t="str">
        <f t="shared" si="1000"/>
        <v>Trimble</v>
      </c>
      <c r="M6047" s="105" t="str">
        <f t="shared" si="1001"/>
        <v>Derate</v>
      </c>
      <c r="N6047" s="105" t="str">
        <f t="shared" si="1002"/>
        <v>Coal</v>
      </c>
      <c r="O6047" s="105">
        <f>IFERROR(VLOOKUP(A6047,Lookup!$J$5:$P$19,7,FALSE),0)</f>
        <v>3</v>
      </c>
      <c r="P6047" s="159">
        <f t="shared" si="1003"/>
        <v>2015</v>
      </c>
      <c r="Q6047" s="159">
        <f t="shared" si="1004"/>
        <v>1</v>
      </c>
      <c r="R6047" s="160">
        <f t="shared" si="1005"/>
        <v>1221</v>
      </c>
      <c r="S6047" s="158">
        <f t="shared" si="1006"/>
        <v>9.2150943396226417</v>
      </c>
      <c r="T6047" s="161">
        <f t="shared" si="1007"/>
        <v>6883.6754716981131</v>
      </c>
      <c r="U6047" s="158">
        <f t="shared" si="1009"/>
        <v>5.6377358490566039</v>
      </c>
      <c r="V6047" s="160">
        <f t="shared" si="1008"/>
        <v>6</v>
      </c>
    </row>
    <row r="6048" spans="1:22" x14ac:dyDescent="0.25">
      <c r="A6048" s="98" t="s">
        <v>69</v>
      </c>
      <c r="B6048" s="98" t="s">
        <v>79</v>
      </c>
      <c r="C6048" s="98">
        <v>7</v>
      </c>
      <c r="D6048" s="98">
        <v>1190</v>
      </c>
      <c r="E6048" s="157">
        <v>42021.916666666664</v>
      </c>
      <c r="F6048" s="157">
        <v>42022.166666666664</v>
      </c>
      <c r="G6048" s="98">
        <v>0</v>
      </c>
      <c r="H6048" s="98">
        <v>795</v>
      </c>
      <c r="I6048" s="98">
        <v>747</v>
      </c>
      <c r="J6048" s="98" t="s">
        <v>2007</v>
      </c>
      <c r="K6048" s="98" t="s">
        <v>3148</v>
      </c>
      <c r="L6048" s="105" t="str">
        <f t="shared" si="1000"/>
        <v>Trimble</v>
      </c>
      <c r="M6048" s="105" t="str">
        <f t="shared" si="1001"/>
        <v>Other</v>
      </c>
      <c r="N6048" s="105" t="str">
        <f t="shared" si="1002"/>
        <v>Coal</v>
      </c>
      <c r="O6048" s="105">
        <f>IFERROR(VLOOKUP(A6048,Lookup!$J$5:$P$19,7,FALSE),0)</f>
        <v>3</v>
      </c>
      <c r="P6048" s="159">
        <f t="shared" si="1003"/>
        <v>2015</v>
      </c>
      <c r="Q6048" s="159">
        <f t="shared" si="1004"/>
        <v>1</v>
      </c>
      <c r="R6048" s="160">
        <f t="shared" si="1005"/>
        <v>6</v>
      </c>
      <c r="S6048" s="158">
        <f t="shared" si="1006"/>
        <v>6</v>
      </c>
      <c r="T6048" s="161">
        <f t="shared" si="1007"/>
        <v>4482</v>
      </c>
      <c r="U6048" s="158">
        <f t="shared" si="1009"/>
        <v>747</v>
      </c>
      <c r="V6048" s="160">
        <f t="shared" si="1008"/>
        <v>747</v>
      </c>
    </row>
    <row r="6049" spans="1:22" x14ac:dyDescent="0.25">
      <c r="A6049" s="98" t="s">
        <v>69</v>
      </c>
      <c r="B6049" s="98" t="s">
        <v>79</v>
      </c>
      <c r="C6049" s="98">
        <v>8</v>
      </c>
      <c r="D6049" s="98">
        <v>1190</v>
      </c>
      <c r="E6049" s="157">
        <v>42028.999305555553</v>
      </c>
      <c r="F6049" s="157">
        <v>42029.291666666664</v>
      </c>
      <c r="G6049" s="98">
        <v>0</v>
      </c>
      <c r="H6049" s="98">
        <v>795</v>
      </c>
      <c r="I6049" s="98">
        <v>747</v>
      </c>
      <c r="J6049" s="98" t="s">
        <v>2007</v>
      </c>
      <c r="K6049" s="98" t="s">
        <v>3149</v>
      </c>
      <c r="L6049" s="105" t="str">
        <f t="shared" si="1000"/>
        <v>Trimble</v>
      </c>
      <c r="M6049" s="105" t="str">
        <f t="shared" si="1001"/>
        <v>Other</v>
      </c>
      <c r="N6049" s="105" t="str">
        <f t="shared" si="1002"/>
        <v>Coal</v>
      </c>
      <c r="O6049" s="105">
        <f>IFERROR(VLOOKUP(A6049,Lookup!$J$5:$P$19,7,FALSE),0)</f>
        <v>3</v>
      </c>
      <c r="P6049" s="159">
        <f t="shared" si="1003"/>
        <v>2015</v>
      </c>
      <c r="Q6049" s="159">
        <f t="shared" si="1004"/>
        <v>1</v>
      </c>
      <c r="R6049" s="160">
        <f t="shared" si="1005"/>
        <v>7.0166666666627862</v>
      </c>
      <c r="S6049" s="158">
        <f t="shared" si="1006"/>
        <v>7.0166666666627862</v>
      </c>
      <c r="T6049" s="161">
        <f t="shared" si="1007"/>
        <v>5241.4499999971013</v>
      </c>
      <c r="U6049" s="158">
        <f t="shared" si="1009"/>
        <v>747</v>
      </c>
      <c r="V6049" s="160">
        <f t="shared" si="1008"/>
        <v>747</v>
      </c>
    </row>
    <row r="6050" spans="1:22" x14ac:dyDescent="0.25">
      <c r="A6050" s="98" t="s">
        <v>69</v>
      </c>
      <c r="B6050" s="98" t="s">
        <v>79</v>
      </c>
      <c r="C6050" s="98">
        <v>9</v>
      </c>
      <c r="D6050" s="98">
        <v>1190</v>
      </c>
      <c r="E6050" s="157">
        <v>42036</v>
      </c>
      <c r="F6050" s="157">
        <v>42036.291666666664</v>
      </c>
      <c r="G6050" s="98">
        <v>0</v>
      </c>
      <c r="H6050" s="98">
        <v>795</v>
      </c>
      <c r="I6050" s="98">
        <v>747</v>
      </c>
      <c r="J6050" s="98" t="s">
        <v>2007</v>
      </c>
      <c r="K6050" s="98" t="s">
        <v>3150</v>
      </c>
      <c r="L6050" s="105" t="str">
        <f t="shared" si="1000"/>
        <v>Trimble</v>
      </c>
      <c r="M6050" s="105" t="str">
        <f t="shared" si="1001"/>
        <v>Other</v>
      </c>
      <c r="N6050" s="105" t="str">
        <f t="shared" si="1002"/>
        <v>Coal</v>
      </c>
      <c r="O6050" s="105">
        <f>IFERROR(VLOOKUP(A6050,Lookup!$J$5:$P$19,7,FALSE),0)</f>
        <v>3</v>
      </c>
      <c r="P6050" s="159">
        <f t="shared" si="1003"/>
        <v>2015</v>
      </c>
      <c r="Q6050" s="159">
        <f t="shared" si="1004"/>
        <v>2</v>
      </c>
      <c r="R6050" s="160">
        <f t="shared" si="1005"/>
        <v>6.9999999999417923</v>
      </c>
      <c r="S6050" s="158">
        <f t="shared" si="1006"/>
        <v>6.9999999999417923</v>
      </c>
      <c r="T6050" s="161">
        <f t="shared" si="1007"/>
        <v>5228.9999999565189</v>
      </c>
      <c r="U6050" s="158">
        <f t="shared" si="1009"/>
        <v>747</v>
      </c>
      <c r="V6050" s="160">
        <f t="shared" si="1008"/>
        <v>747</v>
      </c>
    </row>
    <row r="6051" spans="1:22" x14ac:dyDescent="0.25">
      <c r="A6051" s="98" t="s">
        <v>69</v>
      </c>
      <c r="B6051" s="98" t="s">
        <v>105</v>
      </c>
      <c r="C6051" s="98">
        <v>10</v>
      </c>
      <c r="D6051" s="98">
        <v>1190</v>
      </c>
      <c r="E6051" s="157">
        <v>42043</v>
      </c>
      <c r="F6051" s="157">
        <v>42043.291666666664</v>
      </c>
      <c r="G6051" s="98">
        <v>449</v>
      </c>
      <c r="H6051" s="98">
        <v>795</v>
      </c>
      <c r="I6051" s="98">
        <v>747</v>
      </c>
      <c r="J6051" s="98" t="s">
        <v>2007</v>
      </c>
      <c r="K6051" s="98" t="s">
        <v>3151</v>
      </c>
      <c r="L6051" s="105" t="str">
        <f t="shared" si="1000"/>
        <v>Trimble</v>
      </c>
      <c r="M6051" s="105" t="str">
        <f t="shared" si="1001"/>
        <v>Derate</v>
      </c>
      <c r="N6051" s="105" t="str">
        <f t="shared" si="1002"/>
        <v>Coal</v>
      </c>
      <c r="O6051" s="105">
        <f>IFERROR(VLOOKUP(A6051,Lookup!$J$5:$P$19,7,FALSE),0)</f>
        <v>3</v>
      </c>
      <c r="P6051" s="159">
        <f t="shared" si="1003"/>
        <v>2015</v>
      </c>
      <c r="Q6051" s="159">
        <f t="shared" si="1004"/>
        <v>2</v>
      </c>
      <c r="R6051" s="160">
        <f t="shared" si="1005"/>
        <v>6.9999999999417923</v>
      </c>
      <c r="S6051" s="158">
        <f t="shared" si="1006"/>
        <v>3.0465408804778114</v>
      </c>
      <c r="T6051" s="161">
        <f t="shared" si="1007"/>
        <v>2275.766037716925</v>
      </c>
      <c r="U6051" s="158">
        <f t="shared" si="1009"/>
        <v>325.10943396226418</v>
      </c>
      <c r="V6051" s="160">
        <f t="shared" si="1008"/>
        <v>325</v>
      </c>
    </row>
    <row r="6052" spans="1:22" x14ac:dyDescent="0.25">
      <c r="A6052" s="98" t="s">
        <v>69</v>
      </c>
      <c r="B6052" s="98" t="s">
        <v>79</v>
      </c>
      <c r="C6052" s="98">
        <v>11</v>
      </c>
      <c r="D6052" s="98">
        <v>1190</v>
      </c>
      <c r="E6052" s="157">
        <v>42057.000694444447</v>
      </c>
      <c r="F6052" s="157">
        <v>42057.291666666664</v>
      </c>
      <c r="G6052" s="98">
        <v>0</v>
      </c>
      <c r="H6052" s="98">
        <v>795</v>
      </c>
      <c r="I6052" s="98">
        <v>747</v>
      </c>
      <c r="J6052" s="98" t="s">
        <v>2007</v>
      </c>
      <c r="K6052" s="98" t="s">
        <v>3152</v>
      </c>
      <c r="L6052" s="105" t="str">
        <f t="shared" si="1000"/>
        <v>Trimble</v>
      </c>
      <c r="M6052" s="105" t="str">
        <f t="shared" si="1001"/>
        <v>Other</v>
      </c>
      <c r="N6052" s="105" t="str">
        <f t="shared" si="1002"/>
        <v>Coal</v>
      </c>
      <c r="O6052" s="105">
        <f>IFERROR(VLOOKUP(A6052,Lookup!$J$5:$P$19,7,FALSE),0)</f>
        <v>3</v>
      </c>
      <c r="P6052" s="159">
        <f t="shared" si="1003"/>
        <v>2015</v>
      </c>
      <c r="Q6052" s="159">
        <f t="shared" si="1004"/>
        <v>2</v>
      </c>
      <c r="R6052" s="160">
        <f t="shared" si="1005"/>
        <v>6.9833333332207985</v>
      </c>
      <c r="S6052" s="158">
        <f t="shared" si="1006"/>
        <v>6.9833333332207985</v>
      </c>
      <c r="T6052" s="161">
        <f t="shared" si="1007"/>
        <v>5216.5499999159365</v>
      </c>
      <c r="U6052" s="158">
        <f t="shared" si="1009"/>
        <v>747</v>
      </c>
      <c r="V6052" s="160">
        <f t="shared" si="1008"/>
        <v>747</v>
      </c>
    </row>
    <row r="6053" spans="1:22" x14ac:dyDescent="0.25">
      <c r="A6053" s="98" t="s">
        <v>69</v>
      </c>
      <c r="B6053" s="98" t="s">
        <v>79</v>
      </c>
      <c r="C6053" s="98">
        <v>12</v>
      </c>
      <c r="D6053" s="98">
        <v>1190</v>
      </c>
      <c r="E6053" s="157">
        <v>42064.000694444447</v>
      </c>
      <c r="F6053" s="157">
        <v>42064.291666666664</v>
      </c>
      <c r="G6053" s="98">
        <v>0</v>
      </c>
      <c r="H6053" s="98">
        <v>795</v>
      </c>
      <c r="I6053" s="98">
        <v>747</v>
      </c>
      <c r="J6053" s="98" t="s">
        <v>2007</v>
      </c>
      <c r="K6053" s="98" t="s">
        <v>3152</v>
      </c>
      <c r="L6053" s="105" t="str">
        <f t="shared" si="1000"/>
        <v>Trimble</v>
      </c>
      <c r="M6053" s="105" t="str">
        <f t="shared" si="1001"/>
        <v>Other</v>
      </c>
      <c r="N6053" s="105" t="str">
        <f t="shared" si="1002"/>
        <v>Coal</v>
      </c>
      <c r="O6053" s="105">
        <f>IFERROR(VLOOKUP(A6053,Lookup!$J$5:$P$19,7,FALSE),0)</f>
        <v>3</v>
      </c>
      <c r="P6053" s="159">
        <f t="shared" si="1003"/>
        <v>2015</v>
      </c>
      <c r="Q6053" s="159">
        <f t="shared" si="1004"/>
        <v>3</v>
      </c>
      <c r="R6053" s="160">
        <f t="shared" si="1005"/>
        <v>6.9833333332207985</v>
      </c>
      <c r="S6053" s="158">
        <f t="shared" si="1006"/>
        <v>6.9833333332207985</v>
      </c>
      <c r="T6053" s="161">
        <f t="shared" si="1007"/>
        <v>5216.5499999159365</v>
      </c>
      <c r="U6053" s="158">
        <f t="shared" si="1009"/>
        <v>747</v>
      </c>
      <c r="V6053" s="160">
        <f t="shared" si="1008"/>
        <v>747</v>
      </c>
    </row>
    <row r="6054" spans="1:22" x14ac:dyDescent="0.25">
      <c r="A6054" s="98" t="s">
        <v>69</v>
      </c>
      <c r="B6054" s="98" t="s">
        <v>105</v>
      </c>
      <c r="C6054" s="98">
        <v>13</v>
      </c>
      <c r="D6054" s="98">
        <v>1980</v>
      </c>
      <c r="E6054" s="157">
        <v>42067</v>
      </c>
      <c r="F6054" s="157">
        <v>42067.085416666669</v>
      </c>
      <c r="G6054" s="98">
        <v>749</v>
      </c>
      <c r="H6054" s="98">
        <v>795</v>
      </c>
      <c r="I6054" s="98">
        <v>747</v>
      </c>
      <c r="J6054" s="98" t="s">
        <v>2126</v>
      </c>
      <c r="K6054" s="98" t="s">
        <v>3153</v>
      </c>
      <c r="L6054" s="105" t="str">
        <f t="shared" si="1000"/>
        <v>Trimble</v>
      </c>
      <c r="M6054" s="105" t="str">
        <f t="shared" si="1001"/>
        <v>Derate</v>
      </c>
      <c r="N6054" s="105" t="str">
        <f t="shared" si="1002"/>
        <v>Coal</v>
      </c>
      <c r="O6054" s="105">
        <f>IFERROR(VLOOKUP(A6054,Lookup!$J$5:$P$19,7,FALSE),0)</f>
        <v>3</v>
      </c>
      <c r="P6054" s="159">
        <f t="shared" si="1003"/>
        <v>2015</v>
      </c>
      <c r="Q6054" s="159">
        <f t="shared" si="1004"/>
        <v>3</v>
      </c>
      <c r="R6054" s="160">
        <f t="shared" si="1005"/>
        <v>2.0500000000465661</v>
      </c>
      <c r="S6054" s="158">
        <f t="shared" si="1006"/>
        <v>0.11861635220395225</v>
      </c>
      <c r="T6054" s="161">
        <f t="shared" si="1007"/>
        <v>88.606415096352336</v>
      </c>
      <c r="U6054" s="158">
        <f t="shared" si="1009"/>
        <v>43.222641509433963</v>
      </c>
      <c r="V6054" s="160">
        <f t="shared" si="1008"/>
        <v>43</v>
      </c>
    </row>
    <row r="6055" spans="1:22" x14ac:dyDescent="0.25">
      <c r="A6055" s="98" t="s">
        <v>69</v>
      </c>
      <c r="B6055" s="98" t="s">
        <v>17</v>
      </c>
      <c r="C6055" s="98">
        <v>14</v>
      </c>
      <c r="D6055" s="98">
        <v>550</v>
      </c>
      <c r="E6055" s="157">
        <v>42067.666666666664</v>
      </c>
      <c r="F6055" s="157">
        <v>42071.291666666664</v>
      </c>
      <c r="G6055" s="98">
        <v>777</v>
      </c>
      <c r="H6055" s="98">
        <v>795</v>
      </c>
      <c r="I6055" s="98">
        <v>747</v>
      </c>
      <c r="J6055" s="98" t="s">
        <v>2373</v>
      </c>
      <c r="K6055" s="98" t="s">
        <v>3154</v>
      </c>
      <c r="L6055" s="105" t="str">
        <f t="shared" si="1000"/>
        <v>Trimble</v>
      </c>
      <c r="M6055" s="105" t="str">
        <f t="shared" si="1001"/>
        <v>Derate</v>
      </c>
      <c r="N6055" s="105" t="str">
        <f t="shared" si="1002"/>
        <v>Coal</v>
      </c>
      <c r="O6055" s="105">
        <f>IFERROR(VLOOKUP(A6055,Lookup!$J$5:$P$19,7,FALSE),0)</f>
        <v>3</v>
      </c>
      <c r="P6055" s="159">
        <f t="shared" si="1003"/>
        <v>2015</v>
      </c>
      <c r="Q6055" s="159">
        <f t="shared" si="1004"/>
        <v>3</v>
      </c>
      <c r="R6055" s="160">
        <f t="shared" si="1005"/>
        <v>87</v>
      </c>
      <c r="S6055" s="158">
        <f t="shared" si="1006"/>
        <v>1.969811320754717</v>
      </c>
      <c r="T6055" s="161">
        <f t="shared" si="1007"/>
        <v>1471.4490566037737</v>
      </c>
      <c r="U6055" s="158">
        <f t="shared" si="1009"/>
        <v>16.913207547169812</v>
      </c>
      <c r="V6055" s="160">
        <f t="shared" si="1008"/>
        <v>17</v>
      </c>
    </row>
    <row r="6056" spans="1:22" x14ac:dyDescent="0.25">
      <c r="A6056" s="98" t="s">
        <v>69</v>
      </c>
      <c r="B6056" s="98" t="s">
        <v>79</v>
      </c>
      <c r="C6056" s="98">
        <v>15</v>
      </c>
      <c r="D6056" s="98">
        <v>1190</v>
      </c>
      <c r="E6056" s="157">
        <v>42071</v>
      </c>
      <c r="F6056" s="157">
        <v>42071.291666666664</v>
      </c>
      <c r="G6056" s="98">
        <v>0</v>
      </c>
      <c r="H6056" s="98">
        <v>795</v>
      </c>
      <c r="I6056" s="98">
        <v>747</v>
      </c>
      <c r="J6056" s="98" t="s">
        <v>2007</v>
      </c>
      <c r="K6056" s="98" t="s">
        <v>3155</v>
      </c>
      <c r="L6056" s="105" t="str">
        <f t="shared" si="1000"/>
        <v>Trimble</v>
      </c>
      <c r="M6056" s="105" t="str">
        <f t="shared" si="1001"/>
        <v>Other</v>
      </c>
      <c r="N6056" s="105" t="str">
        <f t="shared" si="1002"/>
        <v>Coal</v>
      </c>
      <c r="O6056" s="105">
        <f>IFERROR(VLOOKUP(A6056,Lookup!$J$5:$P$19,7,FALSE),0)</f>
        <v>3</v>
      </c>
      <c r="P6056" s="159">
        <f t="shared" si="1003"/>
        <v>2015</v>
      </c>
      <c r="Q6056" s="159">
        <f t="shared" si="1004"/>
        <v>3</v>
      </c>
      <c r="R6056" s="160">
        <f t="shared" si="1005"/>
        <v>6.9999999999417923</v>
      </c>
      <c r="S6056" s="158">
        <f t="shared" si="1006"/>
        <v>6.9999999999417923</v>
      </c>
      <c r="T6056" s="161">
        <f t="shared" si="1007"/>
        <v>5228.9999999565189</v>
      </c>
      <c r="U6056" s="158">
        <f t="shared" si="1009"/>
        <v>747</v>
      </c>
      <c r="V6056" s="160">
        <f t="shared" si="1008"/>
        <v>747</v>
      </c>
    </row>
    <row r="6057" spans="1:22" x14ac:dyDescent="0.25">
      <c r="A6057" s="98" t="s">
        <v>69</v>
      </c>
      <c r="B6057" s="98" t="s">
        <v>17</v>
      </c>
      <c r="C6057" s="98">
        <v>16</v>
      </c>
      <c r="D6057" s="98">
        <v>550</v>
      </c>
      <c r="E6057" s="157">
        <v>42071.291666666664</v>
      </c>
      <c r="F6057" s="157">
        <v>42077.819444444445</v>
      </c>
      <c r="G6057" s="98">
        <v>777</v>
      </c>
      <c r="H6057" s="98">
        <v>795</v>
      </c>
      <c r="I6057" s="98">
        <v>747</v>
      </c>
      <c r="J6057" s="98" t="s">
        <v>2373</v>
      </c>
      <c r="K6057" s="98" t="s">
        <v>3154</v>
      </c>
      <c r="L6057" s="105" t="str">
        <f t="shared" si="1000"/>
        <v>Trimble</v>
      </c>
      <c r="M6057" s="105" t="str">
        <f t="shared" si="1001"/>
        <v>Derate</v>
      </c>
      <c r="N6057" s="105" t="str">
        <f t="shared" si="1002"/>
        <v>Coal</v>
      </c>
      <c r="O6057" s="105">
        <f>IFERROR(VLOOKUP(A6057,Lookup!$J$5:$P$19,7,FALSE),0)</f>
        <v>3</v>
      </c>
      <c r="P6057" s="159">
        <f t="shared" si="1003"/>
        <v>2015</v>
      </c>
      <c r="Q6057" s="159">
        <f t="shared" si="1004"/>
        <v>3</v>
      </c>
      <c r="R6057" s="160">
        <f t="shared" si="1005"/>
        <v>156.66666666674428</v>
      </c>
      <c r="S6057" s="158">
        <f t="shared" si="1006"/>
        <v>3.5471698113225121</v>
      </c>
      <c r="T6057" s="161">
        <f t="shared" si="1007"/>
        <v>2649.7358490579163</v>
      </c>
      <c r="U6057" s="158">
        <f t="shared" si="1009"/>
        <v>16.913207547169812</v>
      </c>
      <c r="V6057" s="160">
        <f t="shared" si="1008"/>
        <v>17</v>
      </c>
    </row>
    <row r="6058" spans="1:22" x14ac:dyDescent="0.25">
      <c r="A6058" s="98" t="s">
        <v>69</v>
      </c>
      <c r="B6058" s="98" t="s">
        <v>17</v>
      </c>
      <c r="C6058" s="98">
        <v>17</v>
      </c>
      <c r="D6058" s="98">
        <v>310</v>
      </c>
      <c r="E6058" s="157">
        <v>42077.819444444445</v>
      </c>
      <c r="F6058" s="157">
        <v>42077.833333333336</v>
      </c>
      <c r="G6058" s="98">
        <v>650</v>
      </c>
      <c r="H6058" s="98">
        <v>795</v>
      </c>
      <c r="I6058" s="98">
        <v>747</v>
      </c>
      <c r="J6058" s="98" t="s">
        <v>1966</v>
      </c>
      <c r="K6058" s="98" t="s">
        <v>3156</v>
      </c>
      <c r="L6058" s="105" t="str">
        <f t="shared" si="1000"/>
        <v>Trimble</v>
      </c>
      <c r="M6058" s="105" t="str">
        <f t="shared" si="1001"/>
        <v>Derate</v>
      </c>
      <c r="N6058" s="105" t="str">
        <f t="shared" si="1002"/>
        <v>Coal</v>
      </c>
      <c r="O6058" s="105">
        <f>IFERROR(VLOOKUP(A6058,Lookup!$J$5:$P$19,7,FALSE),0)</f>
        <v>3</v>
      </c>
      <c r="P6058" s="159">
        <f t="shared" si="1003"/>
        <v>2015</v>
      </c>
      <c r="Q6058" s="159">
        <f t="shared" si="1004"/>
        <v>3</v>
      </c>
      <c r="R6058" s="160">
        <f t="shared" si="1005"/>
        <v>0.33333333337213844</v>
      </c>
      <c r="S6058" s="158">
        <f t="shared" si="1006"/>
        <v>6.0796645709383743E-2</v>
      </c>
      <c r="T6058" s="161">
        <f t="shared" si="1007"/>
        <v>45.415094344909654</v>
      </c>
      <c r="U6058" s="158">
        <f t="shared" si="1009"/>
        <v>136.24528301886792</v>
      </c>
      <c r="V6058" s="160">
        <f t="shared" si="1008"/>
        <v>136</v>
      </c>
    </row>
    <row r="6059" spans="1:22" x14ac:dyDescent="0.25">
      <c r="A6059" s="98" t="s">
        <v>69</v>
      </c>
      <c r="B6059" s="98" t="s">
        <v>17</v>
      </c>
      <c r="C6059" s="98">
        <v>18</v>
      </c>
      <c r="D6059" s="98">
        <v>310</v>
      </c>
      <c r="E6059" s="157">
        <v>42077.833333333336</v>
      </c>
      <c r="F6059" s="157">
        <v>42077.947916666664</v>
      </c>
      <c r="G6059" s="98">
        <v>630</v>
      </c>
      <c r="H6059" s="98">
        <v>795</v>
      </c>
      <c r="I6059" s="98">
        <v>747</v>
      </c>
      <c r="J6059" s="98" t="s">
        <v>1966</v>
      </c>
      <c r="K6059" s="98" t="s">
        <v>3156</v>
      </c>
      <c r="L6059" s="105" t="str">
        <f t="shared" si="1000"/>
        <v>Trimble</v>
      </c>
      <c r="M6059" s="105" t="str">
        <f t="shared" si="1001"/>
        <v>Derate</v>
      </c>
      <c r="N6059" s="105" t="str">
        <f t="shared" si="1002"/>
        <v>Coal</v>
      </c>
      <c r="O6059" s="105">
        <f>IFERROR(VLOOKUP(A6059,Lookup!$J$5:$P$19,7,FALSE),0)</f>
        <v>3</v>
      </c>
      <c r="P6059" s="159">
        <f t="shared" si="1003"/>
        <v>2015</v>
      </c>
      <c r="Q6059" s="159">
        <f t="shared" si="1004"/>
        <v>3</v>
      </c>
      <c r="R6059" s="160">
        <f t="shared" si="1005"/>
        <v>2.7499999998835847</v>
      </c>
      <c r="S6059" s="158">
        <f t="shared" si="1006"/>
        <v>0.57075471695697044</v>
      </c>
      <c r="T6059" s="161">
        <f t="shared" si="1007"/>
        <v>426.35377356685694</v>
      </c>
      <c r="U6059" s="158">
        <f t="shared" si="1009"/>
        <v>155.03773584905662</v>
      </c>
      <c r="V6059" s="160">
        <f t="shared" si="1008"/>
        <v>155</v>
      </c>
    </row>
    <row r="6060" spans="1:22" x14ac:dyDescent="0.25">
      <c r="A6060" s="98" t="s">
        <v>69</v>
      </c>
      <c r="B6060" s="98" t="s">
        <v>17</v>
      </c>
      <c r="C6060" s="98">
        <v>19</v>
      </c>
      <c r="D6060" s="98">
        <v>550</v>
      </c>
      <c r="E6060" s="157">
        <v>42077.947916666664</v>
      </c>
      <c r="F6060" s="157">
        <v>42078.302083333336</v>
      </c>
      <c r="G6060" s="98">
        <v>777</v>
      </c>
      <c r="H6060" s="98">
        <v>795</v>
      </c>
      <c r="I6060" s="98">
        <v>747</v>
      </c>
      <c r="J6060" s="98" t="s">
        <v>2373</v>
      </c>
      <c r="K6060" s="98" t="s">
        <v>3154</v>
      </c>
      <c r="L6060" s="105" t="str">
        <f t="shared" si="1000"/>
        <v>Trimble</v>
      </c>
      <c r="M6060" s="105" t="str">
        <f t="shared" si="1001"/>
        <v>Derate</v>
      </c>
      <c r="N6060" s="105" t="str">
        <f t="shared" si="1002"/>
        <v>Coal</v>
      </c>
      <c r="O6060" s="105">
        <f>IFERROR(VLOOKUP(A6060,Lookup!$J$5:$P$19,7,FALSE),0)</f>
        <v>3</v>
      </c>
      <c r="P6060" s="159">
        <f t="shared" si="1003"/>
        <v>2015</v>
      </c>
      <c r="Q6060" s="159">
        <f t="shared" si="1004"/>
        <v>3</v>
      </c>
      <c r="R6060" s="160">
        <f t="shared" si="1005"/>
        <v>8.5000000001164153</v>
      </c>
      <c r="S6060" s="158">
        <f t="shared" si="1006"/>
        <v>0.19245283019131507</v>
      </c>
      <c r="T6060" s="161">
        <f t="shared" si="1007"/>
        <v>143.76226415291237</v>
      </c>
      <c r="U6060" s="158">
        <f t="shared" si="1009"/>
        <v>16.913207547169812</v>
      </c>
      <c r="V6060" s="160">
        <f t="shared" si="1008"/>
        <v>17</v>
      </c>
    </row>
    <row r="6061" spans="1:22" x14ac:dyDescent="0.25">
      <c r="A6061" s="98" t="s">
        <v>69</v>
      </c>
      <c r="B6061" s="98" t="s">
        <v>79</v>
      </c>
      <c r="C6061" s="98">
        <v>20</v>
      </c>
      <c r="D6061" s="98">
        <v>1190</v>
      </c>
      <c r="E6061" s="157">
        <v>42078</v>
      </c>
      <c r="F6061" s="157">
        <v>42078.302083333336</v>
      </c>
      <c r="G6061" s="98">
        <v>0</v>
      </c>
      <c r="H6061" s="98">
        <v>795</v>
      </c>
      <c r="I6061" s="98">
        <v>747</v>
      </c>
      <c r="J6061" s="98" t="s">
        <v>2007</v>
      </c>
      <c r="K6061" s="98" t="s">
        <v>3152</v>
      </c>
      <c r="L6061" s="105" t="str">
        <f t="shared" si="1000"/>
        <v>Trimble</v>
      </c>
      <c r="M6061" s="105" t="str">
        <f t="shared" si="1001"/>
        <v>Other</v>
      </c>
      <c r="N6061" s="105" t="str">
        <f t="shared" si="1002"/>
        <v>Coal</v>
      </c>
      <c r="O6061" s="105">
        <f>IFERROR(VLOOKUP(A6061,Lookup!$J$5:$P$19,7,FALSE),0)</f>
        <v>3</v>
      </c>
      <c r="P6061" s="159">
        <f t="shared" si="1003"/>
        <v>2015</v>
      </c>
      <c r="Q6061" s="159">
        <f t="shared" si="1004"/>
        <v>3</v>
      </c>
      <c r="R6061" s="160">
        <f t="shared" si="1005"/>
        <v>7.2500000000582077</v>
      </c>
      <c r="S6061" s="158">
        <f t="shared" si="1006"/>
        <v>7.2500000000582077</v>
      </c>
      <c r="T6061" s="161">
        <f t="shared" si="1007"/>
        <v>5415.7500000434811</v>
      </c>
      <c r="U6061" s="158">
        <f t="shared" si="1009"/>
        <v>747</v>
      </c>
      <c r="V6061" s="160">
        <f t="shared" si="1008"/>
        <v>747</v>
      </c>
    </row>
    <row r="6062" spans="1:22" x14ac:dyDescent="0.25">
      <c r="A6062" s="98" t="s">
        <v>69</v>
      </c>
      <c r="B6062" s="98" t="s">
        <v>17</v>
      </c>
      <c r="C6062" s="98">
        <v>21</v>
      </c>
      <c r="D6062" s="98">
        <v>550</v>
      </c>
      <c r="E6062" s="162">
        <v>42078.302083333336</v>
      </c>
      <c r="F6062" s="157">
        <v>42085.319444444445</v>
      </c>
      <c r="G6062" s="98">
        <v>777</v>
      </c>
      <c r="H6062" s="98">
        <v>795</v>
      </c>
      <c r="I6062" s="98">
        <v>747</v>
      </c>
      <c r="J6062" s="98" t="s">
        <v>2373</v>
      </c>
      <c r="K6062" s="98" t="s">
        <v>3154</v>
      </c>
      <c r="L6062" s="105" t="str">
        <f t="shared" si="1000"/>
        <v>Trimble</v>
      </c>
      <c r="M6062" s="105" t="str">
        <f t="shared" si="1001"/>
        <v>Derate</v>
      </c>
      <c r="N6062" s="105" t="str">
        <f t="shared" si="1002"/>
        <v>Coal</v>
      </c>
      <c r="O6062" s="105">
        <f>IFERROR(VLOOKUP(A6062,Lookup!$J$5:$P$19,7,FALSE),0)</f>
        <v>3</v>
      </c>
      <c r="P6062" s="159">
        <f t="shared" si="1003"/>
        <v>2015</v>
      </c>
      <c r="Q6062" s="159">
        <f t="shared" si="1004"/>
        <v>3</v>
      </c>
      <c r="R6062" s="160">
        <f t="shared" si="1005"/>
        <v>168.41666666662786</v>
      </c>
      <c r="S6062" s="158">
        <f t="shared" si="1006"/>
        <v>3.8132075471689326</v>
      </c>
      <c r="T6062" s="161">
        <f t="shared" si="1007"/>
        <v>2848.4660377351925</v>
      </c>
      <c r="U6062" s="158">
        <f t="shared" si="1009"/>
        <v>16.913207547169812</v>
      </c>
      <c r="V6062" s="160">
        <f t="shared" si="1008"/>
        <v>17</v>
      </c>
    </row>
    <row r="6063" spans="1:22" x14ac:dyDescent="0.25">
      <c r="A6063" s="98" t="s">
        <v>69</v>
      </c>
      <c r="B6063" s="98" t="s">
        <v>79</v>
      </c>
      <c r="C6063" s="98">
        <v>22</v>
      </c>
      <c r="D6063" s="98">
        <v>1190</v>
      </c>
      <c r="E6063" s="157">
        <v>42085</v>
      </c>
      <c r="F6063" s="157">
        <v>42085.319444444445</v>
      </c>
      <c r="G6063" s="98">
        <v>0</v>
      </c>
      <c r="H6063" s="98">
        <v>795</v>
      </c>
      <c r="I6063" s="98">
        <v>747</v>
      </c>
      <c r="J6063" s="98" t="s">
        <v>2007</v>
      </c>
      <c r="K6063" s="98" t="s">
        <v>3152</v>
      </c>
      <c r="L6063" s="105" t="str">
        <f t="shared" si="1000"/>
        <v>Trimble</v>
      </c>
      <c r="M6063" s="105" t="str">
        <f t="shared" si="1001"/>
        <v>Other</v>
      </c>
      <c r="N6063" s="105" t="str">
        <f t="shared" si="1002"/>
        <v>Coal</v>
      </c>
      <c r="O6063" s="105">
        <f>IFERROR(VLOOKUP(A6063,Lookup!$J$5:$P$19,7,FALSE),0)</f>
        <v>3</v>
      </c>
      <c r="P6063" s="159">
        <f t="shared" si="1003"/>
        <v>2015</v>
      </c>
      <c r="Q6063" s="159">
        <f t="shared" si="1004"/>
        <v>3</v>
      </c>
      <c r="R6063" s="160">
        <f t="shared" si="1005"/>
        <v>7.6666666666860692</v>
      </c>
      <c r="S6063" s="158">
        <f t="shared" si="1006"/>
        <v>7.6666666666860692</v>
      </c>
      <c r="T6063" s="161">
        <f t="shared" si="1007"/>
        <v>5727.0000000144937</v>
      </c>
      <c r="U6063" s="158">
        <f t="shared" si="1009"/>
        <v>747</v>
      </c>
      <c r="V6063" s="160">
        <f t="shared" si="1008"/>
        <v>747</v>
      </c>
    </row>
    <row r="6064" spans="1:22" x14ac:dyDescent="0.25">
      <c r="A6064" s="98" t="s">
        <v>69</v>
      </c>
      <c r="B6064" s="98" t="s">
        <v>17</v>
      </c>
      <c r="C6064" s="98">
        <v>23</v>
      </c>
      <c r="D6064" s="98">
        <v>550</v>
      </c>
      <c r="E6064" s="157">
        <v>42085.319444444445</v>
      </c>
      <c r="F6064" s="157">
        <v>42091.12777777778</v>
      </c>
      <c r="G6064" s="98">
        <v>777</v>
      </c>
      <c r="H6064" s="98">
        <v>795</v>
      </c>
      <c r="I6064" s="98">
        <v>747</v>
      </c>
      <c r="J6064" s="98" t="s">
        <v>2373</v>
      </c>
      <c r="K6064" s="98" t="s">
        <v>3154</v>
      </c>
      <c r="L6064" s="105" t="str">
        <f t="shared" si="1000"/>
        <v>Trimble</v>
      </c>
      <c r="M6064" s="105" t="str">
        <f t="shared" si="1001"/>
        <v>Derate</v>
      </c>
      <c r="N6064" s="105" t="str">
        <f t="shared" si="1002"/>
        <v>Coal</v>
      </c>
      <c r="O6064" s="105">
        <f>IFERROR(VLOOKUP(A6064,Lookup!$J$5:$P$19,7,FALSE),0)</f>
        <v>3</v>
      </c>
      <c r="P6064" s="159">
        <f t="shared" si="1003"/>
        <v>2015</v>
      </c>
      <c r="Q6064" s="159">
        <f t="shared" si="1004"/>
        <v>3</v>
      </c>
      <c r="R6064" s="160">
        <f t="shared" si="1005"/>
        <v>139.40000000002328</v>
      </c>
      <c r="S6064" s="158">
        <f t="shared" si="1006"/>
        <v>3.1562264150948667</v>
      </c>
      <c r="T6064" s="161">
        <f t="shared" si="1007"/>
        <v>2357.7011320758652</v>
      </c>
      <c r="U6064" s="158">
        <f t="shared" si="1009"/>
        <v>16.913207547169812</v>
      </c>
      <c r="V6064" s="160">
        <f t="shared" si="1008"/>
        <v>17</v>
      </c>
    </row>
    <row r="6065" spans="1:22" x14ac:dyDescent="0.25">
      <c r="A6065" s="98" t="s">
        <v>69</v>
      </c>
      <c r="B6065" s="98" t="s">
        <v>38</v>
      </c>
      <c r="C6065" s="98">
        <v>24</v>
      </c>
      <c r="D6065" s="98">
        <v>1812</v>
      </c>
      <c r="E6065" s="157">
        <v>42091.12777777778</v>
      </c>
      <c r="F6065" s="157">
        <v>42114</v>
      </c>
      <c r="G6065" s="98">
        <v>0</v>
      </c>
      <c r="H6065" s="98">
        <v>795</v>
      </c>
      <c r="I6065" s="98">
        <v>747</v>
      </c>
      <c r="J6065" s="98" t="s">
        <v>1994</v>
      </c>
      <c r="K6065" s="98" t="s">
        <v>3858</v>
      </c>
      <c r="L6065" s="105" t="str">
        <f t="shared" si="1000"/>
        <v>Trimble</v>
      </c>
      <c r="M6065" s="105" t="str">
        <f t="shared" si="1001"/>
        <v>Other</v>
      </c>
      <c r="N6065" s="105" t="str">
        <f t="shared" si="1002"/>
        <v>Coal</v>
      </c>
      <c r="O6065" s="105">
        <f>IFERROR(VLOOKUP(A6065,Lookup!$J$5:$P$19,7,FALSE),0)</f>
        <v>3</v>
      </c>
      <c r="P6065" s="159">
        <f t="shared" si="1003"/>
        <v>2015</v>
      </c>
      <c r="Q6065" s="159">
        <f t="shared" si="1004"/>
        <v>3</v>
      </c>
      <c r="R6065" s="160">
        <f t="shared" si="1005"/>
        <v>548.93333333329065</v>
      </c>
      <c r="S6065" s="158">
        <f t="shared" si="1006"/>
        <v>548.93333333329065</v>
      </c>
      <c r="T6065" s="161">
        <f t="shared" si="1007"/>
        <v>410053.19999996811</v>
      </c>
      <c r="U6065" s="158">
        <f t="shared" si="1009"/>
        <v>747</v>
      </c>
      <c r="V6065" s="160">
        <f t="shared" si="1008"/>
        <v>747</v>
      </c>
    </row>
    <row r="6066" spans="1:22" x14ac:dyDescent="0.25">
      <c r="A6066" s="98" t="s">
        <v>69</v>
      </c>
      <c r="B6066" s="98" t="s">
        <v>121</v>
      </c>
      <c r="C6066" s="98">
        <v>25</v>
      </c>
      <c r="D6066" s="98">
        <v>385</v>
      </c>
      <c r="E6066" s="157">
        <v>42114</v>
      </c>
      <c r="F6066" s="157">
        <v>42114.696527777778</v>
      </c>
      <c r="G6066" s="98">
        <v>0</v>
      </c>
      <c r="H6066" s="98">
        <v>795</v>
      </c>
      <c r="I6066" s="98">
        <v>747</v>
      </c>
      <c r="J6066" s="98" t="s">
        <v>228</v>
      </c>
      <c r="K6066" s="98" t="s">
        <v>3157</v>
      </c>
      <c r="L6066" s="105" t="str">
        <f t="shared" si="1000"/>
        <v>Trimble</v>
      </c>
      <c r="M6066" s="105" t="str">
        <f t="shared" si="1001"/>
        <v>Other</v>
      </c>
      <c r="N6066" s="105" t="str">
        <f t="shared" si="1002"/>
        <v>Coal</v>
      </c>
      <c r="O6066" s="105">
        <f>IFERROR(VLOOKUP(A6066,Lookup!$J$5:$P$19,7,FALSE),0)</f>
        <v>3</v>
      </c>
      <c r="P6066" s="159">
        <f t="shared" si="1003"/>
        <v>2015</v>
      </c>
      <c r="Q6066" s="159">
        <f t="shared" si="1004"/>
        <v>4</v>
      </c>
      <c r="R6066" s="160">
        <f t="shared" si="1005"/>
        <v>16.716666666674428</v>
      </c>
      <c r="S6066" s="158">
        <f t="shared" si="1006"/>
        <v>16.716666666674428</v>
      </c>
      <c r="T6066" s="161">
        <f t="shared" si="1007"/>
        <v>12487.350000005797</v>
      </c>
      <c r="U6066" s="158">
        <f t="shared" si="1009"/>
        <v>747</v>
      </c>
      <c r="V6066" s="160">
        <f t="shared" si="1008"/>
        <v>747</v>
      </c>
    </row>
    <row r="6067" spans="1:22" x14ac:dyDescent="0.25">
      <c r="A6067" s="98" t="s">
        <v>69</v>
      </c>
      <c r="B6067" s="98" t="s">
        <v>17</v>
      </c>
      <c r="C6067" s="98">
        <v>26</v>
      </c>
      <c r="D6067" s="98">
        <v>3412</v>
      </c>
      <c r="E6067" s="157">
        <v>42114.696527777778</v>
      </c>
      <c r="F6067" s="157">
        <v>42114.739583333336</v>
      </c>
      <c r="G6067" s="98">
        <v>390</v>
      </c>
      <c r="H6067" s="98">
        <v>795</v>
      </c>
      <c r="I6067" s="98">
        <v>747</v>
      </c>
      <c r="J6067" s="98" t="s">
        <v>2162</v>
      </c>
      <c r="K6067" s="98" t="s">
        <v>3158</v>
      </c>
      <c r="L6067" s="105" t="str">
        <f t="shared" si="1000"/>
        <v>Trimble</v>
      </c>
      <c r="M6067" s="105" t="str">
        <f t="shared" si="1001"/>
        <v>Derate</v>
      </c>
      <c r="N6067" s="105" t="str">
        <f t="shared" si="1002"/>
        <v>Coal</v>
      </c>
      <c r="O6067" s="105">
        <f>IFERROR(VLOOKUP(A6067,Lookup!$J$5:$P$19,7,FALSE),0)</f>
        <v>3</v>
      </c>
      <c r="P6067" s="159">
        <f t="shared" si="1003"/>
        <v>2015</v>
      </c>
      <c r="Q6067" s="159">
        <f t="shared" si="1004"/>
        <v>4</v>
      </c>
      <c r="R6067" s="160">
        <f t="shared" si="1005"/>
        <v>1.03333333338378</v>
      </c>
      <c r="S6067" s="158">
        <f t="shared" si="1006"/>
        <v>0.52641509436532186</v>
      </c>
      <c r="T6067" s="161">
        <f t="shared" si="1007"/>
        <v>393.23207549089545</v>
      </c>
      <c r="U6067" s="158">
        <f t="shared" si="1009"/>
        <v>380.54716981132077</v>
      </c>
      <c r="V6067" s="160">
        <f t="shared" si="1008"/>
        <v>381</v>
      </c>
    </row>
    <row r="6068" spans="1:22" x14ac:dyDescent="0.25">
      <c r="A6068" s="98" t="s">
        <v>69</v>
      </c>
      <c r="B6068" s="98" t="s">
        <v>15</v>
      </c>
      <c r="C6068" s="98">
        <v>27</v>
      </c>
      <c r="D6068" s="98">
        <v>3979</v>
      </c>
      <c r="E6068" s="157">
        <v>42114.739583333336</v>
      </c>
      <c r="F6068" s="157">
        <v>42114.970138888886</v>
      </c>
      <c r="G6068" s="98">
        <v>0</v>
      </c>
      <c r="H6068" s="98">
        <v>795</v>
      </c>
      <c r="I6068" s="98">
        <v>747</v>
      </c>
      <c r="J6068" s="98" t="s">
        <v>2103</v>
      </c>
      <c r="K6068" s="98" t="s">
        <v>3159</v>
      </c>
      <c r="L6068" s="105" t="str">
        <f t="shared" si="1000"/>
        <v>Trimble</v>
      </c>
      <c r="M6068" s="105" t="str">
        <f t="shared" si="1001"/>
        <v>Outage</v>
      </c>
      <c r="N6068" s="105" t="str">
        <f t="shared" si="1002"/>
        <v>Coal</v>
      </c>
      <c r="O6068" s="105">
        <f>IFERROR(VLOOKUP(A6068,Lookup!$J$5:$P$19,7,FALSE),0)</f>
        <v>3</v>
      </c>
      <c r="P6068" s="159">
        <f t="shared" si="1003"/>
        <v>2015</v>
      </c>
      <c r="Q6068" s="159">
        <f t="shared" si="1004"/>
        <v>4</v>
      </c>
      <c r="R6068" s="160">
        <f t="shared" si="1005"/>
        <v>5.533333333209157</v>
      </c>
      <c r="S6068" s="158">
        <f t="shared" si="1006"/>
        <v>5.533333333209157</v>
      </c>
      <c r="T6068" s="161">
        <f t="shared" si="1007"/>
        <v>4133.3999999072403</v>
      </c>
      <c r="U6068" s="158">
        <f t="shared" si="1009"/>
        <v>747</v>
      </c>
      <c r="V6068" s="160">
        <f t="shared" si="1008"/>
        <v>747</v>
      </c>
    </row>
    <row r="6069" spans="1:22" x14ac:dyDescent="0.25">
      <c r="A6069" s="98" t="s">
        <v>69</v>
      </c>
      <c r="B6069" s="98" t="s">
        <v>17</v>
      </c>
      <c r="C6069" s="98">
        <v>28</v>
      </c>
      <c r="D6069" s="98">
        <v>3412</v>
      </c>
      <c r="E6069" s="157">
        <v>42114.970138888886</v>
      </c>
      <c r="F6069" s="157">
        <v>42115.298611111109</v>
      </c>
      <c r="G6069" s="98">
        <v>390</v>
      </c>
      <c r="H6069" s="98">
        <v>795</v>
      </c>
      <c r="I6069" s="98">
        <v>747</v>
      </c>
      <c r="J6069" s="98" t="s">
        <v>2162</v>
      </c>
      <c r="K6069" s="98" t="s">
        <v>3158</v>
      </c>
      <c r="L6069" s="105" t="str">
        <f t="shared" si="1000"/>
        <v>Trimble</v>
      </c>
      <c r="M6069" s="105" t="str">
        <f t="shared" si="1001"/>
        <v>Derate</v>
      </c>
      <c r="N6069" s="105" t="str">
        <f t="shared" si="1002"/>
        <v>Coal</v>
      </c>
      <c r="O6069" s="105">
        <f>IFERROR(VLOOKUP(A6069,Lookup!$J$5:$P$19,7,FALSE),0)</f>
        <v>3</v>
      </c>
      <c r="P6069" s="159">
        <f t="shared" si="1003"/>
        <v>2015</v>
      </c>
      <c r="Q6069" s="159">
        <f t="shared" si="1004"/>
        <v>4</v>
      </c>
      <c r="R6069" s="160">
        <f t="shared" si="1005"/>
        <v>7.8833333333604969</v>
      </c>
      <c r="S6069" s="158">
        <f t="shared" si="1006"/>
        <v>4.0160377358628949</v>
      </c>
      <c r="T6069" s="161">
        <f t="shared" si="1007"/>
        <v>2999.9801886895825</v>
      </c>
      <c r="U6069" s="158">
        <f t="shared" si="1009"/>
        <v>380.54716981132077</v>
      </c>
      <c r="V6069" s="160">
        <f t="shared" si="1008"/>
        <v>381</v>
      </c>
    </row>
    <row r="6070" spans="1:22" x14ac:dyDescent="0.25">
      <c r="A6070" s="98" t="s">
        <v>69</v>
      </c>
      <c r="B6070" s="98" t="s">
        <v>17</v>
      </c>
      <c r="C6070" s="98">
        <v>29</v>
      </c>
      <c r="D6070" s="98">
        <v>3412</v>
      </c>
      <c r="E6070" s="157">
        <v>42115.298611111109</v>
      </c>
      <c r="F6070" s="157">
        <v>42126.8125</v>
      </c>
      <c r="G6070" s="98">
        <v>400</v>
      </c>
      <c r="H6070" s="98">
        <v>795</v>
      </c>
      <c r="I6070" s="98">
        <v>747</v>
      </c>
      <c r="J6070" s="98" t="s">
        <v>2162</v>
      </c>
      <c r="K6070" s="98" t="s">
        <v>3160</v>
      </c>
      <c r="L6070" s="105" t="str">
        <f t="shared" si="1000"/>
        <v>Trimble</v>
      </c>
      <c r="M6070" s="105" t="str">
        <f t="shared" si="1001"/>
        <v>Derate</v>
      </c>
      <c r="N6070" s="105" t="str">
        <f t="shared" si="1002"/>
        <v>Coal</v>
      </c>
      <c r="O6070" s="105">
        <f>IFERROR(VLOOKUP(A6070,Lookup!$J$5:$P$19,7,FALSE),0)</f>
        <v>3</v>
      </c>
      <c r="P6070" s="159">
        <f t="shared" si="1003"/>
        <v>2015</v>
      </c>
      <c r="Q6070" s="159">
        <f t="shared" si="1004"/>
        <v>4</v>
      </c>
      <c r="R6070" s="160">
        <f t="shared" si="1005"/>
        <v>276.33333333337214</v>
      </c>
      <c r="S6070" s="158">
        <f t="shared" si="1006"/>
        <v>137.2976939203547</v>
      </c>
      <c r="T6070" s="161">
        <f t="shared" si="1007"/>
        <v>102561.37735850496</v>
      </c>
      <c r="U6070" s="158">
        <f t="shared" si="1009"/>
        <v>371.15094339622641</v>
      </c>
      <c r="V6070" s="160">
        <f t="shared" si="1008"/>
        <v>371</v>
      </c>
    </row>
    <row r="6071" spans="1:22" x14ac:dyDescent="0.25">
      <c r="A6071" s="98" t="s">
        <v>69</v>
      </c>
      <c r="B6071" s="98" t="s">
        <v>17</v>
      </c>
      <c r="C6071" s="98">
        <v>30</v>
      </c>
      <c r="D6071" s="98">
        <v>3412</v>
      </c>
      <c r="E6071" s="157">
        <v>42126.8125</v>
      </c>
      <c r="F6071" s="157">
        <v>42127.020833333336</v>
      </c>
      <c r="G6071" s="98">
        <v>469</v>
      </c>
      <c r="H6071" s="98">
        <v>795</v>
      </c>
      <c r="I6071" s="98">
        <v>747</v>
      </c>
      <c r="J6071" s="98" t="s">
        <v>2162</v>
      </c>
      <c r="K6071" s="98" t="s">
        <v>3161</v>
      </c>
      <c r="L6071" s="105" t="str">
        <f t="shared" si="1000"/>
        <v>Trimble</v>
      </c>
      <c r="M6071" s="105" t="str">
        <f t="shared" si="1001"/>
        <v>Derate</v>
      </c>
      <c r="N6071" s="105" t="str">
        <f t="shared" si="1002"/>
        <v>Coal</v>
      </c>
      <c r="O6071" s="105">
        <f>IFERROR(VLOOKUP(A6071,Lookup!$J$5:$P$19,7,FALSE),0)</f>
        <v>3</v>
      </c>
      <c r="P6071" s="159">
        <f t="shared" si="1003"/>
        <v>2015</v>
      </c>
      <c r="Q6071" s="159">
        <f t="shared" si="1004"/>
        <v>5</v>
      </c>
      <c r="R6071" s="160">
        <f t="shared" si="1005"/>
        <v>5.0000000000582077</v>
      </c>
      <c r="S6071" s="158">
        <f t="shared" si="1006"/>
        <v>2.0503144654326739</v>
      </c>
      <c r="T6071" s="161">
        <f t="shared" si="1007"/>
        <v>1531.5849056782074</v>
      </c>
      <c r="U6071" s="158">
        <f t="shared" si="1009"/>
        <v>306.31698113207545</v>
      </c>
      <c r="V6071" s="160">
        <f t="shared" si="1008"/>
        <v>306</v>
      </c>
    </row>
    <row r="6072" spans="1:22" x14ac:dyDescent="0.25">
      <c r="A6072" s="98" t="s">
        <v>69</v>
      </c>
      <c r="B6072" s="98" t="s">
        <v>17</v>
      </c>
      <c r="C6072" s="98">
        <v>31</v>
      </c>
      <c r="D6072" s="98">
        <v>3412</v>
      </c>
      <c r="E6072" s="157">
        <v>42127.020833333336</v>
      </c>
      <c r="F6072" s="157">
        <v>42127.111111111109</v>
      </c>
      <c r="G6072" s="98">
        <v>761</v>
      </c>
      <c r="H6072" s="98">
        <v>795</v>
      </c>
      <c r="I6072" s="98">
        <v>747</v>
      </c>
      <c r="J6072" s="98" t="s">
        <v>2162</v>
      </c>
      <c r="K6072" s="98" t="s">
        <v>3162</v>
      </c>
      <c r="L6072" s="105" t="str">
        <f t="shared" si="1000"/>
        <v>Trimble</v>
      </c>
      <c r="M6072" s="105" t="str">
        <f t="shared" si="1001"/>
        <v>Derate</v>
      </c>
      <c r="N6072" s="105" t="str">
        <f t="shared" si="1002"/>
        <v>Coal</v>
      </c>
      <c r="O6072" s="105">
        <f>IFERROR(VLOOKUP(A6072,Lookup!$J$5:$P$19,7,FALSE),0)</f>
        <v>3</v>
      </c>
      <c r="P6072" s="159">
        <f t="shared" si="1003"/>
        <v>2015</v>
      </c>
      <c r="Q6072" s="159">
        <f t="shared" si="1004"/>
        <v>5</v>
      </c>
      <c r="R6072" s="160">
        <f t="shared" si="1005"/>
        <v>2.1666666665696539</v>
      </c>
      <c r="S6072" s="158">
        <f t="shared" si="1006"/>
        <v>9.2662473790400296E-2</v>
      </c>
      <c r="T6072" s="161">
        <f t="shared" si="1007"/>
        <v>69.218867921429023</v>
      </c>
      <c r="U6072" s="158">
        <f t="shared" si="1009"/>
        <v>31.947169811320755</v>
      </c>
      <c r="V6072" s="160">
        <f t="shared" si="1008"/>
        <v>32</v>
      </c>
    </row>
    <row r="6073" spans="1:22" x14ac:dyDescent="0.25">
      <c r="A6073" s="98" t="s">
        <v>69</v>
      </c>
      <c r="B6073" s="98" t="s">
        <v>15</v>
      </c>
      <c r="C6073" s="98">
        <v>32</v>
      </c>
      <c r="D6073" s="98">
        <v>4261</v>
      </c>
      <c r="E6073" s="157">
        <v>42127.111111111109</v>
      </c>
      <c r="F6073" s="157">
        <v>42128.517361111109</v>
      </c>
      <c r="G6073" s="98">
        <v>0</v>
      </c>
      <c r="H6073" s="98">
        <v>795</v>
      </c>
      <c r="I6073" s="98">
        <v>747</v>
      </c>
      <c r="J6073" s="98" t="s">
        <v>1985</v>
      </c>
      <c r="K6073" s="98" t="s">
        <v>3163</v>
      </c>
      <c r="L6073" s="105" t="str">
        <f t="shared" si="1000"/>
        <v>Trimble</v>
      </c>
      <c r="M6073" s="105" t="str">
        <f t="shared" si="1001"/>
        <v>Outage</v>
      </c>
      <c r="N6073" s="105" t="str">
        <f t="shared" si="1002"/>
        <v>Coal</v>
      </c>
      <c r="O6073" s="105">
        <f>IFERROR(VLOOKUP(A6073,Lookup!$J$5:$P$19,7,FALSE),0)</f>
        <v>3</v>
      </c>
      <c r="P6073" s="159">
        <f t="shared" si="1003"/>
        <v>2015</v>
      </c>
      <c r="Q6073" s="159">
        <f t="shared" si="1004"/>
        <v>5</v>
      </c>
      <c r="R6073" s="160">
        <f t="shared" si="1005"/>
        <v>33.75</v>
      </c>
      <c r="S6073" s="158">
        <f t="shared" si="1006"/>
        <v>33.75</v>
      </c>
      <c r="T6073" s="161">
        <f t="shared" si="1007"/>
        <v>25211.25</v>
      </c>
      <c r="U6073" s="158">
        <f t="shared" si="1009"/>
        <v>747</v>
      </c>
      <c r="V6073" s="160">
        <f t="shared" si="1008"/>
        <v>747</v>
      </c>
    </row>
    <row r="6074" spans="1:22" x14ac:dyDescent="0.25">
      <c r="A6074" s="98" t="s">
        <v>69</v>
      </c>
      <c r="B6074" s="98" t="s">
        <v>17</v>
      </c>
      <c r="C6074" s="98">
        <v>33</v>
      </c>
      <c r="D6074" s="98">
        <v>3412</v>
      </c>
      <c r="E6074" s="157">
        <v>42128.833333333336</v>
      </c>
      <c r="F6074" s="157">
        <v>42129.395833333336</v>
      </c>
      <c r="G6074" s="98">
        <v>775</v>
      </c>
      <c r="H6074" s="98">
        <v>795</v>
      </c>
      <c r="I6074" s="98">
        <v>747</v>
      </c>
      <c r="J6074" s="98" t="s">
        <v>2162</v>
      </c>
      <c r="K6074" s="98" t="s">
        <v>3164</v>
      </c>
      <c r="L6074" s="105" t="str">
        <f t="shared" si="1000"/>
        <v>Trimble</v>
      </c>
      <c r="M6074" s="105" t="str">
        <f t="shared" si="1001"/>
        <v>Derate</v>
      </c>
      <c r="N6074" s="105" t="str">
        <f t="shared" si="1002"/>
        <v>Coal</v>
      </c>
      <c r="O6074" s="105">
        <f>IFERROR(VLOOKUP(A6074,Lookup!$J$5:$P$19,7,FALSE),0)</f>
        <v>3</v>
      </c>
      <c r="P6074" s="159">
        <f t="shared" si="1003"/>
        <v>2015</v>
      </c>
      <c r="Q6074" s="159">
        <f t="shared" si="1004"/>
        <v>5</v>
      </c>
      <c r="R6074" s="160">
        <f t="shared" si="1005"/>
        <v>13.5</v>
      </c>
      <c r="S6074" s="158">
        <f t="shared" si="1006"/>
        <v>0.33962264150943394</v>
      </c>
      <c r="T6074" s="161">
        <f t="shared" si="1007"/>
        <v>253.69811320754715</v>
      </c>
      <c r="U6074" s="158">
        <f t="shared" si="1009"/>
        <v>18.79245283018868</v>
      </c>
      <c r="V6074" s="160">
        <f t="shared" si="1008"/>
        <v>19</v>
      </c>
    </row>
    <row r="6075" spans="1:22" x14ac:dyDescent="0.25">
      <c r="A6075" s="98" t="s">
        <v>69</v>
      </c>
      <c r="B6075" s="98" t="s">
        <v>17</v>
      </c>
      <c r="C6075" s="98">
        <v>34</v>
      </c>
      <c r="D6075" s="98">
        <v>3412</v>
      </c>
      <c r="E6075" s="157">
        <v>42129.395833333336</v>
      </c>
      <c r="F6075" s="157">
        <v>42129.9375</v>
      </c>
      <c r="G6075" s="98">
        <v>781</v>
      </c>
      <c r="H6075" s="98">
        <v>795</v>
      </c>
      <c r="I6075" s="98">
        <v>747</v>
      </c>
      <c r="J6075" s="98" t="s">
        <v>2162</v>
      </c>
      <c r="K6075" s="98" t="s">
        <v>3859</v>
      </c>
      <c r="L6075" s="105" t="str">
        <f t="shared" si="1000"/>
        <v>Trimble</v>
      </c>
      <c r="M6075" s="105" t="str">
        <f t="shared" si="1001"/>
        <v>Derate</v>
      </c>
      <c r="N6075" s="105" t="str">
        <f t="shared" si="1002"/>
        <v>Coal</v>
      </c>
      <c r="O6075" s="105">
        <f>IFERROR(VLOOKUP(A6075,Lookup!$J$5:$P$19,7,FALSE),0)</f>
        <v>3</v>
      </c>
      <c r="P6075" s="159">
        <f t="shared" si="1003"/>
        <v>2015</v>
      </c>
      <c r="Q6075" s="159">
        <f t="shared" si="1004"/>
        <v>5</v>
      </c>
      <c r="R6075" s="160">
        <f t="shared" si="1005"/>
        <v>12.999999999941792</v>
      </c>
      <c r="S6075" s="158">
        <f t="shared" si="1006"/>
        <v>0.22893081760903786</v>
      </c>
      <c r="T6075" s="161">
        <f t="shared" si="1007"/>
        <v>171.01132075395128</v>
      </c>
      <c r="U6075" s="158">
        <f t="shared" si="1009"/>
        <v>13.154716981132076</v>
      </c>
      <c r="V6075" s="160">
        <f t="shared" si="1008"/>
        <v>13</v>
      </c>
    </row>
    <row r="6076" spans="1:22" x14ac:dyDescent="0.25">
      <c r="A6076" s="98" t="s">
        <v>69</v>
      </c>
      <c r="B6076" s="98" t="s">
        <v>105</v>
      </c>
      <c r="C6076" s="98">
        <v>35</v>
      </c>
      <c r="D6076" s="98">
        <v>3414</v>
      </c>
      <c r="E6076" s="157">
        <v>42129.9375</v>
      </c>
      <c r="F6076" s="157">
        <v>42129.989583333336</v>
      </c>
      <c r="G6076" s="98">
        <v>449</v>
      </c>
      <c r="H6076" s="98">
        <v>795</v>
      </c>
      <c r="I6076" s="98">
        <v>747</v>
      </c>
      <c r="J6076" s="98" t="s">
        <v>1984</v>
      </c>
      <c r="K6076" s="98" t="s">
        <v>3165</v>
      </c>
      <c r="L6076" s="105" t="str">
        <f t="shared" si="1000"/>
        <v>Trimble</v>
      </c>
      <c r="M6076" s="105" t="str">
        <f t="shared" si="1001"/>
        <v>Derate</v>
      </c>
      <c r="N6076" s="105" t="str">
        <f t="shared" si="1002"/>
        <v>Coal</v>
      </c>
      <c r="O6076" s="105">
        <f>IFERROR(VLOOKUP(A6076,Lookup!$J$5:$P$19,7,FALSE),0)</f>
        <v>3</v>
      </c>
      <c r="P6076" s="159">
        <f t="shared" si="1003"/>
        <v>2015</v>
      </c>
      <c r="Q6076" s="159">
        <f t="shared" si="1004"/>
        <v>5</v>
      </c>
      <c r="R6076" s="160">
        <f t="shared" si="1005"/>
        <v>1.2500000000582077</v>
      </c>
      <c r="S6076" s="158">
        <f t="shared" si="1006"/>
        <v>0.54402515725803757</v>
      </c>
      <c r="T6076" s="161">
        <f t="shared" si="1007"/>
        <v>406.38679247175406</v>
      </c>
      <c r="U6076" s="158">
        <f t="shared" si="1009"/>
        <v>325.10943396226418</v>
      </c>
      <c r="V6076" s="160">
        <f t="shared" si="1008"/>
        <v>325</v>
      </c>
    </row>
    <row r="6077" spans="1:22" x14ac:dyDescent="0.25">
      <c r="A6077" s="98" t="s">
        <v>69</v>
      </c>
      <c r="B6077" s="98" t="s">
        <v>105</v>
      </c>
      <c r="C6077" s="98">
        <v>36</v>
      </c>
      <c r="D6077" s="98">
        <v>3408</v>
      </c>
      <c r="E6077" s="157">
        <v>42129.989583333336</v>
      </c>
      <c r="F6077" s="157">
        <v>42130.268055555556</v>
      </c>
      <c r="G6077" s="98">
        <v>409</v>
      </c>
      <c r="H6077" s="98">
        <v>795</v>
      </c>
      <c r="I6077" s="98">
        <v>747</v>
      </c>
      <c r="J6077" s="98" t="s">
        <v>2195</v>
      </c>
      <c r="K6077" s="98" t="s">
        <v>3166</v>
      </c>
      <c r="L6077" s="105" t="str">
        <f t="shared" si="1000"/>
        <v>Trimble</v>
      </c>
      <c r="M6077" s="105" t="str">
        <f t="shared" si="1001"/>
        <v>Derate</v>
      </c>
      <c r="N6077" s="105" t="str">
        <f t="shared" si="1002"/>
        <v>Coal</v>
      </c>
      <c r="O6077" s="105">
        <f>IFERROR(VLOOKUP(A6077,Lookup!$J$5:$P$19,7,FALSE),0)</f>
        <v>3</v>
      </c>
      <c r="P6077" s="159">
        <f t="shared" si="1003"/>
        <v>2015</v>
      </c>
      <c r="Q6077" s="159">
        <f t="shared" si="1004"/>
        <v>5</v>
      </c>
      <c r="R6077" s="160">
        <f t="shared" si="1005"/>
        <v>6.6833333332906477</v>
      </c>
      <c r="S6077" s="158">
        <f t="shared" si="1006"/>
        <v>3.2449895177989814</v>
      </c>
      <c r="T6077" s="161">
        <f t="shared" si="1007"/>
        <v>2424.0071697958392</v>
      </c>
      <c r="U6077" s="158">
        <f t="shared" si="1009"/>
        <v>362.69433962264151</v>
      </c>
      <c r="V6077" s="160">
        <f t="shared" si="1008"/>
        <v>363</v>
      </c>
    </row>
    <row r="6078" spans="1:22" x14ac:dyDescent="0.25">
      <c r="A6078" s="98" t="s">
        <v>69</v>
      </c>
      <c r="B6078" s="98" t="s">
        <v>17</v>
      </c>
      <c r="C6078" s="98">
        <v>37</v>
      </c>
      <c r="D6078" s="98">
        <v>3456</v>
      </c>
      <c r="E6078" s="157">
        <v>42130.268055555556</v>
      </c>
      <c r="F6078" s="157">
        <v>42130.958333333336</v>
      </c>
      <c r="G6078" s="98">
        <v>781</v>
      </c>
      <c r="H6078" s="98">
        <v>795</v>
      </c>
      <c r="I6078" s="98">
        <v>747</v>
      </c>
      <c r="J6078" s="98" t="s">
        <v>3167</v>
      </c>
      <c r="K6078" s="98" t="s">
        <v>3860</v>
      </c>
      <c r="L6078" s="105" t="str">
        <f t="shared" si="1000"/>
        <v>Trimble</v>
      </c>
      <c r="M6078" s="105" t="str">
        <f t="shared" si="1001"/>
        <v>Derate</v>
      </c>
      <c r="N6078" s="105" t="str">
        <f t="shared" si="1002"/>
        <v>Coal</v>
      </c>
      <c r="O6078" s="105">
        <f>IFERROR(VLOOKUP(A6078,Lookup!$J$5:$P$19,7,FALSE),0)</f>
        <v>3</v>
      </c>
      <c r="P6078" s="159">
        <f t="shared" si="1003"/>
        <v>2015</v>
      </c>
      <c r="Q6078" s="159">
        <f t="shared" si="1004"/>
        <v>5</v>
      </c>
      <c r="R6078" s="160">
        <f t="shared" si="1005"/>
        <v>16.566666666709352</v>
      </c>
      <c r="S6078" s="158">
        <f t="shared" si="1006"/>
        <v>0.29174004192947289</v>
      </c>
      <c r="T6078" s="161">
        <f t="shared" si="1007"/>
        <v>217.92981132131627</v>
      </c>
      <c r="U6078" s="158">
        <f t="shared" si="1009"/>
        <v>13.154716981132076</v>
      </c>
      <c r="V6078" s="160">
        <f t="shared" si="1008"/>
        <v>13</v>
      </c>
    </row>
    <row r="6079" spans="1:22" x14ac:dyDescent="0.25">
      <c r="A6079" s="98" t="s">
        <v>69</v>
      </c>
      <c r="B6079" s="98" t="s">
        <v>105</v>
      </c>
      <c r="C6079" s="98">
        <v>38</v>
      </c>
      <c r="D6079" s="98">
        <v>3414</v>
      </c>
      <c r="E6079" s="157">
        <v>42130.958333333336</v>
      </c>
      <c r="F6079" s="157">
        <v>42131.072222222225</v>
      </c>
      <c r="G6079" s="98">
        <v>409</v>
      </c>
      <c r="H6079" s="98">
        <v>795</v>
      </c>
      <c r="I6079" s="98">
        <v>747</v>
      </c>
      <c r="J6079" s="98" t="s">
        <v>1984</v>
      </c>
      <c r="K6079" s="98" t="s">
        <v>3168</v>
      </c>
      <c r="L6079" s="105" t="str">
        <f t="shared" si="1000"/>
        <v>Trimble</v>
      </c>
      <c r="M6079" s="105" t="str">
        <f t="shared" si="1001"/>
        <v>Derate</v>
      </c>
      <c r="N6079" s="105" t="str">
        <f t="shared" si="1002"/>
        <v>Coal</v>
      </c>
      <c r="O6079" s="105">
        <f>IFERROR(VLOOKUP(A6079,Lookup!$J$5:$P$19,7,FALSE),0)</f>
        <v>3</v>
      </c>
      <c r="P6079" s="159">
        <f t="shared" si="1003"/>
        <v>2015</v>
      </c>
      <c r="Q6079" s="159">
        <f t="shared" si="1004"/>
        <v>5</v>
      </c>
      <c r="R6079" s="160">
        <f t="shared" si="1005"/>
        <v>2.7333333333372138</v>
      </c>
      <c r="S6079" s="158">
        <f t="shared" si="1006"/>
        <v>1.3271278826014647</v>
      </c>
      <c r="T6079" s="161">
        <f t="shared" si="1007"/>
        <v>991.36452830329415</v>
      </c>
      <c r="U6079" s="158">
        <f t="shared" si="1009"/>
        <v>362.69433962264151</v>
      </c>
      <c r="V6079" s="160">
        <f t="shared" si="1008"/>
        <v>363</v>
      </c>
    </row>
    <row r="6080" spans="1:22" x14ac:dyDescent="0.25">
      <c r="A6080" s="98" t="s">
        <v>69</v>
      </c>
      <c r="B6080" s="98" t="s">
        <v>15</v>
      </c>
      <c r="C6080" s="98">
        <v>39</v>
      </c>
      <c r="D6080" s="98">
        <v>3416</v>
      </c>
      <c r="E6080" s="157">
        <v>42131.072222222225</v>
      </c>
      <c r="F6080" s="157">
        <v>42131.293749999997</v>
      </c>
      <c r="G6080" s="98">
        <v>0</v>
      </c>
      <c r="H6080" s="98">
        <v>795</v>
      </c>
      <c r="I6080" s="98">
        <v>747</v>
      </c>
      <c r="J6080" s="98" t="s">
        <v>2164</v>
      </c>
      <c r="K6080" s="98" t="s">
        <v>3169</v>
      </c>
      <c r="L6080" s="105" t="str">
        <f t="shared" si="1000"/>
        <v>Trimble</v>
      </c>
      <c r="M6080" s="105" t="str">
        <f t="shared" si="1001"/>
        <v>Outage</v>
      </c>
      <c r="N6080" s="105" t="str">
        <f t="shared" si="1002"/>
        <v>Coal</v>
      </c>
      <c r="O6080" s="105">
        <f>IFERROR(VLOOKUP(A6080,Lookup!$J$5:$P$19,7,FALSE),0)</f>
        <v>3</v>
      </c>
      <c r="P6080" s="159">
        <f t="shared" si="1003"/>
        <v>2015</v>
      </c>
      <c r="Q6080" s="159">
        <f t="shared" si="1004"/>
        <v>5</v>
      </c>
      <c r="R6080" s="160">
        <f t="shared" si="1005"/>
        <v>5.3166666665347293</v>
      </c>
      <c r="S6080" s="158">
        <f t="shared" si="1006"/>
        <v>5.3166666665347293</v>
      </c>
      <c r="T6080" s="161">
        <f t="shared" si="1007"/>
        <v>3971.5499999014428</v>
      </c>
      <c r="U6080" s="158">
        <f t="shared" si="1009"/>
        <v>747</v>
      </c>
      <c r="V6080" s="160">
        <f t="shared" si="1008"/>
        <v>747</v>
      </c>
    </row>
    <row r="6081" spans="1:22" x14ac:dyDescent="0.25">
      <c r="A6081" s="98" t="s">
        <v>69</v>
      </c>
      <c r="B6081" s="98" t="s">
        <v>17</v>
      </c>
      <c r="C6081" s="98">
        <v>40</v>
      </c>
      <c r="D6081" s="98">
        <v>3412</v>
      </c>
      <c r="E6081" s="157">
        <v>42131.293749999997</v>
      </c>
      <c r="F6081" s="157">
        <v>42135.513888888891</v>
      </c>
      <c r="G6081" s="98">
        <v>781</v>
      </c>
      <c r="H6081" s="98">
        <v>795</v>
      </c>
      <c r="I6081" s="98">
        <v>747</v>
      </c>
      <c r="J6081" s="98" t="s">
        <v>2162</v>
      </c>
      <c r="K6081" s="98" t="s">
        <v>3861</v>
      </c>
      <c r="L6081" s="105" t="str">
        <f t="shared" ref="L6081:L6144" si="1010">IF(OR(A6081="BR1",A6081="BR2",A6081="BR3",A6081="BR5",A6081="BR6",A6081="BR7",A6081="BR8",A6081="BR9",A6081="BR10",A6081="BR11"),"Brown",IF(OR(A6081="CR4",A6081="CR5",A6081="CR6",A6081="CR11"),"Cane Run",IF(OR(A6081="GH1",A6081="GH2",A6081="GH3",A6081="GH4"),"Ghent",IF(OR(A6081="GR3",A6081="GR4"),"Green River",IF(OR(A6081="MC1",A6081="MC2",A6081="MC3",A6081="MC4"),"Mill Creek",IF(OR(A6081="TC1",A6081="TC2",A6081="TC5",A6081="TC6",A6081="TC7",A6081="TC8",A6081="TC9",A6081="TC10"),"Trimble",IF(A6081="TY3","Tyrone",IF(OR(A6081="HA1",A6081="HA2",A6081="HA3"),"Haeflin",IF(OR(A6081="PR11",A6081="PR12",A6081="PR13"),"Paddy's Run","Zorn")))))))))</f>
        <v>Trimble</v>
      </c>
      <c r="M6081" s="105" t="str">
        <f t="shared" ref="M6081:M6144" si="1011">IF(OR(B6081="D1",B6081="D2",B6081="D3",B6081="D4",B6081="PD"),"Derate",IF(OR(B6081="SF",B6081="U1",B6081="U2",B6081="U3"),"Outage",IF(OR(B6081="ME",B6081="MO"),"Maintenance","Other")))</f>
        <v>Derate</v>
      </c>
      <c r="N6081" s="105" t="str">
        <f t="shared" ref="N6081:N6144" si="1012">IF(OR(A6081="BR1",A6081="BR2",A6081="BR3",A6081="CR4",A6081="CR5",A6081="CR6",A6081="GH1",A6081="GH2",A6081="GH3",A6081="GH4",A6081="GR3",A6081="GR4",A6081="MC1",A6081="MC2",A6081="MC3",A6081="MC4",A6081="TC1",A6081="TC2",A6081="TY3"),"Coal","Gas")</f>
        <v>Coal</v>
      </c>
      <c r="O6081" s="105">
        <f>IFERROR(VLOOKUP(A6081,Lookup!$J$5:$P$19,7,FALSE),0)</f>
        <v>3</v>
      </c>
      <c r="P6081" s="159">
        <f t="shared" ref="P6081:P6144" si="1013">YEAR(E6081)</f>
        <v>2015</v>
      </c>
      <c r="Q6081" s="159">
        <f t="shared" ref="Q6081:Q6144" si="1014">MONTH(E6081)</f>
        <v>5</v>
      </c>
      <c r="R6081" s="160">
        <f t="shared" ref="R6081:R6144" si="1015">(F6081-E6081)*24</f>
        <v>101.28333333344199</v>
      </c>
      <c r="S6081" s="158">
        <f t="shared" ref="S6081:S6144" si="1016">R6081*(H6081-G6081)/H6081</f>
        <v>1.7836058700228778</v>
      </c>
      <c r="T6081" s="161">
        <f t="shared" ref="T6081:T6144" si="1017">S6081*I6081</f>
        <v>1332.3535849070897</v>
      </c>
      <c r="U6081" s="158">
        <f t="shared" si="1009"/>
        <v>13.154716981132076</v>
      </c>
      <c r="V6081" s="160">
        <f t="shared" ref="V6081:V6144" si="1018">ROUND(U6081,0)</f>
        <v>13</v>
      </c>
    </row>
    <row r="6082" spans="1:22" x14ac:dyDescent="0.25">
      <c r="A6082" s="98" t="s">
        <v>69</v>
      </c>
      <c r="B6082" s="98" t="s">
        <v>17</v>
      </c>
      <c r="C6082" s="98">
        <v>41</v>
      </c>
      <c r="D6082" s="98">
        <v>3412</v>
      </c>
      <c r="E6082" s="157">
        <v>42135.513888888891</v>
      </c>
      <c r="F6082" s="157">
        <v>42135.776388888888</v>
      </c>
      <c r="G6082" s="98">
        <v>771</v>
      </c>
      <c r="H6082" s="98">
        <v>795</v>
      </c>
      <c r="I6082" s="98">
        <v>747</v>
      </c>
      <c r="J6082" s="98" t="s">
        <v>2162</v>
      </c>
      <c r="K6082" s="98" t="s">
        <v>3170</v>
      </c>
      <c r="L6082" s="105" t="str">
        <f t="shared" si="1010"/>
        <v>Trimble</v>
      </c>
      <c r="M6082" s="105" t="str">
        <f t="shared" si="1011"/>
        <v>Derate</v>
      </c>
      <c r="N6082" s="105" t="str">
        <f t="shared" si="1012"/>
        <v>Coal</v>
      </c>
      <c r="O6082" s="105">
        <f>IFERROR(VLOOKUP(A6082,Lookup!$J$5:$P$19,7,FALSE),0)</f>
        <v>3</v>
      </c>
      <c r="P6082" s="159">
        <f t="shared" si="1013"/>
        <v>2015</v>
      </c>
      <c r="Q6082" s="159">
        <f t="shared" si="1014"/>
        <v>5</v>
      </c>
      <c r="R6082" s="160">
        <f t="shared" si="1015"/>
        <v>6.2999999999301508</v>
      </c>
      <c r="S6082" s="158">
        <f t="shared" si="1016"/>
        <v>0.19018867924317437</v>
      </c>
      <c r="T6082" s="161">
        <f t="shared" si="1017"/>
        <v>142.07094339465127</v>
      </c>
      <c r="U6082" s="158">
        <f t="shared" ref="U6082:U6145" si="1019">IF(G6082&gt;0,MAX((H6082-G6082),0)*I6082/H6082,I6082)</f>
        <v>22.550943396226415</v>
      </c>
      <c r="V6082" s="160">
        <f t="shared" si="1018"/>
        <v>23</v>
      </c>
    </row>
    <row r="6083" spans="1:22" x14ac:dyDescent="0.25">
      <c r="A6083" s="98" t="s">
        <v>69</v>
      </c>
      <c r="B6083" s="98" t="s">
        <v>17</v>
      </c>
      <c r="C6083" s="98">
        <v>42</v>
      </c>
      <c r="D6083" s="98">
        <v>3440</v>
      </c>
      <c r="E6083" s="157">
        <v>42135.776388888888</v>
      </c>
      <c r="F6083" s="157">
        <v>42135.822222222225</v>
      </c>
      <c r="G6083" s="98">
        <v>670</v>
      </c>
      <c r="H6083" s="98">
        <v>795</v>
      </c>
      <c r="I6083" s="98">
        <v>747</v>
      </c>
      <c r="J6083" s="98" t="s">
        <v>2100</v>
      </c>
      <c r="K6083" s="98" t="s">
        <v>3171</v>
      </c>
      <c r="L6083" s="105" t="str">
        <f t="shared" si="1010"/>
        <v>Trimble</v>
      </c>
      <c r="M6083" s="105" t="str">
        <f t="shared" si="1011"/>
        <v>Derate</v>
      </c>
      <c r="N6083" s="105" t="str">
        <f t="shared" si="1012"/>
        <v>Coal</v>
      </c>
      <c r="O6083" s="105">
        <f>IFERROR(VLOOKUP(A6083,Lookup!$J$5:$P$19,7,FALSE),0)</f>
        <v>3</v>
      </c>
      <c r="P6083" s="159">
        <f t="shared" si="1013"/>
        <v>2015</v>
      </c>
      <c r="Q6083" s="159">
        <f t="shared" si="1014"/>
        <v>5</v>
      </c>
      <c r="R6083" s="160">
        <f t="shared" si="1015"/>
        <v>1.1000000000931323</v>
      </c>
      <c r="S6083" s="158">
        <f t="shared" si="1016"/>
        <v>0.17295597485741074</v>
      </c>
      <c r="T6083" s="161">
        <f t="shared" si="1017"/>
        <v>129.19811321848582</v>
      </c>
      <c r="U6083" s="158">
        <f t="shared" si="1019"/>
        <v>117.45283018867924</v>
      </c>
      <c r="V6083" s="160">
        <f t="shared" si="1018"/>
        <v>117</v>
      </c>
    </row>
    <row r="6084" spans="1:22" x14ac:dyDescent="0.25">
      <c r="A6084" s="98" t="s">
        <v>69</v>
      </c>
      <c r="B6084" s="98" t="s">
        <v>17</v>
      </c>
      <c r="C6084" s="98">
        <v>43</v>
      </c>
      <c r="D6084" s="98">
        <v>3440</v>
      </c>
      <c r="E6084" s="157">
        <v>42135.822222222225</v>
      </c>
      <c r="F6084" s="157">
        <v>42135.895833333336</v>
      </c>
      <c r="G6084" s="98">
        <v>560</v>
      </c>
      <c r="H6084" s="98">
        <v>795</v>
      </c>
      <c r="I6084" s="98">
        <v>747</v>
      </c>
      <c r="J6084" s="98" t="s">
        <v>2100</v>
      </c>
      <c r="K6084" s="98" t="s">
        <v>3171</v>
      </c>
      <c r="L6084" s="105" t="str">
        <f t="shared" si="1010"/>
        <v>Trimble</v>
      </c>
      <c r="M6084" s="105" t="str">
        <f t="shared" si="1011"/>
        <v>Derate</v>
      </c>
      <c r="N6084" s="105" t="str">
        <f t="shared" si="1012"/>
        <v>Coal</v>
      </c>
      <c r="O6084" s="105">
        <f>IFERROR(VLOOKUP(A6084,Lookup!$J$5:$P$19,7,FALSE),0)</f>
        <v>3</v>
      </c>
      <c r="P6084" s="159">
        <f t="shared" si="1013"/>
        <v>2015</v>
      </c>
      <c r="Q6084" s="159">
        <f t="shared" si="1014"/>
        <v>5</v>
      </c>
      <c r="R6084" s="160">
        <f t="shared" si="1015"/>
        <v>1.7666666666627862</v>
      </c>
      <c r="S6084" s="158">
        <f t="shared" si="1016"/>
        <v>0.52222222222107517</v>
      </c>
      <c r="T6084" s="161">
        <f t="shared" si="1017"/>
        <v>390.09999999914317</v>
      </c>
      <c r="U6084" s="158">
        <f t="shared" si="1019"/>
        <v>220.81132075471697</v>
      </c>
      <c r="V6084" s="160">
        <f t="shared" si="1018"/>
        <v>221</v>
      </c>
    </row>
    <row r="6085" spans="1:22" x14ac:dyDescent="0.25">
      <c r="A6085" s="98" t="s">
        <v>69</v>
      </c>
      <c r="B6085" s="98" t="s">
        <v>17</v>
      </c>
      <c r="C6085" s="98">
        <v>44</v>
      </c>
      <c r="D6085" s="98">
        <v>3440</v>
      </c>
      <c r="E6085" s="157">
        <v>42135.895833333336</v>
      </c>
      <c r="F6085" s="157">
        <v>42136.032638888886</v>
      </c>
      <c r="G6085" s="98">
        <v>670</v>
      </c>
      <c r="H6085" s="98">
        <v>795</v>
      </c>
      <c r="I6085" s="98">
        <v>747</v>
      </c>
      <c r="J6085" s="98" t="s">
        <v>2100</v>
      </c>
      <c r="K6085" s="98" t="s">
        <v>3171</v>
      </c>
      <c r="L6085" s="105" t="str">
        <f t="shared" si="1010"/>
        <v>Trimble</v>
      </c>
      <c r="M6085" s="105" t="str">
        <f t="shared" si="1011"/>
        <v>Derate</v>
      </c>
      <c r="N6085" s="105" t="str">
        <f t="shared" si="1012"/>
        <v>Coal</v>
      </c>
      <c r="O6085" s="105">
        <f>IFERROR(VLOOKUP(A6085,Lookup!$J$5:$P$19,7,FALSE),0)</f>
        <v>3</v>
      </c>
      <c r="P6085" s="159">
        <f t="shared" si="1013"/>
        <v>2015</v>
      </c>
      <c r="Q6085" s="159">
        <f t="shared" si="1014"/>
        <v>5</v>
      </c>
      <c r="R6085" s="160">
        <f t="shared" si="1015"/>
        <v>3.283333333209157</v>
      </c>
      <c r="S6085" s="158">
        <f t="shared" si="1016"/>
        <v>0.516247379435402</v>
      </c>
      <c r="T6085" s="161">
        <f t="shared" si="1017"/>
        <v>385.63679243824527</v>
      </c>
      <c r="U6085" s="158">
        <f t="shared" si="1019"/>
        <v>117.45283018867924</v>
      </c>
      <c r="V6085" s="160">
        <f t="shared" si="1018"/>
        <v>117</v>
      </c>
    </row>
    <row r="6086" spans="1:22" x14ac:dyDescent="0.25">
      <c r="A6086" s="98" t="s">
        <v>69</v>
      </c>
      <c r="B6086" s="98" t="s">
        <v>17</v>
      </c>
      <c r="C6086" s="98">
        <v>45</v>
      </c>
      <c r="D6086" s="98">
        <v>3440</v>
      </c>
      <c r="E6086" s="157">
        <v>42136.032638888886</v>
      </c>
      <c r="F6086" s="157">
        <v>42138.408333333333</v>
      </c>
      <c r="G6086" s="98">
        <v>720</v>
      </c>
      <c r="H6086" s="98">
        <v>795</v>
      </c>
      <c r="I6086" s="98">
        <v>747</v>
      </c>
      <c r="J6086" s="98" t="s">
        <v>2100</v>
      </c>
      <c r="K6086" s="98" t="s">
        <v>3171</v>
      </c>
      <c r="L6086" s="105" t="str">
        <f t="shared" si="1010"/>
        <v>Trimble</v>
      </c>
      <c r="M6086" s="105" t="str">
        <f t="shared" si="1011"/>
        <v>Derate</v>
      </c>
      <c r="N6086" s="105" t="str">
        <f t="shared" si="1012"/>
        <v>Coal</v>
      </c>
      <c r="O6086" s="105">
        <f>IFERROR(VLOOKUP(A6086,Lookup!$J$5:$P$19,7,FALSE),0)</f>
        <v>3</v>
      </c>
      <c r="P6086" s="159">
        <f t="shared" si="1013"/>
        <v>2015</v>
      </c>
      <c r="Q6086" s="159">
        <f t="shared" si="1014"/>
        <v>5</v>
      </c>
      <c r="R6086" s="160">
        <f t="shared" si="1015"/>
        <v>57.016666666720994</v>
      </c>
      <c r="S6086" s="158">
        <f t="shared" si="1016"/>
        <v>5.3789308176151884</v>
      </c>
      <c r="T6086" s="161">
        <f t="shared" si="1017"/>
        <v>4018.0613207585457</v>
      </c>
      <c r="U6086" s="158">
        <f t="shared" si="1019"/>
        <v>70.471698113207552</v>
      </c>
      <c r="V6086" s="160">
        <f t="shared" si="1018"/>
        <v>70</v>
      </c>
    </row>
    <row r="6087" spans="1:22" x14ac:dyDescent="0.25">
      <c r="A6087" s="98" t="s">
        <v>69</v>
      </c>
      <c r="B6087" s="98" t="s">
        <v>15</v>
      </c>
      <c r="C6087" s="98">
        <v>46</v>
      </c>
      <c r="D6087" s="98">
        <v>4293</v>
      </c>
      <c r="E6087" s="157">
        <v>42138.408333333333</v>
      </c>
      <c r="F6087" s="157">
        <v>42139.28125</v>
      </c>
      <c r="G6087" s="98">
        <v>0</v>
      </c>
      <c r="H6087" s="98">
        <v>795</v>
      </c>
      <c r="I6087" s="98">
        <v>747</v>
      </c>
      <c r="J6087" s="98" t="s">
        <v>2011</v>
      </c>
      <c r="K6087" s="98" t="s">
        <v>3172</v>
      </c>
      <c r="L6087" s="105" t="str">
        <f t="shared" si="1010"/>
        <v>Trimble</v>
      </c>
      <c r="M6087" s="105" t="str">
        <f t="shared" si="1011"/>
        <v>Outage</v>
      </c>
      <c r="N6087" s="105" t="str">
        <f t="shared" si="1012"/>
        <v>Coal</v>
      </c>
      <c r="O6087" s="105">
        <f>IFERROR(VLOOKUP(A6087,Lookup!$J$5:$P$19,7,FALSE),0)</f>
        <v>3</v>
      </c>
      <c r="P6087" s="159">
        <f t="shared" si="1013"/>
        <v>2015</v>
      </c>
      <c r="Q6087" s="159">
        <f t="shared" si="1014"/>
        <v>5</v>
      </c>
      <c r="R6087" s="160">
        <f t="shared" si="1015"/>
        <v>20.950000000011642</v>
      </c>
      <c r="S6087" s="158">
        <f t="shared" si="1016"/>
        <v>20.950000000011642</v>
      </c>
      <c r="T6087" s="161">
        <f t="shared" si="1017"/>
        <v>15649.650000008696</v>
      </c>
      <c r="U6087" s="158">
        <f t="shared" si="1019"/>
        <v>747</v>
      </c>
      <c r="V6087" s="160">
        <f t="shared" si="1018"/>
        <v>747</v>
      </c>
    </row>
    <row r="6088" spans="1:22" x14ac:dyDescent="0.25">
      <c r="A6088" s="98" t="s">
        <v>69</v>
      </c>
      <c r="B6088" s="98" t="s">
        <v>20</v>
      </c>
      <c r="C6088" s="98">
        <v>47</v>
      </c>
      <c r="D6088" s="98">
        <v>270</v>
      </c>
      <c r="E6088" s="157">
        <v>42139.28125</v>
      </c>
      <c r="F6088" s="157">
        <v>42140.763888888891</v>
      </c>
      <c r="G6088" s="98">
        <v>0</v>
      </c>
      <c r="H6088" s="98">
        <v>795</v>
      </c>
      <c r="I6088" s="98">
        <v>747</v>
      </c>
      <c r="J6088" s="98" t="s">
        <v>2031</v>
      </c>
      <c r="K6088" s="98" t="s">
        <v>3173</v>
      </c>
      <c r="L6088" s="105" t="str">
        <f t="shared" si="1010"/>
        <v>Trimble</v>
      </c>
      <c r="M6088" s="105" t="str">
        <f t="shared" si="1011"/>
        <v>Maintenance</v>
      </c>
      <c r="N6088" s="105" t="str">
        <f t="shared" si="1012"/>
        <v>Coal</v>
      </c>
      <c r="O6088" s="105">
        <f>IFERROR(VLOOKUP(A6088,Lookup!$J$5:$P$19,7,FALSE),0)</f>
        <v>3</v>
      </c>
      <c r="P6088" s="159">
        <f t="shared" si="1013"/>
        <v>2015</v>
      </c>
      <c r="Q6088" s="159">
        <f t="shared" si="1014"/>
        <v>5</v>
      </c>
      <c r="R6088" s="160">
        <f t="shared" si="1015"/>
        <v>35.583333333372138</v>
      </c>
      <c r="S6088" s="158">
        <f t="shared" si="1016"/>
        <v>35.583333333372138</v>
      </c>
      <c r="T6088" s="161">
        <f t="shared" si="1017"/>
        <v>26580.750000028987</v>
      </c>
      <c r="U6088" s="158">
        <f t="shared" si="1019"/>
        <v>747</v>
      </c>
      <c r="V6088" s="160">
        <f t="shared" si="1018"/>
        <v>747</v>
      </c>
    </row>
    <row r="6089" spans="1:22" x14ac:dyDescent="0.25">
      <c r="A6089" s="98" t="s">
        <v>69</v>
      </c>
      <c r="B6089" s="98" t="s">
        <v>17</v>
      </c>
      <c r="C6089" s="98">
        <v>48</v>
      </c>
      <c r="D6089" s="98">
        <v>3412</v>
      </c>
      <c r="E6089" s="157">
        <v>42141.023611111108</v>
      </c>
      <c r="F6089" s="157">
        <v>42141.211111111108</v>
      </c>
      <c r="G6089" s="98">
        <v>409</v>
      </c>
      <c r="H6089" s="98">
        <v>795</v>
      </c>
      <c r="I6089" s="98">
        <v>747</v>
      </c>
      <c r="J6089" s="98" t="s">
        <v>2162</v>
      </c>
      <c r="K6089" s="98" t="s">
        <v>3174</v>
      </c>
      <c r="L6089" s="105" t="str">
        <f t="shared" si="1010"/>
        <v>Trimble</v>
      </c>
      <c r="M6089" s="105" t="str">
        <f t="shared" si="1011"/>
        <v>Derate</v>
      </c>
      <c r="N6089" s="105" t="str">
        <f t="shared" si="1012"/>
        <v>Coal</v>
      </c>
      <c r="O6089" s="105">
        <f>IFERROR(VLOOKUP(A6089,Lookup!$J$5:$P$19,7,FALSE),0)</f>
        <v>3</v>
      </c>
      <c r="P6089" s="159">
        <f t="shared" si="1013"/>
        <v>2015</v>
      </c>
      <c r="Q6089" s="159">
        <f t="shared" si="1014"/>
        <v>5</v>
      </c>
      <c r="R6089" s="160">
        <f t="shared" si="1015"/>
        <v>4.5</v>
      </c>
      <c r="S6089" s="158">
        <f t="shared" si="1016"/>
        <v>2.1849056603773587</v>
      </c>
      <c r="T6089" s="161">
        <f t="shared" si="1017"/>
        <v>1632.124528301887</v>
      </c>
      <c r="U6089" s="158">
        <f t="shared" si="1019"/>
        <v>362.69433962264151</v>
      </c>
      <c r="V6089" s="160">
        <f t="shared" si="1018"/>
        <v>363</v>
      </c>
    </row>
    <row r="6090" spans="1:22" x14ac:dyDescent="0.25">
      <c r="A6090" s="98" t="s">
        <v>69</v>
      </c>
      <c r="B6090" s="98" t="s">
        <v>15</v>
      </c>
      <c r="C6090" s="98">
        <v>49</v>
      </c>
      <c r="D6090" s="98">
        <v>3431</v>
      </c>
      <c r="E6090" s="157">
        <v>42141.211111111108</v>
      </c>
      <c r="F6090" s="157">
        <v>42141.647916666669</v>
      </c>
      <c r="G6090" s="98">
        <v>0</v>
      </c>
      <c r="H6090" s="98">
        <v>795</v>
      </c>
      <c r="I6090" s="98">
        <v>747</v>
      </c>
      <c r="J6090" s="98" t="s">
        <v>2123</v>
      </c>
      <c r="K6090" s="98" t="s">
        <v>3175</v>
      </c>
      <c r="L6090" s="105" t="str">
        <f t="shared" si="1010"/>
        <v>Trimble</v>
      </c>
      <c r="M6090" s="105" t="str">
        <f t="shared" si="1011"/>
        <v>Outage</v>
      </c>
      <c r="N6090" s="105" t="str">
        <f t="shared" si="1012"/>
        <v>Coal</v>
      </c>
      <c r="O6090" s="105">
        <f>IFERROR(VLOOKUP(A6090,Lookup!$J$5:$P$19,7,FALSE),0)</f>
        <v>3</v>
      </c>
      <c r="P6090" s="159">
        <f t="shared" si="1013"/>
        <v>2015</v>
      </c>
      <c r="Q6090" s="159">
        <f t="shared" si="1014"/>
        <v>5</v>
      </c>
      <c r="R6090" s="160">
        <f t="shared" si="1015"/>
        <v>10.483333333453629</v>
      </c>
      <c r="S6090" s="158">
        <f t="shared" si="1016"/>
        <v>10.483333333453629</v>
      </c>
      <c r="T6090" s="161">
        <f t="shared" si="1017"/>
        <v>7831.050000089861</v>
      </c>
      <c r="U6090" s="158">
        <f t="shared" si="1019"/>
        <v>747</v>
      </c>
      <c r="V6090" s="160">
        <f t="shared" si="1018"/>
        <v>747</v>
      </c>
    </row>
    <row r="6091" spans="1:22" x14ac:dyDescent="0.25">
      <c r="A6091" s="98" t="s">
        <v>69</v>
      </c>
      <c r="B6091" s="98" t="s">
        <v>18</v>
      </c>
      <c r="C6091" s="98">
        <v>50</v>
      </c>
      <c r="D6091" s="98">
        <v>385</v>
      </c>
      <c r="E6091" s="157">
        <v>42141.647916666669</v>
      </c>
      <c r="F6091" s="157">
        <v>42142.039583333331</v>
      </c>
      <c r="G6091" s="98">
        <v>0</v>
      </c>
      <c r="H6091" s="98">
        <v>795</v>
      </c>
      <c r="I6091" s="98">
        <v>747</v>
      </c>
      <c r="J6091" s="98" t="s">
        <v>228</v>
      </c>
      <c r="K6091" s="98" t="s">
        <v>3176</v>
      </c>
      <c r="L6091" s="105" t="str">
        <f t="shared" si="1010"/>
        <v>Trimble</v>
      </c>
      <c r="M6091" s="105" t="str">
        <f t="shared" si="1011"/>
        <v>Outage</v>
      </c>
      <c r="N6091" s="105" t="str">
        <f t="shared" si="1012"/>
        <v>Coal</v>
      </c>
      <c r="O6091" s="105">
        <f>IFERROR(VLOOKUP(A6091,Lookup!$J$5:$P$19,7,FALSE),0)</f>
        <v>3</v>
      </c>
      <c r="P6091" s="159">
        <f t="shared" si="1013"/>
        <v>2015</v>
      </c>
      <c r="Q6091" s="159">
        <f t="shared" si="1014"/>
        <v>5</v>
      </c>
      <c r="R6091" s="160">
        <f t="shared" si="1015"/>
        <v>9.3999999999068677</v>
      </c>
      <c r="S6091" s="158">
        <f t="shared" si="1016"/>
        <v>9.3999999999068677</v>
      </c>
      <c r="T6091" s="161">
        <f t="shared" si="1017"/>
        <v>7021.7999999304302</v>
      </c>
      <c r="U6091" s="158">
        <f t="shared" si="1019"/>
        <v>747</v>
      </c>
      <c r="V6091" s="160">
        <f t="shared" si="1018"/>
        <v>747</v>
      </c>
    </row>
    <row r="6092" spans="1:22" x14ac:dyDescent="0.25">
      <c r="A6092" s="98" t="s">
        <v>69</v>
      </c>
      <c r="B6092" s="98" t="s">
        <v>17</v>
      </c>
      <c r="C6092" s="98">
        <v>51</v>
      </c>
      <c r="D6092" s="98">
        <v>3412</v>
      </c>
      <c r="E6092" s="157">
        <v>42142.039583333331</v>
      </c>
      <c r="F6092" s="157">
        <v>42142.885416666664</v>
      </c>
      <c r="G6092" s="98">
        <v>781</v>
      </c>
      <c r="H6092" s="98">
        <v>795</v>
      </c>
      <c r="I6092" s="98">
        <v>747</v>
      </c>
      <c r="J6092" s="98" t="s">
        <v>2162</v>
      </c>
      <c r="K6092" s="98" t="s">
        <v>3177</v>
      </c>
      <c r="L6092" s="105" t="str">
        <f t="shared" si="1010"/>
        <v>Trimble</v>
      </c>
      <c r="M6092" s="105" t="str">
        <f t="shared" si="1011"/>
        <v>Derate</v>
      </c>
      <c r="N6092" s="105" t="str">
        <f t="shared" si="1012"/>
        <v>Coal</v>
      </c>
      <c r="O6092" s="105">
        <f>IFERROR(VLOOKUP(A6092,Lookup!$J$5:$P$19,7,FALSE),0)</f>
        <v>3</v>
      </c>
      <c r="P6092" s="159">
        <f t="shared" si="1013"/>
        <v>2015</v>
      </c>
      <c r="Q6092" s="159">
        <f t="shared" si="1014"/>
        <v>5</v>
      </c>
      <c r="R6092" s="160">
        <f t="shared" si="1015"/>
        <v>20.299999999988358</v>
      </c>
      <c r="S6092" s="158">
        <f t="shared" si="1016"/>
        <v>0.35748427672935473</v>
      </c>
      <c r="T6092" s="161">
        <f t="shared" si="1017"/>
        <v>267.04075471682796</v>
      </c>
      <c r="U6092" s="158">
        <f t="shared" si="1019"/>
        <v>13.154716981132076</v>
      </c>
      <c r="V6092" s="160">
        <f t="shared" si="1018"/>
        <v>13</v>
      </c>
    </row>
    <row r="6093" spans="1:22" x14ac:dyDescent="0.25">
      <c r="A6093" s="98" t="s">
        <v>69</v>
      </c>
      <c r="B6093" s="98" t="s">
        <v>105</v>
      </c>
      <c r="C6093" s="98">
        <v>52</v>
      </c>
      <c r="D6093" s="98">
        <v>3412</v>
      </c>
      <c r="E6093" s="157">
        <v>42142.885416666664</v>
      </c>
      <c r="F6093" s="157">
        <v>42143.208333333336</v>
      </c>
      <c r="G6093" s="98">
        <v>409</v>
      </c>
      <c r="H6093" s="98">
        <v>795</v>
      </c>
      <c r="I6093" s="98">
        <v>747</v>
      </c>
      <c r="J6093" s="98" t="s">
        <v>2162</v>
      </c>
      <c r="K6093" s="98" t="s">
        <v>3178</v>
      </c>
      <c r="L6093" s="105" t="str">
        <f t="shared" si="1010"/>
        <v>Trimble</v>
      </c>
      <c r="M6093" s="105" t="str">
        <f t="shared" si="1011"/>
        <v>Derate</v>
      </c>
      <c r="N6093" s="105" t="str">
        <f t="shared" si="1012"/>
        <v>Coal</v>
      </c>
      <c r="O6093" s="105">
        <f>IFERROR(VLOOKUP(A6093,Lookup!$J$5:$P$19,7,FALSE),0)</f>
        <v>3</v>
      </c>
      <c r="P6093" s="159">
        <f t="shared" si="1013"/>
        <v>2015</v>
      </c>
      <c r="Q6093" s="159">
        <f t="shared" si="1014"/>
        <v>5</v>
      </c>
      <c r="R6093" s="160">
        <f t="shared" si="1015"/>
        <v>7.7500000001164153</v>
      </c>
      <c r="S6093" s="158">
        <f t="shared" si="1016"/>
        <v>3.7628930818175301</v>
      </c>
      <c r="T6093" s="161">
        <f t="shared" si="1017"/>
        <v>2810.881132117695</v>
      </c>
      <c r="U6093" s="158">
        <f t="shared" si="1019"/>
        <v>362.69433962264151</v>
      </c>
      <c r="V6093" s="160">
        <f t="shared" si="1018"/>
        <v>363</v>
      </c>
    </row>
    <row r="6094" spans="1:22" x14ac:dyDescent="0.25">
      <c r="A6094" s="98" t="s">
        <v>69</v>
      </c>
      <c r="B6094" s="98" t="s">
        <v>17</v>
      </c>
      <c r="C6094" s="98">
        <v>53</v>
      </c>
      <c r="D6094" s="98">
        <v>3412</v>
      </c>
      <c r="E6094" s="157">
        <v>42143.208333333336</v>
      </c>
      <c r="F6094" s="157">
        <v>42143.245138888888</v>
      </c>
      <c r="G6094" s="98">
        <v>620</v>
      </c>
      <c r="H6094" s="98">
        <v>795</v>
      </c>
      <c r="I6094" s="98">
        <v>747</v>
      </c>
      <c r="J6094" s="98" t="s">
        <v>2162</v>
      </c>
      <c r="K6094" s="98" t="s">
        <v>3179</v>
      </c>
      <c r="L6094" s="105" t="str">
        <f t="shared" si="1010"/>
        <v>Trimble</v>
      </c>
      <c r="M6094" s="105" t="str">
        <f t="shared" si="1011"/>
        <v>Derate</v>
      </c>
      <c r="N6094" s="105" t="str">
        <f t="shared" si="1012"/>
        <v>Coal</v>
      </c>
      <c r="O6094" s="105">
        <f>IFERROR(VLOOKUP(A6094,Lookup!$J$5:$P$19,7,FALSE),0)</f>
        <v>3</v>
      </c>
      <c r="P6094" s="159">
        <f t="shared" si="1013"/>
        <v>2015</v>
      </c>
      <c r="Q6094" s="159">
        <f t="shared" si="1014"/>
        <v>5</v>
      </c>
      <c r="R6094" s="160">
        <f t="shared" si="1015"/>
        <v>0.88333333324408159</v>
      </c>
      <c r="S6094" s="158">
        <f t="shared" si="1016"/>
        <v>0.19444444442479783</v>
      </c>
      <c r="T6094" s="161">
        <f t="shared" si="1017"/>
        <v>145.24999998532397</v>
      </c>
      <c r="U6094" s="158">
        <f t="shared" si="1019"/>
        <v>164.43396226415095</v>
      </c>
      <c r="V6094" s="160">
        <f t="shared" si="1018"/>
        <v>164</v>
      </c>
    </row>
    <row r="6095" spans="1:22" x14ac:dyDescent="0.25">
      <c r="A6095" s="98" t="s">
        <v>69</v>
      </c>
      <c r="B6095" s="98" t="s">
        <v>79</v>
      </c>
      <c r="C6095" s="98">
        <v>54</v>
      </c>
      <c r="D6095" s="98">
        <v>1190</v>
      </c>
      <c r="E6095" s="157">
        <v>42148</v>
      </c>
      <c r="F6095" s="157">
        <v>42149.322916666664</v>
      </c>
      <c r="G6095" s="98">
        <v>0</v>
      </c>
      <c r="H6095" s="98">
        <v>795</v>
      </c>
      <c r="I6095" s="98">
        <v>747</v>
      </c>
      <c r="J6095" s="98" t="s">
        <v>2007</v>
      </c>
      <c r="K6095" s="98" t="s">
        <v>3180</v>
      </c>
      <c r="L6095" s="105" t="str">
        <f t="shared" si="1010"/>
        <v>Trimble</v>
      </c>
      <c r="M6095" s="105" t="str">
        <f t="shared" si="1011"/>
        <v>Other</v>
      </c>
      <c r="N6095" s="105" t="str">
        <f t="shared" si="1012"/>
        <v>Coal</v>
      </c>
      <c r="O6095" s="105">
        <f>IFERROR(VLOOKUP(A6095,Lookup!$J$5:$P$19,7,FALSE),0)</f>
        <v>3</v>
      </c>
      <c r="P6095" s="159">
        <f t="shared" si="1013"/>
        <v>2015</v>
      </c>
      <c r="Q6095" s="159">
        <f t="shared" si="1014"/>
        <v>5</v>
      </c>
      <c r="R6095" s="160">
        <f t="shared" si="1015"/>
        <v>31.749999999941792</v>
      </c>
      <c r="S6095" s="158">
        <f t="shared" si="1016"/>
        <v>31.749999999941792</v>
      </c>
      <c r="T6095" s="161">
        <f t="shared" si="1017"/>
        <v>23717.249999956519</v>
      </c>
      <c r="U6095" s="158">
        <f t="shared" si="1019"/>
        <v>747</v>
      </c>
      <c r="V6095" s="160">
        <f t="shared" si="1018"/>
        <v>747</v>
      </c>
    </row>
    <row r="6096" spans="1:22" x14ac:dyDescent="0.25">
      <c r="A6096" s="98" t="s">
        <v>69</v>
      </c>
      <c r="B6096" s="98" t="s">
        <v>17</v>
      </c>
      <c r="C6096" s="98">
        <v>55</v>
      </c>
      <c r="D6096" s="98">
        <v>1480</v>
      </c>
      <c r="E6096" s="157">
        <v>42152.646527777775</v>
      </c>
      <c r="F6096" s="157">
        <v>42152.943749999999</v>
      </c>
      <c r="G6096" s="98">
        <v>400</v>
      </c>
      <c r="H6096" s="98">
        <v>795</v>
      </c>
      <c r="I6096" s="98">
        <v>747</v>
      </c>
      <c r="J6096" s="98" t="s">
        <v>1972</v>
      </c>
      <c r="K6096" s="98" t="s">
        <v>3181</v>
      </c>
      <c r="L6096" s="105" t="str">
        <f t="shared" si="1010"/>
        <v>Trimble</v>
      </c>
      <c r="M6096" s="105" t="str">
        <f t="shared" si="1011"/>
        <v>Derate</v>
      </c>
      <c r="N6096" s="105" t="str">
        <f t="shared" si="1012"/>
        <v>Coal</v>
      </c>
      <c r="O6096" s="105">
        <f>IFERROR(VLOOKUP(A6096,Lookup!$J$5:$P$19,7,FALSE),0)</f>
        <v>3</v>
      </c>
      <c r="P6096" s="159">
        <f t="shared" si="1013"/>
        <v>2015</v>
      </c>
      <c r="Q6096" s="159">
        <f t="shared" si="1014"/>
        <v>5</v>
      </c>
      <c r="R6096" s="160">
        <f t="shared" si="1015"/>
        <v>7.1333333333604969</v>
      </c>
      <c r="S6096" s="158">
        <f t="shared" si="1016"/>
        <v>3.5442348008520708</v>
      </c>
      <c r="T6096" s="161">
        <f t="shared" si="1017"/>
        <v>2647.5433962364968</v>
      </c>
      <c r="U6096" s="158">
        <f t="shared" si="1019"/>
        <v>371.15094339622641</v>
      </c>
      <c r="V6096" s="160">
        <f t="shared" si="1018"/>
        <v>371</v>
      </c>
    </row>
    <row r="6097" spans="1:22" x14ac:dyDescent="0.25">
      <c r="A6097" s="98" t="s">
        <v>69</v>
      </c>
      <c r="B6097" s="98" t="s">
        <v>79</v>
      </c>
      <c r="C6097" s="98">
        <v>56</v>
      </c>
      <c r="D6097" s="98">
        <v>1190</v>
      </c>
      <c r="E6097" s="157">
        <v>42155</v>
      </c>
      <c r="F6097" s="157">
        <v>42155.322916666664</v>
      </c>
      <c r="G6097" s="98">
        <v>0</v>
      </c>
      <c r="H6097" s="98">
        <v>795</v>
      </c>
      <c r="I6097" s="98">
        <v>747</v>
      </c>
      <c r="J6097" s="98" t="s">
        <v>2007</v>
      </c>
      <c r="K6097" s="98" t="s">
        <v>3152</v>
      </c>
      <c r="L6097" s="105" t="str">
        <f t="shared" si="1010"/>
        <v>Trimble</v>
      </c>
      <c r="M6097" s="105" t="str">
        <f t="shared" si="1011"/>
        <v>Other</v>
      </c>
      <c r="N6097" s="105" t="str">
        <f t="shared" si="1012"/>
        <v>Coal</v>
      </c>
      <c r="O6097" s="105">
        <f>IFERROR(VLOOKUP(A6097,Lookup!$J$5:$P$19,7,FALSE),0)</f>
        <v>3</v>
      </c>
      <c r="P6097" s="159">
        <f t="shared" si="1013"/>
        <v>2015</v>
      </c>
      <c r="Q6097" s="159">
        <f t="shared" si="1014"/>
        <v>5</v>
      </c>
      <c r="R6097" s="160">
        <f t="shared" si="1015"/>
        <v>7.7499999999417923</v>
      </c>
      <c r="S6097" s="158">
        <f t="shared" si="1016"/>
        <v>7.7499999999417923</v>
      </c>
      <c r="T6097" s="161">
        <f t="shared" si="1017"/>
        <v>5789.2499999565189</v>
      </c>
      <c r="U6097" s="158">
        <f t="shared" si="1019"/>
        <v>747</v>
      </c>
      <c r="V6097" s="160">
        <f t="shared" si="1018"/>
        <v>747</v>
      </c>
    </row>
    <row r="6098" spans="1:22" x14ac:dyDescent="0.25">
      <c r="A6098" s="98" t="s">
        <v>69</v>
      </c>
      <c r="B6098" s="98" t="s">
        <v>79</v>
      </c>
      <c r="C6098" s="98">
        <v>57</v>
      </c>
      <c r="D6098" s="98">
        <v>1190</v>
      </c>
      <c r="E6098" s="157">
        <v>42162</v>
      </c>
      <c r="F6098" s="157">
        <v>42162.458333333336</v>
      </c>
      <c r="G6098" s="98">
        <v>0</v>
      </c>
      <c r="H6098" s="98">
        <v>795</v>
      </c>
      <c r="I6098" s="98">
        <v>747</v>
      </c>
      <c r="J6098" s="98" t="s">
        <v>2007</v>
      </c>
      <c r="K6098" s="98" t="s">
        <v>3180</v>
      </c>
      <c r="L6098" s="105" t="str">
        <f t="shared" si="1010"/>
        <v>Trimble</v>
      </c>
      <c r="M6098" s="105" t="str">
        <f t="shared" si="1011"/>
        <v>Other</v>
      </c>
      <c r="N6098" s="105" t="str">
        <f t="shared" si="1012"/>
        <v>Coal</v>
      </c>
      <c r="O6098" s="105">
        <f>IFERROR(VLOOKUP(A6098,Lookup!$J$5:$P$19,7,FALSE),0)</f>
        <v>3</v>
      </c>
      <c r="P6098" s="159">
        <f t="shared" si="1013"/>
        <v>2015</v>
      </c>
      <c r="Q6098" s="159">
        <f t="shared" si="1014"/>
        <v>6</v>
      </c>
      <c r="R6098" s="160">
        <f t="shared" si="1015"/>
        <v>11.000000000058208</v>
      </c>
      <c r="S6098" s="158">
        <f t="shared" si="1016"/>
        <v>11.000000000058208</v>
      </c>
      <c r="T6098" s="161">
        <f t="shared" si="1017"/>
        <v>8217.0000000434811</v>
      </c>
      <c r="U6098" s="158">
        <f t="shared" si="1019"/>
        <v>747</v>
      </c>
      <c r="V6098" s="160">
        <f t="shared" si="1018"/>
        <v>747</v>
      </c>
    </row>
    <row r="6099" spans="1:22" x14ac:dyDescent="0.25">
      <c r="A6099" s="98" t="s">
        <v>69</v>
      </c>
      <c r="B6099" s="98" t="s">
        <v>105</v>
      </c>
      <c r="C6099" s="98">
        <v>58</v>
      </c>
      <c r="D6099" s="98">
        <v>550</v>
      </c>
      <c r="E6099" s="157">
        <v>42163</v>
      </c>
      <c r="F6099" s="157">
        <v>42163.302083333336</v>
      </c>
      <c r="G6099" s="98">
        <v>759</v>
      </c>
      <c r="H6099" s="98">
        <v>795</v>
      </c>
      <c r="I6099" s="98">
        <v>747</v>
      </c>
      <c r="J6099" s="98" t="s">
        <v>2373</v>
      </c>
      <c r="K6099" s="98" t="s">
        <v>3182</v>
      </c>
      <c r="L6099" s="105" t="str">
        <f t="shared" si="1010"/>
        <v>Trimble</v>
      </c>
      <c r="M6099" s="105" t="str">
        <f t="shared" si="1011"/>
        <v>Derate</v>
      </c>
      <c r="N6099" s="105" t="str">
        <f t="shared" si="1012"/>
        <v>Coal</v>
      </c>
      <c r="O6099" s="105">
        <f>IFERROR(VLOOKUP(A6099,Lookup!$J$5:$P$19,7,FALSE),0)</f>
        <v>3</v>
      </c>
      <c r="P6099" s="159">
        <f t="shared" si="1013"/>
        <v>2015</v>
      </c>
      <c r="Q6099" s="159">
        <f t="shared" si="1014"/>
        <v>6</v>
      </c>
      <c r="R6099" s="160">
        <f t="shared" si="1015"/>
        <v>7.2500000000582077</v>
      </c>
      <c r="S6099" s="158">
        <f t="shared" si="1016"/>
        <v>0.32830188679508865</v>
      </c>
      <c r="T6099" s="161">
        <f t="shared" si="1017"/>
        <v>245.24150943593122</v>
      </c>
      <c r="U6099" s="158">
        <f t="shared" si="1019"/>
        <v>33.826415094339623</v>
      </c>
      <c r="V6099" s="160">
        <f t="shared" si="1018"/>
        <v>34</v>
      </c>
    </row>
    <row r="6100" spans="1:22" x14ac:dyDescent="0.25">
      <c r="A6100" s="98" t="s">
        <v>69</v>
      </c>
      <c r="B6100" s="98" t="s">
        <v>79</v>
      </c>
      <c r="C6100" s="98">
        <v>59</v>
      </c>
      <c r="D6100" s="98">
        <v>1190</v>
      </c>
      <c r="E6100" s="157">
        <v>42169</v>
      </c>
      <c r="F6100" s="157">
        <v>42169.333333333336</v>
      </c>
      <c r="G6100" s="98">
        <v>0</v>
      </c>
      <c r="H6100" s="98">
        <v>795</v>
      </c>
      <c r="I6100" s="98">
        <v>747</v>
      </c>
      <c r="J6100" s="98" t="s">
        <v>2007</v>
      </c>
      <c r="K6100" s="98" t="s">
        <v>3183</v>
      </c>
      <c r="L6100" s="105" t="str">
        <f t="shared" si="1010"/>
        <v>Trimble</v>
      </c>
      <c r="M6100" s="105" t="str">
        <f t="shared" si="1011"/>
        <v>Other</v>
      </c>
      <c r="N6100" s="105" t="str">
        <f t="shared" si="1012"/>
        <v>Coal</v>
      </c>
      <c r="O6100" s="105">
        <f>IFERROR(VLOOKUP(A6100,Lookup!$J$5:$P$19,7,FALSE),0)</f>
        <v>3</v>
      </c>
      <c r="P6100" s="159">
        <f t="shared" si="1013"/>
        <v>2015</v>
      </c>
      <c r="Q6100" s="159">
        <f t="shared" si="1014"/>
        <v>6</v>
      </c>
      <c r="R6100" s="160">
        <f t="shared" si="1015"/>
        <v>8.0000000000582077</v>
      </c>
      <c r="S6100" s="158">
        <f t="shared" si="1016"/>
        <v>8.0000000000582077</v>
      </c>
      <c r="T6100" s="161">
        <f t="shared" si="1017"/>
        <v>5976.0000000434811</v>
      </c>
      <c r="U6100" s="158">
        <f t="shared" si="1019"/>
        <v>747</v>
      </c>
      <c r="V6100" s="160">
        <f t="shared" si="1018"/>
        <v>747</v>
      </c>
    </row>
    <row r="6101" spans="1:22" x14ac:dyDescent="0.25">
      <c r="A6101" s="98" t="s">
        <v>69</v>
      </c>
      <c r="B6101" s="98" t="s">
        <v>105</v>
      </c>
      <c r="C6101" s="98">
        <v>60</v>
      </c>
      <c r="D6101" s="98">
        <v>4308</v>
      </c>
      <c r="E6101" s="157">
        <v>42172.416666666664</v>
      </c>
      <c r="F6101" s="157">
        <v>42172.46875</v>
      </c>
      <c r="G6101" s="98">
        <v>694</v>
      </c>
      <c r="H6101" s="98">
        <v>795</v>
      </c>
      <c r="I6101" s="98">
        <v>747</v>
      </c>
      <c r="J6101" s="98" t="s">
        <v>2295</v>
      </c>
      <c r="K6101" s="98" t="s">
        <v>3862</v>
      </c>
      <c r="L6101" s="105" t="str">
        <f t="shared" si="1010"/>
        <v>Trimble</v>
      </c>
      <c r="M6101" s="105" t="str">
        <f t="shared" si="1011"/>
        <v>Derate</v>
      </c>
      <c r="N6101" s="105" t="str">
        <f t="shared" si="1012"/>
        <v>Coal</v>
      </c>
      <c r="O6101" s="105">
        <f>IFERROR(VLOOKUP(A6101,Lookup!$J$5:$P$19,7,FALSE),0)</f>
        <v>3</v>
      </c>
      <c r="P6101" s="159">
        <f t="shared" si="1013"/>
        <v>2015</v>
      </c>
      <c r="Q6101" s="159">
        <f t="shared" si="1014"/>
        <v>6</v>
      </c>
      <c r="R6101" s="160">
        <f t="shared" si="1015"/>
        <v>1.2500000000582077</v>
      </c>
      <c r="S6101" s="158">
        <f t="shared" si="1016"/>
        <v>0.15880503145393582</v>
      </c>
      <c r="T6101" s="161">
        <f t="shared" si="1017"/>
        <v>118.62735849609005</v>
      </c>
      <c r="U6101" s="158">
        <f t="shared" si="1019"/>
        <v>94.901886792452828</v>
      </c>
      <c r="V6101" s="160">
        <f t="shared" si="1018"/>
        <v>95</v>
      </c>
    </row>
    <row r="6102" spans="1:22" x14ac:dyDescent="0.25">
      <c r="A6102" s="98" t="s">
        <v>69</v>
      </c>
      <c r="B6102" s="98" t="s">
        <v>105</v>
      </c>
      <c r="C6102" s="98">
        <v>61</v>
      </c>
      <c r="D6102" s="98">
        <v>4308</v>
      </c>
      <c r="E6102" s="157">
        <v>42173.875</v>
      </c>
      <c r="F6102" s="157">
        <v>42173.927083333336</v>
      </c>
      <c r="G6102" s="98">
        <v>705</v>
      </c>
      <c r="H6102" s="98">
        <v>795</v>
      </c>
      <c r="I6102" s="98">
        <v>747</v>
      </c>
      <c r="J6102" s="98" t="s">
        <v>2295</v>
      </c>
      <c r="K6102" s="98" t="s">
        <v>3862</v>
      </c>
      <c r="L6102" s="105" t="str">
        <f t="shared" si="1010"/>
        <v>Trimble</v>
      </c>
      <c r="M6102" s="105" t="str">
        <f t="shared" si="1011"/>
        <v>Derate</v>
      </c>
      <c r="N6102" s="105" t="str">
        <f t="shared" si="1012"/>
        <v>Coal</v>
      </c>
      <c r="O6102" s="105">
        <f>IFERROR(VLOOKUP(A6102,Lookup!$J$5:$P$19,7,FALSE),0)</f>
        <v>3</v>
      </c>
      <c r="P6102" s="159">
        <f t="shared" si="1013"/>
        <v>2015</v>
      </c>
      <c r="Q6102" s="159">
        <f t="shared" si="1014"/>
        <v>6</v>
      </c>
      <c r="R6102" s="160">
        <f t="shared" si="1015"/>
        <v>1.2500000000582077</v>
      </c>
      <c r="S6102" s="158">
        <f t="shared" si="1016"/>
        <v>0.14150943396885371</v>
      </c>
      <c r="T6102" s="161">
        <f t="shared" si="1017"/>
        <v>105.70754717473372</v>
      </c>
      <c r="U6102" s="158">
        <f t="shared" si="1019"/>
        <v>84.566037735849051</v>
      </c>
      <c r="V6102" s="160">
        <f t="shared" si="1018"/>
        <v>85</v>
      </c>
    </row>
    <row r="6103" spans="1:22" x14ac:dyDescent="0.25">
      <c r="A6103" s="98" t="s">
        <v>69</v>
      </c>
      <c r="B6103" s="98" t="s">
        <v>105</v>
      </c>
      <c r="C6103" s="98">
        <v>62</v>
      </c>
      <c r="D6103" s="98">
        <v>4308</v>
      </c>
      <c r="E6103" s="157">
        <v>42173.958333333336</v>
      </c>
      <c r="F6103" s="157">
        <v>42174.010416666664</v>
      </c>
      <c r="G6103" s="98">
        <v>705</v>
      </c>
      <c r="H6103" s="98">
        <v>795</v>
      </c>
      <c r="I6103" s="98">
        <v>747</v>
      </c>
      <c r="J6103" s="98" t="s">
        <v>2295</v>
      </c>
      <c r="K6103" s="98" t="s">
        <v>3862</v>
      </c>
      <c r="L6103" s="105" t="str">
        <f t="shared" si="1010"/>
        <v>Trimble</v>
      </c>
      <c r="M6103" s="105" t="str">
        <f t="shared" si="1011"/>
        <v>Derate</v>
      </c>
      <c r="N6103" s="105" t="str">
        <f t="shared" si="1012"/>
        <v>Coal</v>
      </c>
      <c r="O6103" s="105">
        <f>IFERROR(VLOOKUP(A6103,Lookup!$J$5:$P$19,7,FALSE),0)</f>
        <v>3</v>
      </c>
      <c r="P6103" s="159">
        <f t="shared" si="1013"/>
        <v>2015</v>
      </c>
      <c r="Q6103" s="159">
        <f t="shared" si="1014"/>
        <v>6</v>
      </c>
      <c r="R6103" s="160">
        <f t="shared" si="1015"/>
        <v>1.2499999998835847</v>
      </c>
      <c r="S6103" s="158">
        <f t="shared" si="1016"/>
        <v>0.14150943394908505</v>
      </c>
      <c r="T6103" s="161">
        <f t="shared" si="1017"/>
        <v>105.70754715996654</v>
      </c>
      <c r="U6103" s="158">
        <f t="shared" si="1019"/>
        <v>84.566037735849051</v>
      </c>
      <c r="V6103" s="160">
        <f t="shared" si="1018"/>
        <v>85</v>
      </c>
    </row>
    <row r="6104" spans="1:22" x14ac:dyDescent="0.25">
      <c r="A6104" s="98" t="s">
        <v>69</v>
      </c>
      <c r="B6104" s="98" t="s">
        <v>105</v>
      </c>
      <c r="C6104" s="98">
        <v>63</v>
      </c>
      <c r="D6104" s="98">
        <v>4308</v>
      </c>
      <c r="E6104" s="157">
        <v>42174.041666666664</v>
      </c>
      <c r="F6104" s="157">
        <v>42174.09375</v>
      </c>
      <c r="G6104" s="98">
        <v>705</v>
      </c>
      <c r="H6104" s="98">
        <v>795</v>
      </c>
      <c r="I6104" s="98">
        <v>747</v>
      </c>
      <c r="J6104" s="98" t="s">
        <v>2295</v>
      </c>
      <c r="K6104" s="98" t="s">
        <v>3862</v>
      </c>
      <c r="L6104" s="105" t="str">
        <f t="shared" si="1010"/>
        <v>Trimble</v>
      </c>
      <c r="M6104" s="105" t="str">
        <f t="shared" si="1011"/>
        <v>Derate</v>
      </c>
      <c r="N6104" s="105" t="str">
        <f t="shared" si="1012"/>
        <v>Coal</v>
      </c>
      <c r="O6104" s="105">
        <f>IFERROR(VLOOKUP(A6104,Lookup!$J$5:$P$19,7,FALSE),0)</f>
        <v>3</v>
      </c>
      <c r="P6104" s="159">
        <f t="shared" si="1013"/>
        <v>2015</v>
      </c>
      <c r="Q6104" s="159">
        <f t="shared" si="1014"/>
        <v>6</v>
      </c>
      <c r="R6104" s="160">
        <f t="shared" si="1015"/>
        <v>1.2500000000582077</v>
      </c>
      <c r="S6104" s="158">
        <f t="shared" si="1016"/>
        <v>0.14150943396885371</v>
      </c>
      <c r="T6104" s="161">
        <f t="shared" si="1017"/>
        <v>105.70754717473372</v>
      </c>
      <c r="U6104" s="158">
        <f t="shared" si="1019"/>
        <v>84.566037735849051</v>
      </c>
      <c r="V6104" s="160">
        <f t="shared" si="1018"/>
        <v>85</v>
      </c>
    </row>
    <row r="6105" spans="1:22" x14ac:dyDescent="0.25">
      <c r="A6105" s="98" t="s">
        <v>69</v>
      </c>
      <c r="B6105" s="98" t="s">
        <v>105</v>
      </c>
      <c r="C6105" s="98">
        <v>64</v>
      </c>
      <c r="D6105" s="98">
        <v>4308</v>
      </c>
      <c r="E6105" s="157">
        <v>42174.875</v>
      </c>
      <c r="F6105" s="157">
        <v>42174.927083333336</v>
      </c>
      <c r="G6105" s="98">
        <v>694</v>
      </c>
      <c r="H6105" s="98">
        <v>795</v>
      </c>
      <c r="I6105" s="98">
        <v>747</v>
      </c>
      <c r="J6105" s="98" t="s">
        <v>2295</v>
      </c>
      <c r="K6105" s="98" t="s">
        <v>3862</v>
      </c>
      <c r="L6105" s="105" t="str">
        <f t="shared" si="1010"/>
        <v>Trimble</v>
      </c>
      <c r="M6105" s="105" t="str">
        <f t="shared" si="1011"/>
        <v>Derate</v>
      </c>
      <c r="N6105" s="105" t="str">
        <f t="shared" si="1012"/>
        <v>Coal</v>
      </c>
      <c r="O6105" s="105">
        <f>IFERROR(VLOOKUP(A6105,Lookup!$J$5:$P$19,7,FALSE),0)</f>
        <v>3</v>
      </c>
      <c r="P6105" s="159">
        <f t="shared" si="1013"/>
        <v>2015</v>
      </c>
      <c r="Q6105" s="159">
        <f t="shared" si="1014"/>
        <v>6</v>
      </c>
      <c r="R6105" s="160">
        <f t="shared" si="1015"/>
        <v>1.2500000000582077</v>
      </c>
      <c r="S6105" s="158">
        <f t="shared" si="1016"/>
        <v>0.15880503145393582</v>
      </c>
      <c r="T6105" s="161">
        <f t="shared" si="1017"/>
        <v>118.62735849609005</v>
      </c>
      <c r="U6105" s="158">
        <f t="shared" si="1019"/>
        <v>94.901886792452828</v>
      </c>
      <c r="V6105" s="160">
        <f t="shared" si="1018"/>
        <v>95</v>
      </c>
    </row>
    <row r="6106" spans="1:22" x14ac:dyDescent="0.25">
      <c r="A6106" s="98" t="s">
        <v>69</v>
      </c>
      <c r="B6106" s="98" t="s">
        <v>105</v>
      </c>
      <c r="C6106" s="98">
        <v>65</v>
      </c>
      <c r="D6106" s="98">
        <v>4308</v>
      </c>
      <c r="E6106" s="157">
        <v>42175</v>
      </c>
      <c r="F6106" s="157">
        <v>42175.052083333336</v>
      </c>
      <c r="G6106" s="98">
        <v>669</v>
      </c>
      <c r="H6106" s="98">
        <v>795</v>
      </c>
      <c r="I6106" s="98">
        <v>747</v>
      </c>
      <c r="J6106" s="98" t="s">
        <v>2295</v>
      </c>
      <c r="K6106" s="98" t="s">
        <v>3862</v>
      </c>
      <c r="L6106" s="105" t="str">
        <f t="shared" si="1010"/>
        <v>Trimble</v>
      </c>
      <c r="M6106" s="105" t="str">
        <f t="shared" si="1011"/>
        <v>Derate</v>
      </c>
      <c r="N6106" s="105" t="str">
        <f t="shared" si="1012"/>
        <v>Coal</v>
      </c>
      <c r="O6106" s="105">
        <f>IFERROR(VLOOKUP(A6106,Lookup!$J$5:$P$19,7,FALSE),0)</f>
        <v>3</v>
      </c>
      <c r="P6106" s="159">
        <f t="shared" si="1013"/>
        <v>2015</v>
      </c>
      <c r="Q6106" s="159">
        <f t="shared" si="1014"/>
        <v>6</v>
      </c>
      <c r="R6106" s="160">
        <f t="shared" si="1015"/>
        <v>1.2500000000582077</v>
      </c>
      <c r="S6106" s="158">
        <f t="shared" si="1016"/>
        <v>0.19811320755639517</v>
      </c>
      <c r="T6106" s="161">
        <f t="shared" si="1017"/>
        <v>147.9905660446272</v>
      </c>
      <c r="U6106" s="158">
        <f t="shared" si="1019"/>
        <v>118.39245283018867</v>
      </c>
      <c r="V6106" s="160">
        <f t="shared" si="1018"/>
        <v>118</v>
      </c>
    </row>
    <row r="6107" spans="1:22" x14ac:dyDescent="0.25">
      <c r="A6107" s="98" t="s">
        <v>69</v>
      </c>
      <c r="B6107" s="98" t="s">
        <v>105</v>
      </c>
      <c r="C6107" s="98">
        <v>66</v>
      </c>
      <c r="D6107" s="98">
        <v>4308</v>
      </c>
      <c r="E6107" s="157">
        <v>42175.083333333336</v>
      </c>
      <c r="F6107" s="157">
        <v>42175.135416666664</v>
      </c>
      <c r="G6107" s="98">
        <v>669</v>
      </c>
      <c r="H6107" s="98">
        <v>795</v>
      </c>
      <c r="I6107" s="98">
        <v>747</v>
      </c>
      <c r="J6107" s="98" t="s">
        <v>2295</v>
      </c>
      <c r="K6107" s="98" t="s">
        <v>3862</v>
      </c>
      <c r="L6107" s="105" t="str">
        <f t="shared" si="1010"/>
        <v>Trimble</v>
      </c>
      <c r="M6107" s="105" t="str">
        <f t="shared" si="1011"/>
        <v>Derate</v>
      </c>
      <c r="N6107" s="105" t="str">
        <f t="shared" si="1012"/>
        <v>Coal</v>
      </c>
      <c r="O6107" s="105">
        <f>IFERROR(VLOOKUP(A6107,Lookup!$J$5:$P$19,7,FALSE),0)</f>
        <v>3</v>
      </c>
      <c r="P6107" s="159">
        <f t="shared" si="1013"/>
        <v>2015</v>
      </c>
      <c r="Q6107" s="159">
        <f t="shared" si="1014"/>
        <v>6</v>
      </c>
      <c r="R6107" s="160">
        <f t="shared" si="1015"/>
        <v>1.2499999998835847</v>
      </c>
      <c r="S6107" s="158">
        <f t="shared" si="1016"/>
        <v>0.19811320752871908</v>
      </c>
      <c r="T6107" s="161">
        <f t="shared" si="1017"/>
        <v>147.99056602395316</v>
      </c>
      <c r="U6107" s="158">
        <f t="shared" si="1019"/>
        <v>118.39245283018867</v>
      </c>
      <c r="V6107" s="160">
        <f t="shared" si="1018"/>
        <v>118</v>
      </c>
    </row>
    <row r="6108" spans="1:22" x14ac:dyDescent="0.25">
      <c r="A6108" s="98" t="s">
        <v>69</v>
      </c>
      <c r="B6108" s="98" t="s">
        <v>79</v>
      </c>
      <c r="C6108" s="98">
        <v>67</v>
      </c>
      <c r="D6108" s="98">
        <v>1190</v>
      </c>
      <c r="E6108" s="157">
        <v>42176</v>
      </c>
      <c r="F6108" s="157">
        <v>42176.333333333336</v>
      </c>
      <c r="G6108" s="98">
        <v>0</v>
      </c>
      <c r="H6108" s="98">
        <v>795</v>
      </c>
      <c r="I6108" s="98">
        <v>747</v>
      </c>
      <c r="J6108" s="98" t="s">
        <v>2007</v>
      </c>
      <c r="K6108" s="98" t="s">
        <v>3863</v>
      </c>
      <c r="L6108" s="105" t="str">
        <f t="shared" si="1010"/>
        <v>Trimble</v>
      </c>
      <c r="M6108" s="105" t="str">
        <f t="shared" si="1011"/>
        <v>Other</v>
      </c>
      <c r="N6108" s="105" t="str">
        <f t="shared" si="1012"/>
        <v>Coal</v>
      </c>
      <c r="O6108" s="105">
        <f>IFERROR(VLOOKUP(A6108,Lookup!$J$5:$P$19,7,FALSE),0)</f>
        <v>3</v>
      </c>
      <c r="P6108" s="159">
        <f t="shared" si="1013"/>
        <v>2015</v>
      </c>
      <c r="Q6108" s="159">
        <f t="shared" si="1014"/>
        <v>6</v>
      </c>
      <c r="R6108" s="160">
        <f t="shared" si="1015"/>
        <v>8.0000000000582077</v>
      </c>
      <c r="S6108" s="158">
        <f t="shared" si="1016"/>
        <v>8.0000000000582077</v>
      </c>
      <c r="T6108" s="161">
        <f t="shared" si="1017"/>
        <v>5976.0000000434811</v>
      </c>
      <c r="U6108" s="158">
        <f t="shared" si="1019"/>
        <v>747</v>
      </c>
      <c r="V6108" s="160">
        <f t="shared" si="1018"/>
        <v>747</v>
      </c>
    </row>
    <row r="6109" spans="1:22" x14ac:dyDescent="0.25">
      <c r="A6109" s="98" t="s">
        <v>69</v>
      </c>
      <c r="B6109" s="98" t="s">
        <v>105</v>
      </c>
      <c r="C6109" s="98">
        <v>68</v>
      </c>
      <c r="D6109" s="98">
        <v>4308</v>
      </c>
      <c r="E6109" s="157">
        <v>42176.958333333336</v>
      </c>
      <c r="F6109" s="157">
        <v>42177.354166666664</v>
      </c>
      <c r="G6109" s="98">
        <v>647</v>
      </c>
      <c r="H6109" s="98">
        <v>795</v>
      </c>
      <c r="I6109" s="98">
        <v>747</v>
      </c>
      <c r="J6109" s="98" t="s">
        <v>2295</v>
      </c>
      <c r="K6109" s="98" t="s">
        <v>3862</v>
      </c>
      <c r="L6109" s="105" t="str">
        <f t="shared" si="1010"/>
        <v>Trimble</v>
      </c>
      <c r="M6109" s="105" t="str">
        <f t="shared" si="1011"/>
        <v>Derate</v>
      </c>
      <c r="N6109" s="105" t="str">
        <f t="shared" si="1012"/>
        <v>Coal</v>
      </c>
      <c r="O6109" s="105">
        <f>IFERROR(VLOOKUP(A6109,Lookup!$J$5:$P$19,7,FALSE),0)</f>
        <v>3</v>
      </c>
      <c r="P6109" s="159">
        <f t="shared" si="1013"/>
        <v>2015</v>
      </c>
      <c r="Q6109" s="159">
        <f t="shared" si="1014"/>
        <v>6</v>
      </c>
      <c r="R6109" s="160">
        <f t="shared" si="1015"/>
        <v>9.4999999998835847</v>
      </c>
      <c r="S6109" s="158">
        <f t="shared" si="1016"/>
        <v>1.7685534590978245</v>
      </c>
      <c r="T6109" s="161">
        <f t="shared" si="1017"/>
        <v>1321.1094339460749</v>
      </c>
      <c r="U6109" s="158">
        <f t="shared" si="1019"/>
        <v>139.06415094339621</v>
      </c>
      <c r="V6109" s="160">
        <f t="shared" si="1018"/>
        <v>139</v>
      </c>
    </row>
    <row r="6110" spans="1:22" x14ac:dyDescent="0.25">
      <c r="A6110" s="98" t="s">
        <v>69</v>
      </c>
      <c r="B6110" s="98" t="s">
        <v>17</v>
      </c>
      <c r="C6110" s="98">
        <v>69</v>
      </c>
      <c r="D6110" s="98">
        <v>350</v>
      </c>
      <c r="E6110" s="157">
        <v>42177.354166666664</v>
      </c>
      <c r="F6110" s="157">
        <v>42177.421527777777</v>
      </c>
      <c r="G6110" s="98">
        <v>674</v>
      </c>
      <c r="H6110" s="98">
        <v>795</v>
      </c>
      <c r="I6110" s="98">
        <v>747</v>
      </c>
      <c r="J6110" s="98" t="s">
        <v>1976</v>
      </c>
      <c r="K6110" s="98" t="s">
        <v>3864</v>
      </c>
      <c r="L6110" s="105" t="str">
        <f t="shared" si="1010"/>
        <v>Trimble</v>
      </c>
      <c r="M6110" s="105" t="str">
        <f t="shared" si="1011"/>
        <v>Derate</v>
      </c>
      <c r="N6110" s="105" t="str">
        <f t="shared" si="1012"/>
        <v>Coal</v>
      </c>
      <c r="O6110" s="105">
        <f>IFERROR(VLOOKUP(A6110,Lookup!$J$5:$P$19,7,FALSE),0)</f>
        <v>3</v>
      </c>
      <c r="P6110" s="159">
        <f t="shared" si="1013"/>
        <v>2015</v>
      </c>
      <c r="Q6110" s="159">
        <f t="shared" si="1014"/>
        <v>6</v>
      </c>
      <c r="R6110" s="160">
        <f t="shared" si="1015"/>
        <v>1.6166666666977108</v>
      </c>
      <c r="S6110" s="158">
        <f t="shared" si="1016"/>
        <v>0.24605870021436854</v>
      </c>
      <c r="T6110" s="161">
        <f t="shared" si="1017"/>
        <v>183.80584906013331</v>
      </c>
      <c r="U6110" s="158">
        <f t="shared" si="1019"/>
        <v>113.69433962264151</v>
      </c>
      <c r="V6110" s="160">
        <f t="shared" si="1018"/>
        <v>114</v>
      </c>
    </row>
    <row r="6111" spans="1:22" x14ac:dyDescent="0.25">
      <c r="A6111" s="98" t="s">
        <v>69</v>
      </c>
      <c r="B6111" s="98" t="s">
        <v>105</v>
      </c>
      <c r="C6111" s="98">
        <v>70</v>
      </c>
      <c r="D6111" s="98">
        <v>1990</v>
      </c>
      <c r="E6111" s="157">
        <v>42177.916666666664</v>
      </c>
      <c r="F6111" s="157">
        <v>42178.208333333336</v>
      </c>
      <c r="G6111" s="98">
        <v>593</v>
      </c>
      <c r="H6111" s="98">
        <v>795</v>
      </c>
      <c r="I6111" s="98">
        <v>747</v>
      </c>
      <c r="J6111" s="98" t="s">
        <v>2114</v>
      </c>
      <c r="K6111" s="98" t="s">
        <v>3865</v>
      </c>
      <c r="L6111" s="105" t="str">
        <f t="shared" si="1010"/>
        <v>Trimble</v>
      </c>
      <c r="M6111" s="105" t="str">
        <f t="shared" si="1011"/>
        <v>Derate</v>
      </c>
      <c r="N6111" s="105" t="str">
        <f t="shared" si="1012"/>
        <v>Coal</v>
      </c>
      <c r="O6111" s="105">
        <f>IFERROR(VLOOKUP(A6111,Lookup!$J$5:$P$19,7,FALSE),0)</f>
        <v>3</v>
      </c>
      <c r="P6111" s="159">
        <f t="shared" si="1013"/>
        <v>2015</v>
      </c>
      <c r="Q6111" s="159">
        <f t="shared" si="1014"/>
        <v>6</v>
      </c>
      <c r="R6111" s="160">
        <f t="shared" si="1015"/>
        <v>7.0000000001164153</v>
      </c>
      <c r="S6111" s="158">
        <f t="shared" si="1016"/>
        <v>1.7786163522308376</v>
      </c>
      <c r="T6111" s="161">
        <f t="shared" si="1017"/>
        <v>1328.6264151164357</v>
      </c>
      <c r="U6111" s="158">
        <f t="shared" si="1019"/>
        <v>189.80377358490566</v>
      </c>
      <c r="V6111" s="160">
        <f t="shared" si="1018"/>
        <v>190</v>
      </c>
    </row>
    <row r="6112" spans="1:22" x14ac:dyDescent="0.25">
      <c r="A6112" s="98" t="s">
        <v>69</v>
      </c>
      <c r="B6112" s="98" t="s">
        <v>17</v>
      </c>
      <c r="C6112" s="98">
        <v>71</v>
      </c>
      <c r="D6112" s="98">
        <v>9616</v>
      </c>
      <c r="E6112" s="157">
        <v>42181.656944444447</v>
      </c>
      <c r="F6112" s="157">
        <v>42181.708333333336</v>
      </c>
      <c r="G6112" s="98">
        <v>724</v>
      </c>
      <c r="H6112" s="98">
        <v>795</v>
      </c>
      <c r="I6112" s="98">
        <v>747</v>
      </c>
      <c r="J6112" s="98" t="s">
        <v>3088</v>
      </c>
      <c r="K6112" s="98" t="s">
        <v>3866</v>
      </c>
      <c r="L6112" s="105" t="str">
        <f t="shared" si="1010"/>
        <v>Trimble</v>
      </c>
      <c r="M6112" s="105" t="str">
        <f t="shared" si="1011"/>
        <v>Derate</v>
      </c>
      <c r="N6112" s="105" t="str">
        <f t="shared" si="1012"/>
        <v>Coal</v>
      </c>
      <c r="O6112" s="105">
        <f>IFERROR(VLOOKUP(A6112,Lookup!$J$5:$P$19,7,FALSE),0)</f>
        <v>3</v>
      </c>
      <c r="P6112" s="159">
        <f t="shared" si="1013"/>
        <v>2015</v>
      </c>
      <c r="Q6112" s="159">
        <f t="shared" si="1014"/>
        <v>6</v>
      </c>
      <c r="R6112" s="160">
        <f t="shared" si="1015"/>
        <v>1.2333333333372138</v>
      </c>
      <c r="S6112" s="158">
        <f t="shared" si="1016"/>
        <v>0.11014675052445558</v>
      </c>
      <c r="T6112" s="161">
        <f t="shared" si="1017"/>
        <v>82.279622641768313</v>
      </c>
      <c r="U6112" s="158">
        <f t="shared" si="1019"/>
        <v>66.713207547169816</v>
      </c>
      <c r="V6112" s="160">
        <f t="shared" si="1018"/>
        <v>67</v>
      </c>
    </row>
    <row r="6113" spans="1:22" x14ac:dyDescent="0.25">
      <c r="A6113" s="98" t="s">
        <v>69</v>
      </c>
      <c r="B6113" s="98" t="s">
        <v>79</v>
      </c>
      <c r="C6113" s="98">
        <v>72</v>
      </c>
      <c r="D6113" s="98">
        <v>1190</v>
      </c>
      <c r="E6113" s="157">
        <v>42183</v>
      </c>
      <c r="F6113" s="157">
        <v>42183.333333333336</v>
      </c>
      <c r="G6113" s="98">
        <v>0</v>
      </c>
      <c r="H6113" s="98">
        <v>795</v>
      </c>
      <c r="I6113" s="98">
        <v>747</v>
      </c>
      <c r="J6113" s="98" t="s">
        <v>2007</v>
      </c>
      <c r="K6113" s="98" t="s">
        <v>3152</v>
      </c>
      <c r="L6113" s="105" t="str">
        <f t="shared" si="1010"/>
        <v>Trimble</v>
      </c>
      <c r="M6113" s="105" t="str">
        <f t="shared" si="1011"/>
        <v>Other</v>
      </c>
      <c r="N6113" s="105" t="str">
        <f t="shared" si="1012"/>
        <v>Coal</v>
      </c>
      <c r="O6113" s="105">
        <f>IFERROR(VLOOKUP(A6113,Lookup!$J$5:$P$19,7,FALSE),0)</f>
        <v>3</v>
      </c>
      <c r="P6113" s="159">
        <f t="shared" si="1013"/>
        <v>2015</v>
      </c>
      <c r="Q6113" s="159">
        <f t="shared" si="1014"/>
        <v>6</v>
      </c>
      <c r="R6113" s="160">
        <f t="shared" si="1015"/>
        <v>8.0000000000582077</v>
      </c>
      <c r="S6113" s="158">
        <f t="shared" si="1016"/>
        <v>8.0000000000582077</v>
      </c>
      <c r="T6113" s="161">
        <f t="shared" si="1017"/>
        <v>5976.0000000434811</v>
      </c>
      <c r="U6113" s="158">
        <f t="shared" si="1019"/>
        <v>747</v>
      </c>
      <c r="V6113" s="160">
        <f t="shared" si="1018"/>
        <v>747</v>
      </c>
    </row>
    <row r="6114" spans="1:22" x14ac:dyDescent="0.25">
      <c r="A6114" s="98" t="s">
        <v>69</v>
      </c>
      <c r="B6114" s="98" t="s">
        <v>79</v>
      </c>
      <c r="C6114" s="98">
        <v>73</v>
      </c>
      <c r="D6114" s="98">
        <v>1190</v>
      </c>
      <c r="E6114" s="157">
        <v>42190</v>
      </c>
      <c r="F6114" s="157">
        <v>42190.291666666664</v>
      </c>
      <c r="G6114" s="98">
        <v>0</v>
      </c>
      <c r="H6114" s="98">
        <v>795</v>
      </c>
      <c r="I6114" s="98">
        <v>747</v>
      </c>
      <c r="J6114" s="98" t="s">
        <v>2007</v>
      </c>
      <c r="K6114" s="98" t="s">
        <v>3867</v>
      </c>
      <c r="L6114" s="105" t="str">
        <f t="shared" si="1010"/>
        <v>Trimble</v>
      </c>
      <c r="M6114" s="105" t="str">
        <f t="shared" si="1011"/>
        <v>Other</v>
      </c>
      <c r="N6114" s="105" t="str">
        <f t="shared" si="1012"/>
        <v>Coal</v>
      </c>
      <c r="O6114" s="105">
        <f>IFERROR(VLOOKUP(A6114,Lookup!$J$5:$P$19,7,FALSE),0)</f>
        <v>3</v>
      </c>
      <c r="P6114" s="159">
        <f t="shared" si="1013"/>
        <v>2015</v>
      </c>
      <c r="Q6114" s="159">
        <f t="shared" si="1014"/>
        <v>7</v>
      </c>
      <c r="R6114" s="160">
        <f t="shared" si="1015"/>
        <v>6.9999999999417923</v>
      </c>
      <c r="S6114" s="158">
        <f t="shared" si="1016"/>
        <v>6.9999999999417923</v>
      </c>
      <c r="T6114" s="161">
        <f t="shared" si="1017"/>
        <v>5228.9999999565189</v>
      </c>
      <c r="U6114" s="158">
        <f t="shared" si="1019"/>
        <v>747</v>
      </c>
      <c r="V6114" s="160">
        <f t="shared" si="1018"/>
        <v>747</v>
      </c>
    </row>
    <row r="6115" spans="1:22" x14ac:dyDescent="0.25">
      <c r="A6115" s="98" t="s">
        <v>69</v>
      </c>
      <c r="B6115" s="98" t="s">
        <v>79</v>
      </c>
      <c r="C6115" s="98">
        <v>74</v>
      </c>
      <c r="D6115" s="98">
        <v>1190</v>
      </c>
      <c r="E6115" s="157">
        <v>42197.000694444447</v>
      </c>
      <c r="F6115" s="157">
        <v>42197.291666666664</v>
      </c>
      <c r="G6115" s="98">
        <v>0</v>
      </c>
      <c r="H6115" s="98">
        <v>795</v>
      </c>
      <c r="I6115" s="98">
        <v>747</v>
      </c>
      <c r="J6115" s="98" t="s">
        <v>2007</v>
      </c>
      <c r="K6115" s="98" t="s">
        <v>3868</v>
      </c>
      <c r="L6115" s="105" t="str">
        <f t="shared" si="1010"/>
        <v>Trimble</v>
      </c>
      <c r="M6115" s="105" t="str">
        <f t="shared" si="1011"/>
        <v>Other</v>
      </c>
      <c r="N6115" s="105" t="str">
        <f t="shared" si="1012"/>
        <v>Coal</v>
      </c>
      <c r="O6115" s="105">
        <f>IFERROR(VLOOKUP(A6115,Lookup!$J$5:$P$19,7,FALSE),0)</f>
        <v>3</v>
      </c>
      <c r="P6115" s="159">
        <f t="shared" si="1013"/>
        <v>2015</v>
      </c>
      <c r="Q6115" s="159">
        <f t="shared" si="1014"/>
        <v>7</v>
      </c>
      <c r="R6115" s="160">
        <f t="shared" si="1015"/>
        <v>6.9833333332207985</v>
      </c>
      <c r="S6115" s="158">
        <f t="shared" si="1016"/>
        <v>6.9833333332207985</v>
      </c>
      <c r="T6115" s="161">
        <f t="shared" si="1017"/>
        <v>5216.5499999159365</v>
      </c>
      <c r="U6115" s="158">
        <f t="shared" si="1019"/>
        <v>747</v>
      </c>
      <c r="V6115" s="160">
        <f t="shared" si="1018"/>
        <v>747</v>
      </c>
    </row>
    <row r="6116" spans="1:22" x14ac:dyDescent="0.25">
      <c r="A6116" s="98" t="s">
        <v>69</v>
      </c>
      <c r="B6116" s="98" t="s">
        <v>79</v>
      </c>
      <c r="C6116" s="98">
        <v>75</v>
      </c>
      <c r="D6116" s="98">
        <v>1190</v>
      </c>
      <c r="E6116" s="157">
        <v>42204</v>
      </c>
      <c r="F6116" s="157">
        <v>42204.333333333336</v>
      </c>
      <c r="G6116" s="98">
        <v>0</v>
      </c>
      <c r="H6116" s="98">
        <v>795</v>
      </c>
      <c r="I6116" s="98">
        <v>747</v>
      </c>
      <c r="J6116" s="98" t="s">
        <v>2007</v>
      </c>
      <c r="K6116" s="98" t="s">
        <v>3869</v>
      </c>
      <c r="L6116" s="105" t="str">
        <f t="shared" si="1010"/>
        <v>Trimble</v>
      </c>
      <c r="M6116" s="105" t="str">
        <f t="shared" si="1011"/>
        <v>Other</v>
      </c>
      <c r="N6116" s="105" t="str">
        <f t="shared" si="1012"/>
        <v>Coal</v>
      </c>
      <c r="O6116" s="105">
        <f>IFERROR(VLOOKUP(A6116,Lookup!$J$5:$P$19,7,FALSE),0)</f>
        <v>3</v>
      </c>
      <c r="P6116" s="159">
        <f t="shared" si="1013"/>
        <v>2015</v>
      </c>
      <c r="Q6116" s="159">
        <f t="shared" si="1014"/>
        <v>7</v>
      </c>
      <c r="R6116" s="160">
        <f t="shared" si="1015"/>
        <v>8.0000000000582077</v>
      </c>
      <c r="S6116" s="158">
        <f t="shared" si="1016"/>
        <v>8.0000000000582077</v>
      </c>
      <c r="T6116" s="161">
        <f t="shared" si="1017"/>
        <v>5976.0000000434811</v>
      </c>
      <c r="U6116" s="158">
        <f t="shared" si="1019"/>
        <v>747</v>
      </c>
      <c r="V6116" s="160">
        <f t="shared" si="1018"/>
        <v>747</v>
      </c>
    </row>
    <row r="6117" spans="1:22" x14ac:dyDescent="0.25">
      <c r="A6117" s="98" t="s">
        <v>69</v>
      </c>
      <c r="B6117" s="98" t="s">
        <v>20</v>
      </c>
      <c r="C6117" s="98">
        <v>76</v>
      </c>
      <c r="D6117" s="98">
        <v>561</v>
      </c>
      <c r="E6117" s="157">
        <v>42210.099305555559</v>
      </c>
      <c r="F6117" s="157">
        <v>42211.288194444445</v>
      </c>
      <c r="G6117" s="98">
        <v>0</v>
      </c>
      <c r="H6117" s="98">
        <v>795</v>
      </c>
      <c r="I6117" s="98">
        <v>747</v>
      </c>
      <c r="J6117" s="98" t="s">
        <v>3312</v>
      </c>
      <c r="K6117" s="98" t="s">
        <v>3870</v>
      </c>
      <c r="L6117" s="105" t="str">
        <f t="shared" si="1010"/>
        <v>Trimble</v>
      </c>
      <c r="M6117" s="105" t="str">
        <f t="shared" si="1011"/>
        <v>Maintenance</v>
      </c>
      <c r="N6117" s="105" t="str">
        <f t="shared" si="1012"/>
        <v>Coal</v>
      </c>
      <c r="O6117" s="105">
        <f>IFERROR(VLOOKUP(A6117,Lookup!$J$5:$P$19,7,FALSE),0)</f>
        <v>3</v>
      </c>
      <c r="P6117" s="159">
        <f t="shared" si="1013"/>
        <v>2015</v>
      </c>
      <c r="Q6117" s="159">
        <f t="shared" si="1014"/>
        <v>7</v>
      </c>
      <c r="R6117" s="160">
        <f t="shared" si="1015"/>
        <v>28.533333333267365</v>
      </c>
      <c r="S6117" s="158">
        <f t="shared" si="1016"/>
        <v>28.533333333267365</v>
      </c>
      <c r="T6117" s="161">
        <f t="shared" si="1017"/>
        <v>21314.399999950721</v>
      </c>
      <c r="U6117" s="158">
        <f t="shared" si="1019"/>
        <v>747</v>
      </c>
      <c r="V6117" s="160">
        <f t="shared" si="1018"/>
        <v>747</v>
      </c>
    </row>
    <row r="6118" spans="1:22" x14ac:dyDescent="0.25">
      <c r="A6118" s="98" t="s">
        <v>69</v>
      </c>
      <c r="B6118" s="98" t="s">
        <v>15</v>
      </c>
      <c r="C6118" s="98">
        <v>77</v>
      </c>
      <c r="D6118" s="98">
        <v>3441</v>
      </c>
      <c r="E6118" s="157">
        <v>42211.371527777781</v>
      </c>
      <c r="F6118" s="157">
        <v>42213.609027777777</v>
      </c>
      <c r="G6118" s="98">
        <v>0</v>
      </c>
      <c r="H6118" s="98">
        <v>795</v>
      </c>
      <c r="I6118" s="98">
        <v>747</v>
      </c>
      <c r="J6118" s="98" t="s">
        <v>2282</v>
      </c>
      <c r="K6118" s="98" t="s">
        <v>3871</v>
      </c>
      <c r="L6118" s="105" t="str">
        <f t="shared" si="1010"/>
        <v>Trimble</v>
      </c>
      <c r="M6118" s="105" t="str">
        <f t="shared" si="1011"/>
        <v>Outage</v>
      </c>
      <c r="N6118" s="105" t="str">
        <f t="shared" si="1012"/>
        <v>Coal</v>
      </c>
      <c r="O6118" s="105">
        <f>IFERROR(VLOOKUP(A6118,Lookup!$J$5:$P$19,7,FALSE),0)</f>
        <v>3</v>
      </c>
      <c r="P6118" s="159">
        <f t="shared" si="1013"/>
        <v>2015</v>
      </c>
      <c r="Q6118" s="159">
        <f t="shared" si="1014"/>
        <v>7</v>
      </c>
      <c r="R6118" s="160">
        <f t="shared" si="1015"/>
        <v>53.699999999895226</v>
      </c>
      <c r="S6118" s="158">
        <f t="shared" si="1016"/>
        <v>53.699999999895226</v>
      </c>
      <c r="T6118" s="161">
        <f t="shared" si="1017"/>
        <v>40113.899999921734</v>
      </c>
      <c r="U6118" s="158">
        <f t="shared" si="1019"/>
        <v>747</v>
      </c>
      <c r="V6118" s="160">
        <f t="shared" si="1018"/>
        <v>747</v>
      </c>
    </row>
    <row r="6119" spans="1:22" x14ac:dyDescent="0.25">
      <c r="A6119" s="98" t="s">
        <v>69</v>
      </c>
      <c r="B6119" s="98" t="s">
        <v>17</v>
      </c>
      <c r="C6119" s="98">
        <v>78</v>
      </c>
      <c r="D6119" s="98">
        <v>3410</v>
      </c>
      <c r="E6119" s="157">
        <v>42213.833333333336</v>
      </c>
      <c r="F6119" s="157">
        <v>42213.854166666664</v>
      </c>
      <c r="G6119" s="98">
        <v>340</v>
      </c>
      <c r="H6119" s="98">
        <v>795</v>
      </c>
      <c r="I6119" s="98">
        <v>747</v>
      </c>
      <c r="J6119" s="98" t="s">
        <v>1983</v>
      </c>
      <c r="K6119" s="98" t="s">
        <v>3872</v>
      </c>
      <c r="L6119" s="105" t="str">
        <f t="shared" si="1010"/>
        <v>Trimble</v>
      </c>
      <c r="M6119" s="105" t="str">
        <f t="shared" si="1011"/>
        <v>Derate</v>
      </c>
      <c r="N6119" s="105" t="str">
        <f t="shared" si="1012"/>
        <v>Coal</v>
      </c>
      <c r="O6119" s="105">
        <f>IFERROR(VLOOKUP(A6119,Lookup!$J$5:$P$19,7,FALSE),0)</f>
        <v>3</v>
      </c>
      <c r="P6119" s="159">
        <f t="shared" si="1013"/>
        <v>2015</v>
      </c>
      <c r="Q6119" s="159">
        <f t="shared" si="1014"/>
        <v>7</v>
      </c>
      <c r="R6119" s="160">
        <f t="shared" si="1015"/>
        <v>0.49999999988358468</v>
      </c>
      <c r="S6119" s="158">
        <f t="shared" si="1016"/>
        <v>0.28616352194595096</v>
      </c>
      <c r="T6119" s="161">
        <f t="shared" si="1017"/>
        <v>213.76415089362536</v>
      </c>
      <c r="U6119" s="158">
        <f t="shared" si="1019"/>
        <v>427.52830188679246</v>
      </c>
      <c r="V6119" s="160">
        <f t="shared" si="1018"/>
        <v>428</v>
      </c>
    </row>
    <row r="6120" spans="1:22" x14ac:dyDescent="0.25">
      <c r="A6120" s="98" t="s">
        <v>69</v>
      </c>
      <c r="B6120" s="98" t="s">
        <v>17</v>
      </c>
      <c r="C6120" s="98">
        <v>79</v>
      </c>
      <c r="D6120" s="98">
        <v>3410</v>
      </c>
      <c r="E6120" s="157">
        <v>42213.854166666664</v>
      </c>
      <c r="F6120" s="157">
        <v>42214.104166666664</v>
      </c>
      <c r="G6120" s="98">
        <v>340</v>
      </c>
      <c r="H6120" s="98">
        <v>795</v>
      </c>
      <c r="I6120" s="98">
        <v>747</v>
      </c>
      <c r="J6120" s="98" t="s">
        <v>1983</v>
      </c>
      <c r="K6120" s="98" t="s">
        <v>3873</v>
      </c>
      <c r="L6120" s="105" t="str">
        <f t="shared" si="1010"/>
        <v>Trimble</v>
      </c>
      <c r="M6120" s="105" t="str">
        <f t="shared" si="1011"/>
        <v>Derate</v>
      </c>
      <c r="N6120" s="105" t="str">
        <f t="shared" si="1012"/>
        <v>Coal</v>
      </c>
      <c r="O6120" s="105">
        <f>IFERROR(VLOOKUP(A6120,Lookup!$J$5:$P$19,7,FALSE),0)</f>
        <v>3</v>
      </c>
      <c r="P6120" s="159">
        <f t="shared" si="1013"/>
        <v>2015</v>
      </c>
      <c r="Q6120" s="159">
        <f t="shared" si="1014"/>
        <v>7</v>
      </c>
      <c r="R6120" s="160">
        <f t="shared" si="1015"/>
        <v>6</v>
      </c>
      <c r="S6120" s="158">
        <f t="shared" si="1016"/>
        <v>3.4339622641509435</v>
      </c>
      <c r="T6120" s="161">
        <f t="shared" si="1017"/>
        <v>2565.1698113207549</v>
      </c>
      <c r="U6120" s="158">
        <f t="shared" si="1019"/>
        <v>427.52830188679246</v>
      </c>
      <c r="V6120" s="160">
        <f t="shared" si="1018"/>
        <v>428</v>
      </c>
    </row>
    <row r="6121" spans="1:22" x14ac:dyDescent="0.25">
      <c r="A6121" s="98" t="s">
        <v>69</v>
      </c>
      <c r="B6121" s="98" t="s">
        <v>17</v>
      </c>
      <c r="C6121" s="98">
        <v>80</v>
      </c>
      <c r="D6121" s="98">
        <v>3410</v>
      </c>
      <c r="E6121" s="157">
        <v>42214.104166666664</v>
      </c>
      <c r="F6121" s="157">
        <v>42214.197916666664</v>
      </c>
      <c r="G6121" s="98">
        <v>626</v>
      </c>
      <c r="H6121" s="98">
        <v>795</v>
      </c>
      <c r="I6121" s="98">
        <v>747</v>
      </c>
      <c r="J6121" s="98" t="s">
        <v>1983</v>
      </c>
      <c r="K6121" s="98" t="s">
        <v>3874</v>
      </c>
      <c r="L6121" s="105" t="str">
        <f t="shared" si="1010"/>
        <v>Trimble</v>
      </c>
      <c r="M6121" s="105" t="str">
        <f t="shared" si="1011"/>
        <v>Derate</v>
      </c>
      <c r="N6121" s="105" t="str">
        <f t="shared" si="1012"/>
        <v>Coal</v>
      </c>
      <c r="O6121" s="105">
        <f>IFERROR(VLOOKUP(A6121,Lookup!$J$5:$P$19,7,FALSE),0)</f>
        <v>3</v>
      </c>
      <c r="P6121" s="159">
        <f t="shared" si="1013"/>
        <v>2015</v>
      </c>
      <c r="Q6121" s="159">
        <f t="shared" si="1014"/>
        <v>7</v>
      </c>
      <c r="R6121" s="160">
        <f t="shared" si="1015"/>
        <v>2.25</v>
      </c>
      <c r="S6121" s="158">
        <f t="shared" si="1016"/>
        <v>0.47830188679245284</v>
      </c>
      <c r="T6121" s="161">
        <f t="shared" si="1017"/>
        <v>357.29150943396229</v>
      </c>
      <c r="U6121" s="158">
        <f t="shared" si="1019"/>
        <v>158.79622641509434</v>
      </c>
      <c r="V6121" s="160">
        <f t="shared" si="1018"/>
        <v>159</v>
      </c>
    </row>
    <row r="6122" spans="1:22" x14ac:dyDescent="0.25">
      <c r="A6122" s="98" t="s">
        <v>69</v>
      </c>
      <c r="B6122" s="98" t="s">
        <v>17</v>
      </c>
      <c r="C6122" s="98">
        <v>81</v>
      </c>
      <c r="D6122" s="98">
        <v>3440</v>
      </c>
      <c r="E6122" s="157">
        <v>42214.197916666664</v>
      </c>
      <c r="F6122" s="157">
        <v>42214.239583333336</v>
      </c>
      <c r="G6122" s="98">
        <v>756</v>
      </c>
      <c r="H6122" s="98">
        <v>795</v>
      </c>
      <c r="I6122" s="98">
        <v>747</v>
      </c>
      <c r="J6122" s="98" t="s">
        <v>2100</v>
      </c>
      <c r="K6122" s="98" t="s">
        <v>3875</v>
      </c>
      <c r="L6122" s="105" t="str">
        <f t="shared" si="1010"/>
        <v>Trimble</v>
      </c>
      <c r="M6122" s="105" t="str">
        <f t="shared" si="1011"/>
        <v>Derate</v>
      </c>
      <c r="N6122" s="105" t="str">
        <f t="shared" si="1012"/>
        <v>Coal</v>
      </c>
      <c r="O6122" s="105">
        <f>IFERROR(VLOOKUP(A6122,Lookup!$J$5:$P$19,7,FALSE),0)</f>
        <v>3</v>
      </c>
      <c r="P6122" s="159">
        <f t="shared" si="1013"/>
        <v>2015</v>
      </c>
      <c r="Q6122" s="159">
        <f t="shared" si="1014"/>
        <v>7</v>
      </c>
      <c r="R6122" s="160">
        <f t="shared" si="1015"/>
        <v>1.0000000001164153</v>
      </c>
      <c r="S6122" s="158">
        <f t="shared" si="1016"/>
        <v>4.9056603779295847E-2</v>
      </c>
      <c r="T6122" s="161">
        <f t="shared" si="1017"/>
        <v>36.645283023133999</v>
      </c>
      <c r="U6122" s="158">
        <f t="shared" si="1019"/>
        <v>36.645283018867921</v>
      </c>
      <c r="V6122" s="160">
        <f t="shared" si="1018"/>
        <v>37</v>
      </c>
    </row>
    <row r="6123" spans="1:22" x14ac:dyDescent="0.25">
      <c r="A6123" s="98" t="s">
        <v>69</v>
      </c>
      <c r="B6123" s="98" t="s">
        <v>17</v>
      </c>
      <c r="C6123" s="98">
        <v>82</v>
      </c>
      <c r="D6123" s="98">
        <v>3440</v>
      </c>
      <c r="E6123" s="157">
        <v>42214.239583333336</v>
      </c>
      <c r="F6123" s="157">
        <v>42214.256944444445</v>
      </c>
      <c r="G6123" s="98">
        <v>731</v>
      </c>
      <c r="H6123" s="98">
        <v>795</v>
      </c>
      <c r="I6123" s="98">
        <v>747</v>
      </c>
      <c r="J6123" s="98" t="s">
        <v>2100</v>
      </c>
      <c r="K6123" s="98" t="s">
        <v>3876</v>
      </c>
      <c r="L6123" s="105" t="str">
        <f t="shared" si="1010"/>
        <v>Trimble</v>
      </c>
      <c r="M6123" s="105" t="str">
        <f t="shared" si="1011"/>
        <v>Derate</v>
      </c>
      <c r="N6123" s="105" t="str">
        <f t="shared" si="1012"/>
        <v>Coal</v>
      </c>
      <c r="O6123" s="105">
        <f>IFERROR(VLOOKUP(A6123,Lookup!$J$5:$P$19,7,FALSE),0)</f>
        <v>3</v>
      </c>
      <c r="P6123" s="159">
        <f t="shared" si="1013"/>
        <v>2015</v>
      </c>
      <c r="Q6123" s="159">
        <f t="shared" si="1014"/>
        <v>7</v>
      </c>
      <c r="R6123" s="160">
        <f t="shared" si="1015"/>
        <v>0.41666666662786156</v>
      </c>
      <c r="S6123" s="158">
        <f t="shared" si="1016"/>
        <v>3.3542976936079424E-2</v>
      </c>
      <c r="T6123" s="161">
        <f t="shared" si="1017"/>
        <v>25.056603771251329</v>
      </c>
      <c r="U6123" s="158">
        <f t="shared" si="1019"/>
        <v>60.135849056603774</v>
      </c>
      <c r="V6123" s="160">
        <f t="shared" si="1018"/>
        <v>60</v>
      </c>
    </row>
    <row r="6124" spans="1:22" x14ac:dyDescent="0.25">
      <c r="A6124" s="98" t="s">
        <v>69</v>
      </c>
      <c r="B6124" s="98" t="s">
        <v>17</v>
      </c>
      <c r="C6124" s="98">
        <v>83</v>
      </c>
      <c r="D6124" s="98">
        <v>3440</v>
      </c>
      <c r="E6124" s="157">
        <v>42214.256944444445</v>
      </c>
      <c r="F6124" s="157">
        <v>42219</v>
      </c>
      <c r="G6124" s="98">
        <v>715</v>
      </c>
      <c r="H6124" s="98">
        <v>795</v>
      </c>
      <c r="I6124" s="98">
        <v>747</v>
      </c>
      <c r="J6124" s="98" t="s">
        <v>2100</v>
      </c>
      <c r="K6124" s="98" t="s">
        <v>3876</v>
      </c>
      <c r="L6124" s="105" t="str">
        <f t="shared" si="1010"/>
        <v>Trimble</v>
      </c>
      <c r="M6124" s="105" t="str">
        <f t="shared" si="1011"/>
        <v>Derate</v>
      </c>
      <c r="N6124" s="105" t="str">
        <f t="shared" si="1012"/>
        <v>Coal</v>
      </c>
      <c r="O6124" s="105">
        <f>IFERROR(VLOOKUP(A6124,Lookup!$J$5:$P$19,7,FALSE),0)</f>
        <v>3</v>
      </c>
      <c r="P6124" s="159">
        <f t="shared" si="1013"/>
        <v>2015</v>
      </c>
      <c r="Q6124" s="159">
        <f t="shared" si="1014"/>
        <v>7</v>
      </c>
      <c r="R6124" s="160">
        <f t="shared" si="1015"/>
        <v>113.83333333331393</v>
      </c>
      <c r="S6124" s="158">
        <f t="shared" si="1016"/>
        <v>11.454926624735993</v>
      </c>
      <c r="T6124" s="161">
        <f t="shared" si="1017"/>
        <v>8556.8301886777863</v>
      </c>
      <c r="U6124" s="158">
        <f t="shared" si="1019"/>
        <v>75.169811320754718</v>
      </c>
      <c r="V6124" s="160">
        <f t="shared" si="1018"/>
        <v>75</v>
      </c>
    </row>
    <row r="6125" spans="1:22" x14ac:dyDescent="0.25">
      <c r="A6125" s="98" t="s">
        <v>69</v>
      </c>
      <c r="B6125" s="98" t="s">
        <v>17</v>
      </c>
      <c r="C6125" s="98">
        <v>84</v>
      </c>
      <c r="D6125" s="98">
        <v>3441</v>
      </c>
      <c r="E6125" s="157">
        <v>42219</v>
      </c>
      <c r="F6125" s="157">
        <v>42219.75</v>
      </c>
      <c r="G6125" s="98">
        <v>715</v>
      </c>
      <c r="H6125" s="98">
        <v>795</v>
      </c>
      <c r="I6125" s="98">
        <v>747</v>
      </c>
      <c r="J6125" s="98" t="s">
        <v>2282</v>
      </c>
      <c r="K6125" s="98" t="s">
        <v>3877</v>
      </c>
      <c r="L6125" s="105" t="str">
        <f t="shared" si="1010"/>
        <v>Trimble</v>
      </c>
      <c r="M6125" s="105" t="str">
        <f t="shared" si="1011"/>
        <v>Derate</v>
      </c>
      <c r="N6125" s="105" t="str">
        <f t="shared" si="1012"/>
        <v>Coal</v>
      </c>
      <c r="O6125" s="105">
        <f>IFERROR(VLOOKUP(A6125,Lookup!$J$5:$P$19,7,FALSE),0)</f>
        <v>3</v>
      </c>
      <c r="P6125" s="159">
        <f t="shared" si="1013"/>
        <v>2015</v>
      </c>
      <c r="Q6125" s="159">
        <f t="shared" si="1014"/>
        <v>8</v>
      </c>
      <c r="R6125" s="160">
        <f t="shared" si="1015"/>
        <v>18</v>
      </c>
      <c r="S6125" s="158">
        <f t="shared" si="1016"/>
        <v>1.8113207547169812</v>
      </c>
      <c r="T6125" s="161">
        <f t="shared" si="1017"/>
        <v>1353.056603773585</v>
      </c>
      <c r="U6125" s="158">
        <f t="shared" si="1019"/>
        <v>75.169811320754718</v>
      </c>
      <c r="V6125" s="160">
        <f t="shared" si="1018"/>
        <v>75</v>
      </c>
    </row>
    <row r="6126" spans="1:22" x14ac:dyDescent="0.25">
      <c r="A6126" s="98" t="s">
        <v>69</v>
      </c>
      <c r="B6126" s="98" t="s">
        <v>79</v>
      </c>
      <c r="C6126" s="98">
        <v>85</v>
      </c>
      <c r="D6126" s="98">
        <v>1190</v>
      </c>
      <c r="E6126" s="157">
        <v>42225.875</v>
      </c>
      <c r="F6126" s="157">
        <v>42226.215277777781</v>
      </c>
      <c r="G6126" s="98">
        <v>0</v>
      </c>
      <c r="H6126" s="98">
        <v>795</v>
      </c>
      <c r="I6126" s="98">
        <v>747</v>
      </c>
      <c r="J6126" s="98" t="s">
        <v>2007</v>
      </c>
      <c r="K6126" s="98" t="s">
        <v>3878</v>
      </c>
      <c r="L6126" s="105" t="str">
        <f t="shared" si="1010"/>
        <v>Trimble</v>
      </c>
      <c r="M6126" s="105" t="str">
        <f t="shared" si="1011"/>
        <v>Other</v>
      </c>
      <c r="N6126" s="105" t="str">
        <f t="shared" si="1012"/>
        <v>Coal</v>
      </c>
      <c r="O6126" s="105">
        <f>IFERROR(VLOOKUP(A6126,Lookup!$J$5:$P$19,7,FALSE),0)</f>
        <v>3</v>
      </c>
      <c r="P6126" s="159">
        <f t="shared" si="1013"/>
        <v>2015</v>
      </c>
      <c r="Q6126" s="159">
        <f t="shared" si="1014"/>
        <v>8</v>
      </c>
      <c r="R6126" s="160">
        <f t="shared" si="1015"/>
        <v>8.1666666667442769</v>
      </c>
      <c r="S6126" s="158">
        <f t="shared" si="1016"/>
        <v>8.1666666667442769</v>
      </c>
      <c r="T6126" s="161">
        <f t="shared" si="1017"/>
        <v>6100.5000000579748</v>
      </c>
      <c r="U6126" s="158">
        <f t="shared" si="1019"/>
        <v>747</v>
      </c>
      <c r="V6126" s="160">
        <f t="shared" si="1018"/>
        <v>747</v>
      </c>
    </row>
    <row r="6127" spans="1:22" x14ac:dyDescent="0.25">
      <c r="A6127" s="98" t="s">
        <v>69</v>
      </c>
      <c r="B6127" s="98" t="s">
        <v>17</v>
      </c>
      <c r="C6127" s="98">
        <v>86</v>
      </c>
      <c r="D6127" s="98">
        <v>331</v>
      </c>
      <c r="E6127" s="157">
        <v>42226.215277777781</v>
      </c>
      <c r="F6127" s="157">
        <v>42226.4375</v>
      </c>
      <c r="G6127" s="98">
        <v>585</v>
      </c>
      <c r="H6127" s="98">
        <v>795</v>
      </c>
      <c r="I6127" s="98">
        <v>747</v>
      </c>
      <c r="J6127" s="98" t="s">
        <v>2101</v>
      </c>
      <c r="K6127" s="98" t="s">
        <v>3879</v>
      </c>
      <c r="L6127" s="105" t="str">
        <f t="shared" si="1010"/>
        <v>Trimble</v>
      </c>
      <c r="M6127" s="105" t="str">
        <f t="shared" si="1011"/>
        <v>Derate</v>
      </c>
      <c r="N6127" s="105" t="str">
        <f t="shared" si="1012"/>
        <v>Coal</v>
      </c>
      <c r="O6127" s="105">
        <f>IFERROR(VLOOKUP(A6127,Lookup!$J$5:$P$19,7,FALSE),0)</f>
        <v>3</v>
      </c>
      <c r="P6127" s="159">
        <f t="shared" si="1013"/>
        <v>2015</v>
      </c>
      <c r="Q6127" s="159">
        <f t="shared" si="1014"/>
        <v>8</v>
      </c>
      <c r="R6127" s="160">
        <f t="shared" si="1015"/>
        <v>5.3333333332557231</v>
      </c>
      <c r="S6127" s="158">
        <f t="shared" si="1016"/>
        <v>1.4088050314260401</v>
      </c>
      <c r="T6127" s="161">
        <f t="shared" si="1017"/>
        <v>1052.3773584752519</v>
      </c>
      <c r="U6127" s="158">
        <f t="shared" si="1019"/>
        <v>197.32075471698113</v>
      </c>
      <c r="V6127" s="160">
        <f t="shared" si="1018"/>
        <v>197</v>
      </c>
    </row>
    <row r="6128" spans="1:22" x14ac:dyDescent="0.25">
      <c r="A6128" s="98" t="s">
        <v>69</v>
      </c>
      <c r="B6128" s="98" t="s">
        <v>17</v>
      </c>
      <c r="C6128" s="98">
        <v>87</v>
      </c>
      <c r="D6128" s="98">
        <v>3441</v>
      </c>
      <c r="E6128" s="157">
        <v>42226.4375</v>
      </c>
      <c r="F6128" s="157">
        <v>42226.6875</v>
      </c>
      <c r="G6128" s="98">
        <v>739</v>
      </c>
      <c r="H6128" s="98">
        <v>795</v>
      </c>
      <c r="I6128" s="98">
        <v>747</v>
      </c>
      <c r="J6128" s="98" t="s">
        <v>2282</v>
      </c>
      <c r="K6128" s="98" t="s">
        <v>3880</v>
      </c>
      <c r="L6128" s="105" t="str">
        <f t="shared" si="1010"/>
        <v>Trimble</v>
      </c>
      <c r="M6128" s="105" t="str">
        <f t="shared" si="1011"/>
        <v>Derate</v>
      </c>
      <c r="N6128" s="105" t="str">
        <f t="shared" si="1012"/>
        <v>Coal</v>
      </c>
      <c r="O6128" s="105">
        <f>IFERROR(VLOOKUP(A6128,Lookup!$J$5:$P$19,7,FALSE),0)</f>
        <v>3</v>
      </c>
      <c r="P6128" s="159">
        <f t="shared" si="1013"/>
        <v>2015</v>
      </c>
      <c r="Q6128" s="159">
        <f t="shared" si="1014"/>
        <v>8</v>
      </c>
      <c r="R6128" s="160">
        <f t="shared" si="1015"/>
        <v>6</v>
      </c>
      <c r="S6128" s="158">
        <f t="shared" si="1016"/>
        <v>0.42264150943396228</v>
      </c>
      <c r="T6128" s="161">
        <f t="shared" si="1017"/>
        <v>315.71320754716982</v>
      </c>
      <c r="U6128" s="158">
        <f t="shared" si="1019"/>
        <v>52.618867924528303</v>
      </c>
      <c r="V6128" s="160">
        <f t="shared" si="1018"/>
        <v>53</v>
      </c>
    </row>
    <row r="6129" spans="1:22" x14ac:dyDescent="0.25">
      <c r="A6129" s="98" t="s">
        <v>69</v>
      </c>
      <c r="B6129" s="98" t="s">
        <v>17</v>
      </c>
      <c r="C6129" s="98">
        <v>88</v>
      </c>
      <c r="D6129" s="98">
        <v>3441</v>
      </c>
      <c r="E6129" s="157">
        <v>42226.6875</v>
      </c>
      <c r="F6129" s="157">
        <v>42228.166666666664</v>
      </c>
      <c r="G6129" s="98">
        <v>764</v>
      </c>
      <c r="H6129" s="98">
        <v>795</v>
      </c>
      <c r="I6129" s="98">
        <v>747</v>
      </c>
      <c r="J6129" s="98" t="s">
        <v>2282</v>
      </c>
      <c r="K6129" s="98" t="s">
        <v>3881</v>
      </c>
      <c r="L6129" s="105" t="str">
        <f t="shared" si="1010"/>
        <v>Trimble</v>
      </c>
      <c r="M6129" s="105" t="str">
        <f t="shared" si="1011"/>
        <v>Derate</v>
      </c>
      <c r="N6129" s="105" t="str">
        <f t="shared" si="1012"/>
        <v>Coal</v>
      </c>
      <c r="O6129" s="105">
        <f>IFERROR(VLOOKUP(A6129,Lookup!$J$5:$P$19,7,FALSE),0)</f>
        <v>3</v>
      </c>
      <c r="P6129" s="159">
        <f t="shared" si="1013"/>
        <v>2015</v>
      </c>
      <c r="Q6129" s="159">
        <f t="shared" si="1014"/>
        <v>8</v>
      </c>
      <c r="R6129" s="160">
        <f t="shared" si="1015"/>
        <v>35.499999999941792</v>
      </c>
      <c r="S6129" s="158">
        <f t="shared" si="1016"/>
        <v>1.3842767295574787</v>
      </c>
      <c r="T6129" s="161">
        <f t="shared" si="1017"/>
        <v>1034.0547169794365</v>
      </c>
      <c r="U6129" s="158">
        <f t="shared" si="1019"/>
        <v>29.128301886792453</v>
      </c>
      <c r="V6129" s="160">
        <f t="shared" si="1018"/>
        <v>29</v>
      </c>
    </row>
    <row r="6130" spans="1:22" x14ac:dyDescent="0.25">
      <c r="A6130" s="98" t="s">
        <v>69</v>
      </c>
      <c r="B6130" s="98" t="s">
        <v>32</v>
      </c>
      <c r="C6130" s="98">
        <v>89</v>
      </c>
      <c r="D6130" s="98">
        <v>3441</v>
      </c>
      <c r="E6130" s="157">
        <v>42230.895833333336</v>
      </c>
      <c r="F6130" s="157">
        <v>42231.333333333336</v>
      </c>
      <c r="G6130" s="98">
        <v>449</v>
      </c>
      <c r="H6130" s="98">
        <v>795</v>
      </c>
      <c r="I6130" s="98">
        <v>747</v>
      </c>
      <c r="J6130" s="98" t="s">
        <v>2282</v>
      </c>
      <c r="K6130" s="98" t="s">
        <v>3882</v>
      </c>
      <c r="L6130" s="105" t="str">
        <f t="shared" si="1010"/>
        <v>Trimble</v>
      </c>
      <c r="M6130" s="105" t="str">
        <f t="shared" si="1011"/>
        <v>Derate</v>
      </c>
      <c r="N6130" s="105" t="str">
        <f t="shared" si="1012"/>
        <v>Coal</v>
      </c>
      <c r="O6130" s="105">
        <f>IFERROR(VLOOKUP(A6130,Lookup!$J$5:$P$19,7,FALSE),0)</f>
        <v>3</v>
      </c>
      <c r="P6130" s="159">
        <f t="shared" si="1013"/>
        <v>2015</v>
      </c>
      <c r="Q6130" s="159">
        <f t="shared" si="1014"/>
        <v>8</v>
      </c>
      <c r="R6130" s="160">
        <f t="shared" si="1015"/>
        <v>10.5</v>
      </c>
      <c r="S6130" s="158">
        <f t="shared" si="1016"/>
        <v>4.5698113207547166</v>
      </c>
      <c r="T6130" s="161">
        <f t="shared" si="1017"/>
        <v>3413.6490566037733</v>
      </c>
      <c r="U6130" s="158">
        <f t="shared" si="1019"/>
        <v>325.10943396226418</v>
      </c>
      <c r="V6130" s="160">
        <f t="shared" si="1018"/>
        <v>325</v>
      </c>
    </row>
    <row r="6131" spans="1:22" x14ac:dyDescent="0.25">
      <c r="A6131" s="98" t="s">
        <v>69</v>
      </c>
      <c r="B6131" s="98" t="s">
        <v>32</v>
      </c>
      <c r="C6131" s="98">
        <v>90</v>
      </c>
      <c r="D6131" s="98">
        <v>3441</v>
      </c>
      <c r="E6131" s="157">
        <v>42231.333333333336</v>
      </c>
      <c r="F6131" s="162">
        <v>42233.125</v>
      </c>
      <c r="G6131" s="98">
        <v>764</v>
      </c>
      <c r="H6131" s="98">
        <v>795</v>
      </c>
      <c r="I6131" s="98">
        <v>747</v>
      </c>
      <c r="J6131" s="98" t="s">
        <v>2282</v>
      </c>
      <c r="K6131" s="98" t="s">
        <v>3883</v>
      </c>
      <c r="L6131" s="105" t="str">
        <f t="shared" si="1010"/>
        <v>Trimble</v>
      </c>
      <c r="M6131" s="105" t="str">
        <f t="shared" si="1011"/>
        <v>Derate</v>
      </c>
      <c r="N6131" s="105" t="str">
        <f t="shared" si="1012"/>
        <v>Coal</v>
      </c>
      <c r="O6131" s="105">
        <f>IFERROR(VLOOKUP(A6131,Lookup!$J$5:$P$19,7,FALSE),0)</f>
        <v>3</v>
      </c>
      <c r="P6131" s="159">
        <f t="shared" si="1013"/>
        <v>2015</v>
      </c>
      <c r="Q6131" s="159">
        <f t="shared" si="1014"/>
        <v>8</v>
      </c>
      <c r="R6131" s="160">
        <f t="shared" si="1015"/>
        <v>42.999999999941792</v>
      </c>
      <c r="S6131" s="158">
        <f t="shared" si="1016"/>
        <v>1.676729559746158</v>
      </c>
      <c r="T6131" s="161">
        <f t="shared" si="1017"/>
        <v>1252.5169811303799</v>
      </c>
      <c r="U6131" s="158">
        <f t="shared" si="1019"/>
        <v>29.128301886792453</v>
      </c>
      <c r="V6131" s="160">
        <f t="shared" si="1018"/>
        <v>29</v>
      </c>
    </row>
    <row r="6132" spans="1:22" x14ac:dyDescent="0.25">
      <c r="A6132" s="98" t="s">
        <v>69</v>
      </c>
      <c r="B6132" s="98" t="s">
        <v>17</v>
      </c>
      <c r="C6132" s="98">
        <v>91</v>
      </c>
      <c r="D6132" s="98">
        <v>340</v>
      </c>
      <c r="E6132" s="157">
        <v>42237.875</v>
      </c>
      <c r="F6132" s="157">
        <v>42237.993055555555</v>
      </c>
      <c r="G6132" s="98">
        <v>700</v>
      </c>
      <c r="H6132" s="98">
        <v>795</v>
      </c>
      <c r="I6132" s="98">
        <v>747</v>
      </c>
      <c r="J6132" s="98" t="s">
        <v>1970</v>
      </c>
      <c r="K6132" s="98" t="s">
        <v>3884</v>
      </c>
      <c r="L6132" s="105" t="str">
        <f t="shared" si="1010"/>
        <v>Trimble</v>
      </c>
      <c r="M6132" s="105" t="str">
        <f t="shared" si="1011"/>
        <v>Derate</v>
      </c>
      <c r="N6132" s="105" t="str">
        <f t="shared" si="1012"/>
        <v>Coal</v>
      </c>
      <c r="O6132" s="105">
        <f>IFERROR(VLOOKUP(A6132,Lookup!$J$5:$P$19,7,FALSE),0)</f>
        <v>3</v>
      </c>
      <c r="P6132" s="159">
        <f t="shared" si="1013"/>
        <v>2015</v>
      </c>
      <c r="Q6132" s="159">
        <f t="shared" si="1014"/>
        <v>8</v>
      </c>
      <c r="R6132" s="160">
        <f t="shared" si="1015"/>
        <v>2.8333333333139308</v>
      </c>
      <c r="S6132" s="158">
        <f t="shared" si="1016"/>
        <v>0.33857442347776534</v>
      </c>
      <c r="T6132" s="161">
        <f t="shared" si="1017"/>
        <v>252.91509433789071</v>
      </c>
      <c r="U6132" s="158">
        <f t="shared" si="1019"/>
        <v>89.264150943396231</v>
      </c>
      <c r="V6132" s="160">
        <f t="shared" si="1018"/>
        <v>89</v>
      </c>
    </row>
    <row r="6133" spans="1:22" x14ac:dyDescent="0.25">
      <c r="A6133" s="98" t="s">
        <v>69</v>
      </c>
      <c r="B6133" s="98" t="s">
        <v>79</v>
      </c>
      <c r="C6133" s="98">
        <v>92</v>
      </c>
      <c r="D6133" s="98">
        <v>1190</v>
      </c>
      <c r="E6133" s="162">
        <v>42239</v>
      </c>
      <c r="F6133" s="157">
        <v>42239.25</v>
      </c>
      <c r="G6133" s="98">
        <v>0</v>
      </c>
      <c r="H6133" s="98">
        <v>795</v>
      </c>
      <c r="I6133" s="98">
        <v>747</v>
      </c>
      <c r="J6133" s="98" t="s">
        <v>2007</v>
      </c>
      <c r="K6133" s="98" t="s">
        <v>3885</v>
      </c>
      <c r="L6133" s="105" t="str">
        <f t="shared" si="1010"/>
        <v>Trimble</v>
      </c>
      <c r="M6133" s="105" t="str">
        <f t="shared" si="1011"/>
        <v>Other</v>
      </c>
      <c r="N6133" s="105" t="str">
        <f t="shared" si="1012"/>
        <v>Coal</v>
      </c>
      <c r="O6133" s="105">
        <f>IFERROR(VLOOKUP(A6133,Lookup!$J$5:$P$19,7,FALSE),0)</f>
        <v>3</v>
      </c>
      <c r="P6133" s="159">
        <f t="shared" si="1013"/>
        <v>2015</v>
      </c>
      <c r="Q6133" s="159">
        <f t="shared" si="1014"/>
        <v>8</v>
      </c>
      <c r="R6133" s="160">
        <f t="shared" si="1015"/>
        <v>6</v>
      </c>
      <c r="S6133" s="158">
        <f t="shared" si="1016"/>
        <v>6</v>
      </c>
      <c r="T6133" s="161">
        <f t="shared" si="1017"/>
        <v>4482</v>
      </c>
      <c r="U6133" s="158">
        <f t="shared" si="1019"/>
        <v>747</v>
      </c>
      <c r="V6133" s="160">
        <f t="shared" si="1018"/>
        <v>747</v>
      </c>
    </row>
    <row r="6134" spans="1:22" x14ac:dyDescent="0.25">
      <c r="A6134" s="98" t="s">
        <v>69</v>
      </c>
      <c r="B6134" s="98" t="s">
        <v>17</v>
      </c>
      <c r="C6134" s="98">
        <v>93</v>
      </c>
      <c r="D6134" s="98">
        <v>310</v>
      </c>
      <c r="E6134" s="157">
        <v>42243.357638888891</v>
      </c>
      <c r="F6134" s="157">
        <v>42243.53125</v>
      </c>
      <c r="G6134" s="98">
        <v>669</v>
      </c>
      <c r="H6134" s="98">
        <v>795</v>
      </c>
      <c r="I6134" s="98">
        <v>747</v>
      </c>
      <c r="J6134" s="98" t="s">
        <v>1966</v>
      </c>
      <c r="K6134" s="98" t="s">
        <v>3886</v>
      </c>
      <c r="L6134" s="105" t="str">
        <f t="shared" si="1010"/>
        <v>Trimble</v>
      </c>
      <c r="M6134" s="105" t="str">
        <f t="shared" si="1011"/>
        <v>Derate</v>
      </c>
      <c r="N6134" s="105" t="str">
        <f t="shared" si="1012"/>
        <v>Coal</v>
      </c>
      <c r="O6134" s="105">
        <f>IFERROR(VLOOKUP(A6134,Lookup!$J$5:$P$19,7,FALSE),0)</f>
        <v>3</v>
      </c>
      <c r="P6134" s="159">
        <f t="shared" si="1013"/>
        <v>2015</v>
      </c>
      <c r="Q6134" s="159">
        <f t="shared" si="1014"/>
        <v>8</v>
      </c>
      <c r="R6134" s="160">
        <f t="shared" si="1015"/>
        <v>4.1666666666278616</v>
      </c>
      <c r="S6134" s="158">
        <f t="shared" si="1016"/>
        <v>0.66037735848441581</v>
      </c>
      <c r="T6134" s="161">
        <f t="shared" si="1017"/>
        <v>493.30188678785862</v>
      </c>
      <c r="U6134" s="158">
        <f t="shared" si="1019"/>
        <v>118.39245283018867</v>
      </c>
      <c r="V6134" s="160">
        <f t="shared" si="1018"/>
        <v>118</v>
      </c>
    </row>
    <row r="6135" spans="1:22" x14ac:dyDescent="0.25">
      <c r="A6135" s="98" t="s">
        <v>69</v>
      </c>
      <c r="B6135" s="98" t="s">
        <v>79</v>
      </c>
      <c r="C6135" s="98">
        <v>94</v>
      </c>
      <c r="D6135" s="98">
        <v>1190</v>
      </c>
      <c r="E6135" s="157">
        <v>42245.916666666664</v>
      </c>
      <c r="F6135" s="157">
        <v>42246.3125</v>
      </c>
      <c r="G6135" s="98">
        <v>0</v>
      </c>
      <c r="H6135" s="98">
        <v>795</v>
      </c>
      <c r="I6135" s="98">
        <v>747</v>
      </c>
      <c r="J6135" s="98" t="s">
        <v>2007</v>
      </c>
      <c r="K6135" s="98" t="s">
        <v>3887</v>
      </c>
      <c r="L6135" s="105" t="str">
        <f t="shared" si="1010"/>
        <v>Trimble</v>
      </c>
      <c r="M6135" s="105" t="str">
        <f t="shared" si="1011"/>
        <v>Other</v>
      </c>
      <c r="N6135" s="105" t="str">
        <f t="shared" si="1012"/>
        <v>Coal</v>
      </c>
      <c r="O6135" s="105">
        <f>IFERROR(VLOOKUP(A6135,Lookup!$J$5:$P$19,7,FALSE),0)</f>
        <v>3</v>
      </c>
      <c r="P6135" s="159">
        <f t="shared" si="1013"/>
        <v>2015</v>
      </c>
      <c r="Q6135" s="159">
        <f t="shared" si="1014"/>
        <v>8</v>
      </c>
      <c r="R6135" s="160">
        <f t="shared" si="1015"/>
        <v>9.5000000000582077</v>
      </c>
      <c r="S6135" s="158">
        <f t="shared" si="1016"/>
        <v>9.5000000000582077</v>
      </c>
      <c r="T6135" s="161">
        <f t="shared" si="1017"/>
        <v>7096.5000000434811</v>
      </c>
      <c r="U6135" s="158">
        <f t="shared" si="1019"/>
        <v>747</v>
      </c>
      <c r="V6135" s="160">
        <f t="shared" si="1018"/>
        <v>747</v>
      </c>
    </row>
    <row r="6136" spans="1:22" x14ac:dyDescent="0.25">
      <c r="A6136" s="98" t="s">
        <v>69</v>
      </c>
      <c r="B6136" s="98" t="s">
        <v>17</v>
      </c>
      <c r="C6136" s="98">
        <v>95</v>
      </c>
      <c r="D6136" s="98">
        <v>310</v>
      </c>
      <c r="E6136" s="157">
        <v>42246.826388888891</v>
      </c>
      <c r="F6136" s="157">
        <v>42246.864583333336</v>
      </c>
      <c r="G6136" s="98">
        <v>659</v>
      </c>
      <c r="H6136" s="98">
        <v>795</v>
      </c>
      <c r="I6136" s="98">
        <v>747</v>
      </c>
      <c r="J6136" s="98" t="s">
        <v>1966</v>
      </c>
      <c r="K6136" s="98" t="s">
        <v>3888</v>
      </c>
      <c r="L6136" s="105" t="str">
        <f t="shared" si="1010"/>
        <v>Trimble</v>
      </c>
      <c r="M6136" s="105" t="str">
        <f t="shared" si="1011"/>
        <v>Derate</v>
      </c>
      <c r="N6136" s="105" t="str">
        <f t="shared" si="1012"/>
        <v>Coal</v>
      </c>
      <c r="O6136" s="105">
        <f>IFERROR(VLOOKUP(A6136,Lookup!$J$5:$P$19,7,FALSE),0)</f>
        <v>3</v>
      </c>
      <c r="P6136" s="159">
        <f t="shared" si="1013"/>
        <v>2015</v>
      </c>
      <c r="Q6136" s="159">
        <f t="shared" si="1014"/>
        <v>8</v>
      </c>
      <c r="R6136" s="160">
        <f t="shared" si="1015"/>
        <v>0.91666666668606922</v>
      </c>
      <c r="S6136" s="158">
        <f t="shared" si="1016"/>
        <v>0.15681341719409486</v>
      </c>
      <c r="T6136" s="161">
        <f t="shared" si="1017"/>
        <v>117.13962264398886</v>
      </c>
      <c r="U6136" s="158">
        <f t="shared" si="1019"/>
        <v>127.78867924528302</v>
      </c>
      <c r="V6136" s="160">
        <f t="shared" si="1018"/>
        <v>128</v>
      </c>
    </row>
    <row r="6137" spans="1:22" x14ac:dyDescent="0.25">
      <c r="A6137" s="98" t="s">
        <v>69</v>
      </c>
      <c r="B6137" s="98" t="s">
        <v>17</v>
      </c>
      <c r="C6137" s="98">
        <v>96</v>
      </c>
      <c r="D6137" s="98">
        <v>3431</v>
      </c>
      <c r="E6137" s="157">
        <v>42248</v>
      </c>
      <c r="F6137" s="157">
        <v>42248.208333333336</v>
      </c>
      <c r="G6137" s="98">
        <v>449</v>
      </c>
      <c r="H6137" s="98">
        <v>795</v>
      </c>
      <c r="I6137" s="98">
        <v>747</v>
      </c>
      <c r="J6137" s="98" t="s">
        <v>2123</v>
      </c>
      <c r="K6137" s="98" t="s">
        <v>3889</v>
      </c>
      <c r="L6137" s="105" t="str">
        <f t="shared" si="1010"/>
        <v>Trimble</v>
      </c>
      <c r="M6137" s="105" t="str">
        <f t="shared" si="1011"/>
        <v>Derate</v>
      </c>
      <c r="N6137" s="105" t="str">
        <f t="shared" si="1012"/>
        <v>Coal</v>
      </c>
      <c r="O6137" s="105">
        <f>IFERROR(VLOOKUP(A6137,Lookup!$J$5:$P$19,7,FALSE),0)</f>
        <v>3</v>
      </c>
      <c r="P6137" s="159">
        <f t="shared" si="1013"/>
        <v>2015</v>
      </c>
      <c r="Q6137" s="159">
        <f t="shared" si="1014"/>
        <v>9</v>
      </c>
      <c r="R6137" s="160">
        <f t="shared" si="1015"/>
        <v>5.0000000000582077</v>
      </c>
      <c r="S6137" s="158">
        <f t="shared" si="1016"/>
        <v>2.1761006289561506</v>
      </c>
      <c r="T6137" s="161">
        <f t="shared" si="1017"/>
        <v>1625.5471698302445</v>
      </c>
      <c r="U6137" s="158">
        <f t="shared" si="1019"/>
        <v>325.10943396226418</v>
      </c>
      <c r="V6137" s="160">
        <f t="shared" si="1018"/>
        <v>325</v>
      </c>
    </row>
    <row r="6138" spans="1:22" x14ac:dyDescent="0.25">
      <c r="A6138" s="98" t="s">
        <v>69</v>
      </c>
      <c r="B6138" s="98" t="s">
        <v>17</v>
      </c>
      <c r="C6138" s="98">
        <v>97</v>
      </c>
      <c r="D6138" s="98">
        <v>335</v>
      </c>
      <c r="E6138" s="157">
        <v>42252.070833333331</v>
      </c>
      <c r="F6138" s="157">
        <v>42252.122916666667</v>
      </c>
      <c r="G6138" s="98">
        <v>650</v>
      </c>
      <c r="H6138" s="98">
        <v>795</v>
      </c>
      <c r="I6138" s="98">
        <v>747</v>
      </c>
      <c r="J6138" s="98" t="s">
        <v>2131</v>
      </c>
      <c r="K6138" s="98" t="s">
        <v>3890</v>
      </c>
      <c r="L6138" s="105" t="str">
        <f t="shared" si="1010"/>
        <v>Trimble</v>
      </c>
      <c r="M6138" s="105" t="str">
        <f t="shared" si="1011"/>
        <v>Derate</v>
      </c>
      <c r="N6138" s="105" t="str">
        <f t="shared" si="1012"/>
        <v>Coal</v>
      </c>
      <c r="O6138" s="105">
        <f>IFERROR(VLOOKUP(A6138,Lookup!$J$5:$P$19,7,FALSE),0)</f>
        <v>3</v>
      </c>
      <c r="P6138" s="159">
        <f t="shared" si="1013"/>
        <v>2015</v>
      </c>
      <c r="Q6138" s="159">
        <f t="shared" si="1014"/>
        <v>9</v>
      </c>
      <c r="R6138" s="160">
        <f t="shared" si="1015"/>
        <v>1.2500000000582077</v>
      </c>
      <c r="S6138" s="158">
        <f t="shared" si="1016"/>
        <v>0.22798742139426428</v>
      </c>
      <c r="T6138" s="161">
        <f t="shared" si="1017"/>
        <v>170.30660378151541</v>
      </c>
      <c r="U6138" s="158">
        <f t="shared" si="1019"/>
        <v>136.24528301886792</v>
      </c>
      <c r="V6138" s="160">
        <f t="shared" si="1018"/>
        <v>136</v>
      </c>
    </row>
    <row r="6139" spans="1:22" x14ac:dyDescent="0.25">
      <c r="A6139" s="98" t="s">
        <v>69</v>
      </c>
      <c r="B6139" s="98" t="s">
        <v>79</v>
      </c>
      <c r="C6139" s="98">
        <v>98</v>
      </c>
      <c r="D6139" s="98">
        <v>1190</v>
      </c>
      <c r="E6139" s="157">
        <v>42253</v>
      </c>
      <c r="F6139" s="157">
        <v>42253.3125</v>
      </c>
      <c r="G6139" s="98">
        <v>0</v>
      </c>
      <c r="H6139" s="98">
        <v>795</v>
      </c>
      <c r="I6139" s="98">
        <v>747</v>
      </c>
      <c r="J6139" s="98" t="s">
        <v>2007</v>
      </c>
      <c r="K6139" s="98" t="s">
        <v>3891</v>
      </c>
      <c r="L6139" s="105" t="str">
        <f t="shared" si="1010"/>
        <v>Trimble</v>
      </c>
      <c r="M6139" s="105" t="str">
        <f t="shared" si="1011"/>
        <v>Other</v>
      </c>
      <c r="N6139" s="105" t="str">
        <f t="shared" si="1012"/>
        <v>Coal</v>
      </c>
      <c r="O6139" s="105">
        <f>IFERROR(VLOOKUP(A6139,Lookup!$J$5:$P$19,7,FALSE),0)</f>
        <v>3</v>
      </c>
      <c r="P6139" s="159">
        <f t="shared" si="1013"/>
        <v>2015</v>
      </c>
      <c r="Q6139" s="159">
        <f t="shared" si="1014"/>
        <v>9</v>
      </c>
      <c r="R6139" s="160">
        <f t="shared" si="1015"/>
        <v>7.5</v>
      </c>
      <c r="S6139" s="158">
        <f t="shared" si="1016"/>
        <v>7.5</v>
      </c>
      <c r="T6139" s="161">
        <f t="shared" si="1017"/>
        <v>5602.5</v>
      </c>
      <c r="U6139" s="158">
        <f t="shared" si="1019"/>
        <v>747</v>
      </c>
      <c r="V6139" s="160">
        <f t="shared" si="1018"/>
        <v>747</v>
      </c>
    </row>
    <row r="6140" spans="1:22" x14ac:dyDescent="0.25">
      <c r="A6140" s="98" t="s">
        <v>69</v>
      </c>
      <c r="B6140" s="98" t="s">
        <v>17</v>
      </c>
      <c r="C6140" s="98">
        <v>99</v>
      </c>
      <c r="D6140" s="98">
        <v>340</v>
      </c>
      <c r="E6140" s="157">
        <v>42258.372916666667</v>
      </c>
      <c r="F6140" s="157">
        <v>42258.451388888891</v>
      </c>
      <c r="G6140" s="98">
        <v>660</v>
      </c>
      <c r="H6140" s="98">
        <v>795</v>
      </c>
      <c r="I6140" s="98">
        <v>747</v>
      </c>
      <c r="J6140" s="98" t="s">
        <v>1970</v>
      </c>
      <c r="K6140" s="98" t="s">
        <v>3892</v>
      </c>
      <c r="L6140" s="105" t="str">
        <f t="shared" si="1010"/>
        <v>Trimble</v>
      </c>
      <c r="M6140" s="105" t="str">
        <f t="shared" si="1011"/>
        <v>Derate</v>
      </c>
      <c r="N6140" s="105" t="str">
        <f t="shared" si="1012"/>
        <v>Coal</v>
      </c>
      <c r="O6140" s="105">
        <f>IFERROR(VLOOKUP(A6140,Lookup!$J$5:$P$19,7,FALSE),0)</f>
        <v>3</v>
      </c>
      <c r="P6140" s="159">
        <f t="shared" si="1013"/>
        <v>2015</v>
      </c>
      <c r="Q6140" s="159">
        <f t="shared" si="1014"/>
        <v>9</v>
      </c>
      <c r="R6140" s="160">
        <f t="shared" si="1015"/>
        <v>1.8833333333604969</v>
      </c>
      <c r="S6140" s="158">
        <f t="shared" si="1016"/>
        <v>0.31981132075932966</v>
      </c>
      <c r="T6140" s="161">
        <f t="shared" si="1017"/>
        <v>238.89905660721925</v>
      </c>
      <c r="U6140" s="158">
        <f t="shared" si="1019"/>
        <v>126.84905660377359</v>
      </c>
      <c r="V6140" s="160">
        <f t="shared" si="1018"/>
        <v>127</v>
      </c>
    </row>
    <row r="6141" spans="1:22" x14ac:dyDescent="0.25">
      <c r="A6141" s="98" t="s">
        <v>69</v>
      </c>
      <c r="B6141" s="98" t="s">
        <v>79</v>
      </c>
      <c r="C6141" s="98">
        <v>100</v>
      </c>
      <c r="D6141" s="98">
        <v>1190</v>
      </c>
      <c r="E6141" s="157">
        <v>42260</v>
      </c>
      <c r="F6141" s="157">
        <v>42260.322916666664</v>
      </c>
      <c r="G6141" s="98">
        <v>0</v>
      </c>
      <c r="H6141" s="98">
        <v>795</v>
      </c>
      <c r="I6141" s="98">
        <v>747</v>
      </c>
      <c r="J6141" s="98" t="s">
        <v>2007</v>
      </c>
      <c r="K6141" s="98" t="s">
        <v>3893</v>
      </c>
      <c r="L6141" s="105" t="str">
        <f t="shared" si="1010"/>
        <v>Trimble</v>
      </c>
      <c r="M6141" s="105" t="str">
        <f t="shared" si="1011"/>
        <v>Other</v>
      </c>
      <c r="N6141" s="105" t="str">
        <f t="shared" si="1012"/>
        <v>Coal</v>
      </c>
      <c r="O6141" s="105">
        <f>IFERROR(VLOOKUP(A6141,Lookup!$J$5:$P$19,7,FALSE),0)</f>
        <v>3</v>
      </c>
      <c r="P6141" s="159">
        <f t="shared" si="1013"/>
        <v>2015</v>
      </c>
      <c r="Q6141" s="159">
        <f t="shared" si="1014"/>
        <v>9</v>
      </c>
      <c r="R6141" s="160">
        <f t="shared" si="1015"/>
        <v>7.7499999999417923</v>
      </c>
      <c r="S6141" s="158">
        <f t="shared" si="1016"/>
        <v>7.7499999999417923</v>
      </c>
      <c r="T6141" s="161">
        <f t="shared" si="1017"/>
        <v>5789.2499999565189</v>
      </c>
      <c r="U6141" s="158">
        <f t="shared" si="1019"/>
        <v>747</v>
      </c>
      <c r="V6141" s="160">
        <f t="shared" si="1018"/>
        <v>747</v>
      </c>
    </row>
    <row r="6142" spans="1:22" x14ac:dyDescent="0.25">
      <c r="A6142" s="98" t="s">
        <v>69</v>
      </c>
      <c r="B6142" s="98" t="s">
        <v>32</v>
      </c>
      <c r="C6142" s="98">
        <v>101</v>
      </c>
      <c r="D6142" s="98">
        <v>870</v>
      </c>
      <c r="E6142" s="157">
        <v>42263.875</v>
      </c>
      <c r="F6142" s="157">
        <v>42264.285416666666</v>
      </c>
      <c r="G6142" s="98">
        <v>449</v>
      </c>
      <c r="H6142" s="98">
        <v>795</v>
      </c>
      <c r="I6142" s="98">
        <v>747</v>
      </c>
      <c r="J6142" s="98" t="s">
        <v>2275</v>
      </c>
      <c r="K6142" s="98" t="s">
        <v>3894</v>
      </c>
      <c r="L6142" s="105" t="str">
        <f t="shared" si="1010"/>
        <v>Trimble</v>
      </c>
      <c r="M6142" s="105" t="str">
        <f t="shared" si="1011"/>
        <v>Derate</v>
      </c>
      <c r="N6142" s="105" t="str">
        <f t="shared" si="1012"/>
        <v>Coal</v>
      </c>
      <c r="O6142" s="105">
        <f>IFERROR(VLOOKUP(A6142,Lookup!$J$5:$P$19,7,FALSE),0)</f>
        <v>3</v>
      </c>
      <c r="P6142" s="159">
        <f t="shared" si="1013"/>
        <v>2015</v>
      </c>
      <c r="Q6142" s="159">
        <f t="shared" si="1014"/>
        <v>9</v>
      </c>
      <c r="R6142" s="160">
        <f t="shared" si="1015"/>
        <v>9.8499999999767169</v>
      </c>
      <c r="S6142" s="158">
        <f t="shared" si="1016"/>
        <v>4.2869182389835778</v>
      </c>
      <c r="T6142" s="161">
        <f t="shared" si="1017"/>
        <v>3202.3279245207327</v>
      </c>
      <c r="U6142" s="158">
        <f t="shared" si="1019"/>
        <v>325.10943396226418</v>
      </c>
      <c r="V6142" s="160">
        <f t="shared" si="1018"/>
        <v>325</v>
      </c>
    </row>
    <row r="6143" spans="1:22" x14ac:dyDescent="0.25">
      <c r="A6143" s="98" t="s">
        <v>69</v>
      </c>
      <c r="B6143" s="98" t="s">
        <v>79</v>
      </c>
      <c r="C6143" s="98">
        <v>102</v>
      </c>
      <c r="D6143" s="98">
        <v>1190</v>
      </c>
      <c r="E6143" s="157">
        <v>42267</v>
      </c>
      <c r="F6143" s="157">
        <v>42267.3125</v>
      </c>
      <c r="G6143" s="98">
        <v>0</v>
      </c>
      <c r="H6143" s="98">
        <v>795</v>
      </c>
      <c r="I6143" s="98">
        <v>747</v>
      </c>
      <c r="J6143" s="98" t="s">
        <v>2007</v>
      </c>
      <c r="K6143" s="98" t="s">
        <v>3895</v>
      </c>
      <c r="L6143" s="105" t="str">
        <f t="shared" si="1010"/>
        <v>Trimble</v>
      </c>
      <c r="M6143" s="105" t="str">
        <f t="shared" si="1011"/>
        <v>Other</v>
      </c>
      <c r="N6143" s="105" t="str">
        <f t="shared" si="1012"/>
        <v>Coal</v>
      </c>
      <c r="O6143" s="105">
        <f>IFERROR(VLOOKUP(A6143,Lookup!$J$5:$P$19,7,FALSE),0)</f>
        <v>3</v>
      </c>
      <c r="P6143" s="159">
        <f t="shared" si="1013"/>
        <v>2015</v>
      </c>
      <c r="Q6143" s="159">
        <f t="shared" si="1014"/>
        <v>9</v>
      </c>
      <c r="R6143" s="160">
        <f t="shared" si="1015"/>
        <v>7.5</v>
      </c>
      <c r="S6143" s="158">
        <f t="shared" si="1016"/>
        <v>7.5</v>
      </c>
      <c r="T6143" s="161">
        <f t="shared" si="1017"/>
        <v>5602.5</v>
      </c>
      <c r="U6143" s="158">
        <f t="shared" si="1019"/>
        <v>747</v>
      </c>
      <c r="V6143" s="160">
        <f t="shared" si="1018"/>
        <v>747</v>
      </c>
    </row>
    <row r="6144" spans="1:22" x14ac:dyDescent="0.25">
      <c r="A6144" s="98" t="s">
        <v>69</v>
      </c>
      <c r="B6144" s="98" t="s">
        <v>17</v>
      </c>
      <c r="C6144" s="98">
        <v>103</v>
      </c>
      <c r="D6144" s="98">
        <v>520</v>
      </c>
      <c r="E6144" s="157">
        <v>42268.208333333336</v>
      </c>
      <c r="F6144" s="157">
        <v>42268.378472222219</v>
      </c>
      <c r="G6144" s="98">
        <v>449</v>
      </c>
      <c r="H6144" s="98">
        <v>795</v>
      </c>
      <c r="I6144" s="98">
        <v>747</v>
      </c>
      <c r="J6144" s="98" t="s">
        <v>3330</v>
      </c>
      <c r="K6144" s="98" t="s">
        <v>3896</v>
      </c>
      <c r="L6144" s="105" t="str">
        <f t="shared" si="1010"/>
        <v>Trimble</v>
      </c>
      <c r="M6144" s="105" t="str">
        <f t="shared" si="1011"/>
        <v>Derate</v>
      </c>
      <c r="N6144" s="105" t="str">
        <f t="shared" si="1012"/>
        <v>Coal</v>
      </c>
      <c r="O6144" s="105">
        <f>IFERROR(VLOOKUP(A6144,Lookup!$J$5:$P$19,7,FALSE),0)</f>
        <v>3</v>
      </c>
      <c r="P6144" s="159">
        <f t="shared" si="1013"/>
        <v>2015</v>
      </c>
      <c r="Q6144" s="159">
        <f t="shared" si="1014"/>
        <v>9</v>
      </c>
      <c r="R6144" s="160">
        <f t="shared" si="1015"/>
        <v>4.0833333331975155</v>
      </c>
      <c r="S6144" s="158">
        <f t="shared" si="1016"/>
        <v>1.777148846901057</v>
      </c>
      <c r="T6144" s="161">
        <f t="shared" si="1017"/>
        <v>1327.5301886350896</v>
      </c>
      <c r="U6144" s="158">
        <f t="shared" si="1019"/>
        <v>325.10943396226418</v>
      </c>
      <c r="V6144" s="160">
        <f t="shared" si="1018"/>
        <v>325</v>
      </c>
    </row>
    <row r="6145" spans="1:22" x14ac:dyDescent="0.25">
      <c r="A6145" s="98" t="s">
        <v>69</v>
      </c>
      <c r="B6145" s="98" t="s">
        <v>15</v>
      </c>
      <c r="C6145" s="98">
        <v>104</v>
      </c>
      <c r="D6145" s="98">
        <v>520</v>
      </c>
      <c r="E6145" s="157">
        <v>42268.378472222219</v>
      </c>
      <c r="F6145" s="157">
        <v>42270.331944444442</v>
      </c>
      <c r="G6145" s="98">
        <v>0</v>
      </c>
      <c r="H6145" s="98">
        <v>795</v>
      </c>
      <c r="I6145" s="98">
        <v>747</v>
      </c>
      <c r="J6145" s="98" t="s">
        <v>3330</v>
      </c>
      <c r="K6145" s="98" t="s">
        <v>3897</v>
      </c>
      <c r="L6145" s="105" t="str">
        <f t="shared" ref="L6145:L6208" si="1020">IF(OR(A6145="BR1",A6145="BR2",A6145="BR3",A6145="BR5",A6145="BR6",A6145="BR7",A6145="BR8",A6145="BR9",A6145="BR10",A6145="BR11"),"Brown",IF(OR(A6145="CR4",A6145="CR5",A6145="CR6",A6145="CR11"),"Cane Run",IF(OR(A6145="GH1",A6145="GH2",A6145="GH3",A6145="GH4"),"Ghent",IF(OR(A6145="GR3",A6145="GR4"),"Green River",IF(OR(A6145="MC1",A6145="MC2",A6145="MC3",A6145="MC4"),"Mill Creek",IF(OR(A6145="TC1",A6145="TC2",A6145="TC5",A6145="TC6",A6145="TC7",A6145="TC8",A6145="TC9",A6145="TC10"),"Trimble",IF(A6145="TY3","Tyrone",IF(OR(A6145="HA1",A6145="HA2",A6145="HA3"),"Haeflin",IF(OR(A6145="PR11",A6145="PR12",A6145="PR13"),"Paddy's Run","Zorn")))))))))</f>
        <v>Trimble</v>
      </c>
      <c r="M6145" s="105" t="str">
        <f t="shared" ref="M6145:M6208" si="1021">IF(OR(B6145="D1",B6145="D2",B6145="D3",B6145="D4",B6145="PD"),"Derate",IF(OR(B6145="SF",B6145="U1",B6145="U2",B6145="U3"),"Outage",IF(OR(B6145="ME",B6145="MO"),"Maintenance","Other")))</f>
        <v>Outage</v>
      </c>
      <c r="N6145" s="105" t="str">
        <f t="shared" ref="N6145:N6208" si="1022">IF(OR(A6145="BR1",A6145="BR2",A6145="BR3",A6145="CR4",A6145="CR5",A6145="CR6",A6145="GH1",A6145="GH2",A6145="GH3",A6145="GH4",A6145="GR3",A6145="GR4",A6145="MC1",A6145="MC2",A6145="MC3",A6145="MC4",A6145="TC1",A6145="TC2",A6145="TY3"),"Coal","Gas")</f>
        <v>Coal</v>
      </c>
      <c r="O6145" s="105">
        <f>IFERROR(VLOOKUP(A6145,Lookup!$J$5:$P$19,7,FALSE),0)</f>
        <v>3</v>
      </c>
      <c r="P6145" s="159">
        <f t="shared" ref="P6145:P6208" si="1023">YEAR(E6145)</f>
        <v>2015</v>
      </c>
      <c r="Q6145" s="159">
        <f t="shared" ref="Q6145:Q6208" si="1024">MONTH(E6145)</f>
        <v>9</v>
      </c>
      <c r="R6145" s="160">
        <f t="shared" ref="R6145:R6208" si="1025">(F6145-E6145)*24</f>
        <v>46.883333333360497</v>
      </c>
      <c r="S6145" s="158">
        <f t="shared" ref="S6145:S6208" si="1026">R6145*(H6145-G6145)/H6145</f>
        <v>46.883333333360497</v>
      </c>
      <c r="T6145" s="161">
        <f t="shared" ref="T6145:T6208" si="1027">S6145*I6145</f>
        <v>35021.850000020291</v>
      </c>
      <c r="U6145" s="158">
        <f t="shared" si="1019"/>
        <v>747</v>
      </c>
      <c r="V6145" s="160">
        <f t="shared" ref="V6145:V6208" si="1028">ROUND(U6145,0)</f>
        <v>747</v>
      </c>
    </row>
    <row r="6146" spans="1:22" x14ac:dyDescent="0.25">
      <c r="A6146" s="98" t="s">
        <v>69</v>
      </c>
      <c r="B6146" s="98" t="s">
        <v>15</v>
      </c>
      <c r="C6146" s="98">
        <v>105</v>
      </c>
      <c r="D6146" s="98">
        <v>3974</v>
      </c>
      <c r="E6146" s="157">
        <v>42270.449305555558</v>
      </c>
      <c r="F6146" s="157">
        <v>42270.72152777778</v>
      </c>
      <c r="G6146" s="98">
        <v>0</v>
      </c>
      <c r="H6146" s="98">
        <v>795</v>
      </c>
      <c r="I6146" s="98">
        <v>747</v>
      </c>
      <c r="J6146" s="98" t="s">
        <v>2386</v>
      </c>
      <c r="K6146" s="98" t="s">
        <v>3898</v>
      </c>
      <c r="L6146" s="105" t="str">
        <f t="shared" si="1020"/>
        <v>Trimble</v>
      </c>
      <c r="M6146" s="105" t="str">
        <f t="shared" si="1021"/>
        <v>Outage</v>
      </c>
      <c r="N6146" s="105" t="str">
        <f t="shared" si="1022"/>
        <v>Coal</v>
      </c>
      <c r="O6146" s="105">
        <f>IFERROR(VLOOKUP(A6146,Lookup!$J$5:$P$19,7,FALSE),0)</f>
        <v>3</v>
      </c>
      <c r="P6146" s="159">
        <f t="shared" si="1023"/>
        <v>2015</v>
      </c>
      <c r="Q6146" s="159">
        <f t="shared" si="1024"/>
        <v>9</v>
      </c>
      <c r="R6146" s="160">
        <f t="shared" si="1025"/>
        <v>6.5333333333255723</v>
      </c>
      <c r="S6146" s="158">
        <f t="shared" si="1026"/>
        <v>6.5333333333255723</v>
      </c>
      <c r="T6146" s="161">
        <f t="shared" si="1027"/>
        <v>4880.3999999942025</v>
      </c>
      <c r="U6146" s="158">
        <f t="shared" ref="U6146:U6209" si="1029">IF(G6146&gt;0,MAX((H6146-G6146),0)*I6146/H6146,I6146)</f>
        <v>747</v>
      </c>
      <c r="V6146" s="160">
        <f t="shared" si="1028"/>
        <v>747</v>
      </c>
    </row>
    <row r="6147" spans="1:22" x14ac:dyDescent="0.25">
      <c r="A6147" s="98" t="s">
        <v>69</v>
      </c>
      <c r="B6147" s="98" t="s">
        <v>15</v>
      </c>
      <c r="C6147" s="98">
        <v>106</v>
      </c>
      <c r="D6147" s="98">
        <v>380</v>
      </c>
      <c r="E6147" s="157">
        <v>42270.747916666667</v>
      </c>
      <c r="F6147" s="157">
        <v>42270.938194444447</v>
      </c>
      <c r="G6147" s="98">
        <v>0</v>
      </c>
      <c r="H6147" s="98">
        <v>795</v>
      </c>
      <c r="I6147" s="98">
        <v>747</v>
      </c>
      <c r="J6147" s="98" t="s">
        <v>2017</v>
      </c>
      <c r="K6147" s="98" t="s">
        <v>3899</v>
      </c>
      <c r="L6147" s="105" t="str">
        <f t="shared" si="1020"/>
        <v>Trimble</v>
      </c>
      <c r="M6147" s="105" t="str">
        <f t="shared" si="1021"/>
        <v>Outage</v>
      </c>
      <c r="N6147" s="105" t="str">
        <f t="shared" si="1022"/>
        <v>Coal</v>
      </c>
      <c r="O6147" s="105">
        <f>IFERROR(VLOOKUP(A6147,Lookup!$J$5:$P$19,7,FALSE),0)</f>
        <v>3</v>
      </c>
      <c r="P6147" s="159">
        <f t="shared" si="1023"/>
        <v>2015</v>
      </c>
      <c r="Q6147" s="159">
        <f t="shared" si="1024"/>
        <v>9</v>
      </c>
      <c r="R6147" s="160">
        <f t="shared" si="1025"/>
        <v>4.5666666667093523</v>
      </c>
      <c r="S6147" s="158">
        <f t="shared" si="1026"/>
        <v>4.5666666667093523</v>
      </c>
      <c r="T6147" s="161">
        <f t="shared" si="1027"/>
        <v>3411.3000000318862</v>
      </c>
      <c r="U6147" s="158">
        <f t="shared" si="1029"/>
        <v>747</v>
      </c>
      <c r="V6147" s="160">
        <f t="shared" si="1028"/>
        <v>747</v>
      </c>
    </row>
    <row r="6148" spans="1:22" x14ac:dyDescent="0.25">
      <c r="A6148" s="98" t="s">
        <v>69</v>
      </c>
      <c r="B6148" s="98" t="s">
        <v>15</v>
      </c>
      <c r="C6148" s="98">
        <v>107</v>
      </c>
      <c r="D6148" s="98">
        <v>3974</v>
      </c>
      <c r="E6148" s="157">
        <v>42270.98333333333</v>
      </c>
      <c r="F6148" s="157">
        <v>42271.134027777778</v>
      </c>
      <c r="G6148" s="98">
        <v>0</v>
      </c>
      <c r="H6148" s="98">
        <v>795</v>
      </c>
      <c r="I6148" s="98">
        <v>747</v>
      </c>
      <c r="J6148" s="98" t="s">
        <v>2386</v>
      </c>
      <c r="K6148" s="98" t="s">
        <v>3900</v>
      </c>
      <c r="L6148" s="105" t="str">
        <f t="shared" si="1020"/>
        <v>Trimble</v>
      </c>
      <c r="M6148" s="105" t="str">
        <f t="shared" si="1021"/>
        <v>Outage</v>
      </c>
      <c r="N6148" s="105" t="str">
        <f t="shared" si="1022"/>
        <v>Coal</v>
      </c>
      <c r="O6148" s="105">
        <f>IFERROR(VLOOKUP(A6148,Lookup!$J$5:$P$19,7,FALSE),0)</f>
        <v>3</v>
      </c>
      <c r="P6148" s="159">
        <f t="shared" si="1023"/>
        <v>2015</v>
      </c>
      <c r="Q6148" s="159">
        <f t="shared" si="1024"/>
        <v>9</v>
      </c>
      <c r="R6148" s="160">
        <f t="shared" si="1025"/>
        <v>3.6166666667559184</v>
      </c>
      <c r="S6148" s="158">
        <f t="shared" si="1026"/>
        <v>3.6166666667559184</v>
      </c>
      <c r="T6148" s="161">
        <f t="shared" si="1027"/>
        <v>2701.6500000666711</v>
      </c>
      <c r="U6148" s="158">
        <f t="shared" si="1029"/>
        <v>747</v>
      </c>
      <c r="V6148" s="160">
        <f t="shared" si="1028"/>
        <v>747</v>
      </c>
    </row>
    <row r="6149" spans="1:22" x14ac:dyDescent="0.25">
      <c r="A6149" s="98" t="s">
        <v>69</v>
      </c>
      <c r="B6149" s="98" t="s">
        <v>17</v>
      </c>
      <c r="C6149" s="98">
        <v>108</v>
      </c>
      <c r="D6149" s="98">
        <v>3979</v>
      </c>
      <c r="E6149" s="157">
        <v>42271.310416666667</v>
      </c>
      <c r="F6149" s="157">
        <v>42271.479166666664</v>
      </c>
      <c r="G6149" s="98">
        <v>360</v>
      </c>
      <c r="H6149" s="98">
        <v>795</v>
      </c>
      <c r="I6149" s="98">
        <v>747</v>
      </c>
      <c r="J6149" s="98" t="s">
        <v>2103</v>
      </c>
      <c r="K6149" s="98" t="s">
        <v>3901</v>
      </c>
      <c r="L6149" s="105" t="str">
        <f t="shared" si="1020"/>
        <v>Trimble</v>
      </c>
      <c r="M6149" s="105" t="str">
        <f t="shared" si="1021"/>
        <v>Derate</v>
      </c>
      <c r="N6149" s="105" t="str">
        <f t="shared" si="1022"/>
        <v>Coal</v>
      </c>
      <c r="O6149" s="105">
        <f>IFERROR(VLOOKUP(A6149,Lookup!$J$5:$P$19,7,FALSE),0)</f>
        <v>3</v>
      </c>
      <c r="P6149" s="159">
        <f t="shared" si="1023"/>
        <v>2015</v>
      </c>
      <c r="Q6149" s="159">
        <f t="shared" si="1024"/>
        <v>9</v>
      </c>
      <c r="R6149" s="160">
        <f t="shared" si="1025"/>
        <v>4.0499999999301508</v>
      </c>
      <c r="S6149" s="158">
        <f t="shared" si="1026"/>
        <v>2.2160377358108372</v>
      </c>
      <c r="T6149" s="161">
        <f t="shared" si="1027"/>
        <v>1655.3801886506953</v>
      </c>
      <c r="U6149" s="158">
        <f t="shared" si="1029"/>
        <v>408.7358490566038</v>
      </c>
      <c r="V6149" s="160">
        <f t="shared" si="1028"/>
        <v>409</v>
      </c>
    </row>
    <row r="6150" spans="1:22" x14ac:dyDescent="0.25">
      <c r="A6150" s="98" t="s">
        <v>69</v>
      </c>
      <c r="B6150" s="98" t="s">
        <v>17</v>
      </c>
      <c r="C6150" s="98">
        <v>109</v>
      </c>
      <c r="D6150" s="98">
        <v>3979</v>
      </c>
      <c r="E6150" s="157">
        <v>42271.479166666664</v>
      </c>
      <c r="F6150" s="157">
        <v>42271.788888888892</v>
      </c>
      <c r="G6150" s="98">
        <v>400</v>
      </c>
      <c r="H6150" s="98">
        <v>795</v>
      </c>
      <c r="I6150" s="98">
        <v>747</v>
      </c>
      <c r="J6150" s="98" t="s">
        <v>2103</v>
      </c>
      <c r="K6150" s="98" t="s">
        <v>3902</v>
      </c>
      <c r="L6150" s="105" t="str">
        <f t="shared" si="1020"/>
        <v>Trimble</v>
      </c>
      <c r="M6150" s="105" t="str">
        <f t="shared" si="1021"/>
        <v>Derate</v>
      </c>
      <c r="N6150" s="105" t="str">
        <f t="shared" si="1022"/>
        <v>Coal</v>
      </c>
      <c r="O6150" s="105">
        <f>IFERROR(VLOOKUP(A6150,Lookup!$J$5:$P$19,7,FALSE),0)</f>
        <v>3</v>
      </c>
      <c r="P6150" s="159">
        <f t="shared" si="1023"/>
        <v>2015</v>
      </c>
      <c r="Q6150" s="159">
        <f t="shared" si="1024"/>
        <v>9</v>
      </c>
      <c r="R6150" s="160">
        <f t="shared" si="1025"/>
        <v>7.4333333334652707</v>
      </c>
      <c r="S6150" s="158">
        <f t="shared" si="1026"/>
        <v>3.693291404677713</v>
      </c>
      <c r="T6150" s="161">
        <f t="shared" si="1027"/>
        <v>2758.8886792942517</v>
      </c>
      <c r="U6150" s="158">
        <f t="shared" si="1029"/>
        <v>371.15094339622641</v>
      </c>
      <c r="V6150" s="160">
        <f t="shared" si="1028"/>
        <v>371</v>
      </c>
    </row>
    <row r="6151" spans="1:22" x14ac:dyDescent="0.25">
      <c r="A6151" s="98" t="s">
        <v>69</v>
      </c>
      <c r="B6151" s="98" t="s">
        <v>17</v>
      </c>
      <c r="C6151" s="98">
        <v>110</v>
      </c>
      <c r="D6151" s="98">
        <v>4261</v>
      </c>
      <c r="E6151" s="157">
        <v>42278.25</v>
      </c>
      <c r="F6151" s="157">
        <v>42278.529861111114</v>
      </c>
      <c r="G6151" s="98">
        <v>800</v>
      </c>
      <c r="H6151" s="98">
        <v>795</v>
      </c>
      <c r="I6151" s="98">
        <v>747</v>
      </c>
      <c r="J6151" s="98" t="s">
        <v>1985</v>
      </c>
      <c r="K6151" s="98" t="s">
        <v>3903</v>
      </c>
      <c r="L6151" s="105" t="str">
        <f t="shared" si="1020"/>
        <v>Trimble</v>
      </c>
      <c r="M6151" s="105" t="str">
        <f t="shared" si="1021"/>
        <v>Derate</v>
      </c>
      <c r="N6151" s="105" t="str">
        <f t="shared" si="1022"/>
        <v>Coal</v>
      </c>
      <c r="O6151" s="105">
        <f>IFERROR(VLOOKUP(A6151,Lookup!$J$5:$P$19,7,FALSE),0)</f>
        <v>3</v>
      </c>
      <c r="P6151" s="159">
        <f t="shared" si="1023"/>
        <v>2015</v>
      </c>
      <c r="Q6151" s="159">
        <f t="shared" si="1024"/>
        <v>10</v>
      </c>
      <c r="R6151" s="160">
        <f t="shared" si="1025"/>
        <v>6.7166666667326353</v>
      </c>
      <c r="S6151" s="158">
        <f t="shared" si="1026"/>
        <v>-4.2243186583224124E-2</v>
      </c>
      <c r="T6151" s="161">
        <f t="shared" si="1027"/>
        <v>-31.555660377668421</v>
      </c>
      <c r="U6151" s="158">
        <f t="shared" si="1029"/>
        <v>0</v>
      </c>
      <c r="V6151" s="160">
        <f t="shared" si="1028"/>
        <v>0</v>
      </c>
    </row>
    <row r="6152" spans="1:22" x14ac:dyDescent="0.25">
      <c r="A6152" s="98" t="s">
        <v>69</v>
      </c>
      <c r="B6152" s="98" t="s">
        <v>79</v>
      </c>
      <c r="C6152" s="98">
        <v>111</v>
      </c>
      <c r="D6152" s="98">
        <v>1190</v>
      </c>
      <c r="E6152" s="157">
        <v>42281</v>
      </c>
      <c r="F6152" s="157">
        <v>42281.3125</v>
      </c>
      <c r="G6152" s="98">
        <v>0</v>
      </c>
      <c r="H6152" s="98">
        <v>795</v>
      </c>
      <c r="I6152" s="98">
        <v>747</v>
      </c>
      <c r="J6152" s="98" t="s">
        <v>2007</v>
      </c>
      <c r="K6152" s="98" t="s">
        <v>3895</v>
      </c>
      <c r="L6152" s="105" t="str">
        <f t="shared" si="1020"/>
        <v>Trimble</v>
      </c>
      <c r="M6152" s="105" t="str">
        <f t="shared" si="1021"/>
        <v>Other</v>
      </c>
      <c r="N6152" s="105" t="str">
        <f t="shared" si="1022"/>
        <v>Coal</v>
      </c>
      <c r="O6152" s="105">
        <f>IFERROR(VLOOKUP(A6152,Lookup!$J$5:$P$19,7,FALSE),0)</f>
        <v>3</v>
      </c>
      <c r="P6152" s="159">
        <f t="shared" si="1023"/>
        <v>2015</v>
      </c>
      <c r="Q6152" s="159">
        <f t="shared" si="1024"/>
        <v>10</v>
      </c>
      <c r="R6152" s="160">
        <f t="shared" si="1025"/>
        <v>7.5</v>
      </c>
      <c r="S6152" s="158">
        <f t="shared" si="1026"/>
        <v>7.5</v>
      </c>
      <c r="T6152" s="161">
        <f t="shared" si="1027"/>
        <v>5602.5</v>
      </c>
      <c r="U6152" s="158">
        <f t="shared" si="1029"/>
        <v>747</v>
      </c>
      <c r="V6152" s="160">
        <f t="shared" si="1028"/>
        <v>747</v>
      </c>
    </row>
    <row r="6153" spans="1:22" x14ac:dyDescent="0.25">
      <c r="A6153" s="98" t="s">
        <v>69</v>
      </c>
      <c r="B6153" s="98" t="s">
        <v>17</v>
      </c>
      <c r="C6153" s="98">
        <v>112</v>
      </c>
      <c r="D6153" s="98">
        <v>1455</v>
      </c>
      <c r="E6153" s="157">
        <v>42283</v>
      </c>
      <c r="F6153" s="157">
        <v>42283.072916666664</v>
      </c>
      <c r="G6153" s="98">
        <v>769</v>
      </c>
      <c r="H6153" s="98">
        <v>795</v>
      </c>
      <c r="I6153" s="98">
        <v>747</v>
      </c>
      <c r="J6153" s="98" t="s">
        <v>1990</v>
      </c>
      <c r="K6153" s="98" t="s">
        <v>3904</v>
      </c>
      <c r="L6153" s="105" t="str">
        <f t="shared" si="1020"/>
        <v>Trimble</v>
      </c>
      <c r="M6153" s="105" t="str">
        <f t="shared" si="1021"/>
        <v>Derate</v>
      </c>
      <c r="N6153" s="105" t="str">
        <f t="shared" si="1022"/>
        <v>Coal</v>
      </c>
      <c r="O6153" s="105">
        <f>IFERROR(VLOOKUP(A6153,Lookup!$J$5:$P$19,7,FALSE),0)</f>
        <v>3</v>
      </c>
      <c r="P6153" s="159">
        <f t="shared" si="1023"/>
        <v>2015</v>
      </c>
      <c r="Q6153" s="159">
        <f t="shared" si="1024"/>
        <v>10</v>
      </c>
      <c r="R6153" s="160">
        <f t="shared" si="1025"/>
        <v>1.7499999999417923</v>
      </c>
      <c r="S6153" s="158">
        <f t="shared" si="1026"/>
        <v>5.7232704400612074E-2</v>
      </c>
      <c r="T6153" s="161">
        <f t="shared" si="1027"/>
        <v>42.752830187257217</v>
      </c>
      <c r="U6153" s="158">
        <f t="shared" si="1029"/>
        <v>24.430188679245283</v>
      </c>
      <c r="V6153" s="160">
        <f t="shared" si="1028"/>
        <v>24</v>
      </c>
    </row>
    <row r="6154" spans="1:22" x14ac:dyDescent="0.25">
      <c r="A6154" s="98" t="s">
        <v>69</v>
      </c>
      <c r="B6154" s="98" t="s">
        <v>17</v>
      </c>
      <c r="C6154" s="98">
        <v>113</v>
      </c>
      <c r="D6154" s="98">
        <v>8823</v>
      </c>
      <c r="E6154" s="157">
        <v>42286.701388888891</v>
      </c>
      <c r="F6154" s="157">
        <v>42286.743750000001</v>
      </c>
      <c r="G6154" s="98">
        <v>720</v>
      </c>
      <c r="H6154" s="98">
        <v>795</v>
      </c>
      <c r="I6154" s="98">
        <v>747</v>
      </c>
      <c r="J6154" s="98" t="s">
        <v>258</v>
      </c>
      <c r="K6154" s="98" t="s">
        <v>3905</v>
      </c>
      <c r="L6154" s="105" t="str">
        <f t="shared" si="1020"/>
        <v>Trimble</v>
      </c>
      <c r="M6154" s="105" t="str">
        <f t="shared" si="1021"/>
        <v>Derate</v>
      </c>
      <c r="N6154" s="105" t="str">
        <f t="shared" si="1022"/>
        <v>Coal</v>
      </c>
      <c r="O6154" s="105">
        <f>IFERROR(VLOOKUP(A6154,Lookup!$J$5:$P$19,7,FALSE),0)</f>
        <v>3</v>
      </c>
      <c r="P6154" s="159">
        <f t="shared" si="1023"/>
        <v>2015</v>
      </c>
      <c r="Q6154" s="159">
        <f t="shared" si="1024"/>
        <v>10</v>
      </c>
      <c r="R6154" s="160">
        <f t="shared" si="1025"/>
        <v>1.0166666666627862</v>
      </c>
      <c r="S6154" s="158">
        <f t="shared" si="1026"/>
        <v>9.5911949685168502E-2</v>
      </c>
      <c r="T6154" s="161">
        <f t="shared" si="1027"/>
        <v>71.646226414820873</v>
      </c>
      <c r="U6154" s="158">
        <f t="shared" si="1029"/>
        <v>70.471698113207552</v>
      </c>
      <c r="V6154" s="160">
        <f t="shared" si="1028"/>
        <v>70</v>
      </c>
    </row>
    <row r="6155" spans="1:22" x14ac:dyDescent="0.25">
      <c r="A6155" s="98" t="s">
        <v>69</v>
      </c>
      <c r="B6155" s="98" t="s">
        <v>17</v>
      </c>
      <c r="C6155" s="98">
        <v>114</v>
      </c>
      <c r="D6155" s="98">
        <v>8823</v>
      </c>
      <c r="E6155" s="157">
        <v>42286.743750000001</v>
      </c>
      <c r="F6155" s="157">
        <v>42286.854166666664</v>
      </c>
      <c r="G6155" s="98">
        <v>709</v>
      </c>
      <c r="H6155" s="98">
        <v>795</v>
      </c>
      <c r="I6155" s="98">
        <v>747</v>
      </c>
      <c r="J6155" s="98" t="s">
        <v>258</v>
      </c>
      <c r="K6155" s="98" t="s">
        <v>3906</v>
      </c>
      <c r="L6155" s="105" t="str">
        <f t="shared" si="1020"/>
        <v>Trimble</v>
      </c>
      <c r="M6155" s="105" t="str">
        <f t="shared" si="1021"/>
        <v>Derate</v>
      </c>
      <c r="N6155" s="105" t="str">
        <f t="shared" si="1022"/>
        <v>Coal</v>
      </c>
      <c r="O6155" s="105">
        <f>IFERROR(VLOOKUP(A6155,Lookup!$J$5:$P$19,7,FALSE),0)</f>
        <v>3</v>
      </c>
      <c r="P6155" s="159">
        <f t="shared" si="1023"/>
        <v>2015</v>
      </c>
      <c r="Q6155" s="159">
        <f t="shared" si="1024"/>
        <v>10</v>
      </c>
      <c r="R6155" s="160">
        <f t="shared" si="1025"/>
        <v>2.6499999999068677</v>
      </c>
      <c r="S6155" s="158">
        <f t="shared" si="1026"/>
        <v>0.28666666665659196</v>
      </c>
      <c r="T6155" s="161">
        <f t="shared" si="1027"/>
        <v>214.1399999924742</v>
      </c>
      <c r="U6155" s="158">
        <f t="shared" si="1029"/>
        <v>80.807547169811315</v>
      </c>
      <c r="V6155" s="160">
        <f t="shared" si="1028"/>
        <v>81</v>
      </c>
    </row>
    <row r="6156" spans="1:22" x14ac:dyDescent="0.25">
      <c r="A6156" s="98" t="s">
        <v>69</v>
      </c>
      <c r="B6156" s="98" t="s">
        <v>79</v>
      </c>
      <c r="C6156" s="98">
        <v>115</v>
      </c>
      <c r="D6156" s="98">
        <v>1190</v>
      </c>
      <c r="E6156" s="157">
        <v>42288</v>
      </c>
      <c r="F6156" s="157">
        <v>42288.3125</v>
      </c>
      <c r="G6156" s="98">
        <v>0</v>
      </c>
      <c r="H6156" s="98">
        <v>795</v>
      </c>
      <c r="I6156" s="98">
        <v>747</v>
      </c>
      <c r="J6156" s="98" t="s">
        <v>2007</v>
      </c>
      <c r="K6156" s="98" t="s">
        <v>3895</v>
      </c>
      <c r="L6156" s="105" t="str">
        <f t="shared" si="1020"/>
        <v>Trimble</v>
      </c>
      <c r="M6156" s="105" t="str">
        <f t="shared" si="1021"/>
        <v>Other</v>
      </c>
      <c r="N6156" s="105" t="str">
        <f t="shared" si="1022"/>
        <v>Coal</v>
      </c>
      <c r="O6156" s="105">
        <f>IFERROR(VLOOKUP(A6156,Lookup!$J$5:$P$19,7,FALSE),0)</f>
        <v>3</v>
      </c>
      <c r="P6156" s="159">
        <f t="shared" si="1023"/>
        <v>2015</v>
      </c>
      <c r="Q6156" s="159">
        <f t="shared" si="1024"/>
        <v>10</v>
      </c>
      <c r="R6156" s="160">
        <f t="shared" si="1025"/>
        <v>7.5</v>
      </c>
      <c r="S6156" s="158">
        <f t="shared" si="1026"/>
        <v>7.5</v>
      </c>
      <c r="T6156" s="161">
        <f t="shared" si="1027"/>
        <v>5602.5</v>
      </c>
      <c r="U6156" s="158">
        <f t="shared" si="1029"/>
        <v>747</v>
      </c>
      <c r="V6156" s="160">
        <f t="shared" si="1028"/>
        <v>747</v>
      </c>
    </row>
    <row r="6157" spans="1:22" x14ac:dyDescent="0.25">
      <c r="A6157" s="98" t="s">
        <v>69</v>
      </c>
      <c r="B6157" s="98" t="s">
        <v>17</v>
      </c>
      <c r="C6157" s="98">
        <v>116</v>
      </c>
      <c r="D6157" s="98">
        <v>100</v>
      </c>
      <c r="E6157" s="157">
        <v>42291.875</v>
      </c>
      <c r="F6157" s="157">
        <v>42292.041666666664</v>
      </c>
      <c r="G6157" s="98">
        <v>774</v>
      </c>
      <c r="H6157" s="98">
        <v>795</v>
      </c>
      <c r="I6157" s="98">
        <v>747</v>
      </c>
      <c r="J6157" s="98" t="s">
        <v>2283</v>
      </c>
      <c r="K6157" s="98" t="s">
        <v>3907</v>
      </c>
      <c r="L6157" s="105" t="str">
        <f t="shared" si="1020"/>
        <v>Trimble</v>
      </c>
      <c r="M6157" s="105" t="str">
        <f t="shared" si="1021"/>
        <v>Derate</v>
      </c>
      <c r="N6157" s="105" t="str">
        <f t="shared" si="1022"/>
        <v>Coal</v>
      </c>
      <c r="O6157" s="105">
        <f>IFERROR(VLOOKUP(A6157,Lookup!$J$5:$P$19,7,FALSE),0)</f>
        <v>3</v>
      </c>
      <c r="P6157" s="159">
        <f t="shared" si="1023"/>
        <v>2015</v>
      </c>
      <c r="Q6157" s="159">
        <f t="shared" si="1024"/>
        <v>10</v>
      </c>
      <c r="R6157" s="160">
        <f t="shared" si="1025"/>
        <v>3.9999999999417923</v>
      </c>
      <c r="S6157" s="158">
        <f t="shared" si="1026"/>
        <v>0.10566037735695301</v>
      </c>
      <c r="T6157" s="161">
        <f t="shared" si="1027"/>
        <v>78.928301885643904</v>
      </c>
      <c r="U6157" s="158">
        <f t="shared" si="1029"/>
        <v>19.732075471698113</v>
      </c>
      <c r="V6157" s="160">
        <f t="shared" si="1028"/>
        <v>20</v>
      </c>
    </row>
    <row r="6158" spans="1:22" x14ac:dyDescent="0.25">
      <c r="A6158" s="98" t="s">
        <v>69</v>
      </c>
      <c r="B6158" s="98" t="s">
        <v>79</v>
      </c>
      <c r="C6158" s="98">
        <v>117</v>
      </c>
      <c r="D6158" s="98">
        <v>1190</v>
      </c>
      <c r="E6158" s="157">
        <v>42294.958333333336</v>
      </c>
      <c r="F6158" s="157">
        <v>42295.229166666664</v>
      </c>
      <c r="G6158" s="98">
        <v>0</v>
      </c>
      <c r="H6158" s="98">
        <v>795</v>
      </c>
      <c r="I6158" s="98">
        <v>747</v>
      </c>
      <c r="J6158" s="98" t="s">
        <v>2007</v>
      </c>
      <c r="K6158" s="98" t="s">
        <v>3908</v>
      </c>
      <c r="L6158" s="105" t="str">
        <f t="shared" si="1020"/>
        <v>Trimble</v>
      </c>
      <c r="M6158" s="105" t="str">
        <f t="shared" si="1021"/>
        <v>Other</v>
      </c>
      <c r="N6158" s="105" t="str">
        <f t="shared" si="1022"/>
        <v>Coal</v>
      </c>
      <c r="O6158" s="105">
        <f>IFERROR(VLOOKUP(A6158,Lookup!$J$5:$P$19,7,FALSE),0)</f>
        <v>3</v>
      </c>
      <c r="P6158" s="159">
        <f t="shared" si="1023"/>
        <v>2015</v>
      </c>
      <c r="Q6158" s="159">
        <f t="shared" si="1024"/>
        <v>10</v>
      </c>
      <c r="R6158" s="160">
        <f t="shared" si="1025"/>
        <v>6.4999999998835847</v>
      </c>
      <c r="S6158" s="158">
        <f t="shared" si="1026"/>
        <v>6.4999999998835847</v>
      </c>
      <c r="T6158" s="161">
        <f t="shared" si="1027"/>
        <v>4855.4999999130378</v>
      </c>
      <c r="U6158" s="158">
        <f t="shared" si="1029"/>
        <v>747</v>
      </c>
      <c r="V6158" s="160">
        <f t="shared" si="1028"/>
        <v>747</v>
      </c>
    </row>
    <row r="6159" spans="1:22" x14ac:dyDescent="0.25">
      <c r="A6159" s="98" t="s">
        <v>69</v>
      </c>
      <c r="B6159" s="98" t="s">
        <v>17</v>
      </c>
      <c r="C6159" s="98">
        <v>118</v>
      </c>
      <c r="D6159" s="98">
        <v>3502</v>
      </c>
      <c r="E6159" s="157">
        <v>42296.9375</v>
      </c>
      <c r="F6159" s="157">
        <v>42299.125</v>
      </c>
      <c r="G6159" s="98">
        <v>760</v>
      </c>
      <c r="H6159" s="98">
        <v>795</v>
      </c>
      <c r="I6159" s="98">
        <v>747</v>
      </c>
      <c r="J6159" s="98" t="s">
        <v>2196</v>
      </c>
      <c r="K6159" s="98" t="s">
        <v>3909</v>
      </c>
      <c r="L6159" s="105" t="str">
        <f t="shared" si="1020"/>
        <v>Trimble</v>
      </c>
      <c r="M6159" s="105" t="str">
        <f t="shared" si="1021"/>
        <v>Derate</v>
      </c>
      <c r="N6159" s="105" t="str">
        <f t="shared" si="1022"/>
        <v>Coal</v>
      </c>
      <c r="O6159" s="105">
        <f>IFERROR(VLOOKUP(A6159,Lookup!$J$5:$P$19,7,FALSE),0)</f>
        <v>3</v>
      </c>
      <c r="P6159" s="159">
        <f t="shared" si="1023"/>
        <v>2015</v>
      </c>
      <c r="Q6159" s="159">
        <f t="shared" si="1024"/>
        <v>10</v>
      </c>
      <c r="R6159" s="160">
        <f t="shared" si="1025"/>
        <v>52.5</v>
      </c>
      <c r="S6159" s="158">
        <f t="shared" si="1026"/>
        <v>2.3113207547169812</v>
      </c>
      <c r="T6159" s="161">
        <f t="shared" si="1027"/>
        <v>1726.556603773585</v>
      </c>
      <c r="U6159" s="158">
        <f t="shared" si="1029"/>
        <v>32.886792452830186</v>
      </c>
      <c r="V6159" s="160">
        <f t="shared" si="1028"/>
        <v>33</v>
      </c>
    </row>
    <row r="6160" spans="1:22" x14ac:dyDescent="0.25">
      <c r="A6160" s="98" t="s">
        <v>69</v>
      </c>
      <c r="B6160" s="98" t="s">
        <v>79</v>
      </c>
      <c r="C6160" s="98">
        <v>119</v>
      </c>
      <c r="D6160" s="98">
        <v>1190</v>
      </c>
      <c r="E6160" s="157">
        <v>42302</v>
      </c>
      <c r="F6160" s="157">
        <v>42302.302083333336</v>
      </c>
      <c r="G6160" s="98">
        <v>0</v>
      </c>
      <c r="H6160" s="98">
        <v>795</v>
      </c>
      <c r="I6160" s="98">
        <v>747</v>
      </c>
      <c r="J6160" s="98" t="s">
        <v>2007</v>
      </c>
      <c r="K6160" s="98" t="s">
        <v>3910</v>
      </c>
      <c r="L6160" s="105" t="str">
        <f t="shared" si="1020"/>
        <v>Trimble</v>
      </c>
      <c r="M6160" s="105" t="str">
        <f t="shared" si="1021"/>
        <v>Other</v>
      </c>
      <c r="N6160" s="105" t="str">
        <f t="shared" si="1022"/>
        <v>Coal</v>
      </c>
      <c r="O6160" s="105">
        <f>IFERROR(VLOOKUP(A6160,Lookup!$J$5:$P$19,7,FALSE),0)</f>
        <v>3</v>
      </c>
      <c r="P6160" s="159">
        <f t="shared" si="1023"/>
        <v>2015</v>
      </c>
      <c r="Q6160" s="159">
        <f t="shared" si="1024"/>
        <v>10</v>
      </c>
      <c r="R6160" s="160">
        <f t="shared" si="1025"/>
        <v>7.2500000000582077</v>
      </c>
      <c r="S6160" s="158">
        <f t="shared" si="1026"/>
        <v>7.2500000000582077</v>
      </c>
      <c r="T6160" s="161">
        <f t="shared" si="1027"/>
        <v>5415.7500000434811</v>
      </c>
      <c r="U6160" s="158">
        <f t="shared" si="1029"/>
        <v>747</v>
      </c>
      <c r="V6160" s="160">
        <f t="shared" si="1028"/>
        <v>747</v>
      </c>
    </row>
    <row r="6161" spans="1:22" x14ac:dyDescent="0.25">
      <c r="A6161" s="98" t="s">
        <v>69</v>
      </c>
      <c r="B6161" s="98" t="s">
        <v>43</v>
      </c>
      <c r="C6161" s="98">
        <v>120</v>
      </c>
      <c r="D6161" s="98">
        <v>3431</v>
      </c>
      <c r="E6161" s="157">
        <v>42303.759027777778</v>
      </c>
      <c r="F6161" s="157">
        <v>42304.621527777781</v>
      </c>
      <c r="G6161" s="98">
        <v>440</v>
      </c>
      <c r="H6161" s="98">
        <v>795</v>
      </c>
      <c r="I6161" s="98">
        <v>747</v>
      </c>
      <c r="J6161" s="98" t="s">
        <v>2123</v>
      </c>
      <c r="K6161" s="98" t="s">
        <v>3911</v>
      </c>
      <c r="L6161" s="105" t="str">
        <f t="shared" si="1020"/>
        <v>Trimble</v>
      </c>
      <c r="M6161" s="105" t="str">
        <f t="shared" si="1021"/>
        <v>Derate</v>
      </c>
      <c r="N6161" s="105" t="str">
        <f t="shared" si="1022"/>
        <v>Coal</v>
      </c>
      <c r="O6161" s="105">
        <f>IFERROR(VLOOKUP(A6161,Lookup!$J$5:$P$19,7,FALSE),0)</f>
        <v>3</v>
      </c>
      <c r="P6161" s="159">
        <f t="shared" si="1023"/>
        <v>2015</v>
      </c>
      <c r="Q6161" s="159">
        <f t="shared" si="1024"/>
        <v>10</v>
      </c>
      <c r="R6161" s="160">
        <f t="shared" si="1025"/>
        <v>20.700000000069849</v>
      </c>
      <c r="S6161" s="158">
        <f t="shared" si="1026"/>
        <v>9.2433962264462846</v>
      </c>
      <c r="T6161" s="161">
        <f t="shared" si="1027"/>
        <v>6904.8169811553744</v>
      </c>
      <c r="U6161" s="158">
        <f t="shared" si="1029"/>
        <v>333.56603773584908</v>
      </c>
      <c r="V6161" s="160">
        <f t="shared" si="1028"/>
        <v>334</v>
      </c>
    </row>
    <row r="6162" spans="1:22" x14ac:dyDescent="0.25">
      <c r="A6162" s="98" t="s">
        <v>69</v>
      </c>
      <c r="B6162" s="98" t="s">
        <v>79</v>
      </c>
      <c r="C6162" s="98">
        <v>121</v>
      </c>
      <c r="D6162" s="98">
        <v>1190</v>
      </c>
      <c r="E6162" s="157">
        <v>42309</v>
      </c>
      <c r="F6162" s="157">
        <v>42309.208333333336</v>
      </c>
      <c r="G6162" s="98">
        <v>0</v>
      </c>
      <c r="H6162" s="98">
        <v>795</v>
      </c>
      <c r="I6162" s="98">
        <v>747</v>
      </c>
      <c r="J6162" s="98" t="s">
        <v>2007</v>
      </c>
      <c r="K6162" s="98" t="s">
        <v>3912</v>
      </c>
      <c r="L6162" s="105" t="str">
        <f t="shared" si="1020"/>
        <v>Trimble</v>
      </c>
      <c r="M6162" s="105" t="str">
        <f t="shared" si="1021"/>
        <v>Other</v>
      </c>
      <c r="N6162" s="105" t="str">
        <f t="shared" si="1022"/>
        <v>Coal</v>
      </c>
      <c r="O6162" s="105">
        <f>IFERROR(VLOOKUP(A6162,Lookup!$J$5:$P$19,7,FALSE),0)</f>
        <v>3</v>
      </c>
      <c r="P6162" s="159">
        <f t="shared" si="1023"/>
        <v>2015</v>
      </c>
      <c r="Q6162" s="159">
        <f t="shared" si="1024"/>
        <v>11</v>
      </c>
      <c r="R6162" s="160">
        <f t="shared" si="1025"/>
        <v>5.0000000000582077</v>
      </c>
      <c r="S6162" s="158">
        <f t="shared" si="1026"/>
        <v>5.0000000000582077</v>
      </c>
      <c r="T6162" s="161">
        <f t="shared" si="1027"/>
        <v>3735.0000000434811</v>
      </c>
      <c r="U6162" s="158">
        <f t="shared" si="1029"/>
        <v>747</v>
      </c>
      <c r="V6162" s="160">
        <f t="shared" si="1028"/>
        <v>747</v>
      </c>
    </row>
    <row r="6163" spans="1:22" x14ac:dyDescent="0.25">
      <c r="A6163" s="98" t="s">
        <v>69</v>
      </c>
      <c r="B6163" s="98" t="s">
        <v>79</v>
      </c>
      <c r="C6163" s="98">
        <v>122</v>
      </c>
      <c r="D6163" s="98">
        <v>1190</v>
      </c>
      <c r="E6163" s="157">
        <v>42312.916666666664</v>
      </c>
      <c r="F6163" s="157">
        <v>42313.21875</v>
      </c>
      <c r="G6163" s="98">
        <v>0</v>
      </c>
      <c r="H6163" s="98">
        <v>795</v>
      </c>
      <c r="I6163" s="98">
        <v>747</v>
      </c>
      <c r="J6163" s="98" t="s">
        <v>2007</v>
      </c>
      <c r="K6163" s="98" t="s">
        <v>3913</v>
      </c>
      <c r="L6163" s="105" t="str">
        <f t="shared" si="1020"/>
        <v>Trimble</v>
      </c>
      <c r="M6163" s="105" t="str">
        <f t="shared" si="1021"/>
        <v>Other</v>
      </c>
      <c r="N6163" s="105" t="str">
        <f t="shared" si="1022"/>
        <v>Coal</v>
      </c>
      <c r="O6163" s="105">
        <f>IFERROR(VLOOKUP(A6163,Lookup!$J$5:$P$19,7,FALSE),0)</f>
        <v>3</v>
      </c>
      <c r="P6163" s="159">
        <f t="shared" si="1023"/>
        <v>2015</v>
      </c>
      <c r="Q6163" s="159">
        <f t="shared" si="1024"/>
        <v>11</v>
      </c>
      <c r="R6163" s="160">
        <f t="shared" si="1025"/>
        <v>7.2500000000582077</v>
      </c>
      <c r="S6163" s="158">
        <f t="shared" si="1026"/>
        <v>7.2500000000582077</v>
      </c>
      <c r="T6163" s="161">
        <f t="shared" si="1027"/>
        <v>5415.7500000434811</v>
      </c>
      <c r="U6163" s="158">
        <f t="shared" si="1029"/>
        <v>747</v>
      </c>
      <c r="V6163" s="160">
        <f t="shared" si="1028"/>
        <v>747</v>
      </c>
    </row>
    <row r="6164" spans="1:22" x14ac:dyDescent="0.25">
      <c r="A6164" s="98" t="s">
        <v>69</v>
      </c>
      <c r="B6164" s="98" t="s">
        <v>17</v>
      </c>
      <c r="C6164" s="98">
        <v>123</v>
      </c>
      <c r="D6164" s="98">
        <v>1090</v>
      </c>
      <c r="E6164" s="157">
        <v>42313.472222222219</v>
      </c>
      <c r="F6164" s="157">
        <v>42313.678472222222</v>
      </c>
      <c r="G6164" s="98">
        <v>480</v>
      </c>
      <c r="H6164" s="98">
        <v>795</v>
      </c>
      <c r="I6164" s="98">
        <v>747</v>
      </c>
      <c r="J6164" s="98" t="s">
        <v>2096</v>
      </c>
      <c r="K6164" s="98" t="s">
        <v>3914</v>
      </c>
      <c r="L6164" s="105" t="str">
        <f t="shared" si="1020"/>
        <v>Trimble</v>
      </c>
      <c r="M6164" s="105" t="str">
        <f t="shared" si="1021"/>
        <v>Derate</v>
      </c>
      <c r="N6164" s="105" t="str">
        <f t="shared" si="1022"/>
        <v>Coal</v>
      </c>
      <c r="O6164" s="105">
        <f>IFERROR(VLOOKUP(A6164,Lookup!$J$5:$P$19,7,FALSE),0)</f>
        <v>3</v>
      </c>
      <c r="P6164" s="159">
        <f t="shared" si="1023"/>
        <v>2015</v>
      </c>
      <c r="Q6164" s="159">
        <f t="shared" si="1024"/>
        <v>11</v>
      </c>
      <c r="R6164" s="160">
        <f t="shared" si="1025"/>
        <v>4.9500000000698492</v>
      </c>
      <c r="S6164" s="158">
        <f t="shared" si="1026"/>
        <v>1.9613207547446572</v>
      </c>
      <c r="T6164" s="161">
        <f t="shared" si="1027"/>
        <v>1465.1066037942589</v>
      </c>
      <c r="U6164" s="158">
        <f t="shared" si="1029"/>
        <v>295.98113207547169</v>
      </c>
      <c r="V6164" s="160">
        <f t="shared" si="1028"/>
        <v>296</v>
      </c>
    </row>
    <row r="6165" spans="1:22" x14ac:dyDescent="0.25">
      <c r="A6165" s="98" t="s">
        <v>69</v>
      </c>
      <c r="B6165" s="98" t="s">
        <v>15</v>
      </c>
      <c r="C6165" s="98">
        <v>124</v>
      </c>
      <c r="D6165" s="98">
        <v>1090</v>
      </c>
      <c r="E6165" s="157">
        <v>42313.678472222222</v>
      </c>
      <c r="F6165" s="157">
        <v>42317.427777777775</v>
      </c>
      <c r="G6165" s="98">
        <v>0</v>
      </c>
      <c r="H6165" s="98">
        <v>795</v>
      </c>
      <c r="I6165" s="98">
        <v>747</v>
      </c>
      <c r="J6165" s="98" t="s">
        <v>2096</v>
      </c>
      <c r="K6165" s="98" t="s">
        <v>3915</v>
      </c>
      <c r="L6165" s="105" t="str">
        <f t="shared" si="1020"/>
        <v>Trimble</v>
      </c>
      <c r="M6165" s="105" t="str">
        <f t="shared" si="1021"/>
        <v>Outage</v>
      </c>
      <c r="N6165" s="105" t="str">
        <f t="shared" si="1022"/>
        <v>Coal</v>
      </c>
      <c r="O6165" s="105">
        <f>IFERROR(VLOOKUP(A6165,Lookup!$J$5:$P$19,7,FALSE),0)</f>
        <v>3</v>
      </c>
      <c r="P6165" s="159">
        <f t="shared" si="1023"/>
        <v>2015</v>
      </c>
      <c r="Q6165" s="159">
        <f t="shared" si="1024"/>
        <v>11</v>
      </c>
      <c r="R6165" s="160">
        <f t="shared" si="1025"/>
        <v>89.983333333279006</v>
      </c>
      <c r="S6165" s="158">
        <f t="shared" si="1026"/>
        <v>89.983333333279006</v>
      </c>
      <c r="T6165" s="161">
        <f t="shared" si="1027"/>
        <v>67217.549999959418</v>
      </c>
      <c r="U6165" s="158">
        <f t="shared" si="1029"/>
        <v>747</v>
      </c>
      <c r="V6165" s="160">
        <f t="shared" si="1028"/>
        <v>747</v>
      </c>
    </row>
    <row r="6166" spans="1:22" x14ac:dyDescent="0.25">
      <c r="A6166" s="98" t="s">
        <v>69</v>
      </c>
      <c r="B6166" s="98" t="s">
        <v>17</v>
      </c>
      <c r="C6166" s="98">
        <v>125</v>
      </c>
      <c r="D6166" s="98">
        <v>4261</v>
      </c>
      <c r="E6166" s="157">
        <v>42319.262499999997</v>
      </c>
      <c r="F6166" s="157">
        <v>42319.632638888892</v>
      </c>
      <c r="G6166" s="98">
        <v>794</v>
      </c>
      <c r="H6166" s="98">
        <v>795</v>
      </c>
      <c r="I6166" s="98">
        <v>747</v>
      </c>
      <c r="J6166" s="98" t="s">
        <v>1985</v>
      </c>
      <c r="K6166" s="98" t="s">
        <v>3916</v>
      </c>
      <c r="L6166" s="105" t="str">
        <f t="shared" si="1020"/>
        <v>Trimble</v>
      </c>
      <c r="M6166" s="105" t="str">
        <f t="shared" si="1021"/>
        <v>Derate</v>
      </c>
      <c r="N6166" s="105" t="str">
        <f t="shared" si="1022"/>
        <v>Coal</v>
      </c>
      <c r="O6166" s="105">
        <f>IFERROR(VLOOKUP(A6166,Lookup!$J$5:$P$19,7,FALSE),0)</f>
        <v>3</v>
      </c>
      <c r="P6166" s="159">
        <f t="shared" si="1023"/>
        <v>2015</v>
      </c>
      <c r="Q6166" s="159">
        <f t="shared" si="1024"/>
        <v>11</v>
      </c>
      <c r="R6166" s="160">
        <f t="shared" si="1025"/>
        <v>8.8833333334769122</v>
      </c>
      <c r="S6166" s="158">
        <f t="shared" si="1026"/>
        <v>1.1174004193052719E-2</v>
      </c>
      <c r="T6166" s="161">
        <f t="shared" si="1027"/>
        <v>8.3469811322103808</v>
      </c>
      <c r="U6166" s="158">
        <f t="shared" si="1029"/>
        <v>0.93962264150943398</v>
      </c>
      <c r="V6166" s="160">
        <f t="shared" si="1028"/>
        <v>1</v>
      </c>
    </row>
    <row r="6167" spans="1:22" x14ac:dyDescent="0.25">
      <c r="A6167" s="98" t="s">
        <v>69</v>
      </c>
      <c r="B6167" s="98" t="s">
        <v>79</v>
      </c>
      <c r="C6167" s="98">
        <v>126</v>
      </c>
      <c r="D6167" s="98">
        <v>1190</v>
      </c>
      <c r="E6167" s="157">
        <v>42323</v>
      </c>
      <c r="F6167" s="157">
        <v>42323.291666666664</v>
      </c>
      <c r="G6167" s="98">
        <v>0</v>
      </c>
      <c r="H6167" s="98">
        <v>795</v>
      </c>
      <c r="I6167" s="98">
        <v>747</v>
      </c>
      <c r="J6167" s="98" t="s">
        <v>2007</v>
      </c>
      <c r="K6167" s="98" t="s">
        <v>3895</v>
      </c>
      <c r="L6167" s="105" t="str">
        <f t="shared" si="1020"/>
        <v>Trimble</v>
      </c>
      <c r="M6167" s="105" t="str">
        <f t="shared" si="1021"/>
        <v>Other</v>
      </c>
      <c r="N6167" s="105" t="str">
        <f t="shared" si="1022"/>
        <v>Coal</v>
      </c>
      <c r="O6167" s="105">
        <f>IFERROR(VLOOKUP(A6167,Lookup!$J$5:$P$19,7,FALSE),0)</f>
        <v>3</v>
      </c>
      <c r="P6167" s="159">
        <f t="shared" si="1023"/>
        <v>2015</v>
      </c>
      <c r="Q6167" s="159">
        <f t="shared" si="1024"/>
        <v>11</v>
      </c>
      <c r="R6167" s="160">
        <f t="shared" si="1025"/>
        <v>6.9999999999417923</v>
      </c>
      <c r="S6167" s="158">
        <f t="shared" si="1026"/>
        <v>6.9999999999417923</v>
      </c>
      <c r="T6167" s="161">
        <f t="shared" si="1027"/>
        <v>5228.9999999565189</v>
      </c>
      <c r="U6167" s="158">
        <f t="shared" si="1029"/>
        <v>747</v>
      </c>
      <c r="V6167" s="160">
        <f t="shared" si="1028"/>
        <v>747</v>
      </c>
    </row>
    <row r="6168" spans="1:22" x14ac:dyDescent="0.25">
      <c r="A6168" s="98" t="s">
        <v>69</v>
      </c>
      <c r="B6168" s="98" t="s">
        <v>15</v>
      </c>
      <c r="C6168" s="98">
        <v>127</v>
      </c>
      <c r="D6168" s="98">
        <v>3412</v>
      </c>
      <c r="E6168" s="157">
        <v>42324.890277777777</v>
      </c>
      <c r="F6168" s="157">
        <v>42325.279166666667</v>
      </c>
      <c r="G6168" s="98">
        <v>0</v>
      </c>
      <c r="H6168" s="98">
        <v>795</v>
      </c>
      <c r="I6168" s="98">
        <v>747</v>
      </c>
      <c r="J6168" s="98" t="s">
        <v>2162</v>
      </c>
      <c r="K6168" s="98" t="s">
        <v>3917</v>
      </c>
      <c r="L6168" s="105" t="str">
        <f t="shared" si="1020"/>
        <v>Trimble</v>
      </c>
      <c r="M6168" s="105" t="str">
        <f t="shared" si="1021"/>
        <v>Outage</v>
      </c>
      <c r="N6168" s="105" t="str">
        <f t="shared" si="1022"/>
        <v>Coal</v>
      </c>
      <c r="O6168" s="105">
        <f>IFERROR(VLOOKUP(A6168,Lookup!$J$5:$P$19,7,FALSE),0)</f>
        <v>3</v>
      </c>
      <c r="P6168" s="159">
        <f t="shared" si="1023"/>
        <v>2015</v>
      </c>
      <c r="Q6168" s="159">
        <f t="shared" si="1024"/>
        <v>11</v>
      </c>
      <c r="R6168" s="160">
        <f t="shared" si="1025"/>
        <v>9.3333333333721384</v>
      </c>
      <c r="S6168" s="158">
        <f t="shared" si="1026"/>
        <v>9.3333333333721384</v>
      </c>
      <c r="T6168" s="161">
        <f t="shared" si="1027"/>
        <v>6972.0000000289874</v>
      </c>
      <c r="U6168" s="158">
        <f t="shared" si="1029"/>
        <v>747</v>
      </c>
      <c r="V6168" s="160">
        <f t="shared" si="1028"/>
        <v>747</v>
      </c>
    </row>
    <row r="6169" spans="1:22" x14ac:dyDescent="0.25">
      <c r="A6169" s="98" t="s">
        <v>69</v>
      </c>
      <c r="B6169" s="98" t="s">
        <v>15</v>
      </c>
      <c r="C6169" s="98">
        <v>128</v>
      </c>
      <c r="D6169" s="98">
        <v>3412</v>
      </c>
      <c r="E6169" s="157">
        <v>42325.300694444442</v>
      </c>
      <c r="F6169" s="157">
        <v>42325.544444444444</v>
      </c>
      <c r="G6169" s="98">
        <v>0</v>
      </c>
      <c r="H6169" s="98">
        <v>795</v>
      </c>
      <c r="I6169" s="98">
        <v>747</v>
      </c>
      <c r="J6169" s="98" t="s">
        <v>2162</v>
      </c>
      <c r="K6169" s="98" t="s">
        <v>3918</v>
      </c>
      <c r="L6169" s="105" t="str">
        <f t="shared" si="1020"/>
        <v>Trimble</v>
      </c>
      <c r="M6169" s="105" t="str">
        <f t="shared" si="1021"/>
        <v>Outage</v>
      </c>
      <c r="N6169" s="105" t="str">
        <f t="shared" si="1022"/>
        <v>Coal</v>
      </c>
      <c r="O6169" s="105">
        <f>IFERROR(VLOOKUP(A6169,Lookup!$J$5:$P$19,7,FALSE),0)</f>
        <v>3</v>
      </c>
      <c r="P6169" s="159">
        <f t="shared" si="1023"/>
        <v>2015</v>
      </c>
      <c r="Q6169" s="159">
        <f t="shared" si="1024"/>
        <v>11</v>
      </c>
      <c r="R6169" s="160">
        <f t="shared" si="1025"/>
        <v>5.8500000000349246</v>
      </c>
      <c r="S6169" s="158">
        <f t="shared" si="1026"/>
        <v>5.8500000000349246</v>
      </c>
      <c r="T6169" s="161">
        <f t="shared" si="1027"/>
        <v>4369.9500000260887</v>
      </c>
      <c r="U6169" s="158">
        <f t="shared" si="1029"/>
        <v>747</v>
      </c>
      <c r="V6169" s="160">
        <f t="shared" si="1028"/>
        <v>747</v>
      </c>
    </row>
    <row r="6170" spans="1:22" x14ac:dyDescent="0.25">
      <c r="A6170" s="98" t="s">
        <v>69</v>
      </c>
      <c r="B6170" s="98" t="s">
        <v>17</v>
      </c>
      <c r="C6170" s="98">
        <v>129</v>
      </c>
      <c r="D6170" s="98">
        <v>3412</v>
      </c>
      <c r="E6170" s="157">
        <v>42325.833333333336</v>
      </c>
      <c r="F6170" s="157">
        <v>42328.9375</v>
      </c>
      <c r="G6170" s="98">
        <v>794</v>
      </c>
      <c r="H6170" s="98">
        <v>795</v>
      </c>
      <c r="I6170" s="98">
        <v>747</v>
      </c>
      <c r="J6170" s="98" t="s">
        <v>2162</v>
      </c>
      <c r="K6170" s="98" t="s">
        <v>3919</v>
      </c>
      <c r="L6170" s="105" t="str">
        <f t="shared" si="1020"/>
        <v>Trimble</v>
      </c>
      <c r="M6170" s="105" t="str">
        <f t="shared" si="1021"/>
        <v>Derate</v>
      </c>
      <c r="N6170" s="105" t="str">
        <f t="shared" si="1022"/>
        <v>Coal</v>
      </c>
      <c r="O6170" s="105">
        <f>IFERROR(VLOOKUP(A6170,Lookup!$J$5:$P$19,7,FALSE),0)</f>
        <v>3</v>
      </c>
      <c r="P6170" s="159">
        <f t="shared" si="1023"/>
        <v>2015</v>
      </c>
      <c r="Q6170" s="159">
        <f t="shared" si="1024"/>
        <v>11</v>
      </c>
      <c r="R6170" s="160">
        <f t="shared" si="1025"/>
        <v>74.499999999941792</v>
      </c>
      <c r="S6170" s="158">
        <f t="shared" si="1026"/>
        <v>9.3710691823826159E-2</v>
      </c>
      <c r="T6170" s="161">
        <f t="shared" si="1027"/>
        <v>70.001886792398139</v>
      </c>
      <c r="U6170" s="158">
        <f t="shared" si="1029"/>
        <v>0.93962264150943398</v>
      </c>
      <c r="V6170" s="160">
        <f t="shared" si="1028"/>
        <v>1</v>
      </c>
    </row>
    <row r="6171" spans="1:22" x14ac:dyDescent="0.25">
      <c r="A6171" s="98" t="s">
        <v>69</v>
      </c>
      <c r="B6171" s="98" t="s">
        <v>79</v>
      </c>
      <c r="C6171" s="98">
        <v>130</v>
      </c>
      <c r="D6171" s="98">
        <v>1190</v>
      </c>
      <c r="E6171" s="157">
        <v>42328.9375</v>
      </c>
      <c r="F6171" s="157">
        <v>42329.229166666664</v>
      </c>
      <c r="G6171" s="98">
        <v>0</v>
      </c>
      <c r="H6171" s="98">
        <v>795</v>
      </c>
      <c r="I6171" s="98">
        <v>747</v>
      </c>
      <c r="J6171" s="98" t="s">
        <v>2007</v>
      </c>
      <c r="K6171" s="98" t="s">
        <v>3920</v>
      </c>
      <c r="L6171" s="105" t="str">
        <f t="shared" si="1020"/>
        <v>Trimble</v>
      </c>
      <c r="M6171" s="105" t="str">
        <f t="shared" si="1021"/>
        <v>Other</v>
      </c>
      <c r="N6171" s="105" t="str">
        <f t="shared" si="1022"/>
        <v>Coal</v>
      </c>
      <c r="O6171" s="105">
        <f>IFERROR(VLOOKUP(A6171,Lookup!$J$5:$P$19,7,FALSE),0)</f>
        <v>3</v>
      </c>
      <c r="P6171" s="159">
        <f t="shared" si="1023"/>
        <v>2015</v>
      </c>
      <c r="Q6171" s="159">
        <f t="shared" si="1024"/>
        <v>11</v>
      </c>
      <c r="R6171" s="160">
        <f t="shared" si="1025"/>
        <v>6.9999999999417923</v>
      </c>
      <c r="S6171" s="158">
        <f t="shared" si="1026"/>
        <v>6.9999999999417923</v>
      </c>
      <c r="T6171" s="161">
        <f t="shared" si="1027"/>
        <v>5228.9999999565189</v>
      </c>
      <c r="U6171" s="158">
        <f t="shared" si="1029"/>
        <v>747</v>
      </c>
      <c r="V6171" s="160">
        <f t="shared" si="1028"/>
        <v>747</v>
      </c>
    </row>
    <row r="6172" spans="1:22" x14ac:dyDescent="0.25">
      <c r="A6172" s="98" t="s">
        <v>69</v>
      </c>
      <c r="B6172" s="98" t="s">
        <v>17</v>
      </c>
      <c r="C6172" s="98">
        <v>131</v>
      </c>
      <c r="D6172" s="98">
        <v>3412</v>
      </c>
      <c r="E6172" s="157">
        <v>42329.229166666664</v>
      </c>
      <c r="F6172" s="157">
        <v>42334.895833333336</v>
      </c>
      <c r="G6172" s="98">
        <v>794</v>
      </c>
      <c r="H6172" s="98">
        <v>795</v>
      </c>
      <c r="I6172" s="98">
        <v>747</v>
      </c>
      <c r="J6172" s="98" t="s">
        <v>2162</v>
      </c>
      <c r="K6172" s="98" t="s">
        <v>3921</v>
      </c>
      <c r="L6172" s="105" t="str">
        <f t="shared" si="1020"/>
        <v>Trimble</v>
      </c>
      <c r="M6172" s="105" t="str">
        <f t="shared" si="1021"/>
        <v>Derate</v>
      </c>
      <c r="N6172" s="105" t="str">
        <f t="shared" si="1022"/>
        <v>Coal</v>
      </c>
      <c r="O6172" s="105">
        <f>IFERROR(VLOOKUP(A6172,Lookup!$J$5:$P$19,7,FALSE),0)</f>
        <v>3</v>
      </c>
      <c r="P6172" s="159">
        <f t="shared" si="1023"/>
        <v>2015</v>
      </c>
      <c r="Q6172" s="159">
        <f t="shared" si="1024"/>
        <v>11</v>
      </c>
      <c r="R6172" s="160">
        <f t="shared" si="1025"/>
        <v>136.00000000011642</v>
      </c>
      <c r="S6172" s="158">
        <f t="shared" si="1026"/>
        <v>0.17106918239008354</v>
      </c>
      <c r="T6172" s="161">
        <f t="shared" si="1027"/>
        <v>127.7886792453924</v>
      </c>
      <c r="U6172" s="158">
        <f t="shared" si="1029"/>
        <v>0.93962264150943398</v>
      </c>
      <c r="V6172" s="160">
        <f t="shared" si="1028"/>
        <v>1</v>
      </c>
    </row>
    <row r="6173" spans="1:22" x14ac:dyDescent="0.25">
      <c r="A6173" s="98" t="s">
        <v>69</v>
      </c>
      <c r="B6173" s="98" t="s">
        <v>79</v>
      </c>
      <c r="C6173" s="98">
        <v>132</v>
      </c>
      <c r="D6173" s="98">
        <v>1190</v>
      </c>
      <c r="E6173" s="157">
        <v>42334.895833333336</v>
      </c>
      <c r="F6173" s="157">
        <v>42335.291666666664</v>
      </c>
      <c r="G6173" s="98">
        <v>0</v>
      </c>
      <c r="H6173" s="98">
        <v>795</v>
      </c>
      <c r="I6173" s="98">
        <v>747</v>
      </c>
      <c r="J6173" s="98" t="s">
        <v>2007</v>
      </c>
      <c r="K6173" s="98" t="s">
        <v>3913</v>
      </c>
      <c r="L6173" s="105" t="str">
        <f t="shared" si="1020"/>
        <v>Trimble</v>
      </c>
      <c r="M6173" s="105" t="str">
        <f t="shared" si="1021"/>
        <v>Other</v>
      </c>
      <c r="N6173" s="105" t="str">
        <f t="shared" si="1022"/>
        <v>Coal</v>
      </c>
      <c r="O6173" s="105">
        <f>IFERROR(VLOOKUP(A6173,Lookup!$J$5:$P$19,7,FALSE),0)</f>
        <v>3</v>
      </c>
      <c r="P6173" s="159">
        <f t="shared" si="1023"/>
        <v>2015</v>
      </c>
      <c r="Q6173" s="159">
        <f t="shared" si="1024"/>
        <v>11</v>
      </c>
      <c r="R6173" s="160">
        <f t="shared" si="1025"/>
        <v>9.4999999998835847</v>
      </c>
      <c r="S6173" s="158">
        <f t="shared" si="1026"/>
        <v>9.4999999998835847</v>
      </c>
      <c r="T6173" s="161">
        <f t="shared" si="1027"/>
        <v>7096.4999999130378</v>
      </c>
      <c r="U6173" s="158">
        <f t="shared" si="1029"/>
        <v>747</v>
      </c>
      <c r="V6173" s="160">
        <f t="shared" si="1028"/>
        <v>747</v>
      </c>
    </row>
    <row r="6174" spans="1:22" x14ac:dyDescent="0.25">
      <c r="A6174" s="98" t="s">
        <v>69</v>
      </c>
      <c r="B6174" s="98" t="s">
        <v>17</v>
      </c>
      <c r="C6174" s="98">
        <v>133</v>
      </c>
      <c r="D6174" s="98">
        <v>3456</v>
      </c>
      <c r="E6174" s="157">
        <v>42335.291666666664</v>
      </c>
      <c r="F6174" s="157">
        <v>42338.107638888891</v>
      </c>
      <c r="G6174" s="98">
        <v>794</v>
      </c>
      <c r="H6174" s="98">
        <v>795</v>
      </c>
      <c r="I6174" s="98">
        <v>747</v>
      </c>
      <c r="J6174" s="98" t="s">
        <v>3167</v>
      </c>
      <c r="K6174" s="98" t="s">
        <v>3922</v>
      </c>
      <c r="L6174" s="105" t="str">
        <f t="shared" si="1020"/>
        <v>Trimble</v>
      </c>
      <c r="M6174" s="105" t="str">
        <f t="shared" si="1021"/>
        <v>Derate</v>
      </c>
      <c r="N6174" s="105" t="str">
        <f t="shared" si="1022"/>
        <v>Coal</v>
      </c>
      <c r="O6174" s="105">
        <f>IFERROR(VLOOKUP(A6174,Lookup!$J$5:$P$19,7,FALSE),0)</f>
        <v>3</v>
      </c>
      <c r="P6174" s="159">
        <f t="shared" si="1023"/>
        <v>2015</v>
      </c>
      <c r="Q6174" s="159">
        <f t="shared" si="1024"/>
        <v>11</v>
      </c>
      <c r="R6174" s="160">
        <f t="shared" si="1025"/>
        <v>67.583333333430346</v>
      </c>
      <c r="S6174" s="158">
        <f t="shared" si="1026"/>
        <v>8.5010482180415528E-2</v>
      </c>
      <c r="T6174" s="161">
        <f t="shared" si="1027"/>
        <v>63.502830188770396</v>
      </c>
      <c r="U6174" s="158">
        <f t="shared" si="1029"/>
        <v>0.93962264150943398</v>
      </c>
      <c r="V6174" s="160">
        <f t="shared" si="1028"/>
        <v>1</v>
      </c>
    </row>
    <row r="6175" spans="1:22" x14ac:dyDescent="0.25">
      <c r="A6175" s="98" t="s">
        <v>69</v>
      </c>
      <c r="B6175" s="98" t="s">
        <v>15</v>
      </c>
      <c r="C6175" s="98">
        <v>134</v>
      </c>
      <c r="D6175" s="98">
        <v>1400</v>
      </c>
      <c r="E6175" s="157">
        <v>42338.107638888891</v>
      </c>
      <c r="F6175" s="157">
        <v>42339.175000000003</v>
      </c>
      <c r="G6175" s="98">
        <v>0</v>
      </c>
      <c r="H6175" s="98">
        <v>795</v>
      </c>
      <c r="I6175" s="98">
        <v>747</v>
      </c>
      <c r="J6175" s="98" t="s">
        <v>2043</v>
      </c>
      <c r="K6175" s="98" t="s">
        <v>3923</v>
      </c>
      <c r="L6175" s="105" t="str">
        <f t="shared" si="1020"/>
        <v>Trimble</v>
      </c>
      <c r="M6175" s="105" t="str">
        <f t="shared" si="1021"/>
        <v>Outage</v>
      </c>
      <c r="N6175" s="105" t="str">
        <f t="shared" si="1022"/>
        <v>Coal</v>
      </c>
      <c r="O6175" s="105">
        <f>IFERROR(VLOOKUP(A6175,Lookup!$J$5:$P$19,7,FALSE),0)</f>
        <v>3</v>
      </c>
      <c r="P6175" s="159">
        <f t="shared" si="1023"/>
        <v>2015</v>
      </c>
      <c r="Q6175" s="159">
        <f t="shared" si="1024"/>
        <v>11</v>
      </c>
      <c r="R6175" s="160">
        <f t="shared" si="1025"/>
        <v>25.616666666697711</v>
      </c>
      <c r="S6175" s="158">
        <f t="shared" si="1026"/>
        <v>25.616666666697711</v>
      </c>
      <c r="T6175" s="161">
        <f t="shared" si="1027"/>
        <v>19135.65000002319</v>
      </c>
      <c r="U6175" s="158">
        <f t="shared" si="1029"/>
        <v>747</v>
      </c>
      <c r="V6175" s="160">
        <f t="shared" si="1028"/>
        <v>747</v>
      </c>
    </row>
    <row r="6176" spans="1:22" x14ac:dyDescent="0.25">
      <c r="A6176" s="98" t="s">
        <v>69</v>
      </c>
      <c r="B6176" s="98" t="s">
        <v>17</v>
      </c>
      <c r="C6176" s="98">
        <v>135</v>
      </c>
      <c r="D6176" s="98">
        <v>3412</v>
      </c>
      <c r="E6176" s="157">
        <v>42339.175000000003</v>
      </c>
      <c r="F6176" s="157">
        <v>42344</v>
      </c>
      <c r="G6176" s="98">
        <v>794</v>
      </c>
      <c r="H6176" s="98">
        <v>795</v>
      </c>
      <c r="I6176" s="98">
        <v>747</v>
      </c>
      <c r="J6176" s="98" t="s">
        <v>2162</v>
      </c>
      <c r="K6176" s="98" t="s">
        <v>3924</v>
      </c>
      <c r="L6176" s="105" t="str">
        <f t="shared" si="1020"/>
        <v>Trimble</v>
      </c>
      <c r="M6176" s="105" t="str">
        <f t="shared" si="1021"/>
        <v>Derate</v>
      </c>
      <c r="N6176" s="105" t="str">
        <f t="shared" si="1022"/>
        <v>Coal</v>
      </c>
      <c r="O6176" s="105">
        <f>IFERROR(VLOOKUP(A6176,Lookup!$J$5:$P$19,7,FALSE),0)</f>
        <v>3</v>
      </c>
      <c r="P6176" s="159">
        <f t="shared" si="1023"/>
        <v>2015</v>
      </c>
      <c r="Q6176" s="159">
        <f t="shared" si="1024"/>
        <v>12</v>
      </c>
      <c r="R6176" s="160">
        <f t="shared" si="1025"/>
        <v>115.79999999993015</v>
      </c>
      <c r="S6176" s="158">
        <f t="shared" si="1026"/>
        <v>0.1456603773584027</v>
      </c>
      <c r="T6176" s="161">
        <f t="shared" si="1027"/>
        <v>108.80830188672682</v>
      </c>
      <c r="U6176" s="158">
        <f t="shared" si="1029"/>
        <v>0.93962264150943398</v>
      </c>
      <c r="V6176" s="160">
        <f t="shared" si="1028"/>
        <v>1</v>
      </c>
    </row>
    <row r="6177" spans="1:22" x14ac:dyDescent="0.25">
      <c r="A6177" s="98" t="s">
        <v>69</v>
      </c>
      <c r="B6177" s="98" t="s">
        <v>79</v>
      </c>
      <c r="C6177" s="98">
        <v>136</v>
      </c>
      <c r="D6177" s="98">
        <v>1190</v>
      </c>
      <c r="E6177" s="157">
        <v>42344</v>
      </c>
      <c r="F6177" s="157">
        <v>42344.34375</v>
      </c>
      <c r="G6177" s="98">
        <v>0</v>
      </c>
      <c r="H6177" s="98">
        <v>795</v>
      </c>
      <c r="I6177" s="98">
        <v>747</v>
      </c>
      <c r="J6177" s="98" t="s">
        <v>2007</v>
      </c>
      <c r="K6177" s="98" t="s">
        <v>3913</v>
      </c>
      <c r="L6177" s="105" t="str">
        <f t="shared" si="1020"/>
        <v>Trimble</v>
      </c>
      <c r="M6177" s="105" t="str">
        <f t="shared" si="1021"/>
        <v>Other</v>
      </c>
      <c r="N6177" s="105" t="str">
        <f t="shared" si="1022"/>
        <v>Coal</v>
      </c>
      <c r="O6177" s="105">
        <f>IFERROR(VLOOKUP(A6177,Lookup!$J$5:$P$19,7,FALSE),0)</f>
        <v>3</v>
      </c>
      <c r="P6177" s="159">
        <f t="shared" si="1023"/>
        <v>2015</v>
      </c>
      <c r="Q6177" s="159">
        <f t="shared" si="1024"/>
        <v>12</v>
      </c>
      <c r="R6177" s="160">
        <f t="shared" si="1025"/>
        <v>8.25</v>
      </c>
      <c r="S6177" s="158">
        <f t="shared" si="1026"/>
        <v>8.25</v>
      </c>
      <c r="T6177" s="161">
        <f t="shared" si="1027"/>
        <v>6162.75</v>
      </c>
      <c r="U6177" s="158">
        <f t="shared" si="1029"/>
        <v>747</v>
      </c>
      <c r="V6177" s="160">
        <f t="shared" si="1028"/>
        <v>747</v>
      </c>
    </row>
    <row r="6178" spans="1:22" x14ac:dyDescent="0.25">
      <c r="A6178" s="98" t="s">
        <v>69</v>
      </c>
      <c r="B6178" s="98" t="s">
        <v>17</v>
      </c>
      <c r="C6178" s="98">
        <v>137</v>
      </c>
      <c r="D6178" s="98">
        <v>3412</v>
      </c>
      <c r="E6178" s="157">
        <v>42344.34375</v>
      </c>
      <c r="F6178" s="157">
        <v>42347.151388888888</v>
      </c>
      <c r="G6178" s="98">
        <v>794</v>
      </c>
      <c r="H6178" s="98">
        <v>795</v>
      </c>
      <c r="I6178" s="98">
        <v>747</v>
      </c>
      <c r="J6178" s="98" t="s">
        <v>2162</v>
      </c>
      <c r="K6178" s="98" t="s">
        <v>3925</v>
      </c>
      <c r="L6178" s="105" t="str">
        <f t="shared" si="1020"/>
        <v>Trimble</v>
      </c>
      <c r="M6178" s="105" t="str">
        <f t="shared" si="1021"/>
        <v>Derate</v>
      </c>
      <c r="N6178" s="105" t="str">
        <f t="shared" si="1022"/>
        <v>Coal</v>
      </c>
      <c r="O6178" s="105">
        <f>IFERROR(VLOOKUP(A6178,Lookup!$J$5:$P$19,7,FALSE),0)</f>
        <v>3</v>
      </c>
      <c r="P6178" s="159">
        <f t="shared" si="1023"/>
        <v>2015</v>
      </c>
      <c r="Q6178" s="159">
        <f t="shared" si="1024"/>
        <v>12</v>
      </c>
      <c r="R6178" s="160">
        <f t="shared" si="1025"/>
        <v>67.383333333302289</v>
      </c>
      <c r="S6178" s="158">
        <f t="shared" si="1026"/>
        <v>8.4758909853210426E-2</v>
      </c>
      <c r="T6178" s="161">
        <f t="shared" si="1027"/>
        <v>63.314905660348188</v>
      </c>
      <c r="U6178" s="158">
        <f t="shared" si="1029"/>
        <v>0.93962264150943398</v>
      </c>
      <c r="V6178" s="160">
        <f t="shared" si="1028"/>
        <v>1</v>
      </c>
    </row>
    <row r="6179" spans="1:22" x14ac:dyDescent="0.25">
      <c r="A6179" s="98" t="s">
        <v>69</v>
      </c>
      <c r="B6179" s="98" t="s">
        <v>15</v>
      </c>
      <c r="C6179" s="98">
        <v>138</v>
      </c>
      <c r="D6179" s="98">
        <v>1480</v>
      </c>
      <c r="E6179" s="157">
        <v>42347.151388888888</v>
      </c>
      <c r="F6179" s="157">
        <v>42347.852777777778</v>
      </c>
      <c r="G6179" s="98">
        <v>0</v>
      </c>
      <c r="H6179" s="98">
        <v>795</v>
      </c>
      <c r="I6179" s="98">
        <v>747</v>
      </c>
      <c r="J6179" s="98" t="s">
        <v>1972</v>
      </c>
      <c r="K6179" s="98" t="s">
        <v>3926</v>
      </c>
      <c r="L6179" s="105" t="str">
        <f t="shared" si="1020"/>
        <v>Trimble</v>
      </c>
      <c r="M6179" s="105" t="str">
        <f t="shared" si="1021"/>
        <v>Outage</v>
      </c>
      <c r="N6179" s="105" t="str">
        <f t="shared" si="1022"/>
        <v>Coal</v>
      </c>
      <c r="O6179" s="105">
        <f>IFERROR(VLOOKUP(A6179,Lookup!$J$5:$P$19,7,FALSE),0)</f>
        <v>3</v>
      </c>
      <c r="P6179" s="159">
        <f t="shared" si="1023"/>
        <v>2015</v>
      </c>
      <c r="Q6179" s="159">
        <f t="shared" si="1024"/>
        <v>12</v>
      </c>
      <c r="R6179" s="160">
        <f t="shared" si="1025"/>
        <v>16.833333333372138</v>
      </c>
      <c r="S6179" s="158">
        <f t="shared" si="1026"/>
        <v>16.833333333372138</v>
      </c>
      <c r="T6179" s="161">
        <f t="shared" si="1027"/>
        <v>12574.500000028987</v>
      </c>
      <c r="U6179" s="158">
        <f t="shared" si="1029"/>
        <v>747</v>
      </c>
      <c r="V6179" s="160">
        <f t="shared" si="1028"/>
        <v>747</v>
      </c>
    </row>
    <row r="6180" spans="1:22" x14ac:dyDescent="0.25">
      <c r="A6180" s="98" t="s">
        <v>69</v>
      </c>
      <c r="B6180" s="98" t="s">
        <v>17</v>
      </c>
      <c r="C6180" s="98">
        <v>139</v>
      </c>
      <c r="D6180" s="98">
        <v>3456</v>
      </c>
      <c r="E6180" s="157">
        <v>42347.852777777778</v>
      </c>
      <c r="F6180" s="157">
        <v>42348.541666666664</v>
      </c>
      <c r="G6180" s="98">
        <v>794</v>
      </c>
      <c r="H6180" s="98">
        <v>795</v>
      </c>
      <c r="I6180" s="98">
        <v>747</v>
      </c>
      <c r="J6180" s="98" t="s">
        <v>3167</v>
      </c>
      <c r="K6180" s="98" t="s">
        <v>3922</v>
      </c>
      <c r="L6180" s="105" t="str">
        <f t="shared" si="1020"/>
        <v>Trimble</v>
      </c>
      <c r="M6180" s="105" t="str">
        <f t="shared" si="1021"/>
        <v>Derate</v>
      </c>
      <c r="N6180" s="105" t="str">
        <f t="shared" si="1022"/>
        <v>Coal</v>
      </c>
      <c r="O6180" s="105">
        <f>IFERROR(VLOOKUP(A6180,Lookup!$J$5:$P$19,7,FALSE),0)</f>
        <v>3</v>
      </c>
      <c r="P6180" s="159">
        <f t="shared" si="1023"/>
        <v>2015</v>
      </c>
      <c r="Q6180" s="159">
        <f t="shared" si="1024"/>
        <v>12</v>
      </c>
      <c r="R6180" s="160">
        <f t="shared" si="1025"/>
        <v>16.533333333267365</v>
      </c>
      <c r="S6180" s="158">
        <f t="shared" si="1026"/>
        <v>2.0796645702223102E-2</v>
      </c>
      <c r="T6180" s="161">
        <f t="shared" si="1027"/>
        <v>15.535094339560658</v>
      </c>
      <c r="U6180" s="158">
        <f t="shared" si="1029"/>
        <v>0.93962264150943398</v>
      </c>
      <c r="V6180" s="160">
        <f t="shared" si="1028"/>
        <v>1</v>
      </c>
    </row>
    <row r="6181" spans="1:22" x14ac:dyDescent="0.25">
      <c r="A6181" s="98" t="s">
        <v>69</v>
      </c>
      <c r="B6181" s="98" t="s">
        <v>17</v>
      </c>
      <c r="C6181" s="98">
        <v>140</v>
      </c>
      <c r="D6181" s="98">
        <v>510</v>
      </c>
      <c r="E6181" s="157">
        <v>42348.541666666664</v>
      </c>
      <c r="F6181" s="157">
        <v>42348.625</v>
      </c>
      <c r="G6181" s="98">
        <v>669</v>
      </c>
      <c r="H6181" s="98">
        <v>795</v>
      </c>
      <c r="I6181" s="98">
        <v>747</v>
      </c>
      <c r="J6181" s="98" t="s">
        <v>3188</v>
      </c>
      <c r="K6181" s="98" t="s">
        <v>3927</v>
      </c>
      <c r="L6181" s="105" t="str">
        <f t="shared" si="1020"/>
        <v>Trimble</v>
      </c>
      <c r="M6181" s="105" t="str">
        <f t="shared" si="1021"/>
        <v>Derate</v>
      </c>
      <c r="N6181" s="105" t="str">
        <f t="shared" si="1022"/>
        <v>Coal</v>
      </c>
      <c r="O6181" s="105">
        <f>IFERROR(VLOOKUP(A6181,Lookup!$J$5:$P$19,7,FALSE),0)</f>
        <v>3</v>
      </c>
      <c r="P6181" s="159">
        <f t="shared" si="1023"/>
        <v>2015</v>
      </c>
      <c r="Q6181" s="159">
        <f t="shared" si="1024"/>
        <v>12</v>
      </c>
      <c r="R6181" s="160">
        <f t="shared" si="1025"/>
        <v>2.0000000000582077</v>
      </c>
      <c r="S6181" s="158">
        <f t="shared" si="1026"/>
        <v>0.31698113208469708</v>
      </c>
      <c r="T6181" s="161">
        <f t="shared" si="1027"/>
        <v>236.78490566726873</v>
      </c>
      <c r="U6181" s="158">
        <f t="shared" si="1029"/>
        <v>118.39245283018867</v>
      </c>
      <c r="V6181" s="160">
        <f t="shared" si="1028"/>
        <v>118</v>
      </c>
    </row>
    <row r="6182" spans="1:22" x14ac:dyDescent="0.25">
      <c r="A6182" s="98" t="s">
        <v>69</v>
      </c>
      <c r="B6182" s="98" t="s">
        <v>17</v>
      </c>
      <c r="C6182" s="98">
        <v>141</v>
      </c>
      <c r="D6182" s="98">
        <v>510</v>
      </c>
      <c r="E6182" s="157">
        <v>42348.625</v>
      </c>
      <c r="F6182" s="157">
        <v>42349.819444444445</v>
      </c>
      <c r="G6182" s="98">
        <v>760</v>
      </c>
      <c r="H6182" s="98">
        <v>795</v>
      </c>
      <c r="I6182" s="98">
        <v>747</v>
      </c>
      <c r="J6182" s="98" t="s">
        <v>3188</v>
      </c>
      <c r="K6182" s="98" t="s">
        <v>3928</v>
      </c>
      <c r="L6182" s="105" t="str">
        <f t="shared" si="1020"/>
        <v>Trimble</v>
      </c>
      <c r="M6182" s="105" t="str">
        <f t="shared" si="1021"/>
        <v>Derate</v>
      </c>
      <c r="N6182" s="105" t="str">
        <f t="shared" si="1022"/>
        <v>Coal</v>
      </c>
      <c r="O6182" s="105">
        <f>IFERROR(VLOOKUP(A6182,Lookup!$J$5:$P$19,7,FALSE),0)</f>
        <v>3</v>
      </c>
      <c r="P6182" s="159">
        <f t="shared" si="1023"/>
        <v>2015</v>
      </c>
      <c r="Q6182" s="159">
        <f t="shared" si="1024"/>
        <v>12</v>
      </c>
      <c r="R6182" s="160">
        <f t="shared" si="1025"/>
        <v>28.666666666686069</v>
      </c>
      <c r="S6182" s="158">
        <f t="shared" si="1026"/>
        <v>1.2620545073383804</v>
      </c>
      <c r="T6182" s="161">
        <f t="shared" si="1027"/>
        <v>942.75471698177023</v>
      </c>
      <c r="U6182" s="158">
        <f t="shared" si="1029"/>
        <v>32.886792452830186</v>
      </c>
      <c r="V6182" s="160">
        <f t="shared" si="1028"/>
        <v>33</v>
      </c>
    </row>
    <row r="6183" spans="1:22" x14ac:dyDescent="0.25">
      <c r="A6183" s="98" t="s">
        <v>69</v>
      </c>
      <c r="B6183" s="98" t="s">
        <v>17</v>
      </c>
      <c r="C6183" s="98">
        <v>142</v>
      </c>
      <c r="D6183" s="98">
        <v>3409</v>
      </c>
      <c r="E6183" s="157">
        <v>42349.819444444445</v>
      </c>
      <c r="F6183" s="157">
        <v>42351</v>
      </c>
      <c r="G6183" s="98">
        <v>794</v>
      </c>
      <c r="H6183" s="98">
        <v>795</v>
      </c>
      <c r="I6183" s="98">
        <v>747</v>
      </c>
      <c r="J6183" s="98" t="s">
        <v>2107</v>
      </c>
      <c r="K6183" s="98" t="s">
        <v>3929</v>
      </c>
      <c r="L6183" s="105" t="str">
        <f t="shared" si="1020"/>
        <v>Trimble</v>
      </c>
      <c r="M6183" s="105" t="str">
        <f t="shared" si="1021"/>
        <v>Derate</v>
      </c>
      <c r="N6183" s="105" t="str">
        <f t="shared" si="1022"/>
        <v>Coal</v>
      </c>
      <c r="O6183" s="105">
        <f>IFERROR(VLOOKUP(A6183,Lookup!$J$5:$P$19,7,FALSE),0)</f>
        <v>3</v>
      </c>
      <c r="P6183" s="159">
        <f t="shared" si="1023"/>
        <v>2015</v>
      </c>
      <c r="Q6183" s="159">
        <f t="shared" si="1024"/>
        <v>12</v>
      </c>
      <c r="R6183" s="160">
        <f t="shared" si="1025"/>
        <v>28.333333333313931</v>
      </c>
      <c r="S6183" s="158">
        <f t="shared" si="1026"/>
        <v>3.5639412997879157E-2</v>
      </c>
      <c r="T6183" s="161">
        <f t="shared" si="1027"/>
        <v>26.622641509415729</v>
      </c>
      <c r="U6183" s="158">
        <f t="shared" si="1029"/>
        <v>0.93962264150943398</v>
      </c>
      <c r="V6183" s="160">
        <f t="shared" si="1028"/>
        <v>1</v>
      </c>
    </row>
    <row r="6184" spans="1:22" x14ac:dyDescent="0.25">
      <c r="A6184" s="98" t="s">
        <v>69</v>
      </c>
      <c r="B6184" s="98" t="s">
        <v>79</v>
      </c>
      <c r="C6184" s="98">
        <v>143</v>
      </c>
      <c r="D6184" s="98">
        <v>1190</v>
      </c>
      <c r="E6184" s="157">
        <v>42351</v>
      </c>
      <c r="F6184" s="157">
        <v>42351.3125</v>
      </c>
      <c r="G6184" s="98">
        <v>0</v>
      </c>
      <c r="H6184" s="98">
        <v>795</v>
      </c>
      <c r="I6184" s="98">
        <v>747</v>
      </c>
      <c r="J6184" s="98" t="s">
        <v>2007</v>
      </c>
      <c r="K6184" s="98" t="s">
        <v>3895</v>
      </c>
      <c r="L6184" s="105" t="str">
        <f t="shared" si="1020"/>
        <v>Trimble</v>
      </c>
      <c r="M6184" s="105" t="str">
        <f t="shared" si="1021"/>
        <v>Other</v>
      </c>
      <c r="N6184" s="105" t="str">
        <f t="shared" si="1022"/>
        <v>Coal</v>
      </c>
      <c r="O6184" s="105">
        <f>IFERROR(VLOOKUP(A6184,Lookup!$J$5:$P$19,7,FALSE),0)</f>
        <v>3</v>
      </c>
      <c r="P6184" s="159">
        <f t="shared" si="1023"/>
        <v>2015</v>
      </c>
      <c r="Q6184" s="159">
        <f t="shared" si="1024"/>
        <v>12</v>
      </c>
      <c r="R6184" s="160">
        <f t="shared" si="1025"/>
        <v>7.5</v>
      </c>
      <c r="S6184" s="158">
        <f t="shared" si="1026"/>
        <v>7.5</v>
      </c>
      <c r="T6184" s="161">
        <f t="shared" si="1027"/>
        <v>5602.5</v>
      </c>
      <c r="U6184" s="158">
        <f t="shared" si="1029"/>
        <v>747</v>
      </c>
      <c r="V6184" s="160">
        <f t="shared" si="1028"/>
        <v>747</v>
      </c>
    </row>
    <row r="6185" spans="1:22" x14ac:dyDescent="0.25">
      <c r="A6185" s="98" t="s">
        <v>69</v>
      </c>
      <c r="B6185" s="98" t="s">
        <v>17</v>
      </c>
      <c r="C6185" s="98">
        <v>144</v>
      </c>
      <c r="D6185" s="98">
        <v>3409</v>
      </c>
      <c r="E6185" s="157">
        <v>42351.3125</v>
      </c>
      <c r="F6185" s="157">
        <v>42358.3125</v>
      </c>
      <c r="G6185" s="98">
        <v>794</v>
      </c>
      <c r="H6185" s="98">
        <v>795</v>
      </c>
      <c r="I6185" s="98">
        <v>747</v>
      </c>
      <c r="J6185" s="98" t="s">
        <v>2107</v>
      </c>
      <c r="K6185" s="98" t="s">
        <v>3930</v>
      </c>
      <c r="L6185" s="105" t="str">
        <f t="shared" si="1020"/>
        <v>Trimble</v>
      </c>
      <c r="M6185" s="105" t="str">
        <f t="shared" si="1021"/>
        <v>Derate</v>
      </c>
      <c r="N6185" s="105" t="str">
        <f t="shared" si="1022"/>
        <v>Coal</v>
      </c>
      <c r="O6185" s="105">
        <f>IFERROR(VLOOKUP(A6185,Lookup!$J$5:$P$19,7,FALSE),0)</f>
        <v>3</v>
      </c>
      <c r="P6185" s="159">
        <f t="shared" si="1023"/>
        <v>2015</v>
      </c>
      <c r="Q6185" s="159">
        <f t="shared" si="1024"/>
        <v>12</v>
      </c>
      <c r="R6185" s="160">
        <f t="shared" si="1025"/>
        <v>168</v>
      </c>
      <c r="S6185" s="158">
        <f t="shared" si="1026"/>
        <v>0.21132075471698114</v>
      </c>
      <c r="T6185" s="161">
        <f t="shared" si="1027"/>
        <v>157.85660377358491</v>
      </c>
      <c r="U6185" s="158">
        <f t="shared" si="1029"/>
        <v>0.93962264150943398</v>
      </c>
      <c r="V6185" s="160">
        <f t="shared" si="1028"/>
        <v>1</v>
      </c>
    </row>
    <row r="6186" spans="1:22" x14ac:dyDescent="0.25">
      <c r="A6186" s="98" t="s">
        <v>69</v>
      </c>
      <c r="B6186" s="98" t="s">
        <v>17</v>
      </c>
      <c r="C6186" s="98">
        <v>145</v>
      </c>
      <c r="D6186" s="98">
        <v>3412</v>
      </c>
      <c r="E6186" s="157">
        <v>42358.3125</v>
      </c>
      <c r="F6186" s="157">
        <v>42358.6875</v>
      </c>
      <c r="G6186" s="98">
        <v>749</v>
      </c>
      <c r="H6186" s="98">
        <v>795</v>
      </c>
      <c r="I6186" s="98">
        <v>747</v>
      </c>
      <c r="J6186" s="98" t="s">
        <v>2162</v>
      </c>
      <c r="K6186" s="98" t="s">
        <v>3922</v>
      </c>
      <c r="L6186" s="105" t="str">
        <f t="shared" si="1020"/>
        <v>Trimble</v>
      </c>
      <c r="M6186" s="105" t="str">
        <f t="shared" si="1021"/>
        <v>Derate</v>
      </c>
      <c r="N6186" s="105" t="str">
        <f t="shared" si="1022"/>
        <v>Coal</v>
      </c>
      <c r="O6186" s="105">
        <f>IFERROR(VLOOKUP(A6186,Lookup!$J$5:$P$19,7,FALSE),0)</f>
        <v>3</v>
      </c>
      <c r="P6186" s="159">
        <f t="shared" si="1023"/>
        <v>2015</v>
      </c>
      <c r="Q6186" s="159">
        <f t="shared" si="1024"/>
        <v>12</v>
      </c>
      <c r="R6186" s="160">
        <f t="shared" si="1025"/>
        <v>9</v>
      </c>
      <c r="S6186" s="158">
        <f t="shared" si="1026"/>
        <v>0.52075471698113207</v>
      </c>
      <c r="T6186" s="161">
        <f t="shared" si="1027"/>
        <v>389.00377358490567</v>
      </c>
      <c r="U6186" s="158">
        <f t="shared" si="1029"/>
        <v>43.222641509433963</v>
      </c>
      <c r="V6186" s="160">
        <f t="shared" si="1028"/>
        <v>43</v>
      </c>
    </row>
    <row r="6187" spans="1:22" x14ac:dyDescent="0.25">
      <c r="A6187" s="98" t="s">
        <v>69</v>
      </c>
      <c r="B6187" s="98" t="s">
        <v>79</v>
      </c>
      <c r="C6187" s="98">
        <v>146</v>
      </c>
      <c r="D6187" s="98">
        <v>1190</v>
      </c>
      <c r="E6187" s="157">
        <v>42358.916666666664</v>
      </c>
      <c r="F6187" s="157">
        <v>42359.177083333336</v>
      </c>
      <c r="G6187" s="98">
        <v>0</v>
      </c>
      <c r="H6187" s="98">
        <v>795</v>
      </c>
      <c r="I6187" s="98">
        <v>747</v>
      </c>
      <c r="J6187" s="98" t="s">
        <v>2007</v>
      </c>
      <c r="K6187" s="98" t="s">
        <v>3913</v>
      </c>
      <c r="L6187" s="105" t="str">
        <f t="shared" si="1020"/>
        <v>Trimble</v>
      </c>
      <c r="M6187" s="105" t="str">
        <f t="shared" si="1021"/>
        <v>Other</v>
      </c>
      <c r="N6187" s="105" t="str">
        <f t="shared" si="1022"/>
        <v>Coal</v>
      </c>
      <c r="O6187" s="105">
        <f>IFERROR(VLOOKUP(A6187,Lookup!$J$5:$P$19,7,FALSE),0)</f>
        <v>3</v>
      </c>
      <c r="P6187" s="159">
        <f t="shared" si="1023"/>
        <v>2015</v>
      </c>
      <c r="Q6187" s="159">
        <f t="shared" si="1024"/>
        <v>12</v>
      </c>
      <c r="R6187" s="160">
        <f t="shared" si="1025"/>
        <v>6.2500000001164153</v>
      </c>
      <c r="S6187" s="158">
        <f t="shared" si="1026"/>
        <v>6.2500000001164153</v>
      </c>
      <c r="T6187" s="161">
        <f t="shared" si="1027"/>
        <v>4668.7500000869622</v>
      </c>
      <c r="U6187" s="158">
        <f t="shared" si="1029"/>
        <v>747</v>
      </c>
      <c r="V6187" s="160">
        <f t="shared" si="1028"/>
        <v>747</v>
      </c>
    </row>
    <row r="6188" spans="1:22" x14ac:dyDescent="0.25">
      <c r="A6188" s="98" t="s">
        <v>69</v>
      </c>
      <c r="B6188" s="98" t="s">
        <v>17</v>
      </c>
      <c r="C6188" s="98">
        <v>147</v>
      </c>
      <c r="D6188" s="98">
        <v>3441</v>
      </c>
      <c r="E6188" s="157">
        <v>42359.833333333336</v>
      </c>
      <c r="F6188" s="157">
        <v>42361</v>
      </c>
      <c r="G6188" s="98">
        <v>750</v>
      </c>
      <c r="H6188" s="98">
        <v>795</v>
      </c>
      <c r="I6188" s="98">
        <v>747</v>
      </c>
      <c r="J6188" s="98" t="s">
        <v>2282</v>
      </c>
      <c r="K6188" s="98" t="s">
        <v>3931</v>
      </c>
      <c r="L6188" s="105" t="str">
        <f t="shared" si="1020"/>
        <v>Trimble</v>
      </c>
      <c r="M6188" s="105" t="str">
        <f t="shared" si="1021"/>
        <v>Derate</v>
      </c>
      <c r="N6188" s="105" t="str">
        <f t="shared" si="1022"/>
        <v>Coal</v>
      </c>
      <c r="O6188" s="105">
        <f>IFERROR(VLOOKUP(A6188,Lookup!$J$5:$P$19,7,FALSE),0)</f>
        <v>3</v>
      </c>
      <c r="P6188" s="159">
        <f t="shared" si="1023"/>
        <v>2015</v>
      </c>
      <c r="Q6188" s="159">
        <f t="shared" si="1024"/>
        <v>12</v>
      </c>
      <c r="R6188" s="160">
        <f t="shared" si="1025"/>
        <v>27.999999999941792</v>
      </c>
      <c r="S6188" s="158">
        <f t="shared" si="1026"/>
        <v>1.5849056603740637</v>
      </c>
      <c r="T6188" s="161">
        <f t="shared" si="1027"/>
        <v>1183.9245282994254</v>
      </c>
      <c r="U6188" s="158">
        <f t="shared" si="1029"/>
        <v>42.283018867924525</v>
      </c>
      <c r="V6188" s="160">
        <f t="shared" si="1028"/>
        <v>42</v>
      </c>
    </row>
    <row r="6189" spans="1:22" x14ac:dyDescent="0.25">
      <c r="A6189" s="98" t="s">
        <v>69</v>
      </c>
      <c r="B6189" s="98" t="s">
        <v>17</v>
      </c>
      <c r="C6189" s="98">
        <v>148</v>
      </c>
      <c r="D6189" s="98">
        <v>95</v>
      </c>
      <c r="E6189" s="157">
        <v>42369.719444444447</v>
      </c>
      <c r="F6189" s="157">
        <v>42369.784722222219</v>
      </c>
      <c r="G6189" s="98">
        <v>750</v>
      </c>
      <c r="H6189" s="98">
        <v>795</v>
      </c>
      <c r="I6189" s="98">
        <v>747</v>
      </c>
      <c r="J6189" s="98" t="s">
        <v>1998</v>
      </c>
      <c r="K6189" s="98" t="s">
        <v>3932</v>
      </c>
      <c r="L6189" s="105" t="str">
        <f t="shared" si="1020"/>
        <v>Trimble</v>
      </c>
      <c r="M6189" s="105" t="str">
        <f t="shared" si="1021"/>
        <v>Derate</v>
      </c>
      <c r="N6189" s="105" t="str">
        <f t="shared" si="1022"/>
        <v>Coal</v>
      </c>
      <c r="O6189" s="105">
        <f>IFERROR(VLOOKUP(A6189,Lookup!$J$5:$P$19,7,FALSE),0)</f>
        <v>3</v>
      </c>
      <c r="P6189" s="159">
        <f t="shared" si="1023"/>
        <v>2015</v>
      </c>
      <c r="Q6189" s="159">
        <f t="shared" si="1024"/>
        <v>12</v>
      </c>
      <c r="R6189" s="160">
        <f t="shared" si="1025"/>
        <v>1.5666666665347293</v>
      </c>
      <c r="S6189" s="158">
        <f t="shared" si="1026"/>
        <v>8.8679245275550711E-2</v>
      </c>
      <c r="T6189" s="161">
        <f t="shared" si="1027"/>
        <v>66.243396220836388</v>
      </c>
      <c r="U6189" s="158">
        <f t="shared" si="1029"/>
        <v>42.283018867924525</v>
      </c>
      <c r="V6189" s="160">
        <f t="shared" si="1028"/>
        <v>42</v>
      </c>
    </row>
    <row r="6190" spans="1:22" x14ac:dyDescent="0.25">
      <c r="A6190" s="98" t="s">
        <v>69</v>
      </c>
      <c r="B6190" s="98" t="s">
        <v>79</v>
      </c>
      <c r="C6190" s="98">
        <v>149</v>
      </c>
      <c r="D6190" s="98">
        <v>1190</v>
      </c>
      <c r="E6190" s="157">
        <v>42369.958333333336</v>
      </c>
      <c r="F6190" s="157">
        <v>42370</v>
      </c>
      <c r="H6190" s="98">
        <v>795</v>
      </c>
      <c r="I6190" s="98">
        <v>747</v>
      </c>
      <c r="J6190" s="98" t="s">
        <v>2007</v>
      </c>
      <c r="K6190" s="98" t="s">
        <v>3895</v>
      </c>
      <c r="L6190" s="105" t="str">
        <f t="shared" si="1020"/>
        <v>Trimble</v>
      </c>
      <c r="M6190" s="105" t="str">
        <f t="shared" si="1021"/>
        <v>Other</v>
      </c>
      <c r="N6190" s="105" t="str">
        <f t="shared" si="1022"/>
        <v>Coal</v>
      </c>
      <c r="O6190" s="105">
        <f>IFERROR(VLOOKUP(A6190,Lookup!$J$5:$P$19,7,FALSE),0)</f>
        <v>3</v>
      </c>
      <c r="P6190" s="159">
        <f t="shared" si="1023"/>
        <v>2015</v>
      </c>
      <c r="Q6190" s="159">
        <f t="shared" si="1024"/>
        <v>12</v>
      </c>
      <c r="R6190" s="160">
        <f t="shared" si="1025"/>
        <v>0.99999999994179234</v>
      </c>
      <c r="S6190" s="158">
        <f t="shared" si="1026"/>
        <v>0.99999999994179234</v>
      </c>
      <c r="T6190" s="161">
        <f t="shared" si="1027"/>
        <v>746.99999995651888</v>
      </c>
      <c r="U6190" s="158">
        <f t="shared" si="1029"/>
        <v>747</v>
      </c>
      <c r="V6190" s="160">
        <f t="shared" si="1028"/>
        <v>747</v>
      </c>
    </row>
    <row r="6191" spans="1:22" x14ac:dyDescent="0.25">
      <c r="A6191" s="98" t="s">
        <v>69</v>
      </c>
      <c r="B6191" s="98" t="s">
        <v>79</v>
      </c>
      <c r="C6191" s="98">
        <v>11</v>
      </c>
      <c r="D6191" s="98">
        <v>1190</v>
      </c>
      <c r="E6191" s="157">
        <v>42370</v>
      </c>
      <c r="F6191" s="157">
        <v>42370.270833333336</v>
      </c>
      <c r="H6191" s="98">
        <v>795</v>
      </c>
      <c r="I6191" s="98">
        <v>747</v>
      </c>
      <c r="J6191" s="98" t="s">
        <v>2007</v>
      </c>
      <c r="K6191" s="98" t="s">
        <v>3933</v>
      </c>
      <c r="L6191" s="105" t="str">
        <f t="shared" si="1020"/>
        <v>Trimble</v>
      </c>
      <c r="M6191" s="105" t="str">
        <f t="shared" si="1021"/>
        <v>Other</v>
      </c>
      <c r="N6191" s="105" t="str">
        <f t="shared" si="1022"/>
        <v>Coal</v>
      </c>
      <c r="O6191" s="105">
        <f>IFERROR(VLOOKUP(A6191,Lookup!$J$5:$P$19,7,FALSE),0)</f>
        <v>3</v>
      </c>
      <c r="P6191" s="159">
        <f t="shared" si="1023"/>
        <v>2016</v>
      </c>
      <c r="Q6191" s="159">
        <f t="shared" si="1024"/>
        <v>1</v>
      </c>
      <c r="R6191" s="160">
        <f t="shared" si="1025"/>
        <v>6.5000000000582077</v>
      </c>
      <c r="S6191" s="158">
        <f t="shared" si="1026"/>
        <v>6.5000000000582077</v>
      </c>
      <c r="T6191" s="161">
        <f t="shared" si="1027"/>
        <v>4855.5000000434811</v>
      </c>
      <c r="U6191" s="158">
        <f t="shared" si="1029"/>
        <v>747</v>
      </c>
      <c r="V6191" s="160">
        <f t="shared" si="1028"/>
        <v>747</v>
      </c>
    </row>
    <row r="6192" spans="1:22" x14ac:dyDescent="0.25">
      <c r="A6192" s="98" t="s">
        <v>69</v>
      </c>
      <c r="B6192" s="98" t="s">
        <v>17</v>
      </c>
      <c r="C6192" s="98">
        <v>1</v>
      </c>
      <c r="D6192" s="98">
        <v>3310</v>
      </c>
      <c r="E6192" s="157">
        <v>42370.299305555556</v>
      </c>
      <c r="F6192" s="157">
        <v>42370.625</v>
      </c>
      <c r="G6192" s="98">
        <v>760</v>
      </c>
      <c r="H6192" s="98">
        <v>795</v>
      </c>
      <c r="I6192" s="98">
        <v>747</v>
      </c>
      <c r="J6192" s="98" t="s">
        <v>2099</v>
      </c>
      <c r="K6192" s="98" t="s">
        <v>3934</v>
      </c>
      <c r="L6192" s="105" t="str">
        <f t="shared" si="1020"/>
        <v>Trimble</v>
      </c>
      <c r="M6192" s="105" t="str">
        <f t="shared" si="1021"/>
        <v>Derate</v>
      </c>
      <c r="N6192" s="105" t="str">
        <f t="shared" si="1022"/>
        <v>Coal</v>
      </c>
      <c r="O6192" s="105">
        <f>IFERROR(VLOOKUP(A6192,Lookup!$J$5:$P$19,7,FALSE),0)</f>
        <v>3</v>
      </c>
      <c r="P6192" s="159">
        <f t="shared" si="1023"/>
        <v>2016</v>
      </c>
      <c r="Q6192" s="159">
        <f t="shared" si="1024"/>
        <v>1</v>
      </c>
      <c r="R6192" s="160">
        <f t="shared" si="1025"/>
        <v>7.8166666666511446</v>
      </c>
      <c r="S6192" s="158">
        <f t="shared" si="1026"/>
        <v>0.34412997903495607</v>
      </c>
      <c r="T6192" s="161">
        <f t="shared" si="1027"/>
        <v>257.06509433911219</v>
      </c>
      <c r="U6192" s="158">
        <f t="shared" si="1029"/>
        <v>32.886792452830186</v>
      </c>
      <c r="V6192" s="160">
        <f t="shared" si="1028"/>
        <v>33</v>
      </c>
    </row>
    <row r="6193" spans="1:22" x14ac:dyDescent="0.25">
      <c r="A6193" s="98" t="s">
        <v>69</v>
      </c>
      <c r="B6193" s="98" t="s">
        <v>17</v>
      </c>
      <c r="C6193" s="98">
        <v>2</v>
      </c>
      <c r="D6193" s="98">
        <v>3985</v>
      </c>
      <c r="E6193" s="157">
        <v>42376.40625</v>
      </c>
      <c r="F6193" s="157">
        <v>42376.5</v>
      </c>
      <c r="G6193" s="98">
        <v>796</v>
      </c>
      <c r="H6193" s="98">
        <v>795</v>
      </c>
      <c r="I6193" s="98">
        <v>747</v>
      </c>
      <c r="J6193" s="98" t="s">
        <v>3935</v>
      </c>
      <c r="K6193" s="98" t="s">
        <v>3936</v>
      </c>
      <c r="L6193" s="105" t="str">
        <f t="shared" si="1020"/>
        <v>Trimble</v>
      </c>
      <c r="M6193" s="105" t="str">
        <f t="shared" si="1021"/>
        <v>Derate</v>
      </c>
      <c r="N6193" s="105" t="str">
        <f t="shared" si="1022"/>
        <v>Coal</v>
      </c>
      <c r="O6193" s="105">
        <f>IFERROR(VLOOKUP(A6193,Lookup!$J$5:$P$19,7,FALSE),0)</f>
        <v>3</v>
      </c>
      <c r="P6193" s="159">
        <f t="shared" si="1023"/>
        <v>2016</v>
      </c>
      <c r="Q6193" s="159">
        <f t="shared" si="1024"/>
        <v>1</v>
      </c>
      <c r="R6193" s="160">
        <f t="shared" si="1025"/>
        <v>2.25</v>
      </c>
      <c r="S6193" s="158">
        <f t="shared" si="1026"/>
        <v>-2.8301886792452828E-3</v>
      </c>
      <c r="T6193" s="161">
        <f t="shared" si="1027"/>
        <v>-2.1141509433962264</v>
      </c>
      <c r="U6193" s="158">
        <f t="shared" si="1029"/>
        <v>0</v>
      </c>
      <c r="V6193" s="160">
        <f t="shared" si="1028"/>
        <v>0</v>
      </c>
    </row>
    <row r="6194" spans="1:22" x14ac:dyDescent="0.25">
      <c r="A6194" s="98" t="s">
        <v>69</v>
      </c>
      <c r="B6194" s="98" t="s">
        <v>17</v>
      </c>
      <c r="C6194" s="98">
        <v>3</v>
      </c>
      <c r="D6194" s="98">
        <v>310</v>
      </c>
      <c r="E6194" s="157">
        <v>42377.052083333336</v>
      </c>
      <c r="F6194" s="157">
        <v>42377.166666666664</v>
      </c>
      <c r="G6194" s="98">
        <v>740</v>
      </c>
      <c r="H6194" s="98">
        <v>795</v>
      </c>
      <c r="I6194" s="98">
        <v>747</v>
      </c>
      <c r="J6194" s="98" t="s">
        <v>1966</v>
      </c>
      <c r="K6194" s="98" t="s">
        <v>4484</v>
      </c>
      <c r="L6194" s="105" t="str">
        <f t="shared" si="1020"/>
        <v>Trimble</v>
      </c>
      <c r="M6194" s="105" t="str">
        <f t="shared" si="1021"/>
        <v>Derate</v>
      </c>
      <c r="N6194" s="105" t="str">
        <f t="shared" si="1022"/>
        <v>Coal</v>
      </c>
      <c r="O6194" s="105">
        <f>IFERROR(VLOOKUP(A6194,Lookup!$J$5:$P$19,7,FALSE),0)</f>
        <v>3</v>
      </c>
      <c r="P6194" s="159">
        <f t="shared" si="1023"/>
        <v>2016</v>
      </c>
      <c r="Q6194" s="159">
        <f t="shared" si="1024"/>
        <v>1</v>
      </c>
      <c r="R6194" s="160">
        <f t="shared" si="1025"/>
        <v>2.7499999998835847</v>
      </c>
      <c r="S6194" s="158">
        <f t="shared" si="1026"/>
        <v>0.19025157231899015</v>
      </c>
      <c r="T6194" s="161">
        <f t="shared" si="1027"/>
        <v>142.11792452228565</v>
      </c>
      <c r="U6194" s="158">
        <f t="shared" si="1029"/>
        <v>51.679245283018865</v>
      </c>
      <c r="V6194" s="160">
        <f t="shared" si="1028"/>
        <v>52</v>
      </c>
    </row>
    <row r="6195" spans="1:22" x14ac:dyDescent="0.25">
      <c r="A6195" s="98" t="s">
        <v>69</v>
      </c>
      <c r="B6195" s="98" t="s">
        <v>79</v>
      </c>
      <c r="C6195" s="98">
        <v>4</v>
      </c>
      <c r="D6195" s="98">
        <v>1190</v>
      </c>
      <c r="E6195" s="157">
        <v>42378</v>
      </c>
      <c r="F6195" s="157">
        <v>42378.3125</v>
      </c>
      <c r="G6195" s="98">
        <v>0</v>
      </c>
      <c r="H6195" s="98">
        <v>795</v>
      </c>
      <c r="I6195" s="98">
        <v>747</v>
      </c>
      <c r="J6195" s="98" t="s">
        <v>2007</v>
      </c>
      <c r="K6195" s="98" t="s">
        <v>3913</v>
      </c>
      <c r="L6195" s="105" t="str">
        <f t="shared" si="1020"/>
        <v>Trimble</v>
      </c>
      <c r="M6195" s="105" t="str">
        <f t="shared" si="1021"/>
        <v>Other</v>
      </c>
      <c r="N6195" s="105" t="str">
        <f t="shared" si="1022"/>
        <v>Coal</v>
      </c>
      <c r="O6195" s="105">
        <f>IFERROR(VLOOKUP(A6195,Lookup!$J$5:$P$19,7,FALSE),0)</f>
        <v>3</v>
      </c>
      <c r="P6195" s="159">
        <f t="shared" si="1023"/>
        <v>2016</v>
      </c>
      <c r="Q6195" s="159">
        <f t="shared" si="1024"/>
        <v>1</v>
      </c>
      <c r="R6195" s="160">
        <f t="shared" si="1025"/>
        <v>7.5</v>
      </c>
      <c r="S6195" s="158">
        <f t="shared" si="1026"/>
        <v>7.5</v>
      </c>
      <c r="T6195" s="161">
        <f t="shared" si="1027"/>
        <v>5602.5</v>
      </c>
      <c r="U6195" s="158">
        <f t="shared" si="1029"/>
        <v>747</v>
      </c>
      <c r="V6195" s="160">
        <f t="shared" si="1028"/>
        <v>747</v>
      </c>
    </row>
    <row r="6196" spans="1:22" x14ac:dyDescent="0.25">
      <c r="A6196" s="98" t="s">
        <v>69</v>
      </c>
      <c r="B6196" s="98" t="s">
        <v>17</v>
      </c>
      <c r="C6196" s="98">
        <v>5</v>
      </c>
      <c r="D6196" s="98">
        <v>3210</v>
      </c>
      <c r="E6196" s="157">
        <v>42379.402777777781</v>
      </c>
      <c r="F6196" s="157">
        <v>42379.416666666664</v>
      </c>
      <c r="G6196" s="98">
        <v>750</v>
      </c>
      <c r="H6196" s="98">
        <v>795</v>
      </c>
      <c r="I6196" s="98">
        <v>747</v>
      </c>
      <c r="J6196" s="98" t="s">
        <v>2048</v>
      </c>
      <c r="K6196" s="98" t="s">
        <v>3937</v>
      </c>
      <c r="L6196" s="105" t="str">
        <f t="shared" si="1020"/>
        <v>Trimble</v>
      </c>
      <c r="M6196" s="105" t="str">
        <f t="shared" si="1021"/>
        <v>Derate</v>
      </c>
      <c r="N6196" s="105" t="str">
        <f t="shared" si="1022"/>
        <v>Coal</v>
      </c>
      <c r="O6196" s="105">
        <f>IFERROR(VLOOKUP(A6196,Lookup!$J$5:$P$19,7,FALSE),0)</f>
        <v>3</v>
      </c>
      <c r="P6196" s="159">
        <f t="shared" si="1023"/>
        <v>2016</v>
      </c>
      <c r="Q6196" s="159">
        <f t="shared" si="1024"/>
        <v>1</v>
      </c>
      <c r="R6196" s="160">
        <f t="shared" si="1025"/>
        <v>0.33333333319751546</v>
      </c>
      <c r="S6196" s="158">
        <f t="shared" si="1026"/>
        <v>1.8867924520614081E-2</v>
      </c>
      <c r="T6196" s="161">
        <f t="shared" si="1027"/>
        <v>14.094339616898719</v>
      </c>
      <c r="U6196" s="158">
        <f t="shared" si="1029"/>
        <v>42.283018867924525</v>
      </c>
      <c r="V6196" s="160">
        <f t="shared" si="1028"/>
        <v>42</v>
      </c>
    </row>
    <row r="6197" spans="1:22" x14ac:dyDescent="0.25">
      <c r="A6197" s="98" t="s">
        <v>69</v>
      </c>
      <c r="B6197" s="98" t="s">
        <v>17</v>
      </c>
      <c r="C6197" s="98">
        <v>6</v>
      </c>
      <c r="D6197" s="98">
        <v>9290</v>
      </c>
      <c r="E6197" s="157">
        <v>42380.659722222219</v>
      </c>
      <c r="F6197" s="157">
        <v>42381.041666666664</v>
      </c>
      <c r="G6197" s="98">
        <v>760</v>
      </c>
      <c r="H6197" s="98">
        <v>795</v>
      </c>
      <c r="I6197" s="98">
        <v>747</v>
      </c>
      <c r="J6197" s="98" t="s">
        <v>2045</v>
      </c>
      <c r="K6197" s="98" t="s">
        <v>3938</v>
      </c>
      <c r="L6197" s="105" t="str">
        <f t="shared" si="1020"/>
        <v>Trimble</v>
      </c>
      <c r="M6197" s="105" t="str">
        <f t="shared" si="1021"/>
        <v>Derate</v>
      </c>
      <c r="N6197" s="105" t="str">
        <f t="shared" si="1022"/>
        <v>Coal</v>
      </c>
      <c r="O6197" s="105">
        <f>IFERROR(VLOOKUP(A6197,Lookup!$J$5:$P$19,7,FALSE),0)</f>
        <v>3</v>
      </c>
      <c r="P6197" s="159">
        <f t="shared" si="1023"/>
        <v>2016</v>
      </c>
      <c r="Q6197" s="159">
        <f t="shared" si="1024"/>
        <v>1</v>
      </c>
      <c r="R6197" s="160">
        <f t="shared" si="1025"/>
        <v>9.1666666666860692</v>
      </c>
      <c r="S6197" s="158">
        <f t="shared" si="1026"/>
        <v>0.40356394130064455</v>
      </c>
      <c r="T6197" s="161">
        <f t="shared" si="1027"/>
        <v>301.46226415158145</v>
      </c>
      <c r="U6197" s="158">
        <f t="shared" si="1029"/>
        <v>32.886792452830186</v>
      </c>
      <c r="V6197" s="160">
        <f t="shared" si="1028"/>
        <v>33</v>
      </c>
    </row>
    <row r="6198" spans="1:22" x14ac:dyDescent="0.25">
      <c r="A6198" s="98" t="s">
        <v>69</v>
      </c>
      <c r="B6198" s="98" t="s">
        <v>17</v>
      </c>
      <c r="C6198" s="98">
        <v>7</v>
      </c>
      <c r="D6198" s="98">
        <v>310</v>
      </c>
      <c r="E6198" s="157">
        <v>42381.041666666664</v>
      </c>
      <c r="F6198" s="157">
        <v>42381.208333333336</v>
      </c>
      <c r="G6198" s="98">
        <v>719</v>
      </c>
      <c r="H6198" s="98">
        <v>795</v>
      </c>
      <c r="I6198" s="98">
        <v>747</v>
      </c>
      <c r="J6198" s="98" t="s">
        <v>1966</v>
      </c>
      <c r="K6198" s="98" t="s">
        <v>4485</v>
      </c>
      <c r="L6198" s="105" t="str">
        <f t="shared" si="1020"/>
        <v>Trimble</v>
      </c>
      <c r="M6198" s="105" t="str">
        <f t="shared" si="1021"/>
        <v>Derate</v>
      </c>
      <c r="N6198" s="105" t="str">
        <f t="shared" si="1022"/>
        <v>Coal</v>
      </c>
      <c r="O6198" s="105">
        <f>IFERROR(VLOOKUP(A6198,Lookup!$J$5:$P$19,7,FALSE),0)</f>
        <v>3</v>
      </c>
      <c r="P6198" s="159">
        <f t="shared" si="1023"/>
        <v>2016</v>
      </c>
      <c r="Q6198" s="159">
        <f t="shared" si="1024"/>
        <v>1</v>
      </c>
      <c r="R6198" s="160">
        <f t="shared" si="1025"/>
        <v>4.0000000001164153</v>
      </c>
      <c r="S6198" s="158">
        <f t="shared" si="1026"/>
        <v>0.38238993711804725</v>
      </c>
      <c r="T6198" s="161">
        <f t="shared" si="1027"/>
        <v>285.64528302718128</v>
      </c>
      <c r="U6198" s="158">
        <f t="shared" si="1029"/>
        <v>71.411320754716982</v>
      </c>
      <c r="V6198" s="160">
        <f t="shared" si="1028"/>
        <v>71</v>
      </c>
    </row>
    <row r="6199" spans="1:22" x14ac:dyDescent="0.25">
      <c r="A6199" s="98" t="s">
        <v>69</v>
      </c>
      <c r="B6199" s="98" t="s">
        <v>17</v>
      </c>
      <c r="C6199" s="98">
        <v>8</v>
      </c>
      <c r="D6199" s="98">
        <v>9290</v>
      </c>
      <c r="E6199" s="157">
        <v>42381.208333333336</v>
      </c>
      <c r="F6199" s="157">
        <v>42381.354166666664</v>
      </c>
      <c r="G6199" s="98">
        <v>760</v>
      </c>
      <c r="H6199" s="98">
        <v>795</v>
      </c>
      <c r="I6199" s="98">
        <v>747</v>
      </c>
      <c r="J6199" s="98" t="s">
        <v>2045</v>
      </c>
      <c r="K6199" s="98" t="s">
        <v>3939</v>
      </c>
      <c r="L6199" s="105" t="str">
        <f t="shared" si="1020"/>
        <v>Trimble</v>
      </c>
      <c r="M6199" s="105" t="str">
        <f t="shared" si="1021"/>
        <v>Derate</v>
      </c>
      <c r="N6199" s="105" t="str">
        <f t="shared" si="1022"/>
        <v>Coal</v>
      </c>
      <c r="O6199" s="105">
        <f>IFERROR(VLOOKUP(A6199,Lookup!$J$5:$P$19,7,FALSE),0)</f>
        <v>3</v>
      </c>
      <c r="P6199" s="159">
        <f t="shared" si="1023"/>
        <v>2016</v>
      </c>
      <c r="Q6199" s="159">
        <f t="shared" si="1024"/>
        <v>1</v>
      </c>
      <c r="R6199" s="160">
        <f t="shared" si="1025"/>
        <v>3.4999999998835847</v>
      </c>
      <c r="S6199" s="158">
        <f t="shared" si="1026"/>
        <v>0.1540880503093402</v>
      </c>
      <c r="T6199" s="161">
        <f t="shared" si="1027"/>
        <v>115.10377358107712</v>
      </c>
      <c r="U6199" s="158">
        <f t="shared" si="1029"/>
        <v>32.886792452830186</v>
      </c>
      <c r="V6199" s="160">
        <f t="shared" si="1028"/>
        <v>33</v>
      </c>
    </row>
    <row r="6200" spans="1:22" x14ac:dyDescent="0.25">
      <c r="A6200" s="98" t="s">
        <v>69</v>
      </c>
      <c r="B6200" s="98" t="s">
        <v>17</v>
      </c>
      <c r="C6200" s="98">
        <v>9</v>
      </c>
      <c r="D6200" s="98">
        <v>9290</v>
      </c>
      <c r="E6200" s="157">
        <v>42381.354166666664</v>
      </c>
      <c r="F6200" s="157">
        <v>42382.413888888892</v>
      </c>
      <c r="G6200" s="98">
        <v>780</v>
      </c>
      <c r="H6200" s="98">
        <v>795</v>
      </c>
      <c r="I6200" s="98">
        <v>747</v>
      </c>
      <c r="J6200" s="98" t="s">
        <v>2045</v>
      </c>
      <c r="K6200" s="98" t="s">
        <v>3939</v>
      </c>
      <c r="L6200" s="105" t="str">
        <f t="shared" si="1020"/>
        <v>Trimble</v>
      </c>
      <c r="M6200" s="105" t="str">
        <f t="shared" si="1021"/>
        <v>Derate</v>
      </c>
      <c r="N6200" s="105" t="str">
        <f t="shared" si="1022"/>
        <v>Coal</v>
      </c>
      <c r="O6200" s="105">
        <f>IFERROR(VLOOKUP(A6200,Lookup!$J$5:$P$19,7,FALSE),0)</f>
        <v>3</v>
      </c>
      <c r="P6200" s="159">
        <f t="shared" si="1023"/>
        <v>2016</v>
      </c>
      <c r="Q6200" s="159">
        <f t="shared" si="1024"/>
        <v>1</v>
      </c>
      <c r="R6200" s="160">
        <f t="shared" si="1025"/>
        <v>25.433333333465271</v>
      </c>
      <c r="S6200" s="158">
        <f t="shared" si="1026"/>
        <v>0.47987421383896739</v>
      </c>
      <c r="T6200" s="161">
        <f t="shared" si="1027"/>
        <v>358.46603773770863</v>
      </c>
      <c r="U6200" s="158">
        <f t="shared" si="1029"/>
        <v>14.09433962264151</v>
      </c>
      <c r="V6200" s="160">
        <f t="shared" si="1028"/>
        <v>14</v>
      </c>
    </row>
    <row r="6201" spans="1:22" x14ac:dyDescent="0.25">
      <c r="A6201" s="98" t="s">
        <v>69</v>
      </c>
      <c r="B6201" s="98" t="s">
        <v>79</v>
      </c>
      <c r="C6201" s="98">
        <v>10</v>
      </c>
      <c r="D6201" s="98">
        <v>1190</v>
      </c>
      <c r="E6201" s="157">
        <v>42385</v>
      </c>
      <c r="F6201" s="157">
        <v>42385.3125</v>
      </c>
      <c r="G6201" s="98">
        <v>0</v>
      </c>
      <c r="H6201" s="98">
        <v>795</v>
      </c>
      <c r="I6201" s="98">
        <v>747</v>
      </c>
      <c r="J6201" s="98" t="s">
        <v>2007</v>
      </c>
      <c r="K6201" s="98" t="s">
        <v>3895</v>
      </c>
      <c r="L6201" s="105" t="str">
        <f t="shared" si="1020"/>
        <v>Trimble</v>
      </c>
      <c r="M6201" s="105" t="str">
        <f t="shared" si="1021"/>
        <v>Other</v>
      </c>
      <c r="N6201" s="105" t="str">
        <f t="shared" si="1022"/>
        <v>Coal</v>
      </c>
      <c r="O6201" s="105">
        <f>IFERROR(VLOOKUP(A6201,Lookup!$J$5:$P$19,7,FALSE),0)</f>
        <v>3</v>
      </c>
      <c r="P6201" s="159">
        <f t="shared" si="1023"/>
        <v>2016</v>
      </c>
      <c r="Q6201" s="159">
        <f t="shared" si="1024"/>
        <v>1</v>
      </c>
      <c r="R6201" s="160">
        <f t="shared" si="1025"/>
        <v>7.5</v>
      </c>
      <c r="S6201" s="158">
        <f t="shared" si="1026"/>
        <v>7.5</v>
      </c>
      <c r="T6201" s="161">
        <f t="shared" si="1027"/>
        <v>5602.5</v>
      </c>
      <c r="U6201" s="158">
        <f t="shared" si="1029"/>
        <v>747</v>
      </c>
      <c r="V6201" s="160">
        <f t="shared" si="1028"/>
        <v>747</v>
      </c>
    </row>
    <row r="6202" spans="1:22" x14ac:dyDescent="0.25">
      <c r="A6202" s="98" t="s">
        <v>69</v>
      </c>
      <c r="B6202" s="98" t="s">
        <v>79</v>
      </c>
      <c r="C6202" s="98">
        <v>12</v>
      </c>
      <c r="D6202" s="98">
        <v>1190</v>
      </c>
      <c r="E6202" s="157">
        <v>42391.916666666664</v>
      </c>
      <c r="F6202" s="157">
        <v>42392.229166666664</v>
      </c>
      <c r="G6202" s="98">
        <v>0</v>
      </c>
      <c r="H6202" s="98">
        <v>795</v>
      </c>
      <c r="I6202" s="98">
        <v>747</v>
      </c>
      <c r="J6202" s="98" t="s">
        <v>2007</v>
      </c>
      <c r="K6202" s="98" t="s">
        <v>3940</v>
      </c>
      <c r="L6202" s="105" t="str">
        <f t="shared" si="1020"/>
        <v>Trimble</v>
      </c>
      <c r="M6202" s="105" t="str">
        <f t="shared" si="1021"/>
        <v>Other</v>
      </c>
      <c r="N6202" s="105" t="str">
        <f t="shared" si="1022"/>
        <v>Coal</v>
      </c>
      <c r="O6202" s="105">
        <f>IFERROR(VLOOKUP(A6202,Lookup!$J$5:$P$19,7,FALSE),0)</f>
        <v>3</v>
      </c>
      <c r="P6202" s="159">
        <f t="shared" si="1023"/>
        <v>2016</v>
      </c>
      <c r="Q6202" s="159">
        <f t="shared" si="1024"/>
        <v>1</v>
      </c>
      <c r="R6202" s="160">
        <f t="shared" si="1025"/>
        <v>7.5</v>
      </c>
      <c r="S6202" s="158">
        <f t="shared" si="1026"/>
        <v>7.5</v>
      </c>
      <c r="T6202" s="161">
        <f t="shared" si="1027"/>
        <v>5602.5</v>
      </c>
      <c r="U6202" s="158">
        <f t="shared" si="1029"/>
        <v>747</v>
      </c>
      <c r="V6202" s="160">
        <f t="shared" si="1028"/>
        <v>747</v>
      </c>
    </row>
    <row r="6203" spans="1:22" x14ac:dyDescent="0.25">
      <c r="A6203" s="98" t="s">
        <v>69</v>
      </c>
      <c r="B6203" s="98" t="s">
        <v>79</v>
      </c>
      <c r="C6203" s="98">
        <v>13</v>
      </c>
      <c r="D6203" s="98">
        <v>1190</v>
      </c>
      <c r="E6203" s="157">
        <v>42399.916666666664</v>
      </c>
      <c r="F6203" s="157">
        <v>42400.229166666664</v>
      </c>
      <c r="G6203" s="98">
        <v>0</v>
      </c>
      <c r="H6203" s="98">
        <v>795</v>
      </c>
      <c r="I6203" s="98">
        <v>747</v>
      </c>
      <c r="J6203" s="98" t="s">
        <v>2007</v>
      </c>
      <c r="K6203" s="98" t="s">
        <v>3940</v>
      </c>
      <c r="L6203" s="105" t="str">
        <f t="shared" si="1020"/>
        <v>Trimble</v>
      </c>
      <c r="M6203" s="105" t="str">
        <f t="shared" si="1021"/>
        <v>Other</v>
      </c>
      <c r="N6203" s="105" t="str">
        <f t="shared" si="1022"/>
        <v>Coal</v>
      </c>
      <c r="O6203" s="105">
        <f>IFERROR(VLOOKUP(A6203,Lookup!$J$5:$P$19,7,FALSE),0)</f>
        <v>3</v>
      </c>
      <c r="P6203" s="159">
        <f t="shared" si="1023"/>
        <v>2016</v>
      </c>
      <c r="Q6203" s="159">
        <f t="shared" si="1024"/>
        <v>1</v>
      </c>
      <c r="R6203" s="160">
        <f t="shared" si="1025"/>
        <v>7.5</v>
      </c>
      <c r="S6203" s="158">
        <f t="shared" si="1026"/>
        <v>7.5</v>
      </c>
      <c r="T6203" s="161">
        <f t="shared" si="1027"/>
        <v>5602.5</v>
      </c>
      <c r="U6203" s="158">
        <f t="shared" si="1029"/>
        <v>747</v>
      </c>
      <c r="V6203" s="160">
        <f t="shared" si="1028"/>
        <v>747</v>
      </c>
    </row>
    <row r="6204" spans="1:22" x14ac:dyDescent="0.25">
      <c r="A6204" s="98" t="s">
        <v>69</v>
      </c>
      <c r="B6204" s="98" t="s">
        <v>17</v>
      </c>
      <c r="C6204" s="98">
        <v>14</v>
      </c>
      <c r="D6204" s="98">
        <v>1488</v>
      </c>
      <c r="E6204" s="157">
        <v>42403.916666666664</v>
      </c>
      <c r="F6204" s="157">
        <v>42404</v>
      </c>
      <c r="G6204" s="98">
        <v>709</v>
      </c>
      <c r="H6204" s="98">
        <v>795</v>
      </c>
      <c r="I6204" s="98">
        <v>747</v>
      </c>
      <c r="J6204" s="98" t="s">
        <v>2284</v>
      </c>
      <c r="K6204" s="98" t="s">
        <v>3941</v>
      </c>
      <c r="L6204" s="105" t="str">
        <f t="shared" si="1020"/>
        <v>Trimble</v>
      </c>
      <c r="M6204" s="105" t="str">
        <f t="shared" si="1021"/>
        <v>Derate</v>
      </c>
      <c r="N6204" s="105" t="str">
        <f t="shared" si="1022"/>
        <v>Coal</v>
      </c>
      <c r="O6204" s="105">
        <f>IFERROR(VLOOKUP(A6204,Lookup!$J$5:$P$19,7,FALSE),0)</f>
        <v>3</v>
      </c>
      <c r="P6204" s="159">
        <f t="shared" si="1023"/>
        <v>2016</v>
      </c>
      <c r="Q6204" s="159">
        <f t="shared" si="1024"/>
        <v>2</v>
      </c>
      <c r="R6204" s="160">
        <f t="shared" si="1025"/>
        <v>2.0000000000582077</v>
      </c>
      <c r="S6204" s="158">
        <f t="shared" si="1026"/>
        <v>0.2163522012641583</v>
      </c>
      <c r="T6204" s="161">
        <f t="shared" si="1027"/>
        <v>161.61509434432625</v>
      </c>
      <c r="U6204" s="158">
        <f t="shared" si="1029"/>
        <v>80.807547169811315</v>
      </c>
      <c r="V6204" s="160">
        <f t="shared" si="1028"/>
        <v>81</v>
      </c>
    </row>
    <row r="6205" spans="1:22" x14ac:dyDescent="0.25">
      <c r="A6205" s="98" t="s">
        <v>69</v>
      </c>
      <c r="B6205" s="98" t="s">
        <v>15</v>
      </c>
      <c r="C6205" s="98">
        <v>15</v>
      </c>
      <c r="D6205" s="98">
        <v>1000</v>
      </c>
      <c r="E6205" s="157">
        <v>42406.53402777778</v>
      </c>
      <c r="F6205" s="157">
        <v>42409.056250000001</v>
      </c>
      <c r="G6205" s="98">
        <v>0</v>
      </c>
      <c r="H6205" s="98">
        <v>795</v>
      </c>
      <c r="I6205" s="98">
        <v>747</v>
      </c>
      <c r="J6205" s="98" t="s">
        <v>2002</v>
      </c>
      <c r="K6205" s="98" t="s">
        <v>3942</v>
      </c>
      <c r="L6205" s="105" t="str">
        <f t="shared" si="1020"/>
        <v>Trimble</v>
      </c>
      <c r="M6205" s="105" t="str">
        <f t="shared" si="1021"/>
        <v>Outage</v>
      </c>
      <c r="N6205" s="105" t="str">
        <f t="shared" si="1022"/>
        <v>Coal</v>
      </c>
      <c r="O6205" s="105">
        <f>IFERROR(VLOOKUP(A6205,Lookup!$J$5:$P$19,7,FALSE),0)</f>
        <v>3</v>
      </c>
      <c r="P6205" s="159">
        <f t="shared" si="1023"/>
        <v>2016</v>
      </c>
      <c r="Q6205" s="159">
        <f t="shared" si="1024"/>
        <v>2</v>
      </c>
      <c r="R6205" s="160">
        <f t="shared" si="1025"/>
        <v>60.533333333325572</v>
      </c>
      <c r="S6205" s="158">
        <f t="shared" si="1026"/>
        <v>60.533333333325572</v>
      </c>
      <c r="T6205" s="161">
        <f t="shared" si="1027"/>
        <v>45218.399999994203</v>
      </c>
      <c r="U6205" s="158">
        <f t="shared" si="1029"/>
        <v>747</v>
      </c>
      <c r="V6205" s="160">
        <f t="shared" si="1028"/>
        <v>747</v>
      </c>
    </row>
    <row r="6206" spans="1:22" x14ac:dyDescent="0.25">
      <c r="A6206" s="98" t="s">
        <v>69</v>
      </c>
      <c r="B6206" s="98" t="s">
        <v>17</v>
      </c>
      <c r="C6206" s="98">
        <v>16</v>
      </c>
      <c r="D6206" s="98">
        <v>280</v>
      </c>
      <c r="E6206" s="157">
        <v>42409.427083333336</v>
      </c>
      <c r="F6206" s="157">
        <v>42409.458333333336</v>
      </c>
      <c r="G6206" s="98">
        <v>669</v>
      </c>
      <c r="H6206" s="98">
        <v>795</v>
      </c>
      <c r="I6206" s="98">
        <v>747</v>
      </c>
      <c r="J6206" s="98" t="s">
        <v>1988</v>
      </c>
      <c r="K6206" s="98" t="s">
        <v>4486</v>
      </c>
      <c r="L6206" s="105" t="str">
        <f t="shared" si="1020"/>
        <v>Trimble</v>
      </c>
      <c r="M6206" s="105" t="str">
        <f t="shared" si="1021"/>
        <v>Derate</v>
      </c>
      <c r="N6206" s="105" t="str">
        <f t="shared" si="1022"/>
        <v>Coal</v>
      </c>
      <c r="O6206" s="105">
        <f>IFERROR(VLOOKUP(A6206,Lookup!$J$5:$P$19,7,FALSE),0)</f>
        <v>3</v>
      </c>
      <c r="P6206" s="159">
        <f t="shared" si="1023"/>
        <v>2016</v>
      </c>
      <c r="Q6206" s="159">
        <f t="shared" si="1024"/>
        <v>2</v>
      </c>
      <c r="R6206" s="160">
        <f t="shared" si="1025"/>
        <v>0.75</v>
      </c>
      <c r="S6206" s="158">
        <f t="shared" si="1026"/>
        <v>0.11886792452830189</v>
      </c>
      <c r="T6206" s="161">
        <f t="shared" si="1027"/>
        <v>88.794339622641516</v>
      </c>
      <c r="U6206" s="158">
        <f t="shared" si="1029"/>
        <v>118.39245283018867</v>
      </c>
      <c r="V6206" s="160">
        <f t="shared" si="1028"/>
        <v>118</v>
      </c>
    </row>
    <row r="6207" spans="1:22" x14ac:dyDescent="0.25">
      <c r="A6207" s="98" t="s">
        <v>69</v>
      </c>
      <c r="B6207" s="98" t="s">
        <v>17</v>
      </c>
      <c r="C6207" s="98">
        <v>17</v>
      </c>
      <c r="D6207" s="98">
        <v>280</v>
      </c>
      <c r="E6207" s="157">
        <v>42409.458333333336</v>
      </c>
      <c r="F6207" s="157">
        <v>42409.833333333336</v>
      </c>
      <c r="G6207" s="98">
        <v>659</v>
      </c>
      <c r="H6207" s="98">
        <v>795</v>
      </c>
      <c r="I6207" s="98">
        <v>747</v>
      </c>
      <c r="J6207" s="98" t="s">
        <v>1988</v>
      </c>
      <c r="K6207" s="98" t="s">
        <v>4486</v>
      </c>
      <c r="L6207" s="105" t="str">
        <f t="shared" si="1020"/>
        <v>Trimble</v>
      </c>
      <c r="M6207" s="105" t="str">
        <f t="shared" si="1021"/>
        <v>Derate</v>
      </c>
      <c r="N6207" s="105" t="str">
        <f t="shared" si="1022"/>
        <v>Coal</v>
      </c>
      <c r="O6207" s="105">
        <f>IFERROR(VLOOKUP(A6207,Lookup!$J$5:$P$19,7,FALSE),0)</f>
        <v>3</v>
      </c>
      <c r="P6207" s="159">
        <f t="shared" si="1023"/>
        <v>2016</v>
      </c>
      <c r="Q6207" s="159">
        <f t="shared" si="1024"/>
        <v>2</v>
      </c>
      <c r="R6207" s="160">
        <f t="shared" si="1025"/>
        <v>9</v>
      </c>
      <c r="S6207" s="158">
        <f t="shared" si="1026"/>
        <v>1.5396226415094341</v>
      </c>
      <c r="T6207" s="161">
        <f t="shared" si="1027"/>
        <v>1150.0981132075472</v>
      </c>
      <c r="U6207" s="158">
        <f t="shared" si="1029"/>
        <v>127.78867924528302</v>
      </c>
      <c r="V6207" s="160">
        <f t="shared" si="1028"/>
        <v>128</v>
      </c>
    </row>
    <row r="6208" spans="1:22" x14ac:dyDescent="0.25">
      <c r="A6208" s="98" t="s">
        <v>69</v>
      </c>
      <c r="B6208" s="98" t="s">
        <v>17</v>
      </c>
      <c r="C6208" s="98">
        <v>18</v>
      </c>
      <c r="D6208" s="98">
        <v>280</v>
      </c>
      <c r="E6208" s="157">
        <v>42412.225694444445</v>
      </c>
      <c r="F6208" s="157">
        <v>42412.291666666664</v>
      </c>
      <c r="G6208" s="98">
        <v>650</v>
      </c>
      <c r="H6208" s="98">
        <v>795</v>
      </c>
      <c r="I6208" s="98">
        <v>747</v>
      </c>
      <c r="J6208" s="98" t="s">
        <v>1988</v>
      </c>
      <c r="K6208" s="98" t="s">
        <v>4487</v>
      </c>
      <c r="L6208" s="105" t="str">
        <f t="shared" si="1020"/>
        <v>Trimble</v>
      </c>
      <c r="M6208" s="105" t="str">
        <f t="shared" si="1021"/>
        <v>Derate</v>
      </c>
      <c r="N6208" s="105" t="str">
        <f t="shared" si="1022"/>
        <v>Coal</v>
      </c>
      <c r="O6208" s="105">
        <f>IFERROR(VLOOKUP(A6208,Lookup!$J$5:$P$19,7,FALSE),0)</f>
        <v>3</v>
      </c>
      <c r="P6208" s="159">
        <f t="shared" si="1023"/>
        <v>2016</v>
      </c>
      <c r="Q6208" s="159">
        <f t="shared" si="1024"/>
        <v>2</v>
      </c>
      <c r="R6208" s="160">
        <f t="shared" si="1025"/>
        <v>1.5833333332557231</v>
      </c>
      <c r="S6208" s="158">
        <f t="shared" si="1026"/>
        <v>0.28878406707179854</v>
      </c>
      <c r="T6208" s="161">
        <f t="shared" si="1027"/>
        <v>215.72169810263352</v>
      </c>
      <c r="U6208" s="158">
        <f t="shared" si="1029"/>
        <v>136.24528301886792</v>
      </c>
      <c r="V6208" s="160">
        <f t="shared" si="1028"/>
        <v>136</v>
      </c>
    </row>
    <row r="6209" spans="1:22" x14ac:dyDescent="0.25">
      <c r="A6209" s="98" t="s">
        <v>69</v>
      </c>
      <c r="B6209" s="98" t="s">
        <v>32</v>
      </c>
      <c r="C6209" s="98">
        <v>19</v>
      </c>
      <c r="D6209" s="98">
        <v>4842</v>
      </c>
      <c r="E6209" s="157">
        <v>42415.833333333336</v>
      </c>
      <c r="F6209" s="157">
        <v>42415.958333333336</v>
      </c>
      <c r="G6209" s="98">
        <v>752</v>
      </c>
      <c r="H6209" s="98">
        <v>795</v>
      </c>
      <c r="I6209" s="98">
        <v>747</v>
      </c>
      <c r="J6209" s="98" t="s">
        <v>60</v>
      </c>
      <c r="K6209" s="98" t="s">
        <v>3943</v>
      </c>
      <c r="L6209" s="105" t="str">
        <f t="shared" ref="L6209:L6272" si="1030">IF(OR(A6209="BR1",A6209="BR2",A6209="BR3",A6209="BR5",A6209="BR6",A6209="BR7",A6209="BR8",A6209="BR9",A6209="BR10",A6209="BR11"),"Brown",IF(OR(A6209="CR4",A6209="CR5",A6209="CR6",A6209="CR11"),"Cane Run",IF(OR(A6209="GH1",A6209="GH2",A6209="GH3",A6209="GH4"),"Ghent",IF(OR(A6209="GR3",A6209="GR4"),"Green River",IF(OR(A6209="MC1",A6209="MC2",A6209="MC3",A6209="MC4"),"Mill Creek",IF(OR(A6209="TC1",A6209="TC2",A6209="TC5",A6209="TC6",A6209="TC7",A6209="TC8",A6209="TC9",A6209="TC10"),"Trimble",IF(A6209="TY3","Tyrone",IF(OR(A6209="HA1",A6209="HA2",A6209="HA3"),"Haeflin",IF(OR(A6209="PR11",A6209="PR12",A6209="PR13"),"Paddy's Run","Zorn")))))))))</f>
        <v>Trimble</v>
      </c>
      <c r="M6209" s="105" t="str">
        <f t="shared" ref="M6209:M6272" si="1031">IF(OR(B6209="D1",B6209="D2",B6209="D3",B6209="D4",B6209="PD"),"Derate",IF(OR(B6209="SF",B6209="U1",B6209="U2",B6209="U3"),"Outage",IF(OR(B6209="ME",B6209="MO"),"Maintenance","Other")))</f>
        <v>Derate</v>
      </c>
      <c r="N6209" s="105" t="str">
        <f t="shared" ref="N6209:N6272" si="1032">IF(OR(A6209="BR1",A6209="BR2",A6209="BR3",A6209="CR4",A6209="CR5",A6209="CR6",A6209="GH1",A6209="GH2",A6209="GH3",A6209="GH4",A6209="GR3",A6209="GR4",A6209="MC1",A6209="MC2",A6209="MC3",A6209="MC4",A6209="TC1",A6209="TC2",A6209="TY3"),"Coal","Gas")</f>
        <v>Coal</v>
      </c>
      <c r="O6209" s="105">
        <f>IFERROR(VLOOKUP(A6209,Lookup!$J$5:$P$19,7,FALSE),0)</f>
        <v>3</v>
      </c>
      <c r="P6209" s="159">
        <f t="shared" ref="P6209:P6272" si="1033">YEAR(E6209)</f>
        <v>2016</v>
      </c>
      <c r="Q6209" s="159">
        <f t="shared" ref="Q6209:Q6272" si="1034">MONTH(E6209)</f>
        <v>2</v>
      </c>
      <c r="R6209" s="160">
        <f t="shared" ref="R6209:R6272" si="1035">(F6209-E6209)*24</f>
        <v>3</v>
      </c>
      <c r="S6209" s="158">
        <f t="shared" ref="S6209:S6272" si="1036">R6209*(H6209-G6209)/H6209</f>
        <v>0.16226415094339622</v>
      </c>
      <c r="T6209" s="161">
        <f t="shared" ref="T6209:T6272" si="1037">S6209*I6209</f>
        <v>121.21132075471698</v>
      </c>
      <c r="U6209" s="158">
        <f t="shared" si="1029"/>
        <v>40.403773584905657</v>
      </c>
      <c r="V6209" s="160">
        <f t="shared" ref="V6209:V6272" si="1038">ROUND(U6209,0)</f>
        <v>40</v>
      </c>
    </row>
    <row r="6210" spans="1:22" x14ac:dyDescent="0.25">
      <c r="A6210" s="98" t="s">
        <v>69</v>
      </c>
      <c r="B6210" s="98" t="s">
        <v>79</v>
      </c>
      <c r="C6210" s="98">
        <v>20</v>
      </c>
      <c r="D6210" s="98">
        <v>1190</v>
      </c>
      <c r="E6210" s="157">
        <v>42415.958333333336</v>
      </c>
      <c r="F6210" s="157">
        <v>42416.25</v>
      </c>
      <c r="G6210" s="98">
        <v>0</v>
      </c>
      <c r="H6210" s="98">
        <v>795</v>
      </c>
      <c r="I6210" s="98">
        <v>747</v>
      </c>
      <c r="J6210" s="98" t="s">
        <v>2007</v>
      </c>
      <c r="K6210" s="98" t="s">
        <v>3944</v>
      </c>
      <c r="L6210" s="105" t="str">
        <f t="shared" si="1030"/>
        <v>Trimble</v>
      </c>
      <c r="M6210" s="105" t="str">
        <f t="shared" si="1031"/>
        <v>Other</v>
      </c>
      <c r="N6210" s="105" t="str">
        <f t="shared" si="1032"/>
        <v>Coal</v>
      </c>
      <c r="O6210" s="105">
        <f>IFERROR(VLOOKUP(A6210,Lookup!$J$5:$P$19,7,FALSE),0)</f>
        <v>3</v>
      </c>
      <c r="P6210" s="159">
        <f t="shared" si="1033"/>
        <v>2016</v>
      </c>
      <c r="Q6210" s="159">
        <f t="shared" si="1034"/>
        <v>2</v>
      </c>
      <c r="R6210" s="160">
        <f t="shared" si="1035"/>
        <v>6.9999999999417923</v>
      </c>
      <c r="S6210" s="158">
        <f t="shared" si="1036"/>
        <v>6.9999999999417923</v>
      </c>
      <c r="T6210" s="161">
        <f t="shared" si="1037"/>
        <v>5228.9999999565189</v>
      </c>
      <c r="U6210" s="158">
        <f t="shared" ref="U6210:U6273" si="1039">IF(G6210&gt;0,MAX((H6210-G6210),0)*I6210/H6210,I6210)</f>
        <v>747</v>
      </c>
      <c r="V6210" s="160">
        <f t="shared" si="1038"/>
        <v>747</v>
      </c>
    </row>
    <row r="6211" spans="1:22" x14ac:dyDescent="0.25">
      <c r="A6211" s="98" t="s">
        <v>69</v>
      </c>
      <c r="B6211" s="98" t="s">
        <v>79</v>
      </c>
      <c r="C6211" s="98">
        <v>21</v>
      </c>
      <c r="D6211" s="98">
        <v>1190</v>
      </c>
      <c r="E6211" s="157">
        <v>42420.916666666664</v>
      </c>
      <c r="F6211" s="157">
        <v>42421.229166666664</v>
      </c>
      <c r="G6211" s="98">
        <v>0</v>
      </c>
      <c r="H6211" s="98">
        <v>795</v>
      </c>
      <c r="I6211" s="98">
        <v>747</v>
      </c>
      <c r="J6211" s="98" t="s">
        <v>2007</v>
      </c>
      <c r="K6211" s="98" t="s">
        <v>3945</v>
      </c>
      <c r="L6211" s="105" t="str">
        <f t="shared" si="1030"/>
        <v>Trimble</v>
      </c>
      <c r="M6211" s="105" t="str">
        <f t="shared" si="1031"/>
        <v>Other</v>
      </c>
      <c r="N6211" s="105" t="str">
        <f t="shared" si="1032"/>
        <v>Coal</v>
      </c>
      <c r="O6211" s="105">
        <f>IFERROR(VLOOKUP(A6211,Lookup!$J$5:$P$19,7,FALSE),0)</f>
        <v>3</v>
      </c>
      <c r="P6211" s="159">
        <f t="shared" si="1033"/>
        <v>2016</v>
      </c>
      <c r="Q6211" s="159">
        <f t="shared" si="1034"/>
        <v>2</v>
      </c>
      <c r="R6211" s="160">
        <f t="shared" si="1035"/>
        <v>7.5</v>
      </c>
      <c r="S6211" s="158">
        <f t="shared" si="1036"/>
        <v>7.5</v>
      </c>
      <c r="T6211" s="161">
        <f t="shared" si="1037"/>
        <v>5602.5</v>
      </c>
      <c r="U6211" s="158">
        <f t="shared" si="1039"/>
        <v>747</v>
      </c>
      <c r="V6211" s="160">
        <f t="shared" si="1038"/>
        <v>747</v>
      </c>
    </row>
    <row r="6212" spans="1:22" x14ac:dyDescent="0.25">
      <c r="A6212" s="98" t="s">
        <v>69</v>
      </c>
      <c r="B6212" s="98" t="s">
        <v>17</v>
      </c>
      <c r="C6212" s="98">
        <v>22</v>
      </c>
      <c r="D6212" s="98">
        <v>1488</v>
      </c>
      <c r="E6212" s="157">
        <v>42424.041666666664</v>
      </c>
      <c r="F6212" s="157">
        <v>42424.094444444447</v>
      </c>
      <c r="G6212" s="98">
        <v>759</v>
      </c>
      <c r="H6212" s="98">
        <v>795</v>
      </c>
      <c r="I6212" s="98">
        <v>747</v>
      </c>
      <c r="J6212" s="98" t="s">
        <v>2284</v>
      </c>
      <c r="K6212" s="98" t="s">
        <v>3941</v>
      </c>
      <c r="L6212" s="105" t="str">
        <f t="shared" si="1030"/>
        <v>Trimble</v>
      </c>
      <c r="M6212" s="105" t="str">
        <f t="shared" si="1031"/>
        <v>Derate</v>
      </c>
      <c r="N6212" s="105" t="str">
        <f t="shared" si="1032"/>
        <v>Coal</v>
      </c>
      <c r="O6212" s="105">
        <f>IFERROR(VLOOKUP(A6212,Lookup!$J$5:$P$19,7,FALSE),0)</f>
        <v>3</v>
      </c>
      <c r="P6212" s="159">
        <f t="shared" si="1033"/>
        <v>2016</v>
      </c>
      <c r="Q6212" s="159">
        <f t="shared" si="1034"/>
        <v>2</v>
      </c>
      <c r="R6212" s="160">
        <f t="shared" si="1035"/>
        <v>1.2666666667792015</v>
      </c>
      <c r="S6212" s="158">
        <f t="shared" si="1036"/>
        <v>5.7358490571133652E-2</v>
      </c>
      <c r="T6212" s="161">
        <f t="shared" si="1037"/>
        <v>42.846792456636841</v>
      </c>
      <c r="U6212" s="158">
        <f t="shared" si="1039"/>
        <v>33.826415094339623</v>
      </c>
      <c r="V6212" s="160">
        <f t="shared" si="1038"/>
        <v>34</v>
      </c>
    </row>
    <row r="6213" spans="1:22" x14ac:dyDescent="0.25">
      <c r="A6213" s="98" t="s">
        <v>69</v>
      </c>
      <c r="B6213" s="98" t="s">
        <v>79</v>
      </c>
      <c r="C6213" s="98">
        <v>23</v>
      </c>
      <c r="D6213" s="98">
        <v>1190</v>
      </c>
      <c r="E6213" s="157">
        <v>42426.895833333336</v>
      </c>
      <c r="F6213" s="157">
        <v>42427.291666666664</v>
      </c>
      <c r="G6213" s="98">
        <v>0</v>
      </c>
      <c r="H6213" s="98">
        <v>795</v>
      </c>
      <c r="I6213" s="98">
        <v>747</v>
      </c>
      <c r="J6213" s="98" t="s">
        <v>2007</v>
      </c>
      <c r="K6213" s="98" t="s">
        <v>3913</v>
      </c>
      <c r="L6213" s="105" t="str">
        <f t="shared" si="1030"/>
        <v>Trimble</v>
      </c>
      <c r="M6213" s="105" t="str">
        <f t="shared" si="1031"/>
        <v>Other</v>
      </c>
      <c r="N6213" s="105" t="str">
        <f t="shared" si="1032"/>
        <v>Coal</v>
      </c>
      <c r="O6213" s="105">
        <f>IFERROR(VLOOKUP(A6213,Lookup!$J$5:$P$19,7,FALSE),0)</f>
        <v>3</v>
      </c>
      <c r="P6213" s="159">
        <f t="shared" si="1033"/>
        <v>2016</v>
      </c>
      <c r="Q6213" s="159">
        <f t="shared" si="1034"/>
        <v>2</v>
      </c>
      <c r="R6213" s="160">
        <f t="shared" si="1035"/>
        <v>9.4999999998835847</v>
      </c>
      <c r="S6213" s="158">
        <f t="shared" si="1036"/>
        <v>9.4999999998835847</v>
      </c>
      <c r="T6213" s="161">
        <f t="shared" si="1037"/>
        <v>7096.4999999130378</v>
      </c>
      <c r="U6213" s="158">
        <f t="shared" si="1039"/>
        <v>747</v>
      </c>
      <c r="V6213" s="160">
        <f t="shared" si="1038"/>
        <v>747</v>
      </c>
    </row>
    <row r="6214" spans="1:22" x14ac:dyDescent="0.25">
      <c r="A6214" s="98" t="s">
        <v>69</v>
      </c>
      <c r="B6214" s="98" t="s">
        <v>32</v>
      </c>
      <c r="C6214" s="98">
        <v>24</v>
      </c>
      <c r="D6214" s="98">
        <v>1488</v>
      </c>
      <c r="E6214" s="157">
        <v>42430</v>
      </c>
      <c r="F6214" s="157">
        <v>42430.104166666664</v>
      </c>
      <c r="G6214" s="98">
        <v>709</v>
      </c>
      <c r="H6214" s="98">
        <v>795</v>
      </c>
      <c r="I6214" s="98">
        <v>747</v>
      </c>
      <c r="J6214" s="98" t="s">
        <v>2284</v>
      </c>
      <c r="K6214" s="98" t="s">
        <v>3941</v>
      </c>
      <c r="L6214" s="105" t="str">
        <f t="shared" si="1030"/>
        <v>Trimble</v>
      </c>
      <c r="M6214" s="105" t="str">
        <f t="shared" si="1031"/>
        <v>Derate</v>
      </c>
      <c r="N6214" s="105" t="str">
        <f t="shared" si="1032"/>
        <v>Coal</v>
      </c>
      <c r="O6214" s="105">
        <f>IFERROR(VLOOKUP(A6214,Lookup!$J$5:$P$19,7,FALSE),0)</f>
        <v>3</v>
      </c>
      <c r="P6214" s="159">
        <f t="shared" si="1033"/>
        <v>2016</v>
      </c>
      <c r="Q6214" s="159">
        <f t="shared" si="1034"/>
        <v>3</v>
      </c>
      <c r="R6214" s="160">
        <f t="shared" si="1035"/>
        <v>2.4999999999417923</v>
      </c>
      <c r="S6214" s="158">
        <f t="shared" si="1036"/>
        <v>0.27044025156603035</v>
      </c>
      <c r="T6214" s="161">
        <f t="shared" si="1037"/>
        <v>202.01886791982469</v>
      </c>
      <c r="U6214" s="158">
        <f t="shared" si="1039"/>
        <v>80.807547169811315</v>
      </c>
      <c r="V6214" s="160">
        <f t="shared" si="1038"/>
        <v>81</v>
      </c>
    </row>
    <row r="6215" spans="1:22" x14ac:dyDescent="0.25">
      <c r="A6215" s="98" t="s">
        <v>69</v>
      </c>
      <c r="B6215" s="98" t="s">
        <v>32</v>
      </c>
      <c r="C6215" s="98">
        <v>25</v>
      </c>
      <c r="D6215" s="98">
        <v>1488</v>
      </c>
      <c r="E6215" s="157">
        <v>42432.041666666664</v>
      </c>
      <c r="F6215" s="157">
        <v>42432.114583333336</v>
      </c>
      <c r="G6215" s="98">
        <v>709</v>
      </c>
      <c r="H6215" s="98">
        <v>795</v>
      </c>
      <c r="I6215" s="98">
        <v>747</v>
      </c>
      <c r="J6215" s="98" t="s">
        <v>2284</v>
      </c>
      <c r="K6215" s="98" t="s">
        <v>3946</v>
      </c>
      <c r="L6215" s="105" t="str">
        <f t="shared" si="1030"/>
        <v>Trimble</v>
      </c>
      <c r="M6215" s="105" t="str">
        <f t="shared" si="1031"/>
        <v>Derate</v>
      </c>
      <c r="N6215" s="105" t="str">
        <f t="shared" si="1032"/>
        <v>Coal</v>
      </c>
      <c r="O6215" s="105">
        <f>IFERROR(VLOOKUP(A6215,Lookup!$J$5:$P$19,7,FALSE),0)</f>
        <v>3</v>
      </c>
      <c r="P6215" s="159">
        <f t="shared" si="1033"/>
        <v>2016</v>
      </c>
      <c r="Q6215" s="159">
        <f t="shared" si="1034"/>
        <v>3</v>
      </c>
      <c r="R6215" s="160">
        <f t="shared" si="1035"/>
        <v>1.7500000001164153</v>
      </c>
      <c r="S6215" s="158">
        <f t="shared" si="1036"/>
        <v>0.18930817611322229</v>
      </c>
      <c r="T6215" s="161">
        <f t="shared" si="1037"/>
        <v>141.41320755657705</v>
      </c>
      <c r="U6215" s="158">
        <f t="shared" si="1039"/>
        <v>80.807547169811315</v>
      </c>
      <c r="V6215" s="160">
        <f t="shared" si="1038"/>
        <v>81</v>
      </c>
    </row>
    <row r="6216" spans="1:22" x14ac:dyDescent="0.25">
      <c r="A6216" s="98" t="s">
        <v>69</v>
      </c>
      <c r="B6216" s="98" t="s">
        <v>17</v>
      </c>
      <c r="C6216" s="98">
        <v>26</v>
      </c>
      <c r="D6216" s="98">
        <v>280</v>
      </c>
      <c r="E6216" s="157">
        <v>42432.3125</v>
      </c>
      <c r="F6216" s="157">
        <v>42432.354166666664</v>
      </c>
      <c r="G6216" s="98">
        <v>699</v>
      </c>
      <c r="H6216" s="98">
        <v>795</v>
      </c>
      <c r="I6216" s="98">
        <v>747</v>
      </c>
      <c r="J6216" s="98" t="s">
        <v>1988</v>
      </c>
      <c r="K6216" s="98" t="s">
        <v>4488</v>
      </c>
      <c r="L6216" s="105" t="str">
        <f t="shared" si="1030"/>
        <v>Trimble</v>
      </c>
      <c r="M6216" s="105" t="str">
        <f t="shared" si="1031"/>
        <v>Derate</v>
      </c>
      <c r="N6216" s="105" t="str">
        <f t="shared" si="1032"/>
        <v>Coal</v>
      </c>
      <c r="O6216" s="105">
        <f>IFERROR(VLOOKUP(A6216,Lookup!$J$5:$P$19,7,FALSE),0)</f>
        <v>3</v>
      </c>
      <c r="P6216" s="159">
        <f t="shared" si="1033"/>
        <v>2016</v>
      </c>
      <c r="Q6216" s="159">
        <f t="shared" si="1034"/>
        <v>3</v>
      </c>
      <c r="R6216" s="160">
        <f t="shared" si="1035"/>
        <v>0.99999999994179234</v>
      </c>
      <c r="S6216" s="158">
        <f t="shared" si="1036"/>
        <v>0.12075471697410323</v>
      </c>
      <c r="T6216" s="161">
        <f t="shared" si="1037"/>
        <v>90.203773579655106</v>
      </c>
      <c r="U6216" s="158">
        <f t="shared" si="1039"/>
        <v>90.203773584905662</v>
      </c>
      <c r="V6216" s="160">
        <f t="shared" si="1038"/>
        <v>90</v>
      </c>
    </row>
    <row r="6217" spans="1:22" x14ac:dyDescent="0.25">
      <c r="A6217" s="98" t="s">
        <v>69</v>
      </c>
      <c r="B6217" s="98" t="s">
        <v>17</v>
      </c>
      <c r="C6217" s="98">
        <v>27</v>
      </c>
      <c r="D6217" s="98">
        <v>280</v>
      </c>
      <c r="E6217" s="157">
        <v>42432.354166666664</v>
      </c>
      <c r="F6217" s="157">
        <v>42432.4375</v>
      </c>
      <c r="G6217" s="98">
        <v>656</v>
      </c>
      <c r="H6217" s="98">
        <v>795</v>
      </c>
      <c r="I6217" s="98">
        <v>747</v>
      </c>
      <c r="J6217" s="98" t="s">
        <v>1988</v>
      </c>
      <c r="K6217" s="98" t="s">
        <v>4489</v>
      </c>
      <c r="L6217" s="105" t="str">
        <f t="shared" si="1030"/>
        <v>Trimble</v>
      </c>
      <c r="M6217" s="105" t="str">
        <f t="shared" si="1031"/>
        <v>Derate</v>
      </c>
      <c r="N6217" s="105" t="str">
        <f t="shared" si="1032"/>
        <v>Coal</v>
      </c>
      <c r="O6217" s="105">
        <f>IFERROR(VLOOKUP(A6217,Lookup!$J$5:$P$19,7,FALSE),0)</f>
        <v>3</v>
      </c>
      <c r="P6217" s="159">
        <f t="shared" si="1033"/>
        <v>2016</v>
      </c>
      <c r="Q6217" s="159">
        <f t="shared" si="1034"/>
        <v>3</v>
      </c>
      <c r="R6217" s="160">
        <f t="shared" si="1035"/>
        <v>2.0000000000582077</v>
      </c>
      <c r="S6217" s="158">
        <f t="shared" si="1036"/>
        <v>0.34968553460137214</v>
      </c>
      <c r="T6217" s="161">
        <f t="shared" si="1037"/>
        <v>261.21509434722498</v>
      </c>
      <c r="U6217" s="158">
        <f t="shared" si="1039"/>
        <v>130.60754716981131</v>
      </c>
      <c r="V6217" s="160">
        <f t="shared" si="1038"/>
        <v>131</v>
      </c>
    </row>
    <row r="6218" spans="1:22" x14ac:dyDescent="0.25">
      <c r="A6218" s="98" t="s">
        <v>69</v>
      </c>
      <c r="B6218" s="98" t="s">
        <v>32</v>
      </c>
      <c r="C6218" s="98">
        <v>28</v>
      </c>
      <c r="D6218" s="98">
        <v>4263</v>
      </c>
      <c r="E6218" s="157">
        <v>42434.739583333336</v>
      </c>
      <c r="F6218" s="157">
        <v>42435</v>
      </c>
      <c r="G6218" s="98">
        <v>779</v>
      </c>
      <c r="H6218" s="98">
        <v>795</v>
      </c>
      <c r="I6218" s="98">
        <v>747</v>
      </c>
      <c r="J6218" s="98" t="s">
        <v>2019</v>
      </c>
      <c r="K6218" s="98" t="s">
        <v>3947</v>
      </c>
      <c r="L6218" s="105" t="str">
        <f t="shared" si="1030"/>
        <v>Trimble</v>
      </c>
      <c r="M6218" s="105" t="str">
        <f t="shared" si="1031"/>
        <v>Derate</v>
      </c>
      <c r="N6218" s="105" t="str">
        <f t="shared" si="1032"/>
        <v>Coal</v>
      </c>
      <c r="O6218" s="105">
        <f>IFERROR(VLOOKUP(A6218,Lookup!$J$5:$P$19,7,FALSE),0)</f>
        <v>3</v>
      </c>
      <c r="P6218" s="159">
        <f t="shared" si="1033"/>
        <v>2016</v>
      </c>
      <c r="Q6218" s="159">
        <f t="shared" si="1034"/>
        <v>3</v>
      </c>
      <c r="R6218" s="160">
        <f t="shared" si="1035"/>
        <v>6.2499999999417923</v>
      </c>
      <c r="S6218" s="158">
        <f t="shared" si="1036"/>
        <v>0.1257861635208411</v>
      </c>
      <c r="T6218" s="161">
        <f t="shared" si="1037"/>
        <v>93.962264150068307</v>
      </c>
      <c r="U6218" s="158">
        <f t="shared" si="1039"/>
        <v>15.033962264150944</v>
      </c>
      <c r="V6218" s="160">
        <f t="shared" si="1038"/>
        <v>15</v>
      </c>
    </row>
    <row r="6219" spans="1:22" x14ac:dyDescent="0.25">
      <c r="A6219" s="98" t="s">
        <v>69</v>
      </c>
      <c r="B6219" s="98" t="s">
        <v>79</v>
      </c>
      <c r="C6219" s="98">
        <v>29</v>
      </c>
      <c r="D6219" s="98">
        <v>1190</v>
      </c>
      <c r="E6219" s="157">
        <v>42435</v>
      </c>
      <c r="F6219" s="157">
        <v>42435.385416666664</v>
      </c>
      <c r="G6219" s="98">
        <v>0</v>
      </c>
      <c r="H6219" s="98">
        <v>795</v>
      </c>
      <c r="I6219" s="98">
        <v>747</v>
      </c>
      <c r="J6219" s="98" t="s">
        <v>2007</v>
      </c>
      <c r="K6219" s="98" t="s">
        <v>3913</v>
      </c>
      <c r="L6219" s="105" t="str">
        <f t="shared" si="1030"/>
        <v>Trimble</v>
      </c>
      <c r="M6219" s="105" t="str">
        <f t="shared" si="1031"/>
        <v>Other</v>
      </c>
      <c r="N6219" s="105" t="str">
        <f t="shared" si="1032"/>
        <v>Coal</v>
      </c>
      <c r="O6219" s="105">
        <f>IFERROR(VLOOKUP(A6219,Lookup!$J$5:$P$19,7,FALSE),0)</f>
        <v>3</v>
      </c>
      <c r="P6219" s="159">
        <f t="shared" si="1033"/>
        <v>2016</v>
      </c>
      <c r="Q6219" s="159">
        <f t="shared" si="1034"/>
        <v>3</v>
      </c>
      <c r="R6219" s="160">
        <f t="shared" si="1035"/>
        <v>9.2499999999417923</v>
      </c>
      <c r="S6219" s="158">
        <f t="shared" si="1036"/>
        <v>9.2499999999417923</v>
      </c>
      <c r="T6219" s="161">
        <f t="shared" si="1037"/>
        <v>6909.7499999565189</v>
      </c>
      <c r="U6219" s="158">
        <f t="shared" si="1039"/>
        <v>747</v>
      </c>
      <c r="V6219" s="160">
        <f t="shared" si="1038"/>
        <v>747</v>
      </c>
    </row>
    <row r="6220" spans="1:22" x14ac:dyDescent="0.25">
      <c r="A6220" s="98" t="s">
        <v>69</v>
      </c>
      <c r="B6220" s="98" t="s">
        <v>79</v>
      </c>
      <c r="C6220" s="98">
        <v>30</v>
      </c>
      <c r="D6220" s="98">
        <v>1190</v>
      </c>
      <c r="E6220" s="157">
        <v>42440.916666666664</v>
      </c>
      <c r="F6220" s="157">
        <v>42441.229166666664</v>
      </c>
      <c r="G6220" s="98">
        <v>0</v>
      </c>
      <c r="H6220" s="98">
        <v>795</v>
      </c>
      <c r="I6220" s="98">
        <v>747</v>
      </c>
      <c r="J6220" s="98" t="s">
        <v>2007</v>
      </c>
      <c r="K6220" s="98" t="s">
        <v>3913</v>
      </c>
      <c r="L6220" s="105" t="str">
        <f t="shared" si="1030"/>
        <v>Trimble</v>
      </c>
      <c r="M6220" s="105" t="str">
        <f t="shared" si="1031"/>
        <v>Other</v>
      </c>
      <c r="N6220" s="105" t="str">
        <f t="shared" si="1032"/>
        <v>Coal</v>
      </c>
      <c r="O6220" s="105">
        <f>IFERROR(VLOOKUP(A6220,Lookup!$J$5:$P$19,7,FALSE),0)</f>
        <v>3</v>
      </c>
      <c r="P6220" s="159">
        <f t="shared" si="1033"/>
        <v>2016</v>
      </c>
      <c r="Q6220" s="159">
        <f t="shared" si="1034"/>
        <v>3</v>
      </c>
      <c r="R6220" s="160">
        <f t="shared" si="1035"/>
        <v>7.5</v>
      </c>
      <c r="S6220" s="158">
        <f t="shared" si="1036"/>
        <v>7.5</v>
      </c>
      <c r="T6220" s="161">
        <f t="shared" si="1037"/>
        <v>5602.5</v>
      </c>
      <c r="U6220" s="158">
        <f t="shared" si="1039"/>
        <v>747</v>
      </c>
      <c r="V6220" s="160">
        <f t="shared" si="1038"/>
        <v>747</v>
      </c>
    </row>
    <row r="6221" spans="1:22" x14ac:dyDescent="0.25">
      <c r="A6221" s="98" t="s">
        <v>69</v>
      </c>
      <c r="B6221" s="98" t="s">
        <v>32</v>
      </c>
      <c r="C6221" s="98">
        <v>31</v>
      </c>
      <c r="D6221" s="98">
        <v>4260</v>
      </c>
      <c r="E6221" s="157">
        <v>42441.229166666664</v>
      </c>
      <c r="F6221" s="157">
        <v>42441.302083333336</v>
      </c>
      <c r="G6221" s="98">
        <v>698</v>
      </c>
      <c r="H6221" s="98">
        <v>795</v>
      </c>
      <c r="I6221" s="98">
        <v>747</v>
      </c>
      <c r="J6221" s="98" t="s">
        <v>1982</v>
      </c>
      <c r="K6221" s="98" t="s">
        <v>3948</v>
      </c>
      <c r="L6221" s="105" t="str">
        <f t="shared" si="1030"/>
        <v>Trimble</v>
      </c>
      <c r="M6221" s="105" t="str">
        <f t="shared" si="1031"/>
        <v>Derate</v>
      </c>
      <c r="N6221" s="105" t="str">
        <f t="shared" si="1032"/>
        <v>Coal</v>
      </c>
      <c r="O6221" s="105">
        <f>IFERROR(VLOOKUP(A6221,Lookup!$J$5:$P$19,7,FALSE),0)</f>
        <v>3</v>
      </c>
      <c r="P6221" s="159">
        <f t="shared" si="1033"/>
        <v>2016</v>
      </c>
      <c r="Q6221" s="159">
        <f t="shared" si="1034"/>
        <v>3</v>
      </c>
      <c r="R6221" s="160">
        <f t="shared" si="1035"/>
        <v>1.7500000001164153</v>
      </c>
      <c r="S6221" s="158">
        <f t="shared" si="1036"/>
        <v>0.2135220125928205</v>
      </c>
      <c r="T6221" s="161">
        <f t="shared" si="1037"/>
        <v>159.50094340683691</v>
      </c>
      <c r="U6221" s="158">
        <f t="shared" si="1039"/>
        <v>91.143396226415092</v>
      </c>
      <c r="V6221" s="160">
        <f t="shared" si="1038"/>
        <v>91</v>
      </c>
    </row>
    <row r="6222" spans="1:22" x14ac:dyDescent="0.25">
      <c r="A6222" s="98" t="s">
        <v>69</v>
      </c>
      <c r="B6222" s="98" t="s">
        <v>32</v>
      </c>
      <c r="C6222" s="98">
        <v>32</v>
      </c>
      <c r="D6222" s="98">
        <v>4260</v>
      </c>
      <c r="E6222" s="157">
        <v>42441.302083333336</v>
      </c>
      <c r="F6222" s="157">
        <v>42441.46875</v>
      </c>
      <c r="G6222" s="98">
        <v>648</v>
      </c>
      <c r="H6222" s="98">
        <v>795</v>
      </c>
      <c r="I6222" s="98">
        <v>747</v>
      </c>
      <c r="J6222" s="98" t="s">
        <v>1982</v>
      </c>
      <c r="K6222" s="98" t="s">
        <v>3949</v>
      </c>
      <c r="L6222" s="105" t="str">
        <f t="shared" si="1030"/>
        <v>Trimble</v>
      </c>
      <c r="M6222" s="105" t="str">
        <f t="shared" si="1031"/>
        <v>Derate</v>
      </c>
      <c r="N6222" s="105" t="str">
        <f t="shared" si="1032"/>
        <v>Coal</v>
      </c>
      <c r="O6222" s="105">
        <f>IFERROR(VLOOKUP(A6222,Lookup!$J$5:$P$19,7,FALSE),0)</f>
        <v>3</v>
      </c>
      <c r="P6222" s="159">
        <f t="shared" si="1033"/>
        <v>2016</v>
      </c>
      <c r="Q6222" s="159">
        <f t="shared" si="1034"/>
        <v>3</v>
      </c>
      <c r="R6222" s="160">
        <f t="shared" si="1035"/>
        <v>3.9999999999417923</v>
      </c>
      <c r="S6222" s="158">
        <f t="shared" si="1036"/>
        <v>0.73962264149867107</v>
      </c>
      <c r="T6222" s="161">
        <f t="shared" si="1037"/>
        <v>552.49811319950732</v>
      </c>
      <c r="U6222" s="158">
        <f t="shared" si="1039"/>
        <v>138.12452830188678</v>
      </c>
      <c r="V6222" s="160">
        <f t="shared" si="1038"/>
        <v>138</v>
      </c>
    </row>
    <row r="6223" spans="1:22" x14ac:dyDescent="0.25">
      <c r="A6223" s="98" t="s">
        <v>69</v>
      </c>
      <c r="B6223" s="98" t="s">
        <v>32</v>
      </c>
      <c r="C6223" s="98">
        <v>33</v>
      </c>
      <c r="D6223" s="98">
        <v>1488</v>
      </c>
      <c r="E6223" s="157">
        <v>42444.958333333336</v>
      </c>
      <c r="F6223" s="157">
        <v>42445</v>
      </c>
      <c r="G6223" s="98">
        <v>748</v>
      </c>
      <c r="H6223" s="98">
        <v>795</v>
      </c>
      <c r="I6223" s="98">
        <v>747</v>
      </c>
      <c r="J6223" s="98" t="s">
        <v>2284</v>
      </c>
      <c r="K6223" s="98" t="s">
        <v>3950</v>
      </c>
      <c r="L6223" s="105" t="str">
        <f t="shared" si="1030"/>
        <v>Trimble</v>
      </c>
      <c r="M6223" s="105" t="str">
        <f t="shared" si="1031"/>
        <v>Derate</v>
      </c>
      <c r="N6223" s="105" t="str">
        <f t="shared" si="1032"/>
        <v>Coal</v>
      </c>
      <c r="O6223" s="105">
        <f>IFERROR(VLOOKUP(A6223,Lookup!$J$5:$P$19,7,FALSE),0)</f>
        <v>3</v>
      </c>
      <c r="P6223" s="159">
        <f t="shared" si="1033"/>
        <v>2016</v>
      </c>
      <c r="Q6223" s="159">
        <f t="shared" si="1034"/>
        <v>3</v>
      </c>
      <c r="R6223" s="160">
        <f t="shared" si="1035"/>
        <v>0.99999999994179234</v>
      </c>
      <c r="S6223" s="158">
        <f t="shared" si="1036"/>
        <v>5.9119496851904707E-2</v>
      </c>
      <c r="T6223" s="161">
        <f t="shared" si="1037"/>
        <v>44.162264148372813</v>
      </c>
      <c r="U6223" s="158">
        <f t="shared" si="1039"/>
        <v>44.162264150943393</v>
      </c>
      <c r="V6223" s="160">
        <f t="shared" si="1038"/>
        <v>44</v>
      </c>
    </row>
    <row r="6224" spans="1:22" x14ac:dyDescent="0.25">
      <c r="A6224" s="98" t="s">
        <v>69</v>
      </c>
      <c r="B6224" s="98" t="s">
        <v>15</v>
      </c>
      <c r="C6224" s="98">
        <v>34</v>
      </c>
      <c r="D6224" s="98">
        <v>1000</v>
      </c>
      <c r="E6224" s="157">
        <v>42445.493055555555</v>
      </c>
      <c r="F6224" s="157">
        <v>42447.643750000003</v>
      </c>
      <c r="G6224" s="98">
        <v>0</v>
      </c>
      <c r="H6224" s="98">
        <v>795</v>
      </c>
      <c r="I6224" s="98">
        <v>747</v>
      </c>
      <c r="J6224" s="98" t="s">
        <v>2002</v>
      </c>
      <c r="K6224" s="98" t="s">
        <v>3951</v>
      </c>
      <c r="L6224" s="105" t="str">
        <f t="shared" si="1030"/>
        <v>Trimble</v>
      </c>
      <c r="M6224" s="105" t="str">
        <f t="shared" si="1031"/>
        <v>Outage</v>
      </c>
      <c r="N6224" s="105" t="str">
        <f t="shared" si="1032"/>
        <v>Coal</v>
      </c>
      <c r="O6224" s="105">
        <f>IFERROR(VLOOKUP(A6224,Lookup!$J$5:$P$19,7,FALSE),0)</f>
        <v>3</v>
      </c>
      <c r="P6224" s="159">
        <f t="shared" si="1033"/>
        <v>2016</v>
      </c>
      <c r="Q6224" s="159">
        <f t="shared" si="1034"/>
        <v>3</v>
      </c>
      <c r="R6224" s="160">
        <f t="shared" si="1035"/>
        <v>51.616666666755918</v>
      </c>
      <c r="S6224" s="158">
        <f t="shared" si="1036"/>
        <v>51.616666666755918</v>
      </c>
      <c r="T6224" s="161">
        <f t="shared" si="1037"/>
        <v>38557.650000066671</v>
      </c>
      <c r="U6224" s="158">
        <f t="shared" si="1039"/>
        <v>747</v>
      </c>
      <c r="V6224" s="160">
        <f t="shared" si="1038"/>
        <v>747</v>
      </c>
    </row>
    <row r="6225" spans="1:22" x14ac:dyDescent="0.25">
      <c r="A6225" s="98" t="s">
        <v>69</v>
      </c>
      <c r="B6225" s="98" t="s">
        <v>18</v>
      </c>
      <c r="C6225" s="98">
        <v>35</v>
      </c>
      <c r="D6225" s="98">
        <v>1000</v>
      </c>
      <c r="E6225" s="157">
        <v>42447.643750000003</v>
      </c>
      <c r="F6225" s="157">
        <v>42449.595138888886</v>
      </c>
      <c r="G6225" s="98">
        <v>0</v>
      </c>
      <c r="H6225" s="98">
        <v>795</v>
      </c>
      <c r="I6225" s="98">
        <v>747</v>
      </c>
      <c r="J6225" s="98" t="s">
        <v>2002</v>
      </c>
      <c r="K6225" s="98" t="s">
        <v>3952</v>
      </c>
      <c r="L6225" s="105" t="str">
        <f t="shared" si="1030"/>
        <v>Trimble</v>
      </c>
      <c r="M6225" s="105" t="str">
        <f t="shared" si="1031"/>
        <v>Outage</v>
      </c>
      <c r="N6225" s="105" t="str">
        <f t="shared" si="1032"/>
        <v>Coal</v>
      </c>
      <c r="O6225" s="105">
        <f>IFERROR(VLOOKUP(A6225,Lookup!$J$5:$P$19,7,FALSE),0)</f>
        <v>3</v>
      </c>
      <c r="P6225" s="159">
        <f t="shared" si="1033"/>
        <v>2016</v>
      </c>
      <c r="Q6225" s="159">
        <f t="shared" si="1034"/>
        <v>3</v>
      </c>
      <c r="R6225" s="160">
        <f t="shared" si="1035"/>
        <v>46.833333333197515</v>
      </c>
      <c r="S6225" s="158">
        <f t="shared" si="1036"/>
        <v>46.833333333197515</v>
      </c>
      <c r="T6225" s="161">
        <f t="shared" si="1037"/>
        <v>34984.499999898544</v>
      </c>
      <c r="U6225" s="158">
        <f t="shared" si="1039"/>
        <v>747</v>
      </c>
      <c r="V6225" s="160">
        <f t="shared" si="1038"/>
        <v>747</v>
      </c>
    </row>
    <row r="6226" spans="1:22" x14ac:dyDescent="0.25">
      <c r="A6226" s="98" t="s">
        <v>69</v>
      </c>
      <c r="B6226" s="98" t="s">
        <v>17</v>
      </c>
      <c r="C6226" s="98">
        <v>36</v>
      </c>
      <c r="D6226" s="98">
        <v>1488</v>
      </c>
      <c r="E6226" s="157">
        <v>42450.8125</v>
      </c>
      <c r="F6226" s="157">
        <v>42450.961111111108</v>
      </c>
      <c r="G6226" s="98">
        <v>709</v>
      </c>
      <c r="H6226" s="98">
        <v>795</v>
      </c>
      <c r="I6226" s="98">
        <v>747</v>
      </c>
      <c r="J6226" s="98" t="s">
        <v>2284</v>
      </c>
      <c r="K6226" s="98" t="s">
        <v>3953</v>
      </c>
      <c r="L6226" s="105" t="str">
        <f t="shared" si="1030"/>
        <v>Trimble</v>
      </c>
      <c r="M6226" s="105" t="str">
        <f t="shared" si="1031"/>
        <v>Derate</v>
      </c>
      <c r="N6226" s="105" t="str">
        <f t="shared" si="1032"/>
        <v>Coal</v>
      </c>
      <c r="O6226" s="105">
        <f>IFERROR(VLOOKUP(A6226,Lookup!$J$5:$P$19,7,FALSE),0)</f>
        <v>3</v>
      </c>
      <c r="P6226" s="159">
        <f t="shared" si="1033"/>
        <v>2016</v>
      </c>
      <c r="Q6226" s="159">
        <f t="shared" si="1034"/>
        <v>3</v>
      </c>
      <c r="R6226" s="160">
        <f t="shared" si="1035"/>
        <v>3.566666666592937</v>
      </c>
      <c r="S6226" s="158">
        <f t="shared" si="1036"/>
        <v>0.38582809223521081</v>
      </c>
      <c r="T6226" s="161">
        <f t="shared" si="1037"/>
        <v>288.21358489970248</v>
      </c>
      <c r="U6226" s="158">
        <f t="shared" si="1039"/>
        <v>80.807547169811315</v>
      </c>
      <c r="V6226" s="160">
        <f t="shared" si="1038"/>
        <v>81</v>
      </c>
    </row>
    <row r="6227" spans="1:22" x14ac:dyDescent="0.25">
      <c r="A6227" s="98" t="s">
        <v>69</v>
      </c>
      <c r="B6227" s="98" t="s">
        <v>17</v>
      </c>
      <c r="C6227" s="98">
        <v>37</v>
      </c>
      <c r="D6227" s="98">
        <v>1488</v>
      </c>
      <c r="E6227" s="157">
        <v>42451.055555555555</v>
      </c>
      <c r="F6227" s="157">
        <v>42451.265277777777</v>
      </c>
      <c r="G6227" s="98">
        <v>775</v>
      </c>
      <c r="H6227" s="98">
        <v>795</v>
      </c>
      <c r="I6227" s="98">
        <v>747</v>
      </c>
      <c r="J6227" s="98" t="s">
        <v>2284</v>
      </c>
      <c r="K6227" s="98" t="s">
        <v>3954</v>
      </c>
      <c r="L6227" s="105" t="str">
        <f t="shared" si="1030"/>
        <v>Trimble</v>
      </c>
      <c r="M6227" s="105" t="str">
        <f t="shared" si="1031"/>
        <v>Derate</v>
      </c>
      <c r="N6227" s="105" t="str">
        <f t="shared" si="1032"/>
        <v>Coal</v>
      </c>
      <c r="O6227" s="105">
        <f>IFERROR(VLOOKUP(A6227,Lookup!$J$5:$P$19,7,FALSE),0)</f>
        <v>3</v>
      </c>
      <c r="P6227" s="159">
        <f t="shared" si="1033"/>
        <v>2016</v>
      </c>
      <c r="Q6227" s="159">
        <f t="shared" si="1034"/>
        <v>3</v>
      </c>
      <c r="R6227" s="160">
        <f t="shared" si="1035"/>
        <v>5.0333333333255723</v>
      </c>
      <c r="S6227" s="158">
        <f t="shared" si="1036"/>
        <v>0.12662473794529741</v>
      </c>
      <c r="T6227" s="161">
        <f t="shared" si="1037"/>
        <v>94.588679245137172</v>
      </c>
      <c r="U6227" s="158">
        <f t="shared" si="1039"/>
        <v>18.79245283018868</v>
      </c>
      <c r="V6227" s="160">
        <f t="shared" si="1038"/>
        <v>19</v>
      </c>
    </row>
    <row r="6228" spans="1:22" x14ac:dyDescent="0.25">
      <c r="A6228" s="98" t="s">
        <v>69</v>
      </c>
      <c r="B6228" s="98" t="s">
        <v>15</v>
      </c>
      <c r="C6228" s="98">
        <v>38</v>
      </c>
      <c r="D6228" s="98">
        <v>1000</v>
      </c>
      <c r="E6228" s="157">
        <v>42451.265277777777</v>
      </c>
      <c r="F6228" s="157">
        <v>42452.375</v>
      </c>
      <c r="G6228" s="98">
        <v>0</v>
      </c>
      <c r="H6228" s="98">
        <v>795</v>
      </c>
      <c r="I6228" s="98">
        <v>747</v>
      </c>
      <c r="J6228" s="98" t="s">
        <v>2002</v>
      </c>
      <c r="K6228" s="98" t="s">
        <v>3955</v>
      </c>
      <c r="L6228" s="105" t="str">
        <f t="shared" si="1030"/>
        <v>Trimble</v>
      </c>
      <c r="M6228" s="105" t="str">
        <f t="shared" si="1031"/>
        <v>Outage</v>
      </c>
      <c r="N6228" s="105" t="str">
        <f t="shared" si="1032"/>
        <v>Coal</v>
      </c>
      <c r="O6228" s="105">
        <f>IFERROR(VLOOKUP(A6228,Lookup!$J$5:$P$19,7,FALSE),0)</f>
        <v>3</v>
      </c>
      <c r="P6228" s="159">
        <f t="shared" si="1033"/>
        <v>2016</v>
      </c>
      <c r="Q6228" s="159">
        <f t="shared" si="1034"/>
        <v>3</v>
      </c>
      <c r="R6228" s="160">
        <f t="shared" si="1035"/>
        <v>26.633333333360497</v>
      </c>
      <c r="S6228" s="158">
        <f t="shared" si="1036"/>
        <v>26.633333333360497</v>
      </c>
      <c r="T6228" s="161">
        <f t="shared" si="1037"/>
        <v>19895.100000020291</v>
      </c>
      <c r="U6228" s="158">
        <f t="shared" si="1039"/>
        <v>747</v>
      </c>
      <c r="V6228" s="160">
        <f t="shared" si="1038"/>
        <v>747</v>
      </c>
    </row>
    <row r="6229" spans="1:22" x14ac:dyDescent="0.25">
      <c r="A6229" s="98" t="s">
        <v>69</v>
      </c>
      <c r="B6229" s="98" t="s">
        <v>38</v>
      </c>
      <c r="C6229" s="98">
        <v>39</v>
      </c>
      <c r="D6229" s="98">
        <v>1812</v>
      </c>
      <c r="E6229" s="157">
        <v>42452.375</v>
      </c>
      <c r="F6229" s="157">
        <v>42488.9375</v>
      </c>
      <c r="G6229" s="98">
        <v>0</v>
      </c>
      <c r="H6229" s="98">
        <v>795</v>
      </c>
      <c r="I6229" s="98">
        <v>747</v>
      </c>
      <c r="J6229" s="98" t="s">
        <v>1994</v>
      </c>
      <c r="K6229" s="98" t="s">
        <v>3956</v>
      </c>
      <c r="L6229" s="105" t="str">
        <f t="shared" si="1030"/>
        <v>Trimble</v>
      </c>
      <c r="M6229" s="105" t="str">
        <f t="shared" si="1031"/>
        <v>Other</v>
      </c>
      <c r="N6229" s="105" t="str">
        <f t="shared" si="1032"/>
        <v>Coal</v>
      </c>
      <c r="O6229" s="105">
        <f>IFERROR(VLOOKUP(A6229,Lookup!$J$5:$P$19,7,FALSE),0)</f>
        <v>3</v>
      </c>
      <c r="P6229" s="159">
        <f t="shared" si="1033"/>
        <v>2016</v>
      </c>
      <c r="Q6229" s="159">
        <f t="shared" si="1034"/>
        <v>3</v>
      </c>
      <c r="R6229" s="160">
        <f t="shared" si="1035"/>
        <v>877.5</v>
      </c>
      <c r="S6229" s="158">
        <f t="shared" si="1036"/>
        <v>877.5</v>
      </c>
      <c r="T6229" s="161">
        <f t="shared" si="1037"/>
        <v>655492.5</v>
      </c>
      <c r="U6229" s="158">
        <f t="shared" si="1039"/>
        <v>747</v>
      </c>
      <c r="V6229" s="160">
        <f t="shared" si="1038"/>
        <v>747</v>
      </c>
    </row>
    <row r="6230" spans="1:22" x14ac:dyDescent="0.25">
      <c r="A6230" s="98" t="s">
        <v>69</v>
      </c>
      <c r="B6230" s="98" t="s">
        <v>121</v>
      </c>
      <c r="C6230" s="98">
        <v>40</v>
      </c>
      <c r="D6230" s="98">
        <v>4307</v>
      </c>
      <c r="E6230" s="157">
        <v>42488.9375</v>
      </c>
      <c r="F6230" s="157">
        <v>42490.060416666667</v>
      </c>
      <c r="G6230" s="98">
        <v>0</v>
      </c>
      <c r="H6230" s="98">
        <v>795</v>
      </c>
      <c r="I6230" s="98">
        <v>747</v>
      </c>
      <c r="J6230" s="98" t="s">
        <v>3957</v>
      </c>
      <c r="K6230" s="98" t="s">
        <v>3958</v>
      </c>
      <c r="L6230" s="105" t="str">
        <f t="shared" si="1030"/>
        <v>Trimble</v>
      </c>
      <c r="M6230" s="105" t="str">
        <f t="shared" si="1031"/>
        <v>Other</v>
      </c>
      <c r="N6230" s="105" t="str">
        <f t="shared" si="1032"/>
        <v>Coal</v>
      </c>
      <c r="O6230" s="105">
        <f>IFERROR(VLOOKUP(A6230,Lookup!$J$5:$P$19,7,FALSE),0)</f>
        <v>3</v>
      </c>
      <c r="P6230" s="159">
        <f t="shared" si="1033"/>
        <v>2016</v>
      </c>
      <c r="Q6230" s="159">
        <f t="shared" si="1034"/>
        <v>4</v>
      </c>
      <c r="R6230" s="160">
        <f t="shared" si="1035"/>
        <v>26.950000000011642</v>
      </c>
      <c r="S6230" s="158">
        <f t="shared" si="1036"/>
        <v>26.950000000011642</v>
      </c>
      <c r="T6230" s="161">
        <f t="shared" si="1037"/>
        <v>20131.650000008696</v>
      </c>
      <c r="U6230" s="158">
        <f t="shared" si="1039"/>
        <v>747</v>
      </c>
      <c r="V6230" s="160">
        <f t="shared" si="1038"/>
        <v>747</v>
      </c>
    </row>
    <row r="6231" spans="1:22" x14ac:dyDescent="0.25">
      <c r="A6231" s="98" t="s">
        <v>69</v>
      </c>
      <c r="B6231" s="98" t="s">
        <v>121</v>
      </c>
      <c r="C6231" s="98">
        <v>41</v>
      </c>
      <c r="D6231" s="98">
        <v>380</v>
      </c>
      <c r="E6231" s="157">
        <v>42490.060416666667</v>
      </c>
      <c r="F6231" s="157">
        <v>42490.415972222225</v>
      </c>
      <c r="G6231" s="98">
        <v>0</v>
      </c>
      <c r="H6231" s="98">
        <v>795</v>
      </c>
      <c r="I6231" s="98">
        <v>747</v>
      </c>
      <c r="J6231" s="98" t="s">
        <v>2017</v>
      </c>
      <c r="K6231" s="98" t="s">
        <v>3959</v>
      </c>
      <c r="L6231" s="105" t="str">
        <f t="shared" si="1030"/>
        <v>Trimble</v>
      </c>
      <c r="M6231" s="105" t="str">
        <f t="shared" si="1031"/>
        <v>Other</v>
      </c>
      <c r="N6231" s="105" t="str">
        <f t="shared" si="1032"/>
        <v>Coal</v>
      </c>
      <c r="O6231" s="105">
        <f>IFERROR(VLOOKUP(A6231,Lookup!$J$5:$P$19,7,FALSE),0)</f>
        <v>3</v>
      </c>
      <c r="P6231" s="159">
        <f t="shared" si="1033"/>
        <v>2016</v>
      </c>
      <c r="Q6231" s="159">
        <f t="shared" si="1034"/>
        <v>4</v>
      </c>
      <c r="R6231" s="160">
        <f t="shared" si="1035"/>
        <v>8.53333333338378</v>
      </c>
      <c r="S6231" s="158">
        <f t="shared" si="1036"/>
        <v>8.53333333338378</v>
      </c>
      <c r="T6231" s="161">
        <f t="shared" si="1037"/>
        <v>6374.4000000376836</v>
      </c>
      <c r="U6231" s="158">
        <f t="shared" si="1039"/>
        <v>747</v>
      </c>
      <c r="V6231" s="160">
        <f t="shared" si="1038"/>
        <v>747</v>
      </c>
    </row>
    <row r="6232" spans="1:22" x14ac:dyDescent="0.25">
      <c r="A6232" s="98" t="s">
        <v>69</v>
      </c>
      <c r="B6232" s="98" t="s">
        <v>20</v>
      </c>
      <c r="C6232" s="98">
        <v>42</v>
      </c>
      <c r="D6232" s="98">
        <v>4240</v>
      </c>
      <c r="E6232" s="157">
        <v>42490.67083333333</v>
      </c>
      <c r="F6232" s="157">
        <v>42499.282638888886</v>
      </c>
      <c r="G6232" s="98">
        <v>0</v>
      </c>
      <c r="H6232" s="98">
        <v>795</v>
      </c>
      <c r="I6232" s="98">
        <v>747</v>
      </c>
      <c r="J6232" s="98" t="s">
        <v>2276</v>
      </c>
      <c r="K6232" s="98" t="s">
        <v>3960</v>
      </c>
      <c r="L6232" s="105" t="str">
        <f t="shared" si="1030"/>
        <v>Trimble</v>
      </c>
      <c r="M6232" s="105" t="str">
        <f t="shared" si="1031"/>
        <v>Maintenance</v>
      </c>
      <c r="N6232" s="105" t="str">
        <f t="shared" si="1032"/>
        <v>Coal</v>
      </c>
      <c r="O6232" s="105">
        <f>IFERROR(VLOOKUP(A6232,Lookup!$J$5:$P$19,7,FALSE),0)</f>
        <v>3</v>
      </c>
      <c r="P6232" s="159">
        <f t="shared" si="1033"/>
        <v>2016</v>
      </c>
      <c r="Q6232" s="159">
        <f t="shared" si="1034"/>
        <v>4</v>
      </c>
      <c r="R6232" s="160">
        <f t="shared" si="1035"/>
        <v>206.68333333334886</v>
      </c>
      <c r="S6232" s="158">
        <f t="shared" si="1036"/>
        <v>206.68333333334886</v>
      </c>
      <c r="T6232" s="161">
        <f t="shared" si="1037"/>
        <v>154392.45000001159</v>
      </c>
      <c r="U6232" s="158">
        <f t="shared" si="1039"/>
        <v>747</v>
      </c>
      <c r="V6232" s="160">
        <f t="shared" si="1038"/>
        <v>747</v>
      </c>
    </row>
    <row r="6233" spans="1:22" x14ac:dyDescent="0.25">
      <c r="A6233" s="98" t="s">
        <v>69</v>
      </c>
      <c r="B6233" s="98" t="s">
        <v>15</v>
      </c>
      <c r="C6233" s="98">
        <v>43</v>
      </c>
      <c r="D6233" s="98">
        <v>4700</v>
      </c>
      <c r="E6233" s="157">
        <v>42499.40625</v>
      </c>
      <c r="F6233" s="157">
        <v>42499.679166666669</v>
      </c>
      <c r="G6233" s="98">
        <v>0</v>
      </c>
      <c r="H6233" s="98">
        <v>795</v>
      </c>
      <c r="I6233" s="98">
        <v>747</v>
      </c>
      <c r="J6233" s="98" t="s">
        <v>2010</v>
      </c>
      <c r="K6233" s="98" t="s">
        <v>3961</v>
      </c>
      <c r="L6233" s="105" t="str">
        <f t="shared" si="1030"/>
        <v>Trimble</v>
      </c>
      <c r="M6233" s="105" t="str">
        <f t="shared" si="1031"/>
        <v>Outage</v>
      </c>
      <c r="N6233" s="105" t="str">
        <f t="shared" si="1032"/>
        <v>Coal</v>
      </c>
      <c r="O6233" s="105">
        <f>IFERROR(VLOOKUP(A6233,Lookup!$J$5:$P$19,7,FALSE),0)</f>
        <v>3</v>
      </c>
      <c r="P6233" s="159">
        <f t="shared" si="1033"/>
        <v>2016</v>
      </c>
      <c r="Q6233" s="159">
        <f t="shared" si="1034"/>
        <v>5</v>
      </c>
      <c r="R6233" s="160">
        <f t="shared" si="1035"/>
        <v>6.5500000000465661</v>
      </c>
      <c r="S6233" s="158">
        <f t="shared" si="1036"/>
        <v>6.5500000000465661</v>
      </c>
      <c r="T6233" s="161">
        <f t="shared" si="1037"/>
        <v>4892.8500000347849</v>
      </c>
      <c r="U6233" s="158">
        <f t="shared" si="1039"/>
        <v>747</v>
      </c>
      <c r="V6233" s="160">
        <f t="shared" si="1038"/>
        <v>747</v>
      </c>
    </row>
    <row r="6234" spans="1:22" x14ac:dyDescent="0.25">
      <c r="A6234" s="98" t="s">
        <v>69</v>
      </c>
      <c r="B6234" s="98" t="s">
        <v>17</v>
      </c>
      <c r="C6234" s="98">
        <v>44</v>
      </c>
      <c r="D6234" s="98">
        <v>330</v>
      </c>
      <c r="E6234" s="157">
        <v>42500</v>
      </c>
      <c r="F6234" s="157">
        <v>42500.067361111112</v>
      </c>
      <c r="G6234" s="98">
        <v>690</v>
      </c>
      <c r="H6234" s="98">
        <v>795</v>
      </c>
      <c r="I6234" s="98">
        <v>747</v>
      </c>
      <c r="J6234" s="98" t="s">
        <v>2291</v>
      </c>
      <c r="K6234" s="98" t="s">
        <v>3962</v>
      </c>
      <c r="L6234" s="105" t="str">
        <f t="shared" si="1030"/>
        <v>Trimble</v>
      </c>
      <c r="M6234" s="105" t="str">
        <f t="shared" si="1031"/>
        <v>Derate</v>
      </c>
      <c r="N6234" s="105" t="str">
        <f t="shared" si="1032"/>
        <v>Coal</v>
      </c>
      <c r="O6234" s="105">
        <f>IFERROR(VLOOKUP(A6234,Lookup!$J$5:$P$19,7,FALSE),0)</f>
        <v>3</v>
      </c>
      <c r="P6234" s="159">
        <f t="shared" si="1033"/>
        <v>2016</v>
      </c>
      <c r="Q6234" s="159">
        <f t="shared" si="1034"/>
        <v>5</v>
      </c>
      <c r="R6234" s="160">
        <f t="shared" si="1035"/>
        <v>1.6166666666977108</v>
      </c>
      <c r="S6234" s="158">
        <f t="shared" si="1036"/>
        <v>0.21352201258271652</v>
      </c>
      <c r="T6234" s="161">
        <f t="shared" si="1037"/>
        <v>159.50094339928924</v>
      </c>
      <c r="U6234" s="158">
        <f t="shared" si="1039"/>
        <v>98.660377358490564</v>
      </c>
      <c r="V6234" s="160">
        <f t="shared" si="1038"/>
        <v>99</v>
      </c>
    </row>
    <row r="6235" spans="1:22" x14ac:dyDescent="0.25">
      <c r="A6235" s="98" t="s">
        <v>69</v>
      </c>
      <c r="B6235" s="98" t="s">
        <v>17</v>
      </c>
      <c r="C6235" s="98">
        <v>45</v>
      </c>
      <c r="D6235" s="98">
        <v>330</v>
      </c>
      <c r="E6235" s="157">
        <v>42500.067361111112</v>
      </c>
      <c r="F6235" s="157">
        <v>42500.208333333336</v>
      </c>
      <c r="G6235" s="98">
        <v>650</v>
      </c>
      <c r="H6235" s="98">
        <v>795</v>
      </c>
      <c r="I6235" s="98">
        <v>747</v>
      </c>
      <c r="J6235" s="98" t="s">
        <v>2291</v>
      </c>
      <c r="K6235" s="98" t="s">
        <v>3963</v>
      </c>
      <c r="L6235" s="105" t="str">
        <f t="shared" si="1030"/>
        <v>Trimble</v>
      </c>
      <c r="M6235" s="105" t="str">
        <f t="shared" si="1031"/>
        <v>Derate</v>
      </c>
      <c r="N6235" s="105" t="str">
        <f t="shared" si="1032"/>
        <v>Coal</v>
      </c>
      <c r="O6235" s="105">
        <f>IFERROR(VLOOKUP(A6235,Lookup!$J$5:$P$19,7,FALSE),0)</f>
        <v>3</v>
      </c>
      <c r="P6235" s="159">
        <f t="shared" si="1033"/>
        <v>2016</v>
      </c>
      <c r="Q6235" s="159">
        <f t="shared" si="1034"/>
        <v>5</v>
      </c>
      <c r="R6235" s="160">
        <f t="shared" si="1035"/>
        <v>3.3833333333604969</v>
      </c>
      <c r="S6235" s="158">
        <f t="shared" si="1036"/>
        <v>0.61708595388336107</v>
      </c>
      <c r="T6235" s="161">
        <f t="shared" si="1037"/>
        <v>460.96320755087072</v>
      </c>
      <c r="U6235" s="158">
        <f t="shared" si="1039"/>
        <v>136.24528301886792</v>
      </c>
      <c r="V6235" s="160">
        <f t="shared" si="1038"/>
        <v>136</v>
      </c>
    </row>
    <row r="6236" spans="1:22" x14ac:dyDescent="0.25">
      <c r="A6236" s="98" t="s">
        <v>69</v>
      </c>
      <c r="B6236" s="98" t="s">
        <v>17</v>
      </c>
      <c r="C6236" s="98">
        <v>46</v>
      </c>
      <c r="D6236" s="98">
        <v>9600</v>
      </c>
      <c r="E6236" s="157">
        <v>42500.447916666664</v>
      </c>
      <c r="F6236" s="157">
        <v>42500.771527777775</v>
      </c>
      <c r="G6236" s="98">
        <v>685</v>
      </c>
      <c r="H6236" s="98">
        <v>795</v>
      </c>
      <c r="I6236" s="98">
        <v>747</v>
      </c>
      <c r="J6236" s="98" t="s">
        <v>2111</v>
      </c>
      <c r="K6236" s="98" t="s">
        <v>3964</v>
      </c>
      <c r="L6236" s="105" t="str">
        <f t="shared" si="1030"/>
        <v>Trimble</v>
      </c>
      <c r="M6236" s="105" t="str">
        <f t="shared" si="1031"/>
        <v>Derate</v>
      </c>
      <c r="N6236" s="105" t="str">
        <f t="shared" si="1032"/>
        <v>Coal</v>
      </c>
      <c r="O6236" s="105">
        <f>IFERROR(VLOOKUP(A6236,Lookup!$J$5:$P$19,7,FALSE),0)</f>
        <v>3</v>
      </c>
      <c r="P6236" s="159">
        <f t="shared" si="1033"/>
        <v>2016</v>
      </c>
      <c r="Q6236" s="159">
        <f t="shared" si="1034"/>
        <v>5</v>
      </c>
      <c r="R6236" s="160">
        <f t="shared" si="1035"/>
        <v>7.7666666666627862</v>
      </c>
      <c r="S6236" s="158">
        <f t="shared" si="1036"/>
        <v>1.0746331236891906</v>
      </c>
      <c r="T6236" s="161">
        <f t="shared" si="1037"/>
        <v>802.7509433958254</v>
      </c>
      <c r="U6236" s="158">
        <f t="shared" si="1039"/>
        <v>103.35849056603773</v>
      </c>
      <c r="V6236" s="160">
        <f t="shared" si="1038"/>
        <v>103</v>
      </c>
    </row>
    <row r="6237" spans="1:22" x14ac:dyDescent="0.25">
      <c r="A6237" s="98" t="s">
        <v>69</v>
      </c>
      <c r="B6237" s="98" t="s">
        <v>15</v>
      </c>
      <c r="C6237" s="98">
        <v>47</v>
      </c>
      <c r="D6237" s="98">
        <v>799</v>
      </c>
      <c r="E6237" s="157">
        <v>42500.771527777775</v>
      </c>
      <c r="F6237" s="157">
        <v>42503.215277777781</v>
      </c>
      <c r="G6237" s="98">
        <v>0</v>
      </c>
      <c r="H6237" s="98">
        <v>795</v>
      </c>
      <c r="I6237" s="98">
        <v>747</v>
      </c>
      <c r="J6237" s="98" t="s">
        <v>2299</v>
      </c>
      <c r="K6237" s="98" t="s">
        <v>3965</v>
      </c>
      <c r="L6237" s="105" t="str">
        <f t="shared" si="1030"/>
        <v>Trimble</v>
      </c>
      <c r="M6237" s="105" t="str">
        <f t="shared" si="1031"/>
        <v>Outage</v>
      </c>
      <c r="N6237" s="105" t="str">
        <f t="shared" si="1032"/>
        <v>Coal</v>
      </c>
      <c r="O6237" s="105">
        <f>IFERROR(VLOOKUP(A6237,Lookup!$J$5:$P$19,7,FALSE),0)</f>
        <v>3</v>
      </c>
      <c r="P6237" s="159">
        <f t="shared" si="1033"/>
        <v>2016</v>
      </c>
      <c r="Q6237" s="159">
        <f t="shared" si="1034"/>
        <v>5</v>
      </c>
      <c r="R6237" s="160">
        <f t="shared" si="1035"/>
        <v>58.650000000139698</v>
      </c>
      <c r="S6237" s="158">
        <f t="shared" si="1036"/>
        <v>58.650000000139698</v>
      </c>
      <c r="T6237" s="161">
        <f t="shared" si="1037"/>
        <v>43811.550000104355</v>
      </c>
      <c r="U6237" s="158">
        <f t="shared" si="1039"/>
        <v>747</v>
      </c>
      <c r="V6237" s="160">
        <f t="shared" si="1038"/>
        <v>747</v>
      </c>
    </row>
    <row r="6238" spans="1:22" x14ac:dyDescent="0.25">
      <c r="A6238" s="98" t="s">
        <v>69</v>
      </c>
      <c r="B6238" s="98" t="s">
        <v>20</v>
      </c>
      <c r="C6238" s="98">
        <v>48</v>
      </c>
      <c r="D6238" s="98">
        <v>8560</v>
      </c>
      <c r="E6238" s="157">
        <v>42506.155555555553</v>
      </c>
      <c r="F6238" s="157">
        <v>42508.270138888889</v>
      </c>
      <c r="G6238" s="98">
        <v>0</v>
      </c>
      <c r="H6238" s="98">
        <v>795</v>
      </c>
      <c r="I6238" s="98">
        <v>747</v>
      </c>
      <c r="J6238" s="98" t="s">
        <v>1971</v>
      </c>
      <c r="K6238" s="98" t="s">
        <v>3966</v>
      </c>
      <c r="L6238" s="105" t="str">
        <f t="shared" si="1030"/>
        <v>Trimble</v>
      </c>
      <c r="M6238" s="105" t="str">
        <f t="shared" si="1031"/>
        <v>Maintenance</v>
      </c>
      <c r="N6238" s="105" t="str">
        <f t="shared" si="1032"/>
        <v>Coal</v>
      </c>
      <c r="O6238" s="105">
        <f>IFERROR(VLOOKUP(A6238,Lookup!$J$5:$P$19,7,FALSE),0)</f>
        <v>3</v>
      </c>
      <c r="P6238" s="159">
        <f t="shared" si="1033"/>
        <v>2016</v>
      </c>
      <c r="Q6238" s="159">
        <f t="shared" si="1034"/>
        <v>5</v>
      </c>
      <c r="R6238" s="160">
        <f t="shared" si="1035"/>
        <v>50.750000000058208</v>
      </c>
      <c r="S6238" s="158">
        <f t="shared" si="1036"/>
        <v>50.750000000058208</v>
      </c>
      <c r="T6238" s="161">
        <f t="shared" si="1037"/>
        <v>37910.250000043481</v>
      </c>
      <c r="U6238" s="158">
        <f t="shared" si="1039"/>
        <v>747</v>
      </c>
      <c r="V6238" s="160">
        <f t="shared" si="1038"/>
        <v>747</v>
      </c>
    </row>
    <row r="6239" spans="1:22" x14ac:dyDescent="0.25">
      <c r="A6239" s="98" t="s">
        <v>69</v>
      </c>
      <c r="B6239" s="98" t="s">
        <v>17</v>
      </c>
      <c r="C6239" s="98">
        <v>49</v>
      </c>
      <c r="D6239" s="98">
        <v>4500</v>
      </c>
      <c r="E6239" s="157">
        <v>42508.433333333334</v>
      </c>
      <c r="F6239" s="157">
        <v>42508.513888888891</v>
      </c>
      <c r="G6239" s="98">
        <v>290</v>
      </c>
      <c r="H6239" s="98">
        <v>795</v>
      </c>
      <c r="I6239" s="98">
        <v>747</v>
      </c>
      <c r="J6239" s="98" t="s">
        <v>2269</v>
      </c>
      <c r="K6239" s="98" t="s">
        <v>4490</v>
      </c>
      <c r="L6239" s="105" t="str">
        <f t="shared" si="1030"/>
        <v>Trimble</v>
      </c>
      <c r="M6239" s="105" t="str">
        <f t="shared" si="1031"/>
        <v>Derate</v>
      </c>
      <c r="N6239" s="105" t="str">
        <f t="shared" si="1032"/>
        <v>Coal</v>
      </c>
      <c r="O6239" s="105">
        <f>IFERROR(VLOOKUP(A6239,Lookup!$J$5:$P$19,7,FALSE),0)</f>
        <v>3</v>
      </c>
      <c r="P6239" s="159">
        <f t="shared" si="1033"/>
        <v>2016</v>
      </c>
      <c r="Q6239" s="159">
        <f t="shared" si="1034"/>
        <v>5</v>
      </c>
      <c r="R6239" s="160">
        <f t="shared" si="1035"/>
        <v>1.9333333333488554</v>
      </c>
      <c r="S6239" s="158">
        <f t="shared" si="1036"/>
        <v>1.2280922431964427</v>
      </c>
      <c r="T6239" s="161">
        <f t="shared" si="1037"/>
        <v>917.38490566774271</v>
      </c>
      <c r="U6239" s="158">
        <f t="shared" si="1039"/>
        <v>474.50943396226415</v>
      </c>
      <c r="V6239" s="160">
        <f t="shared" si="1038"/>
        <v>475</v>
      </c>
    </row>
    <row r="6240" spans="1:22" x14ac:dyDescent="0.25">
      <c r="A6240" s="98" t="s">
        <v>69</v>
      </c>
      <c r="B6240" s="98" t="s">
        <v>17</v>
      </c>
      <c r="C6240" s="98">
        <v>50</v>
      </c>
      <c r="D6240" s="98">
        <v>4500</v>
      </c>
      <c r="E6240" s="157">
        <v>42508.513888888891</v>
      </c>
      <c r="F6240" s="157">
        <v>42508.555555555555</v>
      </c>
      <c r="G6240" s="98">
        <v>350</v>
      </c>
      <c r="H6240" s="98">
        <v>795</v>
      </c>
      <c r="I6240" s="98">
        <v>747</v>
      </c>
      <c r="J6240" s="98" t="s">
        <v>2269</v>
      </c>
      <c r="K6240" s="98" t="s">
        <v>4490</v>
      </c>
      <c r="L6240" s="105" t="str">
        <f t="shared" si="1030"/>
        <v>Trimble</v>
      </c>
      <c r="M6240" s="105" t="str">
        <f t="shared" si="1031"/>
        <v>Derate</v>
      </c>
      <c r="N6240" s="105" t="str">
        <f t="shared" si="1032"/>
        <v>Coal</v>
      </c>
      <c r="O6240" s="105">
        <f>IFERROR(VLOOKUP(A6240,Lookup!$J$5:$P$19,7,FALSE),0)</f>
        <v>3</v>
      </c>
      <c r="P6240" s="159">
        <f t="shared" si="1033"/>
        <v>2016</v>
      </c>
      <c r="Q6240" s="159">
        <f t="shared" si="1034"/>
        <v>5</v>
      </c>
      <c r="R6240" s="160">
        <f t="shared" si="1035"/>
        <v>0.99999999994179234</v>
      </c>
      <c r="S6240" s="158">
        <f t="shared" si="1036"/>
        <v>0.55974842764037436</v>
      </c>
      <c r="T6240" s="161">
        <f t="shared" si="1037"/>
        <v>418.13207544735963</v>
      </c>
      <c r="U6240" s="158">
        <f t="shared" si="1039"/>
        <v>418.1320754716981</v>
      </c>
      <c r="V6240" s="160">
        <f t="shared" si="1038"/>
        <v>418</v>
      </c>
    </row>
    <row r="6241" spans="1:22" x14ac:dyDescent="0.25">
      <c r="A6241" s="98" t="s">
        <v>69</v>
      </c>
      <c r="B6241" s="98" t="s">
        <v>17</v>
      </c>
      <c r="C6241" s="98">
        <v>51</v>
      </c>
      <c r="D6241" s="98">
        <v>4500</v>
      </c>
      <c r="E6241" s="157">
        <v>42508.555555555555</v>
      </c>
      <c r="F6241" s="157">
        <v>42508.807638888888</v>
      </c>
      <c r="G6241" s="98">
        <v>388</v>
      </c>
      <c r="H6241" s="98">
        <v>795</v>
      </c>
      <c r="I6241" s="98">
        <v>747</v>
      </c>
      <c r="J6241" s="98" t="s">
        <v>2269</v>
      </c>
      <c r="K6241" s="98" t="s">
        <v>4490</v>
      </c>
      <c r="L6241" s="105" t="str">
        <f t="shared" si="1030"/>
        <v>Trimble</v>
      </c>
      <c r="M6241" s="105" t="str">
        <f t="shared" si="1031"/>
        <v>Derate</v>
      </c>
      <c r="N6241" s="105" t="str">
        <f t="shared" si="1032"/>
        <v>Coal</v>
      </c>
      <c r="O6241" s="105">
        <f>IFERROR(VLOOKUP(A6241,Lookup!$J$5:$P$19,7,FALSE),0)</f>
        <v>3</v>
      </c>
      <c r="P6241" s="159">
        <f t="shared" si="1033"/>
        <v>2016</v>
      </c>
      <c r="Q6241" s="159">
        <f t="shared" si="1034"/>
        <v>5</v>
      </c>
      <c r="R6241" s="160">
        <f t="shared" si="1035"/>
        <v>6.0499999999883585</v>
      </c>
      <c r="S6241" s="158">
        <f t="shared" si="1036"/>
        <v>3.097295597478317</v>
      </c>
      <c r="T6241" s="161">
        <f t="shared" si="1037"/>
        <v>2313.6798113163027</v>
      </c>
      <c r="U6241" s="158">
        <f t="shared" si="1039"/>
        <v>382.42641509433963</v>
      </c>
      <c r="V6241" s="160">
        <f t="shared" si="1038"/>
        <v>382</v>
      </c>
    </row>
    <row r="6242" spans="1:22" x14ac:dyDescent="0.25">
      <c r="A6242" s="98" t="s">
        <v>69</v>
      </c>
      <c r="B6242" s="98" t="s">
        <v>15</v>
      </c>
      <c r="C6242" s="98">
        <v>52</v>
      </c>
      <c r="D6242" s="98">
        <v>4500</v>
      </c>
      <c r="E6242" s="157">
        <v>42508.807638888888</v>
      </c>
      <c r="F6242" s="157">
        <v>42509.351388888892</v>
      </c>
      <c r="G6242" s="98">
        <v>0</v>
      </c>
      <c r="H6242" s="98">
        <v>795</v>
      </c>
      <c r="I6242" s="98">
        <v>747</v>
      </c>
      <c r="J6242" s="98" t="s">
        <v>2269</v>
      </c>
      <c r="K6242" s="98" t="s">
        <v>4491</v>
      </c>
      <c r="L6242" s="105" t="str">
        <f t="shared" si="1030"/>
        <v>Trimble</v>
      </c>
      <c r="M6242" s="105" t="str">
        <f t="shared" si="1031"/>
        <v>Outage</v>
      </c>
      <c r="N6242" s="105" t="str">
        <f t="shared" si="1032"/>
        <v>Coal</v>
      </c>
      <c r="O6242" s="105">
        <f>IFERROR(VLOOKUP(A6242,Lookup!$J$5:$P$19,7,FALSE),0)</f>
        <v>3</v>
      </c>
      <c r="P6242" s="159">
        <f t="shared" si="1033"/>
        <v>2016</v>
      </c>
      <c r="Q6242" s="159">
        <f t="shared" si="1034"/>
        <v>5</v>
      </c>
      <c r="R6242" s="160">
        <f t="shared" si="1035"/>
        <v>13.050000000104774</v>
      </c>
      <c r="S6242" s="158">
        <f t="shared" si="1036"/>
        <v>13.050000000104774</v>
      </c>
      <c r="T6242" s="161">
        <f t="shared" si="1037"/>
        <v>9748.350000078266</v>
      </c>
      <c r="U6242" s="158">
        <f t="shared" si="1039"/>
        <v>747</v>
      </c>
      <c r="V6242" s="160">
        <f t="shared" si="1038"/>
        <v>747</v>
      </c>
    </row>
    <row r="6243" spans="1:22" x14ac:dyDescent="0.25">
      <c r="A6243" s="98" t="s">
        <v>69</v>
      </c>
      <c r="B6243" s="98" t="s">
        <v>15</v>
      </c>
      <c r="C6243" s="98">
        <v>53</v>
      </c>
      <c r="D6243" s="98">
        <v>4500</v>
      </c>
      <c r="E6243" s="157">
        <v>42509.470138888886</v>
      </c>
      <c r="F6243" s="157">
        <v>42522</v>
      </c>
      <c r="G6243" s="98">
        <v>0</v>
      </c>
      <c r="H6243" s="98">
        <v>795</v>
      </c>
      <c r="I6243" s="98">
        <v>747</v>
      </c>
      <c r="J6243" s="98" t="s">
        <v>2269</v>
      </c>
      <c r="K6243" s="98" t="s">
        <v>4492</v>
      </c>
      <c r="L6243" s="105" t="str">
        <f t="shared" si="1030"/>
        <v>Trimble</v>
      </c>
      <c r="M6243" s="105" t="str">
        <f t="shared" si="1031"/>
        <v>Outage</v>
      </c>
      <c r="N6243" s="105" t="str">
        <f t="shared" si="1032"/>
        <v>Coal</v>
      </c>
      <c r="O6243" s="105">
        <f>IFERROR(VLOOKUP(A6243,Lookup!$J$5:$P$19,7,FALSE),0)</f>
        <v>3</v>
      </c>
      <c r="P6243" s="159">
        <f t="shared" si="1033"/>
        <v>2016</v>
      </c>
      <c r="Q6243" s="159">
        <f t="shared" si="1034"/>
        <v>5</v>
      </c>
      <c r="R6243" s="160">
        <f t="shared" si="1035"/>
        <v>300.71666666673264</v>
      </c>
      <c r="S6243" s="158">
        <f t="shared" si="1036"/>
        <v>300.71666666673264</v>
      </c>
      <c r="T6243" s="161">
        <f t="shared" si="1037"/>
        <v>224635.35000004928</v>
      </c>
      <c r="U6243" s="158">
        <f t="shared" si="1039"/>
        <v>747</v>
      </c>
      <c r="V6243" s="160">
        <f t="shared" si="1038"/>
        <v>747</v>
      </c>
    </row>
    <row r="6244" spans="1:22" x14ac:dyDescent="0.25">
      <c r="A6244" s="98" t="s">
        <v>69</v>
      </c>
      <c r="B6244" s="98" t="s">
        <v>15</v>
      </c>
      <c r="C6244" s="98">
        <v>61</v>
      </c>
      <c r="D6244" s="98">
        <v>4500</v>
      </c>
      <c r="E6244" s="157">
        <v>42522</v>
      </c>
      <c r="F6244" s="157">
        <v>42566.239583333336</v>
      </c>
      <c r="G6244" s="98">
        <v>0</v>
      </c>
      <c r="H6244" s="98">
        <v>795</v>
      </c>
      <c r="I6244" s="98">
        <v>747</v>
      </c>
      <c r="J6244" s="98" t="s">
        <v>2269</v>
      </c>
      <c r="K6244" s="98" t="s">
        <v>4492</v>
      </c>
      <c r="L6244" s="105" t="str">
        <f t="shared" si="1030"/>
        <v>Trimble</v>
      </c>
      <c r="M6244" s="105" t="str">
        <f t="shared" si="1031"/>
        <v>Outage</v>
      </c>
      <c r="N6244" s="105" t="str">
        <f t="shared" si="1032"/>
        <v>Coal</v>
      </c>
      <c r="O6244" s="105">
        <f>IFERROR(VLOOKUP(A6244,Lookup!$J$5:$P$19,7,FALSE),0)</f>
        <v>3</v>
      </c>
      <c r="P6244" s="159">
        <f t="shared" si="1033"/>
        <v>2016</v>
      </c>
      <c r="Q6244" s="159">
        <f t="shared" si="1034"/>
        <v>6</v>
      </c>
      <c r="R6244" s="160">
        <f t="shared" si="1035"/>
        <v>1061.7500000000582</v>
      </c>
      <c r="S6244" s="158">
        <f t="shared" si="1036"/>
        <v>1061.7500000000582</v>
      </c>
      <c r="T6244" s="161">
        <f t="shared" si="1037"/>
        <v>793127.25000004354</v>
      </c>
      <c r="U6244" s="158">
        <f t="shared" si="1039"/>
        <v>747</v>
      </c>
      <c r="V6244" s="160">
        <f t="shared" si="1038"/>
        <v>747</v>
      </c>
    </row>
    <row r="6245" spans="1:22" x14ac:dyDescent="0.25">
      <c r="A6245" s="98" t="s">
        <v>69</v>
      </c>
      <c r="B6245" s="98" t="s">
        <v>18</v>
      </c>
      <c r="C6245" s="98">
        <v>54</v>
      </c>
      <c r="D6245" s="98">
        <v>4609</v>
      </c>
      <c r="E6245" s="157">
        <v>42566.239583333336</v>
      </c>
      <c r="F6245" s="157">
        <v>42566.332638888889</v>
      </c>
      <c r="G6245" s="98">
        <v>0</v>
      </c>
      <c r="H6245" s="98">
        <v>795</v>
      </c>
      <c r="I6245" s="98">
        <v>747</v>
      </c>
      <c r="J6245" s="98" t="s">
        <v>2105</v>
      </c>
      <c r="K6245" s="98" t="s">
        <v>4493</v>
      </c>
      <c r="L6245" s="105" t="str">
        <f t="shared" si="1030"/>
        <v>Trimble</v>
      </c>
      <c r="M6245" s="105" t="str">
        <f t="shared" si="1031"/>
        <v>Outage</v>
      </c>
      <c r="N6245" s="105" t="str">
        <f t="shared" si="1032"/>
        <v>Coal</v>
      </c>
      <c r="O6245" s="105">
        <f>IFERROR(VLOOKUP(A6245,Lookup!$J$5:$P$19,7,FALSE),0)</f>
        <v>3</v>
      </c>
      <c r="P6245" s="159">
        <f t="shared" si="1033"/>
        <v>2016</v>
      </c>
      <c r="Q6245" s="159">
        <f t="shared" si="1034"/>
        <v>7</v>
      </c>
      <c r="R6245" s="160">
        <f t="shared" si="1035"/>
        <v>2.2333333332790062</v>
      </c>
      <c r="S6245" s="158">
        <f t="shared" si="1036"/>
        <v>2.2333333332790062</v>
      </c>
      <c r="T6245" s="161">
        <f t="shared" si="1037"/>
        <v>1668.2999999594176</v>
      </c>
      <c r="U6245" s="158">
        <f t="shared" si="1039"/>
        <v>747</v>
      </c>
      <c r="V6245" s="160">
        <f t="shared" si="1038"/>
        <v>747</v>
      </c>
    </row>
    <row r="6246" spans="1:22" x14ac:dyDescent="0.25">
      <c r="A6246" s="98" t="s">
        <v>69</v>
      </c>
      <c r="B6246" s="98" t="s">
        <v>15</v>
      </c>
      <c r="C6246" s="98">
        <v>55</v>
      </c>
      <c r="D6246" s="98">
        <v>3499</v>
      </c>
      <c r="E6246" s="157">
        <v>42566.53125</v>
      </c>
      <c r="F6246" s="157">
        <v>42566.758333333331</v>
      </c>
      <c r="G6246" s="98">
        <v>0</v>
      </c>
      <c r="H6246" s="98">
        <v>795</v>
      </c>
      <c r="I6246" s="98">
        <v>747</v>
      </c>
      <c r="J6246" s="98" t="s">
        <v>2188</v>
      </c>
      <c r="K6246" s="98" t="s">
        <v>4494</v>
      </c>
      <c r="L6246" s="105" t="str">
        <f t="shared" si="1030"/>
        <v>Trimble</v>
      </c>
      <c r="M6246" s="105" t="str">
        <f t="shared" si="1031"/>
        <v>Outage</v>
      </c>
      <c r="N6246" s="105" t="str">
        <f t="shared" si="1032"/>
        <v>Coal</v>
      </c>
      <c r="O6246" s="105">
        <f>IFERROR(VLOOKUP(A6246,Lookup!$J$5:$P$19,7,FALSE),0)</f>
        <v>3</v>
      </c>
      <c r="P6246" s="159">
        <f t="shared" si="1033"/>
        <v>2016</v>
      </c>
      <c r="Q6246" s="159">
        <f t="shared" si="1034"/>
        <v>7</v>
      </c>
      <c r="R6246" s="160">
        <f t="shared" si="1035"/>
        <v>5.4499999999534339</v>
      </c>
      <c r="S6246" s="158">
        <f t="shared" si="1036"/>
        <v>5.4499999999534339</v>
      </c>
      <c r="T6246" s="161">
        <f t="shared" si="1037"/>
        <v>4071.1499999652151</v>
      </c>
      <c r="U6246" s="158">
        <f t="shared" si="1039"/>
        <v>747</v>
      </c>
      <c r="V6246" s="160">
        <f t="shared" si="1038"/>
        <v>747</v>
      </c>
    </row>
    <row r="6247" spans="1:22" x14ac:dyDescent="0.25">
      <c r="A6247" s="98" t="s">
        <v>69</v>
      </c>
      <c r="B6247" s="98" t="s">
        <v>17</v>
      </c>
      <c r="C6247" s="98">
        <v>56</v>
      </c>
      <c r="D6247" s="98">
        <v>9616</v>
      </c>
      <c r="E6247" s="157">
        <v>42567.370138888888</v>
      </c>
      <c r="F6247" s="157">
        <v>42567.375</v>
      </c>
      <c r="G6247" s="98">
        <v>561</v>
      </c>
      <c r="H6247" s="98">
        <v>795</v>
      </c>
      <c r="I6247" s="98">
        <v>747</v>
      </c>
      <c r="J6247" s="98" t="s">
        <v>3088</v>
      </c>
      <c r="K6247" s="98" t="s">
        <v>4495</v>
      </c>
      <c r="L6247" s="105" t="str">
        <f t="shared" si="1030"/>
        <v>Trimble</v>
      </c>
      <c r="M6247" s="105" t="str">
        <f t="shared" si="1031"/>
        <v>Derate</v>
      </c>
      <c r="N6247" s="105" t="str">
        <f t="shared" si="1032"/>
        <v>Coal</v>
      </c>
      <c r="O6247" s="105">
        <f>IFERROR(VLOOKUP(A6247,Lookup!$J$5:$P$19,7,FALSE),0)</f>
        <v>3</v>
      </c>
      <c r="P6247" s="159">
        <f t="shared" si="1033"/>
        <v>2016</v>
      </c>
      <c r="Q6247" s="159">
        <f t="shared" si="1034"/>
        <v>7</v>
      </c>
      <c r="R6247" s="160">
        <f t="shared" si="1035"/>
        <v>0.11666666669771075</v>
      </c>
      <c r="S6247" s="158">
        <f t="shared" si="1036"/>
        <v>3.4339622650646939E-2</v>
      </c>
      <c r="T6247" s="161">
        <f t="shared" si="1037"/>
        <v>25.651698120033263</v>
      </c>
      <c r="U6247" s="158">
        <f t="shared" si="1039"/>
        <v>219.87169811320754</v>
      </c>
      <c r="V6247" s="160">
        <f t="shared" si="1038"/>
        <v>220</v>
      </c>
    </row>
    <row r="6248" spans="1:22" x14ac:dyDescent="0.25">
      <c r="A6248" s="98" t="s">
        <v>69</v>
      </c>
      <c r="B6248" s="98" t="s">
        <v>17</v>
      </c>
      <c r="C6248" s="98">
        <v>57</v>
      </c>
      <c r="D6248" s="98">
        <v>9616</v>
      </c>
      <c r="E6248" s="157">
        <v>42567.375</v>
      </c>
      <c r="F6248" s="157">
        <v>42567.5</v>
      </c>
      <c r="G6248" s="98">
        <v>499</v>
      </c>
      <c r="H6248" s="98">
        <v>795</v>
      </c>
      <c r="I6248" s="98">
        <v>747</v>
      </c>
      <c r="J6248" s="98" t="s">
        <v>3088</v>
      </c>
      <c r="K6248" s="98" t="s">
        <v>4495</v>
      </c>
      <c r="L6248" s="105" t="str">
        <f t="shared" si="1030"/>
        <v>Trimble</v>
      </c>
      <c r="M6248" s="105" t="str">
        <f t="shared" si="1031"/>
        <v>Derate</v>
      </c>
      <c r="N6248" s="105" t="str">
        <f t="shared" si="1032"/>
        <v>Coal</v>
      </c>
      <c r="O6248" s="105">
        <f>IFERROR(VLOOKUP(A6248,Lookup!$J$5:$P$19,7,FALSE),0)</f>
        <v>3</v>
      </c>
      <c r="P6248" s="159">
        <f t="shared" si="1033"/>
        <v>2016</v>
      </c>
      <c r="Q6248" s="159">
        <f t="shared" si="1034"/>
        <v>7</v>
      </c>
      <c r="R6248" s="160">
        <f t="shared" si="1035"/>
        <v>3</v>
      </c>
      <c r="S6248" s="158">
        <f t="shared" si="1036"/>
        <v>1.1169811320754717</v>
      </c>
      <c r="T6248" s="161">
        <f t="shared" si="1037"/>
        <v>834.38490566037729</v>
      </c>
      <c r="U6248" s="158">
        <f t="shared" si="1039"/>
        <v>278.12830188679243</v>
      </c>
      <c r="V6248" s="160">
        <f t="shared" si="1038"/>
        <v>278</v>
      </c>
    </row>
    <row r="6249" spans="1:22" x14ac:dyDescent="0.25">
      <c r="A6249" s="98" t="s">
        <v>69</v>
      </c>
      <c r="B6249" s="98" t="s">
        <v>17</v>
      </c>
      <c r="C6249" s="98">
        <v>58</v>
      </c>
      <c r="D6249" s="98">
        <v>9616</v>
      </c>
      <c r="E6249" s="157">
        <v>42567.5</v>
      </c>
      <c r="F6249" s="157">
        <v>42567.541666666664</v>
      </c>
      <c r="G6249" s="98">
        <v>569</v>
      </c>
      <c r="H6249" s="98">
        <v>795</v>
      </c>
      <c r="I6249" s="98">
        <v>747</v>
      </c>
      <c r="J6249" s="98" t="s">
        <v>3088</v>
      </c>
      <c r="K6249" s="98" t="s">
        <v>4495</v>
      </c>
      <c r="L6249" s="105" t="str">
        <f t="shared" si="1030"/>
        <v>Trimble</v>
      </c>
      <c r="M6249" s="105" t="str">
        <f t="shared" si="1031"/>
        <v>Derate</v>
      </c>
      <c r="N6249" s="105" t="str">
        <f t="shared" si="1032"/>
        <v>Coal</v>
      </c>
      <c r="O6249" s="105">
        <f>IFERROR(VLOOKUP(A6249,Lookup!$J$5:$P$19,7,FALSE),0)</f>
        <v>3</v>
      </c>
      <c r="P6249" s="159">
        <f t="shared" si="1033"/>
        <v>2016</v>
      </c>
      <c r="Q6249" s="159">
        <f t="shared" si="1034"/>
        <v>7</v>
      </c>
      <c r="R6249" s="160">
        <f t="shared" si="1035"/>
        <v>0.99999999994179234</v>
      </c>
      <c r="S6249" s="158">
        <f t="shared" si="1036"/>
        <v>0.28427672954320132</v>
      </c>
      <c r="T6249" s="161">
        <f t="shared" si="1037"/>
        <v>212.35471696877138</v>
      </c>
      <c r="U6249" s="158">
        <f t="shared" si="1039"/>
        <v>212.35471698113207</v>
      </c>
      <c r="V6249" s="160">
        <f t="shared" si="1038"/>
        <v>212</v>
      </c>
    </row>
    <row r="6250" spans="1:22" x14ac:dyDescent="0.25">
      <c r="A6250" s="98" t="s">
        <v>69</v>
      </c>
      <c r="B6250" s="98" t="s">
        <v>17</v>
      </c>
      <c r="C6250" s="98">
        <v>59</v>
      </c>
      <c r="D6250" s="98">
        <v>9616</v>
      </c>
      <c r="E6250" s="157">
        <v>42567.541666666664</v>
      </c>
      <c r="F6250" s="157">
        <v>42567.739583333336</v>
      </c>
      <c r="G6250" s="98">
        <v>657</v>
      </c>
      <c r="H6250" s="98">
        <v>795</v>
      </c>
      <c r="I6250" s="98">
        <v>747</v>
      </c>
      <c r="J6250" s="98" t="s">
        <v>3088</v>
      </c>
      <c r="K6250" s="98" t="s">
        <v>4495</v>
      </c>
      <c r="L6250" s="105" t="str">
        <f t="shared" si="1030"/>
        <v>Trimble</v>
      </c>
      <c r="M6250" s="105" t="str">
        <f t="shared" si="1031"/>
        <v>Derate</v>
      </c>
      <c r="N6250" s="105" t="str">
        <f t="shared" si="1032"/>
        <v>Coal</v>
      </c>
      <c r="O6250" s="105">
        <f>IFERROR(VLOOKUP(A6250,Lookup!$J$5:$P$19,7,FALSE),0)</f>
        <v>3</v>
      </c>
      <c r="P6250" s="159">
        <f t="shared" si="1033"/>
        <v>2016</v>
      </c>
      <c r="Q6250" s="159">
        <f t="shared" si="1034"/>
        <v>7</v>
      </c>
      <c r="R6250" s="160">
        <f t="shared" si="1035"/>
        <v>4.7500000001164153</v>
      </c>
      <c r="S6250" s="158">
        <f t="shared" si="1036"/>
        <v>0.82452830190700044</v>
      </c>
      <c r="T6250" s="161">
        <f t="shared" si="1037"/>
        <v>615.92264152452935</v>
      </c>
      <c r="U6250" s="158">
        <f t="shared" si="1039"/>
        <v>129.66792452830188</v>
      </c>
      <c r="V6250" s="160">
        <f t="shared" si="1038"/>
        <v>130</v>
      </c>
    </row>
    <row r="6251" spans="1:22" x14ac:dyDescent="0.25">
      <c r="A6251" s="98" t="s">
        <v>69</v>
      </c>
      <c r="B6251" s="98" t="s">
        <v>15</v>
      </c>
      <c r="C6251" s="98">
        <v>60</v>
      </c>
      <c r="D6251" s="98">
        <v>1475</v>
      </c>
      <c r="E6251" s="157">
        <v>42569.522222222222</v>
      </c>
      <c r="F6251" s="157">
        <v>42570.999305555553</v>
      </c>
      <c r="G6251" s="98">
        <v>0</v>
      </c>
      <c r="H6251" s="98">
        <v>795</v>
      </c>
      <c r="I6251" s="98">
        <v>747</v>
      </c>
      <c r="J6251" s="98" t="s">
        <v>1989</v>
      </c>
      <c r="K6251" s="98" t="s">
        <v>4496</v>
      </c>
      <c r="L6251" s="105" t="str">
        <f t="shared" si="1030"/>
        <v>Trimble</v>
      </c>
      <c r="M6251" s="105" t="str">
        <f t="shared" si="1031"/>
        <v>Outage</v>
      </c>
      <c r="N6251" s="105" t="str">
        <f t="shared" si="1032"/>
        <v>Coal</v>
      </c>
      <c r="O6251" s="105">
        <f>IFERROR(VLOOKUP(A6251,Lookup!$J$5:$P$19,7,FALSE),0)</f>
        <v>3</v>
      </c>
      <c r="P6251" s="159">
        <f t="shared" si="1033"/>
        <v>2016</v>
      </c>
      <c r="Q6251" s="159">
        <f t="shared" si="1034"/>
        <v>7</v>
      </c>
      <c r="R6251" s="160">
        <f t="shared" si="1035"/>
        <v>35.449999999953434</v>
      </c>
      <c r="S6251" s="158">
        <f t="shared" si="1036"/>
        <v>35.449999999953434</v>
      </c>
      <c r="T6251" s="161">
        <f t="shared" si="1037"/>
        <v>26481.149999965215</v>
      </c>
      <c r="U6251" s="158">
        <f t="shared" si="1039"/>
        <v>747</v>
      </c>
      <c r="V6251" s="160">
        <f t="shared" si="1038"/>
        <v>747</v>
      </c>
    </row>
    <row r="6252" spans="1:22" x14ac:dyDescent="0.25">
      <c r="A6252" s="98" t="s">
        <v>69</v>
      </c>
      <c r="B6252" s="98" t="s">
        <v>17</v>
      </c>
      <c r="C6252" s="98">
        <v>62</v>
      </c>
      <c r="D6252" s="98">
        <v>312</v>
      </c>
      <c r="E6252" s="157">
        <v>42576.916666666664</v>
      </c>
      <c r="F6252" s="157">
        <v>42577.041666666664</v>
      </c>
      <c r="G6252" s="98">
        <v>655</v>
      </c>
      <c r="H6252" s="98">
        <v>795</v>
      </c>
      <c r="I6252" s="98">
        <v>747</v>
      </c>
      <c r="J6252" s="98" t="s">
        <v>2169</v>
      </c>
      <c r="K6252" s="98" t="s">
        <v>4497</v>
      </c>
      <c r="L6252" s="105" t="str">
        <f t="shared" si="1030"/>
        <v>Trimble</v>
      </c>
      <c r="M6252" s="105" t="str">
        <f t="shared" si="1031"/>
        <v>Derate</v>
      </c>
      <c r="N6252" s="105" t="str">
        <f t="shared" si="1032"/>
        <v>Coal</v>
      </c>
      <c r="O6252" s="105">
        <f>IFERROR(VLOOKUP(A6252,Lookup!$J$5:$P$19,7,FALSE),0)</f>
        <v>3</v>
      </c>
      <c r="P6252" s="159">
        <f t="shared" si="1033"/>
        <v>2016</v>
      </c>
      <c r="Q6252" s="159">
        <f t="shared" si="1034"/>
        <v>7</v>
      </c>
      <c r="R6252" s="160">
        <f t="shared" si="1035"/>
        <v>3</v>
      </c>
      <c r="S6252" s="158">
        <f t="shared" si="1036"/>
        <v>0.52830188679245282</v>
      </c>
      <c r="T6252" s="161">
        <f t="shared" si="1037"/>
        <v>394.64150943396226</v>
      </c>
      <c r="U6252" s="158">
        <f t="shared" si="1039"/>
        <v>131.54716981132074</v>
      </c>
      <c r="V6252" s="160">
        <f t="shared" si="1038"/>
        <v>132</v>
      </c>
    </row>
    <row r="6253" spans="1:22" x14ac:dyDescent="0.25">
      <c r="A6253" s="98" t="s">
        <v>69</v>
      </c>
      <c r="B6253" s="98" t="s">
        <v>15</v>
      </c>
      <c r="C6253" s="98">
        <v>63</v>
      </c>
      <c r="D6253" s="98">
        <v>1488</v>
      </c>
      <c r="E6253" s="157">
        <v>42582.320833333331</v>
      </c>
      <c r="F6253" s="157">
        <v>42582.788888888892</v>
      </c>
      <c r="G6253" s="98">
        <v>0</v>
      </c>
      <c r="H6253" s="98">
        <v>795</v>
      </c>
      <c r="I6253" s="98">
        <v>747</v>
      </c>
      <c r="J6253" s="98" t="s">
        <v>2284</v>
      </c>
      <c r="K6253" s="98" t="s">
        <v>4498</v>
      </c>
      <c r="L6253" s="105" t="str">
        <f t="shared" si="1030"/>
        <v>Trimble</v>
      </c>
      <c r="M6253" s="105" t="str">
        <f t="shared" si="1031"/>
        <v>Outage</v>
      </c>
      <c r="N6253" s="105" t="str">
        <f t="shared" si="1032"/>
        <v>Coal</v>
      </c>
      <c r="O6253" s="105">
        <f>IFERROR(VLOOKUP(A6253,Lookup!$J$5:$P$19,7,FALSE),0)</f>
        <v>3</v>
      </c>
      <c r="P6253" s="159">
        <f t="shared" si="1033"/>
        <v>2016</v>
      </c>
      <c r="Q6253" s="159">
        <f t="shared" si="1034"/>
        <v>7</v>
      </c>
      <c r="R6253" s="160">
        <f t="shared" si="1035"/>
        <v>11.233333333453629</v>
      </c>
      <c r="S6253" s="158">
        <f t="shared" si="1036"/>
        <v>11.233333333453629</v>
      </c>
      <c r="T6253" s="161">
        <f t="shared" si="1037"/>
        <v>8391.300000089861</v>
      </c>
      <c r="U6253" s="158">
        <f t="shared" si="1039"/>
        <v>747</v>
      </c>
      <c r="V6253" s="160">
        <f t="shared" si="1038"/>
        <v>747</v>
      </c>
    </row>
    <row r="6254" spans="1:22" x14ac:dyDescent="0.25">
      <c r="A6254" s="98" t="s">
        <v>69</v>
      </c>
      <c r="B6254" s="98" t="s">
        <v>15</v>
      </c>
      <c r="C6254" s="98">
        <v>64</v>
      </c>
      <c r="D6254" s="98">
        <v>3681</v>
      </c>
      <c r="E6254" s="157">
        <v>42582.804861111108</v>
      </c>
      <c r="F6254" s="157">
        <v>42583.124305555553</v>
      </c>
      <c r="G6254" s="98">
        <v>0</v>
      </c>
      <c r="H6254" s="98">
        <v>795</v>
      </c>
      <c r="I6254" s="98">
        <v>747</v>
      </c>
      <c r="J6254" s="98" t="s">
        <v>2309</v>
      </c>
      <c r="K6254" s="98" t="s">
        <v>4499</v>
      </c>
      <c r="L6254" s="105" t="str">
        <f t="shared" si="1030"/>
        <v>Trimble</v>
      </c>
      <c r="M6254" s="105" t="str">
        <f t="shared" si="1031"/>
        <v>Outage</v>
      </c>
      <c r="N6254" s="105" t="str">
        <f t="shared" si="1032"/>
        <v>Coal</v>
      </c>
      <c r="O6254" s="105">
        <f>IFERROR(VLOOKUP(A6254,Lookup!$J$5:$P$19,7,FALSE),0)</f>
        <v>3</v>
      </c>
      <c r="P6254" s="159">
        <f t="shared" si="1033"/>
        <v>2016</v>
      </c>
      <c r="Q6254" s="159">
        <f t="shared" si="1034"/>
        <v>7</v>
      </c>
      <c r="R6254" s="160">
        <f t="shared" si="1035"/>
        <v>7.6666666666860692</v>
      </c>
      <c r="S6254" s="158">
        <f t="shared" si="1036"/>
        <v>7.6666666666860692</v>
      </c>
      <c r="T6254" s="161">
        <f t="shared" si="1037"/>
        <v>5727.0000000144937</v>
      </c>
      <c r="U6254" s="158">
        <f t="shared" si="1039"/>
        <v>747</v>
      </c>
      <c r="V6254" s="160">
        <f t="shared" si="1038"/>
        <v>747</v>
      </c>
    </row>
    <row r="6255" spans="1:22" x14ac:dyDescent="0.25">
      <c r="A6255" s="98" t="s">
        <v>69</v>
      </c>
      <c r="B6255" s="98" t="s">
        <v>79</v>
      </c>
      <c r="C6255" s="98">
        <v>65</v>
      </c>
      <c r="D6255" s="98">
        <v>8810</v>
      </c>
      <c r="E6255" s="157">
        <v>42586.25</v>
      </c>
      <c r="F6255" s="157">
        <v>42586.75</v>
      </c>
      <c r="G6255" s="98">
        <v>0</v>
      </c>
      <c r="H6255" s="98">
        <v>795</v>
      </c>
      <c r="I6255" s="98">
        <v>747</v>
      </c>
      <c r="J6255" s="98" t="s">
        <v>2984</v>
      </c>
      <c r="K6255" s="98" t="s">
        <v>4500</v>
      </c>
      <c r="L6255" s="105" t="str">
        <f t="shared" si="1030"/>
        <v>Trimble</v>
      </c>
      <c r="M6255" s="105" t="str">
        <f t="shared" si="1031"/>
        <v>Other</v>
      </c>
      <c r="N6255" s="105" t="str">
        <f t="shared" si="1032"/>
        <v>Coal</v>
      </c>
      <c r="O6255" s="105">
        <f>IFERROR(VLOOKUP(A6255,Lookup!$J$5:$P$19,7,FALSE),0)</f>
        <v>3</v>
      </c>
      <c r="P6255" s="159">
        <f t="shared" si="1033"/>
        <v>2016</v>
      </c>
      <c r="Q6255" s="159">
        <f t="shared" si="1034"/>
        <v>8</v>
      </c>
      <c r="R6255" s="160">
        <f t="shared" si="1035"/>
        <v>12</v>
      </c>
      <c r="S6255" s="158">
        <f t="shared" si="1036"/>
        <v>12</v>
      </c>
      <c r="T6255" s="161">
        <f t="shared" si="1037"/>
        <v>8964</v>
      </c>
      <c r="U6255" s="158">
        <f t="shared" si="1039"/>
        <v>747</v>
      </c>
      <c r="V6255" s="160">
        <f t="shared" si="1038"/>
        <v>747</v>
      </c>
    </row>
    <row r="6256" spans="1:22" x14ac:dyDescent="0.25">
      <c r="A6256" s="98" t="s">
        <v>69</v>
      </c>
      <c r="B6256" s="98" t="s">
        <v>79</v>
      </c>
      <c r="C6256" s="98">
        <v>66</v>
      </c>
      <c r="D6256" s="98">
        <v>9999</v>
      </c>
      <c r="E6256" s="157">
        <v>42591.416666666664</v>
      </c>
      <c r="F6256" s="157">
        <v>42591.875</v>
      </c>
      <c r="G6256" s="98">
        <v>0</v>
      </c>
      <c r="H6256" s="98">
        <v>795</v>
      </c>
      <c r="I6256" s="98">
        <v>747</v>
      </c>
      <c r="J6256" s="98" t="s">
        <v>2261</v>
      </c>
      <c r="K6256" s="98" t="s">
        <v>4501</v>
      </c>
      <c r="L6256" s="105" t="str">
        <f t="shared" si="1030"/>
        <v>Trimble</v>
      </c>
      <c r="M6256" s="105" t="str">
        <f t="shared" si="1031"/>
        <v>Other</v>
      </c>
      <c r="N6256" s="105" t="str">
        <f t="shared" si="1032"/>
        <v>Coal</v>
      </c>
      <c r="O6256" s="105">
        <f>IFERROR(VLOOKUP(A6256,Lookup!$J$5:$P$19,7,FALSE),0)</f>
        <v>3</v>
      </c>
      <c r="P6256" s="159">
        <f t="shared" si="1033"/>
        <v>2016</v>
      </c>
      <c r="Q6256" s="159">
        <f t="shared" si="1034"/>
        <v>8</v>
      </c>
      <c r="R6256" s="160">
        <f t="shared" si="1035"/>
        <v>11.000000000058208</v>
      </c>
      <c r="S6256" s="158">
        <f t="shared" si="1036"/>
        <v>11.000000000058208</v>
      </c>
      <c r="T6256" s="161">
        <f t="shared" si="1037"/>
        <v>8217.0000000434811</v>
      </c>
      <c r="U6256" s="158">
        <f t="shared" si="1039"/>
        <v>747</v>
      </c>
      <c r="V6256" s="160">
        <f t="shared" si="1038"/>
        <v>747</v>
      </c>
    </row>
    <row r="6257" spans="1:22" x14ac:dyDescent="0.25">
      <c r="A6257" s="98" t="s">
        <v>69</v>
      </c>
      <c r="B6257" s="98" t="s">
        <v>32</v>
      </c>
      <c r="C6257" s="98">
        <v>67</v>
      </c>
      <c r="D6257" s="98">
        <v>1190</v>
      </c>
      <c r="E6257" s="157">
        <v>42596.083333333336</v>
      </c>
      <c r="F6257" s="157">
        <v>42596.458333333336</v>
      </c>
      <c r="G6257" s="98">
        <v>469</v>
      </c>
      <c r="H6257" s="98">
        <v>795</v>
      </c>
      <c r="I6257" s="98">
        <v>747</v>
      </c>
      <c r="J6257" s="98" t="s">
        <v>2007</v>
      </c>
      <c r="K6257" s="98" t="s">
        <v>4502</v>
      </c>
      <c r="L6257" s="105" t="str">
        <f t="shared" si="1030"/>
        <v>Trimble</v>
      </c>
      <c r="M6257" s="105" t="str">
        <f t="shared" si="1031"/>
        <v>Derate</v>
      </c>
      <c r="N6257" s="105" t="str">
        <f t="shared" si="1032"/>
        <v>Coal</v>
      </c>
      <c r="O6257" s="105">
        <f>IFERROR(VLOOKUP(A6257,Lookup!$J$5:$P$19,7,FALSE),0)</f>
        <v>3</v>
      </c>
      <c r="P6257" s="159">
        <f t="shared" si="1033"/>
        <v>2016</v>
      </c>
      <c r="Q6257" s="159">
        <f t="shared" si="1034"/>
        <v>8</v>
      </c>
      <c r="R6257" s="160">
        <f t="shared" si="1035"/>
        <v>9</v>
      </c>
      <c r="S6257" s="158">
        <f t="shared" si="1036"/>
        <v>3.6905660377358491</v>
      </c>
      <c r="T6257" s="161">
        <f t="shared" si="1037"/>
        <v>2756.8528301886795</v>
      </c>
      <c r="U6257" s="158">
        <f t="shared" si="1039"/>
        <v>306.31698113207545</v>
      </c>
      <c r="V6257" s="160">
        <f t="shared" si="1038"/>
        <v>306</v>
      </c>
    </row>
    <row r="6258" spans="1:22" x14ac:dyDescent="0.25">
      <c r="A6258" s="98" t="s">
        <v>69</v>
      </c>
      <c r="B6258" s="98" t="s">
        <v>32</v>
      </c>
      <c r="C6258" s="98">
        <v>68</v>
      </c>
      <c r="D6258" s="98">
        <v>1190</v>
      </c>
      <c r="E6258" s="157">
        <v>42603.083333333336</v>
      </c>
      <c r="F6258" s="157">
        <v>42603.25</v>
      </c>
      <c r="G6258" s="98">
        <v>449</v>
      </c>
      <c r="H6258" s="98">
        <v>795</v>
      </c>
      <c r="I6258" s="98">
        <v>747</v>
      </c>
      <c r="J6258" s="98" t="s">
        <v>2007</v>
      </c>
      <c r="K6258" s="98" t="s">
        <v>4503</v>
      </c>
      <c r="L6258" s="105" t="str">
        <f t="shared" si="1030"/>
        <v>Trimble</v>
      </c>
      <c r="M6258" s="105" t="str">
        <f t="shared" si="1031"/>
        <v>Derate</v>
      </c>
      <c r="N6258" s="105" t="str">
        <f t="shared" si="1032"/>
        <v>Coal</v>
      </c>
      <c r="O6258" s="105">
        <f>IFERROR(VLOOKUP(A6258,Lookup!$J$5:$P$19,7,FALSE),0)</f>
        <v>3</v>
      </c>
      <c r="P6258" s="159">
        <f t="shared" si="1033"/>
        <v>2016</v>
      </c>
      <c r="Q6258" s="159">
        <f t="shared" si="1034"/>
        <v>8</v>
      </c>
      <c r="R6258" s="160">
        <f t="shared" si="1035"/>
        <v>3.9999999999417923</v>
      </c>
      <c r="S6258" s="158">
        <f t="shared" si="1036"/>
        <v>1.7408805031193209</v>
      </c>
      <c r="T6258" s="161">
        <f t="shared" si="1037"/>
        <v>1300.4377358301326</v>
      </c>
      <c r="U6258" s="158">
        <f t="shared" si="1039"/>
        <v>325.10943396226418</v>
      </c>
      <c r="V6258" s="160">
        <f t="shared" si="1038"/>
        <v>325</v>
      </c>
    </row>
    <row r="6259" spans="1:22" x14ac:dyDescent="0.25">
      <c r="A6259" s="98" t="s">
        <v>69</v>
      </c>
      <c r="B6259" s="98" t="s">
        <v>32</v>
      </c>
      <c r="C6259" s="98">
        <v>69</v>
      </c>
      <c r="D6259" s="98">
        <v>1190</v>
      </c>
      <c r="E6259" s="157">
        <v>42609</v>
      </c>
      <c r="F6259" s="157">
        <v>42609.375</v>
      </c>
      <c r="G6259" s="98">
        <v>400</v>
      </c>
      <c r="H6259" s="98">
        <v>795</v>
      </c>
      <c r="I6259" s="98">
        <v>747</v>
      </c>
      <c r="J6259" s="98" t="s">
        <v>2007</v>
      </c>
      <c r="K6259" s="98" t="s">
        <v>4504</v>
      </c>
      <c r="L6259" s="105" t="str">
        <f t="shared" si="1030"/>
        <v>Trimble</v>
      </c>
      <c r="M6259" s="105" t="str">
        <f t="shared" si="1031"/>
        <v>Derate</v>
      </c>
      <c r="N6259" s="105" t="str">
        <f t="shared" si="1032"/>
        <v>Coal</v>
      </c>
      <c r="O6259" s="105">
        <f>IFERROR(VLOOKUP(A6259,Lookup!$J$5:$P$19,7,FALSE),0)</f>
        <v>3</v>
      </c>
      <c r="P6259" s="159">
        <f t="shared" si="1033"/>
        <v>2016</v>
      </c>
      <c r="Q6259" s="159">
        <f t="shared" si="1034"/>
        <v>8</v>
      </c>
      <c r="R6259" s="160">
        <f t="shared" si="1035"/>
        <v>9</v>
      </c>
      <c r="S6259" s="158">
        <f t="shared" si="1036"/>
        <v>4.4716981132075473</v>
      </c>
      <c r="T6259" s="161">
        <f t="shared" si="1037"/>
        <v>3340.3584905660377</v>
      </c>
      <c r="U6259" s="158">
        <f t="shared" si="1039"/>
        <v>371.15094339622641</v>
      </c>
      <c r="V6259" s="160">
        <f t="shared" si="1038"/>
        <v>371</v>
      </c>
    </row>
    <row r="6260" spans="1:22" x14ac:dyDescent="0.25">
      <c r="A6260" s="98" t="s">
        <v>69</v>
      </c>
      <c r="B6260" s="98" t="s">
        <v>32</v>
      </c>
      <c r="C6260" s="98">
        <v>70</v>
      </c>
      <c r="D6260" s="98">
        <v>100</v>
      </c>
      <c r="E6260" s="157">
        <v>42614.041666666664</v>
      </c>
      <c r="F6260" s="157">
        <v>42614.125</v>
      </c>
      <c r="G6260" s="98">
        <v>755</v>
      </c>
      <c r="H6260" s="98">
        <v>795</v>
      </c>
      <c r="I6260" s="98">
        <v>747</v>
      </c>
      <c r="J6260" s="98" t="s">
        <v>2283</v>
      </c>
      <c r="K6260" s="98" t="s">
        <v>4505</v>
      </c>
      <c r="L6260" s="105" t="str">
        <f t="shared" si="1030"/>
        <v>Trimble</v>
      </c>
      <c r="M6260" s="105" t="str">
        <f t="shared" si="1031"/>
        <v>Derate</v>
      </c>
      <c r="N6260" s="105" t="str">
        <f t="shared" si="1032"/>
        <v>Coal</v>
      </c>
      <c r="O6260" s="105">
        <f>IFERROR(VLOOKUP(A6260,Lookup!$J$5:$P$19,7,FALSE),0)</f>
        <v>3</v>
      </c>
      <c r="P6260" s="159">
        <f t="shared" si="1033"/>
        <v>2016</v>
      </c>
      <c r="Q6260" s="159">
        <f t="shared" si="1034"/>
        <v>9</v>
      </c>
      <c r="R6260" s="160">
        <f t="shared" si="1035"/>
        <v>2.0000000000582077</v>
      </c>
      <c r="S6260" s="158">
        <f t="shared" si="1036"/>
        <v>0.10062893082053875</v>
      </c>
      <c r="T6260" s="161">
        <f t="shared" si="1037"/>
        <v>75.169811322942451</v>
      </c>
      <c r="U6260" s="158">
        <f t="shared" si="1039"/>
        <v>37.584905660377359</v>
      </c>
      <c r="V6260" s="160">
        <f t="shared" si="1038"/>
        <v>38</v>
      </c>
    </row>
    <row r="6261" spans="1:22" x14ac:dyDescent="0.25">
      <c r="A6261" s="98" t="s">
        <v>69</v>
      </c>
      <c r="B6261" s="98" t="s">
        <v>32</v>
      </c>
      <c r="C6261" s="98">
        <v>71</v>
      </c>
      <c r="D6261" s="98">
        <v>3420</v>
      </c>
      <c r="E6261" s="157">
        <v>42616.000694444447</v>
      </c>
      <c r="F6261" s="157">
        <v>42616.208333333336</v>
      </c>
      <c r="G6261" s="98">
        <v>698</v>
      </c>
      <c r="H6261" s="98">
        <v>795</v>
      </c>
      <c r="I6261" s="98">
        <v>747</v>
      </c>
      <c r="J6261" s="98" t="s">
        <v>2056</v>
      </c>
      <c r="K6261" s="98" t="s">
        <v>4506</v>
      </c>
      <c r="L6261" s="105" t="str">
        <f t="shared" si="1030"/>
        <v>Trimble</v>
      </c>
      <c r="M6261" s="105" t="str">
        <f t="shared" si="1031"/>
        <v>Derate</v>
      </c>
      <c r="N6261" s="105" t="str">
        <f t="shared" si="1032"/>
        <v>Coal</v>
      </c>
      <c r="O6261" s="105">
        <f>IFERROR(VLOOKUP(A6261,Lookup!$J$5:$P$19,7,FALSE),0)</f>
        <v>3</v>
      </c>
      <c r="P6261" s="159">
        <f t="shared" si="1033"/>
        <v>2016</v>
      </c>
      <c r="Q6261" s="159">
        <f t="shared" si="1034"/>
        <v>9</v>
      </c>
      <c r="R6261" s="160">
        <f t="shared" si="1035"/>
        <v>4.9833333333372138</v>
      </c>
      <c r="S6261" s="158">
        <f t="shared" si="1036"/>
        <v>0.60802935010529524</v>
      </c>
      <c r="T6261" s="161">
        <f t="shared" si="1037"/>
        <v>454.19792452865556</v>
      </c>
      <c r="U6261" s="158">
        <f t="shared" si="1039"/>
        <v>91.143396226415092</v>
      </c>
      <c r="V6261" s="160">
        <f t="shared" si="1038"/>
        <v>91</v>
      </c>
    </row>
    <row r="6262" spans="1:22" x14ac:dyDescent="0.25">
      <c r="A6262" s="98" t="s">
        <v>69</v>
      </c>
      <c r="B6262" s="98" t="s">
        <v>32</v>
      </c>
      <c r="C6262" s="98">
        <v>72</v>
      </c>
      <c r="D6262" s="98">
        <v>1190</v>
      </c>
      <c r="E6262" s="157">
        <v>42617</v>
      </c>
      <c r="F6262" s="157">
        <v>42617.291666666664</v>
      </c>
      <c r="G6262" s="98">
        <v>448</v>
      </c>
      <c r="H6262" s="98">
        <v>795</v>
      </c>
      <c r="I6262" s="98">
        <v>747</v>
      </c>
      <c r="J6262" s="98" t="s">
        <v>2007</v>
      </c>
      <c r="K6262" s="98" t="s">
        <v>4507</v>
      </c>
      <c r="L6262" s="105" t="str">
        <f t="shared" si="1030"/>
        <v>Trimble</v>
      </c>
      <c r="M6262" s="105" t="str">
        <f t="shared" si="1031"/>
        <v>Derate</v>
      </c>
      <c r="N6262" s="105" t="str">
        <f t="shared" si="1032"/>
        <v>Coal</v>
      </c>
      <c r="O6262" s="105">
        <f>IFERROR(VLOOKUP(A6262,Lookup!$J$5:$P$19,7,FALSE),0)</f>
        <v>3</v>
      </c>
      <c r="P6262" s="159">
        <f t="shared" si="1033"/>
        <v>2016</v>
      </c>
      <c r="Q6262" s="159">
        <f t="shared" si="1034"/>
        <v>9</v>
      </c>
      <c r="R6262" s="160">
        <f t="shared" si="1035"/>
        <v>6.9999999999417923</v>
      </c>
      <c r="S6262" s="158">
        <f t="shared" si="1036"/>
        <v>3.0553459119242792</v>
      </c>
      <c r="T6262" s="161">
        <f t="shared" si="1037"/>
        <v>2282.3433962074364</v>
      </c>
      <c r="U6262" s="158">
        <f t="shared" si="1039"/>
        <v>326.04905660377358</v>
      </c>
      <c r="V6262" s="160">
        <f t="shared" si="1038"/>
        <v>326</v>
      </c>
    </row>
    <row r="6263" spans="1:22" x14ac:dyDescent="0.25">
      <c r="A6263" s="98" t="s">
        <v>69</v>
      </c>
      <c r="B6263" s="98" t="s">
        <v>32</v>
      </c>
      <c r="C6263" s="98">
        <v>73</v>
      </c>
      <c r="D6263" s="98">
        <v>1190</v>
      </c>
      <c r="E6263" s="157">
        <v>42624</v>
      </c>
      <c r="F6263" s="157">
        <v>42624.063194444447</v>
      </c>
      <c r="G6263" s="98">
        <v>448</v>
      </c>
      <c r="H6263" s="98">
        <v>795</v>
      </c>
      <c r="I6263" s="98">
        <v>747</v>
      </c>
      <c r="J6263" s="98" t="s">
        <v>2007</v>
      </c>
      <c r="K6263" s="98" t="s">
        <v>4508</v>
      </c>
      <c r="L6263" s="105" t="str">
        <f t="shared" si="1030"/>
        <v>Trimble</v>
      </c>
      <c r="M6263" s="105" t="str">
        <f t="shared" si="1031"/>
        <v>Derate</v>
      </c>
      <c r="N6263" s="105" t="str">
        <f t="shared" si="1032"/>
        <v>Coal</v>
      </c>
      <c r="O6263" s="105">
        <f>IFERROR(VLOOKUP(A6263,Lookup!$J$5:$P$19,7,FALSE),0)</f>
        <v>3</v>
      </c>
      <c r="P6263" s="159">
        <f t="shared" si="1033"/>
        <v>2016</v>
      </c>
      <c r="Q6263" s="159">
        <f t="shared" si="1034"/>
        <v>9</v>
      </c>
      <c r="R6263" s="160">
        <f t="shared" si="1035"/>
        <v>1.5166666667209938</v>
      </c>
      <c r="S6263" s="158">
        <f t="shared" si="1036"/>
        <v>0.66199161427947784</v>
      </c>
      <c r="T6263" s="161">
        <f t="shared" si="1037"/>
        <v>494.50773586676996</v>
      </c>
      <c r="U6263" s="158">
        <f t="shared" si="1039"/>
        <v>326.04905660377358</v>
      </c>
      <c r="V6263" s="160">
        <f t="shared" si="1038"/>
        <v>326</v>
      </c>
    </row>
    <row r="6264" spans="1:22" x14ac:dyDescent="0.25">
      <c r="A6264" s="98" t="s">
        <v>69</v>
      </c>
      <c r="B6264" s="98" t="s">
        <v>15</v>
      </c>
      <c r="C6264" s="98">
        <v>74</v>
      </c>
      <c r="D6264" s="98">
        <v>4311</v>
      </c>
      <c r="E6264" s="157">
        <v>42624.063194444447</v>
      </c>
      <c r="F6264" s="157">
        <v>42624.623611111114</v>
      </c>
      <c r="G6264" s="98">
        <v>0</v>
      </c>
      <c r="H6264" s="98">
        <v>795</v>
      </c>
      <c r="I6264" s="98">
        <v>747</v>
      </c>
      <c r="J6264" s="98" t="s">
        <v>2244</v>
      </c>
      <c r="K6264" s="98" t="s">
        <v>4509</v>
      </c>
      <c r="L6264" s="105" t="str">
        <f t="shared" si="1030"/>
        <v>Trimble</v>
      </c>
      <c r="M6264" s="105" t="str">
        <f t="shared" si="1031"/>
        <v>Outage</v>
      </c>
      <c r="N6264" s="105" t="str">
        <f t="shared" si="1032"/>
        <v>Coal</v>
      </c>
      <c r="O6264" s="105">
        <f>IFERROR(VLOOKUP(A6264,Lookup!$J$5:$P$19,7,FALSE),0)</f>
        <v>3</v>
      </c>
      <c r="P6264" s="159">
        <f t="shared" si="1033"/>
        <v>2016</v>
      </c>
      <c r="Q6264" s="159">
        <f t="shared" si="1034"/>
        <v>9</v>
      </c>
      <c r="R6264" s="160">
        <f t="shared" si="1035"/>
        <v>13.450000000011642</v>
      </c>
      <c r="S6264" s="158">
        <f t="shared" si="1036"/>
        <v>13.450000000011642</v>
      </c>
      <c r="T6264" s="161">
        <f t="shared" si="1037"/>
        <v>10047.150000008696</v>
      </c>
      <c r="U6264" s="158">
        <f t="shared" si="1039"/>
        <v>747</v>
      </c>
      <c r="V6264" s="160">
        <f t="shared" si="1038"/>
        <v>747</v>
      </c>
    </row>
    <row r="6265" spans="1:22" x14ac:dyDescent="0.25">
      <c r="A6265" s="98" t="s">
        <v>69</v>
      </c>
      <c r="B6265" s="98" t="s">
        <v>32</v>
      </c>
      <c r="C6265" s="98">
        <v>75</v>
      </c>
      <c r="D6265" s="98">
        <v>1190</v>
      </c>
      <c r="E6265" s="157">
        <v>42638.000694444447</v>
      </c>
      <c r="F6265" s="157">
        <v>42638.416666666664</v>
      </c>
      <c r="G6265" s="98">
        <v>448</v>
      </c>
      <c r="H6265" s="98">
        <v>795</v>
      </c>
      <c r="I6265" s="98">
        <v>747</v>
      </c>
      <c r="J6265" s="98" t="s">
        <v>2007</v>
      </c>
      <c r="K6265" s="98" t="s">
        <v>4510</v>
      </c>
      <c r="L6265" s="105" t="str">
        <f t="shared" si="1030"/>
        <v>Trimble</v>
      </c>
      <c r="M6265" s="105" t="str">
        <f t="shared" si="1031"/>
        <v>Derate</v>
      </c>
      <c r="N6265" s="105" t="str">
        <f t="shared" si="1032"/>
        <v>Coal</v>
      </c>
      <c r="O6265" s="105">
        <f>IFERROR(VLOOKUP(A6265,Lookup!$J$5:$P$19,7,FALSE),0)</f>
        <v>3</v>
      </c>
      <c r="P6265" s="159">
        <f t="shared" si="1033"/>
        <v>2016</v>
      </c>
      <c r="Q6265" s="159">
        <f t="shared" si="1034"/>
        <v>9</v>
      </c>
      <c r="R6265" s="160">
        <f t="shared" si="1035"/>
        <v>9.9833333332207985</v>
      </c>
      <c r="S6265" s="158">
        <f t="shared" si="1036"/>
        <v>4.3575052410410278</v>
      </c>
      <c r="T6265" s="161">
        <f t="shared" si="1037"/>
        <v>3255.0564150576479</v>
      </c>
      <c r="U6265" s="158">
        <f t="shared" si="1039"/>
        <v>326.04905660377358</v>
      </c>
      <c r="V6265" s="160">
        <f t="shared" si="1038"/>
        <v>326</v>
      </c>
    </row>
    <row r="6266" spans="1:22" x14ac:dyDescent="0.25">
      <c r="A6266" s="98" t="s">
        <v>69</v>
      </c>
      <c r="B6266" s="98" t="s">
        <v>15</v>
      </c>
      <c r="C6266" s="98">
        <v>76</v>
      </c>
      <c r="D6266" s="98">
        <v>267</v>
      </c>
      <c r="E6266" s="157">
        <v>42640.281944444447</v>
      </c>
      <c r="F6266" s="157">
        <v>42640.613194444442</v>
      </c>
      <c r="G6266" s="98">
        <v>0</v>
      </c>
      <c r="H6266" s="98">
        <v>795</v>
      </c>
      <c r="I6266" s="98">
        <v>747</v>
      </c>
      <c r="J6266" s="98" t="s">
        <v>1969</v>
      </c>
      <c r="K6266" s="98" t="s">
        <v>4511</v>
      </c>
      <c r="L6266" s="105" t="str">
        <f t="shared" si="1030"/>
        <v>Trimble</v>
      </c>
      <c r="M6266" s="105" t="str">
        <f t="shared" si="1031"/>
        <v>Outage</v>
      </c>
      <c r="N6266" s="105" t="str">
        <f t="shared" si="1032"/>
        <v>Coal</v>
      </c>
      <c r="O6266" s="105">
        <f>IFERROR(VLOOKUP(A6266,Lookup!$J$5:$P$19,7,FALSE),0)</f>
        <v>3</v>
      </c>
      <c r="P6266" s="159">
        <f t="shared" si="1033"/>
        <v>2016</v>
      </c>
      <c r="Q6266" s="159">
        <f t="shared" si="1034"/>
        <v>9</v>
      </c>
      <c r="R6266" s="160">
        <f t="shared" si="1035"/>
        <v>7.9499999998952262</v>
      </c>
      <c r="S6266" s="158">
        <f t="shared" si="1036"/>
        <v>7.9499999998952262</v>
      </c>
      <c r="T6266" s="161">
        <f t="shared" si="1037"/>
        <v>5938.649999921734</v>
      </c>
      <c r="U6266" s="158">
        <f t="shared" si="1039"/>
        <v>747</v>
      </c>
      <c r="V6266" s="160">
        <f t="shared" si="1038"/>
        <v>747</v>
      </c>
    </row>
    <row r="6267" spans="1:22" x14ac:dyDescent="0.25">
      <c r="A6267" s="98" t="s">
        <v>69</v>
      </c>
      <c r="B6267" s="98" t="s">
        <v>32</v>
      </c>
      <c r="C6267" s="98">
        <v>77</v>
      </c>
      <c r="D6267" s="98">
        <v>1190</v>
      </c>
      <c r="E6267" s="157">
        <v>42645.000694444447</v>
      </c>
      <c r="F6267" s="157">
        <v>42645.395833333336</v>
      </c>
      <c r="G6267" s="98">
        <v>448</v>
      </c>
      <c r="H6267" s="98">
        <v>795</v>
      </c>
      <c r="I6267" s="98">
        <v>747</v>
      </c>
      <c r="J6267" s="98" t="s">
        <v>2007</v>
      </c>
      <c r="K6267" s="98" t="s">
        <v>4512</v>
      </c>
      <c r="L6267" s="105" t="str">
        <f t="shared" si="1030"/>
        <v>Trimble</v>
      </c>
      <c r="M6267" s="105" t="str">
        <f t="shared" si="1031"/>
        <v>Derate</v>
      </c>
      <c r="N6267" s="105" t="str">
        <f t="shared" si="1032"/>
        <v>Coal</v>
      </c>
      <c r="O6267" s="105">
        <f>IFERROR(VLOOKUP(A6267,Lookup!$J$5:$P$19,7,FALSE),0)</f>
        <v>3</v>
      </c>
      <c r="P6267" s="159">
        <f t="shared" si="1033"/>
        <v>2016</v>
      </c>
      <c r="Q6267" s="159">
        <f t="shared" si="1034"/>
        <v>10</v>
      </c>
      <c r="R6267" s="160">
        <f t="shared" si="1035"/>
        <v>9.4833333333372138</v>
      </c>
      <c r="S6267" s="158">
        <f t="shared" si="1036"/>
        <v>4.1392662473811486</v>
      </c>
      <c r="T6267" s="161">
        <f t="shared" si="1037"/>
        <v>3092.0318867937181</v>
      </c>
      <c r="U6267" s="158">
        <f t="shared" si="1039"/>
        <v>326.04905660377358</v>
      </c>
      <c r="V6267" s="160">
        <f t="shared" si="1038"/>
        <v>326</v>
      </c>
    </row>
    <row r="6268" spans="1:22" x14ac:dyDescent="0.25">
      <c r="A6268" s="98" t="s">
        <v>69</v>
      </c>
      <c r="B6268" s="98" t="s">
        <v>32</v>
      </c>
      <c r="C6268" s="98">
        <v>78</v>
      </c>
      <c r="D6268" s="98">
        <v>9999</v>
      </c>
      <c r="E6268" s="157">
        <v>42651.791666666664</v>
      </c>
      <c r="F6268" s="157">
        <v>42652.091666666667</v>
      </c>
      <c r="G6268" s="98">
        <v>448</v>
      </c>
      <c r="H6268" s="98">
        <v>795</v>
      </c>
      <c r="I6268" s="98">
        <v>747</v>
      </c>
      <c r="J6268" s="98" t="s">
        <v>2261</v>
      </c>
      <c r="K6268" s="98" t="s">
        <v>4513</v>
      </c>
      <c r="L6268" s="105" t="str">
        <f t="shared" si="1030"/>
        <v>Trimble</v>
      </c>
      <c r="M6268" s="105" t="str">
        <f t="shared" si="1031"/>
        <v>Derate</v>
      </c>
      <c r="N6268" s="105" t="str">
        <f t="shared" si="1032"/>
        <v>Coal</v>
      </c>
      <c r="O6268" s="105">
        <f>IFERROR(VLOOKUP(A6268,Lookup!$J$5:$P$19,7,FALSE),0)</f>
        <v>3</v>
      </c>
      <c r="P6268" s="159">
        <f t="shared" si="1033"/>
        <v>2016</v>
      </c>
      <c r="Q6268" s="159">
        <f t="shared" si="1034"/>
        <v>10</v>
      </c>
      <c r="R6268" s="160">
        <f t="shared" si="1035"/>
        <v>7.2000000000698492</v>
      </c>
      <c r="S6268" s="158">
        <f t="shared" si="1036"/>
        <v>3.14264150946445</v>
      </c>
      <c r="T6268" s="161">
        <f t="shared" si="1037"/>
        <v>2347.5532075699443</v>
      </c>
      <c r="U6268" s="158">
        <f t="shared" si="1039"/>
        <v>326.04905660377358</v>
      </c>
      <c r="V6268" s="160">
        <f t="shared" si="1038"/>
        <v>326</v>
      </c>
    </row>
    <row r="6269" spans="1:22" x14ac:dyDescent="0.25">
      <c r="A6269" s="98" t="s">
        <v>69</v>
      </c>
      <c r="B6269" s="98" t="s">
        <v>17</v>
      </c>
      <c r="C6269" s="98">
        <v>79</v>
      </c>
      <c r="D6269" s="98">
        <v>4311</v>
      </c>
      <c r="E6269" s="157">
        <v>42652.091666666667</v>
      </c>
      <c r="F6269" s="157">
        <v>42652.416666666664</v>
      </c>
      <c r="G6269" s="98">
        <v>440</v>
      </c>
      <c r="H6269" s="98">
        <v>795</v>
      </c>
      <c r="I6269" s="98">
        <v>747</v>
      </c>
      <c r="J6269" s="98" t="s">
        <v>2244</v>
      </c>
      <c r="K6269" s="98" t="s">
        <v>4514</v>
      </c>
      <c r="L6269" s="105" t="str">
        <f t="shared" si="1030"/>
        <v>Trimble</v>
      </c>
      <c r="M6269" s="105" t="str">
        <f t="shared" si="1031"/>
        <v>Derate</v>
      </c>
      <c r="N6269" s="105" t="str">
        <f t="shared" si="1032"/>
        <v>Coal</v>
      </c>
      <c r="O6269" s="105">
        <f>IFERROR(VLOOKUP(A6269,Lookup!$J$5:$P$19,7,FALSE),0)</f>
        <v>3</v>
      </c>
      <c r="P6269" s="159">
        <f t="shared" si="1033"/>
        <v>2016</v>
      </c>
      <c r="Q6269" s="159">
        <f t="shared" si="1034"/>
        <v>10</v>
      </c>
      <c r="R6269" s="160">
        <f t="shared" si="1035"/>
        <v>7.7999999999301508</v>
      </c>
      <c r="S6269" s="158">
        <f t="shared" si="1036"/>
        <v>3.4830188678933376</v>
      </c>
      <c r="T6269" s="161">
        <f t="shared" si="1037"/>
        <v>2601.8150943163232</v>
      </c>
      <c r="U6269" s="158">
        <f t="shared" si="1039"/>
        <v>333.56603773584908</v>
      </c>
      <c r="V6269" s="160">
        <f t="shared" si="1038"/>
        <v>334</v>
      </c>
    </row>
    <row r="6270" spans="1:22" x14ac:dyDescent="0.25">
      <c r="A6270" s="98" t="s">
        <v>69</v>
      </c>
      <c r="B6270" s="98" t="s">
        <v>17</v>
      </c>
      <c r="C6270" s="98">
        <v>80</v>
      </c>
      <c r="D6270" s="98">
        <v>4311</v>
      </c>
      <c r="E6270" s="157">
        <v>42652.645833333336</v>
      </c>
      <c r="F6270" s="157">
        <v>42653.5</v>
      </c>
      <c r="G6270" s="98">
        <v>700</v>
      </c>
      <c r="H6270" s="98">
        <v>795</v>
      </c>
      <c r="I6270" s="98">
        <v>747</v>
      </c>
      <c r="J6270" s="98" t="s">
        <v>2244</v>
      </c>
      <c r="K6270" s="98" t="s">
        <v>4515</v>
      </c>
      <c r="L6270" s="105" t="str">
        <f t="shared" si="1030"/>
        <v>Trimble</v>
      </c>
      <c r="M6270" s="105" t="str">
        <f t="shared" si="1031"/>
        <v>Derate</v>
      </c>
      <c r="N6270" s="105" t="str">
        <f t="shared" si="1032"/>
        <v>Coal</v>
      </c>
      <c r="O6270" s="105">
        <f>IFERROR(VLOOKUP(A6270,Lookup!$J$5:$P$19,7,FALSE),0)</f>
        <v>3</v>
      </c>
      <c r="P6270" s="159">
        <f t="shared" si="1033"/>
        <v>2016</v>
      </c>
      <c r="Q6270" s="159">
        <f t="shared" si="1034"/>
        <v>10</v>
      </c>
      <c r="R6270" s="160">
        <f t="shared" si="1035"/>
        <v>20.499999999941792</v>
      </c>
      <c r="S6270" s="158">
        <f t="shared" si="1036"/>
        <v>2.4496855345842392</v>
      </c>
      <c r="T6270" s="161">
        <f t="shared" si="1037"/>
        <v>1829.9150943344266</v>
      </c>
      <c r="U6270" s="158">
        <f t="shared" si="1039"/>
        <v>89.264150943396231</v>
      </c>
      <c r="V6270" s="160">
        <f t="shared" si="1038"/>
        <v>89</v>
      </c>
    </row>
    <row r="6271" spans="1:22" x14ac:dyDescent="0.25">
      <c r="A6271" s="98" t="s">
        <v>69</v>
      </c>
      <c r="B6271" s="98" t="s">
        <v>17</v>
      </c>
      <c r="C6271" s="98">
        <v>81</v>
      </c>
      <c r="D6271" s="98">
        <v>4311</v>
      </c>
      <c r="E6271" s="157">
        <v>42653.5</v>
      </c>
      <c r="F6271" s="157">
        <v>42659.000694444447</v>
      </c>
      <c r="G6271" s="98">
        <v>778</v>
      </c>
      <c r="H6271" s="98">
        <v>795</v>
      </c>
      <c r="I6271" s="98">
        <v>747</v>
      </c>
      <c r="J6271" s="98" t="s">
        <v>2244</v>
      </c>
      <c r="K6271" s="98" t="s">
        <v>4515</v>
      </c>
      <c r="L6271" s="105" t="str">
        <f t="shared" si="1030"/>
        <v>Trimble</v>
      </c>
      <c r="M6271" s="105" t="str">
        <f t="shared" si="1031"/>
        <v>Derate</v>
      </c>
      <c r="N6271" s="105" t="str">
        <f t="shared" si="1032"/>
        <v>Coal</v>
      </c>
      <c r="O6271" s="105">
        <f>IFERROR(VLOOKUP(A6271,Lookup!$J$5:$P$19,7,FALSE),0)</f>
        <v>3</v>
      </c>
      <c r="P6271" s="159">
        <f t="shared" si="1033"/>
        <v>2016</v>
      </c>
      <c r="Q6271" s="159">
        <f t="shared" si="1034"/>
        <v>10</v>
      </c>
      <c r="R6271" s="160">
        <f t="shared" si="1035"/>
        <v>132.01666666672099</v>
      </c>
      <c r="S6271" s="158">
        <f t="shared" si="1036"/>
        <v>2.8229979035651032</v>
      </c>
      <c r="T6271" s="161">
        <f t="shared" si="1037"/>
        <v>2108.7794339631319</v>
      </c>
      <c r="U6271" s="158">
        <f t="shared" si="1039"/>
        <v>15.973584905660378</v>
      </c>
      <c r="V6271" s="160">
        <f t="shared" si="1038"/>
        <v>16</v>
      </c>
    </row>
    <row r="6272" spans="1:22" x14ac:dyDescent="0.25">
      <c r="A6272" s="98" t="s">
        <v>69</v>
      </c>
      <c r="B6272" s="98" t="s">
        <v>32</v>
      </c>
      <c r="C6272" s="98">
        <v>82</v>
      </c>
      <c r="D6272" s="98">
        <v>1190</v>
      </c>
      <c r="E6272" s="157">
        <v>42659.000694444447</v>
      </c>
      <c r="F6272" s="157">
        <v>42659.365277777775</v>
      </c>
      <c r="G6272" s="98">
        <v>448</v>
      </c>
      <c r="H6272" s="98">
        <v>795</v>
      </c>
      <c r="I6272" s="98">
        <v>747</v>
      </c>
      <c r="J6272" s="98" t="s">
        <v>2007</v>
      </c>
      <c r="K6272" s="98" t="s">
        <v>4516</v>
      </c>
      <c r="L6272" s="105" t="str">
        <f t="shared" si="1030"/>
        <v>Trimble</v>
      </c>
      <c r="M6272" s="105" t="str">
        <f t="shared" si="1031"/>
        <v>Derate</v>
      </c>
      <c r="N6272" s="105" t="str">
        <f t="shared" si="1032"/>
        <v>Coal</v>
      </c>
      <c r="O6272" s="105">
        <f>IFERROR(VLOOKUP(A6272,Lookup!$J$5:$P$19,7,FALSE),0)</f>
        <v>3</v>
      </c>
      <c r="P6272" s="159">
        <f t="shared" si="1033"/>
        <v>2016</v>
      </c>
      <c r="Q6272" s="159">
        <f t="shared" si="1034"/>
        <v>10</v>
      </c>
      <c r="R6272" s="160">
        <f t="shared" si="1035"/>
        <v>8.7499999998835847</v>
      </c>
      <c r="S6272" s="158">
        <f t="shared" si="1036"/>
        <v>3.819182389886294</v>
      </c>
      <c r="T6272" s="161">
        <f t="shared" si="1037"/>
        <v>2852.9292452450618</v>
      </c>
      <c r="U6272" s="158">
        <f t="shared" si="1039"/>
        <v>326.04905660377358</v>
      </c>
      <c r="V6272" s="160">
        <f t="shared" si="1038"/>
        <v>326</v>
      </c>
    </row>
    <row r="6273" spans="1:22" x14ac:dyDescent="0.25">
      <c r="A6273" s="98" t="s">
        <v>69</v>
      </c>
      <c r="B6273" s="98" t="s">
        <v>17</v>
      </c>
      <c r="C6273" s="98">
        <v>83</v>
      </c>
      <c r="D6273" s="98">
        <v>310</v>
      </c>
      <c r="E6273" s="157">
        <v>42659.365277777775</v>
      </c>
      <c r="F6273" s="157">
        <v>42659.401388888888</v>
      </c>
      <c r="G6273" s="98">
        <v>585</v>
      </c>
      <c r="H6273" s="98">
        <v>795</v>
      </c>
      <c r="I6273" s="98">
        <v>747</v>
      </c>
      <c r="J6273" s="98" t="s">
        <v>1966</v>
      </c>
      <c r="K6273" s="98" t="s">
        <v>4517</v>
      </c>
      <c r="L6273" s="105" t="str">
        <f t="shared" ref="L6273:L6336" si="1040">IF(OR(A6273="BR1",A6273="BR2",A6273="BR3",A6273="BR5",A6273="BR6",A6273="BR7",A6273="BR8",A6273="BR9",A6273="BR10",A6273="BR11"),"Brown",IF(OR(A6273="CR4",A6273="CR5",A6273="CR6",A6273="CR11"),"Cane Run",IF(OR(A6273="GH1",A6273="GH2",A6273="GH3",A6273="GH4"),"Ghent",IF(OR(A6273="GR3",A6273="GR4"),"Green River",IF(OR(A6273="MC1",A6273="MC2",A6273="MC3",A6273="MC4"),"Mill Creek",IF(OR(A6273="TC1",A6273="TC2",A6273="TC5",A6273="TC6",A6273="TC7",A6273="TC8",A6273="TC9",A6273="TC10"),"Trimble",IF(A6273="TY3","Tyrone",IF(OR(A6273="HA1",A6273="HA2",A6273="HA3"),"Haeflin",IF(OR(A6273="PR11",A6273="PR12",A6273="PR13"),"Paddy's Run","Zorn")))))))))</f>
        <v>Trimble</v>
      </c>
      <c r="M6273" s="105" t="str">
        <f t="shared" ref="M6273:M6336" si="1041">IF(OR(B6273="D1",B6273="D2",B6273="D3",B6273="D4",B6273="PD"),"Derate",IF(OR(B6273="SF",B6273="U1",B6273="U2",B6273="U3"),"Outage",IF(OR(B6273="ME",B6273="MO"),"Maintenance","Other")))</f>
        <v>Derate</v>
      </c>
      <c r="N6273" s="105" t="str">
        <f t="shared" ref="N6273:N6336" si="1042">IF(OR(A6273="BR1",A6273="BR2",A6273="BR3",A6273="CR4",A6273="CR5",A6273="CR6",A6273="GH1",A6273="GH2",A6273="GH3",A6273="GH4",A6273="GR3",A6273="GR4",A6273="MC1",A6273="MC2",A6273="MC3",A6273="MC4",A6273="TC1",A6273="TC2",A6273="TY3"),"Coal","Gas")</f>
        <v>Coal</v>
      </c>
      <c r="O6273" s="105">
        <f>IFERROR(VLOOKUP(A6273,Lookup!$J$5:$P$19,7,FALSE),0)</f>
        <v>3</v>
      </c>
      <c r="P6273" s="159">
        <f t="shared" ref="P6273:P6336" si="1043">YEAR(E6273)</f>
        <v>2016</v>
      </c>
      <c r="Q6273" s="159">
        <f t="shared" ref="Q6273:Q6336" si="1044">MONTH(E6273)</f>
        <v>10</v>
      </c>
      <c r="R6273" s="160">
        <f t="shared" ref="R6273:R6336" si="1045">(F6273-E6273)*24</f>
        <v>0.86666666669771075</v>
      </c>
      <c r="S6273" s="158">
        <f t="shared" ref="S6273:S6336" si="1046">R6273*(H6273-G6273)/H6273</f>
        <v>0.22893081761826323</v>
      </c>
      <c r="T6273" s="161">
        <f t="shared" ref="T6273:T6336" si="1047">S6273*I6273</f>
        <v>171.01132076084264</v>
      </c>
      <c r="U6273" s="158">
        <f t="shared" si="1039"/>
        <v>197.32075471698113</v>
      </c>
      <c r="V6273" s="160">
        <f t="shared" ref="V6273:V6336" si="1048">ROUND(U6273,0)</f>
        <v>197</v>
      </c>
    </row>
    <row r="6274" spans="1:22" x14ac:dyDescent="0.25">
      <c r="A6274" s="98" t="s">
        <v>69</v>
      </c>
      <c r="B6274" s="98" t="s">
        <v>17</v>
      </c>
      <c r="C6274" s="98">
        <v>84</v>
      </c>
      <c r="D6274" s="98">
        <v>4311</v>
      </c>
      <c r="E6274" s="157">
        <v>42659.401388888888</v>
      </c>
      <c r="F6274" s="157">
        <v>42666.000694444447</v>
      </c>
      <c r="G6274" s="98">
        <v>778</v>
      </c>
      <c r="H6274" s="98">
        <v>795</v>
      </c>
      <c r="I6274" s="98">
        <v>747</v>
      </c>
      <c r="J6274" s="98" t="s">
        <v>2244</v>
      </c>
      <c r="K6274" s="98" t="s">
        <v>4514</v>
      </c>
      <c r="L6274" s="105" t="str">
        <f t="shared" si="1040"/>
        <v>Trimble</v>
      </c>
      <c r="M6274" s="105" t="str">
        <f t="shared" si="1041"/>
        <v>Derate</v>
      </c>
      <c r="N6274" s="105" t="str">
        <f t="shared" si="1042"/>
        <v>Coal</v>
      </c>
      <c r="O6274" s="105">
        <f>IFERROR(VLOOKUP(A6274,Lookup!$J$5:$P$19,7,FALSE),0)</f>
        <v>3</v>
      </c>
      <c r="P6274" s="159">
        <f t="shared" si="1043"/>
        <v>2016</v>
      </c>
      <c r="Q6274" s="159">
        <f t="shared" si="1044"/>
        <v>10</v>
      </c>
      <c r="R6274" s="160">
        <f t="shared" si="1045"/>
        <v>158.3833333334187</v>
      </c>
      <c r="S6274" s="158">
        <f t="shared" si="1046"/>
        <v>3.3868134171926014</v>
      </c>
      <c r="T6274" s="161">
        <f t="shared" si="1047"/>
        <v>2529.9496226428732</v>
      </c>
      <c r="U6274" s="158">
        <f t="shared" ref="U6274:U6337" si="1049">IF(G6274&gt;0,MAX((H6274-G6274),0)*I6274/H6274,I6274)</f>
        <v>15.973584905660378</v>
      </c>
      <c r="V6274" s="160">
        <f t="shared" si="1048"/>
        <v>16</v>
      </c>
    </row>
    <row r="6275" spans="1:22" x14ac:dyDescent="0.25">
      <c r="A6275" s="98" t="s">
        <v>69</v>
      </c>
      <c r="B6275" s="98" t="s">
        <v>32</v>
      </c>
      <c r="C6275" s="98">
        <v>85</v>
      </c>
      <c r="D6275" s="98">
        <v>1190</v>
      </c>
      <c r="E6275" s="157">
        <v>42666.000694444447</v>
      </c>
      <c r="F6275" s="157">
        <v>42666.373611111114</v>
      </c>
      <c r="G6275" s="98">
        <v>448</v>
      </c>
      <c r="H6275" s="98">
        <v>795</v>
      </c>
      <c r="I6275" s="98">
        <v>747</v>
      </c>
      <c r="J6275" s="98" t="s">
        <v>2007</v>
      </c>
      <c r="K6275" s="98" t="s">
        <v>4518</v>
      </c>
      <c r="L6275" s="105" t="str">
        <f t="shared" si="1040"/>
        <v>Trimble</v>
      </c>
      <c r="M6275" s="105" t="str">
        <f t="shared" si="1041"/>
        <v>Derate</v>
      </c>
      <c r="N6275" s="105" t="str">
        <f t="shared" si="1042"/>
        <v>Coal</v>
      </c>
      <c r="O6275" s="105">
        <f>IFERROR(VLOOKUP(A6275,Lookup!$J$5:$P$19,7,FALSE),0)</f>
        <v>3</v>
      </c>
      <c r="P6275" s="159">
        <f t="shared" si="1043"/>
        <v>2016</v>
      </c>
      <c r="Q6275" s="159">
        <f t="shared" si="1044"/>
        <v>10</v>
      </c>
      <c r="R6275" s="160">
        <f t="shared" si="1045"/>
        <v>8.9500000000116415</v>
      </c>
      <c r="S6275" s="158">
        <f t="shared" si="1046"/>
        <v>3.9064779874264648</v>
      </c>
      <c r="T6275" s="161">
        <f t="shared" si="1047"/>
        <v>2918.1390566075693</v>
      </c>
      <c r="U6275" s="158">
        <f t="shared" si="1049"/>
        <v>326.04905660377358</v>
      </c>
      <c r="V6275" s="160">
        <f t="shared" si="1048"/>
        <v>326</v>
      </c>
    </row>
    <row r="6276" spans="1:22" x14ac:dyDescent="0.25">
      <c r="A6276" s="98" t="s">
        <v>69</v>
      </c>
      <c r="B6276" s="98" t="s">
        <v>17</v>
      </c>
      <c r="C6276" s="98">
        <v>86</v>
      </c>
      <c r="D6276" s="98">
        <v>310</v>
      </c>
      <c r="E6276" s="157">
        <v>42666.373611111114</v>
      </c>
      <c r="F6276" s="157">
        <v>42666.571527777778</v>
      </c>
      <c r="G6276" s="98">
        <v>670</v>
      </c>
      <c r="H6276" s="98">
        <v>795</v>
      </c>
      <c r="I6276" s="98">
        <v>747</v>
      </c>
      <c r="J6276" s="98" t="s">
        <v>1966</v>
      </c>
      <c r="K6276" s="98" t="s">
        <v>4519</v>
      </c>
      <c r="L6276" s="105" t="str">
        <f t="shared" si="1040"/>
        <v>Trimble</v>
      </c>
      <c r="M6276" s="105" t="str">
        <f t="shared" si="1041"/>
        <v>Derate</v>
      </c>
      <c r="N6276" s="105" t="str">
        <f t="shared" si="1042"/>
        <v>Coal</v>
      </c>
      <c r="O6276" s="105">
        <f>IFERROR(VLOOKUP(A6276,Lookup!$J$5:$P$19,7,FALSE),0)</f>
        <v>3</v>
      </c>
      <c r="P6276" s="159">
        <f t="shared" si="1043"/>
        <v>2016</v>
      </c>
      <c r="Q6276" s="159">
        <f t="shared" si="1044"/>
        <v>10</v>
      </c>
      <c r="R6276" s="160">
        <f t="shared" si="1045"/>
        <v>4.7499999999417923</v>
      </c>
      <c r="S6276" s="158">
        <f t="shared" si="1046"/>
        <v>0.74685534590279756</v>
      </c>
      <c r="T6276" s="161">
        <f t="shared" si="1047"/>
        <v>557.90094338938979</v>
      </c>
      <c r="U6276" s="158">
        <f t="shared" si="1049"/>
        <v>117.45283018867924</v>
      </c>
      <c r="V6276" s="160">
        <f t="shared" si="1048"/>
        <v>117</v>
      </c>
    </row>
    <row r="6277" spans="1:22" x14ac:dyDescent="0.25">
      <c r="A6277" s="98" t="s">
        <v>69</v>
      </c>
      <c r="B6277" s="98" t="s">
        <v>17</v>
      </c>
      <c r="C6277" s="98">
        <v>87</v>
      </c>
      <c r="D6277" s="98">
        <v>4311</v>
      </c>
      <c r="E6277" s="157">
        <v>42666.571527777778</v>
      </c>
      <c r="F6277" s="157">
        <v>42673</v>
      </c>
      <c r="G6277" s="98">
        <v>778</v>
      </c>
      <c r="H6277" s="98">
        <v>795</v>
      </c>
      <c r="I6277" s="98">
        <v>747</v>
      </c>
      <c r="J6277" s="98" t="s">
        <v>2244</v>
      </c>
      <c r="K6277" s="98" t="s">
        <v>4514</v>
      </c>
      <c r="L6277" s="105" t="str">
        <f t="shared" si="1040"/>
        <v>Trimble</v>
      </c>
      <c r="M6277" s="105" t="str">
        <f t="shared" si="1041"/>
        <v>Derate</v>
      </c>
      <c r="N6277" s="105" t="str">
        <f t="shared" si="1042"/>
        <v>Coal</v>
      </c>
      <c r="O6277" s="105">
        <f>IFERROR(VLOOKUP(A6277,Lookup!$J$5:$P$19,7,FALSE),0)</f>
        <v>3</v>
      </c>
      <c r="P6277" s="159">
        <f t="shared" si="1043"/>
        <v>2016</v>
      </c>
      <c r="Q6277" s="159">
        <f t="shared" si="1044"/>
        <v>10</v>
      </c>
      <c r="R6277" s="160">
        <f t="shared" si="1045"/>
        <v>154.28333333332557</v>
      </c>
      <c r="S6277" s="158">
        <f t="shared" si="1046"/>
        <v>3.2991404612157669</v>
      </c>
      <c r="T6277" s="161">
        <f t="shared" si="1047"/>
        <v>2464.457924528178</v>
      </c>
      <c r="U6277" s="158">
        <f t="shared" si="1049"/>
        <v>15.973584905660378</v>
      </c>
      <c r="V6277" s="160">
        <f t="shared" si="1048"/>
        <v>16</v>
      </c>
    </row>
    <row r="6278" spans="1:22" x14ac:dyDescent="0.25">
      <c r="A6278" s="98" t="s">
        <v>69</v>
      </c>
      <c r="B6278" s="98" t="s">
        <v>32</v>
      </c>
      <c r="C6278" s="98">
        <v>88</v>
      </c>
      <c r="D6278" s="98">
        <v>1190</v>
      </c>
      <c r="E6278" s="157">
        <v>42673</v>
      </c>
      <c r="F6278" s="157">
        <v>42673.365277777775</v>
      </c>
      <c r="G6278" s="98">
        <v>448</v>
      </c>
      <c r="H6278" s="98">
        <v>795</v>
      </c>
      <c r="I6278" s="98">
        <v>747</v>
      </c>
      <c r="J6278" s="98" t="s">
        <v>2007</v>
      </c>
      <c r="K6278" s="98" t="s">
        <v>4520</v>
      </c>
      <c r="L6278" s="105" t="str">
        <f t="shared" si="1040"/>
        <v>Trimble</v>
      </c>
      <c r="M6278" s="105" t="str">
        <f t="shared" si="1041"/>
        <v>Derate</v>
      </c>
      <c r="N6278" s="105" t="str">
        <f t="shared" si="1042"/>
        <v>Coal</v>
      </c>
      <c r="O6278" s="105">
        <f>IFERROR(VLOOKUP(A6278,Lookup!$J$5:$P$19,7,FALSE),0)</f>
        <v>3</v>
      </c>
      <c r="P6278" s="159">
        <f t="shared" si="1043"/>
        <v>2016</v>
      </c>
      <c r="Q6278" s="159">
        <f t="shared" si="1044"/>
        <v>10</v>
      </c>
      <c r="R6278" s="160">
        <f t="shared" si="1045"/>
        <v>8.7666666666045785</v>
      </c>
      <c r="S6278" s="158">
        <f t="shared" si="1046"/>
        <v>3.8264570230336967</v>
      </c>
      <c r="T6278" s="161">
        <f t="shared" si="1047"/>
        <v>2858.3633962061713</v>
      </c>
      <c r="U6278" s="158">
        <f t="shared" si="1049"/>
        <v>326.04905660377358</v>
      </c>
      <c r="V6278" s="160">
        <f t="shared" si="1048"/>
        <v>326</v>
      </c>
    </row>
    <row r="6279" spans="1:22" x14ac:dyDescent="0.25">
      <c r="A6279" s="98" t="s">
        <v>69</v>
      </c>
      <c r="B6279" s="98" t="s">
        <v>15</v>
      </c>
      <c r="C6279" s="98">
        <v>89</v>
      </c>
      <c r="D6279" s="98">
        <v>4311</v>
      </c>
      <c r="E6279" s="157">
        <v>42673.365277777775</v>
      </c>
      <c r="F6279" s="157">
        <v>42673.893055555556</v>
      </c>
      <c r="G6279" s="98">
        <v>0</v>
      </c>
      <c r="H6279" s="98">
        <v>795</v>
      </c>
      <c r="I6279" s="98">
        <v>747</v>
      </c>
      <c r="J6279" s="98" t="s">
        <v>2244</v>
      </c>
      <c r="K6279" s="98" t="s">
        <v>4521</v>
      </c>
      <c r="L6279" s="105" t="str">
        <f t="shared" si="1040"/>
        <v>Trimble</v>
      </c>
      <c r="M6279" s="105" t="str">
        <f t="shared" si="1041"/>
        <v>Outage</v>
      </c>
      <c r="N6279" s="105" t="str">
        <f t="shared" si="1042"/>
        <v>Coal</v>
      </c>
      <c r="O6279" s="105">
        <f>IFERROR(VLOOKUP(A6279,Lookup!$J$5:$P$19,7,FALSE),0)</f>
        <v>3</v>
      </c>
      <c r="P6279" s="159">
        <f t="shared" si="1043"/>
        <v>2016</v>
      </c>
      <c r="Q6279" s="159">
        <f t="shared" si="1044"/>
        <v>10</v>
      </c>
      <c r="R6279" s="160">
        <f t="shared" si="1045"/>
        <v>12.666666666744277</v>
      </c>
      <c r="S6279" s="158">
        <f t="shared" si="1046"/>
        <v>12.666666666744277</v>
      </c>
      <c r="T6279" s="161">
        <f t="shared" si="1047"/>
        <v>9462.0000000579748</v>
      </c>
      <c r="U6279" s="158">
        <f t="shared" si="1049"/>
        <v>747</v>
      </c>
      <c r="V6279" s="160">
        <f t="shared" si="1048"/>
        <v>747</v>
      </c>
    </row>
    <row r="6280" spans="1:22" x14ac:dyDescent="0.25">
      <c r="A6280" s="98" t="s">
        <v>69</v>
      </c>
      <c r="B6280" s="98" t="s">
        <v>15</v>
      </c>
      <c r="C6280" s="98">
        <v>90</v>
      </c>
      <c r="D6280" s="98">
        <v>3431</v>
      </c>
      <c r="E6280" s="157">
        <v>42673.918749999997</v>
      </c>
      <c r="F6280" s="157">
        <v>42674.070138888892</v>
      </c>
      <c r="G6280" s="98">
        <v>0</v>
      </c>
      <c r="H6280" s="98">
        <v>795</v>
      </c>
      <c r="I6280" s="98">
        <v>747</v>
      </c>
      <c r="J6280" s="98" t="s">
        <v>2123</v>
      </c>
      <c r="K6280" s="98" t="s">
        <v>4522</v>
      </c>
      <c r="L6280" s="105" t="str">
        <f t="shared" si="1040"/>
        <v>Trimble</v>
      </c>
      <c r="M6280" s="105" t="str">
        <f t="shared" si="1041"/>
        <v>Outage</v>
      </c>
      <c r="N6280" s="105" t="str">
        <f t="shared" si="1042"/>
        <v>Coal</v>
      </c>
      <c r="O6280" s="105">
        <f>IFERROR(VLOOKUP(A6280,Lookup!$J$5:$P$19,7,FALSE),0)</f>
        <v>3</v>
      </c>
      <c r="P6280" s="159">
        <f t="shared" si="1043"/>
        <v>2016</v>
      </c>
      <c r="Q6280" s="159">
        <f t="shared" si="1044"/>
        <v>10</v>
      </c>
      <c r="R6280" s="160">
        <f t="shared" si="1045"/>
        <v>3.6333333334769122</v>
      </c>
      <c r="S6280" s="158">
        <f t="shared" si="1046"/>
        <v>3.6333333334769122</v>
      </c>
      <c r="T6280" s="161">
        <f t="shared" si="1047"/>
        <v>2714.1000001072534</v>
      </c>
      <c r="U6280" s="158">
        <f t="shared" si="1049"/>
        <v>747</v>
      </c>
      <c r="V6280" s="160">
        <f t="shared" si="1048"/>
        <v>747</v>
      </c>
    </row>
    <row r="6281" spans="1:22" x14ac:dyDescent="0.25">
      <c r="A6281" s="98" t="s">
        <v>69</v>
      </c>
      <c r="B6281" s="98" t="s">
        <v>15</v>
      </c>
      <c r="C6281" s="98">
        <v>91</v>
      </c>
      <c r="D6281" s="98">
        <v>3431</v>
      </c>
      <c r="E6281" s="157">
        <v>42674.095138888886</v>
      </c>
      <c r="F6281" s="157">
        <v>42674.375</v>
      </c>
      <c r="G6281" s="98">
        <v>0</v>
      </c>
      <c r="H6281" s="98">
        <v>795</v>
      </c>
      <c r="I6281" s="98">
        <v>747</v>
      </c>
      <c r="J6281" s="98" t="s">
        <v>2123</v>
      </c>
      <c r="K6281" s="98" t="s">
        <v>4523</v>
      </c>
      <c r="L6281" s="105" t="str">
        <f t="shared" si="1040"/>
        <v>Trimble</v>
      </c>
      <c r="M6281" s="105" t="str">
        <f t="shared" si="1041"/>
        <v>Outage</v>
      </c>
      <c r="N6281" s="105" t="str">
        <f t="shared" si="1042"/>
        <v>Coal</v>
      </c>
      <c r="O6281" s="105">
        <f>IFERROR(VLOOKUP(A6281,Lookup!$J$5:$P$19,7,FALSE),0)</f>
        <v>3</v>
      </c>
      <c r="P6281" s="159">
        <f t="shared" si="1043"/>
        <v>2016</v>
      </c>
      <c r="Q6281" s="159">
        <f t="shared" si="1044"/>
        <v>10</v>
      </c>
      <c r="R6281" s="160">
        <f t="shared" si="1045"/>
        <v>6.7166666667326353</v>
      </c>
      <c r="S6281" s="158">
        <f t="shared" si="1046"/>
        <v>6.7166666667326353</v>
      </c>
      <c r="T6281" s="161">
        <f t="shared" si="1047"/>
        <v>5017.3500000492786</v>
      </c>
      <c r="U6281" s="158">
        <f t="shared" si="1049"/>
        <v>747</v>
      </c>
      <c r="V6281" s="160">
        <f t="shared" si="1048"/>
        <v>747</v>
      </c>
    </row>
    <row r="6282" spans="1:22" x14ac:dyDescent="0.25">
      <c r="A6282" s="98" t="s">
        <v>69</v>
      </c>
      <c r="B6282" s="98" t="s">
        <v>17</v>
      </c>
      <c r="C6282" s="98">
        <v>92</v>
      </c>
      <c r="D6282" s="98">
        <v>4311</v>
      </c>
      <c r="E6282" s="157">
        <v>42674.625</v>
      </c>
      <c r="F6282" s="157">
        <v>42675.333333333336</v>
      </c>
      <c r="G6282" s="98">
        <v>778</v>
      </c>
      <c r="H6282" s="98">
        <v>795</v>
      </c>
      <c r="I6282" s="98">
        <v>747</v>
      </c>
      <c r="J6282" s="98" t="s">
        <v>2244</v>
      </c>
      <c r="K6282" s="98" t="s">
        <v>4524</v>
      </c>
      <c r="L6282" s="105" t="str">
        <f t="shared" si="1040"/>
        <v>Trimble</v>
      </c>
      <c r="M6282" s="105" t="str">
        <f t="shared" si="1041"/>
        <v>Derate</v>
      </c>
      <c r="N6282" s="105" t="str">
        <f t="shared" si="1042"/>
        <v>Coal</v>
      </c>
      <c r="O6282" s="105">
        <f>IFERROR(VLOOKUP(A6282,Lookup!$J$5:$P$19,7,FALSE),0)</f>
        <v>3</v>
      </c>
      <c r="P6282" s="159">
        <f t="shared" si="1043"/>
        <v>2016</v>
      </c>
      <c r="Q6282" s="159">
        <f t="shared" si="1044"/>
        <v>10</v>
      </c>
      <c r="R6282" s="160">
        <f t="shared" si="1045"/>
        <v>17.000000000058208</v>
      </c>
      <c r="S6282" s="158">
        <f t="shared" si="1046"/>
        <v>0.36352201257986105</v>
      </c>
      <c r="T6282" s="161">
        <f t="shared" si="1047"/>
        <v>271.55094339715623</v>
      </c>
      <c r="U6282" s="158">
        <f t="shared" si="1049"/>
        <v>15.973584905660378</v>
      </c>
      <c r="V6282" s="160">
        <f t="shared" si="1048"/>
        <v>16</v>
      </c>
    </row>
    <row r="6283" spans="1:22" x14ac:dyDescent="0.25">
      <c r="A6283" s="98" t="s">
        <v>69</v>
      </c>
      <c r="B6283" s="98" t="s">
        <v>32</v>
      </c>
      <c r="C6283" s="98">
        <v>93</v>
      </c>
      <c r="D6283" s="98">
        <v>1190</v>
      </c>
      <c r="E6283" s="157">
        <v>42679</v>
      </c>
      <c r="F6283" s="157">
        <v>42679.395833333336</v>
      </c>
      <c r="G6283" s="98">
        <v>448</v>
      </c>
      <c r="H6283" s="98">
        <v>795</v>
      </c>
      <c r="I6283" s="98">
        <v>747</v>
      </c>
      <c r="J6283" s="98" t="s">
        <v>2007</v>
      </c>
      <c r="K6283" s="98" t="s">
        <v>4525</v>
      </c>
      <c r="L6283" s="105" t="str">
        <f t="shared" si="1040"/>
        <v>Trimble</v>
      </c>
      <c r="M6283" s="105" t="str">
        <f t="shared" si="1041"/>
        <v>Derate</v>
      </c>
      <c r="N6283" s="105" t="str">
        <f t="shared" si="1042"/>
        <v>Coal</v>
      </c>
      <c r="O6283" s="105">
        <f>IFERROR(VLOOKUP(A6283,Lookup!$J$5:$P$19,7,FALSE),0)</f>
        <v>3</v>
      </c>
      <c r="P6283" s="159">
        <f t="shared" si="1043"/>
        <v>2016</v>
      </c>
      <c r="Q6283" s="159">
        <f t="shared" si="1044"/>
        <v>11</v>
      </c>
      <c r="R6283" s="160">
        <f t="shared" si="1045"/>
        <v>9.5000000000582077</v>
      </c>
      <c r="S6283" s="158">
        <f t="shared" si="1046"/>
        <v>4.1465408805285513</v>
      </c>
      <c r="T6283" s="161">
        <f t="shared" si="1047"/>
        <v>3097.466037754828</v>
      </c>
      <c r="U6283" s="158">
        <f t="shared" si="1049"/>
        <v>326.04905660377358</v>
      </c>
      <c r="V6283" s="160">
        <f t="shared" si="1048"/>
        <v>326</v>
      </c>
    </row>
    <row r="6284" spans="1:22" x14ac:dyDescent="0.25">
      <c r="A6284" s="98" t="s">
        <v>69</v>
      </c>
      <c r="B6284" s="98" t="s">
        <v>79</v>
      </c>
      <c r="C6284" s="98">
        <v>94</v>
      </c>
      <c r="D6284" s="98">
        <v>8700</v>
      </c>
      <c r="E6284" s="157">
        <v>42682.333333333336</v>
      </c>
      <c r="F6284" s="157">
        <v>42682.647916666669</v>
      </c>
      <c r="G6284" s="98">
        <v>0</v>
      </c>
      <c r="H6284" s="98">
        <v>795</v>
      </c>
      <c r="I6284" s="98">
        <v>747</v>
      </c>
      <c r="J6284" s="98" t="s">
        <v>1987</v>
      </c>
      <c r="K6284" s="98" t="s">
        <v>4428</v>
      </c>
      <c r="L6284" s="105" t="str">
        <f t="shared" si="1040"/>
        <v>Trimble</v>
      </c>
      <c r="M6284" s="105" t="str">
        <f t="shared" si="1041"/>
        <v>Other</v>
      </c>
      <c r="N6284" s="105" t="str">
        <f t="shared" si="1042"/>
        <v>Coal</v>
      </c>
      <c r="O6284" s="105">
        <f>IFERROR(VLOOKUP(A6284,Lookup!$J$5:$P$19,7,FALSE),0)</f>
        <v>3</v>
      </c>
      <c r="P6284" s="159">
        <f t="shared" si="1043"/>
        <v>2016</v>
      </c>
      <c r="Q6284" s="159">
        <f t="shared" si="1044"/>
        <v>11</v>
      </c>
      <c r="R6284" s="160">
        <f t="shared" si="1045"/>
        <v>7.5499999999883585</v>
      </c>
      <c r="S6284" s="158">
        <f t="shared" si="1046"/>
        <v>7.5499999999883585</v>
      </c>
      <c r="T6284" s="161">
        <f t="shared" si="1047"/>
        <v>5639.8499999913038</v>
      </c>
      <c r="U6284" s="158">
        <f t="shared" si="1049"/>
        <v>747</v>
      </c>
      <c r="V6284" s="160">
        <f t="shared" si="1048"/>
        <v>747</v>
      </c>
    </row>
    <row r="6285" spans="1:22" x14ac:dyDescent="0.25">
      <c r="A6285" s="98" t="s">
        <v>69</v>
      </c>
      <c r="B6285" s="98" t="s">
        <v>79</v>
      </c>
      <c r="C6285" s="98">
        <v>95</v>
      </c>
      <c r="D6285" s="98">
        <v>8700</v>
      </c>
      <c r="E6285" s="157">
        <v>42683.333333333336</v>
      </c>
      <c r="F6285" s="157">
        <v>42683.666666666664</v>
      </c>
      <c r="G6285" s="98">
        <v>0</v>
      </c>
      <c r="H6285" s="98">
        <v>795</v>
      </c>
      <c r="I6285" s="98">
        <v>747</v>
      </c>
      <c r="J6285" s="98" t="s">
        <v>1987</v>
      </c>
      <c r="K6285" s="98" t="s">
        <v>4428</v>
      </c>
      <c r="L6285" s="105" t="str">
        <f t="shared" si="1040"/>
        <v>Trimble</v>
      </c>
      <c r="M6285" s="105" t="str">
        <f t="shared" si="1041"/>
        <v>Other</v>
      </c>
      <c r="N6285" s="105" t="str">
        <f t="shared" si="1042"/>
        <v>Coal</v>
      </c>
      <c r="O6285" s="105">
        <f>IFERROR(VLOOKUP(A6285,Lookup!$J$5:$P$19,7,FALSE),0)</f>
        <v>3</v>
      </c>
      <c r="P6285" s="159">
        <f t="shared" si="1043"/>
        <v>2016</v>
      </c>
      <c r="Q6285" s="159">
        <f t="shared" si="1044"/>
        <v>11</v>
      </c>
      <c r="R6285" s="160">
        <f t="shared" si="1045"/>
        <v>7.9999999998835847</v>
      </c>
      <c r="S6285" s="158">
        <f t="shared" si="1046"/>
        <v>7.9999999998835847</v>
      </c>
      <c r="T6285" s="161">
        <f t="shared" si="1047"/>
        <v>5975.9999999130378</v>
      </c>
      <c r="U6285" s="158">
        <f t="shared" si="1049"/>
        <v>747</v>
      </c>
      <c r="V6285" s="160">
        <f t="shared" si="1048"/>
        <v>747</v>
      </c>
    </row>
    <row r="6286" spans="1:22" x14ac:dyDescent="0.25">
      <c r="A6286" s="98" t="s">
        <v>69</v>
      </c>
      <c r="B6286" s="98" t="s">
        <v>79</v>
      </c>
      <c r="C6286" s="98">
        <v>96</v>
      </c>
      <c r="D6286" s="98">
        <v>8700</v>
      </c>
      <c r="E6286" s="157">
        <v>42684.333333333336</v>
      </c>
      <c r="F6286" s="157">
        <v>42684.631944444445</v>
      </c>
      <c r="G6286" s="98">
        <v>0</v>
      </c>
      <c r="H6286" s="98">
        <v>795</v>
      </c>
      <c r="I6286" s="98">
        <v>747</v>
      </c>
      <c r="J6286" s="98" t="s">
        <v>1987</v>
      </c>
      <c r="K6286" s="98" t="s">
        <v>4428</v>
      </c>
      <c r="L6286" s="105" t="str">
        <f t="shared" si="1040"/>
        <v>Trimble</v>
      </c>
      <c r="M6286" s="105" t="str">
        <f t="shared" si="1041"/>
        <v>Other</v>
      </c>
      <c r="N6286" s="105" t="str">
        <f t="shared" si="1042"/>
        <v>Coal</v>
      </c>
      <c r="O6286" s="105">
        <f>IFERROR(VLOOKUP(A6286,Lookup!$J$5:$P$19,7,FALSE),0)</f>
        <v>3</v>
      </c>
      <c r="P6286" s="159">
        <f t="shared" si="1043"/>
        <v>2016</v>
      </c>
      <c r="Q6286" s="159">
        <f t="shared" si="1044"/>
        <v>11</v>
      </c>
      <c r="R6286" s="160">
        <f t="shared" si="1045"/>
        <v>7.1666666666278616</v>
      </c>
      <c r="S6286" s="158">
        <f t="shared" si="1046"/>
        <v>7.1666666666278616</v>
      </c>
      <c r="T6286" s="161">
        <f t="shared" si="1047"/>
        <v>5353.4999999710126</v>
      </c>
      <c r="U6286" s="158">
        <f t="shared" si="1049"/>
        <v>747</v>
      </c>
      <c r="V6286" s="160">
        <f t="shared" si="1048"/>
        <v>747</v>
      </c>
    </row>
    <row r="6287" spans="1:22" x14ac:dyDescent="0.25">
      <c r="A6287" s="98" t="s">
        <v>69</v>
      </c>
      <c r="B6287" s="98" t="s">
        <v>32</v>
      </c>
      <c r="C6287" s="98">
        <v>97</v>
      </c>
      <c r="D6287" s="98">
        <v>1190</v>
      </c>
      <c r="E6287" s="157">
        <v>42687</v>
      </c>
      <c r="F6287" s="157">
        <v>42687.395833333336</v>
      </c>
      <c r="G6287" s="98">
        <v>448</v>
      </c>
      <c r="H6287" s="98">
        <v>795</v>
      </c>
      <c r="I6287" s="98">
        <v>747</v>
      </c>
      <c r="J6287" s="98" t="s">
        <v>2007</v>
      </c>
      <c r="K6287" s="98" t="s">
        <v>4526</v>
      </c>
      <c r="L6287" s="105" t="str">
        <f t="shared" si="1040"/>
        <v>Trimble</v>
      </c>
      <c r="M6287" s="105" t="str">
        <f t="shared" si="1041"/>
        <v>Derate</v>
      </c>
      <c r="N6287" s="105" t="str">
        <f t="shared" si="1042"/>
        <v>Coal</v>
      </c>
      <c r="O6287" s="105">
        <f>IFERROR(VLOOKUP(A6287,Lookup!$J$5:$P$19,7,FALSE),0)</f>
        <v>3</v>
      </c>
      <c r="P6287" s="159">
        <f t="shared" si="1043"/>
        <v>2016</v>
      </c>
      <c r="Q6287" s="159">
        <f t="shared" si="1044"/>
        <v>11</v>
      </c>
      <c r="R6287" s="160">
        <f t="shared" si="1045"/>
        <v>9.5000000000582077</v>
      </c>
      <c r="S6287" s="158">
        <f t="shared" si="1046"/>
        <v>4.1465408805285513</v>
      </c>
      <c r="T6287" s="161">
        <f t="shared" si="1047"/>
        <v>3097.466037754828</v>
      </c>
      <c r="U6287" s="158">
        <f t="shared" si="1049"/>
        <v>326.04905660377358</v>
      </c>
      <c r="V6287" s="160">
        <f t="shared" si="1048"/>
        <v>326</v>
      </c>
    </row>
    <row r="6288" spans="1:22" x14ac:dyDescent="0.25">
      <c r="A6288" s="98" t="s">
        <v>69</v>
      </c>
      <c r="B6288" s="98" t="s">
        <v>32</v>
      </c>
      <c r="C6288" s="98">
        <v>98</v>
      </c>
      <c r="D6288" s="98">
        <v>1190</v>
      </c>
      <c r="E6288" s="157">
        <v>42693</v>
      </c>
      <c r="F6288" s="157">
        <v>42693.395833333336</v>
      </c>
      <c r="G6288" s="98">
        <v>448</v>
      </c>
      <c r="H6288" s="98">
        <v>795</v>
      </c>
      <c r="I6288" s="98">
        <v>747</v>
      </c>
      <c r="J6288" s="98" t="s">
        <v>2007</v>
      </c>
      <c r="K6288" s="98" t="s">
        <v>4526</v>
      </c>
      <c r="L6288" s="105" t="str">
        <f t="shared" si="1040"/>
        <v>Trimble</v>
      </c>
      <c r="M6288" s="105" t="str">
        <f t="shared" si="1041"/>
        <v>Derate</v>
      </c>
      <c r="N6288" s="105" t="str">
        <f t="shared" si="1042"/>
        <v>Coal</v>
      </c>
      <c r="O6288" s="105">
        <f>IFERROR(VLOOKUP(A6288,Lookup!$J$5:$P$19,7,FALSE),0)</f>
        <v>3</v>
      </c>
      <c r="P6288" s="159">
        <f t="shared" si="1043"/>
        <v>2016</v>
      </c>
      <c r="Q6288" s="159">
        <f t="shared" si="1044"/>
        <v>11</v>
      </c>
      <c r="R6288" s="160">
        <f t="shared" si="1045"/>
        <v>9.5000000000582077</v>
      </c>
      <c r="S6288" s="158">
        <f t="shared" si="1046"/>
        <v>4.1465408805285513</v>
      </c>
      <c r="T6288" s="161">
        <f t="shared" si="1047"/>
        <v>3097.466037754828</v>
      </c>
      <c r="U6288" s="158">
        <f t="shared" si="1049"/>
        <v>326.04905660377358</v>
      </c>
      <c r="V6288" s="160">
        <f t="shared" si="1048"/>
        <v>326</v>
      </c>
    </row>
    <row r="6289" spans="1:22" x14ac:dyDescent="0.25">
      <c r="A6289" s="98" t="s">
        <v>69</v>
      </c>
      <c r="B6289" s="98" t="s">
        <v>32</v>
      </c>
      <c r="C6289" s="98">
        <v>99</v>
      </c>
      <c r="D6289" s="98">
        <v>1190</v>
      </c>
      <c r="E6289" s="157">
        <v>42700</v>
      </c>
      <c r="F6289" s="157">
        <v>42700.395833333336</v>
      </c>
      <c r="G6289" s="98">
        <v>448</v>
      </c>
      <c r="H6289" s="98">
        <v>795</v>
      </c>
      <c r="I6289" s="98">
        <v>747</v>
      </c>
      <c r="J6289" s="98" t="s">
        <v>2007</v>
      </c>
      <c r="K6289" s="98" t="s">
        <v>4508</v>
      </c>
      <c r="L6289" s="105" t="str">
        <f t="shared" si="1040"/>
        <v>Trimble</v>
      </c>
      <c r="M6289" s="105" t="str">
        <f t="shared" si="1041"/>
        <v>Derate</v>
      </c>
      <c r="N6289" s="105" t="str">
        <f t="shared" si="1042"/>
        <v>Coal</v>
      </c>
      <c r="O6289" s="105">
        <f>IFERROR(VLOOKUP(A6289,Lookup!$J$5:$P$19,7,FALSE),0)</f>
        <v>3</v>
      </c>
      <c r="P6289" s="159">
        <f t="shared" si="1043"/>
        <v>2016</v>
      </c>
      <c r="Q6289" s="159">
        <f t="shared" si="1044"/>
        <v>11</v>
      </c>
      <c r="R6289" s="160">
        <f t="shared" si="1045"/>
        <v>9.5000000000582077</v>
      </c>
      <c r="S6289" s="158">
        <f t="shared" si="1046"/>
        <v>4.1465408805285513</v>
      </c>
      <c r="T6289" s="161">
        <f t="shared" si="1047"/>
        <v>3097.466037754828</v>
      </c>
      <c r="U6289" s="158">
        <f t="shared" si="1049"/>
        <v>326.04905660377358</v>
      </c>
      <c r="V6289" s="160">
        <f t="shared" si="1048"/>
        <v>326</v>
      </c>
    </row>
    <row r="6290" spans="1:22" x14ac:dyDescent="0.25">
      <c r="A6290" s="98" t="s">
        <v>69</v>
      </c>
      <c r="B6290" s="98" t="s">
        <v>32</v>
      </c>
      <c r="C6290" s="98">
        <v>100</v>
      </c>
      <c r="D6290" s="98">
        <v>1190</v>
      </c>
      <c r="E6290" s="157">
        <v>42708</v>
      </c>
      <c r="F6290" s="157">
        <v>42708.395833333336</v>
      </c>
      <c r="G6290" s="98">
        <v>448</v>
      </c>
      <c r="H6290" s="98">
        <v>795</v>
      </c>
      <c r="I6290" s="98">
        <v>747</v>
      </c>
      <c r="J6290" s="98" t="s">
        <v>2007</v>
      </c>
      <c r="K6290" s="98" t="s">
        <v>4527</v>
      </c>
      <c r="L6290" s="105" t="str">
        <f t="shared" si="1040"/>
        <v>Trimble</v>
      </c>
      <c r="M6290" s="105" t="str">
        <f t="shared" si="1041"/>
        <v>Derate</v>
      </c>
      <c r="N6290" s="105" t="str">
        <f t="shared" si="1042"/>
        <v>Coal</v>
      </c>
      <c r="O6290" s="105">
        <f>IFERROR(VLOOKUP(A6290,Lookup!$J$5:$P$19,7,FALSE),0)</f>
        <v>3</v>
      </c>
      <c r="P6290" s="159">
        <f t="shared" si="1043"/>
        <v>2016</v>
      </c>
      <c r="Q6290" s="159">
        <f t="shared" si="1044"/>
        <v>12</v>
      </c>
      <c r="R6290" s="160">
        <f t="shared" si="1045"/>
        <v>9.5000000000582077</v>
      </c>
      <c r="S6290" s="158">
        <f t="shared" si="1046"/>
        <v>4.1465408805285513</v>
      </c>
      <c r="T6290" s="161">
        <f t="shared" si="1047"/>
        <v>3097.466037754828</v>
      </c>
      <c r="U6290" s="158">
        <f t="shared" si="1049"/>
        <v>326.04905660377358</v>
      </c>
      <c r="V6290" s="160">
        <f t="shared" si="1048"/>
        <v>326</v>
      </c>
    </row>
    <row r="6291" spans="1:22" x14ac:dyDescent="0.25">
      <c r="A6291" s="98" t="s">
        <v>69</v>
      </c>
      <c r="B6291" s="98" t="s">
        <v>32</v>
      </c>
      <c r="C6291" s="98">
        <v>101</v>
      </c>
      <c r="D6291" s="98">
        <v>1190</v>
      </c>
      <c r="E6291" s="157">
        <v>42715</v>
      </c>
      <c r="F6291" s="157">
        <v>42715.395833333336</v>
      </c>
      <c r="G6291" s="98">
        <v>449</v>
      </c>
      <c r="H6291" s="98">
        <v>795</v>
      </c>
      <c r="I6291" s="98">
        <v>747</v>
      </c>
      <c r="J6291" s="98" t="s">
        <v>2007</v>
      </c>
      <c r="K6291" s="98" t="s">
        <v>4520</v>
      </c>
      <c r="L6291" s="105" t="str">
        <f t="shared" si="1040"/>
        <v>Trimble</v>
      </c>
      <c r="M6291" s="105" t="str">
        <f t="shared" si="1041"/>
        <v>Derate</v>
      </c>
      <c r="N6291" s="105" t="str">
        <f t="shared" si="1042"/>
        <v>Coal</v>
      </c>
      <c r="O6291" s="105">
        <f>IFERROR(VLOOKUP(A6291,Lookup!$J$5:$P$19,7,FALSE),0)</f>
        <v>3</v>
      </c>
      <c r="P6291" s="159">
        <f t="shared" si="1043"/>
        <v>2016</v>
      </c>
      <c r="Q6291" s="159">
        <f t="shared" si="1044"/>
        <v>12</v>
      </c>
      <c r="R6291" s="160">
        <f t="shared" si="1045"/>
        <v>9.5000000000582077</v>
      </c>
      <c r="S6291" s="158">
        <f t="shared" si="1046"/>
        <v>4.1345911949938863</v>
      </c>
      <c r="T6291" s="161">
        <f t="shared" si="1047"/>
        <v>3088.539622660433</v>
      </c>
      <c r="U6291" s="158">
        <f t="shared" si="1049"/>
        <v>325.10943396226418</v>
      </c>
      <c r="V6291" s="160">
        <f t="shared" si="1048"/>
        <v>325</v>
      </c>
    </row>
    <row r="6292" spans="1:22" x14ac:dyDescent="0.25">
      <c r="A6292" s="98" t="s">
        <v>69</v>
      </c>
      <c r="B6292" s="98" t="s">
        <v>17</v>
      </c>
      <c r="C6292" s="98">
        <v>102</v>
      </c>
      <c r="D6292" s="98">
        <v>267</v>
      </c>
      <c r="E6292" s="157">
        <v>42716.57916666667</v>
      </c>
      <c r="F6292" s="157">
        <v>42716.763888888891</v>
      </c>
      <c r="G6292" s="98">
        <v>625</v>
      </c>
      <c r="H6292" s="98">
        <v>795</v>
      </c>
      <c r="I6292" s="98">
        <v>747</v>
      </c>
      <c r="J6292" s="98" t="s">
        <v>1969</v>
      </c>
      <c r="K6292" s="98" t="s">
        <v>4528</v>
      </c>
      <c r="L6292" s="105" t="str">
        <f t="shared" si="1040"/>
        <v>Trimble</v>
      </c>
      <c r="M6292" s="105" t="str">
        <f t="shared" si="1041"/>
        <v>Derate</v>
      </c>
      <c r="N6292" s="105" t="str">
        <f t="shared" si="1042"/>
        <v>Coal</v>
      </c>
      <c r="O6292" s="105">
        <f>IFERROR(VLOOKUP(A6292,Lookup!$J$5:$P$19,7,FALSE),0)</f>
        <v>3</v>
      </c>
      <c r="P6292" s="159">
        <f t="shared" si="1043"/>
        <v>2016</v>
      </c>
      <c r="Q6292" s="159">
        <f t="shared" si="1044"/>
        <v>12</v>
      </c>
      <c r="R6292" s="160">
        <f t="shared" si="1045"/>
        <v>4.4333333332906477</v>
      </c>
      <c r="S6292" s="158">
        <f t="shared" si="1046"/>
        <v>0.94800838573510704</v>
      </c>
      <c r="T6292" s="161">
        <f t="shared" si="1047"/>
        <v>708.16226414412495</v>
      </c>
      <c r="U6292" s="158">
        <f t="shared" si="1049"/>
        <v>159.73584905660377</v>
      </c>
      <c r="V6292" s="160">
        <f t="shared" si="1048"/>
        <v>160</v>
      </c>
    </row>
    <row r="6293" spans="1:22" x14ac:dyDescent="0.25">
      <c r="A6293" s="98" t="s">
        <v>69</v>
      </c>
      <c r="B6293" s="98" t="s">
        <v>32</v>
      </c>
      <c r="C6293" s="98">
        <v>103</v>
      </c>
      <c r="D6293" s="98">
        <v>1190</v>
      </c>
      <c r="E6293" s="157">
        <v>42721.916666666664</v>
      </c>
      <c r="F6293" s="157">
        <v>42722.3125</v>
      </c>
      <c r="G6293" s="98">
        <v>449</v>
      </c>
      <c r="H6293" s="98">
        <v>795</v>
      </c>
      <c r="I6293" s="98">
        <v>747</v>
      </c>
      <c r="J6293" s="98" t="s">
        <v>2007</v>
      </c>
      <c r="K6293" s="98" t="s">
        <v>4520</v>
      </c>
      <c r="L6293" s="105" t="str">
        <f t="shared" si="1040"/>
        <v>Trimble</v>
      </c>
      <c r="M6293" s="105" t="str">
        <f t="shared" si="1041"/>
        <v>Derate</v>
      </c>
      <c r="N6293" s="105" t="str">
        <f t="shared" si="1042"/>
        <v>Coal</v>
      </c>
      <c r="O6293" s="105">
        <f>IFERROR(VLOOKUP(A6293,Lookup!$J$5:$P$19,7,FALSE),0)</f>
        <v>3</v>
      </c>
      <c r="P6293" s="159">
        <f t="shared" si="1043"/>
        <v>2016</v>
      </c>
      <c r="Q6293" s="159">
        <f t="shared" si="1044"/>
        <v>12</v>
      </c>
      <c r="R6293" s="160">
        <f t="shared" si="1045"/>
        <v>9.5000000000582077</v>
      </c>
      <c r="S6293" s="158">
        <f t="shared" si="1046"/>
        <v>4.1345911949938863</v>
      </c>
      <c r="T6293" s="161">
        <f t="shared" si="1047"/>
        <v>3088.539622660433</v>
      </c>
      <c r="U6293" s="158">
        <f t="shared" si="1049"/>
        <v>325.10943396226418</v>
      </c>
      <c r="V6293" s="160">
        <f t="shared" si="1048"/>
        <v>325</v>
      </c>
    </row>
    <row r="6294" spans="1:22" x14ac:dyDescent="0.25">
      <c r="A6294" s="98" t="s">
        <v>69</v>
      </c>
      <c r="B6294" s="98" t="s">
        <v>17</v>
      </c>
      <c r="C6294" s="98">
        <v>104</v>
      </c>
      <c r="D6294" s="98">
        <v>8006</v>
      </c>
      <c r="E6294" s="157">
        <v>42726.614583333336</v>
      </c>
      <c r="F6294" s="157">
        <v>42726.791666666664</v>
      </c>
      <c r="G6294" s="98">
        <v>649</v>
      </c>
      <c r="H6294" s="98">
        <v>795</v>
      </c>
      <c r="I6294" s="98">
        <v>747</v>
      </c>
      <c r="J6294" s="98" t="s">
        <v>4442</v>
      </c>
      <c r="K6294" s="98" t="s">
        <v>4443</v>
      </c>
      <c r="L6294" s="105" t="str">
        <f t="shared" si="1040"/>
        <v>Trimble</v>
      </c>
      <c r="M6294" s="105" t="str">
        <f t="shared" si="1041"/>
        <v>Derate</v>
      </c>
      <c r="N6294" s="105" t="str">
        <f t="shared" si="1042"/>
        <v>Coal</v>
      </c>
      <c r="O6294" s="105">
        <f>IFERROR(VLOOKUP(A6294,Lookup!$J$5:$P$19,7,FALSE),0)</f>
        <v>3</v>
      </c>
      <c r="P6294" s="159">
        <f t="shared" si="1043"/>
        <v>2016</v>
      </c>
      <c r="Q6294" s="159">
        <f t="shared" si="1044"/>
        <v>12</v>
      </c>
      <c r="R6294" s="160">
        <f t="shared" si="1045"/>
        <v>4.2499999998835847</v>
      </c>
      <c r="S6294" s="158">
        <f t="shared" si="1046"/>
        <v>0.78050314463270865</v>
      </c>
      <c r="T6294" s="161">
        <f t="shared" si="1047"/>
        <v>583.03584904063337</v>
      </c>
      <c r="U6294" s="158">
        <f t="shared" si="1049"/>
        <v>137.18490566037735</v>
      </c>
      <c r="V6294" s="160">
        <f t="shared" si="1048"/>
        <v>137</v>
      </c>
    </row>
    <row r="6295" spans="1:22" x14ac:dyDescent="0.25">
      <c r="A6295" s="98" t="s">
        <v>69</v>
      </c>
      <c r="B6295" s="98" t="s">
        <v>17</v>
      </c>
      <c r="C6295" s="98">
        <v>105</v>
      </c>
      <c r="D6295" s="98">
        <v>312</v>
      </c>
      <c r="E6295" s="157">
        <v>42726.791666666664</v>
      </c>
      <c r="F6295" s="157">
        <v>42726.993055555555</v>
      </c>
      <c r="G6295" s="98">
        <v>489</v>
      </c>
      <c r="H6295" s="98">
        <v>795</v>
      </c>
      <c r="I6295" s="98">
        <v>747</v>
      </c>
      <c r="J6295" s="98" t="s">
        <v>2169</v>
      </c>
      <c r="K6295" s="98" t="s">
        <v>4529</v>
      </c>
      <c r="L6295" s="105" t="str">
        <f t="shared" si="1040"/>
        <v>Trimble</v>
      </c>
      <c r="M6295" s="105" t="str">
        <f t="shared" si="1041"/>
        <v>Derate</v>
      </c>
      <c r="N6295" s="105" t="str">
        <f t="shared" si="1042"/>
        <v>Coal</v>
      </c>
      <c r="O6295" s="105">
        <f>IFERROR(VLOOKUP(A6295,Lookup!$J$5:$P$19,7,FALSE),0)</f>
        <v>3</v>
      </c>
      <c r="P6295" s="159">
        <f t="shared" si="1043"/>
        <v>2016</v>
      </c>
      <c r="Q6295" s="159">
        <f t="shared" si="1044"/>
        <v>12</v>
      </c>
      <c r="R6295" s="160">
        <f t="shared" si="1045"/>
        <v>4.8333333333721384</v>
      </c>
      <c r="S6295" s="158">
        <f t="shared" si="1046"/>
        <v>1.8603773585055023</v>
      </c>
      <c r="T6295" s="161">
        <f t="shared" si="1047"/>
        <v>1389.7018868036103</v>
      </c>
      <c r="U6295" s="158">
        <f t="shared" si="1049"/>
        <v>287.52452830188679</v>
      </c>
      <c r="V6295" s="160">
        <f t="shared" si="1048"/>
        <v>288</v>
      </c>
    </row>
    <row r="6296" spans="1:22" x14ac:dyDescent="0.25">
      <c r="A6296" s="98" t="s">
        <v>69</v>
      </c>
      <c r="B6296" s="98" t="s">
        <v>32</v>
      </c>
      <c r="C6296" s="98">
        <v>106</v>
      </c>
      <c r="D6296" s="98">
        <v>1190</v>
      </c>
      <c r="E6296" s="157">
        <v>42727</v>
      </c>
      <c r="F6296" s="157">
        <v>42727.395833333336</v>
      </c>
      <c r="G6296" s="98">
        <v>449</v>
      </c>
      <c r="H6296" s="98">
        <v>795</v>
      </c>
      <c r="I6296" s="98">
        <v>747</v>
      </c>
      <c r="J6296" s="98" t="s">
        <v>2007</v>
      </c>
      <c r="K6296" s="98" t="s">
        <v>4503</v>
      </c>
      <c r="L6296" s="105" t="str">
        <f t="shared" si="1040"/>
        <v>Trimble</v>
      </c>
      <c r="M6296" s="105" t="str">
        <f t="shared" si="1041"/>
        <v>Derate</v>
      </c>
      <c r="N6296" s="105" t="str">
        <f t="shared" si="1042"/>
        <v>Coal</v>
      </c>
      <c r="O6296" s="105">
        <f>IFERROR(VLOOKUP(A6296,Lookup!$J$5:$P$19,7,FALSE),0)</f>
        <v>3</v>
      </c>
      <c r="P6296" s="159">
        <f t="shared" si="1043"/>
        <v>2016</v>
      </c>
      <c r="Q6296" s="159">
        <f t="shared" si="1044"/>
        <v>12</v>
      </c>
      <c r="R6296" s="160">
        <f t="shared" si="1045"/>
        <v>9.5000000000582077</v>
      </c>
      <c r="S6296" s="158">
        <f t="shared" si="1046"/>
        <v>4.1345911949938863</v>
      </c>
      <c r="T6296" s="161">
        <f t="shared" si="1047"/>
        <v>3088.539622660433</v>
      </c>
      <c r="U6296" s="158">
        <f t="shared" si="1049"/>
        <v>325.10943396226418</v>
      </c>
      <c r="V6296" s="160">
        <f t="shared" si="1048"/>
        <v>325</v>
      </c>
    </row>
    <row r="6297" spans="1:22" x14ac:dyDescent="0.25">
      <c r="A6297" s="98" t="s">
        <v>69</v>
      </c>
      <c r="B6297" s="98" t="s">
        <v>17</v>
      </c>
      <c r="C6297" s="98">
        <v>107</v>
      </c>
      <c r="D6297" s="98">
        <v>346</v>
      </c>
      <c r="E6297" s="157">
        <v>42730.445833333331</v>
      </c>
      <c r="F6297" s="157">
        <v>42730.791666666664</v>
      </c>
      <c r="G6297" s="98">
        <v>649</v>
      </c>
      <c r="H6297" s="98">
        <v>795</v>
      </c>
      <c r="I6297" s="98">
        <v>747</v>
      </c>
      <c r="J6297" s="98" t="s">
        <v>1986</v>
      </c>
      <c r="K6297" s="98" t="s">
        <v>4530</v>
      </c>
      <c r="L6297" s="105" t="str">
        <f t="shared" si="1040"/>
        <v>Trimble</v>
      </c>
      <c r="M6297" s="105" t="str">
        <f t="shared" si="1041"/>
        <v>Derate</v>
      </c>
      <c r="N6297" s="105" t="str">
        <f t="shared" si="1042"/>
        <v>Coal</v>
      </c>
      <c r="O6297" s="105">
        <f>IFERROR(VLOOKUP(A6297,Lookup!$J$5:$P$19,7,FALSE),0)</f>
        <v>3</v>
      </c>
      <c r="P6297" s="159">
        <f t="shared" si="1043"/>
        <v>2016</v>
      </c>
      <c r="Q6297" s="159">
        <f t="shared" si="1044"/>
        <v>12</v>
      </c>
      <c r="R6297" s="160">
        <f t="shared" si="1045"/>
        <v>8.2999999999883585</v>
      </c>
      <c r="S6297" s="158">
        <f t="shared" si="1046"/>
        <v>1.5242767295576105</v>
      </c>
      <c r="T6297" s="161">
        <f t="shared" si="1047"/>
        <v>1138.6347169795351</v>
      </c>
      <c r="U6297" s="158">
        <f t="shared" si="1049"/>
        <v>137.18490566037735</v>
      </c>
      <c r="V6297" s="160">
        <f t="shared" si="1048"/>
        <v>137</v>
      </c>
    </row>
    <row r="6298" spans="1:22" x14ac:dyDescent="0.25">
      <c r="A6298" s="98" t="s">
        <v>69</v>
      </c>
      <c r="B6298" s="98" t="s">
        <v>17</v>
      </c>
      <c r="C6298" s="98">
        <v>108</v>
      </c>
      <c r="D6298" s="98">
        <v>1488</v>
      </c>
      <c r="E6298" s="157">
        <v>42733.375694444447</v>
      </c>
      <c r="F6298" s="157">
        <v>42733.583333333336</v>
      </c>
      <c r="G6298" s="98">
        <v>759</v>
      </c>
      <c r="H6298" s="98">
        <v>795</v>
      </c>
      <c r="I6298" s="98">
        <v>747</v>
      </c>
      <c r="J6298" s="98" t="s">
        <v>2284</v>
      </c>
      <c r="K6298" s="98" t="s">
        <v>4531</v>
      </c>
      <c r="L6298" s="105" t="str">
        <f t="shared" si="1040"/>
        <v>Trimble</v>
      </c>
      <c r="M6298" s="105" t="str">
        <f t="shared" si="1041"/>
        <v>Derate</v>
      </c>
      <c r="N6298" s="105" t="str">
        <f t="shared" si="1042"/>
        <v>Coal</v>
      </c>
      <c r="O6298" s="105">
        <f>IFERROR(VLOOKUP(A6298,Lookup!$J$5:$P$19,7,FALSE),0)</f>
        <v>3</v>
      </c>
      <c r="P6298" s="159">
        <f t="shared" si="1043"/>
        <v>2016</v>
      </c>
      <c r="Q6298" s="159">
        <f t="shared" si="1044"/>
        <v>12</v>
      </c>
      <c r="R6298" s="160">
        <f t="shared" si="1045"/>
        <v>4.9833333333372138</v>
      </c>
      <c r="S6298" s="158">
        <f t="shared" si="1046"/>
        <v>0.22566037735866629</v>
      </c>
      <c r="T6298" s="161">
        <f t="shared" si="1047"/>
        <v>168.56830188692371</v>
      </c>
      <c r="U6298" s="158">
        <f t="shared" si="1049"/>
        <v>33.826415094339623</v>
      </c>
      <c r="V6298" s="160">
        <f t="shared" si="1048"/>
        <v>34</v>
      </c>
    </row>
    <row r="6299" spans="1:22" x14ac:dyDescent="0.25">
      <c r="A6299" s="98" t="s">
        <v>69</v>
      </c>
      <c r="B6299" s="98" t="s">
        <v>17</v>
      </c>
      <c r="C6299" s="98">
        <v>109</v>
      </c>
      <c r="D6299" s="98">
        <v>1488</v>
      </c>
      <c r="E6299" s="157">
        <v>42733.592361111114</v>
      </c>
      <c r="F6299" s="157">
        <v>42733.791666666664</v>
      </c>
      <c r="G6299" s="98">
        <v>774</v>
      </c>
      <c r="H6299" s="98">
        <v>795</v>
      </c>
      <c r="I6299" s="98">
        <v>747</v>
      </c>
      <c r="J6299" s="98" t="s">
        <v>2284</v>
      </c>
      <c r="K6299" s="98" t="s">
        <v>4531</v>
      </c>
      <c r="L6299" s="105" t="str">
        <f t="shared" si="1040"/>
        <v>Trimble</v>
      </c>
      <c r="M6299" s="105" t="str">
        <f t="shared" si="1041"/>
        <v>Derate</v>
      </c>
      <c r="N6299" s="105" t="str">
        <f t="shared" si="1042"/>
        <v>Coal</v>
      </c>
      <c r="O6299" s="105">
        <f>IFERROR(VLOOKUP(A6299,Lookup!$J$5:$P$19,7,FALSE),0)</f>
        <v>3</v>
      </c>
      <c r="P6299" s="159">
        <f t="shared" si="1043"/>
        <v>2016</v>
      </c>
      <c r="Q6299" s="159">
        <f t="shared" si="1044"/>
        <v>12</v>
      </c>
      <c r="R6299" s="160">
        <f t="shared" si="1045"/>
        <v>4.783333333209157</v>
      </c>
      <c r="S6299" s="158">
        <f t="shared" si="1046"/>
        <v>0.12635220125458149</v>
      </c>
      <c r="T6299" s="161">
        <f t="shared" si="1047"/>
        <v>94.385094337172376</v>
      </c>
      <c r="U6299" s="158">
        <f t="shared" si="1049"/>
        <v>19.732075471698113</v>
      </c>
      <c r="V6299" s="160">
        <f t="shared" si="1048"/>
        <v>20</v>
      </c>
    </row>
    <row r="6300" spans="1:22" x14ac:dyDescent="0.25">
      <c r="A6300" s="98" t="s">
        <v>69</v>
      </c>
      <c r="B6300" s="98" t="s">
        <v>17</v>
      </c>
      <c r="C6300" s="98">
        <v>110</v>
      </c>
      <c r="D6300" s="98">
        <v>1488</v>
      </c>
      <c r="E6300" s="157">
        <v>42733.791666666664</v>
      </c>
      <c r="F6300" s="157">
        <v>42733.958333333336</v>
      </c>
      <c r="G6300" s="98">
        <v>789</v>
      </c>
      <c r="H6300" s="98">
        <v>795</v>
      </c>
      <c r="I6300" s="98">
        <v>747</v>
      </c>
      <c r="J6300" s="98" t="s">
        <v>2284</v>
      </c>
      <c r="K6300" s="98" t="s">
        <v>4531</v>
      </c>
      <c r="L6300" s="105" t="str">
        <f t="shared" si="1040"/>
        <v>Trimble</v>
      </c>
      <c r="M6300" s="105" t="str">
        <f t="shared" si="1041"/>
        <v>Derate</v>
      </c>
      <c r="N6300" s="105" t="str">
        <f t="shared" si="1042"/>
        <v>Coal</v>
      </c>
      <c r="O6300" s="105">
        <f>IFERROR(VLOOKUP(A6300,Lookup!$J$5:$P$19,7,FALSE),0)</f>
        <v>3</v>
      </c>
      <c r="P6300" s="159">
        <f t="shared" si="1043"/>
        <v>2016</v>
      </c>
      <c r="Q6300" s="159">
        <f t="shared" si="1044"/>
        <v>12</v>
      </c>
      <c r="R6300" s="160">
        <f t="shared" si="1045"/>
        <v>4.0000000001164153</v>
      </c>
      <c r="S6300" s="158">
        <f t="shared" si="1046"/>
        <v>3.0188679246161625E-2</v>
      </c>
      <c r="T6300" s="161">
        <f t="shared" si="1047"/>
        <v>22.550943396882733</v>
      </c>
      <c r="U6300" s="158">
        <f t="shared" si="1049"/>
        <v>5.6377358490566039</v>
      </c>
      <c r="V6300" s="160">
        <f t="shared" si="1048"/>
        <v>6</v>
      </c>
    </row>
    <row r="6301" spans="1:22" x14ac:dyDescent="0.25">
      <c r="A6301" s="98" t="s">
        <v>69</v>
      </c>
      <c r="B6301" s="98" t="s">
        <v>17</v>
      </c>
      <c r="C6301" s="98">
        <v>111</v>
      </c>
      <c r="D6301" s="98">
        <v>1488</v>
      </c>
      <c r="E6301" s="157">
        <v>42733.958333333336</v>
      </c>
      <c r="F6301" s="157">
        <v>42734.041666666664</v>
      </c>
      <c r="G6301" s="98">
        <v>689</v>
      </c>
      <c r="H6301" s="98">
        <v>795</v>
      </c>
      <c r="I6301" s="98">
        <v>747</v>
      </c>
      <c r="J6301" s="98" t="s">
        <v>2284</v>
      </c>
      <c r="K6301" s="98" t="s">
        <v>4532</v>
      </c>
      <c r="L6301" s="105" t="str">
        <f t="shared" si="1040"/>
        <v>Trimble</v>
      </c>
      <c r="M6301" s="105" t="str">
        <f t="shared" si="1041"/>
        <v>Derate</v>
      </c>
      <c r="N6301" s="105" t="str">
        <f t="shared" si="1042"/>
        <v>Coal</v>
      </c>
      <c r="O6301" s="105">
        <f>IFERROR(VLOOKUP(A6301,Lookup!$J$5:$P$19,7,FALSE),0)</f>
        <v>3</v>
      </c>
      <c r="P6301" s="159">
        <f t="shared" si="1043"/>
        <v>2016</v>
      </c>
      <c r="Q6301" s="159">
        <f t="shared" si="1044"/>
        <v>12</v>
      </c>
      <c r="R6301" s="160">
        <f t="shared" si="1045"/>
        <v>1.9999999998835847</v>
      </c>
      <c r="S6301" s="158">
        <f t="shared" si="1046"/>
        <v>0.26666666665114463</v>
      </c>
      <c r="T6301" s="161">
        <f t="shared" si="1047"/>
        <v>199.19999998840504</v>
      </c>
      <c r="U6301" s="158">
        <f t="shared" si="1049"/>
        <v>99.6</v>
      </c>
      <c r="V6301" s="160">
        <f t="shared" si="1048"/>
        <v>100</v>
      </c>
    </row>
    <row r="6302" spans="1:22" x14ac:dyDescent="0.25">
      <c r="A6302" s="98" t="s">
        <v>69</v>
      </c>
      <c r="B6302" s="98" t="s">
        <v>17</v>
      </c>
      <c r="C6302" s="98">
        <v>112</v>
      </c>
      <c r="D6302" s="98">
        <v>1488</v>
      </c>
      <c r="E6302" s="157">
        <v>42734.041666666664</v>
      </c>
      <c r="F6302" s="157">
        <v>42734.35</v>
      </c>
      <c r="G6302" s="98">
        <v>789</v>
      </c>
      <c r="H6302" s="98">
        <v>795</v>
      </c>
      <c r="I6302" s="98">
        <v>747</v>
      </c>
      <c r="J6302" s="98" t="s">
        <v>2284</v>
      </c>
      <c r="K6302" s="98" t="s">
        <v>4531</v>
      </c>
      <c r="L6302" s="105" t="str">
        <f t="shared" si="1040"/>
        <v>Trimble</v>
      </c>
      <c r="M6302" s="105" t="str">
        <f t="shared" si="1041"/>
        <v>Derate</v>
      </c>
      <c r="N6302" s="105" t="str">
        <f t="shared" si="1042"/>
        <v>Coal</v>
      </c>
      <c r="O6302" s="105">
        <f>IFERROR(VLOOKUP(A6302,Lookup!$J$5:$P$19,7,FALSE),0)</f>
        <v>3</v>
      </c>
      <c r="P6302" s="159">
        <f t="shared" si="1043"/>
        <v>2016</v>
      </c>
      <c r="Q6302" s="159">
        <f t="shared" si="1044"/>
        <v>12</v>
      </c>
      <c r="R6302" s="160">
        <f t="shared" si="1045"/>
        <v>7.4000000000232831</v>
      </c>
      <c r="S6302" s="158">
        <f t="shared" si="1046"/>
        <v>5.5849056603949308E-2</v>
      </c>
      <c r="T6302" s="161">
        <f t="shared" si="1047"/>
        <v>41.71924528315013</v>
      </c>
      <c r="U6302" s="158">
        <f t="shared" si="1049"/>
        <v>5.6377358490566039</v>
      </c>
      <c r="V6302" s="160">
        <f t="shared" si="1048"/>
        <v>6</v>
      </c>
    </row>
    <row r="6303" spans="1:22" x14ac:dyDescent="0.25">
      <c r="A6303" s="98" t="s">
        <v>69</v>
      </c>
      <c r="B6303" s="98" t="s">
        <v>32</v>
      </c>
      <c r="C6303" s="98">
        <v>113</v>
      </c>
      <c r="D6303" s="98">
        <v>1190</v>
      </c>
      <c r="E6303" s="157">
        <v>42734.916666666664</v>
      </c>
      <c r="F6303" s="157">
        <v>42735.3125</v>
      </c>
      <c r="G6303" s="98">
        <v>449</v>
      </c>
      <c r="H6303" s="98">
        <v>795</v>
      </c>
      <c r="I6303" s="98">
        <v>747</v>
      </c>
      <c r="J6303" s="98" t="s">
        <v>2007</v>
      </c>
      <c r="K6303" s="98" t="s">
        <v>4503</v>
      </c>
      <c r="L6303" s="105" t="str">
        <f t="shared" si="1040"/>
        <v>Trimble</v>
      </c>
      <c r="M6303" s="105" t="str">
        <f t="shared" si="1041"/>
        <v>Derate</v>
      </c>
      <c r="N6303" s="105" t="str">
        <f t="shared" si="1042"/>
        <v>Coal</v>
      </c>
      <c r="O6303" s="105">
        <f>IFERROR(VLOOKUP(A6303,Lookup!$J$5:$P$19,7,FALSE),0)</f>
        <v>3</v>
      </c>
      <c r="P6303" s="159">
        <f t="shared" si="1043"/>
        <v>2016</v>
      </c>
      <c r="Q6303" s="159">
        <f t="shared" si="1044"/>
        <v>12</v>
      </c>
      <c r="R6303" s="160">
        <f t="shared" si="1045"/>
        <v>9.5000000000582077</v>
      </c>
      <c r="S6303" s="158">
        <f t="shared" si="1046"/>
        <v>4.1345911949938863</v>
      </c>
      <c r="T6303" s="161">
        <f t="shared" si="1047"/>
        <v>3088.539622660433</v>
      </c>
      <c r="U6303" s="158">
        <f t="shared" si="1049"/>
        <v>325.10943396226418</v>
      </c>
      <c r="V6303" s="160">
        <f t="shared" si="1048"/>
        <v>325</v>
      </c>
    </row>
    <row r="6304" spans="1:22" x14ac:dyDescent="0.25">
      <c r="A6304" s="98" t="s">
        <v>69</v>
      </c>
      <c r="B6304" s="98" t="s">
        <v>17</v>
      </c>
      <c r="C6304" s="98">
        <v>1</v>
      </c>
      <c r="D6304" s="98">
        <v>1488</v>
      </c>
      <c r="E6304" s="157">
        <v>42737.763194444444</v>
      </c>
      <c r="F6304" s="157">
        <v>42745.375</v>
      </c>
      <c r="G6304" s="98">
        <v>759</v>
      </c>
      <c r="H6304" s="98">
        <v>795</v>
      </c>
      <c r="I6304" s="98">
        <v>747</v>
      </c>
      <c r="J6304" s="98" t="s">
        <v>2284</v>
      </c>
      <c r="K6304" s="98" t="s">
        <v>4531</v>
      </c>
      <c r="L6304" s="105" t="str">
        <f t="shared" si="1040"/>
        <v>Trimble</v>
      </c>
      <c r="M6304" s="105" t="str">
        <f t="shared" si="1041"/>
        <v>Derate</v>
      </c>
      <c r="N6304" s="105" t="str">
        <f t="shared" si="1042"/>
        <v>Coal</v>
      </c>
      <c r="O6304" s="105">
        <f>IFERROR(VLOOKUP(A6304,Lookup!$J$5:$P$19,7,FALSE),0)</f>
        <v>3</v>
      </c>
      <c r="P6304" s="159">
        <f t="shared" si="1043"/>
        <v>2017</v>
      </c>
      <c r="Q6304" s="159">
        <f t="shared" si="1044"/>
        <v>1</v>
      </c>
      <c r="R6304" s="160">
        <f t="shared" si="1045"/>
        <v>182.68333333334886</v>
      </c>
      <c r="S6304" s="158">
        <f t="shared" si="1046"/>
        <v>8.2724528301893816</v>
      </c>
      <c r="T6304" s="161">
        <f t="shared" si="1047"/>
        <v>6179.5222641514683</v>
      </c>
      <c r="U6304" s="158">
        <f t="shared" si="1049"/>
        <v>33.826415094339623</v>
      </c>
      <c r="V6304" s="160">
        <f t="shared" si="1048"/>
        <v>34</v>
      </c>
    </row>
    <row r="6305" spans="1:22" x14ac:dyDescent="0.25">
      <c r="A6305" s="98" t="s">
        <v>69</v>
      </c>
      <c r="B6305" s="98" t="s">
        <v>79</v>
      </c>
      <c r="C6305" s="98">
        <v>2</v>
      </c>
      <c r="D6305" s="98">
        <v>8601</v>
      </c>
      <c r="E6305" s="157">
        <v>42742.291666666664</v>
      </c>
      <c r="F6305" s="157">
        <v>42742.708333333336</v>
      </c>
      <c r="G6305" s="98">
        <v>0</v>
      </c>
      <c r="H6305" s="98">
        <v>795</v>
      </c>
      <c r="I6305" s="98">
        <v>747</v>
      </c>
      <c r="J6305" s="98" t="s">
        <v>232</v>
      </c>
      <c r="K6305" s="98" t="s">
        <v>4533</v>
      </c>
      <c r="L6305" s="105" t="str">
        <f t="shared" si="1040"/>
        <v>Trimble</v>
      </c>
      <c r="M6305" s="105" t="str">
        <f t="shared" si="1041"/>
        <v>Other</v>
      </c>
      <c r="N6305" s="105" t="str">
        <f t="shared" si="1042"/>
        <v>Coal</v>
      </c>
      <c r="O6305" s="105">
        <f>IFERROR(VLOOKUP(A6305,Lookup!$J$5:$P$19,7,FALSE),0)</f>
        <v>3</v>
      </c>
      <c r="P6305" s="159">
        <f t="shared" si="1043"/>
        <v>2017</v>
      </c>
      <c r="Q6305" s="159">
        <f t="shared" si="1044"/>
        <v>1</v>
      </c>
      <c r="R6305" s="160">
        <f t="shared" si="1045"/>
        <v>10.000000000116415</v>
      </c>
      <c r="S6305" s="158">
        <f t="shared" si="1046"/>
        <v>10.000000000116415</v>
      </c>
      <c r="T6305" s="161">
        <f t="shared" si="1047"/>
        <v>7470.0000000869622</v>
      </c>
      <c r="U6305" s="158">
        <f t="shared" si="1049"/>
        <v>747</v>
      </c>
      <c r="V6305" s="160">
        <f t="shared" si="1048"/>
        <v>747</v>
      </c>
    </row>
    <row r="6306" spans="1:22" x14ac:dyDescent="0.25">
      <c r="A6306" s="98" t="s">
        <v>69</v>
      </c>
      <c r="B6306" s="98" t="s">
        <v>79</v>
      </c>
      <c r="C6306" s="98">
        <v>3</v>
      </c>
      <c r="D6306" s="98">
        <v>8601</v>
      </c>
      <c r="E6306" s="157">
        <v>42743.293749999997</v>
      </c>
      <c r="F6306" s="157">
        <v>42743.708333333336</v>
      </c>
      <c r="G6306" s="98">
        <v>0</v>
      </c>
      <c r="H6306" s="98">
        <v>795</v>
      </c>
      <c r="I6306" s="98">
        <v>747</v>
      </c>
      <c r="J6306" s="98" t="s">
        <v>232</v>
      </c>
      <c r="K6306" s="98" t="s">
        <v>4533</v>
      </c>
      <c r="L6306" s="105" t="str">
        <f t="shared" si="1040"/>
        <v>Trimble</v>
      </c>
      <c r="M6306" s="105" t="str">
        <f t="shared" si="1041"/>
        <v>Other</v>
      </c>
      <c r="N6306" s="105" t="str">
        <f t="shared" si="1042"/>
        <v>Coal</v>
      </c>
      <c r="O6306" s="105">
        <f>IFERROR(VLOOKUP(A6306,Lookup!$J$5:$P$19,7,FALSE),0)</f>
        <v>3</v>
      </c>
      <c r="P6306" s="159">
        <f t="shared" si="1043"/>
        <v>2017</v>
      </c>
      <c r="Q6306" s="159">
        <f t="shared" si="1044"/>
        <v>1</v>
      </c>
      <c r="R6306" s="160">
        <f t="shared" si="1045"/>
        <v>9.9500000001280569</v>
      </c>
      <c r="S6306" s="158">
        <f t="shared" si="1046"/>
        <v>9.9500000001280569</v>
      </c>
      <c r="T6306" s="161">
        <f t="shared" si="1047"/>
        <v>7432.6500000956585</v>
      </c>
      <c r="U6306" s="158">
        <f t="shared" si="1049"/>
        <v>747</v>
      </c>
      <c r="V6306" s="160">
        <f t="shared" si="1048"/>
        <v>747</v>
      </c>
    </row>
    <row r="6307" spans="1:22" x14ac:dyDescent="0.25">
      <c r="A6307" s="98" t="s">
        <v>69</v>
      </c>
      <c r="B6307" s="98" t="s">
        <v>17</v>
      </c>
      <c r="C6307" s="98">
        <v>4</v>
      </c>
      <c r="D6307" s="98">
        <v>1488</v>
      </c>
      <c r="E6307" s="157">
        <v>42745.375</v>
      </c>
      <c r="F6307" s="157">
        <v>42747.238194444442</v>
      </c>
      <c r="G6307" s="98">
        <v>709</v>
      </c>
      <c r="H6307" s="98">
        <v>795</v>
      </c>
      <c r="I6307" s="98">
        <v>747</v>
      </c>
      <c r="J6307" s="98" t="s">
        <v>2284</v>
      </c>
      <c r="K6307" s="98" t="s">
        <v>4531</v>
      </c>
      <c r="L6307" s="105" t="str">
        <f t="shared" si="1040"/>
        <v>Trimble</v>
      </c>
      <c r="M6307" s="105" t="str">
        <f t="shared" si="1041"/>
        <v>Derate</v>
      </c>
      <c r="N6307" s="105" t="str">
        <f t="shared" si="1042"/>
        <v>Coal</v>
      </c>
      <c r="O6307" s="105">
        <f>IFERROR(VLOOKUP(A6307,Lookup!$J$5:$P$19,7,FALSE),0)</f>
        <v>3</v>
      </c>
      <c r="P6307" s="159">
        <f t="shared" si="1043"/>
        <v>2017</v>
      </c>
      <c r="Q6307" s="159">
        <f t="shared" si="1044"/>
        <v>1</v>
      </c>
      <c r="R6307" s="160">
        <f t="shared" si="1045"/>
        <v>44.71666666661622</v>
      </c>
      <c r="S6307" s="158">
        <f t="shared" si="1046"/>
        <v>4.8372746331182324</v>
      </c>
      <c r="T6307" s="161">
        <f t="shared" si="1047"/>
        <v>3613.4441509393196</v>
      </c>
      <c r="U6307" s="158">
        <f t="shared" si="1049"/>
        <v>80.807547169811315</v>
      </c>
      <c r="V6307" s="160">
        <f t="shared" si="1048"/>
        <v>81</v>
      </c>
    </row>
    <row r="6308" spans="1:22" x14ac:dyDescent="0.25">
      <c r="A6308" s="98" t="s">
        <v>69</v>
      </c>
      <c r="B6308" s="98" t="s">
        <v>20</v>
      </c>
      <c r="C6308" s="98">
        <v>5</v>
      </c>
      <c r="D6308" s="98">
        <v>1493</v>
      </c>
      <c r="E6308" s="157">
        <v>42747.238194444442</v>
      </c>
      <c r="F6308" s="157">
        <v>42750.271527777775</v>
      </c>
      <c r="G6308" s="98">
        <v>0</v>
      </c>
      <c r="H6308" s="98">
        <v>795</v>
      </c>
      <c r="I6308" s="98">
        <v>747</v>
      </c>
      <c r="J6308" s="98" t="s">
        <v>2185</v>
      </c>
      <c r="K6308" s="98" t="s">
        <v>4534</v>
      </c>
      <c r="L6308" s="105" t="str">
        <f t="shared" si="1040"/>
        <v>Trimble</v>
      </c>
      <c r="M6308" s="105" t="str">
        <f t="shared" si="1041"/>
        <v>Maintenance</v>
      </c>
      <c r="N6308" s="105" t="str">
        <f t="shared" si="1042"/>
        <v>Coal</v>
      </c>
      <c r="O6308" s="105">
        <f>IFERROR(VLOOKUP(A6308,Lookup!$J$5:$P$19,7,FALSE),0)</f>
        <v>3</v>
      </c>
      <c r="P6308" s="159">
        <f t="shared" si="1043"/>
        <v>2017</v>
      </c>
      <c r="Q6308" s="159">
        <f t="shared" si="1044"/>
        <v>1</v>
      </c>
      <c r="R6308" s="160">
        <f t="shared" si="1045"/>
        <v>72.799999999988358</v>
      </c>
      <c r="S6308" s="158">
        <f t="shared" si="1046"/>
        <v>72.799999999988358</v>
      </c>
      <c r="T6308" s="161">
        <f t="shared" si="1047"/>
        <v>54381.599999991304</v>
      </c>
      <c r="U6308" s="158">
        <f t="shared" si="1049"/>
        <v>747</v>
      </c>
      <c r="V6308" s="160">
        <f t="shared" si="1048"/>
        <v>747</v>
      </c>
    </row>
    <row r="6309" spans="1:22" x14ac:dyDescent="0.25">
      <c r="A6309" s="98" t="s">
        <v>69</v>
      </c>
      <c r="B6309" s="98" t="s">
        <v>17</v>
      </c>
      <c r="C6309" s="98">
        <v>6</v>
      </c>
      <c r="D6309" s="98">
        <v>346</v>
      </c>
      <c r="E6309" s="157">
        <v>42752.4375</v>
      </c>
      <c r="F6309" s="157">
        <v>42752.5</v>
      </c>
      <c r="G6309" s="98">
        <v>759</v>
      </c>
      <c r="H6309" s="98">
        <v>795</v>
      </c>
      <c r="I6309" s="98">
        <v>747</v>
      </c>
      <c r="J6309" s="98" t="s">
        <v>1986</v>
      </c>
      <c r="K6309" s="98" t="s">
        <v>4535</v>
      </c>
      <c r="L6309" s="105" t="str">
        <f t="shared" si="1040"/>
        <v>Trimble</v>
      </c>
      <c r="M6309" s="105" t="str">
        <f t="shared" si="1041"/>
        <v>Derate</v>
      </c>
      <c r="N6309" s="105" t="str">
        <f t="shared" si="1042"/>
        <v>Coal</v>
      </c>
      <c r="O6309" s="105">
        <f>IFERROR(VLOOKUP(A6309,Lookup!$J$5:$P$19,7,FALSE),0)</f>
        <v>3</v>
      </c>
      <c r="P6309" s="159">
        <f t="shared" si="1043"/>
        <v>2017</v>
      </c>
      <c r="Q6309" s="159">
        <f t="shared" si="1044"/>
        <v>1</v>
      </c>
      <c r="R6309" s="160">
        <f t="shared" si="1045"/>
        <v>1.5</v>
      </c>
      <c r="S6309" s="158">
        <f t="shared" si="1046"/>
        <v>6.7924528301886791E-2</v>
      </c>
      <c r="T6309" s="161">
        <f t="shared" si="1047"/>
        <v>50.739622641509435</v>
      </c>
      <c r="U6309" s="158">
        <f t="shared" si="1049"/>
        <v>33.826415094339623</v>
      </c>
      <c r="V6309" s="160">
        <f t="shared" si="1048"/>
        <v>34</v>
      </c>
    </row>
    <row r="6310" spans="1:22" x14ac:dyDescent="0.25">
      <c r="A6310" s="98" t="s">
        <v>69</v>
      </c>
      <c r="B6310" s="98" t="s">
        <v>32</v>
      </c>
      <c r="C6310" s="98">
        <v>7</v>
      </c>
      <c r="D6310" s="98">
        <v>1190</v>
      </c>
      <c r="E6310" s="157">
        <v>42757</v>
      </c>
      <c r="F6310" s="157">
        <v>42757.395833333336</v>
      </c>
      <c r="G6310" s="98">
        <v>449</v>
      </c>
      <c r="H6310" s="98">
        <v>795</v>
      </c>
      <c r="I6310" s="98">
        <v>747</v>
      </c>
      <c r="J6310" s="98" t="s">
        <v>2007</v>
      </c>
      <c r="K6310" s="98" t="s">
        <v>4508</v>
      </c>
      <c r="L6310" s="105" t="str">
        <f t="shared" si="1040"/>
        <v>Trimble</v>
      </c>
      <c r="M6310" s="105" t="str">
        <f t="shared" si="1041"/>
        <v>Derate</v>
      </c>
      <c r="N6310" s="105" t="str">
        <f t="shared" si="1042"/>
        <v>Coal</v>
      </c>
      <c r="O6310" s="105">
        <f>IFERROR(VLOOKUP(A6310,Lookup!$J$5:$P$19,7,FALSE),0)</f>
        <v>3</v>
      </c>
      <c r="P6310" s="159">
        <f t="shared" si="1043"/>
        <v>2017</v>
      </c>
      <c r="Q6310" s="159">
        <f t="shared" si="1044"/>
        <v>1</v>
      </c>
      <c r="R6310" s="160">
        <f t="shared" si="1045"/>
        <v>9.5000000000582077</v>
      </c>
      <c r="S6310" s="158">
        <f t="shared" si="1046"/>
        <v>4.1345911949938863</v>
      </c>
      <c r="T6310" s="161">
        <f t="shared" si="1047"/>
        <v>3088.539622660433</v>
      </c>
      <c r="U6310" s="158">
        <f t="shared" si="1049"/>
        <v>325.10943396226418</v>
      </c>
      <c r="V6310" s="160">
        <f t="shared" si="1048"/>
        <v>325</v>
      </c>
    </row>
    <row r="6311" spans="1:22" x14ac:dyDescent="0.25">
      <c r="A6311" s="98" t="s">
        <v>69</v>
      </c>
      <c r="B6311" s="98" t="s">
        <v>32</v>
      </c>
      <c r="C6311" s="98">
        <v>8</v>
      </c>
      <c r="D6311" s="98">
        <v>1190</v>
      </c>
      <c r="E6311" s="157">
        <v>42763.916666666664</v>
      </c>
      <c r="F6311" s="157">
        <v>42764.3125</v>
      </c>
      <c r="G6311" s="98">
        <v>449</v>
      </c>
      <c r="H6311" s="98">
        <v>795</v>
      </c>
      <c r="I6311" s="98">
        <v>747</v>
      </c>
      <c r="J6311" s="98" t="s">
        <v>2007</v>
      </c>
      <c r="K6311" s="98" t="s">
        <v>4508</v>
      </c>
      <c r="L6311" s="105" t="str">
        <f t="shared" si="1040"/>
        <v>Trimble</v>
      </c>
      <c r="M6311" s="105" t="str">
        <f t="shared" si="1041"/>
        <v>Derate</v>
      </c>
      <c r="N6311" s="105" t="str">
        <f t="shared" si="1042"/>
        <v>Coal</v>
      </c>
      <c r="O6311" s="105">
        <f>IFERROR(VLOOKUP(A6311,Lookup!$J$5:$P$19,7,FALSE),0)</f>
        <v>3</v>
      </c>
      <c r="P6311" s="159">
        <f t="shared" si="1043"/>
        <v>2017</v>
      </c>
      <c r="Q6311" s="159">
        <f t="shared" si="1044"/>
        <v>1</v>
      </c>
      <c r="R6311" s="160">
        <f t="shared" si="1045"/>
        <v>9.5000000000582077</v>
      </c>
      <c r="S6311" s="158">
        <f t="shared" si="1046"/>
        <v>4.1345911949938863</v>
      </c>
      <c r="T6311" s="161">
        <f t="shared" si="1047"/>
        <v>3088.539622660433</v>
      </c>
      <c r="U6311" s="158">
        <f t="shared" si="1049"/>
        <v>325.10943396226418</v>
      </c>
      <c r="V6311" s="160">
        <f t="shared" si="1048"/>
        <v>325</v>
      </c>
    </row>
    <row r="6312" spans="1:22" x14ac:dyDescent="0.25">
      <c r="A6312" s="98" t="s">
        <v>69</v>
      </c>
      <c r="B6312" s="98" t="s">
        <v>32</v>
      </c>
      <c r="C6312" s="98">
        <v>9</v>
      </c>
      <c r="D6312" s="98">
        <v>1190</v>
      </c>
      <c r="E6312" s="157">
        <v>42770.916666666664</v>
      </c>
      <c r="F6312" s="157">
        <v>42771.395833333336</v>
      </c>
      <c r="G6312" s="98">
        <v>449</v>
      </c>
      <c r="H6312" s="98">
        <v>795</v>
      </c>
      <c r="I6312" s="98">
        <v>747</v>
      </c>
      <c r="J6312" s="98" t="s">
        <v>2007</v>
      </c>
      <c r="K6312" s="98" t="s">
        <v>4527</v>
      </c>
      <c r="L6312" s="105" t="str">
        <f t="shared" si="1040"/>
        <v>Trimble</v>
      </c>
      <c r="M6312" s="105" t="str">
        <f t="shared" si="1041"/>
        <v>Derate</v>
      </c>
      <c r="N6312" s="105" t="str">
        <f t="shared" si="1042"/>
        <v>Coal</v>
      </c>
      <c r="O6312" s="105">
        <f>IFERROR(VLOOKUP(A6312,Lookup!$J$5:$P$19,7,FALSE),0)</f>
        <v>3</v>
      </c>
      <c r="P6312" s="159">
        <f t="shared" si="1043"/>
        <v>2017</v>
      </c>
      <c r="Q6312" s="159">
        <f t="shared" si="1044"/>
        <v>2</v>
      </c>
      <c r="R6312" s="160">
        <f t="shared" si="1045"/>
        <v>11.500000000116415</v>
      </c>
      <c r="S6312" s="158">
        <f t="shared" si="1046"/>
        <v>5.0050314465915466</v>
      </c>
      <c r="T6312" s="161">
        <f t="shared" si="1047"/>
        <v>3738.7584906038855</v>
      </c>
      <c r="U6312" s="158">
        <f t="shared" si="1049"/>
        <v>325.10943396226418</v>
      </c>
      <c r="V6312" s="160">
        <f t="shared" si="1048"/>
        <v>325</v>
      </c>
    </row>
    <row r="6313" spans="1:22" x14ac:dyDescent="0.25">
      <c r="A6313" s="98" t="s">
        <v>69</v>
      </c>
      <c r="B6313" s="98" t="s">
        <v>79</v>
      </c>
      <c r="C6313" s="98">
        <v>10</v>
      </c>
      <c r="D6313" s="98">
        <v>9999</v>
      </c>
      <c r="E6313" s="157">
        <v>42775.3125</v>
      </c>
      <c r="F6313" s="157">
        <v>42775.604166666664</v>
      </c>
      <c r="G6313" s="98">
        <v>0</v>
      </c>
      <c r="H6313" s="98">
        <v>795</v>
      </c>
      <c r="I6313" s="98">
        <v>747</v>
      </c>
      <c r="J6313" s="98" t="s">
        <v>2261</v>
      </c>
      <c r="K6313" s="98" t="s">
        <v>4536</v>
      </c>
      <c r="L6313" s="105" t="str">
        <f t="shared" si="1040"/>
        <v>Trimble</v>
      </c>
      <c r="M6313" s="105" t="str">
        <f t="shared" si="1041"/>
        <v>Other</v>
      </c>
      <c r="N6313" s="105" t="str">
        <f t="shared" si="1042"/>
        <v>Coal</v>
      </c>
      <c r="O6313" s="105">
        <f>IFERROR(VLOOKUP(A6313,Lookup!$J$5:$P$19,7,FALSE),0)</f>
        <v>3</v>
      </c>
      <c r="P6313" s="159">
        <f t="shared" si="1043"/>
        <v>2017</v>
      </c>
      <c r="Q6313" s="159">
        <f t="shared" si="1044"/>
        <v>2</v>
      </c>
      <c r="R6313" s="160">
        <f t="shared" si="1045"/>
        <v>6.9999999999417923</v>
      </c>
      <c r="S6313" s="158">
        <f t="shared" si="1046"/>
        <v>6.9999999999417923</v>
      </c>
      <c r="T6313" s="161">
        <f t="shared" si="1047"/>
        <v>5228.9999999565189</v>
      </c>
      <c r="U6313" s="158">
        <f t="shared" si="1049"/>
        <v>747</v>
      </c>
      <c r="V6313" s="160">
        <f t="shared" si="1048"/>
        <v>747</v>
      </c>
    </row>
    <row r="6314" spans="1:22" x14ac:dyDescent="0.25">
      <c r="A6314" s="98" t="s">
        <v>69</v>
      </c>
      <c r="B6314" s="98" t="s">
        <v>17</v>
      </c>
      <c r="C6314" s="98">
        <v>11</v>
      </c>
      <c r="D6314" s="98">
        <v>310</v>
      </c>
      <c r="E6314" s="157">
        <v>42778.479166666664</v>
      </c>
      <c r="F6314" s="157">
        <v>42778.541666666664</v>
      </c>
      <c r="G6314" s="98">
        <v>769</v>
      </c>
      <c r="H6314" s="98">
        <v>795</v>
      </c>
      <c r="I6314" s="98">
        <v>747</v>
      </c>
      <c r="J6314" s="98" t="s">
        <v>1966</v>
      </c>
      <c r="K6314" s="98" t="s">
        <v>4537</v>
      </c>
      <c r="L6314" s="105" t="str">
        <f t="shared" si="1040"/>
        <v>Trimble</v>
      </c>
      <c r="M6314" s="105" t="str">
        <f t="shared" si="1041"/>
        <v>Derate</v>
      </c>
      <c r="N6314" s="105" t="str">
        <f t="shared" si="1042"/>
        <v>Coal</v>
      </c>
      <c r="O6314" s="105">
        <f>IFERROR(VLOOKUP(A6314,Lookup!$J$5:$P$19,7,FALSE),0)</f>
        <v>3</v>
      </c>
      <c r="P6314" s="159">
        <f t="shared" si="1043"/>
        <v>2017</v>
      </c>
      <c r="Q6314" s="159">
        <f t="shared" si="1044"/>
        <v>2</v>
      </c>
      <c r="R6314" s="160">
        <f t="shared" si="1045"/>
        <v>1.5</v>
      </c>
      <c r="S6314" s="158">
        <f t="shared" si="1046"/>
        <v>4.9056603773584909E-2</v>
      </c>
      <c r="T6314" s="161">
        <f t="shared" si="1047"/>
        <v>36.645283018867929</v>
      </c>
      <c r="U6314" s="158">
        <f t="shared" si="1049"/>
        <v>24.430188679245283</v>
      </c>
      <c r="V6314" s="160">
        <f t="shared" si="1048"/>
        <v>24</v>
      </c>
    </row>
    <row r="6315" spans="1:22" x14ac:dyDescent="0.25">
      <c r="A6315" s="98" t="s">
        <v>69</v>
      </c>
      <c r="B6315" s="98" t="s">
        <v>17</v>
      </c>
      <c r="C6315" s="98">
        <v>12</v>
      </c>
      <c r="D6315" s="98">
        <v>890</v>
      </c>
      <c r="E6315" s="157">
        <v>42780.395833333336</v>
      </c>
      <c r="F6315" s="157">
        <v>42780.609722222223</v>
      </c>
      <c r="G6315" s="98">
        <v>449</v>
      </c>
      <c r="H6315" s="98">
        <v>795</v>
      </c>
      <c r="I6315" s="98">
        <v>747</v>
      </c>
      <c r="J6315" s="98" t="s">
        <v>2306</v>
      </c>
      <c r="K6315" s="98" t="s">
        <v>4538</v>
      </c>
      <c r="L6315" s="105" t="str">
        <f t="shared" si="1040"/>
        <v>Trimble</v>
      </c>
      <c r="M6315" s="105" t="str">
        <f t="shared" si="1041"/>
        <v>Derate</v>
      </c>
      <c r="N6315" s="105" t="str">
        <f t="shared" si="1042"/>
        <v>Coal</v>
      </c>
      <c r="O6315" s="105">
        <f>IFERROR(VLOOKUP(A6315,Lookup!$J$5:$P$19,7,FALSE),0)</f>
        <v>3</v>
      </c>
      <c r="P6315" s="159">
        <f t="shared" si="1043"/>
        <v>2017</v>
      </c>
      <c r="Q6315" s="159">
        <f t="shared" si="1044"/>
        <v>2</v>
      </c>
      <c r="R6315" s="160">
        <f t="shared" si="1045"/>
        <v>5.1333333333022892</v>
      </c>
      <c r="S6315" s="158">
        <f t="shared" si="1046"/>
        <v>2.2341299790221285</v>
      </c>
      <c r="T6315" s="161">
        <f t="shared" si="1047"/>
        <v>1668.8950943295299</v>
      </c>
      <c r="U6315" s="158">
        <f t="shared" si="1049"/>
        <v>325.10943396226418</v>
      </c>
      <c r="V6315" s="160">
        <f t="shared" si="1048"/>
        <v>325</v>
      </c>
    </row>
    <row r="6316" spans="1:22" x14ac:dyDescent="0.25">
      <c r="A6316" s="98" t="s">
        <v>69</v>
      </c>
      <c r="B6316" s="98" t="s">
        <v>15</v>
      </c>
      <c r="C6316" s="98">
        <v>13</v>
      </c>
      <c r="D6316" s="98">
        <v>890</v>
      </c>
      <c r="E6316" s="157">
        <v>42780.609722222223</v>
      </c>
      <c r="F6316" s="157">
        <v>42783.086805555555</v>
      </c>
      <c r="G6316" s="98">
        <v>0</v>
      </c>
      <c r="H6316" s="98">
        <v>795</v>
      </c>
      <c r="I6316" s="98">
        <v>747</v>
      </c>
      <c r="J6316" s="98" t="s">
        <v>2306</v>
      </c>
      <c r="K6316" s="98" t="s">
        <v>4539</v>
      </c>
      <c r="L6316" s="105" t="str">
        <f t="shared" si="1040"/>
        <v>Trimble</v>
      </c>
      <c r="M6316" s="105" t="str">
        <f t="shared" si="1041"/>
        <v>Outage</v>
      </c>
      <c r="N6316" s="105" t="str">
        <f t="shared" si="1042"/>
        <v>Coal</v>
      </c>
      <c r="O6316" s="105">
        <f>IFERROR(VLOOKUP(A6316,Lookup!$J$5:$P$19,7,FALSE),0)</f>
        <v>3</v>
      </c>
      <c r="P6316" s="159">
        <f t="shared" si="1043"/>
        <v>2017</v>
      </c>
      <c r="Q6316" s="159">
        <f t="shared" si="1044"/>
        <v>2</v>
      </c>
      <c r="R6316" s="160">
        <f t="shared" si="1045"/>
        <v>59.449999999953434</v>
      </c>
      <c r="S6316" s="158">
        <f t="shared" si="1046"/>
        <v>59.449999999953434</v>
      </c>
      <c r="T6316" s="161">
        <f t="shared" si="1047"/>
        <v>44409.149999965215</v>
      </c>
      <c r="U6316" s="158">
        <f t="shared" si="1049"/>
        <v>747</v>
      </c>
      <c r="V6316" s="160">
        <f t="shared" si="1048"/>
        <v>747</v>
      </c>
    </row>
    <row r="6317" spans="1:22" x14ac:dyDescent="0.25">
      <c r="A6317" s="98" t="s">
        <v>69</v>
      </c>
      <c r="B6317" s="98" t="s">
        <v>15</v>
      </c>
      <c r="C6317" s="98">
        <v>14</v>
      </c>
      <c r="D6317" s="98">
        <v>4605</v>
      </c>
      <c r="E6317" s="157">
        <v>42787.9375</v>
      </c>
      <c r="F6317" s="157">
        <v>42791.980555555558</v>
      </c>
      <c r="G6317" s="98">
        <v>0</v>
      </c>
      <c r="H6317" s="98">
        <v>795</v>
      </c>
      <c r="I6317" s="98">
        <v>747</v>
      </c>
      <c r="J6317" s="98" t="s">
        <v>2983</v>
      </c>
      <c r="K6317" s="98" t="s">
        <v>4540</v>
      </c>
      <c r="L6317" s="105" t="str">
        <f t="shared" si="1040"/>
        <v>Trimble</v>
      </c>
      <c r="M6317" s="105" t="str">
        <f t="shared" si="1041"/>
        <v>Outage</v>
      </c>
      <c r="N6317" s="105" t="str">
        <f t="shared" si="1042"/>
        <v>Coal</v>
      </c>
      <c r="O6317" s="105">
        <f>IFERROR(VLOOKUP(A6317,Lookup!$J$5:$P$19,7,FALSE),0)</f>
        <v>3</v>
      </c>
      <c r="P6317" s="159">
        <f t="shared" si="1043"/>
        <v>2017</v>
      </c>
      <c r="Q6317" s="159">
        <f t="shared" si="1044"/>
        <v>2</v>
      </c>
      <c r="R6317" s="160">
        <f t="shared" si="1045"/>
        <v>97.03333333338378</v>
      </c>
      <c r="S6317" s="158">
        <f t="shared" si="1046"/>
        <v>97.03333333338378</v>
      </c>
      <c r="T6317" s="161">
        <f t="shared" si="1047"/>
        <v>72483.900000037684</v>
      </c>
      <c r="U6317" s="158">
        <f t="shared" si="1049"/>
        <v>747</v>
      </c>
      <c r="V6317" s="160">
        <f t="shared" si="1048"/>
        <v>747</v>
      </c>
    </row>
    <row r="6318" spans="1:22" x14ac:dyDescent="0.25">
      <c r="A6318" s="98" t="s">
        <v>69</v>
      </c>
      <c r="B6318" s="98" t="s">
        <v>38</v>
      </c>
      <c r="C6318" s="98">
        <v>15</v>
      </c>
      <c r="D6318" s="98">
        <v>380</v>
      </c>
      <c r="E6318" s="157">
        <v>42791.980555555558</v>
      </c>
      <c r="F6318" s="157">
        <v>42828</v>
      </c>
      <c r="G6318" s="98">
        <v>0</v>
      </c>
      <c r="H6318" s="98">
        <v>795</v>
      </c>
      <c r="I6318" s="98">
        <v>747</v>
      </c>
      <c r="J6318" s="98" t="s">
        <v>2017</v>
      </c>
      <c r="K6318" s="98" t="s">
        <v>4541</v>
      </c>
      <c r="L6318" s="105" t="str">
        <f t="shared" si="1040"/>
        <v>Trimble</v>
      </c>
      <c r="M6318" s="105" t="str">
        <f t="shared" si="1041"/>
        <v>Other</v>
      </c>
      <c r="N6318" s="105" t="str">
        <f t="shared" si="1042"/>
        <v>Coal</v>
      </c>
      <c r="O6318" s="105">
        <f>IFERROR(VLOOKUP(A6318,Lookup!$J$5:$P$19,7,FALSE),0)</f>
        <v>3</v>
      </c>
      <c r="P6318" s="159">
        <f t="shared" si="1043"/>
        <v>2017</v>
      </c>
      <c r="Q6318" s="159">
        <f t="shared" si="1044"/>
        <v>2</v>
      </c>
      <c r="R6318" s="160">
        <f t="shared" si="1045"/>
        <v>864.46666666661622</v>
      </c>
      <c r="S6318" s="158">
        <f t="shared" si="1046"/>
        <v>864.46666666661633</v>
      </c>
      <c r="T6318" s="161">
        <f t="shared" si="1047"/>
        <v>645756.59999996237</v>
      </c>
      <c r="U6318" s="158">
        <f t="shared" si="1049"/>
        <v>747</v>
      </c>
      <c r="V6318" s="160">
        <f t="shared" si="1048"/>
        <v>747</v>
      </c>
    </row>
    <row r="6319" spans="1:22" x14ac:dyDescent="0.25">
      <c r="A6319" s="98" t="s">
        <v>69</v>
      </c>
      <c r="B6319" s="98" t="s">
        <v>121</v>
      </c>
      <c r="C6319" s="98">
        <v>16</v>
      </c>
      <c r="D6319" s="98">
        <v>380</v>
      </c>
      <c r="E6319" s="157">
        <v>42828</v>
      </c>
      <c r="F6319" s="157">
        <v>42834.990277777775</v>
      </c>
      <c r="G6319" s="98">
        <v>0</v>
      </c>
      <c r="H6319" s="98">
        <v>795</v>
      </c>
      <c r="I6319" s="98">
        <v>747</v>
      </c>
      <c r="J6319" s="98" t="s">
        <v>2017</v>
      </c>
      <c r="K6319" s="98" t="s">
        <v>4542</v>
      </c>
      <c r="L6319" s="105" t="str">
        <f t="shared" si="1040"/>
        <v>Trimble</v>
      </c>
      <c r="M6319" s="105" t="str">
        <f t="shared" si="1041"/>
        <v>Other</v>
      </c>
      <c r="N6319" s="105" t="str">
        <f t="shared" si="1042"/>
        <v>Coal</v>
      </c>
      <c r="O6319" s="105">
        <f>IFERROR(VLOOKUP(A6319,Lookup!$J$5:$P$19,7,FALSE),0)</f>
        <v>3</v>
      </c>
      <c r="P6319" s="159">
        <f t="shared" si="1043"/>
        <v>2017</v>
      </c>
      <c r="Q6319" s="159">
        <f t="shared" si="1044"/>
        <v>4</v>
      </c>
      <c r="R6319" s="160">
        <f t="shared" si="1045"/>
        <v>167.76666666660458</v>
      </c>
      <c r="S6319" s="158">
        <f t="shared" si="1046"/>
        <v>167.76666666660458</v>
      </c>
      <c r="T6319" s="161">
        <f t="shared" si="1047"/>
        <v>125321.69999995362</v>
      </c>
      <c r="U6319" s="158">
        <f t="shared" si="1049"/>
        <v>747</v>
      </c>
      <c r="V6319" s="160">
        <f t="shared" si="1048"/>
        <v>747</v>
      </c>
    </row>
    <row r="6320" spans="1:22" x14ac:dyDescent="0.25">
      <c r="A6320" s="98" t="s">
        <v>69</v>
      </c>
      <c r="B6320" s="98" t="s">
        <v>17</v>
      </c>
      <c r="C6320" s="98">
        <v>17</v>
      </c>
      <c r="D6320" s="98">
        <v>8750</v>
      </c>
      <c r="E6320" s="157">
        <v>42836.182638888888</v>
      </c>
      <c r="F6320" s="157">
        <v>42836.520833333336</v>
      </c>
      <c r="G6320" s="98">
        <v>685</v>
      </c>
      <c r="H6320" s="98">
        <v>795</v>
      </c>
      <c r="I6320" s="98">
        <v>747</v>
      </c>
      <c r="J6320" s="98" t="s">
        <v>4543</v>
      </c>
      <c r="K6320" s="98" t="s">
        <v>4544</v>
      </c>
      <c r="L6320" s="105" t="str">
        <f t="shared" si="1040"/>
        <v>Trimble</v>
      </c>
      <c r="M6320" s="105" t="str">
        <f t="shared" si="1041"/>
        <v>Derate</v>
      </c>
      <c r="N6320" s="105" t="str">
        <f t="shared" si="1042"/>
        <v>Coal</v>
      </c>
      <c r="O6320" s="105">
        <f>IFERROR(VLOOKUP(A6320,Lookup!$J$5:$P$19,7,FALSE),0)</f>
        <v>3</v>
      </c>
      <c r="P6320" s="159">
        <f t="shared" si="1043"/>
        <v>2017</v>
      </c>
      <c r="Q6320" s="159">
        <f t="shared" si="1044"/>
        <v>4</v>
      </c>
      <c r="R6320" s="160">
        <f t="shared" si="1045"/>
        <v>8.1166666667559184</v>
      </c>
      <c r="S6320" s="158">
        <f t="shared" si="1046"/>
        <v>1.1230607966580517</v>
      </c>
      <c r="T6320" s="161">
        <f t="shared" si="1047"/>
        <v>838.92641510356464</v>
      </c>
      <c r="U6320" s="158">
        <f t="shared" si="1049"/>
        <v>103.35849056603773</v>
      </c>
      <c r="V6320" s="160">
        <f t="shared" si="1048"/>
        <v>103</v>
      </c>
    </row>
    <row r="6321" spans="1:22" x14ac:dyDescent="0.25">
      <c r="A6321" s="98" t="s">
        <v>69</v>
      </c>
      <c r="B6321" s="98" t="s">
        <v>79</v>
      </c>
      <c r="C6321" s="98">
        <v>18</v>
      </c>
      <c r="D6321" s="98">
        <v>8812</v>
      </c>
      <c r="E6321" s="157">
        <v>42843.291666666664</v>
      </c>
      <c r="F6321" s="157">
        <v>42843.791666666664</v>
      </c>
      <c r="G6321" s="98">
        <v>0</v>
      </c>
      <c r="H6321" s="98">
        <v>795</v>
      </c>
      <c r="I6321" s="98">
        <v>747</v>
      </c>
      <c r="J6321" s="98" t="s">
        <v>2232</v>
      </c>
      <c r="K6321" s="98" t="s">
        <v>4545</v>
      </c>
      <c r="L6321" s="105" t="str">
        <f t="shared" si="1040"/>
        <v>Trimble</v>
      </c>
      <c r="M6321" s="105" t="str">
        <f t="shared" si="1041"/>
        <v>Other</v>
      </c>
      <c r="N6321" s="105" t="str">
        <f t="shared" si="1042"/>
        <v>Coal</v>
      </c>
      <c r="O6321" s="105">
        <f>IFERROR(VLOOKUP(A6321,Lookup!$J$5:$P$19,7,FALSE),0)</f>
        <v>3</v>
      </c>
      <c r="P6321" s="159">
        <f t="shared" si="1043"/>
        <v>2017</v>
      </c>
      <c r="Q6321" s="159">
        <f t="shared" si="1044"/>
        <v>4</v>
      </c>
      <c r="R6321" s="160">
        <f t="shared" si="1045"/>
        <v>12</v>
      </c>
      <c r="S6321" s="158">
        <f t="shared" si="1046"/>
        <v>12</v>
      </c>
      <c r="T6321" s="161">
        <f t="shared" si="1047"/>
        <v>8964</v>
      </c>
      <c r="U6321" s="158">
        <f t="shared" si="1049"/>
        <v>747</v>
      </c>
      <c r="V6321" s="160">
        <f t="shared" si="1048"/>
        <v>747</v>
      </c>
    </row>
    <row r="6322" spans="1:22" x14ac:dyDescent="0.25">
      <c r="A6322" s="98" t="s">
        <v>69</v>
      </c>
      <c r="B6322" s="98" t="s">
        <v>17</v>
      </c>
      <c r="C6322" s="98">
        <v>19</v>
      </c>
      <c r="D6322" s="98">
        <v>1190</v>
      </c>
      <c r="E6322" s="157">
        <v>42844.8125</v>
      </c>
      <c r="F6322" s="157">
        <v>42845.166666666664</v>
      </c>
      <c r="G6322" s="98">
        <v>448</v>
      </c>
      <c r="H6322" s="98">
        <v>795</v>
      </c>
      <c r="I6322" s="98">
        <v>747</v>
      </c>
      <c r="J6322" s="98" t="s">
        <v>2007</v>
      </c>
      <c r="K6322" s="98" t="s">
        <v>4546</v>
      </c>
      <c r="L6322" s="105" t="str">
        <f t="shared" si="1040"/>
        <v>Trimble</v>
      </c>
      <c r="M6322" s="105" t="str">
        <f t="shared" si="1041"/>
        <v>Derate</v>
      </c>
      <c r="N6322" s="105" t="str">
        <f t="shared" si="1042"/>
        <v>Coal</v>
      </c>
      <c r="O6322" s="105">
        <f>IFERROR(VLOOKUP(A6322,Lookup!$J$5:$P$19,7,FALSE),0)</f>
        <v>3</v>
      </c>
      <c r="P6322" s="159">
        <f t="shared" si="1043"/>
        <v>2017</v>
      </c>
      <c r="Q6322" s="159">
        <f t="shared" si="1044"/>
        <v>4</v>
      </c>
      <c r="R6322" s="160">
        <f t="shared" si="1045"/>
        <v>8.4999999999417923</v>
      </c>
      <c r="S6322" s="158">
        <f t="shared" si="1046"/>
        <v>3.7100628930563548</v>
      </c>
      <c r="T6322" s="161">
        <f t="shared" si="1047"/>
        <v>2771.4169811130969</v>
      </c>
      <c r="U6322" s="158">
        <f t="shared" si="1049"/>
        <v>326.04905660377358</v>
      </c>
      <c r="V6322" s="160">
        <f t="shared" si="1048"/>
        <v>326</v>
      </c>
    </row>
    <row r="6323" spans="1:22" x14ac:dyDescent="0.25">
      <c r="A6323" s="98" t="s">
        <v>69</v>
      </c>
      <c r="B6323" s="98" t="s">
        <v>32</v>
      </c>
      <c r="C6323" s="98">
        <v>20</v>
      </c>
      <c r="D6323" s="98">
        <v>1190</v>
      </c>
      <c r="E6323" s="157">
        <v>42847.958333333336</v>
      </c>
      <c r="F6323" s="157">
        <v>42848.375</v>
      </c>
      <c r="G6323" s="98">
        <v>448</v>
      </c>
      <c r="H6323" s="98">
        <v>795</v>
      </c>
      <c r="I6323" s="98">
        <v>747</v>
      </c>
      <c r="J6323" s="98" t="s">
        <v>2007</v>
      </c>
      <c r="K6323" s="98" t="s">
        <v>4527</v>
      </c>
      <c r="L6323" s="105" t="str">
        <f t="shared" si="1040"/>
        <v>Trimble</v>
      </c>
      <c r="M6323" s="105" t="str">
        <f t="shared" si="1041"/>
        <v>Derate</v>
      </c>
      <c r="N6323" s="105" t="str">
        <f t="shared" si="1042"/>
        <v>Coal</v>
      </c>
      <c r="O6323" s="105">
        <f>IFERROR(VLOOKUP(A6323,Lookup!$J$5:$P$19,7,FALSE),0)</f>
        <v>3</v>
      </c>
      <c r="P6323" s="159">
        <f t="shared" si="1043"/>
        <v>2017</v>
      </c>
      <c r="Q6323" s="159">
        <f t="shared" si="1044"/>
        <v>4</v>
      </c>
      <c r="R6323" s="160">
        <f t="shared" si="1045"/>
        <v>9.9999999999417923</v>
      </c>
      <c r="S6323" s="158">
        <f t="shared" si="1046"/>
        <v>4.3647798741884305</v>
      </c>
      <c r="T6323" s="161">
        <f t="shared" si="1047"/>
        <v>3260.4905660187574</v>
      </c>
      <c r="U6323" s="158">
        <f t="shared" si="1049"/>
        <v>326.04905660377358</v>
      </c>
      <c r="V6323" s="160">
        <f t="shared" si="1048"/>
        <v>326</v>
      </c>
    </row>
    <row r="6324" spans="1:22" x14ac:dyDescent="0.25">
      <c r="A6324" s="98" t="s">
        <v>69</v>
      </c>
      <c r="B6324" s="98" t="s">
        <v>15</v>
      </c>
      <c r="C6324" s="98">
        <v>21</v>
      </c>
      <c r="D6324" s="98">
        <v>1090</v>
      </c>
      <c r="E6324" s="157">
        <v>42851.770833333336</v>
      </c>
      <c r="F6324" s="157">
        <v>42858.709027777775</v>
      </c>
      <c r="G6324" s="98">
        <v>0</v>
      </c>
      <c r="H6324" s="98">
        <v>795</v>
      </c>
      <c r="I6324" s="98">
        <v>747</v>
      </c>
      <c r="J6324" s="98" t="s">
        <v>2096</v>
      </c>
      <c r="K6324" s="98" t="s">
        <v>4547</v>
      </c>
      <c r="L6324" s="105" t="str">
        <f t="shared" si="1040"/>
        <v>Trimble</v>
      </c>
      <c r="M6324" s="105" t="str">
        <f t="shared" si="1041"/>
        <v>Outage</v>
      </c>
      <c r="N6324" s="105" t="str">
        <f t="shared" si="1042"/>
        <v>Coal</v>
      </c>
      <c r="O6324" s="105">
        <f>IFERROR(VLOOKUP(A6324,Lookup!$J$5:$P$19,7,FALSE),0)</f>
        <v>3</v>
      </c>
      <c r="P6324" s="159">
        <f t="shared" si="1043"/>
        <v>2017</v>
      </c>
      <c r="Q6324" s="159">
        <f t="shared" si="1044"/>
        <v>4</v>
      </c>
      <c r="R6324" s="160">
        <f t="shared" si="1045"/>
        <v>166.51666666654637</v>
      </c>
      <c r="S6324" s="158">
        <f t="shared" si="1046"/>
        <v>166.51666666654637</v>
      </c>
      <c r="T6324" s="161">
        <f t="shared" si="1047"/>
        <v>124387.94999991014</v>
      </c>
      <c r="U6324" s="158">
        <f t="shared" si="1049"/>
        <v>747</v>
      </c>
      <c r="V6324" s="160">
        <f t="shared" si="1048"/>
        <v>747</v>
      </c>
    </row>
    <row r="6325" spans="1:22" x14ac:dyDescent="0.25">
      <c r="A6325" s="98" t="s">
        <v>69</v>
      </c>
      <c r="B6325" s="98" t="s">
        <v>17</v>
      </c>
      <c r="C6325" s="98">
        <v>22</v>
      </c>
      <c r="D6325" s="98">
        <v>3344</v>
      </c>
      <c r="E6325" s="157">
        <v>42859.229166666664</v>
      </c>
      <c r="F6325" s="157">
        <v>42859.3125</v>
      </c>
      <c r="G6325" s="98">
        <v>708</v>
      </c>
      <c r="H6325" s="98">
        <v>795</v>
      </c>
      <c r="I6325" s="98">
        <v>747</v>
      </c>
      <c r="J6325" s="98" t="s">
        <v>2165</v>
      </c>
      <c r="K6325" s="98" t="s">
        <v>4548</v>
      </c>
      <c r="L6325" s="105" t="str">
        <f t="shared" si="1040"/>
        <v>Trimble</v>
      </c>
      <c r="M6325" s="105" t="str">
        <f t="shared" si="1041"/>
        <v>Derate</v>
      </c>
      <c r="N6325" s="105" t="str">
        <f t="shared" si="1042"/>
        <v>Coal</v>
      </c>
      <c r="O6325" s="105">
        <f>IFERROR(VLOOKUP(A6325,Lookup!$J$5:$P$19,7,FALSE),0)</f>
        <v>3</v>
      </c>
      <c r="P6325" s="159">
        <f t="shared" si="1043"/>
        <v>2017</v>
      </c>
      <c r="Q6325" s="159">
        <f t="shared" si="1044"/>
        <v>5</v>
      </c>
      <c r="R6325" s="160">
        <f t="shared" si="1045"/>
        <v>2.0000000000582077</v>
      </c>
      <c r="S6325" s="158">
        <f t="shared" si="1046"/>
        <v>0.21886792453467177</v>
      </c>
      <c r="T6325" s="161">
        <f t="shared" si="1047"/>
        <v>163.49433962739982</v>
      </c>
      <c r="U6325" s="158">
        <f t="shared" si="1049"/>
        <v>81.747169811320759</v>
      </c>
      <c r="V6325" s="160">
        <f t="shared" si="1048"/>
        <v>82</v>
      </c>
    </row>
    <row r="6326" spans="1:22" x14ac:dyDescent="0.25">
      <c r="A6326" s="98" t="s">
        <v>69</v>
      </c>
      <c r="B6326" s="98" t="s">
        <v>32</v>
      </c>
      <c r="C6326" s="98">
        <v>23</v>
      </c>
      <c r="D6326" s="98">
        <v>3339</v>
      </c>
      <c r="E6326" s="157">
        <v>42864</v>
      </c>
      <c r="F6326" s="157">
        <v>42864.166666666664</v>
      </c>
      <c r="G6326" s="98">
        <v>748</v>
      </c>
      <c r="H6326" s="98">
        <v>795</v>
      </c>
      <c r="I6326" s="98">
        <v>747</v>
      </c>
      <c r="J6326" s="98" t="s">
        <v>4549</v>
      </c>
      <c r="K6326" s="98" t="s">
        <v>4550</v>
      </c>
      <c r="L6326" s="105" t="str">
        <f t="shared" si="1040"/>
        <v>Trimble</v>
      </c>
      <c r="M6326" s="105" t="str">
        <f t="shared" si="1041"/>
        <v>Derate</v>
      </c>
      <c r="N6326" s="105" t="str">
        <f t="shared" si="1042"/>
        <v>Coal</v>
      </c>
      <c r="O6326" s="105">
        <f>IFERROR(VLOOKUP(A6326,Lookup!$J$5:$P$19,7,FALSE),0)</f>
        <v>3</v>
      </c>
      <c r="P6326" s="159">
        <f t="shared" si="1043"/>
        <v>2017</v>
      </c>
      <c r="Q6326" s="159">
        <f t="shared" si="1044"/>
        <v>5</v>
      </c>
      <c r="R6326" s="160">
        <f t="shared" si="1045"/>
        <v>3.9999999999417923</v>
      </c>
      <c r="S6326" s="158">
        <f t="shared" si="1046"/>
        <v>0.23647798741794243</v>
      </c>
      <c r="T6326" s="161">
        <f t="shared" si="1047"/>
        <v>176.649056601203</v>
      </c>
      <c r="U6326" s="158">
        <f t="shared" si="1049"/>
        <v>44.162264150943393</v>
      </c>
      <c r="V6326" s="160">
        <f t="shared" si="1048"/>
        <v>44</v>
      </c>
    </row>
    <row r="6327" spans="1:22" x14ac:dyDescent="0.25">
      <c r="A6327" s="98" t="s">
        <v>69</v>
      </c>
      <c r="B6327" s="98" t="s">
        <v>17</v>
      </c>
      <c r="C6327" s="98">
        <v>24</v>
      </c>
      <c r="D6327" s="98">
        <v>3339</v>
      </c>
      <c r="E6327" s="157">
        <v>42864.888888888891</v>
      </c>
      <c r="F6327" s="157">
        <v>42864.958333333336</v>
      </c>
      <c r="G6327" s="98">
        <v>743</v>
      </c>
      <c r="H6327" s="98">
        <v>795</v>
      </c>
      <c r="I6327" s="98">
        <v>747</v>
      </c>
      <c r="J6327" s="98" t="s">
        <v>4549</v>
      </c>
      <c r="K6327" s="98" t="s">
        <v>4551</v>
      </c>
      <c r="L6327" s="105" t="str">
        <f t="shared" si="1040"/>
        <v>Trimble</v>
      </c>
      <c r="M6327" s="105" t="str">
        <f t="shared" si="1041"/>
        <v>Derate</v>
      </c>
      <c r="N6327" s="105" t="str">
        <f t="shared" si="1042"/>
        <v>Coal</v>
      </c>
      <c r="O6327" s="105">
        <f>IFERROR(VLOOKUP(A6327,Lookup!$J$5:$P$19,7,FALSE),0)</f>
        <v>3</v>
      </c>
      <c r="P6327" s="159">
        <f t="shared" si="1043"/>
        <v>2017</v>
      </c>
      <c r="Q6327" s="159">
        <f t="shared" si="1044"/>
        <v>5</v>
      </c>
      <c r="R6327" s="160">
        <f t="shared" si="1045"/>
        <v>1.6666666666860692</v>
      </c>
      <c r="S6327" s="158">
        <f t="shared" si="1046"/>
        <v>0.10901467505368</v>
      </c>
      <c r="T6327" s="161">
        <f t="shared" si="1047"/>
        <v>81.433962265098955</v>
      </c>
      <c r="U6327" s="158">
        <f t="shared" si="1049"/>
        <v>48.860377358490567</v>
      </c>
      <c r="V6327" s="160">
        <f t="shared" si="1048"/>
        <v>49</v>
      </c>
    </row>
    <row r="6328" spans="1:22" x14ac:dyDescent="0.25">
      <c r="A6328" s="98" t="s">
        <v>69</v>
      </c>
      <c r="B6328" s="98" t="s">
        <v>17</v>
      </c>
      <c r="C6328" s="98">
        <v>25</v>
      </c>
      <c r="D6328" s="98">
        <v>3339</v>
      </c>
      <c r="E6328" s="157">
        <v>42864.958333333336</v>
      </c>
      <c r="F6328" s="157">
        <v>42865.291666666664</v>
      </c>
      <c r="G6328" s="98">
        <v>758</v>
      </c>
      <c r="H6328" s="98">
        <v>795</v>
      </c>
      <c r="I6328" s="98">
        <v>747</v>
      </c>
      <c r="J6328" s="98" t="s">
        <v>4549</v>
      </c>
      <c r="K6328" s="98" t="s">
        <v>4551</v>
      </c>
      <c r="L6328" s="105" t="str">
        <f t="shared" si="1040"/>
        <v>Trimble</v>
      </c>
      <c r="M6328" s="105" t="str">
        <f t="shared" si="1041"/>
        <v>Derate</v>
      </c>
      <c r="N6328" s="105" t="str">
        <f t="shared" si="1042"/>
        <v>Coal</v>
      </c>
      <c r="O6328" s="105">
        <f>IFERROR(VLOOKUP(A6328,Lookup!$J$5:$P$19,7,FALSE),0)</f>
        <v>3</v>
      </c>
      <c r="P6328" s="159">
        <f t="shared" si="1043"/>
        <v>2017</v>
      </c>
      <c r="Q6328" s="159">
        <f t="shared" si="1044"/>
        <v>5</v>
      </c>
      <c r="R6328" s="160">
        <f t="shared" si="1045"/>
        <v>7.9999999998835847</v>
      </c>
      <c r="S6328" s="158">
        <f t="shared" si="1046"/>
        <v>0.37232704401973915</v>
      </c>
      <c r="T6328" s="161">
        <f t="shared" si="1047"/>
        <v>278.12830188274512</v>
      </c>
      <c r="U6328" s="158">
        <f t="shared" si="1049"/>
        <v>34.766037735849054</v>
      </c>
      <c r="V6328" s="160">
        <f t="shared" si="1048"/>
        <v>35</v>
      </c>
    </row>
    <row r="6329" spans="1:22" x14ac:dyDescent="0.25">
      <c r="A6329" s="98" t="s">
        <v>69</v>
      </c>
      <c r="B6329" s="98" t="s">
        <v>17</v>
      </c>
      <c r="C6329" s="98">
        <v>26</v>
      </c>
      <c r="D6329" s="98">
        <v>3339</v>
      </c>
      <c r="E6329" s="162">
        <v>42865.291666666664</v>
      </c>
      <c r="F6329" s="157">
        <v>42866.583333333336</v>
      </c>
      <c r="G6329" s="98">
        <v>748</v>
      </c>
      <c r="H6329" s="98">
        <v>795</v>
      </c>
      <c r="I6329" s="98">
        <v>747</v>
      </c>
      <c r="J6329" s="98" t="s">
        <v>4549</v>
      </c>
      <c r="K6329" s="98" t="s">
        <v>4551</v>
      </c>
      <c r="L6329" s="105" t="str">
        <f t="shared" si="1040"/>
        <v>Trimble</v>
      </c>
      <c r="M6329" s="105" t="str">
        <f t="shared" si="1041"/>
        <v>Derate</v>
      </c>
      <c r="N6329" s="105" t="str">
        <f t="shared" si="1042"/>
        <v>Coal</v>
      </c>
      <c r="O6329" s="105">
        <f>IFERROR(VLOOKUP(A6329,Lookup!$J$5:$P$19,7,FALSE),0)</f>
        <v>3</v>
      </c>
      <c r="P6329" s="159">
        <f t="shared" si="1043"/>
        <v>2017</v>
      </c>
      <c r="Q6329" s="159">
        <f t="shared" si="1044"/>
        <v>5</v>
      </c>
      <c r="R6329" s="160">
        <f t="shared" si="1045"/>
        <v>31.000000000116415</v>
      </c>
      <c r="S6329" s="158">
        <f t="shared" si="1046"/>
        <v>1.8327044025226056</v>
      </c>
      <c r="T6329" s="161">
        <f t="shared" si="1047"/>
        <v>1369.0301886843863</v>
      </c>
      <c r="U6329" s="158">
        <f t="shared" si="1049"/>
        <v>44.162264150943393</v>
      </c>
      <c r="V6329" s="160">
        <f t="shared" si="1048"/>
        <v>44</v>
      </c>
    </row>
    <row r="6330" spans="1:22" x14ac:dyDescent="0.25">
      <c r="A6330" s="98" t="s">
        <v>69</v>
      </c>
      <c r="B6330" s="98" t="s">
        <v>32</v>
      </c>
      <c r="C6330" s="98">
        <v>27</v>
      </c>
      <c r="D6330" s="98">
        <v>1190</v>
      </c>
      <c r="E6330" s="157">
        <v>42876</v>
      </c>
      <c r="F6330" s="157">
        <v>42876.416666666664</v>
      </c>
      <c r="G6330" s="98">
        <v>448</v>
      </c>
      <c r="H6330" s="98">
        <v>795</v>
      </c>
      <c r="I6330" s="98">
        <v>747</v>
      </c>
      <c r="J6330" s="98" t="s">
        <v>2007</v>
      </c>
      <c r="K6330" s="98" t="s">
        <v>4527</v>
      </c>
      <c r="L6330" s="105" t="str">
        <f t="shared" si="1040"/>
        <v>Trimble</v>
      </c>
      <c r="M6330" s="105" t="str">
        <f t="shared" si="1041"/>
        <v>Derate</v>
      </c>
      <c r="N6330" s="105" t="str">
        <f t="shared" si="1042"/>
        <v>Coal</v>
      </c>
      <c r="O6330" s="105">
        <f>IFERROR(VLOOKUP(A6330,Lookup!$J$5:$P$19,7,FALSE),0)</f>
        <v>3</v>
      </c>
      <c r="P6330" s="159">
        <f t="shared" si="1043"/>
        <v>2017</v>
      </c>
      <c r="Q6330" s="159">
        <f t="shared" si="1044"/>
        <v>5</v>
      </c>
      <c r="R6330" s="160">
        <f t="shared" si="1045"/>
        <v>9.9999999999417923</v>
      </c>
      <c r="S6330" s="158">
        <f t="shared" si="1046"/>
        <v>4.3647798741884305</v>
      </c>
      <c r="T6330" s="161">
        <f t="shared" si="1047"/>
        <v>3260.4905660187574</v>
      </c>
      <c r="U6330" s="158">
        <f t="shared" si="1049"/>
        <v>326.04905660377358</v>
      </c>
      <c r="V6330" s="160">
        <f t="shared" si="1048"/>
        <v>326</v>
      </c>
    </row>
    <row r="6331" spans="1:22" x14ac:dyDescent="0.25">
      <c r="A6331" s="98" t="s">
        <v>69</v>
      </c>
      <c r="B6331" s="98" t="s">
        <v>17</v>
      </c>
      <c r="C6331" s="98">
        <v>28</v>
      </c>
      <c r="D6331" s="98">
        <v>1455</v>
      </c>
      <c r="E6331" s="157">
        <v>42877.90625</v>
      </c>
      <c r="F6331" s="157">
        <v>42878.375</v>
      </c>
      <c r="G6331" s="98">
        <v>755</v>
      </c>
      <c r="H6331" s="98">
        <v>795</v>
      </c>
      <c r="I6331" s="98">
        <v>747</v>
      </c>
      <c r="J6331" s="98" t="s">
        <v>1990</v>
      </c>
      <c r="K6331" s="98" t="s">
        <v>4552</v>
      </c>
      <c r="L6331" s="105" t="str">
        <f t="shared" si="1040"/>
        <v>Trimble</v>
      </c>
      <c r="M6331" s="105" t="str">
        <f t="shared" si="1041"/>
        <v>Derate</v>
      </c>
      <c r="N6331" s="105" t="str">
        <f t="shared" si="1042"/>
        <v>Coal</v>
      </c>
      <c r="O6331" s="105">
        <f>IFERROR(VLOOKUP(A6331,Lookup!$J$5:$P$19,7,FALSE),0)</f>
        <v>3</v>
      </c>
      <c r="P6331" s="159">
        <f t="shared" si="1043"/>
        <v>2017</v>
      </c>
      <c r="Q6331" s="159">
        <f t="shared" si="1044"/>
        <v>5</v>
      </c>
      <c r="R6331" s="160">
        <f t="shared" si="1045"/>
        <v>11.25</v>
      </c>
      <c r="S6331" s="158">
        <f t="shared" si="1046"/>
        <v>0.56603773584905659</v>
      </c>
      <c r="T6331" s="161">
        <f t="shared" si="1047"/>
        <v>422.83018867924528</v>
      </c>
      <c r="U6331" s="158">
        <f t="shared" si="1049"/>
        <v>37.584905660377359</v>
      </c>
      <c r="V6331" s="160">
        <f t="shared" si="1048"/>
        <v>38</v>
      </c>
    </row>
    <row r="6332" spans="1:22" x14ac:dyDescent="0.25">
      <c r="A6332" s="98" t="s">
        <v>69</v>
      </c>
      <c r="B6332" s="98" t="s">
        <v>32</v>
      </c>
      <c r="C6332" s="98">
        <v>29</v>
      </c>
      <c r="D6332" s="98">
        <v>1190</v>
      </c>
      <c r="E6332" s="157">
        <v>42883</v>
      </c>
      <c r="F6332" s="157">
        <v>42883.416666666664</v>
      </c>
      <c r="G6332" s="98">
        <v>448</v>
      </c>
      <c r="H6332" s="98">
        <v>795</v>
      </c>
      <c r="I6332" s="98">
        <v>747</v>
      </c>
      <c r="J6332" s="98" t="s">
        <v>2007</v>
      </c>
      <c r="K6332" s="98" t="s">
        <v>4527</v>
      </c>
      <c r="L6332" s="105" t="str">
        <f t="shared" si="1040"/>
        <v>Trimble</v>
      </c>
      <c r="M6332" s="105" t="str">
        <f t="shared" si="1041"/>
        <v>Derate</v>
      </c>
      <c r="N6332" s="105" t="str">
        <f t="shared" si="1042"/>
        <v>Coal</v>
      </c>
      <c r="O6332" s="105">
        <f>IFERROR(VLOOKUP(A6332,Lookup!$J$5:$P$19,7,FALSE),0)</f>
        <v>3</v>
      </c>
      <c r="P6332" s="159">
        <f t="shared" si="1043"/>
        <v>2017</v>
      </c>
      <c r="Q6332" s="159">
        <f t="shared" si="1044"/>
        <v>5</v>
      </c>
      <c r="R6332" s="160">
        <f t="shared" si="1045"/>
        <v>9.9999999999417923</v>
      </c>
      <c r="S6332" s="158">
        <f t="shared" si="1046"/>
        <v>4.3647798741884305</v>
      </c>
      <c r="T6332" s="161">
        <f t="shared" si="1047"/>
        <v>3260.4905660187574</v>
      </c>
      <c r="U6332" s="158">
        <f t="shared" si="1049"/>
        <v>326.04905660377358</v>
      </c>
      <c r="V6332" s="160">
        <f t="shared" si="1048"/>
        <v>326</v>
      </c>
    </row>
    <row r="6333" spans="1:22" x14ac:dyDescent="0.25">
      <c r="A6333" s="98" t="s">
        <v>69</v>
      </c>
      <c r="B6333" s="98" t="s">
        <v>15</v>
      </c>
      <c r="C6333" s="98">
        <v>30</v>
      </c>
      <c r="D6333" s="98">
        <v>3410</v>
      </c>
      <c r="E6333" s="157">
        <v>42886.57708333333</v>
      </c>
      <c r="F6333" s="157">
        <v>42890.104861111111</v>
      </c>
      <c r="G6333" s="98">
        <v>0</v>
      </c>
      <c r="H6333" s="98">
        <v>795</v>
      </c>
      <c r="I6333" s="98">
        <v>747</v>
      </c>
      <c r="J6333" s="98" t="s">
        <v>1983</v>
      </c>
      <c r="K6333" s="98" t="s">
        <v>4553</v>
      </c>
      <c r="L6333" s="105" t="str">
        <f t="shared" si="1040"/>
        <v>Trimble</v>
      </c>
      <c r="M6333" s="105" t="str">
        <f t="shared" si="1041"/>
        <v>Outage</v>
      </c>
      <c r="N6333" s="105" t="str">
        <f t="shared" si="1042"/>
        <v>Coal</v>
      </c>
      <c r="O6333" s="105">
        <f>IFERROR(VLOOKUP(A6333,Lookup!$J$5:$P$19,7,FALSE),0)</f>
        <v>3</v>
      </c>
      <c r="P6333" s="159">
        <f t="shared" si="1043"/>
        <v>2017</v>
      </c>
      <c r="Q6333" s="159">
        <f t="shared" si="1044"/>
        <v>5</v>
      </c>
      <c r="R6333" s="160">
        <f t="shared" si="1045"/>
        <v>84.666666666744277</v>
      </c>
      <c r="S6333" s="158">
        <f t="shared" si="1046"/>
        <v>84.666666666744277</v>
      </c>
      <c r="T6333" s="161">
        <f t="shared" si="1047"/>
        <v>63246.000000057975</v>
      </c>
      <c r="U6333" s="158">
        <f t="shared" si="1049"/>
        <v>747</v>
      </c>
      <c r="V6333" s="160">
        <f t="shared" si="1048"/>
        <v>747</v>
      </c>
    </row>
    <row r="6334" spans="1:22" x14ac:dyDescent="0.25">
      <c r="A6334" s="98" t="s">
        <v>69</v>
      </c>
      <c r="B6334" s="98" t="s">
        <v>15</v>
      </c>
      <c r="C6334" s="98">
        <v>31</v>
      </c>
      <c r="D6334" s="98">
        <v>3410</v>
      </c>
      <c r="E6334" s="162">
        <v>42890.656944444447</v>
      </c>
      <c r="F6334" s="157">
        <v>42894.637499999997</v>
      </c>
      <c r="G6334" s="98">
        <v>0</v>
      </c>
      <c r="H6334" s="98">
        <v>795</v>
      </c>
      <c r="I6334" s="98">
        <v>747</v>
      </c>
      <c r="J6334" s="98" t="s">
        <v>1983</v>
      </c>
      <c r="K6334" s="98" t="s">
        <v>4554</v>
      </c>
      <c r="L6334" s="105" t="str">
        <f t="shared" si="1040"/>
        <v>Trimble</v>
      </c>
      <c r="M6334" s="105" t="str">
        <f t="shared" si="1041"/>
        <v>Outage</v>
      </c>
      <c r="N6334" s="105" t="str">
        <f t="shared" si="1042"/>
        <v>Coal</v>
      </c>
      <c r="O6334" s="105">
        <f>IFERROR(VLOOKUP(A6334,Lookup!$J$5:$P$19,7,FALSE),0)</f>
        <v>3</v>
      </c>
      <c r="P6334" s="159">
        <f t="shared" si="1043"/>
        <v>2017</v>
      </c>
      <c r="Q6334" s="159">
        <f t="shared" si="1044"/>
        <v>6</v>
      </c>
      <c r="R6334" s="160">
        <f t="shared" si="1045"/>
        <v>95.533333333209157</v>
      </c>
      <c r="S6334" s="158">
        <f t="shared" si="1046"/>
        <v>95.533333333209157</v>
      </c>
      <c r="T6334" s="161">
        <f t="shared" si="1047"/>
        <v>71363.39999990724</v>
      </c>
      <c r="U6334" s="158">
        <f t="shared" si="1049"/>
        <v>747</v>
      </c>
      <c r="V6334" s="160">
        <f t="shared" si="1048"/>
        <v>747</v>
      </c>
    </row>
    <row r="6335" spans="1:22" x14ac:dyDescent="0.25">
      <c r="A6335" s="98" t="s">
        <v>69</v>
      </c>
      <c r="B6335" s="98" t="s">
        <v>18</v>
      </c>
      <c r="C6335" s="98">
        <v>32</v>
      </c>
      <c r="D6335" s="98">
        <v>4700</v>
      </c>
      <c r="E6335" s="157">
        <v>42894.637499999997</v>
      </c>
      <c r="F6335" s="157">
        <v>42894.727777777778</v>
      </c>
      <c r="G6335" s="98">
        <v>0</v>
      </c>
      <c r="H6335" s="98">
        <v>795</v>
      </c>
      <c r="I6335" s="98">
        <v>747</v>
      </c>
      <c r="J6335" s="98" t="s">
        <v>2010</v>
      </c>
      <c r="K6335" s="98" t="s">
        <v>4555</v>
      </c>
      <c r="L6335" s="105" t="str">
        <f t="shared" si="1040"/>
        <v>Trimble</v>
      </c>
      <c r="M6335" s="105" t="str">
        <f t="shared" si="1041"/>
        <v>Outage</v>
      </c>
      <c r="N6335" s="105" t="str">
        <f t="shared" si="1042"/>
        <v>Coal</v>
      </c>
      <c r="O6335" s="105">
        <f>IFERROR(VLOOKUP(A6335,Lookup!$J$5:$P$19,7,FALSE),0)</f>
        <v>3</v>
      </c>
      <c r="P6335" s="159">
        <f t="shared" si="1043"/>
        <v>2017</v>
      </c>
      <c r="Q6335" s="159">
        <f t="shared" si="1044"/>
        <v>6</v>
      </c>
      <c r="R6335" s="160">
        <f t="shared" si="1045"/>
        <v>2.1666666667442769</v>
      </c>
      <c r="S6335" s="158">
        <f t="shared" si="1046"/>
        <v>2.1666666667442769</v>
      </c>
      <c r="T6335" s="161">
        <f t="shared" si="1047"/>
        <v>1618.5000000579748</v>
      </c>
      <c r="U6335" s="158">
        <f t="shared" si="1049"/>
        <v>747</v>
      </c>
      <c r="V6335" s="160">
        <f t="shared" si="1048"/>
        <v>747</v>
      </c>
    </row>
    <row r="6336" spans="1:22" x14ac:dyDescent="0.25">
      <c r="A6336" s="98" t="s">
        <v>69</v>
      </c>
      <c r="B6336" s="98" t="s">
        <v>17</v>
      </c>
      <c r="C6336" s="98">
        <v>33</v>
      </c>
      <c r="D6336" s="98">
        <v>3413</v>
      </c>
      <c r="E6336" s="157">
        <v>42894.728472222225</v>
      </c>
      <c r="F6336" s="157">
        <v>42895.583333333336</v>
      </c>
      <c r="G6336" s="98">
        <v>765</v>
      </c>
      <c r="H6336" s="98">
        <v>795</v>
      </c>
      <c r="I6336" s="98">
        <v>747</v>
      </c>
      <c r="J6336" s="98" t="s">
        <v>2115</v>
      </c>
      <c r="K6336" s="98" t="s">
        <v>4556</v>
      </c>
      <c r="L6336" s="105" t="str">
        <f t="shared" si="1040"/>
        <v>Trimble</v>
      </c>
      <c r="M6336" s="105" t="str">
        <f t="shared" si="1041"/>
        <v>Derate</v>
      </c>
      <c r="N6336" s="105" t="str">
        <f t="shared" si="1042"/>
        <v>Coal</v>
      </c>
      <c r="O6336" s="105">
        <f>IFERROR(VLOOKUP(A6336,Lookup!$J$5:$P$19,7,FALSE),0)</f>
        <v>3</v>
      </c>
      <c r="P6336" s="159">
        <f t="shared" si="1043"/>
        <v>2017</v>
      </c>
      <c r="Q6336" s="159">
        <f t="shared" si="1044"/>
        <v>6</v>
      </c>
      <c r="R6336" s="160">
        <f t="shared" si="1045"/>
        <v>20.516666666662786</v>
      </c>
      <c r="S6336" s="158">
        <f t="shared" si="1046"/>
        <v>0.77421383647784103</v>
      </c>
      <c r="T6336" s="161">
        <f t="shared" si="1047"/>
        <v>578.3377358489472</v>
      </c>
      <c r="U6336" s="158">
        <f t="shared" si="1049"/>
        <v>28.188679245283019</v>
      </c>
      <c r="V6336" s="160">
        <f t="shared" si="1048"/>
        <v>28</v>
      </c>
    </row>
    <row r="6337" spans="1:22" x14ac:dyDescent="0.25">
      <c r="A6337" s="98" t="s">
        <v>69</v>
      </c>
      <c r="B6337" s="98" t="s">
        <v>17</v>
      </c>
      <c r="C6337" s="98">
        <v>34</v>
      </c>
      <c r="D6337" s="98">
        <v>3413</v>
      </c>
      <c r="E6337" s="157">
        <v>42895.583333333336</v>
      </c>
      <c r="F6337" s="157">
        <v>42900</v>
      </c>
      <c r="G6337" s="98">
        <v>755</v>
      </c>
      <c r="H6337" s="98">
        <v>795</v>
      </c>
      <c r="I6337" s="98">
        <v>747</v>
      </c>
      <c r="J6337" s="98" t="s">
        <v>2115</v>
      </c>
      <c r="K6337" s="98" t="s">
        <v>4557</v>
      </c>
      <c r="L6337" s="105" t="str">
        <f t="shared" ref="L6337:L6400" si="1050">IF(OR(A6337="BR1",A6337="BR2",A6337="BR3",A6337="BR5",A6337="BR6",A6337="BR7",A6337="BR8",A6337="BR9",A6337="BR10",A6337="BR11"),"Brown",IF(OR(A6337="CR4",A6337="CR5",A6337="CR6",A6337="CR11"),"Cane Run",IF(OR(A6337="GH1",A6337="GH2",A6337="GH3",A6337="GH4"),"Ghent",IF(OR(A6337="GR3",A6337="GR4"),"Green River",IF(OR(A6337="MC1",A6337="MC2",A6337="MC3",A6337="MC4"),"Mill Creek",IF(OR(A6337="TC1",A6337="TC2",A6337="TC5",A6337="TC6",A6337="TC7",A6337="TC8",A6337="TC9",A6337="TC10"),"Trimble",IF(A6337="TY3","Tyrone",IF(OR(A6337="HA1",A6337="HA2",A6337="HA3"),"Haeflin",IF(OR(A6337="PR11",A6337="PR12",A6337="PR13"),"Paddy's Run","Zorn")))))))))</f>
        <v>Trimble</v>
      </c>
      <c r="M6337" s="105" t="str">
        <f t="shared" ref="M6337:M6400" si="1051">IF(OR(B6337="D1",B6337="D2",B6337="D3",B6337="D4",B6337="PD"),"Derate",IF(OR(B6337="SF",B6337="U1",B6337="U2",B6337="U3"),"Outage",IF(OR(B6337="ME",B6337="MO"),"Maintenance","Other")))</f>
        <v>Derate</v>
      </c>
      <c r="N6337" s="105" t="str">
        <f t="shared" ref="N6337:N6400" si="1052">IF(OR(A6337="BR1",A6337="BR2",A6337="BR3",A6337="CR4",A6337="CR5",A6337="CR6",A6337="GH1",A6337="GH2",A6337="GH3",A6337="GH4",A6337="GR3",A6337="GR4",A6337="MC1",A6337="MC2",A6337="MC3",A6337="MC4",A6337="TC1",A6337="TC2",A6337="TY3"),"Coal","Gas")</f>
        <v>Coal</v>
      </c>
      <c r="O6337" s="105">
        <f>IFERROR(VLOOKUP(A6337,Lookup!$J$5:$P$19,7,FALSE),0)</f>
        <v>3</v>
      </c>
      <c r="P6337" s="159">
        <f t="shared" ref="P6337:P6400" si="1053">YEAR(E6337)</f>
        <v>2017</v>
      </c>
      <c r="Q6337" s="159">
        <f t="shared" ref="Q6337:Q6400" si="1054">MONTH(E6337)</f>
        <v>6</v>
      </c>
      <c r="R6337" s="160">
        <f t="shared" ref="R6337:R6400" si="1055">(F6337-E6337)*24</f>
        <v>105.99999999994179</v>
      </c>
      <c r="S6337" s="158">
        <f t="shared" ref="S6337:S6400" si="1056">R6337*(H6337-G6337)/H6337</f>
        <v>5.3333333333304047</v>
      </c>
      <c r="T6337" s="161">
        <f t="shared" ref="T6337:T6400" si="1057">S6337*I6337</f>
        <v>3983.9999999978122</v>
      </c>
      <c r="U6337" s="158">
        <f t="shared" si="1049"/>
        <v>37.584905660377359</v>
      </c>
      <c r="V6337" s="160">
        <f t="shared" ref="V6337:V6400" si="1058">ROUND(U6337,0)</f>
        <v>38</v>
      </c>
    </row>
    <row r="6338" spans="1:22" x14ac:dyDescent="0.25">
      <c r="A6338" s="98" t="s">
        <v>69</v>
      </c>
      <c r="B6338" s="98" t="s">
        <v>32</v>
      </c>
      <c r="C6338" s="98">
        <v>35</v>
      </c>
      <c r="D6338" s="98">
        <v>3410</v>
      </c>
      <c r="E6338" s="157">
        <v>42900</v>
      </c>
      <c r="F6338" s="157">
        <v>42900.145833333336</v>
      </c>
      <c r="G6338" s="98">
        <v>658</v>
      </c>
      <c r="H6338" s="98">
        <v>795</v>
      </c>
      <c r="I6338" s="98">
        <v>747</v>
      </c>
      <c r="J6338" s="98" t="s">
        <v>1983</v>
      </c>
      <c r="K6338" s="98" t="s">
        <v>4558</v>
      </c>
      <c r="L6338" s="105" t="str">
        <f t="shared" si="1050"/>
        <v>Trimble</v>
      </c>
      <c r="M6338" s="105" t="str">
        <f t="shared" si="1051"/>
        <v>Derate</v>
      </c>
      <c r="N6338" s="105" t="str">
        <f t="shared" si="1052"/>
        <v>Coal</v>
      </c>
      <c r="O6338" s="105">
        <f>IFERROR(VLOOKUP(A6338,Lookup!$J$5:$P$19,7,FALSE),0)</f>
        <v>3</v>
      </c>
      <c r="P6338" s="159">
        <f t="shared" si="1053"/>
        <v>2017</v>
      </c>
      <c r="Q6338" s="159">
        <f t="shared" si="1054"/>
        <v>6</v>
      </c>
      <c r="R6338" s="160">
        <f t="shared" si="1055"/>
        <v>3.5000000000582077</v>
      </c>
      <c r="S6338" s="158">
        <f t="shared" si="1056"/>
        <v>0.60314465409808105</v>
      </c>
      <c r="T6338" s="161">
        <f t="shared" si="1057"/>
        <v>450.54905661126656</v>
      </c>
      <c r="U6338" s="158">
        <f t="shared" ref="U6338:U6401" si="1059">IF(G6338&gt;0,MAX((H6338-G6338),0)*I6338/H6338,I6338)</f>
        <v>128.72830188679245</v>
      </c>
      <c r="V6338" s="160">
        <f t="shared" si="1058"/>
        <v>129</v>
      </c>
    </row>
    <row r="6339" spans="1:22" x14ac:dyDescent="0.25">
      <c r="A6339" s="98" t="s">
        <v>69</v>
      </c>
      <c r="B6339" s="98" t="s">
        <v>32</v>
      </c>
      <c r="C6339" s="98">
        <v>36</v>
      </c>
      <c r="D6339" s="98">
        <v>1190</v>
      </c>
      <c r="E6339" s="157">
        <v>42904</v>
      </c>
      <c r="F6339" s="157">
        <v>42904.416666666664</v>
      </c>
      <c r="G6339" s="98">
        <v>449</v>
      </c>
      <c r="H6339" s="98">
        <v>795</v>
      </c>
      <c r="I6339" s="98">
        <v>747</v>
      </c>
      <c r="J6339" s="98" t="s">
        <v>2007</v>
      </c>
      <c r="K6339" s="98" t="s">
        <v>4527</v>
      </c>
      <c r="L6339" s="105" t="str">
        <f t="shared" si="1050"/>
        <v>Trimble</v>
      </c>
      <c r="M6339" s="105" t="str">
        <f t="shared" si="1051"/>
        <v>Derate</v>
      </c>
      <c r="N6339" s="105" t="str">
        <f t="shared" si="1052"/>
        <v>Coal</v>
      </c>
      <c r="O6339" s="105">
        <f>IFERROR(VLOOKUP(A6339,Lookup!$J$5:$P$19,7,FALSE),0)</f>
        <v>3</v>
      </c>
      <c r="P6339" s="159">
        <f t="shared" si="1053"/>
        <v>2017</v>
      </c>
      <c r="Q6339" s="159">
        <f t="shared" si="1054"/>
        <v>6</v>
      </c>
      <c r="R6339" s="160">
        <f t="shared" si="1055"/>
        <v>9.9999999999417923</v>
      </c>
      <c r="S6339" s="158">
        <f t="shared" si="1056"/>
        <v>4.3522012578363025</v>
      </c>
      <c r="T6339" s="161">
        <f t="shared" si="1057"/>
        <v>3251.0943396037178</v>
      </c>
      <c r="U6339" s="158">
        <f t="shared" si="1059"/>
        <v>325.10943396226418</v>
      </c>
      <c r="V6339" s="160">
        <f t="shared" si="1058"/>
        <v>325</v>
      </c>
    </row>
    <row r="6340" spans="1:22" x14ac:dyDescent="0.25">
      <c r="A6340" s="98" t="s">
        <v>69</v>
      </c>
      <c r="B6340" s="98" t="s">
        <v>32</v>
      </c>
      <c r="C6340" s="98">
        <v>37</v>
      </c>
      <c r="D6340" s="98">
        <v>1190</v>
      </c>
      <c r="E6340" s="157">
        <v>42911</v>
      </c>
      <c r="F6340" s="157">
        <v>42911.416666666664</v>
      </c>
      <c r="G6340" s="98">
        <v>449</v>
      </c>
      <c r="H6340" s="98">
        <v>795</v>
      </c>
      <c r="I6340" s="98">
        <v>747</v>
      </c>
      <c r="J6340" s="98" t="s">
        <v>2007</v>
      </c>
      <c r="K6340" s="98" t="s">
        <v>4559</v>
      </c>
      <c r="L6340" s="105" t="str">
        <f t="shared" si="1050"/>
        <v>Trimble</v>
      </c>
      <c r="M6340" s="105" t="str">
        <f t="shared" si="1051"/>
        <v>Derate</v>
      </c>
      <c r="N6340" s="105" t="str">
        <f t="shared" si="1052"/>
        <v>Coal</v>
      </c>
      <c r="O6340" s="105">
        <f>IFERROR(VLOOKUP(A6340,Lookup!$J$5:$P$19,7,FALSE),0)</f>
        <v>3</v>
      </c>
      <c r="P6340" s="159">
        <f t="shared" si="1053"/>
        <v>2017</v>
      </c>
      <c r="Q6340" s="159">
        <f t="shared" si="1054"/>
        <v>6</v>
      </c>
      <c r="R6340" s="160">
        <f t="shared" si="1055"/>
        <v>9.9999999999417923</v>
      </c>
      <c r="S6340" s="158">
        <f t="shared" si="1056"/>
        <v>4.3522012578363025</v>
      </c>
      <c r="T6340" s="161">
        <f t="shared" si="1057"/>
        <v>3251.0943396037178</v>
      </c>
      <c r="U6340" s="158">
        <f t="shared" si="1059"/>
        <v>325.10943396226418</v>
      </c>
      <c r="V6340" s="160">
        <f t="shared" si="1058"/>
        <v>325</v>
      </c>
    </row>
    <row r="6341" spans="1:22" x14ac:dyDescent="0.25">
      <c r="A6341" s="98" t="s">
        <v>69</v>
      </c>
      <c r="B6341" s="98" t="s">
        <v>32</v>
      </c>
      <c r="C6341" s="98">
        <v>38</v>
      </c>
      <c r="D6341" s="98">
        <v>1190</v>
      </c>
      <c r="E6341" s="157">
        <v>42918</v>
      </c>
      <c r="F6341" s="157">
        <v>42918.295138888891</v>
      </c>
      <c r="G6341" s="98">
        <v>449</v>
      </c>
      <c r="H6341" s="98">
        <v>795</v>
      </c>
      <c r="I6341" s="98">
        <v>747</v>
      </c>
      <c r="J6341" s="98" t="s">
        <v>2007</v>
      </c>
      <c r="K6341" s="98" t="s">
        <v>4559</v>
      </c>
      <c r="L6341" s="105" t="str">
        <f t="shared" si="1050"/>
        <v>Trimble</v>
      </c>
      <c r="M6341" s="105" t="str">
        <f t="shared" si="1051"/>
        <v>Derate</v>
      </c>
      <c r="N6341" s="105" t="str">
        <f t="shared" si="1052"/>
        <v>Coal</v>
      </c>
      <c r="O6341" s="105">
        <f>IFERROR(VLOOKUP(A6341,Lookup!$J$5:$P$19,7,FALSE),0)</f>
        <v>3</v>
      </c>
      <c r="P6341" s="159">
        <f t="shared" si="1053"/>
        <v>2017</v>
      </c>
      <c r="Q6341" s="159">
        <f t="shared" si="1054"/>
        <v>7</v>
      </c>
      <c r="R6341" s="160">
        <f t="shared" si="1055"/>
        <v>7.0833333333721384</v>
      </c>
      <c r="S6341" s="158">
        <f t="shared" si="1056"/>
        <v>3.0828092243355472</v>
      </c>
      <c r="T6341" s="161">
        <f t="shared" si="1057"/>
        <v>2302.8584905786538</v>
      </c>
      <c r="U6341" s="158">
        <f t="shared" si="1059"/>
        <v>325.10943396226418</v>
      </c>
      <c r="V6341" s="160">
        <f t="shared" si="1058"/>
        <v>325</v>
      </c>
    </row>
    <row r="6342" spans="1:22" x14ac:dyDescent="0.25">
      <c r="A6342" s="98" t="s">
        <v>69</v>
      </c>
      <c r="B6342" s="98" t="s">
        <v>17</v>
      </c>
      <c r="C6342" s="98">
        <v>39</v>
      </c>
      <c r="D6342" s="98">
        <v>897</v>
      </c>
      <c r="E6342" s="157">
        <v>42918.295138888891</v>
      </c>
      <c r="F6342" s="157">
        <v>42919.291666666664</v>
      </c>
      <c r="G6342" s="98">
        <v>435</v>
      </c>
      <c r="H6342" s="98">
        <v>795</v>
      </c>
      <c r="I6342" s="98">
        <v>747</v>
      </c>
      <c r="J6342" s="98" t="s">
        <v>3091</v>
      </c>
      <c r="K6342" s="98" t="s">
        <v>4935</v>
      </c>
      <c r="L6342" s="105" t="str">
        <f t="shared" si="1050"/>
        <v>Trimble</v>
      </c>
      <c r="M6342" s="105" t="str">
        <f t="shared" si="1051"/>
        <v>Derate</v>
      </c>
      <c r="N6342" s="105" t="str">
        <f t="shared" si="1052"/>
        <v>Coal</v>
      </c>
      <c r="O6342" s="105">
        <f>IFERROR(VLOOKUP(A6342,Lookup!$J$5:$P$19,7,FALSE),0)</f>
        <v>3</v>
      </c>
      <c r="P6342" s="159">
        <f t="shared" si="1053"/>
        <v>2017</v>
      </c>
      <c r="Q6342" s="159">
        <f t="shared" si="1054"/>
        <v>7</v>
      </c>
      <c r="R6342" s="160">
        <f t="shared" si="1055"/>
        <v>23.916666666569654</v>
      </c>
      <c r="S6342" s="158">
        <f t="shared" si="1056"/>
        <v>10.830188679201353</v>
      </c>
      <c r="T6342" s="161">
        <f t="shared" si="1057"/>
        <v>8090.1509433634101</v>
      </c>
      <c r="U6342" s="158">
        <f t="shared" si="1059"/>
        <v>338.2641509433962</v>
      </c>
      <c r="V6342" s="160">
        <f t="shared" si="1058"/>
        <v>338</v>
      </c>
    </row>
    <row r="6343" spans="1:22" x14ac:dyDescent="0.25">
      <c r="A6343" s="98" t="s">
        <v>69</v>
      </c>
      <c r="B6343" s="98" t="s">
        <v>17</v>
      </c>
      <c r="C6343" s="98">
        <v>40</v>
      </c>
      <c r="D6343" s="98">
        <v>3439</v>
      </c>
      <c r="E6343" s="157">
        <v>42919.443055555559</v>
      </c>
      <c r="F6343" s="157">
        <v>42920.916666666664</v>
      </c>
      <c r="G6343" s="98">
        <v>754</v>
      </c>
      <c r="H6343" s="98">
        <v>795</v>
      </c>
      <c r="I6343" s="98">
        <v>747</v>
      </c>
      <c r="J6343" s="98" t="s">
        <v>2026</v>
      </c>
      <c r="K6343" s="98" t="s">
        <v>4936</v>
      </c>
      <c r="L6343" s="105" t="str">
        <f t="shared" si="1050"/>
        <v>Trimble</v>
      </c>
      <c r="M6343" s="105" t="str">
        <f t="shared" si="1051"/>
        <v>Derate</v>
      </c>
      <c r="N6343" s="105" t="str">
        <f t="shared" si="1052"/>
        <v>Coal</v>
      </c>
      <c r="O6343" s="105">
        <f>IFERROR(VLOOKUP(A6343,Lookup!$J$5:$P$19,7,FALSE),0)</f>
        <v>3</v>
      </c>
      <c r="P6343" s="159">
        <f t="shared" si="1053"/>
        <v>2017</v>
      </c>
      <c r="Q6343" s="159">
        <f t="shared" si="1054"/>
        <v>7</v>
      </c>
      <c r="R6343" s="160">
        <f t="shared" si="1055"/>
        <v>35.366666666523088</v>
      </c>
      <c r="S6343" s="158">
        <f t="shared" si="1056"/>
        <v>1.8239412997829516</v>
      </c>
      <c r="T6343" s="161">
        <f t="shared" si="1057"/>
        <v>1362.4841509378648</v>
      </c>
      <c r="U6343" s="158">
        <f t="shared" si="1059"/>
        <v>38.524528301886789</v>
      </c>
      <c r="V6343" s="160">
        <f t="shared" si="1058"/>
        <v>39</v>
      </c>
    </row>
    <row r="6344" spans="1:22" x14ac:dyDescent="0.25">
      <c r="A6344" s="98" t="s">
        <v>69</v>
      </c>
      <c r="B6344" s="98" t="s">
        <v>17</v>
      </c>
      <c r="C6344" s="98">
        <v>41</v>
      </c>
      <c r="D6344" s="98">
        <v>3439</v>
      </c>
      <c r="E6344" s="157">
        <v>42920.916666666664</v>
      </c>
      <c r="F6344" s="157">
        <v>42921.145833333336</v>
      </c>
      <c r="G6344" s="98">
        <v>485</v>
      </c>
      <c r="H6344" s="98">
        <v>795</v>
      </c>
      <c r="I6344" s="98">
        <v>747</v>
      </c>
      <c r="J6344" s="98" t="s">
        <v>2026</v>
      </c>
      <c r="K6344" s="98" t="s">
        <v>4936</v>
      </c>
      <c r="L6344" s="105" t="str">
        <f t="shared" si="1050"/>
        <v>Trimble</v>
      </c>
      <c r="M6344" s="105" t="str">
        <f t="shared" si="1051"/>
        <v>Derate</v>
      </c>
      <c r="N6344" s="105" t="str">
        <f t="shared" si="1052"/>
        <v>Coal</v>
      </c>
      <c r="O6344" s="105">
        <f>IFERROR(VLOOKUP(A6344,Lookup!$J$5:$P$19,7,FALSE),0)</f>
        <v>3</v>
      </c>
      <c r="P6344" s="159">
        <f t="shared" si="1053"/>
        <v>2017</v>
      </c>
      <c r="Q6344" s="159">
        <f t="shared" si="1054"/>
        <v>7</v>
      </c>
      <c r="R6344" s="160">
        <f t="shared" si="1055"/>
        <v>5.5000000001164153</v>
      </c>
      <c r="S6344" s="158">
        <f t="shared" si="1056"/>
        <v>2.144654088095709</v>
      </c>
      <c r="T6344" s="161">
        <f t="shared" si="1057"/>
        <v>1602.0566038074946</v>
      </c>
      <c r="U6344" s="158">
        <f t="shared" si="1059"/>
        <v>291.28301886792451</v>
      </c>
      <c r="V6344" s="160">
        <f t="shared" si="1058"/>
        <v>291</v>
      </c>
    </row>
    <row r="6345" spans="1:22" x14ac:dyDescent="0.25">
      <c r="A6345" s="98" t="s">
        <v>69</v>
      </c>
      <c r="B6345" s="98" t="s">
        <v>17</v>
      </c>
      <c r="C6345" s="98">
        <v>42</v>
      </c>
      <c r="D6345" s="98">
        <v>3439</v>
      </c>
      <c r="E6345" s="157">
        <v>42921.145833333336</v>
      </c>
      <c r="F6345" s="157">
        <v>42922.568055555559</v>
      </c>
      <c r="G6345" s="98">
        <v>754</v>
      </c>
      <c r="H6345" s="98">
        <v>795</v>
      </c>
      <c r="I6345" s="98">
        <v>747</v>
      </c>
      <c r="J6345" s="98" t="s">
        <v>2026</v>
      </c>
      <c r="K6345" s="98" t="s">
        <v>4936</v>
      </c>
      <c r="L6345" s="105" t="str">
        <f t="shared" si="1050"/>
        <v>Trimble</v>
      </c>
      <c r="M6345" s="105" t="str">
        <f t="shared" si="1051"/>
        <v>Derate</v>
      </c>
      <c r="N6345" s="105" t="str">
        <f t="shared" si="1052"/>
        <v>Coal</v>
      </c>
      <c r="O6345" s="105">
        <f>IFERROR(VLOOKUP(A6345,Lookup!$J$5:$P$19,7,FALSE),0)</f>
        <v>3</v>
      </c>
      <c r="P6345" s="159">
        <f t="shared" si="1053"/>
        <v>2017</v>
      </c>
      <c r="Q6345" s="159">
        <f t="shared" si="1054"/>
        <v>7</v>
      </c>
      <c r="R6345" s="160">
        <f t="shared" si="1055"/>
        <v>34.133333333360497</v>
      </c>
      <c r="S6345" s="158">
        <f t="shared" si="1056"/>
        <v>1.7603354297707929</v>
      </c>
      <c r="T6345" s="161">
        <f t="shared" si="1057"/>
        <v>1314.9705660387824</v>
      </c>
      <c r="U6345" s="158">
        <f t="shared" si="1059"/>
        <v>38.524528301886789</v>
      </c>
      <c r="V6345" s="160">
        <f t="shared" si="1058"/>
        <v>39</v>
      </c>
    </row>
    <row r="6346" spans="1:22" x14ac:dyDescent="0.25">
      <c r="A6346" s="98" t="s">
        <v>69</v>
      </c>
      <c r="B6346" s="98" t="s">
        <v>32</v>
      </c>
      <c r="C6346" s="98">
        <v>43</v>
      </c>
      <c r="D6346" s="98">
        <v>1190</v>
      </c>
      <c r="E6346" s="157">
        <v>42925</v>
      </c>
      <c r="F6346" s="157">
        <v>42925.416666666664</v>
      </c>
      <c r="G6346" s="98">
        <v>449</v>
      </c>
      <c r="H6346" s="98">
        <v>795</v>
      </c>
      <c r="I6346" s="98">
        <v>747</v>
      </c>
      <c r="J6346" s="98" t="s">
        <v>2007</v>
      </c>
      <c r="K6346" s="98" t="s">
        <v>4527</v>
      </c>
      <c r="L6346" s="105" t="str">
        <f t="shared" si="1050"/>
        <v>Trimble</v>
      </c>
      <c r="M6346" s="105" t="str">
        <f t="shared" si="1051"/>
        <v>Derate</v>
      </c>
      <c r="N6346" s="105" t="str">
        <f t="shared" si="1052"/>
        <v>Coal</v>
      </c>
      <c r="O6346" s="105">
        <f>IFERROR(VLOOKUP(A6346,Lookup!$J$5:$P$19,7,FALSE),0)</f>
        <v>3</v>
      </c>
      <c r="P6346" s="159">
        <f t="shared" si="1053"/>
        <v>2017</v>
      </c>
      <c r="Q6346" s="159">
        <f t="shared" si="1054"/>
        <v>7</v>
      </c>
      <c r="R6346" s="160">
        <f t="shared" si="1055"/>
        <v>9.9999999999417923</v>
      </c>
      <c r="S6346" s="158">
        <f t="shared" si="1056"/>
        <v>4.3522012578363025</v>
      </c>
      <c r="T6346" s="161">
        <f t="shared" si="1057"/>
        <v>3251.0943396037178</v>
      </c>
      <c r="U6346" s="158">
        <f t="shared" si="1059"/>
        <v>325.10943396226418</v>
      </c>
      <c r="V6346" s="160">
        <f t="shared" si="1058"/>
        <v>325</v>
      </c>
    </row>
    <row r="6347" spans="1:22" x14ac:dyDescent="0.25">
      <c r="A6347" s="98" t="s">
        <v>69</v>
      </c>
      <c r="B6347" s="98" t="s">
        <v>105</v>
      </c>
      <c r="C6347" s="98">
        <v>44</v>
      </c>
      <c r="D6347" s="98">
        <v>1190</v>
      </c>
      <c r="E6347" s="157">
        <v>42932</v>
      </c>
      <c r="F6347" s="157">
        <v>42932.416666666664</v>
      </c>
      <c r="G6347" s="98">
        <v>449</v>
      </c>
      <c r="H6347" s="98">
        <v>795</v>
      </c>
      <c r="I6347" s="98">
        <v>747</v>
      </c>
      <c r="J6347" s="98" t="s">
        <v>2007</v>
      </c>
      <c r="K6347" s="98" t="s">
        <v>4937</v>
      </c>
      <c r="L6347" s="105" t="str">
        <f t="shared" si="1050"/>
        <v>Trimble</v>
      </c>
      <c r="M6347" s="105" t="str">
        <f t="shared" si="1051"/>
        <v>Derate</v>
      </c>
      <c r="N6347" s="105" t="str">
        <f t="shared" si="1052"/>
        <v>Coal</v>
      </c>
      <c r="O6347" s="105">
        <f>IFERROR(VLOOKUP(A6347,Lookup!$J$5:$P$19,7,FALSE),0)</f>
        <v>3</v>
      </c>
      <c r="P6347" s="159">
        <f t="shared" si="1053"/>
        <v>2017</v>
      </c>
      <c r="Q6347" s="159">
        <f t="shared" si="1054"/>
        <v>7</v>
      </c>
      <c r="R6347" s="160">
        <f t="shared" si="1055"/>
        <v>9.9999999999417923</v>
      </c>
      <c r="S6347" s="158">
        <f t="shared" si="1056"/>
        <v>4.3522012578363025</v>
      </c>
      <c r="T6347" s="161">
        <f t="shared" si="1057"/>
        <v>3251.0943396037178</v>
      </c>
      <c r="U6347" s="158">
        <f t="shared" si="1059"/>
        <v>325.10943396226418</v>
      </c>
      <c r="V6347" s="160">
        <f t="shared" si="1058"/>
        <v>325</v>
      </c>
    </row>
    <row r="6348" spans="1:22" x14ac:dyDescent="0.25">
      <c r="A6348" s="98" t="s">
        <v>69</v>
      </c>
      <c r="B6348" s="98" t="s">
        <v>105</v>
      </c>
      <c r="C6348" s="98">
        <v>45</v>
      </c>
      <c r="D6348" s="98">
        <v>1190</v>
      </c>
      <c r="E6348" s="157">
        <v>42938.958333333336</v>
      </c>
      <c r="F6348" s="157">
        <v>42939.458333333336</v>
      </c>
      <c r="G6348" s="98">
        <v>449</v>
      </c>
      <c r="H6348" s="98">
        <v>795</v>
      </c>
      <c r="I6348" s="98">
        <v>747</v>
      </c>
      <c r="J6348" s="98" t="s">
        <v>2007</v>
      </c>
      <c r="K6348" s="98" t="s">
        <v>4937</v>
      </c>
      <c r="L6348" s="105" t="str">
        <f t="shared" si="1050"/>
        <v>Trimble</v>
      </c>
      <c r="M6348" s="105" t="str">
        <f t="shared" si="1051"/>
        <v>Derate</v>
      </c>
      <c r="N6348" s="105" t="str">
        <f t="shared" si="1052"/>
        <v>Coal</v>
      </c>
      <c r="O6348" s="105">
        <f>IFERROR(VLOOKUP(A6348,Lookup!$J$5:$P$19,7,FALSE),0)</f>
        <v>3</v>
      </c>
      <c r="P6348" s="159">
        <f t="shared" si="1053"/>
        <v>2017</v>
      </c>
      <c r="Q6348" s="159">
        <f t="shared" si="1054"/>
        <v>7</v>
      </c>
      <c r="R6348" s="160">
        <f t="shared" si="1055"/>
        <v>12</v>
      </c>
      <c r="S6348" s="158">
        <f t="shared" si="1056"/>
        <v>5.222641509433962</v>
      </c>
      <c r="T6348" s="161">
        <f t="shared" si="1057"/>
        <v>3901.3132075471694</v>
      </c>
      <c r="U6348" s="158">
        <f t="shared" si="1059"/>
        <v>325.10943396226418</v>
      </c>
      <c r="V6348" s="160">
        <f t="shared" si="1058"/>
        <v>325</v>
      </c>
    </row>
    <row r="6349" spans="1:22" x14ac:dyDescent="0.25">
      <c r="A6349" s="98" t="s">
        <v>69</v>
      </c>
      <c r="B6349" s="98" t="s">
        <v>33</v>
      </c>
      <c r="C6349" s="98">
        <v>46</v>
      </c>
      <c r="D6349" s="98">
        <v>1000</v>
      </c>
      <c r="E6349" s="157">
        <v>42946.036805555559</v>
      </c>
      <c r="F6349" s="157">
        <v>42950.79583333333</v>
      </c>
      <c r="G6349" s="98">
        <v>0</v>
      </c>
      <c r="H6349" s="98">
        <v>795</v>
      </c>
      <c r="I6349" s="98">
        <v>747</v>
      </c>
      <c r="J6349" s="98" t="s">
        <v>2002</v>
      </c>
      <c r="K6349" s="98" t="s">
        <v>4938</v>
      </c>
      <c r="L6349" s="105" t="str">
        <f t="shared" si="1050"/>
        <v>Trimble</v>
      </c>
      <c r="M6349" s="105" t="str">
        <f t="shared" si="1051"/>
        <v>Outage</v>
      </c>
      <c r="N6349" s="105" t="str">
        <f t="shared" si="1052"/>
        <v>Coal</v>
      </c>
      <c r="O6349" s="105">
        <f>IFERROR(VLOOKUP(A6349,Lookup!$J$5:$P$19,7,FALSE),0)</f>
        <v>3</v>
      </c>
      <c r="P6349" s="159">
        <f t="shared" si="1053"/>
        <v>2017</v>
      </c>
      <c r="Q6349" s="159">
        <f t="shared" si="1054"/>
        <v>7</v>
      </c>
      <c r="R6349" s="160">
        <f t="shared" si="1055"/>
        <v>114.2166666664998</v>
      </c>
      <c r="S6349" s="158">
        <f t="shared" si="1056"/>
        <v>114.2166666664998</v>
      </c>
      <c r="T6349" s="161">
        <f t="shared" si="1057"/>
        <v>85319.849999875354</v>
      </c>
      <c r="U6349" s="158">
        <f t="shared" si="1059"/>
        <v>747</v>
      </c>
      <c r="V6349" s="160">
        <f t="shared" si="1058"/>
        <v>747</v>
      </c>
    </row>
    <row r="6350" spans="1:22" x14ac:dyDescent="0.25">
      <c r="A6350" s="98" t="s">
        <v>69</v>
      </c>
      <c r="B6350" s="98" t="s">
        <v>17</v>
      </c>
      <c r="C6350" s="98">
        <v>47</v>
      </c>
      <c r="D6350" s="98">
        <v>3431</v>
      </c>
      <c r="E6350" s="157">
        <v>42951.125</v>
      </c>
      <c r="F6350" s="157">
        <v>42951.208333333336</v>
      </c>
      <c r="G6350" s="98">
        <v>449</v>
      </c>
      <c r="H6350" s="98">
        <v>795</v>
      </c>
      <c r="I6350" s="98">
        <v>747</v>
      </c>
      <c r="J6350" s="98" t="s">
        <v>2123</v>
      </c>
      <c r="K6350" s="98" t="s">
        <v>4939</v>
      </c>
      <c r="L6350" s="105" t="str">
        <f t="shared" si="1050"/>
        <v>Trimble</v>
      </c>
      <c r="M6350" s="105" t="str">
        <f t="shared" si="1051"/>
        <v>Derate</v>
      </c>
      <c r="N6350" s="105" t="str">
        <f t="shared" si="1052"/>
        <v>Coal</v>
      </c>
      <c r="O6350" s="105">
        <f>IFERROR(VLOOKUP(A6350,Lookup!$J$5:$P$19,7,FALSE),0)</f>
        <v>3</v>
      </c>
      <c r="P6350" s="159">
        <f t="shared" si="1053"/>
        <v>2017</v>
      </c>
      <c r="Q6350" s="159">
        <f t="shared" si="1054"/>
        <v>8</v>
      </c>
      <c r="R6350" s="160">
        <f t="shared" si="1055"/>
        <v>2.0000000000582077</v>
      </c>
      <c r="S6350" s="158">
        <f t="shared" si="1056"/>
        <v>0.87044025159766014</v>
      </c>
      <c r="T6350" s="161">
        <f t="shared" si="1057"/>
        <v>650.2188679434521</v>
      </c>
      <c r="U6350" s="158">
        <f t="shared" si="1059"/>
        <v>325.10943396226418</v>
      </c>
      <c r="V6350" s="160">
        <f t="shared" si="1058"/>
        <v>325</v>
      </c>
    </row>
    <row r="6351" spans="1:22" x14ac:dyDescent="0.25">
      <c r="A6351" s="98" t="s">
        <v>69</v>
      </c>
      <c r="B6351" s="98" t="s">
        <v>17</v>
      </c>
      <c r="C6351" s="98">
        <v>48</v>
      </c>
      <c r="D6351" s="98">
        <v>3431</v>
      </c>
      <c r="E6351" s="157">
        <v>42951.208333333336</v>
      </c>
      <c r="F6351" s="157">
        <v>42951.333333333336</v>
      </c>
      <c r="G6351" s="98">
        <v>390</v>
      </c>
      <c r="H6351" s="98">
        <v>795</v>
      </c>
      <c r="I6351" s="98">
        <v>747</v>
      </c>
      <c r="J6351" s="98" t="s">
        <v>2123</v>
      </c>
      <c r="K6351" s="98" t="s">
        <v>4939</v>
      </c>
      <c r="L6351" s="105" t="str">
        <f t="shared" si="1050"/>
        <v>Trimble</v>
      </c>
      <c r="M6351" s="105" t="str">
        <f t="shared" si="1051"/>
        <v>Derate</v>
      </c>
      <c r="N6351" s="105" t="str">
        <f t="shared" si="1052"/>
        <v>Coal</v>
      </c>
      <c r="O6351" s="105">
        <f>IFERROR(VLOOKUP(A6351,Lookup!$J$5:$P$19,7,FALSE),0)</f>
        <v>3</v>
      </c>
      <c r="P6351" s="159">
        <f t="shared" si="1053"/>
        <v>2017</v>
      </c>
      <c r="Q6351" s="159">
        <f t="shared" si="1054"/>
        <v>8</v>
      </c>
      <c r="R6351" s="160">
        <f t="shared" si="1055"/>
        <v>3</v>
      </c>
      <c r="S6351" s="158">
        <f t="shared" si="1056"/>
        <v>1.5283018867924529</v>
      </c>
      <c r="T6351" s="161">
        <f t="shared" si="1057"/>
        <v>1141.6415094339623</v>
      </c>
      <c r="U6351" s="158">
        <f t="shared" si="1059"/>
        <v>380.54716981132077</v>
      </c>
      <c r="V6351" s="160">
        <f t="shared" si="1058"/>
        <v>381</v>
      </c>
    </row>
    <row r="6352" spans="1:22" x14ac:dyDescent="0.25">
      <c r="A6352" s="98" t="s">
        <v>69</v>
      </c>
      <c r="B6352" s="98" t="s">
        <v>79</v>
      </c>
      <c r="C6352" s="98">
        <v>49</v>
      </c>
      <c r="D6352" s="98">
        <v>8700</v>
      </c>
      <c r="E6352" s="157">
        <v>42956.875</v>
      </c>
      <c r="F6352" s="157">
        <v>42957.25</v>
      </c>
      <c r="G6352" s="98">
        <v>0</v>
      </c>
      <c r="H6352" s="98">
        <v>795</v>
      </c>
      <c r="I6352" s="98">
        <v>747</v>
      </c>
      <c r="J6352" s="98" t="s">
        <v>1987</v>
      </c>
      <c r="K6352" s="98" t="s">
        <v>4428</v>
      </c>
      <c r="L6352" s="105" t="str">
        <f t="shared" si="1050"/>
        <v>Trimble</v>
      </c>
      <c r="M6352" s="105" t="str">
        <f t="shared" si="1051"/>
        <v>Other</v>
      </c>
      <c r="N6352" s="105" t="str">
        <f t="shared" si="1052"/>
        <v>Coal</v>
      </c>
      <c r="O6352" s="105">
        <f>IFERROR(VLOOKUP(A6352,Lookup!$J$5:$P$19,7,FALSE),0)</f>
        <v>3</v>
      </c>
      <c r="P6352" s="159">
        <f t="shared" si="1053"/>
        <v>2017</v>
      </c>
      <c r="Q6352" s="159">
        <f t="shared" si="1054"/>
        <v>8</v>
      </c>
      <c r="R6352" s="160">
        <f t="shared" si="1055"/>
        <v>9</v>
      </c>
      <c r="S6352" s="158">
        <f t="shared" si="1056"/>
        <v>9</v>
      </c>
      <c r="T6352" s="161">
        <f t="shared" si="1057"/>
        <v>6723</v>
      </c>
      <c r="U6352" s="158">
        <f t="shared" si="1059"/>
        <v>747</v>
      </c>
      <c r="V6352" s="160">
        <f t="shared" si="1058"/>
        <v>747</v>
      </c>
    </row>
    <row r="6353" spans="1:22" x14ac:dyDescent="0.25">
      <c r="A6353" s="98" t="s">
        <v>69</v>
      </c>
      <c r="B6353" s="98" t="s">
        <v>79</v>
      </c>
      <c r="C6353" s="98">
        <v>50</v>
      </c>
      <c r="D6353" s="98">
        <v>8700</v>
      </c>
      <c r="E6353" s="157">
        <v>42957.833333333336</v>
      </c>
      <c r="F6353" s="157">
        <v>42958.208333333336</v>
      </c>
      <c r="G6353" s="98">
        <v>0</v>
      </c>
      <c r="H6353" s="98">
        <v>795</v>
      </c>
      <c r="I6353" s="98">
        <v>747</v>
      </c>
      <c r="J6353" s="98" t="s">
        <v>1987</v>
      </c>
      <c r="K6353" s="98" t="s">
        <v>4428</v>
      </c>
      <c r="L6353" s="105" t="str">
        <f t="shared" si="1050"/>
        <v>Trimble</v>
      </c>
      <c r="M6353" s="105" t="str">
        <f t="shared" si="1051"/>
        <v>Other</v>
      </c>
      <c r="N6353" s="105" t="str">
        <f t="shared" si="1052"/>
        <v>Coal</v>
      </c>
      <c r="O6353" s="105">
        <f>IFERROR(VLOOKUP(A6353,Lookup!$J$5:$P$19,7,FALSE),0)</f>
        <v>3</v>
      </c>
      <c r="P6353" s="159">
        <f t="shared" si="1053"/>
        <v>2017</v>
      </c>
      <c r="Q6353" s="159">
        <f t="shared" si="1054"/>
        <v>8</v>
      </c>
      <c r="R6353" s="160">
        <f t="shared" si="1055"/>
        <v>9</v>
      </c>
      <c r="S6353" s="158">
        <f t="shared" si="1056"/>
        <v>9</v>
      </c>
      <c r="T6353" s="161">
        <f t="shared" si="1057"/>
        <v>6723</v>
      </c>
      <c r="U6353" s="158">
        <f t="shared" si="1059"/>
        <v>747</v>
      </c>
      <c r="V6353" s="160">
        <f t="shared" si="1058"/>
        <v>747</v>
      </c>
    </row>
    <row r="6354" spans="1:22" x14ac:dyDescent="0.25">
      <c r="A6354" s="98" t="s">
        <v>69</v>
      </c>
      <c r="B6354" s="98" t="s">
        <v>105</v>
      </c>
      <c r="C6354" s="98">
        <v>51</v>
      </c>
      <c r="D6354" s="98">
        <v>1190</v>
      </c>
      <c r="E6354" s="157">
        <v>42960</v>
      </c>
      <c r="F6354" s="157">
        <v>42960.416666666664</v>
      </c>
      <c r="G6354" s="98">
        <v>449</v>
      </c>
      <c r="H6354" s="98">
        <v>795</v>
      </c>
      <c r="I6354" s="98">
        <v>747</v>
      </c>
      <c r="J6354" s="98" t="s">
        <v>2007</v>
      </c>
      <c r="K6354" s="98" t="s">
        <v>4940</v>
      </c>
      <c r="L6354" s="105" t="str">
        <f t="shared" si="1050"/>
        <v>Trimble</v>
      </c>
      <c r="M6354" s="105" t="str">
        <f t="shared" si="1051"/>
        <v>Derate</v>
      </c>
      <c r="N6354" s="105" t="str">
        <f t="shared" si="1052"/>
        <v>Coal</v>
      </c>
      <c r="O6354" s="105">
        <f>IFERROR(VLOOKUP(A6354,Lookup!$J$5:$P$19,7,FALSE),0)</f>
        <v>3</v>
      </c>
      <c r="P6354" s="159">
        <f t="shared" si="1053"/>
        <v>2017</v>
      </c>
      <c r="Q6354" s="159">
        <f t="shared" si="1054"/>
        <v>8</v>
      </c>
      <c r="R6354" s="160">
        <f t="shared" si="1055"/>
        <v>9.9999999999417923</v>
      </c>
      <c r="S6354" s="158">
        <f t="shared" si="1056"/>
        <v>4.3522012578363025</v>
      </c>
      <c r="T6354" s="161">
        <f t="shared" si="1057"/>
        <v>3251.0943396037178</v>
      </c>
      <c r="U6354" s="158">
        <f t="shared" si="1059"/>
        <v>325.10943396226418</v>
      </c>
      <c r="V6354" s="160">
        <f t="shared" si="1058"/>
        <v>325</v>
      </c>
    </row>
    <row r="6355" spans="1:22" x14ac:dyDescent="0.25">
      <c r="A6355" s="98" t="s">
        <v>69</v>
      </c>
      <c r="B6355" s="98" t="s">
        <v>105</v>
      </c>
      <c r="C6355" s="98">
        <v>52</v>
      </c>
      <c r="D6355" s="98">
        <v>1190</v>
      </c>
      <c r="E6355" s="157">
        <v>42967</v>
      </c>
      <c r="F6355" s="157">
        <v>42967.416666666664</v>
      </c>
      <c r="G6355" s="98">
        <v>449</v>
      </c>
      <c r="H6355" s="98">
        <v>795</v>
      </c>
      <c r="I6355" s="98">
        <v>747</v>
      </c>
      <c r="J6355" s="98" t="s">
        <v>2007</v>
      </c>
      <c r="K6355" s="98" t="s">
        <v>4940</v>
      </c>
      <c r="L6355" s="105" t="str">
        <f t="shared" si="1050"/>
        <v>Trimble</v>
      </c>
      <c r="M6355" s="105" t="str">
        <f t="shared" si="1051"/>
        <v>Derate</v>
      </c>
      <c r="N6355" s="105" t="str">
        <f t="shared" si="1052"/>
        <v>Coal</v>
      </c>
      <c r="O6355" s="105">
        <f>IFERROR(VLOOKUP(A6355,Lookup!$J$5:$P$19,7,FALSE),0)</f>
        <v>3</v>
      </c>
      <c r="P6355" s="159">
        <f t="shared" si="1053"/>
        <v>2017</v>
      </c>
      <c r="Q6355" s="159">
        <f t="shared" si="1054"/>
        <v>8</v>
      </c>
      <c r="R6355" s="160">
        <f t="shared" si="1055"/>
        <v>9.9999999999417923</v>
      </c>
      <c r="S6355" s="158">
        <f t="shared" si="1056"/>
        <v>4.3522012578363025</v>
      </c>
      <c r="T6355" s="161">
        <f t="shared" si="1057"/>
        <v>3251.0943396037178</v>
      </c>
      <c r="U6355" s="158">
        <f t="shared" si="1059"/>
        <v>325.10943396226418</v>
      </c>
      <c r="V6355" s="160">
        <f t="shared" si="1058"/>
        <v>325</v>
      </c>
    </row>
    <row r="6356" spans="1:22" x14ac:dyDescent="0.25">
      <c r="A6356" s="98" t="s">
        <v>69</v>
      </c>
      <c r="B6356" s="98" t="s">
        <v>79</v>
      </c>
      <c r="C6356" s="98">
        <v>53</v>
      </c>
      <c r="D6356" s="98">
        <v>8700</v>
      </c>
      <c r="E6356" s="157">
        <v>42970.291666666664</v>
      </c>
      <c r="F6356" s="157">
        <v>42970.75</v>
      </c>
      <c r="G6356" s="98">
        <v>0</v>
      </c>
      <c r="H6356" s="98">
        <v>795</v>
      </c>
      <c r="I6356" s="98">
        <v>747</v>
      </c>
      <c r="J6356" s="98" t="s">
        <v>1987</v>
      </c>
      <c r="K6356" s="98" t="s">
        <v>4428</v>
      </c>
      <c r="L6356" s="105" t="str">
        <f t="shared" si="1050"/>
        <v>Trimble</v>
      </c>
      <c r="M6356" s="105" t="str">
        <f t="shared" si="1051"/>
        <v>Other</v>
      </c>
      <c r="N6356" s="105" t="str">
        <f t="shared" si="1052"/>
        <v>Coal</v>
      </c>
      <c r="O6356" s="105">
        <f>IFERROR(VLOOKUP(A6356,Lookup!$J$5:$P$19,7,FALSE),0)</f>
        <v>3</v>
      </c>
      <c r="P6356" s="159">
        <f t="shared" si="1053"/>
        <v>2017</v>
      </c>
      <c r="Q6356" s="159">
        <f t="shared" si="1054"/>
        <v>8</v>
      </c>
      <c r="R6356" s="160">
        <f t="shared" si="1055"/>
        <v>11.000000000058208</v>
      </c>
      <c r="S6356" s="158">
        <f t="shared" si="1056"/>
        <v>11.000000000058208</v>
      </c>
      <c r="T6356" s="161">
        <f t="shared" si="1057"/>
        <v>8217.0000000434811</v>
      </c>
      <c r="U6356" s="158">
        <f t="shared" si="1059"/>
        <v>747</v>
      </c>
      <c r="V6356" s="160">
        <f t="shared" si="1058"/>
        <v>747</v>
      </c>
    </row>
    <row r="6357" spans="1:22" x14ac:dyDescent="0.25">
      <c r="A6357" s="98" t="s">
        <v>69</v>
      </c>
      <c r="B6357" s="98" t="s">
        <v>79</v>
      </c>
      <c r="C6357" s="98">
        <v>54</v>
      </c>
      <c r="D6357" s="98">
        <v>8700</v>
      </c>
      <c r="E6357" s="157">
        <v>42971.291666666664</v>
      </c>
      <c r="F6357" s="157">
        <v>42971.75</v>
      </c>
      <c r="G6357" s="98">
        <v>0</v>
      </c>
      <c r="H6357" s="98">
        <v>795</v>
      </c>
      <c r="I6357" s="98">
        <v>747</v>
      </c>
      <c r="J6357" s="98" t="s">
        <v>1987</v>
      </c>
      <c r="K6357" s="98" t="s">
        <v>4428</v>
      </c>
      <c r="L6357" s="105" t="str">
        <f t="shared" si="1050"/>
        <v>Trimble</v>
      </c>
      <c r="M6357" s="105" t="str">
        <f t="shared" si="1051"/>
        <v>Other</v>
      </c>
      <c r="N6357" s="105" t="str">
        <f t="shared" si="1052"/>
        <v>Coal</v>
      </c>
      <c r="O6357" s="105">
        <f>IFERROR(VLOOKUP(A6357,Lookup!$J$5:$P$19,7,FALSE),0)</f>
        <v>3</v>
      </c>
      <c r="P6357" s="159">
        <f t="shared" si="1053"/>
        <v>2017</v>
      </c>
      <c r="Q6357" s="159">
        <f t="shared" si="1054"/>
        <v>8</v>
      </c>
      <c r="R6357" s="160">
        <f t="shared" si="1055"/>
        <v>11.000000000058208</v>
      </c>
      <c r="S6357" s="158">
        <f t="shared" si="1056"/>
        <v>11.000000000058208</v>
      </c>
      <c r="T6357" s="161">
        <f t="shared" si="1057"/>
        <v>8217.0000000434811</v>
      </c>
      <c r="U6357" s="158">
        <f t="shared" si="1059"/>
        <v>747</v>
      </c>
      <c r="V6357" s="160">
        <f t="shared" si="1058"/>
        <v>747</v>
      </c>
    </row>
    <row r="6358" spans="1:22" x14ac:dyDescent="0.25">
      <c r="A6358" s="98" t="s">
        <v>69</v>
      </c>
      <c r="B6358" s="98" t="s">
        <v>105</v>
      </c>
      <c r="C6358" s="98">
        <v>55</v>
      </c>
      <c r="D6358" s="98">
        <v>1190</v>
      </c>
      <c r="E6358" s="157">
        <v>42974</v>
      </c>
      <c r="F6358" s="157">
        <v>42974.416666666664</v>
      </c>
      <c r="G6358" s="98">
        <v>449</v>
      </c>
      <c r="H6358" s="98">
        <v>795</v>
      </c>
      <c r="I6358" s="98">
        <v>747</v>
      </c>
      <c r="J6358" s="98" t="s">
        <v>2007</v>
      </c>
      <c r="K6358" s="98" t="s">
        <v>4940</v>
      </c>
      <c r="L6358" s="105" t="str">
        <f t="shared" si="1050"/>
        <v>Trimble</v>
      </c>
      <c r="M6358" s="105" t="str">
        <f t="shared" si="1051"/>
        <v>Derate</v>
      </c>
      <c r="N6358" s="105" t="str">
        <f t="shared" si="1052"/>
        <v>Coal</v>
      </c>
      <c r="O6358" s="105">
        <f>IFERROR(VLOOKUP(A6358,Lookup!$J$5:$P$19,7,FALSE),0)</f>
        <v>3</v>
      </c>
      <c r="P6358" s="159">
        <f t="shared" si="1053"/>
        <v>2017</v>
      </c>
      <c r="Q6358" s="159">
        <f t="shared" si="1054"/>
        <v>8</v>
      </c>
      <c r="R6358" s="160">
        <f t="shared" si="1055"/>
        <v>9.9999999999417923</v>
      </c>
      <c r="S6358" s="158">
        <f t="shared" si="1056"/>
        <v>4.3522012578363025</v>
      </c>
      <c r="T6358" s="161">
        <f t="shared" si="1057"/>
        <v>3251.0943396037178</v>
      </c>
      <c r="U6358" s="158">
        <f t="shared" si="1059"/>
        <v>325.10943396226418</v>
      </c>
      <c r="V6358" s="160">
        <f t="shared" si="1058"/>
        <v>325</v>
      </c>
    </row>
    <row r="6359" spans="1:22" x14ac:dyDescent="0.25">
      <c r="A6359" s="98" t="s">
        <v>69</v>
      </c>
      <c r="B6359" s="98" t="s">
        <v>105</v>
      </c>
      <c r="C6359" s="98">
        <v>56</v>
      </c>
      <c r="D6359" s="98">
        <v>1190</v>
      </c>
      <c r="E6359" s="157">
        <v>42981</v>
      </c>
      <c r="F6359" s="157">
        <v>42981.416666666664</v>
      </c>
      <c r="G6359" s="98">
        <v>448</v>
      </c>
      <c r="H6359" s="98">
        <v>795</v>
      </c>
      <c r="I6359" s="98">
        <v>747</v>
      </c>
      <c r="J6359" s="98" t="s">
        <v>2007</v>
      </c>
      <c r="K6359" s="98" t="s">
        <v>4941</v>
      </c>
      <c r="L6359" s="105" t="str">
        <f t="shared" si="1050"/>
        <v>Trimble</v>
      </c>
      <c r="M6359" s="105" t="str">
        <f t="shared" si="1051"/>
        <v>Derate</v>
      </c>
      <c r="N6359" s="105" t="str">
        <f t="shared" si="1052"/>
        <v>Coal</v>
      </c>
      <c r="O6359" s="105">
        <f>IFERROR(VLOOKUP(A6359,Lookup!$J$5:$P$19,7,FALSE),0)</f>
        <v>3</v>
      </c>
      <c r="P6359" s="159">
        <f t="shared" si="1053"/>
        <v>2017</v>
      </c>
      <c r="Q6359" s="159">
        <f t="shared" si="1054"/>
        <v>9</v>
      </c>
      <c r="R6359" s="160">
        <f t="shared" si="1055"/>
        <v>9.9999999999417923</v>
      </c>
      <c r="S6359" s="158">
        <f t="shared" si="1056"/>
        <v>4.3647798741884305</v>
      </c>
      <c r="T6359" s="161">
        <f t="shared" si="1057"/>
        <v>3260.4905660187574</v>
      </c>
      <c r="U6359" s="158">
        <f t="shared" si="1059"/>
        <v>326.04905660377358</v>
      </c>
      <c r="V6359" s="160">
        <f t="shared" si="1058"/>
        <v>326</v>
      </c>
    </row>
    <row r="6360" spans="1:22" x14ac:dyDescent="0.25">
      <c r="A6360" s="98" t="s">
        <v>69</v>
      </c>
      <c r="B6360" s="98" t="s">
        <v>17</v>
      </c>
      <c r="C6360" s="98">
        <v>57</v>
      </c>
      <c r="D6360" s="98">
        <v>3245</v>
      </c>
      <c r="E6360" s="157">
        <v>42985.982638888891</v>
      </c>
      <c r="F6360" s="157">
        <v>42986.166666666664</v>
      </c>
      <c r="G6360" s="98">
        <v>700</v>
      </c>
      <c r="H6360" s="98">
        <v>795</v>
      </c>
      <c r="I6360" s="98">
        <v>747</v>
      </c>
      <c r="J6360" s="98" t="s">
        <v>2199</v>
      </c>
      <c r="K6360" s="98" t="s">
        <v>4942</v>
      </c>
      <c r="L6360" s="105" t="str">
        <f t="shared" si="1050"/>
        <v>Trimble</v>
      </c>
      <c r="M6360" s="105" t="str">
        <f t="shared" si="1051"/>
        <v>Derate</v>
      </c>
      <c r="N6360" s="105" t="str">
        <f t="shared" si="1052"/>
        <v>Coal</v>
      </c>
      <c r="O6360" s="105">
        <f>IFERROR(VLOOKUP(A6360,Lookup!$J$5:$P$19,7,FALSE),0)</f>
        <v>3</v>
      </c>
      <c r="P6360" s="159">
        <f t="shared" si="1053"/>
        <v>2017</v>
      </c>
      <c r="Q6360" s="159">
        <f t="shared" si="1054"/>
        <v>9</v>
      </c>
      <c r="R6360" s="160">
        <f t="shared" si="1055"/>
        <v>4.4166666665696539</v>
      </c>
      <c r="S6360" s="158">
        <f t="shared" si="1056"/>
        <v>0.52777777776618506</v>
      </c>
      <c r="T6360" s="161">
        <f t="shared" si="1057"/>
        <v>394.24999999134025</v>
      </c>
      <c r="U6360" s="158">
        <f t="shared" si="1059"/>
        <v>89.264150943396231</v>
      </c>
      <c r="V6360" s="160">
        <f t="shared" si="1058"/>
        <v>89</v>
      </c>
    </row>
    <row r="6361" spans="1:22" x14ac:dyDescent="0.25">
      <c r="A6361" s="98" t="s">
        <v>69</v>
      </c>
      <c r="B6361" s="98" t="s">
        <v>105</v>
      </c>
      <c r="C6361" s="98">
        <v>58</v>
      </c>
      <c r="D6361" s="98">
        <v>1190</v>
      </c>
      <c r="E6361" s="157">
        <v>42988</v>
      </c>
      <c r="F6361" s="157">
        <v>42988.25</v>
      </c>
      <c r="G6361" s="98">
        <v>448</v>
      </c>
      <c r="H6361" s="98">
        <v>795</v>
      </c>
      <c r="I6361" s="98">
        <v>747</v>
      </c>
      <c r="J6361" s="98" t="s">
        <v>2007</v>
      </c>
      <c r="K6361" s="98" t="s">
        <v>4937</v>
      </c>
      <c r="L6361" s="105" t="str">
        <f t="shared" si="1050"/>
        <v>Trimble</v>
      </c>
      <c r="M6361" s="105" t="str">
        <f t="shared" si="1051"/>
        <v>Derate</v>
      </c>
      <c r="N6361" s="105" t="str">
        <f t="shared" si="1052"/>
        <v>Coal</v>
      </c>
      <c r="O6361" s="105">
        <f>IFERROR(VLOOKUP(A6361,Lookup!$J$5:$P$19,7,FALSE),0)</f>
        <v>3</v>
      </c>
      <c r="P6361" s="159">
        <f t="shared" si="1053"/>
        <v>2017</v>
      </c>
      <c r="Q6361" s="159">
        <f t="shared" si="1054"/>
        <v>9</v>
      </c>
      <c r="R6361" s="160">
        <f t="shared" si="1055"/>
        <v>6</v>
      </c>
      <c r="S6361" s="158">
        <f t="shared" si="1056"/>
        <v>2.6188679245283017</v>
      </c>
      <c r="T6361" s="161">
        <f t="shared" si="1057"/>
        <v>1956.2943396226415</v>
      </c>
      <c r="U6361" s="158">
        <f t="shared" si="1059"/>
        <v>326.04905660377358</v>
      </c>
      <c r="V6361" s="160">
        <f t="shared" si="1058"/>
        <v>326</v>
      </c>
    </row>
    <row r="6362" spans="1:22" x14ac:dyDescent="0.25">
      <c r="A6362" s="98" t="s">
        <v>69</v>
      </c>
      <c r="B6362" s="98" t="s">
        <v>32</v>
      </c>
      <c r="C6362" s="98">
        <v>59</v>
      </c>
      <c r="D6362" s="98">
        <v>9999</v>
      </c>
      <c r="E6362" s="157">
        <v>42988.25</v>
      </c>
      <c r="F6362" s="157">
        <v>42988.270833333336</v>
      </c>
      <c r="G6362" s="98">
        <v>430</v>
      </c>
      <c r="H6362" s="98">
        <v>795</v>
      </c>
      <c r="I6362" s="98">
        <v>747</v>
      </c>
      <c r="J6362" s="98" t="s">
        <v>2261</v>
      </c>
      <c r="K6362" s="98" t="s">
        <v>4943</v>
      </c>
      <c r="L6362" s="105" t="str">
        <f t="shared" si="1050"/>
        <v>Trimble</v>
      </c>
      <c r="M6362" s="105" t="str">
        <f t="shared" si="1051"/>
        <v>Derate</v>
      </c>
      <c r="N6362" s="105" t="str">
        <f t="shared" si="1052"/>
        <v>Coal</v>
      </c>
      <c r="O6362" s="105">
        <f>IFERROR(VLOOKUP(A6362,Lookup!$J$5:$P$19,7,FALSE),0)</f>
        <v>3</v>
      </c>
      <c r="P6362" s="159">
        <f t="shared" si="1053"/>
        <v>2017</v>
      </c>
      <c r="Q6362" s="159">
        <f t="shared" si="1054"/>
        <v>9</v>
      </c>
      <c r="R6362" s="160">
        <f t="shared" si="1055"/>
        <v>0.50000000005820766</v>
      </c>
      <c r="S6362" s="158">
        <f t="shared" si="1056"/>
        <v>0.22955974845439722</v>
      </c>
      <c r="T6362" s="161">
        <f t="shared" si="1057"/>
        <v>171.48113209543473</v>
      </c>
      <c r="U6362" s="158">
        <f t="shared" si="1059"/>
        <v>342.96226415094338</v>
      </c>
      <c r="V6362" s="160">
        <f t="shared" si="1058"/>
        <v>343</v>
      </c>
    </row>
    <row r="6363" spans="1:22" x14ac:dyDescent="0.25">
      <c r="A6363" s="98" t="s">
        <v>69</v>
      </c>
      <c r="B6363" s="98" t="s">
        <v>17</v>
      </c>
      <c r="C6363" s="98">
        <v>60</v>
      </c>
      <c r="D6363" s="98">
        <v>310</v>
      </c>
      <c r="E6363" s="157">
        <v>42988.270833333336</v>
      </c>
      <c r="F6363" s="157">
        <v>42988.286111111112</v>
      </c>
      <c r="G6363" s="98">
        <v>478</v>
      </c>
      <c r="H6363" s="98">
        <v>795</v>
      </c>
      <c r="I6363" s="98">
        <v>747</v>
      </c>
      <c r="J6363" s="98" t="s">
        <v>1966</v>
      </c>
      <c r="K6363" s="98" t="s">
        <v>4944</v>
      </c>
      <c r="L6363" s="105" t="str">
        <f t="shared" si="1050"/>
        <v>Trimble</v>
      </c>
      <c r="M6363" s="105" t="str">
        <f t="shared" si="1051"/>
        <v>Derate</v>
      </c>
      <c r="N6363" s="105" t="str">
        <f t="shared" si="1052"/>
        <v>Coal</v>
      </c>
      <c r="O6363" s="105">
        <f>IFERROR(VLOOKUP(A6363,Lookup!$J$5:$P$19,7,FALSE),0)</f>
        <v>3</v>
      </c>
      <c r="P6363" s="159">
        <f t="shared" si="1053"/>
        <v>2017</v>
      </c>
      <c r="Q6363" s="159">
        <f t="shared" si="1054"/>
        <v>9</v>
      </c>
      <c r="R6363" s="160">
        <f t="shared" si="1055"/>
        <v>0.36666666663950309</v>
      </c>
      <c r="S6363" s="158">
        <f t="shared" si="1056"/>
        <v>0.14620545072292135</v>
      </c>
      <c r="T6363" s="161">
        <f t="shared" si="1057"/>
        <v>109.21547169002224</v>
      </c>
      <c r="U6363" s="158">
        <f t="shared" si="1059"/>
        <v>297.86037735849055</v>
      </c>
      <c r="V6363" s="160">
        <f t="shared" si="1058"/>
        <v>298</v>
      </c>
    </row>
    <row r="6364" spans="1:22" x14ac:dyDescent="0.25">
      <c r="A6364" s="98" t="s">
        <v>69</v>
      </c>
      <c r="B6364" s="98" t="s">
        <v>32</v>
      </c>
      <c r="C6364" s="98">
        <v>61</v>
      </c>
      <c r="D6364" s="98">
        <v>9999</v>
      </c>
      <c r="E6364" s="157">
        <v>42988.286111111112</v>
      </c>
      <c r="F6364" s="157">
        <v>42988.62777777778</v>
      </c>
      <c r="G6364" s="98">
        <v>650</v>
      </c>
      <c r="H6364" s="98">
        <v>795</v>
      </c>
      <c r="I6364" s="98">
        <v>747</v>
      </c>
      <c r="J6364" s="98" t="s">
        <v>2261</v>
      </c>
      <c r="K6364" s="98" t="s">
        <v>4943</v>
      </c>
      <c r="L6364" s="105" t="str">
        <f t="shared" si="1050"/>
        <v>Trimble</v>
      </c>
      <c r="M6364" s="105" t="str">
        <f t="shared" si="1051"/>
        <v>Derate</v>
      </c>
      <c r="N6364" s="105" t="str">
        <f t="shared" si="1052"/>
        <v>Coal</v>
      </c>
      <c r="O6364" s="105">
        <f>IFERROR(VLOOKUP(A6364,Lookup!$J$5:$P$19,7,FALSE),0)</f>
        <v>3</v>
      </c>
      <c r="P6364" s="159">
        <f t="shared" si="1053"/>
        <v>2017</v>
      </c>
      <c r="Q6364" s="159">
        <f t="shared" si="1054"/>
        <v>9</v>
      </c>
      <c r="R6364" s="160">
        <f t="shared" si="1055"/>
        <v>8.2000000000116415</v>
      </c>
      <c r="S6364" s="158">
        <f t="shared" si="1056"/>
        <v>1.4955974842788529</v>
      </c>
      <c r="T6364" s="161">
        <f t="shared" si="1057"/>
        <v>1117.2113207563032</v>
      </c>
      <c r="U6364" s="158">
        <f t="shared" si="1059"/>
        <v>136.24528301886792</v>
      </c>
      <c r="V6364" s="160">
        <f t="shared" si="1058"/>
        <v>136</v>
      </c>
    </row>
    <row r="6365" spans="1:22" x14ac:dyDescent="0.25">
      <c r="A6365" s="98" t="s">
        <v>69</v>
      </c>
      <c r="B6365" s="98" t="s">
        <v>105</v>
      </c>
      <c r="C6365" s="98">
        <v>62</v>
      </c>
      <c r="D6365" s="98">
        <v>1190</v>
      </c>
      <c r="E6365" s="157">
        <v>42995</v>
      </c>
      <c r="F6365" s="157">
        <v>42995.416666666664</v>
      </c>
      <c r="G6365" s="98">
        <v>448</v>
      </c>
      <c r="H6365" s="98">
        <v>795</v>
      </c>
      <c r="I6365" s="98">
        <v>747</v>
      </c>
      <c r="J6365" s="98" t="s">
        <v>2007</v>
      </c>
      <c r="K6365" s="98" t="s">
        <v>4940</v>
      </c>
      <c r="L6365" s="105" t="str">
        <f t="shared" si="1050"/>
        <v>Trimble</v>
      </c>
      <c r="M6365" s="105" t="str">
        <f t="shared" si="1051"/>
        <v>Derate</v>
      </c>
      <c r="N6365" s="105" t="str">
        <f t="shared" si="1052"/>
        <v>Coal</v>
      </c>
      <c r="O6365" s="105">
        <f>IFERROR(VLOOKUP(A6365,Lookup!$J$5:$P$19,7,FALSE),0)</f>
        <v>3</v>
      </c>
      <c r="P6365" s="159">
        <f t="shared" si="1053"/>
        <v>2017</v>
      </c>
      <c r="Q6365" s="159">
        <f t="shared" si="1054"/>
        <v>9</v>
      </c>
      <c r="R6365" s="160">
        <f t="shared" si="1055"/>
        <v>9.9999999999417923</v>
      </c>
      <c r="S6365" s="158">
        <f t="shared" si="1056"/>
        <v>4.3647798741884305</v>
      </c>
      <c r="T6365" s="161">
        <f t="shared" si="1057"/>
        <v>3260.4905660187574</v>
      </c>
      <c r="U6365" s="158">
        <f t="shared" si="1059"/>
        <v>326.04905660377358</v>
      </c>
      <c r="V6365" s="160">
        <f t="shared" si="1058"/>
        <v>326</v>
      </c>
    </row>
    <row r="6366" spans="1:22" x14ac:dyDescent="0.25">
      <c r="A6366" s="98" t="s">
        <v>69</v>
      </c>
      <c r="B6366" s="98" t="s">
        <v>37</v>
      </c>
      <c r="C6366" s="98">
        <v>63</v>
      </c>
      <c r="D6366" s="98">
        <v>590</v>
      </c>
      <c r="E6366" s="157">
        <v>43000.997916666667</v>
      </c>
      <c r="F6366" s="157">
        <v>43001.568749999999</v>
      </c>
      <c r="G6366" s="98">
        <v>0</v>
      </c>
      <c r="H6366" s="98">
        <v>795</v>
      </c>
      <c r="I6366" s="98">
        <v>747</v>
      </c>
      <c r="J6366" s="98" t="s">
        <v>2116</v>
      </c>
      <c r="K6366" s="98" t="s">
        <v>4945</v>
      </c>
      <c r="L6366" s="105" t="str">
        <f t="shared" si="1050"/>
        <v>Trimble</v>
      </c>
      <c r="M6366" s="105" t="str">
        <f t="shared" si="1051"/>
        <v>Outage</v>
      </c>
      <c r="N6366" s="105" t="str">
        <f t="shared" si="1052"/>
        <v>Coal</v>
      </c>
      <c r="O6366" s="105">
        <f>IFERROR(VLOOKUP(A6366,Lookup!$J$5:$P$19,7,FALSE),0)</f>
        <v>3</v>
      </c>
      <c r="P6366" s="159">
        <f t="shared" si="1053"/>
        <v>2017</v>
      </c>
      <c r="Q6366" s="159">
        <f t="shared" si="1054"/>
        <v>9</v>
      </c>
      <c r="R6366" s="160">
        <f t="shared" si="1055"/>
        <v>13.699999999953434</v>
      </c>
      <c r="S6366" s="158">
        <f t="shared" si="1056"/>
        <v>13.699999999953434</v>
      </c>
      <c r="T6366" s="161">
        <f t="shared" si="1057"/>
        <v>10233.899999965215</v>
      </c>
      <c r="U6366" s="158">
        <f t="shared" si="1059"/>
        <v>747</v>
      </c>
      <c r="V6366" s="160">
        <f t="shared" si="1058"/>
        <v>747</v>
      </c>
    </row>
    <row r="6367" spans="1:22" x14ac:dyDescent="0.25">
      <c r="A6367" s="98" t="s">
        <v>69</v>
      </c>
      <c r="B6367" s="98" t="s">
        <v>105</v>
      </c>
      <c r="C6367" s="98">
        <v>64</v>
      </c>
      <c r="D6367" s="98">
        <v>1190</v>
      </c>
      <c r="E6367" s="157">
        <v>43009</v>
      </c>
      <c r="F6367" s="157">
        <v>43009.416666666664</v>
      </c>
      <c r="G6367" s="98">
        <v>448</v>
      </c>
      <c r="H6367" s="98">
        <v>795</v>
      </c>
      <c r="I6367" s="98">
        <v>747</v>
      </c>
      <c r="J6367" s="98" t="s">
        <v>2007</v>
      </c>
      <c r="K6367" s="98" t="s">
        <v>4946</v>
      </c>
      <c r="L6367" s="105" t="str">
        <f t="shared" si="1050"/>
        <v>Trimble</v>
      </c>
      <c r="M6367" s="105" t="str">
        <f t="shared" si="1051"/>
        <v>Derate</v>
      </c>
      <c r="N6367" s="105" t="str">
        <f t="shared" si="1052"/>
        <v>Coal</v>
      </c>
      <c r="O6367" s="105">
        <f>IFERROR(VLOOKUP(A6367,Lookup!$J$5:$P$19,7,FALSE),0)</f>
        <v>3</v>
      </c>
      <c r="P6367" s="159">
        <f t="shared" si="1053"/>
        <v>2017</v>
      </c>
      <c r="Q6367" s="159">
        <f t="shared" si="1054"/>
        <v>10</v>
      </c>
      <c r="R6367" s="160">
        <f t="shared" si="1055"/>
        <v>9.9999999999417923</v>
      </c>
      <c r="S6367" s="158">
        <f t="shared" si="1056"/>
        <v>4.3647798741884305</v>
      </c>
      <c r="T6367" s="161">
        <f t="shared" si="1057"/>
        <v>3260.4905660187574</v>
      </c>
      <c r="U6367" s="158">
        <f t="shared" si="1059"/>
        <v>326.04905660377358</v>
      </c>
      <c r="V6367" s="160">
        <f t="shared" si="1058"/>
        <v>326</v>
      </c>
    </row>
    <row r="6368" spans="1:22" x14ac:dyDescent="0.25">
      <c r="A6368" s="98" t="s">
        <v>69</v>
      </c>
      <c r="B6368" s="98" t="s">
        <v>105</v>
      </c>
      <c r="C6368" s="98">
        <v>65</v>
      </c>
      <c r="D6368" s="98">
        <v>1190</v>
      </c>
      <c r="E6368" s="157">
        <v>43016</v>
      </c>
      <c r="F6368" s="157">
        <v>43016.416666666664</v>
      </c>
      <c r="G6368" s="98">
        <v>435</v>
      </c>
      <c r="H6368" s="98">
        <v>795</v>
      </c>
      <c r="I6368" s="98">
        <v>747</v>
      </c>
      <c r="J6368" s="98" t="s">
        <v>2007</v>
      </c>
      <c r="K6368" s="98" t="s">
        <v>4940</v>
      </c>
      <c r="L6368" s="105" t="str">
        <f t="shared" si="1050"/>
        <v>Trimble</v>
      </c>
      <c r="M6368" s="105" t="str">
        <f t="shared" si="1051"/>
        <v>Derate</v>
      </c>
      <c r="N6368" s="105" t="str">
        <f t="shared" si="1052"/>
        <v>Coal</v>
      </c>
      <c r="O6368" s="105">
        <f>IFERROR(VLOOKUP(A6368,Lookup!$J$5:$P$19,7,FALSE),0)</f>
        <v>3</v>
      </c>
      <c r="P6368" s="159">
        <f t="shared" si="1053"/>
        <v>2017</v>
      </c>
      <c r="Q6368" s="159">
        <f t="shared" si="1054"/>
        <v>10</v>
      </c>
      <c r="R6368" s="160">
        <f t="shared" si="1055"/>
        <v>9.9999999999417923</v>
      </c>
      <c r="S6368" s="158">
        <f t="shared" si="1056"/>
        <v>4.5283018867660942</v>
      </c>
      <c r="T6368" s="161">
        <f t="shared" si="1057"/>
        <v>3382.6415094142726</v>
      </c>
      <c r="U6368" s="158">
        <f t="shared" si="1059"/>
        <v>338.2641509433962</v>
      </c>
      <c r="V6368" s="160">
        <f t="shared" si="1058"/>
        <v>338</v>
      </c>
    </row>
    <row r="6369" spans="1:22" x14ac:dyDescent="0.25">
      <c r="A6369" s="98" t="s">
        <v>69</v>
      </c>
      <c r="B6369" s="98" t="s">
        <v>17</v>
      </c>
      <c r="C6369" s="98">
        <v>66</v>
      </c>
      <c r="D6369" s="98">
        <v>310</v>
      </c>
      <c r="E6369" s="157">
        <v>43019.998611111114</v>
      </c>
      <c r="F6369" s="157">
        <v>43020.291666666664</v>
      </c>
      <c r="G6369" s="98">
        <v>493</v>
      </c>
      <c r="H6369" s="98">
        <v>795</v>
      </c>
      <c r="I6369" s="98">
        <v>747</v>
      </c>
      <c r="J6369" s="98" t="s">
        <v>1966</v>
      </c>
      <c r="K6369" s="98" t="s">
        <v>4947</v>
      </c>
      <c r="L6369" s="105" t="str">
        <f t="shared" si="1050"/>
        <v>Trimble</v>
      </c>
      <c r="M6369" s="105" t="str">
        <f t="shared" si="1051"/>
        <v>Derate</v>
      </c>
      <c r="N6369" s="105" t="str">
        <f t="shared" si="1052"/>
        <v>Coal</v>
      </c>
      <c r="O6369" s="105">
        <f>IFERROR(VLOOKUP(A6369,Lookup!$J$5:$P$19,7,FALSE),0)</f>
        <v>3</v>
      </c>
      <c r="P6369" s="159">
        <f t="shared" si="1053"/>
        <v>2017</v>
      </c>
      <c r="Q6369" s="159">
        <f t="shared" si="1054"/>
        <v>10</v>
      </c>
      <c r="R6369" s="160">
        <f t="shared" si="1055"/>
        <v>7.033333333209157</v>
      </c>
      <c r="S6369" s="158">
        <f t="shared" si="1056"/>
        <v>2.6717819706027237</v>
      </c>
      <c r="T6369" s="161">
        <f t="shared" si="1057"/>
        <v>1995.8211320402347</v>
      </c>
      <c r="U6369" s="158">
        <f t="shared" si="1059"/>
        <v>283.76603773584907</v>
      </c>
      <c r="V6369" s="160">
        <f t="shared" si="1058"/>
        <v>284</v>
      </c>
    </row>
    <row r="6370" spans="1:22" x14ac:dyDescent="0.25">
      <c r="A6370" s="98" t="s">
        <v>69</v>
      </c>
      <c r="B6370" s="98" t="s">
        <v>105</v>
      </c>
      <c r="C6370" s="98">
        <v>67</v>
      </c>
      <c r="D6370" s="98">
        <v>1190</v>
      </c>
      <c r="E6370" s="157">
        <v>43023</v>
      </c>
      <c r="F6370" s="157">
        <v>43023.416666666664</v>
      </c>
      <c r="G6370" s="98">
        <v>435</v>
      </c>
      <c r="H6370" s="98">
        <v>795</v>
      </c>
      <c r="I6370" s="98">
        <v>747</v>
      </c>
      <c r="J6370" s="98" t="s">
        <v>2007</v>
      </c>
      <c r="K6370" s="98" t="s">
        <v>4940</v>
      </c>
      <c r="L6370" s="105" t="str">
        <f t="shared" si="1050"/>
        <v>Trimble</v>
      </c>
      <c r="M6370" s="105" t="str">
        <f t="shared" si="1051"/>
        <v>Derate</v>
      </c>
      <c r="N6370" s="105" t="str">
        <f t="shared" si="1052"/>
        <v>Coal</v>
      </c>
      <c r="O6370" s="105">
        <f>IFERROR(VLOOKUP(A6370,Lookup!$J$5:$P$19,7,FALSE),0)</f>
        <v>3</v>
      </c>
      <c r="P6370" s="159">
        <f t="shared" si="1053"/>
        <v>2017</v>
      </c>
      <c r="Q6370" s="159">
        <f t="shared" si="1054"/>
        <v>10</v>
      </c>
      <c r="R6370" s="160">
        <f t="shared" si="1055"/>
        <v>9.9999999999417923</v>
      </c>
      <c r="S6370" s="158">
        <f t="shared" si="1056"/>
        <v>4.5283018867660942</v>
      </c>
      <c r="T6370" s="161">
        <f t="shared" si="1057"/>
        <v>3382.6415094142726</v>
      </c>
      <c r="U6370" s="158">
        <f t="shared" si="1059"/>
        <v>338.2641509433962</v>
      </c>
      <c r="V6370" s="160">
        <f t="shared" si="1058"/>
        <v>338</v>
      </c>
    </row>
    <row r="6371" spans="1:22" x14ac:dyDescent="0.25">
      <c r="A6371" s="98" t="s">
        <v>69</v>
      </c>
      <c r="B6371" s="98" t="s">
        <v>105</v>
      </c>
      <c r="C6371" s="98">
        <v>68</v>
      </c>
      <c r="D6371" s="98">
        <v>1190</v>
      </c>
      <c r="E6371" s="157">
        <v>43030</v>
      </c>
      <c r="F6371" s="157">
        <v>43030.3125</v>
      </c>
      <c r="G6371" s="98">
        <v>435</v>
      </c>
      <c r="H6371" s="98">
        <v>795</v>
      </c>
      <c r="I6371" s="98">
        <v>747</v>
      </c>
      <c r="J6371" s="98" t="s">
        <v>2007</v>
      </c>
      <c r="K6371" s="98" t="s">
        <v>4937</v>
      </c>
      <c r="L6371" s="105" t="str">
        <f t="shared" si="1050"/>
        <v>Trimble</v>
      </c>
      <c r="M6371" s="105" t="str">
        <f t="shared" si="1051"/>
        <v>Derate</v>
      </c>
      <c r="N6371" s="105" t="str">
        <f t="shared" si="1052"/>
        <v>Coal</v>
      </c>
      <c r="O6371" s="105">
        <f>IFERROR(VLOOKUP(A6371,Lookup!$J$5:$P$19,7,FALSE),0)</f>
        <v>3</v>
      </c>
      <c r="P6371" s="159">
        <f t="shared" si="1053"/>
        <v>2017</v>
      </c>
      <c r="Q6371" s="159">
        <f t="shared" si="1054"/>
        <v>10</v>
      </c>
      <c r="R6371" s="160">
        <f t="shared" si="1055"/>
        <v>7.5</v>
      </c>
      <c r="S6371" s="158">
        <f t="shared" si="1056"/>
        <v>3.3962264150943398</v>
      </c>
      <c r="T6371" s="161">
        <f t="shared" si="1057"/>
        <v>2536.9811320754716</v>
      </c>
      <c r="U6371" s="158">
        <f t="shared" si="1059"/>
        <v>338.2641509433962</v>
      </c>
      <c r="V6371" s="160">
        <f t="shared" si="1058"/>
        <v>338</v>
      </c>
    </row>
    <row r="6372" spans="1:22" x14ac:dyDescent="0.25">
      <c r="A6372" s="98" t="s">
        <v>69</v>
      </c>
      <c r="B6372" s="98" t="s">
        <v>17</v>
      </c>
      <c r="C6372" s="98">
        <v>69</v>
      </c>
      <c r="D6372" s="98">
        <v>310</v>
      </c>
      <c r="E6372" s="157">
        <v>43030.3125</v>
      </c>
      <c r="F6372" s="157">
        <v>43030.331250000003</v>
      </c>
      <c r="G6372" s="98">
        <v>435</v>
      </c>
      <c r="H6372" s="98">
        <v>795</v>
      </c>
      <c r="I6372" s="98">
        <v>747</v>
      </c>
      <c r="J6372" s="98" t="s">
        <v>1966</v>
      </c>
      <c r="K6372" s="98" t="s">
        <v>4948</v>
      </c>
      <c r="L6372" s="105" t="str">
        <f t="shared" si="1050"/>
        <v>Trimble</v>
      </c>
      <c r="M6372" s="105" t="str">
        <f t="shared" si="1051"/>
        <v>Derate</v>
      </c>
      <c r="N6372" s="105" t="str">
        <f t="shared" si="1052"/>
        <v>Coal</v>
      </c>
      <c r="O6372" s="105">
        <f>IFERROR(VLOOKUP(A6372,Lookup!$J$5:$P$19,7,FALSE),0)</f>
        <v>3</v>
      </c>
      <c r="P6372" s="159">
        <f t="shared" si="1053"/>
        <v>2017</v>
      </c>
      <c r="Q6372" s="159">
        <f t="shared" si="1054"/>
        <v>10</v>
      </c>
      <c r="R6372" s="160">
        <f t="shared" si="1055"/>
        <v>0.45000000006984919</v>
      </c>
      <c r="S6372" s="158">
        <f t="shared" si="1056"/>
        <v>0.2037735849372902</v>
      </c>
      <c r="T6372" s="161">
        <f t="shared" si="1057"/>
        <v>152.21886794815578</v>
      </c>
      <c r="U6372" s="158">
        <f t="shared" si="1059"/>
        <v>338.2641509433962</v>
      </c>
      <c r="V6372" s="160">
        <f t="shared" si="1058"/>
        <v>338</v>
      </c>
    </row>
    <row r="6373" spans="1:22" x14ac:dyDescent="0.25">
      <c r="A6373" s="98" t="s">
        <v>69</v>
      </c>
      <c r="B6373" s="98" t="s">
        <v>105</v>
      </c>
      <c r="C6373" s="98">
        <v>70</v>
      </c>
      <c r="D6373" s="98">
        <v>1190</v>
      </c>
      <c r="E6373" s="157">
        <v>43030.331250000003</v>
      </c>
      <c r="F6373" s="157">
        <v>43030.416666666664</v>
      </c>
      <c r="G6373" s="98">
        <v>435</v>
      </c>
      <c r="H6373" s="98">
        <v>795</v>
      </c>
      <c r="I6373" s="98">
        <v>747</v>
      </c>
      <c r="J6373" s="98" t="s">
        <v>2007</v>
      </c>
      <c r="K6373" s="98" t="s">
        <v>4949</v>
      </c>
      <c r="L6373" s="105" t="str">
        <f t="shared" si="1050"/>
        <v>Trimble</v>
      </c>
      <c r="M6373" s="105" t="str">
        <f t="shared" si="1051"/>
        <v>Derate</v>
      </c>
      <c r="N6373" s="105" t="str">
        <f t="shared" si="1052"/>
        <v>Coal</v>
      </c>
      <c r="O6373" s="105">
        <f>IFERROR(VLOOKUP(A6373,Lookup!$J$5:$P$19,7,FALSE),0)</f>
        <v>3</v>
      </c>
      <c r="P6373" s="159">
        <f t="shared" si="1053"/>
        <v>2017</v>
      </c>
      <c r="Q6373" s="159">
        <f t="shared" si="1054"/>
        <v>10</v>
      </c>
      <c r="R6373" s="160">
        <f t="shared" si="1055"/>
        <v>2.0499999998719431</v>
      </c>
      <c r="S6373" s="158">
        <f t="shared" si="1056"/>
        <v>0.92830188673446479</v>
      </c>
      <c r="T6373" s="161">
        <f t="shared" si="1057"/>
        <v>693.44150939064525</v>
      </c>
      <c r="U6373" s="158">
        <f t="shared" si="1059"/>
        <v>338.2641509433962</v>
      </c>
      <c r="V6373" s="160">
        <f t="shared" si="1058"/>
        <v>338</v>
      </c>
    </row>
    <row r="6374" spans="1:22" x14ac:dyDescent="0.25">
      <c r="A6374" s="98" t="s">
        <v>69</v>
      </c>
      <c r="B6374" s="98" t="s">
        <v>105</v>
      </c>
      <c r="C6374" s="98">
        <v>71</v>
      </c>
      <c r="D6374" s="98">
        <v>1190</v>
      </c>
      <c r="E6374" s="157">
        <v>43037</v>
      </c>
      <c r="F6374" s="157">
        <v>43037.413194444445</v>
      </c>
      <c r="G6374" s="98">
        <v>448</v>
      </c>
      <c r="H6374" s="98">
        <v>795</v>
      </c>
      <c r="I6374" s="98">
        <v>747</v>
      </c>
      <c r="J6374" s="98" t="s">
        <v>2007</v>
      </c>
      <c r="K6374" s="98" t="s">
        <v>4937</v>
      </c>
      <c r="L6374" s="105" t="str">
        <f t="shared" si="1050"/>
        <v>Trimble</v>
      </c>
      <c r="M6374" s="105" t="str">
        <f t="shared" si="1051"/>
        <v>Derate</v>
      </c>
      <c r="N6374" s="105" t="str">
        <f t="shared" si="1052"/>
        <v>Coal</v>
      </c>
      <c r="O6374" s="105">
        <f>IFERROR(VLOOKUP(A6374,Lookup!$J$5:$P$19,7,FALSE),0)</f>
        <v>3</v>
      </c>
      <c r="P6374" s="159">
        <f t="shared" si="1053"/>
        <v>2017</v>
      </c>
      <c r="Q6374" s="159">
        <f t="shared" si="1054"/>
        <v>10</v>
      </c>
      <c r="R6374" s="160">
        <f t="shared" si="1055"/>
        <v>9.9166666666860692</v>
      </c>
      <c r="S6374" s="158">
        <f t="shared" si="1056"/>
        <v>4.3284067086038567</v>
      </c>
      <c r="T6374" s="161">
        <f t="shared" si="1057"/>
        <v>3233.319811327081</v>
      </c>
      <c r="U6374" s="158">
        <f t="shared" si="1059"/>
        <v>326.04905660377358</v>
      </c>
      <c r="V6374" s="160">
        <f t="shared" si="1058"/>
        <v>326</v>
      </c>
    </row>
    <row r="6375" spans="1:22" x14ac:dyDescent="0.25">
      <c r="A6375" s="98" t="s">
        <v>69</v>
      </c>
      <c r="B6375" s="98" t="s">
        <v>17</v>
      </c>
      <c r="C6375" s="98">
        <v>72</v>
      </c>
      <c r="D6375" s="98">
        <v>300</v>
      </c>
      <c r="E6375" s="157">
        <v>43038.671527777777</v>
      </c>
      <c r="F6375" s="157">
        <v>43038.740972222222</v>
      </c>
      <c r="G6375" s="98">
        <v>625</v>
      </c>
      <c r="H6375" s="98">
        <v>795</v>
      </c>
      <c r="I6375" s="98">
        <v>747</v>
      </c>
      <c r="J6375" s="98" t="s">
        <v>1977</v>
      </c>
      <c r="K6375" s="98" t="s">
        <v>4950</v>
      </c>
      <c r="L6375" s="105" t="str">
        <f t="shared" si="1050"/>
        <v>Trimble</v>
      </c>
      <c r="M6375" s="105" t="str">
        <f t="shared" si="1051"/>
        <v>Derate</v>
      </c>
      <c r="N6375" s="105" t="str">
        <f t="shared" si="1052"/>
        <v>Coal</v>
      </c>
      <c r="O6375" s="105">
        <f>IFERROR(VLOOKUP(A6375,Lookup!$J$5:$P$19,7,FALSE),0)</f>
        <v>3</v>
      </c>
      <c r="P6375" s="159">
        <f t="shared" si="1053"/>
        <v>2017</v>
      </c>
      <c r="Q6375" s="159">
        <f t="shared" si="1054"/>
        <v>10</v>
      </c>
      <c r="R6375" s="160">
        <f t="shared" si="1055"/>
        <v>1.6666666666860692</v>
      </c>
      <c r="S6375" s="158">
        <f t="shared" si="1056"/>
        <v>0.35639412998318459</v>
      </c>
      <c r="T6375" s="161">
        <f t="shared" si="1057"/>
        <v>266.22641509743892</v>
      </c>
      <c r="U6375" s="158">
        <f t="shared" si="1059"/>
        <v>159.73584905660377</v>
      </c>
      <c r="V6375" s="160">
        <f t="shared" si="1058"/>
        <v>160</v>
      </c>
    </row>
    <row r="6376" spans="1:22" x14ac:dyDescent="0.25">
      <c r="A6376" s="98" t="s">
        <v>69</v>
      </c>
      <c r="B6376" s="98" t="s">
        <v>105</v>
      </c>
      <c r="C6376" s="98">
        <v>73</v>
      </c>
      <c r="D6376" s="98">
        <v>1190</v>
      </c>
      <c r="E6376" s="157">
        <v>43043</v>
      </c>
      <c r="F6376" s="157">
        <v>43043.416666666664</v>
      </c>
      <c r="G6376" s="98">
        <v>448</v>
      </c>
      <c r="H6376" s="98">
        <v>795</v>
      </c>
      <c r="I6376" s="98">
        <v>747</v>
      </c>
      <c r="J6376" s="98" t="s">
        <v>2007</v>
      </c>
      <c r="K6376" s="98" t="s">
        <v>4940</v>
      </c>
      <c r="L6376" s="105" t="str">
        <f t="shared" si="1050"/>
        <v>Trimble</v>
      </c>
      <c r="M6376" s="105" t="str">
        <f t="shared" si="1051"/>
        <v>Derate</v>
      </c>
      <c r="N6376" s="105" t="str">
        <f t="shared" si="1052"/>
        <v>Coal</v>
      </c>
      <c r="O6376" s="105">
        <f>IFERROR(VLOOKUP(A6376,Lookup!$J$5:$P$19,7,FALSE),0)</f>
        <v>3</v>
      </c>
      <c r="P6376" s="159">
        <f t="shared" si="1053"/>
        <v>2017</v>
      </c>
      <c r="Q6376" s="159">
        <f t="shared" si="1054"/>
        <v>11</v>
      </c>
      <c r="R6376" s="160">
        <f t="shared" si="1055"/>
        <v>9.9999999999417923</v>
      </c>
      <c r="S6376" s="158">
        <f t="shared" si="1056"/>
        <v>4.3647798741884305</v>
      </c>
      <c r="T6376" s="161">
        <f t="shared" si="1057"/>
        <v>3260.4905660187574</v>
      </c>
      <c r="U6376" s="158">
        <f t="shared" si="1059"/>
        <v>326.04905660377358</v>
      </c>
      <c r="V6376" s="160">
        <f t="shared" si="1058"/>
        <v>326</v>
      </c>
    </row>
    <row r="6377" spans="1:22" x14ac:dyDescent="0.25">
      <c r="A6377" s="98" t="s">
        <v>69</v>
      </c>
      <c r="B6377" s="98" t="s">
        <v>17</v>
      </c>
      <c r="C6377" s="98">
        <v>74</v>
      </c>
      <c r="D6377" s="98">
        <v>3504</v>
      </c>
      <c r="E6377" s="157">
        <v>43049.208333333336</v>
      </c>
      <c r="F6377" s="157">
        <v>43049.451388888891</v>
      </c>
      <c r="G6377" s="98">
        <v>748</v>
      </c>
      <c r="H6377" s="98">
        <v>795</v>
      </c>
      <c r="I6377" s="98">
        <v>747</v>
      </c>
      <c r="J6377" s="98" t="s">
        <v>2289</v>
      </c>
      <c r="K6377" s="98" t="s">
        <v>4951</v>
      </c>
      <c r="L6377" s="105" t="str">
        <f t="shared" si="1050"/>
        <v>Trimble</v>
      </c>
      <c r="M6377" s="105" t="str">
        <f t="shared" si="1051"/>
        <v>Derate</v>
      </c>
      <c r="N6377" s="105" t="str">
        <f t="shared" si="1052"/>
        <v>Coal</v>
      </c>
      <c r="O6377" s="105">
        <f>IFERROR(VLOOKUP(A6377,Lookup!$J$5:$P$19,7,FALSE),0)</f>
        <v>3</v>
      </c>
      <c r="P6377" s="159">
        <f t="shared" si="1053"/>
        <v>2017</v>
      </c>
      <c r="Q6377" s="159">
        <f t="shared" si="1054"/>
        <v>11</v>
      </c>
      <c r="R6377" s="160">
        <f t="shared" si="1055"/>
        <v>5.8333333333139308</v>
      </c>
      <c r="S6377" s="158">
        <f t="shared" si="1056"/>
        <v>0.34486373165503742</v>
      </c>
      <c r="T6377" s="161">
        <f t="shared" si="1057"/>
        <v>257.61320754631294</v>
      </c>
      <c r="U6377" s="158">
        <f t="shared" si="1059"/>
        <v>44.162264150943393</v>
      </c>
      <c r="V6377" s="160">
        <f t="shared" si="1058"/>
        <v>44</v>
      </c>
    </row>
    <row r="6378" spans="1:22" x14ac:dyDescent="0.25">
      <c r="A6378" s="98" t="s">
        <v>69</v>
      </c>
      <c r="B6378" s="98" t="s">
        <v>105</v>
      </c>
      <c r="C6378" s="98">
        <v>75</v>
      </c>
      <c r="D6378" s="98">
        <v>1190</v>
      </c>
      <c r="E6378" s="157">
        <v>43050.916666666664</v>
      </c>
      <c r="F6378" s="157">
        <v>43051.106944444444</v>
      </c>
      <c r="G6378" s="98">
        <v>448</v>
      </c>
      <c r="H6378" s="98">
        <v>795</v>
      </c>
      <c r="I6378" s="98">
        <v>747</v>
      </c>
      <c r="J6378" s="98" t="s">
        <v>2007</v>
      </c>
      <c r="K6378" s="98" t="s">
        <v>4952</v>
      </c>
      <c r="L6378" s="105" t="str">
        <f t="shared" si="1050"/>
        <v>Trimble</v>
      </c>
      <c r="M6378" s="105" t="str">
        <f t="shared" si="1051"/>
        <v>Derate</v>
      </c>
      <c r="N6378" s="105" t="str">
        <f t="shared" si="1052"/>
        <v>Coal</v>
      </c>
      <c r="O6378" s="105">
        <f>IFERROR(VLOOKUP(A6378,Lookup!$J$5:$P$19,7,FALSE),0)</f>
        <v>3</v>
      </c>
      <c r="P6378" s="159">
        <f t="shared" si="1053"/>
        <v>2017</v>
      </c>
      <c r="Q6378" s="159">
        <f t="shared" si="1054"/>
        <v>11</v>
      </c>
      <c r="R6378" s="160">
        <f t="shared" si="1055"/>
        <v>4.5666666667093523</v>
      </c>
      <c r="S6378" s="158">
        <f t="shared" si="1056"/>
        <v>1.9932494759096167</v>
      </c>
      <c r="T6378" s="161">
        <f t="shared" si="1057"/>
        <v>1488.9573585044836</v>
      </c>
      <c r="U6378" s="158">
        <f t="shared" si="1059"/>
        <v>326.04905660377358</v>
      </c>
      <c r="V6378" s="160">
        <f t="shared" si="1058"/>
        <v>326</v>
      </c>
    </row>
    <row r="6379" spans="1:22" x14ac:dyDescent="0.25">
      <c r="A6379" s="98" t="s">
        <v>69</v>
      </c>
      <c r="B6379" s="98" t="s">
        <v>17</v>
      </c>
      <c r="C6379" s="98">
        <v>76</v>
      </c>
      <c r="D6379" s="98">
        <v>310</v>
      </c>
      <c r="E6379" s="157">
        <v>43051.106944444444</v>
      </c>
      <c r="F6379" s="157">
        <v>43051.131944444445</v>
      </c>
      <c r="G6379" s="98">
        <v>292</v>
      </c>
      <c r="H6379" s="98">
        <v>795</v>
      </c>
      <c r="I6379" s="98">
        <v>747</v>
      </c>
      <c r="J6379" s="98" t="s">
        <v>1966</v>
      </c>
      <c r="K6379" s="98" t="s">
        <v>4953</v>
      </c>
      <c r="L6379" s="105" t="str">
        <f t="shared" si="1050"/>
        <v>Trimble</v>
      </c>
      <c r="M6379" s="105" t="str">
        <f t="shared" si="1051"/>
        <v>Derate</v>
      </c>
      <c r="N6379" s="105" t="str">
        <f t="shared" si="1052"/>
        <v>Coal</v>
      </c>
      <c r="O6379" s="105">
        <f>IFERROR(VLOOKUP(A6379,Lookup!$J$5:$P$19,7,FALSE),0)</f>
        <v>3</v>
      </c>
      <c r="P6379" s="159">
        <f t="shared" si="1053"/>
        <v>2017</v>
      </c>
      <c r="Q6379" s="159">
        <f t="shared" si="1054"/>
        <v>11</v>
      </c>
      <c r="R6379" s="160">
        <f t="shared" si="1055"/>
        <v>0.6000000000349246</v>
      </c>
      <c r="S6379" s="158">
        <f t="shared" si="1056"/>
        <v>0.37962264153153091</v>
      </c>
      <c r="T6379" s="161">
        <f t="shared" si="1057"/>
        <v>283.5781132240536</v>
      </c>
      <c r="U6379" s="158">
        <f t="shared" si="1059"/>
        <v>472.63018867924529</v>
      </c>
      <c r="V6379" s="160">
        <f t="shared" si="1058"/>
        <v>473</v>
      </c>
    </row>
    <row r="6380" spans="1:22" x14ac:dyDescent="0.25">
      <c r="A6380" s="98" t="s">
        <v>69</v>
      </c>
      <c r="B6380" s="98" t="s">
        <v>105</v>
      </c>
      <c r="C6380" s="98">
        <v>77</v>
      </c>
      <c r="D6380" s="98">
        <v>1190</v>
      </c>
      <c r="E6380" s="157">
        <v>43051.131944444445</v>
      </c>
      <c r="F6380" s="157">
        <v>43051.291666666664</v>
      </c>
      <c r="G6380" s="98">
        <v>448</v>
      </c>
      <c r="H6380" s="98">
        <v>795</v>
      </c>
      <c r="I6380" s="98">
        <v>747</v>
      </c>
      <c r="J6380" s="98" t="s">
        <v>2007</v>
      </c>
      <c r="K6380" s="98" t="s">
        <v>4954</v>
      </c>
      <c r="L6380" s="105" t="str">
        <f t="shared" si="1050"/>
        <v>Trimble</v>
      </c>
      <c r="M6380" s="105" t="str">
        <f t="shared" si="1051"/>
        <v>Derate</v>
      </c>
      <c r="N6380" s="105" t="str">
        <f t="shared" si="1052"/>
        <v>Coal</v>
      </c>
      <c r="O6380" s="105">
        <f>IFERROR(VLOOKUP(A6380,Lookup!$J$5:$P$19,7,FALSE),0)</f>
        <v>3</v>
      </c>
      <c r="P6380" s="159">
        <f t="shared" si="1053"/>
        <v>2017</v>
      </c>
      <c r="Q6380" s="159">
        <f t="shared" si="1054"/>
        <v>11</v>
      </c>
      <c r="R6380" s="160">
        <f t="shared" si="1055"/>
        <v>3.8333333332557231</v>
      </c>
      <c r="S6380" s="158">
        <f t="shared" si="1056"/>
        <v>1.6731656184147621</v>
      </c>
      <c r="T6380" s="161">
        <f t="shared" si="1057"/>
        <v>1249.8547169558274</v>
      </c>
      <c r="U6380" s="158">
        <f t="shared" si="1059"/>
        <v>326.04905660377358</v>
      </c>
      <c r="V6380" s="160">
        <f t="shared" si="1058"/>
        <v>326</v>
      </c>
    </row>
    <row r="6381" spans="1:22" x14ac:dyDescent="0.25">
      <c r="A6381" s="98" t="s">
        <v>69</v>
      </c>
      <c r="B6381" s="98" t="s">
        <v>17</v>
      </c>
      <c r="C6381" s="98">
        <v>78</v>
      </c>
      <c r="D6381" s="98">
        <v>85</v>
      </c>
      <c r="E6381" s="157">
        <v>43051.745833333334</v>
      </c>
      <c r="F6381" s="157">
        <v>43051.777777777781</v>
      </c>
      <c r="G6381" s="98">
        <v>625</v>
      </c>
      <c r="H6381" s="98">
        <v>795</v>
      </c>
      <c r="I6381" s="98">
        <v>747</v>
      </c>
      <c r="J6381" s="98" t="s">
        <v>3776</v>
      </c>
      <c r="K6381" s="98" t="s">
        <v>4955</v>
      </c>
      <c r="L6381" s="105" t="str">
        <f t="shared" si="1050"/>
        <v>Trimble</v>
      </c>
      <c r="M6381" s="105" t="str">
        <f t="shared" si="1051"/>
        <v>Derate</v>
      </c>
      <c r="N6381" s="105" t="str">
        <f t="shared" si="1052"/>
        <v>Coal</v>
      </c>
      <c r="O6381" s="105">
        <f>IFERROR(VLOOKUP(A6381,Lookup!$J$5:$P$19,7,FALSE),0)</f>
        <v>3</v>
      </c>
      <c r="P6381" s="159">
        <f t="shared" si="1053"/>
        <v>2017</v>
      </c>
      <c r="Q6381" s="159">
        <f t="shared" si="1054"/>
        <v>11</v>
      </c>
      <c r="R6381" s="160">
        <f t="shared" si="1055"/>
        <v>0.76666666672099382</v>
      </c>
      <c r="S6381" s="158">
        <f t="shared" si="1056"/>
        <v>0.16394129980197353</v>
      </c>
      <c r="T6381" s="161">
        <f t="shared" si="1057"/>
        <v>122.46415095207422</v>
      </c>
      <c r="U6381" s="158">
        <f t="shared" si="1059"/>
        <v>159.73584905660377</v>
      </c>
      <c r="V6381" s="160">
        <f t="shared" si="1058"/>
        <v>160</v>
      </c>
    </row>
    <row r="6382" spans="1:22" x14ac:dyDescent="0.25">
      <c r="A6382" s="98" t="s">
        <v>69</v>
      </c>
      <c r="B6382" s="98" t="s">
        <v>105</v>
      </c>
      <c r="C6382" s="98">
        <v>79</v>
      </c>
      <c r="D6382" s="98">
        <v>1190</v>
      </c>
      <c r="E6382" s="157">
        <v>43057</v>
      </c>
      <c r="F6382" s="157">
        <v>43057.416666666664</v>
      </c>
      <c r="G6382" s="98">
        <v>448</v>
      </c>
      <c r="H6382" s="98">
        <v>795</v>
      </c>
      <c r="I6382" s="98">
        <v>747</v>
      </c>
      <c r="J6382" s="98" t="s">
        <v>2007</v>
      </c>
      <c r="K6382" s="98" t="s">
        <v>4940</v>
      </c>
      <c r="L6382" s="105" t="str">
        <f t="shared" si="1050"/>
        <v>Trimble</v>
      </c>
      <c r="M6382" s="105" t="str">
        <f t="shared" si="1051"/>
        <v>Derate</v>
      </c>
      <c r="N6382" s="105" t="str">
        <f t="shared" si="1052"/>
        <v>Coal</v>
      </c>
      <c r="O6382" s="105">
        <f>IFERROR(VLOOKUP(A6382,Lookup!$J$5:$P$19,7,FALSE),0)</f>
        <v>3</v>
      </c>
      <c r="P6382" s="159">
        <f t="shared" si="1053"/>
        <v>2017</v>
      </c>
      <c r="Q6382" s="159">
        <f t="shared" si="1054"/>
        <v>11</v>
      </c>
      <c r="R6382" s="160">
        <f t="shared" si="1055"/>
        <v>9.9999999999417923</v>
      </c>
      <c r="S6382" s="158">
        <f t="shared" si="1056"/>
        <v>4.3647798741884305</v>
      </c>
      <c r="T6382" s="161">
        <f t="shared" si="1057"/>
        <v>3260.4905660187574</v>
      </c>
      <c r="U6382" s="158">
        <f t="shared" si="1059"/>
        <v>326.04905660377358</v>
      </c>
      <c r="V6382" s="160">
        <f t="shared" si="1058"/>
        <v>326</v>
      </c>
    </row>
    <row r="6383" spans="1:22" x14ac:dyDescent="0.25">
      <c r="A6383" s="98" t="s">
        <v>69</v>
      </c>
      <c r="B6383" s="98" t="s">
        <v>105</v>
      </c>
      <c r="C6383" s="98">
        <v>80</v>
      </c>
      <c r="D6383" s="98">
        <v>1190</v>
      </c>
      <c r="E6383" s="157">
        <v>43065</v>
      </c>
      <c r="F6383" s="157">
        <v>43065.416666666664</v>
      </c>
      <c r="G6383" s="98">
        <v>448</v>
      </c>
      <c r="H6383" s="98">
        <v>795</v>
      </c>
      <c r="I6383" s="98">
        <v>747</v>
      </c>
      <c r="J6383" s="98" t="s">
        <v>2007</v>
      </c>
      <c r="K6383" s="98" t="s">
        <v>4952</v>
      </c>
      <c r="L6383" s="105" t="str">
        <f t="shared" si="1050"/>
        <v>Trimble</v>
      </c>
      <c r="M6383" s="105" t="str">
        <f t="shared" si="1051"/>
        <v>Derate</v>
      </c>
      <c r="N6383" s="105" t="str">
        <f t="shared" si="1052"/>
        <v>Coal</v>
      </c>
      <c r="O6383" s="105">
        <f>IFERROR(VLOOKUP(A6383,Lookup!$J$5:$P$19,7,FALSE),0)</f>
        <v>3</v>
      </c>
      <c r="P6383" s="159">
        <f t="shared" si="1053"/>
        <v>2017</v>
      </c>
      <c r="Q6383" s="159">
        <f t="shared" si="1054"/>
        <v>11</v>
      </c>
      <c r="R6383" s="160">
        <f t="shared" si="1055"/>
        <v>9.9999999999417923</v>
      </c>
      <c r="S6383" s="158">
        <f t="shared" si="1056"/>
        <v>4.3647798741884305</v>
      </c>
      <c r="T6383" s="161">
        <f t="shared" si="1057"/>
        <v>3260.4905660187574</v>
      </c>
      <c r="U6383" s="158">
        <f t="shared" si="1059"/>
        <v>326.04905660377358</v>
      </c>
      <c r="V6383" s="160">
        <f t="shared" si="1058"/>
        <v>326</v>
      </c>
    </row>
    <row r="6384" spans="1:22" x14ac:dyDescent="0.25">
      <c r="A6384" s="98" t="s">
        <v>69</v>
      </c>
      <c r="B6384" s="98" t="s">
        <v>17</v>
      </c>
      <c r="C6384" s="98">
        <v>81</v>
      </c>
      <c r="D6384" s="98">
        <v>3399</v>
      </c>
      <c r="E6384" s="157">
        <v>43070.336805555555</v>
      </c>
      <c r="F6384" s="157">
        <v>43070.57708333333</v>
      </c>
      <c r="G6384" s="98">
        <v>790</v>
      </c>
      <c r="H6384" s="98">
        <v>795</v>
      </c>
      <c r="I6384" s="98">
        <v>747</v>
      </c>
      <c r="J6384" s="98" t="s">
        <v>2120</v>
      </c>
      <c r="K6384" s="98" t="s">
        <v>4956</v>
      </c>
      <c r="L6384" s="105" t="str">
        <f t="shared" si="1050"/>
        <v>Trimble</v>
      </c>
      <c r="M6384" s="105" t="str">
        <f t="shared" si="1051"/>
        <v>Derate</v>
      </c>
      <c r="N6384" s="105" t="str">
        <f t="shared" si="1052"/>
        <v>Coal</v>
      </c>
      <c r="O6384" s="105">
        <f>IFERROR(VLOOKUP(A6384,Lookup!$J$5:$P$19,7,FALSE),0)</f>
        <v>3</v>
      </c>
      <c r="P6384" s="159">
        <f t="shared" si="1053"/>
        <v>2017</v>
      </c>
      <c r="Q6384" s="159">
        <f t="shared" si="1054"/>
        <v>12</v>
      </c>
      <c r="R6384" s="160">
        <f t="shared" si="1055"/>
        <v>5.7666666666045785</v>
      </c>
      <c r="S6384" s="158">
        <f t="shared" si="1056"/>
        <v>3.6268343815123137E-2</v>
      </c>
      <c r="T6384" s="161">
        <f t="shared" si="1057"/>
        <v>27.092452829896985</v>
      </c>
      <c r="U6384" s="158">
        <f t="shared" si="1059"/>
        <v>4.6981132075471699</v>
      </c>
      <c r="V6384" s="160">
        <f t="shared" si="1058"/>
        <v>5</v>
      </c>
    </row>
    <row r="6385" spans="1:22" x14ac:dyDescent="0.25">
      <c r="A6385" s="98" t="s">
        <v>69</v>
      </c>
      <c r="B6385" s="98" t="s">
        <v>105</v>
      </c>
      <c r="C6385" s="98">
        <v>82</v>
      </c>
      <c r="D6385" s="98">
        <v>1190</v>
      </c>
      <c r="E6385" s="157">
        <v>43072</v>
      </c>
      <c r="F6385" s="157">
        <v>43072.416666666664</v>
      </c>
      <c r="G6385" s="98">
        <v>430</v>
      </c>
      <c r="H6385" s="98">
        <v>795</v>
      </c>
      <c r="I6385" s="98">
        <v>747</v>
      </c>
      <c r="J6385" s="98" t="s">
        <v>2007</v>
      </c>
      <c r="K6385" s="98" t="s">
        <v>4940</v>
      </c>
      <c r="L6385" s="105" t="str">
        <f t="shared" si="1050"/>
        <v>Trimble</v>
      </c>
      <c r="M6385" s="105" t="str">
        <f t="shared" si="1051"/>
        <v>Derate</v>
      </c>
      <c r="N6385" s="105" t="str">
        <f t="shared" si="1052"/>
        <v>Coal</v>
      </c>
      <c r="O6385" s="105">
        <f>IFERROR(VLOOKUP(A6385,Lookup!$J$5:$P$19,7,FALSE),0)</f>
        <v>3</v>
      </c>
      <c r="P6385" s="159">
        <f t="shared" si="1053"/>
        <v>2017</v>
      </c>
      <c r="Q6385" s="159">
        <f t="shared" si="1054"/>
        <v>12</v>
      </c>
      <c r="R6385" s="160">
        <f t="shared" si="1055"/>
        <v>9.9999999999417923</v>
      </c>
      <c r="S6385" s="158">
        <f t="shared" si="1056"/>
        <v>4.591194968526735</v>
      </c>
      <c r="T6385" s="161">
        <f t="shared" si="1057"/>
        <v>3429.6226414894709</v>
      </c>
      <c r="U6385" s="158">
        <f t="shared" si="1059"/>
        <v>342.96226415094338</v>
      </c>
      <c r="V6385" s="160">
        <f t="shared" si="1058"/>
        <v>343</v>
      </c>
    </row>
    <row r="6386" spans="1:22" x14ac:dyDescent="0.25">
      <c r="A6386" s="98" t="s">
        <v>69</v>
      </c>
      <c r="B6386" s="98" t="s">
        <v>17</v>
      </c>
      <c r="C6386" s="98">
        <v>83</v>
      </c>
      <c r="D6386" s="98">
        <v>9291</v>
      </c>
      <c r="E6386" s="157">
        <v>43077.604166666664</v>
      </c>
      <c r="F6386" s="157">
        <v>43077.673611111109</v>
      </c>
      <c r="G6386" s="98">
        <v>805</v>
      </c>
      <c r="H6386" s="98">
        <v>795</v>
      </c>
      <c r="I6386" s="98">
        <v>747</v>
      </c>
      <c r="J6386" s="98" t="s">
        <v>4957</v>
      </c>
      <c r="K6386" s="98" t="s">
        <v>4958</v>
      </c>
      <c r="L6386" s="105" t="str">
        <f t="shared" si="1050"/>
        <v>Trimble</v>
      </c>
      <c r="M6386" s="105" t="str">
        <f t="shared" si="1051"/>
        <v>Derate</v>
      </c>
      <c r="N6386" s="105" t="str">
        <f t="shared" si="1052"/>
        <v>Coal</v>
      </c>
      <c r="O6386" s="105">
        <f>IFERROR(VLOOKUP(A6386,Lookup!$J$5:$P$19,7,FALSE),0)</f>
        <v>3</v>
      </c>
      <c r="P6386" s="159">
        <f t="shared" si="1053"/>
        <v>2017</v>
      </c>
      <c r="Q6386" s="159">
        <f t="shared" si="1054"/>
        <v>12</v>
      </c>
      <c r="R6386" s="160">
        <f t="shared" si="1055"/>
        <v>1.6666666666860692</v>
      </c>
      <c r="S6386" s="158">
        <f t="shared" si="1056"/>
        <v>-2.0964360587246152E-2</v>
      </c>
      <c r="T6386" s="161">
        <f t="shared" si="1057"/>
        <v>-15.660377358672875</v>
      </c>
      <c r="U6386" s="158">
        <f t="shared" si="1059"/>
        <v>0</v>
      </c>
      <c r="V6386" s="160">
        <f t="shared" si="1058"/>
        <v>0</v>
      </c>
    </row>
    <row r="6387" spans="1:22" x14ac:dyDescent="0.25">
      <c r="A6387" s="98" t="s">
        <v>69</v>
      </c>
      <c r="B6387" s="98" t="s">
        <v>17</v>
      </c>
      <c r="C6387" s="98">
        <v>84</v>
      </c>
      <c r="D6387" s="98">
        <v>8750</v>
      </c>
      <c r="E6387" s="157">
        <v>43077.673611111109</v>
      </c>
      <c r="F6387" s="157">
        <v>43077.75</v>
      </c>
      <c r="G6387" s="98">
        <v>765</v>
      </c>
      <c r="H6387" s="98">
        <v>795</v>
      </c>
      <c r="I6387" s="98">
        <v>747</v>
      </c>
      <c r="J6387" s="98" t="s">
        <v>4543</v>
      </c>
      <c r="K6387" s="98" t="s">
        <v>4959</v>
      </c>
      <c r="L6387" s="105" t="str">
        <f t="shared" si="1050"/>
        <v>Trimble</v>
      </c>
      <c r="M6387" s="105" t="str">
        <f t="shared" si="1051"/>
        <v>Derate</v>
      </c>
      <c r="N6387" s="105" t="str">
        <f t="shared" si="1052"/>
        <v>Coal</v>
      </c>
      <c r="O6387" s="105">
        <f>IFERROR(VLOOKUP(A6387,Lookup!$J$5:$P$19,7,FALSE),0)</f>
        <v>3</v>
      </c>
      <c r="P6387" s="159">
        <f t="shared" si="1053"/>
        <v>2017</v>
      </c>
      <c r="Q6387" s="159">
        <f t="shared" si="1054"/>
        <v>12</v>
      </c>
      <c r="R6387" s="160">
        <f t="shared" si="1055"/>
        <v>1.8333333333721384</v>
      </c>
      <c r="S6387" s="158">
        <f t="shared" si="1056"/>
        <v>6.9182389938571259E-2</v>
      </c>
      <c r="T6387" s="161">
        <f t="shared" si="1057"/>
        <v>51.679245284112731</v>
      </c>
      <c r="U6387" s="158">
        <f t="shared" si="1059"/>
        <v>28.188679245283019</v>
      </c>
      <c r="V6387" s="160">
        <f t="shared" si="1058"/>
        <v>28</v>
      </c>
    </row>
    <row r="6388" spans="1:22" x14ac:dyDescent="0.25">
      <c r="A6388" s="98" t="s">
        <v>69</v>
      </c>
      <c r="B6388" s="98" t="s">
        <v>17</v>
      </c>
      <c r="C6388" s="98">
        <v>85</v>
      </c>
      <c r="D6388" s="98">
        <v>9291</v>
      </c>
      <c r="E6388" s="157">
        <v>43077.75</v>
      </c>
      <c r="F6388" s="157">
        <v>43078</v>
      </c>
      <c r="G6388" s="98">
        <v>805</v>
      </c>
      <c r="H6388" s="98">
        <v>795</v>
      </c>
      <c r="I6388" s="98">
        <v>747</v>
      </c>
      <c r="J6388" s="98" t="s">
        <v>4957</v>
      </c>
      <c r="K6388" s="98" t="s">
        <v>4958</v>
      </c>
      <c r="L6388" s="105" t="str">
        <f t="shared" si="1050"/>
        <v>Trimble</v>
      </c>
      <c r="M6388" s="105" t="str">
        <f t="shared" si="1051"/>
        <v>Derate</v>
      </c>
      <c r="N6388" s="105" t="str">
        <f t="shared" si="1052"/>
        <v>Coal</v>
      </c>
      <c r="O6388" s="105">
        <f>IFERROR(VLOOKUP(A6388,Lookup!$J$5:$P$19,7,FALSE),0)</f>
        <v>3</v>
      </c>
      <c r="P6388" s="159">
        <f t="shared" si="1053"/>
        <v>2017</v>
      </c>
      <c r="Q6388" s="159">
        <f t="shared" si="1054"/>
        <v>12</v>
      </c>
      <c r="R6388" s="160">
        <f t="shared" si="1055"/>
        <v>6</v>
      </c>
      <c r="S6388" s="158">
        <f t="shared" si="1056"/>
        <v>-7.5471698113207544E-2</v>
      </c>
      <c r="T6388" s="161">
        <f t="shared" si="1057"/>
        <v>-56.377358490566039</v>
      </c>
      <c r="U6388" s="158">
        <f t="shared" si="1059"/>
        <v>0</v>
      </c>
      <c r="V6388" s="160">
        <f t="shared" si="1058"/>
        <v>0</v>
      </c>
    </row>
    <row r="6389" spans="1:22" x14ac:dyDescent="0.25">
      <c r="A6389" s="98" t="s">
        <v>69</v>
      </c>
      <c r="B6389" s="98" t="s">
        <v>105</v>
      </c>
      <c r="C6389" s="98">
        <v>86</v>
      </c>
      <c r="D6389" s="98">
        <v>1190</v>
      </c>
      <c r="E6389" s="157">
        <v>43078</v>
      </c>
      <c r="F6389" s="157">
        <v>43078.416666666664</v>
      </c>
      <c r="G6389" s="98">
        <v>430</v>
      </c>
      <c r="H6389" s="98">
        <v>795</v>
      </c>
      <c r="I6389" s="98">
        <v>747</v>
      </c>
      <c r="J6389" s="98" t="s">
        <v>2007</v>
      </c>
      <c r="K6389" s="98" t="s">
        <v>4960</v>
      </c>
      <c r="L6389" s="105" t="str">
        <f t="shared" si="1050"/>
        <v>Trimble</v>
      </c>
      <c r="M6389" s="105" t="str">
        <f t="shared" si="1051"/>
        <v>Derate</v>
      </c>
      <c r="N6389" s="105" t="str">
        <f t="shared" si="1052"/>
        <v>Coal</v>
      </c>
      <c r="O6389" s="105">
        <f>IFERROR(VLOOKUP(A6389,Lookup!$J$5:$P$19,7,FALSE),0)</f>
        <v>3</v>
      </c>
      <c r="P6389" s="159">
        <f t="shared" si="1053"/>
        <v>2017</v>
      </c>
      <c r="Q6389" s="159">
        <f t="shared" si="1054"/>
        <v>12</v>
      </c>
      <c r="R6389" s="160">
        <f t="shared" si="1055"/>
        <v>9.9999999999417923</v>
      </c>
      <c r="S6389" s="158">
        <f t="shared" si="1056"/>
        <v>4.591194968526735</v>
      </c>
      <c r="T6389" s="161">
        <f t="shared" si="1057"/>
        <v>3429.6226414894709</v>
      </c>
      <c r="U6389" s="158">
        <f t="shared" si="1059"/>
        <v>342.96226415094338</v>
      </c>
      <c r="V6389" s="160">
        <f t="shared" si="1058"/>
        <v>343</v>
      </c>
    </row>
    <row r="6390" spans="1:22" x14ac:dyDescent="0.25">
      <c r="A6390" s="98" t="s">
        <v>69</v>
      </c>
      <c r="B6390" s="98" t="s">
        <v>17</v>
      </c>
      <c r="C6390" s="98">
        <v>87</v>
      </c>
      <c r="D6390" s="98">
        <v>3344</v>
      </c>
      <c r="E6390" s="157">
        <v>43078.663888888892</v>
      </c>
      <c r="F6390" s="157">
        <v>43079.011805555558</v>
      </c>
      <c r="G6390" s="98">
        <v>800</v>
      </c>
      <c r="H6390" s="98">
        <v>795</v>
      </c>
      <c r="I6390" s="98">
        <v>747</v>
      </c>
      <c r="J6390" s="98" t="s">
        <v>2165</v>
      </c>
      <c r="K6390" s="98" t="s">
        <v>4961</v>
      </c>
      <c r="L6390" s="105" t="str">
        <f t="shared" si="1050"/>
        <v>Trimble</v>
      </c>
      <c r="M6390" s="105" t="str">
        <f t="shared" si="1051"/>
        <v>Derate</v>
      </c>
      <c r="N6390" s="105" t="str">
        <f t="shared" si="1052"/>
        <v>Coal</v>
      </c>
      <c r="O6390" s="105">
        <f>IFERROR(VLOOKUP(A6390,Lookup!$J$5:$P$19,7,FALSE),0)</f>
        <v>3</v>
      </c>
      <c r="P6390" s="159">
        <f t="shared" si="1053"/>
        <v>2017</v>
      </c>
      <c r="Q6390" s="159">
        <f t="shared" si="1054"/>
        <v>12</v>
      </c>
      <c r="R6390" s="160">
        <f t="shared" si="1055"/>
        <v>8.3499999999767169</v>
      </c>
      <c r="S6390" s="158">
        <f t="shared" si="1056"/>
        <v>-5.2515723270293815E-2</v>
      </c>
      <c r="T6390" s="161">
        <f t="shared" si="1057"/>
        <v>-39.229245282909481</v>
      </c>
      <c r="U6390" s="158">
        <f t="shared" si="1059"/>
        <v>0</v>
      </c>
      <c r="V6390" s="160">
        <f t="shared" si="1058"/>
        <v>0</v>
      </c>
    </row>
    <row r="6391" spans="1:22" x14ac:dyDescent="0.25">
      <c r="A6391" s="98" t="s">
        <v>69</v>
      </c>
      <c r="B6391" s="98" t="s">
        <v>15</v>
      </c>
      <c r="C6391" s="98">
        <v>88</v>
      </c>
      <c r="D6391" s="98">
        <v>1000</v>
      </c>
      <c r="E6391" s="157">
        <v>43079.011805555558</v>
      </c>
      <c r="F6391" s="157">
        <v>43082.583333333336</v>
      </c>
      <c r="G6391" s="98">
        <v>0</v>
      </c>
      <c r="H6391" s="98">
        <v>795</v>
      </c>
      <c r="I6391" s="98">
        <v>747</v>
      </c>
      <c r="J6391" s="98" t="s">
        <v>2002</v>
      </c>
      <c r="K6391" s="98" t="s">
        <v>4962</v>
      </c>
      <c r="L6391" s="105" t="str">
        <f t="shared" si="1050"/>
        <v>Trimble</v>
      </c>
      <c r="M6391" s="105" t="str">
        <f t="shared" si="1051"/>
        <v>Outage</v>
      </c>
      <c r="N6391" s="105" t="str">
        <f t="shared" si="1052"/>
        <v>Coal</v>
      </c>
      <c r="O6391" s="105">
        <f>IFERROR(VLOOKUP(A6391,Lookup!$J$5:$P$19,7,FALSE),0)</f>
        <v>3</v>
      </c>
      <c r="P6391" s="159">
        <f t="shared" si="1053"/>
        <v>2017</v>
      </c>
      <c r="Q6391" s="159">
        <f t="shared" si="1054"/>
        <v>12</v>
      </c>
      <c r="R6391" s="160">
        <f t="shared" si="1055"/>
        <v>85.716666666674428</v>
      </c>
      <c r="S6391" s="158">
        <f t="shared" si="1056"/>
        <v>85.716666666674428</v>
      </c>
      <c r="T6391" s="161">
        <f t="shared" si="1057"/>
        <v>64030.350000005797</v>
      </c>
      <c r="U6391" s="158">
        <f t="shared" si="1059"/>
        <v>747</v>
      </c>
      <c r="V6391" s="160">
        <f t="shared" si="1058"/>
        <v>747</v>
      </c>
    </row>
    <row r="6392" spans="1:22" x14ac:dyDescent="0.25">
      <c r="A6392" s="98" t="s">
        <v>69</v>
      </c>
      <c r="B6392" s="98" t="s">
        <v>17</v>
      </c>
      <c r="C6392" s="98">
        <v>89</v>
      </c>
      <c r="D6392" s="98">
        <v>3431</v>
      </c>
      <c r="E6392" s="157">
        <v>43083.125</v>
      </c>
      <c r="F6392" s="157">
        <v>43085</v>
      </c>
      <c r="G6392" s="98">
        <v>755</v>
      </c>
      <c r="H6392" s="98">
        <v>795</v>
      </c>
      <c r="I6392" s="98">
        <v>747</v>
      </c>
      <c r="J6392" s="98" t="s">
        <v>2123</v>
      </c>
      <c r="K6392" s="98" t="s">
        <v>4963</v>
      </c>
      <c r="L6392" s="105" t="str">
        <f t="shared" si="1050"/>
        <v>Trimble</v>
      </c>
      <c r="M6392" s="105" t="str">
        <f t="shared" si="1051"/>
        <v>Derate</v>
      </c>
      <c r="N6392" s="105" t="str">
        <f t="shared" si="1052"/>
        <v>Coal</v>
      </c>
      <c r="O6392" s="105">
        <f>IFERROR(VLOOKUP(A6392,Lookup!$J$5:$P$19,7,FALSE),0)</f>
        <v>3</v>
      </c>
      <c r="P6392" s="159">
        <f t="shared" si="1053"/>
        <v>2017</v>
      </c>
      <c r="Q6392" s="159">
        <f t="shared" si="1054"/>
        <v>12</v>
      </c>
      <c r="R6392" s="160">
        <f t="shared" si="1055"/>
        <v>45</v>
      </c>
      <c r="S6392" s="158">
        <f t="shared" si="1056"/>
        <v>2.2641509433962264</v>
      </c>
      <c r="T6392" s="161">
        <f t="shared" si="1057"/>
        <v>1691.3207547169811</v>
      </c>
      <c r="U6392" s="158">
        <f t="shared" si="1059"/>
        <v>37.584905660377359</v>
      </c>
      <c r="V6392" s="160">
        <f t="shared" si="1058"/>
        <v>38</v>
      </c>
    </row>
    <row r="6393" spans="1:22" x14ac:dyDescent="0.25">
      <c r="A6393" s="98" t="s">
        <v>69</v>
      </c>
      <c r="B6393" s="98" t="s">
        <v>105</v>
      </c>
      <c r="C6393" s="98">
        <v>90</v>
      </c>
      <c r="D6393" s="98">
        <v>1190</v>
      </c>
      <c r="E6393" s="157">
        <v>43085</v>
      </c>
      <c r="F6393" s="157">
        <v>43085.25</v>
      </c>
      <c r="G6393" s="98">
        <v>549</v>
      </c>
      <c r="H6393" s="98">
        <v>795</v>
      </c>
      <c r="I6393" s="98">
        <v>747</v>
      </c>
      <c r="J6393" s="98" t="s">
        <v>2007</v>
      </c>
      <c r="K6393" s="98" t="s">
        <v>4940</v>
      </c>
      <c r="L6393" s="105" t="str">
        <f t="shared" si="1050"/>
        <v>Trimble</v>
      </c>
      <c r="M6393" s="105" t="str">
        <f t="shared" si="1051"/>
        <v>Derate</v>
      </c>
      <c r="N6393" s="105" t="str">
        <f t="shared" si="1052"/>
        <v>Coal</v>
      </c>
      <c r="O6393" s="105">
        <f>IFERROR(VLOOKUP(A6393,Lookup!$J$5:$P$19,7,FALSE),0)</f>
        <v>3</v>
      </c>
      <c r="P6393" s="159">
        <f t="shared" si="1053"/>
        <v>2017</v>
      </c>
      <c r="Q6393" s="159">
        <f t="shared" si="1054"/>
        <v>12</v>
      </c>
      <c r="R6393" s="160">
        <f t="shared" si="1055"/>
        <v>6</v>
      </c>
      <c r="S6393" s="158">
        <f t="shared" si="1056"/>
        <v>1.8566037735849057</v>
      </c>
      <c r="T6393" s="161">
        <f t="shared" si="1057"/>
        <v>1386.8830188679246</v>
      </c>
      <c r="U6393" s="158">
        <f t="shared" si="1059"/>
        <v>231.14716981132077</v>
      </c>
      <c r="V6393" s="160">
        <f t="shared" si="1058"/>
        <v>231</v>
      </c>
    </row>
    <row r="6394" spans="1:22" x14ac:dyDescent="0.25">
      <c r="A6394" s="98" t="s">
        <v>69</v>
      </c>
      <c r="B6394" s="98" t="s">
        <v>17</v>
      </c>
      <c r="C6394" s="98">
        <v>91</v>
      </c>
      <c r="D6394" s="98">
        <v>3431</v>
      </c>
      <c r="E6394" s="157">
        <v>43085.25</v>
      </c>
      <c r="F6394" s="157">
        <v>43086.895833333336</v>
      </c>
      <c r="G6394" s="98">
        <v>755</v>
      </c>
      <c r="H6394" s="98">
        <v>795</v>
      </c>
      <c r="I6394" s="98">
        <v>747</v>
      </c>
      <c r="J6394" s="98" t="s">
        <v>2123</v>
      </c>
      <c r="K6394" s="98" t="s">
        <v>4963</v>
      </c>
      <c r="L6394" s="105" t="str">
        <f t="shared" si="1050"/>
        <v>Trimble</v>
      </c>
      <c r="M6394" s="105" t="str">
        <f t="shared" si="1051"/>
        <v>Derate</v>
      </c>
      <c r="N6394" s="105" t="str">
        <f t="shared" si="1052"/>
        <v>Coal</v>
      </c>
      <c r="O6394" s="105">
        <f>IFERROR(VLOOKUP(A6394,Lookup!$J$5:$P$19,7,FALSE),0)</f>
        <v>3</v>
      </c>
      <c r="P6394" s="159">
        <f t="shared" si="1053"/>
        <v>2017</v>
      </c>
      <c r="Q6394" s="159">
        <f t="shared" si="1054"/>
        <v>12</v>
      </c>
      <c r="R6394" s="160">
        <f t="shared" si="1055"/>
        <v>39.500000000058208</v>
      </c>
      <c r="S6394" s="158">
        <f t="shared" si="1056"/>
        <v>1.9874213836507275</v>
      </c>
      <c r="T6394" s="161">
        <f t="shared" si="1057"/>
        <v>1484.6037735870934</v>
      </c>
      <c r="U6394" s="158">
        <f t="shared" si="1059"/>
        <v>37.584905660377359</v>
      </c>
      <c r="V6394" s="160">
        <f t="shared" si="1058"/>
        <v>38</v>
      </c>
    </row>
    <row r="6395" spans="1:22" x14ac:dyDescent="0.25">
      <c r="A6395" s="98" t="s">
        <v>69</v>
      </c>
      <c r="B6395" s="98" t="s">
        <v>17</v>
      </c>
      <c r="C6395" s="98">
        <v>92</v>
      </c>
      <c r="D6395" s="98">
        <v>3431</v>
      </c>
      <c r="E6395" s="157">
        <v>43086.895833333336</v>
      </c>
      <c r="F6395" s="157">
        <v>43087.125</v>
      </c>
      <c r="G6395" s="98">
        <v>549</v>
      </c>
      <c r="H6395" s="98">
        <v>795</v>
      </c>
      <c r="I6395" s="98">
        <v>747</v>
      </c>
      <c r="J6395" s="98" t="s">
        <v>2123</v>
      </c>
      <c r="K6395" s="98" t="s">
        <v>4964</v>
      </c>
      <c r="L6395" s="105" t="str">
        <f t="shared" si="1050"/>
        <v>Trimble</v>
      </c>
      <c r="M6395" s="105" t="str">
        <f t="shared" si="1051"/>
        <v>Derate</v>
      </c>
      <c r="N6395" s="105" t="str">
        <f t="shared" si="1052"/>
        <v>Coal</v>
      </c>
      <c r="O6395" s="105">
        <f>IFERROR(VLOOKUP(A6395,Lookup!$J$5:$P$19,7,FALSE),0)</f>
        <v>3</v>
      </c>
      <c r="P6395" s="159">
        <f t="shared" si="1053"/>
        <v>2017</v>
      </c>
      <c r="Q6395" s="159">
        <f t="shared" si="1054"/>
        <v>12</v>
      </c>
      <c r="R6395" s="160">
        <f t="shared" si="1055"/>
        <v>5.4999999999417923</v>
      </c>
      <c r="S6395" s="158">
        <f t="shared" si="1056"/>
        <v>1.7018867924348187</v>
      </c>
      <c r="T6395" s="161">
        <f t="shared" si="1057"/>
        <v>1271.3094339488096</v>
      </c>
      <c r="U6395" s="158">
        <f t="shared" si="1059"/>
        <v>231.14716981132077</v>
      </c>
      <c r="V6395" s="160">
        <f t="shared" si="1058"/>
        <v>231</v>
      </c>
    </row>
    <row r="6396" spans="1:22" x14ac:dyDescent="0.25">
      <c r="A6396" s="98" t="s">
        <v>69</v>
      </c>
      <c r="B6396" s="98" t="s">
        <v>17</v>
      </c>
      <c r="C6396" s="98">
        <v>93</v>
      </c>
      <c r="D6396" s="98">
        <v>3431</v>
      </c>
      <c r="E6396" s="157">
        <v>43087.125</v>
      </c>
      <c r="F6396" s="157">
        <v>43089.273611111108</v>
      </c>
      <c r="G6396" s="98">
        <v>789</v>
      </c>
      <c r="H6396" s="98">
        <v>795</v>
      </c>
      <c r="I6396" s="98">
        <v>747</v>
      </c>
      <c r="J6396" s="98" t="s">
        <v>2123</v>
      </c>
      <c r="K6396" s="98" t="s">
        <v>4965</v>
      </c>
      <c r="L6396" s="105" t="str">
        <f t="shared" si="1050"/>
        <v>Trimble</v>
      </c>
      <c r="M6396" s="105" t="str">
        <f t="shared" si="1051"/>
        <v>Derate</v>
      </c>
      <c r="N6396" s="105" t="str">
        <f t="shared" si="1052"/>
        <v>Coal</v>
      </c>
      <c r="O6396" s="105">
        <f>IFERROR(VLOOKUP(A6396,Lookup!$J$5:$P$19,7,FALSE),0)</f>
        <v>3</v>
      </c>
      <c r="P6396" s="159">
        <f t="shared" si="1053"/>
        <v>2017</v>
      </c>
      <c r="Q6396" s="159">
        <f t="shared" si="1054"/>
        <v>12</v>
      </c>
      <c r="R6396" s="160">
        <f t="shared" si="1055"/>
        <v>51.566666666592937</v>
      </c>
      <c r="S6396" s="158">
        <f t="shared" si="1056"/>
        <v>0.38918238993655047</v>
      </c>
      <c r="T6396" s="161">
        <f t="shared" si="1057"/>
        <v>290.7192452826032</v>
      </c>
      <c r="U6396" s="158">
        <f t="shared" si="1059"/>
        <v>5.6377358490566039</v>
      </c>
      <c r="V6396" s="160">
        <f t="shared" si="1058"/>
        <v>6</v>
      </c>
    </row>
    <row r="6397" spans="1:22" x14ac:dyDescent="0.25">
      <c r="A6397" s="98" t="s">
        <v>69</v>
      </c>
      <c r="B6397" s="98" t="s">
        <v>20</v>
      </c>
      <c r="C6397" s="98">
        <v>94</v>
      </c>
      <c r="D6397" s="98">
        <v>1000</v>
      </c>
      <c r="E6397" s="157">
        <v>43089.273611111108</v>
      </c>
      <c r="F6397" s="157">
        <v>43091.495833333334</v>
      </c>
      <c r="G6397" s="98">
        <v>0</v>
      </c>
      <c r="H6397" s="98">
        <v>795</v>
      </c>
      <c r="I6397" s="98">
        <v>747</v>
      </c>
      <c r="J6397" s="98" t="s">
        <v>2002</v>
      </c>
      <c r="K6397" s="98" t="s">
        <v>4966</v>
      </c>
      <c r="L6397" s="105" t="str">
        <f t="shared" si="1050"/>
        <v>Trimble</v>
      </c>
      <c r="M6397" s="105" t="str">
        <f t="shared" si="1051"/>
        <v>Maintenance</v>
      </c>
      <c r="N6397" s="105" t="str">
        <f t="shared" si="1052"/>
        <v>Coal</v>
      </c>
      <c r="O6397" s="105">
        <f>IFERROR(VLOOKUP(A6397,Lookup!$J$5:$P$19,7,FALSE),0)</f>
        <v>3</v>
      </c>
      <c r="P6397" s="159">
        <f t="shared" si="1053"/>
        <v>2017</v>
      </c>
      <c r="Q6397" s="159">
        <f t="shared" si="1054"/>
        <v>12</v>
      </c>
      <c r="R6397" s="160">
        <f t="shared" si="1055"/>
        <v>53.333333333430346</v>
      </c>
      <c r="S6397" s="158">
        <f t="shared" si="1056"/>
        <v>53.333333333430346</v>
      </c>
      <c r="T6397" s="161">
        <f t="shared" si="1057"/>
        <v>39840.000000072469</v>
      </c>
      <c r="U6397" s="158">
        <f t="shared" si="1059"/>
        <v>747</v>
      </c>
      <c r="V6397" s="160">
        <f t="shared" si="1058"/>
        <v>747</v>
      </c>
    </row>
    <row r="6398" spans="1:22" x14ac:dyDescent="0.25">
      <c r="A6398" s="98" t="s">
        <v>69</v>
      </c>
      <c r="B6398" s="98" t="s">
        <v>15</v>
      </c>
      <c r="C6398" s="98">
        <v>95</v>
      </c>
      <c r="D6398" s="98">
        <v>1000</v>
      </c>
      <c r="E6398" s="157">
        <v>43098.813194444447</v>
      </c>
      <c r="F6398" s="157">
        <v>43101</v>
      </c>
      <c r="H6398" s="98">
        <v>795</v>
      </c>
      <c r="I6398" s="98">
        <v>747</v>
      </c>
      <c r="J6398" s="98" t="s">
        <v>2002</v>
      </c>
      <c r="K6398" s="98" t="s">
        <v>4967</v>
      </c>
      <c r="L6398" s="105" t="str">
        <f t="shared" si="1050"/>
        <v>Trimble</v>
      </c>
      <c r="M6398" s="105" t="str">
        <f t="shared" si="1051"/>
        <v>Outage</v>
      </c>
      <c r="N6398" s="105" t="str">
        <f t="shared" si="1052"/>
        <v>Coal</v>
      </c>
      <c r="O6398" s="105">
        <f>IFERROR(VLOOKUP(A6398,Lookup!$J$5:$P$19,7,FALSE),0)</f>
        <v>3</v>
      </c>
      <c r="P6398" s="159">
        <f t="shared" si="1053"/>
        <v>2017</v>
      </c>
      <c r="Q6398" s="159">
        <f t="shared" si="1054"/>
        <v>12</v>
      </c>
      <c r="R6398" s="160">
        <f t="shared" si="1055"/>
        <v>52.483333333279006</v>
      </c>
      <c r="S6398" s="158">
        <f t="shared" si="1056"/>
        <v>52.483333333279006</v>
      </c>
      <c r="T6398" s="161">
        <f t="shared" si="1057"/>
        <v>39205.049999959418</v>
      </c>
      <c r="U6398" s="158">
        <f t="shared" si="1059"/>
        <v>747</v>
      </c>
      <c r="V6398" s="160">
        <f t="shared" si="1058"/>
        <v>747</v>
      </c>
    </row>
    <row r="6399" spans="1:22" x14ac:dyDescent="0.25">
      <c r="A6399" s="98" t="s">
        <v>69</v>
      </c>
      <c r="B6399" s="98" t="s">
        <v>15</v>
      </c>
      <c r="C6399" s="98">
        <v>1</v>
      </c>
      <c r="D6399" s="98">
        <v>1000</v>
      </c>
      <c r="E6399" s="157">
        <v>43101</v>
      </c>
      <c r="F6399" s="157">
        <v>43101.49722222222</v>
      </c>
      <c r="H6399" s="98">
        <v>795</v>
      </c>
      <c r="I6399" s="98">
        <v>747</v>
      </c>
      <c r="J6399" s="98" t="s">
        <v>2002</v>
      </c>
      <c r="K6399" s="98" t="s">
        <v>4967</v>
      </c>
      <c r="L6399" s="105" t="str">
        <f t="shared" si="1050"/>
        <v>Trimble</v>
      </c>
      <c r="M6399" s="105" t="str">
        <f t="shared" si="1051"/>
        <v>Outage</v>
      </c>
      <c r="N6399" s="105" t="str">
        <f t="shared" si="1052"/>
        <v>Coal</v>
      </c>
      <c r="O6399" s="105">
        <f>IFERROR(VLOOKUP(A6399,Lookup!$J$5:$P$19,7,FALSE),0)</f>
        <v>3</v>
      </c>
      <c r="P6399" s="159">
        <f t="shared" si="1053"/>
        <v>2018</v>
      </c>
      <c r="Q6399" s="159">
        <f t="shared" si="1054"/>
        <v>1</v>
      </c>
      <c r="R6399" s="160">
        <f t="shared" si="1055"/>
        <v>11.933333333290648</v>
      </c>
      <c r="S6399" s="158">
        <f t="shared" si="1056"/>
        <v>11.933333333290648</v>
      </c>
      <c r="T6399" s="161">
        <f t="shared" si="1057"/>
        <v>8914.1999999681138</v>
      </c>
      <c r="U6399" s="158">
        <f t="shared" si="1059"/>
        <v>747</v>
      </c>
      <c r="V6399" s="160">
        <f t="shared" si="1058"/>
        <v>747</v>
      </c>
    </row>
    <row r="6400" spans="1:22" x14ac:dyDescent="0.25">
      <c r="A6400" s="98" t="s">
        <v>69</v>
      </c>
      <c r="B6400" s="98" t="s">
        <v>105</v>
      </c>
      <c r="C6400" s="98">
        <v>2</v>
      </c>
      <c r="D6400" s="98">
        <v>1190</v>
      </c>
      <c r="E6400" s="157">
        <v>43109.875</v>
      </c>
      <c r="F6400" s="157">
        <v>43110.229166666664</v>
      </c>
      <c r="G6400" s="98">
        <v>449</v>
      </c>
      <c r="H6400" s="98">
        <v>795</v>
      </c>
      <c r="I6400" s="98">
        <v>747</v>
      </c>
      <c r="J6400" s="98" t="s">
        <v>2007</v>
      </c>
      <c r="K6400" s="98" t="s">
        <v>4968</v>
      </c>
      <c r="L6400" s="105" t="str">
        <f t="shared" si="1050"/>
        <v>Trimble</v>
      </c>
      <c r="M6400" s="105" t="str">
        <f t="shared" si="1051"/>
        <v>Derate</v>
      </c>
      <c r="N6400" s="105" t="str">
        <f t="shared" si="1052"/>
        <v>Coal</v>
      </c>
      <c r="O6400" s="105">
        <f>IFERROR(VLOOKUP(A6400,Lookup!$J$5:$P$19,7,FALSE),0)</f>
        <v>3</v>
      </c>
      <c r="P6400" s="159">
        <f t="shared" si="1053"/>
        <v>2018</v>
      </c>
      <c r="Q6400" s="159">
        <f t="shared" si="1054"/>
        <v>1</v>
      </c>
      <c r="R6400" s="160">
        <f t="shared" si="1055"/>
        <v>8.4999999999417923</v>
      </c>
      <c r="S6400" s="158">
        <f t="shared" si="1056"/>
        <v>3.6993710691570567</v>
      </c>
      <c r="T6400" s="161">
        <f t="shared" si="1057"/>
        <v>2763.4301886603212</v>
      </c>
      <c r="U6400" s="158">
        <f t="shared" si="1059"/>
        <v>325.10943396226418</v>
      </c>
      <c r="V6400" s="160">
        <f t="shared" si="1058"/>
        <v>325</v>
      </c>
    </row>
    <row r="6401" spans="1:22" x14ac:dyDescent="0.25">
      <c r="A6401" s="98" t="s">
        <v>69</v>
      </c>
      <c r="B6401" s="98" t="s">
        <v>17</v>
      </c>
      <c r="C6401" s="98">
        <v>3</v>
      </c>
      <c r="D6401" s="98">
        <v>385</v>
      </c>
      <c r="E6401" s="157">
        <v>43110.229166666664</v>
      </c>
      <c r="F6401" s="157">
        <v>43110.320833333331</v>
      </c>
      <c r="G6401" s="98">
        <v>630</v>
      </c>
      <c r="H6401" s="98">
        <v>795</v>
      </c>
      <c r="I6401" s="98">
        <v>747</v>
      </c>
      <c r="J6401" s="98" t="s">
        <v>228</v>
      </c>
      <c r="K6401" s="98" t="s">
        <v>4969</v>
      </c>
      <c r="L6401" s="105" t="str">
        <f t="shared" ref="L6401:L6421" si="1060">IF(OR(A6401="BR1",A6401="BR2",A6401="BR3",A6401="BR5",A6401="BR6",A6401="BR7",A6401="BR8",A6401="BR9",A6401="BR10",A6401="BR11"),"Brown",IF(OR(A6401="CR4",A6401="CR5",A6401="CR6",A6401="CR11"),"Cane Run",IF(OR(A6401="GH1",A6401="GH2",A6401="GH3",A6401="GH4"),"Ghent",IF(OR(A6401="GR3",A6401="GR4"),"Green River",IF(OR(A6401="MC1",A6401="MC2",A6401="MC3",A6401="MC4"),"Mill Creek",IF(OR(A6401="TC1",A6401="TC2",A6401="TC5",A6401="TC6",A6401="TC7",A6401="TC8",A6401="TC9",A6401="TC10"),"Trimble",IF(A6401="TY3","Tyrone",IF(OR(A6401="HA1",A6401="HA2",A6401="HA3"),"Haeflin",IF(OR(A6401="PR11",A6401="PR12",A6401="PR13"),"Paddy's Run","Zorn")))))))))</f>
        <v>Trimble</v>
      </c>
      <c r="M6401" s="105" t="str">
        <f t="shared" ref="M6401:M6421" si="1061">IF(OR(B6401="D1",B6401="D2",B6401="D3",B6401="D4",B6401="PD"),"Derate",IF(OR(B6401="SF",B6401="U1",B6401="U2",B6401="U3"),"Outage",IF(OR(B6401="ME",B6401="MO"),"Maintenance","Other")))</f>
        <v>Derate</v>
      </c>
      <c r="N6401" s="105" t="str">
        <f t="shared" ref="N6401:N6421" si="1062">IF(OR(A6401="BR1",A6401="BR2",A6401="BR3",A6401="CR4",A6401="CR5",A6401="CR6",A6401="GH1",A6401="GH2",A6401="GH3",A6401="GH4",A6401="GR3",A6401="GR4",A6401="MC1",A6401="MC2",A6401="MC3",A6401="MC4",A6401="TC1",A6401="TC2",A6401="TY3"),"Coal","Gas")</f>
        <v>Coal</v>
      </c>
      <c r="O6401" s="105">
        <f>IFERROR(VLOOKUP(A6401,Lookup!$J$5:$P$19,7,FALSE),0)</f>
        <v>3</v>
      </c>
      <c r="P6401" s="159">
        <f t="shared" ref="P6401:P6421" si="1063">YEAR(E6401)</f>
        <v>2018</v>
      </c>
      <c r="Q6401" s="159">
        <f t="shared" ref="Q6401:Q6421" si="1064">MONTH(E6401)</f>
        <v>1</v>
      </c>
      <c r="R6401" s="160">
        <f t="shared" ref="R6401:R6421" si="1065">(F6401-E6401)*24</f>
        <v>2.2000000000116415</v>
      </c>
      <c r="S6401" s="158">
        <f t="shared" ref="S6401:S6421" si="1066">R6401*(H6401-G6401)/H6401</f>
        <v>0.45660377358732185</v>
      </c>
      <c r="T6401" s="161">
        <f t="shared" ref="T6401:T6421" si="1067">S6401*I6401</f>
        <v>341.08301886972941</v>
      </c>
      <c r="U6401" s="158">
        <f t="shared" si="1059"/>
        <v>155.03773584905662</v>
      </c>
      <c r="V6401" s="160">
        <f t="shared" ref="V6401:V6421" si="1068">ROUND(U6401,0)</f>
        <v>155</v>
      </c>
    </row>
    <row r="6402" spans="1:22" x14ac:dyDescent="0.25">
      <c r="A6402" s="98" t="s">
        <v>69</v>
      </c>
      <c r="B6402" s="98" t="s">
        <v>105</v>
      </c>
      <c r="C6402" s="98">
        <v>4</v>
      </c>
      <c r="D6402" s="98">
        <v>1190</v>
      </c>
      <c r="E6402" s="157">
        <v>43110.320833333331</v>
      </c>
      <c r="F6402" s="157">
        <v>43110.375</v>
      </c>
      <c r="G6402" s="98">
        <v>449</v>
      </c>
      <c r="H6402" s="98">
        <v>795</v>
      </c>
      <c r="I6402" s="98">
        <v>747</v>
      </c>
      <c r="J6402" s="98" t="s">
        <v>2007</v>
      </c>
      <c r="K6402" s="98" t="s">
        <v>4970</v>
      </c>
      <c r="L6402" s="105" t="str">
        <f t="shared" si="1060"/>
        <v>Trimble</v>
      </c>
      <c r="M6402" s="105" t="str">
        <f t="shared" si="1061"/>
        <v>Derate</v>
      </c>
      <c r="N6402" s="105" t="str">
        <f t="shared" si="1062"/>
        <v>Coal</v>
      </c>
      <c r="O6402" s="105">
        <f>IFERROR(VLOOKUP(A6402,Lookup!$J$5:$P$19,7,FALSE),0)</f>
        <v>3</v>
      </c>
      <c r="P6402" s="159">
        <f t="shared" si="1063"/>
        <v>2018</v>
      </c>
      <c r="Q6402" s="159">
        <f t="shared" si="1064"/>
        <v>1</v>
      </c>
      <c r="R6402" s="160">
        <f t="shared" si="1065"/>
        <v>1.3000000000465661</v>
      </c>
      <c r="S6402" s="158">
        <f t="shared" si="1066"/>
        <v>0.56578616354227906</v>
      </c>
      <c r="T6402" s="161">
        <f t="shared" si="1067"/>
        <v>422.64226416608244</v>
      </c>
      <c r="U6402" s="158">
        <f t="shared" ref="U6402:U6421" si="1069">IF(G6402&gt;0,MAX((H6402-G6402),0)*I6402/H6402,I6402)</f>
        <v>325.10943396226418</v>
      </c>
      <c r="V6402" s="160">
        <f t="shared" si="1068"/>
        <v>325</v>
      </c>
    </row>
    <row r="6403" spans="1:22" x14ac:dyDescent="0.25">
      <c r="A6403" s="98" t="s">
        <v>69</v>
      </c>
      <c r="B6403" s="98" t="s">
        <v>105</v>
      </c>
      <c r="C6403" s="98">
        <v>5</v>
      </c>
      <c r="D6403" s="98">
        <v>1190</v>
      </c>
      <c r="E6403" s="157">
        <v>43113</v>
      </c>
      <c r="F6403" s="157">
        <v>43113.416666666664</v>
      </c>
      <c r="G6403" s="98">
        <v>449</v>
      </c>
      <c r="H6403" s="98">
        <v>795</v>
      </c>
      <c r="I6403" s="98">
        <v>747</v>
      </c>
      <c r="J6403" s="98" t="s">
        <v>2007</v>
      </c>
      <c r="K6403" s="98" t="s">
        <v>4940</v>
      </c>
      <c r="L6403" s="105" t="str">
        <f t="shared" si="1060"/>
        <v>Trimble</v>
      </c>
      <c r="M6403" s="105" t="str">
        <f t="shared" si="1061"/>
        <v>Derate</v>
      </c>
      <c r="N6403" s="105" t="str">
        <f t="shared" si="1062"/>
        <v>Coal</v>
      </c>
      <c r="O6403" s="105">
        <f>IFERROR(VLOOKUP(A6403,Lookup!$J$5:$P$19,7,FALSE),0)</f>
        <v>3</v>
      </c>
      <c r="P6403" s="159">
        <f t="shared" si="1063"/>
        <v>2018</v>
      </c>
      <c r="Q6403" s="159">
        <f t="shared" si="1064"/>
        <v>1</v>
      </c>
      <c r="R6403" s="160">
        <f t="shared" si="1065"/>
        <v>9.9999999999417923</v>
      </c>
      <c r="S6403" s="158">
        <f t="shared" si="1066"/>
        <v>4.3522012578363025</v>
      </c>
      <c r="T6403" s="161">
        <f t="shared" si="1067"/>
        <v>3251.0943396037178</v>
      </c>
      <c r="U6403" s="158">
        <f t="shared" si="1069"/>
        <v>325.10943396226418</v>
      </c>
      <c r="V6403" s="160">
        <f t="shared" si="1068"/>
        <v>325</v>
      </c>
    </row>
    <row r="6404" spans="1:22" x14ac:dyDescent="0.25">
      <c r="A6404" s="98" t="s">
        <v>69</v>
      </c>
      <c r="B6404" s="98" t="s">
        <v>105</v>
      </c>
      <c r="C6404" s="98">
        <v>6</v>
      </c>
      <c r="D6404" s="98">
        <v>1190</v>
      </c>
      <c r="E6404" s="157">
        <v>43121</v>
      </c>
      <c r="F6404" s="157">
        <v>43121.416666666664</v>
      </c>
      <c r="G6404" s="98">
        <v>440</v>
      </c>
      <c r="H6404" s="98">
        <v>795</v>
      </c>
      <c r="I6404" s="98">
        <v>747</v>
      </c>
      <c r="J6404" s="98" t="s">
        <v>2007</v>
      </c>
      <c r="K6404" s="98" t="s">
        <v>4940</v>
      </c>
      <c r="L6404" s="105" t="str">
        <f t="shared" si="1060"/>
        <v>Trimble</v>
      </c>
      <c r="M6404" s="105" t="str">
        <f t="shared" si="1061"/>
        <v>Derate</v>
      </c>
      <c r="N6404" s="105" t="str">
        <f t="shared" si="1062"/>
        <v>Coal</v>
      </c>
      <c r="O6404" s="105">
        <f>IFERROR(VLOOKUP(A6404,Lookup!$J$5:$P$19,7,FALSE),0)</f>
        <v>3</v>
      </c>
      <c r="P6404" s="159">
        <f t="shared" si="1063"/>
        <v>2018</v>
      </c>
      <c r="Q6404" s="159">
        <f t="shared" si="1064"/>
        <v>1</v>
      </c>
      <c r="R6404" s="160">
        <f t="shared" si="1065"/>
        <v>9.9999999999417923</v>
      </c>
      <c r="S6404" s="158">
        <f t="shared" si="1066"/>
        <v>4.4654088050054543</v>
      </c>
      <c r="T6404" s="161">
        <f t="shared" si="1067"/>
        <v>3335.6603773390743</v>
      </c>
      <c r="U6404" s="158">
        <f t="shared" si="1069"/>
        <v>333.56603773584908</v>
      </c>
      <c r="V6404" s="160">
        <f t="shared" si="1068"/>
        <v>334</v>
      </c>
    </row>
    <row r="6405" spans="1:22" x14ac:dyDescent="0.25">
      <c r="A6405" s="98" t="s">
        <v>69</v>
      </c>
      <c r="B6405" s="98" t="s">
        <v>17</v>
      </c>
      <c r="C6405" s="98">
        <v>7</v>
      </c>
      <c r="D6405" s="98">
        <v>3399</v>
      </c>
      <c r="E6405" s="157">
        <v>43122.768750000003</v>
      </c>
      <c r="F6405" s="157">
        <v>43123</v>
      </c>
      <c r="G6405" s="98">
        <v>790</v>
      </c>
      <c r="H6405" s="98">
        <v>795</v>
      </c>
      <c r="I6405" s="98">
        <v>747</v>
      </c>
      <c r="J6405" s="98" t="s">
        <v>2120</v>
      </c>
      <c r="K6405" s="98" t="s">
        <v>4971</v>
      </c>
      <c r="L6405" s="105" t="str">
        <f t="shared" si="1060"/>
        <v>Trimble</v>
      </c>
      <c r="M6405" s="105" t="str">
        <f t="shared" si="1061"/>
        <v>Derate</v>
      </c>
      <c r="N6405" s="105" t="str">
        <f t="shared" si="1062"/>
        <v>Coal</v>
      </c>
      <c r="O6405" s="105">
        <f>IFERROR(VLOOKUP(A6405,Lookup!$J$5:$P$19,7,FALSE),0)</f>
        <v>3</v>
      </c>
      <c r="P6405" s="159">
        <f t="shared" si="1063"/>
        <v>2018</v>
      </c>
      <c r="Q6405" s="159">
        <f t="shared" si="1064"/>
        <v>1</v>
      </c>
      <c r="R6405" s="160">
        <f t="shared" si="1065"/>
        <v>5.5499999999301508</v>
      </c>
      <c r="S6405" s="158">
        <f t="shared" si="1066"/>
        <v>3.4905660376919188E-2</v>
      </c>
      <c r="T6405" s="161">
        <f t="shared" si="1067"/>
        <v>26.074528301558633</v>
      </c>
      <c r="U6405" s="158">
        <f t="shared" si="1069"/>
        <v>4.6981132075471699</v>
      </c>
      <c r="V6405" s="160">
        <f t="shared" si="1068"/>
        <v>5</v>
      </c>
    </row>
    <row r="6406" spans="1:22" x14ac:dyDescent="0.25">
      <c r="A6406" s="98" t="s">
        <v>69</v>
      </c>
      <c r="B6406" s="98" t="s">
        <v>17</v>
      </c>
      <c r="C6406" s="98">
        <v>8</v>
      </c>
      <c r="D6406" s="98">
        <v>9271</v>
      </c>
      <c r="E6406" s="157">
        <v>43124.708333333336</v>
      </c>
      <c r="F6406" s="157">
        <v>43124.802083333336</v>
      </c>
      <c r="G6406" s="98">
        <v>750</v>
      </c>
      <c r="H6406" s="98">
        <v>795</v>
      </c>
      <c r="I6406" s="98">
        <v>747</v>
      </c>
      <c r="J6406" s="98" t="s">
        <v>4413</v>
      </c>
      <c r="K6406" s="98" t="s">
        <v>4972</v>
      </c>
      <c r="L6406" s="105" t="str">
        <f t="shared" si="1060"/>
        <v>Trimble</v>
      </c>
      <c r="M6406" s="105" t="str">
        <f t="shared" si="1061"/>
        <v>Derate</v>
      </c>
      <c r="N6406" s="105" t="str">
        <f t="shared" si="1062"/>
        <v>Coal</v>
      </c>
      <c r="O6406" s="105">
        <f>IFERROR(VLOOKUP(A6406,Lookup!$J$5:$P$19,7,FALSE),0)</f>
        <v>3</v>
      </c>
      <c r="P6406" s="159">
        <f t="shared" si="1063"/>
        <v>2018</v>
      </c>
      <c r="Q6406" s="159">
        <f t="shared" si="1064"/>
        <v>1</v>
      </c>
      <c r="R6406" s="160">
        <f t="shared" si="1065"/>
        <v>2.25</v>
      </c>
      <c r="S6406" s="158">
        <f t="shared" si="1066"/>
        <v>0.12735849056603774</v>
      </c>
      <c r="T6406" s="161">
        <f t="shared" si="1067"/>
        <v>95.136792452830193</v>
      </c>
      <c r="U6406" s="158">
        <f t="shared" si="1069"/>
        <v>42.283018867924525</v>
      </c>
      <c r="V6406" s="160">
        <f t="shared" si="1068"/>
        <v>42</v>
      </c>
    </row>
    <row r="6407" spans="1:22" x14ac:dyDescent="0.25">
      <c r="A6407" s="98" t="s">
        <v>69</v>
      </c>
      <c r="B6407" s="98" t="s">
        <v>17</v>
      </c>
      <c r="C6407" s="98">
        <v>9</v>
      </c>
      <c r="D6407" s="98">
        <v>310</v>
      </c>
      <c r="E6407" s="157">
        <v>43125.041666666664</v>
      </c>
      <c r="F6407" s="157">
        <v>43125.100694444445</v>
      </c>
      <c r="G6407" s="98">
        <v>710</v>
      </c>
      <c r="H6407" s="98">
        <v>795</v>
      </c>
      <c r="I6407" s="98">
        <v>747</v>
      </c>
      <c r="J6407" s="98" t="s">
        <v>1966</v>
      </c>
      <c r="K6407" s="98" t="s">
        <v>4973</v>
      </c>
      <c r="L6407" s="105" t="str">
        <f t="shared" si="1060"/>
        <v>Trimble</v>
      </c>
      <c r="M6407" s="105" t="str">
        <f t="shared" si="1061"/>
        <v>Derate</v>
      </c>
      <c r="N6407" s="105" t="str">
        <f t="shared" si="1062"/>
        <v>Coal</v>
      </c>
      <c r="O6407" s="105">
        <f>IFERROR(VLOOKUP(A6407,Lookup!$J$5:$P$19,7,FALSE),0)</f>
        <v>3</v>
      </c>
      <c r="P6407" s="159">
        <f t="shared" si="1063"/>
        <v>2018</v>
      </c>
      <c r="Q6407" s="159">
        <f t="shared" si="1064"/>
        <v>1</v>
      </c>
      <c r="R6407" s="160">
        <f t="shared" si="1065"/>
        <v>1.4166666667442769</v>
      </c>
      <c r="S6407" s="158">
        <f t="shared" si="1066"/>
        <v>0.1514675052493881</v>
      </c>
      <c r="T6407" s="161">
        <f t="shared" si="1067"/>
        <v>113.14622642129291</v>
      </c>
      <c r="U6407" s="158">
        <f t="shared" si="1069"/>
        <v>79.867924528301884</v>
      </c>
      <c r="V6407" s="160">
        <f t="shared" si="1068"/>
        <v>80</v>
      </c>
    </row>
    <row r="6408" spans="1:22" x14ac:dyDescent="0.25">
      <c r="A6408" s="98" t="s">
        <v>69</v>
      </c>
      <c r="B6408" s="98" t="s">
        <v>17</v>
      </c>
      <c r="C6408" s="98">
        <v>10</v>
      </c>
      <c r="D6408" s="98">
        <v>310</v>
      </c>
      <c r="E6408" s="157">
        <v>43126.125</v>
      </c>
      <c r="F6408" s="157">
        <v>43126.229166666664</v>
      </c>
      <c r="G6408" s="98">
        <v>710</v>
      </c>
      <c r="H6408" s="98">
        <v>795</v>
      </c>
      <c r="I6408" s="98">
        <v>747</v>
      </c>
      <c r="J6408" s="98" t="s">
        <v>1966</v>
      </c>
      <c r="K6408" s="98" t="s">
        <v>4973</v>
      </c>
      <c r="L6408" s="105" t="str">
        <f t="shared" si="1060"/>
        <v>Trimble</v>
      </c>
      <c r="M6408" s="105" t="str">
        <f t="shared" si="1061"/>
        <v>Derate</v>
      </c>
      <c r="N6408" s="105" t="str">
        <f t="shared" si="1062"/>
        <v>Coal</v>
      </c>
      <c r="O6408" s="105">
        <f>IFERROR(VLOOKUP(A6408,Lookup!$J$5:$P$19,7,FALSE),0)</f>
        <v>3</v>
      </c>
      <c r="P6408" s="159">
        <f t="shared" si="1063"/>
        <v>2018</v>
      </c>
      <c r="Q6408" s="159">
        <f t="shared" si="1064"/>
        <v>1</v>
      </c>
      <c r="R6408" s="160">
        <f t="shared" si="1065"/>
        <v>2.4999999999417923</v>
      </c>
      <c r="S6408" s="158">
        <f t="shared" si="1066"/>
        <v>0.26729559747805326</v>
      </c>
      <c r="T6408" s="161">
        <f t="shared" si="1067"/>
        <v>199.66981131610578</v>
      </c>
      <c r="U6408" s="158">
        <f t="shared" si="1069"/>
        <v>79.867924528301884</v>
      </c>
      <c r="V6408" s="160">
        <f t="shared" si="1068"/>
        <v>80</v>
      </c>
    </row>
    <row r="6409" spans="1:22" x14ac:dyDescent="0.25">
      <c r="A6409" s="98" t="s">
        <v>69</v>
      </c>
      <c r="B6409" s="98" t="s">
        <v>17</v>
      </c>
      <c r="C6409" s="98">
        <v>11</v>
      </c>
      <c r="D6409" s="98">
        <v>9271</v>
      </c>
      <c r="E6409" s="157">
        <v>43126.387499999997</v>
      </c>
      <c r="F6409" s="157">
        <v>43126.724305555559</v>
      </c>
      <c r="G6409" s="98">
        <v>799</v>
      </c>
      <c r="H6409" s="98">
        <v>795</v>
      </c>
      <c r="I6409" s="98">
        <v>747</v>
      </c>
      <c r="J6409" s="98" t="s">
        <v>4413</v>
      </c>
      <c r="K6409" s="98" t="s">
        <v>4972</v>
      </c>
      <c r="L6409" s="105" t="str">
        <f t="shared" si="1060"/>
        <v>Trimble</v>
      </c>
      <c r="M6409" s="105" t="str">
        <f t="shared" si="1061"/>
        <v>Derate</v>
      </c>
      <c r="N6409" s="105" t="str">
        <f t="shared" si="1062"/>
        <v>Coal</v>
      </c>
      <c r="O6409" s="105">
        <f>IFERROR(VLOOKUP(A6409,Lookup!$J$5:$P$19,7,FALSE),0)</f>
        <v>3</v>
      </c>
      <c r="P6409" s="159">
        <f t="shared" si="1063"/>
        <v>2018</v>
      </c>
      <c r="Q6409" s="159">
        <f t="shared" si="1064"/>
        <v>1</v>
      </c>
      <c r="R6409" s="160">
        <f t="shared" si="1065"/>
        <v>8.0833333334885538</v>
      </c>
      <c r="S6409" s="158">
        <f t="shared" si="1066"/>
        <v>-4.0670859539565049E-2</v>
      </c>
      <c r="T6409" s="161">
        <f t="shared" si="1067"/>
        <v>-30.381132076055092</v>
      </c>
      <c r="U6409" s="158">
        <f t="shared" si="1069"/>
        <v>0</v>
      </c>
      <c r="V6409" s="160">
        <f t="shared" si="1068"/>
        <v>0</v>
      </c>
    </row>
    <row r="6410" spans="1:22" x14ac:dyDescent="0.25">
      <c r="A6410" s="98" t="s">
        <v>69</v>
      </c>
      <c r="B6410" s="98" t="s">
        <v>105</v>
      </c>
      <c r="C6410" s="98">
        <v>12</v>
      </c>
      <c r="D6410" s="98">
        <v>1190</v>
      </c>
      <c r="E6410" s="157">
        <v>43128</v>
      </c>
      <c r="F6410" s="157">
        <v>43128.291666666664</v>
      </c>
      <c r="G6410" s="98">
        <v>449</v>
      </c>
      <c r="H6410" s="98">
        <v>795</v>
      </c>
      <c r="I6410" s="98">
        <v>747</v>
      </c>
      <c r="J6410" s="98" t="s">
        <v>2007</v>
      </c>
      <c r="K6410" s="98" t="s">
        <v>4940</v>
      </c>
      <c r="L6410" s="105" t="str">
        <f t="shared" si="1060"/>
        <v>Trimble</v>
      </c>
      <c r="M6410" s="105" t="str">
        <f t="shared" si="1061"/>
        <v>Derate</v>
      </c>
      <c r="N6410" s="105" t="str">
        <f t="shared" si="1062"/>
        <v>Coal</v>
      </c>
      <c r="O6410" s="105">
        <f>IFERROR(VLOOKUP(A6410,Lookup!$J$5:$P$19,7,FALSE),0)</f>
        <v>3</v>
      </c>
      <c r="P6410" s="159">
        <f t="shared" si="1063"/>
        <v>2018</v>
      </c>
      <c r="Q6410" s="159">
        <f t="shared" si="1064"/>
        <v>1</v>
      </c>
      <c r="R6410" s="160">
        <f t="shared" si="1065"/>
        <v>6.9999999999417923</v>
      </c>
      <c r="S6410" s="158">
        <f t="shared" si="1066"/>
        <v>3.0465408804778114</v>
      </c>
      <c r="T6410" s="161">
        <f t="shared" si="1067"/>
        <v>2275.766037716925</v>
      </c>
      <c r="U6410" s="158">
        <f t="shared" si="1069"/>
        <v>325.10943396226418</v>
      </c>
      <c r="V6410" s="160">
        <f t="shared" si="1068"/>
        <v>325</v>
      </c>
    </row>
    <row r="6411" spans="1:22" x14ac:dyDescent="0.25">
      <c r="A6411" s="98" t="s">
        <v>69</v>
      </c>
      <c r="B6411" s="98" t="s">
        <v>17</v>
      </c>
      <c r="C6411" s="98">
        <v>13</v>
      </c>
      <c r="D6411" s="98">
        <v>310</v>
      </c>
      <c r="E6411" s="157">
        <v>43131.0625</v>
      </c>
      <c r="F6411" s="157">
        <v>43131.104166666664</v>
      </c>
      <c r="G6411" s="98">
        <v>759</v>
      </c>
      <c r="H6411" s="98">
        <v>795</v>
      </c>
      <c r="I6411" s="98">
        <v>747</v>
      </c>
      <c r="J6411" s="98" t="s">
        <v>1966</v>
      </c>
      <c r="K6411" s="98" t="s">
        <v>4973</v>
      </c>
      <c r="L6411" s="105" t="str">
        <f t="shared" si="1060"/>
        <v>Trimble</v>
      </c>
      <c r="M6411" s="105" t="str">
        <f t="shared" si="1061"/>
        <v>Derate</v>
      </c>
      <c r="N6411" s="105" t="str">
        <f t="shared" si="1062"/>
        <v>Coal</v>
      </c>
      <c r="O6411" s="105">
        <f>IFERROR(VLOOKUP(A6411,Lookup!$J$5:$P$19,7,FALSE),0)</f>
        <v>3</v>
      </c>
      <c r="P6411" s="159">
        <f t="shared" si="1063"/>
        <v>2018</v>
      </c>
      <c r="Q6411" s="159">
        <f t="shared" si="1064"/>
        <v>1</v>
      </c>
      <c r="R6411" s="160">
        <f t="shared" si="1065"/>
        <v>0.99999999994179234</v>
      </c>
      <c r="S6411" s="158">
        <f t="shared" si="1066"/>
        <v>4.528301886528871E-2</v>
      </c>
      <c r="T6411" s="161">
        <f t="shared" si="1067"/>
        <v>33.826415092370667</v>
      </c>
      <c r="U6411" s="158">
        <f t="shared" si="1069"/>
        <v>33.826415094339623</v>
      </c>
      <c r="V6411" s="160">
        <f t="shared" si="1068"/>
        <v>34</v>
      </c>
    </row>
    <row r="6412" spans="1:22" x14ac:dyDescent="0.25">
      <c r="A6412" s="98" t="s">
        <v>69</v>
      </c>
      <c r="B6412" s="98" t="s">
        <v>105</v>
      </c>
      <c r="C6412" s="98">
        <v>14</v>
      </c>
      <c r="D6412" s="98">
        <v>1190</v>
      </c>
      <c r="E6412" s="157">
        <v>43135</v>
      </c>
      <c r="F6412" s="157">
        <v>43135.416666666664</v>
      </c>
      <c r="G6412" s="98">
        <v>449</v>
      </c>
      <c r="H6412" s="98">
        <v>795</v>
      </c>
      <c r="I6412" s="98">
        <v>747</v>
      </c>
      <c r="J6412" s="98" t="s">
        <v>2007</v>
      </c>
      <c r="K6412" s="98" t="s">
        <v>4974</v>
      </c>
      <c r="L6412" s="105" t="str">
        <f t="shared" si="1060"/>
        <v>Trimble</v>
      </c>
      <c r="M6412" s="105" t="str">
        <f t="shared" si="1061"/>
        <v>Derate</v>
      </c>
      <c r="N6412" s="105" t="str">
        <f t="shared" si="1062"/>
        <v>Coal</v>
      </c>
      <c r="O6412" s="105">
        <f>IFERROR(VLOOKUP(A6412,Lookup!$J$5:$P$19,7,FALSE),0)</f>
        <v>3</v>
      </c>
      <c r="P6412" s="159">
        <f t="shared" si="1063"/>
        <v>2018</v>
      </c>
      <c r="Q6412" s="159">
        <f t="shared" si="1064"/>
        <v>2</v>
      </c>
      <c r="R6412" s="160">
        <f t="shared" si="1065"/>
        <v>9.9999999999417923</v>
      </c>
      <c r="S6412" s="158">
        <f t="shared" si="1066"/>
        <v>4.3522012578363025</v>
      </c>
      <c r="T6412" s="161">
        <f t="shared" si="1067"/>
        <v>3251.0943396037178</v>
      </c>
      <c r="U6412" s="158">
        <f t="shared" si="1069"/>
        <v>325.10943396226418</v>
      </c>
      <c r="V6412" s="160">
        <f t="shared" si="1068"/>
        <v>325</v>
      </c>
    </row>
    <row r="6413" spans="1:22" x14ac:dyDescent="0.25">
      <c r="A6413" s="98" t="s">
        <v>69</v>
      </c>
      <c r="B6413" s="98" t="s">
        <v>17</v>
      </c>
      <c r="C6413" s="98">
        <v>15</v>
      </c>
      <c r="D6413" s="98">
        <v>310</v>
      </c>
      <c r="E6413" s="157">
        <v>43137.104166666664</v>
      </c>
      <c r="F6413" s="157">
        <v>43137.145833333336</v>
      </c>
      <c r="G6413" s="98">
        <v>759</v>
      </c>
      <c r="H6413" s="98">
        <v>795</v>
      </c>
      <c r="I6413" s="98">
        <v>747</v>
      </c>
      <c r="J6413" s="98" t="s">
        <v>1966</v>
      </c>
      <c r="K6413" s="98" t="s">
        <v>4973</v>
      </c>
      <c r="L6413" s="105" t="str">
        <f t="shared" si="1060"/>
        <v>Trimble</v>
      </c>
      <c r="M6413" s="105" t="str">
        <f t="shared" si="1061"/>
        <v>Derate</v>
      </c>
      <c r="N6413" s="105" t="str">
        <f t="shared" si="1062"/>
        <v>Coal</v>
      </c>
      <c r="O6413" s="105">
        <f>IFERROR(VLOOKUP(A6413,Lookup!$J$5:$P$19,7,FALSE),0)</f>
        <v>3</v>
      </c>
      <c r="P6413" s="159">
        <f t="shared" si="1063"/>
        <v>2018</v>
      </c>
      <c r="Q6413" s="159">
        <f t="shared" si="1064"/>
        <v>2</v>
      </c>
      <c r="R6413" s="160">
        <f t="shared" si="1065"/>
        <v>1.0000000001164153</v>
      </c>
      <c r="S6413" s="158">
        <f t="shared" si="1066"/>
        <v>4.5283018873196162E-2</v>
      </c>
      <c r="T6413" s="161">
        <f t="shared" si="1067"/>
        <v>33.826415098277536</v>
      </c>
      <c r="U6413" s="158">
        <f t="shared" si="1069"/>
        <v>33.826415094339623</v>
      </c>
      <c r="V6413" s="160">
        <f t="shared" si="1068"/>
        <v>34</v>
      </c>
    </row>
    <row r="6414" spans="1:22" x14ac:dyDescent="0.25">
      <c r="A6414" s="98" t="s">
        <v>69</v>
      </c>
      <c r="B6414" s="98" t="s">
        <v>17</v>
      </c>
      <c r="C6414" s="98">
        <v>16</v>
      </c>
      <c r="D6414" s="98">
        <v>9291</v>
      </c>
      <c r="E6414" s="157">
        <v>43138.25</v>
      </c>
      <c r="F6414" s="157">
        <v>43138.673611111109</v>
      </c>
      <c r="G6414" s="98">
        <v>804</v>
      </c>
      <c r="H6414" s="98">
        <v>795</v>
      </c>
      <c r="I6414" s="98">
        <v>747</v>
      </c>
      <c r="J6414" s="98" t="s">
        <v>4957</v>
      </c>
      <c r="K6414" s="98" t="s">
        <v>4975</v>
      </c>
      <c r="L6414" s="105" t="str">
        <f t="shared" si="1060"/>
        <v>Trimble</v>
      </c>
      <c r="M6414" s="105" t="str">
        <f t="shared" si="1061"/>
        <v>Derate</v>
      </c>
      <c r="N6414" s="105" t="str">
        <f t="shared" si="1062"/>
        <v>Coal</v>
      </c>
      <c r="O6414" s="105">
        <f>IFERROR(VLOOKUP(A6414,Lookup!$J$5:$P$19,7,FALSE),0)</f>
        <v>3</v>
      </c>
      <c r="P6414" s="159">
        <f t="shared" si="1063"/>
        <v>2018</v>
      </c>
      <c r="Q6414" s="159">
        <f t="shared" si="1064"/>
        <v>2</v>
      </c>
      <c r="R6414" s="160">
        <f t="shared" si="1065"/>
        <v>10.166666666627862</v>
      </c>
      <c r="S6414" s="158">
        <f t="shared" si="1066"/>
        <v>-0.11509433962220221</v>
      </c>
      <c r="T6414" s="161">
        <f t="shared" si="1067"/>
        <v>-85.975471697785053</v>
      </c>
      <c r="U6414" s="158">
        <f t="shared" si="1069"/>
        <v>0</v>
      </c>
      <c r="V6414" s="160">
        <f t="shared" si="1068"/>
        <v>0</v>
      </c>
    </row>
    <row r="6415" spans="1:22" x14ac:dyDescent="0.25">
      <c r="A6415" s="98" t="s">
        <v>69</v>
      </c>
      <c r="B6415" s="98" t="s">
        <v>17</v>
      </c>
      <c r="C6415" s="98">
        <v>17</v>
      </c>
      <c r="D6415" s="98">
        <v>310</v>
      </c>
      <c r="E6415" s="157">
        <v>43139.09652777778</v>
      </c>
      <c r="F6415" s="157">
        <v>43139.103472222225</v>
      </c>
      <c r="G6415" s="98">
        <v>785</v>
      </c>
      <c r="H6415" s="98">
        <v>795</v>
      </c>
      <c r="I6415" s="98">
        <v>747</v>
      </c>
      <c r="J6415" s="98" t="s">
        <v>1966</v>
      </c>
      <c r="K6415" s="98" t="s">
        <v>4973</v>
      </c>
      <c r="L6415" s="105" t="str">
        <f t="shared" si="1060"/>
        <v>Trimble</v>
      </c>
      <c r="M6415" s="105" t="str">
        <f t="shared" si="1061"/>
        <v>Derate</v>
      </c>
      <c r="N6415" s="105" t="str">
        <f t="shared" si="1062"/>
        <v>Coal</v>
      </c>
      <c r="O6415" s="105">
        <f>IFERROR(VLOOKUP(A6415,Lookup!$J$5:$P$19,7,FALSE),0)</f>
        <v>3</v>
      </c>
      <c r="P6415" s="159">
        <f t="shared" si="1063"/>
        <v>2018</v>
      </c>
      <c r="Q6415" s="159">
        <f t="shared" si="1064"/>
        <v>2</v>
      </c>
      <c r="R6415" s="160">
        <f t="shared" si="1065"/>
        <v>0.16666666668606922</v>
      </c>
      <c r="S6415" s="158">
        <f t="shared" si="1066"/>
        <v>2.0964360589442671E-3</v>
      </c>
      <c r="T6415" s="161">
        <f t="shared" si="1067"/>
        <v>1.5660377360313675</v>
      </c>
      <c r="U6415" s="158">
        <f t="shared" si="1069"/>
        <v>9.3962264150943398</v>
      </c>
      <c r="V6415" s="160">
        <f t="shared" si="1068"/>
        <v>9</v>
      </c>
    </row>
    <row r="6416" spans="1:22" x14ac:dyDescent="0.25">
      <c r="A6416" s="98" t="s">
        <v>69</v>
      </c>
      <c r="B6416" s="98" t="s">
        <v>105</v>
      </c>
      <c r="C6416" s="98">
        <v>18</v>
      </c>
      <c r="D6416" s="98">
        <v>1190</v>
      </c>
      <c r="E6416" s="157">
        <v>43141.875</v>
      </c>
      <c r="F6416" s="157">
        <v>43142.416666666664</v>
      </c>
      <c r="G6416" s="98">
        <v>449</v>
      </c>
      <c r="H6416" s="98">
        <v>795</v>
      </c>
      <c r="I6416" s="98">
        <v>747</v>
      </c>
      <c r="J6416" s="98" t="s">
        <v>2007</v>
      </c>
      <c r="K6416" s="98" t="s">
        <v>4940</v>
      </c>
      <c r="L6416" s="105" t="str">
        <f t="shared" si="1060"/>
        <v>Trimble</v>
      </c>
      <c r="M6416" s="105" t="str">
        <f t="shared" si="1061"/>
        <v>Derate</v>
      </c>
      <c r="N6416" s="105" t="str">
        <f t="shared" si="1062"/>
        <v>Coal</v>
      </c>
      <c r="O6416" s="105">
        <f>IFERROR(VLOOKUP(A6416,Lookup!$J$5:$P$19,7,FALSE),0)</f>
        <v>3</v>
      </c>
      <c r="P6416" s="159">
        <f t="shared" si="1063"/>
        <v>2018</v>
      </c>
      <c r="Q6416" s="159">
        <f t="shared" si="1064"/>
        <v>2</v>
      </c>
      <c r="R6416" s="160">
        <f t="shared" si="1065"/>
        <v>12.999999999941792</v>
      </c>
      <c r="S6416" s="158">
        <f t="shared" si="1066"/>
        <v>5.6578616351947923</v>
      </c>
      <c r="T6416" s="161">
        <f t="shared" si="1067"/>
        <v>4226.4226414905097</v>
      </c>
      <c r="U6416" s="158">
        <f t="shared" si="1069"/>
        <v>325.10943396226418</v>
      </c>
      <c r="V6416" s="160">
        <f t="shared" si="1068"/>
        <v>325</v>
      </c>
    </row>
    <row r="6417" spans="1:22" x14ac:dyDescent="0.25">
      <c r="A6417" s="98" t="s">
        <v>69</v>
      </c>
      <c r="B6417" s="98" t="s">
        <v>105</v>
      </c>
      <c r="C6417" s="98">
        <v>19</v>
      </c>
      <c r="D6417" s="98">
        <v>1190</v>
      </c>
      <c r="E6417" s="157">
        <v>43148.916666666664</v>
      </c>
      <c r="F6417" s="157">
        <v>43149</v>
      </c>
      <c r="G6417" s="98">
        <v>449</v>
      </c>
      <c r="H6417" s="98">
        <v>795</v>
      </c>
      <c r="I6417" s="98">
        <v>747</v>
      </c>
      <c r="J6417" s="98" t="s">
        <v>2007</v>
      </c>
      <c r="K6417" s="98" t="s">
        <v>4976</v>
      </c>
      <c r="L6417" s="105" t="str">
        <f t="shared" si="1060"/>
        <v>Trimble</v>
      </c>
      <c r="M6417" s="105" t="str">
        <f t="shared" si="1061"/>
        <v>Derate</v>
      </c>
      <c r="N6417" s="105" t="str">
        <f t="shared" si="1062"/>
        <v>Coal</v>
      </c>
      <c r="O6417" s="105">
        <f>IFERROR(VLOOKUP(A6417,Lookup!$J$5:$P$19,7,FALSE),0)</f>
        <v>3</v>
      </c>
      <c r="P6417" s="159">
        <f t="shared" si="1063"/>
        <v>2018</v>
      </c>
      <c r="Q6417" s="159">
        <f t="shared" si="1064"/>
        <v>2</v>
      </c>
      <c r="R6417" s="160">
        <f t="shared" si="1065"/>
        <v>2.0000000000582077</v>
      </c>
      <c r="S6417" s="158">
        <f t="shared" si="1066"/>
        <v>0.87044025159766014</v>
      </c>
      <c r="T6417" s="161">
        <f t="shared" si="1067"/>
        <v>650.2188679434521</v>
      </c>
      <c r="U6417" s="158">
        <f t="shared" si="1069"/>
        <v>325.10943396226418</v>
      </c>
      <c r="V6417" s="160">
        <f t="shared" si="1068"/>
        <v>325</v>
      </c>
    </row>
    <row r="6418" spans="1:22" x14ac:dyDescent="0.25">
      <c r="A6418" s="98" t="s">
        <v>69</v>
      </c>
      <c r="B6418" s="98" t="s">
        <v>17</v>
      </c>
      <c r="C6418" s="98">
        <v>20</v>
      </c>
      <c r="D6418" s="98">
        <v>1455</v>
      </c>
      <c r="E6418" s="157">
        <v>43150.634027777778</v>
      </c>
      <c r="F6418" s="157">
        <v>43152.395833333336</v>
      </c>
      <c r="G6418" s="98">
        <v>800</v>
      </c>
      <c r="H6418" s="98">
        <v>795</v>
      </c>
      <c r="I6418" s="98">
        <v>747</v>
      </c>
      <c r="J6418" s="98" t="s">
        <v>1990</v>
      </c>
      <c r="K6418" s="98" t="s">
        <v>4977</v>
      </c>
      <c r="L6418" s="105" t="str">
        <f t="shared" si="1060"/>
        <v>Trimble</v>
      </c>
      <c r="M6418" s="105" t="str">
        <f t="shared" si="1061"/>
        <v>Derate</v>
      </c>
      <c r="N6418" s="105" t="str">
        <f t="shared" si="1062"/>
        <v>Coal</v>
      </c>
      <c r="O6418" s="105">
        <f>IFERROR(VLOOKUP(A6418,Lookup!$J$5:$P$19,7,FALSE),0)</f>
        <v>3</v>
      </c>
      <c r="P6418" s="159">
        <f t="shared" si="1063"/>
        <v>2018</v>
      </c>
      <c r="Q6418" s="159">
        <f t="shared" si="1064"/>
        <v>2</v>
      </c>
      <c r="R6418" s="160">
        <f t="shared" si="1065"/>
        <v>42.28333333338378</v>
      </c>
      <c r="S6418" s="158">
        <f t="shared" si="1066"/>
        <v>-0.26593291404643887</v>
      </c>
      <c r="T6418" s="161">
        <f t="shared" si="1067"/>
        <v>-198.65188679268985</v>
      </c>
      <c r="U6418" s="158">
        <f t="shared" si="1069"/>
        <v>0</v>
      </c>
      <c r="V6418" s="160">
        <f t="shared" si="1068"/>
        <v>0</v>
      </c>
    </row>
    <row r="6419" spans="1:22" x14ac:dyDescent="0.25">
      <c r="A6419" s="98" t="s">
        <v>69</v>
      </c>
      <c r="B6419" s="98" t="s">
        <v>32</v>
      </c>
      <c r="C6419" s="98">
        <v>21</v>
      </c>
      <c r="D6419" s="98">
        <v>310</v>
      </c>
      <c r="E6419" s="157">
        <v>43153</v>
      </c>
      <c r="F6419" s="157">
        <v>43153.104166666664</v>
      </c>
      <c r="G6419" s="98">
        <v>779</v>
      </c>
      <c r="H6419" s="98">
        <v>795</v>
      </c>
      <c r="I6419" s="98">
        <v>747</v>
      </c>
      <c r="J6419" s="98" t="s">
        <v>1966</v>
      </c>
      <c r="K6419" s="98" t="s">
        <v>4978</v>
      </c>
      <c r="L6419" s="105" t="str">
        <f t="shared" si="1060"/>
        <v>Trimble</v>
      </c>
      <c r="M6419" s="105" t="str">
        <f t="shared" si="1061"/>
        <v>Derate</v>
      </c>
      <c r="N6419" s="105" t="str">
        <f t="shared" si="1062"/>
        <v>Coal</v>
      </c>
      <c r="O6419" s="105">
        <f>IFERROR(VLOOKUP(A6419,Lookup!$J$5:$P$19,7,FALSE),0)</f>
        <v>3</v>
      </c>
      <c r="P6419" s="159">
        <f t="shared" si="1063"/>
        <v>2018</v>
      </c>
      <c r="Q6419" s="159">
        <f t="shared" si="1064"/>
        <v>2</v>
      </c>
      <c r="R6419" s="160">
        <f t="shared" si="1065"/>
        <v>2.4999999999417923</v>
      </c>
      <c r="S6419" s="158">
        <f t="shared" si="1066"/>
        <v>5.0314465407633555E-2</v>
      </c>
      <c r="T6419" s="161">
        <f t="shared" si="1067"/>
        <v>37.584905659502269</v>
      </c>
      <c r="U6419" s="158">
        <f t="shared" si="1069"/>
        <v>15.033962264150944</v>
      </c>
      <c r="V6419" s="160">
        <f t="shared" si="1068"/>
        <v>15</v>
      </c>
    </row>
    <row r="6420" spans="1:22" x14ac:dyDescent="0.25">
      <c r="A6420" s="98" t="s">
        <v>69</v>
      </c>
      <c r="B6420" s="98" t="s">
        <v>17</v>
      </c>
      <c r="C6420" s="98">
        <v>22</v>
      </c>
      <c r="D6420" s="98">
        <v>1455</v>
      </c>
      <c r="E6420" s="157">
        <v>43153.5625</v>
      </c>
      <c r="F6420" s="157">
        <v>43154</v>
      </c>
      <c r="G6420" s="98">
        <v>799</v>
      </c>
      <c r="H6420" s="98">
        <v>795</v>
      </c>
      <c r="I6420" s="98">
        <v>747</v>
      </c>
      <c r="J6420" s="98" t="s">
        <v>1990</v>
      </c>
      <c r="K6420" s="98" t="s">
        <v>4979</v>
      </c>
      <c r="L6420" s="105" t="str">
        <f t="shared" si="1060"/>
        <v>Trimble</v>
      </c>
      <c r="M6420" s="105" t="str">
        <f t="shared" si="1061"/>
        <v>Derate</v>
      </c>
      <c r="N6420" s="105" t="str">
        <f t="shared" si="1062"/>
        <v>Coal</v>
      </c>
      <c r="O6420" s="105">
        <f>IFERROR(VLOOKUP(A6420,Lookup!$J$5:$P$19,7,FALSE),0)</f>
        <v>3</v>
      </c>
      <c r="P6420" s="159">
        <f t="shared" si="1063"/>
        <v>2018</v>
      </c>
      <c r="Q6420" s="159">
        <f t="shared" si="1064"/>
        <v>2</v>
      </c>
      <c r="R6420" s="160">
        <f t="shared" si="1065"/>
        <v>10.5</v>
      </c>
      <c r="S6420" s="158">
        <f t="shared" si="1066"/>
        <v>-5.2830188679245285E-2</v>
      </c>
      <c r="T6420" s="161">
        <f t="shared" si="1067"/>
        <v>-39.464150943396227</v>
      </c>
      <c r="U6420" s="158">
        <f t="shared" si="1069"/>
        <v>0</v>
      </c>
      <c r="V6420" s="160">
        <f t="shared" si="1068"/>
        <v>0</v>
      </c>
    </row>
    <row r="6421" spans="1:22" x14ac:dyDescent="0.25">
      <c r="A6421" s="98" t="s">
        <v>69</v>
      </c>
      <c r="B6421" s="98" t="s">
        <v>38</v>
      </c>
      <c r="C6421" s="98">
        <v>23</v>
      </c>
      <c r="D6421" s="98">
        <v>4400</v>
      </c>
      <c r="E6421" s="157">
        <v>43154.979166666664</v>
      </c>
      <c r="F6421" s="157">
        <v>43220</v>
      </c>
      <c r="G6421" s="98">
        <v>0</v>
      </c>
      <c r="H6421" s="98">
        <v>795</v>
      </c>
      <c r="I6421" s="98">
        <v>747</v>
      </c>
      <c r="J6421" s="98" t="s">
        <v>2079</v>
      </c>
      <c r="K6421" s="98" t="s">
        <v>4903</v>
      </c>
      <c r="L6421" s="105" t="str">
        <f t="shared" si="1060"/>
        <v>Trimble</v>
      </c>
      <c r="M6421" s="105" t="str">
        <f t="shared" si="1061"/>
        <v>Other</v>
      </c>
      <c r="N6421" s="105" t="str">
        <f t="shared" si="1062"/>
        <v>Coal</v>
      </c>
      <c r="O6421" s="105">
        <f>IFERROR(VLOOKUP(A6421,Lookup!$J$5:$P$19,7,FALSE),0)</f>
        <v>3</v>
      </c>
      <c r="P6421" s="159">
        <f t="shared" si="1063"/>
        <v>2018</v>
      </c>
      <c r="Q6421" s="159">
        <f t="shared" si="1064"/>
        <v>2</v>
      </c>
      <c r="R6421" s="160">
        <f t="shared" si="1065"/>
        <v>1560.5000000000582</v>
      </c>
      <c r="S6421" s="158">
        <f t="shared" si="1066"/>
        <v>1560.5000000000582</v>
      </c>
      <c r="T6421" s="161">
        <f t="shared" si="1067"/>
        <v>1165693.5000000435</v>
      </c>
      <c r="U6421" s="158">
        <f t="shared" si="1069"/>
        <v>747</v>
      </c>
      <c r="V6421" s="160">
        <f t="shared" si="1068"/>
        <v>747</v>
      </c>
    </row>
    <row r="6422" spans="1:22" x14ac:dyDescent="0.25">
      <c r="E6422" s="157"/>
      <c r="F6422" s="157"/>
      <c r="L6422" s="105"/>
      <c r="M6422" s="105"/>
      <c r="N6422" s="105"/>
      <c r="O6422" s="105"/>
      <c r="P6422" s="159"/>
      <c r="Q6422" s="159"/>
      <c r="R6422" s="160"/>
      <c r="S6422" s="158"/>
      <c r="T6422" s="161"/>
      <c r="U6422" s="158"/>
      <c r="V6422" s="160"/>
    </row>
    <row r="6423" spans="1:22" x14ac:dyDescent="0.25">
      <c r="E6423" s="157"/>
      <c r="F6423" s="157"/>
      <c r="L6423" s="105"/>
      <c r="M6423" s="105"/>
      <c r="N6423" s="105"/>
      <c r="O6423" s="105"/>
      <c r="P6423" s="159"/>
      <c r="Q6423" s="159"/>
      <c r="R6423" s="160"/>
      <c r="S6423" s="158"/>
      <c r="T6423" s="161"/>
      <c r="U6423" s="158"/>
      <c r="V6423" s="160"/>
    </row>
    <row r="6424" spans="1:22" x14ac:dyDescent="0.25">
      <c r="E6424" s="157"/>
      <c r="F6424" s="157"/>
      <c r="L6424" s="105"/>
      <c r="M6424" s="105"/>
      <c r="N6424" s="105"/>
      <c r="O6424" s="105"/>
      <c r="P6424" s="159"/>
      <c r="Q6424" s="159"/>
      <c r="R6424" s="160"/>
      <c r="S6424" s="158"/>
      <c r="T6424" s="161"/>
      <c r="U6424" s="158"/>
      <c r="V6424" s="160"/>
    </row>
    <row r="6425" spans="1:22" x14ac:dyDescent="0.25">
      <c r="E6425" s="157"/>
      <c r="F6425" s="157"/>
      <c r="L6425" s="105"/>
      <c r="M6425" s="105"/>
      <c r="N6425" s="105"/>
      <c r="O6425" s="105"/>
      <c r="P6425" s="159"/>
      <c r="Q6425" s="159"/>
      <c r="R6425" s="160"/>
      <c r="S6425" s="158"/>
      <c r="T6425" s="161"/>
      <c r="U6425" s="158"/>
      <c r="V6425" s="160"/>
    </row>
    <row r="6426" spans="1:22" x14ac:dyDescent="0.25">
      <c r="E6426" s="157"/>
      <c r="F6426" s="157"/>
      <c r="L6426" s="105"/>
      <c r="M6426" s="105"/>
      <c r="N6426" s="105"/>
      <c r="O6426" s="105"/>
      <c r="P6426" s="159"/>
      <c r="Q6426" s="159"/>
      <c r="R6426" s="160"/>
      <c r="S6426" s="158"/>
      <c r="T6426" s="161"/>
      <c r="U6426" s="158"/>
      <c r="V6426" s="160"/>
    </row>
    <row r="6427" spans="1:22" x14ac:dyDescent="0.25">
      <c r="E6427" s="157"/>
      <c r="F6427" s="157"/>
      <c r="L6427" s="105"/>
      <c r="M6427" s="105"/>
      <c r="N6427" s="105"/>
      <c r="O6427" s="105"/>
      <c r="P6427" s="159"/>
      <c r="Q6427" s="159"/>
      <c r="R6427" s="160"/>
      <c r="S6427" s="158"/>
      <c r="T6427" s="161"/>
      <c r="U6427" s="158"/>
      <c r="V6427" s="160"/>
    </row>
    <row r="6428" spans="1:22" x14ac:dyDescent="0.25">
      <c r="E6428" s="157"/>
      <c r="F6428" s="157"/>
      <c r="L6428" s="105"/>
      <c r="M6428" s="105"/>
      <c r="N6428" s="105"/>
      <c r="O6428" s="105"/>
      <c r="P6428" s="159"/>
      <c r="Q6428" s="159"/>
      <c r="R6428" s="160"/>
      <c r="S6428" s="158"/>
      <c r="T6428" s="161"/>
      <c r="U6428" s="158"/>
      <c r="V6428" s="160"/>
    </row>
    <row r="6429" spans="1:22" x14ac:dyDescent="0.25">
      <c r="E6429" s="157"/>
      <c r="F6429" s="157"/>
      <c r="L6429" s="105"/>
      <c r="M6429" s="105"/>
      <c r="N6429" s="105"/>
      <c r="O6429" s="105"/>
      <c r="P6429" s="159"/>
      <c r="Q6429" s="159"/>
      <c r="R6429" s="160"/>
      <c r="S6429" s="158"/>
      <c r="T6429" s="161"/>
      <c r="U6429" s="158"/>
      <c r="V6429" s="160"/>
    </row>
    <row r="6430" spans="1:22" x14ac:dyDescent="0.25">
      <c r="E6430" s="157"/>
      <c r="F6430" s="157"/>
      <c r="L6430" s="105"/>
      <c r="M6430" s="105"/>
      <c r="N6430" s="105"/>
      <c r="O6430" s="105"/>
      <c r="P6430" s="159"/>
      <c r="Q6430" s="159"/>
      <c r="R6430" s="160"/>
      <c r="S6430" s="158"/>
      <c r="T6430" s="161"/>
      <c r="U6430" s="158"/>
      <c r="V6430" s="160"/>
    </row>
    <row r="6431" spans="1:22" x14ac:dyDescent="0.25">
      <c r="E6431" s="157"/>
      <c r="F6431" s="157"/>
      <c r="L6431" s="105"/>
      <c r="M6431" s="105"/>
      <c r="N6431" s="105"/>
      <c r="O6431" s="105"/>
      <c r="P6431" s="159"/>
      <c r="Q6431" s="159"/>
      <c r="R6431" s="160"/>
      <c r="S6431" s="158"/>
      <c r="T6431" s="161"/>
      <c r="U6431" s="158"/>
      <c r="V6431" s="160"/>
    </row>
    <row r="6432" spans="1:22" x14ac:dyDescent="0.25">
      <c r="E6432" s="157"/>
      <c r="F6432" s="157"/>
      <c r="L6432" s="105"/>
      <c r="M6432" s="105"/>
      <c r="N6432" s="105"/>
      <c r="O6432" s="105"/>
      <c r="P6432" s="159"/>
      <c r="Q6432" s="159"/>
      <c r="R6432" s="160"/>
      <c r="S6432" s="158"/>
      <c r="T6432" s="161"/>
      <c r="U6432" s="158"/>
      <c r="V6432" s="160"/>
    </row>
    <row r="6433" spans="5:22" x14ac:dyDescent="0.25">
      <c r="E6433" s="157"/>
      <c r="F6433" s="157"/>
      <c r="L6433" s="105"/>
      <c r="M6433" s="105"/>
      <c r="N6433" s="105"/>
      <c r="O6433" s="105"/>
      <c r="P6433" s="159"/>
      <c r="Q6433" s="159"/>
      <c r="R6433" s="160"/>
      <c r="S6433" s="158"/>
      <c r="T6433" s="161"/>
      <c r="U6433" s="158"/>
      <c r="V6433" s="160"/>
    </row>
    <row r="6434" spans="5:22" x14ac:dyDescent="0.25">
      <c r="E6434" s="157"/>
      <c r="F6434" s="157"/>
      <c r="L6434" s="105"/>
      <c r="M6434" s="105"/>
      <c r="N6434" s="105"/>
      <c r="O6434" s="105"/>
      <c r="P6434" s="159"/>
      <c r="Q6434" s="159"/>
      <c r="R6434" s="160"/>
      <c r="S6434" s="158"/>
      <c r="T6434" s="161"/>
      <c r="U6434" s="158"/>
      <c r="V6434" s="160"/>
    </row>
    <row r="6435" spans="5:22" x14ac:dyDescent="0.25">
      <c r="E6435" s="157"/>
      <c r="F6435" s="157"/>
      <c r="L6435" s="105"/>
      <c r="M6435" s="105"/>
      <c r="N6435" s="105"/>
      <c r="O6435" s="105"/>
      <c r="P6435" s="159"/>
      <c r="Q6435" s="159"/>
      <c r="R6435" s="160"/>
      <c r="S6435" s="158"/>
      <c r="T6435" s="161"/>
      <c r="U6435" s="158"/>
      <c r="V6435" s="160"/>
    </row>
    <row r="6436" spans="5:22" x14ac:dyDescent="0.25">
      <c r="E6436" s="157"/>
      <c r="F6436" s="157"/>
      <c r="L6436" s="105"/>
      <c r="M6436" s="105"/>
      <c r="N6436" s="105"/>
      <c r="O6436" s="105"/>
      <c r="P6436" s="159"/>
      <c r="Q6436" s="159"/>
      <c r="R6436" s="160"/>
      <c r="S6436" s="158"/>
      <c r="T6436" s="161"/>
      <c r="U6436" s="158"/>
      <c r="V6436" s="160"/>
    </row>
    <row r="6437" spans="5:22" x14ac:dyDescent="0.25">
      <c r="E6437" s="157"/>
      <c r="F6437" s="157"/>
      <c r="L6437" s="105"/>
      <c r="M6437" s="105"/>
      <c r="N6437" s="105"/>
      <c r="O6437" s="105"/>
      <c r="P6437" s="159"/>
      <c r="Q6437" s="159"/>
      <c r="R6437" s="160"/>
      <c r="S6437" s="158"/>
      <c r="T6437" s="161"/>
      <c r="U6437" s="158"/>
      <c r="V6437" s="160"/>
    </row>
    <row r="6438" spans="5:22" x14ac:dyDescent="0.25">
      <c r="E6438" s="157"/>
      <c r="F6438" s="157"/>
      <c r="L6438" s="105"/>
      <c r="M6438" s="105"/>
      <c r="N6438" s="105"/>
      <c r="O6438" s="105"/>
      <c r="P6438" s="159"/>
      <c r="Q6438" s="159"/>
      <c r="R6438" s="160"/>
      <c r="S6438" s="158"/>
      <c r="T6438" s="161"/>
      <c r="U6438" s="158"/>
      <c r="V6438" s="160"/>
    </row>
    <row r="6439" spans="5:22" x14ac:dyDescent="0.25">
      <c r="E6439" s="157"/>
      <c r="F6439" s="157"/>
      <c r="L6439" s="105"/>
      <c r="M6439" s="105"/>
      <c r="N6439" s="105"/>
      <c r="O6439" s="105"/>
      <c r="P6439" s="159"/>
      <c r="Q6439" s="159"/>
      <c r="R6439" s="160"/>
      <c r="S6439" s="158"/>
      <c r="T6439" s="161"/>
      <c r="U6439" s="158"/>
      <c r="V6439" s="160"/>
    </row>
    <row r="6440" spans="5:22" x14ac:dyDescent="0.25">
      <c r="E6440" s="157"/>
      <c r="F6440" s="162"/>
      <c r="L6440" s="105"/>
      <c r="M6440" s="105"/>
      <c r="N6440" s="105"/>
      <c r="O6440" s="105"/>
      <c r="P6440" s="159"/>
      <c r="Q6440" s="159"/>
      <c r="R6440" s="160"/>
      <c r="S6440" s="158"/>
      <c r="T6440" s="161"/>
      <c r="U6440" s="158"/>
      <c r="V6440" s="160"/>
    </row>
    <row r="6441" spans="5:22" x14ac:dyDescent="0.25">
      <c r="E6441" s="162"/>
      <c r="F6441" s="157"/>
      <c r="L6441" s="105"/>
      <c r="M6441" s="105"/>
      <c r="N6441" s="105"/>
      <c r="O6441" s="105"/>
      <c r="P6441" s="159"/>
      <c r="Q6441" s="159"/>
      <c r="R6441" s="160"/>
      <c r="S6441" s="158"/>
      <c r="T6441" s="161"/>
      <c r="U6441" s="158"/>
      <c r="V6441" s="160"/>
    </row>
    <row r="6442" spans="5:22" x14ac:dyDescent="0.25">
      <c r="E6442" s="157"/>
      <c r="F6442" s="157"/>
      <c r="L6442" s="105"/>
      <c r="M6442" s="105"/>
      <c r="N6442" s="105"/>
      <c r="O6442" s="105"/>
      <c r="P6442" s="159"/>
      <c r="Q6442" s="159"/>
      <c r="R6442" s="160"/>
      <c r="S6442" s="158"/>
      <c r="T6442" s="161"/>
      <c r="U6442" s="158"/>
      <c r="V6442" s="160"/>
    </row>
    <row r="6443" spans="5:22" x14ac:dyDescent="0.25">
      <c r="E6443" s="157"/>
      <c r="F6443" s="157"/>
      <c r="L6443" s="105"/>
      <c r="M6443" s="105"/>
      <c r="N6443" s="105"/>
      <c r="O6443" s="105"/>
      <c r="P6443" s="159"/>
      <c r="Q6443" s="159"/>
      <c r="R6443" s="160"/>
      <c r="S6443" s="158"/>
      <c r="T6443" s="161"/>
      <c r="U6443" s="158"/>
      <c r="V6443" s="160"/>
    </row>
    <row r="6444" spans="5:22" x14ac:dyDescent="0.25">
      <c r="E6444" s="157"/>
      <c r="F6444" s="157"/>
      <c r="L6444" s="105"/>
      <c r="M6444" s="105"/>
      <c r="N6444" s="105"/>
      <c r="O6444" s="105"/>
      <c r="P6444" s="159"/>
      <c r="Q6444" s="159"/>
      <c r="R6444" s="160"/>
      <c r="S6444" s="158"/>
      <c r="T6444" s="161"/>
      <c r="U6444" s="158"/>
      <c r="V6444" s="160"/>
    </row>
    <row r="6445" spans="5:22" x14ac:dyDescent="0.25">
      <c r="E6445" s="157"/>
      <c r="F6445" s="157"/>
      <c r="L6445" s="105"/>
      <c r="M6445" s="105"/>
      <c r="N6445" s="105"/>
      <c r="O6445" s="105"/>
      <c r="P6445" s="159"/>
      <c r="Q6445" s="159"/>
      <c r="R6445" s="160"/>
      <c r="S6445" s="158"/>
      <c r="T6445" s="161"/>
      <c r="U6445" s="158"/>
      <c r="V6445" s="160"/>
    </row>
    <row r="6446" spans="5:22" x14ac:dyDescent="0.25">
      <c r="E6446" s="157"/>
      <c r="F6446" s="157"/>
      <c r="L6446" s="105"/>
      <c r="M6446" s="105"/>
      <c r="N6446" s="105"/>
      <c r="O6446" s="105"/>
      <c r="P6446" s="159"/>
      <c r="Q6446" s="159"/>
      <c r="R6446" s="160"/>
      <c r="S6446" s="158"/>
      <c r="T6446" s="161"/>
      <c r="U6446" s="158"/>
      <c r="V6446" s="160"/>
    </row>
    <row r="6447" spans="5:22" x14ac:dyDescent="0.25">
      <c r="E6447" s="157"/>
      <c r="F6447" s="157"/>
      <c r="L6447" s="105"/>
      <c r="M6447" s="105"/>
      <c r="N6447" s="105"/>
      <c r="O6447" s="105"/>
      <c r="P6447" s="159"/>
      <c r="Q6447" s="159"/>
      <c r="R6447" s="160"/>
      <c r="S6447" s="158"/>
      <c r="T6447" s="161"/>
      <c r="U6447" s="158"/>
      <c r="V6447" s="160"/>
    </row>
    <row r="6448" spans="5:22" x14ac:dyDescent="0.25">
      <c r="E6448" s="157"/>
      <c r="F6448" s="157"/>
      <c r="L6448" s="105"/>
      <c r="M6448" s="105"/>
      <c r="N6448" s="105"/>
      <c r="O6448" s="105"/>
      <c r="P6448" s="159"/>
      <c r="Q6448" s="159"/>
      <c r="R6448" s="160"/>
      <c r="S6448" s="158"/>
      <c r="T6448" s="161"/>
      <c r="U6448" s="158"/>
      <c r="V6448" s="160"/>
    </row>
    <row r="6449" spans="5:22" x14ac:dyDescent="0.25">
      <c r="E6449" s="157"/>
      <c r="F6449" s="157"/>
      <c r="L6449" s="105"/>
      <c r="M6449" s="105"/>
      <c r="N6449" s="105"/>
      <c r="O6449" s="105"/>
      <c r="P6449" s="159"/>
      <c r="Q6449" s="159"/>
      <c r="R6449" s="160"/>
      <c r="S6449" s="158"/>
      <c r="T6449" s="161"/>
      <c r="U6449" s="158"/>
      <c r="V6449" s="160"/>
    </row>
    <row r="6450" spans="5:22" x14ac:dyDescent="0.25">
      <c r="E6450" s="157"/>
      <c r="F6450" s="157"/>
      <c r="L6450" s="105"/>
      <c r="M6450" s="105"/>
      <c r="N6450" s="105"/>
      <c r="O6450" s="105"/>
      <c r="P6450" s="159"/>
      <c r="Q6450" s="159"/>
      <c r="R6450" s="160"/>
      <c r="S6450" s="158"/>
      <c r="T6450" s="161"/>
      <c r="U6450" s="158"/>
      <c r="V6450" s="160"/>
    </row>
    <row r="6451" spans="5:22" x14ac:dyDescent="0.25">
      <c r="E6451" s="157"/>
      <c r="F6451" s="157"/>
      <c r="L6451" s="105"/>
      <c r="M6451" s="105"/>
      <c r="N6451" s="105"/>
      <c r="O6451" s="105"/>
      <c r="P6451" s="159"/>
      <c r="Q6451" s="159"/>
      <c r="R6451" s="160"/>
      <c r="S6451" s="158"/>
      <c r="T6451" s="161"/>
      <c r="U6451" s="158"/>
      <c r="V6451" s="160"/>
    </row>
    <row r="6452" spans="5:22" x14ac:dyDescent="0.25">
      <c r="E6452" s="157"/>
      <c r="F6452" s="157"/>
      <c r="L6452" s="105"/>
      <c r="M6452" s="105"/>
      <c r="N6452" s="105"/>
      <c r="O6452" s="105"/>
      <c r="P6452" s="159"/>
      <c r="Q6452" s="159"/>
      <c r="R6452" s="160"/>
      <c r="S6452" s="158"/>
      <c r="T6452" s="161"/>
      <c r="U6452" s="158"/>
      <c r="V6452" s="160"/>
    </row>
    <row r="6453" spans="5:22" x14ac:dyDescent="0.25">
      <c r="E6453" s="157"/>
      <c r="F6453" s="157"/>
      <c r="L6453" s="105"/>
      <c r="M6453" s="105"/>
      <c r="N6453" s="105"/>
      <c r="O6453" s="105"/>
      <c r="P6453" s="159"/>
      <c r="Q6453" s="159"/>
      <c r="R6453" s="160"/>
      <c r="S6453" s="158"/>
      <c r="T6453" s="161"/>
      <c r="U6453" s="158"/>
      <c r="V6453" s="160"/>
    </row>
    <row r="6454" spans="5:22" x14ac:dyDescent="0.25">
      <c r="E6454" s="157"/>
      <c r="F6454" s="157"/>
      <c r="L6454" s="105"/>
      <c r="M6454" s="105"/>
      <c r="N6454" s="105"/>
      <c r="O6454" s="105"/>
      <c r="P6454" s="159"/>
      <c r="Q6454" s="159"/>
      <c r="R6454" s="160"/>
      <c r="S6454" s="158"/>
      <c r="T6454" s="161"/>
      <c r="U6454" s="158"/>
      <c r="V6454" s="160"/>
    </row>
    <row r="6455" spans="5:22" x14ac:dyDescent="0.25">
      <c r="E6455" s="157"/>
      <c r="F6455" s="157"/>
      <c r="L6455" s="105"/>
      <c r="M6455" s="105"/>
      <c r="N6455" s="105"/>
      <c r="O6455" s="105"/>
      <c r="P6455" s="159"/>
      <c r="Q6455" s="159"/>
      <c r="R6455" s="160"/>
      <c r="S6455" s="158"/>
      <c r="T6455" s="161"/>
      <c r="U6455" s="158"/>
      <c r="V6455" s="160"/>
    </row>
    <row r="6456" spans="5:22" x14ac:dyDescent="0.25">
      <c r="E6456" s="157"/>
      <c r="F6456" s="157"/>
      <c r="L6456" s="105"/>
      <c r="M6456" s="105"/>
      <c r="N6456" s="105"/>
      <c r="O6456" s="105"/>
      <c r="P6456" s="159"/>
      <c r="Q6456" s="159"/>
      <c r="R6456" s="160"/>
      <c r="S6456" s="158"/>
      <c r="T6456" s="161"/>
      <c r="U6456" s="158"/>
      <c r="V6456" s="160"/>
    </row>
    <row r="6457" spans="5:22" x14ac:dyDescent="0.25">
      <c r="E6457" s="157"/>
      <c r="F6457" s="157"/>
      <c r="L6457" s="105"/>
      <c r="M6457" s="105"/>
      <c r="N6457" s="105"/>
      <c r="O6457" s="105"/>
      <c r="P6457" s="159"/>
      <c r="Q6457" s="159"/>
      <c r="R6457" s="160"/>
      <c r="S6457" s="158"/>
      <c r="T6457" s="161"/>
      <c r="U6457" s="158"/>
      <c r="V6457" s="160"/>
    </row>
    <row r="6458" spans="5:22" x14ac:dyDescent="0.25">
      <c r="E6458" s="157"/>
      <c r="F6458" s="157"/>
      <c r="L6458" s="105"/>
      <c r="M6458" s="105"/>
      <c r="N6458" s="105"/>
      <c r="O6458" s="105"/>
      <c r="P6458" s="159"/>
      <c r="Q6458" s="159"/>
      <c r="R6458" s="160"/>
      <c r="S6458" s="158"/>
      <c r="T6458" s="161"/>
      <c r="U6458" s="158"/>
      <c r="V6458" s="160"/>
    </row>
    <row r="6459" spans="5:22" x14ac:dyDescent="0.25">
      <c r="E6459" s="157"/>
      <c r="F6459" s="157"/>
      <c r="L6459" s="105"/>
      <c r="M6459" s="105"/>
      <c r="N6459" s="105"/>
      <c r="O6459" s="105"/>
      <c r="P6459" s="159"/>
      <c r="Q6459" s="159"/>
      <c r="R6459" s="160"/>
      <c r="S6459" s="158"/>
      <c r="T6459" s="161"/>
      <c r="U6459" s="158"/>
      <c r="V6459" s="160"/>
    </row>
    <row r="6460" spans="5:22" x14ac:dyDescent="0.25">
      <c r="E6460" s="157"/>
      <c r="F6460" s="157"/>
      <c r="L6460" s="105"/>
      <c r="M6460" s="105"/>
      <c r="N6460" s="105"/>
      <c r="O6460" s="105"/>
      <c r="P6460" s="159"/>
      <c r="Q6460" s="159"/>
      <c r="R6460" s="160"/>
      <c r="S6460" s="158"/>
      <c r="T6460" s="161"/>
      <c r="U6460" s="158"/>
      <c r="V6460" s="160"/>
    </row>
    <row r="6461" spans="5:22" x14ac:dyDescent="0.25">
      <c r="E6461" s="157"/>
      <c r="F6461" s="157"/>
      <c r="L6461" s="105"/>
      <c r="M6461" s="105"/>
      <c r="N6461" s="105"/>
      <c r="O6461" s="105"/>
      <c r="P6461" s="159"/>
      <c r="Q6461" s="159"/>
      <c r="R6461" s="160"/>
      <c r="S6461" s="158"/>
      <c r="T6461" s="161"/>
      <c r="U6461" s="158"/>
      <c r="V6461" s="160"/>
    </row>
    <row r="6462" spans="5:22" x14ac:dyDescent="0.25">
      <c r="E6462" s="157"/>
      <c r="F6462" s="157"/>
      <c r="L6462" s="105"/>
      <c r="M6462" s="105"/>
      <c r="N6462" s="105"/>
      <c r="O6462" s="105"/>
      <c r="P6462" s="159"/>
      <c r="Q6462" s="159"/>
      <c r="R6462" s="160"/>
      <c r="S6462" s="158"/>
      <c r="T6462" s="161"/>
      <c r="U6462" s="158"/>
      <c r="V6462" s="160"/>
    </row>
    <row r="6463" spans="5:22" x14ac:dyDescent="0.25">
      <c r="E6463" s="157"/>
      <c r="F6463" s="157"/>
      <c r="L6463" s="105"/>
      <c r="M6463" s="105"/>
      <c r="N6463" s="105"/>
      <c r="O6463" s="105"/>
      <c r="P6463" s="159"/>
      <c r="Q6463" s="159"/>
      <c r="R6463" s="160"/>
      <c r="S6463" s="158"/>
      <c r="T6463" s="161"/>
      <c r="U6463" s="158"/>
      <c r="V6463" s="160"/>
    </row>
    <row r="6464" spans="5:22" x14ac:dyDescent="0.25">
      <c r="E6464" s="157"/>
      <c r="F6464" s="157"/>
      <c r="L6464" s="105"/>
      <c r="M6464" s="105"/>
      <c r="N6464" s="105"/>
      <c r="O6464" s="105"/>
      <c r="P6464" s="159"/>
      <c r="Q6464" s="159"/>
      <c r="R6464" s="160"/>
      <c r="S6464" s="158"/>
      <c r="T6464" s="161"/>
      <c r="U6464" s="158"/>
      <c r="V6464" s="160"/>
    </row>
    <row r="6465" spans="5:22" x14ac:dyDescent="0.25">
      <c r="E6465" s="157"/>
      <c r="F6465" s="157"/>
      <c r="L6465" s="105"/>
      <c r="M6465" s="105"/>
      <c r="N6465" s="105"/>
      <c r="O6465" s="105"/>
      <c r="P6465" s="159"/>
      <c r="Q6465" s="159"/>
      <c r="R6465" s="160"/>
      <c r="S6465" s="158"/>
      <c r="T6465" s="161"/>
      <c r="U6465" s="158"/>
      <c r="V6465" s="160"/>
    </row>
    <row r="6466" spans="5:22" x14ac:dyDescent="0.25">
      <c r="E6466" s="157"/>
      <c r="F6466" s="157"/>
      <c r="L6466" s="105"/>
      <c r="M6466" s="105"/>
      <c r="N6466" s="105"/>
      <c r="O6466" s="105"/>
      <c r="P6466" s="159"/>
      <c r="Q6466" s="159"/>
      <c r="R6466" s="160"/>
      <c r="S6466" s="158"/>
      <c r="T6466" s="161"/>
      <c r="U6466" s="158"/>
      <c r="V6466" s="160"/>
    </row>
    <row r="6467" spans="5:22" x14ac:dyDescent="0.25">
      <c r="E6467" s="157"/>
      <c r="F6467" s="157"/>
      <c r="L6467" s="105"/>
      <c r="M6467" s="105"/>
      <c r="N6467" s="105"/>
      <c r="O6467" s="105"/>
      <c r="P6467" s="159"/>
      <c r="Q6467" s="159"/>
      <c r="R6467" s="160"/>
      <c r="S6467" s="158"/>
      <c r="T6467" s="161"/>
      <c r="U6467" s="158"/>
      <c r="V6467" s="160"/>
    </row>
    <row r="6468" spans="5:22" x14ac:dyDescent="0.25">
      <c r="E6468" s="157"/>
      <c r="F6468" s="157"/>
      <c r="L6468" s="105"/>
      <c r="M6468" s="105"/>
      <c r="N6468" s="105"/>
      <c r="O6468" s="105"/>
      <c r="P6468" s="159"/>
      <c r="Q6468" s="159"/>
      <c r="R6468" s="160"/>
      <c r="S6468" s="158"/>
      <c r="T6468" s="161"/>
      <c r="U6468" s="158"/>
      <c r="V6468" s="160"/>
    </row>
    <row r="6469" spans="5:22" x14ac:dyDescent="0.25">
      <c r="E6469" s="157"/>
      <c r="F6469" s="157"/>
      <c r="L6469" s="105"/>
      <c r="M6469" s="105"/>
      <c r="N6469" s="105"/>
      <c r="O6469" s="105"/>
      <c r="P6469" s="159"/>
      <c r="Q6469" s="159"/>
      <c r="R6469" s="160"/>
      <c r="S6469" s="158"/>
      <c r="T6469" s="161"/>
      <c r="U6469" s="158"/>
      <c r="V6469" s="160"/>
    </row>
    <row r="6470" spans="5:22" x14ac:dyDescent="0.25">
      <c r="E6470" s="157"/>
      <c r="F6470" s="157"/>
      <c r="L6470" s="105"/>
      <c r="M6470" s="105"/>
      <c r="N6470" s="105"/>
      <c r="O6470" s="105"/>
      <c r="P6470" s="159"/>
      <c r="Q6470" s="159"/>
      <c r="R6470" s="160"/>
      <c r="S6470" s="158"/>
      <c r="T6470" s="161"/>
      <c r="U6470" s="158"/>
      <c r="V6470" s="160"/>
    </row>
    <row r="6471" spans="5:22" x14ac:dyDescent="0.25">
      <c r="E6471" s="157"/>
      <c r="F6471" s="157"/>
      <c r="L6471" s="105"/>
      <c r="M6471" s="105"/>
      <c r="N6471" s="105"/>
      <c r="O6471" s="105"/>
      <c r="P6471" s="159"/>
      <c r="Q6471" s="159"/>
      <c r="R6471" s="160"/>
      <c r="S6471" s="158"/>
      <c r="T6471" s="161"/>
      <c r="U6471" s="158"/>
      <c r="V6471" s="160"/>
    </row>
    <row r="6472" spans="5:22" x14ac:dyDescent="0.25">
      <c r="E6472" s="157"/>
      <c r="F6472" s="157"/>
      <c r="L6472" s="105"/>
      <c r="M6472" s="105"/>
      <c r="N6472" s="105"/>
      <c r="O6472" s="105"/>
      <c r="P6472" s="159"/>
      <c r="Q6472" s="159"/>
      <c r="R6472" s="160"/>
      <c r="S6472" s="158"/>
      <c r="T6472" s="161"/>
      <c r="U6472" s="158"/>
      <c r="V6472" s="160"/>
    </row>
    <row r="6473" spans="5:22" x14ac:dyDescent="0.25">
      <c r="E6473" s="157"/>
      <c r="F6473" s="157"/>
      <c r="L6473" s="105"/>
      <c r="M6473" s="105"/>
      <c r="N6473" s="105"/>
      <c r="O6473" s="105"/>
      <c r="P6473" s="159"/>
      <c r="Q6473" s="159"/>
      <c r="R6473" s="160"/>
      <c r="S6473" s="158"/>
      <c r="T6473" s="161"/>
      <c r="U6473" s="158"/>
      <c r="V6473" s="160"/>
    </row>
    <row r="6474" spans="5:22" x14ac:dyDescent="0.25">
      <c r="E6474" s="157"/>
      <c r="F6474" s="157"/>
      <c r="L6474" s="105"/>
      <c r="M6474" s="105"/>
      <c r="N6474" s="105"/>
      <c r="O6474" s="105"/>
      <c r="P6474" s="159"/>
      <c r="Q6474" s="159"/>
      <c r="R6474" s="160"/>
      <c r="S6474" s="158"/>
      <c r="T6474" s="161"/>
      <c r="U6474" s="158"/>
      <c r="V6474" s="160"/>
    </row>
    <row r="6475" spans="5:22" x14ac:dyDescent="0.25">
      <c r="E6475" s="157"/>
      <c r="F6475" s="157"/>
      <c r="L6475" s="105"/>
      <c r="M6475" s="105"/>
      <c r="N6475" s="105"/>
      <c r="O6475" s="105"/>
      <c r="P6475" s="159"/>
      <c r="Q6475" s="159"/>
      <c r="R6475" s="160"/>
      <c r="S6475" s="158"/>
      <c r="T6475" s="161"/>
      <c r="U6475" s="158"/>
      <c r="V6475" s="160"/>
    </row>
    <row r="6476" spans="5:22" x14ac:dyDescent="0.25">
      <c r="E6476" s="157"/>
      <c r="F6476" s="157"/>
      <c r="L6476" s="105"/>
      <c r="M6476" s="105"/>
      <c r="N6476" s="105"/>
      <c r="O6476" s="105"/>
      <c r="P6476" s="159"/>
      <c r="Q6476" s="159"/>
      <c r="R6476" s="160"/>
      <c r="S6476" s="158"/>
      <c r="T6476" s="161"/>
      <c r="U6476" s="158"/>
      <c r="V6476" s="160"/>
    </row>
    <row r="6477" spans="5:22" x14ac:dyDescent="0.25">
      <c r="E6477" s="157"/>
      <c r="F6477" s="157"/>
      <c r="L6477" s="105"/>
      <c r="M6477" s="105"/>
      <c r="N6477" s="105"/>
      <c r="O6477" s="105"/>
      <c r="P6477" s="159"/>
      <c r="Q6477" s="159"/>
      <c r="R6477" s="160"/>
      <c r="S6477" s="158"/>
      <c r="T6477" s="161"/>
      <c r="U6477" s="158"/>
      <c r="V6477" s="160"/>
    </row>
    <row r="6478" spans="5:22" x14ac:dyDescent="0.25">
      <c r="E6478" s="157"/>
      <c r="F6478" s="157"/>
      <c r="L6478" s="105"/>
      <c r="M6478" s="105"/>
      <c r="N6478" s="105"/>
      <c r="O6478" s="105"/>
      <c r="P6478" s="159"/>
      <c r="Q6478" s="159"/>
      <c r="R6478" s="160"/>
      <c r="S6478" s="158"/>
      <c r="T6478" s="161"/>
      <c r="U6478" s="158"/>
      <c r="V6478" s="160"/>
    </row>
    <row r="6479" spans="5:22" x14ac:dyDescent="0.25">
      <c r="E6479" s="157"/>
      <c r="F6479" s="157"/>
      <c r="L6479" s="105"/>
      <c r="M6479" s="105"/>
      <c r="N6479" s="105"/>
      <c r="O6479" s="105"/>
      <c r="P6479" s="159"/>
      <c r="Q6479" s="159"/>
      <c r="R6479" s="160"/>
      <c r="S6479" s="158"/>
      <c r="T6479" s="161"/>
      <c r="U6479" s="158"/>
      <c r="V6479" s="160"/>
    </row>
    <row r="6480" spans="5:22" x14ac:dyDescent="0.25">
      <c r="E6480" s="157"/>
      <c r="F6480" s="157"/>
      <c r="L6480" s="105"/>
      <c r="M6480" s="105"/>
      <c r="N6480" s="105"/>
      <c r="O6480" s="105"/>
      <c r="P6480" s="159"/>
      <c r="Q6480" s="159"/>
      <c r="R6480" s="160"/>
      <c r="S6480" s="158"/>
      <c r="T6480" s="161"/>
      <c r="U6480" s="158"/>
      <c r="V6480" s="160"/>
    </row>
    <row r="6481" spans="5:22" x14ac:dyDescent="0.25">
      <c r="E6481" s="157"/>
      <c r="F6481" s="157"/>
      <c r="L6481" s="105"/>
      <c r="M6481" s="105"/>
      <c r="N6481" s="105"/>
      <c r="O6481" s="105"/>
      <c r="P6481" s="159"/>
      <c r="Q6481" s="159"/>
      <c r="R6481" s="160"/>
      <c r="S6481" s="158"/>
      <c r="T6481" s="161"/>
      <c r="U6481" s="158"/>
      <c r="V6481" s="160"/>
    </row>
    <row r="6482" spans="5:22" x14ac:dyDescent="0.25">
      <c r="E6482" s="157"/>
      <c r="F6482" s="162"/>
      <c r="L6482" s="105"/>
      <c r="M6482" s="105"/>
      <c r="N6482" s="105"/>
      <c r="O6482" s="105"/>
      <c r="P6482" s="159"/>
      <c r="Q6482" s="159"/>
      <c r="R6482" s="160"/>
      <c r="S6482" s="158"/>
      <c r="T6482" s="161"/>
      <c r="U6482" s="158"/>
      <c r="V6482" s="160"/>
    </row>
    <row r="6483" spans="5:22" x14ac:dyDescent="0.25">
      <c r="E6483" s="162"/>
      <c r="F6483" s="157"/>
      <c r="L6483" s="105"/>
      <c r="M6483" s="105"/>
      <c r="N6483" s="105"/>
      <c r="O6483" s="105"/>
      <c r="P6483" s="159"/>
      <c r="Q6483" s="159"/>
      <c r="R6483" s="160"/>
      <c r="S6483" s="158"/>
      <c r="T6483" s="161"/>
      <c r="U6483" s="158"/>
      <c r="V6483" s="160"/>
    </row>
    <row r="6484" spans="5:22" x14ac:dyDescent="0.25">
      <c r="E6484" s="157"/>
      <c r="F6484" s="157"/>
      <c r="L6484" s="105"/>
      <c r="M6484" s="105"/>
      <c r="N6484" s="105"/>
      <c r="O6484" s="105"/>
      <c r="P6484" s="159"/>
      <c r="Q6484" s="159"/>
      <c r="R6484" s="160"/>
      <c r="S6484" s="158"/>
      <c r="T6484" s="161"/>
      <c r="U6484" s="158"/>
      <c r="V6484" s="160"/>
    </row>
    <row r="6485" spans="5:22" x14ac:dyDescent="0.25">
      <c r="E6485" s="157"/>
      <c r="F6485" s="157"/>
      <c r="L6485" s="105"/>
      <c r="M6485" s="105"/>
      <c r="N6485" s="105"/>
      <c r="O6485" s="105"/>
      <c r="P6485" s="159"/>
      <c r="Q6485" s="159"/>
      <c r="R6485" s="160"/>
      <c r="S6485" s="158"/>
      <c r="T6485" s="161"/>
      <c r="U6485" s="158"/>
      <c r="V6485" s="160"/>
    </row>
    <row r="6486" spans="5:22" x14ac:dyDescent="0.25">
      <c r="E6486" s="157"/>
      <c r="F6486" s="157"/>
      <c r="L6486" s="105"/>
      <c r="M6486" s="105"/>
      <c r="N6486" s="105"/>
      <c r="O6486" s="105"/>
      <c r="P6486" s="159"/>
      <c r="Q6486" s="159"/>
      <c r="R6486" s="160"/>
      <c r="S6486" s="158"/>
      <c r="T6486" s="161"/>
      <c r="U6486" s="158"/>
      <c r="V6486" s="160"/>
    </row>
    <row r="6487" spans="5:22" x14ac:dyDescent="0.25">
      <c r="E6487" s="157"/>
      <c r="F6487" s="157"/>
      <c r="L6487" s="105"/>
      <c r="M6487" s="105"/>
      <c r="N6487" s="105"/>
      <c r="O6487" s="105"/>
      <c r="P6487" s="159"/>
      <c r="Q6487" s="159"/>
      <c r="R6487" s="160"/>
      <c r="S6487" s="158"/>
      <c r="T6487" s="161"/>
      <c r="U6487" s="158"/>
      <c r="V6487" s="160"/>
    </row>
    <row r="6488" spans="5:22" x14ac:dyDescent="0.25">
      <c r="E6488" s="157"/>
      <c r="F6488" s="157"/>
      <c r="L6488" s="105"/>
      <c r="M6488" s="105"/>
      <c r="N6488" s="105"/>
      <c r="O6488" s="105"/>
      <c r="P6488" s="159"/>
      <c r="Q6488" s="159"/>
      <c r="R6488" s="160"/>
      <c r="S6488" s="158"/>
      <c r="T6488" s="161"/>
      <c r="U6488" s="158"/>
      <c r="V6488" s="160"/>
    </row>
    <row r="6489" spans="5:22" x14ac:dyDescent="0.25">
      <c r="E6489" s="157"/>
      <c r="F6489" s="157"/>
      <c r="L6489" s="105"/>
      <c r="M6489" s="105"/>
      <c r="N6489" s="105"/>
      <c r="O6489" s="105"/>
      <c r="P6489" s="159"/>
      <c r="Q6489" s="159"/>
      <c r="R6489" s="160"/>
      <c r="S6489" s="158"/>
      <c r="T6489" s="161"/>
      <c r="U6489" s="158"/>
      <c r="V6489" s="160"/>
    </row>
    <row r="6490" spans="5:22" x14ac:dyDescent="0.25">
      <c r="E6490" s="157"/>
      <c r="F6490" s="157"/>
      <c r="L6490" s="105"/>
      <c r="M6490" s="105"/>
      <c r="N6490" s="105"/>
      <c r="O6490" s="105"/>
      <c r="P6490" s="159"/>
      <c r="Q6490" s="159"/>
      <c r="R6490" s="160"/>
      <c r="S6490" s="158"/>
      <c r="T6490" s="161"/>
      <c r="U6490" s="158"/>
      <c r="V6490" s="160"/>
    </row>
    <row r="6491" spans="5:22" x14ac:dyDescent="0.25">
      <c r="E6491" s="157"/>
      <c r="F6491" s="157"/>
      <c r="L6491" s="105"/>
      <c r="M6491" s="105"/>
      <c r="N6491" s="105"/>
      <c r="O6491" s="105"/>
      <c r="P6491" s="159"/>
      <c r="Q6491" s="159"/>
      <c r="R6491" s="160"/>
      <c r="S6491" s="158"/>
      <c r="T6491" s="161"/>
      <c r="U6491" s="158"/>
      <c r="V6491" s="160"/>
    </row>
    <row r="6492" spans="5:22" x14ac:dyDescent="0.25">
      <c r="E6492" s="157"/>
      <c r="F6492" s="157"/>
      <c r="L6492" s="105"/>
      <c r="M6492" s="105"/>
      <c r="N6492" s="105"/>
      <c r="O6492" s="105"/>
      <c r="P6492" s="159"/>
      <c r="Q6492" s="159"/>
      <c r="R6492" s="160"/>
      <c r="S6492" s="158"/>
      <c r="T6492" s="161"/>
      <c r="U6492" s="158"/>
      <c r="V6492" s="160"/>
    </row>
    <row r="6493" spans="5:22" x14ac:dyDescent="0.25">
      <c r="E6493" s="157"/>
      <c r="F6493" s="157"/>
      <c r="L6493" s="105"/>
      <c r="M6493" s="105"/>
      <c r="N6493" s="105"/>
      <c r="O6493" s="105"/>
      <c r="P6493" s="159"/>
      <c r="Q6493" s="159"/>
      <c r="R6493" s="160"/>
      <c r="S6493" s="158"/>
      <c r="T6493" s="161"/>
      <c r="U6493" s="158"/>
      <c r="V6493" s="160"/>
    </row>
    <row r="6494" spans="5:22" x14ac:dyDescent="0.25">
      <c r="E6494" s="157"/>
      <c r="F6494" s="157"/>
      <c r="L6494" s="105"/>
      <c r="M6494" s="105"/>
      <c r="N6494" s="105"/>
      <c r="O6494" s="105"/>
      <c r="P6494" s="159"/>
      <c r="Q6494" s="159"/>
      <c r="R6494" s="160"/>
      <c r="S6494" s="158"/>
      <c r="T6494" s="161"/>
      <c r="U6494" s="158"/>
      <c r="V6494" s="160"/>
    </row>
    <row r="6495" spans="5:22" x14ac:dyDescent="0.25">
      <c r="E6495" s="157"/>
      <c r="F6495" s="157"/>
      <c r="L6495" s="105"/>
      <c r="M6495" s="105"/>
      <c r="N6495" s="105"/>
      <c r="O6495" s="105"/>
      <c r="P6495" s="159"/>
      <c r="Q6495" s="159"/>
      <c r="R6495" s="160"/>
      <c r="S6495" s="158"/>
      <c r="T6495" s="161"/>
      <c r="U6495" s="158"/>
      <c r="V6495" s="160"/>
    </row>
    <row r="6496" spans="5:22" x14ac:dyDescent="0.25">
      <c r="E6496" s="157"/>
      <c r="F6496" s="157"/>
      <c r="L6496" s="105"/>
      <c r="M6496" s="105"/>
      <c r="N6496" s="105"/>
      <c r="O6496" s="105"/>
      <c r="P6496" s="159"/>
      <c r="Q6496" s="159"/>
      <c r="R6496" s="160"/>
      <c r="S6496" s="158"/>
      <c r="T6496" s="161"/>
      <c r="U6496" s="158"/>
      <c r="V6496" s="160"/>
    </row>
    <row r="6497" spans="5:22" x14ac:dyDescent="0.25">
      <c r="E6497" s="157"/>
      <c r="F6497" s="157"/>
      <c r="L6497" s="105"/>
      <c r="M6497" s="105"/>
      <c r="N6497" s="105"/>
      <c r="O6497" s="105"/>
      <c r="P6497" s="159"/>
      <c r="Q6497" s="159"/>
      <c r="R6497" s="160"/>
      <c r="S6497" s="158"/>
      <c r="T6497" s="161"/>
      <c r="U6497" s="158"/>
      <c r="V6497" s="160"/>
    </row>
    <row r="6498" spans="5:22" x14ac:dyDescent="0.25">
      <c r="E6498" s="157"/>
      <c r="F6498" s="157"/>
      <c r="L6498" s="105"/>
      <c r="M6498" s="105"/>
      <c r="N6498" s="105"/>
      <c r="O6498" s="105"/>
      <c r="P6498" s="159"/>
      <c r="Q6498" s="159"/>
      <c r="R6498" s="160"/>
      <c r="S6498" s="158"/>
      <c r="T6498" s="161"/>
      <c r="U6498" s="158"/>
      <c r="V6498" s="160"/>
    </row>
    <row r="6499" spans="5:22" x14ac:dyDescent="0.25">
      <c r="E6499" s="157"/>
      <c r="F6499" s="157"/>
      <c r="L6499" s="105"/>
      <c r="M6499" s="105"/>
      <c r="N6499" s="105"/>
      <c r="O6499" s="105"/>
      <c r="P6499" s="159"/>
      <c r="Q6499" s="159"/>
      <c r="R6499" s="160"/>
      <c r="S6499" s="158"/>
      <c r="T6499" s="161"/>
      <c r="U6499" s="158"/>
      <c r="V6499" s="160"/>
    </row>
    <row r="6500" spans="5:22" x14ac:dyDescent="0.25">
      <c r="E6500" s="157"/>
      <c r="F6500" s="157"/>
      <c r="L6500" s="105"/>
      <c r="M6500" s="105"/>
      <c r="N6500" s="105"/>
      <c r="O6500" s="105"/>
      <c r="P6500" s="159"/>
      <c r="Q6500" s="159"/>
      <c r="R6500" s="160"/>
      <c r="S6500" s="158"/>
      <c r="T6500" s="161"/>
      <c r="U6500" s="158"/>
      <c r="V6500" s="160"/>
    </row>
    <row r="6501" spans="5:22" x14ac:dyDescent="0.25">
      <c r="E6501" s="157"/>
      <c r="F6501" s="157"/>
      <c r="L6501" s="105"/>
      <c r="M6501" s="105"/>
      <c r="N6501" s="105"/>
      <c r="O6501" s="105"/>
      <c r="P6501" s="159"/>
      <c r="Q6501" s="159"/>
      <c r="R6501" s="160"/>
      <c r="S6501" s="158"/>
      <c r="T6501" s="161"/>
      <c r="U6501" s="158"/>
      <c r="V6501" s="160"/>
    </row>
    <row r="6502" spans="5:22" x14ac:dyDescent="0.25">
      <c r="E6502" s="157"/>
      <c r="F6502" s="157"/>
      <c r="L6502" s="105"/>
      <c r="M6502" s="105"/>
      <c r="N6502" s="105"/>
      <c r="O6502" s="105"/>
      <c r="P6502" s="159"/>
      <c r="Q6502" s="159"/>
      <c r="R6502" s="160"/>
      <c r="S6502" s="158"/>
      <c r="T6502" s="161"/>
      <c r="U6502" s="158"/>
      <c r="V6502" s="160"/>
    </row>
    <row r="6503" spans="5:22" x14ac:dyDescent="0.25">
      <c r="E6503" s="157"/>
      <c r="F6503" s="157"/>
      <c r="L6503" s="105"/>
      <c r="M6503" s="105"/>
      <c r="N6503" s="105"/>
      <c r="O6503" s="105"/>
      <c r="P6503" s="159"/>
      <c r="Q6503" s="159"/>
      <c r="R6503" s="160"/>
      <c r="S6503" s="158"/>
      <c r="T6503" s="161"/>
      <c r="U6503" s="158"/>
      <c r="V6503" s="160"/>
    </row>
    <row r="6504" spans="5:22" x14ac:dyDescent="0.25">
      <c r="E6504" s="157"/>
      <c r="F6504" s="157"/>
      <c r="L6504" s="105"/>
      <c r="M6504" s="105"/>
      <c r="N6504" s="105"/>
      <c r="O6504" s="105"/>
      <c r="P6504" s="159"/>
      <c r="Q6504" s="159"/>
      <c r="R6504" s="160"/>
      <c r="S6504" s="158"/>
      <c r="T6504" s="161"/>
      <c r="U6504" s="158"/>
      <c r="V6504" s="160"/>
    </row>
    <row r="6505" spans="5:22" x14ac:dyDescent="0.25">
      <c r="E6505" s="157"/>
      <c r="F6505" s="157"/>
      <c r="L6505" s="105"/>
      <c r="M6505" s="105"/>
      <c r="N6505" s="105"/>
      <c r="O6505" s="105"/>
      <c r="P6505" s="159"/>
      <c r="Q6505" s="159"/>
      <c r="R6505" s="160"/>
      <c r="S6505" s="158"/>
      <c r="T6505" s="161"/>
      <c r="U6505" s="158"/>
      <c r="V6505" s="160"/>
    </row>
    <row r="6506" spans="5:22" x14ac:dyDescent="0.25">
      <c r="E6506" s="157"/>
      <c r="F6506" s="157"/>
      <c r="L6506" s="105"/>
      <c r="M6506" s="105"/>
      <c r="N6506" s="105"/>
      <c r="O6506" s="105"/>
      <c r="P6506" s="159"/>
      <c r="Q6506" s="159"/>
      <c r="R6506" s="160"/>
      <c r="S6506" s="158"/>
      <c r="T6506" s="161"/>
      <c r="U6506" s="158"/>
      <c r="V6506" s="160"/>
    </row>
    <row r="6507" spans="5:22" x14ac:dyDescent="0.25">
      <c r="E6507" s="157"/>
      <c r="F6507" s="157"/>
      <c r="L6507" s="105"/>
      <c r="M6507" s="105"/>
      <c r="N6507" s="105"/>
      <c r="O6507" s="105"/>
      <c r="P6507" s="159"/>
      <c r="Q6507" s="159"/>
      <c r="R6507" s="160"/>
      <c r="S6507" s="158"/>
      <c r="T6507" s="161"/>
      <c r="U6507" s="158"/>
      <c r="V6507" s="160"/>
    </row>
    <row r="6508" spans="5:22" x14ac:dyDescent="0.25">
      <c r="E6508" s="157"/>
      <c r="F6508" s="157"/>
      <c r="L6508" s="105"/>
      <c r="M6508" s="105"/>
      <c r="N6508" s="105"/>
      <c r="O6508" s="105"/>
      <c r="P6508" s="159"/>
      <c r="Q6508" s="159"/>
      <c r="R6508" s="160"/>
      <c r="S6508" s="158"/>
      <c r="T6508" s="161"/>
      <c r="U6508" s="158"/>
      <c r="V6508" s="160"/>
    </row>
    <row r="6509" spans="5:22" x14ac:dyDescent="0.25">
      <c r="E6509" s="157"/>
      <c r="F6509" s="157"/>
      <c r="L6509" s="105"/>
      <c r="M6509" s="105"/>
      <c r="N6509" s="105"/>
      <c r="O6509" s="105"/>
      <c r="P6509" s="159"/>
      <c r="Q6509" s="159"/>
      <c r="R6509" s="160"/>
      <c r="S6509" s="158"/>
      <c r="T6509" s="161"/>
      <c r="U6509" s="158"/>
      <c r="V6509" s="160"/>
    </row>
    <row r="6510" spans="5:22" x14ac:dyDescent="0.25">
      <c r="E6510" s="157"/>
      <c r="F6510" s="157"/>
      <c r="L6510" s="105"/>
      <c r="M6510" s="105"/>
      <c r="N6510" s="105"/>
      <c r="O6510" s="105"/>
      <c r="P6510" s="159"/>
      <c r="Q6510" s="159"/>
      <c r="R6510" s="160"/>
      <c r="S6510" s="158"/>
      <c r="T6510" s="161"/>
      <c r="U6510" s="158"/>
      <c r="V6510" s="160"/>
    </row>
    <row r="6511" spans="5:22" x14ac:dyDescent="0.25">
      <c r="E6511" s="157"/>
      <c r="F6511" s="157"/>
      <c r="L6511" s="105"/>
      <c r="M6511" s="105"/>
      <c r="N6511" s="105"/>
      <c r="O6511" s="105"/>
      <c r="P6511" s="159"/>
      <c r="Q6511" s="159"/>
      <c r="R6511" s="160"/>
      <c r="S6511" s="158"/>
      <c r="T6511" s="161"/>
      <c r="U6511" s="158"/>
      <c r="V6511" s="160"/>
    </row>
    <row r="6512" spans="5:22" x14ac:dyDescent="0.25">
      <c r="E6512" s="157"/>
      <c r="F6512" s="157"/>
      <c r="L6512" s="105"/>
      <c r="M6512" s="105"/>
      <c r="N6512" s="105"/>
      <c r="O6512" s="105"/>
      <c r="P6512" s="159"/>
      <c r="Q6512" s="159"/>
      <c r="R6512" s="160"/>
      <c r="S6512" s="158"/>
      <c r="T6512" s="161"/>
      <c r="U6512" s="158"/>
      <c r="V6512" s="160"/>
    </row>
    <row r="6513" spans="5:22" x14ac:dyDescent="0.25">
      <c r="E6513" s="157"/>
      <c r="F6513" s="157"/>
      <c r="L6513" s="105"/>
      <c r="M6513" s="105"/>
      <c r="N6513" s="105"/>
      <c r="O6513" s="105"/>
      <c r="P6513" s="159"/>
      <c r="Q6513" s="159"/>
      <c r="R6513" s="160"/>
      <c r="S6513" s="158"/>
      <c r="T6513" s="161"/>
      <c r="U6513" s="158"/>
      <c r="V6513" s="160"/>
    </row>
    <row r="6514" spans="5:22" x14ac:dyDescent="0.25">
      <c r="E6514" s="157"/>
      <c r="F6514" s="157"/>
      <c r="L6514" s="105"/>
      <c r="M6514" s="105"/>
      <c r="N6514" s="105"/>
      <c r="O6514" s="105"/>
      <c r="P6514" s="159"/>
      <c r="Q6514" s="159"/>
      <c r="R6514" s="160"/>
      <c r="S6514" s="158"/>
      <c r="T6514" s="161"/>
      <c r="U6514" s="158"/>
      <c r="V6514" s="160"/>
    </row>
    <row r="6515" spans="5:22" x14ac:dyDescent="0.25">
      <c r="E6515" s="157"/>
      <c r="F6515" s="157"/>
      <c r="L6515" s="105"/>
      <c r="M6515" s="105"/>
      <c r="N6515" s="105"/>
      <c r="O6515" s="105"/>
      <c r="P6515" s="159"/>
      <c r="Q6515" s="159"/>
      <c r="R6515" s="160"/>
      <c r="S6515" s="158"/>
      <c r="T6515" s="161"/>
      <c r="U6515" s="158"/>
      <c r="V6515" s="160"/>
    </row>
    <row r="6516" spans="5:22" x14ac:dyDescent="0.25">
      <c r="E6516" s="157"/>
      <c r="F6516" s="157"/>
      <c r="L6516" s="105"/>
      <c r="M6516" s="105"/>
      <c r="N6516" s="105"/>
      <c r="O6516" s="105"/>
      <c r="P6516" s="159"/>
      <c r="Q6516" s="159"/>
      <c r="R6516" s="160"/>
      <c r="S6516" s="158"/>
      <c r="T6516" s="161"/>
      <c r="U6516" s="158"/>
      <c r="V6516" s="160"/>
    </row>
    <row r="6517" spans="5:22" x14ac:dyDescent="0.25">
      <c r="E6517" s="157"/>
      <c r="F6517" s="157"/>
      <c r="L6517" s="105"/>
      <c r="M6517" s="105"/>
      <c r="N6517" s="105"/>
      <c r="O6517" s="105"/>
      <c r="P6517" s="159"/>
      <c r="Q6517" s="159"/>
      <c r="R6517" s="160"/>
      <c r="S6517" s="158"/>
      <c r="T6517" s="161"/>
      <c r="U6517" s="158"/>
      <c r="V6517" s="160"/>
    </row>
    <row r="6518" spans="5:22" x14ac:dyDescent="0.25">
      <c r="E6518" s="157"/>
      <c r="F6518" s="157"/>
      <c r="L6518" s="105"/>
      <c r="M6518" s="105"/>
      <c r="N6518" s="105"/>
      <c r="O6518" s="105"/>
      <c r="P6518" s="159"/>
      <c r="Q6518" s="159"/>
      <c r="R6518" s="160"/>
      <c r="S6518" s="158"/>
      <c r="T6518" s="161"/>
      <c r="U6518" s="158"/>
      <c r="V6518" s="160"/>
    </row>
    <row r="6519" spans="5:22" x14ac:dyDescent="0.25">
      <c r="E6519" s="157"/>
      <c r="F6519" s="157"/>
      <c r="L6519" s="105"/>
      <c r="M6519" s="105"/>
      <c r="N6519" s="105"/>
      <c r="O6519" s="105"/>
      <c r="P6519" s="159"/>
      <c r="Q6519" s="159"/>
      <c r="R6519" s="160"/>
      <c r="S6519" s="158"/>
      <c r="T6519" s="161"/>
      <c r="U6519" s="158"/>
      <c r="V6519" s="160"/>
    </row>
    <row r="6520" spans="5:22" x14ac:dyDescent="0.25">
      <c r="E6520" s="157"/>
      <c r="F6520" s="157"/>
      <c r="L6520" s="105"/>
      <c r="M6520" s="105"/>
      <c r="N6520" s="105"/>
      <c r="O6520" s="105"/>
      <c r="P6520" s="159"/>
      <c r="Q6520" s="159"/>
      <c r="R6520" s="160"/>
      <c r="S6520" s="158"/>
      <c r="T6520" s="161"/>
      <c r="U6520" s="158"/>
      <c r="V6520" s="160"/>
    </row>
    <row r="6521" spans="5:22" x14ac:dyDescent="0.25">
      <c r="E6521" s="157"/>
      <c r="F6521" s="157"/>
      <c r="L6521" s="105"/>
      <c r="M6521" s="105"/>
      <c r="N6521" s="105"/>
      <c r="O6521" s="105"/>
      <c r="P6521" s="159"/>
      <c r="Q6521" s="159"/>
      <c r="R6521" s="160"/>
      <c r="S6521" s="158"/>
      <c r="T6521" s="161"/>
      <c r="U6521" s="158"/>
      <c r="V6521" s="160"/>
    </row>
    <row r="6522" spans="5:22" x14ac:dyDescent="0.25">
      <c r="E6522" s="157"/>
      <c r="F6522" s="157"/>
      <c r="L6522" s="105"/>
      <c r="M6522" s="105"/>
      <c r="N6522" s="105"/>
      <c r="O6522" s="105"/>
      <c r="P6522" s="159"/>
      <c r="Q6522" s="159"/>
      <c r="R6522" s="160"/>
      <c r="S6522" s="158"/>
      <c r="T6522" s="161"/>
      <c r="U6522" s="158"/>
      <c r="V6522" s="160"/>
    </row>
    <row r="6523" spans="5:22" x14ac:dyDescent="0.25">
      <c r="E6523" s="157"/>
      <c r="F6523" s="157"/>
      <c r="L6523" s="105"/>
      <c r="M6523" s="105"/>
      <c r="N6523" s="105"/>
      <c r="O6523" s="105"/>
      <c r="P6523" s="159"/>
      <c r="Q6523" s="159"/>
      <c r="R6523" s="160"/>
      <c r="S6523" s="158"/>
      <c r="T6523" s="161"/>
      <c r="U6523" s="158"/>
      <c r="V6523" s="160"/>
    </row>
    <row r="6524" spans="5:22" x14ac:dyDescent="0.25">
      <c r="E6524" s="157"/>
      <c r="F6524" s="157"/>
      <c r="L6524" s="105"/>
      <c r="M6524" s="105"/>
      <c r="N6524" s="105"/>
      <c r="O6524" s="105"/>
      <c r="P6524" s="159"/>
      <c r="Q6524" s="159"/>
      <c r="R6524" s="160"/>
      <c r="S6524" s="158"/>
      <c r="T6524" s="161"/>
      <c r="U6524" s="158"/>
      <c r="V6524" s="160"/>
    </row>
    <row r="6525" spans="5:22" x14ac:dyDescent="0.25">
      <c r="E6525" s="157"/>
      <c r="F6525" s="157"/>
      <c r="L6525" s="105"/>
      <c r="M6525" s="105"/>
      <c r="N6525" s="105"/>
      <c r="O6525" s="105"/>
      <c r="P6525" s="159"/>
      <c r="Q6525" s="159"/>
      <c r="R6525" s="160"/>
      <c r="S6525" s="158"/>
      <c r="T6525" s="161"/>
      <c r="U6525" s="158"/>
      <c r="V6525" s="160"/>
    </row>
    <row r="6526" spans="5:22" x14ac:dyDescent="0.25">
      <c r="E6526" s="157"/>
      <c r="F6526" s="157"/>
      <c r="L6526" s="105"/>
      <c r="M6526" s="105"/>
      <c r="N6526" s="105"/>
      <c r="O6526" s="105"/>
      <c r="P6526" s="159"/>
      <c r="Q6526" s="159"/>
      <c r="R6526" s="160"/>
      <c r="S6526" s="158"/>
      <c r="T6526" s="161"/>
      <c r="U6526" s="158"/>
      <c r="V6526" s="160"/>
    </row>
    <row r="6527" spans="5:22" x14ac:dyDescent="0.25">
      <c r="E6527" s="157"/>
      <c r="F6527" s="157"/>
      <c r="L6527" s="105"/>
      <c r="M6527" s="105"/>
      <c r="N6527" s="105"/>
      <c r="O6527" s="105"/>
      <c r="P6527" s="159"/>
      <c r="Q6527" s="159"/>
      <c r="R6527" s="160"/>
      <c r="S6527" s="158"/>
      <c r="T6527" s="161"/>
      <c r="U6527" s="158"/>
      <c r="V6527" s="160"/>
    </row>
    <row r="6528" spans="5:22" x14ac:dyDescent="0.25">
      <c r="E6528" s="157"/>
      <c r="F6528" s="157"/>
      <c r="L6528" s="105"/>
      <c r="M6528" s="105"/>
      <c r="N6528" s="105"/>
      <c r="O6528" s="105"/>
      <c r="P6528" s="159"/>
      <c r="Q6528" s="159"/>
      <c r="R6528" s="160"/>
      <c r="S6528" s="158"/>
      <c r="T6528" s="161"/>
      <c r="U6528" s="158"/>
      <c r="V6528" s="160"/>
    </row>
    <row r="6529" spans="5:22" x14ac:dyDescent="0.25">
      <c r="E6529" s="157"/>
      <c r="F6529" s="157"/>
      <c r="L6529" s="105"/>
      <c r="M6529" s="105"/>
      <c r="N6529" s="105"/>
      <c r="O6529" s="105"/>
      <c r="P6529" s="159"/>
      <c r="Q6529" s="159"/>
      <c r="R6529" s="160"/>
      <c r="S6529" s="158"/>
      <c r="T6529" s="161"/>
      <c r="U6529" s="158"/>
      <c r="V6529" s="160"/>
    </row>
    <row r="6530" spans="5:22" x14ac:dyDescent="0.25">
      <c r="E6530" s="157"/>
      <c r="F6530" s="157"/>
      <c r="L6530" s="105"/>
      <c r="M6530" s="105"/>
      <c r="N6530" s="105"/>
      <c r="O6530" s="105"/>
      <c r="P6530" s="159"/>
      <c r="Q6530" s="159"/>
      <c r="R6530" s="160"/>
      <c r="S6530" s="158"/>
      <c r="T6530" s="161"/>
      <c r="U6530" s="158"/>
      <c r="V6530" s="160"/>
    </row>
    <row r="6531" spans="5:22" x14ac:dyDescent="0.25">
      <c r="E6531" s="157"/>
      <c r="F6531" s="157"/>
      <c r="L6531" s="105"/>
      <c r="M6531" s="105"/>
      <c r="N6531" s="105"/>
      <c r="O6531" s="105"/>
      <c r="P6531" s="159"/>
      <c r="Q6531" s="159"/>
      <c r="R6531" s="160"/>
      <c r="S6531" s="158"/>
      <c r="T6531" s="161"/>
      <c r="U6531" s="158"/>
      <c r="V6531" s="160"/>
    </row>
    <row r="6532" spans="5:22" x14ac:dyDescent="0.25">
      <c r="E6532" s="157"/>
      <c r="F6532" s="157"/>
      <c r="L6532" s="105"/>
      <c r="M6532" s="105"/>
      <c r="N6532" s="105"/>
      <c r="O6532" s="105"/>
      <c r="P6532" s="159"/>
      <c r="Q6532" s="159"/>
      <c r="R6532" s="160"/>
      <c r="S6532" s="158"/>
      <c r="T6532" s="161"/>
      <c r="U6532" s="158"/>
      <c r="V6532" s="160"/>
    </row>
    <row r="6533" spans="5:22" x14ac:dyDescent="0.25">
      <c r="E6533" s="157"/>
      <c r="F6533" s="157"/>
      <c r="L6533" s="105"/>
      <c r="M6533" s="105"/>
      <c r="N6533" s="105"/>
      <c r="O6533" s="105"/>
      <c r="P6533" s="159"/>
      <c r="Q6533" s="159"/>
      <c r="R6533" s="160"/>
      <c r="S6533" s="158"/>
      <c r="T6533" s="161"/>
      <c r="U6533" s="158"/>
      <c r="V6533" s="160"/>
    </row>
    <row r="6534" spans="5:22" x14ac:dyDescent="0.25">
      <c r="E6534" s="157"/>
      <c r="F6534" s="157"/>
      <c r="L6534" s="105"/>
      <c r="M6534" s="105"/>
      <c r="N6534" s="105"/>
      <c r="O6534" s="105"/>
      <c r="P6534" s="159"/>
      <c r="Q6534" s="159"/>
      <c r="R6534" s="160"/>
      <c r="S6534" s="158"/>
      <c r="T6534" s="161"/>
      <c r="U6534" s="158"/>
      <c r="V6534" s="160"/>
    </row>
    <row r="6535" spans="5:22" x14ac:dyDescent="0.25">
      <c r="E6535" s="157"/>
      <c r="F6535" s="157"/>
      <c r="L6535" s="105"/>
      <c r="M6535" s="105"/>
      <c r="N6535" s="105"/>
      <c r="O6535" s="105"/>
      <c r="P6535" s="159"/>
      <c r="Q6535" s="159"/>
      <c r="R6535" s="160"/>
      <c r="S6535" s="158"/>
      <c r="T6535" s="161"/>
      <c r="U6535" s="158"/>
      <c r="V6535" s="160"/>
    </row>
    <row r="6536" spans="5:22" x14ac:dyDescent="0.25">
      <c r="E6536" s="157"/>
      <c r="F6536" s="157"/>
      <c r="L6536" s="105"/>
      <c r="M6536" s="105"/>
      <c r="N6536" s="105"/>
      <c r="O6536" s="105"/>
      <c r="P6536" s="159"/>
      <c r="Q6536" s="159"/>
      <c r="R6536" s="160"/>
      <c r="S6536" s="158"/>
      <c r="T6536" s="161"/>
      <c r="U6536" s="158"/>
      <c r="V6536" s="160"/>
    </row>
    <row r="6537" spans="5:22" x14ac:dyDescent="0.25">
      <c r="E6537" s="157"/>
      <c r="F6537" s="157"/>
      <c r="L6537" s="105"/>
      <c r="M6537" s="105"/>
      <c r="N6537" s="105"/>
      <c r="O6537" s="105"/>
      <c r="P6537" s="159"/>
      <c r="Q6537" s="159"/>
      <c r="R6537" s="160"/>
      <c r="S6537" s="158"/>
      <c r="T6537" s="161"/>
      <c r="U6537" s="158"/>
      <c r="V6537" s="160"/>
    </row>
    <row r="6538" spans="5:22" x14ac:dyDescent="0.25">
      <c r="E6538" s="157"/>
      <c r="F6538" s="157"/>
      <c r="L6538" s="105"/>
      <c r="M6538" s="105"/>
      <c r="N6538" s="105"/>
      <c r="O6538" s="105"/>
      <c r="P6538" s="159"/>
      <c r="Q6538" s="159"/>
      <c r="R6538" s="160"/>
      <c r="S6538" s="158"/>
      <c r="T6538" s="161"/>
      <c r="U6538" s="158"/>
      <c r="V6538" s="160"/>
    </row>
    <row r="6539" spans="5:22" x14ac:dyDescent="0.25">
      <c r="E6539" s="157"/>
      <c r="F6539" s="157"/>
      <c r="L6539" s="105"/>
      <c r="M6539" s="105"/>
      <c r="N6539" s="105"/>
      <c r="O6539" s="105"/>
      <c r="P6539" s="159"/>
      <c r="Q6539" s="159"/>
      <c r="R6539" s="160"/>
      <c r="S6539" s="158"/>
      <c r="T6539" s="161"/>
      <c r="U6539" s="158"/>
      <c r="V6539" s="160"/>
    </row>
    <row r="6540" spans="5:22" x14ac:dyDescent="0.25">
      <c r="E6540" s="157"/>
      <c r="F6540" s="157"/>
      <c r="L6540" s="105"/>
      <c r="M6540" s="105"/>
      <c r="N6540" s="105"/>
      <c r="O6540" s="105"/>
      <c r="P6540" s="159"/>
      <c r="Q6540" s="159"/>
      <c r="R6540" s="160"/>
      <c r="S6540" s="158"/>
      <c r="T6540" s="161"/>
      <c r="U6540" s="158"/>
      <c r="V6540" s="160"/>
    </row>
    <row r="6541" spans="5:22" x14ac:dyDescent="0.25">
      <c r="E6541" s="157"/>
      <c r="F6541" s="157"/>
      <c r="L6541" s="105"/>
      <c r="M6541" s="105"/>
      <c r="N6541" s="105"/>
      <c r="O6541" s="105"/>
      <c r="P6541" s="159"/>
      <c r="Q6541" s="159"/>
      <c r="R6541" s="160"/>
      <c r="S6541" s="158"/>
      <c r="T6541" s="161"/>
      <c r="U6541" s="158"/>
      <c r="V6541" s="160"/>
    </row>
    <row r="6542" spans="5:22" x14ac:dyDescent="0.25">
      <c r="E6542" s="157"/>
      <c r="F6542" s="157"/>
      <c r="L6542" s="105"/>
      <c r="M6542" s="105"/>
      <c r="N6542" s="105"/>
      <c r="O6542" s="105"/>
      <c r="P6542" s="159"/>
      <c r="Q6542" s="159"/>
      <c r="R6542" s="160"/>
      <c r="S6542" s="158"/>
      <c r="T6542" s="161"/>
      <c r="U6542" s="158"/>
      <c r="V6542" s="160"/>
    </row>
    <row r="6543" spans="5:22" x14ac:dyDescent="0.25">
      <c r="E6543" s="157"/>
      <c r="F6543" s="157"/>
      <c r="L6543" s="105"/>
      <c r="M6543" s="105"/>
      <c r="N6543" s="105"/>
      <c r="O6543" s="105"/>
      <c r="P6543" s="159"/>
      <c r="Q6543" s="159"/>
      <c r="R6543" s="160"/>
      <c r="S6543" s="158"/>
      <c r="T6543" s="161"/>
      <c r="U6543" s="158"/>
      <c r="V6543" s="160"/>
    </row>
    <row r="6544" spans="5:22" x14ac:dyDescent="0.25">
      <c r="E6544" s="157"/>
      <c r="F6544" s="157"/>
      <c r="L6544" s="105"/>
      <c r="M6544" s="105"/>
      <c r="N6544" s="105"/>
      <c r="O6544" s="105"/>
      <c r="P6544" s="159"/>
      <c r="Q6544" s="159"/>
      <c r="R6544" s="160"/>
      <c r="S6544" s="158"/>
      <c r="T6544" s="161"/>
      <c r="U6544" s="158"/>
      <c r="V6544" s="160"/>
    </row>
    <row r="6545" spans="5:22" x14ac:dyDescent="0.25">
      <c r="E6545" s="157"/>
      <c r="F6545" s="157"/>
      <c r="L6545" s="105"/>
      <c r="M6545" s="105"/>
      <c r="N6545" s="105"/>
      <c r="O6545" s="105"/>
      <c r="P6545" s="159"/>
      <c r="Q6545" s="159"/>
      <c r="R6545" s="160"/>
      <c r="S6545" s="158"/>
      <c r="T6545" s="161"/>
      <c r="U6545" s="158"/>
      <c r="V6545" s="160"/>
    </row>
    <row r="6546" spans="5:22" x14ac:dyDescent="0.25">
      <c r="E6546" s="157"/>
      <c r="F6546" s="157"/>
      <c r="L6546" s="105"/>
      <c r="M6546" s="105"/>
      <c r="N6546" s="105"/>
      <c r="O6546" s="105"/>
      <c r="P6546" s="159"/>
      <c r="Q6546" s="159"/>
      <c r="R6546" s="160"/>
      <c r="S6546" s="158"/>
      <c r="T6546" s="161"/>
      <c r="U6546" s="158"/>
      <c r="V6546" s="160"/>
    </row>
    <row r="6547" spans="5:22" x14ac:dyDescent="0.25">
      <c r="E6547" s="157"/>
      <c r="F6547" s="157"/>
      <c r="L6547" s="105"/>
      <c r="M6547" s="105"/>
      <c r="N6547" s="105"/>
      <c r="O6547" s="105"/>
      <c r="P6547" s="159"/>
      <c r="Q6547" s="159"/>
      <c r="R6547" s="160"/>
      <c r="S6547" s="158"/>
      <c r="T6547" s="161"/>
      <c r="U6547" s="158"/>
      <c r="V6547" s="160"/>
    </row>
    <row r="6548" spans="5:22" x14ac:dyDescent="0.25">
      <c r="E6548" s="157"/>
      <c r="F6548" s="157"/>
      <c r="L6548" s="105"/>
      <c r="M6548" s="105"/>
      <c r="N6548" s="105"/>
      <c r="O6548" s="105"/>
      <c r="P6548" s="159"/>
      <c r="Q6548" s="159"/>
      <c r="R6548" s="160"/>
      <c r="S6548" s="158"/>
      <c r="T6548" s="161"/>
      <c r="U6548" s="158"/>
      <c r="V6548" s="160"/>
    </row>
    <row r="6549" spans="5:22" x14ac:dyDescent="0.25">
      <c r="E6549" s="157"/>
      <c r="F6549" s="157"/>
      <c r="L6549" s="105"/>
      <c r="M6549" s="105"/>
      <c r="N6549" s="105"/>
      <c r="O6549" s="105"/>
      <c r="P6549" s="159"/>
      <c r="Q6549" s="159"/>
      <c r="R6549" s="160"/>
      <c r="S6549" s="158"/>
      <c r="T6549" s="161"/>
      <c r="U6549" s="158"/>
      <c r="V6549" s="160"/>
    </row>
    <row r="6550" spans="5:22" x14ac:dyDescent="0.25">
      <c r="E6550" s="157"/>
      <c r="F6550" s="157"/>
      <c r="L6550" s="105"/>
      <c r="M6550" s="105"/>
      <c r="N6550" s="105"/>
      <c r="O6550" s="105"/>
      <c r="P6550" s="159"/>
      <c r="Q6550" s="159"/>
      <c r="R6550" s="160"/>
      <c r="S6550" s="158"/>
      <c r="T6550" s="161"/>
      <c r="U6550" s="158"/>
      <c r="V6550" s="160"/>
    </row>
    <row r="6551" spans="5:22" x14ac:dyDescent="0.25">
      <c r="E6551" s="157"/>
      <c r="F6551" s="157"/>
      <c r="L6551" s="105"/>
      <c r="M6551" s="105"/>
      <c r="N6551" s="105"/>
      <c r="O6551" s="105"/>
      <c r="P6551" s="159"/>
      <c r="Q6551" s="159"/>
      <c r="R6551" s="160"/>
      <c r="S6551" s="158"/>
      <c r="T6551" s="161"/>
      <c r="U6551" s="158"/>
      <c r="V6551" s="160"/>
    </row>
    <row r="6552" spans="5:22" x14ac:dyDescent="0.25">
      <c r="E6552" s="157"/>
      <c r="F6552" s="157"/>
      <c r="L6552" s="105"/>
      <c r="M6552" s="105"/>
      <c r="N6552" s="105"/>
      <c r="O6552" s="105"/>
      <c r="P6552" s="159"/>
      <c r="Q6552" s="159"/>
      <c r="R6552" s="160"/>
      <c r="S6552" s="158"/>
      <c r="T6552" s="161"/>
      <c r="U6552" s="158"/>
      <c r="V6552" s="160"/>
    </row>
    <row r="6553" spans="5:22" x14ac:dyDescent="0.25">
      <c r="E6553" s="157"/>
      <c r="F6553" s="157"/>
      <c r="L6553" s="105"/>
      <c r="M6553" s="105"/>
      <c r="N6553" s="105"/>
      <c r="O6553" s="105"/>
      <c r="P6553" s="159"/>
      <c r="Q6553" s="159"/>
      <c r="R6553" s="160"/>
      <c r="S6553" s="158"/>
      <c r="T6553" s="161"/>
      <c r="U6553" s="158"/>
      <c r="V6553" s="160"/>
    </row>
    <row r="6554" spans="5:22" x14ac:dyDescent="0.25">
      <c r="E6554" s="157"/>
      <c r="F6554" s="157"/>
      <c r="L6554" s="105"/>
      <c r="M6554" s="105"/>
      <c r="N6554" s="105"/>
      <c r="O6554" s="105"/>
      <c r="P6554" s="159"/>
      <c r="Q6554" s="159"/>
      <c r="R6554" s="160"/>
      <c r="S6554" s="158"/>
      <c r="T6554" s="161"/>
      <c r="U6554" s="158"/>
      <c r="V6554" s="160"/>
    </row>
    <row r="6555" spans="5:22" x14ac:dyDescent="0.25">
      <c r="E6555" s="157"/>
      <c r="F6555" s="157"/>
      <c r="L6555" s="105"/>
      <c r="M6555" s="105"/>
      <c r="N6555" s="105"/>
      <c r="O6555" s="105"/>
      <c r="P6555" s="159"/>
      <c r="Q6555" s="159"/>
      <c r="R6555" s="160"/>
      <c r="S6555" s="158"/>
      <c r="T6555" s="161"/>
      <c r="U6555" s="158"/>
      <c r="V6555" s="160"/>
    </row>
    <row r="6556" spans="5:22" x14ac:dyDescent="0.25">
      <c r="E6556" s="157"/>
      <c r="F6556" s="157"/>
      <c r="L6556" s="105"/>
      <c r="M6556" s="105"/>
      <c r="N6556" s="105"/>
      <c r="O6556" s="105"/>
      <c r="P6556" s="159"/>
      <c r="Q6556" s="159"/>
      <c r="R6556" s="160"/>
      <c r="S6556" s="158"/>
      <c r="T6556" s="161"/>
      <c r="U6556" s="158"/>
      <c r="V6556" s="160"/>
    </row>
    <row r="6557" spans="5:22" x14ac:dyDescent="0.25">
      <c r="E6557" s="157"/>
      <c r="F6557" s="157"/>
      <c r="L6557" s="105"/>
      <c r="M6557" s="105"/>
      <c r="N6557" s="105"/>
      <c r="O6557" s="105"/>
      <c r="P6557" s="159"/>
      <c r="Q6557" s="159"/>
      <c r="R6557" s="160"/>
      <c r="S6557" s="158"/>
      <c r="T6557" s="161"/>
      <c r="U6557" s="158"/>
      <c r="V6557" s="160"/>
    </row>
    <row r="6558" spans="5:22" x14ac:dyDescent="0.25">
      <c r="E6558" s="157"/>
      <c r="F6558" s="157"/>
      <c r="L6558" s="105"/>
      <c r="M6558" s="105"/>
      <c r="N6558" s="105"/>
      <c r="O6558" s="105"/>
      <c r="P6558" s="159"/>
      <c r="Q6558" s="159"/>
      <c r="R6558" s="160"/>
      <c r="S6558" s="158"/>
      <c r="T6558" s="161"/>
      <c r="U6558" s="158"/>
      <c r="V6558" s="160"/>
    </row>
    <row r="6559" spans="5:22" x14ac:dyDescent="0.25">
      <c r="E6559" s="157"/>
      <c r="F6559" s="157"/>
      <c r="L6559" s="105"/>
      <c r="M6559" s="105"/>
      <c r="N6559" s="105"/>
      <c r="O6559" s="105"/>
      <c r="P6559" s="159"/>
      <c r="Q6559" s="159"/>
      <c r="R6559" s="160"/>
      <c r="S6559" s="158"/>
      <c r="T6559" s="161"/>
      <c r="U6559" s="158"/>
      <c r="V6559" s="160"/>
    </row>
    <row r="6560" spans="5:22" x14ac:dyDescent="0.25">
      <c r="E6560" s="157"/>
      <c r="F6560" s="157"/>
      <c r="L6560" s="105"/>
      <c r="M6560" s="105"/>
      <c r="N6560" s="105"/>
      <c r="O6560" s="105"/>
      <c r="P6560" s="159"/>
      <c r="Q6560" s="159"/>
      <c r="R6560" s="160"/>
      <c r="S6560" s="158"/>
      <c r="T6560" s="161"/>
      <c r="U6560" s="158"/>
      <c r="V6560" s="160"/>
    </row>
    <row r="6561" spans="5:22" x14ac:dyDescent="0.25">
      <c r="E6561" s="157"/>
      <c r="F6561" s="157"/>
      <c r="L6561" s="105"/>
      <c r="M6561" s="105"/>
      <c r="N6561" s="105"/>
      <c r="O6561" s="105"/>
      <c r="P6561" s="159"/>
      <c r="Q6561" s="159"/>
      <c r="R6561" s="160"/>
      <c r="S6561" s="158"/>
      <c r="T6561" s="161"/>
      <c r="U6561" s="158"/>
      <c r="V6561" s="160"/>
    </row>
    <row r="6562" spans="5:22" x14ac:dyDescent="0.25">
      <c r="E6562" s="157"/>
      <c r="F6562" s="157"/>
      <c r="L6562" s="105"/>
      <c r="M6562" s="105"/>
      <c r="N6562" s="105"/>
      <c r="O6562" s="105"/>
      <c r="P6562" s="159"/>
      <c r="Q6562" s="159"/>
      <c r="R6562" s="160"/>
      <c r="S6562" s="158"/>
      <c r="T6562" s="161"/>
      <c r="U6562" s="158"/>
      <c r="V6562" s="160"/>
    </row>
    <row r="6563" spans="5:22" x14ac:dyDescent="0.25">
      <c r="E6563" s="157"/>
      <c r="F6563" s="157"/>
      <c r="L6563" s="105"/>
      <c r="M6563" s="105"/>
      <c r="N6563" s="105"/>
      <c r="O6563" s="105"/>
      <c r="P6563" s="159"/>
      <c r="Q6563" s="159"/>
      <c r="R6563" s="160"/>
      <c r="S6563" s="158"/>
      <c r="T6563" s="161"/>
      <c r="U6563" s="158"/>
      <c r="V6563" s="160"/>
    </row>
    <row r="6564" spans="5:22" x14ac:dyDescent="0.25">
      <c r="E6564" s="157"/>
      <c r="F6564" s="157"/>
      <c r="L6564" s="105"/>
      <c r="M6564" s="105"/>
      <c r="N6564" s="105"/>
      <c r="O6564" s="105"/>
      <c r="P6564" s="159"/>
      <c r="Q6564" s="159"/>
      <c r="R6564" s="160"/>
      <c r="S6564" s="158"/>
      <c r="T6564" s="161"/>
      <c r="U6564" s="158"/>
      <c r="V6564" s="160"/>
    </row>
    <row r="6565" spans="5:22" x14ac:dyDescent="0.25">
      <c r="E6565" s="157"/>
      <c r="F6565" s="157"/>
      <c r="L6565" s="105"/>
      <c r="M6565" s="105"/>
      <c r="N6565" s="105"/>
      <c r="O6565" s="105"/>
      <c r="P6565" s="159"/>
      <c r="Q6565" s="159"/>
      <c r="R6565" s="160"/>
      <c r="S6565" s="158"/>
      <c r="T6565" s="161"/>
      <c r="U6565" s="158"/>
      <c r="V6565" s="160"/>
    </row>
    <row r="6566" spans="5:22" x14ac:dyDescent="0.25">
      <c r="E6566" s="157"/>
      <c r="F6566" s="157"/>
      <c r="L6566" s="105"/>
      <c r="M6566" s="105"/>
      <c r="N6566" s="105"/>
      <c r="O6566" s="105"/>
      <c r="P6566" s="159"/>
      <c r="Q6566" s="159"/>
      <c r="R6566" s="160"/>
      <c r="S6566" s="158"/>
      <c r="T6566" s="161"/>
      <c r="U6566" s="158"/>
      <c r="V6566" s="160"/>
    </row>
    <row r="6567" spans="5:22" x14ac:dyDescent="0.25">
      <c r="E6567" s="157"/>
      <c r="F6567" s="157"/>
      <c r="L6567" s="105"/>
      <c r="M6567" s="105"/>
      <c r="N6567" s="105"/>
      <c r="O6567" s="105"/>
      <c r="P6567" s="159"/>
      <c r="Q6567" s="159"/>
      <c r="R6567" s="160"/>
      <c r="S6567" s="158"/>
      <c r="T6567" s="161"/>
      <c r="U6567" s="158"/>
      <c r="V6567" s="160"/>
    </row>
    <row r="6568" spans="5:22" x14ac:dyDescent="0.25">
      <c r="E6568" s="157"/>
      <c r="F6568" s="157"/>
      <c r="L6568" s="105"/>
      <c r="M6568" s="105"/>
      <c r="N6568" s="105"/>
      <c r="O6568" s="105"/>
      <c r="P6568" s="159"/>
      <c r="Q6568" s="159"/>
      <c r="R6568" s="160"/>
      <c r="S6568" s="158"/>
      <c r="T6568" s="161"/>
      <c r="U6568" s="158"/>
      <c r="V6568" s="160"/>
    </row>
    <row r="6569" spans="5:22" x14ac:dyDescent="0.25">
      <c r="E6569" s="157"/>
      <c r="F6569" s="157"/>
      <c r="L6569" s="105"/>
      <c r="M6569" s="105"/>
      <c r="N6569" s="105"/>
      <c r="O6569" s="105"/>
      <c r="P6569" s="159"/>
      <c r="Q6569" s="159"/>
      <c r="R6569" s="160"/>
      <c r="S6569" s="158"/>
      <c r="T6569" s="161"/>
      <c r="U6569" s="158"/>
      <c r="V6569" s="160"/>
    </row>
    <row r="6570" spans="5:22" x14ac:dyDescent="0.25">
      <c r="E6570" s="162"/>
      <c r="F6570" s="157"/>
      <c r="L6570" s="105"/>
      <c r="M6570" s="105"/>
      <c r="N6570" s="105"/>
      <c r="O6570" s="105"/>
      <c r="P6570" s="159"/>
      <c r="Q6570" s="159"/>
      <c r="R6570" s="160"/>
      <c r="S6570" s="158"/>
      <c r="T6570" s="161"/>
      <c r="U6570" s="158"/>
      <c r="V6570" s="160"/>
    </row>
    <row r="6571" spans="5:22" x14ac:dyDescent="0.25">
      <c r="E6571" s="157"/>
      <c r="F6571" s="157"/>
      <c r="L6571" s="105"/>
      <c r="M6571" s="105"/>
      <c r="N6571" s="105"/>
      <c r="O6571" s="105"/>
      <c r="P6571" s="159"/>
      <c r="Q6571" s="159"/>
      <c r="R6571" s="160"/>
      <c r="S6571" s="158"/>
      <c r="T6571" s="161"/>
      <c r="U6571" s="158"/>
      <c r="V6571" s="160"/>
    </row>
    <row r="6572" spans="5:22" x14ac:dyDescent="0.25">
      <c r="E6572" s="157"/>
      <c r="F6572" s="157"/>
      <c r="L6572" s="105"/>
      <c r="M6572" s="105"/>
      <c r="N6572" s="105"/>
      <c r="O6572" s="105"/>
      <c r="P6572" s="159"/>
      <c r="Q6572" s="159"/>
      <c r="R6572" s="160"/>
      <c r="S6572" s="158"/>
      <c r="T6572" s="161"/>
      <c r="U6572" s="158"/>
      <c r="V6572" s="160"/>
    </row>
    <row r="6573" spans="5:22" x14ac:dyDescent="0.25">
      <c r="E6573" s="157"/>
      <c r="F6573" s="157"/>
      <c r="L6573" s="105"/>
      <c r="M6573" s="105"/>
      <c r="N6573" s="105"/>
      <c r="O6573" s="105"/>
      <c r="P6573" s="159"/>
      <c r="Q6573" s="159"/>
      <c r="R6573" s="160"/>
      <c r="S6573" s="158"/>
      <c r="T6573" s="161"/>
      <c r="U6573" s="158"/>
      <c r="V6573" s="160"/>
    </row>
    <row r="6574" spans="5:22" x14ac:dyDescent="0.25">
      <c r="E6574" s="157"/>
      <c r="F6574" s="157"/>
      <c r="L6574" s="105"/>
      <c r="M6574" s="105"/>
      <c r="N6574" s="105"/>
      <c r="O6574" s="105"/>
      <c r="P6574" s="159"/>
      <c r="Q6574" s="159"/>
      <c r="R6574" s="160"/>
      <c r="S6574" s="158"/>
      <c r="T6574" s="161"/>
      <c r="U6574" s="158"/>
      <c r="V6574" s="160"/>
    </row>
    <row r="6575" spans="5:22" x14ac:dyDescent="0.25">
      <c r="E6575" s="162"/>
      <c r="F6575" s="157"/>
      <c r="L6575" s="105"/>
      <c r="M6575" s="105"/>
      <c r="N6575" s="105"/>
      <c r="O6575" s="105"/>
      <c r="P6575" s="159"/>
      <c r="Q6575" s="159"/>
      <c r="R6575" s="160"/>
      <c r="S6575" s="158"/>
      <c r="T6575" s="161"/>
      <c r="U6575" s="158"/>
      <c r="V6575" s="160"/>
    </row>
    <row r="6576" spans="5:22" x14ac:dyDescent="0.25">
      <c r="E6576" s="157"/>
      <c r="F6576" s="157"/>
      <c r="L6576" s="105"/>
      <c r="M6576" s="105"/>
      <c r="N6576" s="105"/>
      <c r="O6576" s="105"/>
      <c r="P6576" s="159"/>
      <c r="Q6576" s="159"/>
      <c r="R6576" s="160"/>
      <c r="S6576" s="158"/>
      <c r="T6576" s="161"/>
      <c r="U6576" s="158"/>
      <c r="V6576" s="160"/>
    </row>
    <row r="6577" spans="5:22" x14ac:dyDescent="0.25">
      <c r="E6577" s="157"/>
      <c r="F6577" s="157"/>
      <c r="L6577" s="105"/>
      <c r="M6577" s="105"/>
      <c r="N6577" s="105"/>
      <c r="O6577" s="105"/>
      <c r="P6577" s="159"/>
      <c r="Q6577" s="159"/>
      <c r="R6577" s="160"/>
      <c r="S6577" s="158"/>
      <c r="T6577" s="161"/>
      <c r="U6577" s="158"/>
      <c r="V6577" s="160"/>
    </row>
    <row r="6578" spans="5:22" x14ac:dyDescent="0.25">
      <c r="E6578" s="157"/>
      <c r="F6578" s="157"/>
      <c r="L6578" s="105"/>
      <c r="M6578" s="105"/>
      <c r="N6578" s="105"/>
      <c r="O6578" s="105"/>
      <c r="P6578" s="159"/>
      <c r="Q6578" s="159"/>
      <c r="R6578" s="160"/>
      <c r="S6578" s="158"/>
      <c r="T6578" s="161"/>
      <c r="U6578" s="158"/>
      <c r="V6578" s="160"/>
    </row>
    <row r="6579" spans="5:22" x14ac:dyDescent="0.25">
      <c r="E6579" s="157"/>
      <c r="F6579" s="157"/>
      <c r="L6579" s="105"/>
      <c r="M6579" s="105"/>
      <c r="N6579" s="105"/>
      <c r="O6579" s="105"/>
      <c r="P6579" s="159"/>
      <c r="Q6579" s="159"/>
      <c r="R6579" s="160"/>
      <c r="S6579" s="158"/>
      <c r="T6579" s="161"/>
      <c r="U6579" s="158"/>
      <c r="V6579" s="160"/>
    </row>
    <row r="6580" spans="5:22" x14ac:dyDescent="0.25">
      <c r="E6580" s="157"/>
      <c r="F6580" s="157"/>
      <c r="L6580" s="105"/>
      <c r="M6580" s="105"/>
      <c r="N6580" s="105"/>
      <c r="O6580" s="105"/>
      <c r="P6580" s="159"/>
      <c r="Q6580" s="159"/>
      <c r="R6580" s="160"/>
      <c r="S6580" s="158"/>
      <c r="T6580" s="161"/>
      <c r="U6580" s="158"/>
      <c r="V6580" s="160"/>
    </row>
    <row r="6581" spans="5:22" x14ac:dyDescent="0.25">
      <c r="E6581" s="157"/>
      <c r="F6581" s="157"/>
      <c r="L6581" s="105"/>
      <c r="M6581" s="105"/>
      <c r="N6581" s="105"/>
      <c r="O6581" s="105"/>
      <c r="P6581" s="159"/>
      <c r="Q6581" s="159"/>
      <c r="R6581" s="160"/>
      <c r="S6581" s="158"/>
      <c r="T6581" s="161"/>
      <c r="U6581" s="158"/>
      <c r="V6581" s="160"/>
    </row>
    <row r="6582" spans="5:22" x14ac:dyDescent="0.25">
      <c r="E6582" s="157"/>
      <c r="F6582" s="157"/>
      <c r="L6582" s="105"/>
      <c r="M6582" s="105"/>
      <c r="N6582" s="105"/>
      <c r="O6582" s="105"/>
      <c r="P6582" s="159"/>
      <c r="Q6582" s="159"/>
      <c r="R6582" s="160"/>
      <c r="S6582" s="158"/>
      <c r="T6582" s="161"/>
      <c r="U6582" s="158"/>
      <c r="V6582" s="160"/>
    </row>
    <row r="6583" spans="5:22" x14ac:dyDescent="0.25">
      <c r="E6583" s="157"/>
      <c r="F6583" s="157"/>
      <c r="L6583" s="105"/>
      <c r="M6583" s="105"/>
      <c r="N6583" s="105"/>
      <c r="O6583" s="105"/>
      <c r="P6583" s="159"/>
      <c r="Q6583" s="159"/>
      <c r="R6583" s="160"/>
      <c r="S6583" s="158"/>
      <c r="T6583" s="161"/>
      <c r="U6583" s="158"/>
      <c r="V6583" s="160"/>
    </row>
    <row r="6584" spans="5:22" x14ac:dyDescent="0.25">
      <c r="E6584" s="157"/>
      <c r="F6584" s="157"/>
      <c r="L6584" s="105"/>
      <c r="M6584" s="105"/>
      <c r="N6584" s="105"/>
      <c r="O6584" s="105"/>
      <c r="P6584" s="159"/>
      <c r="Q6584" s="159"/>
      <c r="R6584" s="160"/>
      <c r="S6584" s="158"/>
      <c r="T6584" s="161"/>
      <c r="U6584" s="158"/>
      <c r="V6584" s="160"/>
    </row>
    <row r="6585" spans="5:22" x14ac:dyDescent="0.25">
      <c r="E6585" s="157"/>
      <c r="F6585" s="157"/>
      <c r="L6585" s="105"/>
      <c r="M6585" s="105"/>
      <c r="N6585" s="105"/>
      <c r="O6585" s="105"/>
      <c r="P6585" s="159"/>
      <c r="Q6585" s="159"/>
      <c r="R6585" s="160"/>
      <c r="S6585" s="158"/>
      <c r="T6585" s="161"/>
      <c r="U6585" s="158"/>
      <c r="V6585" s="160"/>
    </row>
    <row r="6586" spans="5:22" x14ac:dyDescent="0.25">
      <c r="E6586" s="157"/>
      <c r="F6586" s="157"/>
      <c r="L6586" s="105"/>
      <c r="M6586" s="105"/>
      <c r="N6586" s="105"/>
      <c r="O6586" s="105"/>
      <c r="P6586" s="159"/>
      <c r="Q6586" s="159"/>
      <c r="R6586" s="160"/>
      <c r="S6586" s="158"/>
      <c r="T6586" s="161"/>
      <c r="U6586" s="158"/>
      <c r="V6586" s="160"/>
    </row>
    <row r="6587" spans="5:22" x14ac:dyDescent="0.25">
      <c r="E6587" s="157"/>
      <c r="F6587" s="157"/>
      <c r="L6587" s="105"/>
      <c r="M6587" s="105"/>
      <c r="N6587" s="105"/>
      <c r="O6587" s="105"/>
      <c r="P6587" s="159"/>
      <c r="Q6587" s="159"/>
      <c r="R6587" s="160"/>
      <c r="S6587" s="158"/>
      <c r="T6587" s="161"/>
      <c r="U6587" s="158"/>
      <c r="V6587" s="160"/>
    </row>
    <row r="6588" spans="5:22" x14ac:dyDescent="0.25">
      <c r="E6588" s="157"/>
      <c r="F6588" s="157"/>
      <c r="L6588" s="105"/>
      <c r="M6588" s="105"/>
      <c r="N6588" s="105"/>
      <c r="O6588" s="105"/>
      <c r="P6588" s="159"/>
      <c r="Q6588" s="159"/>
      <c r="R6588" s="160"/>
      <c r="S6588" s="158"/>
      <c r="T6588" s="161"/>
      <c r="U6588" s="158"/>
      <c r="V6588" s="160"/>
    </row>
    <row r="6589" spans="5:22" x14ac:dyDescent="0.25">
      <c r="E6589" s="157"/>
      <c r="F6589" s="157"/>
      <c r="L6589" s="105"/>
      <c r="M6589" s="105"/>
      <c r="N6589" s="105"/>
      <c r="O6589" s="105"/>
      <c r="P6589" s="159"/>
      <c r="Q6589" s="159"/>
      <c r="R6589" s="160"/>
      <c r="S6589" s="158"/>
      <c r="T6589" s="161"/>
      <c r="U6589" s="158"/>
      <c r="V6589" s="160"/>
    </row>
    <row r="6590" spans="5:22" x14ac:dyDescent="0.25">
      <c r="E6590" s="157"/>
      <c r="F6590" s="157"/>
      <c r="L6590" s="105"/>
      <c r="M6590" s="105"/>
      <c r="N6590" s="105"/>
      <c r="O6590" s="105"/>
      <c r="P6590" s="159"/>
      <c r="Q6590" s="159"/>
      <c r="R6590" s="160"/>
      <c r="S6590" s="158"/>
      <c r="T6590" s="161"/>
      <c r="U6590" s="158"/>
      <c r="V6590" s="160"/>
    </row>
    <row r="6591" spans="5:22" x14ac:dyDescent="0.25">
      <c r="E6591" s="157"/>
      <c r="F6591" s="157"/>
      <c r="L6591" s="105"/>
      <c r="M6591" s="105"/>
      <c r="N6591" s="105"/>
      <c r="O6591" s="105"/>
      <c r="P6591" s="159"/>
      <c r="Q6591" s="159"/>
      <c r="R6591" s="160"/>
      <c r="S6591" s="158"/>
      <c r="T6591" s="161"/>
      <c r="U6591" s="158"/>
      <c r="V6591" s="160"/>
    </row>
    <row r="6592" spans="5:22" x14ac:dyDescent="0.25">
      <c r="E6592" s="157"/>
      <c r="F6592" s="157"/>
      <c r="L6592" s="105"/>
      <c r="M6592" s="105"/>
      <c r="N6592" s="105"/>
      <c r="O6592" s="105"/>
      <c r="P6592" s="159"/>
      <c r="Q6592" s="159"/>
      <c r="R6592" s="160"/>
      <c r="S6592" s="158"/>
      <c r="T6592" s="161"/>
      <c r="U6592" s="158"/>
      <c r="V6592" s="160"/>
    </row>
    <row r="6593" spans="5:22" x14ac:dyDescent="0.25">
      <c r="E6593" s="157"/>
      <c r="F6593" s="157"/>
      <c r="L6593" s="105"/>
      <c r="M6593" s="105"/>
      <c r="N6593" s="105"/>
      <c r="O6593" s="105"/>
      <c r="P6593" s="159"/>
      <c r="Q6593" s="159"/>
      <c r="R6593" s="160"/>
      <c r="S6593" s="158"/>
      <c r="T6593" s="161"/>
      <c r="U6593" s="158"/>
      <c r="V6593" s="160"/>
    </row>
    <row r="6594" spans="5:22" x14ac:dyDescent="0.25">
      <c r="E6594" s="157"/>
      <c r="F6594" s="157"/>
      <c r="L6594" s="105"/>
      <c r="M6594" s="105"/>
      <c r="N6594" s="105"/>
      <c r="O6594" s="105"/>
      <c r="P6594" s="159"/>
      <c r="Q6594" s="159"/>
      <c r="R6594" s="160"/>
      <c r="S6594" s="158"/>
      <c r="T6594" s="161"/>
      <c r="U6594" s="158"/>
      <c r="V6594" s="160"/>
    </row>
    <row r="6595" spans="5:22" x14ac:dyDescent="0.25">
      <c r="E6595" s="157"/>
      <c r="F6595" s="157"/>
      <c r="L6595" s="105"/>
      <c r="M6595" s="105"/>
      <c r="N6595" s="105"/>
      <c r="O6595" s="105"/>
      <c r="P6595" s="159"/>
      <c r="Q6595" s="159"/>
      <c r="R6595" s="160"/>
      <c r="S6595" s="158"/>
      <c r="T6595" s="161"/>
      <c r="U6595" s="158"/>
      <c r="V6595" s="160"/>
    </row>
    <row r="6596" spans="5:22" x14ac:dyDescent="0.25">
      <c r="E6596" s="157"/>
      <c r="F6596" s="157"/>
      <c r="L6596" s="105"/>
      <c r="M6596" s="105"/>
      <c r="N6596" s="105"/>
      <c r="O6596" s="105"/>
      <c r="P6596" s="159"/>
      <c r="Q6596" s="159"/>
      <c r="R6596" s="160"/>
      <c r="S6596" s="158"/>
      <c r="T6596" s="161"/>
      <c r="U6596" s="158"/>
      <c r="V6596" s="160"/>
    </row>
    <row r="6597" spans="5:22" x14ac:dyDescent="0.25">
      <c r="E6597" s="157"/>
      <c r="F6597" s="157"/>
      <c r="L6597" s="105"/>
      <c r="M6597" s="105"/>
      <c r="N6597" s="105"/>
      <c r="O6597" s="105"/>
      <c r="P6597" s="159"/>
      <c r="Q6597" s="159"/>
      <c r="R6597" s="160"/>
      <c r="S6597" s="158"/>
      <c r="T6597" s="161"/>
      <c r="U6597" s="158"/>
      <c r="V6597" s="160"/>
    </row>
    <row r="6598" spans="5:22" x14ac:dyDescent="0.25">
      <c r="E6598" s="162"/>
      <c r="F6598" s="157"/>
      <c r="L6598" s="105"/>
      <c r="M6598" s="105"/>
      <c r="N6598" s="105"/>
      <c r="O6598" s="105"/>
      <c r="P6598" s="159"/>
      <c r="Q6598" s="159"/>
      <c r="R6598" s="160"/>
      <c r="S6598" s="158"/>
      <c r="T6598" s="161"/>
      <c r="U6598" s="158"/>
      <c r="V6598" s="160"/>
    </row>
    <row r="6599" spans="5:22" x14ac:dyDescent="0.25">
      <c r="E6599" s="157"/>
      <c r="F6599" s="157"/>
      <c r="L6599" s="105"/>
      <c r="M6599" s="105"/>
      <c r="N6599" s="105"/>
      <c r="O6599" s="105"/>
      <c r="P6599" s="159"/>
      <c r="Q6599" s="159"/>
      <c r="R6599" s="160"/>
      <c r="S6599" s="158"/>
      <c r="T6599" s="161"/>
      <c r="U6599" s="158"/>
      <c r="V6599" s="160"/>
    </row>
    <row r="6600" spans="5:22" x14ac:dyDescent="0.25">
      <c r="E6600" s="157"/>
      <c r="F6600" s="157"/>
      <c r="L6600" s="105"/>
      <c r="M6600" s="105"/>
      <c r="N6600" s="105"/>
      <c r="O6600" s="105"/>
      <c r="P6600" s="159"/>
      <c r="Q6600" s="159"/>
      <c r="R6600" s="160"/>
      <c r="S6600" s="158"/>
      <c r="T6600" s="161"/>
      <c r="U6600" s="158"/>
      <c r="V6600" s="160"/>
    </row>
    <row r="6601" spans="5:22" x14ac:dyDescent="0.25">
      <c r="E6601" s="157"/>
      <c r="F6601" s="157"/>
      <c r="L6601" s="105"/>
      <c r="M6601" s="105"/>
      <c r="N6601" s="105"/>
      <c r="O6601" s="105"/>
      <c r="P6601" s="159"/>
      <c r="Q6601" s="159"/>
      <c r="R6601" s="160"/>
      <c r="S6601" s="158"/>
      <c r="T6601" s="161"/>
      <c r="U6601" s="158"/>
      <c r="V6601" s="160"/>
    </row>
    <row r="6602" spans="5:22" x14ac:dyDescent="0.25">
      <c r="E6602" s="157"/>
      <c r="F6602" s="157"/>
      <c r="L6602" s="105"/>
      <c r="M6602" s="105"/>
      <c r="N6602" s="105"/>
      <c r="O6602" s="105"/>
      <c r="P6602" s="159"/>
      <c r="Q6602" s="159"/>
      <c r="R6602" s="160"/>
      <c r="S6602" s="158"/>
      <c r="T6602" s="161"/>
      <c r="U6602" s="158"/>
      <c r="V6602" s="160"/>
    </row>
    <row r="6603" spans="5:22" x14ac:dyDescent="0.25">
      <c r="E6603" s="157"/>
      <c r="F6603" s="157"/>
      <c r="L6603" s="105"/>
      <c r="M6603" s="105"/>
      <c r="N6603" s="105"/>
      <c r="O6603" s="105"/>
      <c r="P6603" s="159"/>
      <c r="Q6603" s="159"/>
      <c r="R6603" s="160"/>
      <c r="S6603" s="158"/>
      <c r="T6603" s="161"/>
      <c r="U6603" s="158"/>
      <c r="V6603" s="160"/>
    </row>
    <row r="6604" spans="5:22" x14ac:dyDescent="0.25">
      <c r="E6604" s="157"/>
      <c r="F6604" s="157"/>
      <c r="L6604" s="105"/>
      <c r="M6604" s="105"/>
      <c r="N6604" s="105"/>
      <c r="O6604" s="105"/>
      <c r="P6604" s="159"/>
      <c r="Q6604" s="159"/>
      <c r="R6604" s="160"/>
      <c r="S6604" s="158"/>
      <c r="T6604" s="161"/>
      <c r="U6604" s="158"/>
      <c r="V6604" s="160"/>
    </row>
    <row r="6605" spans="5:22" x14ac:dyDescent="0.25">
      <c r="E6605" s="157"/>
      <c r="F6605" s="157"/>
      <c r="L6605" s="105"/>
      <c r="M6605" s="105"/>
      <c r="N6605" s="105"/>
      <c r="O6605" s="105"/>
      <c r="P6605" s="159"/>
      <c r="Q6605" s="159"/>
      <c r="R6605" s="160"/>
      <c r="S6605" s="158"/>
      <c r="T6605" s="161"/>
      <c r="U6605" s="158"/>
      <c r="V6605" s="160"/>
    </row>
    <row r="6606" spans="5:22" x14ac:dyDescent="0.25">
      <c r="E6606" s="157"/>
      <c r="F6606" s="157"/>
      <c r="L6606" s="105"/>
      <c r="M6606" s="105"/>
      <c r="N6606" s="105"/>
      <c r="O6606" s="105"/>
      <c r="P6606" s="159"/>
      <c r="Q6606" s="159"/>
      <c r="R6606" s="160"/>
      <c r="S6606" s="158"/>
      <c r="T6606" s="161"/>
      <c r="U6606" s="158"/>
      <c r="V6606" s="160"/>
    </row>
    <row r="6607" spans="5:22" x14ac:dyDescent="0.25">
      <c r="E6607" s="157"/>
      <c r="F6607" s="157"/>
      <c r="L6607" s="105"/>
      <c r="M6607" s="105"/>
      <c r="N6607" s="105"/>
      <c r="O6607" s="105"/>
      <c r="P6607" s="159"/>
      <c r="Q6607" s="159"/>
      <c r="R6607" s="160"/>
      <c r="S6607" s="158"/>
      <c r="T6607" s="161"/>
      <c r="U6607" s="158"/>
      <c r="V6607" s="160"/>
    </row>
    <row r="6608" spans="5:22" x14ac:dyDescent="0.25">
      <c r="E6608" s="157"/>
      <c r="F6608" s="157"/>
      <c r="L6608" s="105"/>
      <c r="M6608" s="105"/>
      <c r="N6608" s="105"/>
      <c r="O6608" s="105"/>
      <c r="P6608" s="159"/>
      <c r="Q6608" s="159"/>
      <c r="R6608" s="160"/>
      <c r="S6608" s="158"/>
      <c r="T6608" s="161"/>
      <c r="U6608" s="158"/>
      <c r="V6608" s="160"/>
    </row>
    <row r="6609" spans="5:22" x14ac:dyDescent="0.25">
      <c r="E6609" s="157"/>
      <c r="F6609" s="157"/>
      <c r="L6609" s="105"/>
      <c r="M6609" s="105"/>
      <c r="N6609" s="105"/>
      <c r="O6609" s="105"/>
      <c r="P6609" s="159"/>
      <c r="Q6609" s="159"/>
      <c r="R6609" s="160"/>
      <c r="S6609" s="158"/>
      <c r="T6609" s="161"/>
      <c r="U6609" s="158"/>
      <c r="V6609" s="160"/>
    </row>
    <row r="6610" spans="5:22" x14ac:dyDescent="0.25">
      <c r="E6610" s="157"/>
      <c r="F6610" s="157"/>
      <c r="L6610" s="105"/>
      <c r="M6610" s="105"/>
      <c r="N6610" s="105"/>
      <c r="O6610" s="105"/>
      <c r="P6610" s="159"/>
      <c r="Q6610" s="159"/>
      <c r="R6610" s="160"/>
      <c r="S6610" s="158"/>
      <c r="T6610" s="161"/>
      <c r="U6610" s="158"/>
      <c r="V6610" s="160"/>
    </row>
    <row r="6611" spans="5:22" x14ac:dyDescent="0.25">
      <c r="E6611" s="157"/>
      <c r="F6611" s="157"/>
      <c r="L6611" s="105"/>
      <c r="M6611" s="105"/>
      <c r="N6611" s="105"/>
      <c r="O6611" s="105"/>
      <c r="P6611" s="159"/>
      <c r="Q6611" s="159"/>
      <c r="R6611" s="160"/>
      <c r="S6611" s="158"/>
      <c r="T6611" s="161"/>
      <c r="U6611" s="158"/>
      <c r="V6611" s="160"/>
    </row>
    <row r="6612" spans="5:22" x14ac:dyDescent="0.25">
      <c r="E6612" s="157"/>
      <c r="F6612" s="157"/>
      <c r="L6612" s="105"/>
      <c r="M6612" s="105"/>
      <c r="N6612" s="105"/>
      <c r="O6612" s="105"/>
      <c r="P6612" s="159"/>
      <c r="Q6612" s="159"/>
      <c r="R6612" s="160"/>
      <c r="S6612" s="158"/>
      <c r="T6612" s="161"/>
      <c r="U6612" s="158"/>
      <c r="V6612" s="160"/>
    </row>
    <row r="6613" spans="5:22" x14ac:dyDescent="0.25">
      <c r="E6613" s="157"/>
      <c r="F6613" s="157"/>
      <c r="L6613" s="105"/>
      <c r="M6613" s="105"/>
      <c r="N6613" s="105"/>
      <c r="O6613" s="105"/>
      <c r="P6613" s="159"/>
      <c r="Q6613" s="159"/>
      <c r="R6613" s="160"/>
      <c r="S6613" s="158"/>
      <c r="T6613" s="161"/>
      <c r="U6613" s="158"/>
      <c r="V6613" s="160"/>
    </row>
    <row r="6614" spans="5:22" x14ac:dyDescent="0.25">
      <c r="E6614" s="157"/>
      <c r="F6614" s="157"/>
      <c r="L6614" s="105"/>
      <c r="M6614" s="105"/>
      <c r="N6614" s="105"/>
      <c r="O6614" s="105"/>
      <c r="P6614" s="159"/>
      <c r="Q6614" s="159"/>
      <c r="R6614" s="160"/>
      <c r="S6614" s="158"/>
      <c r="T6614" s="161"/>
      <c r="U6614" s="158"/>
      <c r="V6614" s="160"/>
    </row>
    <row r="6615" spans="5:22" x14ac:dyDescent="0.25">
      <c r="E6615" s="157"/>
      <c r="F6615" s="157"/>
      <c r="L6615" s="105"/>
      <c r="M6615" s="105"/>
      <c r="N6615" s="105"/>
      <c r="O6615" s="105"/>
      <c r="P6615" s="159"/>
      <c r="Q6615" s="159"/>
      <c r="R6615" s="160"/>
      <c r="S6615" s="158"/>
      <c r="T6615" s="161"/>
      <c r="U6615" s="158"/>
      <c r="V6615" s="160"/>
    </row>
    <row r="6616" spans="5:22" x14ac:dyDescent="0.25">
      <c r="E6616" s="157"/>
      <c r="F6616" s="157"/>
      <c r="L6616" s="105"/>
      <c r="M6616" s="105"/>
      <c r="N6616" s="105"/>
      <c r="O6616" s="105"/>
      <c r="P6616" s="159"/>
      <c r="Q6616" s="159"/>
      <c r="R6616" s="160"/>
      <c r="S6616" s="158"/>
      <c r="T6616" s="161"/>
      <c r="U6616" s="158"/>
      <c r="V6616" s="160"/>
    </row>
    <row r="6617" spans="5:22" x14ac:dyDescent="0.25">
      <c r="E6617" s="157"/>
      <c r="F6617" s="157"/>
      <c r="L6617" s="105"/>
      <c r="M6617" s="105"/>
      <c r="N6617" s="105"/>
      <c r="O6617" s="105"/>
      <c r="P6617" s="159"/>
      <c r="Q6617" s="159"/>
      <c r="R6617" s="160"/>
      <c r="S6617" s="158"/>
      <c r="T6617" s="161"/>
      <c r="U6617" s="158"/>
      <c r="V6617" s="160"/>
    </row>
    <row r="6618" spans="5:22" x14ac:dyDescent="0.25">
      <c r="E6618" s="157"/>
      <c r="F6618" s="157"/>
      <c r="L6618" s="105"/>
      <c r="M6618" s="105"/>
      <c r="N6618" s="105"/>
      <c r="O6618" s="105"/>
      <c r="P6618" s="159"/>
      <c r="Q6618" s="159"/>
      <c r="R6618" s="160"/>
      <c r="S6618" s="158"/>
      <c r="T6618" s="161"/>
      <c r="U6618" s="158"/>
      <c r="V6618" s="160"/>
    </row>
    <row r="6619" spans="5:22" x14ac:dyDescent="0.25">
      <c r="E6619" s="157"/>
      <c r="F6619" s="157"/>
      <c r="L6619" s="105"/>
      <c r="M6619" s="105"/>
      <c r="N6619" s="105"/>
      <c r="O6619" s="105"/>
      <c r="P6619" s="159"/>
      <c r="Q6619" s="159"/>
      <c r="R6619" s="160"/>
      <c r="S6619" s="158"/>
      <c r="T6619" s="161"/>
      <c r="U6619" s="158"/>
      <c r="V6619" s="160"/>
    </row>
    <row r="6620" spans="5:22" x14ac:dyDescent="0.25">
      <c r="E6620" s="157"/>
      <c r="F6620" s="157"/>
      <c r="L6620" s="105"/>
      <c r="M6620" s="105"/>
      <c r="N6620" s="105"/>
      <c r="O6620" s="105"/>
      <c r="P6620" s="159"/>
      <c r="Q6620" s="159"/>
      <c r="R6620" s="160"/>
      <c r="S6620" s="158"/>
      <c r="T6620" s="161"/>
      <c r="U6620" s="158"/>
      <c r="V6620" s="160"/>
    </row>
    <row r="6621" spans="5:22" x14ac:dyDescent="0.25">
      <c r="E6621" s="157"/>
      <c r="F6621" s="157"/>
      <c r="L6621" s="105"/>
      <c r="M6621" s="105"/>
      <c r="N6621" s="105"/>
      <c r="O6621" s="105"/>
      <c r="P6621" s="159"/>
      <c r="Q6621" s="159"/>
      <c r="R6621" s="160"/>
      <c r="S6621" s="158"/>
      <c r="T6621" s="161"/>
      <c r="U6621" s="158"/>
      <c r="V6621" s="160"/>
    </row>
    <row r="6622" spans="5:22" x14ac:dyDescent="0.25">
      <c r="E6622" s="157"/>
      <c r="F6622" s="157"/>
      <c r="L6622" s="105"/>
      <c r="M6622" s="105"/>
      <c r="N6622" s="105"/>
      <c r="O6622" s="105"/>
      <c r="P6622" s="159"/>
      <c r="Q6622" s="159"/>
      <c r="R6622" s="160"/>
      <c r="S6622" s="158"/>
      <c r="T6622" s="161"/>
      <c r="U6622" s="158"/>
      <c r="V6622" s="160"/>
    </row>
    <row r="6623" spans="5:22" x14ac:dyDescent="0.25">
      <c r="E6623" s="157"/>
      <c r="F6623" s="157"/>
      <c r="L6623" s="105"/>
      <c r="M6623" s="105"/>
      <c r="N6623" s="105"/>
      <c r="O6623" s="105"/>
      <c r="P6623" s="159"/>
      <c r="Q6623" s="159"/>
      <c r="R6623" s="160"/>
      <c r="S6623" s="158"/>
      <c r="T6623" s="161"/>
      <c r="U6623" s="158"/>
      <c r="V6623" s="160"/>
    </row>
    <row r="6624" spans="5:22" x14ac:dyDescent="0.25">
      <c r="E6624" s="157"/>
      <c r="F6624" s="157"/>
      <c r="L6624" s="105"/>
      <c r="M6624" s="105"/>
      <c r="N6624" s="105"/>
      <c r="O6624" s="105"/>
      <c r="P6624" s="159"/>
      <c r="Q6624" s="159"/>
      <c r="R6624" s="160"/>
      <c r="S6624" s="158"/>
      <c r="T6624" s="161"/>
      <c r="U6624" s="158"/>
      <c r="V6624" s="160"/>
    </row>
    <row r="6625" spans="5:22" x14ac:dyDescent="0.25">
      <c r="E6625" s="157"/>
      <c r="F6625" s="157"/>
      <c r="L6625" s="105"/>
      <c r="M6625" s="105"/>
      <c r="N6625" s="105"/>
      <c r="O6625" s="105"/>
      <c r="P6625" s="159"/>
      <c r="Q6625" s="159"/>
      <c r="R6625" s="160"/>
      <c r="S6625" s="158"/>
      <c r="T6625" s="161"/>
      <c r="U6625" s="158"/>
      <c r="V6625" s="160"/>
    </row>
    <row r="6626" spans="5:22" x14ac:dyDescent="0.25">
      <c r="E6626" s="157"/>
      <c r="F6626" s="157"/>
      <c r="L6626" s="105"/>
      <c r="M6626" s="105"/>
      <c r="N6626" s="105"/>
      <c r="O6626" s="105"/>
      <c r="P6626" s="159"/>
      <c r="Q6626" s="159"/>
      <c r="R6626" s="160"/>
      <c r="S6626" s="158"/>
      <c r="T6626" s="161"/>
      <c r="U6626" s="158"/>
      <c r="V6626" s="160"/>
    </row>
    <row r="6627" spans="5:22" x14ac:dyDescent="0.25">
      <c r="E6627" s="157"/>
      <c r="F6627" s="157"/>
      <c r="L6627" s="105"/>
      <c r="M6627" s="105"/>
      <c r="N6627" s="105"/>
      <c r="O6627" s="105"/>
      <c r="P6627" s="159"/>
      <c r="Q6627" s="159"/>
      <c r="R6627" s="160"/>
      <c r="S6627" s="158"/>
      <c r="T6627" s="161"/>
      <c r="U6627" s="158"/>
      <c r="V6627" s="160"/>
    </row>
    <row r="6628" spans="5:22" x14ac:dyDescent="0.25">
      <c r="E6628" s="157"/>
      <c r="F6628" s="157"/>
      <c r="L6628" s="105"/>
      <c r="M6628" s="105"/>
      <c r="N6628" s="105"/>
      <c r="O6628" s="105"/>
      <c r="P6628" s="159"/>
      <c r="Q6628" s="159"/>
      <c r="R6628" s="160"/>
      <c r="S6628" s="158"/>
      <c r="T6628" s="161"/>
      <c r="U6628" s="158"/>
      <c r="V6628" s="160"/>
    </row>
    <row r="6629" spans="5:22" x14ac:dyDescent="0.25">
      <c r="E6629" s="157"/>
      <c r="F6629" s="157"/>
      <c r="L6629" s="105"/>
      <c r="M6629" s="105"/>
      <c r="N6629" s="105"/>
      <c r="O6629" s="105"/>
      <c r="P6629" s="159"/>
      <c r="Q6629" s="159"/>
      <c r="R6629" s="160"/>
      <c r="S6629" s="158"/>
      <c r="T6629" s="161"/>
      <c r="U6629" s="158"/>
      <c r="V6629" s="160"/>
    </row>
    <row r="6630" spans="5:22" x14ac:dyDescent="0.25">
      <c r="E6630" s="157"/>
      <c r="F6630" s="162"/>
      <c r="L6630" s="105"/>
      <c r="M6630" s="105"/>
      <c r="N6630" s="105"/>
      <c r="O6630" s="105"/>
      <c r="P6630" s="159"/>
      <c r="Q6630" s="159"/>
      <c r="R6630" s="160"/>
      <c r="S6630" s="158"/>
      <c r="T6630" s="161"/>
      <c r="U6630" s="158"/>
      <c r="V6630" s="160"/>
    </row>
    <row r="6631" spans="5:22" x14ac:dyDescent="0.25">
      <c r="E6631" s="157"/>
      <c r="F6631" s="157"/>
      <c r="L6631" s="105"/>
      <c r="M6631" s="105"/>
      <c r="N6631" s="105"/>
      <c r="O6631" s="105"/>
      <c r="P6631" s="159"/>
      <c r="Q6631" s="159"/>
      <c r="R6631" s="160"/>
      <c r="S6631" s="158"/>
      <c r="T6631" s="161"/>
      <c r="U6631" s="158"/>
      <c r="V6631" s="160"/>
    </row>
    <row r="6632" spans="5:22" x14ac:dyDescent="0.25">
      <c r="E6632" s="157"/>
      <c r="F6632" s="157"/>
      <c r="L6632" s="105"/>
      <c r="M6632" s="105"/>
      <c r="N6632" s="105"/>
      <c r="O6632" s="105"/>
      <c r="P6632" s="159"/>
      <c r="Q6632" s="159"/>
      <c r="R6632" s="160"/>
      <c r="S6632" s="158"/>
      <c r="T6632" s="161"/>
      <c r="U6632" s="158"/>
      <c r="V6632" s="160"/>
    </row>
    <row r="6633" spans="5:22" x14ac:dyDescent="0.25">
      <c r="E6633" s="157"/>
      <c r="F6633" s="157"/>
      <c r="L6633" s="105"/>
      <c r="M6633" s="105"/>
      <c r="N6633" s="105"/>
      <c r="O6633" s="105"/>
      <c r="P6633" s="159"/>
      <c r="Q6633" s="159"/>
      <c r="R6633" s="160"/>
      <c r="S6633" s="158"/>
      <c r="T6633" s="161"/>
      <c r="U6633" s="158"/>
      <c r="V6633" s="160"/>
    </row>
    <row r="6634" spans="5:22" x14ac:dyDescent="0.25">
      <c r="E6634" s="157"/>
      <c r="F6634" s="157"/>
      <c r="L6634" s="105"/>
      <c r="M6634" s="105"/>
      <c r="N6634" s="105"/>
      <c r="O6634" s="105"/>
      <c r="P6634" s="159"/>
      <c r="Q6634" s="159"/>
      <c r="R6634" s="160"/>
      <c r="S6634" s="158"/>
      <c r="T6634" s="161"/>
      <c r="U6634" s="158"/>
      <c r="V6634" s="160"/>
    </row>
    <row r="6635" spans="5:22" x14ac:dyDescent="0.25">
      <c r="E6635" s="157"/>
      <c r="F6635" s="157"/>
      <c r="L6635" s="105"/>
      <c r="M6635" s="105"/>
      <c r="N6635" s="105"/>
      <c r="O6635" s="105"/>
      <c r="P6635" s="159"/>
      <c r="Q6635" s="159"/>
      <c r="R6635" s="160"/>
      <c r="S6635" s="158"/>
      <c r="T6635" s="161"/>
      <c r="U6635" s="158"/>
      <c r="V6635" s="160"/>
    </row>
    <row r="6636" spans="5:22" x14ac:dyDescent="0.25">
      <c r="E6636" s="157"/>
      <c r="F6636" s="157"/>
      <c r="L6636" s="105"/>
      <c r="M6636" s="105"/>
      <c r="N6636" s="105"/>
      <c r="O6636" s="105"/>
      <c r="P6636" s="159"/>
      <c r="Q6636" s="159"/>
      <c r="R6636" s="160"/>
      <c r="S6636" s="158"/>
      <c r="T6636" s="161"/>
      <c r="U6636" s="158"/>
      <c r="V6636" s="160"/>
    </row>
    <row r="6637" spans="5:22" x14ac:dyDescent="0.25">
      <c r="E6637" s="157"/>
      <c r="F6637" s="157"/>
      <c r="L6637" s="105"/>
      <c r="M6637" s="105"/>
      <c r="N6637" s="105"/>
      <c r="O6637" s="105"/>
      <c r="P6637" s="159"/>
      <c r="Q6637" s="159"/>
      <c r="R6637" s="160"/>
      <c r="S6637" s="158"/>
      <c r="T6637" s="161"/>
      <c r="U6637" s="158"/>
      <c r="V6637" s="160"/>
    </row>
    <row r="6638" spans="5:22" x14ac:dyDescent="0.25">
      <c r="E6638" s="157"/>
      <c r="F6638" s="157"/>
      <c r="L6638" s="105"/>
      <c r="M6638" s="105"/>
      <c r="N6638" s="105"/>
      <c r="O6638" s="105"/>
      <c r="P6638" s="159"/>
      <c r="Q6638" s="159"/>
      <c r="R6638" s="160"/>
      <c r="S6638" s="158"/>
      <c r="T6638" s="161"/>
      <c r="U6638" s="158"/>
      <c r="V6638" s="160"/>
    </row>
    <row r="6639" spans="5:22" x14ac:dyDescent="0.25">
      <c r="E6639" s="157"/>
      <c r="F6639" s="157"/>
      <c r="L6639" s="105"/>
      <c r="M6639" s="105"/>
      <c r="N6639" s="105"/>
      <c r="O6639" s="105"/>
      <c r="P6639" s="159"/>
      <c r="Q6639" s="159"/>
      <c r="R6639" s="160"/>
      <c r="S6639" s="158"/>
      <c r="T6639" s="161"/>
      <c r="U6639" s="158"/>
      <c r="V6639" s="160"/>
    </row>
    <row r="6640" spans="5:22" x14ac:dyDescent="0.25">
      <c r="E6640" s="157"/>
      <c r="F6640" s="157"/>
      <c r="L6640" s="105"/>
      <c r="M6640" s="105"/>
      <c r="N6640" s="105"/>
      <c r="O6640" s="105"/>
      <c r="P6640" s="159"/>
      <c r="Q6640" s="159"/>
      <c r="R6640" s="160"/>
      <c r="S6640" s="158"/>
      <c r="T6640" s="161"/>
      <c r="U6640" s="158"/>
      <c r="V6640" s="160"/>
    </row>
    <row r="6641" spans="5:22" x14ac:dyDescent="0.25">
      <c r="E6641" s="157"/>
      <c r="F6641" s="157"/>
      <c r="L6641" s="105"/>
      <c r="M6641" s="105"/>
      <c r="N6641" s="105"/>
      <c r="O6641" s="105"/>
      <c r="P6641" s="159"/>
      <c r="Q6641" s="159"/>
      <c r="R6641" s="160"/>
      <c r="S6641" s="158"/>
      <c r="T6641" s="161"/>
      <c r="U6641" s="158"/>
      <c r="V6641" s="160"/>
    </row>
    <row r="6642" spans="5:22" x14ac:dyDescent="0.25">
      <c r="E6642" s="157"/>
      <c r="F6642" s="157"/>
      <c r="L6642" s="105"/>
      <c r="M6642" s="105"/>
      <c r="N6642" s="105"/>
      <c r="O6642" s="105"/>
      <c r="P6642" s="159"/>
      <c r="Q6642" s="159"/>
      <c r="R6642" s="160"/>
      <c r="S6642" s="158"/>
      <c r="T6642" s="161"/>
      <c r="U6642" s="158"/>
      <c r="V6642" s="160"/>
    </row>
    <row r="6643" spans="5:22" x14ac:dyDescent="0.25">
      <c r="E6643" s="157"/>
      <c r="F6643" s="157"/>
      <c r="L6643" s="105"/>
      <c r="M6643" s="105"/>
      <c r="N6643" s="105"/>
      <c r="O6643" s="105"/>
      <c r="P6643" s="159"/>
      <c r="Q6643" s="159"/>
      <c r="R6643" s="160"/>
      <c r="S6643" s="158"/>
      <c r="T6643" s="161"/>
      <c r="U6643" s="158"/>
      <c r="V6643" s="160"/>
    </row>
    <row r="6644" spans="5:22" x14ac:dyDescent="0.25">
      <c r="E6644" s="157"/>
      <c r="F6644" s="157"/>
      <c r="L6644" s="105"/>
      <c r="M6644" s="105"/>
      <c r="N6644" s="105"/>
      <c r="O6644" s="105"/>
      <c r="P6644" s="159"/>
      <c r="Q6644" s="159"/>
      <c r="R6644" s="160"/>
      <c r="S6644" s="158"/>
      <c r="T6644" s="161"/>
      <c r="U6644" s="158"/>
      <c r="V6644" s="160"/>
    </row>
    <row r="6645" spans="5:22" x14ac:dyDescent="0.25">
      <c r="E6645" s="157"/>
      <c r="F6645" s="157"/>
      <c r="L6645" s="105"/>
      <c r="M6645" s="105"/>
      <c r="N6645" s="105"/>
      <c r="O6645" s="105"/>
      <c r="P6645" s="159"/>
      <c r="Q6645" s="159"/>
      <c r="R6645" s="160"/>
      <c r="S6645" s="158"/>
      <c r="T6645" s="161"/>
      <c r="U6645" s="158"/>
      <c r="V6645" s="160"/>
    </row>
    <row r="6646" spans="5:22" x14ac:dyDescent="0.25">
      <c r="E6646" s="157"/>
      <c r="F6646" s="157"/>
      <c r="L6646" s="105"/>
      <c r="M6646" s="105"/>
      <c r="N6646" s="105"/>
      <c r="O6646" s="105"/>
      <c r="P6646" s="159"/>
      <c r="Q6646" s="159"/>
      <c r="R6646" s="160"/>
      <c r="S6646" s="158"/>
      <c r="T6646" s="161"/>
      <c r="U6646" s="158"/>
      <c r="V6646" s="160"/>
    </row>
    <row r="6647" spans="5:22" x14ac:dyDescent="0.25">
      <c r="E6647" s="157"/>
      <c r="F6647" s="157"/>
      <c r="L6647" s="105"/>
      <c r="M6647" s="105"/>
      <c r="N6647" s="105"/>
      <c r="O6647" s="105"/>
      <c r="P6647" s="159"/>
      <c r="Q6647" s="159"/>
      <c r="R6647" s="160"/>
      <c r="S6647" s="158"/>
      <c r="T6647" s="161"/>
      <c r="U6647" s="158"/>
      <c r="V6647" s="160"/>
    </row>
    <row r="6648" spans="5:22" x14ac:dyDescent="0.25">
      <c r="E6648" s="157"/>
      <c r="F6648" s="157"/>
      <c r="L6648" s="105"/>
      <c r="M6648" s="105"/>
      <c r="N6648" s="105"/>
      <c r="O6648" s="105"/>
      <c r="P6648" s="159"/>
      <c r="Q6648" s="159"/>
      <c r="R6648" s="160"/>
      <c r="S6648" s="158"/>
      <c r="T6648" s="161"/>
      <c r="U6648" s="158"/>
      <c r="V6648" s="160"/>
    </row>
    <row r="6649" spans="5:22" x14ac:dyDescent="0.25">
      <c r="E6649" s="157"/>
      <c r="F6649" s="157"/>
      <c r="L6649" s="105"/>
      <c r="M6649" s="105"/>
      <c r="N6649" s="105"/>
      <c r="O6649" s="105"/>
      <c r="P6649" s="159"/>
      <c r="Q6649" s="159"/>
      <c r="R6649" s="160"/>
      <c r="S6649" s="158"/>
      <c r="T6649" s="161"/>
      <c r="U6649" s="158"/>
      <c r="V6649" s="160"/>
    </row>
    <row r="6650" spans="5:22" x14ac:dyDescent="0.25">
      <c r="E6650" s="157"/>
      <c r="F6650" s="157"/>
      <c r="L6650" s="105"/>
      <c r="M6650" s="105"/>
      <c r="N6650" s="105"/>
      <c r="O6650" s="105"/>
      <c r="P6650" s="159"/>
      <c r="Q6650" s="159"/>
      <c r="R6650" s="160"/>
      <c r="S6650" s="158"/>
      <c r="T6650" s="161"/>
      <c r="U6650" s="158"/>
      <c r="V6650" s="160"/>
    </row>
    <row r="6651" spans="5:22" x14ac:dyDescent="0.25">
      <c r="E6651" s="157"/>
      <c r="F6651" s="157"/>
      <c r="L6651" s="105"/>
      <c r="M6651" s="105"/>
      <c r="N6651" s="105"/>
      <c r="O6651" s="105"/>
      <c r="P6651" s="159"/>
      <c r="Q6651" s="159"/>
      <c r="R6651" s="160"/>
      <c r="S6651" s="158"/>
      <c r="T6651" s="161"/>
      <c r="U6651" s="158"/>
      <c r="V6651" s="160"/>
    </row>
    <row r="6652" spans="5:22" x14ac:dyDescent="0.25">
      <c r="E6652" s="157"/>
      <c r="F6652" s="157"/>
      <c r="L6652" s="105"/>
      <c r="M6652" s="105"/>
      <c r="N6652" s="105"/>
      <c r="O6652" s="105"/>
      <c r="P6652" s="159"/>
      <c r="Q6652" s="159"/>
      <c r="R6652" s="160"/>
      <c r="S6652" s="158"/>
      <c r="T6652" s="161"/>
      <c r="U6652" s="158"/>
      <c r="V6652" s="160"/>
    </row>
    <row r="6653" spans="5:22" x14ac:dyDescent="0.25">
      <c r="E6653" s="157"/>
      <c r="F6653" s="157"/>
      <c r="L6653" s="105"/>
      <c r="M6653" s="105"/>
      <c r="N6653" s="105"/>
      <c r="O6653" s="105"/>
      <c r="P6653" s="159"/>
      <c r="Q6653" s="159"/>
      <c r="R6653" s="160"/>
      <c r="S6653" s="158"/>
      <c r="T6653" s="161"/>
      <c r="U6653" s="158"/>
      <c r="V6653" s="160"/>
    </row>
    <row r="6654" spans="5:22" x14ac:dyDescent="0.25">
      <c r="E6654" s="157"/>
      <c r="F6654" s="157"/>
      <c r="L6654" s="105"/>
      <c r="M6654" s="105"/>
      <c r="N6654" s="105"/>
      <c r="O6654" s="105"/>
      <c r="P6654" s="159"/>
      <c r="Q6654" s="159"/>
      <c r="R6654" s="160"/>
      <c r="S6654" s="158"/>
      <c r="T6654" s="161"/>
      <c r="U6654" s="158"/>
      <c r="V6654" s="160"/>
    </row>
    <row r="6655" spans="5:22" x14ac:dyDescent="0.25">
      <c r="E6655" s="157"/>
      <c r="F6655" s="157"/>
      <c r="L6655" s="105"/>
      <c r="M6655" s="105"/>
      <c r="N6655" s="105"/>
      <c r="O6655" s="105"/>
      <c r="P6655" s="159"/>
      <c r="Q6655" s="159"/>
      <c r="R6655" s="160"/>
      <c r="S6655" s="158"/>
      <c r="T6655" s="161"/>
      <c r="U6655" s="158"/>
      <c r="V6655" s="160"/>
    </row>
    <row r="6656" spans="5:22" x14ac:dyDescent="0.25">
      <c r="E6656" s="157"/>
      <c r="F6656" s="157"/>
      <c r="L6656" s="105"/>
      <c r="M6656" s="105"/>
      <c r="N6656" s="105"/>
      <c r="O6656" s="105"/>
      <c r="P6656" s="159"/>
      <c r="Q6656" s="159"/>
      <c r="R6656" s="160"/>
      <c r="S6656" s="158"/>
      <c r="T6656" s="161"/>
      <c r="U6656" s="158"/>
      <c r="V6656" s="160"/>
    </row>
    <row r="6657" spans="5:22" x14ac:dyDescent="0.25">
      <c r="E6657" s="157"/>
      <c r="F6657" s="157"/>
      <c r="L6657" s="105"/>
      <c r="M6657" s="105"/>
      <c r="N6657" s="105"/>
      <c r="O6657" s="105"/>
      <c r="P6657" s="159"/>
      <c r="Q6657" s="159"/>
      <c r="R6657" s="160"/>
      <c r="S6657" s="158"/>
      <c r="T6657" s="161"/>
      <c r="U6657" s="158"/>
      <c r="V6657" s="160"/>
    </row>
    <row r="6658" spans="5:22" x14ac:dyDescent="0.25">
      <c r="E6658" s="157"/>
      <c r="F6658" s="157"/>
      <c r="L6658" s="105"/>
      <c r="M6658" s="105"/>
      <c r="N6658" s="105"/>
      <c r="O6658" s="105"/>
      <c r="P6658" s="159"/>
      <c r="Q6658" s="159"/>
      <c r="R6658" s="160"/>
      <c r="S6658" s="158"/>
      <c r="T6658" s="161"/>
      <c r="U6658" s="158"/>
      <c r="V6658" s="160"/>
    </row>
    <row r="6659" spans="5:22" x14ac:dyDescent="0.25">
      <c r="E6659" s="157"/>
      <c r="F6659" s="157"/>
      <c r="L6659" s="105"/>
      <c r="M6659" s="105"/>
      <c r="N6659" s="105"/>
      <c r="O6659" s="105"/>
      <c r="P6659" s="159"/>
      <c r="Q6659" s="159"/>
      <c r="R6659" s="160"/>
      <c r="S6659" s="158"/>
      <c r="T6659" s="161"/>
      <c r="U6659" s="158"/>
      <c r="V6659" s="160"/>
    </row>
    <row r="6660" spans="5:22" x14ac:dyDescent="0.25">
      <c r="E6660" s="157"/>
      <c r="F6660" s="157"/>
      <c r="L6660" s="105"/>
      <c r="M6660" s="105"/>
      <c r="N6660" s="105"/>
      <c r="O6660" s="105"/>
      <c r="P6660" s="159"/>
      <c r="Q6660" s="159"/>
      <c r="R6660" s="160"/>
      <c r="S6660" s="158"/>
      <c r="T6660" s="161"/>
      <c r="U6660" s="158"/>
      <c r="V6660" s="160"/>
    </row>
    <row r="6661" spans="5:22" x14ac:dyDescent="0.25">
      <c r="E6661" s="157"/>
      <c r="F6661" s="157"/>
      <c r="L6661" s="105"/>
      <c r="M6661" s="105"/>
      <c r="N6661" s="105"/>
      <c r="O6661" s="105"/>
      <c r="P6661" s="159"/>
      <c r="Q6661" s="159"/>
      <c r="R6661" s="160"/>
      <c r="S6661" s="158"/>
      <c r="T6661" s="161"/>
      <c r="U6661" s="158"/>
      <c r="V6661" s="160"/>
    </row>
    <row r="6662" spans="5:22" x14ac:dyDescent="0.25">
      <c r="E6662" s="157"/>
      <c r="F6662" s="157"/>
      <c r="L6662" s="105"/>
      <c r="M6662" s="105"/>
      <c r="N6662" s="105"/>
      <c r="O6662" s="105"/>
      <c r="P6662" s="159"/>
      <c r="Q6662" s="159"/>
      <c r="R6662" s="160"/>
      <c r="S6662" s="158"/>
      <c r="T6662" s="161"/>
      <c r="U6662" s="158"/>
      <c r="V6662" s="160"/>
    </row>
    <row r="6663" spans="5:22" x14ac:dyDescent="0.25">
      <c r="E6663" s="157"/>
      <c r="F6663" s="157"/>
      <c r="L6663" s="105"/>
      <c r="M6663" s="105"/>
      <c r="N6663" s="105"/>
      <c r="O6663" s="105"/>
      <c r="P6663" s="159"/>
      <c r="Q6663" s="159"/>
      <c r="R6663" s="160"/>
      <c r="S6663" s="158"/>
      <c r="T6663" s="161"/>
      <c r="U6663" s="158"/>
      <c r="V6663" s="160"/>
    </row>
    <row r="6664" spans="5:22" x14ac:dyDescent="0.25">
      <c r="E6664" s="157"/>
      <c r="F6664" s="157"/>
      <c r="L6664" s="105"/>
      <c r="M6664" s="105"/>
      <c r="N6664" s="105"/>
      <c r="O6664" s="105"/>
      <c r="P6664" s="159"/>
      <c r="Q6664" s="159"/>
      <c r="R6664" s="160"/>
      <c r="S6664" s="158"/>
      <c r="T6664" s="161"/>
      <c r="U6664" s="158"/>
      <c r="V6664" s="160"/>
    </row>
    <row r="6665" spans="5:22" x14ac:dyDescent="0.25">
      <c r="E6665" s="157"/>
      <c r="F6665" s="157"/>
      <c r="L6665" s="105"/>
      <c r="M6665" s="105"/>
      <c r="N6665" s="105"/>
      <c r="O6665" s="105"/>
      <c r="P6665" s="159"/>
      <c r="Q6665" s="159"/>
      <c r="R6665" s="160"/>
      <c r="S6665" s="158"/>
      <c r="T6665" s="161"/>
      <c r="U6665" s="158"/>
      <c r="V6665" s="160"/>
    </row>
    <row r="6666" spans="5:22" x14ac:dyDescent="0.25">
      <c r="E6666" s="157"/>
      <c r="F6666" s="157"/>
      <c r="L6666" s="105"/>
      <c r="M6666" s="105"/>
      <c r="N6666" s="105"/>
      <c r="O6666" s="105"/>
      <c r="P6666" s="159"/>
      <c r="Q6666" s="159"/>
      <c r="R6666" s="160"/>
      <c r="S6666" s="158"/>
      <c r="T6666" s="161"/>
      <c r="U6666" s="158"/>
      <c r="V6666" s="160"/>
    </row>
    <row r="6667" spans="5:22" x14ac:dyDescent="0.25">
      <c r="E6667" s="157"/>
      <c r="F6667" s="157"/>
      <c r="L6667" s="105"/>
      <c r="M6667" s="105"/>
      <c r="N6667" s="105"/>
      <c r="O6667" s="105"/>
      <c r="P6667" s="159"/>
      <c r="Q6667" s="159"/>
      <c r="R6667" s="160"/>
      <c r="S6667" s="158"/>
      <c r="T6667" s="161"/>
      <c r="U6667" s="158"/>
      <c r="V6667" s="160"/>
    </row>
    <row r="6668" spans="5:22" x14ac:dyDescent="0.25">
      <c r="E6668" s="157"/>
      <c r="F6668" s="157"/>
      <c r="L6668" s="105"/>
      <c r="M6668" s="105"/>
      <c r="N6668" s="105"/>
      <c r="O6668" s="105"/>
      <c r="P6668" s="159"/>
      <c r="Q6668" s="159"/>
      <c r="R6668" s="160"/>
      <c r="S6668" s="158"/>
      <c r="T6668" s="161"/>
      <c r="U6668" s="158"/>
      <c r="V6668" s="160"/>
    </row>
    <row r="6669" spans="5:22" x14ac:dyDescent="0.25">
      <c r="E6669" s="157"/>
      <c r="F6669" s="157"/>
      <c r="L6669" s="105"/>
      <c r="M6669" s="105"/>
      <c r="N6669" s="105"/>
      <c r="O6669" s="105"/>
      <c r="P6669" s="159"/>
      <c r="Q6669" s="159"/>
      <c r="R6669" s="160"/>
      <c r="S6669" s="158"/>
      <c r="T6669" s="161"/>
      <c r="U6669" s="158"/>
      <c r="V6669" s="160"/>
    </row>
    <row r="6670" spans="5:22" x14ac:dyDescent="0.25">
      <c r="E6670" s="157"/>
      <c r="F6670" s="157"/>
      <c r="L6670" s="105"/>
      <c r="M6670" s="105"/>
      <c r="N6670" s="105"/>
      <c r="O6670" s="105"/>
      <c r="P6670" s="159"/>
      <c r="Q6670" s="159"/>
      <c r="R6670" s="160"/>
      <c r="S6670" s="158"/>
      <c r="T6670" s="161"/>
      <c r="U6670" s="158"/>
      <c r="V6670" s="160"/>
    </row>
    <row r="6671" spans="5:22" x14ac:dyDescent="0.25">
      <c r="E6671" s="157"/>
      <c r="F6671" s="157"/>
      <c r="L6671" s="105"/>
      <c r="M6671" s="105"/>
      <c r="N6671" s="105"/>
      <c r="O6671" s="105"/>
      <c r="P6671" s="159"/>
      <c r="Q6671" s="159"/>
      <c r="R6671" s="160"/>
      <c r="S6671" s="158"/>
      <c r="T6671" s="161"/>
      <c r="U6671" s="158"/>
      <c r="V6671" s="160"/>
    </row>
    <row r="6672" spans="5:22" x14ac:dyDescent="0.25">
      <c r="E6672" s="157"/>
      <c r="F6672" s="157"/>
      <c r="L6672" s="105"/>
      <c r="M6672" s="105"/>
      <c r="N6672" s="105"/>
      <c r="O6672" s="105"/>
      <c r="P6672" s="159"/>
      <c r="Q6672" s="159"/>
      <c r="R6672" s="160"/>
      <c r="S6672" s="158"/>
      <c r="T6672" s="161"/>
      <c r="U6672" s="158"/>
      <c r="V6672" s="160"/>
    </row>
    <row r="6673" spans="5:22" x14ac:dyDescent="0.25">
      <c r="E6673" s="157"/>
      <c r="F6673" s="157"/>
      <c r="L6673" s="105"/>
      <c r="M6673" s="105"/>
      <c r="N6673" s="105"/>
      <c r="O6673" s="105"/>
      <c r="P6673" s="159"/>
      <c r="Q6673" s="159"/>
      <c r="R6673" s="160"/>
      <c r="S6673" s="158"/>
      <c r="T6673" s="161"/>
      <c r="U6673" s="158"/>
      <c r="V6673" s="160"/>
    </row>
    <row r="6674" spans="5:22" x14ac:dyDescent="0.25">
      <c r="E6674" s="157"/>
      <c r="F6674" s="157"/>
      <c r="L6674" s="105"/>
      <c r="M6674" s="105"/>
      <c r="N6674" s="105"/>
      <c r="O6674" s="105"/>
      <c r="P6674" s="159"/>
      <c r="Q6674" s="159"/>
      <c r="R6674" s="160"/>
      <c r="S6674" s="158"/>
      <c r="T6674" s="161"/>
      <c r="U6674" s="158"/>
      <c r="V6674" s="160"/>
    </row>
    <row r="6675" spans="5:22" x14ac:dyDescent="0.25">
      <c r="E6675" s="157"/>
      <c r="F6675" s="157"/>
      <c r="L6675" s="105"/>
      <c r="M6675" s="105"/>
      <c r="N6675" s="105"/>
      <c r="O6675" s="105"/>
      <c r="P6675" s="159"/>
      <c r="Q6675" s="159"/>
      <c r="R6675" s="160"/>
      <c r="S6675" s="158"/>
      <c r="T6675" s="161"/>
      <c r="U6675" s="158"/>
      <c r="V6675" s="160"/>
    </row>
    <row r="6676" spans="5:22" x14ac:dyDescent="0.25">
      <c r="E6676" s="157"/>
      <c r="F6676" s="157"/>
      <c r="L6676" s="105"/>
      <c r="M6676" s="105"/>
      <c r="N6676" s="105"/>
      <c r="O6676" s="105"/>
      <c r="P6676" s="159"/>
      <c r="Q6676" s="159"/>
      <c r="R6676" s="160"/>
      <c r="S6676" s="158"/>
      <c r="T6676" s="161"/>
      <c r="U6676" s="158"/>
      <c r="V6676" s="160"/>
    </row>
    <row r="6677" spans="5:22" x14ac:dyDescent="0.25">
      <c r="E6677" s="157"/>
      <c r="F6677" s="157"/>
      <c r="L6677" s="105"/>
      <c r="M6677" s="105"/>
      <c r="N6677" s="105"/>
      <c r="O6677" s="105"/>
      <c r="P6677" s="159"/>
      <c r="Q6677" s="159"/>
      <c r="R6677" s="160"/>
      <c r="S6677" s="158"/>
      <c r="T6677" s="161"/>
      <c r="U6677" s="158"/>
      <c r="V6677" s="160"/>
    </row>
    <row r="6678" spans="5:22" x14ac:dyDescent="0.25">
      <c r="E6678" s="157"/>
      <c r="F6678" s="157"/>
      <c r="L6678" s="105"/>
      <c r="M6678" s="105"/>
      <c r="N6678" s="105"/>
      <c r="O6678" s="105"/>
      <c r="P6678" s="159"/>
      <c r="Q6678" s="159"/>
      <c r="R6678" s="160"/>
      <c r="S6678" s="158"/>
      <c r="T6678" s="161"/>
      <c r="U6678" s="158"/>
      <c r="V6678" s="160"/>
    </row>
    <row r="6679" spans="5:22" x14ac:dyDescent="0.25">
      <c r="E6679" s="157"/>
      <c r="F6679" s="157"/>
      <c r="L6679" s="105"/>
      <c r="M6679" s="105"/>
      <c r="N6679" s="105"/>
      <c r="O6679" s="105"/>
      <c r="P6679" s="159"/>
      <c r="Q6679" s="159"/>
      <c r="R6679" s="160"/>
      <c r="S6679" s="158"/>
      <c r="T6679" s="161"/>
      <c r="U6679" s="158"/>
      <c r="V6679" s="160"/>
    </row>
    <row r="6680" spans="5:22" x14ac:dyDescent="0.25">
      <c r="E6680" s="157"/>
      <c r="F6680" s="157"/>
      <c r="L6680" s="105"/>
      <c r="M6680" s="105"/>
      <c r="N6680" s="105"/>
      <c r="O6680" s="105"/>
      <c r="P6680" s="159"/>
      <c r="Q6680" s="159"/>
      <c r="R6680" s="160"/>
      <c r="S6680" s="158"/>
      <c r="T6680" s="161"/>
      <c r="U6680" s="158"/>
      <c r="V6680" s="160"/>
    </row>
    <row r="6681" spans="5:22" x14ac:dyDescent="0.25">
      <c r="E6681" s="157"/>
      <c r="F6681" s="157"/>
      <c r="L6681" s="105"/>
      <c r="M6681" s="105"/>
      <c r="N6681" s="105"/>
      <c r="O6681" s="105"/>
      <c r="P6681" s="159"/>
      <c r="Q6681" s="159"/>
      <c r="R6681" s="160"/>
      <c r="S6681" s="158"/>
      <c r="T6681" s="161"/>
      <c r="U6681" s="158"/>
      <c r="V6681" s="160"/>
    </row>
    <row r="6682" spans="5:22" x14ac:dyDescent="0.25">
      <c r="E6682" s="157"/>
      <c r="F6682" s="157"/>
      <c r="L6682" s="105"/>
      <c r="M6682" s="105"/>
      <c r="N6682" s="105"/>
      <c r="O6682" s="105"/>
      <c r="P6682" s="159"/>
      <c r="Q6682" s="159"/>
      <c r="R6682" s="160"/>
      <c r="S6682" s="158"/>
      <c r="T6682" s="161"/>
      <c r="U6682" s="158"/>
      <c r="V6682" s="160"/>
    </row>
    <row r="6683" spans="5:22" x14ac:dyDescent="0.25">
      <c r="E6683" s="157"/>
      <c r="F6683" s="157"/>
      <c r="L6683" s="105"/>
      <c r="M6683" s="105"/>
      <c r="N6683" s="105"/>
      <c r="O6683" s="105"/>
      <c r="P6683" s="159"/>
      <c r="Q6683" s="159"/>
      <c r="R6683" s="160"/>
      <c r="S6683" s="158"/>
      <c r="T6683" s="161"/>
      <c r="U6683" s="158"/>
      <c r="V6683" s="160"/>
    </row>
    <row r="6684" spans="5:22" x14ac:dyDescent="0.25">
      <c r="E6684" s="157"/>
      <c r="F6684" s="157"/>
      <c r="L6684" s="105"/>
      <c r="M6684" s="105"/>
      <c r="N6684" s="105"/>
      <c r="O6684" s="105"/>
      <c r="P6684" s="159"/>
      <c r="Q6684" s="159"/>
      <c r="R6684" s="160"/>
      <c r="S6684" s="158"/>
      <c r="T6684" s="161"/>
      <c r="U6684" s="158"/>
      <c r="V6684" s="160"/>
    </row>
    <row r="6685" spans="5:22" x14ac:dyDescent="0.25">
      <c r="E6685" s="157"/>
      <c r="F6685" s="157"/>
      <c r="L6685" s="105"/>
      <c r="M6685" s="105"/>
      <c r="N6685" s="105"/>
      <c r="O6685" s="105"/>
      <c r="P6685" s="159"/>
      <c r="Q6685" s="159"/>
      <c r="R6685" s="160"/>
      <c r="S6685" s="158"/>
      <c r="T6685" s="161"/>
      <c r="U6685" s="158"/>
      <c r="V6685" s="160"/>
    </row>
    <row r="6686" spans="5:22" x14ac:dyDescent="0.25">
      <c r="E6686" s="157"/>
      <c r="F6686" s="157"/>
      <c r="L6686" s="105"/>
      <c r="M6686" s="105"/>
      <c r="N6686" s="105"/>
      <c r="O6686" s="105"/>
      <c r="P6686" s="159"/>
      <c r="Q6686" s="159"/>
      <c r="R6686" s="160"/>
      <c r="S6686" s="158"/>
      <c r="T6686" s="161"/>
      <c r="U6686" s="158"/>
      <c r="V6686" s="160"/>
    </row>
    <row r="6687" spans="5:22" x14ac:dyDescent="0.25">
      <c r="E6687" s="157"/>
      <c r="F6687" s="157"/>
      <c r="L6687" s="105"/>
      <c r="M6687" s="105"/>
      <c r="N6687" s="105"/>
      <c r="O6687" s="105"/>
      <c r="P6687" s="159"/>
      <c r="Q6687" s="159"/>
      <c r="R6687" s="160"/>
      <c r="S6687" s="158"/>
      <c r="T6687" s="161"/>
      <c r="U6687" s="158"/>
      <c r="V6687" s="160"/>
    </row>
    <row r="6688" spans="5:22" x14ac:dyDescent="0.25">
      <c r="E6688" s="157"/>
      <c r="F6688" s="157"/>
      <c r="L6688" s="105"/>
      <c r="M6688" s="105"/>
      <c r="N6688" s="105"/>
      <c r="O6688" s="105"/>
      <c r="P6688" s="159"/>
      <c r="Q6688" s="159"/>
      <c r="R6688" s="160"/>
      <c r="S6688" s="158"/>
      <c r="T6688" s="161"/>
      <c r="U6688" s="158"/>
      <c r="V6688" s="160"/>
    </row>
    <row r="6689" spans="5:22" x14ac:dyDescent="0.25">
      <c r="E6689" s="157"/>
      <c r="F6689" s="157"/>
      <c r="L6689" s="105"/>
      <c r="M6689" s="105"/>
      <c r="N6689" s="105"/>
      <c r="O6689" s="105"/>
      <c r="P6689" s="159"/>
      <c r="Q6689" s="159"/>
      <c r="R6689" s="160"/>
      <c r="S6689" s="158"/>
      <c r="T6689" s="161"/>
      <c r="U6689" s="158"/>
      <c r="V6689" s="160"/>
    </row>
    <row r="6690" spans="5:22" x14ac:dyDescent="0.25">
      <c r="E6690" s="157"/>
      <c r="F6690" s="157"/>
      <c r="L6690" s="105"/>
      <c r="M6690" s="105"/>
      <c r="N6690" s="105"/>
      <c r="O6690" s="105"/>
      <c r="P6690" s="159"/>
      <c r="Q6690" s="159"/>
      <c r="R6690" s="160"/>
      <c r="S6690" s="158"/>
      <c r="T6690" s="161"/>
      <c r="U6690" s="158"/>
      <c r="V6690" s="160"/>
    </row>
    <row r="6691" spans="5:22" x14ac:dyDescent="0.25">
      <c r="E6691" s="157"/>
      <c r="F6691" s="157"/>
      <c r="L6691" s="105"/>
      <c r="M6691" s="105"/>
      <c r="N6691" s="105"/>
      <c r="O6691" s="105"/>
      <c r="P6691" s="159"/>
      <c r="Q6691" s="159"/>
      <c r="R6691" s="160"/>
      <c r="S6691" s="158"/>
      <c r="T6691" s="161"/>
      <c r="U6691" s="158"/>
      <c r="V6691" s="160"/>
    </row>
    <row r="6692" spans="5:22" x14ac:dyDescent="0.25">
      <c r="E6692" s="157"/>
      <c r="F6692" s="157"/>
      <c r="L6692" s="105"/>
      <c r="M6692" s="105"/>
      <c r="N6692" s="105"/>
      <c r="O6692" s="105"/>
      <c r="P6692" s="159"/>
      <c r="Q6692" s="159"/>
      <c r="R6692" s="160"/>
      <c r="S6692" s="158"/>
      <c r="T6692" s="161"/>
      <c r="U6692" s="158"/>
      <c r="V6692" s="160"/>
    </row>
    <row r="6693" spans="5:22" x14ac:dyDescent="0.25">
      <c r="E6693" s="157"/>
      <c r="F6693" s="157"/>
      <c r="L6693" s="105"/>
      <c r="M6693" s="105"/>
      <c r="N6693" s="105"/>
      <c r="O6693" s="105"/>
      <c r="P6693" s="159"/>
      <c r="Q6693" s="159"/>
      <c r="R6693" s="160"/>
      <c r="S6693" s="158"/>
      <c r="T6693" s="161"/>
      <c r="U6693" s="158"/>
      <c r="V6693" s="160"/>
    </row>
    <row r="6694" spans="5:22" x14ac:dyDescent="0.25">
      <c r="E6694" s="157"/>
      <c r="F6694" s="157"/>
      <c r="L6694" s="105"/>
      <c r="M6694" s="105"/>
      <c r="N6694" s="105"/>
      <c r="O6694" s="105"/>
      <c r="P6694" s="159"/>
      <c r="Q6694" s="159"/>
      <c r="R6694" s="160"/>
      <c r="S6694" s="158"/>
      <c r="T6694" s="161"/>
      <c r="U6694" s="158"/>
      <c r="V6694" s="160"/>
    </row>
    <row r="6695" spans="5:22" x14ac:dyDescent="0.25">
      <c r="E6695" s="157"/>
      <c r="F6695" s="157"/>
      <c r="L6695" s="105"/>
      <c r="M6695" s="105"/>
      <c r="N6695" s="105"/>
      <c r="O6695" s="105"/>
      <c r="P6695" s="159"/>
      <c r="Q6695" s="159"/>
      <c r="R6695" s="160"/>
      <c r="S6695" s="158"/>
      <c r="T6695" s="161"/>
      <c r="U6695" s="158"/>
      <c r="V6695" s="160"/>
    </row>
    <row r="6696" spans="5:22" x14ac:dyDescent="0.25">
      <c r="E6696" s="157"/>
      <c r="F6696" s="157"/>
      <c r="L6696" s="105"/>
      <c r="M6696" s="105"/>
      <c r="N6696" s="105"/>
      <c r="O6696" s="105"/>
      <c r="P6696" s="159"/>
      <c r="Q6696" s="159"/>
      <c r="R6696" s="160"/>
      <c r="S6696" s="158"/>
      <c r="T6696" s="161"/>
      <c r="U6696" s="158"/>
      <c r="V6696" s="160"/>
    </row>
    <row r="6697" spans="5:22" x14ac:dyDescent="0.25">
      <c r="E6697" s="157"/>
      <c r="F6697" s="157"/>
      <c r="L6697" s="105"/>
      <c r="M6697" s="105"/>
      <c r="N6697" s="105"/>
      <c r="O6697" s="105"/>
      <c r="P6697" s="159"/>
      <c r="Q6697" s="159"/>
      <c r="R6697" s="160"/>
      <c r="S6697" s="158"/>
      <c r="T6697" s="161"/>
      <c r="U6697" s="158"/>
      <c r="V6697" s="160"/>
    </row>
    <row r="6698" spans="5:22" x14ac:dyDescent="0.25">
      <c r="E6698" s="157"/>
      <c r="F6698" s="157"/>
      <c r="L6698" s="105"/>
      <c r="M6698" s="105"/>
      <c r="N6698" s="105"/>
      <c r="O6698" s="105"/>
      <c r="P6698" s="159"/>
      <c r="Q6698" s="159"/>
      <c r="R6698" s="160"/>
      <c r="S6698" s="158"/>
      <c r="T6698" s="161"/>
      <c r="U6698" s="158"/>
      <c r="V6698" s="160"/>
    </row>
    <row r="6699" spans="5:22" x14ac:dyDescent="0.25">
      <c r="E6699" s="157"/>
      <c r="F6699" s="157"/>
      <c r="L6699" s="105"/>
      <c r="M6699" s="105"/>
      <c r="N6699" s="105"/>
      <c r="O6699" s="105"/>
      <c r="P6699" s="159"/>
      <c r="Q6699" s="159"/>
      <c r="R6699" s="160"/>
      <c r="S6699" s="158"/>
      <c r="T6699" s="161"/>
      <c r="U6699" s="158"/>
      <c r="V6699" s="160"/>
    </row>
    <row r="6700" spans="5:22" x14ac:dyDescent="0.25">
      <c r="E6700" s="157"/>
      <c r="F6700" s="157"/>
      <c r="L6700" s="105"/>
      <c r="M6700" s="105"/>
      <c r="N6700" s="105"/>
      <c r="O6700" s="105"/>
      <c r="P6700" s="159"/>
      <c r="Q6700" s="159"/>
      <c r="R6700" s="160"/>
      <c r="S6700" s="158"/>
      <c r="T6700" s="161"/>
      <c r="U6700" s="158"/>
      <c r="V6700" s="160"/>
    </row>
    <row r="6701" spans="5:22" x14ac:dyDescent="0.25">
      <c r="E6701" s="157"/>
      <c r="F6701" s="157"/>
      <c r="L6701" s="105"/>
      <c r="M6701" s="105"/>
      <c r="N6701" s="105"/>
      <c r="O6701" s="105"/>
      <c r="P6701" s="159"/>
      <c r="Q6701" s="159"/>
      <c r="R6701" s="160"/>
      <c r="S6701" s="158"/>
      <c r="T6701" s="161"/>
      <c r="U6701" s="158"/>
      <c r="V6701" s="160"/>
    </row>
    <row r="6702" spans="5:22" x14ac:dyDescent="0.25">
      <c r="E6702" s="157"/>
      <c r="F6702" s="162"/>
      <c r="L6702" s="105"/>
      <c r="M6702" s="105"/>
      <c r="N6702" s="105"/>
      <c r="O6702" s="105"/>
      <c r="P6702" s="159"/>
      <c r="Q6702" s="159"/>
      <c r="R6702" s="160"/>
      <c r="S6702" s="158"/>
      <c r="T6702" s="161"/>
      <c r="U6702" s="158"/>
      <c r="V6702" s="160"/>
    </row>
    <row r="6703" spans="5:22" x14ac:dyDescent="0.25">
      <c r="E6703" s="157"/>
      <c r="F6703" s="157"/>
      <c r="L6703" s="105"/>
      <c r="M6703" s="105"/>
      <c r="N6703" s="105"/>
      <c r="O6703" s="105"/>
      <c r="P6703" s="159"/>
      <c r="Q6703" s="159"/>
      <c r="R6703" s="160"/>
      <c r="S6703" s="158"/>
      <c r="T6703" s="161"/>
      <c r="U6703" s="158"/>
      <c r="V6703" s="160"/>
    </row>
    <row r="6704" spans="5:22" x14ac:dyDescent="0.25">
      <c r="E6704" s="157"/>
      <c r="F6704" s="157"/>
      <c r="L6704" s="105"/>
      <c r="M6704" s="105"/>
      <c r="N6704" s="105"/>
      <c r="O6704" s="105"/>
      <c r="P6704" s="159"/>
      <c r="Q6704" s="159"/>
      <c r="R6704" s="160"/>
      <c r="S6704" s="158"/>
      <c r="T6704" s="161"/>
      <c r="U6704" s="158"/>
      <c r="V6704" s="160"/>
    </row>
    <row r="6705" spans="5:22" x14ac:dyDescent="0.25">
      <c r="E6705" s="157"/>
      <c r="F6705" s="157"/>
      <c r="L6705" s="105"/>
      <c r="M6705" s="105"/>
      <c r="N6705" s="105"/>
      <c r="O6705" s="105"/>
      <c r="P6705" s="159"/>
      <c r="Q6705" s="159"/>
      <c r="R6705" s="160"/>
      <c r="S6705" s="158"/>
      <c r="T6705" s="161"/>
      <c r="U6705" s="158"/>
      <c r="V6705" s="160"/>
    </row>
    <row r="6706" spans="5:22" x14ac:dyDescent="0.25">
      <c r="E6706" s="157"/>
      <c r="F6706" s="157"/>
      <c r="L6706" s="105"/>
      <c r="M6706" s="105"/>
      <c r="N6706" s="105"/>
      <c r="O6706" s="105"/>
      <c r="P6706" s="159"/>
      <c r="Q6706" s="159"/>
      <c r="R6706" s="160"/>
      <c r="S6706" s="158"/>
      <c r="T6706" s="161"/>
      <c r="U6706" s="158"/>
      <c r="V6706" s="160"/>
    </row>
    <row r="6707" spans="5:22" x14ac:dyDescent="0.25">
      <c r="E6707" s="157"/>
      <c r="F6707" s="157"/>
      <c r="L6707" s="105"/>
      <c r="M6707" s="105"/>
      <c r="N6707" s="105"/>
      <c r="O6707" s="105"/>
      <c r="P6707" s="159"/>
      <c r="Q6707" s="159"/>
      <c r="R6707" s="160"/>
      <c r="S6707" s="158"/>
      <c r="T6707" s="161"/>
      <c r="U6707" s="158"/>
      <c r="V6707" s="160"/>
    </row>
    <row r="6708" spans="5:22" x14ac:dyDescent="0.25">
      <c r="E6708" s="157"/>
      <c r="F6708" s="157"/>
      <c r="L6708" s="105"/>
      <c r="M6708" s="105"/>
      <c r="N6708" s="105"/>
      <c r="O6708" s="105"/>
      <c r="P6708" s="159"/>
      <c r="Q6708" s="159"/>
      <c r="R6708" s="160"/>
      <c r="S6708" s="158"/>
      <c r="T6708" s="161"/>
      <c r="U6708" s="158"/>
      <c r="V6708" s="160"/>
    </row>
    <row r="6709" spans="5:22" x14ac:dyDescent="0.25">
      <c r="E6709" s="157"/>
      <c r="F6709" s="157"/>
      <c r="L6709" s="105"/>
      <c r="M6709" s="105"/>
      <c r="N6709" s="105"/>
      <c r="O6709" s="105"/>
      <c r="P6709" s="159"/>
      <c r="Q6709" s="159"/>
      <c r="R6709" s="160"/>
      <c r="S6709" s="158"/>
      <c r="T6709" s="161"/>
      <c r="U6709" s="158"/>
      <c r="V6709" s="160"/>
    </row>
    <row r="6710" spans="5:22" x14ac:dyDescent="0.25">
      <c r="E6710" s="157"/>
      <c r="F6710" s="157"/>
      <c r="L6710" s="105"/>
      <c r="M6710" s="105"/>
      <c r="N6710" s="105"/>
      <c r="O6710" s="105"/>
      <c r="P6710" s="159"/>
      <c r="Q6710" s="159"/>
      <c r="R6710" s="160"/>
      <c r="S6710" s="158"/>
      <c r="T6710" s="161"/>
      <c r="U6710" s="158"/>
      <c r="V6710" s="160"/>
    </row>
    <row r="6711" spans="5:22" x14ac:dyDescent="0.25">
      <c r="E6711" s="157"/>
      <c r="F6711" s="157"/>
      <c r="L6711" s="105"/>
      <c r="M6711" s="105"/>
      <c r="N6711" s="105"/>
      <c r="O6711" s="105"/>
      <c r="P6711" s="159"/>
      <c r="Q6711" s="159"/>
      <c r="R6711" s="160"/>
      <c r="S6711" s="158"/>
      <c r="T6711" s="161"/>
      <c r="U6711" s="158"/>
      <c r="V6711" s="160"/>
    </row>
    <row r="6712" spans="5:22" x14ac:dyDescent="0.25">
      <c r="E6712" s="157"/>
      <c r="F6712" s="157"/>
      <c r="L6712" s="105"/>
      <c r="M6712" s="105"/>
      <c r="N6712" s="105"/>
      <c r="O6712" s="105"/>
      <c r="P6712" s="159"/>
      <c r="Q6712" s="159"/>
      <c r="R6712" s="160"/>
      <c r="S6712" s="158"/>
      <c r="T6712" s="161"/>
      <c r="U6712" s="158"/>
      <c r="V6712" s="160"/>
    </row>
    <row r="6713" spans="5:22" x14ac:dyDescent="0.25">
      <c r="E6713" s="157"/>
      <c r="F6713" s="157"/>
      <c r="L6713" s="105"/>
      <c r="M6713" s="105"/>
      <c r="N6713" s="105"/>
      <c r="O6713" s="105"/>
      <c r="P6713" s="159"/>
      <c r="Q6713" s="159"/>
      <c r="R6713" s="160"/>
      <c r="S6713" s="158"/>
      <c r="T6713" s="161"/>
      <c r="U6713" s="158"/>
      <c r="V6713" s="160"/>
    </row>
    <row r="6714" spans="5:22" x14ac:dyDescent="0.25">
      <c r="E6714" s="157"/>
      <c r="F6714" s="157"/>
      <c r="L6714" s="105"/>
      <c r="M6714" s="105"/>
      <c r="N6714" s="105"/>
      <c r="O6714" s="105"/>
      <c r="P6714" s="159"/>
      <c r="Q6714" s="159"/>
      <c r="R6714" s="160"/>
      <c r="S6714" s="158"/>
      <c r="T6714" s="161"/>
      <c r="U6714" s="158"/>
      <c r="V6714" s="160"/>
    </row>
    <row r="6715" spans="5:22" x14ac:dyDescent="0.25">
      <c r="E6715" s="157"/>
      <c r="F6715" s="157"/>
      <c r="L6715" s="105"/>
      <c r="M6715" s="105"/>
      <c r="N6715" s="105"/>
      <c r="O6715" s="105"/>
      <c r="P6715" s="159"/>
      <c r="Q6715" s="159"/>
      <c r="R6715" s="160"/>
      <c r="S6715" s="158"/>
      <c r="T6715" s="161"/>
      <c r="U6715" s="158"/>
      <c r="V6715" s="160"/>
    </row>
    <row r="6716" spans="5:22" x14ac:dyDescent="0.25">
      <c r="E6716" s="157"/>
      <c r="F6716" s="157"/>
      <c r="L6716" s="105"/>
      <c r="M6716" s="105"/>
      <c r="N6716" s="105"/>
      <c r="O6716" s="105"/>
      <c r="P6716" s="159"/>
      <c r="Q6716" s="159"/>
      <c r="R6716" s="160"/>
      <c r="S6716" s="158"/>
      <c r="T6716" s="161"/>
      <c r="U6716" s="158"/>
      <c r="V6716" s="160"/>
    </row>
    <row r="6717" spans="5:22" x14ac:dyDescent="0.25">
      <c r="E6717" s="157"/>
      <c r="F6717" s="157"/>
      <c r="L6717" s="105"/>
      <c r="M6717" s="105"/>
      <c r="N6717" s="105"/>
      <c r="O6717" s="105"/>
      <c r="P6717" s="159"/>
      <c r="Q6717" s="159"/>
      <c r="R6717" s="160"/>
      <c r="S6717" s="158"/>
      <c r="T6717" s="161"/>
      <c r="U6717" s="158"/>
      <c r="V6717" s="160"/>
    </row>
    <row r="6718" spans="5:22" x14ac:dyDescent="0.25">
      <c r="E6718" s="157"/>
      <c r="F6718" s="157"/>
      <c r="L6718" s="105"/>
      <c r="M6718" s="105"/>
      <c r="N6718" s="105"/>
      <c r="O6718" s="105"/>
      <c r="P6718" s="159"/>
      <c r="Q6718" s="159"/>
      <c r="R6718" s="160"/>
      <c r="S6718" s="158"/>
      <c r="T6718" s="161"/>
      <c r="U6718" s="158"/>
      <c r="V6718" s="160"/>
    </row>
    <row r="6719" spans="5:22" x14ac:dyDescent="0.25">
      <c r="E6719" s="157"/>
      <c r="F6719" s="157"/>
      <c r="L6719" s="105"/>
      <c r="M6719" s="105"/>
      <c r="N6719" s="105"/>
      <c r="O6719" s="105"/>
      <c r="P6719" s="159"/>
      <c r="Q6719" s="159"/>
      <c r="R6719" s="160"/>
      <c r="S6719" s="158"/>
      <c r="T6719" s="161"/>
      <c r="U6719" s="158"/>
      <c r="V6719" s="160"/>
    </row>
    <row r="6720" spans="5:22" x14ac:dyDescent="0.25">
      <c r="E6720" s="157"/>
      <c r="F6720" s="157"/>
      <c r="L6720" s="105"/>
      <c r="M6720" s="105"/>
      <c r="N6720" s="105"/>
      <c r="O6720" s="105"/>
      <c r="P6720" s="159"/>
      <c r="Q6720" s="159"/>
      <c r="R6720" s="160"/>
      <c r="S6720" s="158"/>
      <c r="T6720" s="161"/>
      <c r="U6720" s="158"/>
      <c r="V6720" s="160"/>
    </row>
    <row r="6721" spans="5:22" x14ac:dyDescent="0.25">
      <c r="E6721" s="157"/>
      <c r="F6721" s="157"/>
      <c r="L6721" s="105"/>
      <c r="M6721" s="105"/>
      <c r="N6721" s="105"/>
      <c r="O6721" s="105"/>
      <c r="P6721" s="159"/>
      <c r="Q6721" s="159"/>
      <c r="R6721" s="160"/>
      <c r="S6721" s="158"/>
      <c r="T6721" s="161"/>
      <c r="U6721" s="158"/>
      <c r="V6721" s="160"/>
    </row>
    <row r="6722" spans="5:22" x14ac:dyDescent="0.25">
      <c r="E6722" s="157"/>
      <c r="F6722" s="157"/>
      <c r="L6722" s="105"/>
      <c r="M6722" s="105"/>
      <c r="N6722" s="105"/>
      <c r="O6722" s="105"/>
      <c r="P6722" s="159"/>
      <c r="Q6722" s="159"/>
      <c r="R6722" s="160"/>
      <c r="S6722" s="158"/>
      <c r="T6722" s="161"/>
      <c r="U6722" s="158"/>
      <c r="V6722" s="160"/>
    </row>
    <row r="6723" spans="5:22" x14ac:dyDescent="0.25">
      <c r="E6723" s="157"/>
      <c r="F6723" s="157"/>
      <c r="L6723" s="105"/>
      <c r="M6723" s="105"/>
      <c r="N6723" s="105"/>
      <c r="O6723" s="105"/>
      <c r="P6723" s="159"/>
      <c r="Q6723" s="159"/>
      <c r="R6723" s="160"/>
      <c r="S6723" s="158"/>
      <c r="T6723" s="161"/>
      <c r="U6723" s="158"/>
      <c r="V6723" s="160"/>
    </row>
    <row r="6724" spans="5:22" x14ac:dyDescent="0.25">
      <c r="E6724" s="157"/>
      <c r="F6724" s="157"/>
      <c r="L6724" s="105"/>
      <c r="M6724" s="105"/>
      <c r="N6724" s="105"/>
      <c r="O6724" s="105"/>
      <c r="P6724" s="159"/>
      <c r="Q6724" s="159"/>
      <c r="R6724" s="160"/>
      <c r="S6724" s="158"/>
      <c r="T6724" s="161"/>
      <c r="U6724" s="158"/>
      <c r="V6724" s="160"/>
    </row>
    <row r="6725" spans="5:22" x14ac:dyDescent="0.25">
      <c r="E6725" s="157"/>
      <c r="F6725" s="157"/>
      <c r="L6725" s="105"/>
      <c r="M6725" s="105"/>
      <c r="N6725" s="105"/>
      <c r="O6725" s="105"/>
      <c r="P6725" s="159"/>
      <c r="Q6725" s="159"/>
      <c r="R6725" s="160"/>
      <c r="S6725" s="158"/>
      <c r="T6725" s="161"/>
      <c r="U6725" s="158"/>
      <c r="V6725" s="160"/>
    </row>
    <row r="6726" spans="5:22" x14ac:dyDescent="0.25">
      <c r="E6726" s="157"/>
      <c r="F6726" s="157"/>
      <c r="L6726" s="105"/>
      <c r="M6726" s="105"/>
      <c r="N6726" s="105"/>
      <c r="O6726" s="105"/>
      <c r="P6726" s="159"/>
      <c r="Q6726" s="159"/>
      <c r="R6726" s="160"/>
      <c r="S6726" s="158"/>
      <c r="T6726" s="161"/>
      <c r="U6726" s="158"/>
      <c r="V6726" s="160"/>
    </row>
    <row r="6727" spans="5:22" x14ac:dyDescent="0.25">
      <c r="E6727" s="157"/>
      <c r="F6727" s="157"/>
      <c r="L6727" s="105"/>
      <c r="M6727" s="105"/>
      <c r="N6727" s="105"/>
      <c r="O6727" s="105"/>
      <c r="P6727" s="159"/>
      <c r="Q6727" s="159"/>
      <c r="R6727" s="160"/>
      <c r="S6727" s="158"/>
      <c r="T6727" s="161"/>
      <c r="U6727" s="158"/>
      <c r="V6727" s="160"/>
    </row>
    <row r="6728" spans="5:22" x14ac:dyDescent="0.25">
      <c r="E6728" s="157"/>
      <c r="F6728" s="157"/>
      <c r="L6728" s="105"/>
      <c r="M6728" s="105"/>
      <c r="N6728" s="105"/>
      <c r="O6728" s="105"/>
      <c r="P6728" s="159"/>
      <c r="Q6728" s="159"/>
      <c r="R6728" s="160"/>
      <c r="S6728" s="158"/>
      <c r="T6728" s="161"/>
      <c r="U6728" s="158"/>
      <c r="V6728" s="160"/>
    </row>
    <row r="6729" spans="5:22" x14ac:dyDescent="0.25">
      <c r="E6729" s="157"/>
      <c r="F6729" s="157"/>
      <c r="L6729" s="105"/>
      <c r="M6729" s="105"/>
      <c r="N6729" s="105"/>
      <c r="O6729" s="105"/>
      <c r="P6729" s="159"/>
      <c r="Q6729" s="159"/>
      <c r="R6729" s="160"/>
      <c r="S6729" s="158"/>
      <c r="T6729" s="161"/>
      <c r="U6729" s="158"/>
      <c r="V6729" s="160"/>
    </row>
    <row r="6730" spans="5:22" x14ac:dyDescent="0.25">
      <c r="E6730" s="157"/>
      <c r="F6730" s="157"/>
      <c r="L6730" s="105"/>
      <c r="M6730" s="105"/>
      <c r="N6730" s="105"/>
      <c r="O6730" s="105"/>
      <c r="P6730" s="159"/>
      <c r="Q6730" s="159"/>
      <c r="R6730" s="160"/>
      <c r="S6730" s="158"/>
      <c r="T6730" s="161"/>
      <c r="U6730" s="158"/>
      <c r="V6730" s="160"/>
    </row>
    <row r="6731" spans="5:22" x14ac:dyDescent="0.25">
      <c r="E6731" s="157"/>
      <c r="F6731" s="157"/>
      <c r="L6731" s="105"/>
      <c r="M6731" s="105"/>
      <c r="N6731" s="105"/>
      <c r="O6731" s="105"/>
      <c r="P6731" s="159"/>
      <c r="Q6731" s="159"/>
      <c r="R6731" s="160"/>
      <c r="S6731" s="158"/>
      <c r="T6731" s="161"/>
      <c r="U6731" s="158"/>
      <c r="V6731" s="160"/>
    </row>
    <row r="6732" spans="5:22" x14ac:dyDescent="0.25">
      <c r="E6732" s="157"/>
      <c r="F6732" s="157"/>
      <c r="L6732" s="105"/>
      <c r="M6732" s="105"/>
      <c r="N6732" s="105"/>
      <c r="O6732" s="105"/>
      <c r="P6732" s="159"/>
      <c r="Q6732" s="159"/>
      <c r="R6732" s="160"/>
      <c r="S6732" s="158"/>
      <c r="T6732" s="161"/>
      <c r="U6732" s="158"/>
      <c r="V6732" s="160"/>
    </row>
    <row r="6733" spans="5:22" x14ac:dyDescent="0.25">
      <c r="E6733" s="157"/>
      <c r="F6733" s="157"/>
      <c r="L6733" s="105"/>
      <c r="M6733" s="105"/>
      <c r="N6733" s="105"/>
      <c r="O6733" s="105"/>
      <c r="P6733" s="159"/>
      <c r="Q6733" s="159"/>
      <c r="R6733" s="160"/>
      <c r="S6733" s="158"/>
      <c r="T6733" s="161"/>
      <c r="U6733" s="158"/>
      <c r="V6733" s="160"/>
    </row>
    <row r="6734" spans="5:22" x14ac:dyDescent="0.25">
      <c r="E6734" s="157"/>
      <c r="F6734" s="157"/>
      <c r="L6734" s="105"/>
      <c r="M6734" s="105"/>
      <c r="N6734" s="105"/>
      <c r="O6734" s="105"/>
      <c r="P6734" s="159"/>
      <c r="Q6734" s="159"/>
      <c r="R6734" s="160"/>
      <c r="S6734" s="158"/>
      <c r="T6734" s="161"/>
      <c r="U6734" s="158"/>
      <c r="V6734" s="160"/>
    </row>
    <row r="6735" spans="5:22" x14ac:dyDescent="0.25">
      <c r="E6735" s="157"/>
      <c r="F6735" s="157"/>
      <c r="L6735" s="105"/>
      <c r="M6735" s="105"/>
      <c r="N6735" s="105"/>
      <c r="O6735" s="105"/>
      <c r="P6735" s="159"/>
      <c r="Q6735" s="159"/>
      <c r="R6735" s="160"/>
      <c r="S6735" s="158"/>
      <c r="T6735" s="161"/>
      <c r="U6735" s="158"/>
      <c r="V6735" s="160"/>
    </row>
    <row r="6736" spans="5:22" x14ac:dyDescent="0.25">
      <c r="E6736" s="157"/>
      <c r="F6736" s="157"/>
      <c r="L6736" s="105"/>
      <c r="M6736" s="105"/>
      <c r="N6736" s="105"/>
      <c r="O6736" s="105"/>
      <c r="P6736" s="159"/>
      <c r="Q6736" s="159"/>
      <c r="R6736" s="160"/>
      <c r="S6736" s="158"/>
      <c r="T6736" s="161"/>
      <c r="U6736" s="158"/>
      <c r="V6736" s="160"/>
    </row>
    <row r="6737" spans="5:22" x14ac:dyDescent="0.25">
      <c r="E6737" s="157"/>
      <c r="F6737" s="157"/>
      <c r="L6737" s="105"/>
      <c r="M6737" s="105"/>
      <c r="N6737" s="105"/>
      <c r="O6737" s="105"/>
      <c r="P6737" s="159"/>
      <c r="Q6737" s="159"/>
      <c r="R6737" s="160"/>
      <c r="S6737" s="158"/>
      <c r="T6737" s="161"/>
      <c r="U6737" s="158"/>
      <c r="V6737" s="160"/>
    </row>
    <row r="6738" spans="5:22" x14ac:dyDescent="0.25">
      <c r="E6738" s="157"/>
      <c r="F6738" s="157"/>
      <c r="L6738" s="105"/>
      <c r="M6738" s="105"/>
      <c r="N6738" s="105"/>
      <c r="O6738" s="105"/>
      <c r="P6738" s="159"/>
      <c r="Q6738" s="159"/>
      <c r="R6738" s="160"/>
      <c r="S6738" s="158"/>
      <c r="T6738" s="161"/>
      <c r="U6738" s="158"/>
      <c r="V6738" s="160"/>
    </row>
    <row r="6739" spans="5:22" x14ac:dyDescent="0.25">
      <c r="E6739" s="157"/>
      <c r="F6739" s="157"/>
      <c r="L6739" s="105"/>
      <c r="M6739" s="105"/>
      <c r="N6739" s="105"/>
      <c r="O6739" s="105"/>
      <c r="P6739" s="159"/>
      <c r="Q6739" s="159"/>
      <c r="R6739" s="160"/>
      <c r="S6739" s="158"/>
      <c r="T6739" s="161"/>
      <c r="U6739" s="158"/>
      <c r="V6739" s="160"/>
    </row>
    <row r="6740" spans="5:22" x14ac:dyDescent="0.25">
      <c r="E6740" s="157"/>
      <c r="F6740" s="157"/>
      <c r="L6740" s="105"/>
      <c r="M6740" s="105"/>
      <c r="N6740" s="105"/>
      <c r="O6740" s="105"/>
      <c r="P6740" s="159"/>
      <c r="Q6740" s="159"/>
      <c r="R6740" s="160"/>
      <c r="S6740" s="158"/>
      <c r="T6740" s="161"/>
      <c r="U6740" s="158"/>
      <c r="V6740" s="160"/>
    </row>
    <row r="6741" spans="5:22" x14ac:dyDescent="0.25">
      <c r="E6741" s="157"/>
      <c r="F6741" s="157"/>
      <c r="L6741" s="105"/>
      <c r="M6741" s="105"/>
      <c r="N6741" s="105"/>
      <c r="O6741" s="105"/>
      <c r="P6741" s="159"/>
      <c r="Q6741" s="159"/>
      <c r="R6741" s="160"/>
      <c r="S6741" s="158"/>
      <c r="T6741" s="161"/>
      <c r="U6741" s="158"/>
      <c r="V6741" s="160"/>
    </row>
    <row r="6742" spans="5:22" x14ac:dyDescent="0.25">
      <c r="E6742" s="157"/>
      <c r="F6742" s="157"/>
      <c r="L6742" s="105"/>
      <c r="M6742" s="105"/>
      <c r="N6742" s="105"/>
      <c r="O6742" s="105"/>
      <c r="P6742" s="159"/>
      <c r="Q6742" s="159"/>
      <c r="R6742" s="160"/>
      <c r="S6742" s="158"/>
      <c r="T6742" s="161"/>
      <c r="U6742" s="158"/>
      <c r="V6742" s="160"/>
    </row>
    <row r="6743" spans="5:22" x14ac:dyDescent="0.25">
      <c r="E6743" s="157"/>
      <c r="F6743" s="157"/>
      <c r="L6743" s="105"/>
      <c r="M6743" s="105"/>
      <c r="N6743" s="105"/>
      <c r="O6743" s="105"/>
      <c r="P6743" s="159"/>
      <c r="Q6743" s="159"/>
      <c r="R6743" s="160"/>
      <c r="S6743" s="158"/>
      <c r="T6743" s="161"/>
      <c r="U6743" s="158"/>
      <c r="V6743" s="160"/>
    </row>
    <row r="6744" spans="5:22" x14ac:dyDescent="0.25">
      <c r="E6744" s="157"/>
      <c r="F6744" s="157"/>
      <c r="L6744" s="105"/>
      <c r="M6744" s="105"/>
      <c r="N6744" s="105"/>
      <c r="O6744" s="105"/>
      <c r="P6744" s="159"/>
      <c r="Q6744" s="159"/>
      <c r="R6744" s="160"/>
      <c r="S6744" s="158"/>
      <c r="T6744" s="161"/>
      <c r="U6744" s="158"/>
      <c r="V6744" s="160"/>
    </row>
    <row r="6745" spans="5:22" x14ac:dyDescent="0.25">
      <c r="E6745" s="157"/>
      <c r="F6745" s="157"/>
      <c r="L6745" s="105"/>
      <c r="M6745" s="105"/>
      <c r="N6745" s="105"/>
      <c r="O6745" s="105"/>
      <c r="P6745" s="159"/>
      <c r="Q6745" s="159"/>
      <c r="R6745" s="160"/>
      <c r="S6745" s="158"/>
      <c r="T6745" s="161"/>
      <c r="U6745" s="158"/>
      <c r="V6745" s="160"/>
    </row>
    <row r="6746" spans="5:22" x14ac:dyDescent="0.25">
      <c r="E6746" s="157"/>
      <c r="F6746" s="157"/>
      <c r="L6746" s="105"/>
      <c r="M6746" s="105"/>
      <c r="N6746" s="105"/>
      <c r="O6746" s="105"/>
      <c r="P6746" s="159"/>
      <c r="Q6746" s="159"/>
      <c r="R6746" s="160"/>
      <c r="S6746" s="158"/>
      <c r="T6746" s="161"/>
      <c r="U6746" s="158"/>
      <c r="V6746" s="160"/>
    </row>
    <row r="6747" spans="5:22" x14ac:dyDescent="0.25">
      <c r="E6747" s="157"/>
      <c r="F6747" s="157"/>
      <c r="L6747" s="105"/>
      <c r="M6747" s="105"/>
      <c r="N6747" s="105"/>
      <c r="O6747" s="105"/>
      <c r="P6747" s="159"/>
      <c r="Q6747" s="159"/>
      <c r="R6747" s="160"/>
      <c r="S6747" s="158"/>
      <c r="T6747" s="161"/>
      <c r="U6747" s="158"/>
      <c r="V6747" s="160"/>
    </row>
    <row r="6748" spans="5:22" x14ac:dyDescent="0.25">
      <c r="E6748" s="157"/>
      <c r="F6748" s="157"/>
      <c r="L6748" s="105"/>
      <c r="M6748" s="105"/>
      <c r="N6748" s="105"/>
      <c r="O6748" s="105"/>
      <c r="P6748" s="159"/>
      <c r="Q6748" s="159"/>
      <c r="R6748" s="160"/>
      <c r="S6748" s="158"/>
      <c r="T6748" s="161"/>
      <c r="U6748" s="158"/>
      <c r="V6748" s="160"/>
    </row>
    <row r="6749" spans="5:22" x14ac:dyDescent="0.25">
      <c r="E6749" s="157"/>
      <c r="F6749" s="157"/>
      <c r="L6749" s="105"/>
      <c r="M6749" s="105"/>
      <c r="N6749" s="105"/>
      <c r="O6749" s="105"/>
      <c r="P6749" s="159"/>
      <c r="Q6749" s="159"/>
      <c r="R6749" s="160"/>
      <c r="S6749" s="158"/>
      <c r="T6749" s="161"/>
      <c r="U6749" s="158"/>
      <c r="V6749" s="160"/>
    </row>
    <row r="6750" spans="5:22" x14ac:dyDescent="0.25">
      <c r="E6750" s="157"/>
      <c r="F6750" s="157"/>
      <c r="L6750" s="105"/>
      <c r="M6750" s="105"/>
      <c r="N6750" s="105"/>
      <c r="O6750" s="105"/>
      <c r="P6750" s="159"/>
      <c r="Q6750" s="159"/>
      <c r="R6750" s="160"/>
      <c r="S6750" s="158"/>
      <c r="T6750" s="161"/>
      <c r="U6750" s="158"/>
      <c r="V6750" s="160"/>
    </row>
    <row r="6751" spans="5:22" x14ac:dyDescent="0.25">
      <c r="E6751" s="157"/>
      <c r="F6751" s="157"/>
      <c r="L6751" s="105"/>
      <c r="M6751" s="105"/>
      <c r="N6751" s="105"/>
      <c r="O6751" s="105"/>
      <c r="P6751" s="159"/>
      <c r="Q6751" s="159"/>
      <c r="R6751" s="160"/>
      <c r="S6751" s="158"/>
      <c r="T6751" s="161"/>
      <c r="U6751" s="158"/>
      <c r="V6751" s="160"/>
    </row>
    <row r="6752" spans="5:22" x14ac:dyDescent="0.25">
      <c r="E6752" s="157"/>
      <c r="F6752" s="157"/>
      <c r="L6752" s="105"/>
      <c r="M6752" s="105"/>
      <c r="N6752" s="105"/>
      <c r="O6752" s="105"/>
      <c r="P6752" s="159"/>
      <c r="Q6752" s="159"/>
      <c r="R6752" s="160"/>
      <c r="S6752" s="158"/>
      <c r="T6752" s="161"/>
      <c r="U6752" s="158"/>
      <c r="V6752" s="160"/>
    </row>
    <row r="6753" spans="5:22" x14ac:dyDescent="0.25">
      <c r="E6753" s="157"/>
      <c r="F6753" s="157"/>
      <c r="L6753" s="105"/>
      <c r="M6753" s="105"/>
      <c r="N6753" s="105"/>
      <c r="O6753" s="105"/>
      <c r="P6753" s="159"/>
      <c r="Q6753" s="159"/>
      <c r="R6753" s="160"/>
      <c r="S6753" s="158"/>
      <c r="T6753" s="161"/>
      <c r="U6753" s="158"/>
      <c r="V6753" s="160"/>
    </row>
    <row r="6754" spans="5:22" x14ac:dyDescent="0.25">
      <c r="E6754" s="157"/>
      <c r="F6754" s="157"/>
      <c r="L6754" s="105"/>
      <c r="M6754" s="105"/>
      <c r="N6754" s="105"/>
      <c r="O6754" s="105"/>
      <c r="P6754" s="159"/>
      <c r="Q6754" s="159"/>
      <c r="R6754" s="160"/>
      <c r="S6754" s="158"/>
      <c r="T6754" s="161"/>
      <c r="U6754" s="158"/>
      <c r="V6754" s="160"/>
    </row>
    <row r="6755" spans="5:22" x14ac:dyDescent="0.25">
      <c r="E6755" s="157"/>
      <c r="F6755" s="157"/>
      <c r="L6755" s="105"/>
      <c r="M6755" s="105"/>
      <c r="N6755" s="105"/>
      <c r="O6755" s="105"/>
      <c r="P6755" s="159"/>
      <c r="Q6755" s="159"/>
      <c r="R6755" s="160"/>
      <c r="S6755" s="158"/>
      <c r="T6755" s="161"/>
      <c r="U6755" s="158"/>
      <c r="V6755" s="160"/>
    </row>
    <row r="6756" spans="5:22" x14ac:dyDescent="0.25">
      <c r="E6756" s="157"/>
      <c r="F6756" s="157"/>
      <c r="L6756" s="105"/>
      <c r="M6756" s="105"/>
      <c r="N6756" s="105"/>
      <c r="O6756" s="105"/>
      <c r="P6756" s="159"/>
      <c r="Q6756" s="159"/>
      <c r="R6756" s="160"/>
      <c r="S6756" s="158"/>
      <c r="T6756" s="161"/>
      <c r="U6756" s="158"/>
      <c r="V6756" s="160"/>
    </row>
    <row r="6757" spans="5:22" x14ac:dyDescent="0.25">
      <c r="E6757" s="157"/>
      <c r="F6757" s="157"/>
      <c r="L6757" s="105"/>
      <c r="M6757" s="105"/>
      <c r="N6757" s="105"/>
      <c r="O6757" s="105"/>
      <c r="P6757" s="159"/>
      <c r="Q6757" s="159"/>
      <c r="R6757" s="160"/>
      <c r="S6757" s="158"/>
      <c r="T6757" s="161"/>
      <c r="U6757" s="158"/>
      <c r="V6757" s="160"/>
    </row>
    <row r="6758" spans="5:22" x14ac:dyDescent="0.25">
      <c r="E6758" s="157"/>
      <c r="F6758" s="157"/>
      <c r="L6758" s="105"/>
      <c r="M6758" s="105"/>
      <c r="N6758" s="105"/>
      <c r="O6758" s="105"/>
      <c r="P6758" s="159"/>
      <c r="Q6758" s="159"/>
      <c r="R6758" s="160"/>
      <c r="S6758" s="158"/>
      <c r="T6758" s="161"/>
      <c r="U6758" s="158"/>
      <c r="V6758" s="160"/>
    </row>
    <row r="6759" spans="5:22" x14ac:dyDescent="0.25">
      <c r="E6759" s="157"/>
      <c r="F6759" s="157"/>
      <c r="L6759" s="105"/>
      <c r="M6759" s="105"/>
      <c r="N6759" s="105"/>
      <c r="O6759" s="105"/>
      <c r="P6759" s="159"/>
      <c r="Q6759" s="159"/>
      <c r="R6759" s="160"/>
      <c r="S6759" s="158"/>
      <c r="T6759" s="161"/>
      <c r="U6759" s="158"/>
      <c r="V6759" s="160"/>
    </row>
    <row r="6760" spans="5:22" x14ac:dyDescent="0.25">
      <c r="E6760" s="157"/>
      <c r="F6760" s="157"/>
      <c r="L6760" s="105"/>
      <c r="M6760" s="105"/>
      <c r="N6760" s="105"/>
      <c r="O6760" s="105"/>
      <c r="P6760" s="159"/>
      <c r="Q6760" s="159"/>
      <c r="R6760" s="160"/>
      <c r="S6760" s="158"/>
      <c r="T6760" s="161"/>
      <c r="U6760" s="158"/>
      <c r="V6760" s="160"/>
    </row>
    <row r="6761" spans="5:22" x14ac:dyDescent="0.25">
      <c r="E6761" s="157"/>
      <c r="F6761" s="157"/>
      <c r="L6761" s="105"/>
      <c r="M6761" s="105"/>
      <c r="N6761" s="105"/>
      <c r="O6761" s="105"/>
      <c r="P6761" s="159"/>
      <c r="Q6761" s="159"/>
      <c r="R6761" s="160"/>
      <c r="S6761" s="158"/>
      <c r="T6761" s="161"/>
      <c r="U6761" s="158"/>
      <c r="V6761" s="160"/>
    </row>
    <row r="6762" spans="5:22" x14ac:dyDescent="0.25">
      <c r="E6762" s="157"/>
      <c r="F6762" s="157"/>
      <c r="L6762" s="105"/>
      <c r="M6762" s="105"/>
      <c r="N6762" s="105"/>
      <c r="O6762" s="105"/>
      <c r="P6762" s="159"/>
      <c r="Q6762" s="159"/>
      <c r="R6762" s="160"/>
      <c r="S6762" s="158"/>
      <c r="T6762" s="161"/>
      <c r="U6762" s="158"/>
      <c r="V6762" s="160"/>
    </row>
    <row r="6763" spans="5:22" x14ac:dyDescent="0.25">
      <c r="E6763" s="157"/>
      <c r="F6763" s="157"/>
      <c r="L6763" s="105"/>
      <c r="M6763" s="105"/>
      <c r="N6763" s="105"/>
      <c r="O6763" s="105"/>
      <c r="P6763" s="159"/>
      <c r="Q6763" s="159"/>
      <c r="R6763" s="160"/>
      <c r="S6763" s="158"/>
      <c r="T6763" s="161"/>
      <c r="U6763" s="158"/>
      <c r="V6763" s="160"/>
    </row>
    <row r="6764" spans="5:22" x14ac:dyDescent="0.25">
      <c r="E6764" s="157"/>
      <c r="F6764" s="157"/>
      <c r="L6764" s="105"/>
      <c r="M6764" s="105"/>
      <c r="N6764" s="105"/>
      <c r="O6764" s="105"/>
      <c r="P6764" s="159"/>
      <c r="Q6764" s="159"/>
      <c r="R6764" s="160"/>
      <c r="S6764" s="158"/>
      <c r="T6764" s="161"/>
      <c r="U6764" s="158"/>
      <c r="V6764" s="160"/>
    </row>
    <row r="6765" spans="5:22" x14ac:dyDescent="0.25">
      <c r="E6765" s="157"/>
      <c r="F6765" s="157"/>
      <c r="L6765" s="105"/>
      <c r="M6765" s="105"/>
      <c r="N6765" s="105"/>
      <c r="O6765" s="105"/>
      <c r="P6765" s="159"/>
      <c r="Q6765" s="159"/>
      <c r="R6765" s="160"/>
      <c r="S6765" s="158"/>
      <c r="T6765" s="161"/>
      <c r="U6765" s="158"/>
      <c r="V6765" s="160"/>
    </row>
    <row r="6766" spans="5:22" x14ac:dyDescent="0.25">
      <c r="E6766" s="157"/>
      <c r="F6766" s="157"/>
      <c r="L6766" s="105"/>
      <c r="M6766" s="105"/>
      <c r="N6766" s="105"/>
      <c r="O6766" s="105"/>
      <c r="P6766" s="159"/>
      <c r="Q6766" s="159"/>
      <c r="R6766" s="160"/>
      <c r="S6766" s="158"/>
      <c r="T6766" s="161"/>
      <c r="U6766" s="158"/>
      <c r="V6766" s="160"/>
    </row>
    <row r="6767" spans="5:22" x14ac:dyDescent="0.25">
      <c r="E6767" s="157"/>
      <c r="F6767" s="157"/>
      <c r="L6767" s="105"/>
      <c r="M6767" s="105"/>
      <c r="N6767" s="105"/>
      <c r="O6767" s="105"/>
      <c r="P6767" s="159"/>
      <c r="Q6767" s="159"/>
      <c r="R6767" s="160"/>
      <c r="S6767" s="158"/>
      <c r="T6767" s="161"/>
      <c r="U6767" s="158"/>
      <c r="V6767" s="160"/>
    </row>
    <row r="6768" spans="5:22" x14ac:dyDescent="0.25">
      <c r="E6768" s="157"/>
      <c r="F6768" s="157"/>
      <c r="L6768" s="105"/>
      <c r="M6768" s="105"/>
      <c r="N6768" s="105"/>
      <c r="O6768" s="105"/>
      <c r="P6768" s="159"/>
      <c r="Q6768" s="159"/>
      <c r="R6768" s="160"/>
      <c r="S6768" s="158"/>
      <c r="T6768" s="161"/>
      <c r="U6768" s="158"/>
      <c r="V6768" s="160"/>
    </row>
    <row r="6769" spans="5:22" x14ac:dyDescent="0.25">
      <c r="E6769" s="157"/>
      <c r="F6769" s="157"/>
      <c r="L6769" s="105"/>
      <c r="M6769" s="105"/>
      <c r="N6769" s="105"/>
      <c r="O6769" s="105"/>
      <c r="P6769" s="159"/>
      <c r="Q6769" s="159"/>
      <c r="R6769" s="160"/>
      <c r="S6769" s="158"/>
      <c r="T6769" s="161"/>
      <c r="U6769" s="158"/>
      <c r="V6769" s="160"/>
    </row>
    <row r="6770" spans="5:22" x14ac:dyDescent="0.25">
      <c r="E6770" s="157"/>
      <c r="F6770" s="157"/>
      <c r="L6770" s="105"/>
      <c r="M6770" s="105"/>
      <c r="N6770" s="105"/>
      <c r="O6770" s="105"/>
      <c r="P6770" s="159"/>
      <c r="Q6770" s="159"/>
      <c r="R6770" s="160"/>
      <c r="S6770" s="158"/>
      <c r="T6770" s="161"/>
      <c r="U6770" s="158"/>
      <c r="V6770" s="160"/>
    </row>
    <row r="6771" spans="5:22" x14ac:dyDescent="0.25">
      <c r="E6771" s="157"/>
      <c r="F6771" s="157"/>
      <c r="L6771" s="105"/>
      <c r="M6771" s="105"/>
      <c r="N6771" s="105"/>
      <c r="O6771" s="105"/>
      <c r="P6771" s="159"/>
      <c r="Q6771" s="159"/>
      <c r="R6771" s="160"/>
      <c r="S6771" s="158"/>
      <c r="T6771" s="161"/>
      <c r="U6771" s="158"/>
      <c r="V6771" s="160"/>
    </row>
    <row r="6772" spans="5:22" x14ac:dyDescent="0.25">
      <c r="E6772" s="157"/>
      <c r="F6772" s="157"/>
      <c r="L6772" s="105"/>
      <c r="M6772" s="105"/>
      <c r="N6772" s="105"/>
      <c r="O6772" s="105"/>
      <c r="P6772" s="159"/>
      <c r="Q6772" s="159"/>
      <c r="R6772" s="160"/>
      <c r="S6772" s="158"/>
      <c r="T6772" s="161"/>
      <c r="U6772" s="158"/>
      <c r="V6772" s="160"/>
    </row>
    <row r="6773" spans="5:22" x14ac:dyDescent="0.25">
      <c r="E6773" s="157"/>
      <c r="F6773" s="157"/>
      <c r="L6773" s="105"/>
      <c r="M6773" s="105"/>
      <c r="N6773" s="105"/>
      <c r="O6773" s="105"/>
      <c r="P6773" s="159"/>
      <c r="Q6773" s="159"/>
      <c r="R6773" s="160"/>
      <c r="S6773" s="158"/>
      <c r="T6773" s="161"/>
      <c r="U6773" s="158"/>
      <c r="V6773" s="160"/>
    </row>
    <row r="6774" spans="5:22" x14ac:dyDescent="0.25">
      <c r="E6774" s="157"/>
      <c r="F6774" s="157"/>
      <c r="L6774" s="105"/>
      <c r="M6774" s="105"/>
      <c r="N6774" s="105"/>
      <c r="O6774" s="105"/>
      <c r="P6774" s="159"/>
      <c r="Q6774" s="159"/>
      <c r="R6774" s="160"/>
      <c r="S6774" s="158"/>
      <c r="T6774" s="161"/>
      <c r="U6774" s="158"/>
      <c r="V6774" s="160"/>
    </row>
    <row r="6775" spans="5:22" x14ac:dyDescent="0.25">
      <c r="E6775" s="157"/>
      <c r="F6775" s="157"/>
      <c r="L6775" s="105"/>
      <c r="M6775" s="105"/>
      <c r="N6775" s="105"/>
      <c r="O6775" s="105"/>
      <c r="P6775" s="159"/>
      <c r="Q6775" s="159"/>
      <c r="R6775" s="160"/>
      <c r="S6775" s="158"/>
      <c r="T6775" s="161"/>
      <c r="U6775" s="158"/>
      <c r="V6775" s="160"/>
    </row>
    <row r="6776" spans="5:22" x14ac:dyDescent="0.25">
      <c r="E6776" s="157"/>
      <c r="F6776" s="157"/>
      <c r="L6776" s="105"/>
      <c r="M6776" s="105"/>
      <c r="N6776" s="105"/>
      <c r="O6776" s="105"/>
      <c r="P6776" s="159"/>
      <c r="Q6776" s="159"/>
      <c r="R6776" s="160"/>
      <c r="S6776" s="158"/>
      <c r="T6776" s="161"/>
      <c r="U6776" s="158"/>
      <c r="V6776" s="160"/>
    </row>
    <row r="6777" spans="5:22" x14ac:dyDescent="0.25">
      <c r="E6777" s="157"/>
      <c r="F6777" s="157"/>
      <c r="L6777" s="105"/>
      <c r="M6777" s="105"/>
      <c r="N6777" s="105"/>
      <c r="O6777" s="105"/>
      <c r="P6777" s="159"/>
      <c r="Q6777" s="159"/>
      <c r="R6777" s="160"/>
      <c r="S6777" s="158"/>
      <c r="T6777" s="161"/>
      <c r="U6777" s="158"/>
      <c r="V6777" s="160"/>
    </row>
    <row r="6778" spans="5:22" x14ac:dyDescent="0.25">
      <c r="E6778" s="157"/>
      <c r="F6778" s="157"/>
      <c r="L6778" s="105"/>
      <c r="M6778" s="105"/>
      <c r="N6778" s="105"/>
      <c r="O6778" s="105"/>
      <c r="P6778" s="159"/>
      <c r="Q6778" s="159"/>
      <c r="R6778" s="160"/>
      <c r="S6778" s="158"/>
      <c r="T6778" s="161"/>
      <c r="U6778" s="158"/>
      <c r="V6778" s="160"/>
    </row>
    <row r="6779" spans="5:22" x14ac:dyDescent="0.25">
      <c r="E6779" s="157"/>
      <c r="F6779" s="157"/>
      <c r="L6779" s="105"/>
      <c r="M6779" s="105"/>
      <c r="N6779" s="105"/>
      <c r="O6779" s="105"/>
      <c r="P6779" s="159"/>
      <c r="Q6779" s="159"/>
      <c r="R6779" s="160"/>
      <c r="S6779" s="158"/>
      <c r="T6779" s="161"/>
      <c r="U6779" s="158"/>
      <c r="V6779" s="160"/>
    </row>
    <row r="6780" spans="5:22" x14ac:dyDescent="0.25">
      <c r="E6780" s="157"/>
      <c r="F6780" s="157"/>
      <c r="L6780" s="105"/>
      <c r="M6780" s="105"/>
      <c r="N6780" s="105"/>
      <c r="O6780" s="105"/>
      <c r="P6780" s="159"/>
      <c r="Q6780" s="159"/>
      <c r="R6780" s="160"/>
      <c r="S6780" s="158"/>
      <c r="T6780" s="161"/>
      <c r="U6780" s="158"/>
      <c r="V6780" s="160"/>
    </row>
    <row r="6781" spans="5:22" x14ac:dyDescent="0.25">
      <c r="E6781" s="157"/>
      <c r="F6781" s="157"/>
      <c r="L6781" s="105"/>
      <c r="M6781" s="105"/>
      <c r="N6781" s="105"/>
      <c r="O6781" s="105"/>
      <c r="P6781" s="159"/>
      <c r="Q6781" s="159"/>
      <c r="R6781" s="160"/>
      <c r="S6781" s="158"/>
      <c r="T6781" s="161"/>
      <c r="U6781" s="158"/>
      <c r="V6781" s="160"/>
    </row>
    <row r="6782" spans="5:22" x14ac:dyDescent="0.25">
      <c r="E6782" s="162"/>
      <c r="F6782" s="157"/>
      <c r="L6782" s="105"/>
      <c r="M6782" s="105"/>
      <c r="N6782" s="105"/>
      <c r="O6782" s="105"/>
      <c r="P6782" s="159"/>
      <c r="Q6782" s="159"/>
      <c r="R6782" s="160"/>
      <c r="S6782" s="158"/>
      <c r="T6782" s="161"/>
      <c r="U6782" s="158"/>
      <c r="V6782" s="160"/>
    </row>
    <row r="6783" spans="5:22" x14ac:dyDescent="0.25">
      <c r="E6783" s="157"/>
      <c r="F6783" s="157"/>
      <c r="L6783" s="105"/>
      <c r="M6783" s="105"/>
      <c r="N6783" s="105"/>
      <c r="O6783" s="105"/>
      <c r="P6783" s="159"/>
      <c r="Q6783" s="159"/>
      <c r="R6783" s="160"/>
      <c r="S6783" s="158"/>
      <c r="T6783" s="161"/>
      <c r="U6783" s="158"/>
      <c r="V6783" s="160"/>
    </row>
    <row r="6784" spans="5:22" x14ac:dyDescent="0.25">
      <c r="E6784" s="157"/>
      <c r="F6784" s="157"/>
      <c r="L6784" s="105"/>
      <c r="M6784" s="105"/>
      <c r="N6784" s="105"/>
      <c r="O6784" s="105"/>
      <c r="P6784" s="159"/>
      <c r="Q6784" s="159"/>
      <c r="R6784" s="160"/>
      <c r="S6784" s="158"/>
      <c r="T6784" s="161"/>
      <c r="U6784" s="158"/>
      <c r="V6784" s="160"/>
    </row>
    <row r="6785" spans="5:22" x14ac:dyDescent="0.25">
      <c r="E6785" s="157"/>
      <c r="F6785" s="157"/>
      <c r="L6785" s="105"/>
      <c r="M6785" s="105"/>
      <c r="N6785" s="105"/>
      <c r="O6785" s="105"/>
      <c r="P6785" s="159"/>
      <c r="Q6785" s="159"/>
      <c r="R6785" s="160"/>
      <c r="S6785" s="158"/>
      <c r="T6785" s="161"/>
      <c r="U6785" s="158"/>
      <c r="V6785" s="160"/>
    </row>
    <row r="6786" spans="5:22" x14ac:dyDescent="0.25">
      <c r="E6786" s="157"/>
      <c r="F6786" s="157"/>
      <c r="L6786" s="105"/>
      <c r="M6786" s="105"/>
      <c r="N6786" s="105"/>
      <c r="O6786" s="105"/>
      <c r="P6786" s="159"/>
      <c r="Q6786" s="159"/>
      <c r="R6786" s="160"/>
      <c r="S6786" s="158"/>
      <c r="T6786" s="161"/>
      <c r="U6786" s="158"/>
      <c r="V6786" s="160"/>
    </row>
    <row r="6787" spans="5:22" x14ac:dyDescent="0.25">
      <c r="E6787" s="157"/>
      <c r="F6787" s="157"/>
      <c r="L6787" s="105"/>
      <c r="M6787" s="105"/>
      <c r="N6787" s="105"/>
      <c r="O6787" s="105"/>
      <c r="P6787" s="159"/>
      <c r="Q6787" s="159"/>
      <c r="R6787" s="160"/>
      <c r="S6787" s="158"/>
      <c r="T6787" s="161"/>
      <c r="U6787" s="158"/>
      <c r="V6787" s="160"/>
    </row>
    <row r="6788" spans="5:22" x14ac:dyDescent="0.25">
      <c r="E6788" s="157"/>
      <c r="F6788" s="157"/>
      <c r="L6788" s="105"/>
      <c r="M6788" s="105"/>
      <c r="N6788" s="105"/>
      <c r="O6788" s="105"/>
      <c r="P6788" s="159"/>
      <c r="Q6788" s="159"/>
      <c r="R6788" s="160"/>
      <c r="S6788" s="158"/>
      <c r="T6788" s="161"/>
      <c r="U6788" s="158"/>
      <c r="V6788" s="160"/>
    </row>
    <row r="6789" spans="5:22" x14ac:dyDescent="0.25">
      <c r="E6789" s="157"/>
      <c r="F6789" s="157"/>
      <c r="L6789" s="105"/>
      <c r="M6789" s="105"/>
      <c r="N6789" s="105"/>
      <c r="O6789" s="105"/>
      <c r="P6789" s="159"/>
      <c r="Q6789" s="159"/>
      <c r="R6789" s="160"/>
      <c r="S6789" s="158"/>
      <c r="T6789" s="161"/>
      <c r="U6789" s="158"/>
      <c r="V6789" s="160"/>
    </row>
    <row r="6790" spans="5:22" x14ac:dyDescent="0.25">
      <c r="E6790" s="157"/>
      <c r="F6790" s="157"/>
      <c r="L6790" s="105"/>
      <c r="M6790" s="105"/>
      <c r="N6790" s="105"/>
      <c r="O6790" s="105"/>
      <c r="P6790" s="159"/>
      <c r="Q6790" s="159"/>
      <c r="R6790" s="160"/>
      <c r="S6790" s="158"/>
      <c r="T6790" s="161"/>
      <c r="U6790" s="158"/>
      <c r="V6790" s="160"/>
    </row>
    <row r="6791" spans="5:22" x14ac:dyDescent="0.25">
      <c r="E6791" s="157"/>
      <c r="F6791" s="157"/>
      <c r="L6791" s="105"/>
      <c r="M6791" s="105"/>
      <c r="N6791" s="105"/>
      <c r="O6791" s="105"/>
      <c r="P6791" s="159"/>
      <c r="Q6791" s="159"/>
      <c r="R6791" s="160"/>
      <c r="S6791" s="158"/>
      <c r="T6791" s="161"/>
      <c r="U6791" s="158"/>
      <c r="V6791" s="160"/>
    </row>
    <row r="6792" spans="5:22" x14ac:dyDescent="0.25">
      <c r="E6792" s="157"/>
      <c r="F6792" s="157"/>
      <c r="L6792" s="105"/>
      <c r="M6792" s="105"/>
      <c r="N6792" s="105"/>
      <c r="O6792" s="105"/>
      <c r="P6792" s="159"/>
      <c r="Q6792" s="159"/>
      <c r="R6792" s="160"/>
      <c r="S6792" s="158"/>
      <c r="T6792" s="161"/>
      <c r="U6792" s="158"/>
      <c r="V6792" s="160"/>
    </row>
    <row r="6793" spans="5:22" x14ac:dyDescent="0.25">
      <c r="E6793" s="157"/>
      <c r="F6793" s="157"/>
      <c r="L6793" s="105"/>
      <c r="M6793" s="105"/>
      <c r="N6793" s="105"/>
      <c r="O6793" s="105"/>
      <c r="P6793" s="159"/>
      <c r="Q6793" s="159"/>
      <c r="R6793" s="160"/>
      <c r="S6793" s="158"/>
      <c r="T6793" s="161"/>
      <c r="U6793" s="158"/>
      <c r="V6793" s="160"/>
    </row>
    <row r="6794" spans="5:22" x14ac:dyDescent="0.25">
      <c r="E6794" s="157"/>
      <c r="F6794" s="157"/>
      <c r="L6794" s="105"/>
      <c r="M6794" s="105"/>
      <c r="N6794" s="105"/>
      <c r="O6794" s="105"/>
      <c r="P6794" s="159"/>
      <c r="Q6794" s="159"/>
      <c r="R6794" s="160"/>
      <c r="S6794" s="158"/>
      <c r="T6794" s="161"/>
      <c r="U6794" s="158"/>
      <c r="V6794" s="160"/>
    </row>
    <row r="6795" spans="5:22" x14ac:dyDescent="0.25">
      <c r="E6795" s="157"/>
      <c r="F6795" s="157"/>
      <c r="L6795" s="105"/>
      <c r="M6795" s="105"/>
      <c r="N6795" s="105"/>
      <c r="O6795" s="105"/>
      <c r="P6795" s="159"/>
      <c r="Q6795" s="159"/>
      <c r="R6795" s="160"/>
      <c r="S6795" s="158"/>
      <c r="T6795" s="161"/>
      <c r="U6795" s="158"/>
      <c r="V6795" s="160"/>
    </row>
    <row r="6796" spans="5:22" x14ac:dyDescent="0.25">
      <c r="E6796" s="157"/>
      <c r="F6796" s="157"/>
      <c r="L6796" s="105"/>
      <c r="M6796" s="105"/>
      <c r="N6796" s="105"/>
      <c r="O6796" s="105"/>
      <c r="P6796" s="159"/>
      <c r="Q6796" s="159"/>
      <c r="R6796" s="160"/>
      <c r="S6796" s="158"/>
      <c r="T6796" s="161"/>
      <c r="U6796" s="158"/>
      <c r="V6796" s="160"/>
    </row>
    <row r="6797" spans="5:22" x14ac:dyDescent="0.25">
      <c r="E6797" s="157"/>
      <c r="F6797" s="157"/>
      <c r="L6797" s="105"/>
      <c r="M6797" s="105"/>
      <c r="N6797" s="105"/>
      <c r="O6797" s="105"/>
      <c r="P6797" s="159"/>
      <c r="Q6797" s="159"/>
      <c r="R6797" s="160"/>
      <c r="S6797" s="158"/>
      <c r="T6797" s="161"/>
      <c r="U6797" s="158"/>
      <c r="V6797" s="160"/>
    </row>
    <row r="6798" spans="5:22" x14ac:dyDescent="0.25">
      <c r="E6798" s="157"/>
      <c r="F6798" s="157"/>
      <c r="L6798" s="105"/>
      <c r="M6798" s="105"/>
      <c r="N6798" s="105"/>
      <c r="O6798" s="105"/>
      <c r="P6798" s="159"/>
      <c r="Q6798" s="159"/>
      <c r="R6798" s="160"/>
      <c r="S6798" s="158"/>
      <c r="T6798" s="161"/>
      <c r="U6798" s="158"/>
      <c r="V6798" s="160"/>
    </row>
    <row r="6799" spans="5:22" x14ac:dyDescent="0.25">
      <c r="E6799" s="157"/>
      <c r="F6799" s="157"/>
      <c r="L6799" s="105"/>
      <c r="M6799" s="105"/>
      <c r="N6799" s="105"/>
      <c r="O6799" s="105"/>
      <c r="P6799" s="159"/>
      <c r="Q6799" s="159"/>
      <c r="R6799" s="160"/>
      <c r="S6799" s="158"/>
      <c r="T6799" s="161"/>
      <c r="U6799" s="158"/>
      <c r="V6799" s="160"/>
    </row>
    <row r="6800" spans="5:22" x14ac:dyDescent="0.25">
      <c r="E6800" s="157"/>
      <c r="F6800" s="157"/>
      <c r="L6800" s="105"/>
      <c r="M6800" s="105"/>
      <c r="N6800" s="105"/>
      <c r="O6800" s="105"/>
      <c r="P6800" s="159"/>
      <c r="Q6800" s="159"/>
      <c r="R6800" s="160"/>
      <c r="S6800" s="158"/>
      <c r="T6800" s="161"/>
      <c r="U6800" s="158"/>
      <c r="V6800" s="160"/>
    </row>
    <row r="6801" spans="5:22" x14ac:dyDescent="0.25">
      <c r="E6801" s="157"/>
      <c r="F6801" s="157"/>
      <c r="L6801" s="105"/>
      <c r="M6801" s="105"/>
      <c r="N6801" s="105"/>
      <c r="O6801" s="105"/>
      <c r="P6801" s="159"/>
      <c r="Q6801" s="159"/>
      <c r="R6801" s="160"/>
      <c r="S6801" s="158"/>
      <c r="T6801" s="161"/>
      <c r="U6801" s="158"/>
      <c r="V6801" s="160"/>
    </row>
    <row r="6802" spans="5:22" x14ac:dyDescent="0.25">
      <c r="E6802" s="157"/>
      <c r="F6802" s="157"/>
      <c r="L6802" s="105"/>
      <c r="M6802" s="105"/>
      <c r="N6802" s="105"/>
      <c r="O6802" s="105"/>
      <c r="P6802" s="159"/>
      <c r="Q6802" s="159"/>
      <c r="R6802" s="160"/>
      <c r="S6802" s="158"/>
      <c r="T6802" s="161"/>
      <c r="U6802" s="158"/>
      <c r="V6802" s="160"/>
    </row>
    <row r="6803" spans="5:22" x14ac:dyDescent="0.25">
      <c r="E6803" s="157"/>
      <c r="F6803" s="157"/>
      <c r="L6803" s="105"/>
      <c r="M6803" s="105"/>
      <c r="N6803" s="105"/>
      <c r="O6803" s="105"/>
      <c r="P6803" s="159"/>
      <c r="Q6803" s="159"/>
      <c r="R6803" s="160"/>
      <c r="S6803" s="158"/>
      <c r="T6803" s="161"/>
      <c r="U6803" s="158"/>
      <c r="V6803" s="160"/>
    </row>
    <row r="6804" spans="5:22" x14ac:dyDescent="0.25">
      <c r="E6804" s="157"/>
      <c r="F6804" s="157"/>
      <c r="L6804" s="105"/>
      <c r="M6804" s="105"/>
      <c r="N6804" s="105"/>
      <c r="O6804" s="105"/>
      <c r="P6804" s="159"/>
      <c r="Q6804" s="159"/>
      <c r="R6804" s="160"/>
      <c r="S6804" s="158"/>
      <c r="T6804" s="161"/>
      <c r="U6804" s="158"/>
      <c r="V6804" s="160"/>
    </row>
    <row r="6805" spans="5:22" x14ac:dyDescent="0.25">
      <c r="E6805" s="157"/>
      <c r="F6805" s="157"/>
      <c r="L6805" s="105"/>
      <c r="M6805" s="105"/>
      <c r="N6805" s="105"/>
      <c r="O6805" s="105"/>
      <c r="P6805" s="159"/>
      <c r="Q6805" s="159"/>
      <c r="R6805" s="160"/>
      <c r="S6805" s="158"/>
      <c r="T6805" s="161"/>
      <c r="U6805" s="158"/>
      <c r="V6805" s="160"/>
    </row>
    <row r="6806" spans="5:22" x14ac:dyDescent="0.25">
      <c r="E6806" s="157"/>
      <c r="F6806" s="157"/>
      <c r="L6806" s="105"/>
      <c r="M6806" s="105"/>
      <c r="N6806" s="105"/>
      <c r="O6806" s="105"/>
      <c r="P6806" s="159"/>
      <c r="Q6806" s="159"/>
      <c r="R6806" s="160"/>
      <c r="S6806" s="158"/>
      <c r="T6806" s="161"/>
      <c r="U6806" s="158"/>
      <c r="V6806" s="160"/>
    </row>
    <row r="6807" spans="5:22" x14ac:dyDescent="0.25">
      <c r="E6807" s="157"/>
      <c r="F6807" s="157"/>
      <c r="L6807" s="105"/>
      <c r="M6807" s="105"/>
      <c r="N6807" s="105"/>
      <c r="O6807" s="105"/>
      <c r="P6807" s="159"/>
      <c r="Q6807" s="159"/>
      <c r="R6807" s="160"/>
      <c r="S6807" s="158"/>
      <c r="T6807" s="161"/>
      <c r="U6807" s="158"/>
      <c r="V6807" s="160"/>
    </row>
    <row r="6808" spans="5:22" x14ac:dyDescent="0.25">
      <c r="E6808" s="157"/>
      <c r="F6808" s="157"/>
      <c r="L6808" s="105"/>
      <c r="M6808" s="105"/>
      <c r="N6808" s="105"/>
      <c r="O6808" s="105"/>
      <c r="P6808" s="159"/>
      <c r="Q6808" s="159"/>
      <c r="R6808" s="160"/>
      <c r="S6808" s="158"/>
      <c r="T6808" s="161"/>
      <c r="U6808" s="158"/>
      <c r="V6808" s="160"/>
    </row>
    <row r="6809" spans="5:22" x14ac:dyDescent="0.25">
      <c r="E6809" s="157"/>
      <c r="F6809" s="157"/>
      <c r="L6809" s="105"/>
      <c r="M6809" s="105"/>
      <c r="N6809" s="105"/>
      <c r="O6809" s="105"/>
      <c r="P6809" s="159"/>
      <c r="Q6809" s="159"/>
      <c r="R6809" s="160"/>
      <c r="S6809" s="158"/>
      <c r="T6809" s="161"/>
      <c r="U6809" s="158"/>
      <c r="V6809" s="160"/>
    </row>
    <row r="6810" spans="5:22" x14ac:dyDescent="0.25">
      <c r="E6810" s="157"/>
      <c r="F6810" s="157"/>
      <c r="L6810" s="105"/>
      <c r="M6810" s="105"/>
      <c r="N6810" s="105"/>
      <c r="O6810" s="105"/>
      <c r="P6810" s="159"/>
      <c r="Q6810" s="159"/>
      <c r="R6810" s="160"/>
      <c r="S6810" s="158"/>
      <c r="T6810" s="161"/>
      <c r="U6810" s="158"/>
      <c r="V6810" s="160"/>
    </row>
    <row r="6811" spans="5:22" x14ac:dyDescent="0.25">
      <c r="E6811" s="157"/>
      <c r="F6811" s="157"/>
      <c r="L6811" s="105"/>
      <c r="M6811" s="105"/>
      <c r="N6811" s="105"/>
      <c r="O6811" s="105"/>
      <c r="P6811" s="159"/>
      <c r="Q6811" s="159"/>
      <c r="R6811" s="160"/>
      <c r="S6811" s="158"/>
      <c r="T6811" s="161"/>
      <c r="U6811" s="158"/>
      <c r="V6811" s="160"/>
    </row>
    <row r="6812" spans="5:22" x14ac:dyDescent="0.25">
      <c r="E6812" s="157"/>
      <c r="F6812" s="157"/>
      <c r="L6812" s="105"/>
      <c r="M6812" s="105"/>
      <c r="N6812" s="105"/>
      <c r="O6812" s="105"/>
      <c r="P6812" s="159"/>
      <c r="Q6812" s="159"/>
      <c r="R6812" s="160"/>
      <c r="S6812" s="158"/>
      <c r="T6812" s="161"/>
      <c r="U6812" s="158"/>
      <c r="V6812" s="160"/>
    </row>
    <row r="6813" spans="5:22" x14ac:dyDescent="0.25">
      <c r="E6813" s="157"/>
      <c r="F6813" s="157"/>
      <c r="L6813" s="105"/>
      <c r="M6813" s="105"/>
      <c r="N6813" s="105"/>
      <c r="O6813" s="105"/>
      <c r="P6813" s="159"/>
      <c r="Q6813" s="159"/>
      <c r="R6813" s="160"/>
      <c r="S6813" s="158"/>
      <c r="T6813" s="161"/>
      <c r="U6813" s="158"/>
      <c r="V6813" s="160"/>
    </row>
    <row r="6814" spans="5:22" x14ac:dyDescent="0.25">
      <c r="E6814" s="157"/>
      <c r="F6814" s="157"/>
      <c r="L6814" s="105"/>
      <c r="M6814" s="105"/>
      <c r="N6814" s="105"/>
      <c r="O6814" s="105"/>
      <c r="P6814" s="159"/>
      <c r="Q6814" s="159"/>
      <c r="R6814" s="160"/>
      <c r="S6814" s="158"/>
      <c r="T6814" s="161"/>
      <c r="U6814" s="158"/>
      <c r="V6814" s="160"/>
    </row>
    <row r="6815" spans="5:22" x14ac:dyDescent="0.25">
      <c r="E6815" s="157"/>
      <c r="F6815" s="157"/>
      <c r="L6815" s="105"/>
      <c r="M6815" s="105"/>
      <c r="N6815" s="105"/>
      <c r="O6815" s="105"/>
      <c r="P6815" s="159"/>
      <c r="Q6815" s="159"/>
      <c r="R6815" s="160"/>
      <c r="S6815" s="158"/>
      <c r="T6815" s="161"/>
      <c r="U6815" s="158"/>
      <c r="V6815" s="160"/>
    </row>
    <row r="6816" spans="5:22" x14ac:dyDescent="0.25">
      <c r="E6816" s="157"/>
      <c r="F6816" s="157"/>
      <c r="L6816" s="105"/>
      <c r="M6816" s="105"/>
      <c r="N6816" s="105"/>
      <c r="O6816" s="105"/>
      <c r="P6816" s="159"/>
      <c r="Q6816" s="159"/>
      <c r="R6816" s="160"/>
      <c r="S6816" s="158"/>
      <c r="T6816" s="161"/>
      <c r="U6816" s="158"/>
      <c r="V6816" s="160"/>
    </row>
    <row r="6817" spans="5:22" x14ac:dyDescent="0.25">
      <c r="E6817" s="157"/>
      <c r="F6817" s="157"/>
      <c r="L6817" s="105"/>
      <c r="M6817" s="105"/>
      <c r="N6817" s="105"/>
      <c r="O6817" s="105"/>
      <c r="P6817" s="159"/>
      <c r="Q6817" s="159"/>
      <c r="R6817" s="160"/>
      <c r="S6817" s="158"/>
      <c r="T6817" s="161"/>
      <c r="U6817" s="158"/>
      <c r="V6817" s="160"/>
    </row>
    <row r="6818" spans="5:22" x14ac:dyDescent="0.25">
      <c r="E6818" s="157"/>
      <c r="F6818" s="157"/>
      <c r="L6818" s="105"/>
      <c r="M6818" s="105"/>
      <c r="N6818" s="105"/>
      <c r="O6818" s="105"/>
      <c r="P6818" s="159"/>
      <c r="Q6818" s="159"/>
      <c r="R6818" s="160"/>
      <c r="S6818" s="158"/>
      <c r="T6818" s="161"/>
      <c r="U6818" s="158"/>
      <c r="V6818" s="160"/>
    </row>
    <row r="6819" spans="5:22" x14ac:dyDescent="0.25">
      <c r="E6819" s="157"/>
      <c r="F6819" s="157"/>
      <c r="L6819" s="105"/>
      <c r="M6819" s="105"/>
      <c r="N6819" s="105"/>
      <c r="O6819" s="105"/>
      <c r="P6819" s="159"/>
      <c r="Q6819" s="159"/>
      <c r="R6819" s="160"/>
      <c r="S6819" s="158"/>
      <c r="T6819" s="161"/>
      <c r="U6819" s="158"/>
      <c r="V6819" s="160"/>
    </row>
    <row r="6820" spans="5:22" x14ac:dyDescent="0.25">
      <c r="E6820" s="157"/>
      <c r="F6820" s="157"/>
      <c r="L6820" s="105"/>
      <c r="M6820" s="105"/>
      <c r="N6820" s="105"/>
      <c r="O6820" s="105"/>
      <c r="P6820" s="159"/>
      <c r="Q6820" s="159"/>
      <c r="R6820" s="160"/>
      <c r="S6820" s="158"/>
      <c r="T6820" s="161"/>
      <c r="U6820" s="158"/>
      <c r="V6820" s="160"/>
    </row>
    <row r="6821" spans="5:22" x14ac:dyDescent="0.25">
      <c r="E6821" s="157"/>
      <c r="F6821" s="157"/>
      <c r="L6821" s="105"/>
      <c r="M6821" s="105"/>
      <c r="N6821" s="105"/>
      <c r="O6821" s="105"/>
      <c r="P6821" s="159"/>
      <c r="Q6821" s="159"/>
      <c r="R6821" s="160"/>
      <c r="S6821" s="158"/>
      <c r="T6821" s="161"/>
      <c r="U6821" s="158"/>
      <c r="V6821" s="160"/>
    </row>
    <row r="6822" spans="5:22" x14ac:dyDescent="0.25">
      <c r="E6822" s="157"/>
      <c r="F6822" s="157"/>
      <c r="L6822" s="105"/>
      <c r="M6822" s="105"/>
      <c r="N6822" s="105"/>
      <c r="O6822" s="105"/>
      <c r="P6822" s="159"/>
      <c r="Q6822" s="159"/>
      <c r="R6822" s="160"/>
      <c r="S6822" s="158"/>
      <c r="T6822" s="161"/>
      <c r="U6822" s="158"/>
      <c r="V6822" s="160"/>
    </row>
    <row r="6823" spans="5:22" x14ac:dyDescent="0.25">
      <c r="E6823" s="157"/>
      <c r="F6823" s="157"/>
      <c r="L6823" s="105"/>
      <c r="M6823" s="105"/>
      <c r="N6823" s="105"/>
      <c r="O6823" s="105"/>
      <c r="P6823" s="159"/>
      <c r="Q6823" s="159"/>
      <c r="R6823" s="160"/>
      <c r="S6823" s="158"/>
      <c r="T6823" s="161"/>
      <c r="U6823" s="158"/>
      <c r="V6823" s="160"/>
    </row>
    <row r="6824" spans="5:22" x14ac:dyDescent="0.25">
      <c r="E6824" s="157"/>
      <c r="F6824" s="157"/>
      <c r="L6824" s="105"/>
      <c r="M6824" s="105"/>
      <c r="N6824" s="105"/>
      <c r="O6824" s="105"/>
      <c r="P6824" s="159"/>
      <c r="Q6824" s="159"/>
      <c r="R6824" s="160"/>
      <c r="S6824" s="158"/>
      <c r="T6824" s="161"/>
      <c r="U6824" s="158"/>
      <c r="V6824" s="160"/>
    </row>
    <row r="6825" spans="5:22" x14ac:dyDescent="0.25">
      <c r="E6825" s="157"/>
      <c r="F6825" s="157"/>
      <c r="L6825" s="105"/>
      <c r="M6825" s="105"/>
      <c r="N6825" s="105"/>
      <c r="O6825" s="105"/>
      <c r="P6825" s="159"/>
      <c r="Q6825" s="159"/>
      <c r="R6825" s="160"/>
      <c r="S6825" s="158"/>
      <c r="T6825" s="161"/>
      <c r="U6825" s="158"/>
      <c r="V6825" s="160"/>
    </row>
    <row r="6826" spans="5:22" x14ac:dyDescent="0.25">
      <c r="E6826" s="157"/>
      <c r="F6826" s="157"/>
      <c r="L6826" s="105"/>
      <c r="M6826" s="105"/>
      <c r="N6826" s="105"/>
      <c r="O6826" s="105"/>
      <c r="P6826" s="159"/>
      <c r="Q6826" s="159"/>
      <c r="R6826" s="160"/>
      <c r="S6826" s="158"/>
      <c r="T6826" s="161"/>
      <c r="U6826" s="158"/>
      <c r="V6826" s="160"/>
    </row>
    <row r="6827" spans="5:22" x14ac:dyDescent="0.25">
      <c r="E6827" s="157"/>
      <c r="F6827" s="157"/>
      <c r="L6827" s="105"/>
      <c r="M6827" s="105"/>
      <c r="N6827" s="105"/>
      <c r="O6827" s="105"/>
      <c r="P6827" s="159"/>
      <c r="Q6827" s="159"/>
      <c r="R6827" s="160"/>
      <c r="S6827" s="158"/>
      <c r="T6827" s="161"/>
      <c r="U6827" s="158"/>
      <c r="V6827" s="160"/>
    </row>
    <row r="6828" spans="5:22" x14ac:dyDescent="0.25">
      <c r="E6828" s="157"/>
      <c r="F6828" s="157"/>
      <c r="L6828" s="105"/>
      <c r="M6828" s="105"/>
      <c r="N6828" s="105"/>
      <c r="O6828" s="105"/>
      <c r="P6828" s="159"/>
      <c r="Q6828" s="159"/>
      <c r="R6828" s="160"/>
      <c r="S6828" s="158"/>
      <c r="T6828" s="161"/>
      <c r="U6828" s="158"/>
      <c r="V6828" s="160"/>
    </row>
    <row r="6829" spans="5:22" x14ac:dyDescent="0.25">
      <c r="E6829" s="157"/>
      <c r="F6829" s="157"/>
      <c r="L6829" s="105"/>
      <c r="M6829" s="105"/>
      <c r="N6829" s="105"/>
      <c r="O6829" s="105"/>
      <c r="P6829" s="159"/>
      <c r="Q6829" s="159"/>
      <c r="R6829" s="160"/>
      <c r="S6829" s="158"/>
      <c r="T6829" s="161"/>
      <c r="U6829" s="158"/>
      <c r="V6829" s="160"/>
    </row>
    <row r="6830" spans="5:22" x14ac:dyDescent="0.25">
      <c r="E6830" s="157"/>
      <c r="F6830" s="157"/>
      <c r="L6830" s="105"/>
      <c r="M6830" s="105"/>
      <c r="N6830" s="105"/>
      <c r="O6830" s="105"/>
      <c r="P6830" s="159"/>
      <c r="Q6830" s="159"/>
      <c r="R6830" s="160"/>
      <c r="S6830" s="158"/>
      <c r="T6830" s="161"/>
      <c r="U6830" s="158"/>
      <c r="V6830" s="160"/>
    </row>
    <row r="6831" spans="5:22" x14ac:dyDescent="0.25">
      <c r="E6831" s="157"/>
      <c r="F6831" s="157"/>
      <c r="L6831" s="105"/>
      <c r="M6831" s="105"/>
      <c r="N6831" s="105"/>
      <c r="O6831" s="105"/>
      <c r="P6831" s="159"/>
      <c r="Q6831" s="159"/>
      <c r="R6831" s="160"/>
      <c r="S6831" s="158"/>
      <c r="T6831" s="161"/>
      <c r="U6831" s="158"/>
      <c r="V6831" s="160"/>
    </row>
    <row r="6832" spans="5:22" x14ac:dyDescent="0.25">
      <c r="E6832" s="157"/>
      <c r="F6832" s="157"/>
      <c r="L6832" s="105"/>
      <c r="M6832" s="105"/>
      <c r="N6832" s="105"/>
      <c r="O6832" s="105"/>
      <c r="P6832" s="159"/>
      <c r="Q6832" s="159"/>
      <c r="R6832" s="160"/>
      <c r="S6832" s="158"/>
      <c r="T6832" s="161"/>
      <c r="U6832" s="158"/>
      <c r="V6832" s="160"/>
    </row>
    <row r="6833" spans="5:22" x14ac:dyDescent="0.25">
      <c r="E6833" s="157"/>
      <c r="F6833" s="157"/>
      <c r="L6833" s="105"/>
      <c r="M6833" s="105"/>
      <c r="N6833" s="105"/>
      <c r="O6833" s="105"/>
      <c r="P6833" s="159"/>
      <c r="Q6833" s="159"/>
      <c r="R6833" s="160"/>
      <c r="S6833" s="158"/>
      <c r="T6833" s="161"/>
      <c r="U6833" s="158"/>
      <c r="V6833" s="160"/>
    </row>
    <row r="6834" spans="5:22" x14ac:dyDescent="0.25">
      <c r="E6834" s="157"/>
      <c r="F6834" s="157"/>
      <c r="L6834" s="105"/>
      <c r="M6834" s="105"/>
      <c r="N6834" s="105"/>
      <c r="O6834" s="105"/>
      <c r="P6834" s="159"/>
      <c r="Q6834" s="159"/>
      <c r="R6834" s="160"/>
      <c r="S6834" s="158"/>
      <c r="T6834" s="161"/>
      <c r="U6834" s="158"/>
      <c r="V6834" s="160"/>
    </row>
    <row r="6835" spans="5:22" x14ac:dyDescent="0.25">
      <c r="E6835" s="157"/>
      <c r="F6835" s="157"/>
      <c r="L6835" s="105"/>
      <c r="M6835" s="105"/>
      <c r="N6835" s="105"/>
      <c r="O6835" s="105"/>
      <c r="P6835" s="159"/>
      <c r="Q6835" s="159"/>
      <c r="R6835" s="160"/>
      <c r="S6835" s="158"/>
      <c r="T6835" s="161"/>
      <c r="U6835" s="158"/>
      <c r="V6835" s="160"/>
    </row>
    <row r="6836" spans="5:22" x14ac:dyDescent="0.25">
      <c r="E6836" s="157"/>
      <c r="F6836" s="157"/>
      <c r="L6836" s="105"/>
      <c r="M6836" s="105"/>
      <c r="N6836" s="105"/>
      <c r="O6836" s="105"/>
      <c r="P6836" s="159"/>
      <c r="Q6836" s="159"/>
      <c r="R6836" s="160"/>
      <c r="S6836" s="158"/>
      <c r="T6836" s="161"/>
      <c r="U6836" s="158"/>
      <c r="V6836" s="160"/>
    </row>
    <row r="6837" spans="5:22" x14ac:dyDescent="0.25">
      <c r="E6837" s="157"/>
      <c r="F6837" s="157"/>
      <c r="L6837" s="105"/>
      <c r="M6837" s="105"/>
      <c r="N6837" s="105"/>
      <c r="O6837" s="105"/>
      <c r="P6837" s="159"/>
      <c r="Q6837" s="159"/>
      <c r="R6837" s="160"/>
      <c r="S6837" s="158"/>
      <c r="T6837" s="161"/>
      <c r="U6837" s="158"/>
      <c r="V6837" s="160"/>
    </row>
    <row r="6838" spans="5:22" x14ac:dyDescent="0.25">
      <c r="E6838" s="157"/>
      <c r="F6838" s="157"/>
      <c r="L6838" s="105"/>
      <c r="M6838" s="105"/>
      <c r="N6838" s="105"/>
      <c r="O6838" s="105"/>
      <c r="P6838" s="159"/>
      <c r="Q6838" s="159"/>
      <c r="R6838" s="160"/>
      <c r="S6838" s="158"/>
      <c r="T6838" s="161"/>
      <c r="U6838" s="158"/>
      <c r="V6838" s="160"/>
    </row>
    <row r="6839" spans="5:22" x14ac:dyDescent="0.25">
      <c r="E6839" s="157"/>
      <c r="F6839" s="157"/>
      <c r="L6839" s="105"/>
      <c r="M6839" s="105"/>
      <c r="N6839" s="105"/>
      <c r="O6839" s="105"/>
      <c r="P6839" s="159"/>
      <c r="Q6839" s="159"/>
      <c r="R6839" s="160"/>
      <c r="S6839" s="158"/>
      <c r="T6839" s="161"/>
      <c r="U6839" s="158"/>
      <c r="V6839" s="160"/>
    </row>
    <row r="6840" spans="5:22" x14ac:dyDescent="0.25">
      <c r="E6840" s="157"/>
      <c r="F6840" s="157"/>
      <c r="L6840" s="105"/>
      <c r="M6840" s="105"/>
      <c r="N6840" s="105"/>
      <c r="O6840" s="105"/>
      <c r="P6840" s="159"/>
      <c r="Q6840" s="159"/>
      <c r="R6840" s="160"/>
      <c r="S6840" s="158"/>
      <c r="T6840" s="161"/>
      <c r="U6840" s="158"/>
      <c r="V6840" s="160"/>
    </row>
    <row r="6841" spans="5:22" x14ac:dyDescent="0.25">
      <c r="E6841" s="157"/>
      <c r="F6841" s="157"/>
      <c r="L6841" s="105"/>
      <c r="M6841" s="105"/>
      <c r="N6841" s="105"/>
      <c r="O6841" s="105"/>
      <c r="P6841" s="159"/>
      <c r="Q6841" s="159"/>
      <c r="R6841" s="160"/>
      <c r="S6841" s="158"/>
      <c r="T6841" s="161"/>
      <c r="U6841" s="158"/>
      <c r="V6841" s="160"/>
    </row>
    <row r="6842" spans="5:22" x14ac:dyDescent="0.25">
      <c r="E6842" s="157"/>
      <c r="F6842" s="157"/>
      <c r="L6842" s="105"/>
      <c r="M6842" s="105"/>
      <c r="N6842" s="105"/>
      <c r="O6842" s="105"/>
      <c r="P6842" s="159"/>
      <c r="Q6842" s="159"/>
      <c r="R6842" s="160"/>
      <c r="S6842" s="158"/>
      <c r="T6842" s="161"/>
      <c r="U6842" s="158"/>
      <c r="V6842" s="160"/>
    </row>
    <row r="6843" spans="5:22" x14ac:dyDescent="0.25">
      <c r="E6843" s="157"/>
      <c r="F6843" s="157"/>
      <c r="L6843" s="105"/>
      <c r="M6843" s="105"/>
      <c r="N6843" s="105"/>
      <c r="O6843" s="105"/>
      <c r="P6843" s="159"/>
      <c r="Q6843" s="159"/>
      <c r="R6843" s="160"/>
      <c r="S6843" s="158"/>
      <c r="T6843" s="161"/>
      <c r="U6843" s="158"/>
      <c r="V6843" s="160"/>
    </row>
    <row r="6844" spans="5:22" x14ac:dyDescent="0.25">
      <c r="E6844" s="157"/>
      <c r="F6844" s="157"/>
      <c r="L6844" s="105"/>
      <c r="M6844" s="105"/>
      <c r="N6844" s="105"/>
      <c r="O6844" s="105"/>
      <c r="P6844" s="159"/>
      <c r="Q6844" s="159"/>
      <c r="R6844" s="160"/>
      <c r="S6844" s="158"/>
      <c r="T6844" s="161"/>
      <c r="U6844" s="158"/>
      <c r="V6844" s="160"/>
    </row>
    <row r="6845" spans="5:22" x14ac:dyDescent="0.25">
      <c r="E6845" s="157"/>
      <c r="F6845" s="157"/>
      <c r="L6845" s="105"/>
      <c r="M6845" s="105"/>
      <c r="N6845" s="105"/>
      <c r="O6845" s="105"/>
      <c r="P6845" s="159"/>
      <c r="Q6845" s="159"/>
      <c r="R6845" s="160"/>
      <c r="S6845" s="158"/>
      <c r="T6845" s="161"/>
      <c r="U6845" s="158"/>
      <c r="V6845" s="160"/>
    </row>
    <row r="6846" spans="5:22" x14ac:dyDescent="0.25">
      <c r="E6846" s="157"/>
      <c r="F6846" s="157"/>
      <c r="L6846" s="105"/>
      <c r="M6846" s="105"/>
      <c r="N6846" s="105"/>
      <c r="O6846" s="105"/>
      <c r="P6846" s="159"/>
      <c r="Q6846" s="159"/>
      <c r="R6846" s="160"/>
      <c r="S6846" s="158"/>
      <c r="T6846" s="161"/>
      <c r="U6846" s="158"/>
      <c r="V6846" s="160"/>
    </row>
    <row r="6847" spans="5:22" x14ac:dyDescent="0.25">
      <c r="E6847" s="157"/>
      <c r="F6847" s="157"/>
      <c r="L6847" s="105"/>
      <c r="M6847" s="105"/>
      <c r="N6847" s="105"/>
      <c r="O6847" s="105"/>
      <c r="P6847" s="159"/>
      <c r="Q6847" s="159"/>
      <c r="R6847" s="160"/>
      <c r="S6847" s="158"/>
      <c r="T6847" s="161"/>
      <c r="U6847" s="158"/>
      <c r="V6847" s="160"/>
    </row>
    <row r="6848" spans="5:22" x14ac:dyDescent="0.25">
      <c r="E6848" s="157"/>
      <c r="F6848" s="157"/>
      <c r="L6848" s="105"/>
      <c r="M6848" s="105"/>
      <c r="N6848" s="105"/>
      <c r="O6848" s="105"/>
      <c r="P6848" s="159"/>
      <c r="Q6848" s="159"/>
      <c r="R6848" s="160"/>
      <c r="S6848" s="158"/>
      <c r="T6848" s="161"/>
      <c r="U6848" s="158"/>
      <c r="V6848" s="160"/>
    </row>
    <row r="6849" spans="5:22" x14ac:dyDescent="0.25">
      <c r="E6849" s="157"/>
      <c r="F6849" s="157"/>
      <c r="L6849" s="105"/>
      <c r="M6849" s="105"/>
      <c r="N6849" s="105"/>
      <c r="O6849" s="105"/>
      <c r="P6849" s="159"/>
      <c r="Q6849" s="159"/>
      <c r="R6849" s="160"/>
      <c r="S6849" s="158"/>
      <c r="T6849" s="161"/>
      <c r="U6849" s="158"/>
      <c r="V6849" s="160"/>
    </row>
    <row r="6850" spans="5:22" x14ac:dyDescent="0.25">
      <c r="E6850" s="157"/>
      <c r="F6850" s="157"/>
      <c r="L6850" s="105"/>
      <c r="M6850" s="105"/>
      <c r="N6850" s="105"/>
      <c r="O6850" s="105"/>
      <c r="P6850" s="159"/>
      <c r="Q6850" s="159"/>
      <c r="R6850" s="160"/>
      <c r="S6850" s="158"/>
      <c r="T6850" s="161"/>
      <c r="U6850" s="158"/>
      <c r="V6850" s="160"/>
    </row>
    <row r="6851" spans="5:22" x14ac:dyDescent="0.25">
      <c r="E6851" s="157"/>
      <c r="F6851" s="157"/>
      <c r="L6851" s="105"/>
      <c r="M6851" s="105"/>
      <c r="N6851" s="105"/>
      <c r="O6851" s="105"/>
      <c r="P6851" s="159"/>
      <c r="Q6851" s="159"/>
      <c r="R6851" s="160"/>
      <c r="S6851" s="158"/>
      <c r="T6851" s="161"/>
      <c r="U6851" s="158"/>
      <c r="V6851" s="160"/>
    </row>
    <row r="6852" spans="5:22" x14ac:dyDescent="0.25">
      <c r="E6852" s="157"/>
      <c r="F6852" s="157"/>
      <c r="L6852" s="105"/>
      <c r="M6852" s="105"/>
      <c r="N6852" s="105"/>
      <c r="O6852" s="105"/>
      <c r="P6852" s="159"/>
      <c r="Q6852" s="159"/>
      <c r="R6852" s="160"/>
      <c r="S6852" s="158"/>
      <c r="T6852" s="161"/>
      <c r="U6852" s="158"/>
      <c r="V6852" s="160"/>
    </row>
    <row r="6853" spans="5:22" x14ac:dyDescent="0.25">
      <c r="E6853" s="157"/>
      <c r="F6853" s="157"/>
      <c r="L6853" s="105"/>
      <c r="M6853" s="105"/>
      <c r="N6853" s="105"/>
      <c r="O6853" s="105"/>
      <c r="P6853" s="159"/>
      <c r="Q6853" s="159"/>
      <c r="R6853" s="160"/>
      <c r="S6853" s="158"/>
      <c r="T6853" s="161"/>
      <c r="U6853" s="158"/>
      <c r="V6853" s="160"/>
    </row>
    <row r="6854" spans="5:22" x14ac:dyDescent="0.25">
      <c r="E6854" s="157"/>
      <c r="F6854" s="157"/>
      <c r="L6854" s="105"/>
      <c r="M6854" s="105"/>
      <c r="N6854" s="105"/>
      <c r="O6854" s="105"/>
      <c r="P6854" s="159"/>
      <c r="Q6854" s="159"/>
      <c r="R6854" s="160"/>
      <c r="S6854" s="158"/>
      <c r="T6854" s="161"/>
      <c r="U6854" s="158"/>
      <c r="V6854" s="160"/>
    </row>
    <row r="6855" spans="5:22" x14ac:dyDescent="0.25">
      <c r="E6855" s="157"/>
      <c r="F6855" s="157"/>
      <c r="L6855" s="105"/>
      <c r="M6855" s="105"/>
      <c r="N6855" s="105"/>
      <c r="O6855" s="105"/>
      <c r="P6855" s="159"/>
      <c r="Q6855" s="159"/>
      <c r="R6855" s="160"/>
      <c r="S6855" s="158"/>
      <c r="T6855" s="161"/>
      <c r="U6855" s="158"/>
      <c r="V6855" s="160"/>
    </row>
    <row r="6856" spans="5:22" x14ac:dyDescent="0.25">
      <c r="E6856" s="157"/>
      <c r="F6856" s="157"/>
      <c r="L6856" s="105"/>
      <c r="M6856" s="105"/>
      <c r="N6856" s="105"/>
      <c r="O6856" s="105"/>
      <c r="P6856" s="159"/>
      <c r="Q6856" s="159"/>
      <c r="R6856" s="160"/>
      <c r="S6856" s="158"/>
      <c r="T6856" s="161"/>
      <c r="U6856" s="158"/>
      <c r="V6856" s="160"/>
    </row>
    <row r="6857" spans="5:22" x14ac:dyDescent="0.25">
      <c r="E6857" s="157"/>
      <c r="F6857" s="157"/>
      <c r="L6857" s="105"/>
      <c r="M6857" s="105"/>
      <c r="N6857" s="105"/>
      <c r="O6857" s="105"/>
      <c r="P6857" s="159"/>
      <c r="Q6857" s="159"/>
      <c r="R6857" s="160"/>
      <c r="S6857" s="158"/>
      <c r="T6857" s="161"/>
      <c r="U6857" s="158"/>
      <c r="V6857" s="160"/>
    </row>
    <row r="6858" spans="5:22" x14ac:dyDescent="0.25">
      <c r="E6858" s="157"/>
      <c r="F6858" s="157"/>
      <c r="L6858" s="105"/>
      <c r="M6858" s="105"/>
      <c r="N6858" s="105"/>
      <c r="O6858" s="105"/>
      <c r="P6858" s="159"/>
      <c r="Q6858" s="159"/>
      <c r="R6858" s="160"/>
      <c r="S6858" s="158"/>
      <c r="T6858" s="161"/>
      <c r="U6858" s="158"/>
      <c r="V6858" s="160"/>
    </row>
    <row r="6859" spans="5:22" x14ac:dyDescent="0.25">
      <c r="E6859" s="157"/>
      <c r="F6859" s="157"/>
      <c r="L6859" s="105"/>
      <c r="M6859" s="105"/>
      <c r="N6859" s="105"/>
      <c r="O6859" s="105"/>
      <c r="P6859" s="159"/>
      <c r="Q6859" s="159"/>
      <c r="R6859" s="160"/>
      <c r="S6859" s="158"/>
      <c r="T6859" s="161"/>
      <c r="U6859" s="158"/>
      <c r="V6859" s="160"/>
    </row>
    <row r="6860" spans="5:22" x14ac:dyDescent="0.25">
      <c r="E6860" s="157"/>
      <c r="F6860" s="157"/>
      <c r="L6860" s="105"/>
      <c r="M6860" s="105"/>
      <c r="N6860" s="105"/>
      <c r="O6860" s="105"/>
      <c r="P6860" s="159"/>
      <c r="Q6860" s="159"/>
      <c r="R6860" s="160"/>
      <c r="S6860" s="158"/>
      <c r="T6860" s="161"/>
      <c r="U6860" s="158"/>
      <c r="V6860" s="160"/>
    </row>
    <row r="6861" spans="5:22" x14ac:dyDescent="0.25">
      <c r="E6861" s="157"/>
      <c r="F6861" s="157"/>
      <c r="L6861" s="105"/>
      <c r="M6861" s="105"/>
      <c r="N6861" s="105"/>
      <c r="O6861" s="105"/>
      <c r="P6861" s="159"/>
      <c r="Q6861" s="159"/>
      <c r="R6861" s="160"/>
      <c r="S6861" s="158"/>
      <c r="T6861" s="161"/>
      <c r="U6861" s="158"/>
      <c r="V6861" s="160"/>
    </row>
    <row r="6862" spans="5:22" x14ac:dyDescent="0.25">
      <c r="E6862" s="157"/>
      <c r="F6862" s="157"/>
      <c r="L6862" s="105"/>
      <c r="M6862" s="105"/>
      <c r="N6862" s="105"/>
      <c r="O6862" s="105"/>
      <c r="P6862" s="159"/>
      <c r="Q6862" s="159"/>
      <c r="R6862" s="160"/>
      <c r="S6862" s="158"/>
      <c r="T6862" s="161"/>
      <c r="U6862" s="158"/>
      <c r="V6862" s="160"/>
    </row>
    <row r="6863" spans="5:22" x14ac:dyDescent="0.25">
      <c r="E6863" s="157"/>
      <c r="F6863" s="157"/>
      <c r="L6863" s="105"/>
      <c r="M6863" s="105"/>
      <c r="N6863" s="105"/>
      <c r="O6863" s="105"/>
      <c r="P6863" s="159"/>
      <c r="Q6863" s="159"/>
      <c r="R6863" s="160"/>
      <c r="S6863" s="158"/>
      <c r="T6863" s="161"/>
      <c r="U6863" s="158"/>
      <c r="V6863" s="160"/>
    </row>
    <row r="6864" spans="5:22" x14ac:dyDescent="0.25">
      <c r="E6864" s="157"/>
      <c r="F6864" s="157"/>
      <c r="L6864" s="105"/>
      <c r="M6864" s="105"/>
      <c r="N6864" s="105"/>
      <c r="O6864" s="105"/>
      <c r="P6864" s="159"/>
      <c r="Q6864" s="159"/>
      <c r="R6864" s="160"/>
      <c r="S6864" s="158"/>
      <c r="T6864" s="161"/>
      <c r="U6864" s="158"/>
      <c r="V6864" s="160"/>
    </row>
    <row r="6865" spans="5:22" x14ac:dyDescent="0.25">
      <c r="E6865" s="157"/>
      <c r="F6865" s="157"/>
      <c r="L6865" s="105"/>
      <c r="M6865" s="105"/>
      <c r="N6865" s="105"/>
      <c r="O6865" s="105"/>
      <c r="P6865" s="159"/>
      <c r="Q6865" s="159"/>
      <c r="R6865" s="160"/>
      <c r="S6865" s="158"/>
      <c r="T6865" s="161"/>
      <c r="U6865" s="158"/>
      <c r="V6865" s="160"/>
    </row>
    <row r="6866" spans="5:22" x14ac:dyDescent="0.25">
      <c r="E6866" s="157"/>
      <c r="F6866" s="157"/>
      <c r="L6866" s="105"/>
      <c r="M6866" s="105"/>
      <c r="N6866" s="105"/>
      <c r="O6866" s="105"/>
      <c r="P6866" s="159"/>
      <c r="Q6866" s="159"/>
      <c r="R6866" s="160"/>
      <c r="S6866" s="158"/>
      <c r="T6866" s="161"/>
      <c r="U6866" s="158"/>
      <c r="V6866" s="160"/>
    </row>
    <row r="6867" spans="5:22" x14ac:dyDescent="0.25">
      <c r="E6867" s="157"/>
      <c r="F6867" s="157"/>
      <c r="L6867" s="105"/>
      <c r="M6867" s="105"/>
      <c r="N6867" s="105"/>
      <c r="O6867" s="105"/>
      <c r="P6867" s="159"/>
      <c r="Q6867" s="159"/>
      <c r="R6867" s="160"/>
      <c r="S6867" s="158"/>
      <c r="T6867" s="161"/>
      <c r="U6867" s="158"/>
      <c r="V6867" s="160"/>
    </row>
    <row r="6868" spans="5:22" x14ac:dyDescent="0.25">
      <c r="E6868" s="157"/>
      <c r="F6868" s="157"/>
      <c r="L6868" s="105"/>
      <c r="M6868" s="105"/>
      <c r="N6868" s="105"/>
      <c r="O6868" s="105"/>
      <c r="P6868" s="159"/>
      <c r="Q6868" s="159"/>
      <c r="R6868" s="160"/>
      <c r="S6868" s="158"/>
      <c r="T6868" s="161"/>
      <c r="U6868" s="158"/>
      <c r="V6868" s="160"/>
    </row>
    <row r="6869" spans="5:22" x14ac:dyDescent="0.25">
      <c r="E6869" s="157"/>
      <c r="F6869" s="157"/>
      <c r="L6869" s="105"/>
      <c r="M6869" s="105"/>
      <c r="N6869" s="105"/>
      <c r="O6869" s="105"/>
      <c r="P6869" s="159"/>
      <c r="Q6869" s="159"/>
      <c r="R6869" s="160"/>
      <c r="S6869" s="158"/>
      <c r="T6869" s="161"/>
      <c r="U6869" s="158"/>
      <c r="V6869" s="160"/>
    </row>
    <row r="6870" spans="5:22" x14ac:dyDescent="0.25">
      <c r="E6870" s="157"/>
      <c r="F6870" s="157"/>
      <c r="L6870" s="105"/>
      <c r="M6870" s="105"/>
      <c r="N6870" s="105"/>
      <c r="O6870" s="105"/>
      <c r="P6870" s="159"/>
      <c r="Q6870" s="159"/>
      <c r="R6870" s="160"/>
      <c r="S6870" s="158"/>
      <c r="T6870" s="161"/>
      <c r="U6870" s="158"/>
      <c r="V6870" s="160"/>
    </row>
    <row r="6871" spans="5:22" x14ac:dyDescent="0.25">
      <c r="E6871" s="157"/>
      <c r="F6871" s="157"/>
      <c r="L6871" s="105"/>
      <c r="M6871" s="105"/>
      <c r="N6871" s="105"/>
      <c r="O6871" s="105"/>
      <c r="P6871" s="159"/>
      <c r="Q6871" s="159"/>
      <c r="R6871" s="160"/>
      <c r="S6871" s="158"/>
      <c r="T6871" s="161"/>
      <c r="U6871" s="158"/>
      <c r="V6871" s="160"/>
    </row>
    <row r="6872" spans="5:22" x14ac:dyDescent="0.25">
      <c r="E6872" s="157"/>
      <c r="F6872" s="157"/>
      <c r="L6872" s="105"/>
      <c r="M6872" s="105"/>
      <c r="N6872" s="105"/>
      <c r="O6872" s="105"/>
      <c r="P6872" s="159"/>
      <c r="Q6872" s="159"/>
      <c r="R6872" s="160"/>
      <c r="S6872" s="158"/>
      <c r="T6872" s="161"/>
      <c r="U6872" s="158"/>
      <c r="V6872" s="160"/>
    </row>
    <row r="6873" spans="5:22" x14ac:dyDescent="0.25">
      <c r="E6873" s="157"/>
      <c r="F6873" s="157"/>
      <c r="L6873" s="105"/>
      <c r="M6873" s="105"/>
      <c r="N6873" s="105"/>
      <c r="O6873" s="105"/>
      <c r="P6873" s="159"/>
      <c r="Q6873" s="159"/>
      <c r="R6873" s="160"/>
      <c r="S6873" s="158"/>
      <c r="T6873" s="161"/>
      <c r="U6873" s="158"/>
      <c r="V6873" s="160"/>
    </row>
    <row r="6874" spans="5:22" x14ac:dyDescent="0.25">
      <c r="E6874" s="157"/>
      <c r="F6874" s="157"/>
      <c r="L6874" s="105"/>
      <c r="M6874" s="105"/>
      <c r="N6874" s="105"/>
      <c r="O6874" s="105"/>
      <c r="P6874" s="159"/>
      <c r="Q6874" s="159"/>
      <c r="R6874" s="160"/>
      <c r="S6874" s="158"/>
      <c r="T6874" s="161"/>
      <c r="U6874" s="158"/>
      <c r="V6874" s="160"/>
    </row>
    <row r="6875" spans="5:22" x14ac:dyDescent="0.25">
      <c r="E6875" s="157"/>
      <c r="F6875" s="157"/>
      <c r="L6875" s="105"/>
      <c r="M6875" s="105"/>
      <c r="N6875" s="105"/>
      <c r="O6875" s="105"/>
      <c r="P6875" s="159"/>
      <c r="Q6875" s="159"/>
      <c r="R6875" s="160"/>
      <c r="S6875" s="158"/>
      <c r="T6875" s="161"/>
      <c r="U6875" s="158"/>
      <c r="V6875" s="160"/>
    </row>
    <row r="6876" spans="5:22" x14ac:dyDescent="0.25">
      <c r="E6876" s="157"/>
      <c r="F6876" s="157"/>
      <c r="L6876" s="105"/>
      <c r="M6876" s="105"/>
      <c r="N6876" s="105"/>
      <c r="O6876" s="105"/>
      <c r="P6876" s="159"/>
      <c r="Q6876" s="159"/>
      <c r="R6876" s="160"/>
      <c r="S6876" s="158"/>
      <c r="T6876" s="161"/>
      <c r="U6876" s="158"/>
      <c r="V6876" s="160"/>
    </row>
    <row r="6877" spans="5:22" x14ac:dyDescent="0.25">
      <c r="E6877" s="157"/>
      <c r="F6877" s="157"/>
      <c r="L6877" s="105"/>
      <c r="M6877" s="105"/>
      <c r="N6877" s="105"/>
      <c r="O6877" s="105"/>
      <c r="P6877" s="159"/>
      <c r="Q6877" s="159"/>
      <c r="R6877" s="160"/>
      <c r="S6877" s="158"/>
      <c r="T6877" s="161"/>
      <c r="U6877" s="158"/>
      <c r="V6877" s="160"/>
    </row>
    <row r="6878" spans="5:22" x14ac:dyDescent="0.25">
      <c r="E6878" s="157"/>
      <c r="F6878" s="157"/>
      <c r="L6878" s="105"/>
      <c r="M6878" s="105"/>
      <c r="N6878" s="105"/>
      <c r="O6878" s="105"/>
      <c r="P6878" s="159"/>
      <c r="Q6878" s="159"/>
      <c r="R6878" s="160"/>
      <c r="S6878" s="158"/>
      <c r="T6878" s="161"/>
      <c r="U6878" s="158"/>
      <c r="V6878" s="160"/>
    </row>
    <row r="6879" spans="5:22" x14ac:dyDescent="0.25">
      <c r="E6879" s="157"/>
      <c r="F6879" s="157"/>
      <c r="L6879" s="105"/>
      <c r="M6879" s="105"/>
      <c r="N6879" s="105"/>
      <c r="O6879" s="105"/>
      <c r="P6879" s="159"/>
      <c r="Q6879" s="159"/>
      <c r="R6879" s="160"/>
      <c r="S6879" s="158"/>
      <c r="T6879" s="161"/>
      <c r="U6879" s="158"/>
      <c r="V6879" s="160"/>
    </row>
    <row r="6880" spans="5:22" x14ac:dyDescent="0.25">
      <c r="E6880" s="157"/>
      <c r="F6880" s="157"/>
      <c r="L6880" s="105"/>
      <c r="M6880" s="105"/>
      <c r="N6880" s="105"/>
      <c r="O6880" s="105"/>
      <c r="P6880" s="159"/>
      <c r="Q6880" s="159"/>
      <c r="R6880" s="160"/>
      <c r="S6880" s="158"/>
      <c r="T6880" s="161"/>
      <c r="U6880" s="158"/>
      <c r="V6880" s="160"/>
    </row>
    <row r="6881" spans="5:22" x14ac:dyDescent="0.25">
      <c r="E6881" s="157"/>
      <c r="F6881" s="157"/>
      <c r="L6881" s="105"/>
      <c r="M6881" s="105"/>
      <c r="N6881" s="105"/>
      <c r="O6881" s="105"/>
      <c r="P6881" s="159"/>
      <c r="Q6881" s="159"/>
      <c r="R6881" s="160"/>
      <c r="S6881" s="158"/>
      <c r="T6881" s="161"/>
      <c r="U6881" s="158"/>
      <c r="V6881" s="160"/>
    </row>
    <row r="6882" spans="5:22" x14ac:dyDescent="0.25">
      <c r="E6882" s="157"/>
      <c r="F6882" s="157"/>
      <c r="L6882" s="105"/>
      <c r="M6882" s="105"/>
      <c r="N6882" s="105"/>
      <c r="O6882" s="105"/>
      <c r="P6882" s="159"/>
      <c r="Q6882" s="159"/>
      <c r="R6882" s="160"/>
      <c r="S6882" s="158"/>
      <c r="T6882" s="161"/>
      <c r="U6882" s="158"/>
      <c r="V6882" s="160"/>
    </row>
    <row r="6883" spans="5:22" x14ac:dyDescent="0.25">
      <c r="E6883" s="157"/>
      <c r="F6883" s="157"/>
      <c r="L6883" s="105"/>
      <c r="M6883" s="105"/>
      <c r="N6883" s="105"/>
      <c r="O6883" s="105"/>
      <c r="P6883" s="159"/>
      <c r="Q6883" s="159"/>
      <c r="R6883" s="160"/>
      <c r="S6883" s="158"/>
      <c r="T6883" s="161"/>
      <c r="U6883" s="158"/>
      <c r="V6883" s="160"/>
    </row>
    <row r="6884" spans="5:22" x14ac:dyDescent="0.25">
      <c r="E6884" s="157"/>
      <c r="F6884" s="157"/>
      <c r="L6884" s="105"/>
      <c r="M6884" s="105"/>
      <c r="N6884" s="105"/>
      <c r="O6884" s="105"/>
      <c r="P6884" s="159"/>
      <c r="Q6884" s="159"/>
      <c r="R6884" s="160"/>
      <c r="S6884" s="158"/>
      <c r="T6884" s="161"/>
      <c r="U6884" s="158"/>
      <c r="V6884" s="160"/>
    </row>
    <row r="6885" spans="5:22" x14ac:dyDescent="0.25">
      <c r="E6885" s="157"/>
      <c r="F6885" s="157"/>
      <c r="L6885" s="105"/>
      <c r="M6885" s="105"/>
      <c r="N6885" s="105"/>
      <c r="O6885" s="105"/>
      <c r="P6885" s="159"/>
      <c r="Q6885" s="159"/>
      <c r="R6885" s="160"/>
      <c r="S6885" s="158"/>
      <c r="T6885" s="161"/>
      <c r="U6885" s="158"/>
      <c r="V6885" s="160"/>
    </row>
    <row r="6886" spans="5:22" x14ac:dyDescent="0.25">
      <c r="E6886" s="157"/>
      <c r="F6886" s="157"/>
      <c r="L6886" s="105"/>
      <c r="M6886" s="105"/>
      <c r="N6886" s="105"/>
      <c r="O6886" s="105"/>
      <c r="P6886" s="159"/>
      <c r="Q6886" s="159"/>
      <c r="R6886" s="160"/>
      <c r="S6886" s="158"/>
      <c r="T6886" s="161"/>
      <c r="U6886" s="158"/>
      <c r="V6886" s="160"/>
    </row>
    <row r="6887" spans="5:22" x14ac:dyDescent="0.25">
      <c r="E6887" s="157"/>
      <c r="F6887" s="157"/>
      <c r="L6887" s="105"/>
      <c r="M6887" s="105"/>
      <c r="N6887" s="105"/>
      <c r="O6887" s="105"/>
      <c r="P6887" s="159"/>
      <c r="Q6887" s="159"/>
      <c r="R6887" s="160"/>
      <c r="S6887" s="158"/>
      <c r="T6887" s="161"/>
      <c r="U6887" s="158"/>
      <c r="V6887" s="160"/>
    </row>
    <row r="6888" spans="5:22" x14ac:dyDescent="0.25">
      <c r="E6888" s="157"/>
      <c r="F6888" s="157"/>
      <c r="L6888" s="105"/>
      <c r="M6888" s="105"/>
      <c r="N6888" s="105"/>
      <c r="O6888" s="105"/>
      <c r="P6888" s="159"/>
      <c r="Q6888" s="159"/>
      <c r="R6888" s="160"/>
      <c r="S6888" s="158"/>
      <c r="T6888" s="161"/>
      <c r="U6888" s="158"/>
      <c r="V6888" s="160"/>
    </row>
    <row r="6889" spans="5:22" x14ac:dyDescent="0.25">
      <c r="E6889" s="157"/>
      <c r="F6889" s="157"/>
      <c r="L6889" s="105"/>
      <c r="M6889" s="105"/>
      <c r="N6889" s="105"/>
      <c r="O6889" s="105"/>
      <c r="P6889" s="159"/>
      <c r="Q6889" s="159"/>
      <c r="R6889" s="160"/>
      <c r="S6889" s="158"/>
      <c r="T6889" s="161"/>
      <c r="U6889" s="158"/>
      <c r="V6889" s="160"/>
    </row>
    <row r="6890" spans="5:22" x14ac:dyDescent="0.25">
      <c r="E6890" s="157"/>
      <c r="F6890" s="157"/>
      <c r="L6890" s="105"/>
      <c r="M6890" s="105"/>
      <c r="N6890" s="105"/>
      <c r="O6890" s="105"/>
      <c r="P6890" s="159"/>
      <c r="Q6890" s="159"/>
      <c r="R6890" s="160"/>
      <c r="S6890" s="158"/>
      <c r="T6890" s="161"/>
      <c r="U6890" s="158"/>
      <c r="V6890" s="160"/>
    </row>
    <row r="6891" spans="5:22" x14ac:dyDescent="0.25">
      <c r="E6891" s="157"/>
      <c r="F6891" s="157"/>
      <c r="L6891" s="105"/>
      <c r="M6891" s="105"/>
      <c r="N6891" s="105"/>
      <c r="O6891" s="105"/>
      <c r="P6891" s="159"/>
      <c r="Q6891" s="159"/>
      <c r="R6891" s="160"/>
      <c r="S6891" s="158"/>
      <c r="T6891" s="161"/>
      <c r="U6891" s="158"/>
      <c r="V6891" s="160"/>
    </row>
    <row r="6892" spans="5:22" x14ac:dyDescent="0.25">
      <c r="E6892" s="157"/>
      <c r="F6892" s="157"/>
      <c r="L6892" s="105"/>
      <c r="M6892" s="105"/>
      <c r="N6892" s="105"/>
      <c r="O6892" s="105"/>
      <c r="P6892" s="159"/>
      <c r="Q6892" s="159"/>
      <c r="R6892" s="160"/>
      <c r="S6892" s="158"/>
      <c r="T6892" s="161"/>
      <c r="U6892" s="158"/>
      <c r="V6892" s="160"/>
    </row>
    <row r="6893" spans="5:22" x14ac:dyDescent="0.25">
      <c r="E6893" s="157"/>
      <c r="F6893" s="157"/>
      <c r="L6893" s="105"/>
      <c r="M6893" s="105"/>
      <c r="N6893" s="105"/>
      <c r="O6893" s="105"/>
      <c r="P6893" s="159"/>
      <c r="Q6893" s="159"/>
      <c r="R6893" s="160"/>
      <c r="S6893" s="158"/>
      <c r="T6893" s="161"/>
      <c r="U6893" s="158"/>
      <c r="V6893" s="160"/>
    </row>
    <row r="6894" spans="5:22" x14ac:dyDescent="0.25">
      <c r="E6894" s="157"/>
      <c r="F6894" s="157"/>
      <c r="L6894" s="105"/>
      <c r="M6894" s="105"/>
      <c r="N6894" s="105"/>
      <c r="O6894" s="105"/>
      <c r="P6894" s="159"/>
      <c r="Q6894" s="159"/>
      <c r="R6894" s="160"/>
      <c r="S6894" s="158"/>
      <c r="T6894" s="161"/>
      <c r="U6894" s="158"/>
      <c r="V6894" s="160"/>
    </row>
    <row r="6895" spans="5:22" x14ac:dyDescent="0.25">
      <c r="E6895" s="157"/>
      <c r="F6895" s="157"/>
      <c r="L6895" s="105"/>
      <c r="M6895" s="105"/>
      <c r="N6895" s="105"/>
      <c r="O6895" s="105"/>
      <c r="P6895" s="159"/>
      <c r="Q6895" s="159"/>
      <c r="R6895" s="160"/>
      <c r="S6895" s="158"/>
      <c r="T6895" s="161"/>
      <c r="U6895" s="158"/>
      <c r="V6895" s="160"/>
    </row>
    <row r="6896" spans="5:22" x14ac:dyDescent="0.25">
      <c r="E6896" s="157"/>
      <c r="F6896" s="157"/>
      <c r="L6896" s="105"/>
      <c r="M6896" s="105"/>
      <c r="N6896" s="105"/>
      <c r="O6896" s="105"/>
      <c r="P6896" s="159"/>
      <c r="Q6896" s="159"/>
      <c r="R6896" s="160"/>
      <c r="S6896" s="158"/>
      <c r="T6896" s="161"/>
      <c r="U6896" s="158"/>
      <c r="V6896" s="160"/>
    </row>
    <row r="6897" spans="5:22" x14ac:dyDescent="0.25">
      <c r="E6897" s="157"/>
      <c r="F6897" s="157"/>
      <c r="L6897" s="105"/>
      <c r="M6897" s="105"/>
      <c r="N6897" s="105"/>
      <c r="O6897" s="105"/>
      <c r="P6897" s="159"/>
      <c r="Q6897" s="159"/>
      <c r="R6897" s="160"/>
      <c r="S6897" s="158"/>
      <c r="T6897" s="161"/>
      <c r="U6897" s="158"/>
      <c r="V6897" s="160"/>
    </row>
    <row r="6898" spans="5:22" x14ac:dyDescent="0.25">
      <c r="E6898" s="157"/>
      <c r="F6898" s="157"/>
      <c r="L6898" s="105"/>
      <c r="M6898" s="105"/>
      <c r="N6898" s="105"/>
      <c r="O6898" s="105"/>
      <c r="P6898" s="159"/>
      <c r="Q6898" s="159"/>
      <c r="R6898" s="160"/>
      <c r="S6898" s="158"/>
      <c r="T6898" s="161"/>
      <c r="U6898" s="158"/>
      <c r="V6898" s="160"/>
    </row>
    <row r="6899" spans="5:22" x14ac:dyDescent="0.25">
      <c r="E6899" s="157"/>
      <c r="F6899" s="157"/>
      <c r="L6899" s="105"/>
      <c r="M6899" s="105"/>
      <c r="N6899" s="105"/>
      <c r="O6899" s="105"/>
      <c r="P6899" s="159"/>
      <c r="Q6899" s="159"/>
      <c r="R6899" s="160"/>
      <c r="S6899" s="158"/>
      <c r="T6899" s="161"/>
      <c r="U6899" s="158"/>
      <c r="V6899" s="160"/>
    </row>
    <row r="6900" spans="5:22" x14ac:dyDescent="0.25">
      <c r="E6900" s="157"/>
      <c r="F6900" s="157"/>
      <c r="L6900" s="105"/>
      <c r="M6900" s="105"/>
      <c r="N6900" s="105"/>
      <c r="O6900" s="105"/>
      <c r="P6900" s="159"/>
      <c r="Q6900" s="159"/>
      <c r="R6900" s="160"/>
      <c r="S6900" s="158"/>
      <c r="T6900" s="161"/>
      <c r="U6900" s="158"/>
      <c r="V6900" s="160"/>
    </row>
    <row r="6901" spans="5:22" x14ac:dyDescent="0.25">
      <c r="E6901" s="157"/>
      <c r="F6901" s="157"/>
      <c r="L6901" s="105"/>
      <c r="M6901" s="105"/>
      <c r="N6901" s="105"/>
      <c r="O6901" s="105"/>
      <c r="P6901" s="159"/>
      <c r="Q6901" s="159"/>
      <c r="R6901" s="160"/>
      <c r="S6901" s="158"/>
      <c r="T6901" s="161"/>
      <c r="U6901" s="158"/>
      <c r="V6901" s="160"/>
    </row>
    <row r="6902" spans="5:22" x14ac:dyDescent="0.25">
      <c r="E6902" s="157"/>
      <c r="F6902" s="157"/>
      <c r="L6902" s="105"/>
      <c r="M6902" s="105"/>
      <c r="N6902" s="105"/>
      <c r="O6902" s="105"/>
      <c r="P6902" s="159"/>
      <c r="Q6902" s="159"/>
      <c r="R6902" s="160"/>
      <c r="S6902" s="158"/>
      <c r="T6902" s="161"/>
      <c r="U6902" s="158"/>
      <c r="V6902" s="160"/>
    </row>
    <row r="6903" spans="5:22" x14ac:dyDescent="0.25">
      <c r="E6903" s="157"/>
      <c r="F6903" s="157"/>
      <c r="L6903" s="105"/>
      <c r="M6903" s="105"/>
      <c r="N6903" s="105"/>
      <c r="O6903" s="105"/>
      <c r="P6903" s="159"/>
      <c r="Q6903" s="159"/>
      <c r="R6903" s="160"/>
      <c r="S6903" s="158"/>
      <c r="T6903" s="161"/>
      <c r="U6903" s="158"/>
      <c r="V6903" s="160"/>
    </row>
    <row r="6904" spans="5:22" x14ac:dyDescent="0.25">
      <c r="E6904" s="157"/>
      <c r="F6904" s="157"/>
      <c r="L6904" s="105"/>
      <c r="M6904" s="105"/>
      <c r="N6904" s="105"/>
      <c r="O6904" s="105"/>
      <c r="P6904" s="159"/>
      <c r="Q6904" s="159"/>
      <c r="R6904" s="160"/>
      <c r="S6904" s="158"/>
      <c r="T6904" s="161"/>
      <c r="U6904" s="158"/>
      <c r="V6904" s="160"/>
    </row>
    <row r="6905" spans="5:22" x14ac:dyDescent="0.25">
      <c r="E6905" s="157"/>
      <c r="F6905" s="157"/>
      <c r="L6905" s="105"/>
      <c r="M6905" s="105"/>
      <c r="N6905" s="105"/>
      <c r="O6905" s="105"/>
      <c r="P6905" s="159"/>
      <c r="Q6905" s="159"/>
      <c r="R6905" s="160"/>
      <c r="S6905" s="158"/>
      <c r="T6905" s="161"/>
      <c r="U6905" s="158"/>
      <c r="V6905" s="160"/>
    </row>
    <row r="6906" spans="5:22" x14ac:dyDescent="0.25">
      <c r="E6906" s="157"/>
      <c r="F6906" s="157"/>
      <c r="L6906" s="105"/>
      <c r="M6906" s="105"/>
      <c r="N6906" s="105"/>
      <c r="O6906" s="105"/>
      <c r="P6906" s="159"/>
      <c r="Q6906" s="159"/>
      <c r="R6906" s="160"/>
      <c r="S6906" s="158"/>
      <c r="T6906" s="161"/>
      <c r="U6906" s="158"/>
      <c r="V6906" s="160"/>
    </row>
    <row r="6907" spans="5:22" x14ac:dyDescent="0.25">
      <c r="E6907" s="157"/>
      <c r="F6907" s="157"/>
      <c r="L6907" s="105"/>
      <c r="M6907" s="105"/>
      <c r="N6907" s="105"/>
      <c r="O6907" s="105"/>
      <c r="P6907" s="159"/>
      <c r="Q6907" s="159"/>
      <c r="R6907" s="160"/>
      <c r="S6907" s="158"/>
      <c r="T6907" s="161"/>
      <c r="U6907" s="158"/>
      <c r="V6907" s="160"/>
    </row>
    <row r="6908" spans="5:22" x14ac:dyDescent="0.25">
      <c r="E6908" s="157"/>
      <c r="F6908" s="157"/>
      <c r="L6908" s="105"/>
      <c r="M6908" s="105"/>
      <c r="N6908" s="105"/>
      <c r="O6908" s="105"/>
      <c r="P6908" s="159"/>
      <c r="Q6908" s="159"/>
      <c r="R6908" s="160"/>
      <c r="S6908" s="158"/>
      <c r="T6908" s="161"/>
      <c r="U6908" s="158"/>
      <c r="V6908" s="160"/>
    </row>
    <row r="6909" spans="5:22" x14ac:dyDescent="0.25">
      <c r="E6909" s="157"/>
      <c r="F6909" s="157"/>
      <c r="L6909" s="105"/>
      <c r="M6909" s="105"/>
      <c r="N6909" s="105"/>
      <c r="O6909" s="105"/>
      <c r="P6909" s="159"/>
      <c r="Q6909" s="159"/>
      <c r="R6909" s="160"/>
      <c r="S6909" s="158"/>
      <c r="T6909" s="161"/>
      <c r="U6909" s="158"/>
      <c r="V6909" s="160"/>
    </row>
    <row r="6910" spans="5:22" x14ac:dyDescent="0.25">
      <c r="E6910" s="157"/>
      <c r="F6910" s="157"/>
      <c r="L6910" s="105"/>
      <c r="M6910" s="105"/>
      <c r="N6910" s="105"/>
      <c r="O6910" s="105"/>
      <c r="P6910" s="159"/>
      <c r="Q6910" s="159"/>
      <c r="R6910" s="160"/>
      <c r="S6910" s="158"/>
      <c r="T6910" s="161"/>
      <c r="U6910" s="158"/>
      <c r="V6910" s="160"/>
    </row>
    <row r="6911" spans="5:22" x14ac:dyDescent="0.25">
      <c r="E6911" s="157"/>
      <c r="F6911" s="157"/>
      <c r="L6911" s="105"/>
      <c r="M6911" s="105"/>
      <c r="N6911" s="105"/>
      <c r="O6911" s="105"/>
      <c r="P6911" s="159"/>
      <c r="Q6911" s="159"/>
      <c r="R6911" s="160"/>
      <c r="S6911" s="158"/>
      <c r="T6911" s="161"/>
      <c r="U6911" s="158"/>
      <c r="V6911" s="160"/>
    </row>
    <row r="6912" spans="5:22" x14ac:dyDescent="0.25">
      <c r="E6912" s="157"/>
      <c r="F6912" s="157"/>
      <c r="L6912" s="105"/>
      <c r="M6912" s="105"/>
      <c r="N6912" s="105"/>
      <c r="O6912" s="105"/>
      <c r="P6912" s="159"/>
      <c r="Q6912" s="159"/>
      <c r="R6912" s="160"/>
      <c r="S6912" s="158"/>
      <c r="T6912" s="161"/>
      <c r="U6912" s="158"/>
      <c r="V6912" s="160"/>
    </row>
    <row r="6913" spans="5:22" x14ac:dyDescent="0.25">
      <c r="E6913" s="157"/>
      <c r="F6913" s="157"/>
      <c r="L6913" s="105"/>
      <c r="M6913" s="105"/>
      <c r="N6913" s="105"/>
      <c r="O6913" s="105"/>
      <c r="P6913" s="159"/>
      <c r="Q6913" s="159"/>
      <c r="R6913" s="160"/>
      <c r="S6913" s="158"/>
      <c r="T6913" s="161"/>
      <c r="U6913" s="158"/>
      <c r="V6913" s="160"/>
    </row>
    <row r="6914" spans="5:22" x14ac:dyDescent="0.25">
      <c r="E6914" s="157"/>
      <c r="F6914" s="157"/>
      <c r="L6914" s="105"/>
      <c r="M6914" s="105"/>
      <c r="N6914" s="105"/>
      <c r="O6914" s="105"/>
      <c r="P6914" s="159"/>
      <c r="Q6914" s="159"/>
      <c r="R6914" s="160"/>
      <c r="S6914" s="158"/>
      <c r="T6914" s="161"/>
      <c r="U6914" s="158"/>
      <c r="V6914" s="160"/>
    </row>
    <row r="6915" spans="5:22" x14ac:dyDescent="0.25">
      <c r="E6915" s="157"/>
      <c r="F6915" s="157"/>
      <c r="L6915" s="105"/>
      <c r="M6915" s="105"/>
      <c r="N6915" s="105"/>
      <c r="O6915" s="105"/>
      <c r="P6915" s="159"/>
      <c r="Q6915" s="159"/>
      <c r="R6915" s="160"/>
      <c r="S6915" s="158"/>
      <c r="T6915" s="161"/>
      <c r="U6915" s="158"/>
      <c r="V6915" s="160"/>
    </row>
    <row r="6916" spans="5:22" x14ac:dyDescent="0.25">
      <c r="E6916" s="157"/>
      <c r="F6916" s="157"/>
      <c r="L6916" s="105"/>
      <c r="M6916" s="105"/>
      <c r="N6916" s="105"/>
      <c r="O6916" s="105"/>
      <c r="P6916" s="159"/>
      <c r="Q6916" s="159"/>
      <c r="R6916" s="160"/>
      <c r="S6916" s="158"/>
      <c r="T6916" s="161"/>
      <c r="U6916" s="158"/>
      <c r="V6916" s="160"/>
    </row>
    <row r="6917" spans="5:22" x14ac:dyDescent="0.25">
      <c r="E6917" s="157"/>
      <c r="F6917" s="157"/>
      <c r="L6917" s="105"/>
      <c r="M6917" s="105"/>
      <c r="N6917" s="105"/>
      <c r="O6917" s="105"/>
      <c r="P6917" s="159"/>
      <c r="Q6917" s="159"/>
      <c r="R6917" s="160"/>
      <c r="S6917" s="158"/>
      <c r="T6917" s="161"/>
      <c r="U6917" s="158"/>
      <c r="V6917" s="160"/>
    </row>
    <row r="6918" spans="5:22" x14ac:dyDescent="0.25">
      <c r="E6918" s="157"/>
      <c r="F6918" s="157"/>
      <c r="L6918" s="105"/>
      <c r="M6918" s="105"/>
      <c r="N6918" s="105"/>
      <c r="O6918" s="105"/>
      <c r="P6918" s="159"/>
      <c r="Q6918" s="159"/>
      <c r="R6918" s="160"/>
      <c r="S6918" s="158"/>
      <c r="T6918" s="161"/>
      <c r="U6918" s="158"/>
      <c r="V6918" s="160"/>
    </row>
    <row r="6919" spans="5:22" x14ac:dyDescent="0.25">
      <c r="E6919" s="157"/>
      <c r="F6919" s="157"/>
      <c r="L6919" s="105"/>
      <c r="M6919" s="105"/>
      <c r="N6919" s="105"/>
      <c r="O6919" s="105"/>
      <c r="P6919" s="159"/>
      <c r="Q6919" s="159"/>
      <c r="R6919" s="160"/>
      <c r="S6919" s="158"/>
      <c r="T6919" s="161"/>
      <c r="U6919" s="158"/>
      <c r="V6919" s="160"/>
    </row>
    <row r="6920" spans="5:22" x14ac:dyDescent="0.25">
      <c r="E6920" s="157"/>
      <c r="F6920" s="157"/>
      <c r="L6920" s="105"/>
      <c r="M6920" s="105"/>
      <c r="N6920" s="105"/>
      <c r="O6920" s="105"/>
      <c r="P6920" s="159"/>
      <c r="Q6920" s="159"/>
      <c r="R6920" s="160"/>
      <c r="S6920" s="158"/>
      <c r="T6920" s="161"/>
      <c r="U6920" s="158"/>
      <c r="V6920" s="160"/>
    </row>
    <row r="6921" spans="5:22" x14ac:dyDescent="0.25">
      <c r="E6921" s="157"/>
      <c r="F6921" s="157"/>
      <c r="L6921" s="105"/>
      <c r="M6921" s="105"/>
      <c r="N6921" s="105"/>
      <c r="O6921" s="105"/>
      <c r="P6921" s="159"/>
      <c r="Q6921" s="159"/>
      <c r="R6921" s="160"/>
      <c r="S6921" s="158"/>
      <c r="T6921" s="161"/>
      <c r="U6921" s="158"/>
      <c r="V6921" s="160"/>
    </row>
    <row r="6922" spans="5:22" x14ac:dyDescent="0.25">
      <c r="E6922" s="157"/>
      <c r="F6922" s="162"/>
      <c r="L6922" s="105"/>
      <c r="M6922" s="105"/>
      <c r="N6922" s="105"/>
      <c r="O6922" s="105"/>
      <c r="P6922" s="159"/>
      <c r="Q6922" s="159"/>
      <c r="R6922" s="160"/>
      <c r="S6922" s="158"/>
      <c r="T6922" s="161"/>
      <c r="U6922" s="158"/>
      <c r="V6922" s="160"/>
    </row>
    <row r="6923" spans="5:22" x14ac:dyDescent="0.25">
      <c r="E6923" s="157"/>
      <c r="F6923" s="157"/>
      <c r="L6923" s="105"/>
      <c r="M6923" s="105"/>
      <c r="N6923" s="105"/>
      <c r="O6923" s="105"/>
      <c r="P6923" s="159"/>
      <c r="Q6923" s="159"/>
      <c r="R6923" s="160"/>
      <c r="S6923" s="158"/>
      <c r="T6923" s="161"/>
      <c r="U6923" s="158"/>
      <c r="V6923" s="160"/>
    </row>
    <row r="6924" spans="5:22" x14ac:dyDescent="0.25">
      <c r="E6924" s="157"/>
      <c r="F6924" s="157"/>
      <c r="L6924" s="105"/>
      <c r="M6924" s="105"/>
      <c r="N6924" s="105"/>
      <c r="O6924" s="105"/>
      <c r="P6924" s="159"/>
      <c r="Q6924" s="159"/>
      <c r="R6924" s="160"/>
      <c r="S6924" s="158"/>
      <c r="T6924" s="161"/>
      <c r="U6924" s="158"/>
      <c r="V6924" s="160"/>
    </row>
    <row r="6925" spans="5:22" x14ac:dyDescent="0.25">
      <c r="E6925" s="157"/>
      <c r="F6925" s="157"/>
      <c r="L6925" s="105"/>
      <c r="M6925" s="105"/>
      <c r="N6925" s="105"/>
      <c r="O6925" s="105"/>
      <c r="P6925" s="159"/>
      <c r="Q6925" s="159"/>
      <c r="R6925" s="160"/>
      <c r="S6925" s="158"/>
      <c r="T6925" s="161"/>
      <c r="U6925" s="158"/>
      <c r="V6925" s="160"/>
    </row>
    <row r="6926" spans="5:22" x14ac:dyDescent="0.25">
      <c r="E6926" s="157"/>
      <c r="F6926" s="157"/>
      <c r="L6926" s="105"/>
      <c r="M6926" s="105"/>
      <c r="N6926" s="105"/>
      <c r="O6926" s="105"/>
      <c r="P6926" s="159"/>
      <c r="Q6926" s="159"/>
      <c r="R6926" s="160"/>
      <c r="S6926" s="158"/>
      <c r="T6926" s="161"/>
      <c r="U6926" s="158"/>
      <c r="V6926" s="160"/>
    </row>
    <row r="6927" spans="5:22" x14ac:dyDescent="0.25">
      <c r="E6927" s="157"/>
      <c r="F6927" s="157"/>
      <c r="L6927" s="105"/>
      <c r="M6927" s="105"/>
      <c r="N6927" s="105"/>
      <c r="O6927" s="105"/>
      <c r="P6927" s="159"/>
      <c r="Q6927" s="159"/>
      <c r="R6927" s="160"/>
      <c r="S6927" s="158"/>
      <c r="T6927" s="161"/>
      <c r="U6927" s="158"/>
      <c r="V6927" s="160"/>
    </row>
    <row r="6928" spans="5:22" x14ac:dyDescent="0.25">
      <c r="E6928" s="157"/>
      <c r="F6928" s="157"/>
      <c r="L6928" s="105"/>
      <c r="M6928" s="105"/>
      <c r="N6928" s="105"/>
      <c r="O6928" s="105"/>
      <c r="P6928" s="159"/>
      <c r="Q6928" s="159"/>
      <c r="R6928" s="160"/>
      <c r="S6928" s="158"/>
      <c r="T6928" s="161"/>
      <c r="U6928" s="158"/>
      <c r="V6928" s="160"/>
    </row>
    <row r="6929" spans="5:22" x14ac:dyDescent="0.25">
      <c r="E6929" s="157"/>
      <c r="F6929" s="157"/>
      <c r="L6929" s="105"/>
      <c r="M6929" s="105"/>
      <c r="N6929" s="105"/>
      <c r="O6929" s="105"/>
      <c r="P6929" s="159"/>
      <c r="Q6929" s="159"/>
      <c r="R6929" s="160"/>
      <c r="S6929" s="158"/>
      <c r="T6929" s="161"/>
      <c r="U6929" s="158"/>
      <c r="V6929" s="160"/>
    </row>
    <row r="6930" spans="5:22" x14ac:dyDescent="0.25">
      <c r="E6930" s="157"/>
      <c r="F6930" s="157"/>
      <c r="L6930" s="105"/>
      <c r="M6930" s="105"/>
      <c r="N6930" s="105"/>
      <c r="O6930" s="105"/>
      <c r="P6930" s="159"/>
      <c r="Q6930" s="159"/>
      <c r="R6930" s="160"/>
      <c r="S6930" s="158"/>
      <c r="T6930" s="161"/>
      <c r="U6930" s="158"/>
      <c r="V6930" s="160"/>
    </row>
    <row r="6931" spans="5:22" x14ac:dyDescent="0.25">
      <c r="E6931" s="157"/>
      <c r="F6931" s="157"/>
      <c r="L6931" s="105"/>
      <c r="M6931" s="105"/>
      <c r="N6931" s="105"/>
      <c r="O6931" s="105"/>
      <c r="P6931" s="159"/>
      <c r="Q6931" s="159"/>
      <c r="R6931" s="160"/>
      <c r="S6931" s="158"/>
      <c r="T6931" s="161"/>
      <c r="U6931" s="158"/>
      <c r="V6931" s="160"/>
    </row>
    <row r="6932" spans="5:22" x14ac:dyDescent="0.25">
      <c r="E6932" s="157"/>
      <c r="F6932" s="157"/>
      <c r="L6932" s="105"/>
      <c r="M6932" s="105"/>
      <c r="N6932" s="105"/>
      <c r="O6932" s="105"/>
      <c r="P6932" s="159"/>
      <c r="Q6932" s="159"/>
      <c r="R6932" s="160"/>
      <c r="S6932" s="158"/>
      <c r="T6932" s="161"/>
      <c r="U6932" s="158"/>
      <c r="V6932" s="160"/>
    </row>
    <row r="6933" spans="5:22" x14ac:dyDescent="0.25">
      <c r="E6933" s="157"/>
      <c r="F6933" s="157"/>
      <c r="L6933" s="105"/>
      <c r="M6933" s="105"/>
      <c r="N6933" s="105"/>
      <c r="O6933" s="105"/>
      <c r="P6933" s="159"/>
      <c r="Q6933" s="159"/>
      <c r="R6933" s="160"/>
      <c r="S6933" s="158"/>
      <c r="T6933" s="161"/>
      <c r="U6933" s="158"/>
      <c r="V6933" s="160"/>
    </row>
    <row r="6934" spans="5:22" x14ac:dyDescent="0.25">
      <c r="E6934" s="157"/>
      <c r="F6934" s="157"/>
      <c r="L6934" s="105"/>
      <c r="M6934" s="105"/>
      <c r="N6934" s="105"/>
      <c r="O6934" s="105"/>
      <c r="P6934" s="159"/>
      <c r="Q6934" s="159"/>
      <c r="R6934" s="160"/>
      <c r="S6934" s="158"/>
      <c r="T6934" s="161"/>
      <c r="U6934" s="158"/>
      <c r="V6934" s="160"/>
    </row>
    <row r="6935" spans="5:22" x14ac:dyDescent="0.25">
      <c r="E6935" s="157"/>
      <c r="F6935" s="157"/>
      <c r="L6935" s="105"/>
      <c r="M6935" s="105"/>
      <c r="N6935" s="105"/>
      <c r="O6935" s="105"/>
      <c r="P6935" s="159"/>
      <c r="Q6935" s="159"/>
      <c r="R6935" s="160"/>
      <c r="S6935" s="158"/>
      <c r="T6935" s="161"/>
      <c r="U6935" s="158"/>
      <c r="V6935" s="160"/>
    </row>
    <row r="6936" spans="5:22" x14ac:dyDescent="0.25">
      <c r="E6936" s="157"/>
      <c r="F6936" s="157"/>
      <c r="L6936" s="105"/>
      <c r="M6936" s="105"/>
      <c r="N6936" s="105"/>
      <c r="O6936" s="105"/>
      <c r="P6936" s="159"/>
      <c r="Q6936" s="159"/>
      <c r="R6936" s="160"/>
      <c r="S6936" s="158"/>
      <c r="T6936" s="161"/>
      <c r="U6936" s="158"/>
      <c r="V6936" s="160"/>
    </row>
    <row r="6937" spans="5:22" x14ac:dyDescent="0.25">
      <c r="E6937" s="157"/>
      <c r="F6937" s="157"/>
      <c r="L6937" s="105"/>
      <c r="M6937" s="105"/>
      <c r="N6937" s="105"/>
      <c r="O6937" s="105"/>
      <c r="P6937" s="159"/>
      <c r="Q6937" s="159"/>
      <c r="R6937" s="160"/>
      <c r="S6937" s="158"/>
      <c r="T6937" s="161"/>
      <c r="U6937" s="158"/>
      <c r="V6937" s="160"/>
    </row>
    <row r="6938" spans="5:22" x14ac:dyDescent="0.25">
      <c r="E6938" s="157"/>
      <c r="F6938" s="157"/>
      <c r="L6938" s="105"/>
      <c r="M6938" s="105"/>
      <c r="N6938" s="105"/>
      <c r="O6938" s="105"/>
      <c r="P6938" s="159"/>
      <c r="Q6938" s="159"/>
      <c r="R6938" s="160"/>
      <c r="S6938" s="158"/>
      <c r="T6938" s="161"/>
      <c r="U6938" s="158"/>
      <c r="V6938" s="160"/>
    </row>
    <row r="6939" spans="5:22" x14ac:dyDescent="0.25">
      <c r="E6939" s="157"/>
      <c r="F6939" s="157"/>
      <c r="L6939" s="105"/>
      <c r="M6939" s="105"/>
      <c r="N6939" s="105"/>
      <c r="O6939" s="105"/>
      <c r="P6939" s="159"/>
      <c r="Q6939" s="159"/>
      <c r="R6939" s="160"/>
      <c r="S6939" s="158"/>
      <c r="T6939" s="161"/>
      <c r="U6939" s="158"/>
      <c r="V6939" s="160"/>
    </row>
    <row r="6940" spans="5:22" x14ac:dyDescent="0.25">
      <c r="E6940" s="157"/>
      <c r="F6940" s="157"/>
      <c r="L6940" s="105"/>
      <c r="M6940" s="105"/>
      <c r="N6940" s="105"/>
      <c r="O6940" s="105"/>
      <c r="P6940" s="159"/>
      <c r="Q6940" s="159"/>
      <c r="R6940" s="160"/>
      <c r="S6940" s="158"/>
      <c r="T6940" s="161"/>
      <c r="U6940" s="158"/>
      <c r="V6940" s="160"/>
    </row>
    <row r="6941" spans="5:22" x14ac:dyDescent="0.25">
      <c r="E6941" s="157"/>
      <c r="F6941" s="157"/>
      <c r="L6941" s="105"/>
      <c r="M6941" s="105"/>
      <c r="N6941" s="105"/>
      <c r="O6941" s="105"/>
      <c r="P6941" s="159"/>
      <c r="Q6941" s="159"/>
      <c r="R6941" s="160"/>
      <c r="S6941" s="158"/>
      <c r="T6941" s="161"/>
      <c r="U6941" s="158"/>
      <c r="V6941" s="160"/>
    </row>
    <row r="6942" spans="5:22" x14ac:dyDescent="0.25">
      <c r="E6942" s="157"/>
      <c r="F6942" s="157"/>
      <c r="L6942" s="105"/>
      <c r="M6942" s="105"/>
      <c r="N6942" s="105"/>
      <c r="O6942" s="105"/>
      <c r="P6942" s="159"/>
      <c r="Q6942" s="159"/>
      <c r="R6942" s="160"/>
      <c r="S6942" s="158"/>
      <c r="T6942" s="161"/>
      <c r="U6942" s="158"/>
      <c r="V6942" s="160"/>
    </row>
    <row r="6943" spans="5:22" x14ac:dyDescent="0.25">
      <c r="E6943" s="157"/>
      <c r="F6943" s="157"/>
      <c r="L6943" s="105"/>
      <c r="M6943" s="105"/>
      <c r="N6943" s="105"/>
      <c r="O6943" s="105"/>
      <c r="P6943" s="159"/>
      <c r="Q6943" s="159"/>
      <c r="R6943" s="160"/>
      <c r="S6943" s="158"/>
      <c r="T6943" s="161"/>
      <c r="U6943" s="158"/>
      <c r="V6943" s="160"/>
    </row>
    <row r="6944" spans="5:22" x14ac:dyDescent="0.25">
      <c r="E6944" s="157"/>
      <c r="F6944" s="157"/>
      <c r="L6944" s="105"/>
      <c r="M6944" s="105"/>
      <c r="N6944" s="105"/>
      <c r="O6944" s="105"/>
      <c r="P6944" s="159"/>
      <c r="Q6944" s="159"/>
      <c r="R6944" s="160"/>
      <c r="S6944" s="158"/>
      <c r="T6944" s="161"/>
      <c r="U6944" s="158"/>
      <c r="V6944" s="160"/>
    </row>
    <row r="6945" spans="5:22" x14ac:dyDescent="0.25">
      <c r="E6945" s="157"/>
      <c r="F6945" s="157"/>
      <c r="L6945" s="105"/>
      <c r="M6945" s="105"/>
      <c r="N6945" s="105"/>
      <c r="O6945" s="105"/>
      <c r="P6945" s="159"/>
      <c r="Q6945" s="159"/>
      <c r="R6945" s="160"/>
      <c r="S6945" s="158"/>
      <c r="T6945" s="161"/>
      <c r="U6945" s="158"/>
      <c r="V6945" s="160"/>
    </row>
    <row r="6946" spans="5:22" x14ac:dyDescent="0.25">
      <c r="E6946" s="157"/>
      <c r="F6946" s="157"/>
      <c r="L6946" s="105"/>
      <c r="M6946" s="105"/>
      <c r="N6946" s="105"/>
      <c r="O6946" s="105"/>
      <c r="P6946" s="159"/>
      <c r="Q6946" s="159"/>
      <c r="R6946" s="160"/>
      <c r="S6946" s="158"/>
      <c r="T6946" s="161"/>
      <c r="U6946" s="158"/>
      <c r="V6946" s="160"/>
    </row>
    <row r="6947" spans="5:22" x14ac:dyDescent="0.25">
      <c r="E6947" s="157"/>
      <c r="F6947" s="157"/>
      <c r="L6947" s="105"/>
      <c r="M6947" s="105"/>
      <c r="N6947" s="105"/>
      <c r="O6947" s="105"/>
      <c r="P6947" s="159"/>
      <c r="Q6947" s="159"/>
      <c r="R6947" s="160"/>
      <c r="S6947" s="158"/>
      <c r="T6947" s="161"/>
      <c r="U6947" s="158"/>
      <c r="V6947" s="160"/>
    </row>
    <row r="6948" spans="5:22" x14ac:dyDescent="0.25">
      <c r="E6948" s="157"/>
      <c r="F6948" s="157"/>
      <c r="L6948" s="105"/>
      <c r="M6948" s="105"/>
      <c r="N6948" s="105"/>
      <c r="O6948" s="105"/>
      <c r="P6948" s="159"/>
      <c r="Q6948" s="159"/>
      <c r="R6948" s="160"/>
      <c r="S6948" s="158"/>
      <c r="T6948" s="161"/>
      <c r="U6948" s="158"/>
      <c r="V6948" s="160"/>
    </row>
    <row r="6949" spans="5:22" x14ac:dyDescent="0.25">
      <c r="E6949" s="157"/>
      <c r="F6949" s="157"/>
      <c r="L6949" s="105"/>
      <c r="M6949" s="105"/>
      <c r="N6949" s="105"/>
      <c r="O6949" s="105"/>
      <c r="P6949" s="159"/>
      <c r="Q6949" s="159"/>
      <c r="R6949" s="160"/>
      <c r="S6949" s="158"/>
      <c r="T6949" s="161"/>
      <c r="U6949" s="158"/>
      <c r="V6949" s="160"/>
    </row>
    <row r="6950" spans="5:22" x14ac:dyDescent="0.25">
      <c r="E6950" s="157"/>
      <c r="F6950" s="157"/>
      <c r="L6950" s="105"/>
      <c r="M6950" s="105"/>
      <c r="N6950" s="105"/>
      <c r="O6950" s="105"/>
      <c r="P6950" s="159"/>
      <c r="Q6950" s="159"/>
      <c r="R6950" s="160"/>
      <c r="S6950" s="158"/>
      <c r="T6950" s="161"/>
      <c r="U6950" s="158"/>
      <c r="V6950" s="160"/>
    </row>
    <row r="6951" spans="5:22" x14ac:dyDescent="0.25">
      <c r="E6951" s="157"/>
      <c r="F6951" s="157"/>
      <c r="L6951" s="105"/>
      <c r="M6951" s="105"/>
      <c r="N6951" s="105"/>
      <c r="O6951" s="105"/>
      <c r="P6951" s="159"/>
      <c r="Q6951" s="159"/>
      <c r="R6951" s="160"/>
      <c r="S6951" s="158"/>
      <c r="T6951" s="161"/>
      <c r="U6951" s="158"/>
      <c r="V6951" s="160"/>
    </row>
    <row r="6952" spans="5:22" x14ac:dyDescent="0.25">
      <c r="E6952" s="157"/>
      <c r="F6952" s="162"/>
      <c r="L6952" s="105"/>
      <c r="M6952" s="105"/>
      <c r="N6952" s="105"/>
      <c r="O6952" s="105"/>
      <c r="P6952" s="159"/>
      <c r="Q6952" s="159"/>
      <c r="R6952" s="160"/>
      <c r="S6952" s="158"/>
      <c r="T6952" s="161"/>
      <c r="U6952" s="158"/>
      <c r="V6952" s="160"/>
    </row>
    <row r="6953" spans="5:22" x14ac:dyDescent="0.25">
      <c r="E6953" s="162"/>
      <c r="F6953" s="157"/>
      <c r="L6953" s="105"/>
      <c r="M6953" s="105"/>
      <c r="N6953" s="105"/>
      <c r="O6953" s="105"/>
      <c r="P6953" s="159"/>
      <c r="Q6953" s="159"/>
      <c r="R6953" s="160"/>
      <c r="S6953" s="158"/>
      <c r="T6953" s="161"/>
      <c r="U6953" s="158"/>
      <c r="V6953" s="160"/>
    </row>
    <row r="6954" spans="5:22" x14ac:dyDescent="0.25">
      <c r="E6954" s="157"/>
      <c r="F6954" s="157"/>
      <c r="L6954" s="105"/>
      <c r="M6954" s="105"/>
      <c r="N6954" s="105"/>
      <c r="O6954" s="105"/>
      <c r="P6954" s="159"/>
      <c r="Q6954" s="159"/>
      <c r="R6954" s="160"/>
      <c r="S6954" s="158"/>
      <c r="T6954" s="161"/>
      <c r="U6954" s="158"/>
      <c r="V6954" s="160"/>
    </row>
    <row r="6955" spans="5:22" x14ac:dyDescent="0.25">
      <c r="E6955" s="157"/>
      <c r="F6955" s="157"/>
      <c r="L6955" s="105"/>
      <c r="M6955" s="105"/>
      <c r="N6955" s="105"/>
      <c r="O6955" s="105"/>
      <c r="P6955" s="159"/>
      <c r="Q6955" s="159"/>
      <c r="R6955" s="160"/>
      <c r="S6955" s="158"/>
      <c r="T6955" s="161"/>
      <c r="U6955" s="158"/>
      <c r="V6955" s="160"/>
    </row>
    <row r="6956" spans="5:22" x14ac:dyDescent="0.25">
      <c r="E6956" s="157"/>
      <c r="F6956" s="157"/>
      <c r="L6956" s="105"/>
      <c r="M6956" s="105"/>
      <c r="N6956" s="105"/>
      <c r="O6956" s="105"/>
      <c r="P6956" s="159"/>
      <c r="Q6956" s="159"/>
      <c r="R6956" s="160"/>
      <c r="S6956" s="158"/>
      <c r="T6956" s="161"/>
      <c r="U6956" s="158"/>
      <c r="V6956" s="160"/>
    </row>
    <row r="6957" spans="5:22" x14ac:dyDescent="0.25">
      <c r="E6957" s="157"/>
      <c r="F6957" s="157"/>
      <c r="L6957" s="105"/>
      <c r="M6957" s="105"/>
      <c r="N6957" s="105"/>
      <c r="O6957" s="105"/>
      <c r="P6957" s="159"/>
      <c r="Q6957" s="159"/>
      <c r="R6957" s="160"/>
      <c r="S6957" s="158"/>
      <c r="T6957" s="161"/>
      <c r="U6957" s="158"/>
      <c r="V6957" s="160"/>
    </row>
    <row r="6958" spans="5:22" x14ac:dyDescent="0.25">
      <c r="E6958" s="157"/>
      <c r="F6958" s="157"/>
      <c r="L6958" s="105"/>
      <c r="M6958" s="105"/>
      <c r="N6958" s="105"/>
      <c r="O6958" s="105"/>
      <c r="P6958" s="159"/>
      <c r="Q6958" s="159"/>
      <c r="R6958" s="160"/>
      <c r="S6958" s="158"/>
      <c r="T6958" s="161"/>
      <c r="U6958" s="158"/>
      <c r="V6958" s="160"/>
    </row>
    <row r="6959" spans="5:22" x14ac:dyDescent="0.25">
      <c r="E6959" s="157"/>
      <c r="F6959" s="157"/>
      <c r="L6959" s="105"/>
      <c r="M6959" s="105"/>
      <c r="N6959" s="105"/>
      <c r="O6959" s="105"/>
      <c r="P6959" s="159"/>
      <c r="Q6959" s="159"/>
      <c r="R6959" s="160"/>
      <c r="S6959" s="158"/>
      <c r="T6959" s="161"/>
      <c r="U6959" s="158"/>
      <c r="V6959" s="160"/>
    </row>
    <row r="6960" spans="5:22" x14ac:dyDescent="0.25">
      <c r="E6960" s="157"/>
      <c r="F6960" s="157"/>
      <c r="L6960" s="105"/>
      <c r="M6960" s="105"/>
      <c r="N6960" s="105"/>
      <c r="O6960" s="105"/>
      <c r="P6960" s="159"/>
      <c r="Q6960" s="159"/>
      <c r="R6960" s="160"/>
      <c r="S6960" s="158"/>
      <c r="T6960" s="161"/>
      <c r="U6960" s="158"/>
      <c r="V6960" s="160"/>
    </row>
    <row r="6961" spans="5:22" x14ac:dyDescent="0.25">
      <c r="E6961" s="157"/>
      <c r="F6961" s="157"/>
      <c r="L6961" s="105"/>
      <c r="M6961" s="105"/>
      <c r="N6961" s="105"/>
      <c r="O6961" s="105"/>
      <c r="P6961" s="159"/>
      <c r="Q6961" s="159"/>
      <c r="R6961" s="160"/>
      <c r="S6961" s="158"/>
      <c r="T6961" s="161"/>
      <c r="U6961" s="158"/>
      <c r="V6961" s="160"/>
    </row>
    <row r="6962" spans="5:22" x14ac:dyDescent="0.25">
      <c r="E6962" s="157"/>
      <c r="F6962" s="157"/>
      <c r="L6962" s="105"/>
      <c r="M6962" s="105"/>
      <c r="N6962" s="105"/>
      <c r="O6962" s="105"/>
      <c r="P6962" s="159"/>
      <c r="Q6962" s="159"/>
      <c r="R6962" s="160"/>
      <c r="S6962" s="158"/>
      <c r="T6962" s="161"/>
      <c r="U6962" s="158"/>
      <c r="V6962" s="160"/>
    </row>
    <row r="6963" spans="5:22" x14ac:dyDescent="0.25">
      <c r="E6963" s="157"/>
      <c r="F6963" s="157"/>
      <c r="L6963" s="105"/>
      <c r="M6963" s="105"/>
      <c r="N6963" s="105"/>
      <c r="O6963" s="105"/>
      <c r="P6963" s="159"/>
      <c r="Q6963" s="159"/>
      <c r="R6963" s="160"/>
      <c r="S6963" s="158"/>
      <c r="T6963" s="161"/>
      <c r="U6963" s="158"/>
      <c r="V6963" s="160"/>
    </row>
    <row r="6964" spans="5:22" x14ac:dyDescent="0.25">
      <c r="E6964" s="157"/>
      <c r="F6964" s="157"/>
      <c r="L6964" s="105"/>
      <c r="M6964" s="105"/>
      <c r="N6964" s="105"/>
      <c r="O6964" s="105"/>
      <c r="P6964" s="159"/>
      <c r="Q6964" s="159"/>
      <c r="R6964" s="160"/>
      <c r="S6964" s="158"/>
      <c r="T6964" s="161"/>
      <c r="U6964" s="158"/>
      <c r="V6964" s="160"/>
    </row>
    <row r="6965" spans="5:22" x14ac:dyDescent="0.25">
      <c r="E6965" s="157"/>
      <c r="F6965" s="157"/>
      <c r="L6965" s="105"/>
      <c r="M6965" s="105"/>
      <c r="N6965" s="105"/>
      <c r="O6965" s="105"/>
      <c r="P6965" s="159"/>
      <c r="Q6965" s="159"/>
      <c r="R6965" s="160"/>
      <c r="S6965" s="158"/>
      <c r="T6965" s="161"/>
      <c r="U6965" s="158"/>
      <c r="V6965" s="160"/>
    </row>
    <row r="6966" spans="5:22" x14ac:dyDescent="0.25">
      <c r="E6966" s="157"/>
      <c r="F6966" s="157"/>
      <c r="L6966" s="105"/>
      <c r="M6966" s="105"/>
      <c r="N6966" s="105"/>
      <c r="O6966" s="105"/>
      <c r="P6966" s="159"/>
      <c r="Q6966" s="159"/>
      <c r="R6966" s="160"/>
      <c r="S6966" s="158"/>
      <c r="T6966" s="161"/>
      <c r="U6966" s="158"/>
      <c r="V6966" s="160"/>
    </row>
    <row r="6967" spans="5:22" x14ac:dyDescent="0.25">
      <c r="E6967" s="157"/>
      <c r="F6967" s="157"/>
      <c r="L6967" s="105"/>
      <c r="M6967" s="105"/>
      <c r="N6967" s="105"/>
      <c r="O6967" s="105"/>
      <c r="P6967" s="159"/>
      <c r="Q6967" s="159"/>
      <c r="R6967" s="160"/>
      <c r="S6967" s="158"/>
      <c r="T6967" s="161"/>
      <c r="U6967" s="158"/>
      <c r="V6967" s="160"/>
    </row>
    <row r="6968" spans="5:22" x14ac:dyDescent="0.25">
      <c r="E6968" s="157"/>
      <c r="F6968" s="157"/>
      <c r="L6968" s="105"/>
      <c r="M6968" s="105"/>
      <c r="N6968" s="105"/>
      <c r="O6968" s="105"/>
      <c r="P6968" s="159"/>
      <c r="Q6968" s="159"/>
      <c r="R6968" s="160"/>
      <c r="S6968" s="158"/>
      <c r="T6968" s="161"/>
      <c r="U6968" s="158"/>
      <c r="V6968" s="160"/>
    </row>
    <row r="6969" spans="5:22" x14ac:dyDescent="0.25">
      <c r="E6969" s="157"/>
      <c r="F6969" s="157"/>
      <c r="L6969" s="105"/>
      <c r="M6969" s="105"/>
      <c r="N6969" s="105"/>
      <c r="O6969" s="105"/>
      <c r="P6969" s="159"/>
      <c r="Q6969" s="159"/>
      <c r="R6969" s="160"/>
      <c r="S6969" s="158"/>
      <c r="T6969" s="161"/>
      <c r="U6969" s="158"/>
      <c r="V6969" s="160"/>
    </row>
    <row r="6970" spans="5:22" x14ac:dyDescent="0.25">
      <c r="E6970" s="157"/>
      <c r="F6970" s="157"/>
      <c r="L6970" s="105"/>
      <c r="M6970" s="105"/>
      <c r="N6970" s="105"/>
      <c r="O6970" s="105"/>
      <c r="P6970" s="159"/>
      <c r="Q6970" s="159"/>
      <c r="R6970" s="160"/>
      <c r="S6970" s="158"/>
      <c r="T6970" s="161"/>
      <c r="U6970" s="158"/>
      <c r="V6970" s="160"/>
    </row>
    <row r="6971" spans="5:22" x14ac:dyDescent="0.25">
      <c r="E6971" s="157"/>
      <c r="F6971" s="157"/>
      <c r="L6971" s="105"/>
      <c r="M6971" s="105"/>
      <c r="N6971" s="105"/>
      <c r="O6971" s="105"/>
      <c r="P6971" s="159"/>
      <c r="Q6971" s="159"/>
      <c r="R6971" s="160"/>
      <c r="S6971" s="158"/>
      <c r="T6971" s="161"/>
      <c r="U6971" s="158"/>
      <c r="V6971" s="160"/>
    </row>
    <row r="6972" spans="5:22" x14ac:dyDescent="0.25">
      <c r="E6972" s="157"/>
      <c r="F6972" s="157"/>
      <c r="L6972" s="105"/>
      <c r="M6972" s="105"/>
      <c r="N6972" s="105"/>
      <c r="O6972" s="105"/>
      <c r="P6972" s="159"/>
      <c r="Q6972" s="159"/>
      <c r="R6972" s="160"/>
      <c r="S6972" s="158"/>
      <c r="T6972" s="161"/>
      <c r="U6972" s="158"/>
      <c r="V6972" s="160"/>
    </row>
    <row r="6973" spans="5:22" x14ac:dyDescent="0.25">
      <c r="E6973" s="157"/>
      <c r="F6973" s="157"/>
      <c r="L6973" s="105"/>
      <c r="M6973" s="105"/>
      <c r="N6973" s="105"/>
      <c r="O6973" s="105"/>
      <c r="P6973" s="159"/>
      <c r="Q6973" s="159"/>
      <c r="R6973" s="160"/>
      <c r="S6973" s="158"/>
      <c r="T6973" s="161"/>
      <c r="U6973" s="158"/>
      <c r="V6973" s="160"/>
    </row>
    <row r="6974" spans="5:22" x14ac:dyDescent="0.25">
      <c r="E6974" s="157"/>
      <c r="F6974" s="157"/>
      <c r="L6974" s="105"/>
      <c r="M6974" s="105"/>
      <c r="N6974" s="105"/>
      <c r="O6974" s="105"/>
      <c r="P6974" s="159"/>
      <c r="Q6974" s="159"/>
      <c r="R6974" s="160"/>
      <c r="S6974" s="158"/>
      <c r="T6974" s="161"/>
      <c r="U6974" s="158"/>
      <c r="V6974" s="160"/>
    </row>
    <row r="6975" spans="5:22" x14ac:dyDescent="0.25">
      <c r="E6975" s="157"/>
      <c r="F6975" s="157"/>
      <c r="L6975" s="105"/>
      <c r="M6975" s="105"/>
      <c r="N6975" s="105"/>
      <c r="O6975" s="105"/>
      <c r="P6975" s="159"/>
      <c r="Q6975" s="159"/>
      <c r="R6975" s="160"/>
      <c r="S6975" s="158"/>
      <c r="T6975" s="161"/>
      <c r="U6975" s="158"/>
      <c r="V6975" s="160"/>
    </row>
    <row r="6976" spans="5:22" x14ac:dyDescent="0.25">
      <c r="E6976" s="157"/>
      <c r="F6976" s="157"/>
      <c r="L6976" s="105"/>
      <c r="M6976" s="105"/>
      <c r="N6976" s="105"/>
      <c r="O6976" s="105"/>
      <c r="P6976" s="159"/>
      <c r="Q6976" s="159"/>
      <c r="R6976" s="160"/>
      <c r="S6976" s="158"/>
      <c r="T6976" s="161"/>
      <c r="U6976" s="158"/>
      <c r="V6976" s="160"/>
    </row>
    <row r="6977" spans="5:22" x14ac:dyDescent="0.25">
      <c r="E6977" s="157"/>
      <c r="F6977" s="157"/>
      <c r="L6977" s="105"/>
      <c r="M6977" s="105"/>
      <c r="N6977" s="105"/>
      <c r="O6977" s="105"/>
      <c r="P6977" s="159"/>
      <c r="Q6977" s="159"/>
      <c r="R6977" s="160"/>
      <c r="S6977" s="158"/>
      <c r="T6977" s="161"/>
      <c r="U6977" s="158"/>
      <c r="V6977" s="160"/>
    </row>
    <row r="6978" spans="5:22" x14ac:dyDescent="0.25">
      <c r="E6978" s="157"/>
      <c r="F6978" s="157"/>
      <c r="L6978" s="105"/>
      <c r="M6978" s="105"/>
      <c r="N6978" s="105"/>
      <c r="O6978" s="105"/>
      <c r="P6978" s="159"/>
      <c r="Q6978" s="159"/>
      <c r="R6978" s="160"/>
      <c r="S6978" s="158"/>
      <c r="T6978" s="161"/>
      <c r="U6978" s="158"/>
      <c r="V6978" s="160"/>
    </row>
    <row r="6979" spans="5:22" x14ac:dyDescent="0.25">
      <c r="E6979" s="157"/>
      <c r="F6979" s="157"/>
      <c r="L6979" s="105"/>
      <c r="M6979" s="105"/>
      <c r="N6979" s="105"/>
      <c r="O6979" s="105"/>
      <c r="P6979" s="159"/>
      <c r="Q6979" s="159"/>
      <c r="R6979" s="160"/>
      <c r="S6979" s="158"/>
      <c r="T6979" s="161"/>
      <c r="U6979" s="158"/>
      <c r="V6979" s="160"/>
    </row>
    <row r="6980" spans="5:22" x14ac:dyDescent="0.25">
      <c r="E6980" s="157"/>
      <c r="F6980" s="162"/>
      <c r="L6980" s="105"/>
      <c r="M6980" s="105"/>
      <c r="N6980" s="105"/>
      <c r="O6980" s="105"/>
      <c r="P6980" s="159"/>
      <c r="Q6980" s="159"/>
      <c r="R6980" s="160"/>
      <c r="S6980" s="158"/>
      <c r="T6980" s="161"/>
      <c r="U6980" s="158"/>
      <c r="V6980" s="160"/>
    </row>
    <row r="6981" spans="5:22" x14ac:dyDescent="0.25">
      <c r="E6981" s="157"/>
      <c r="F6981" s="162"/>
      <c r="L6981" s="105"/>
      <c r="M6981" s="105"/>
      <c r="N6981" s="105"/>
      <c r="O6981" s="105"/>
      <c r="P6981" s="159"/>
      <c r="Q6981" s="159"/>
      <c r="R6981" s="160"/>
      <c r="S6981" s="158"/>
      <c r="T6981" s="161"/>
      <c r="U6981" s="158"/>
      <c r="V6981" s="160"/>
    </row>
    <row r="6982" spans="5:22" x14ac:dyDescent="0.25">
      <c r="E6982" s="157"/>
      <c r="F6982" s="157"/>
      <c r="L6982" s="105"/>
      <c r="M6982" s="105"/>
      <c r="N6982" s="105"/>
      <c r="O6982" s="105"/>
      <c r="P6982" s="159"/>
      <c r="Q6982" s="159"/>
      <c r="R6982" s="160"/>
      <c r="S6982" s="158"/>
      <c r="T6982" s="161"/>
      <c r="U6982" s="158"/>
      <c r="V6982" s="160"/>
    </row>
    <row r="6983" spans="5:22" x14ac:dyDescent="0.25">
      <c r="E6983" s="157"/>
      <c r="F6983" s="157"/>
      <c r="L6983" s="105"/>
      <c r="M6983" s="105"/>
      <c r="N6983" s="105"/>
      <c r="O6983" s="105"/>
      <c r="P6983" s="159"/>
      <c r="Q6983" s="159"/>
      <c r="R6983" s="160"/>
      <c r="S6983" s="158"/>
      <c r="T6983" s="161"/>
      <c r="U6983" s="158"/>
      <c r="V6983" s="160"/>
    </row>
    <row r="6984" spans="5:22" x14ac:dyDescent="0.25">
      <c r="E6984" s="157"/>
      <c r="F6984" s="157"/>
      <c r="L6984" s="105"/>
      <c r="M6984" s="105"/>
      <c r="N6984" s="105"/>
      <c r="O6984" s="105"/>
      <c r="P6984" s="159"/>
      <c r="Q6984" s="159"/>
      <c r="R6984" s="160"/>
      <c r="S6984" s="158"/>
      <c r="T6984" s="161"/>
      <c r="U6984" s="158"/>
      <c r="V6984" s="160"/>
    </row>
    <row r="6985" spans="5:22" x14ac:dyDescent="0.25">
      <c r="E6985" s="157"/>
      <c r="F6985" s="157"/>
      <c r="L6985" s="105"/>
      <c r="M6985" s="105"/>
      <c r="N6985" s="105"/>
      <c r="O6985" s="105"/>
      <c r="P6985" s="159"/>
      <c r="Q6985" s="159"/>
      <c r="R6985" s="160"/>
      <c r="S6985" s="158"/>
      <c r="T6985" s="161"/>
      <c r="U6985" s="158"/>
      <c r="V6985" s="160"/>
    </row>
    <row r="6986" spans="5:22" x14ac:dyDescent="0.25">
      <c r="E6986" s="157"/>
      <c r="F6986" s="157"/>
      <c r="L6986" s="105"/>
      <c r="M6986" s="105"/>
      <c r="N6986" s="105"/>
      <c r="O6986" s="105"/>
      <c r="P6986" s="159"/>
      <c r="Q6986" s="159"/>
      <c r="R6986" s="160"/>
      <c r="S6986" s="158"/>
      <c r="T6986" s="161"/>
      <c r="U6986" s="158"/>
      <c r="V6986" s="160"/>
    </row>
    <row r="6987" spans="5:22" x14ac:dyDescent="0.25">
      <c r="E6987" s="157"/>
      <c r="F6987" s="157"/>
      <c r="L6987" s="105"/>
      <c r="M6987" s="105"/>
      <c r="N6987" s="105"/>
      <c r="O6987" s="105"/>
      <c r="P6987" s="159"/>
      <c r="Q6987" s="159"/>
      <c r="R6987" s="160"/>
      <c r="S6987" s="158"/>
      <c r="T6987" s="161"/>
      <c r="U6987" s="158"/>
      <c r="V6987" s="160"/>
    </row>
    <row r="6988" spans="5:22" x14ac:dyDescent="0.25">
      <c r="E6988" s="157"/>
      <c r="F6988" s="157"/>
      <c r="L6988" s="105"/>
      <c r="M6988" s="105"/>
      <c r="N6988" s="105"/>
      <c r="O6988" s="105"/>
      <c r="P6988" s="159"/>
      <c r="Q6988" s="159"/>
      <c r="R6988" s="160"/>
      <c r="S6988" s="158"/>
      <c r="T6988" s="161"/>
      <c r="U6988" s="158"/>
      <c r="V6988" s="160"/>
    </row>
    <row r="6989" spans="5:22" x14ac:dyDescent="0.25">
      <c r="E6989" s="157"/>
      <c r="F6989" s="157"/>
      <c r="L6989" s="105"/>
      <c r="M6989" s="105"/>
      <c r="N6989" s="105"/>
      <c r="O6989" s="105"/>
      <c r="P6989" s="159"/>
      <c r="Q6989" s="159"/>
      <c r="R6989" s="160"/>
      <c r="S6989" s="158"/>
      <c r="T6989" s="161"/>
      <c r="U6989" s="158"/>
      <c r="V6989" s="160"/>
    </row>
    <row r="6990" spans="5:22" x14ac:dyDescent="0.25">
      <c r="E6990" s="157"/>
      <c r="F6990" s="157"/>
      <c r="L6990" s="105"/>
      <c r="M6990" s="105"/>
      <c r="N6990" s="105"/>
      <c r="O6990" s="105"/>
      <c r="P6990" s="159"/>
      <c r="Q6990" s="159"/>
      <c r="R6990" s="160"/>
      <c r="S6990" s="158"/>
      <c r="T6990" s="161"/>
      <c r="U6990" s="158"/>
      <c r="V6990" s="160"/>
    </row>
    <row r="6991" spans="5:22" x14ac:dyDescent="0.25">
      <c r="E6991" s="157"/>
      <c r="F6991" s="157"/>
      <c r="L6991" s="105"/>
      <c r="M6991" s="105"/>
      <c r="N6991" s="105"/>
      <c r="O6991" s="105"/>
      <c r="P6991" s="159"/>
      <c r="Q6991" s="159"/>
      <c r="R6991" s="160"/>
      <c r="S6991" s="158"/>
      <c r="T6991" s="161"/>
      <c r="U6991" s="158"/>
      <c r="V6991" s="160"/>
    </row>
    <row r="6992" spans="5:22" x14ac:dyDescent="0.25">
      <c r="E6992" s="157"/>
      <c r="F6992" s="157"/>
      <c r="L6992" s="105"/>
      <c r="M6992" s="105"/>
      <c r="N6992" s="105"/>
      <c r="O6992" s="105"/>
      <c r="P6992" s="159"/>
      <c r="Q6992" s="159"/>
      <c r="R6992" s="160"/>
      <c r="S6992" s="158"/>
      <c r="T6992" s="161"/>
      <c r="U6992" s="158"/>
      <c r="V6992" s="160"/>
    </row>
    <row r="6993" spans="5:22" x14ac:dyDescent="0.25">
      <c r="E6993" s="157"/>
      <c r="F6993" s="157"/>
      <c r="L6993" s="105"/>
      <c r="M6993" s="105"/>
      <c r="N6993" s="105"/>
      <c r="O6993" s="105"/>
      <c r="P6993" s="159"/>
      <c r="Q6993" s="159"/>
      <c r="R6993" s="160"/>
      <c r="S6993" s="158"/>
      <c r="T6993" s="161"/>
      <c r="U6993" s="158"/>
      <c r="V6993" s="160"/>
    </row>
    <row r="6994" spans="5:22" x14ac:dyDescent="0.25">
      <c r="E6994" s="157"/>
      <c r="F6994" s="157"/>
      <c r="L6994" s="105"/>
      <c r="M6994" s="105"/>
      <c r="N6994" s="105"/>
      <c r="O6994" s="105"/>
      <c r="P6994" s="159"/>
      <c r="Q6994" s="159"/>
      <c r="R6994" s="160"/>
      <c r="S6994" s="158"/>
      <c r="T6994" s="161"/>
      <c r="U6994" s="158"/>
      <c r="V6994" s="160"/>
    </row>
    <row r="6995" spans="5:22" x14ac:dyDescent="0.25">
      <c r="E6995" s="157"/>
      <c r="F6995" s="157"/>
      <c r="L6995" s="105"/>
      <c r="M6995" s="105"/>
      <c r="N6995" s="105"/>
      <c r="O6995" s="105"/>
      <c r="P6995" s="159"/>
      <c r="Q6995" s="159"/>
      <c r="R6995" s="160"/>
      <c r="S6995" s="158"/>
      <c r="T6995" s="161"/>
      <c r="U6995" s="158"/>
      <c r="V6995" s="160"/>
    </row>
    <row r="6996" spans="5:22" x14ac:dyDescent="0.25">
      <c r="E6996" s="157"/>
      <c r="F6996" s="157"/>
      <c r="L6996" s="105"/>
      <c r="M6996" s="105"/>
      <c r="N6996" s="105"/>
      <c r="O6996" s="105"/>
      <c r="P6996" s="159"/>
      <c r="Q6996" s="159"/>
      <c r="R6996" s="160"/>
      <c r="S6996" s="158"/>
      <c r="T6996" s="161"/>
      <c r="U6996" s="158"/>
      <c r="V6996" s="160"/>
    </row>
    <row r="6997" spans="5:22" x14ac:dyDescent="0.25">
      <c r="E6997" s="157"/>
      <c r="F6997" s="157"/>
      <c r="L6997" s="105"/>
      <c r="M6997" s="105"/>
      <c r="N6997" s="105"/>
      <c r="O6997" s="105"/>
      <c r="P6997" s="159"/>
      <c r="Q6997" s="159"/>
      <c r="R6997" s="160"/>
      <c r="S6997" s="158"/>
      <c r="T6997" s="161"/>
      <c r="U6997" s="158"/>
      <c r="V6997" s="160"/>
    </row>
    <row r="6998" spans="5:22" x14ac:dyDescent="0.25">
      <c r="E6998" s="157"/>
      <c r="F6998" s="157"/>
      <c r="L6998" s="105"/>
      <c r="M6998" s="105"/>
      <c r="N6998" s="105"/>
      <c r="O6998" s="105"/>
      <c r="P6998" s="159"/>
      <c r="Q6998" s="159"/>
      <c r="R6998" s="160"/>
      <c r="S6998" s="158"/>
      <c r="T6998" s="161"/>
      <c r="U6998" s="158"/>
      <c r="V6998" s="160"/>
    </row>
    <row r="6999" spans="5:22" x14ac:dyDescent="0.25">
      <c r="E6999" s="157"/>
      <c r="F6999" s="157"/>
      <c r="L6999" s="105"/>
      <c r="M6999" s="105"/>
      <c r="N6999" s="105"/>
      <c r="O6999" s="105"/>
      <c r="P6999" s="159"/>
      <c r="Q6999" s="159"/>
      <c r="R6999" s="160"/>
      <c r="S6999" s="158"/>
      <c r="T6999" s="161"/>
      <c r="U6999" s="158"/>
      <c r="V6999" s="160"/>
    </row>
    <row r="7000" spans="5:22" x14ac:dyDescent="0.25">
      <c r="E7000" s="157"/>
      <c r="F7000" s="157"/>
      <c r="L7000" s="105"/>
      <c r="M7000" s="105"/>
      <c r="N7000" s="105"/>
      <c r="O7000" s="105"/>
      <c r="P7000" s="159"/>
      <c r="Q7000" s="159"/>
      <c r="R7000" s="160"/>
      <c r="S7000" s="158"/>
      <c r="T7000" s="161"/>
      <c r="U7000" s="158"/>
      <c r="V7000" s="160"/>
    </row>
    <row r="7001" spans="5:22" x14ac:dyDescent="0.25">
      <c r="E7001" s="157"/>
      <c r="F7001" s="157"/>
      <c r="L7001" s="105"/>
      <c r="M7001" s="105"/>
      <c r="N7001" s="105"/>
      <c r="O7001" s="105"/>
      <c r="P7001" s="159"/>
      <c r="Q7001" s="159"/>
      <c r="R7001" s="160"/>
      <c r="S7001" s="158"/>
      <c r="T7001" s="161"/>
      <c r="U7001" s="158"/>
      <c r="V7001" s="160"/>
    </row>
    <row r="7002" spans="5:22" x14ac:dyDescent="0.25">
      <c r="E7002" s="157"/>
      <c r="F7002" s="157"/>
      <c r="L7002" s="105"/>
      <c r="M7002" s="105"/>
      <c r="N7002" s="105"/>
      <c r="O7002" s="105"/>
      <c r="P7002" s="159"/>
      <c r="Q7002" s="159"/>
      <c r="R7002" s="160"/>
      <c r="S7002" s="158"/>
      <c r="T7002" s="161"/>
      <c r="U7002" s="158"/>
      <c r="V7002" s="160"/>
    </row>
    <row r="7003" spans="5:22" x14ac:dyDescent="0.25">
      <c r="E7003" s="157"/>
      <c r="F7003" s="157"/>
      <c r="L7003" s="105"/>
      <c r="M7003" s="105"/>
      <c r="N7003" s="105"/>
      <c r="O7003" s="105"/>
      <c r="P7003" s="159"/>
      <c r="Q7003" s="159"/>
      <c r="R7003" s="160"/>
      <c r="S7003" s="158"/>
      <c r="T7003" s="161"/>
      <c r="U7003" s="158"/>
      <c r="V7003" s="160"/>
    </row>
    <row r="7004" spans="5:22" x14ac:dyDescent="0.25">
      <c r="E7004" s="157"/>
      <c r="F7004" s="157"/>
      <c r="L7004" s="105"/>
      <c r="M7004" s="105"/>
      <c r="N7004" s="105"/>
      <c r="O7004" s="105"/>
      <c r="P7004" s="159"/>
      <c r="Q7004" s="159"/>
      <c r="R7004" s="160"/>
      <c r="S7004" s="158"/>
      <c r="T7004" s="161"/>
      <c r="U7004" s="158"/>
      <c r="V7004" s="160"/>
    </row>
    <row r="7005" spans="5:22" x14ac:dyDescent="0.25">
      <c r="E7005" s="157"/>
      <c r="F7005" s="157"/>
      <c r="L7005" s="105"/>
      <c r="M7005" s="105"/>
      <c r="N7005" s="105"/>
      <c r="O7005" s="105"/>
      <c r="P7005" s="159"/>
      <c r="Q7005" s="159"/>
      <c r="R7005" s="160"/>
      <c r="S7005" s="158"/>
      <c r="T7005" s="161"/>
      <c r="U7005" s="158"/>
      <c r="V7005" s="160"/>
    </row>
    <row r="7006" spans="5:22" x14ac:dyDescent="0.25">
      <c r="E7006" s="157"/>
      <c r="F7006" s="157"/>
      <c r="L7006" s="105"/>
      <c r="M7006" s="105"/>
      <c r="N7006" s="105"/>
      <c r="O7006" s="105"/>
      <c r="P7006" s="159"/>
      <c r="Q7006" s="159"/>
      <c r="R7006" s="160"/>
      <c r="S7006" s="158"/>
      <c r="T7006" s="161"/>
      <c r="U7006" s="158"/>
      <c r="V7006" s="160"/>
    </row>
    <row r="7007" spans="5:22" x14ac:dyDescent="0.25">
      <c r="E7007" s="157"/>
      <c r="F7007" s="157"/>
      <c r="L7007" s="105"/>
      <c r="M7007" s="105"/>
      <c r="N7007" s="105"/>
      <c r="O7007" s="105"/>
      <c r="P7007" s="159"/>
      <c r="Q7007" s="159"/>
      <c r="R7007" s="160"/>
      <c r="S7007" s="158"/>
      <c r="T7007" s="161"/>
      <c r="U7007" s="158"/>
      <c r="V7007" s="160"/>
    </row>
    <row r="7008" spans="5:22" x14ac:dyDescent="0.25">
      <c r="E7008" s="157"/>
      <c r="F7008" s="157"/>
      <c r="L7008" s="105"/>
      <c r="M7008" s="105"/>
      <c r="N7008" s="105"/>
      <c r="O7008" s="105"/>
      <c r="P7008" s="159"/>
      <c r="Q7008" s="159"/>
      <c r="R7008" s="160"/>
      <c r="S7008" s="158"/>
      <c r="T7008" s="161"/>
      <c r="U7008" s="158"/>
      <c r="V7008" s="160"/>
    </row>
    <row r="7009" spans="5:22" x14ac:dyDescent="0.25">
      <c r="E7009" s="157"/>
      <c r="F7009" s="157"/>
      <c r="L7009" s="105"/>
      <c r="M7009" s="105"/>
      <c r="N7009" s="105"/>
      <c r="O7009" s="105"/>
      <c r="P7009" s="159"/>
      <c r="Q7009" s="159"/>
      <c r="R7009" s="160"/>
      <c r="S7009" s="158"/>
      <c r="T7009" s="161"/>
      <c r="U7009" s="158"/>
      <c r="V7009" s="160"/>
    </row>
    <row r="7010" spans="5:22" x14ac:dyDescent="0.25">
      <c r="E7010" s="157"/>
      <c r="F7010" s="157"/>
      <c r="L7010" s="105"/>
      <c r="M7010" s="105"/>
      <c r="N7010" s="105"/>
      <c r="O7010" s="105"/>
      <c r="P7010" s="159"/>
      <c r="Q7010" s="159"/>
      <c r="R7010" s="160"/>
      <c r="S7010" s="158"/>
      <c r="T7010" s="161"/>
      <c r="U7010" s="158"/>
      <c r="V7010" s="160"/>
    </row>
    <row r="7011" spans="5:22" x14ac:dyDescent="0.25">
      <c r="E7011" s="157"/>
      <c r="F7011" s="157"/>
      <c r="L7011" s="105"/>
      <c r="M7011" s="105"/>
      <c r="N7011" s="105"/>
      <c r="O7011" s="105"/>
      <c r="P7011" s="159"/>
      <c r="Q7011" s="159"/>
      <c r="R7011" s="160"/>
      <c r="S7011" s="158"/>
      <c r="T7011" s="161"/>
      <c r="U7011" s="158"/>
      <c r="V7011" s="160"/>
    </row>
    <row r="7012" spans="5:22" x14ac:dyDescent="0.25">
      <c r="E7012" s="157"/>
      <c r="F7012" s="157"/>
      <c r="L7012" s="105"/>
      <c r="M7012" s="105"/>
      <c r="N7012" s="105"/>
      <c r="O7012" s="105"/>
      <c r="P7012" s="159"/>
      <c r="Q7012" s="159"/>
      <c r="R7012" s="160"/>
      <c r="S7012" s="158"/>
      <c r="T7012" s="161"/>
      <c r="U7012" s="158"/>
      <c r="V7012" s="160"/>
    </row>
    <row r="7013" spans="5:22" x14ac:dyDescent="0.25">
      <c r="E7013" s="157"/>
      <c r="F7013" s="157"/>
      <c r="L7013" s="105"/>
      <c r="M7013" s="105"/>
      <c r="N7013" s="105"/>
      <c r="O7013" s="105"/>
      <c r="P7013" s="159"/>
      <c r="Q7013" s="159"/>
      <c r="R7013" s="160"/>
      <c r="S7013" s="158"/>
      <c r="T7013" s="161"/>
      <c r="U7013" s="158"/>
      <c r="V7013" s="160"/>
    </row>
    <row r="7014" spans="5:22" x14ac:dyDescent="0.25">
      <c r="E7014" s="157"/>
      <c r="F7014" s="157"/>
      <c r="L7014" s="105"/>
      <c r="M7014" s="105"/>
      <c r="N7014" s="105"/>
      <c r="O7014" s="105"/>
      <c r="P7014" s="159"/>
      <c r="Q7014" s="159"/>
      <c r="R7014" s="160"/>
      <c r="S7014" s="158"/>
      <c r="T7014" s="161"/>
      <c r="U7014" s="158"/>
      <c r="V7014" s="160"/>
    </row>
    <row r="7015" spans="5:22" x14ac:dyDescent="0.25">
      <c r="E7015" s="157"/>
      <c r="F7015" s="162"/>
      <c r="L7015" s="105"/>
      <c r="M7015" s="105"/>
      <c r="N7015" s="105"/>
      <c r="O7015" s="105"/>
      <c r="P7015" s="159"/>
      <c r="Q7015" s="159"/>
      <c r="R7015" s="160"/>
      <c r="S7015" s="158"/>
      <c r="T7015" s="161"/>
      <c r="U7015" s="158"/>
      <c r="V7015" s="160"/>
    </row>
    <row r="7016" spans="5:22" x14ac:dyDescent="0.25">
      <c r="E7016" s="157"/>
      <c r="F7016" s="157"/>
      <c r="L7016" s="105"/>
      <c r="M7016" s="105"/>
      <c r="N7016" s="105"/>
      <c r="O7016" s="105"/>
      <c r="P7016" s="159"/>
      <c r="Q7016" s="159"/>
      <c r="R7016" s="160"/>
      <c r="S7016" s="158"/>
      <c r="T7016" s="161"/>
      <c r="U7016" s="158"/>
      <c r="V7016" s="160"/>
    </row>
    <row r="7017" spans="5:22" x14ac:dyDescent="0.25">
      <c r="E7017" s="157"/>
      <c r="F7017" s="157"/>
      <c r="L7017" s="105"/>
      <c r="M7017" s="105"/>
      <c r="N7017" s="105"/>
      <c r="O7017" s="105"/>
      <c r="P7017" s="159"/>
      <c r="Q7017" s="159"/>
      <c r="R7017" s="160"/>
      <c r="S7017" s="158"/>
      <c r="T7017" s="161"/>
      <c r="U7017" s="158"/>
      <c r="V7017" s="160"/>
    </row>
    <row r="7018" spans="5:22" x14ac:dyDescent="0.25">
      <c r="E7018" s="157"/>
      <c r="F7018" s="157"/>
      <c r="L7018" s="105"/>
      <c r="M7018" s="105"/>
      <c r="N7018" s="105"/>
      <c r="O7018" s="105"/>
      <c r="P7018" s="159"/>
      <c r="Q7018" s="159"/>
      <c r="R7018" s="160"/>
      <c r="S7018" s="158"/>
      <c r="T7018" s="161"/>
      <c r="U7018" s="158"/>
      <c r="V7018" s="160"/>
    </row>
    <row r="7019" spans="5:22" x14ac:dyDescent="0.25">
      <c r="E7019" s="157"/>
      <c r="F7019" s="157"/>
      <c r="L7019" s="105"/>
      <c r="M7019" s="105"/>
      <c r="N7019" s="105"/>
      <c r="O7019" s="105"/>
      <c r="P7019" s="159"/>
      <c r="Q7019" s="159"/>
      <c r="R7019" s="160"/>
      <c r="S7019" s="158"/>
      <c r="T7019" s="161"/>
      <c r="U7019" s="158"/>
      <c r="V7019" s="160"/>
    </row>
    <row r="7020" spans="5:22" x14ac:dyDescent="0.25">
      <c r="E7020" s="162"/>
      <c r="F7020" s="157"/>
      <c r="L7020" s="105"/>
      <c r="M7020" s="105"/>
      <c r="N7020" s="105"/>
      <c r="O7020" s="105"/>
      <c r="P7020" s="159"/>
      <c r="Q7020" s="159"/>
      <c r="R7020" s="160"/>
      <c r="S7020" s="158"/>
      <c r="T7020" s="161"/>
      <c r="U7020" s="158"/>
      <c r="V7020" s="160"/>
    </row>
    <row r="7021" spans="5:22" x14ac:dyDescent="0.25">
      <c r="E7021" s="157"/>
      <c r="F7021" s="157"/>
      <c r="L7021" s="105"/>
      <c r="M7021" s="105"/>
      <c r="N7021" s="105"/>
      <c r="O7021" s="105"/>
      <c r="P7021" s="159"/>
      <c r="Q7021" s="159"/>
      <c r="R7021" s="160"/>
      <c r="S7021" s="158"/>
      <c r="T7021" s="161"/>
      <c r="U7021" s="158"/>
      <c r="V7021" s="160"/>
    </row>
    <row r="7022" spans="5:22" x14ac:dyDescent="0.25">
      <c r="E7022" s="157"/>
      <c r="F7022" s="157"/>
      <c r="L7022" s="105"/>
      <c r="M7022" s="105"/>
      <c r="N7022" s="105"/>
      <c r="O7022" s="105"/>
      <c r="P7022" s="159"/>
      <c r="Q7022" s="159"/>
      <c r="R7022" s="160"/>
      <c r="S7022" s="158"/>
      <c r="T7022" s="161"/>
      <c r="U7022" s="158"/>
      <c r="V7022" s="160"/>
    </row>
    <row r="7023" spans="5:22" x14ac:dyDescent="0.25">
      <c r="E7023" s="157"/>
      <c r="F7023" s="157"/>
      <c r="L7023" s="105"/>
      <c r="M7023" s="105"/>
      <c r="N7023" s="105"/>
      <c r="O7023" s="105"/>
      <c r="P7023" s="159"/>
      <c r="Q7023" s="159"/>
      <c r="R7023" s="160"/>
      <c r="S7023" s="158"/>
      <c r="T7023" s="161"/>
      <c r="U7023" s="158"/>
      <c r="V7023" s="160"/>
    </row>
    <row r="7024" spans="5:22" x14ac:dyDescent="0.25">
      <c r="E7024" s="157"/>
      <c r="F7024" s="157"/>
      <c r="L7024" s="105"/>
      <c r="M7024" s="105"/>
      <c r="N7024" s="105"/>
      <c r="O7024" s="105"/>
      <c r="P7024" s="159"/>
      <c r="Q7024" s="159"/>
      <c r="R7024" s="160"/>
      <c r="S7024" s="158"/>
      <c r="T7024" s="161"/>
      <c r="U7024" s="158"/>
      <c r="V7024" s="160"/>
    </row>
    <row r="7025" spans="5:22" x14ac:dyDescent="0.25">
      <c r="E7025" s="157"/>
      <c r="F7025" s="157"/>
      <c r="L7025" s="105"/>
      <c r="M7025" s="105"/>
      <c r="N7025" s="105"/>
      <c r="O7025" s="105"/>
      <c r="P7025" s="159"/>
      <c r="Q7025" s="159"/>
      <c r="R7025" s="160"/>
      <c r="S7025" s="158"/>
      <c r="T7025" s="161"/>
      <c r="U7025" s="158"/>
      <c r="V7025" s="160"/>
    </row>
    <row r="7026" spans="5:22" x14ac:dyDescent="0.25">
      <c r="E7026" s="157"/>
      <c r="F7026" s="157"/>
      <c r="L7026" s="105"/>
      <c r="M7026" s="105"/>
      <c r="N7026" s="105"/>
      <c r="O7026" s="105"/>
      <c r="P7026" s="159"/>
      <c r="Q7026" s="159"/>
      <c r="R7026" s="160"/>
      <c r="S7026" s="158"/>
      <c r="T7026" s="161"/>
      <c r="U7026" s="158"/>
      <c r="V7026" s="160"/>
    </row>
    <row r="7027" spans="5:22" x14ac:dyDescent="0.25">
      <c r="E7027" s="157"/>
      <c r="F7027" s="157"/>
      <c r="L7027" s="105"/>
      <c r="M7027" s="105"/>
      <c r="N7027" s="105"/>
      <c r="O7027" s="105"/>
      <c r="P7027" s="159"/>
      <c r="Q7027" s="159"/>
      <c r="R7027" s="160"/>
      <c r="S7027" s="158"/>
      <c r="T7027" s="161"/>
      <c r="U7027" s="158"/>
      <c r="V7027" s="160"/>
    </row>
    <row r="7028" spans="5:22" x14ac:dyDescent="0.25">
      <c r="E7028" s="157"/>
      <c r="F7028" s="157"/>
      <c r="L7028" s="105"/>
      <c r="M7028" s="105"/>
      <c r="N7028" s="105"/>
      <c r="O7028" s="105"/>
      <c r="P7028" s="159"/>
      <c r="Q7028" s="159"/>
      <c r="R7028" s="160"/>
      <c r="S7028" s="158"/>
      <c r="T7028" s="161"/>
      <c r="U7028" s="158"/>
      <c r="V7028" s="160"/>
    </row>
    <row r="7029" spans="5:22" x14ac:dyDescent="0.25">
      <c r="E7029" s="157"/>
      <c r="F7029" s="157"/>
      <c r="L7029" s="105"/>
      <c r="M7029" s="105"/>
      <c r="N7029" s="105"/>
      <c r="O7029" s="105"/>
      <c r="P7029" s="159"/>
      <c r="Q7029" s="159"/>
      <c r="R7029" s="160"/>
      <c r="S7029" s="158"/>
      <c r="T7029" s="161"/>
      <c r="U7029" s="158"/>
      <c r="V7029" s="160"/>
    </row>
    <row r="7030" spans="5:22" x14ac:dyDescent="0.25">
      <c r="E7030" s="157"/>
      <c r="F7030" s="157"/>
      <c r="L7030" s="105"/>
      <c r="M7030" s="105"/>
      <c r="N7030" s="105"/>
      <c r="O7030" s="105"/>
      <c r="P7030" s="159"/>
      <c r="Q7030" s="159"/>
      <c r="R7030" s="160"/>
      <c r="S7030" s="158"/>
      <c r="T7030" s="161"/>
      <c r="U7030" s="158"/>
      <c r="V7030" s="160"/>
    </row>
    <row r="7031" spans="5:22" x14ac:dyDescent="0.25">
      <c r="E7031" s="157"/>
      <c r="F7031" s="157"/>
      <c r="L7031" s="105"/>
      <c r="M7031" s="105"/>
      <c r="N7031" s="105"/>
      <c r="O7031" s="105"/>
      <c r="P7031" s="159"/>
      <c r="Q7031" s="159"/>
      <c r="R7031" s="160"/>
      <c r="S7031" s="158"/>
      <c r="T7031" s="161"/>
      <c r="U7031" s="158"/>
      <c r="V7031" s="160"/>
    </row>
    <row r="7032" spans="5:22" x14ac:dyDescent="0.25">
      <c r="E7032" s="157"/>
      <c r="F7032" s="157"/>
      <c r="L7032" s="105"/>
      <c r="M7032" s="105"/>
      <c r="N7032" s="105"/>
      <c r="O7032" s="105"/>
      <c r="P7032" s="159"/>
      <c r="Q7032" s="159"/>
      <c r="R7032" s="160"/>
      <c r="S7032" s="158"/>
      <c r="T7032" s="161"/>
      <c r="U7032" s="158"/>
      <c r="V7032" s="160"/>
    </row>
    <row r="7033" spans="5:22" x14ac:dyDescent="0.25">
      <c r="E7033" s="157"/>
      <c r="F7033" s="157"/>
      <c r="L7033" s="105"/>
      <c r="M7033" s="105"/>
      <c r="N7033" s="105"/>
      <c r="O7033" s="105"/>
      <c r="P7033" s="159"/>
      <c r="Q7033" s="159"/>
      <c r="R7033" s="160"/>
      <c r="S7033" s="158"/>
      <c r="T7033" s="161"/>
      <c r="U7033" s="158"/>
      <c r="V7033" s="160"/>
    </row>
    <row r="7034" spans="5:22" x14ac:dyDescent="0.25">
      <c r="E7034" s="157"/>
      <c r="F7034" s="157"/>
      <c r="L7034" s="105"/>
      <c r="M7034" s="105"/>
      <c r="N7034" s="105"/>
      <c r="O7034" s="105"/>
      <c r="P7034" s="159"/>
      <c r="Q7034" s="159"/>
      <c r="R7034" s="160"/>
      <c r="S7034" s="158"/>
      <c r="T7034" s="161"/>
      <c r="U7034" s="158"/>
      <c r="V7034" s="160"/>
    </row>
    <row r="7035" spans="5:22" x14ac:dyDescent="0.25">
      <c r="E7035" s="157"/>
      <c r="F7035" s="157"/>
      <c r="L7035" s="105"/>
      <c r="M7035" s="105"/>
      <c r="N7035" s="105"/>
      <c r="O7035" s="105"/>
      <c r="P7035" s="159"/>
      <c r="Q7035" s="159"/>
      <c r="R7035" s="160"/>
      <c r="S7035" s="158"/>
      <c r="T7035" s="161"/>
      <c r="U7035" s="158"/>
      <c r="V7035" s="160"/>
    </row>
    <row r="7036" spans="5:22" x14ac:dyDescent="0.25">
      <c r="E7036" s="157"/>
      <c r="F7036" s="157"/>
      <c r="L7036" s="105"/>
      <c r="M7036" s="105"/>
      <c r="N7036" s="105"/>
      <c r="O7036" s="105"/>
      <c r="P7036" s="159"/>
      <c r="Q7036" s="159"/>
      <c r="R7036" s="160"/>
      <c r="S7036" s="158"/>
      <c r="T7036" s="161"/>
      <c r="U7036" s="158"/>
      <c r="V7036" s="160"/>
    </row>
    <row r="7037" spans="5:22" x14ac:dyDescent="0.25">
      <c r="E7037" s="157"/>
      <c r="F7037" s="157"/>
      <c r="L7037" s="105"/>
      <c r="M7037" s="105"/>
      <c r="N7037" s="105"/>
      <c r="O7037" s="105"/>
      <c r="P7037" s="159"/>
      <c r="Q7037" s="159"/>
      <c r="R7037" s="160"/>
      <c r="S7037" s="158"/>
      <c r="T7037" s="161"/>
      <c r="U7037" s="158"/>
      <c r="V7037" s="160"/>
    </row>
    <row r="7038" spans="5:22" x14ac:dyDescent="0.25">
      <c r="E7038" s="157"/>
      <c r="F7038" s="157"/>
      <c r="L7038" s="105"/>
      <c r="M7038" s="105"/>
      <c r="N7038" s="105"/>
      <c r="O7038" s="105"/>
      <c r="P7038" s="159"/>
      <c r="Q7038" s="159"/>
      <c r="R7038" s="160"/>
      <c r="S7038" s="158"/>
      <c r="T7038" s="161"/>
      <c r="U7038" s="158"/>
      <c r="V7038" s="160"/>
    </row>
    <row r="7039" spans="5:22" x14ac:dyDescent="0.25">
      <c r="E7039" s="157"/>
      <c r="F7039" s="157"/>
      <c r="L7039" s="105"/>
      <c r="M7039" s="105"/>
      <c r="N7039" s="105"/>
      <c r="O7039" s="105"/>
      <c r="P7039" s="159"/>
      <c r="Q7039" s="159"/>
      <c r="R7039" s="160"/>
      <c r="S7039" s="158"/>
      <c r="T7039" s="161"/>
      <c r="U7039" s="158"/>
      <c r="V7039" s="160"/>
    </row>
    <row r="7040" spans="5:22" x14ac:dyDescent="0.25">
      <c r="E7040" s="157"/>
      <c r="F7040" s="157"/>
      <c r="L7040" s="105"/>
      <c r="M7040" s="105"/>
      <c r="N7040" s="105"/>
      <c r="O7040" s="105"/>
      <c r="P7040" s="159"/>
      <c r="Q7040" s="159"/>
      <c r="R7040" s="160"/>
      <c r="S7040" s="158"/>
      <c r="T7040" s="161"/>
      <c r="U7040" s="158"/>
      <c r="V7040" s="160"/>
    </row>
    <row r="7041" spans="5:22" x14ac:dyDescent="0.25">
      <c r="E7041" s="157"/>
      <c r="F7041" s="157"/>
      <c r="L7041" s="105"/>
      <c r="M7041" s="105"/>
      <c r="N7041" s="105"/>
      <c r="O7041" s="105"/>
      <c r="P7041" s="159"/>
      <c r="Q7041" s="159"/>
      <c r="R7041" s="160"/>
      <c r="S7041" s="158"/>
      <c r="T7041" s="161"/>
      <c r="U7041" s="158"/>
      <c r="V7041" s="160"/>
    </row>
    <row r="7042" spans="5:22" x14ac:dyDescent="0.25">
      <c r="E7042" s="157"/>
      <c r="F7042" s="157"/>
      <c r="L7042" s="105"/>
      <c r="M7042" s="105"/>
      <c r="N7042" s="105"/>
      <c r="O7042" s="105"/>
      <c r="P7042" s="159"/>
      <c r="Q7042" s="159"/>
      <c r="R7042" s="160"/>
      <c r="S7042" s="158"/>
      <c r="T7042" s="161"/>
      <c r="U7042" s="158"/>
      <c r="V7042" s="160"/>
    </row>
    <row r="7043" spans="5:22" x14ac:dyDescent="0.25">
      <c r="E7043" s="157"/>
      <c r="F7043" s="157"/>
      <c r="L7043" s="105"/>
      <c r="M7043" s="105"/>
      <c r="N7043" s="105"/>
      <c r="O7043" s="105"/>
      <c r="P7043" s="159"/>
      <c r="Q7043" s="159"/>
      <c r="R7043" s="160"/>
      <c r="S7043" s="158"/>
      <c r="T7043" s="161"/>
      <c r="U7043" s="158"/>
      <c r="V7043" s="160"/>
    </row>
    <row r="7044" spans="5:22" x14ac:dyDescent="0.25">
      <c r="E7044" s="157"/>
      <c r="F7044" s="157"/>
      <c r="L7044" s="105"/>
      <c r="M7044" s="105"/>
      <c r="N7044" s="105"/>
      <c r="O7044" s="105"/>
      <c r="P7044" s="159"/>
      <c r="Q7044" s="159"/>
      <c r="R7044" s="160"/>
      <c r="S7044" s="158"/>
      <c r="T7044" s="161"/>
      <c r="U7044" s="158"/>
      <c r="V7044" s="160"/>
    </row>
    <row r="7045" spans="5:22" x14ac:dyDescent="0.25">
      <c r="E7045" s="157"/>
      <c r="F7045" s="157"/>
      <c r="L7045" s="105"/>
      <c r="M7045" s="105"/>
      <c r="N7045" s="105"/>
      <c r="O7045" s="105"/>
      <c r="P7045" s="159"/>
      <c r="Q7045" s="159"/>
      <c r="R7045" s="160"/>
      <c r="S7045" s="158"/>
      <c r="T7045" s="161"/>
      <c r="U7045" s="158"/>
      <c r="V7045" s="160"/>
    </row>
    <row r="7046" spans="5:22" x14ac:dyDescent="0.25">
      <c r="E7046" s="157"/>
      <c r="F7046" s="157"/>
      <c r="L7046" s="105"/>
      <c r="M7046" s="105"/>
      <c r="N7046" s="105"/>
      <c r="O7046" s="105"/>
      <c r="P7046" s="159"/>
      <c r="Q7046" s="159"/>
      <c r="R7046" s="160"/>
      <c r="S7046" s="158"/>
      <c r="T7046" s="161"/>
      <c r="U7046" s="158"/>
      <c r="V7046" s="160"/>
    </row>
    <row r="7047" spans="5:22" x14ac:dyDescent="0.25">
      <c r="E7047" s="157"/>
      <c r="F7047" s="157"/>
      <c r="L7047" s="105"/>
      <c r="M7047" s="105"/>
      <c r="N7047" s="105"/>
      <c r="O7047" s="105"/>
      <c r="P7047" s="159"/>
      <c r="Q7047" s="159"/>
      <c r="R7047" s="160"/>
      <c r="S7047" s="158"/>
      <c r="T7047" s="161"/>
      <c r="U7047" s="158"/>
      <c r="V7047" s="160"/>
    </row>
    <row r="7048" spans="5:22" x14ac:dyDescent="0.25">
      <c r="E7048" s="157"/>
      <c r="F7048" s="157"/>
      <c r="L7048" s="105"/>
      <c r="M7048" s="105"/>
      <c r="N7048" s="105"/>
      <c r="O7048" s="105"/>
      <c r="P7048" s="159"/>
      <c r="Q7048" s="159"/>
      <c r="R7048" s="160"/>
      <c r="S7048" s="158"/>
      <c r="T7048" s="161"/>
      <c r="U7048" s="158"/>
      <c r="V7048" s="160"/>
    </row>
    <row r="7049" spans="5:22" x14ac:dyDescent="0.25">
      <c r="E7049" s="157"/>
      <c r="F7049" s="157"/>
      <c r="L7049" s="105"/>
      <c r="M7049" s="105"/>
      <c r="N7049" s="105"/>
      <c r="O7049" s="105"/>
      <c r="P7049" s="159"/>
      <c r="Q7049" s="159"/>
      <c r="R7049" s="160"/>
      <c r="S7049" s="158"/>
      <c r="T7049" s="161"/>
      <c r="U7049" s="158"/>
      <c r="V7049" s="160"/>
    </row>
    <row r="7050" spans="5:22" x14ac:dyDescent="0.25">
      <c r="E7050" s="157"/>
      <c r="F7050" s="157"/>
      <c r="L7050" s="105"/>
      <c r="M7050" s="105"/>
      <c r="N7050" s="105"/>
      <c r="O7050" s="105"/>
      <c r="P7050" s="159"/>
      <c r="Q7050" s="159"/>
      <c r="R7050" s="160"/>
      <c r="S7050" s="158"/>
      <c r="T7050" s="161"/>
      <c r="U7050" s="158"/>
      <c r="V7050" s="160"/>
    </row>
    <row r="7051" spans="5:22" x14ac:dyDescent="0.25">
      <c r="E7051" s="157"/>
      <c r="F7051" s="157"/>
      <c r="L7051" s="105"/>
      <c r="M7051" s="105"/>
      <c r="N7051" s="105"/>
      <c r="O7051" s="105"/>
      <c r="P7051" s="159"/>
      <c r="Q7051" s="159"/>
      <c r="R7051" s="160"/>
      <c r="S7051" s="158"/>
      <c r="T7051" s="161"/>
      <c r="U7051" s="158"/>
      <c r="V7051" s="160"/>
    </row>
    <row r="7052" spans="5:22" x14ac:dyDescent="0.25">
      <c r="E7052" s="162"/>
      <c r="F7052" s="157"/>
      <c r="L7052" s="105"/>
      <c r="M7052" s="105"/>
      <c r="N7052" s="105"/>
      <c r="O7052" s="105"/>
      <c r="P7052" s="159"/>
      <c r="Q7052" s="159"/>
      <c r="R7052" s="160"/>
      <c r="S7052" s="158"/>
      <c r="T7052" s="161"/>
      <c r="U7052" s="158"/>
      <c r="V7052" s="160"/>
    </row>
    <row r="7053" spans="5:22" x14ac:dyDescent="0.25">
      <c r="E7053" s="157"/>
      <c r="F7053" s="157"/>
      <c r="L7053" s="105"/>
      <c r="M7053" s="105"/>
      <c r="N7053" s="105"/>
      <c r="O7053" s="105"/>
      <c r="P7053" s="159"/>
      <c r="Q7053" s="159"/>
      <c r="R7053" s="160"/>
      <c r="S7053" s="158"/>
      <c r="T7053" s="161"/>
      <c r="U7053" s="158"/>
      <c r="V7053" s="160"/>
    </row>
    <row r="7054" spans="5:22" x14ac:dyDescent="0.25">
      <c r="E7054" s="157"/>
      <c r="F7054" s="157"/>
      <c r="L7054" s="105"/>
      <c r="M7054" s="105"/>
      <c r="N7054" s="105"/>
      <c r="O7054" s="105"/>
      <c r="P7054" s="159"/>
      <c r="Q7054" s="159"/>
      <c r="R7054" s="160"/>
      <c r="S7054" s="158"/>
      <c r="T7054" s="161"/>
      <c r="U7054" s="158"/>
      <c r="V7054" s="160"/>
    </row>
    <row r="7055" spans="5:22" x14ac:dyDescent="0.25">
      <c r="E7055" s="157"/>
      <c r="F7055" s="157"/>
      <c r="L7055" s="105"/>
      <c r="M7055" s="105"/>
      <c r="N7055" s="105"/>
      <c r="O7055" s="105"/>
      <c r="P7055" s="159"/>
      <c r="Q7055" s="159"/>
      <c r="R7055" s="160"/>
      <c r="S7055" s="158"/>
      <c r="T7055" s="161"/>
      <c r="U7055" s="158"/>
      <c r="V7055" s="160"/>
    </row>
    <row r="7056" spans="5:22" x14ac:dyDescent="0.25">
      <c r="E7056" s="157"/>
      <c r="F7056" s="157"/>
      <c r="L7056" s="105"/>
      <c r="M7056" s="105"/>
      <c r="N7056" s="105"/>
      <c r="O7056" s="105"/>
      <c r="P7056" s="159"/>
      <c r="Q7056" s="159"/>
      <c r="R7056" s="160"/>
      <c r="S7056" s="158"/>
      <c r="T7056" s="161"/>
      <c r="U7056" s="158"/>
      <c r="V7056" s="160"/>
    </row>
    <row r="7057" spans="5:22" x14ac:dyDescent="0.25">
      <c r="E7057" s="157"/>
      <c r="F7057" s="157"/>
      <c r="L7057" s="105"/>
      <c r="M7057" s="105"/>
      <c r="N7057" s="105"/>
      <c r="O7057" s="105"/>
      <c r="P7057" s="159"/>
      <c r="Q7057" s="159"/>
      <c r="R7057" s="160"/>
      <c r="S7057" s="158"/>
      <c r="T7057" s="161"/>
      <c r="U7057" s="158"/>
      <c r="V7057" s="160"/>
    </row>
    <row r="7058" spans="5:22" x14ac:dyDescent="0.25">
      <c r="E7058" s="157"/>
      <c r="F7058" s="157"/>
      <c r="L7058" s="105"/>
      <c r="M7058" s="105"/>
      <c r="N7058" s="105"/>
      <c r="O7058" s="105"/>
      <c r="P7058" s="159"/>
      <c r="Q7058" s="159"/>
      <c r="R7058" s="160"/>
      <c r="S7058" s="158"/>
      <c r="T7058" s="161"/>
      <c r="U7058" s="158"/>
      <c r="V7058" s="160"/>
    </row>
    <row r="7059" spans="5:22" x14ac:dyDescent="0.25">
      <c r="E7059" s="157"/>
      <c r="F7059" s="157"/>
      <c r="L7059" s="105"/>
      <c r="M7059" s="105"/>
      <c r="N7059" s="105"/>
      <c r="O7059" s="105"/>
      <c r="P7059" s="159"/>
      <c r="Q7059" s="159"/>
      <c r="R7059" s="160"/>
      <c r="S7059" s="158"/>
      <c r="T7059" s="161"/>
      <c r="U7059" s="158"/>
      <c r="V7059" s="160"/>
    </row>
    <row r="7060" spans="5:22" x14ac:dyDescent="0.25">
      <c r="E7060" s="157"/>
      <c r="F7060" s="157"/>
      <c r="L7060" s="105"/>
      <c r="M7060" s="105"/>
      <c r="N7060" s="105"/>
      <c r="O7060" s="105"/>
      <c r="P7060" s="159"/>
      <c r="Q7060" s="159"/>
      <c r="R7060" s="160"/>
      <c r="S7060" s="158"/>
      <c r="T7060" s="161"/>
      <c r="U7060" s="158"/>
      <c r="V7060" s="160"/>
    </row>
    <row r="7061" spans="5:22" x14ac:dyDescent="0.25">
      <c r="E7061" s="157"/>
      <c r="F7061" s="162"/>
      <c r="L7061" s="105"/>
      <c r="M7061" s="105"/>
      <c r="N7061" s="105"/>
      <c r="O7061" s="105"/>
      <c r="P7061" s="159"/>
      <c r="Q7061" s="159"/>
      <c r="R7061" s="160"/>
      <c r="S7061" s="158"/>
      <c r="T7061" s="161"/>
      <c r="U7061" s="158"/>
      <c r="V7061" s="160"/>
    </row>
    <row r="7062" spans="5:22" x14ac:dyDescent="0.25">
      <c r="E7062" s="157"/>
      <c r="F7062" s="157"/>
      <c r="L7062" s="105"/>
      <c r="M7062" s="105"/>
      <c r="N7062" s="105"/>
      <c r="O7062" s="105"/>
      <c r="P7062" s="159"/>
      <c r="Q7062" s="159"/>
      <c r="R7062" s="160"/>
      <c r="S7062" s="158"/>
      <c r="T7062" s="161"/>
      <c r="U7062" s="158"/>
      <c r="V7062" s="160"/>
    </row>
    <row r="7063" spans="5:22" x14ac:dyDescent="0.25">
      <c r="E7063" s="157"/>
      <c r="F7063" s="157"/>
      <c r="L7063" s="105"/>
      <c r="M7063" s="105"/>
      <c r="N7063" s="105"/>
      <c r="O7063" s="105"/>
      <c r="P7063" s="159"/>
      <c r="Q7063" s="159"/>
      <c r="R7063" s="160"/>
      <c r="S7063" s="158"/>
      <c r="T7063" s="161"/>
      <c r="U7063" s="158"/>
      <c r="V7063" s="160"/>
    </row>
    <row r="7064" spans="5:22" x14ac:dyDescent="0.25">
      <c r="E7064" s="157"/>
      <c r="F7064" s="157"/>
      <c r="L7064" s="105"/>
      <c r="M7064" s="105"/>
      <c r="N7064" s="105"/>
      <c r="O7064" s="105"/>
      <c r="P7064" s="159"/>
      <c r="Q7064" s="159"/>
      <c r="R7064" s="160"/>
      <c r="S7064" s="158"/>
      <c r="T7064" s="161"/>
      <c r="U7064" s="158"/>
      <c r="V7064" s="160"/>
    </row>
    <row r="7065" spans="5:22" x14ac:dyDescent="0.25">
      <c r="E7065" s="162"/>
      <c r="F7065" s="157"/>
      <c r="L7065" s="105"/>
      <c r="M7065" s="105"/>
      <c r="N7065" s="105"/>
      <c r="O7065" s="105"/>
      <c r="P7065" s="159"/>
      <c r="Q7065" s="159"/>
      <c r="R7065" s="160"/>
      <c r="S7065" s="158"/>
      <c r="T7065" s="161"/>
      <c r="U7065" s="158"/>
      <c r="V7065" s="160"/>
    </row>
    <row r="7066" spans="5:22" x14ac:dyDescent="0.25">
      <c r="E7066" s="157"/>
      <c r="F7066" s="162"/>
      <c r="L7066" s="105"/>
      <c r="M7066" s="105"/>
      <c r="N7066" s="105"/>
      <c r="O7066" s="105"/>
      <c r="P7066" s="159"/>
      <c r="Q7066" s="159"/>
      <c r="R7066" s="160"/>
      <c r="S7066" s="158"/>
      <c r="T7066" s="161"/>
      <c r="U7066" s="158"/>
      <c r="V7066" s="160"/>
    </row>
    <row r="7067" spans="5:22" x14ac:dyDescent="0.25">
      <c r="E7067" s="157"/>
      <c r="F7067" s="157"/>
      <c r="L7067" s="105"/>
      <c r="M7067" s="105"/>
      <c r="N7067" s="105"/>
      <c r="O7067" s="105"/>
      <c r="P7067" s="159"/>
      <c r="Q7067" s="159"/>
      <c r="R7067" s="160"/>
      <c r="S7067" s="158"/>
      <c r="T7067" s="161"/>
      <c r="U7067" s="158"/>
      <c r="V7067" s="160"/>
    </row>
    <row r="7068" spans="5:22" x14ac:dyDescent="0.25">
      <c r="E7068" s="157"/>
      <c r="F7068" s="157"/>
      <c r="L7068" s="105"/>
      <c r="M7068" s="105"/>
      <c r="N7068" s="105"/>
      <c r="O7068" s="105"/>
      <c r="P7068" s="159"/>
      <c r="Q7068" s="159"/>
      <c r="R7068" s="160"/>
      <c r="S7068" s="158"/>
      <c r="T7068" s="161"/>
      <c r="U7068" s="158"/>
      <c r="V7068" s="160"/>
    </row>
    <row r="7069" spans="5:22" x14ac:dyDescent="0.25">
      <c r="E7069" s="157"/>
      <c r="F7069" s="157"/>
      <c r="L7069" s="105"/>
      <c r="M7069" s="105"/>
      <c r="N7069" s="105"/>
      <c r="O7069" s="105"/>
      <c r="P7069" s="159"/>
      <c r="Q7069" s="159"/>
      <c r="R7069" s="160"/>
      <c r="S7069" s="158"/>
      <c r="T7069" s="161"/>
      <c r="U7069" s="158"/>
      <c r="V7069" s="160"/>
    </row>
    <row r="7070" spans="5:22" x14ac:dyDescent="0.25">
      <c r="E7070" s="157"/>
      <c r="F7070" s="157"/>
      <c r="L7070" s="105"/>
      <c r="M7070" s="105"/>
      <c r="N7070" s="105"/>
      <c r="O7070" s="105"/>
      <c r="P7070" s="159"/>
      <c r="Q7070" s="159"/>
      <c r="R7070" s="160"/>
      <c r="S7070" s="158"/>
      <c r="T7070" s="161"/>
      <c r="U7070" s="158"/>
      <c r="V7070" s="160"/>
    </row>
    <row r="7071" spans="5:22" x14ac:dyDescent="0.25">
      <c r="E7071" s="157"/>
      <c r="F7071" s="157"/>
      <c r="L7071" s="105"/>
      <c r="M7071" s="105"/>
      <c r="N7071" s="105"/>
      <c r="O7071" s="105"/>
      <c r="P7071" s="159"/>
      <c r="Q7071" s="159"/>
      <c r="R7071" s="160"/>
      <c r="S7071" s="158"/>
      <c r="T7071" s="161"/>
      <c r="U7071" s="158"/>
      <c r="V7071" s="160"/>
    </row>
    <row r="7072" spans="5:22" x14ac:dyDescent="0.25">
      <c r="E7072" s="157"/>
      <c r="F7072" s="157"/>
      <c r="L7072" s="105"/>
      <c r="M7072" s="105"/>
      <c r="N7072" s="105"/>
      <c r="O7072" s="105"/>
      <c r="P7072" s="159"/>
      <c r="Q7072" s="159"/>
      <c r="R7072" s="160"/>
      <c r="S7072" s="158"/>
      <c r="T7072" s="161"/>
      <c r="U7072" s="158"/>
      <c r="V7072" s="160"/>
    </row>
    <row r="7073" spans="5:22" x14ac:dyDescent="0.25">
      <c r="E7073" s="157"/>
      <c r="F7073" s="157"/>
      <c r="L7073" s="105"/>
      <c r="M7073" s="105"/>
      <c r="N7073" s="105"/>
      <c r="O7073" s="105"/>
      <c r="P7073" s="159"/>
      <c r="Q7073" s="159"/>
      <c r="R7073" s="160"/>
      <c r="S7073" s="158"/>
      <c r="T7073" s="161"/>
      <c r="U7073" s="158"/>
      <c r="V7073" s="160"/>
    </row>
    <row r="7074" spans="5:22" x14ac:dyDescent="0.25">
      <c r="E7074" s="157"/>
      <c r="F7074" s="157"/>
      <c r="L7074" s="105"/>
      <c r="M7074" s="105"/>
      <c r="N7074" s="105"/>
      <c r="O7074" s="105"/>
      <c r="P7074" s="159"/>
      <c r="Q7074" s="159"/>
      <c r="R7074" s="160"/>
      <c r="S7074" s="158"/>
      <c r="T7074" s="161"/>
      <c r="U7074" s="158"/>
      <c r="V7074" s="160"/>
    </row>
    <row r="7075" spans="5:22" x14ac:dyDescent="0.25">
      <c r="E7075" s="157"/>
      <c r="F7075" s="157"/>
      <c r="L7075" s="105"/>
      <c r="M7075" s="105"/>
      <c r="N7075" s="105"/>
      <c r="O7075" s="105"/>
      <c r="P7075" s="159"/>
      <c r="Q7075" s="159"/>
      <c r="R7075" s="160"/>
      <c r="S7075" s="158"/>
      <c r="T7075" s="161"/>
      <c r="U7075" s="158"/>
      <c r="V7075" s="160"/>
    </row>
    <row r="7076" spans="5:22" x14ac:dyDescent="0.25">
      <c r="E7076" s="157"/>
      <c r="F7076" s="157"/>
      <c r="L7076" s="105"/>
      <c r="M7076" s="105"/>
      <c r="N7076" s="105"/>
      <c r="O7076" s="105"/>
      <c r="P7076" s="159"/>
      <c r="Q7076" s="159"/>
      <c r="R7076" s="160"/>
      <c r="S7076" s="158"/>
      <c r="T7076" s="161"/>
      <c r="U7076" s="158"/>
      <c r="V7076" s="160"/>
    </row>
    <row r="7077" spans="5:22" x14ac:dyDescent="0.25">
      <c r="E7077" s="157"/>
      <c r="F7077" s="157"/>
      <c r="L7077" s="105"/>
      <c r="M7077" s="105"/>
      <c r="N7077" s="105"/>
      <c r="O7077" s="105"/>
      <c r="P7077" s="159"/>
      <c r="Q7077" s="159"/>
      <c r="R7077" s="160"/>
      <c r="S7077" s="158"/>
      <c r="T7077" s="161"/>
      <c r="U7077" s="158"/>
      <c r="V7077" s="160"/>
    </row>
    <row r="7078" spans="5:22" x14ac:dyDescent="0.25">
      <c r="E7078" s="157"/>
      <c r="F7078" s="157"/>
      <c r="L7078" s="105"/>
      <c r="M7078" s="105"/>
      <c r="N7078" s="105"/>
      <c r="O7078" s="105"/>
      <c r="P7078" s="159"/>
      <c r="Q7078" s="159"/>
      <c r="R7078" s="160"/>
      <c r="S7078" s="158"/>
      <c r="T7078" s="161"/>
      <c r="U7078" s="158"/>
      <c r="V7078" s="160"/>
    </row>
    <row r="7079" spans="5:22" x14ac:dyDescent="0.25">
      <c r="E7079" s="157"/>
      <c r="F7079" s="157"/>
      <c r="L7079" s="105"/>
      <c r="M7079" s="105"/>
      <c r="N7079" s="105"/>
      <c r="O7079" s="105"/>
      <c r="P7079" s="159"/>
      <c r="Q7079" s="159"/>
      <c r="R7079" s="160"/>
      <c r="S7079" s="158"/>
      <c r="T7079" s="161"/>
      <c r="U7079" s="158"/>
      <c r="V7079" s="160"/>
    </row>
    <row r="7080" spans="5:22" x14ac:dyDescent="0.25">
      <c r="E7080" s="157"/>
      <c r="F7080" s="162"/>
      <c r="L7080" s="105"/>
      <c r="M7080" s="105"/>
      <c r="N7080" s="105"/>
      <c r="O7080" s="105"/>
      <c r="P7080" s="159"/>
      <c r="Q7080" s="159"/>
      <c r="R7080" s="160"/>
      <c r="S7080" s="158"/>
      <c r="T7080" s="161"/>
      <c r="U7080" s="158"/>
      <c r="V7080" s="160"/>
    </row>
    <row r="7081" spans="5:22" x14ac:dyDescent="0.25">
      <c r="E7081" s="157"/>
      <c r="F7081" s="157"/>
      <c r="L7081" s="105"/>
      <c r="M7081" s="105"/>
      <c r="N7081" s="105"/>
      <c r="O7081" s="105"/>
      <c r="P7081" s="159"/>
      <c r="Q7081" s="159"/>
      <c r="R7081" s="160"/>
      <c r="S7081" s="158"/>
      <c r="T7081" s="161"/>
      <c r="U7081" s="158"/>
      <c r="V7081" s="160"/>
    </row>
    <row r="7082" spans="5:22" x14ac:dyDescent="0.25">
      <c r="E7082" s="157"/>
      <c r="F7082" s="157"/>
      <c r="L7082" s="105"/>
      <c r="M7082" s="105"/>
      <c r="N7082" s="105"/>
      <c r="O7082" s="105"/>
      <c r="P7082" s="159"/>
      <c r="Q7082" s="159"/>
      <c r="R7082" s="160"/>
      <c r="S7082" s="158"/>
      <c r="T7082" s="161"/>
      <c r="U7082" s="158"/>
      <c r="V7082" s="160"/>
    </row>
    <row r="7083" spans="5:22" x14ac:dyDescent="0.25">
      <c r="E7083" s="157"/>
      <c r="F7083" s="157"/>
      <c r="L7083" s="105"/>
      <c r="M7083" s="105"/>
      <c r="N7083" s="105"/>
      <c r="O7083" s="105"/>
      <c r="P7083" s="159"/>
      <c r="Q7083" s="159"/>
      <c r="R7083" s="160"/>
      <c r="S7083" s="158"/>
      <c r="T7083" s="161"/>
      <c r="U7083" s="158"/>
      <c r="V7083" s="160"/>
    </row>
    <row r="7084" spans="5:22" x14ac:dyDescent="0.25">
      <c r="E7084" s="157"/>
      <c r="F7084" s="157"/>
      <c r="L7084" s="105"/>
      <c r="M7084" s="105"/>
      <c r="N7084" s="105"/>
      <c r="O7084" s="105"/>
      <c r="P7084" s="159"/>
      <c r="Q7084" s="159"/>
      <c r="R7084" s="160"/>
      <c r="S7084" s="158"/>
      <c r="T7084" s="161"/>
      <c r="U7084" s="158"/>
      <c r="V7084" s="160"/>
    </row>
    <row r="7085" spans="5:22" x14ac:dyDescent="0.25">
      <c r="E7085" s="157"/>
      <c r="F7085" s="157"/>
      <c r="L7085" s="105"/>
      <c r="M7085" s="105"/>
      <c r="N7085" s="105"/>
      <c r="O7085" s="105"/>
      <c r="P7085" s="159"/>
      <c r="Q7085" s="159"/>
      <c r="R7085" s="160"/>
      <c r="S7085" s="158"/>
      <c r="T7085" s="161"/>
      <c r="U7085" s="158"/>
      <c r="V7085" s="160"/>
    </row>
    <row r="7086" spans="5:22" x14ac:dyDescent="0.25">
      <c r="E7086" s="157"/>
      <c r="F7086" s="157"/>
      <c r="L7086" s="105"/>
      <c r="M7086" s="105"/>
      <c r="N7086" s="105"/>
      <c r="O7086" s="105"/>
      <c r="P7086" s="159"/>
      <c r="Q7086" s="159"/>
      <c r="R7086" s="160"/>
      <c r="S7086" s="158"/>
      <c r="T7086" s="161"/>
      <c r="U7086" s="158"/>
      <c r="V7086" s="160"/>
    </row>
    <row r="7087" spans="5:22" x14ac:dyDescent="0.25">
      <c r="E7087" s="157"/>
      <c r="F7087" s="157"/>
      <c r="L7087" s="105"/>
      <c r="M7087" s="105"/>
      <c r="N7087" s="105"/>
      <c r="O7087" s="105"/>
      <c r="P7087" s="159"/>
      <c r="Q7087" s="159"/>
      <c r="R7087" s="160"/>
      <c r="S7087" s="158"/>
      <c r="T7087" s="161"/>
      <c r="U7087" s="158"/>
      <c r="V7087" s="160"/>
    </row>
    <row r="7088" spans="5:22" x14ac:dyDescent="0.25">
      <c r="E7088" s="157"/>
      <c r="F7088" s="157"/>
      <c r="L7088" s="105"/>
      <c r="M7088" s="105"/>
      <c r="N7088" s="105"/>
      <c r="O7088" s="105"/>
      <c r="P7088" s="159"/>
      <c r="Q7088" s="159"/>
      <c r="R7088" s="160"/>
      <c r="S7088" s="158"/>
      <c r="T7088" s="161"/>
      <c r="U7088" s="158"/>
      <c r="V7088" s="160"/>
    </row>
    <row r="7089" spans="5:22" x14ac:dyDescent="0.25">
      <c r="E7089" s="157"/>
      <c r="F7089" s="157"/>
      <c r="L7089" s="105"/>
      <c r="M7089" s="105"/>
      <c r="N7089" s="105"/>
      <c r="O7089" s="105"/>
      <c r="P7089" s="159"/>
      <c r="Q7089" s="159"/>
      <c r="R7089" s="160"/>
      <c r="S7089" s="158"/>
      <c r="T7089" s="161"/>
      <c r="U7089" s="158"/>
      <c r="V7089" s="160"/>
    </row>
    <row r="7090" spans="5:22" x14ac:dyDescent="0.25">
      <c r="E7090" s="157"/>
      <c r="F7090" s="157"/>
      <c r="L7090" s="105"/>
      <c r="M7090" s="105"/>
      <c r="N7090" s="105"/>
      <c r="O7090" s="105"/>
      <c r="P7090" s="159"/>
      <c r="Q7090" s="159"/>
      <c r="R7090" s="160"/>
      <c r="S7090" s="158"/>
      <c r="T7090" s="161"/>
      <c r="U7090" s="158"/>
      <c r="V7090" s="160"/>
    </row>
    <row r="7091" spans="5:22" x14ac:dyDescent="0.25">
      <c r="E7091" s="157"/>
      <c r="F7091" s="157"/>
      <c r="L7091" s="105"/>
      <c r="M7091" s="105"/>
      <c r="N7091" s="105"/>
      <c r="O7091" s="105"/>
      <c r="P7091" s="159"/>
      <c r="Q7091" s="159"/>
      <c r="R7091" s="160"/>
      <c r="S7091" s="158"/>
      <c r="T7091" s="161"/>
      <c r="U7091" s="158"/>
      <c r="V7091" s="160"/>
    </row>
    <row r="7092" spans="5:22" x14ac:dyDescent="0.25">
      <c r="E7092" s="157"/>
      <c r="F7092" s="157"/>
      <c r="L7092" s="105"/>
      <c r="M7092" s="105"/>
      <c r="N7092" s="105"/>
      <c r="O7092" s="105"/>
      <c r="P7092" s="159"/>
      <c r="Q7092" s="159"/>
      <c r="R7092" s="160"/>
      <c r="S7092" s="158"/>
      <c r="T7092" s="161"/>
      <c r="U7092" s="158"/>
      <c r="V7092" s="160"/>
    </row>
    <row r="7093" spans="5:22" x14ac:dyDescent="0.25">
      <c r="E7093" s="157"/>
      <c r="F7093" s="157"/>
      <c r="L7093" s="105"/>
      <c r="M7093" s="105"/>
      <c r="N7093" s="105"/>
      <c r="O7093" s="105"/>
      <c r="P7093" s="159"/>
      <c r="Q7093" s="159"/>
      <c r="R7093" s="160"/>
      <c r="S7093" s="158"/>
      <c r="T7093" s="161"/>
      <c r="U7093" s="158"/>
      <c r="V7093" s="160"/>
    </row>
    <row r="7094" spans="5:22" x14ac:dyDescent="0.25">
      <c r="E7094" s="157"/>
      <c r="F7094" s="157"/>
      <c r="L7094" s="105"/>
      <c r="M7094" s="105"/>
      <c r="N7094" s="105"/>
      <c r="O7094" s="105"/>
      <c r="P7094" s="159"/>
      <c r="Q7094" s="159"/>
      <c r="R7094" s="160"/>
      <c r="S7094" s="158"/>
      <c r="T7094" s="161"/>
      <c r="U7094" s="158"/>
      <c r="V7094" s="160"/>
    </row>
    <row r="7095" spans="5:22" x14ac:dyDescent="0.25">
      <c r="E7095" s="162"/>
      <c r="F7095" s="157"/>
      <c r="L7095" s="105"/>
      <c r="M7095" s="105"/>
      <c r="N7095" s="105"/>
      <c r="O7095" s="105"/>
      <c r="P7095" s="159"/>
      <c r="Q7095" s="159"/>
      <c r="R7095" s="160"/>
      <c r="S7095" s="158"/>
      <c r="T7095" s="161"/>
      <c r="U7095" s="158"/>
      <c r="V7095" s="160"/>
    </row>
    <row r="7096" spans="5:22" x14ac:dyDescent="0.25">
      <c r="E7096" s="157"/>
      <c r="F7096" s="157"/>
      <c r="L7096" s="105"/>
      <c r="M7096" s="105"/>
      <c r="N7096" s="105"/>
      <c r="O7096" s="105"/>
      <c r="P7096" s="159"/>
      <c r="Q7096" s="159"/>
      <c r="R7096" s="160"/>
      <c r="S7096" s="158"/>
      <c r="T7096" s="161"/>
      <c r="U7096" s="158"/>
      <c r="V7096" s="160"/>
    </row>
    <row r="7097" spans="5:22" x14ac:dyDescent="0.25">
      <c r="E7097" s="157"/>
      <c r="F7097" s="157"/>
      <c r="L7097" s="105"/>
      <c r="M7097" s="105"/>
      <c r="N7097" s="105"/>
      <c r="O7097" s="105"/>
      <c r="P7097" s="159"/>
      <c r="Q7097" s="159"/>
      <c r="R7097" s="160"/>
      <c r="S7097" s="158"/>
      <c r="T7097" s="161"/>
      <c r="U7097" s="158"/>
      <c r="V7097" s="160"/>
    </row>
    <row r="7098" spans="5:22" x14ac:dyDescent="0.25">
      <c r="E7098" s="157"/>
      <c r="F7098" s="157"/>
      <c r="L7098" s="105"/>
      <c r="M7098" s="105"/>
      <c r="N7098" s="105"/>
      <c r="O7098" s="105"/>
      <c r="P7098" s="159"/>
      <c r="Q7098" s="159"/>
      <c r="R7098" s="160"/>
      <c r="S7098" s="158"/>
      <c r="T7098" s="161"/>
      <c r="U7098" s="158"/>
      <c r="V7098" s="160"/>
    </row>
    <row r="7099" spans="5:22" x14ac:dyDescent="0.25">
      <c r="E7099" s="157"/>
      <c r="F7099" s="157"/>
      <c r="L7099" s="105"/>
      <c r="M7099" s="105"/>
      <c r="N7099" s="105"/>
      <c r="O7099" s="105"/>
      <c r="P7099" s="159"/>
      <c r="Q7099" s="159"/>
      <c r="R7099" s="160"/>
      <c r="S7099" s="158"/>
      <c r="T7099" s="161"/>
      <c r="U7099" s="158"/>
      <c r="V7099" s="160"/>
    </row>
    <row r="7100" spans="5:22" x14ac:dyDescent="0.25">
      <c r="E7100" s="157"/>
      <c r="F7100" s="157"/>
      <c r="L7100" s="105"/>
      <c r="M7100" s="105"/>
      <c r="N7100" s="105"/>
      <c r="O7100" s="105"/>
      <c r="P7100" s="159"/>
      <c r="Q7100" s="159"/>
      <c r="R7100" s="160"/>
      <c r="S7100" s="158"/>
      <c r="T7100" s="161"/>
      <c r="U7100" s="158"/>
      <c r="V7100" s="160"/>
    </row>
    <row r="7101" spans="5:22" x14ac:dyDescent="0.25">
      <c r="E7101" s="157"/>
      <c r="F7101" s="157"/>
      <c r="L7101" s="105"/>
      <c r="M7101" s="105"/>
      <c r="N7101" s="105"/>
      <c r="O7101" s="105"/>
      <c r="P7101" s="159"/>
      <c r="Q7101" s="159"/>
      <c r="R7101" s="160"/>
      <c r="S7101" s="158"/>
      <c r="T7101" s="161"/>
      <c r="U7101" s="158"/>
      <c r="V7101" s="160"/>
    </row>
    <row r="7102" spans="5:22" x14ac:dyDescent="0.25">
      <c r="E7102" s="157"/>
      <c r="F7102" s="157"/>
      <c r="L7102" s="105"/>
      <c r="M7102" s="105"/>
      <c r="N7102" s="105"/>
      <c r="O7102" s="105"/>
      <c r="P7102" s="159"/>
      <c r="Q7102" s="159"/>
      <c r="R7102" s="160"/>
      <c r="S7102" s="158"/>
      <c r="T7102" s="161"/>
      <c r="U7102" s="158"/>
      <c r="V7102" s="160"/>
    </row>
    <row r="7103" spans="5:22" x14ac:dyDescent="0.25">
      <c r="E7103" s="157"/>
      <c r="F7103" s="157"/>
      <c r="L7103" s="105"/>
      <c r="M7103" s="105"/>
      <c r="N7103" s="105"/>
      <c r="O7103" s="105"/>
      <c r="P7103" s="159"/>
      <c r="Q7103" s="159"/>
      <c r="R7103" s="160"/>
      <c r="S7103" s="158"/>
      <c r="T7103" s="161"/>
      <c r="U7103" s="158"/>
      <c r="V7103" s="160"/>
    </row>
    <row r="7104" spans="5:22" x14ac:dyDescent="0.25">
      <c r="E7104" s="157"/>
      <c r="F7104" s="157"/>
      <c r="L7104" s="105"/>
      <c r="M7104" s="105"/>
      <c r="N7104" s="105"/>
      <c r="O7104" s="105"/>
      <c r="P7104" s="159"/>
      <c r="Q7104" s="159"/>
      <c r="R7104" s="160"/>
      <c r="S7104" s="158"/>
      <c r="T7104" s="161"/>
      <c r="U7104" s="158"/>
      <c r="V7104" s="160"/>
    </row>
    <row r="7105" spans="5:22" x14ac:dyDescent="0.25">
      <c r="E7105" s="157"/>
      <c r="F7105" s="157"/>
      <c r="L7105" s="105"/>
      <c r="M7105" s="105"/>
      <c r="N7105" s="105"/>
      <c r="O7105" s="105"/>
      <c r="P7105" s="159"/>
      <c r="Q7105" s="159"/>
      <c r="R7105" s="160"/>
      <c r="S7105" s="158"/>
      <c r="T7105" s="161"/>
      <c r="U7105" s="158"/>
      <c r="V7105" s="160"/>
    </row>
    <row r="7106" spans="5:22" x14ac:dyDescent="0.25">
      <c r="E7106" s="157"/>
      <c r="F7106" s="157"/>
      <c r="L7106" s="105"/>
      <c r="M7106" s="105"/>
      <c r="N7106" s="105"/>
      <c r="O7106" s="105"/>
      <c r="P7106" s="159"/>
      <c r="Q7106" s="159"/>
      <c r="R7106" s="160"/>
      <c r="S7106" s="158"/>
      <c r="T7106" s="161"/>
      <c r="U7106" s="158"/>
      <c r="V7106" s="160"/>
    </row>
    <row r="7107" spans="5:22" x14ac:dyDescent="0.25">
      <c r="E7107" s="157"/>
      <c r="F7107" s="157"/>
      <c r="L7107" s="105"/>
      <c r="M7107" s="105"/>
      <c r="N7107" s="105"/>
      <c r="O7107" s="105"/>
      <c r="P7107" s="159"/>
      <c r="Q7107" s="159"/>
      <c r="R7107" s="160"/>
      <c r="S7107" s="158"/>
      <c r="T7107" s="161"/>
      <c r="U7107" s="158"/>
      <c r="V7107" s="160"/>
    </row>
    <row r="7108" spans="5:22" x14ac:dyDescent="0.25">
      <c r="E7108" s="157"/>
      <c r="F7108" s="157"/>
      <c r="L7108" s="105"/>
      <c r="M7108" s="105"/>
      <c r="N7108" s="105"/>
      <c r="O7108" s="105"/>
      <c r="P7108" s="159"/>
      <c r="Q7108" s="159"/>
      <c r="R7108" s="160"/>
      <c r="S7108" s="158"/>
      <c r="T7108" s="161"/>
      <c r="U7108" s="158"/>
      <c r="V7108" s="160"/>
    </row>
    <row r="7109" spans="5:22" x14ac:dyDescent="0.25">
      <c r="E7109" s="157"/>
      <c r="F7109" s="157"/>
      <c r="L7109" s="105"/>
      <c r="M7109" s="105"/>
      <c r="N7109" s="105"/>
      <c r="O7109" s="105"/>
      <c r="P7109" s="159"/>
      <c r="Q7109" s="159"/>
      <c r="R7109" s="160"/>
      <c r="S7109" s="158"/>
      <c r="T7109" s="161"/>
      <c r="U7109" s="158"/>
      <c r="V7109" s="160"/>
    </row>
    <row r="7110" spans="5:22" x14ac:dyDescent="0.25">
      <c r="E7110" s="157"/>
      <c r="F7110" s="157"/>
      <c r="L7110" s="105"/>
      <c r="M7110" s="105"/>
      <c r="N7110" s="105"/>
      <c r="O7110" s="105"/>
      <c r="P7110" s="159"/>
      <c r="Q7110" s="159"/>
      <c r="R7110" s="160"/>
      <c r="S7110" s="158"/>
      <c r="T7110" s="161"/>
      <c r="U7110" s="158"/>
      <c r="V7110" s="160"/>
    </row>
    <row r="7111" spans="5:22" x14ac:dyDescent="0.25">
      <c r="E7111" s="157"/>
      <c r="F7111" s="157"/>
      <c r="L7111" s="105"/>
      <c r="M7111" s="105"/>
      <c r="N7111" s="105"/>
      <c r="O7111" s="105"/>
      <c r="P7111" s="159"/>
      <c r="Q7111" s="159"/>
      <c r="R7111" s="160"/>
      <c r="S7111" s="158"/>
      <c r="T7111" s="161"/>
      <c r="U7111" s="158"/>
      <c r="V7111" s="160"/>
    </row>
    <row r="7112" spans="5:22" x14ac:dyDescent="0.25">
      <c r="E7112" s="157"/>
      <c r="F7112" s="157"/>
      <c r="L7112" s="105"/>
      <c r="M7112" s="105"/>
      <c r="N7112" s="105"/>
      <c r="O7112" s="105"/>
      <c r="P7112" s="159"/>
      <c r="Q7112" s="159"/>
      <c r="R7112" s="160"/>
      <c r="S7112" s="158"/>
      <c r="T7112" s="161"/>
      <c r="U7112" s="158"/>
      <c r="V7112" s="160"/>
    </row>
    <row r="7113" spans="5:22" x14ac:dyDescent="0.25">
      <c r="E7113" s="157"/>
      <c r="F7113" s="157"/>
      <c r="L7113" s="105"/>
      <c r="M7113" s="105"/>
      <c r="N7113" s="105"/>
      <c r="O7113" s="105"/>
      <c r="P7113" s="159"/>
      <c r="Q7113" s="159"/>
      <c r="R7113" s="160"/>
      <c r="S7113" s="158"/>
      <c r="T7113" s="161"/>
      <c r="U7113" s="158"/>
      <c r="V7113" s="160"/>
    </row>
    <row r="7114" spans="5:22" x14ac:dyDescent="0.25">
      <c r="E7114" s="157"/>
      <c r="F7114" s="157"/>
      <c r="L7114" s="105"/>
      <c r="M7114" s="105"/>
      <c r="N7114" s="105"/>
      <c r="O7114" s="105"/>
      <c r="P7114" s="159"/>
      <c r="Q7114" s="159"/>
      <c r="R7114" s="160"/>
      <c r="S7114" s="158"/>
      <c r="T7114" s="161"/>
      <c r="U7114" s="158"/>
      <c r="V7114" s="160"/>
    </row>
    <row r="7115" spans="5:22" x14ac:dyDescent="0.25">
      <c r="E7115" s="157"/>
      <c r="F7115" s="157"/>
      <c r="L7115" s="105"/>
      <c r="M7115" s="105"/>
      <c r="N7115" s="105"/>
      <c r="O7115" s="105"/>
      <c r="P7115" s="159"/>
      <c r="Q7115" s="159"/>
      <c r="R7115" s="160"/>
      <c r="S7115" s="158"/>
      <c r="T7115" s="161"/>
      <c r="U7115" s="158"/>
      <c r="V7115" s="160"/>
    </row>
    <row r="7116" spans="5:22" x14ac:dyDescent="0.25">
      <c r="E7116" s="157"/>
      <c r="F7116" s="157"/>
      <c r="L7116" s="105"/>
      <c r="M7116" s="105"/>
      <c r="N7116" s="105"/>
      <c r="O7116" s="105"/>
      <c r="P7116" s="159"/>
      <c r="Q7116" s="159"/>
      <c r="R7116" s="160"/>
      <c r="S7116" s="158"/>
      <c r="T7116" s="161"/>
      <c r="U7116" s="158"/>
      <c r="V7116" s="160"/>
    </row>
    <row r="7117" spans="5:22" x14ac:dyDescent="0.25">
      <c r="E7117" s="157"/>
      <c r="F7117" s="157"/>
      <c r="L7117" s="105"/>
      <c r="M7117" s="105"/>
      <c r="N7117" s="105"/>
      <c r="O7117" s="105"/>
      <c r="P7117" s="159"/>
      <c r="Q7117" s="159"/>
      <c r="R7117" s="160"/>
      <c r="S7117" s="158"/>
      <c r="T7117" s="161"/>
      <c r="U7117" s="158"/>
      <c r="V7117" s="160"/>
    </row>
    <row r="7118" spans="5:22" x14ac:dyDescent="0.25">
      <c r="E7118" s="157"/>
      <c r="F7118" s="157"/>
      <c r="L7118" s="105"/>
      <c r="M7118" s="105"/>
      <c r="N7118" s="105"/>
      <c r="O7118" s="105"/>
      <c r="P7118" s="159"/>
      <c r="Q7118" s="159"/>
      <c r="R7118" s="160"/>
      <c r="S7118" s="158"/>
      <c r="T7118" s="161"/>
      <c r="U7118" s="158"/>
      <c r="V7118" s="160"/>
    </row>
    <row r="7119" spans="5:22" x14ac:dyDescent="0.25">
      <c r="E7119" s="157"/>
      <c r="F7119" s="157"/>
      <c r="L7119" s="105"/>
      <c r="M7119" s="105"/>
      <c r="N7119" s="105"/>
      <c r="O7119" s="105"/>
      <c r="P7119" s="159"/>
      <c r="Q7119" s="159"/>
      <c r="R7119" s="160"/>
      <c r="S7119" s="158"/>
      <c r="T7119" s="161"/>
      <c r="U7119" s="158"/>
      <c r="V7119" s="160"/>
    </row>
    <row r="7120" spans="5:22" x14ac:dyDescent="0.25">
      <c r="E7120" s="157"/>
      <c r="F7120" s="157"/>
      <c r="L7120" s="105"/>
      <c r="M7120" s="105"/>
      <c r="N7120" s="105"/>
      <c r="O7120" s="105"/>
      <c r="P7120" s="159"/>
      <c r="Q7120" s="159"/>
      <c r="R7120" s="160"/>
      <c r="S7120" s="158"/>
      <c r="T7120" s="161"/>
      <c r="U7120" s="158"/>
      <c r="V7120" s="160"/>
    </row>
    <row r="7121" spans="5:22" x14ac:dyDescent="0.25">
      <c r="E7121" s="157"/>
      <c r="F7121" s="157"/>
      <c r="L7121" s="105"/>
      <c r="M7121" s="105"/>
      <c r="N7121" s="105"/>
      <c r="O7121" s="105"/>
      <c r="P7121" s="159"/>
      <c r="Q7121" s="159"/>
      <c r="R7121" s="160"/>
      <c r="S7121" s="158"/>
      <c r="T7121" s="161"/>
      <c r="U7121" s="158"/>
      <c r="V7121" s="160"/>
    </row>
    <row r="7122" spans="5:22" x14ac:dyDescent="0.25">
      <c r="E7122" s="157"/>
      <c r="F7122" s="157"/>
      <c r="L7122" s="105"/>
      <c r="M7122" s="105"/>
      <c r="N7122" s="105"/>
      <c r="O7122" s="105"/>
      <c r="P7122" s="159"/>
      <c r="Q7122" s="159"/>
      <c r="R7122" s="160"/>
      <c r="S7122" s="158"/>
      <c r="T7122" s="161"/>
      <c r="U7122" s="158"/>
      <c r="V7122" s="160"/>
    </row>
    <row r="7123" spans="5:22" x14ac:dyDescent="0.25">
      <c r="E7123" s="157"/>
      <c r="F7123" s="157"/>
      <c r="L7123" s="105"/>
      <c r="M7123" s="105"/>
      <c r="N7123" s="105"/>
      <c r="O7123" s="105"/>
      <c r="P7123" s="159"/>
      <c r="Q7123" s="159"/>
      <c r="R7123" s="160"/>
      <c r="S7123" s="158"/>
      <c r="T7123" s="161"/>
      <c r="U7123" s="158"/>
      <c r="V7123" s="160"/>
    </row>
    <row r="7124" spans="5:22" x14ac:dyDescent="0.25">
      <c r="E7124" s="157"/>
      <c r="F7124" s="157"/>
      <c r="L7124" s="105"/>
      <c r="M7124" s="105"/>
      <c r="N7124" s="105"/>
      <c r="O7124" s="105"/>
      <c r="P7124" s="159"/>
      <c r="Q7124" s="159"/>
      <c r="R7124" s="160"/>
      <c r="S7124" s="158"/>
      <c r="T7124" s="161"/>
      <c r="U7124" s="158"/>
      <c r="V7124" s="160"/>
    </row>
    <row r="7125" spans="5:22" x14ac:dyDescent="0.25">
      <c r="E7125" s="157"/>
      <c r="F7125" s="157"/>
      <c r="L7125" s="105"/>
      <c r="M7125" s="105"/>
      <c r="N7125" s="105"/>
      <c r="O7125" s="105"/>
      <c r="P7125" s="159"/>
      <c r="Q7125" s="159"/>
      <c r="R7125" s="160"/>
      <c r="S7125" s="158"/>
      <c r="T7125" s="161"/>
      <c r="U7125" s="158"/>
      <c r="V7125" s="160"/>
    </row>
    <row r="7126" spans="5:22" x14ac:dyDescent="0.25">
      <c r="E7126" s="157"/>
      <c r="F7126" s="157"/>
      <c r="L7126" s="105"/>
      <c r="M7126" s="105"/>
      <c r="N7126" s="105"/>
      <c r="O7126" s="105"/>
      <c r="P7126" s="159"/>
      <c r="Q7126" s="159"/>
      <c r="R7126" s="160"/>
      <c r="S7126" s="158"/>
      <c r="T7126" s="161"/>
      <c r="U7126" s="158"/>
      <c r="V7126" s="160"/>
    </row>
    <row r="7127" spans="5:22" x14ac:dyDescent="0.25">
      <c r="E7127" s="157"/>
      <c r="F7127" s="157"/>
      <c r="L7127" s="105"/>
      <c r="M7127" s="105"/>
      <c r="N7127" s="105"/>
      <c r="O7127" s="105"/>
      <c r="P7127" s="159"/>
      <c r="Q7127" s="159"/>
      <c r="R7127" s="160"/>
      <c r="S7127" s="158"/>
      <c r="T7127" s="161"/>
      <c r="U7127" s="158"/>
      <c r="V7127" s="160"/>
    </row>
    <row r="7128" spans="5:22" x14ac:dyDescent="0.25">
      <c r="E7128" s="157"/>
      <c r="F7128" s="157"/>
      <c r="L7128" s="105"/>
      <c r="M7128" s="105"/>
      <c r="N7128" s="105"/>
      <c r="O7128" s="105"/>
      <c r="P7128" s="159"/>
      <c r="Q7128" s="159"/>
      <c r="R7128" s="160"/>
      <c r="S7128" s="158"/>
      <c r="T7128" s="161"/>
      <c r="U7128" s="158"/>
      <c r="V7128" s="160"/>
    </row>
    <row r="7129" spans="5:22" x14ac:dyDescent="0.25">
      <c r="E7129" s="157"/>
      <c r="F7129" s="157"/>
      <c r="L7129" s="105"/>
      <c r="M7129" s="105"/>
      <c r="N7129" s="105"/>
      <c r="O7129" s="105"/>
      <c r="P7129" s="159"/>
      <c r="Q7129" s="159"/>
      <c r="R7129" s="160"/>
      <c r="S7129" s="158"/>
      <c r="T7129" s="161"/>
      <c r="U7129" s="158"/>
      <c r="V7129" s="160"/>
    </row>
    <row r="7130" spans="5:22" x14ac:dyDescent="0.25">
      <c r="E7130" s="157"/>
      <c r="F7130" s="157"/>
      <c r="L7130" s="105"/>
      <c r="M7130" s="105"/>
      <c r="N7130" s="105"/>
      <c r="O7130" s="105"/>
      <c r="P7130" s="159"/>
      <c r="Q7130" s="159"/>
      <c r="R7130" s="160"/>
      <c r="S7130" s="158"/>
      <c r="T7130" s="161"/>
      <c r="U7130" s="158"/>
      <c r="V7130" s="160"/>
    </row>
    <row r="7131" spans="5:22" x14ac:dyDescent="0.25">
      <c r="E7131" s="157"/>
      <c r="F7131" s="157"/>
      <c r="L7131" s="105"/>
      <c r="M7131" s="105"/>
      <c r="N7131" s="105"/>
      <c r="O7131" s="105"/>
      <c r="P7131" s="159"/>
      <c r="Q7131" s="159"/>
      <c r="R7131" s="160"/>
      <c r="S7131" s="158"/>
      <c r="T7131" s="161"/>
      <c r="U7131" s="158"/>
      <c r="V7131" s="160"/>
    </row>
    <row r="7132" spans="5:22" x14ac:dyDescent="0.25">
      <c r="E7132" s="157"/>
      <c r="F7132" s="157"/>
      <c r="L7132" s="105"/>
      <c r="M7132" s="105"/>
      <c r="N7132" s="105"/>
      <c r="O7132" s="105"/>
      <c r="P7132" s="159"/>
      <c r="Q7132" s="159"/>
      <c r="R7132" s="160"/>
      <c r="S7132" s="158"/>
      <c r="T7132" s="161"/>
      <c r="U7132" s="158"/>
      <c r="V7132" s="160"/>
    </row>
    <row r="7133" spans="5:22" x14ac:dyDescent="0.25">
      <c r="E7133" s="157"/>
      <c r="F7133" s="162"/>
      <c r="L7133" s="105"/>
      <c r="M7133" s="105"/>
      <c r="N7133" s="105"/>
      <c r="O7133" s="105"/>
      <c r="P7133" s="159"/>
      <c r="Q7133" s="159"/>
      <c r="R7133" s="160"/>
      <c r="S7133" s="158"/>
      <c r="T7133" s="161"/>
      <c r="U7133" s="158"/>
      <c r="V7133" s="160"/>
    </row>
    <row r="7134" spans="5:22" x14ac:dyDescent="0.25">
      <c r="E7134" s="157"/>
      <c r="F7134" s="157"/>
      <c r="L7134" s="105"/>
      <c r="M7134" s="105"/>
      <c r="N7134" s="105"/>
      <c r="O7134" s="105"/>
      <c r="P7134" s="159"/>
      <c r="Q7134" s="159"/>
      <c r="R7134" s="160"/>
      <c r="S7134" s="158"/>
      <c r="T7134" s="161"/>
      <c r="U7134" s="158"/>
      <c r="V7134" s="160"/>
    </row>
    <row r="7135" spans="5:22" x14ac:dyDescent="0.25">
      <c r="E7135" s="157"/>
      <c r="F7135" s="157"/>
      <c r="L7135" s="105"/>
      <c r="M7135" s="105"/>
      <c r="N7135" s="105"/>
      <c r="O7135" s="105"/>
      <c r="P7135" s="159"/>
      <c r="Q7135" s="159"/>
      <c r="R7135" s="160"/>
      <c r="S7135" s="158"/>
      <c r="T7135" s="161"/>
      <c r="U7135" s="158"/>
      <c r="V7135" s="160"/>
    </row>
    <row r="7136" spans="5:22" x14ac:dyDescent="0.25">
      <c r="E7136" s="157"/>
      <c r="F7136" s="157"/>
      <c r="L7136" s="105"/>
      <c r="M7136" s="105"/>
      <c r="N7136" s="105"/>
      <c r="O7136" s="105"/>
      <c r="P7136" s="159"/>
      <c r="Q7136" s="159"/>
      <c r="R7136" s="160"/>
      <c r="S7136" s="158"/>
      <c r="T7136" s="161"/>
      <c r="U7136" s="158"/>
      <c r="V7136" s="160"/>
    </row>
    <row r="7137" spans="5:22" x14ac:dyDescent="0.25">
      <c r="E7137" s="157"/>
      <c r="F7137" s="157"/>
      <c r="L7137" s="105"/>
      <c r="M7137" s="105"/>
      <c r="N7137" s="105"/>
      <c r="O7137" s="105"/>
      <c r="P7137" s="159"/>
      <c r="Q7137" s="159"/>
      <c r="R7137" s="160"/>
      <c r="S7137" s="158"/>
      <c r="T7137" s="161"/>
      <c r="U7137" s="158"/>
      <c r="V7137" s="160"/>
    </row>
    <row r="7138" spans="5:22" x14ac:dyDescent="0.25">
      <c r="E7138" s="162"/>
      <c r="F7138" s="157"/>
      <c r="L7138" s="105"/>
      <c r="M7138" s="105"/>
      <c r="N7138" s="105"/>
      <c r="O7138" s="105"/>
      <c r="P7138" s="159"/>
      <c r="Q7138" s="159"/>
      <c r="R7138" s="160"/>
      <c r="S7138" s="158"/>
      <c r="T7138" s="161"/>
      <c r="U7138" s="158"/>
      <c r="V7138" s="160"/>
    </row>
    <row r="7139" spans="5:22" x14ac:dyDescent="0.25">
      <c r="E7139" s="157"/>
      <c r="F7139" s="157"/>
      <c r="L7139" s="105"/>
      <c r="M7139" s="105"/>
      <c r="N7139" s="105"/>
      <c r="O7139" s="105"/>
      <c r="P7139" s="159"/>
      <c r="Q7139" s="159"/>
      <c r="R7139" s="160"/>
      <c r="S7139" s="158"/>
      <c r="T7139" s="161"/>
      <c r="U7139" s="158"/>
      <c r="V7139" s="160"/>
    </row>
    <row r="7140" spans="5:22" x14ac:dyDescent="0.25">
      <c r="E7140" s="157"/>
      <c r="F7140" s="157"/>
      <c r="L7140" s="105"/>
      <c r="M7140" s="105"/>
      <c r="N7140" s="105"/>
      <c r="O7140" s="105"/>
      <c r="P7140" s="159"/>
      <c r="Q7140" s="159"/>
      <c r="R7140" s="160"/>
      <c r="S7140" s="158"/>
      <c r="T7140" s="161"/>
      <c r="U7140" s="158"/>
      <c r="V7140" s="160"/>
    </row>
    <row r="7141" spans="5:22" x14ac:dyDescent="0.25">
      <c r="E7141" s="157"/>
      <c r="F7141" s="157"/>
      <c r="L7141" s="105"/>
      <c r="M7141" s="105"/>
      <c r="N7141" s="105"/>
      <c r="O7141" s="105"/>
      <c r="P7141" s="159"/>
      <c r="Q7141" s="159"/>
      <c r="R7141" s="160"/>
      <c r="S7141" s="158"/>
      <c r="T7141" s="161"/>
      <c r="U7141" s="158"/>
      <c r="V7141" s="160"/>
    </row>
    <row r="7142" spans="5:22" x14ac:dyDescent="0.25">
      <c r="E7142" s="157"/>
      <c r="F7142" s="157"/>
      <c r="L7142" s="105"/>
      <c r="M7142" s="105"/>
      <c r="N7142" s="105"/>
      <c r="O7142" s="105"/>
      <c r="P7142" s="159"/>
      <c r="Q7142" s="159"/>
      <c r="R7142" s="160"/>
      <c r="S7142" s="158"/>
      <c r="T7142" s="161"/>
      <c r="U7142" s="158"/>
      <c r="V7142" s="160"/>
    </row>
    <row r="7143" spans="5:22" x14ac:dyDescent="0.25">
      <c r="E7143" s="157"/>
      <c r="F7143" s="157"/>
      <c r="L7143" s="105"/>
      <c r="M7143" s="105"/>
      <c r="N7143" s="105"/>
      <c r="O7143" s="105"/>
      <c r="P7143" s="159"/>
      <c r="Q7143" s="159"/>
      <c r="R7143" s="160"/>
      <c r="S7143" s="158"/>
      <c r="T7143" s="161"/>
      <c r="U7143" s="158"/>
      <c r="V7143" s="160"/>
    </row>
    <row r="7144" spans="5:22" x14ac:dyDescent="0.25">
      <c r="E7144" s="157"/>
      <c r="F7144" s="157"/>
      <c r="L7144" s="105"/>
      <c r="M7144" s="105"/>
      <c r="N7144" s="105"/>
      <c r="O7144" s="105"/>
      <c r="P7144" s="159"/>
      <c r="Q7144" s="159"/>
      <c r="R7144" s="160"/>
      <c r="S7144" s="158"/>
      <c r="T7144" s="161"/>
      <c r="U7144" s="158"/>
      <c r="V7144" s="160"/>
    </row>
    <row r="7145" spans="5:22" x14ac:dyDescent="0.25">
      <c r="E7145" s="157"/>
      <c r="F7145" s="157"/>
      <c r="L7145" s="105"/>
      <c r="M7145" s="105"/>
      <c r="N7145" s="105"/>
      <c r="O7145" s="105"/>
      <c r="P7145" s="159"/>
      <c r="Q7145" s="159"/>
      <c r="R7145" s="160"/>
      <c r="S7145" s="158"/>
      <c r="T7145" s="161"/>
      <c r="U7145" s="158"/>
      <c r="V7145" s="160"/>
    </row>
    <row r="7146" spans="5:22" x14ac:dyDescent="0.25">
      <c r="E7146" s="157"/>
      <c r="F7146" s="157"/>
      <c r="L7146" s="105"/>
      <c r="M7146" s="105"/>
      <c r="N7146" s="105"/>
      <c r="O7146" s="105"/>
      <c r="P7146" s="159"/>
      <c r="Q7146" s="159"/>
      <c r="R7146" s="160"/>
      <c r="S7146" s="158"/>
      <c r="T7146" s="161"/>
      <c r="U7146" s="158"/>
      <c r="V7146" s="160"/>
    </row>
    <row r="7147" spans="5:22" x14ac:dyDescent="0.25">
      <c r="E7147" s="157"/>
      <c r="F7147" s="157"/>
      <c r="L7147" s="105"/>
      <c r="M7147" s="105"/>
      <c r="N7147" s="105"/>
      <c r="O7147" s="105"/>
      <c r="P7147" s="159"/>
      <c r="Q7147" s="159"/>
      <c r="R7147" s="160"/>
      <c r="S7147" s="158"/>
      <c r="T7147" s="161"/>
      <c r="U7147" s="158"/>
      <c r="V7147" s="160"/>
    </row>
    <row r="7148" spans="5:22" x14ac:dyDescent="0.25">
      <c r="E7148" s="157"/>
      <c r="F7148" s="157"/>
      <c r="L7148" s="105"/>
      <c r="M7148" s="105"/>
      <c r="N7148" s="105"/>
      <c r="O7148" s="105"/>
      <c r="P7148" s="159"/>
      <c r="Q7148" s="159"/>
      <c r="R7148" s="160"/>
      <c r="S7148" s="158"/>
      <c r="T7148" s="161"/>
      <c r="U7148" s="158"/>
      <c r="V7148" s="160"/>
    </row>
    <row r="7149" spans="5:22" x14ac:dyDescent="0.25">
      <c r="E7149" s="157"/>
      <c r="F7149" s="157"/>
      <c r="L7149" s="105"/>
      <c r="M7149" s="105"/>
      <c r="N7149" s="105"/>
      <c r="O7149" s="105"/>
      <c r="P7149" s="159"/>
      <c r="Q7149" s="159"/>
      <c r="R7149" s="160"/>
      <c r="S7149" s="158"/>
      <c r="T7149" s="161"/>
      <c r="U7149" s="158"/>
      <c r="V7149" s="160"/>
    </row>
    <row r="7150" spans="5:22" x14ac:dyDescent="0.25">
      <c r="E7150" s="157"/>
      <c r="F7150" s="157"/>
      <c r="L7150" s="105"/>
      <c r="M7150" s="105"/>
      <c r="N7150" s="105"/>
      <c r="O7150" s="105"/>
      <c r="P7150" s="159"/>
      <c r="Q7150" s="159"/>
      <c r="R7150" s="160"/>
      <c r="S7150" s="158"/>
      <c r="T7150" s="161"/>
      <c r="U7150" s="158"/>
      <c r="V7150" s="160"/>
    </row>
    <row r="7151" spans="5:22" x14ac:dyDescent="0.25">
      <c r="E7151" s="157"/>
      <c r="F7151" s="157"/>
      <c r="L7151" s="105"/>
      <c r="M7151" s="105"/>
      <c r="N7151" s="105"/>
      <c r="O7151" s="105"/>
      <c r="P7151" s="159"/>
      <c r="Q7151" s="159"/>
      <c r="R7151" s="160"/>
      <c r="S7151" s="158"/>
      <c r="T7151" s="161"/>
      <c r="U7151" s="158"/>
      <c r="V7151" s="160"/>
    </row>
    <row r="7152" spans="5:22" x14ac:dyDescent="0.25">
      <c r="E7152" s="157"/>
      <c r="F7152" s="157"/>
      <c r="L7152" s="105"/>
      <c r="M7152" s="105"/>
      <c r="N7152" s="105"/>
      <c r="O7152" s="105"/>
      <c r="P7152" s="159"/>
      <c r="Q7152" s="159"/>
      <c r="R7152" s="160"/>
      <c r="S7152" s="158"/>
      <c r="T7152" s="161"/>
      <c r="U7152" s="158"/>
      <c r="V7152" s="160"/>
    </row>
    <row r="7153" spans="5:22" x14ac:dyDescent="0.25">
      <c r="E7153" s="157"/>
      <c r="F7153" s="157"/>
      <c r="L7153" s="105"/>
      <c r="M7153" s="105"/>
      <c r="N7153" s="105"/>
      <c r="O7153" s="105"/>
      <c r="P7153" s="159"/>
      <c r="Q7153" s="159"/>
      <c r="R7153" s="160"/>
      <c r="S7153" s="158"/>
      <c r="T7153" s="161"/>
      <c r="U7153" s="158"/>
      <c r="V7153" s="160"/>
    </row>
    <row r="7154" spans="5:22" x14ac:dyDescent="0.25">
      <c r="E7154" s="157"/>
      <c r="F7154" s="157"/>
      <c r="L7154" s="105"/>
      <c r="M7154" s="105"/>
      <c r="N7154" s="105"/>
      <c r="O7154" s="105"/>
      <c r="P7154" s="159"/>
      <c r="Q7154" s="159"/>
      <c r="R7154" s="160"/>
      <c r="S7154" s="158"/>
      <c r="T7154" s="161"/>
      <c r="U7154" s="158"/>
      <c r="V7154" s="160"/>
    </row>
    <row r="7155" spans="5:22" x14ac:dyDescent="0.25">
      <c r="E7155" s="157"/>
      <c r="F7155" s="157"/>
      <c r="L7155" s="105"/>
      <c r="M7155" s="105"/>
      <c r="N7155" s="105"/>
      <c r="O7155" s="105"/>
      <c r="P7155" s="159"/>
      <c r="Q7155" s="159"/>
      <c r="R7155" s="160"/>
      <c r="S7155" s="158"/>
      <c r="T7155" s="161"/>
      <c r="U7155" s="158"/>
      <c r="V7155" s="160"/>
    </row>
    <row r="7156" spans="5:22" x14ac:dyDescent="0.25">
      <c r="E7156" s="157"/>
      <c r="F7156" s="157"/>
      <c r="L7156" s="105"/>
      <c r="M7156" s="105"/>
      <c r="N7156" s="105"/>
      <c r="O7156" s="105"/>
      <c r="P7156" s="159"/>
      <c r="Q7156" s="159"/>
      <c r="R7156" s="160"/>
      <c r="S7156" s="158"/>
      <c r="T7156" s="161"/>
      <c r="U7156" s="158"/>
      <c r="V7156" s="160"/>
    </row>
    <row r="7157" spans="5:22" x14ac:dyDescent="0.25">
      <c r="E7157" s="157"/>
      <c r="F7157" s="157"/>
      <c r="L7157" s="105"/>
      <c r="M7157" s="105"/>
      <c r="N7157" s="105"/>
      <c r="O7157" s="105"/>
      <c r="P7157" s="159"/>
      <c r="Q7157" s="159"/>
      <c r="R7157" s="160"/>
      <c r="S7157" s="158"/>
      <c r="T7157" s="161"/>
      <c r="U7157" s="158"/>
      <c r="V7157" s="160"/>
    </row>
    <row r="7158" spans="5:22" x14ac:dyDescent="0.25">
      <c r="E7158" s="157"/>
      <c r="F7158" s="157"/>
      <c r="L7158" s="105"/>
      <c r="M7158" s="105"/>
      <c r="N7158" s="105"/>
      <c r="O7158" s="105"/>
      <c r="P7158" s="159"/>
      <c r="Q7158" s="159"/>
      <c r="R7158" s="160"/>
      <c r="S7158" s="158"/>
      <c r="T7158" s="161"/>
      <c r="U7158" s="158"/>
      <c r="V7158" s="160"/>
    </row>
    <row r="7159" spans="5:22" x14ac:dyDescent="0.25">
      <c r="E7159" s="157"/>
      <c r="F7159" s="157"/>
      <c r="L7159" s="105"/>
      <c r="M7159" s="105"/>
      <c r="N7159" s="105"/>
      <c r="O7159" s="105"/>
      <c r="P7159" s="159"/>
      <c r="Q7159" s="159"/>
      <c r="R7159" s="160"/>
      <c r="S7159" s="158"/>
      <c r="T7159" s="161"/>
      <c r="U7159" s="158"/>
      <c r="V7159" s="160"/>
    </row>
    <row r="7160" spans="5:22" x14ac:dyDescent="0.25">
      <c r="E7160" s="157"/>
      <c r="F7160" s="157"/>
      <c r="L7160" s="105"/>
      <c r="M7160" s="105"/>
      <c r="N7160" s="105"/>
      <c r="O7160" s="105"/>
      <c r="P7160" s="159"/>
      <c r="Q7160" s="159"/>
      <c r="R7160" s="160"/>
      <c r="S7160" s="158"/>
      <c r="T7160" s="161"/>
      <c r="U7160" s="158"/>
      <c r="V7160" s="160"/>
    </row>
    <row r="7161" spans="5:22" x14ac:dyDescent="0.25">
      <c r="E7161" s="157"/>
      <c r="F7161" s="157"/>
      <c r="L7161" s="105"/>
      <c r="M7161" s="105"/>
      <c r="N7161" s="105"/>
      <c r="O7161" s="105"/>
      <c r="P7161" s="159"/>
      <c r="Q7161" s="159"/>
      <c r="R7161" s="160"/>
      <c r="S7161" s="158"/>
      <c r="T7161" s="161"/>
      <c r="U7161" s="158"/>
      <c r="V7161" s="160"/>
    </row>
    <row r="7162" spans="5:22" x14ac:dyDescent="0.25">
      <c r="E7162" s="157"/>
      <c r="F7162" s="157"/>
      <c r="L7162" s="105"/>
      <c r="M7162" s="105"/>
      <c r="N7162" s="105"/>
      <c r="O7162" s="105"/>
      <c r="P7162" s="159"/>
      <c r="Q7162" s="159"/>
      <c r="R7162" s="160"/>
      <c r="S7162" s="158"/>
      <c r="T7162" s="161"/>
      <c r="U7162" s="158"/>
      <c r="V7162" s="160"/>
    </row>
    <row r="7163" spans="5:22" x14ac:dyDescent="0.25">
      <c r="E7163" s="157"/>
      <c r="F7163" s="157"/>
      <c r="L7163" s="105"/>
      <c r="M7163" s="105"/>
      <c r="N7163" s="105"/>
      <c r="O7163" s="105"/>
      <c r="P7163" s="159"/>
      <c r="Q7163" s="159"/>
      <c r="R7163" s="160"/>
      <c r="S7163" s="158"/>
      <c r="T7163" s="161"/>
      <c r="U7163" s="158"/>
      <c r="V7163" s="160"/>
    </row>
    <row r="7164" spans="5:22" x14ac:dyDescent="0.25">
      <c r="E7164" s="157"/>
      <c r="F7164" s="157"/>
      <c r="L7164" s="105"/>
      <c r="M7164" s="105"/>
      <c r="N7164" s="105"/>
      <c r="O7164" s="105"/>
      <c r="P7164" s="159"/>
      <c r="Q7164" s="159"/>
      <c r="R7164" s="160"/>
      <c r="S7164" s="158"/>
      <c r="T7164" s="161"/>
      <c r="U7164" s="158"/>
      <c r="V7164" s="160"/>
    </row>
    <row r="7165" spans="5:22" x14ac:dyDescent="0.25">
      <c r="E7165" s="157"/>
      <c r="F7165" s="157"/>
      <c r="L7165" s="105"/>
      <c r="M7165" s="105"/>
      <c r="N7165" s="105"/>
      <c r="O7165" s="105"/>
      <c r="P7165" s="159"/>
      <c r="Q7165" s="159"/>
      <c r="R7165" s="160"/>
      <c r="S7165" s="158"/>
      <c r="T7165" s="161"/>
      <c r="U7165" s="158"/>
      <c r="V7165" s="160"/>
    </row>
    <row r="7166" spans="5:22" x14ac:dyDescent="0.25">
      <c r="E7166" s="157"/>
      <c r="F7166" s="157"/>
      <c r="L7166" s="105"/>
      <c r="M7166" s="105"/>
      <c r="N7166" s="105"/>
      <c r="O7166" s="105"/>
      <c r="P7166" s="159"/>
      <c r="Q7166" s="159"/>
      <c r="R7166" s="160"/>
      <c r="S7166" s="158"/>
      <c r="T7166" s="161"/>
      <c r="U7166" s="158"/>
      <c r="V7166" s="160"/>
    </row>
    <row r="7167" spans="5:22" x14ac:dyDescent="0.25">
      <c r="E7167" s="157"/>
      <c r="F7167" s="157"/>
      <c r="L7167" s="105"/>
      <c r="M7167" s="105"/>
      <c r="N7167" s="105"/>
      <c r="O7167" s="105"/>
      <c r="P7167" s="159"/>
      <c r="Q7167" s="159"/>
      <c r="R7167" s="160"/>
      <c r="S7167" s="158"/>
      <c r="T7167" s="161"/>
      <c r="U7167" s="158"/>
      <c r="V7167" s="160"/>
    </row>
    <row r="7168" spans="5:22" x14ac:dyDescent="0.25">
      <c r="E7168" s="157"/>
      <c r="F7168" s="157"/>
      <c r="L7168" s="105"/>
      <c r="M7168" s="105"/>
      <c r="N7168" s="105"/>
      <c r="O7168" s="105"/>
      <c r="P7168" s="159"/>
      <c r="Q7168" s="159"/>
      <c r="R7168" s="160"/>
      <c r="S7168" s="158"/>
      <c r="T7168" s="161"/>
      <c r="U7168" s="158"/>
      <c r="V7168" s="160"/>
    </row>
    <row r="7169" spans="5:22" x14ac:dyDescent="0.25">
      <c r="E7169" s="157"/>
      <c r="F7169" s="157"/>
      <c r="L7169" s="105"/>
      <c r="M7169" s="105"/>
      <c r="N7169" s="105"/>
      <c r="O7169" s="105"/>
      <c r="P7169" s="159"/>
      <c r="Q7169" s="159"/>
      <c r="R7169" s="160"/>
      <c r="S7169" s="158"/>
      <c r="T7169" s="161"/>
      <c r="U7169" s="158"/>
      <c r="V7169" s="160"/>
    </row>
    <row r="7170" spans="5:22" x14ac:dyDescent="0.25">
      <c r="E7170" s="157"/>
      <c r="F7170" s="157"/>
      <c r="L7170" s="105"/>
      <c r="M7170" s="105"/>
      <c r="N7170" s="105"/>
      <c r="O7170" s="105"/>
      <c r="P7170" s="159"/>
      <c r="Q7170" s="159"/>
      <c r="R7170" s="160"/>
      <c r="S7170" s="158"/>
      <c r="T7170" s="161"/>
      <c r="U7170" s="158"/>
      <c r="V7170" s="160"/>
    </row>
    <row r="7171" spans="5:22" x14ac:dyDescent="0.25">
      <c r="E7171" s="157"/>
      <c r="F7171" s="157"/>
      <c r="L7171" s="105"/>
      <c r="M7171" s="105"/>
      <c r="N7171" s="105"/>
      <c r="O7171" s="105"/>
      <c r="P7171" s="159"/>
      <c r="Q7171" s="159"/>
      <c r="R7171" s="160"/>
      <c r="S7171" s="158"/>
      <c r="T7171" s="161"/>
      <c r="U7171" s="158"/>
      <c r="V7171" s="160"/>
    </row>
    <row r="7172" spans="5:22" x14ac:dyDescent="0.25">
      <c r="E7172" s="157"/>
      <c r="F7172" s="157"/>
      <c r="L7172" s="105"/>
      <c r="M7172" s="105"/>
      <c r="N7172" s="105"/>
      <c r="O7172" s="105"/>
      <c r="P7172" s="159"/>
      <c r="Q7172" s="159"/>
      <c r="R7172" s="160"/>
      <c r="S7172" s="158"/>
      <c r="T7172" s="161"/>
      <c r="U7172" s="158"/>
      <c r="V7172" s="160"/>
    </row>
    <row r="7173" spans="5:22" x14ac:dyDescent="0.25">
      <c r="E7173" s="157"/>
      <c r="F7173" s="157"/>
      <c r="L7173" s="105"/>
      <c r="M7173" s="105"/>
      <c r="N7173" s="105"/>
      <c r="O7173" s="105"/>
      <c r="P7173" s="159"/>
      <c r="Q7173" s="159"/>
      <c r="R7173" s="160"/>
      <c r="S7173" s="158"/>
      <c r="T7173" s="161"/>
      <c r="U7173" s="158"/>
      <c r="V7173" s="160"/>
    </row>
    <row r="7174" spans="5:22" x14ac:dyDescent="0.25">
      <c r="E7174" s="157"/>
      <c r="F7174" s="157"/>
      <c r="L7174" s="105"/>
      <c r="M7174" s="105"/>
      <c r="N7174" s="105"/>
      <c r="O7174" s="105"/>
      <c r="P7174" s="159"/>
      <c r="Q7174" s="159"/>
      <c r="R7174" s="160"/>
      <c r="S7174" s="158"/>
      <c r="T7174" s="161"/>
      <c r="U7174" s="158"/>
      <c r="V7174" s="160"/>
    </row>
    <row r="7175" spans="5:22" x14ac:dyDescent="0.25">
      <c r="E7175" s="157"/>
      <c r="F7175" s="157"/>
      <c r="L7175" s="105"/>
      <c r="M7175" s="105"/>
      <c r="N7175" s="105"/>
      <c r="O7175" s="105"/>
      <c r="P7175" s="159"/>
      <c r="Q7175" s="159"/>
      <c r="R7175" s="160"/>
      <c r="S7175" s="158"/>
      <c r="T7175" s="161"/>
      <c r="U7175" s="158"/>
      <c r="V7175" s="160"/>
    </row>
    <row r="7176" spans="5:22" x14ac:dyDescent="0.25">
      <c r="E7176" s="157"/>
      <c r="F7176" s="157"/>
      <c r="L7176" s="105"/>
      <c r="M7176" s="105"/>
      <c r="N7176" s="105"/>
      <c r="O7176" s="105"/>
      <c r="P7176" s="159"/>
      <c r="Q7176" s="159"/>
      <c r="R7176" s="160"/>
      <c r="S7176" s="158"/>
      <c r="T7176" s="161"/>
      <c r="U7176" s="158"/>
      <c r="V7176" s="160"/>
    </row>
    <row r="7177" spans="5:22" x14ac:dyDescent="0.25">
      <c r="E7177" s="157"/>
      <c r="F7177" s="157"/>
      <c r="L7177" s="105"/>
      <c r="M7177" s="105"/>
      <c r="N7177" s="105"/>
      <c r="O7177" s="105"/>
      <c r="P7177" s="159"/>
      <c r="Q7177" s="159"/>
      <c r="R7177" s="160"/>
      <c r="S7177" s="158"/>
      <c r="T7177" s="161"/>
      <c r="U7177" s="158"/>
      <c r="V7177" s="160"/>
    </row>
    <row r="7178" spans="5:22" x14ac:dyDescent="0.25">
      <c r="E7178" s="157"/>
      <c r="F7178" s="157"/>
      <c r="L7178" s="105"/>
      <c r="M7178" s="105"/>
      <c r="N7178" s="105"/>
      <c r="O7178" s="105"/>
      <c r="P7178" s="159"/>
      <c r="Q7178" s="159"/>
      <c r="R7178" s="160"/>
      <c r="S7178" s="158"/>
      <c r="T7178" s="161"/>
      <c r="U7178" s="158"/>
      <c r="V7178" s="160"/>
    </row>
    <row r="7179" spans="5:22" x14ac:dyDescent="0.25">
      <c r="E7179" s="157"/>
      <c r="F7179" s="157"/>
      <c r="L7179" s="105"/>
      <c r="M7179" s="105"/>
      <c r="N7179" s="105"/>
      <c r="O7179" s="105"/>
      <c r="P7179" s="159"/>
      <c r="Q7179" s="159"/>
      <c r="R7179" s="160"/>
      <c r="S7179" s="158"/>
      <c r="T7179" s="161"/>
      <c r="U7179" s="158"/>
      <c r="V7179" s="160"/>
    </row>
    <row r="7180" spans="5:22" x14ac:dyDescent="0.25">
      <c r="E7180" s="157"/>
      <c r="F7180" s="157"/>
      <c r="L7180" s="105"/>
      <c r="M7180" s="105"/>
      <c r="N7180" s="105"/>
      <c r="O7180" s="105"/>
      <c r="P7180" s="159"/>
      <c r="Q7180" s="159"/>
      <c r="R7180" s="160"/>
      <c r="S7180" s="158"/>
      <c r="T7180" s="161"/>
      <c r="U7180" s="158"/>
      <c r="V7180" s="160"/>
    </row>
    <row r="7181" spans="5:22" x14ac:dyDescent="0.25">
      <c r="E7181" s="157"/>
      <c r="F7181" s="157"/>
      <c r="L7181" s="105"/>
      <c r="M7181" s="105"/>
      <c r="N7181" s="105"/>
      <c r="O7181" s="105"/>
      <c r="P7181" s="159"/>
      <c r="Q7181" s="159"/>
      <c r="R7181" s="160"/>
      <c r="S7181" s="158"/>
      <c r="T7181" s="161"/>
      <c r="U7181" s="158"/>
      <c r="V7181" s="160"/>
    </row>
    <row r="7182" spans="5:22" x14ac:dyDescent="0.25">
      <c r="E7182" s="157"/>
      <c r="F7182" s="157"/>
      <c r="L7182" s="105"/>
      <c r="M7182" s="105"/>
      <c r="N7182" s="105"/>
      <c r="O7182" s="105"/>
      <c r="P7182" s="159"/>
      <c r="Q7182" s="159"/>
      <c r="R7182" s="160"/>
      <c r="S7182" s="158"/>
      <c r="T7182" s="161"/>
      <c r="U7182" s="158"/>
      <c r="V7182" s="160"/>
    </row>
    <row r="7183" spans="5:22" x14ac:dyDescent="0.25">
      <c r="E7183" s="157"/>
      <c r="F7183" s="157"/>
      <c r="L7183" s="105"/>
      <c r="M7183" s="105"/>
      <c r="N7183" s="105"/>
      <c r="O7183" s="105"/>
      <c r="P7183" s="159"/>
      <c r="Q7183" s="159"/>
      <c r="R7183" s="160"/>
      <c r="S7183" s="158"/>
      <c r="T7183" s="161"/>
      <c r="U7183" s="158"/>
      <c r="V7183" s="160"/>
    </row>
    <row r="7184" spans="5:22" x14ac:dyDescent="0.25">
      <c r="E7184" s="157"/>
      <c r="F7184" s="157"/>
      <c r="L7184" s="105"/>
      <c r="M7184" s="105"/>
      <c r="N7184" s="105"/>
      <c r="O7184" s="105"/>
      <c r="P7184" s="159"/>
      <c r="Q7184" s="159"/>
      <c r="R7184" s="160"/>
      <c r="S7184" s="158"/>
      <c r="T7184" s="161"/>
      <c r="U7184" s="158"/>
      <c r="V7184" s="160"/>
    </row>
    <row r="7185" spans="5:22" x14ac:dyDescent="0.25">
      <c r="E7185" s="157"/>
      <c r="F7185" s="157"/>
      <c r="L7185" s="105"/>
      <c r="M7185" s="105"/>
      <c r="N7185" s="105"/>
      <c r="O7185" s="105"/>
      <c r="P7185" s="159"/>
      <c r="Q7185" s="159"/>
      <c r="R7185" s="160"/>
      <c r="S7185" s="158"/>
      <c r="T7185" s="161"/>
      <c r="U7185" s="158"/>
      <c r="V7185" s="160"/>
    </row>
    <row r="7186" spans="5:22" x14ac:dyDescent="0.25">
      <c r="E7186" s="157"/>
      <c r="F7186" s="157"/>
      <c r="L7186" s="105"/>
      <c r="M7186" s="105"/>
      <c r="N7186" s="105"/>
      <c r="O7186" s="105"/>
      <c r="P7186" s="159"/>
      <c r="Q7186" s="159"/>
      <c r="R7186" s="160"/>
      <c r="S7186" s="158"/>
      <c r="T7186" s="161"/>
      <c r="U7186" s="158"/>
      <c r="V7186" s="160"/>
    </row>
    <row r="7187" spans="5:22" x14ac:dyDescent="0.25">
      <c r="E7187" s="157"/>
      <c r="F7187" s="157"/>
      <c r="L7187" s="105"/>
      <c r="M7187" s="105"/>
      <c r="N7187" s="105"/>
      <c r="O7187" s="105"/>
      <c r="P7187" s="159"/>
      <c r="Q7187" s="159"/>
      <c r="R7187" s="160"/>
      <c r="S7187" s="158"/>
      <c r="T7187" s="161"/>
      <c r="U7187" s="158"/>
      <c r="V7187" s="160"/>
    </row>
    <row r="7188" spans="5:22" x14ac:dyDescent="0.25">
      <c r="E7188" s="157"/>
      <c r="F7188" s="157"/>
      <c r="L7188" s="105"/>
      <c r="M7188" s="105"/>
      <c r="N7188" s="105"/>
      <c r="O7188" s="105"/>
      <c r="P7188" s="159"/>
      <c r="Q7188" s="159"/>
      <c r="R7188" s="160"/>
      <c r="S7188" s="158"/>
      <c r="T7188" s="161"/>
      <c r="U7188" s="158"/>
      <c r="V7188" s="160"/>
    </row>
    <row r="7189" spans="5:22" x14ac:dyDescent="0.25">
      <c r="E7189" s="157"/>
      <c r="F7189" s="157"/>
      <c r="L7189" s="105"/>
      <c r="M7189" s="105"/>
      <c r="N7189" s="105"/>
      <c r="O7189" s="105"/>
      <c r="P7189" s="159"/>
      <c r="Q7189" s="159"/>
      <c r="R7189" s="160"/>
      <c r="S7189" s="158"/>
      <c r="T7189" s="161"/>
      <c r="U7189" s="158"/>
      <c r="V7189" s="160"/>
    </row>
    <row r="7190" spans="5:22" x14ac:dyDescent="0.25">
      <c r="E7190" s="157"/>
      <c r="F7190" s="157"/>
      <c r="L7190" s="105"/>
      <c r="M7190" s="105"/>
      <c r="N7190" s="105"/>
      <c r="O7190" s="105"/>
      <c r="P7190" s="159"/>
      <c r="Q7190" s="159"/>
      <c r="R7190" s="160"/>
      <c r="S7190" s="158"/>
      <c r="T7190" s="161"/>
      <c r="U7190" s="158"/>
      <c r="V7190" s="160"/>
    </row>
    <row r="7191" spans="5:22" x14ac:dyDescent="0.25">
      <c r="E7191" s="157"/>
      <c r="F7191" s="157"/>
      <c r="L7191" s="105"/>
      <c r="M7191" s="105"/>
      <c r="N7191" s="105"/>
      <c r="O7191" s="105"/>
      <c r="P7191" s="159"/>
      <c r="Q7191" s="159"/>
      <c r="R7191" s="160"/>
      <c r="S7191" s="158"/>
      <c r="T7191" s="161"/>
      <c r="U7191" s="158"/>
      <c r="V7191" s="160"/>
    </row>
    <row r="7192" spans="5:22" x14ac:dyDescent="0.25">
      <c r="E7192" s="157"/>
      <c r="F7192" s="157"/>
      <c r="L7192" s="105"/>
      <c r="M7192" s="105"/>
      <c r="N7192" s="105"/>
      <c r="O7192" s="105"/>
      <c r="P7192" s="159"/>
      <c r="Q7192" s="159"/>
      <c r="R7192" s="160"/>
      <c r="S7192" s="158"/>
      <c r="T7192" s="161"/>
      <c r="U7192" s="158"/>
      <c r="V7192" s="160"/>
    </row>
    <row r="7193" spans="5:22" x14ac:dyDescent="0.25">
      <c r="E7193" s="157"/>
      <c r="F7193" s="157"/>
      <c r="L7193" s="105"/>
      <c r="M7193" s="105"/>
      <c r="N7193" s="105"/>
      <c r="O7193" s="105"/>
      <c r="P7193" s="159"/>
      <c r="Q7193" s="159"/>
      <c r="R7193" s="160"/>
      <c r="S7193" s="158"/>
      <c r="T7193" s="161"/>
      <c r="U7193" s="158"/>
      <c r="V7193" s="160"/>
    </row>
    <row r="7194" spans="5:22" x14ac:dyDescent="0.25">
      <c r="E7194" s="157"/>
      <c r="F7194" s="157"/>
      <c r="L7194" s="105"/>
      <c r="M7194" s="105"/>
      <c r="N7194" s="105"/>
      <c r="O7194" s="105"/>
      <c r="P7194" s="159"/>
      <c r="Q7194" s="159"/>
      <c r="R7194" s="160"/>
      <c r="S7194" s="158"/>
      <c r="T7194" s="161"/>
      <c r="U7194" s="158"/>
      <c r="V7194" s="160"/>
    </row>
    <row r="7195" spans="5:22" x14ac:dyDescent="0.25">
      <c r="E7195" s="157"/>
      <c r="F7195" s="157"/>
      <c r="L7195" s="105"/>
      <c r="M7195" s="105"/>
      <c r="N7195" s="105"/>
      <c r="O7195" s="105"/>
      <c r="P7195" s="159"/>
      <c r="Q7195" s="159"/>
      <c r="R7195" s="160"/>
      <c r="S7195" s="158"/>
      <c r="T7195" s="161"/>
      <c r="U7195" s="158"/>
      <c r="V7195" s="160"/>
    </row>
    <row r="7196" spans="5:22" x14ac:dyDescent="0.25">
      <c r="E7196" s="157"/>
      <c r="F7196" s="157"/>
      <c r="L7196" s="105"/>
      <c r="M7196" s="105"/>
      <c r="N7196" s="105"/>
      <c r="O7196" s="105"/>
      <c r="P7196" s="159"/>
      <c r="Q7196" s="159"/>
      <c r="R7196" s="160"/>
      <c r="S7196" s="158"/>
      <c r="T7196" s="161"/>
      <c r="U7196" s="158"/>
      <c r="V7196" s="160"/>
    </row>
    <row r="7197" spans="5:22" x14ac:dyDescent="0.25">
      <c r="E7197" s="157"/>
      <c r="F7197" s="157"/>
      <c r="L7197" s="105"/>
      <c r="M7197" s="105"/>
      <c r="N7197" s="105"/>
      <c r="O7197" s="105"/>
      <c r="P7197" s="159"/>
      <c r="Q7197" s="159"/>
      <c r="R7197" s="160"/>
      <c r="S7197" s="158"/>
      <c r="T7197" s="161"/>
      <c r="U7197" s="158"/>
      <c r="V7197" s="160"/>
    </row>
    <row r="7198" spans="5:22" x14ac:dyDescent="0.25">
      <c r="E7198" s="157"/>
      <c r="F7198" s="157"/>
      <c r="L7198" s="105"/>
      <c r="M7198" s="105"/>
      <c r="N7198" s="105"/>
      <c r="O7198" s="105"/>
      <c r="P7198" s="159"/>
      <c r="Q7198" s="159"/>
      <c r="R7198" s="160"/>
      <c r="S7198" s="158"/>
      <c r="T7198" s="161"/>
      <c r="U7198" s="158"/>
      <c r="V7198" s="160"/>
    </row>
    <row r="7199" spans="5:22" x14ac:dyDescent="0.25">
      <c r="E7199" s="157"/>
      <c r="F7199" s="157"/>
      <c r="L7199" s="105"/>
      <c r="M7199" s="105"/>
      <c r="N7199" s="105"/>
      <c r="O7199" s="105"/>
      <c r="P7199" s="159"/>
      <c r="Q7199" s="159"/>
      <c r="R7199" s="160"/>
      <c r="S7199" s="158"/>
      <c r="T7199" s="161"/>
      <c r="U7199" s="158"/>
      <c r="V7199" s="160"/>
    </row>
    <row r="7200" spans="5:22" x14ac:dyDescent="0.25">
      <c r="E7200" s="157"/>
      <c r="F7200" s="157"/>
      <c r="L7200" s="105"/>
      <c r="M7200" s="105"/>
      <c r="N7200" s="105"/>
      <c r="O7200" s="105"/>
      <c r="P7200" s="159"/>
      <c r="Q7200" s="159"/>
      <c r="R7200" s="160"/>
      <c r="S7200" s="158"/>
      <c r="T7200" s="161"/>
      <c r="U7200" s="158"/>
      <c r="V7200" s="160"/>
    </row>
    <row r="7201" spans="5:22" x14ac:dyDescent="0.25">
      <c r="E7201" s="157"/>
      <c r="F7201" s="157"/>
      <c r="L7201" s="105"/>
      <c r="M7201" s="105"/>
      <c r="N7201" s="105"/>
      <c r="O7201" s="105"/>
      <c r="P7201" s="159"/>
      <c r="Q7201" s="159"/>
      <c r="R7201" s="160"/>
      <c r="S7201" s="158"/>
      <c r="T7201" s="161"/>
      <c r="U7201" s="158"/>
      <c r="V7201" s="160"/>
    </row>
    <row r="7202" spans="5:22" x14ac:dyDescent="0.25">
      <c r="E7202" s="157"/>
      <c r="F7202" s="157"/>
      <c r="L7202" s="105"/>
      <c r="M7202" s="105"/>
      <c r="N7202" s="105"/>
      <c r="O7202" s="105"/>
      <c r="P7202" s="159"/>
      <c r="Q7202" s="159"/>
      <c r="R7202" s="160"/>
      <c r="S7202" s="158"/>
      <c r="T7202" s="161"/>
      <c r="U7202" s="158"/>
      <c r="V7202" s="160"/>
    </row>
    <row r="7203" spans="5:22" x14ac:dyDescent="0.25">
      <c r="E7203" s="157"/>
      <c r="F7203" s="157"/>
      <c r="L7203" s="105"/>
      <c r="M7203" s="105"/>
      <c r="N7203" s="105"/>
      <c r="O7203" s="105"/>
      <c r="P7203" s="159"/>
      <c r="Q7203" s="159"/>
      <c r="R7203" s="160"/>
      <c r="S7203" s="158"/>
      <c r="T7203" s="161"/>
      <c r="U7203" s="158"/>
      <c r="V7203" s="160"/>
    </row>
    <row r="7204" spans="5:22" x14ac:dyDescent="0.25">
      <c r="E7204" s="157"/>
      <c r="F7204" s="157"/>
      <c r="L7204" s="105"/>
      <c r="M7204" s="105"/>
      <c r="N7204" s="105"/>
      <c r="O7204" s="105"/>
      <c r="P7204" s="159"/>
      <c r="Q7204" s="159"/>
      <c r="R7204" s="160"/>
      <c r="S7204" s="158"/>
      <c r="T7204" s="161"/>
      <c r="U7204" s="158"/>
      <c r="V7204" s="160"/>
    </row>
    <row r="7205" spans="5:22" x14ac:dyDescent="0.25">
      <c r="E7205" s="157"/>
      <c r="F7205" s="157"/>
      <c r="L7205" s="105"/>
      <c r="M7205" s="105"/>
      <c r="N7205" s="105"/>
      <c r="O7205" s="105"/>
      <c r="P7205" s="159"/>
      <c r="Q7205" s="159"/>
      <c r="R7205" s="160"/>
      <c r="S7205" s="158"/>
      <c r="T7205" s="161"/>
      <c r="U7205" s="158"/>
      <c r="V7205" s="160"/>
    </row>
    <row r="7206" spans="5:22" x14ac:dyDescent="0.25">
      <c r="E7206" s="157"/>
      <c r="F7206" s="157"/>
      <c r="L7206" s="105"/>
      <c r="M7206" s="105"/>
      <c r="N7206" s="105"/>
      <c r="O7206" s="105"/>
      <c r="P7206" s="159"/>
      <c r="Q7206" s="159"/>
      <c r="R7206" s="160"/>
      <c r="S7206" s="158"/>
      <c r="T7206" s="161"/>
      <c r="U7206" s="158"/>
      <c r="V7206" s="160"/>
    </row>
    <row r="7207" spans="5:22" x14ac:dyDescent="0.25">
      <c r="E7207" s="157"/>
      <c r="F7207" s="157"/>
      <c r="L7207" s="105"/>
      <c r="M7207" s="105"/>
      <c r="N7207" s="105"/>
      <c r="O7207" s="105"/>
      <c r="P7207" s="159"/>
      <c r="Q7207" s="159"/>
      <c r="R7207" s="160"/>
      <c r="S7207" s="158"/>
      <c r="T7207" s="161"/>
      <c r="U7207" s="158"/>
      <c r="V7207" s="160"/>
    </row>
    <row r="7208" spans="5:22" x14ac:dyDescent="0.25">
      <c r="E7208" s="157"/>
      <c r="F7208" s="157"/>
      <c r="L7208" s="105"/>
      <c r="M7208" s="105"/>
      <c r="N7208" s="105"/>
      <c r="O7208" s="105"/>
      <c r="P7208" s="159"/>
      <c r="Q7208" s="159"/>
      <c r="R7208" s="160"/>
      <c r="S7208" s="158"/>
      <c r="T7208" s="161"/>
      <c r="U7208" s="158"/>
      <c r="V7208" s="160"/>
    </row>
    <row r="7209" spans="5:22" x14ac:dyDescent="0.25">
      <c r="E7209" s="157"/>
      <c r="F7209" s="157"/>
      <c r="L7209" s="105"/>
      <c r="M7209" s="105"/>
      <c r="N7209" s="105"/>
      <c r="O7209" s="105"/>
      <c r="P7209" s="159"/>
      <c r="Q7209" s="159"/>
      <c r="R7209" s="160"/>
      <c r="S7209" s="158"/>
      <c r="T7209" s="161"/>
      <c r="U7209" s="158"/>
      <c r="V7209" s="160"/>
    </row>
    <row r="7210" spans="5:22" x14ac:dyDescent="0.25">
      <c r="E7210" s="157"/>
      <c r="F7210" s="157"/>
      <c r="L7210" s="105"/>
      <c r="M7210" s="105"/>
      <c r="N7210" s="105"/>
      <c r="O7210" s="105"/>
      <c r="P7210" s="159"/>
      <c r="Q7210" s="159"/>
      <c r="R7210" s="160"/>
      <c r="S7210" s="158"/>
      <c r="T7210" s="161"/>
      <c r="U7210" s="158"/>
      <c r="V7210" s="160"/>
    </row>
    <row r="7211" spans="5:22" x14ac:dyDescent="0.25">
      <c r="E7211" s="157"/>
      <c r="F7211" s="157"/>
      <c r="L7211" s="105"/>
      <c r="M7211" s="105"/>
      <c r="N7211" s="105"/>
      <c r="O7211" s="105"/>
      <c r="P7211" s="159"/>
      <c r="Q7211" s="159"/>
      <c r="R7211" s="160"/>
      <c r="S7211" s="158"/>
      <c r="T7211" s="161"/>
      <c r="U7211" s="158"/>
      <c r="V7211" s="160"/>
    </row>
    <row r="7212" spans="5:22" x14ac:dyDescent="0.25">
      <c r="E7212" s="157"/>
      <c r="F7212" s="157"/>
      <c r="L7212" s="105"/>
      <c r="M7212" s="105"/>
      <c r="N7212" s="105"/>
      <c r="O7212" s="105"/>
      <c r="P7212" s="159"/>
      <c r="Q7212" s="159"/>
      <c r="R7212" s="160"/>
      <c r="S7212" s="158"/>
      <c r="T7212" s="161"/>
      <c r="U7212" s="158"/>
      <c r="V7212" s="160"/>
    </row>
    <row r="7213" spans="5:22" x14ac:dyDescent="0.25">
      <c r="E7213" s="157"/>
      <c r="F7213" s="157"/>
      <c r="L7213" s="105"/>
      <c r="M7213" s="105"/>
      <c r="N7213" s="105"/>
      <c r="O7213" s="105"/>
      <c r="P7213" s="159"/>
      <c r="Q7213" s="159"/>
      <c r="R7213" s="160"/>
      <c r="S7213" s="158"/>
      <c r="T7213" s="161"/>
      <c r="U7213" s="158"/>
      <c r="V7213" s="160"/>
    </row>
    <row r="7214" spans="5:22" x14ac:dyDescent="0.25">
      <c r="E7214" s="157"/>
      <c r="F7214" s="157"/>
      <c r="L7214" s="105"/>
      <c r="M7214" s="105"/>
      <c r="N7214" s="105"/>
      <c r="O7214" s="105"/>
      <c r="P7214" s="159"/>
      <c r="Q7214" s="159"/>
      <c r="R7214" s="160"/>
      <c r="S7214" s="158"/>
      <c r="T7214" s="161"/>
      <c r="U7214" s="158"/>
      <c r="V7214" s="160"/>
    </row>
    <row r="7215" spans="5:22" x14ac:dyDescent="0.25">
      <c r="E7215" s="157"/>
      <c r="F7215" s="157"/>
      <c r="L7215" s="105"/>
      <c r="M7215" s="105"/>
      <c r="N7215" s="105"/>
      <c r="O7215" s="105"/>
      <c r="P7215" s="159"/>
      <c r="Q7215" s="159"/>
      <c r="R7215" s="160"/>
      <c r="S7215" s="158"/>
      <c r="T7215" s="161"/>
      <c r="U7215" s="158"/>
      <c r="V7215" s="160"/>
    </row>
    <row r="7216" spans="5:22" x14ac:dyDescent="0.25">
      <c r="E7216" s="157"/>
      <c r="F7216" s="157"/>
      <c r="L7216" s="105"/>
      <c r="M7216" s="105"/>
      <c r="N7216" s="105"/>
      <c r="O7216" s="105"/>
      <c r="P7216" s="159"/>
      <c r="Q7216" s="159"/>
      <c r="R7216" s="160"/>
      <c r="S7216" s="158"/>
      <c r="T7216" s="161"/>
      <c r="U7216" s="158"/>
      <c r="V7216" s="160"/>
    </row>
    <row r="7217" spans="5:22" x14ac:dyDescent="0.25">
      <c r="E7217" s="157"/>
      <c r="F7217" s="157"/>
      <c r="L7217" s="105"/>
      <c r="M7217" s="105"/>
      <c r="N7217" s="105"/>
      <c r="O7217" s="105"/>
      <c r="P7217" s="159"/>
      <c r="Q7217" s="159"/>
      <c r="R7217" s="160"/>
      <c r="S7217" s="158"/>
      <c r="T7217" s="161"/>
      <c r="U7217" s="158"/>
      <c r="V7217" s="160"/>
    </row>
    <row r="7218" spans="5:22" x14ac:dyDescent="0.25">
      <c r="E7218" s="157"/>
      <c r="F7218" s="157"/>
      <c r="L7218" s="105"/>
      <c r="M7218" s="105"/>
      <c r="N7218" s="105"/>
      <c r="O7218" s="105"/>
      <c r="P7218" s="159"/>
      <c r="Q7218" s="159"/>
      <c r="R7218" s="160"/>
      <c r="S7218" s="158"/>
      <c r="T7218" s="161"/>
      <c r="U7218" s="158"/>
      <c r="V7218" s="160"/>
    </row>
    <row r="7219" spans="5:22" x14ac:dyDescent="0.25">
      <c r="E7219" s="157"/>
      <c r="F7219" s="157"/>
      <c r="L7219" s="105"/>
      <c r="M7219" s="105"/>
      <c r="N7219" s="105"/>
      <c r="O7219" s="105"/>
      <c r="P7219" s="159"/>
      <c r="Q7219" s="159"/>
      <c r="R7219" s="160"/>
      <c r="S7219" s="158"/>
      <c r="T7219" s="161"/>
      <c r="U7219" s="158"/>
      <c r="V7219" s="160"/>
    </row>
    <row r="7220" spans="5:22" x14ac:dyDescent="0.25">
      <c r="E7220" s="157"/>
      <c r="F7220" s="157"/>
      <c r="L7220" s="105"/>
      <c r="M7220" s="105"/>
      <c r="N7220" s="105"/>
      <c r="O7220" s="105"/>
      <c r="P7220" s="159"/>
      <c r="Q7220" s="159"/>
      <c r="R7220" s="160"/>
      <c r="S7220" s="158"/>
      <c r="T7220" s="161"/>
      <c r="U7220" s="158"/>
      <c r="V7220" s="160"/>
    </row>
    <row r="7221" spans="5:22" x14ac:dyDescent="0.25">
      <c r="E7221" s="157"/>
      <c r="F7221" s="157"/>
      <c r="L7221" s="105"/>
      <c r="M7221" s="105"/>
      <c r="N7221" s="105"/>
      <c r="O7221" s="105"/>
      <c r="P7221" s="159"/>
      <c r="Q7221" s="159"/>
      <c r="R7221" s="160"/>
      <c r="S7221" s="158"/>
      <c r="T7221" s="161"/>
      <c r="U7221" s="158"/>
      <c r="V7221" s="160"/>
    </row>
    <row r="7222" spans="5:22" x14ac:dyDescent="0.25">
      <c r="E7222" s="157"/>
      <c r="F7222" s="157"/>
      <c r="L7222" s="105"/>
      <c r="M7222" s="105"/>
      <c r="N7222" s="105"/>
      <c r="O7222" s="105"/>
      <c r="P7222" s="159"/>
      <c r="Q7222" s="159"/>
      <c r="R7222" s="160"/>
      <c r="S7222" s="158"/>
      <c r="T7222" s="161"/>
      <c r="U7222" s="158"/>
      <c r="V7222" s="160"/>
    </row>
    <row r="7223" spans="5:22" x14ac:dyDescent="0.25">
      <c r="E7223" s="157"/>
      <c r="F7223" s="157"/>
      <c r="L7223" s="105"/>
      <c r="M7223" s="105"/>
      <c r="N7223" s="105"/>
      <c r="O7223" s="105"/>
      <c r="P7223" s="159"/>
      <c r="Q7223" s="159"/>
      <c r="R7223" s="160"/>
      <c r="S7223" s="158"/>
      <c r="T7223" s="161"/>
      <c r="U7223" s="158"/>
      <c r="V7223" s="160"/>
    </row>
    <row r="7224" spans="5:22" x14ac:dyDescent="0.25">
      <c r="E7224" s="157"/>
      <c r="F7224" s="162"/>
      <c r="L7224" s="105"/>
      <c r="M7224" s="105"/>
      <c r="N7224" s="105"/>
      <c r="O7224" s="105"/>
      <c r="P7224" s="159"/>
      <c r="Q7224" s="159"/>
      <c r="R7224" s="160"/>
      <c r="S7224" s="158"/>
      <c r="T7224" s="161"/>
      <c r="U7224" s="158"/>
      <c r="V7224" s="160"/>
    </row>
    <row r="7225" spans="5:22" x14ac:dyDescent="0.25">
      <c r="E7225" s="157"/>
      <c r="F7225" s="157"/>
      <c r="L7225" s="105"/>
      <c r="M7225" s="105"/>
      <c r="N7225" s="105"/>
      <c r="O7225" s="105"/>
      <c r="P7225" s="159"/>
      <c r="Q7225" s="159"/>
      <c r="R7225" s="160"/>
      <c r="S7225" s="158"/>
      <c r="T7225" s="161"/>
      <c r="U7225" s="158"/>
      <c r="V7225" s="160"/>
    </row>
    <row r="7226" spans="5:22" x14ac:dyDescent="0.25">
      <c r="E7226" s="157"/>
      <c r="F7226" s="157"/>
      <c r="L7226" s="105"/>
      <c r="M7226" s="105"/>
      <c r="N7226" s="105"/>
      <c r="O7226" s="105"/>
      <c r="P7226" s="159"/>
      <c r="Q7226" s="159"/>
      <c r="R7226" s="160"/>
      <c r="S7226" s="158"/>
      <c r="T7226" s="161"/>
      <c r="U7226" s="158"/>
      <c r="V7226" s="160"/>
    </row>
    <row r="7227" spans="5:22" x14ac:dyDescent="0.25">
      <c r="E7227" s="157"/>
      <c r="F7227" s="157"/>
      <c r="L7227" s="105"/>
      <c r="M7227" s="105"/>
      <c r="N7227" s="105"/>
      <c r="O7227" s="105"/>
      <c r="P7227" s="159"/>
      <c r="Q7227" s="159"/>
      <c r="R7227" s="160"/>
      <c r="S7227" s="158"/>
      <c r="T7227" s="161"/>
      <c r="U7227" s="158"/>
      <c r="V7227" s="160"/>
    </row>
    <row r="7228" spans="5:22" x14ac:dyDescent="0.25">
      <c r="E7228" s="157"/>
      <c r="F7228" s="157"/>
      <c r="L7228" s="105"/>
      <c r="M7228" s="105"/>
      <c r="N7228" s="105"/>
      <c r="O7228" s="105"/>
      <c r="P7228" s="159"/>
      <c r="Q7228" s="159"/>
      <c r="R7228" s="160"/>
      <c r="S7228" s="158"/>
      <c r="T7228" s="161"/>
      <c r="U7228" s="158"/>
      <c r="V7228" s="160"/>
    </row>
    <row r="7229" spans="5:22" x14ac:dyDescent="0.25">
      <c r="E7229" s="157"/>
      <c r="F7229" s="157"/>
      <c r="L7229" s="105"/>
      <c r="M7229" s="105"/>
      <c r="N7229" s="105"/>
      <c r="O7229" s="105"/>
      <c r="P7229" s="159"/>
      <c r="Q7229" s="159"/>
      <c r="R7229" s="160"/>
      <c r="S7229" s="158"/>
      <c r="T7229" s="161"/>
      <c r="U7229" s="158"/>
      <c r="V7229" s="160"/>
    </row>
    <row r="7230" spans="5:22" x14ac:dyDescent="0.25">
      <c r="E7230" s="157"/>
      <c r="F7230" s="157"/>
      <c r="L7230" s="105"/>
      <c r="M7230" s="105"/>
      <c r="N7230" s="105"/>
      <c r="O7230" s="105"/>
      <c r="P7230" s="159"/>
      <c r="Q7230" s="159"/>
      <c r="R7230" s="160"/>
      <c r="S7230" s="158"/>
      <c r="T7230" s="161"/>
      <c r="U7230" s="158"/>
      <c r="V7230" s="160"/>
    </row>
    <row r="7231" spans="5:22" x14ac:dyDescent="0.25">
      <c r="E7231" s="157"/>
      <c r="F7231" s="157"/>
      <c r="L7231" s="105"/>
      <c r="M7231" s="105"/>
      <c r="N7231" s="105"/>
      <c r="O7231" s="105"/>
      <c r="P7231" s="159"/>
      <c r="Q7231" s="159"/>
      <c r="R7231" s="160"/>
      <c r="S7231" s="158"/>
      <c r="T7231" s="161"/>
      <c r="U7231" s="158"/>
      <c r="V7231" s="160"/>
    </row>
    <row r="7232" spans="5:22" x14ac:dyDescent="0.25">
      <c r="E7232" s="157"/>
      <c r="F7232" s="157"/>
      <c r="L7232" s="105"/>
      <c r="M7232" s="105"/>
      <c r="N7232" s="105"/>
      <c r="O7232" s="105"/>
      <c r="P7232" s="159"/>
      <c r="Q7232" s="159"/>
      <c r="R7232" s="160"/>
      <c r="S7232" s="158"/>
      <c r="T7232" s="161"/>
      <c r="U7232" s="158"/>
      <c r="V7232" s="160"/>
    </row>
    <row r="7233" spans="5:22" x14ac:dyDescent="0.25">
      <c r="E7233" s="162"/>
      <c r="F7233" s="157"/>
      <c r="L7233" s="105"/>
      <c r="M7233" s="105"/>
      <c r="N7233" s="105"/>
      <c r="O7233" s="105"/>
      <c r="P7233" s="159"/>
      <c r="Q7233" s="159"/>
      <c r="R7233" s="160"/>
      <c r="S7233" s="158"/>
      <c r="T7233" s="161"/>
      <c r="U7233" s="158"/>
      <c r="V7233" s="160"/>
    </row>
    <row r="7234" spans="5:22" x14ac:dyDescent="0.25">
      <c r="E7234" s="157"/>
      <c r="F7234" s="157"/>
      <c r="L7234" s="105"/>
      <c r="M7234" s="105"/>
      <c r="N7234" s="105"/>
      <c r="O7234" s="105"/>
      <c r="P7234" s="159"/>
      <c r="Q7234" s="159"/>
      <c r="R7234" s="160"/>
      <c r="S7234" s="158"/>
      <c r="T7234" s="161"/>
      <c r="U7234" s="158"/>
      <c r="V7234" s="160"/>
    </row>
    <row r="7235" spans="5:22" x14ac:dyDescent="0.25">
      <c r="E7235" s="157"/>
      <c r="F7235" s="157"/>
      <c r="L7235" s="105"/>
      <c r="M7235" s="105"/>
      <c r="N7235" s="105"/>
      <c r="O7235" s="105"/>
      <c r="P7235" s="159"/>
      <c r="Q7235" s="159"/>
      <c r="R7235" s="160"/>
      <c r="S7235" s="158"/>
      <c r="T7235" s="161"/>
      <c r="U7235" s="158"/>
      <c r="V7235" s="160"/>
    </row>
    <row r="7236" spans="5:22" x14ac:dyDescent="0.25">
      <c r="E7236" s="157"/>
      <c r="F7236" s="157"/>
      <c r="L7236" s="105"/>
      <c r="M7236" s="105"/>
      <c r="N7236" s="105"/>
      <c r="O7236" s="105"/>
      <c r="P7236" s="159"/>
      <c r="Q7236" s="159"/>
      <c r="R7236" s="160"/>
      <c r="S7236" s="158"/>
      <c r="T7236" s="161"/>
      <c r="U7236" s="158"/>
      <c r="V7236" s="160"/>
    </row>
    <row r="7237" spans="5:22" x14ac:dyDescent="0.25">
      <c r="E7237" s="157"/>
      <c r="F7237" s="157"/>
      <c r="L7237" s="105"/>
      <c r="M7237" s="105"/>
      <c r="N7237" s="105"/>
      <c r="O7237" s="105"/>
      <c r="P7237" s="159"/>
      <c r="Q7237" s="159"/>
      <c r="R7237" s="160"/>
      <c r="S7237" s="158"/>
      <c r="T7237" s="161"/>
      <c r="U7237" s="158"/>
      <c r="V7237" s="160"/>
    </row>
    <row r="7238" spans="5:22" x14ac:dyDescent="0.25">
      <c r="E7238" s="157"/>
      <c r="F7238" s="157"/>
      <c r="L7238" s="105"/>
      <c r="M7238" s="105"/>
      <c r="N7238" s="105"/>
      <c r="O7238" s="105"/>
      <c r="P7238" s="159"/>
      <c r="Q7238" s="159"/>
      <c r="R7238" s="160"/>
      <c r="S7238" s="158"/>
      <c r="T7238" s="161"/>
      <c r="U7238" s="158"/>
      <c r="V7238" s="160"/>
    </row>
    <row r="7239" spans="5:22" x14ac:dyDescent="0.25">
      <c r="E7239" s="157"/>
      <c r="F7239" s="157"/>
      <c r="L7239" s="105"/>
      <c r="M7239" s="105"/>
      <c r="N7239" s="105"/>
      <c r="O7239" s="105"/>
      <c r="P7239" s="159"/>
      <c r="Q7239" s="159"/>
      <c r="R7239" s="160"/>
      <c r="S7239" s="158"/>
      <c r="T7239" s="161"/>
      <c r="U7239" s="158"/>
      <c r="V7239" s="160"/>
    </row>
    <row r="7240" spans="5:22" x14ac:dyDescent="0.25">
      <c r="E7240" s="157"/>
      <c r="F7240" s="157"/>
      <c r="L7240" s="105"/>
      <c r="M7240" s="105"/>
      <c r="N7240" s="105"/>
      <c r="O7240" s="105"/>
      <c r="P7240" s="159"/>
      <c r="Q7240" s="159"/>
      <c r="R7240" s="160"/>
      <c r="S7240" s="158"/>
      <c r="T7240" s="161"/>
      <c r="U7240" s="158"/>
      <c r="V7240" s="160"/>
    </row>
    <row r="7241" spans="5:22" x14ac:dyDescent="0.25">
      <c r="E7241" s="157"/>
      <c r="F7241" s="157"/>
      <c r="L7241" s="105"/>
      <c r="M7241" s="105"/>
      <c r="N7241" s="105"/>
      <c r="O7241" s="105"/>
      <c r="P7241" s="159"/>
      <c r="Q7241" s="159"/>
      <c r="R7241" s="160"/>
      <c r="S7241" s="158"/>
      <c r="T7241" s="161"/>
      <c r="U7241" s="158"/>
      <c r="V7241" s="160"/>
    </row>
    <row r="7242" spans="5:22" x14ac:dyDescent="0.25">
      <c r="E7242" s="157"/>
      <c r="F7242" s="157"/>
      <c r="L7242" s="105"/>
      <c r="M7242" s="105"/>
      <c r="N7242" s="105"/>
      <c r="O7242" s="105"/>
      <c r="P7242" s="159"/>
      <c r="Q7242" s="159"/>
      <c r="R7242" s="160"/>
      <c r="S7242" s="158"/>
      <c r="T7242" s="161"/>
      <c r="U7242" s="158"/>
      <c r="V7242" s="160"/>
    </row>
    <row r="7243" spans="5:22" x14ac:dyDescent="0.25">
      <c r="E7243" s="157"/>
      <c r="F7243" s="157"/>
      <c r="L7243" s="105"/>
      <c r="M7243" s="105"/>
      <c r="N7243" s="105"/>
      <c r="O7243" s="105"/>
      <c r="P7243" s="159"/>
      <c r="Q7243" s="159"/>
      <c r="R7243" s="160"/>
      <c r="S7243" s="158"/>
      <c r="T7243" s="161"/>
      <c r="U7243" s="158"/>
      <c r="V7243" s="160"/>
    </row>
    <row r="7244" spans="5:22" x14ac:dyDescent="0.25">
      <c r="E7244" s="157"/>
      <c r="F7244" s="157"/>
      <c r="L7244" s="105"/>
      <c r="M7244" s="105"/>
      <c r="N7244" s="105"/>
      <c r="O7244" s="105"/>
      <c r="P7244" s="159"/>
      <c r="Q7244" s="159"/>
      <c r="R7244" s="160"/>
      <c r="S7244" s="158"/>
      <c r="T7244" s="161"/>
      <c r="U7244" s="158"/>
      <c r="V7244" s="160"/>
    </row>
    <row r="7245" spans="5:22" x14ac:dyDescent="0.25">
      <c r="E7245" s="157"/>
      <c r="F7245" s="157"/>
      <c r="L7245" s="105"/>
      <c r="M7245" s="105"/>
      <c r="N7245" s="105"/>
      <c r="O7245" s="105"/>
      <c r="P7245" s="159"/>
      <c r="Q7245" s="159"/>
      <c r="R7245" s="160"/>
      <c r="S7245" s="158"/>
      <c r="T7245" s="161"/>
      <c r="U7245" s="158"/>
      <c r="V7245" s="160"/>
    </row>
    <row r="7246" spans="5:22" x14ac:dyDescent="0.25">
      <c r="E7246" s="157"/>
      <c r="F7246" s="157"/>
      <c r="L7246" s="105"/>
      <c r="M7246" s="105"/>
      <c r="N7246" s="105"/>
      <c r="O7246" s="105"/>
      <c r="P7246" s="159"/>
      <c r="Q7246" s="159"/>
      <c r="R7246" s="160"/>
      <c r="S7246" s="158"/>
      <c r="T7246" s="161"/>
      <c r="U7246" s="158"/>
      <c r="V7246" s="160"/>
    </row>
    <row r="7247" spans="5:22" x14ac:dyDescent="0.25">
      <c r="E7247" s="157"/>
      <c r="F7247" s="157"/>
      <c r="L7247" s="105"/>
      <c r="M7247" s="105"/>
      <c r="N7247" s="105"/>
      <c r="O7247" s="105"/>
      <c r="P7247" s="159"/>
      <c r="Q7247" s="159"/>
      <c r="R7247" s="160"/>
      <c r="S7247" s="158"/>
      <c r="T7247" s="161"/>
      <c r="U7247" s="158"/>
      <c r="V7247" s="160"/>
    </row>
    <row r="7248" spans="5:22" x14ac:dyDescent="0.25">
      <c r="E7248" s="157"/>
      <c r="F7248" s="157"/>
      <c r="L7248" s="105"/>
      <c r="M7248" s="105"/>
      <c r="N7248" s="105"/>
      <c r="O7248" s="105"/>
      <c r="P7248" s="159"/>
      <c r="Q7248" s="159"/>
      <c r="R7248" s="160"/>
      <c r="S7248" s="158"/>
      <c r="T7248" s="161"/>
      <c r="U7248" s="158"/>
      <c r="V7248" s="160"/>
    </row>
    <row r="7249" spans="5:22" x14ac:dyDescent="0.25">
      <c r="E7249" s="157"/>
      <c r="F7249" s="157"/>
      <c r="L7249" s="105"/>
      <c r="M7249" s="105"/>
      <c r="N7249" s="105"/>
      <c r="O7249" s="105"/>
      <c r="P7249" s="159"/>
      <c r="Q7249" s="159"/>
      <c r="R7249" s="160"/>
      <c r="S7249" s="158"/>
      <c r="T7249" s="161"/>
      <c r="U7249" s="158"/>
      <c r="V7249" s="160"/>
    </row>
    <row r="7250" spans="5:22" x14ac:dyDescent="0.25">
      <c r="E7250" s="157"/>
      <c r="F7250" s="157"/>
      <c r="L7250" s="105"/>
      <c r="M7250" s="105"/>
      <c r="N7250" s="105"/>
      <c r="O7250" s="105"/>
      <c r="P7250" s="159"/>
      <c r="Q7250" s="159"/>
      <c r="R7250" s="160"/>
      <c r="S7250" s="158"/>
      <c r="T7250" s="161"/>
      <c r="U7250" s="158"/>
      <c r="V7250" s="160"/>
    </row>
    <row r="7251" spans="5:22" x14ac:dyDescent="0.25">
      <c r="E7251" s="157"/>
      <c r="F7251" s="157"/>
      <c r="L7251" s="105"/>
      <c r="M7251" s="105"/>
      <c r="N7251" s="105"/>
      <c r="O7251" s="105"/>
      <c r="P7251" s="159"/>
      <c r="Q7251" s="159"/>
      <c r="R7251" s="160"/>
      <c r="S7251" s="158"/>
      <c r="T7251" s="161"/>
      <c r="U7251" s="158"/>
      <c r="V7251" s="160"/>
    </row>
    <row r="7252" spans="5:22" x14ac:dyDescent="0.25">
      <c r="E7252" s="157"/>
      <c r="F7252" s="157"/>
      <c r="L7252" s="105"/>
      <c r="M7252" s="105"/>
      <c r="N7252" s="105"/>
      <c r="O7252" s="105"/>
      <c r="P7252" s="159"/>
      <c r="Q7252" s="159"/>
      <c r="R7252" s="160"/>
      <c r="S7252" s="158"/>
      <c r="T7252" s="161"/>
      <c r="U7252" s="158"/>
      <c r="V7252" s="160"/>
    </row>
    <row r="7253" spans="5:22" x14ac:dyDescent="0.25">
      <c r="E7253" s="157"/>
      <c r="F7253" s="157"/>
      <c r="L7253" s="105"/>
      <c r="M7253" s="105"/>
      <c r="N7253" s="105"/>
      <c r="O7253" s="105"/>
      <c r="P7253" s="159"/>
      <c r="Q7253" s="159"/>
      <c r="R7253" s="160"/>
      <c r="S7253" s="158"/>
      <c r="T7253" s="161"/>
      <c r="U7253" s="158"/>
      <c r="V7253" s="160"/>
    </row>
    <row r="7254" spans="5:22" x14ac:dyDescent="0.25">
      <c r="E7254" s="157"/>
      <c r="F7254" s="157"/>
      <c r="L7254" s="105"/>
      <c r="M7254" s="105"/>
      <c r="N7254" s="105"/>
      <c r="O7254" s="105"/>
      <c r="P7254" s="159"/>
      <c r="Q7254" s="159"/>
      <c r="R7254" s="160"/>
      <c r="S7254" s="158"/>
      <c r="T7254" s="161"/>
      <c r="U7254" s="158"/>
      <c r="V7254" s="160"/>
    </row>
    <row r="7255" spans="5:22" x14ac:dyDescent="0.25">
      <c r="E7255" s="157"/>
      <c r="F7255" s="157"/>
      <c r="L7255" s="105"/>
      <c r="M7255" s="105"/>
      <c r="N7255" s="105"/>
      <c r="O7255" s="105"/>
      <c r="P7255" s="159"/>
      <c r="Q7255" s="159"/>
      <c r="R7255" s="160"/>
      <c r="S7255" s="158"/>
      <c r="T7255" s="161"/>
      <c r="U7255" s="158"/>
      <c r="V7255" s="160"/>
    </row>
    <row r="7256" spans="5:22" x14ac:dyDescent="0.25">
      <c r="E7256" s="157"/>
      <c r="F7256" s="157"/>
      <c r="L7256" s="105"/>
      <c r="M7256" s="105"/>
      <c r="N7256" s="105"/>
      <c r="O7256" s="105"/>
      <c r="P7256" s="159"/>
      <c r="Q7256" s="159"/>
      <c r="R7256" s="160"/>
      <c r="S7256" s="158"/>
      <c r="T7256" s="161"/>
      <c r="U7256" s="158"/>
      <c r="V7256" s="160"/>
    </row>
    <row r="7257" spans="5:22" x14ac:dyDescent="0.25">
      <c r="E7257" s="157"/>
      <c r="F7257" s="157"/>
      <c r="L7257" s="105"/>
      <c r="M7257" s="105"/>
      <c r="N7257" s="105"/>
      <c r="O7257" s="105"/>
      <c r="P7257" s="159"/>
      <c r="Q7257" s="159"/>
      <c r="R7257" s="160"/>
      <c r="S7257" s="158"/>
      <c r="T7257" s="161"/>
      <c r="U7257" s="158"/>
      <c r="V7257" s="160"/>
    </row>
    <row r="7258" spans="5:22" x14ac:dyDescent="0.25">
      <c r="E7258" s="157"/>
      <c r="F7258" s="157"/>
      <c r="L7258" s="105"/>
      <c r="M7258" s="105"/>
      <c r="N7258" s="105"/>
      <c r="O7258" s="105"/>
      <c r="P7258" s="159"/>
      <c r="Q7258" s="159"/>
      <c r="R7258" s="160"/>
      <c r="S7258" s="158"/>
      <c r="T7258" s="161"/>
      <c r="U7258" s="158"/>
      <c r="V7258" s="160"/>
    </row>
    <row r="7259" spans="5:22" x14ac:dyDescent="0.25">
      <c r="E7259" s="157"/>
      <c r="F7259" s="157"/>
      <c r="L7259" s="105"/>
      <c r="M7259" s="105"/>
      <c r="N7259" s="105"/>
      <c r="O7259" s="105"/>
      <c r="P7259" s="159"/>
      <c r="Q7259" s="159"/>
      <c r="R7259" s="160"/>
      <c r="S7259" s="158"/>
      <c r="T7259" s="161"/>
      <c r="U7259" s="158"/>
      <c r="V7259" s="160"/>
    </row>
    <row r="7260" spans="5:22" x14ac:dyDescent="0.25">
      <c r="E7260" s="157"/>
      <c r="F7260" s="157"/>
      <c r="L7260" s="105"/>
      <c r="M7260" s="105"/>
      <c r="N7260" s="105"/>
      <c r="O7260" s="105"/>
      <c r="P7260" s="159"/>
      <c r="Q7260" s="159"/>
      <c r="R7260" s="160"/>
      <c r="S7260" s="158"/>
      <c r="T7260" s="161"/>
      <c r="U7260" s="158"/>
      <c r="V7260" s="160"/>
    </row>
    <row r="7261" spans="5:22" x14ac:dyDescent="0.25">
      <c r="E7261" s="157"/>
      <c r="F7261" s="157"/>
      <c r="L7261" s="105"/>
      <c r="M7261" s="105"/>
      <c r="N7261" s="105"/>
      <c r="O7261" s="105"/>
      <c r="P7261" s="159"/>
      <c r="Q7261" s="159"/>
      <c r="R7261" s="160"/>
      <c r="S7261" s="158"/>
      <c r="T7261" s="161"/>
      <c r="U7261" s="158"/>
      <c r="V7261" s="160"/>
    </row>
    <row r="7262" spans="5:22" x14ac:dyDescent="0.25">
      <c r="E7262" s="157"/>
      <c r="F7262" s="157"/>
      <c r="L7262" s="105"/>
      <c r="M7262" s="105"/>
      <c r="N7262" s="105"/>
      <c r="O7262" s="105"/>
      <c r="P7262" s="159"/>
      <c r="Q7262" s="159"/>
      <c r="R7262" s="160"/>
      <c r="S7262" s="158"/>
      <c r="T7262" s="161"/>
      <c r="U7262" s="158"/>
      <c r="V7262" s="160"/>
    </row>
    <row r="7263" spans="5:22" x14ac:dyDescent="0.25">
      <c r="E7263" s="157"/>
      <c r="F7263" s="157"/>
      <c r="L7263" s="105"/>
      <c r="M7263" s="105"/>
      <c r="N7263" s="105"/>
      <c r="O7263" s="105"/>
      <c r="P7263" s="159"/>
      <c r="Q7263" s="159"/>
      <c r="R7263" s="160"/>
      <c r="S7263" s="158"/>
      <c r="T7263" s="161"/>
      <c r="U7263" s="158"/>
      <c r="V7263" s="160"/>
    </row>
    <row r="7264" spans="5:22" x14ac:dyDescent="0.25">
      <c r="E7264" s="157"/>
      <c r="F7264" s="157"/>
      <c r="L7264" s="105"/>
      <c r="M7264" s="105"/>
      <c r="N7264" s="105"/>
      <c r="O7264" s="105"/>
      <c r="P7264" s="159"/>
      <c r="Q7264" s="159"/>
      <c r="R7264" s="160"/>
      <c r="S7264" s="158"/>
      <c r="T7264" s="161"/>
      <c r="U7264" s="158"/>
      <c r="V7264" s="160"/>
    </row>
    <row r="7265" spans="5:22" x14ac:dyDescent="0.25">
      <c r="E7265" s="157"/>
      <c r="F7265" s="157"/>
      <c r="L7265" s="105"/>
      <c r="M7265" s="105"/>
      <c r="N7265" s="105"/>
      <c r="O7265" s="105"/>
      <c r="P7265" s="159"/>
      <c r="Q7265" s="159"/>
      <c r="R7265" s="160"/>
      <c r="S7265" s="158"/>
      <c r="T7265" s="161"/>
      <c r="U7265" s="158"/>
      <c r="V7265" s="160"/>
    </row>
    <row r="7266" spans="5:22" x14ac:dyDescent="0.25">
      <c r="E7266" s="157"/>
      <c r="F7266" s="157"/>
      <c r="L7266" s="105"/>
      <c r="M7266" s="105"/>
      <c r="N7266" s="105"/>
      <c r="O7266" s="105"/>
      <c r="P7266" s="159"/>
      <c r="Q7266" s="159"/>
      <c r="R7266" s="160"/>
      <c r="S7266" s="158"/>
      <c r="T7266" s="161"/>
      <c r="U7266" s="158"/>
      <c r="V7266" s="160"/>
    </row>
    <row r="7267" spans="5:22" x14ac:dyDescent="0.25">
      <c r="E7267" s="157"/>
      <c r="F7267" s="157"/>
      <c r="L7267" s="105"/>
      <c r="M7267" s="105"/>
      <c r="N7267" s="105"/>
      <c r="O7267" s="105"/>
      <c r="P7267" s="159"/>
      <c r="Q7267" s="159"/>
      <c r="R7267" s="160"/>
      <c r="S7267" s="158"/>
      <c r="T7267" s="161"/>
      <c r="U7267" s="158"/>
      <c r="V7267" s="160"/>
    </row>
    <row r="7268" spans="5:22" x14ac:dyDescent="0.25">
      <c r="E7268" s="157"/>
      <c r="F7268" s="157"/>
      <c r="L7268" s="105"/>
      <c r="M7268" s="105"/>
      <c r="N7268" s="105"/>
      <c r="O7268" s="105"/>
      <c r="P7268" s="159"/>
      <c r="Q7268" s="159"/>
      <c r="R7268" s="160"/>
      <c r="S7268" s="158"/>
      <c r="T7268" s="161"/>
      <c r="U7268" s="158"/>
      <c r="V7268" s="160"/>
    </row>
    <row r="7269" spans="5:22" x14ac:dyDescent="0.25">
      <c r="E7269" s="157"/>
      <c r="F7269" s="157"/>
      <c r="L7269" s="105"/>
      <c r="M7269" s="105"/>
      <c r="N7269" s="105"/>
      <c r="O7269" s="105"/>
      <c r="P7269" s="159"/>
      <c r="Q7269" s="159"/>
      <c r="R7269" s="160"/>
      <c r="S7269" s="158"/>
      <c r="T7269" s="161"/>
      <c r="U7269" s="158"/>
      <c r="V7269" s="160"/>
    </row>
    <row r="7270" spans="5:22" x14ac:dyDescent="0.25">
      <c r="E7270" s="157"/>
      <c r="F7270" s="157"/>
      <c r="L7270" s="105"/>
      <c r="M7270" s="105"/>
      <c r="N7270" s="105"/>
      <c r="O7270" s="105"/>
      <c r="P7270" s="159"/>
      <c r="Q7270" s="159"/>
      <c r="R7270" s="160"/>
      <c r="S7270" s="158"/>
      <c r="T7270" s="161"/>
      <c r="U7270" s="158"/>
      <c r="V7270" s="160"/>
    </row>
    <row r="7271" spans="5:22" x14ac:dyDescent="0.25">
      <c r="E7271" s="157"/>
      <c r="F7271" s="157"/>
      <c r="L7271" s="105"/>
      <c r="M7271" s="105"/>
      <c r="N7271" s="105"/>
      <c r="O7271" s="105"/>
      <c r="P7271" s="159"/>
      <c r="Q7271" s="159"/>
      <c r="R7271" s="160"/>
      <c r="S7271" s="158"/>
      <c r="T7271" s="161"/>
      <c r="U7271" s="158"/>
      <c r="V7271" s="160"/>
    </row>
    <row r="7272" spans="5:22" x14ac:dyDescent="0.25">
      <c r="E7272" s="157"/>
      <c r="F7272" s="157"/>
      <c r="L7272" s="105"/>
      <c r="M7272" s="105"/>
      <c r="N7272" s="105"/>
      <c r="O7272" s="105"/>
      <c r="P7272" s="159"/>
      <c r="Q7272" s="159"/>
      <c r="R7272" s="160"/>
      <c r="S7272" s="158"/>
      <c r="T7272" s="161"/>
      <c r="U7272" s="158"/>
      <c r="V7272" s="160"/>
    </row>
    <row r="7273" spans="5:22" x14ac:dyDescent="0.25">
      <c r="E7273" s="157"/>
      <c r="F7273" s="157"/>
      <c r="L7273" s="105"/>
      <c r="M7273" s="105"/>
      <c r="N7273" s="105"/>
      <c r="O7273" s="105"/>
      <c r="P7273" s="159"/>
      <c r="Q7273" s="159"/>
      <c r="R7273" s="160"/>
      <c r="S7273" s="158"/>
      <c r="T7273" s="161"/>
      <c r="U7273" s="158"/>
      <c r="V7273" s="160"/>
    </row>
    <row r="7274" spans="5:22" x14ac:dyDescent="0.25">
      <c r="E7274" s="157"/>
      <c r="F7274" s="157"/>
      <c r="L7274" s="105"/>
      <c r="M7274" s="105"/>
      <c r="N7274" s="105"/>
      <c r="O7274" s="105"/>
      <c r="P7274" s="159"/>
      <c r="Q7274" s="159"/>
      <c r="R7274" s="160"/>
      <c r="S7274" s="158"/>
      <c r="T7274" s="161"/>
      <c r="U7274" s="158"/>
      <c r="V7274" s="160"/>
    </row>
    <row r="7275" spans="5:22" x14ac:dyDescent="0.25">
      <c r="E7275" s="157"/>
      <c r="F7275" s="157"/>
      <c r="L7275" s="105"/>
      <c r="M7275" s="105"/>
      <c r="N7275" s="105"/>
      <c r="O7275" s="105"/>
      <c r="P7275" s="159"/>
      <c r="Q7275" s="159"/>
      <c r="R7275" s="160"/>
      <c r="S7275" s="158"/>
      <c r="T7275" s="161"/>
      <c r="U7275" s="158"/>
      <c r="V7275" s="160"/>
    </row>
    <row r="7276" spans="5:22" x14ac:dyDescent="0.25">
      <c r="E7276" s="157"/>
      <c r="F7276" s="157"/>
      <c r="L7276" s="105"/>
      <c r="M7276" s="105"/>
      <c r="N7276" s="105"/>
      <c r="O7276" s="105"/>
      <c r="P7276" s="159"/>
      <c r="Q7276" s="159"/>
      <c r="R7276" s="160"/>
      <c r="S7276" s="158"/>
      <c r="T7276" s="161"/>
      <c r="U7276" s="158"/>
      <c r="V7276" s="160"/>
    </row>
    <row r="7277" spans="5:22" x14ac:dyDescent="0.25">
      <c r="E7277" s="157"/>
      <c r="F7277" s="157"/>
      <c r="L7277" s="105"/>
      <c r="M7277" s="105"/>
      <c r="N7277" s="105"/>
      <c r="O7277" s="105"/>
      <c r="P7277" s="159"/>
      <c r="Q7277" s="159"/>
      <c r="R7277" s="160"/>
      <c r="S7277" s="158"/>
      <c r="T7277" s="161"/>
      <c r="U7277" s="158"/>
      <c r="V7277" s="160"/>
    </row>
    <row r="7278" spans="5:22" x14ac:dyDescent="0.25">
      <c r="E7278" s="157"/>
      <c r="F7278" s="157"/>
      <c r="L7278" s="105"/>
      <c r="M7278" s="105"/>
      <c r="N7278" s="105"/>
      <c r="O7278" s="105"/>
      <c r="P7278" s="159"/>
      <c r="Q7278" s="159"/>
      <c r="R7278" s="160"/>
      <c r="S7278" s="158"/>
      <c r="T7278" s="161"/>
      <c r="U7278" s="158"/>
      <c r="V7278" s="160"/>
    </row>
    <row r="7279" spans="5:22" x14ac:dyDescent="0.25">
      <c r="E7279" s="157"/>
      <c r="F7279" s="157"/>
      <c r="L7279" s="105"/>
      <c r="M7279" s="105"/>
      <c r="N7279" s="105"/>
      <c r="O7279" s="105"/>
      <c r="P7279" s="159"/>
      <c r="Q7279" s="159"/>
      <c r="R7279" s="160"/>
      <c r="S7279" s="158"/>
      <c r="T7279" s="161"/>
      <c r="U7279" s="158"/>
      <c r="V7279" s="160"/>
    </row>
    <row r="7280" spans="5:22" x14ac:dyDescent="0.25">
      <c r="E7280" s="157"/>
      <c r="F7280" s="157"/>
      <c r="L7280" s="105"/>
      <c r="M7280" s="105"/>
      <c r="N7280" s="105"/>
      <c r="O7280" s="105"/>
      <c r="P7280" s="159"/>
      <c r="Q7280" s="159"/>
      <c r="R7280" s="160"/>
      <c r="S7280" s="158"/>
      <c r="T7280" s="161"/>
      <c r="U7280" s="158"/>
      <c r="V7280" s="160"/>
    </row>
    <row r="7281" spans="5:22" x14ac:dyDescent="0.25">
      <c r="E7281" s="157"/>
      <c r="F7281" s="157"/>
      <c r="L7281" s="105"/>
      <c r="M7281" s="105"/>
      <c r="N7281" s="105"/>
      <c r="O7281" s="105"/>
      <c r="P7281" s="159"/>
      <c r="Q7281" s="159"/>
      <c r="R7281" s="160"/>
      <c r="S7281" s="158"/>
      <c r="T7281" s="161"/>
      <c r="U7281" s="158"/>
      <c r="V7281" s="160"/>
    </row>
    <row r="7282" spans="5:22" x14ac:dyDescent="0.25">
      <c r="E7282" s="157"/>
      <c r="F7282" s="157"/>
      <c r="L7282" s="105"/>
      <c r="M7282" s="105"/>
      <c r="N7282" s="105"/>
      <c r="O7282" s="105"/>
      <c r="P7282" s="159"/>
      <c r="Q7282" s="159"/>
      <c r="R7282" s="160"/>
      <c r="S7282" s="158"/>
      <c r="T7282" s="161"/>
      <c r="U7282" s="158"/>
      <c r="V7282" s="160"/>
    </row>
    <row r="7283" spans="5:22" x14ac:dyDescent="0.25">
      <c r="E7283" s="157"/>
      <c r="F7283" s="157"/>
      <c r="L7283" s="105"/>
      <c r="M7283" s="105"/>
      <c r="N7283" s="105"/>
      <c r="O7283" s="105"/>
      <c r="P7283" s="159"/>
      <c r="Q7283" s="159"/>
      <c r="R7283" s="160"/>
      <c r="S7283" s="158"/>
      <c r="T7283" s="161"/>
      <c r="U7283" s="158"/>
      <c r="V7283" s="160"/>
    </row>
    <row r="7284" spans="5:22" x14ac:dyDescent="0.25">
      <c r="E7284" s="157"/>
      <c r="F7284" s="157"/>
      <c r="L7284" s="105"/>
      <c r="M7284" s="105"/>
      <c r="N7284" s="105"/>
      <c r="O7284" s="105"/>
      <c r="P7284" s="159"/>
      <c r="Q7284" s="159"/>
      <c r="R7284" s="160"/>
      <c r="S7284" s="158"/>
      <c r="T7284" s="161"/>
      <c r="U7284" s="158"/>
      <c r="V7284" s="160"/>
    </row>
    <row r="7285" spans="5:22" x14ac:dyDescent="0.25">
      <c r="E7285" s="157"/>
      <c r="F7285" s="157"/>
      <c r="L7285" s="105"/>
      <c r="M7285" s="105"/>
      <c r="N7285" s="105"/>
      <c r="O7285" s="105"/>
      <c r="P7285" s="159"/>
      <c r="Q7285" s="159"/>
      <c r="R7285" s="160"/>
      <c r="S7285" s="158"/>
      <c r="T7285" s="161"/>
      <c r="U7285" s="158"/>
      <c r="V7285" s="160"/>
    </row>
    <row r="7286" spans="5:22" x14ac:dyDescent="0.25">
      <c r="E7286" s="157"/>
      <c r="F7286" s="157"/>
      <c r="L7286" s="105"/>
      <c r="M7286" s="105"/>
      <c r="N7286" s="105"/>
      <c r="O7286" s="105"/>
      <c r="P7286" s="159"/>
      <c r="Q7286" s="159"/>
      <c r="R7286" s="160"/>
      <c r="S7286" s="158"/>
      <c r="T7286" s="161"/>
      <c r="U7286" s="158"/>
      <c r="V7286" s="160"/>
    </row>
    <row r="7287" spans="5:22" x14ac:dyDescent="0.25">
      <c r="E7287" s="157"/>
      <c r="F7287" s="157"/>
      <c r="L7287" s="105"/>
      <c r="M7287" s="105"/>
      <c r="N7287" s="105"/>
      <c r="O7287" s="105"/>
      <c r="P7287" s="159"/>
      <c r="Q7287" s="159"/>
      <c r="R7287" s="160"/>
      <c r="S7287" s="158"/>
      <c r="T7287" s="161"/>
      <c r="U7287" s="158"/>
      <c r="V7287" s="160"/>
    </row>
    <row r="7288" spans="5:22" x14ac:dyDescent="0.25">
      <c r="E7288" s="157"/>
      <c r="F7288" s="157"/>
      <c r="L7288" s="105"/>
      <c r="M7288" s="105"/>
      <c r="N7288" s="105"/>
      <c r="O7288" s="105"/>
      <c r="P7288" s="159"/>
      <c r="Q7288" s="159"/>
      <c r="R7288" s="160"/>
      <c r="S7288" s="158"/>
      <c r="T7288" s="161"/>
      <c r="U7288" s="158"/>
      <c r="V7288" s="160"/>
    </row>
    <row r="7289" spans="5:22" x14ac:dyDescent="0.25">
      <c r="E7289" s="157"/>
      <c r="F7289" s="157"/>
      <c r="L7289" s="105"/>
      <c r="M7289" s="105"/>
      <c r="N7289" s="105"/>
      <c r="O7289" s="105"/>
      <c r="P7289" s="159"/>
      <c r="Q7289" s="159"/>
      <c r="R7289" s="160"/>
      <c r="S7289" s="158"/>
      <c r="T7289" s="161"/>
      <c r="U7289" s="158"/>
      <c r="V7289" s="160"/>
    </row>
    <row r="7290" spans="5:22" x14ac:dyDescent="0.25">
      <c r="E7290" s="157"/>
      <c r="F7290" s="157"/>
      <c r="L7290" s="105"/>
      <c r="M7290" s="105"/>
      <c r="N7290" s="105"/>
      <c r="O7290" s="105"/>
      <c r="P7290" s="159"/>
      <c r="Q7290" s="159"/>
      <c r="R7290" s="160"/>
      <c r="S7290" s="158"/>
      <c r="T7290" s="161"/>
      <c r="U7290" s="158"/>
      <c r="V7290" s="160"/>
    </row>
    <row r="7291" spans="5:22" x14ac:dyDescent="0.25">
      <c r="E7291" s="157"/>
      <c r="F7291" s="157"/>
      <c r="L7291" s="105"/>
      <c r="M7291" s="105"/>
      <c r="N7291" s="105"/>
      <c r="O7291" s="105"/>
      <c r="P7291" s="159"/>
      <c r="Q7291" s="159"/>
      <c r="R7291" s="160"/>
      <c r="S7291" s="158"/>
      <c r="T7291" s="161"/>
      <c r="U7291" s="158"/>
      <c r="V7291" s="160"/>
    </row>
    <row r="7292" spans="5:22" x14ac:dyDescent="0.25">
      <c r="E7292" s="157"/>
      <c r="F7292" s="157"/>
      <c r="L7292" s="105"/>
      <c r="M7292" s="105"/>
      <c r="N7292" s="105"/>
      <c r="O7292" s="105"/>
      <c r="P7292" s="159"/>
      <c r="Q7292" s="159"/>
      <c r="R7292" s="160"/>
      <c r="S7292" s="158"/>
      <c r="T7292" s="161"/>
      <c r="U7292" s="158"/>
      <c r="V7292" s="160"/>
    </row>
    <row r="7293" spans="5:22" x14ac:dyDescent="0.25">
      <c r="E7293" s="157"/>
      <c r="F7293" s="157"/>
      <c r="L7293" s="105"/>
      <c r="M7293" s="105"/>
      <c r="N7293" s="105"/>
      <c r="O7293" s="105"/>
      <c r="P7293" s="159"/>
      <c r="Q7293" s="159"/>
      <c r="R7293" s="160"/>
      <c r="S7293" s="158"/>
      <c r="T7293" s="161"/>
      <c r="U7293" s="158"/>
      <c r="V7293" s="160"/>
    </row>
    <row r="7294" spans="5:22" x14ac:dyDescent="0.25">
      <c r="E7294" s="157"/>
      <c r="F7294" s="157"/>
      <c r="L7294" s="105"/>
      <c r="M7294" s="105"/>
      <c r="N7294" s="105"/>
      <c r="O7294" s="105"/>
      <c r="P7294" s="159"/>
      <c r="Q7294" s="159"/>
      <c r="R7294" s="160"/>
      <c r="S7294" s="158"/>
      <c r="T7294" s="161"/>
      <c r="U7294" s="158"/>
      <c r="V7294" s="160"/>
    </row>
    <row r="7295" spans="5:22" x14ac:dyDescent="0.25">
      <c r="E7295" s="162"/>
      <c r="F7295" s="157"/>
      <c r="L7295" s="105"/>
      <c r="M7295" s="105"/>
      <c r="N7295" s="105"/>
      <c r="O7295" s="105"/>
      <c r="P7295" s="159"/>
      <c r="Q7295" s="159"/>
      <c r="R7295" s="160"/>
      <c r="S7295" s="158"/>
      <c r="T7295" s="161"/>
      <c r="U7295" s="158"/>
      <c r="V7295" s="160"/>
    </row>
    <row r="7296" spans="5:22" x14ac:dyDescent="0.25">
      <c r="E7296" s="157"/>
      <c r="F7296" s="157"/>
      <c r="L7296" s="105"/>
      <c r="M7296" s="105"/>
      <c r="N7296" s="105"/>
      <c r="O7296" s="105"/>
      <c r="P7296" s="159"/>
      <c r="Q7296" s="159"/>
      <c r="R7296" s="160"/>
      <c r="S7296" s="158"/>
      <c r="T7296" s="161"/>
      <c r="U7296" s="158"/>
      <c r="V7296" s="160"/>
    </row>
    <row r="7297" spans="5:22" x14ac:dyDescent="0.25">
      <c r="E7297" s="157"/>
      <c r="F7297" s="157"/>
      <c r="L7297" s="105"/>
      <c r="M7297" s="105"/>
      <c r="N7297" s="105"/>
      <c r="O7297" s="105"/>
      <c r="P7297" s="159"/>
      <c r="Q7297" s="159"/>
      <c r="R7297" s="160"/>
      <c r="S7297" s="158"/>
      <c r="T7297" s="161"/>
      <c r="U7297" s="158"/>
      <c r="V7297" s="160"/>
    </row>
    <row r="7298" spans="5:22" x14ac:dyDescent="0.25">
      <c r="E7298" s="157"/>
      <c r="F7298" s="157"/>
      <c r="L7298" s="105"/>
      <c r="M7298" s="105"/>
      <c r="N7298" s="105"/>
      <c r="O7298" s="105"/>
      <c r="P7298" s="159"/>
      <c r="Q7298" s="159"/>
      <c r="R7298" s="160"/>
      <c r="S7298" s="158"/>
      <c r="T7298" s="161"/>
      <c r="U7298" s="158"/>
      <c r="V7298" s="160"/>
    </row>
    <row r="7299" spans="5:22" x14ac:dyDescent="0.25">
      <c r="E7299" s="157"/>
      <c r="F7299" s="157"/>
      <c r="L7299" s="105"/>
      <c r="M7299" s="105"/>
      <c r="N7299" s="105"/>
      <c r="O7299" s="105"/>
      <c r="P7299" s="159"/>
      <c r="Q7299" s="159"/>
      <c r="R7299" s="160"/>
      <c r="S7299" s="158"/>
      <c r="T7299" s="161"/>
      <c r="U7299" s="158"/>
      <c r="V7299" s="160"/>
    </row>
    <row r="7300" spans="5:22" x14ac:dyDescent="0.25">
      <c r="E7300" s="157"/>
      <c r="F7300" s="157"/>
      <c r="L7300" s="105"/>
      <c r="M7300" s="105"/>
      <c r="N7300" s="105"/>
      <c r="O7300" s="105"/>
      <c r="P7300" s="159"/>
      <c r="Q7300" s="159"/>
      <c r="R7300" s="160"/>
      <c r="S7300" s="158"/>
      <c r="T7300" s="161"/>
      <c r="U7300" s="158"/>
      <c r="V7300" s="160"/>
    </row>
    <row r="7301" spans="5:22" x14ac:dyDescent="0.25">
      <c r="E7301" s="157"/>
      <c r="F7301" s="157"/>
      <c r="L7301" s="105"/>
      <c r="M7301" s="105"/>
      <c r="N7301" s="105"/>
      <c r="O7301" s="105"/>
      <c r="P7301" s="159"/>
      <c r="Q7301" s="159"/>
      <c r="R7301" s="160"/>
      <c r="S7301" s="158"/>
      <c r="T7301" s="161"/>
      <c r="U7301" s="158"/>
      <c r="V7301" s="160"/>
    </row>
    <row r="7302" spans="5:22" x14ac:dyDescent="0.25">
      <c r="E7302" s="157"/>
      <c r="F7302" s="157"/>
      <c r="L7302" s="105"/>
      <c r="M7302" s="105"/>
      <c r="N7302" s="105"/>
      <c r="O7302" s="105"/>
      <c r="P7302" s="159"/>
      <c r="Q7302" s="159"/>
      <c r="R7302" s="160"/>
      <c r="S7302" s="158"/>
      <c r="T7302" s="161"/>
      <c r="U7302" s="158"/>
      <c r="V7302" s="160"/>
    </row>
    <row r="7303" spans="5:22" x14ac:dyDescent="0.25">
      <c r="E7303" s="157"/>
      <c r="F7303" s="157"/>
      <c r="L7303" s="105"/>
      <c r="M7303" s="105"/>
      <c r="N7303" s="105"/>
      <c r="O7303" s="105"/>
      <c r="P7303" s="159"/>
      <c r="Q7303" s="159"/>
      <c r="R7303" s="160"/>
      <c r="S7303" s="158"/>
      <c r="T7303" s="161"/>
      <c r="U7303" s="158"/>
      <c r="V7303" s="160"/>
    </row>
    <row r="7304" spans="5:22" x14ac:dyDescent="0.25">
      <c r="E7304" s="157"/>
      <c r="F7304" s="157"/>
      <c r="L7304" s="105"/>
      <c r="M7304" s="105"/>
      <c r="N7304" s="105"/>
      <c r="O7304" s="105"/>
      <c r="P7304" s="159"/>
      <c r="Q7304" s="159"/>
      <c r="R7304" s="160"/>
      <c r="S7304" s="158"/>
      <c r="T7304" s="161"/>
      <c r="U7304" s="158"/>
      <c r="V7304" s="160"/>
    </row>
    <row r="7305" spans="5:22" x14ac:dyDescent="0.25">
      <c r="E7305" s="157"/>
      <c r="F7305" s="157"/>
      <c r="L7305" s="105"/>
      <c r="M7305" s="105"/>
      <c r="N7305" s="105"/>
      <c r="O7305" s="105"/>
      <c r="P7305" s="159"/>
      <c r="Q7305" s="159"/>
      <c r="R7305" s="160"/>
      <c r="S7305" s="158"/>
      <c r="T7305" s="161"/>
      <c r="U7305" s="158"/>
      <c r="V7305" s="160"/>
    </row>
    <row r="7306" spans="5:22" x14ac:dyDescent="0.25">
      <c r="E7306" s="157"/>
      <c r="F7306" s="157"/>
      <c r="L7306" s="105"/>
      <c r="M7306" s="105"/>
      <c r="N7306" s="105"/>
      <c r="O7306" s="105"/>
      <c r="P7306" s="159"/>
      <c r="Q7306" s="159"/>
      <c r="R7306" s="160"/>
      <c r="S7306" s="158"/>
      <c r="T7306" s="161"/>
      <c r="U7306" s="158"/>
      <c r="V7306" s="160"/>
    </row>
    <row r="7307" spans="5:22" x14ac:dyDescent="0.25">
      <c r="E7307" s="157"/>
      <c r="F7307" s="157"/>
      <c r="L7307" s="105"/>
      <c r="M7307" s="105"/>
      <c r="N7307" s="105"/>
      <c r="O7307" s="105"/>
      <c r="P7307" s="159"/>
      <c r="Q7307" s="159"/>
      <c r="R7307" s="160"/>
      <c r="S7307" s="158"/>
      <c r="T7307" s="161"/>
      <c r="U7307" s="158"/>
      <c r="V7307" s="160"/>
    </row>
    <row r="7308" spans="5:22" x14ac:dyDescent="0.25">
      <c r="E7308" s="157"/>
      <c r="F7308" s="157"/>
      <c r="L7308" s="105"/>
      <c r="M7308" s="105"/>
      <c r="N7308" s="105"/>
      <c r="O7308" s="105"/>
      <c r="P7308" s="159"/>
      <c r="Q7308" s="159"/>
      <c r="R7308" s="160"/>
      <c r="S7308" s="158"/>
      <c r="T7308" s="161"/>
      <c r="U7308" s="158"/>
      <c r="V7308" s="160"/>
    </row>
    <row r="7309" spans="5:22" x14ac:dyDescent="0.25">
      <c r="E7309" s="157"/>
      <c r="F7309" s="157"/>
      <c r="L7309" s="105"/>
      <c r="M7309" s="105"/>
      <c r="N7309" s="105"/>
      <c r="O7309" s="105"/>
      <c r="P7309" s="159"/>
      <c r="Q7309" s="159"/>
      <c r="R7309" s="160"/>
      <c r="S7309" s="158"/>
      <c r="T7309" s="161"/>
      <c r="U7309" s="158"/>
      <c r="V7309" s="160"/>
    </row>
    <row r="7310" spans="5:22" x14ac:dyDescent="0.25">
      <c r="E7310" s="157"/>
      <c r="F7310" s="157"/>
      <c r="L7310" s="105"/>
      <c r="M7310" s="105"/>
      <c r="N7310" s="105"/>
      <c r="O7310" s="105"/>
      <c r="P7310" s="159"/>
      <c r="Q7310" s="159"/>
      <c r="R7310" s="160"/>
      <c r="S7310" s="158"/>
      <c r="T7310" s="161"/>
      <c r="U7310" s="158"/>
      <c r="V7310" s="160"/>
    </row>
    <row r="7311" spans="5:22" x14ac:dyDescent="0.25">
      <c r="E7311" s="157"/>
      <c r="F7311" s="157"/>
      <c r="L7311" s="105"/>
      <c r="M7311" s="105"/>
      <c r="N7311" s="105"/>
      <c r="O7311" s="105"/>
      <c r="P7311" s="159"/>
      <c r="Q7311" s="159"/>
      <c r="R7311" s="160"/>
      <c r="S7311" s="158"/>
      <c r="T7311" s="161"/>
      <c r="U7311" s="158"/>
      <c r="V7311" s="160"/>
    </row>
    <row r="7312" spans="5:22" x14ac:dyDescent="0.25">
      <c r="E7312" s="157"/>
      <c r="F7312" s="157"/>
      <c r="L7312" s="105"/>
      <c r="M7312" s="105"/>
      <c r="N7312" s="105"/>
      <c r="O7312" s="105"/>
      <c r="P7312" s="159"/>
      <c r="Q7312" s="159"/>
      <c r="R7312" s="160"/>
      <c r="S7312" s="158"/>
      <c r="T7312" s="161"/>
      <c r="U7312" s="158"/>
      <c r="V7312" s="160"/>
    </row>
    <row r="7313" spans="5:22" x14ac:dyDescent="0.25">
      <c r="E7313" s="157"/>
      <c r="F7313" s="157"/>
      <c r="L7313" s="105"/>
      <c r="M7313" s="105"/>
      <c r="N7313" s="105"/>
      <c r="O7313" s="105"/>
      <c r="P7313" s="159"/>
      <c r="Q7313" s="159"/>
      <c r="R7313" s="160"/>
      <c r="S7313" s="158"/>
      <c r="T7313" s="161"/>
      <c r="U7313" s="158"/>
      <c r="V7313" s="160"/>
    </row>
    <row r="7314" spans="5:22" x14ac:dyDescent="0.25">
      <c r="E7314" s="157"/>
      <c r="F7314" s="157"/>
      <c r="L7314" s="105"/>
      <c r="M7314" s="105"/>
      <c r="N7314" s="105"/>
      <c r="O7314" s="105"/>
      <c r="P7314" s="159"/>
      <c r="Q7314" s="159"/>
      <c r="R7314" s="160"/>
      <c r="S7314" s="158"/>
      <c r="T7314" s="161"/>
      <c r="U7314" s="158"/>
      <c r="V7314" s="160"/>
    </row>
    <row r="7315" spans="5:22" x14ac:dyDescent="0.25">
      <c r="E7315" s="157"/>
      <c r="F7315" s="157"/>
      <c r="L7315" s="105"/>
      <c r="M7315" s="105"/>
      <c r="N7315" s="105"/>
      <c r="O7315" s="105"/>
      <c r="P7315" s="159"/>
      <c r="Q7315" s="159"/>
      <c r="R7315" s="160"/>
      <c r="S7315" s="158"/>
      <c r="T7315" s="161"/>
      <c r="U7315" s="158"/>
      <c r="V7315" s="160"/>
    </row>
    <row r="7316" spans="5:22" x14ac:dyDescent="0.25">
      <c r="E7316" s="157"/>
      <c r="F7316" s="157"/>
      <c r="L7316" s="105"/>
      <c r="M7316" s="105"/>
      <c r="N7316" s="105"/>
      <c r="O7316" s="105"/>
      <c r="P7316" s="159"/>
      <c r="Q7316" s="159"/>
      <c r="R7316" s="160"/>
      <c r="S7316" s="158"/>
      <c r="T7316" s="161"/>
      <c r="U7316" s="158"/>
      <c r="V7316" s="160"/>
    </row>
    <row r="7317" spans="5:22" x14ac:dyDescent="0.25">
      <c r="E7317" s="157"/>
      <c r="F7317" s="157"/>
      <c r="L7317" s="105"/>
      <c r="M7317" s="105"/>
      <c r="N7317" s="105"/>
      <c r="O7317" s="105"/>
      <c r="P7317" s="159"/>
      <c r="Q7317" s="159"/>
      <c r="R7317" s="160"/>
      <c r="S7317" s="158"/>
      <c r="T7317" s="161"/>
      <c r="U7317" s="158"/>
      <c r="V7317" s="160"/>
    </row>
    <row r="7318" spans="5:22" x14ac:dyDescent="0.25">
      <c r="E7318" s="157"/>
      <c r="F7318" s="157"/>
      <c r="L7318" s="105"/>
      <c r="M7318" s="105"/>
      <c r="N7318" s="105"/>
      <c r="O7318" s="105"/>
      <c r="P7318" s="159"/>
      <c r="Q7318" s="159"/>
      <c r="R7318" s="160"/>
      <c r="S7318" s="158"/>
      <c r="T7318" s="161"/>
      <c r="U7318" s="158"/>
      <c r="V7318" s="160"/>
    </row>
    <row r="7319" spans="5:22" x14ac:dyDescent="0.25">
      <c r="E7319" s="157"/>
      <c r="F7319" s="157"/>
      <c r="L7319" s="105"/>
      <c r="M7319" s="105"/>
      <c r="N7319" s="105"/>
      <c r="O7319" s="105"/>
      <c r="P7319" s="159"/>
      <c r="Q7319" s="159"/>
      <c r="R7319" s="160"/>
      <c r="S7319" s="158"/>
      <c r="T7319" s="161"/>
      <c r="U7319" s="158"/>
      <c r="V7319" s="160"/>
    </row>
    <row r="7320" spans="5:22" x14ac:dyDescent="0.25">
      <c r="E7320" s="157"/>
      <c r="F7320" s="157"/>
      <c r="L7320" s="105"/>
      <c r="M7320" s="105"/>
      <c r="N7320" s="105"/>
      <c r="O7320" s="105"/>
      <c r="P7320" s="159"/>
      <c r="Q7320" s="159"/>
      <c r="R7320" s="160"/>
      <c r="S7320" s="158"/>
      <c r="T7320" s="161"/>
      <c r="U7320" s="158"/>
      <c r="V7320" s="160"/>
    </row>
    <row r="7321" spans="5:22" x14ac:dyDescent="0.25">
      <c r="E7321" s="157"/>
      <c r="F7321" s="157"/>
      <c r="L7321" s="105"/>
      <c r="M7321" s="105"/>
      <c r="N7321" s="105"/>
      <c r="O7321" s="105"/>
      <c r="P7321" s="159"/>
      <c r="Q7321" s="159"/>
      <c r="R7321" s="160"/>
      <c r="S7321" s="158"/>
      <c r="T7321" s="161"/>
      <c r="U7321" s="158"/>
      <c r="V7321" s="160"/>
    </row>
    <row r="7322" spans="5:22" x14ac:dyDescent="0.25">
      <c r="E7322" s="157"/>
      <c r="F7322" s="157"/>
      <c r="L7322" s="105"/>
      <c r="M7322" s="105"/>
      <c r="N7322" s="105"/>
      <c r="O7322" s="105"/>
      <c r="P7322" s="159"/>
      <c r="Q7322" s="159"/>
      <c r="R7322" s="160"/>
      <c r="S7322" s="158"/>
      <c r="T7322" s="161"/>
      <c r="U7322" s="158"/>
      <c r="V7322" s="160"/>
    </row>
    <row r="7323" spans="5:22" x14ac:dyDescent="0.25">
      <c r="E7323" s="157"/>
      <c r="F7323" s="162"/>
      <c r="L7323" s="105"/>
      <c r="M7323" s="105"/>
      <c r="N7323" s="105"/>
      <c r="O7323" s="105"/>
      <c r="P7323" s="159"/>
      <c r="Q7323" s="159"/>
      <c r="R7323" s="160"/>
      <c r="S7323" s="158"/>
      <c r="T7323" s="161"/>
      <c r="U7323" s="158"/>
      <c r="V7323" s="160"/>
    </row>
    <row r="7324" spans="5:22" x14ac:dyDescent="0.25">
      <c r="E7324" s="162"/>
      <c r="F7324" s="157"/>
      <c r="L7324" s="105"/>
      <c r="M7324" s="105"/>
      <c r="N7324" s="105"/>
      <c r="O7324" s="105"/>
      <c r="P7324" s="159"/>
      <c r="Q7324" s="159"/>
      <c r="R7324" s="160"/>
      <c r="S7324" s="158"/>
      <c r="T7324" s="161"/>
      <c r="U7324" s="158"/>
      <c r="V7324" s="160"/>
    </row>
    <row r="7325" spans="5:22" x14ac:dyDescent="0.25">
      <c r="E7325" s="157"/>
      <c r="F7325" s="157"/>
      <c r="L7325" s="105"/>
      <c r="M7325" s="105"/>
      <c r="N7325" s="105"/>
      <c r="O7325" s="105"/>
      <c r="P7325" s="159"/>
      <c r="Q7325" s="159"/>
      <c r="R7325" s="160"/>
      <c r="S7325" s="158"/>
      <c r="T7325" s="161"/>
      <c r="U7325" s="158"/>
      <c r="V7325" s="160"/>
    </row>
    <row r="7326" spans="5:22" x14ac:dyDescent="0.25">
      <c r="E7326" s="157"/>
      <c r="F7326" s="157"/>
      <c r="L7326" s="105"/>
      <c r="M7326" s="105"/>
      <c r="N7326" s="105"/>
      <c r="O7326" s="105"/>
      <c r="P7326" s="159"/>
      <c r="Q7326" s="159"/>
      <c r="R7326" s="160"/>
      <c r="S7326" s="158"/>
      <c r="T7326" s="161"/>
      <c r="U7326" s="158"/>
      <c r="V7326" s="160"/>
    </row>
    <row r="7327" spans="5:22" x14ac:dyDescent="0.25">
      <c r="E7327" s="157"/>
      <c r="F7327" s="157"/>
      <c r="L7327" s="105"/>
      <c r="M7327" s="105"/>
      <c r="N7327" s="105"/>
      <c r="O7327" s="105"/>
      <c r="P7327" s="159"/>
      <c r="Q7327" s="159"/>
      <c r="R7327" s="160"/>
      <c r="S7327" s="158"/>
      <c r="T7327" s="161"/>
      <c r="U7327" s="158"/>
      <c r="V7327" s="160"/>
    </row>
    <row r="7328" spans="5:22" x14ac:dyDescent="0.25">
      <c r="E7328" s="157"/>
      <c r="F7328" s="157"/>
      <c r="L7328" s="105"/>
      <c r="M7328" s="105"/>
      <c r="N7328" s="105"/>
      <c r="O7328" s="105"/>
      <c r="P7328" s="159"/>
      <c r="Q7328" s="159"/>
      <c r="R7328" s="160"/>
      <c r="S7328" s="158"/>
      <c r="T7328" s="161"/>
      <c r="U7328" s="158"/>
      <c r="V7328" s="160"/>
    </row>
    <row r="7329" spans="5:22" x14ac:dyDescent="0.25">
      <c r="E7329" s="157"/>
      <c r="F7329" s="157"/>
      <c r="L7329" s="105"/>
      <c r="M7329" s="105"/>
      <c r="N7329" s="105"/>
      <c r="O7329" s="105"/>
      <c r="P7329" s="159"/>
      <c r="Q7329" s="159"/>
      <c r="R7329" s="160"/>
      <c r="S7329" s="158"/>
      <c r="T7329" s="161"/>
      <c r="U7329" s="158"/>
      <c r="V7329" s="160"/>
    </row>
    <row r="7330" spans="5:22" x14ac:dyDescent="0.25">
      <c r="E7330" s="157"/>
      <c r="F7330" s="157"/>
      <c r="L7330" s="105"/>
      <c r="M7330" s="105"/>
      <c r="N7330" s="105"/>
      <c r="O7330" s="105"/>
      <c r="P7330" s="159"/>
      <c r="Q7330" s="159"/>
      <c r="R7330" s="160"/>
      <c r="S7330" s="158"/>
      <c r="T7330" s="161"/>
      <c r="U7330" s="158"/>
      <c r="V7330" s="160"/>
    </row>
    <row r="7331" spans="5:22" x14ac:dyDescent="0.25">
      <c r="E7331" s="157"/>
      <c r="F7331" s="157"/>
      <c r="L7331" s="105"/>
      <c r="M7331" s="105"/>
      <c r="N7331" s="105"/>
      <c r="O7331" s="105"/>
      <c r="P7331" s="159"/>
      <c r="Q7331" s="159"/>
      <c r="R7331" s="160"/>
      <c r="S7331" s="158"/>
      <c r="T7331" s="161"/>
      <c r="U7331" s="158"/>
      <c r="V7331" s="160"/>
    </row>
    <row r="7332" spans="5:22" x14ac:dyDescent="0.25">
      <c r="E7332" s="157"/>
      <c r="F7332" s="157"/>
      <c r="L7332" s="105"/>
      <c r="M7332" s="105"/>
      <c r="N7332" s="105"/>
      <c r="O7332" s="105"/>
      <c r="P7332" s="159"/>
      <c r="Q7332" s="159"/>
      <c r="R7332" s="160"/>
      <c r="S7332" s="158"/>
      <c r="T7332" s="161"/>
      <c r="U7332" s="158"/>
      <c r="V7332" s="160"/>
    </row>
    <row r="7333" spans="5:22" x14ac:dyDescent="0.25">
      <c r="E7333" s="157"/>
      <c r="F7333" s="157"/>
      <c r="L7333" s="105"/>
      <c r="M7333" s="105"/>
      <c r="N7333" s="105"/>
      <c r="O7333" s="105"/>
      <c r="P7333" s="159"/>
      <c r="Q7333" s="159"/>
      <c r="R7333" s="160"/>
      <c r="S7333" s="158"/>
      <c r="T7333" s="161"/>
      <c r="U7333" s="158"/>
      <c r="V7333" s="160"/>
    </row>
    <row r="7334" spans="5:22" x14ac:dyDescent="0.25">
      <c r="E7334" s="157"/>
      <c r="F7334" s="157"/>
      <c r="L7334" s="105"/>
      <c r="M7334" s="105"/>
      <c r="N7334" s="105"/>
      <c r="O7334" s="105"/>
      <c r="P7334" s="159"/>
      <c r="Q7334" s="159"/>
      <c r="R7334" s="160"/>
      <c r="S7334" s="158"/>
      <c r="T7334" s="161"/>
      <c r="U7334" s="158"/>
      <c r="V7334" s="160"/>
    </row>
    <row r="7335" spans="5:22" x14ac:dyDescent="0.25">
      <c r="E7335" s="157"/>
      <c r="F7335" s="157"/>
      <c r="L7335" s="105"/>
      <c r="M7335" s="105"/>
      <c r="N7335" s="105"/>
      <c r="O7335" s="105"/>
      <c r="P7335" s="159"/>
      <c r="Q7335" s="159"/>
      <c r="R7335" s="160"/>
      <c r="S7335" s="158"/>
      <c r="T7335" s="161"/>
      <c r="U7335" s="158"/>
      <c r="V7335" s="160"/>
    </row>
    <row r="7336" spans="5:22" x14ac:dyDescent="0.25">
      <c r="E7336" s="157"/>
      <c r="F7336" s="157"/>
      <c r="L7336" s="105"/>
      <c r="M7336" s="105"/>
      <c r="N7336" s="105"/>
      <c r="O7336" s="105"/>
      <c r="P7336" s="159"/>
      <c r="Q7336" s="159"/>
      <c r="R7336" s="160"/>
      <c r="S7336" s="158"/>
      <c r="T7336" s="161"/>
      <c r="U7336" s="158"/>
      <c r="V7336" s="160"/>
    </row>
    <row r="7337" spans="5:22" x14ac:dyDescent="0.25">
      <c r="E7337" s="157"/>
      <c r="F7337" s="157"/>
      <c r="L7337" s="105"/>
      <c r="M7337" s="105"/>
      <c r="N7337" s="105"/>
      <c r="O7337" s="105"/>
      <c r="P7337" s="159"/>
      <c r="Q7337" s="159"/>
      <c r="R7337" s="160"/>
      <c r="S7337" s="158"/>
      <c r="T7337" s="161"/>
      <c r="U7337" s="158"/>
      <c r="V7337" s="160"/>
    </row>
    <row r="7338" spans="5:22" x14ac:dyDescent="0.25">
      <c r="E7338" s="157"/>
      <c r="F7338" s="162"/>
      <c r="L7338" s="105"/>
      <c r="M7338" s="105"/>
      <c r="N7338" s="105"/>
      <c r="O7338" s="105"/>
      <c r="P7338" s="159"/>
      <c r="Q7338" s="159"/>
      <c r="R7338" s="160"/>
      <c r="S7338" s="158"/>
      <c r="T7338" s="161"/>
      <c r="U7338" s="158"/>
      <c r="V7338" s="160"/>
    </row>
    <row r="7339" spans="5:22" x14ac:dyDescent="0.25">
      <c r="E7339" s="157"/>
      <c r="F7339" s="157"/>
      <c r="L7339" s="105"/>
      <c r="M7339" s="105"/>
      <c r="N7339" s="105"/>
      <c r="O7339" s="105"/>
      <c r="P7339" s="159"/>
      <c r="Q7339" s="159"/>
      <c r="R7339" s="160"/>
      <c r="S7339" s="158"/>
      <c r="T7339" s="161"/>
      <c r="U7339" s="158"/>
      <c r="V7339" s="160"/>
    </row>
    <row r="7340" spans="5:22" x14ac:dyDescent="0.25">
      <c r="E7340" s="157"/>
      <c r="F7340" s="157"/>
      <c r="L7340" s="105"/>
      <c r="M7340" s="105"/>
      <c r="N7340" s="105"/>
      <c r="O7340" s="105"/>
      <c r="P7340" s="159"/>
      <c r="Q7340" s="159"/>
      <c r="R7340" s="160"/>
      <c r="S7340" s="158"/>
      <c r="T7340" s="161"/>
      <c r="U7340" s="158"/>
      <c r="V7340" s="160"/>
    </row>
    <row r="7341" spans="5:22" x14ac:dyDescent="0.25">
      <c r="E7341" s="157"/>
      <c r="F7341" s="157"/>
      <c r="L7341" s="105"/>
      <c r="M7341" s="105"/>
      <c r="N7341" s="105"/>
      <c r="O7341" s="105"/>
      <c r="P7341" s="159"/>
      <c r="Q7341" s="159"/>
      <c r="R7341" s="160"/>
      <c r="S7341" s="158"/>
      <c r="T7341" s="161"/>
      <c r="U7341" s="158"/>
      <c r="V7341" s="160"/>
    </row>
    <row r="7342" spans="5:22" x14ac:dyDescent="0.25">
      <c r="E7342" s="157"/>
      <c r="F7342" s="157"/>
      <c r="L7342" s="105"/>
      <c r="M7342" s="105"/>
      <c r="N7342" s="105"/>
      <c r="O7342" s="105"/>
      <c r="P7342" s="159"/>
      <c r="Q7342" s="159"/>
      <c r="R7342" s="160"/>
      <c r="S7342" s="158"/>
      <c r="T7342" s="161"/>
      <c r="U7342" s="158"/>
      <c r="V7342" s="160"/>
    </row>
    <row r="7343" spans="5:22" x14ac:dyDescent="0.25">
      <c r="E7343" s="157"/>
      <c r="F7343" s="157"/>
      <c r="L7343" s="105"/>
      <c r="M7343" s="105"/>
      <c r="N7343" s="105"/>
      <c r="O7343" s="105"/>
      <c r="P7343" s="159"/>
      <c r="Q7343" s="159"/>
      <c r="R7343" s="160"/>
      <c r="S7343" s="158"/>
      <c r="T7343" s="161"/>
      <c r="U7343" s="158"/>
      <c r="V7343" s="160"/>
    </row>
    <row r="7344" spans="5:22" x14ac:dyDescent="0.25">
      <c r="E7344" s="157"/>
      <c r="F7344" s="157"/>
      <c r="L7344" s="105"/>
      <c r="M7344" s="105"/>
      <c r="N7344" s="105"/>
      <c r="O7344" s="105"/>
      <c r="P7344" s="159"/>
      <c r="Q7344" s="159"/>
      <c r="R7344" s="160"/>
      <c r="S7344" s="158"/>
      <c r="T7344" s="161"/>
      <c r="U7344" s="158"/>
      <c r="V7344" s="160"/>
    </row>
    <row r="7345" spans="5:22" x14ac:dyDescent="0.25">
      <c r="E7345" s="157"/>
      <c r="F7345" s="157"/>
      <c r="L7345" s="105"/>
      <c r="M7345" s="105"/>
      <c r="N7345" s="105"/>
      <c r="O7345" s="105"/>
      <c r="P7345" s="159"/>
      <c r="Q7345" s="159"/>
      <c r="R7345" s="160"/>
      <c r="S7345" s="158"/>
      <c r="T7345" s="161"/>
      <c r="U7345" s="158"/>
      <c r="V7345" s="160"/>
    </row>
    <row r="7346" spans="5:22" x14ac:dyDescent="0.25">
      <c r="E7346" s="157"/>
      <c r="F7346" s="157"/>
      <c r="L7346" s="105"/>
      <c r="M7346" s="105"/>
      <c r="N7346" s="105"/>
      <c r="O7346" s="105"/>
      <c r="P7346" s="159"/>
      <c r="Q7346" s="159"/>
      <c r="R7346" s="160"/>
      <c r="S7346" s="158"/>
      <c r="T7346" s="161"/>
      <c r="U7346" s="158"/>
      <c r="V7346" s="160"/>
    </row>
    <row r="7347" spans="5:22" x14ac:dyDescent="0.25">
      <c r="E7347" s="157"/>
      <c r="F7347" s="157"/>
      <c r="L7347" s="105"/>
      <c r="M7347" s="105"/>
      <c r="N7347" s="105"/>
      <c r="O7347" s="105"/>
      <c r="P7347" s="159"/>
      <c r="Q7347" s="159"/>
      <c r="R7347" s="160"/>
      <c r="S7347" s="158"/>
      <c r="T7347" s="161"/>
      <c r="U7347" s="158"/>
      <c r="V7347" s="160"/>
    </row>
    <row r="7348" spans="5:22" x14ac:dyDescent="0.25">
      <c r="E7348" s="157"/>
      <c r="F7348" s="157"/>
      <c r="L7348" s="105"/>
      <c r="M7348" s="105"/>
      <c r="N7348" s="105"/>
      <c r="O7348" s="105"/>
      <c r="P7348" s="159"/>
      <c r="Q7348" s="159"/>
      <c r="R7348" s="160"/>
      <c r="S7348" s="158"/>
      <c r="T7348" s="161"/>
      <c r="U7348" s="158"/>
      <c r="V7348" s="160"/>
    </row>
    <row r="7349" spans="5:22" x14ac:dyDescent="0.25">
      <c r="E7349" s="157"/>
      <c r="F7349" s="157"/>
      <c r="L7349" s="105"/>
      <c r="M7349" s="105"/>
      <c r="N7349" s="105"/>
      <c r="O7349" s="105"/>
      <c r="P7349" s="159"/>
      <c r="Q7349" s="159"/>
      <c r="R7349" s="160"/>
      <c r="S7349" s="158"/>
      <c r="T7349" s="161"/>
      <c r="U7349" s="158"/>
      <c r="V7349" s="160"/>
    </row>
    <row r="7350" spans="5:22" x14ac:dyDescent="0.25">
      <c r="E7350" s="157"/>
      <c r="F7350" s="157"/>
      <c r="L7350" s="105"/>
      <c r="M7350" s="105"/>
      <c r="N7350" s="105"/>
      <c r="O7350" s="105"/>
      <c r="P7350" s="159"/>
      <c r="Q7350" s="159"/>
      <c r="R7350" s="160"/>
      <c r="S7350" s="158"/>
      <c r="T7350" s="161"/>
      <c r="U7350" s="158"/>
      <c r="V7350" s="160"/>
    </row>
    <row r="7351" spans="5:22" x14ac:dyDescent="0.25">
      <c r="E7351" s="157"/>
      <c r="F7351" s="157"/>
      <c r="L7351" s="105"/>
      <c r="M7351" s="105"/>
      <c r="N7351" s="105"/>
      <c r="O7351" s="105"/>
      <c r="P7351" s="159"/>
      <c r="Q7351" s="159"/>
      <c r="R7351" s="160"/>
      <c r="S7351" s="158"/>
      <c r="T7351" s="161"/>
      <c r="U7351" s="158"/>
      <c r="V7351" s="160"/>
    </row>
    <row r="7352" spans="5:22" x14ac:dyDescent="0.25">
      <c r="E7352" s="157"/>
      <c r="F7352" s="157"/>
      <c r="L7352" s="105"/>
      <c r="M7352" s="105"/>
      <c r="N7352" s="105"/>
      <c r="O7352" s="105"/>
      <c r="P7352" s="159"/>
      <c r="Q7352" s="159"/>
      <c r="R7352" s="160"/>
      <c r="S7352" s="158"/>
      <c r="T7352" s="161"/>
      <c r="U7352" s="158"/>
      <c r="V7352" s="160"/>
    </row>
    <row r="7353" spans="5:22" x14ac:dyDescent="0.25">
      <c r="E7353" s="157"/>
      <c r="F7353" s="157"/>
      <c r="L7353" s="105"/>
      <c r="M7353" s="105"/>
      <c r="N7353" s="105"/>
      <c r="O7353" s="105"/>
      <c r="P7353" s="159"/>
      <c r="Q7353" s="159"/>
      <c r="R7353" s="160"/>
      <c r="S7353" s="158"/>
      <c r="T7353" s="161"/>
      <c r="U7353" s="158"/>
      <c r="V7353" s="160"/>
    </row>
    <row r="7354" spans="5:22" x14ac:dyDescent="0.25">
      <c r="E7354" s="157"/>
      <c r="F7354" s="157"/>
      <c r="L7354" s="105"/>
      <c r="M7354" s="105"/>
      <c r="N7354" s="105"/>
      <c r="O7354" s="105"/>
      <c r="P7354" s="159"/>
      <c r="Q7354" s="159"/>
      <c r="R7354" s="160"/>
      <c r="S7354" s="158"/>
      <c r="T7354" s="161"/>
      <c r="U7354" s="158"/>
      <c r="V7354" s="160"/>
    </row>
    <row r="7355" spans="5:22" x14ac:dyDescent="0.25">
      <c r="E7355" s="157"/>
      <c r="F7355" s="157"/>
      <c r="L7355" s="105"/>
      <c r="M7355" s="105"/>
      <c r="N7355" s="105"/>
      <c r="O7355" s="105"/>
      <c r="P7355" s="159"/>
      <c r="Q7355" s="159"/>
      <c r="R7355" s="160"/>
      <c r="S7355" s="158"/>
      <c r="T7355" s="161"/>
      <c r="U7355" s="158"/>
      <c r="V7355" s="160"/>
    </row>
    <row r="7356" spans="5:22" x14ac:dyDescent="0.25">
      <c r="E7356" s="157"/>
      <c r="F7356" s="157"/>
      <c r="L7356" s="105"/>
      <c r="M7356" s="105"/>
      <c r="N7356" s="105"/>
      <c r="O7356" s="105"/>
      <c r="P7356" s="159"/>
      <c r="Q7356" s="159"/>
      <c r="R7356" s="160"/>
      <c r="S7356" s="158"/>
      <c r="T7356" s="161"/>
      <c r="U7356" s="158"/>
      <c r="V7356" s="160"/>
    </row>
    <row r="7357" spans="5:22" x14ac:dyDescent="0.25">
      <c r="E7357" s="157"/>
      <c r="F7357" s="157"/>
      <c r="L7357" s="105"/>
      <c r="M7357" s="105"/>
      <c r="N7357" s="105"/>
      <c r="O7357" s="105"/>
      <c r="P7357" s="159"/>
      <c r="Q7357" s="159"/>
      <c r="R7357" s="160"/>
      <c r="S7357" s="158"/>
      <c r="T7357" s="161"/>
      <c r="U7357" s="158"/>
      <c r="V7357" s="160"/>
    </row>
    <row r="7358" spans="5:22" x14ac:dyDescent="0.25">
      <c r="E7358" s="157"/>
      <c r="F7358" s="157"/>
      <c r="L7358" s="105"/>
      <c r="M7358" s="105"/>
      <c r="N7358" s="105"/>
      <c r="O7358" s="105"/>
      <c r="P7358" s="159"/>
      <c r="Q7358" s="159"/>
      <c r="R7358" s="160"/>
      <c r="S7358" s="158"/>
      <c r="T7358" s="161"/>
      <c r="U7358" s="158"/>
      <c r="V7358" s="160"/>
    </row>
    <row r="7359" spans="5:22" x14ac:dyDescent="0.25">
      <c r="E7359" s="157"/>
      <c r="F7359" s="157"/>
      <c r="L7359" s="105"/>
      <c r="M7359" s="105"/>
      <c r="N7359" s="105"/>
      <c r="O7359" s="105"/>
      <c r="P7359" s="159"/>
      <c r="Q7359" s="159"/>
      <c r="R7359" s="160"/>
      <c r="S7359" s="158"/>
      <c r="T7359" s="161"/>
      <c r="U7359" s="158"/>
      <c r="V7359" s="160"/>
    </row>
    <row r="7360" spans="5:22" x14ac:dyDescent="0.25">
      <c r="E7360" s="157"/>
      <c r="F7360" s="157"/>
      <c r="L7360" s="105"/>
      <c r="M7360" s="105"/>
      <c r="N7360" s="105"/>
      <c r="O7360" s="105"/>
      <c r="P7360" s="159"/>
      <c r="Q7360" s="159"/>
      <c r="R7360" s="160"/>
      <c r="S7360" s="158"/>
      <c r="T7360" s="161"/>
      <c r="U7360" s="158"/>
      <c r="V7360" s="160"/>
    </row>
    <row r="7361" spans="5:22" x14ac:dyDescent="0.25">
      <c r="E7361" s="157"/>
      <c r="F7361" s="157"/>
      <c r="L7361" s="105"/>
      <c r="M7361" s="105"/>
      <c r="N7361" s="105"/>
      <c r="O7361" s="105"/>
      <c r="P7361" s="159"/>
      <c r="Q7361" s="159"/>
      <c r="R7361" s="160"/>
      <c r="S7361" s="158"/>
      <c r="T7361" s="161"/>
      <c r="U7361" s="158"/>
      <c r="V7361" s="160"/>
    </row>
    <row r="7362" spans="5:22" x14ac:dyDescent="0.25">
      <c r="E7362" s="157"/>
      <c r="F7362" s="157"/>
      <c r="L7362" s="105"/>
      <c r="M7362" s="105"/>
      <c r="N7362" s="105"/>
      <c r="O7362" s="105"/>
      <c r="P7362" s="159"/>
      <c r="Q7362" s="159"/>
      <c r="R7362" s="160"/>
      <c r="S7362" s="158"/>
      <c r="T7362" s="161"/>
      <c r="U7362" s="158"/>
      <c r="V7362" s="160"/>
    </row>
    <row r="7363" spans="5:22" x14ac:dyDescent="0.25">
      <c r="E7363" s="157"/>
      <c r="F7363" s="157"/>
      <c r="L7363" s="105"/>
      <c r="M7363" s="105"/>
      <c r="N7363" s="105"/>
      <c r="O7363" s="105"/>
      <c r="P7363" s="159"/>
      <c r="Q7363" s="159"/>
      <c r="R7363" s="160"/>
      <c r="S7363" s="158"/>
      <c r="T7363" s="161"/>
      <c r="U7363" s="158"/>
      <c r="V7363" s="160"/>
    </row>
    <row r="7364" spans="5:22" x14ac:dyDescent="0.25">
      <c r="E7364" s="157"/>
      <c r="F7364" s="157"/>
      <c r="L7364" s="105"/>
      <c r="M7364" s="105"/>
      <c r="N7364" s="105"/>
      <c r="O7364" s="105"/>
      <c r="P7364" s="159"/>
      <c r="Q7364" s="159"/>
      <c r="R7364" s="160"/>
      <c r="S7364" s="158"/>
      <c r="T7364" s="161"/>
      <c r="U7364" s="158"/>
      <c r="V7364" s="160"/>
    </row>
    <row r="7365" spans="5:22" x14ac:dyDescent="0.25">
      <c r="E7365" s="157"/>
      <c r="F7365" s="157"/>
      <c r="L7365" s="105"/>
      <c r="M7365" s="105"/>
      <c r="N7365" s="105"/>
      <c r="O7365" s="105"/>
      <c r="P7365" s="159"/>
      <c r="Q7365" s="159"/>
      <c r="R7365" s="160"/>
      <c r="S7365" s="158"/>
      <c r="T7365" s="161"/>
      <c r="U7365" s="158"/>
      <c r="V7365" s="160"/>
    </row>
    <row r="7366" spans="5:22" x14ac:dyDescent="0.25">
      <c r="E7366" s="157"/>
      <c r="F7366" s="157"/>
      <c r="L7366" s="105"/>
      <c r="M7366" s="105"/>
      <c r="N7366" s="105"/>
      <c r="O7366" s="105"/>
      <c r="P7366" s="159"/>
      <c r="Q7366" s="159"/>
      <c r="R7366" s="160"/>
      <c r="S7366" s="158"/>
      <c r="T7366" s="161"/>
      <c r="U7366" s="158"/>
      <c r="V7366" s="160"/>
    </row>
    <row r="7367" spans="5:22" x14ac:dyDescent="0.25">
      <c r="E7367" s="157"/>
      <c r="F7367" s="157"/>
      <c r="L7367" s="105"/>
      <c r="M7367" s="105"/>
      <c r="N7367" s="105"/>
      <c r="O7367" s="105"/>
      <c r="P7367" s="159"/>
      <c r="Q7367" s="159"/>
      <c r="R7367" s="160"/>
      <c r="S7367" s="158"/>
      <c r="T7367" s="161"/>
      <c r="U7367" s="158"/>
      <c r="V7367" s="160"/>
    </row>
    <row r="7368" spans="5:22" x14ac:dyDescent="0.25">
      <c r="E7368" s="157"/>
      <c r="F7368" s="157"/>
      <c r="L7368" s="105"/>
      <c r="M7368" s="105"/>
      <c r="N7368" s="105"/>
      <c r="O7368" s="105"/>
      <c r="P7368" s="159"/>
      <c r="Q7368" s="159"/>
      <c r="R7368" s="160"/>
      <c r="S7368" s="158"/>
      <c r="T7368" s="161"/>
      <c r="U7368" s="158"/>
      <c r="V7368" s="160"/>
    </row>
    <row r="7369" spans="5:22" x14ac:dyDescent="0.25">
      <c r="E7369" s="157"/>
      <c r="F7369" s="157"/>
      <c r="L7369" s="105"/>
      <c r="M7369" s="105"/>
      <c r="N7369" s="105"/>
      <c r="O7369" s="105"/>
      <c r="P7369" s="159"/>
      <c r="Q7369" s="159"/>
      <c r="R7369" s="160"/>
      <c r="S7369" s="158"/>
      <c r="T7369" s="161"/>
      <c r="U7369" s="158"/>
      <c r="V7369" s="160"/>
    </row>
    <row r="7370" spans="5:22" x14ac:dyDescent="0.25">
      <c r="E7370" s="157"/>
      <c r="F7370" s="157"/>
      <c r="L7370" s="105"/>
      <c r="M7370" s="105"/>
      <c r="N7370" s="105"/>
      <c r="O7370" s="105"/>
      <c r="P7370" s="159"/>
      <c r="Q7370" s="159"/>
      <c r="R7370" s="160"/>
      <c r="S7370" s="158"/>
      <c r="T7370" s="161"/>
      <c r="U7370" s="158"/>
      <c r="V7370" s="160"/>
    </row>
    <row r="7371" spans="5:22" x14ac:dyDescent="0.25">
      <c r="E7371" s="157"/>
      <c r="F7371" s="157"/>
      <c r="L7371" s="105"/>
      <c r="M7371" s="105"/>
      <c r="N7371" s="105"/>
      <c r="O7371" s="105"/>
      <c r="P7371" s="159"/>
      <c r="Q7371" s="159"/>
      <c r="R7371" s="160"/>
      <c r="S7371" s="158"/>
      <c r="T7371" s="161"/>
      <c r="U7371" s="158"/>
      <c r="V7371" s="160"/>
    </row>
    <row r="7372" spans="5:22" x14ac:dyDescent="0.25">
      <c r="E7372" s="157"/>
      <c r="F7372" s="157"/>
      <c r="L7372" s="105"/>
      <c r="M7372" s="105"/>
      <c r="N7372" s="105"/>
      <c r="O7372" s="105"/>
      <c r="P7372" s="159"/>
      <c r="Q7372" s="159"/>
      <c r="R7372" s="160"/>
      <c r="S7372" s="158"/>
      <c r="T7372" s="161"/>
      <c r="U7372" s="158"/>
      <c r="V7372" s="160"/>
    </row>
    <row r="7373" spans="5:22" x14ac:dyDescent="0.25">
      <c r="E7373" s="157"/>
      <c r="F7373" s="157"/>
      <c r="L7373" s="105"/>
      <c r="M7373" s="105"/>
      <c r="N7373" s="105"/>
      <c r="O7373" s="105"/>
      <c r="P7373" s="159"/>
      <c r="Q7373" s="159"/>
      <c r="R7373" s="160"/>
      <c r="S7373" s="158"/>
      <c r="T7373" s="161"/>
      <c r="U7373" s="158"/>
      <c r="V7373" s="160"/>
    </row>
    <row r="7374" spans="5:22" x14ac:dyDescent="0.25">
      <c r="E7374" s="157"/>
      <c r="F7374" s="157"/>
      <c r="L7374" s="105"/>
      <c r="M7374" s="105"/>
      <c r="N7374" s="105"/>
      <c r="O7374" s="105"/>
      <c r="P7374" s="159"/>
      <c r="Q7374" s="159"/>
      <c r="R7374" s="160"/>
      <c r="S7374" s="158"/>
      <c r="T7374" s="161"/>
      <c r="U7374" s="158"/>
      <c r="V7374" s="160"/>
    </row>
    <row r="7375" spans="5:22" x14ac:dyDescent="0.25">
      <c r="E7375" s="157"/>
      <c r="F7375" s="157"/>
      <c r="L7375" s="105"/>
      <c r="M7375" s="105"/>
      <c r="N7375" s="105"/>
      <c r="O7375" s="105"/>
      <c r="P7375" s="159"/>
      <c r="Q7375" s="159"/>
      <c r="R7375" s="160"/>
      <c r="S7375" s="158"/>
      <c r="T7375" s="161"/>
      <c r="U7375" s="158"/>
      <c r="V7375" s="160"/>
    </row>
    <row r="7376" spans="5:22" x14ac:dyDescent="0.25">
      <c r="E7376" s="157"/>
      <c r="F7376" s="157"/>
      <c r="L7376" s="105"/>
      <c r="M7376" s="105"/>
      <c r="N7376" s="105"/>
      <c r="O7376" s="105"/>
      <c r="P7376" s="159"/>
      <c r="Q7376" s="159"/>
      <c r="R7376" s="160"/>
      <c r="S7376" s="158"/>
      <c r="T7376" s="161"/>
      <c r="U7376" s="158"/>
      <c r="V7376" s="160"/>
    </row>
    <row r="7377" spans="5:22" x14ac:dyDescent="0.25">
      <c r="E7377" s="157"/>
      <c r="F7377" s="157"/>
      <c r="L7377" s="105"/>
      <c r="M7377" s="105"/>
      <c r="N7377" s="105"/>
      <c r="O7377" s="105"/>
      <c r="P7377" s="159"/>
      <c r="Q7377" s="159"/>
      <c r="R7377" s="160"/>
      <c r="S7377" s="158"/>
      <c r="T7377" s="161"/>
      <c r="U7377" s="158"/>
      <c r="V7377" s="160"/>
    </row>
    <row r="7378" spans="5:22" x14ac:dyDescent="0.25">
      <c r="E7378" s="157"/>
      <c r="F7378" s="157"/>
      <c r="L7378" s="105"/>
      <c r="M7378" s="105"/>
      <c r="N7378" s="105"/>
      <c r="O7378" s="105"/>
      <c r="P7378" s="159"/>
      <c r="Q7378" s="159"/>
      <c r="R7378" s="160"/>
      <c r="S7378" s="158"/>
      <c r="T7378" s="161"/>
      <c r="U7378" s="158"/>
      <c r="V7378" s="160"/>
    </row>
    <row r="7379" spans="5:22" x14ac:dyDescent="0.25">
      <c r="E7379" s="157"/>
      <c r="F7379" s="157"/>
      <c r="L7379" s="105"/>
      <c r="M7379" s="105"/>
      <c r="N7379" s="105"/>
      <c r="O7379" s="105"/>
      <c r="P7379" s="159"/>
      <c r="Q7379" s="159"/>
      <c r="R7379" s="160"/>
      <c r="S7379" s="158"/>
      <c r="T7379" s="161"/>
      <c r="U7379" s="158"/>
      <c r="V7379" s="160"/>
    </row>
    <row r="7380" spans="5:22" x14ac:dyDescent="0.25">
      <c r="E7380" s="157"/>
      <c r="F7380" s="157"/>
      <c r="L7380" s="105"/>
      <c r="M7380" s="105"/>
      <c r="N7380" s="105"/>
      <c r="O7380" s="105"/>
      <c r="P7380" s="159"/>
      <c r="Q7380" s="159"/>
      <c r="R7380" s="160"/>
      <c r="S7380" s="158"/>
      <c r="T7380" s="161"/>
      <c r="U7380" s="158"/>
      <c r="V7380" s="160"/>
    </row>
    <row r="7381" spans="5:22" x14ac:dyDescent="0.25">
      <c r="E7381" s="157"/>
      <c r="F7381" s="157"/>
      <c r="L7381" s="105"/>
      <c r="M7381" s="105"/>
      <c r="N7381" s="105"/>
      <c r="O7381" s="105"/>
      <c r="P7381" s="159"/>
      <c r="Q7381" s="159"/>
      <c r="R7381" s="160"/>
      <c r="S7381" s="158"/>
      <c r="T7381" s="161"/>
      <c r="U7381" s="158"/>
      <c r="V7381" s="160"/>
    </row>
    <row r="7382" spans="5:22" x14ac:dyDescent="0.25">
      <c r="E7382" s="157"/>
      <c r="F7382" s="157"/>
      <c r="L7382" s="105"/>
      <c r="M7382" s="105"/>
      <c r="N7382" s="105"/>
      <c r="O7382" s="105"/>
      <c r="P7382" s="159"/>
      <c r="Q7382" s="159"/>
      <c r="R7382" s="160"/>
      <c r="S7382" s="158"/>
      <c r="T7382" s="161"/>
      <c r="U7382" s="158"/>
      <c r="V7382" s="160"/>
    </row>
    <row r="7383" spans="5:22" x14ac:dyDescent="0.25">
      <c r="E7383" s="157"/>
      <c r="F7383" s="157"/>
      <c r="L7383" s="105"/>
      <c r="M7383" s="105"/>
      <c r="N7383" s="105"/>
      <c r="O7383" s="105"/>
      <c r="P7383" s="159"/>
      <c r="Q7383" s="159"/>
      <c r="R7383" s="160"/>
      <c r="S7383" s="158"/>
      <c r="T7383" s="161"/>
      <c r="U7383" s="158"/>
      <c r="V7383" s="160"/>
    </row>
    <row r="7384" spans="5:22" x14ac:dyDescent="0.25">
      <c r="E7384" s="157"/>
      <c r="F7384" s="157"/>
      <c r="L7384" s="105"/>
      <c r="M7384" s="105"/>
      <c r="N7384" s="105"/>
      <c r="O7384" s="105"/>
      <c r="P7384" s="159"/>
      <c r="Q7384" s="159"/>
      <c r="R7384" s="160"/>
      <c r="S7384" s="158"/>
      <c r="T7384" s="161"/>
      <c r="U7384" s="158"/>
      <c r="V7384" s="160"/>
    </row>
    <row r="7385" spans="5:22" x14ac:dyDescent="0.25">
      <c r="E7385" s="157"/>
      <c r="F7385" s="157"/>
      <c r="L7385" s="105"/>
      <c r="M7385" s="105"/>
      <c r="N7385" s="105"/>
      <c r="O7385" s="105"/>
      <c r="P7385" s="159"/>
      <c r="Q7385" s="159"/>
      <c r="R7385" s="160"/>
      <c r="S7385" s="158"/>
      <c r="T7385" s="161"/>
      <c r="U7385" s="158"/>
      <c r="V7385" s="160"/>
    </row>
    <row r="7386" spans="5:22" x14ac:dyDescent="0.25">
      <c r="E7386" s="157"/>
      <c r="F7386" s="157"/>
      <c r="L7386" s="105"/>
      <c r="M7386" s="105"/>
      <c r="N7386" s="105"/>
      <c r="O7386" s="105"/>
      <c r="P7386" s="159"/>
      <c r="Q7386" s="159"/>
      <c r="R7386" s="160"/>
      <c r="S7386" s="158"/>
      <c r="T7386" s="161"/>
      <c r="U7386" s="158"/>
      <c r="V7386" s="160"/>
    </row>
    <row r="7387" spans="5:22" x14ac:dyDescent="0.25">
      <c r="E7387" s="157"/>
      <c r="F7387" s="157"/>
      <c r="L7387" s="105"/>
      <c r="M7387" s="105"/>
      <c r="N7387" s="105"/>
      <c r="O7387" s="105"/>
      <c r="P7387" s="159"/>
      <c r="Q7387" s="159"/>
      <c r="R7387" s="160"/>
      <c r="S7387" s="158"/>
      <c r="T7387" s="161"/>
      <c r="U7387" s="158"/>
      <c r="V7387" s="160"/>
    </row>
    <row r="7388" spans="5:22" x14ac:dyDescent="0.25">
      <c r="E7388" s="157"/>
      <c r="F7388" s="157"/>
      <c r="L7388" s="105"/>
      <c r="M7388" s="105"/>
      <c r="N7388" s="105"/>
      <c r="O7388" s="105"/>
      <c r="P7388" s="159"/>
      <c r="Q7388" s="159"/>
      <c r="R7388" s="160"/>
      <c r="S7388" s="158"/>
      <c r="T7388" s="161"/>
      <c r="U7388" s="158"/>
      <c r="V7388" s="160"/>
    </row>
    <row r="7389" spans="5:22" x14ac:dyDescent="0.25">
      <c r="E7389" s="157"/>
      <c r="F7389" s="157"/>
      <c r="L7389" s="105"/>
      <c r="M7389" s="105"/>
      <c r="N7389" s="105"/>
      <c r="O7389" s="105"/>
      <c r="P7389" s="159"/>
      <c r="Q7389" s="159"/>
      <c r="R7389" s="160"/>
      <c r="S7389" s="158"/>
      <c r="T7389" s="161"/>
      <c r="U7389" s="158"/>
      <c r="V7389" s="160"/>
    </row>
    <row r="7390" spans="5:22" x14ac:dyDescent="0.25">
      <c r="E7390" s="157"/>
      <c r="F7390" s="157"/>
      <c r="L7390" s="105"/>
      <c r="M7390" s="105"/>
      <c r="N7390" s="105"/>
      <c r="O7390" s="105"/>
      <c r="P7390" s="159"/>
      <c r="Q7390" s="159"/>
      <c r="R7390" s="160"/>
      <c r="S7390" s="158"/>
      <c r="T7390" s="161"/>
      <c r="U7390" s="158"/>
      <c r="V7390" s="160"/>
    </row>
    <row r="7391" spans="5:22" x14ac:dyDescent="0.25">
      <c r="E7391" s="157"/>
      <c r="F7391" s="157"/>
      <c r="L7391" s="105"/>
      <c r="M7391" s="105"/>
      <c r="N7391" s="105"/>
      <c r="O7391" s="105"/>
      <c r="P7391" s="159"/>
      <c r="Q7391" s="159"/>
      <c r="R7391" s="160"/>
      <c r="S7391" s="158"/>
      <c r="T7391" s="161"/>
      <c r="U7391" s="158"/>
      <c r="V7391" s="160"/>
    </row>
    <row r="7392" spans="5:22" x14ac:dyDescent="0.25">
      <c r="E7392" s="157"/>
      <c r="F7392" s="157"/>
      <c r="L7392" s="105"/>
      <c r="M7392" s="105"/>
      <c r="N7392" s="105"/>
      <c r="O7392" s="105"/>
      <c r="P7392" s="159"/>
      <c r="Q7392" s="159"/>
      <c r="R7392" s="160"/>
      <c r="S7392" s="158"/>
      <c r="T7392" s="161"/>
      <c r="U7392" s="158"/>
      <c r="V7392" s="160"/>
    </row>
    <row r="7393" spans="5:22" x14ac:dyDescent="0.25">
      <c r="E7393" s="157"/>
      <c r="F7393" s="157"/>
      <c r="L7393" s="105"/>
      <c r="M7393" s="105"/>
      <c r="N7393" s="105"/>
      <c r="O7393" s="105"/>
      <c r="P7393" s="159"/>
      <c r="Q7393" s="159"/>
      <c r="R7393" s="160"/>
      <c r="S7393" s="158"/>
      <c r="T7393" s="161"/>
      <c r="U7393" s="158"/>
      <c r="V7393" s="160"/>
    </row>
    <row r="7394" spans="5:22" x14ac:dyDescent="0.25">
      <c r="E7394" s="157"/>
      <c r="F7394" s="157"/>
      <c r="L7394" s="105"/>
      <c r="M7394" s="105"/>
      <c r="N7394" s="105"/>
      <c r="O7394" s="105"/>
      <c r="P7394" s="159"/>
      <c r="Q7394" s="159"/>
      <c r="R7394" s="160"/>
      <c r="S7394" s="158"/>
      <c r="T7394" s="161"/>
      <c r="U7394" s="158"/>
      <c r="V7394" s="160"/>
    </row>
    <row r="7395" spans="5:22" x14ac:dyDescent="0.25">
      <c r="E7395" s="157"/>
      <c r="F7395" s="157"/>
      <c r="L7395" s="105"/>
      <c r="M7395" s="105"/>
      <c r="N7395" s="105"/>
      <c r="O7395" s="105"/>
      <c r="P7395" s="159"/>
      <c r="Q7395" s="159"/>
      <c r="R7395" s="160"/>
      <c r="S7395" s="158"/>
      <c r="T7395" s="161"/>
      <c r="U7395" s="158"/>
      <c r="V7395" s="160"/>
    </row>
    <row r="7396" spans="5:22" x14ac:dyDescent="0.25">
      <c r="E7396" s="157"/>
      <c r="F7396" s="157"/>
      <c r="L7396" s="105"/>
      <c r="M7396" s="105"/>
      <c r="N7396" s="105"/>
      <c r="O7396" s="105"/>
      <c r="P7396" s="159"/>
      <c r="Q7396" s="159"/>
      <c r="R7396" s="160"/>
      <c r="S7396" s="158"/>
      <c r="T7396" s="161"/>
      <c r="U7396" s="158"/>
      <c r="V7396" s="160"/>
    </row>
    <row r="7397" spans="5:22" x14ac:dyDescent="0.25">
      <c r="E7397" s="157"/>
      <c r="F7397" s="157"/>
      <c r="L7397" s="105"/>
      <c r="M7397" s="105"/>
      <c r="N7397" s="105"/>
      <c r="O7397" s="105"/>
      <c r="P7397" s="159"/>
      <c r="Q7397" s="159"/>
      <c r="R7397" s="160"/>
      <c r="S7397" s="158"/>
      <c r="T7397" s="161"/>
      <c r="U7397" s="158"/>
      <c r="V7397" s="160"/>
    </row>
    <row r="7398" spans="5:22" x14ac:dyDescent="0.25">
      <c r="E7398" s="157"/>
      <c r="F7398" s="157"/>
      <c r="L7398" s="105"/>
      <c r="M7398" s="105"/>
      <c r="N7398" s="105"/>
      <c r="O7398" s="105"/>
      <c r="P7398" s="159"/>
      <c r="Q7398" s="159"/>
      <c r="R7398" s="160"/>
      <c r="S7398" s="158"/>
      <c r="T7398" s="161"/>
      <c r="U7398" s="158"/>
      <c r="V7398" s="160"/>
    </row>
    <row r="7399" spans="5:22" x14ac:dyDescent="0.25">
      <c r="E7399" s="157"/>
      <c r="F7399" s="157"/>
      <c r="L7399" s="105"/>
      <c r="M7399" s="105"/>
      <c r="N7399" s="105"/>
      <c r="O7399" s="105"/>
      <c r="P7399" s="159"/>
      <c r="Q7399" s="159"/>
      <c r="R7399" s="160"/>
      <c r="S7399" s="158"/>
      <c r="T7399" s="161"/>
      <c r="U7399" s="158"/>
      <c r="V7399" s="160"/>
    </row>
    <row r="7400" spans="5:22" x14ac:dyDescent="0.25">
      <c r="E7400" s="157"/>
      <c r="F7400" s="157"/>
      <c r="L7400" s="105"/>
      <c r="M7400" s="105"/>
      <c r="N7400" s="105"/>
      <c r="O7400" s="105"/>
      <c r="P7400" s="159"/>
      <c r="Q7400" s="159"/>
      <c r="R7400" s="160"/>
      <c r="S7400" s="158"/>
      <c r="T7400" s="161"/>
      <c r="U7400" s="158"/>
      <c r="V7400" s="160"/>
    </row>
    <row r="7401" spans="5:22" x14ac:dyDescent="0.25">
      <c r="E7401" s="157"/>
      <c r="F7401" s="157"/>
      <c r="L7401" s="105"/>
      <c r="M7401" s="105"/>
      <c r="N7401" s="105"/>
      <c r="O7401" s="105"/>
      <c r="P7401" s="159"/>
      <c r="Q7401" s="159"/>
      <c r="R7401" s="160"/>
      <c r="S7401" s="158"/>
      <c r="T7401" s="161"/>
      <c r="U7401" s="158"/>
      <c r="V7401" s="160"/>
    </row>
    <row r="7402" spans="5:22" x14ac:dyDescent="0.25">
      <c r="E7402" s="157"/>
      <c r="F7402" s="157"/>
      <c r="L7402" s="105"/>
      <c r="M7402" s="105"/>
      <c r="N7402" s="105"/>
      <c r="O7402" s="105"/>
      <c r="P7402" s="159"/>
      <c r="Q7402" s="159"/>
      <c r="R7402" s="160"/>
      <c r="S7402" s="158"/>
      <c r="T7402" s="161"/>
      <c r="U7402" s="158"/>
      <c r="V7402" s="160"/>
    </row>
    <row r="7403" spans="5:22" x14ac:dyDescent="0.25">
      <c r="E7403" s="157"/>
      <c r="F7403" s="157"/>
      <c r="L7403" s="105"/>
      <c r="M7403" s="105"/>
      <c r="N7403" s="105"/>
      <c r="O7403" s="105"/>
      <c r="P7403" s="159"/>
      <c r="Q7403" s="159"/>
      <c r="R7403" s="160"/>
      <c r="S7403" s="158"/>
      <c r="T7403" s="161"/>
      <c r="U7403" s="158"/>
      <c r="V7403" s="160"/>
    </row>
    <row r="7404" spans="5:22" x14ac:dyDescent="0.25">
      <c r="E7404" s="157"/>
      <c r="F7404" s="157"/>
      <c r="L7404" s="105"/>
      <c r="M7404" s="105"/>
      <c r="N7404" s="105"/>
      <c r="O7404" s="105"/>
      <c r="P7404" s="159"/>
      <c r="Q7404" s="159"/>
      <c r="R7404" s="160"/>
      <c r="S7404" s="158"/>
      <c r="T7404" s="161"/>
      <c r="U7404" s="158"/>
      <c r="V7404" s="160"/>
    </row>
    <row r="7405" spans="5:22" x14ac:dyDescent="0.25">
      <c r="E7405" s="157"/>
      <c r="F7405" s="157"/>
      <c r="L7405" s="105"/>
      <c r="M7405" s="105"/>
      <c r="N7405" s="105"/>
      <c r="O7405" s="105"/>
      <c r="P7405" s="159"/>
      <c r="Q7405" s="159"/>
      <c r="R7405" s="160"/>
      <c r="S7405" s="158"/>
      <c r="T7405" s="161"/>
      <c r="U7405" s="158"/>
      <c r="V7405" s="160"/>
    </row>
    <row r="7406" spans="5:22" x14ac:dyDescent="0.25">
      <c r="E7406" s="157"/>
      <c r="F7406" s="157"/>
      <c r="L7406" s="105"/>
      <c r="M7406" s="105"/>
      <c r="N7406" s="105"/>
      <c r="O7406" s="105"/>
      <c r="P7406" s="159"/>
      <c r="Q7406" s="159"/>
      <c r="R7406" s="160"/>
      <c r="S7406" s="158"/>
      <c r="T7406" s="161"/>
      <c r="U7406" s="158"/>
      <c r="V7406" s="160"/>
    </row>
    <row r="7407" spans="5:22" x14ac:dyDescent="0.25">
      <c r="E7407" s="157"/>
      <c r="F7407" s="157"/>
      <c r="L7407" s="105"/>
      <c r="M7407" s="105"/>
      <c r="N7407" s="105"/>
      <c r="O7407" s="105"/>
      <c r="P7407" s="159"/>
      <c r="Q7407" s="159"/>
      <c r="R7407" s="160"/>
      <c r="S7407" s="158"/>
      <c r="T7407" s="161"/>
      <c r="U7407" s="158"/>
      <c r="V7407" s="160"/>
    </row>
    <row r="7408" spans="5:22" x14ac:dyDescent="0.25">
      <c r="E7408" s="157"/>
      <c r="F7408" s="157"/>
      <c r="L7408" s="105"/>
      <c r="M7408" s="105"/>
      <c r="N7408" s="105"/>
      <c r="O7408" s="105"/>
      <c r="P7408" s="159"/>
      <c r="Q7408" s="159"/>
      <c r="R7408" s="160"/>
      <c r="S7408" s="158"/>
      <c r="T7408" s="161"/>
      <c r="U7408" s="158"/>
      <c r="V7408" s="160"/>
    </row>
    <row r="7409" spans="5:22" x14ac:dyDescent="0.25">
      <c r="E7409" s="157"/>
      <c r="F7409" s="157"/>
      <c r="L7409" s="105"/>
      <c r="M7409" s="105"/>
      <c r="N7409" s="105"/>
      <c r="O7409" s="105"/>
      <c r="P7409" s="159"/>
      <c r="Q7409" s="159"/>
      <c r="R7409" s="160"/>
      <c r="S7409" s="158"/>
      <c r="T7409" s="161"/>
      <c r="U7409" s="158"/>
      <c r="V7409" s="160"/>
    </row>
    <row r="7410" spans="5:22" x14ac:dyDescent="0.25">
      <c r="E7410" s="157"/>
      <c r="F7410" s="157"/>
      <c r="L7410" s="105"/>
      <c r="M7410" s="105"/>
      <c r="N7410" s="105"/>
      <c r="O7410" s="105"/>
      <c r="P7410" s="159"/>
      <c r="Q7410" s="159"/>
      <c r="R7410" s="160"/>
      <c r="S7410" s="158"/>
      <c r="T7410" s="161"/>
      <c r="U7410" s="158"/>
      <c r="V7410" s="160"/>
    </row>
    <row r="7411" spans="5:22" x14ac:dyDescent="0.25">
      <c r="E7411" s="157"/>
      <c r="F7411" s="157"/>
      <c r="L7411" s="105"/>
      <c r="M7411" s="105"/>
      <c r="N7411" s="105"/>
      <c r="O7411" s="105"/>
      <c r="P7411" s="159"/>
      <c r="Q7411" s="159"/>
      <c r="R7411" s="160"/>
      <c r="S7411" s="158"/>
      <c r="T7411" s="161"/>
      <c r="U7411" s="158"/>
      <c r="V7411" s="160"/>
    </row>
    <row r="7412" spans="5:22" x14ac:dyDescent="0.25">
      <c r="E7412" s="157"/>
      <c r="F7412" s="157"/>
      <c r="L7412" s="105"/>
      <c r="M7412" s="105"/>
      <c r="N7412" s="105"/>
      <c r="O7412" s="105"/>
      <c r="P7412" s="159"/>
      <c r="Q7412" s="159"/>
      <c r="R7412" s="160"/>
      <c r="S7412" s="158"/>
      <c r="T7412" s="161"/>
      <c r="U7412" s="158"/>
      <c r="V7412" s="160"/>
    </row>
    <row r="7413" spans="5:22" x14ac:dyDescent="0.25">
      <c r="E7413" s="157"/>
      <c r="F7413" s="157"/>
      <c r="L7413" s="105"/>
      <c r="M7413" s="105"/>
      <c r="N7413" s="105"/>
      <c r="O7413" s="105"/>
      <c r="P7413" s="159"/>
      <c r="Q7413" s="159"/>
      <c r="R7413" s="160"/>
      <c r="S7413" s="158"/>
      <c r="T7413" s="161"/>
      <c r="U7413" s="158"/>
      <c r="V7413" s="160"/>
    </row>
    <row r="7414" spans="5:22" x14ac:dyDescent="0.25">
      <c r="E7414" s="157"/>
      <c r="F7414" s="157"/>
      <c r="L7414" s="105"/>
      <c r="M7414" s="105"/>
      <c r="N7414" s="105"/>
      <c r="O7414" s="105"/>
      <c r="P7414" s="159"/>
      <c r="Q7414" s="159"/>
      <c r="R7414" s="160"/>
      <c r="S7414" s="158"/>
      <c r="T7414" s="161"/>
      <c r="U7414" s="158"/>
      <c r="V7414" s="160"/>
    </row>
    <row r="7415" spans="5:22" x14ac:dyDescent="0.25">
      <c r="E7415" s="157"/>
      <c r="F7415" s="157"/>
      <c r="L7415" s="105"/>
      <c r="M7415" s="105"/>
      <c r="N7415" s="105"/>
      <c r="O7415" s="105"/>
      <c r="P7415" s="159"/>
      <c r="Q7415" s="159"/>
      <c r="R7415" s="160"/>
      <c r="S7415" s="158"/>
      <c r="T7415" s="161"/>
      <c r="U7415" s="158"/>
      <c r="V7415" s="160"/>
    </row>
    <row r="7416" spans="5:22" x14ac:dyDescent="0.25">
      <c r="E7416" s="157"/>
      <c r="F7416" s="157"/>
      <c r="L7416" s="105"/>
      <c r="M7416" s="105"/>
      <c r="N7416" s="105"/>
      <c r="O7416" s="105"/>
      <c r="P7416" s="159"/>
      <c r="Q7416" s="159"/>
      <c r="R7416" s="160"/>
      <c r="S7416" s="158"/>
      <c r="T7416" s="161"/>
      <c r="U7416" s="158"/>
      <c r="V7416" s="160"/>
    </row>
    <row r="7417" spans="5:22" x14ac:dyDescent="0.25">
      <c r="E7417" s="157"/>
      <c r="F7417" s="157"/>
      <c r="L7417" s="105"/>
      <c r="M7417" s="105"/>
      <c r="N7417" s="105"/>
      <c r="O7417" s="105"/>
      <c r="P7417" s="159"/>
      <c r="Q7417" s="159"/>
      <c r="R7417" s="160"/>
      <c r="S7417" s="158"/>
      <c r="T7417" s="161"/>
      <c r="U7417" s="158"/>
      <c r="V7417" s="160"/>
    </row>
    <row r="7418" spans="5:22" x14ac:dyDescent="0.25">
      <c r="E7418" s="157"/>
      <c r="F7418" s="157"/>
      <c r="L7418" s="105"/>
      <c r="M7418" s="105"/>
      <c r="N7418" s="105"/>
      <c r="O7418" s="105"/>
      <c r="P7418" s="159"/>
      <c r="Q7418" s="159"/>
      <c r="R7418" s="160"/>
      <c r="S7418" s="158"/>
      <c r="T7418" s="161"/>
      <c r="U7418" s="158"/>
      <c r="V7418" s="160"/>
    </row>
    <row r="7419" spans="5:22" x14ac:dyDescent="0.25">
      <c r="E7419" s="157"/>
      <c r="F7419" s="157"/>
      <c r="L7419" s="105"/>
      <c r="M7419" s="105"/>
      <c r="N7419" s="105"/>
      <c r="O7419" s="105"/>
      <c r="P7419" s="159"/>
      <c r="Q7419" s="159"/>
      <c r="R7419" s="160"/>
      <c r="S7419" s="158"/>
      <c r="T7419" s="161"/>
      <c r="U7419" s="158"/>
      <c r="V7419" s="160"/>
    </row>
    <row r="7420" spans="5:22" x14ac:dyDescent="0.25">
      <c r="E7420" s="157"/>
      <c r="F7420" s="157"/>
      <c r="L7420" s="105"/>
      <c r="M7420" s="105"/>
      <c r="N7420" s="105"/>
      <c r="O7420" s="105"/>
      <c r="P7420" s="159"/>
      <c r="Q7420" s="159"/>
      <c r="R7420" s="160"/>
      <c r="S7420" s="158"/>
      <c r="T7420" s="161"/>
      <c r="U7420" s="158"/>
      <c r="V7420" s="160"/>
    </row>
    <row r="7421" spans="5:22" x14ac:dyDescent="0.25">
      <c r="E7421" s="157"/>
      <c r="F7421" s="157"/>
      <c r="L7421" s="105"/>
      <c r="M7421" s="105"/>
      <c r="N7421" s="105"/>
      <c r="O7421" s="105"/>
      <c r="P7421" s="159"/>
      <c r="Q7421" s="159"/>
      <c r="R7421" s="160"/>
      <c r="S7421" s="158"/>
      <c r="T7421" s="161"/>
      <c r="U7421" s="158"/>
      <c r="V7421" s="160"/>
    </row>
    <row r="7422" spans="5:22" x14ac:dyDescent="0.25">
      <c r="E7422" s="157"/>
      <c r="F7422" s="157"/>
      <c r="L7422" s="105"/>
      <c r="M7422" s="105"/>
      <c r="N7422" s="105"/>
      <c r="O7422" s="105"/>
      <c r="P7422" s="159"/>
      <c r="Q7422" s="159"/>
      <c r="R7422" s="160"/>
      <c r="S7422" s="158"/>
      <c r="T7422" s="161"/>
      <c r="U7422" s="158"/>
      <c r="V7422" s="160"/>
    </row>
    <row r="7423" spans="5:22" x14ac:dyDescent="0.25">
      <c r="E7423" s="157"/>
      <c r="F7423" s="157"/>
      <c r="L7423" s="105"/>
      <c r="M7423" s="105"/>
      <c r="N7423" s="105"/>
      <c r="O7423" s="105"/>
      <c r="P7423" s="159"/>
      <c r="Q7423" s="159"/>
      <c r="R7423" s="160"/>
      <c r="S7423" s="158"/>
      <c r="T7423" s="161"/>
      <c r="U7423" s="158"/>
      <c r="V7423" s="160"/>
    </row>
    <row r="7424" spans="5:22" x14ac:dyDescent="0.25">
      <c r="E7424" s="157"/>
      <c r="F7424" s="157"/>
      <c r="L7424" s="105"/>
      <c r="M7424" s="105"/>
      <c r="N7424" s="105"/>
      <c r="O7424" s="105"/>
      <c r="P7424" s="159"/>
      <c r="Q7424" s="159"/>
      <c r="R7424" s="160"/>
      <c r="S7424" s="158"/>
      <c r="T7424" s="161"/>
      <c r="U7424" s="158"/>
      <c r="V7424" s="160"/>
    </row>
    <row r="7425" spans="5:22" x14ac:dyDescent="0.25">
      <c r="E7425" s="157"/>
      <c r="F7425" s="157"/>
      <c r="L7425" s="105"/>
      <c r="M7425" s="105"/>
      <c r="N7425" s="105"/>
      <c r="O7425" s="105"/>
      <c r="P7425" s="159"/>
      <c r="Q7425" s="159"/>
      <c r="R7425" s="160"/>
      <c r="S7425" s="158"/>
      <c r="T7425" s="161"/>
      <c r="U7425" s="158"/>
      <c r="V7425" s="160"/>
    </row>
    <row r="7426" spans="5:22" x14ac:dyDescent="0.25">
      <c r="E7426" s="157"/>
      <c r="F7426" s="157"/>
      <c r="L7426" s="105"/>
      <c r="M7426" s="105"/>
      <c r="N7426" s="105"/>
      <c r="O7426" s="105"/>
      <c r="P7426" s="159"/>
      <c r="Q7426" s="159"/>
      <c r="R7426" s="160"/>
      <c r="S7426" s="158"/>
      <c r="T7426" s="161"/>
      <c r="U7426" s="158"/>
      <c r="V7426" s="160"/>
    </row>
    <row r="7427" spans="5:22" x14ac:dyDescent="0.25">
      <c r="E7427" s="157"/>
      <c r="F7427" s="157"/>
      <c r="L7427" s="105"/>
      <c r="M7427" s="105"/>
      <c r="N7427" s="105"/>
      <c r="O7427" s="105"/>
      <c r="P7427" s="159"/>
      <c r="Q7427" s="159"/>
      <c r="R7427" s="160"/>
      <c r="S7427" s="158"/>
      <c r="T7427" s="161"/>
      <c r="U7427" s="158"/>
      <c r="V7427" s="160"/>
    </row>
    <row r="7428" spans="5:22" x14ac:dyDescent="0.25">
      <c r="E7428" s="157"/>
      <c r="F7428" s="157"/>
      <c r="L7428" s="105"/>
      <c r="M7428" s="105"/>
      <c r="N7428" s="105"/>
      <c r="O7428" s="105"/>
      <c r="P7428" s="159"/>
      <c r="Q7428" s="159"/>
      <c r="R7428" s="160"/>
      <c r="S7428" s="158"/>
      <c r="T7428" s="161"/>
      <c r="U7428" s="158"/>
      <c r="V7428" s="160"/>
    </row>
    <row r="7429" spans="5:22" x14ac:dyDescent="0.25">
      <c r="E7429" s="157"/>
      <c r="F7429" s="157"/>
      <c r="L7429" s="105"/>
      <c r="M7429" s="105"/>
      <c r="N7429" s="105"/>
      <c r="O7429" s="105"/>
      <c r="P7429" s="159"/>
      <c r="Q7429" s="159"/>
      <c r="R7429" s="160"/>
      <c r="S7429" s="158"/>
      <c r="T7429" s="161"/>
      <c r="U7429" s="158"/>
      <c r="V7429" s="160"/>
    </row>
    <row r="7430" spans="5:22" x14ac:dyDescent="0.25">
      <c r="E7430" s="157"/>
      <c r="F7430" s="157"/>
      <c r="L7430" s="105"/>
      <c r="M7430" s="105"/>
      <c r="N7430" s="105"/>
      <c r="O7430" s="105"/>
      <c r="P7430" s="159"/>
      <c r="Q7430" s="159"/>
      <c r="R7430" s="160"/>
      <c r="S7430" s="158"/>
      <c r="T7430" s="161"/>
      <c r="U7430" s="158"/>
      <c r="V7430" s="160"/>
    </row>
    <row r="7431" spans="5:22" x14ac:dyDescent="0.25">
      <c r="E7431" s="157"/>
      <c r="F7431" s="157"/>
      <c r="L7431" s="105"/>
      <c r="M7431" s="105"/>
      <c r="N7431" s="105"/>
      <c r="O7431" s="105"/>
      <c r="P7431" s="159"/>
      <c r="Q7431" s="159"/>
      <c r="R7431" s="160"/>
      <c r="S7431" s="158"/>
      <c r="T7431" s="161"/>
      <c r="U7431" s="158"/>
      <c r="V7431" s="160"/>
    </row>
    <row r="7432" spans="5:22" x14ac:dyDescent="0.25">
      <c r="E7432" s="157"/>
      <c r="F7432" s="157"/>
      <c r="L7432" s="105"/>
      <c r="M7432" s="105"/>
      <c r="N7432" s="105"/>
      <c r="O7432" s="105"/>
      <c r="P7432" s="159"/>
      <c r="Q7432" s="159"/>
      <c r="R7432" s="160"/>
      <c r="S7432" s="158"/>
      <c r="T7432" s="161"/>
      <c r="U7432" s="158"/>
      <c r="V7432" s="160"/>
    </row>
    <row r="7433" spans="5:22" x14ac:dyDescent="0.25">
      <c r="E7433" s="157"/>
      <c r="F7433" s="157"/>
      <c r="L7433" s="105"/>
      <c r="M7433" s="105"/>
      <c r="N7433" s="105"/>
      <c r="O7433" s="105"/>
      <c r="P7433" s="159"/>
      <c r="Q7433" s="159"/>
      <c r="R7433" s="160"/>
      <c r="S7433" s="158"/>
      <c r="T7433" s="161"/>
      <c r="U7433" s="158"/>
      <c r="V7433" s="160"/>
    </row>
    <row r="7434" spans="5:22" x14ac:dyDescent="0.25">
      <c r="E7434" s="157"/>
      <c r="F7434" s="157"/>
      <c r="L7434" s="105"/>
      <c r="M7434" s="105"/>
      <c r="N7434" s="105"/>
      <c r="O7434" s="105"/>
      <c r="P7434" s="159"/>
      <c r="Q7434" s="159"/>
      <c r="R7434" s="160"/>
      <c r="S7434" s="158"/>
      <c r="T7434" s="161"/>
      <c r="U7434" s="158"/>
      <c r="V7434" s="160"/>
    </row>
    <row r="7435" spans="5:22" x14ac:dyDescent="0.25">
      <c r="E7435" s="157"/>
      <c r="F7435" s="157"/>
      <c r="L7435" s="105"/>
      <c r="M7435" s="105"/>
      <c r="N7435" s="105"/>
      <c r="O7435" s="105"/>
      <c r="P7435" s="159"/>
      <c r="Q7435" s="159"/>
      <c r="R7435" s="160"/>
      <c r="S7435" s="158"/>
      <c r="T7435" s="161"/>
      <c r="U7435" s="158"/>
      <c r="V7435" s="160"/>
    </row>
    <row r="7436" spans="5:22" x14ac:dyDescent="0.25">
      <c r="E7436" s="157"/>
      <c r="F7436" s="157"/>
      <c r="L7436" s="105"/>
      <c r="M7436" s="105"/>
      <c r="N7436" s="105"/>
      <c r="O7436" s="105"/>
      <c r="P7436" s="159"/>
      <c r="Q7436" s="159"/>
      <c r="R7436" s="160"/>
      <c r="S7436" s="158"/>
      <c r="T7436" s="161"/>
      <c r="U7436" s="158"/>
      <c r="V7436" s="160"/>
    </row>
    <row r="7437" spans="5:22" x14ac:dyDescent="0.25">
      <c r="E7437" s="157"/>
      <c r="F7437" s="157"/>
      <c r="L7437" s="105"/>
      <c r="M7437" s="105"/>
      <c r="N7437" s="105"/>
      <c r="O7437" s="105"/>
      <c r="P7437" s="159"/>
      <c r="Q7437" s="159"/>
      <c r="R7437" s="160"/>
      <c r="S7437" s="158"/>
      <c r="T7437" s="161"/>
      <c r="U7437" s="158"/>
      <c r="V7437" s="160"/>
    </row>
    <row r="7438" spans="5:22" x14ac:dyDescent="0.25">
      <c r="E7438" s="157"/>
      <c r="F7438" s="157"/>
      <c r="L7438" s="105"/>
      <c r="M7438" s="105"/>
      <c r="N7438" s="105"/>
      <c r="O7438" s="105"/>
      <c r="P7438" s="159"/>
      <c r="Q7438" s="159"/>
      <c r="R7438" s="160"/>
      <c r="S7438" s="158"/>
      <c r="T7438" s="161"/>
      <c r="U7438" s="158"/>
      <c r="V7438" s="160"/>
    </row>
    <row r="7439" spans="5:22" x14ac:dyDescent="0.25">
      <c r="E7439" s="157"/>
      <c r="F7439" s="157"/>
      <c r="L7439" s="105"/>
      <c r="M7439" s="105"/>
      <c r="N7439" s="105"/>
      <c r="O7439" s="105"/>
      <c r="P7439" s="159"/>
      <c r="Q7439" s="159"/>
      <c r="R7439" s="160"/>
      <c r="S7439" s="158"/>
      <c r="T7439" s="161"/>
      <c r="U7439" s="158"/>
      <c r="V7439" s="160"/>
    </row>
    <row r="7440" spans="5:22" x14ac:dyDescent="0.25">
      <c r="E7440" s="157"/>
      <c r="F7440" s="157"/>
      <c r="L7440" s="105"/>
      <c r="M7440" s="105"/>
      <c r="N7440" s="105"/>
      <c r="O7440" s="105"/>
      <c r="P7440" s="159"/>
      <c r="Q7440" s="159"/>
      <c r="R7440" s="160"/>
      <c r="S7440" s="158"/>
      <c r="T7440" s="161"/>
      <c r="U7440" s="158"/>
      <c r="V7440" s="160"/>
    </row>
    <row r="7441" spans="5:22" x14ac:dyDescent="0.25">
      <c r="E7441" s="157"/>
      <c r="F7441" s="157"/>
      <c r="L7441" s="105"/>
      <c r="M7441" s="105"/>
      <c r="N7441" s="105"/>
      <c r="O7441" s="105"/>
      <c r="P7441" s="159"/>
      <c r="Q7441" s="159"/>
      <c r="R7441" s="160"/>
      <c r="S7441" s="158"/>
      <c r="T7441" s="161"/>
      <c r="U7441" s="158"/>
      <c r="V7441" s="160"/>
    </row>
    <row r="7442" spans="5:22" x14ac:dyDescent="0.25">
      <c r="E7442" s="157"/>
      <c r="F7442" s="157"/>
      <c r="L7442" s="105"/>
      <c r="M7442" s="105"/>
      <c r="N7442" s="105"/>
      <c r="O7442" s="105"/>
      <c r="P7442" s="159"/>
      <c r="Q7442" s="159"/>
      <c r="R7442" s="160"/>
      <c r="S7442" s="158"/>
      <c r="T7442" s="161"/>
      <c r="U7442" s="158"/>
      <c r="V7442" s="160"/>
    </row>
    <row r="7444" spans="5:22" x14ac:dyDescent="0.25">
      <c r="R7444" s="163"/>
    </row>
  </sheetData>
  <autoFilter ref="A1:W6421"/>
  <sortState ref="A2:V16144">
    <sortCondition ref="A2:A16144"/>
    <sortCondition ref="E2:E16144"/>
  </sortState>
  <pageMargins left="0.7" right="0.7" top="0.75" bottom="0.75" header="0.3" footer="0.3"/>
  <pageSetup orientation="portrait" r:id="rId1"/>
  <headerFooter>
    <oddHeader>&amp;R&amp;"Times New Roman,Bold"&amp;12Case No. 2018-00294
Attachment 2 to Response to AG-2 Question No. 5
Page &amp;P of &amp;N
Sinclair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9"/>
  <sheetViews>
    <sheetView zoomScale="85" zoomScaleNormal="85" workbookViewId="0">
      <selection activeCell="F14" sqref="F14"/>
    </sheetView>
  </sheetViews>
  <sheetFormatPr defaultColWidth="9.140625" defaultRowHeight="15" x14ac:dyDescent="0.25"/>
  <cols>
    <col min="1" max="1" width="5" style="40" customWidth="1"/>
    <col min="2" max="2" width="8" style="40" bestFit="1" customWidth="1"/>
    <col min="3" max="3" width="5.42578125" style="40" customWidth="1"/>
    <col min="4" max="4" width="8.42578125" style="40" bestFit="1" customWidth="1"/>
    <col min="5" max="5" width="8" style="40" bestFit="1" customWidth="1"/>
    <col min="6" max="9" width="9.42578125" style="40" bestFit="1" customWidth="1"/>
    <col min="10" max="10" width="18.5703125" style="40" bestFit="1" customWidth="1"/>
    <col min="11" max="11" width="8.42578125" style="40" customWidth="1"/>
    <col min="12" max="12" width="8.5703125" style="40" bestFit="1" customWidth="1"/>
    <col min="13" max="13" width="7.42578125" style="40" bestFit="1" customWidth="1"/>
    <col min="14" max="14" width="7.5703125" style="40" bestFit="1" customWidth="1"/>
    <col min="15" max="15" width="8.42578125" style="40" bestFit="1" customWidth="1"/>
    <col min="16" max="16" width="6.42578125" style="40" bestFit="1" customWidth="1"/>
    <col min="17" max="17" width="7.140625" style="40" bestFit="1" customWidth="1"/>
    <col min="18" max="18" width="6.85546875" style="40" bestFit="1" customWidth="1"/>
    <col min="19" max="19" width="6.42578125" style="40" bestFit="1" customWidth="1"/>
    <col min="20" max="20" width="7.5703125" style="40" bestFit="1" customWidth="1"/>
    <col min="21" max="21" width="6.42578125" style="40" bestFit="1" customWidth="1"/>
    <col min="22" max="22" width="9.140625" style="40"/>
    <col min="23" max="23" width="9.140625" style="89" customWidth="1"/>
    <col min="24" max="26" width="9.140625" style="40" customWidth="1"/>
    <col min="27" max="16384" width="9.140625" style="40"/>
  </cols>
  <sheetData>
    <row r="1" spans="1:26" x14ac:dyDescent="0.25">
      <c r="A1" s="210" t="s">
        <v>192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56"/>
      <c r="W1" s="76"/>
      <c r="X1" s="56"/>
      <c r="Y1" s="56"/>
      <c r="Z1" s="56"/>
    </row>
    <row r="2" spans="1:26" x14ac:dyDescent="0.25">
      <c r="A2" s="211" t="s">
        <v>4986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56"/>
      <c r="W2" s="56"/>
      <c r="X2" s="56"/>
      <c r="Y2" s="56"/>
      <c r="Z2" s="56"/>
    </row>
    <row r="3" spans="1:26" x14ac:dyDescent="0.25">
      <c r="A3" s="209" t="s">
        <v>183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56"/>
      <c r="W3" s="56"/>
      <c r="X3" s="56"/>
      <c r="Y3" s="56"/>
      <c r="Z3" s="56"/>
    </row>
    <row r="4" spans="1:26" x14ac:dyDescent="0.25">
      <c r="A4" s="209" t="s">
        <v>183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56"/>
      <c r="W4" s="56"/>
      <c r="X4" s="56"/>
      <c r="Y4" s="56"/>
      <c r="Z4" s="56"/>
    </row>
    <row r="5" spans="1:26" x14ac:dyDescent="0.25">
      <c r="A5" s="209" t="s">
        <v>4985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56"/>
      <c r="W5" s="56"/>
      <c r="X5" s="56"/>
      <c r="Y5" s="56"/>
      <c r="Z5" s="56"/>
    </row>
    <row r="6" spans="1:26" x14ac:dyDescent="0.25">
      <c r="A6" s="209" t="s">
        <v>183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56"/>
      <c r="W6" s="56"/>
      <c r="X6" s="56"/>
      <c r="Y6" s="56"/>
      <c r="Z6" s="56"/>
    </row>
    <row r="7" spans="1:26" x14ac:dyDescent="0.25">
      <c r="A7" s="209" t="s">
        <v>183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56"/>
      <c r="W7" s="56"/>
      <c r="X7" s="56"/>
      <c r="Y7" s="56"/>
      <c r="Z7" s="56"/>
    </row>
    <row r="8" spans="1:26" x14ac:dyDescent="0.25">
      <c r="A8" s="209" t="s">
        <v>192</v>
      </c>
      <c r="B8" s="209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56"/>
      <c r="W8" s="56"/>
      <c r="X8" s="56"/>
      <c r="Y8" s="56"/>
      <c r="Z8" s="56"/>
    </row>
    <row r="9" spans="1:26" x14ac:dyDescent="0.25">
      <c r="A9" s="209" t="s">
        <v>184</v>
      </c>
      <c r="B9" s="209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56"/>
      <c r="W9" s="56"/>
      <c r="X9" s="56"/>
      <c r="Y9" s="56"/>
      <c r="Z9" s="56"/>
    </row>
    <row r="10" spans="1:26" x14ac:dyDescent="0.25">
      <c r="A10" s="209" t="s">
        <v>192</v>
      </c>
      <c r="B10" s="209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56"/>
      <c r="W10" s="56"/>
      <c r="X10" s="56"/>
      <c r="Y10" s="56"/>
      <c r="Z10" s="56"/>
    </row>
    <row r="11" spans="1:26" x14ac:dyDescent="0.25">
      <c r="A11" s="67" t="str">
        <f>'Calc- Prosym Setup'!A5</f>
        <v>Brown.1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</row>
    <row r="12" spans="1:26" x14ac:dyDescent="0.25">
      <c r="A12" s="67"/>
      <c r="B12" s="57" t="s">
        <v>185</v>
      </c>
      <c r="C12" s="67" t="str">
        <f>IF(AND(I12&gt;0,J12&gt;0),"[v6]",IF(AND(I12&gt;0,J12=" "),"[v5]",IF(AND(I12=" ",J12=" "),"[v4]","[V??]")))</f>
        <v>[v6]</v>
      </c>
      <c r="D12" s="67" t="str">
        <f>"["&amp;'INP-Calc EFOR&amp;EUOR - 2019Plan'!C9&amp;"]"</f>
        <v>[2018]</v>
      </c>
      <c r="E12" s="66">
        <f>'Calc- Prosym Setup'!C8</f>
        <v>37</v>
      </c>
      <c r="F12" s="66">
        <f>'Calc- Prosym Setup'!D8</f>
        <v>74</v>
      </c>
      <c r="G12" s="66">
        <f>'Calc- Prosym Setup'!E8</f>
        <v>77</v>
      </c>
      <c r="H12" s="66">
        <f>'Calc- Prosym Setup'!F8</f>
        <v>87</v>
      </c>
      <c r="I12" s="66">
        <f>'Calc- Prosym Setup'!G8</f>
        <v>97</v>
      </c>
      <c r="J12" s="66">
        <f>'Calc- Prosym Setup'!H8</f>
        <v>107</v>
      </c>
      <c r="K12" s="67"/>
      <c r="L12" s="67"/>
      <c r="M12" s="67"/>
      <c r="N12" s="67"/>
      <c r="O12" s="67"/>
      <c r="P12" s="67"/>
      <c r="Q12" s="68"/>
      <c r="R12" s="69"/>
      <c r="S12" s="70"/>
      <c r="T12" s="67"/>
      <c r="U12" s="67"/>
    </row>
    <row r="13" spans="1:26" x14ac:dyDescent="0.25">
      <c r="A13" s="67"/>
      <c r="B13" s="57" t="s">
        <v>186</v>
      </c>
      <c r="C13" s="67" t="str">
        <f>C12</f>
        <v>[v6]</v>
      </c>
      <c r="D13" s="67" t="str">
        <f>D12</f>
        <v>[2018]</v>
      </c>
      <c r="E13" s="71">
        <f ca="1">INDEX('Calc- Prosym Setup'!$C$5:$AO$107,MATCH($A11,'Calc- Prosym Setup'!$A$5:$A$107,0)+4,MATCH(VALUE(MID($D13,2,4)),'Calc- Prosym Setup'!$C$4:$AO$4,0))</f>
        <v>1.1074801930304682E-4</v>
      </c>
      <c r="F13" s="71">
        <f ca="1">INDEX('Calc- Prosym Setup'!$C$5:$AO$107,MATCH($A11,'Calc- Prosym Setup'!$A$5:$A$107,0)+4,MATCH(VALUE(MID($D13,2,4)),'Calc- Prosym Setup'!$C$4:$AO$4,0)+'Calc- Prosym Setup'!C$7)</f>
        <v>3.3494130809611743E-2</v>
      </c>
      <c r="G13" s="71">
        <f ca="1">INDEX('Calc- Prosym Setup'!$C$5:$AO$107,MATCH($A11,'Calc- Prosym Setup'!$A$5:$A$107,0)+4,MATCH(VALUE(MID($D13,2,4)),'Calc- Prosym Setup'!$C$4:$AO$4,0)+'Calc- Prosym Setup'!D$7)</f>
        <v>9.2188794788731904E-3</v>
      </c>
      <c r="H13" s="71">
        <f ca="1">INDEX('Calc- Prosym Setup'!$C$5:$AO$107,MATCH($A11,'Calc- Prosym Setup'!$A$5:$A$107,0)+4,MATCH(VALUE(MID($D13,2,4)),'Calc- Prosym Setup'!$C$4:$AO$4,0)+'Calc- Prosym Setup'!E$7)</f>
        <v>3.0730789101994099E-2</v>
      </c>
      <c r="I13" s="71">
        <f ca="1">INDEX('Calc- Prosym Setup'!$C$5:$AO$107,MATCH($A11,'Calc- Prosym Setup'!$A$5:$A$107,0)+4,MATCH(VALUE(MID($D13,2,4)),'Calc- Prosym Setup'!$C$4:$AO$4,0)+'Calc- Prosym Setup'!F$7)</f>
        <v>1.3709533036335007E-2</v>
      </c>
      <c r="J13" s="71" t="str">
        <f ca="1">"/ADD "&amp;TEXT(INDEX('Calc- Prosym Setup'!$C$5:$AO$107,MATCH($A11,'Calc- Prosym Setup'!$A$5:$A$107,0)+4,MATCH(VALUE(MID($D13,2,4)),'Calc- Prosym Setup'!$C$4:$AO$4,0)+'Calc- Prosym Setup'!G$7),"0.0000")&amp;" @IncFOR /"</f>
        <v>/ADD 0.8477 @IncFOR /</v>
      </c>
      <c r="K13" s="67" t="str">
        <f>IF(VALUE(MID($D13,2,4))&lt;'INP-Calc EFOR&amp;EUOR - 2019Plan'!$G$9,"-"," ")</f>
        <v>-</v>
      </c>
      <c r="L13" s="63" t="s">
        <v>187</v>
      </c>
      <c r="M13" s="68">
        <f ca="1">INDEX('INP-Calc EFOR&amp;EUOR - 2019Plan'!$I$11:$M$34,MATCH(INDIRECT(ADDRESS(5+7*$W13,3,,,"Calc- Prosym Setup")),'INP-Calc EFOR&amp;EUOR - 2019Plan'!$A$11:$A$34,0),MATCH(VALUE(MID(D13,2,4)),'INP-Calc EFOR&amp;EUOR - 2019Plan'!$C$9:$G$9,0))</f>
        <v>8.5000000000000006E-2</v>
      </c>
      <c r="N13" s="64" t="s">
        <v>188</v>
      </c>
      <c r="O13" s="68">
        <f ca="1">INDEX('INP-Calc EFOR&amp;EUOR - 2019Plan'!$C$11:$G$34,MATCH(INDIRECT(ADDRESS(5+7*$W13,3,,,"Calc- Prosym Setup")),'INP-Calc EFOR&amp;EUOR - 2019Plan'!$A$11:$A$34,0),MATCH(VALUE(MID(D13,2,4)),'INP-Calc EFOR&amp;EUOR - 2019Plan'!$C$9:$G$9,0))</f>
        <v>5.7000000000000002E-2</v>
      </c>
      <c r="P13" s="64" t="s">
        <v>189</v>
      </c>
      <c r="Q13" s="68">
        <f ca="1">INDEX('INP-Calc EFOR&amp;EUOR - 2019Plan'!$U$11:$Y$34,MATCH(INDIRECT(ADDRESS(5+7*$W13,3,,,"Calc- Prosym Setup")),'INP-Calc EFOR&amp;EUOR - 2019Plan'!$A$11:$A$34,0),MATCH(VALUE(MID(D13,2,4)),'INP-Calc EFOR&amp;EUOR - 2019Plan'!$C$9:$G$9,0))</f>
        <v>3.6987512384693201E-2</v>
      </c>
      <c r="R13" s="64" t="s">
        <v>190</v>
      </c>
      <c r="S13" s="68">
        <f ca="1">INDEX('INP-Calc EFOR&amp;EUOR - 2019Plan'!$O$11:$S$34,MATCH(INDIRECT(ADDRESS(5+7*$W13,3,,,"Calc- Prosym Setup")),'INP-Calc EFOR&amp;EUOR - 2019Plan'!$A$11:$A$34,0),MATCH(VALUE(MID(D13,2,4)),'INP-Calc EFOR&amp;EUOR - 2019Plan'!$C$9:$G$9,0))</f>
        <v>2.8000000000000001E-2</v>
      </c>
      <c r="T13" s="64" t="s">
        <v>191</v>
      </c>
      <c r="U13" s="68">
        <f ca="1">INDEX('INP-Calc EFOR&amp;EUOR - 2019Plan'!$AA$11:$AE$34,MATCH(INDIRECT(ADDRESS(5+7*$W13,3,,,"Calc- Prosym Setup")),'INP-Calc EFOR&amp;EUOR - 2019Plan'!$A$11:$A$34,0),MATCH(VALUE(MID(D13,2,4)),'INP-Calc EFOR&amp;EUOR - 2019Plan'!$C$9:$G$9,0))</f>
        <v>2.0781129915421366E-2</v>
      </c>
      <c r="W13" s="89">
        <v>0</v>
      </c>
      <c r="Z13" s="106"/>
    </row>
    <row r="14" spans="1:26" x14ac:dyDescent="0.25">
      <c r="A14" s="67"/>
      <c r="B14" s="67"/>
      <c r="C14" s="67"/>
      <c r="D14" s="67" t="str">
        <f>"["&amp;'INP-Calc EFOR&amp;EUOR - 2019Plan'!D9&amp;"]"</f>
        <v>[2019]</v>
      </c>
      <c r="E14" s="71">
        <f ca="1">INDEX('Calc- Prosym Setup'!$C$5:$AO$107,MATCH($A11,'Calc- Prosym Setup'!$A$5:$A$107,0)+4,MATCH(VALUE(MID($D14,2,4)),'Calc- Prosym Setup'!$C$4:$AO$4,0))</f>
        <v>1.1074801930304682E-4</v>
      </c>
      <c r="F14" s="71">
        <f ca="1">INDEX('Calc- Prosym Setup'!$C$5:$AO$107,MATCH($A11,'Calc- Prosym Setup'!$A$5:$A$107,0)+4,MATCH(VALUE(MID($D14,2,4)),'Calc- Prosym Setup'!$C$4:$AO$4,0)+'Calc- Prosym Setup'!C$7)</f>
        <v>3.3494130809611743E-2</v>
      </c>
      <c r="G14" s="71">
        <f ca="1">INDEX('Calc- Prosym Setup'!$C$5:$AO$107,MATCH($A11,'Calc- Prosym Setup'!$A$5:$A$107,0)+4,MATCH(VALUE(MID($D14,2,4)),'Calc- Prosym Setup'!$C$4:$AO$4,0)+'Calc- Prosym Setup'!D$7)</f>
        <v>9.2188794788731904E-3</v>
      </c>
      <c r="H14" s="71">
        <f ca="1">INDEX('Calc- Prosym Setup'!$C$5:$AO$107,MATCH($A11,'Calc- Prosym Setup'!$A$5:$A$107,0)+4,MATCH(VALUE(MID($D14,2,4)),'Calc- Prosym Setup'!$C$4:$AO$4,0)+'Calc- Prosym Setup'!E$7)</f>
        <v>3.0730789101994099E-2</v>
      </c>
      <c r="I14" s="71">
        <f ca="1">INDEX('Calc- Prosym Setup'!$C$5:$AO$107,MATCH($A11,'Calc- Prosym Setup'!$A$5:$A$107,0)+4,MATCH(VALUE(MID($D14,2,4)),'Calc- Prosym Setup'!$C$4:$AO$4,0)+'Calc- Prosym Setup'!F$7)</f>
        <v>1.3709533036335007E-2</v>
      </c>
      <c r="J14" s="71" t="str">
        <f ca="1">"/ADD "&amp;TEXT(INDEX('Calc- Prosym Setup'!$C$5:$AO$107,MATCH($A11,'Calc- Prosym Setup'!$A$5:$A$107,0)+4,MATCH(VALUE(MID($D14,2,4)),'Calc- Prosym Setup'!$C$4:$AO$4,0)+'Calc- Prosym Setup'!G$7),"0.0000")&amp;" @IncFOR /"</f>
        <v>/ADD 0.8477 @IncFOR /</v>
      </c>
      <c r="K14" s="67" t="str">
        <f>IF(VALUE(MID($D14,2,4))&lt;'INP-Calc EFOR&amp;EUOR - 2019Plan'!$G$9,"-"," ")</f>
        <v>-</v>
      </c>
      <c r="L14" s="63" t="s">
        <v>187</v>
      </c>
      <c r="M14" s="68">
        <f ca="1">INDEX('INP-Calc EFOR&amp;EUOR - 2019Plan'!$I$11:$M$34,MATCH(INDIRECT(ADDRESS(5+7*$W14,3,,,"Calc- Prosym Setup")),'INP-Calc EFOR&amp;EUOR - 2019Plan'!$A$11:$A$34,0),MATCH(VALUE(MID(D14,2,4)),'INP-Calc EFOR&amp;EUOR - 2019Plan'!$C$9:$G$9,0))</f>
        <v>8.5000000000000006E-2</v>
      </c>
      <c r="N14" s="64" t="s">
        <v>188</v>
      </c>
      <c r="O14" s="68">
        <f ca="1">INDEX('INP-Calc EFOR&amp;EUOR - 2019Plan'!$C$11:$G$34,MATCH(INDIRECT(ADDRESS(5+7*$W14,3,,,"Calc- Prosym Setup")),'INP-Calc EFOR&amp;EUOR - 2019Plan'!$A$11:$A$34,0),MATCH(VALUE(MID(D14,2,4)),'INP-Calc EFOR&amp;EUOR - 2019Plan'!$C$9:$G$9,0))</f>
        <v>5.7000000000000002E-2</v>
      </c>
      <c r="P14" s="64" t="s">
        <v>189</v>
      </c>
      <c r="Q14" s="68">
        <f ca="1">INDEX('INP-Calc EFOR&amp;EUOR - 2019Plan'!$U$11:$Y$34,MATCH(INDIRECT(ADDRESS(5+7*$W14,3,,,"Calc- Prosym Setup")),'INP-Calc EFOR&amp;EUOR - 2019Plan'!$A$11:$A$34,0),MATCH(VALUE(MID(D14,2,4)),'INP-Calc EFOR&amp;EUOR - 2019Plan'!$C$9:$G$9,0))</f>
        <v>3.6987512384693201E-2</v>
      </c>
      <c r="R14" s="64" t="s">
        <v>190</v>
      </c>
      <c r="S14" s="68">
        <f ca="1">INDEX('INP-Calc EFOR&amp;EUOR - 2019Plan'!$O$11:$S$34,MATCH(INDIRECT(ADDRESS(5+7*$W14,3,,,"Calc- Prosym Setup")),'INP-Calc EFOR&amp;EUOR - 2019Plan'!$A$11:$A$34,0),MATCH(VALUE(MID(D14,2,4)),'INP-Calc EFOR&amp;EUOR - 2019Plan'!$C$9:$G$9,0))</f>
        <v>2.8000000000000001E-2</v>
      </c>
      <c r="T14" s="64" t="s">
        <v>191</v>
      </c>
      <c r="U14" s="68">
        <f ca="1">INDEX('INP-Calc EFOR&amp;EUOR - 2019Plan'!$AA$11:$AE$34,MATCH(INDIRECT(ADDRESS(5+7*$W14,3,,,"Calc- Prosym Setup")),'INP-Calc EFOR&amp;EUOR - 2019Plan'!$A$11:$A$34,0),MATCH(VALUE(MID(D14,2,4)),'INP-Calc EFOR&amp;EUOR - 2019Plan'!$C$9:$G$9,0))</f>
        <v>2.0781129915421366E-2</v>
      </c>
      <c r="W14" s="89">
        <f>W13</f>
        <v>0</v>
      </c>
      <c r="Z14" s="106"/>
    </row>
    <row r="15" spans="1:26" x14ac:dyDescent="0.25">
      <c r="A15" s="67"/>
      <c r="B15" s="67"/>
      <c r="C15" s="67"/>
      <c r="D15" s="67" t="str">
        <f>"["&amp;'INP-Calc EFOR&amp;EUOR - 2019Plan'!E9&amp;"]"</f>
        <v>[2020]</v>
      </c>
      <c r="E15" s="71">
        <f ca="1">INDEX('Calc- Prosym Setup'!$C$5:$AO$107,MATCH($A11,'Calc- Prosym Setup'!$A$5:$A$107,0)+4,MATCH(VALUE(MID($D15,2,4)),'Calc- Prosym Setup'!$C$4:$AO$4,0))</f>
        <v>1.1074801930304682E-4</v>
      </c>
      <c r="F15" s="71">
        <f ca="1">INDEX('Calc- Prosym Setup'!$C$5:$AO$107,MATCH($A11,'Calc- Prosym Setup'!$A$5:$A$107,0)+4,MATCH(VALUE(MID($D15,2,4)),'Calc- Prosym Setup'!$C$4:$AO$4,0)+'Calc- Prosym Setup'!C$7)</f>
        <v>3.3494130809611743E-2</v>
      </c>
      <c r="G15" s="71">
        <f ca="1">INDEX('Calc- Prosym Setup'!$C$5:$AO$107,MATCH($A11,'Calc- Prosym Setup'!$A$5:$A$107,0)+4,MATCH(VALUE(MID($D15,2,4)),'Calc- Prosym Setup'!$C$4:$AO$4,0)+'Calc- Prosym Setup'!D$7)</f>
        <v>9.2188794788731904E-3</v>
      </c>
      <c r="H15" s="71">
        <f ca="1">INDEX('Calc- Prosym Setup'!$C$5:$AO$107,MATCH($A11,'Calc- Prosym Setup'!$A$5:$A$107,0)+4,MATCH(VALUE(MID($D15,2,4)),'Calc- Prosym Setup'!$C$4:$AO$4,0)+'Calc- Prosym Setup'!E$7)</f>
        <v>3.0730789101994099E-2</v>
      </c>
      <c r="I15" s="71">
        <f ca="1">INDEX('Calc- Prosym Setup'!$C$5:$AO$107,MATCH($A11,'Calc- Prosym Setup'!$A$5:$A$107,0)+4,MATCH(VALUE(MID($D15,2,4)),'Calc- Prosym Setup'!$C$4:$AO$4,0)+'Calc- Prosym Setup'!F$7)</f>
        <v>1.3709533036335007E-2</v>
      </c>
      <c r="J15" s="71" t="str">
        <f ca="1">"/ADD "&amp;TEXT(INDEX('Calc- Prosym Setup'!$C$5:$AO$107,MATCH($A11,'Calc- Prosym Setup'!$A$5:$A$107,0)+4,MATCH(VALUE(MID($D15,2,4)),'Calc- Prosym Setup'!$C$4:$AO$4,0)+'Calc- Prosym Setup'!G$7),"0.0000")&amp;" @IncFOR /"</f>
        <v>/ADD 0.8477 @IncFOR /</v>
      </c>
      <c r="K15" s="67" t="str">
        <f>IF(VALUE(MID($D15,2,4))&lt;'INP-Calc EFOR&amp;EUOR - 2019Plan'!$G$9,"-"," ")</f>
        <v>-</v>
      </c>
      <c r="L15" s="63" t="s">
        <v>187</v>
      </c>
      <c r="M15" s="68">
        <f ca="1">INDEX('INP-Calc EFOR&amp;EUOR - 2019Plan'!$I$11:$M$34,MATCH(INDIRECT(ADDRESS(5+7*$W15,3,,,"Calc- Prosym Setup")),'INP-Calc EFOR&amp;EUOR - 2019Plan'!$A$11:$A$34,0),MATCH(VALUE(MID(D15,2,4)),'INP-Calc EFOR&amp;EUOR - 2019Plan'!$C$9:$G$9,0))</f>
        <v>8.5000000000000006E-2</v>
      </c>
      <c r="N15" s="64" t="s">
        <v>188</v>
      </c>
      <c r="O15" s="68">
        <f ca="1">INDEX('INP-Calc EFOR&amp;EUOR - 2019Plan'!$C$11:$G$34,MATCH(INDIRECT(ADDRESS(5+7*$W15,3,,,"Calc- Prosym Setup")),'INP-Calc EFOR&amp;EUOR - 2019Plan'!$A$11:$A$34,0),MATCH(VALUE(MID(D15,2,4)),'INP-Calc EFOR&amp;EUOR - 2019Plan'!$C$9:$G$9,0))</f>
        <v>5.7000000000000002E-2</v>
      </c>
      <c r="P15" s="64" t="s">
        <v>189</v>
      </c>
      <c r="Q15" s="68">
        <f ca="1">INDEX('INP-Calc EFOR&amp;EUOR - 2019Plan'!$U$11:$Y$34,MATCH(INDIRECT(ADDRESS(5+7*$W15,3,,,"Calc- Prosym Setup")),'INP-Calc EFOR&amp;EUOR - 2019Plan'!$A$11:$A$34,0),MATCH(VALUE(MID(D15,2,4)),'INP-Calc EFOR&amp;EUOR - 2019Plan'!$C$9:$G$9,0))</f>
        <v>3.6987512384693201E-2</v>
      </c>
      <c r="R15" s="64" t="s">
        <v>190</v>
      </c>
      <c r="S15" s="68">
        <f ca="1">INDEX('INP-Calc EFOR&amp;EUOR - 2019Plan'!$O$11:$S$34,MATCH(INDIRECT(ADDRESS(5+7*$W15,3,,,"Calc- Prosym Setup")),'INP-Calc EFOR&amp;EUOR - 2019Plan'!$A$11:$A$34,0),MATCH(VALUE(MID(D15,2,4)),'INP-Calc EFOR&amp;EUOR - 2019Plan'!$C$9:$G$9,0))</f>
        <v>2.8000000000000001E-2</v>
      </c>
      <c r="T15" s="64" t="s">
        <v>191</v>
      </c>
      <c r="U15" s="68">
        <f ca="1">INDEX('INP-Calc EFOR&amp;EUOR - 2019Plan'!$AA$11:$AE$34,MATCH(INDIRECT(ADDRESS(5+7*$W15,3,,,"Calc- Prosym Setup")),'INP-Calc EFOR&amp;EUOR - 2019Plan'!$A$11:$A$34,0),MATCH(VALUE(MID(D15,2,4)),'INP-Calc EFOR&amp;EUOR - 2019Plan'!$C$9:$G$9,0))</f>
        <v>2.0781129915421366E-2</v>
      </c>
      <c r="W15" s="89">
        <f t="shared" ref="W15:W17" si="0">W14</f>
        <v>0</v>
      </c>
      <c r="Z15" s="106"/>
    </row>
    <row r="16" spans="1:26" x14ac:dyDescent="0.25">
      <c r="A16" s="67"/>
      <c r="B16" s="67"/>
      <c r="C16" s="67"/>
      <c r="D16" s="67" t="str">
        <f>"["&amp;'INP-Calc EFOR&amp;EUOR - 2019Plan'!F9&amp;"]"</f>
        <v>[2021]</v>
      </c>
      <c r="E16" s="71">
        <f ca="1">INDEX('Calc- Prosym Setup'!$C$5:$AO$107,MATCH($A11,'Calc- Prosym Setup'!$A$5:$A$107,0)+4,MATCH(VALUE(MID($D16,2,4)),'Calc- Prosym Setup'!$C$4:$AO$4,0))</f>
        <v>1.1074801930304682E-4</v>
      </c>
      <c r="F16" s="71">
        <f ca="1">INDEX('Calc- Prosym Setup'!$C$5:$AO$107,MATCH($A11,'Calc- Prosym Setup'!$A$5:$A$107,0)+4,MATCH(VALUE(MID($D16,2,4)),'Calc- Prosym Setup'!$C$4:$AO$4,0)+'Calc- Prosym Setup'!C$7)</f>
        <v>3.3494130809611743E-2</v>
      </c>
      <c r="G16" s="71">
        <f ca="1">INDEX('Calc- Prosym Setup'!$C$5:$AO$107,MATCH($A11,'Calc- Prosym Setup'!$A$5:$A$107,0)+4,MATCH(VALUE(MID($D16,2,4)),'Calc- Prosym Setup'!$C$4:$AO$4,0)+'Calc- Prosym Setup'!D$7)</f>
        <v>9.2188794788731904E-3</v>
      </c>
      <c r="H16" s="71">
        <f ca="1">INDEX('Calc- Prosym Setup'!$C$5:$AO$107,MATCH($A11,'Calc- Prosym Setup'!$A$5:$A$107,0)+4,MATCH(VALUE(MID($D16,2,4)),'Calc- Prosym Setup'!$C$4:$AO$4,0)+'Calc- Prosym Setup'!E$7)</f>
        <v>3.0730789101994099E-2</v>
      </c>
      <c r="I16" s="71">
        <f ca="1">INDEX('Calc- Prosym Setup'!$C$5:$AO$107,MATCH($A11,'Calc- Prosym Setup'!$A$5:$A$107,0)+4,MATCH(VALUE(MID($D16,2,4)),'Calc- Prosym Setup'!$C$4:$AO$4,0)+'Calc- Prosym Setup'!F$7)</f>
        <v>1.3709533036335007E-2</v>
      </c>
      <c r="J16" s="71" t="str">
        <f ca="1">"/ADD "&amp;TEXT(INDEX('Calc- Prosym Setup'!$C$5:$AO$107,MATCH($A11,'Calc- Prosym Setup'!$A$5:$A$107,0)+4,MATCH(VALUE(MID($D16,2,4)),'Calc- Prosym Setup'!$C$4:$AO$4,0)+'Calc- Prosym Setup'!G$7),"0.0000")&amp;" @IncFOR /"</f>
        <v>/ADD 0.8477 @IncFOR /</v>
      </c>
      <c r="K16" s="67" t="str">
        <f>IF(VALUE(MID($D16,2,4))&lt;'INP-Calc EFOR&amp;EUOR - 2019Plan'!$G$9,"-"," ")</f>
        <v>-</v>
      </c>
      <c r="L16" s="63" t="s">
        <v>187</v>
      </c>
      <c r="M16" s="68">
        <f ca="1">INDEX('INP-Calc EFOR&amp;EUOR - 2019Plan'!$I$11:$M$34,MATCH(INDIRECT(ADDRESS(5+7*$W16,3,,,"Calc- Prosym Setup")),'INP-Calc EFOR&amp;EUOR - 2019Plan'!$A$11:$A$34,0),MATCH(VALUE(MID(D16,2,4)),'INP-Calc EFOR&amp;EUOR - 2019Plan'!$C$9:$G$9,0))</f>
        <v>8.5000000000000006E-2</v>
      </c>
      <c r="N16" s="64" t="s">
        <v>188</v>
      </c>
      <c r="O16" s="68">
        <f ca="1">INDEX('INP-Calc EFOR&amp;EUOR - 2019Plan'!$C$11:$G$34,MATCH(INDIRECT(ADDRESS(5+7*$W16,3,,,"Calc- Prosym Setup")),'INP-Calc EFOR&amp;EUOR - 2019Plan'!$A$11:$A$34,0),MATCH(VALUE(MID(D16,2,4)),'INP-Calc EFOR&amp;EUOR - 2019Plan'!$C$9:$G$9,0))</f>
        <v>5.7000000000000002E-2</v>
      </c>
      <c r="P16" s="64" t="s">
        <v>189</v>
      </c>
      <c r="Q16" s="68">
        <f ca="1">INDEX('INP-Calc EFOR&amp;EUOR - 2019Plan'!$U$11:$Y$34,MATCH(INDIRECT(ADDRESS(5+7*$W16,3,,,"Calc- Prosym Setup")),'INP-Calc EFOR&amp;EUOR - 2019Plan'!$A$11:$A$34,0),MATCH(VALUE(MID(D16,2,4)),'INP-Calc EFOR&amp;EUOR - 2019Plan'!$C$9:$G$9,0))</f>
        <v>3.6987512384693201E-2</v>
      </c>
      <c r="R16" s="64" t="s">
        <v>190</v>
      </c>
      <c r="S16" s="68">
        <f ca="1">INDEX('INP-Calc EFOR&amp;EUOR - 2019Plan'!$O$11:$S$34,MATCH(INDIRECT(ADDRESS(5+7*$W16,3,,,"Calc- Prosym Setup")),'INP-Calc EFOR&amp;EUOR - 2019Plan'!$A$11:$A$34,0),MATCH(VALUE(MID(D16,2,4)),'INP-Calc EFOR&amp;EUOR - 2019Plan'!$C$9:$G$9,0))</f>
        <v>2.8000000000000001E-2</v>
      </c>
      <c r="T16" s="64" t="s">
        <v>191</v>
      </c>
      <c r="U16" s="68">
        <f ca="1">INDEX('INP-Calc EFOR&amp;EUOR - 2019Plan'!$AA$11:$AE$34,MATCH(INDIRECT(ADDRESS(5+7*$W16,3,,,"Calc- Prosym Setup")),'INP-Calc EFOR&amp;EUOR - 2019Plan'!$A$11:$A$34,0),MATCH(VALUE(MID(D16,2,4)),'INP-Calc EFOR&amp;EUOR - 2019Plan'!$C$9:$G$9,0))</f>
        <v>2.0781129915421366E-2</v>
      </c>
      <c r="W16" s="89">
        <f t="shared" si="0"/>
        <v>0</v>
      </c>
      <c r="Z16" s="106"/>
    </row>
    <row r="17" spans="1:23" x14ac:dyDescent="0.25">
      <c r="A17" s="72"/>
      <c r="B17" s="72"/>
      <c r="C17" s="72"/>
      <c r="D17" s="72" t="str">
        <f>"["&amp;'INP-Calc EFOR&amp;EUOR - 2019Plan'!G9&amp;"]"</f>
        <v>[2022]</v>
      </c>
      <c r="E17" s="88">
        <f ca="1">INDEX('Calc- Prosym Setup'!$C$5:$AO$107,MATCH($A11,'Calc- Prosym Setup'!$A$5:$A$107,0)+4,MATCH(VALUE(MID($D17,2,4)),'Calc- Prosym Setup'!$C$4:$AO$4,0))</f>
        <v>1.1074801930304682E-4</v>
      </c>
      <c r="F17" s="88">
        <f ca="1">INDEX('Calc- Prosym Setup'!$C$5:$AO$107,MATCH($A11,'Calc- Prosym Setup'!$A$5:$A$107,0)+4,MATCH(VALUE(MID($D17,2,4)),'Calc- Prosym Setup'!$C$4:$AO$4,0)+'Calc- Prosym Setup'!C$7)</f>
        <v>3.3494130809611743E-2</v>
      </c>
      <c r="G17" s="88">
        <f ca="1">INDEX('Calc- Prosym Setup'!$C$5:$AO$107,MATCH($A11,'Calc- Prosym Setup'!$A$5:$A$107,0)+4,MATCH(VALUE(MID($D17,2,4)),'Calc- Prosym Setup'!$C$4:$AO$4,0)+'Calc- Prosym Setup'!D$7)</f>
        <v>9.2188794788731904E-3</v>
      </c>
      <c r="H17" s="88">
        <f ca="1">INDEX('Calc- Prosym Setup'!$C$5:$AO$107,MATCH($A11,'Calc- Prosym Setup'!$A$5:$A$107,0)+4,MATCH(VALUE(MID($D17,2,4)),'Calc- Prosym Setup'!$C$4:$AO$4,0)+'Calc- Prosym Setup'!E$7)</f>
        <v>3.0730789101994099E-2</v>
      </c>
      <c r="I17" s="88">
        <f ca="1">INDEX('Calc- Prosym Setup'!$C$5:$AO$107,MATCH($A11,'Calc- Prosym Setup'!$A$5:$A$107,0)+4,MATCH(VALUE(MID($D17,2,4)),'Calc- Prosym Setup'!$C$4:$AO$4,0)+'Calc- Prosym Setup'!F$7)</f>
        <v>1.3709533036335007E-2</v>
      </c>
      <c r="J17" s="88" t="str">
        <f ca="1">"/ADD "&amp;TEXT(INDEX('Calc- Prosym Setup'!$C$5:$AO$107,MATCH($A11,'Calc- Prosym Setup'!$A$5:$A$107,0)+4,MATCH(VALUE(MID($D17,2,4)),'Calc- Prosym Setup'!$C$4:$AO$4,0)+'Calc- Prosym Setup'!G$7),"0.0000")&amp;" @IncFOR /"</f>
        <v>/ADD 0.8477 @IncFOR /</v>
      </c>
      <c r="K17" s="87" t="str">
        <f>IF(VALUE(MID($D17,2,4))&lt;'INP-Calc EFOR&amp;EUOR - 2019Plan'!$G$9,"-"," ")</f>
        <v xml:space="preserve"> </v>
      </c>
      <c r="L17" s="65" t="s">
        <v>187</v>
      </c>
      <c r="M17" s="74">
        <f ca="1">INDEX('INP-Calc EFOR&amp;EUOR - 2019Plan'!$I$11:$M$34,MATCH(INDIRECT(ADDRESS(5+7*$W17,3,,,"Calc- Prosym Setup")),'INP-Calc EFOR&amp;EUOR - 2019Plan'!$A$11:$A$34,0),MATCH(VALUE(MID(D17,2,4)),'INP-Calc EFOR&amp;EUOR - 2019Plan'!$C$9:$G$9,0))</f>
        <v>8.5000000000000006E-2</v>
      </c>
      <c r="N17" s="75" t="s">
        <v>188</v>
      </c>
      <c r="O17" s="74">
        <f ca="1">INDEX('INP-Calc EFOR&amp;EUOR - 2019Plan'!$C$11:$G$34,MATCH(INDIRECT(ADDRESS(5+7*$W17,3,,,"Calc- Prosym Setup")),'INP-Calc EFOR&amp;EUOR - 2019Plan'!$A$11:$A$34,0),MATCH(VALUE(MID(D17,2,4)),'INP-Calc EFOR&amp;EUOR - 2019Plan'!$C$9:$G$9,0))</f>
        <v>5.7000000000000002E-2</v>
      </c>
      <c r="P17" s="75" t="s">
        <v>189</v>
      </c>
      <c r="Q17" s="74">
        <f ca="1">INDEX('INP-Calc EFOR&amp;EUOR - 2019Plan'!$U$11:$Y$34,MATCH(INDIRECT(ADDRESS(5+7*$W17,3,,,"Calc- Prosym Setup")),'INP-Calc EFOR&amp;EUOR - 2019Plan'!$A$11:$A$34,0),MATCH(VALUE(MID(D17,2,4)),'INP-Calc EFOR&amp;EUOR - 2019Plan'!$C$9:$G$9,0))</f>
        <v>3.6987512384693201E-2</v>
      </c>
      <c r="R17" s="75" t="s">
        <v>190</v>
      </c>
      <c r="S17" s="74">
        <f ca="1">INDEX('INP-Calc EFOR&amp;EUOR - 2019Plan'!$O$11:$S$34,MATCH(INDIRECT(ADDRESS(5+7*$W17,3,,,"Calc- Prosym Setup")),'INP-Calc EFOR&amp;EUOR - 2019Plan'!$A$11:$A$34,0),MATCH(VALUE(MID(D17,2,4)),'INP-Calc EFOR&amp;EUOR - 2019Plan'!$C$9:$G$9,0))</f>
        <v>2.8000000000000001E-2</v>
      </c>
      <c r="T17" s="75" t="s">
        <v>191</v>
      </c>
      <c r="U17" s="68">
        <f ca="1">INDEX('INP-Calc EFOR&amp;EUOR - 2019Plan'!$AA$11:$AE$34,MATCH(INDIRECT(ADDRESS(5+7*$W17,3,,,"Calc- Prosym Setup")),'INP-Calc EFOR&amp;EUOR - 2019Plan'!$A$11:$A$34,0),MATCH(VALUE(MID(D17,2,4)),'INP-Calc EFOR&amp;EUOR - 2019Plan'!$C$9:$G$9,0))</f>
        <v>2.0781129915421366E-2</v>
      </c>
      <c r="W17" s="89">
        <f t="shared" si="0"/>
        <v>0</v>
      </c>
    </row>
    <row r="19" spans="1:23" x14ac:dyDescent="0.25">
      <c r="A19" s="67" t="str">
        <f>'Calc- Prosym Setup'!A12</f>
        <v>Brown.2</v>
      </c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</row>
    <row r="20" spans="1:23" x14ac:dyDescent="0.25">
      <c r="A20" s="67"/>
      <c r="B20" s="57" t="s">
        <v>185</v>
      </c>
      <c r="C20" s="67" t="str">
        <f>IF(AND(I20&gt;0,J20&gt;0),"[v6]",IF(AND(I20&gt;0,J20=" "),"[v5]",IF(AND(I20=" ",J20=" "),"[v4]","[V??]")))</f>
        <v>[v6]</v>
      </c>
      <c r="D20" s="67" t="str">
        <f>D12</f>
        <v>[2018]</v>
      </c>
      <c r="E20" s="66">
        <f>'Calc- Prosym Setup'!C15</f>
        <v>64</v>
      </c>
      <c r="F20" s="66">
        <f>'Calc- Prosym Setup'!D15</f>
        <v>78</v>
      </c>
      <c r="G20" s="66">
        <f>'Calc- Prosym Setup'!E15</f>
        <v>88</v>
      </c>
      <c r="H20" s="66">
        <f>'Calc- Prosym Setup'!F15</f>
        <v>128</v>
      </c>
      <c r="I20" s="66">
        <f>'Calc- Prosym Setup'!G15</f>
        <v>148</v>
      </c>
      <c r="J20" s="66">
        <f>'Calc- Prosym Setup'!H15</f>
        <v>168</v>
      </c>
      <c r="K20" s="67"/>
      <c r="L20" s="67"/>
      <c r="M20" s="67"/>
      <c r="N20" s="67"/>
      <c r="O20" s="67"/>
      <c r="P20" s="67"/>
      <c r="Q20" s="68"/>
      <c r="R20" s="69"/>
      <c r="S20" s="70"/>
      <c r="T20" s="67"/>
      <c r="U20" s="67"/>
    </row>
    <row r="21" spans="1:23" x14ac:dyDescent="0.25">
      <c r="A21" s="67"/>
      <c r="B21" s="57" t="s">
        <v>186</v>
      </c>
      <c r="C21" s="67" t="str">
        <f>C20</f>
        <v>[v6]</v>
      </c>
      <c r="D21" s="67" t="str">
        <f>D13</f>
        <v>[2018]</v>
      </c>
      <c r="E21" s="71">
        <f ca="1">INDEX('Calc- Prosym Setup'!$C$5:$AO$107,MATCH($A19,'Calc- Prosym Setup'!$A$5:$A$107,0)+4,MATCH(VALUE(MID($D21,2,4)),'Calc- Prosym Setup'!$C$4:$AO$4,0))</f>
        <v>1.9984446531300576E-2</v>
      </c>
      <c r="F21" s="71">
        <f ca="1">INDEX('Calc- Prosym Setup'!$C$5:$AO$107,MATCH($A19,'Calc- Prosym Setup'!$A$5:$A$107,0)+4,MATCH(VALUE(MID($D21,2,4)),'Calc- Prosym Setup'!$C$4:$AO$4,0)+'Calc- Prosym Setup'!C$7)</f>
        <v>7.7944794398775912E-4</v>
      </c>
      <c r="G21" s="71">
        <f ca="1">INDEX('Calc- Prosym Setup'!$C$5:$AO$107,MATCH($A19,'Calc- Prosym Setup'!$A$5:$A$107,0)+4,MATCH(VALUE(MID($D21,2,4)),'Calc- Prosym Setup'!$C$4:$AO$4,0)+'Calc- Prosym Setup'!D$7)</f>
        <v>8.3397722403047382E-4</v>
      </c>
      <c r="H21" s="71">
        <f ca="1">INDEX('Calc- Prosym Setup'!$C$5:$AO$107,MATCH($A19,'Calc- Prosym Setup'!$A$5:$A$107,0)+4,MATCH(VALUE(MID($D21,2,4)),'Calc- Prosym Setup'!$C$4:$AO$4,0)+'Calc- Prosym Setup'!E$7)</f>
        <v>5.0466314069588065E-4</v>
      </c>
      <c r="I21" s="71">
        <f ca="1">INDEX('Calc- Prosym Setup'!$C$5:$AO$107,MATCH($A19,'Calc- Prosym Setup'!$A$5:$A$107,0)+4,MATCH(VALUE(MID($D21,2,4)),'Calc- Prosym Setup'!$C$4:$AO$4,0)+'Calc- Prosym Setup'!F$7)</f>
        <v>5.6333023080355524E-2</v>
      </c>
      <c r="J21" s="71" t="str">
        <f ca="1">"/ADD "&amp;TEXT(INDEX('Calc- Prosym Setup'!$C$5:$AO$107,MATCH($A19,'Calc- Prosym Setup'!$A$5:$A$107,0)+4,MATCH(VALUE(MID($D21,2,4)),'Calc- Prosym Setup'!$C$4:$AO$4,0)+'Calc- Prosym Setup'!G$7),"0.0000")&amp;" @IncFOR /"</f>
        <v>/ADD 0.8566 @IncFOR /</v>
      </c>
      <c r="K21" s="67" t="str">
        <f>IF(VALUE(MID($D21,2,4))&lt;'INP-Calc EFOR&amp;EUOR - 2019Plan'!$G$9,"-"," ")</f>
        <v>-</v>
      </c>
      <c r="L21" s="63" t="s">
        <v>187</v>
      </c>
      <c r="M21" s="68">
        <f ca="1">INDEX('INP-Calc EFOR&amp;EUOR - 2019Plan'!$I$11:$M$34,MATCH(INDIRECT(ADDRESS(5+7*$W21,3,,,"Calc- Prosym Setup")),'INP-Calc EFOR&amp;EUOR - 2019Plan'!$A$11:$A$34,0),MATCH(VALUE(MID(D21,2,4)),'INP-Calc EFOR&amp;EUOR - 2019Plan'!$C$9:$G$9,0))</f>
        <v>8.5000000000000006E-2</v>
      </c>
      <c r="N21" s="64" t="s">
        <v>188</v>
      </c>
      <c r="O21" s="68">
        <f ca="1">INDEX('INP-Calc EFOR&amp;EUOR - 2019Plan'!$C$11:$G$34,MATCH(INDIRECT(ADDRESS(5+7*$W21,3,,,"Calc- Prosym Setup")),'INP-Calc EFOR&amp;EUOR - 2019Plan'!$A$11:$A$34,0),MATCH(VALUE(MID(D21,2,4)),'INP-Calc EFOR&amp;EUOR - 2019Plan'!$C$9:$G$9,0))</f>
        <v>5.7000000000000002E-2</v>
      </c>
      <c r="P21" s="64" t="s">
        <v>189</v>
      </c>
      <c r="Q21" s="68">
        <f ca="1">INDEX('INP-Calc EFOR&amp;EUOR - 2019Plan'!$U$11:$Y$34,MATCH(INDIRECT(ADDRESS(5+7*$W21,3,,,"Calc- Prosym Setup")),'INP-Calc EFOR&amp;EUOR - 2019Plan'!$A$11:$A$34,0),MATCH(VALUE(MID(D21,2,4)),'INP-Calc EFOR&amp;EUOR - 2019Plan'!$C$9:$G$9,0))</f>
        <v>3.6987512384693201E-2</v>
      </c>
      <c r="R21" s="64" t="s">
        <v>190</v>
      </c>
      <c r="S21" s="68">
        <f ca="1">INDEX('INP-Calc EFOR&amp;EUOR - 2019Plan'!$O$11:$S$34,MATCH(INDIRECT(ADDRESS(5+7*$W21,3,,,"Calc- Prosym Setup")),'INP-Calc EFOR&amp;EUOR - 2019Plan'!$A$11:$A$34,0),MATCH(VALUE(MID(D21,2,4)),'INP-Calc EFOR&amp;EUOR - 2019Plan'!$C$9:$G$9,0))</f>
        <v>2.8000000000000001E-2</v>
      </c>
      <c r="T21" s="64" t="s">
        <v>191</v>
      </c>
      <c r="U21" s="68">
        <f ca="1">INDEX('INP-Calc EFOR&amp;EUOR - 2019Plan'!$AA$11:$AE$34,MATCH(INDIRECT(ADDRESS(5+7*$W21,3,,,"Calc- Prosym Setup")),'INP-Calc EFOR&amp;EUOR - 2019Plan'!$A$11:$A$34,0),MATCH(VALUE(MID(D21,2,4)),'INP-Calc EFOR&amp;EUOR - 2019Plan'!$C$9:$G$9,0))</f>
        <v>2.0781129915421366E-2</v>
      </c>
      <c r="W21" s="89">
        <f>W13+1</f>
        <v>1</v>
      </c>
    </row>
    <row r="22" spans="1:23" x14ac:dyDescent="0.25">
      <c r="A22" s="67"/>
      <c r="B22" s="67"/>
      <c r="C22" s="67"/>
      <c r="D22" s="67" t="str">
        <f>D14</f>
        <v>[2019]</v>
      </c>
      <c r="E22" s="71">
        <f ca="1">INDEX('Calc- Prosym Setup'!$C$5:$AO$107,MATCH($A19,'Calc- Prosym Setup'!$A$5:$A$107,0)+4,MATCH(VALUE(MID($D22,2,4)),'Calc- Prosym Setup'!$C$4:$AO$4,0))</f>
        <v>1.9984446531300576E-2</v>
      </c>
      <c r="F22" s="71">
        <f ca="1">INDEX('Calc- Prosym Setup'!$C$5:$AO$107,MATCH($A19,'Calc- Prosym Setup'!$A$5:$A$107,0)+4,MATCH(VALUE(MID($D22,2,4)),'Calc- Prosym Setup'!$C$4:$AO$4,0)+'Calc- Prosym Setup'!C$7)</f>
        <v>7.7944794398775912E-4</v>
      </c>
      <c r="G22" s="71">
        <f ca="1">INDEX('Calc- Prosym Setup'!$C$5:$AO$107,MATCH($A19,'Calc- Prosym Setup'!$A$5:$A$107,0)+4,MATCH(VALUE(MID($D22,2,4)),'Calc- Prosym Setup'!$C$4:$AO$4,0)+'Calc- Prosym Setup'!D$7)</f>
        <v>8.3397722403047382E-4</v>
      </c>
      <c r="H22" s="71">
        <f ca="1">INDEX('Calc- Prosym Setup'!$C$5:$AO$107,MATCH($A19,'Calc- Prosym Setup'!$A$5:$A$107,0)+4,MATCH(VALUE(MID($D22,2,4)),'Calc- Prosym Setup'!$C$4:$AO$4,0)+'Calc- Prosym Setup'!E$7)</f>
        <v>5.0466314069588065E-4</v>
      </c>
      <c r="I22" s="71">
        <f ca="1">INDEX('Calc- Prosym Setup'!$C$5:$AO$107,MATCH($A19,'Calc- Prosym Setup'!$A$5:$A$107,0)+4,MATCH(VALUE(MID($D22,2,4)),'Calc- Prosym Setup'!$C$4:$AO$4,0)+'Calc- Prosym Setup'!F$7)</f>
        <v>5.6333023080355524E-2</v>
      </c>
      <c r="J22" s="71" t="str">
        <f ca="1">"/ADD "&amp;TEXT(INDEX('Calc- Prosym Setup'!$C$5:$AO$107,MATCH($A19,'Calc- Prosym Setup'!$A$5:$A$107,0)+4,MATCH(VALUE(MID($D22,2,4)),'Calc- Prosym Setup'!$C$4:$AO$4,0)+'Calc- Prosym Setup'!G$7),"0.0000")&amp;" @IncFOR /"</f>
        <v>/ADD 0.8566 @IncFOR /</v>
      </c>
      <c r="K22" s="67" t="str">
        <f>IF(VALUE(MID($D22,2,4))&lt;'INP-Calc EFOR&amp;EUOR - 2019Plan'!$G$9,"-"," ")</f>
        <v>-</v>
      </c>
      <c r="L22" s="63" t="s">
        <v>187</v>
      </c>
      <c r="M22" s="68">
        <f ca="1">INDEX('INP-Calc EFOR&amp;EUOR - 2019Plan'!$I$11:$M$34,MATCH(INDIRECT(ADDRESS(5+7*$W22,3,,,"Calc- Prosym Setup")),'INP-Calc EFOR&amp;EUOR - 2019Plan'!$A$11:$A$34,0),MATCH(VALUE(MID(D22,2,4)),'INP-Calc EFOR&amp;EUOR - 2019Plan'!$C$9:$G$9,0))</f>
        <v>8.5000000000000006E-2</v>
      </c>
      <c r="N22" s="64" t="s">
        <v>188</v>
      </c>
      <c r="O22" s="68">
        <f ca="1">INDEX('INP-Calc EFOR&amp;EUOR - 2019Plan'!$C$11:$G$34,MATCH(INDIRECT(ADDRESS(5+7*$W22,3,,,"Calc- Prosym Setup")),'INP-Calc EFOR&amp;EUOR - 2019Plan'!$A$11:$A$34,0),MATCH(VALUE(MID(D22,2,4)),'INP-Calc EFOR&amp;EUOR - 2019Plan'!$C$9:$G$9,0))</f>
        <v>5.7000000000000002E-2</v>
      </c>
      <c r="P22" s="64" t="s">
        <v>189</v>
      </c>
      <c r="Q22" s="68">
        <f ca="1">INDEX('INP-Calc EFOR&amp;EUOR - 2019Plan'!$U$11:$Y$34,MATCH(INDIRECT(ADDRESS(5+7*$W22,3,,,"Calc- Prosym Setup")),'INP-Calc EFOR&amp;EUOR - 2019Plan'!$A$11:$A$34,0),MATCH(VALUE(MID(D22,2,4)),'INP-Calc EFOR&amp;EUOR - 2019Plan'!$C$9:$G$9,0))</f>
        <v>3.6987512384693201E-2</v>
      </c>
      <c r="R22" s="64" t="s">
        <v>190</v>
      </c>
      <c r="S22" s="68">
        <f ca="1">INDEX('INP-Calc EFOR&amp;EUOR - 2019Plan'!$O$11:$S$34,MATCH(INDIRECT(ADDRESS(5+7*$W22,3,,,"Calc- Prosym Setup")),'INP-Calc EFOR&amp;EUOR - 2019Plan'!$A$11:$A$34,0),MATCH(VALUE(MID(D22,2,4)),'INP-Calc EFOR&amp;EUOR - 2019Plan'!$C$9:$G$9,0))</f>
        <v>2.8000000000000001E-2</v>
      </c>
      <c r="T22" s="64" t="s">
        <v>191</v>
      </c>
      <c r="U22" s="68">
        <f ca="1">INDEX('INP-Calc EFOR&amp;EUOR - 2019Plan'!$AA$11:$AE$34,MATCH(INDIRECT(ADDRESS(5+7*$W22,3,,,"Calc- Prosym Setup")),'INP-Calc EFOR&amp;EUOR - 2019Plan'!$A$11:$A$34,0),MATCH(VALUE(MID(D22,2,4)),'INP-Calc EFOR&amp;EUOR - 2019Plan'!$C$9:$G$9,0))</f>
        <v>2.0781129915421366E-2</v>
      </c>
      <c r="W22" s="89">
        <f>W21</f>
        <v>1</v>
      </c>
    </row>
    <row r="23" spans="1:23" x14ac:dyDescent="0.25">
      <c r="A23" s="67"/>
      <c r="B23" s="67"/>
      <c r="C23" s="67"/>
      <c r="D23" s="67" t="str">
        <f>D15</f>
        <v>[2020]</v>
      </c>
      <c r="E23" s="71">
        <f ca="1">INDEX('Calc- Prosym Setup'!$C$5:$AO$107,MATCH($A19,'Calc- Prosym Setup'!$A$5:$A$107,0)+4,MATCH(VALUE(MID($D23,2,4)),'Calc- Prosym Setup'!$C$4:$AO$4,0))</f>
        <v>1.9984446531300576E-2</v>
      </c>
      <c r="F23" s="71">
        <f ca="1">INDEX('Calc- Prosym Setup'!$C$5:$AO$107,MATCH($A19,'Calc- Prosym Setup'!$A$5:$A$107,0)+4,MATCH(VALUE(MID($D23,2,4)),'Calc- Prosym Setup'!$C$4:$AO$4,0)+'Calc- Prosym Setup'!C$7)</f>
        <v>7.7944794398775912E-4</v>
      </c>
      <c r="G23" s="71">
        <f ca="1">INDEX('Calc- Prosym Setup'!$C$5:$AO$107,MATCH($A19,'Calc- Prosym Setup'!$A$5:$A$107,0)+4,MATCH(VALUE(MID($D23,2,4)),'Calc- Prosym Setup'!$C$4:$AO$4,0)+'Calc- Prosym Setup'!D$7)</f>
        <v>8.3397722403047382E-4</v>
      </c>
      <c r="H23" s="71">
        <f ca="1">INDEX('Calc- Prosym Setup'!$C$5:$AO$107,MATCH($A19,'Calc- Prosym Setup'!$A$5:$A$107,0)+4,MATCH(VALUE(MID($D23,2,4)),'Calc- Prosym Setup'!$C$4:$AO$4,0)+'Calc- Prosym Setup'!E$7)</f>
        <v>5.0466314069588065E-4</v>
      </c>
      <c r="I23" s="71">
        <f ca="1">INDEX('Calc- Prosym Setup'!$C$5:$AO$107,MATCH($A19,'Calc- Prosym Setup'!$A$5:$A$107,0)+4,MATCH(VALUE(MID($D23,2,4)),'Calc- Prosym Setup'!$C$4:$AO$4,0)+'Calc- Prosym Setup'!F$7)</f>
        <v>5.6333023080355524E-2</v>
      </c>
      <c r="J23" s="71" t="str">
        <f ca="1">"/ADD "&amp;TEXT(INDEX('Calc- Prosym Setup'!$C$5:$AO$107,MATCH($A19,'Calc- Prosym Setup'!$A$5:$A$107,0)+4,MATCH(VALUE(MID($D23,2,4)),'Calc- Prosym Setup'!$C$4:$AO$4,0)+'Calc- Prosym Setup'!G$7),"0.0000")&amp;" @IncFOR /"</f>
        <v>/ADD 0.8566 @IncFOR /</v>
      </c>
      <c r="K23" s="67" t="str">
        <f>IF(VALUE(MID($D23,2,4))&lt;'INP-Calc EFOR&amp;EUOR - 2019Plan'!$G$9,"-"," ")</f>
        <v>-</v>
      </c>
      <c r="L23" s="63" t="s">
        <v>187</v>
      </c>
      <c r="M23" s="68">
        <f ca="1">INDEX('INP-Calc EFOR&amp;EUOR - 2019Plan'!$I$11:$M$34,MATCH(INDIRECT(ADDRESS(5+7*$W23,3,,,"Calc- Prosym Setup")),'INP-Calc EFOR&amp;EUOR - 2019Plan'!$A$11:$A$34,0),MATCH(VALUE(MID(D23,2,4)),'INP-Calc EFOR&amp;EUOR - 2019Plan'!$C$9:$G$9,0))</f>
        <v>8.5000000000000006E-2</v>
      </c>
      <c r="N23" s="64" t="s">
        <v>188</v>
      </c>
      <c r="O23" s="68">
        <f ca="1">INDEX('INP-Calc EFOR&amp;EUOR - 2019Plan'!$C$11:$G$34,MATCH(INDIRECT(ADDRESS(5+7*$W23,3,,,"Calc- Prosym Setup")),'INP-Calc EFOR&amp;EUOR - 2019Plan'!$A$11:$A$34,0),MATCH(VALUE(MID(D23,2,4)),'INP-Calc EFOR&amp;EUOR - 2019Plan'!$C$9:$G$9,0))</f>
        <v>5.7000000000000002E-2</v>
      </c>
      <c r="P23" s="64" t="s">
        <v>189</v>
      </c>
      <c r="Q23" s="68">
        <f ca="1">INDEX('INP-Calc EFOR&amp;EUOR - 2019Plan'!$U$11:$Y$34,MATCH(INDIRECT(ADDRESS(5+7*$W23,3,,,"Calc- Prosym Setup")),'INP-Calc EFOR&amp;EUOR - 2019Plan'!$A$11:$A$34,0),MATCH(VALUE(MID(D23,2,4)),'INP-Calc EFOR&amp;EUOR - 2019Plan'!$C$9:$G$9,0))</f>
        <v>3.6987512384693201E-2</v>
      </c>
      <c r="R23" s="64" t="s">
        <v>190</v>
      </c>
      <c r="S23" s="68">
        <f ca="1">INDEX('INP-Calc EFOR&amp;EUOR - 2019Plan'!$O$11:$S$34,MATCH(INDIRECT(ADDRESS(5+7*$W23,3,,,"Calc- Prosym Setup")),'INP-Calc EFOR&amp;EUOR - 2019Plan'!$A$11:$A$34,0),MATCH(VALUE(MID(D23,2,4)),'INP-Calc EFOR&amp;EUOR - 2019Plan'!$C$9:$G$9,0))</f>
        <v>2.8000000000000001E-2</v>
      </c>
      <c r="T23" s="64" t="s">
        <v>191</v>
      </c>
      <c r="U23" s="68">
        <f ca="1">INDEX('INP-Calc EFOR&amp;EUOR - 2019Plan'!$AA$11:$AE$34,MATCH(INDIRECT(ADDRESS(5+7*$W23,3,,,"Calc- Prosym Setup")),'INP-Calc EFOR&amp;EUOR - 2019Plan'!$A$11:$A$34,0),MATCH(VALUE(MID(D23,2,4)),'INP-Calc EFOR&amp;EUOR - 2019Plan'!$C$9:$G$9,0))</f>
        <v>2.0781129915421366E-2</v>
      </c>
      <c r="W23" s="89">
        <f t="shared" ref="W23:W25" si="1">W22</f>
        <v>1</v>
      </c>
    </row>
    <row r="24" spans="1:23" x14ac:dyDescent="0.25">
      <c r="A24" s="67"/>
      <c r="B24" s="67"/>
      <c r="C24" s="67"/>
      <c r="D24" s="67" t="str">
        <f>D16</f>
        <v>[2021]</v>
      </c>
      <c r="E24" s="71">
        <f ca="1">INDEX('Calc- Prosym Setup'!$C$5:$AO$107,MATCH($A19,'Calc- Prosym Setup'!$A$5:$A$107,0)+4,MATCH(VALUE(MID($D24,2,4)),'Calc- Prosym Setup'!$C$4:$AO$4,0))</f>
        <v>1.9984446531300576E-2</v>
      </c>
      <c r="F24" s="71">
        <f ca="1">INDEX('Calc- Prosym Setup'!$C$5:$AO$107,MATCH($A19,'Calc- Prosym Setup'!$A$5:$A$107,0)+4,MATCH(VALUE(MID($D24,2,4)),'Calc- Prosym Setup'!$C$4:$AO$4,0)+'Calc- Prosym Setup'!C$7)</f>
        <v>7.7944794398775912E-4</v>
      </c>
      <c r="G24" s="71">
        <f ca="1">INDEX('Calc- Prosym Setup'!$C$5:$AO$107,MATCH($A19,'Calc- Prosym Setup'!$A$5:$A$107,0)+4,MATCH(VALUE(MID($D24,2,4)),'Calc- Prosym Setup'!$C$4:$AO$4,0)+'Calc- Prosym Setup'!D$7)</f>
        <v>8.3397722403047382E-4</v>
      </c>
      <c r="H24" s="71">
        <f ca="1">INDEX('Calc- Prosym Setup'!$C$5:$AO$107,MATCH($A19,'Calc- Prosym Setup'!$A$5:$A$107,0)+4,MATCH(VALUE(MID($D24,2,4)),'Calc- Prosym Setup'!$C$4:$AO$4,0)+'Calc- Prosym Setup'!E$7)</f>
        <v>5.0466314069588065E-4</v>
      </c>
      <c r="I24" s="71">
        <f ca="1">INDEX('Calc- Prosym Setup'!$C$5:$AO$107,MATCH($A19,'Calc- Prosym Setup'!$A$5:$A$107,0)+4,MATCH(VALUE(MID($D24,2,4)),'Calc- Prosym Setup'!$C$4:$AO$4,0)+'Calc- Prosym Setup'!F$7)</f>
        <v>5.6333023080355524E-2</v>
      </c>
      <c r="J24" s="71" t="str">
        <f ca="1">"/ADD "&amp;TEXT(INDEX('Calc- Prosym Setup'!$C$5:$AO$107,MATCH($A19,'Calc- Prosym Setup'!$A$5:$A$107,0)+4,MATCH(VALUE(MID($D24,2,4)),'Calc- Prosym Setup'!$C$4:$AO$4,0)+'Calc- Prosym Setup'!G$7),"0.0000")&amp;" @IncFOR /"</f>
        <v>/ADD 0.8566 @IncFOR /</v>
      </c>
      <c r="K24" s="67" t="str">
        <f>IF(VALUE(MID($D24,2,4))&lt;'INP-Calc EFOR&amp;EUOR - 2019Plan'!$G$9,"-"," ")</f>
        <v>-</v>
      </c>
      <c r="L24" s="63" t="s">
        <v>187</v>
      </c>
      <c r="M24" s="68">
        <f ca="1">INDEX('INP-Calc EFOR&amp;EUOR - 2019Plan'!$I$11:$M$34,MATCH(INDIRECT(ADDRESS(5+7*$W24,3,,,"Calc- Prosym Setup")),'INP-Calc EFOR&amp;EUOR - 2019Plan'!$A$11:$A$34,0),MATCH(VALUE(MID(D24,2,4)),'INP-Calc EFOR&amp;EUOR - 2019Plan'!$C$9:$G$9,0))</f>
        <v>8.5000000000000006E-2</v>
      </c>
      <c r="N24" s="64" t="s">
        <v>188</v>
      </c>
      <c r="O24" s="68">
        <f ca="1">INDEX('INP-Calc EFOR&amp;EUOR - 2019Plan'!$C$11:$G$34,MATCH(INDIRECT(ADDRESS(5+7*$W24,3,,,"Calc- Prosym Setup")),'INP-Calc EFOR&amp;EUOR - 2019Plan'!$A$11:$A$34,0),MATCH(VALUE(MID(D24,2,4)),'INP-Calc EFOR&amp;EUOR - 2019Plan'!$C$9:$G$9,0))</f>
        <v>5.7000000000000002E-2</v>
      </c>
      <c r="P24" s="64" t="s">
        <v>189</v>
      </c>
      <c r="Q24" s="68">
        <f ca="1">INDEX('INP-Calc EFOR&amp;EUOR - 2019Plan'!$U$11:$Y$34,MATCH(INDIRECT(ADDRESS(5+7*$W24,3,,,"Calc- Prosym Setup")),'INP-Calc EFOR&amp;EUOR - 2019Plan'!$A$11:$A$34,0),MATCH(VALUE(MID(D24,2,4)),'INP-Calc EFOR&amp;EUOR - 2019Plan'!$C$9:$G$9,0))</f>
        <v>3.6987512384693201E-2</v>
      </c>
      <c r="R24" s="64" t="s">
        <v>190</v>
      </c>
      <c r="S24" s="68">
        <f ca="1">INDEX('INP-Calc EFOR&amp;EUOR - 2019Plan'!$O$11:$S$34,MATCH(INDIRECT(ADDRESS(5+7*$W24,3,,,"Calc- Prosym Setup")),'INP-Calc EFOR&amp;EUOR - 2019Plan'!$A$11:$A$34,0),MATCH(VALUE(MID(D24,2,4)),'INP-Calc EFOR&amp;EUOR - 2019Plan'!$C$9:$G$9,0))</f>
        <v>2.8000000000000001E-2</v>
      </c>
      <c r="T24" s="64" t="s">
        <v>191</v>
      </c>
      <c r="U24" s="68">
        <f ca="1">INDEX('INP-Calc EFOR&amp;EUOR - 2019Plan'!$AA$11:$AE$34,MATCH(INDIRECT(ADDRESS(5+7*$W24,3,,,"Calc- Prosym Setup")),'INP-Calc EFOR&amp;EUOR - 2019Plan'!$A$11:$A$34,0),MATCH(VALUE(MID(D24,2,4)),'INP-Calc EFOR&amp;EUOR - 2019Plan'!$C$9:$G$9,0))</f>
        <v>2.0781129915421366E-2</v>
      </c>
      <c r="W24" s="89">
        <f t="shared" si="1"/>
        <v>1</v>
      </c>
    </row>
    <row r="25" spans="1:23" x14ac:dyDescent="0.25">
      <c r="A25" s="72"/>
      <c r="B25" s="72"/>
      <c r="C25" s="72"/>
      <c r="D25" s="72" t="str">
        <f t="shared" ref="D25" si="2">D17</f>
        <v>[2022]</v>
      </c>
      <c r="E25" s="88">
        <f ca="1">INDEX('Calc- Prosym Setup'!$C$5:$AO$107,MATCH($A19,'Calc- Prosym Setup'!$A$5:$A$107,0)+4,MATCH(VALUE(MID($D25,2,4)),'Calc- Prosym Setup'!$C$4:$AO$4,0))</f>
        <v>1.9984446531300576E-2</v>
      </c>
      <c r="F25" s="88">
        <f ca="1">INDEX('Calc- Prosym Setup'!$C$5:$AO$107,MATCH($A19,'Calc- Prosym Setup'!$A$5:$A$107,0)+4,MATCH(VALUE(MID($D25,2,4)),'Calc- Prosym Setup'!$C$4:$AO$4,0)+'Calc- Prosym Setup'!C$7)</f>
        <v>7.7944794398775912E-4</v>
      </c>
      <c r="G25" s="88">
        <f ca="1">INDEX('Calc- Prosym Setup'!$C$5:$AO$107,MATCH($A19,'Calc- Prosym Setup'!$A$5:$A$107,0)+4,MATCH(VALUE(MID($D25,2,4)),'Calc- Prosym Setup'!$C$4:$AO$4,0)+'Calc- Prosym Setup'!D$7)</f>
        <v>8.3397722403047382E-4</v>
      </c>
      <c r="H25" s="88">
        <f ca="1">INDEX('Calc- Prosym Setup'!$C$5:$AO$107,MATCH($A19,'Calc- Prosym Setup'!$A$5:$A$107,0)+4,MATCH(VALUE(MID($D25,2,4)),'Calc- Prosym Setup'!$C$4:$AO$4,0)+'Calc- Prosym Setup'!E$7)</f>
        <v>5.0466314069588065E-4</v>
      </c>
      <c r="I25" s="88">
        <f ca="1">INDEX('Calc- Prosym Setup'!$C$5:$AO$107,MATCH($A19,'Calc- Prosym Setup'!$A$5:$A$107,0)+4,MATCH(VALUE(MID($D25,2,4)),'Calc- Prosym Setup'!$C$4:$AO$4,0)+'Calc- Prosym Setup'!F$7)</f>
        <v>5.6333023080355524E-2</v>
      </c>
      <c r="J25" s="88" t="str">
        <f ca="1">"/ADD "&amp;TEXT(INDEX('Calc- Prosym Setup'!$C$5:$AO$107,MATCH($A19,'Calc- Prosym Setup'!$A$5:$A$107,0)+4,MATCH(VALUE(MID($D25,2,4)),'Calc- Prosym Setup'!$C$4:$AO$4,0)+'Calc- Prosym Setup'!G$7),"0.0000")&amp;" @IncFOR /"</f>
        <v>/ADD 0.8566 @IncFOR /</v>
      </c>
      <c r="K25" s="87" t="str">
        <f>IF(VALUE(MID($D25,2,4))&lt;'INP-Calc EFOR&amp;EUOR - 2019Plan'!$G$9,"-"," ")</f>
        <v xml:space="preserve"> </v>
      </c>
      <c r="L25" s="65" t="s">
        <v>187</v>
      </c>
      <c r="M25" s="74">
        <f ca="1">INDEX('INP-Calc EFOR&amp;EUOR - 2019Plan'!$I$11:$M$34,MATCH(INDIRECT(ADDRESS(5+7*$W25,3,,,"Calc- Prosym Setup")),'INP-Calc EFOR&amp;EUOR - 2019Plan'!$A$11:$A$34,0),MATCH(VALUE(MID(D25,2,4)),'INP-Calc EFOR&amp;EUOR - 2019Plan'!$C$9:$G$9,0))</f>
        <v>8.5000000000000006E-2</v>
      </c>
      <c r="N25" s="75" t="s">
        <v>188</v>
      </c>
      <c r="O25" s="74">
        <f ca="1">INDEX('INP-Calc EFOR&amp;EUOR - 2019Plan'!$C$11:$G$34,MATCH(INDIRECT(ADDRESS(5+7*$W25,3,,,"Calc- Prosym Setup")),'INP-Calc EFOR&amp;EUOR - 2019Plan'!$A$11:$A$34,0),MATCH(VALUE(MID(D25,2,4)),'INP-Calc EFOR&amp;EUOR - 2019Plan'!$C$9:$G$9,0))</f>
        <v>5.7000000000000002E-2</v>
      </c>
      <c r="P25" s="75" t="s">
        <v>189</v>
      </c>
      <c r="Q25" s="74">
        <f ca="1">INDEX('INP-Calc EFOR&amp;EUOR - 2019Plan'!$U$11:$Y$34,MATCH(INDIRECT(ADDRESS(5+7*$W25,3,,,"Calc- Prosym Setup")),'INP-Calc EFOR&amp;EUOR - 2019Plan'!$A$11:$A$34,0),MATCH(VALUE(MID(D25,2,4)),'INP-Calc EFOR&amp;EUOR - 2019Plan'!$C$9:$G$9,0))</f>
        <v>3.6987512384693201E-2</v>
      </c>
      <c r="R25" s="75" t="s">
        <v>190</v>
      </c>
      <c r="S25" s="74">
        <f ca="1">INDEX('INP-Calc EFOR&amp;EUOR - 2019Plan'!$O$11:$S$34,MATCH(INDIRECT(ADDRESS(5+7*$W25,3,,,"Calc- Prosym Setup")),'INP-Calc EFOR&amp;EUOR - 2019Plan'!$A$11:$A$34,0),MATCH(VALUE(MID(D25,2,4)),'INP-Calc EFOR&amp;EUOR - 2019Plan'!$C$9:$G$9,0))</f>
        <v>2.8000000000000001E-2</v>
      </c>
      <c r="T25" s="75" t="s">
        <v>191</v>
      </c>
      <c r="U25" s="74">
        <f ca="1">INDEX('INP-Calc EFOR&amp;EUOR - 2019Plan'!$AA$11:$AE$34,MATCH(INDIRECT(ADDRESS(5+7*$W25,3,,,"Calc- Prosym Setup")),'INP-Calc EFOR&amp;EUOR - 2019Plan'!$A$11:$A$34,0),MATCH(VALUE(MID(D25,2,4)),'INP-Calc EFOR&amp;EUOR - 2019Plan'!$C$9:$G$9,0))</f>
        <v>2.0781129915421366E-2</v>
      </c>
      <c r="W25" s="89">
        <f t="shared" si="1"/>
        <v>1</v>
      </c>
    </row>
    <row r="27" spans="1:23" x14ac:dyDescent="0.25">
      <c r="A27" s="67" t="str">
        <f>'Calc- Prosym Setup'!A19</f>
        <v>Brown.3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</row>
    <row r="28" spans="1:23" x14ac:dyDescent="0.25">
      <c r="A28" s="67"/>
      <c r="B28" s="57" t="s">
        <v>185</v>
      </c>
      <c r="C28" s="67" t="str">
        <f>IF(AND(I28&gt;0,J28&gt;0),"[v6]",IF(AND(I28&gt;0,J28=" "),"[v5]",IF(AND(I28=" ",J28=" "),"[v4]","[V??]")))</f>
        <v>[v6]</v>
      </c>
      <c r="D28" s="67" t="str">
        <f>D20</f>
        <v>[2018]</v>
      </c>
      <c r="E28" s="66">
        <f>'Calc- Prosym Setup'!C22</f>
        <v>140</v>
      </c>
      <c r="F28" s="66">
        <f>'Calc- Prosym Setup'!D22</f>
        <v>223</v>
      </c>
      <c r="G28" s="66">
        <f>'Calc- Prosym Setup'!E22</f>
        <v>253</v>
      </c>
      <c r="H28" s="66">
        <f>'Calc- Prosym Setup'!F22</f>
        <v>333</v>
      </c>
      <c r="I28" s="66">
        <f>'Calc- Prosym Setup'!G22</f>
        <v>373</v>
      </c>
      <c r="J28" s="66">
        <f>'Calc- Prosym Setup'!H22</f>
        <v>413</v>
      </c>
      <c r="K28" s="67"/>
      <c r="L28" s="67"/>
      <c r="M28" s="67"/>
      <c r="N28" s="67"/>
      <c r="O28" s="67"/>
      <c r="P28" s="67"/>
      <c r="Q28" s="68"/>
      <c r="R28" s="69"/>
      <c r="S28" s="70"/>
      <c r="T28" s="67"/>
      <c r="U28" s="67"/>
    </row>
    <row r="29" spans="1:23" x14ac:dyDescent="0.25">
      <c r="A29" s="67"/>
      <c r="B29" s="57" t="s">
        <v>186</v>
      </c>
      <c r="C29" s="67" t="str">
        <f>C28</f>
        <v>[v6]</v>
      </c>
      <c r="D29" s="67" t="str">
        <f>D21</f>
        <v>[2018]</v>
      </c>
      <c r="E29" s="71">
        <f ca="1">INDEX('Calc- Prosym Setup'!$C$5:$AO$107,MATCH($A27,'Calc- Prosym Setup'!$A$5:$A$107,0)+4,MATCH(VALUE(MID($D29,2,4)),'Calc- Prosym Setup'!$C$4:$AO$4,0))</f>
        <v>2.3093051436689192E-2</v>
      </c>
      <c r="F29" s="71">
        <f ca="1">INDEX('Calc- Prosym Setup'!$C$5:$AO$107,MATCH($A27,'Calc- Prosym Setup'!$A$5:$A$107,0)+4,MATCH(VALUE(MID($D29,2,4)),'Calc- Prosym Setup'!$C$4:$AO$4,0)+'Calc- Prosym Setup'!C$7)</f>
        <v>5.7641996521706138E-3</v>
      </c>
      <c r="G29" s="71">
        <f ca="1">INDEX('Calc- Prosym Setup'!$C$5:$AO$107,MATCH($A27,'Calc- Prosym Setup'!$A$5:$A$107,0)+4,MATCH(VALUE(MID($D29,2,4)),'Calc- Prosym Setup'!$C$4:$AO$4,0)+'Calc- Prosym Setup'!D$7)</f>
        <v>2.4772765801179468E-3</v>
      </c>
      <c r="H29" s="71">
        <f ca="1">INDEX('Calc- Prosym Setup'!$C$5:$AO$107,MATCH($A27,'Calc- Prosym Setup'!$A$5:$A$107,0)+4,MATCH(VALUE(MID($D29,2,4)),'Calc- Prosym Setup'!$C$4:$AO$4,0)+'Calc- Prosym Setup'!E$7)</f>
        <v>4.7679182308090068E-3</v>
      </c>
      <c r="I29" s="71">
        <f ca="1">INDEX('Calc- Prosym Setup'!$C$5:$AO$107,MATCH($A27,'Calc- Prosym Setup'!$A$5:$A$107,0)+4,MATCH(VALUE(MID($D29,2,4)),'Calc- Prosym Setup'!$C$4:$AO$4,0)+'Calc- Prosym Setup'!F$7)</f>
        <v>2.1939674427387495E-3</v>
      </c>
      <c r="J29" s="71" t="str">
        <f ca="1">"/ADD "&amp;TEXT(INDEX('Calc- Prosym Setup'!$C$5:$AO$107,MATCH($A27,'Calc- Prosym Setup'!$A$5:$A$107,0)+4,MATCH(VALUE(MID($D29,2,4)),'Calc- Prosym Setup'!$C$4:$AO$4,0)+'Calc- Prosym Setup'!G$7),"0.0000")&amp;" @IncFOR /"</f>
        <v>/ADD 0.8967 @IncFOR /</v>
      </c>
      <c r="K29" s="67" t="str">
        <f>IF(VALUE(MID($D29,2,4))&lt;'INP-Calc EFOR&amp;EUOR - 2019Plan'!$G$9,"-"," ")</f>
        <v>-</v>
      </c>
      <c r="L29" s="63" t="s">
        <v>187</v>
      </c>
      <c r="M29" s="68">
        <f ca="1">INDEX('INP-Calc EFOR&amp;EUOR - 2019Plan'!$I$11:$M$34,MATCH(INDIRECT(ADDRESS(5+7*$W29,3,,,"Calc- Prosym Setup")),'INP-Calc EFOR&amp;EUOR - 2019Plan'!$A$11:$A$34,0),MATCH(VALUE(MID(D29,2,4)),'INP-Calc EFOR&amp;EUOR - 2019Plan'!$C$9:$G$9,0))</f>
        <v>8.5000000000000006E-2</v>
      </c>
      <c r="N29" s="64" t="s">
        <v>188</v>
      </c>
      <c r="O29" s="68">
        <f ca="1">INDEX('INP-Calc EFOR&amp;EUOR - 2019Plan'!$C$11:$G$34,MATCH(INDIRECT(ADDRESS(5+7*$W29,3,,,"Calc- Prosym Setup")),'INP-Calc EFOR&amp;EUOR - 2019Plan'!$A$11:$A$34,0),MATCH(VALUE(MID(D29,2,4)),'INP-Calc EFOR&amp;EUOR - 2019Plan'!$C$9:$G$9,0))</f>
        <v>5.7000000000000002E-2</v>
      </c>
      <c r="P29" s="64" t="s">
        <v>189</v>
      </c>
      <c r="Q29" s="68">
        <f ca="1">INDEX('INP-Calc EFOR&amp;EUOR - 2019Plan'!$U$11:$Y$34,MATCH(INDIRECT(ADDRESS(5+7*$W29,3,,,"Calc- Prosym Setup")),'INP-Calc EFOR&amp;EUOR - 2019Plan'!$A$11:$A$34,0),MATCH(VALUE(MID(D29,2,4)),'INP-Calc EFOR&amp;EUOR - 2019Plan'!$C$9:$G$9,0))</f>
        <v>3.6987512384693201E-2</v>
      </c>
      <c r="R29" s="64" t="s">
        <v>190</v>
      </c>
      <c r="S29" s="68">
        <f ca="1">INDEX('INP-Calc EFOR&amp;EUOR - 2019Plan'!$O$11:$S$34,MATCH(INDIRECT(ADDRESS(5+7*$W29,3,,,"Calc- Prosym Setup")),'INP-Calc EFOR&amp;EUOR - 2019Plan'!$A$11:$A$34,0),MATCH(VALUE(MID(D29,2,4)),'INP-Calc EFOR&amp;EUOR - 2019Plan'!$C$9:$G$9,0))</f>
        <v>2.8000000000000001E-2</v>
      </c>
      <c r="T29" s="64" t="s">
        <v>191</v>
      </c>
      <c r="U29" s="68">
        <f ca="1">INDEX('INP-Calc EFOR&amp;EUOR - 2019Plan'!$AA$11:$AE$34,MATCH(INDIRECT(ADDRESS(5+7*$W29,3,,,"Calc- Prosym Setup")),'INP-Calc EFOR&amp;EUOR - 2019Plan'!$A$11:$A$34,0),MATCH(VALUE(MID(D29,2,4)),'INP-Calc EFOR&amp;EUOR - 2019Plan'!$C$9:$G$9,0))</f>
        <v>2.0781129915421366E-2</v>
      </c>
      <c r="W29" s="89">
        <f>W21+1</f>
        <v>2</v>
      </c>
    </row>
    <row r="30" spans="1:23" x14ac:dyDescent="0.25">
      <c r="A30" s="67"/>
      <c r="B30" s="67"/>
      <c r="C30" s="67"/>
      <c r="D30" s="67" t="str">
        <f>D22</f>
        <v>[2019]</v>
      </c>
      <c r="E30" s="71">
        <f ca="1">INDEX('Calc- Prosym Setup'!$C$5:$AO$107,MATCH($A27,'Calc- Prosym Setup'!$A$5:$A$107,0)+4,MATCH(VALUE(MID($D30,2,4)),'Calc- Prosym Setup'!$C$4:$AO$4,0))</f>
        <v>2.3093051436689192E-2</v>
      </c>
      <c r="F30" s="71">
        <f ca="1">INDEX('Calc- Prosym Setup'!$C$5:$AO$107,MATCH($A27,'Calc- Prosym Setup'!$A$5:$A$107,0)+4,MATCH(VALUE(MID($D30,2,4)),'Calc- Prosym Setup'!$C$4:$AO$4,0)+'Calc- Prosym Setup'!C$7)</f>
        <v>5.7641996521706138E-3</v>
      </c>
      <c r="G30" s="71">
        <f ca="1">INDEX('Calc- Prosym Setup'!$C$5:$AO$107,MATCH($A27,'Calc- Prosym Setup'!$A$5:$A$107,0)+4,MATCH(VALUE(MID($D30,2,4)),'Calc- Prosym Setup'!$C$4:$AO$4,0)+'Calc- Prosym Setup'!D$7)</f>
        <v>2.4772765801179468E-3</v>
      </c>
      <c r="H30" s="71">
        <f ca="1">INDEX('Calc- Prosym Setup'!$C$5:$AO$107,MATCH($A27,'Calc- Prosym Setup'!$A$5:$A$107,0)+4,MATCH(VALUE(MID($D30,2,4)),'Calc- Prosym Setup'!$C$4:$AO$4,0)+'Calc- Prosym Setup'!E$7)</f>
        <v>4.7679182308090068E-3</v>
      </c>
      <c r="I30" s="71">
        <f ca="1">INDEX('Calc- Prosym Setup'!$C$5:$AO$107,MATCH($A27,'Calc- Prosym Setup'!$A$5:$A$107,0)+4,MATCH(VALUE(MID($D30,2,4)),'Calc- Prosym Setup'!$C$4:$AO$4,0)+'Calc- Prosym Setup'!F$7)</f>
        <v>2.1939674427387495E-3</v>
      </c>
      <c r="J30" s="71" t="str">
        <f ca="1">"/ADD "&amp;TEXT(INDEX('Calc- Prosym Setup'!$C$5:$AO$107,MATCH($A27,'Calc- Prosym Setup'!$A$5:$A$107,0)+4,MATCH(VALUE(MID($D30,2,4)),'Calc- Prosym Setup'!$C$4:$AO$4,0)+'Calc- Prosym Setup'!G$7),"0.0000")&amp;" @IncFOR /"</f>
        <v>/ADD 0.8967 @IncFOR /</v>
      </c>
      <c r="K30" s="67" t="str">
        <f>IF(VALUE(MID($D30,2,4))&lt;'INP-Calc EFOR&amp;EUOR - 2019Plan'!$G$9,"-"," ")</f>
        <v>-</v>
      </c>
      <c r="L30" s="63" t="s">
        <v>187</v>
      </c>
      <c r="M30" s="68">
        <f ca="1">INDEX('INP-Calc EFOR&amp;EUOR - 2019Plan'!$I$11:$M$34,MATCH(INDIRECT(ADDRESS(5+7*$W30,3,,,"Calc- Prosym Setup")),'INP-Calc EFOR&amp;EUOR - 2019Plan'!$A$11:$A$34,0),MATCH(VALUE(MID(D30,2,4)),'INP-Calc EFOR&amp;EUOR - 2019Plan'!$C$9:$G$9,0))</f>
        <v>8.5000000000000006E-2</v>
      </c>
      <c r="N30" s="64" t="s">
        <v>188</v>
      </c>
      <c r="O30" s="68">
        <f ca="1">INDEX('INP-Calc EFOR&amp;EUOR - 2019Plan'!$C$11:$G$34,MATCH(INDIRECT(ADDRESS(5+7*$W30,3,,,"Calc- Prosym Setup")),'INP-Calc EFOR&amp;EUOR - 2019Plan'!$A$11:$A$34,0),MATCH(VALUE(MID(D30,2,4)),'INP-Calc EFOR&amp;EUOR - 2019Plan'!$C$9:$G$9,0))</f>
        <v>5.7000000000000002E-2</v>
      </c>
      <c r="P30" s="64" t="s">
        <v>189</v>
      </c>
      <c r="Q30" s="68">
        <f ca="1">INDEX('INP-Calc EFOR&amp;EUOR - 2019Plan'!$U$11:$Y$34,MATCH(INDIRECT(ADDRESS(5+7*$W30,3,,,"Calc- Prosym Setup")),'INP-Calc EFOR&amp;EUOR - 2019Plan'!$A$11:$A$34,0),MATCH(VALUE(MID(D30,2,4)),'INP-Calc EFOR&amp;EUOR - 2019Plan'!$C$9:$G$9,0))</f>
        <v>3.6987512384693201E-2</v>
      </c>
      <c r="R30" s="64" t="s">
        <v>190</v>
      </c>
      <c r="S30" s="68">
        <f ca="1">INDEX('INP-Calc EFOR&amp;EUOR - 2019Plan'!$O$11:$S$34,MATCH(INDIRECT(ADDRESS(5+7*$W30,3,,,"Calc- Prosym Setup")),'INP-Calc EFOR&amp;EUOR - 2019Plan'!$A$11:$A$34,0),MATCH(VALUE(MID(D30,2,4)),'INP-Calc EFOR&amp;EUOR - 2019Plan'!$C$9:$G$9,0))</f>
        <v>2.8000000000000001E-2</v>
      </c>
      <c r="T30" s="64" t="s">
        <v>191</v>
      </c>
      <c r="U30" s="68">
        <f ca="1">INDEX('INP-Calc EFOR&amp;EUOR - 2019Plan'!$AA$11:$AE$34,MATCH(INDIRECT(ADDRESS(5+7*$W30,3,,,"Calc- Prosym Setup")),'INP-Calc EFOR&amp;EUOR - 2019Plan'!$A$11:$A$34,0),MATCH(VALUE(MID(D30,2,4)),'INP-Calc EFOR&amp;EUOR - 2019Plan'!$C$9:$G$9,0))</f>
        <v>2.0781129915421366E-2</v>
      </c>
      <c r="W30" s="89">
        <f>W29</f>
        <v>2</v>
      </c>
    </row>
    <row r="31" spans="1:23" x14ac:dyDescent="0.25">
      <c r="A31" s="67"/>
      <c r="B31" s="67"/>
      <c r="C31" s="67"/>
      <c r="D31" s="67" t="str">
        <f>D23</f>
        <v>[2020]</v>
      </c>
      <c r="E31" s="71">
        <f ca="1">INDEX('Calc- Prosym Setup'!$C$5:$AO$107,MATCH($A27,'Calc- Prosym Setup'!$A$5:$A$107,0)+4,MATCH(VALUE(MID($D31,2,4)),'Calc- Prosym Setup'!$C$4:$AO$4,0))</f>
        <v>2.3093051436689192E-2</v>
      </c>
      <c r="F31" s="71">
        <f ca="1">INDEX('Calc- Prosym Setup'!$C$5:$AO$107,MATCH($A27,'Calc- Prosym Setup'!$A$5:$A$107,0)+4,MATCH(VALUE(MID($D31,2,4)),'Calc- Prosym Setup'!$C$4:$AO$4,0)+'Calc- Prosym Setup'!C$7)</f>
        <v>5.7641996521706138E-3</v>
      </c>
      <c r="G31" s="71">
        <f ca="1">INDEX('Calc- Prosym Setup'!$C$5:$AO$107,MATCH($A27,'Calc- Prosym Setup'!$A$5:$A$107,0)+4,MATCH(VALUE(MID($D31,2,4)),'Calc- Prosym Setup'!$C$4:$AO$4,0)+'Calc- Prosym Setup'!D$7)</f>
        <v>2.4772765801179468E-3</v>
      </c>
      <c r="H31" s="71">
        <f ca="1">INDEX('Calc- Prosym Setup'!$C$5:$AO$107,MATCH($A27,'Calc- Prosym Setup'!$A$5:$A$107,0)+4,MATCH(VALUE(MID($D31,2,4)),'Calc- Prosym Setup'!$C$4:$AO$4,0)+'Calc- Prosym Setup'!E$7)</f>
        <v>4.7679182308090068E-3</v>
      </c>
      <c r="I31" s="71">
        <f ca="1">INDEX('Calc- Prosym Setup'!$C$5:$AO$107,MATCH($A27,'Calc- Prosym Setup'!$A$5:$A$107,0)+4,MATCH(VALUE(MID($D31,2,4)),'Calc- Prosym Setup'!$C$4:$AO$4,0)+'Calc- Prosym Setup'!F$7)</f>
        <v>2.1939674427387495E-3</v>
      </c>
      <c r="J31" s="71" t="str">
        <f ca="1">"/ADD "&amp;TEXT(INDEX('Calc- Prosym Setup'!$C$5:$AO$107,MATCH($A27,'Calc- Prosym Setup'!$A$5:$A$107,0)+4,MATCH(VALUE(MID($D31,2,4)),'Calc- Prosym Setup'!$C$4:$AO$4,0)+'Calc- Prosym Setup'!G$7),"0.0000")&amp;" @IncFOR /"</f>
        <v>/ADD 0.8967 @IncFOR /</v>
      </c>
      <c r="K31" s="67" t="str">
        <f>IF(VALUE(MID($D31,2,4))&lt;'INP-Calc EFOR&amp;EUOR - 2019Plan'!$G$9,"-"," ")</f>
        <v>-</v>
      </c>
      <c r="L31" s="63" t="s">
        <v>187</v>
      </c>
      <c r="M31" s="68">
        <f ca="1">INDEX('INP-Calc EFOR&amp;EUOR - 2019Plan'!$I$11:$M$34,MATCH(INDIRECT(ADDRESS(5+7*$W31,3,,,"Calc- Prosym Setup")),'INP-Calc EFOR&amp;EUOR - 2019Plan'!$A$11:$A$34,0),MATCH(VALUE(MID(D31,2,4)),'INP-Calc EFOR&amp;EUOR - 2019Plan'!$C$9:$G$9,0))</f>
        <v>8.5000000000000006E-2</v>
      </c>
      <c r="N31" s="64" t="s">
        <v>188</v>
      </c>
      <c r="O31" s="68">
        <f ca="1">INDEX('INP-Calc EFOR&amp;EUOR - 2019Plan'!$C$11:$G$34,MATCH(INDIRECT(ADDRESS(5+7*$W31,3,,,"Calc- Prosym Setup")),'INP-Calc EFOR&amp;EUOR - 2019Plan'!$A$11:$A$34,0),MATCH(VALUE(MID(D31,2,4)),'INP-Calc EFOR&amp;EUOR - 2019Plan'!$C$9:$G$9,0))</f>
        <v>5.7000000000000002E-2</v>
      </c>
      <c r="P31" s="64" t="s">
        <v>189</v>
      </c>
      <c r="Q31" s="68">
        <f ca="1">INDEX('INP-Calc EFOR&amp;EUOR - 2019Plan'!$U$11:$Y$34,MATCH(INDIRECT(ADDRESS(5+7*$W31,3,,,"Calc- Prosym Setup")),'INP-Calc EFOR&amp;EUOR - 2019Plan'!$A$11:$A$34,0),MATCH(VALUE(MID(D31,2,4)),'INP-Calc EFOR&amp;EUOR - 2019Plan'!$C$9:$G$9,0))</f>
        <v>3.6987512384693201E-2</v>
      </c>
      <c r="R31" s="64" t="s">
        <v>190</v>
      </c>
      <c r="S31" s="68">
        <f ca="1">INDEX('INP-Calc EFOR&amp;EUOR - 2019Plan'!$O$11:$S$34,MATCH(INDIRECT(ADDRESS(5+7*$W31,3,,,"Calc- Prosym Setup")),'INP-Calc EFOR&amp;EUOR - 2019Plan'!$A$11:$A$34,0),MATCH(VALUE(MID(D31,2,4)),'INP-Calc EFOR&amp;EUOR - 2019Plan'!$C$9:$G$9,0))</f>
        <v>2.8000000000000001E-2</v>
      </c>
      <c r="T31" s="64" t="s">
        <v>191</v>
      </c>
      <c r="U31" s="68">
        <f ca="1">INDEX('INP-Calc EFOR&amp;EUOR - 2019Plan'!$AA$11:$AE$34,MATCH(INDIRECT(ADDRESS(5+7*$W31,3,,,"Calc- Prosym Setup")),'INP-Calc EFOR&amp;EUOR - 2019Plan'!$A$11:$A$34,0),MATCH(VALUE(MID(D31,2,4)),'INP-Calc EFOR&amp;EUOR - 2019Plan'!$C$9:$G$9,0))</f>
        <v>2.0781129915421366E-2</v>
      </c>
      <c r="W31" s="89">
        <f t="shared" ref="W31:W33" si="3">W30</f>
        <v>2</v>
      </c>
    </row>
    <row r="32" spans="1:23" x14ac:dyDescent="0.25">
      <c r="A32" s="67"/>
      <c r="B32" s="67"/>
      <c r="C32" s="67"/>
      <c r="D32" s="67" t="str">
        <f>D24</f>
        <v>[2021]</v>
      </c>
      <c r="E32" s="71">
        <f ca="1">INDEX('Calc- Prosym Setup'!$C$5:$AO$107,MATCH($A27,'Calc- Prosym Setup'!$A$5:$A$107,0)+4,MATCH(VALUE(MID($D32,2,4)),'Calc- Prosym Setup'!$C$4:$AO$4,0))</f>
        <v>2.3093051436689192E-2</v>
      </c>
      <c r="F32" s="71">
        <f ca="1">INDEX('Calc- Prosym Setup'!$C$5:$AO$107,MATCH($A27,'Calc- Prosym Setup'!$A$5:$A$107,0)+4,MATCH(VALUE(MID($D32,2,4)),'Calc- Prosym Setup'!$C$4:$AO$4,0)+'Calc- Prosym Setup'!C$7)</f>
        <v>5.7641996521706138E-3</v>
      </c>
      <c r="G32" s="71">
        <f ca="1">INDEX('Calc- Prosym Setup'!$C$5:$AO$107,MATCH($A27,'Calc- Prosym Setup'!$A$5:$A$107,0)+4,MATCH(VALUE(MID($D32,2,4)),'Calc- Prosym Setup'!$C$4:$AO$4,0)+'Calc- Prosym Setup'!D$7)</f>
        <v>2.4772765801179468E-3</v>
      </c>
      <c r="H32" s="71">
        <f ca="1">INDEX('Calc- Prosym Setup'!$C$5:$AO$107,MATCH($A27,'Calc- Prosym Setup'!$A$5:$A$107,0)+4,MATCH(VALUE(MID($D32,2,4)),'Calc- Prosym Setup'!$C$4:$AO$4,0)+'Calc- Prosym Setup'!E$7)</f>
        <v>4.7679182308090068E-3</v>
      </c>
      <c r="I32" s="71">
        <f ca="1">INDEX('Calc- Prosym Setup'!$C$5:$AO$107,MATCH($A27,'Calc- Prosym Setup'!$A$5:$A$107,0)+4,MATCH(VALUE(MID($D32,2,4)),'Calc- Prosym Setup'!$C$4:$AO$4,0)+'Calc- Prosym Setup'!F$7)</f>
        <v>2.1939674427387495E-3</v>
      </c>
      <c r="J32" s="71" t="str">
        <f ca="1">"/ADD "&amp;TEXT(INDEX('Calc- Prosym Setup'!$C$5:$AO$107,MATCH($A27,'Calc- Prosym Setup'!$A$5:$A$107,0)+4,MATCH(VALUE(MID($D32,2,4)),'Calc- Prosym Setup'!$C$4:$AO$4,0)+'Calc- Prosym Setup'!G$7),"0.0000")&amp;" @IncFOR /"</f>
        <v>/ADD 0.8967 @IncFOR /</v>
      </c>
      <c r="K32" s="67" t="str">
        <f>IF(VALUE(MID($D32,2,4))&lt;'INP-Calc EFOR&amp;EUOR - 2019Plan'!$G$9,"-"," ")</f>
        <v>-</v>
      </c>
      <c r="L32" s="63" t="s">
        <v>187</v>
      </c>
      <c r="M32" s="68">
        <f ca="1">INDEX('INP-Calc EFOR&amp;EUOR - 2019Plan'!$I$11:$M$34,MATCH(INDIRECT(ADDRESS(5+7*$W32,3,,,"Calc- Prosym Setup")),'INP-Calc EFOR&amp;EUOR - 2019Plan'!$A$11:$A$34,0),MATCH(VALUE(MID(D32,2,4)),'INP-Calc EFOR&amp;EUOR - 2019Plan'!$C$9:$G$9,0))</f>
        <v>8.5000000000000006E-2</v>
      </c>
      <c r="N32" s="64" t="s">
        <v>188</v>
      </c>
      <c r="O32" s="68">
        <f ca="1">INDEX('INP-Calc EFOR&amp;EUOR - 2019Plan'!$C$11:$G$34,MATCH(INDIRECT(ADDRESS(5+7*$W32,3,,,"Calc- Prosym Setup")),'INP-Calc EFOR&amp;EUOR - 2019Plan'!$A$11:$A$34,0),MATCH(VALUE(MID(D32,2,4)),'INP-Calc EFOR&amp;EUOR - 2019Plan'!$C$9:$G$9,0))</f>
        <v>5.7000000000000002E-2</v>
      </c>
      <c r="P32" s="64" t="s">
        <v>189</v>
      </c>
      <c r="Q32" s="68">
        <f ca="1">INDEX('INP-Calc EFOR&amp;EUOR - 2019Plan'!$U$11:$Y$34,MATCH(INDIRECT(ADDRESS(5+7*$W32,3,,,"Calc- Prosym Setup")),'INP-Calc EFOR&amp;EUOR - 2019Plan'!$A$11:$A$34,0),MATCH(VALUE(MID(D32,2,4)),'INP-Calc EFOR&amp;EUOR - 2019Plan'!$C$9:$G$9,0))</f>
        <v>3.6987512384693201E-2</v>
      </c>
      <c r="R32" s="64" t="s">
        <v>190</v>
      </c>
      <c r="S32" s="68">
        <f ca="1">INDEX('INP-Calc EFOR&amp;EUOR - 2019Plan'!$O$11:$S$34,MATCH(INDIRECT(ADDRESS(5+7*$W32,3,,,"Calc- Prosym Setup")),'INP-Calc EFOR&amp;EUOR - 2019Plan'!$A$11:$A$34,0),MATCH(VALUE(MID(D32,2,4)),'INP-Calc EFOR&amp;EUOR - 2019Plan'!$C$9:$G$9,0))</f>
        <v>2.8000000000000001E-2</v>
      </c>
      <c r="T32" s="64" t="s">
        <v>191</v>
      </c>
      <c r="U32" s="68">
        <f ca="1">INDEX('INP-Calc EFOR&amp;EUOR - 2019Plan'!$AA$11:$AE$34,MATCH(INDIRECT(ADDRESS(5+7*$W32,3,,,"Calc- Prosym Setup")),'INP-Calc EFOR&amp;EUOR - 2019Plan'!$A$11:$A$34,0),MATCH(VALUE(MID(D32,2,4)),'INP-Calc EFOR&amp;EUOR - 2019Plan'!$C$9:$G$9,0))</f>
        <v>2.0781129915421366E-2</v>
      </c>
      <c r="W32" s="89">
        <f t="shared" si="3"/>
        <v>2</v>
      </c>
    </row>
    <row r="33" spans="1:23" x14ac:dyDescent="0.25">
      <c r="A33" s="72"/>
      <c r="B33" s="72"/>
      <c r="C33" s="72"/>
      <c r="D33" s="72" t="str">
        <f t="shared" ref="D33" si="4">D25</f>
        <v>[2022]</v>
      </c>
      <c r="E33" s="88">
        <f ca="1">INDEX('Calc- Prosym Setup'!$C$5:$AO$107,MATCH($A27,'Calc- Prosym Setup'!$A$5:$A$107,0)+4,MATCH(VALUE(MID($D33,2,4)),'Calc- Prosym Setup'!$C$4:$AO$4,0))</f>
        <v>2.3093051436689192E-2</v>
      </c>
      <c r="F33" s="88">
        <f ca="1">INDEX('Calc- Prosym Setup'!$C$5:$AO$107,MATCH($A27,'Calc- Prosym Setup'!$A$5:$A$107,0)+4,MATCH(VALUE(MID($D33,2,4)),'Calc- Prosym Setup'!$C$4:$AO$4,0)+'Calc- Prosym Setup'!C$7)</f>
        <v>5.7641996521706138E-3</v>
      </c>
      <c r="G33" s="88">
        <f ca="1">INDEX('Calc- Prosym Setup'!$C$5:$AO$107,MATCH($A27,'Calc- Prosym Setup'!$A$5:$A$107,0)+4,MATCH(VALUE(MID($D33,2,4)),'Calc- Prosym Setup'!$C$4:$AO$4,0)+'Calc- Prosym Setup'!D$7)</f>
        <v>2.4772765801179468E-3</v>
      </c>
      <c r="H33" s="88">
        <f ca="1">INDEX('Calc- Prosym Setup'!$C$5:$AO$107,MATCH($A27,'Calc- Prosym Setup'!$A$5:$A$107,0)+4,MATCH(VALUE(MID($D33,2,4)),'Calc- Prosym Setup'!$C$4:$AO$4,0)+'Calc- Prosym Setup'!E$7)</f>
        <v>4.7679182308090068E-3</v>
      </c>
      <c r="I33" s="88">
        <f ca="1">INDEX('Calc- Prosym Setup'!$C$5:$AO$107,MATCH($A27,'Calc- Prosym Setup'!$A$5:$A$107,0)+4,MATCH(VALUE(MID($D33,2,4)),'Calc- Prosym Setup'!$C$4:$AO$4,0)+'Calc- Prosym Setup'!F$7)</f>
        <v>2.1939674427387495E-3</v>
      </c>
      <c r="J33" s="88" t="str">
        <f ca="1">"/ADD "&amp;TEXT(INDEX('Calc- Prosym Setup'!$C$5:$AO$107,MATCH($A27,'Calc- Prosym Setup'!$A$5:$A$107,0)+4,MATCH(VALUE(MID($D33,2,4)),'Calc- Prosym Setup'!$C$4:$AO$4,0)+'Calc- Prosym Setup'!G$7),"0.0000")&amp;" @IncFOR /"</f>
        <v>/ADD 0.8967 @IncFOR /</v>
      </c>
      <c r="K33" s="87" t="str">
        <f>IF(VALUE(MID($D33,2,4))&lt;'INP-Calc EFOR&amp;EUOR - 2019Plan'!$G$9,"-"," ")</f>
        <v xml:space="preserve"> </v>
      </c>
      <c r="L33" s="91" t="s">
        <v>187</v>
      </c>
      <c r="M33" s="74">
        <f ca="1">INDEX('INP-Calc EFOR&amp;EUOR - 2019Plan'!$I$11:$M$34,MATCH(INDIRECT(ADDRESS(5+7*$W33,3,,,"Calc- Prosym Setup")),'INP-Calc EFOR&amp;EUOR - 2019Plan'!$A$11:$A$34,0),MATCH(VALUE(MID(D33,2,4)),'INP-Calc EFOR&amp;EUOR - 2019Plan'!$C$9:$G$9,0))</f>
        <v>8.5000000000000006E-2</v>
      </c>
      <c r="N33" s="75" t="s">
        <v>188</v>
      </c>
      <c r="O33" s="74">
        <f ca="1">INDEX('INP-Calc EFOR&amp;EUOR - 2019Plan'!$C$11:$G$34,MATCH(INDIRECT(ADDRESS(5+7*$W33,3,,,"Calc- Prosym Setup")),'INP-Calc EFOR&amp;EUOR - 2019Plan'!$A$11:$A$34,0),MATCH(VALUE(MID(D33,2,4)),'INP-Calc EFOR&amp;EUOR - 2019Plan'!$C$9:$G$9,0))</f>
        <v>5.7000000000000002E-2</v>
      </c>
      <c r="P33" s="75" t="s">
        <v>189</v>
      </c>
      <c r="Q33" s="74">
        <f ca="1">INDEX('INP-Calc EFOR&amp;EUOR - 2019Plan'!$U$11:$Y$34,MATCH(INDIRECT(ADDRESS(5+7*$W33,3,,,"Calc- Prosym Setup")),'INP-Calc EFOR&amp;EUOR - 2019Plan'!$A$11:$A$34,0),MATCH(VALUE(MID(D33,2,4)),'INP-Calc EFOR&amp;EUOR - 2019Plan'!$C$9:$G$9,0))</f>
        <v>3.6987512384693201E-2</v>
      </c>
      <c r="R33" s="75" t="s">
        <v>190</v>
      </c>
      <c r="S33" s="74">
        <f ca="1">INDEX('INP-Calc EFOR&amp;EUOR - 2019Plan'!$O$11:$S$34,MATCH(INDIRECT(ADDRESS(5+7*$W33,3,,,"Calc- Prosym Setup")),'INP-Calc EFOR&amp;EUOR - 2019Plan'!$A$11:$A$34,0),MATCH(VALUE(MID(D33,2,4)),'INP-Calc EFOR&amp;EUOR - 2019Plan'!$C$9:$G$9,0))</f>
        <v>2.8000000000000001E-2</v>
      </c>
      <c r="T33" s="75" t="s">
        <v>191</v>
      </c>
      <c r="U33" s="74">
        <f ca="1">INDEX('INP-Calc EFOR&amp;EUOR - 2019Plan'!$AA$11:$AE$34,MATCH(INDIRECT(ADDRESS(5+7*$W33,3,,,"Calc- Prosym Setup")),'INP-Calc EFOR&amp;EUOR - 2019Plan'!$A$11:$A$34,0),MATCH(VALUE(MID(D33,2,4)),'INP-Calc EFOR&amp;EUOR - 2019Plan'!$C$9:$G$9,0))</f>
        <v>2.0781129915421366E-2</v>
      </c>
      <c r="W33" s="89">
        <f t="shared" si="3"/>
        <v>2</v>
      </c>
    </row>
    <row r="35" spans="1:23" x14ac:dyDescent="0.25">
      <c r="A35" s="67" t="str">
        <f>'Calc- Prosym Setup'!A26</f>
        <v>Ghent.1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</row>
    <row r="36" spans="1:23" x14ac:dyDescent="0.25">
      <c r="A36" s="67"/>
      <c r="B36" s="57" t="s">
        <v>185</v>
      </c>
      <c r="C36" s="67" t="str">
        <f>IF(AND(I36&gt;0,J36&gt;0),"[v6]",IF(AND(I36&gt;0,J36=" "),"[v5]",IF(AND(I36=" ",J36=" "),"[v4]","[V??]")))</f>
        <v>[v6]</v>
      </c>
      <c r="D36" s="67" t="str">
        <f>D28</f>
        <v>[2018]</v>
      </c>
      <c r="E36" s="66">
        <f>'Calc- Prosym Setup'!C29</f>
        <v>218</v>
      </c>
      <c r="F36" s="66">
        <f>'Calc- Prosym Setup'!D29</f>
        <v>289</v>
      </c>
      <c r="G36" s="66">
        <f>'Calc- Prosym Setup'!E29</f>
        <v>319</v>
      </c>
      <c r="H36" s="66">
        <f>'Calc- Prosym Setup'!F29</f>
        <v>399</v>
      </c>
      <c r="I36" s="66">
        <f>'Calc- Prosym Setup'!G29</f>
        <v>439</v>
      </c>
      <c r="J36" s="66">
        <f>'Calc- Prosym Setup'!H29</f>
        <v>479</v>
      </c>
      <c r="K36" s="67"/>
      <c r="L36" s="67"/>
      <c r="M36" s="67"/>
      <c r="N36" s="67"/>
      <c r="O36" s="67"/>
      <c r="P36" s="67"/>
      <c r="Q36" s="68"/>
      <c r="R36" s="69"/>
      <c r="S36" s="70"/>
      <c r="T36" s="67"/>
      <c r="U36" s="67"/>
    </row>
    <row r="37" spans="1:23" x14ac:dyDescent="0.25">
      <c r="A37" s="67"/>
      <c r="B37" s="57" t="s">
        <v>186</v>
      </c>
      <c r="C37" s="67" t="str">
        <f>C36</f>
        <v>[v6]</v>
      </c>
      <c r="D37" s="67" t="str">
        <f>D29</f>
        <v>[2018]</v>
      </c>
      <c r="E37" s="71">
        <f ca="1">INDEX('Calc- Prosym Setup'!$C$5:$AO$107,MATCH($A35,'Calc- Prosym Setup'!$A$5:$A$107,0)+4,MATCH(VALUE(MID($D37,2,4)),'Calc- Prosym Setup'!$C$4:$AO$4,0))</f>
        <v>2.0844214224125582E-2</v>
      </c>
      <c r="F37" s="71">
        <f ca="1">INDEX('Calc- Prosym Setup'!$C$5:$AO$107,MATCH($A35,'Calc- Prosym Setup'!$A$5:$A$107,0)+4,MATCH(VALUE(MID($D37,2,4)),'Calc- Prosym Setup'!$C$4:$AO$4,0)+'Calc- Prosym Setup'!C$7)</f>
        <v>6.11788169792512E-3</v>
      </c>
      <c r="G37" s="71">
        <f ca="1">INDEX('Calc- Prosym Setup'!$C$5:$AO$107,MATCH($A35,'Calc- Prosym Setup'!$A$5:$A$107,0)+4,MATCH(VALUE(MID($D37,2,4)),'Calc- Prosym Setup'!$C$4:$AO$4,0)+'Calc- Prosym Setup'!D$7)</f>
        <v>1.0652022407390284E-2</v>
      </c>
      <c r="H37" s="71">
        <f ca="1">INDEX('Calc- Prosym Setup'!$C$5:$AO$107,MATCH($A35,'Calc- Prosym Setup'!$A$5:$A$107,0)+4,MATCH(VALUE(MID($D37,2,4)),'Calc- Prosym Setup'!$C$4:$AO$4,0)+'Calc- Prosym Setup'!E$7)</f>
        <v>1.1313463645655374E-3</v>
      </c>
      <c r="I37" s="71">
        <f ca="1">INDEX('Calc- Prosym Setup'!$C$5:$AO$107,MATCH($A35,'Calc- Prosym Setup'!$A$5:$A$107,0)+4,MATCH(VALUE(MID($D37,2,4)),'Calc- Prosym Setup'!$C$4:$AO$4,0)+'Calc- Prosym Setup'!F$7)</f>
        <v>8.6629012946690803E-4</v>
      </c>
      <c r="J37" s="71" t="str">
        <f ca="1">"/ADD "&amp;TEXT(INDEX('Calc- Prosym Setup'!$C$5:$AO$107,MATCH($A35,'Calc- Prosym Setup'!$A$5:$A$107,0)+4,MATCH(VALUE(MID($D37,2,4)),'Calc- Prosym Setup'!$C$4:$AO$4,0)+'Calc- Prosym Setup'!G$7),"0.0000")&amp;" @IncFOR /"</f>
        <v>/ADD 0.9040 @IncFOR /</v>
      </c>
      <c r="K37" s="67" t="str">
        <f>IF(VALUE(MID($D37,2,4))&lt;'INP-Calc EFOR&amp;EUOR - 2019Plan'!$G$9,"-"," ")</f>
        <v>-</v>
      </c>
      <c r="L37" s="63" t="s">
        <v>187</v>
      </c>
      <c r="M37" s="68">
        <f ca="1">INDEX('INP-Calc EFOR&amp;EUOR - 2019Plan'!$I$11:$M$34,MATCH(INDIRECT(ADDRESS(5+7*$W37,3,,,"Calc- Prosym Setup")),'INP-Calc EFOR&amp;EUOR - 2019Plan'!$A$11:$A$34,0),MATCH(VALUE(MID(D37,2,4)),'INP-Calc EFOR&amp;EUOR - 2019Plan'!$C$9:$G$9,0))</f>
        <v>7.3999999999999996E-2</v>
      </c>
      <c r="N37" s="64" t="s">
        <v>188</v>
      </c>
      <c r="O37" s="68">
        <f ca="1">INDEX('INP-Calc EFOR&amp;EUOR - 2019Plan'!$C$11:$G$34,MATCH(INDIRECT(ADDRESS(5+7*$W37,3,,,"Calc- Prosym Setup")),'INP-Calc EFOR&amp;EUOR - 2019Plan'!$A$11:$A$34,0),MATCH(VALUE(MID(D37,2,4)),'INP-Calc EFOR&amp;EUOR - 2019Plan'!$C$9:$G$9,0))</f>
        <v>5.1999999999999998E-2</v>
      </c>
      <c r="P37" s="64" t="s">
        <v>189</v>
      </c>
      <c r="Q37" s="68">
        <f ca="1">INDEX('INP-Calc EFOR&amp;EUOR - 2019Plan'!$U$11:$Y$34,MATCH(INDIRECT(ADDRESS(5+7*$W37,3,,,"Calc- Prosym Setup")),'INP-Calc EFOR&amp;EUOR - 2019Plan'!$A$11:$A$34,0),MATCH(VALUE(MID(D37,2,4)),'INP-Calc EFOR&amp;EUOR - 2019Plan'!$C$9:$G$9,0))</f>
        <v>3.4396199718937544E-2</v>
      </c>
      <c r="R37" s="64" t="s">
        <v>190</v>
      </c>
      <c r="S37" s="68">
        <f ca="1">INDEX('INP-Calc EFOR&amp;EUOR - 2019Plan'!$O$11:$S$34,MATCH(INDIRECT(ADDRESS(5+7*$W37,3,,,"Calc- Prosym Setup")),'INP-Calc EFOR&amp;EUOR - 2019Plan'!$A$11:$A$34,0),MATCH(VALUE(MID(D37,2,4)),'INP-Calc EFOR&amp;EUOR - 2019Plan'!$C$9:$G$9,0))</f>
        <v>2.1999999999999999E-2</v>
      </c>
      <c r="T37" s="64" t="s">
        <v>191</v>
      </c>
      <c r="U37" s="68">
        <f ca="1">INDEX('INP-Calc EFOR&amp;EUOR - 2019Plan'!$AA$11:$AE$34,MATCH(INDIRECT(ADDRESS(5+7*$W37,3,,,"Calc- Prosym Setup")),'INP-Calc EFOR&amp;EUOR - 2019Plan'!$A$11:$A$34,0),MATCH(VALUE(MID(D37,2,4)),'INP-Calc EFOR&amp;EUOR - 2019Plan'!$C$9:$G$9,0))</f>
        <v>1.8230873030883308E-2</v>
      </c>
      <c r="W37" s="89">
        <f>W29+1</f>
        <v>3</v>
      </c>
    </row>
    <row r="38" spans="1:23" x14ac:dyDescent="0.25">
      <c r="A38" s="67"/>
      <c r="B38" s="67"/>
      <c r="C38" s="67"/>
      <c r="D38" s="67" t="str">
        <f>D30</f>
        <v>[2019]</v>
      </c>
      <c r="E38" s="71">
        <f ca="1">INDEX('Calc- Prosym Setup'!$C$5:$AO$107,MATCH($A35,'Calc- Prosym Setup'!$A$5:$A$107,0)+4,MATCH(VALUE(MID($D38,2,4)),'Calc- Prosym Setup'!$C$4:$AO$4,0))</f>
        <v>2.0844214224125582E-2</v>
      </c>
      <c r="F38" s="71">
        <f ca="1">INDEX('Calc- Prosym Setup'!$C$5:$AO$107,MATCH($A35,'Calc- Prosym Setup'!$A$5:$A$107,0)+4,MATCH(VALUE(MID($D38,2,4)),'Calc- Prosym Setup'!$C$4:$AO$4,0)+'Calc- Prosym Setup'!C$7)</f>
        <v>6.11788169792512E-3</v>
      </c>
      <c r="G38" s="71">
        <f ca="1">INDEX('Calc- Prosym Setup'!$C$5:$AO$107,MATCH($A35,'Calc- Prosym Setup'!$A$5:$A$107,0)+4,MATCH(VALUE(MID($D38,2,4)),'Calc- Prosym Setup'!$C$4:$AO$4,0)+'Calc- Prosym Setup'!D$7)</f>
        <v>1.0652022407390284E-2</v>
      </c>
      <c r="H38" s="71">
        <f ca="1">INDEX('Calc- Prosym Setup'!$C$5:$AO$107,MATCH($A35,'Calc- Prosym Setup'!$A$5:$A$107,0)+4,MATCH(VALUE(MID($D38,2,4)),'Calc- Prosym Setup'!$C$4:$AO$4,0)+'Calc- Prosym Setup'!E$7)</f>
        <v>1.1313463645655374E-3</v>
      </c>
      <c r="I38" s="71">
        <f ca="1">INDEX('Calc- Prosym Setup'!$C$5:$AO$107,MATCH($A35,'Calc- Prosym Setup'!$A$5:$A$107,0)+4,MATCH(VALUE(MID($D38,2,4)),'Calc- Prosym Setup'!$C$4:$AO$4,0)+'Calc- Prosym Setup'!F$7)</f>
        <v>8.6629012946690803E-4</v>
      </c>
      <c r="J38" s="71" t="str">
        <f ca="1">"/ADD "&amp;TEXT(INDEX('Calc- Prosym Setup'!$C$5:$AO$107,MATCH($A35,'Calc- Prosym Setup'!$A$5:$A$107,0)+4,MATCH(VALUE(MID($D38,2,4)),'Calc- Prosym Setup'!$C$4:$AO$4,0)+'Calc- Prosym Setup'!G$7),"0.0000")&amp;" @IncFOR /"</f>
        <v>/ADD 0.9040 @IncFOR /</v>
      </c>
      <c r="K38" s="67" t="str">
        <f>IF(VALUE(MID($D38,2,4))&lt;'INP-Calc EFOR&amp;EUOR - 2019Plan'!$G$9,"-"," ")</f>
        <v>-</v>
      </c>
      <c r="L38" s="63" t="s">
        <v>187</v>
      </c>
      <c r="M38" s="68">
        <f ca="1">INDEX('INP-Calc EFOR&amp;EUOR - 2019Plan'!$I$11:$M$34,MATCH(INDIRECT(ADDRESS(5+7*$W38,3,,,"Calc- Prosym Setup")),'INP-Calc EFOR&amp;EUOR - 2019Plan'!$A$11:$A$34,0),MATCH(VALUE(MID(D38,2,4)),'INP-Calc EFOR&amp;EUOR - 2019Plan'!$C$9:$G$9,0))</f>
        <v>7.3999999999999996E-2</v>
      </c>
      <c r="N38" s="64" t="s">
        <v>188</v>
      </c>
      <c r="O38" s="68">
        <f ca="1">INDEX('INP-Calc EFOR&amp;EUOR - 2019Plan'!$C$11:$G$34,MATCH(INDIRECT(ADDRESS(5+7*$W38,3,,,"Calc- Prosym Setup")),'INP-Calc EFOR&amp;EUOR - 2019Plan'!$A$11:$A$34,0),MATCH(VALUE(MID(D38,2,4)),'INP-Calc EFOR&amp;EUOR - 2019Plan'!$C$9:$G$9,0))</f>
        <v>5.1999999999999998E-2</v>
      </c>
      <c r="P38" s="64" t="s">
        <v>189</v>
      </c>
      <c r="Q38" s="68">
        <f ca="1">INDEX('INP-Calc EFOR&amp;EUOR - 2019Plan'!$U$11:$Y$34,MATCH(INDIRECT(ADDRESS(5+7*$W38,3,,,"Calc- Prosym Setup")),'INP-Calc EFOR&amp;EUOR - 2019Plan'!$A$11:$A$34,0),MATCH(VALUE(MID(D38,2,4)),'INP-Calc EFOR&amp;EUOR - 2019Plan'!$C$9:$G$9,0))</f>
        <v>3.4396199718937544E-2</v>
      </c>
      <c r="R38" s="64" t="s">
        <v>190</v>
      </c>
      <c r="S38" s="68">
        <f ca="1">INDEX('INP-Calc EFOR&amp;EUOR - 2019Plan'!$O$11:$S$34,MATCH(INDIRECT(ADDRESS(5+7*$W38,3,,,"Calc- Prosym Setup")),'INP-Calc EFOR&amp;EUOR - 2019Plan'!$A$11:$A$34,0),MATCH(VALUE(MID(D38,2,4)),'INP-Calc EFOR&amp;EUOR - 2019Plan'!$C$9:$G$9,0))</f>
        <v>2.1999999999999999E-2</v>
      </c>
      <c r="T38" s="64" t="s">
        <v>191</v>
      </c>
      <c r="U38" s="68">
        <f ca="1">INDEX('INP-Calc EFOR&amp;EUOR - 2019Plan'!$AA$11:$AE$34,MATCH(INDIRECT(ADDRESS(5+7*$W38,3,,,"Calc- Prosym Setup")),'INP-Calc EFOR&amp;EUOR - 2019Plan'!$A$11:$A$34,0),MATCH(VALUE(MID(D38,2,4)),'INP-Calc EFOR&amp;EUOR - 2019Plan'!$C$9:$G$9,0))</f>
        <v>1.8230873030883308E-2</v>
      </c>
      <c r="W38" s="89">
        <f>W37</f>
        <v>3</v>
      </c>
    </row>
    <row r="39" spans="1:23" x14ac:dyDescent="0.25">
      <c r="A39" s="67"/>
      <c r="B39" s="67"/>
      <c r="C39" s="67"/>
      <c r="D39" s="67" t="str">
        <f>D31</f>
        <v>[2020]</v>
      </c>
      <c r="E39" s="71">
        <f ca="1">INDEX('Calc- Prosym Setup'!$C$5:$AO$107,MATCH($A35,'Calc- Prosym Setup'!$A$5:$A$107,0)+4,MATCH(VALUE(MID($D39,2,4)),'Calc- Prosym Setup'!$C$4:$AO$4,0))</f>
        <v>2.0844214224125582E-2</v>
      </c>
      <c r="F39" s="71">
        <f ca="1">INDEX('Calc- Prosym Setup'!$C$5:$AO$107,MATCH($A35,'Calc- Prosym Setup'!$A$5:$A$107,0)+4,MATCH(VALUE(MID($D39,2,4)),'Calc- Prosym Setup'!$C$4:$AO$4,0)+'Calc- Prosym Setup'!C$7)</f>
        <v>6.11788169792512E-3</v>
      </c>
      <c r="G39" s="71">
        <f ca="1">INDEX('Calc- Prosym Setup'!$C$5:$AO$107,MATCH($A35,'Calc- Prosym Setup'!$A$5:$A$107,0)+4,MATCH(VALUE(MID($D39,2,4)),'Calc- Prosym Setup'!$C$4:$AO$4,0)+'Calc- Prosym Setup'!D$7)</f>
        <v>1.0652022407390284E-2</v>
      </c>
      <c r="H39" s="71">
        <f ca="1">INDEX('Calc- Prosym Setup'!$C$5:$AO$107,MATCH($A35,'Calc- Prosym Setup'!$A$5:$A$107,0)+4,MATCH(VALUE(MID($D39,2,4)),'Calc- Prosym Setup'!$C$4:$AO$4,0)+'Calc- Prosym Setup'!E$7)</f>
        <v>1.1313463645655374E-3</v>
      </c>
      <c r="I39" s="71">
        <f ca="1">INDEX('Calc- Prosym Setup'!$C$5:$AO$107,MATCH($A35,'Calc- Prosym Setup'!$A$5:$A$107,0)+4,MATCH(VALUE(MID($D39,2,4)),'Calc- Prosym Setup'!$C$4:$AO$4,0)+'Calc- Prosym Setup'!F$7)</f>
        <v>8.6629012946690803E-4</v>
      </c>
      <c r="J39" s="71" t="str">
        <f ca="1">"/ADD "&amp;TEXT(INDEX('Calc- Prosym Setup'!$C$5:$AO$107,MATCH($A35,'Calc- Prosym Setup'!$A$5:$A$107,0)+4,MATCH(VALUE(MID($D39,2,4)),'Calc- Prosym Setup'!$C$4:$AO$4,0)+'Calc- Prosym Setup'!G$7),"0.0000")&amp;" @IncFOR /"</f>
        <v>/ADD 0.9040 @IncFOR /</v>
      </c>
      <c r="K39" s="67" t="str">
        <f>IF(VALUE(MID($D39,2,4))&lt;'INP-Calc EFOR&amp;EUOR - 2019Plan'!$G$9,"-"," ")</f>
        <v>-</v>
      </c>
      <c r="L39" s="63" t="s">
        <v>187</v>
      </c>
      <c r="M39" s="68">
        <f ca="1">INDEX('INP-Calc EFOR&amp;EUOR - 2019Plan'!$I$11:$M$34,MATCH(INDIRECT(ADDRESS(5+7*$W39,3,,,"Calc- Prosym Setup")),'INP-Calc EFOR&amp;EUOR - 2019Plan'!$A$11:$A$34,0),MATCH(VALUE(MID(D39,2,4)),'INP-Calc EFOR&amp;EUOR - 2019Plan'!$C$9:$G$9,0))</f>
        <v>7.3999999999999996E-2</v>
      </c>
      <c r="N39" s="64" t="s">
        <v>188</v>
      </c>
      <c r="O39" s="68">
        <f ca="1">INDEX('INP-Calc EFOR&amp;EUOR - 2019Plan'!$C$11:$G$34,MATCH(INDIRECT(ADDRESS(5+7*$W39,3,,,"Calc- Prosym Setup")),'INP-Calc EFOR&amp;EUOR - 2019Plan'!$A$11:$A$34,0),MATCH(VALUE(MID(D39,2,4)),'INP-Calc EFOR&amp;EUOR - 2019Plan'!$C$9:$G$9,0))</f>
        <v>5.1999999999999998E-2</v>
      </c>
      <c r="P39" s="64" t="s">
        <v>189</v>
      </c>
      <c r="Q39" s="68">
        <f ca="1">INDEX('INP-Calc EFOR&amp;EUOR - 2019Plan'!$U$11:$Y$34,MATCH(INDIRECT(ADDRESS(5+7*$W39,3,,,"Calc- Prosym Setup")),'INP-Calc EFOR&amp;EUOR - 2019Plan'!$A$11:$A$34,0),MATCH(VALUE(MID(D39,2,4)),'INP-Calc EFOR&amp;EUOR - 2019Plan'!$C$9:$G$9,0))</f>
        <v>3.4396199718937544E-2</v>
      </c>
      <c r="R39" s="64" t="s">
        <v>190</v>
      </c>
      <c r="S39" s="68">
        <f ca="1">INDEX('INP-Calc EFOR&amp;EUOR - 2019Plan'!$O$11:$S$34,MATCH(INDIRECT(ADDRESS(5+7*$W39,3,,,"Calc- Prosym Setup")),'INP-Calc EFOR&amp;EUOR - 2019Plan'!$A$11:$A$34,0),MATCH(VALUE(MID(D39,2,4)),'INP-Calc EFOR&amp;EUOR - 2019Plan'!$C$9:$G$9,0))</f>
        <v>2.1999999999999999E-2</v>
      </c>
      <c r="T39" s="64" t="s">
        <v>191</v>
      </c>
      <c r="U39" s="68">
        <f ca="1">INDEX('INP-Calc EFOR&amp;EUOR - 2019Plan'!$AA$11:$AE$34,MATCH(INDIRECT(ADDRESS(5+7*$W39,3,,,"Calc- Prosym Setup")),'INP-Calc EFOR&amp;EUOR - 2019Plan'!$A$11:$A$34,0),MATCH(VALUE(MID(D39,2,4)),'INP-Calc EFOR&amp;EUOR - 2019Plan'!$C$9:$G$9,0))</f>
        <v>1.8230873030883308E-2</v>
      </c>
      <c r="W39" s="89">
        <f t="shared" ref="W39:W41" si="5">W38</f>
        <v>3</v>
      </c>
    </row>
    <row r="40" spans="1:23" x14ac:dyDescent="0.25">
      <c r="A40" s="67"/>
      <c r="B40" s="67"/>
      <c r="C40" s="67"/>
      <c r="D40" s="67" t="str">
        <f>D32</f>
        <v>[2021]</v>
      </c>
      <c r="E40" s="71">
        <f ca="1">INDEX('Calc- Prosym Setup'!$C$5:$AO$107,MATCH($A35,'Calc- Prosym Setup'!$A$5:$A$107,0)+4,MATCH(VALUE(MID($D40,2,4)),'Calc- Prosym Setup'!$C$4:$AO$4,0))</f>
        <v>2.0844214224125582E-2</v>
      </c>
      <c r="F40" s="71">
        <f ca="1">INDEX('Calc- Prosym Setup'!$C$5:$AO$107,MATCH($A35,'Calc- Prosym Setup'!$A$5:$A$107,0)+4,MATCH(VALUE(MID($D40,2,4)),'Calc- Prosym Setup'!$C$4:$AO$4,0)+'Calc- Prosym Setup'!C$7)</f>
        <v>6.11788169792512E-3</v>
      </c>
      <c r="G40" s="71">
        <f ca="1">INDEX('Calc- Prosym Setup'!$C$5:$AO$107,MATCH($A35,'Calc- Prosym Setup'!$A$5:$A$107,0)+4,MATCH(VALUE(MID($D40,2,4)),'Calc- Prosym Setup'!$C$4:$AO$4,0)+'Calc- Prosym Setup'!D$7)</f>
        <v>1.0652022407390284E-2</v>
      </c>
      <c r="H40" s="71">
        <f ca="1">INDEX('Calc- Prosym Setup'!$C$5:$AO$107,MATCH($A35,'Calc- Prosym Setup'!$A$5:$A$107,0)+4,MATCH(VALUE(MID($D40,2,4)),'Calc- Prosym Setup'!$C$4:$AO$4,0)+'Calc- Prosym Setup'!E$7)</f>
        <v>1.1313463645655374E-3</v>
      </c>
      <c r="I40" s="71">
        <f ca="1">INDEX('Calc- Prosym Setup'!$C$5:$AO$107,MATCH($A35,'Calc- Prosym Setup'!$A$5:$A$107,0)+4,MATCH(VALUE(MID($D40,2,4)),'Calc- Prosym Setup'!$C$4:$AO$4,0)+'Calc- Prosym Setup'!F$7)</f>
        <v>8.6629012946690803E-4</v>
      </c>
      <c r="J40" s="71" t="str">
        <f ca="1">"/ADD "&amp;TEXT(INDEX('Calc- Prosym Setup'!$C$5:$AO$107,MATCH($A35,'Calc- Prosym Setup'!$A$5:$A$107,0)+4,MATCH(VALUE(MID($D40,2,4)),'Calc- Prosym Setup'!$C$4:$AO$4,0)+'Calc- Prosym Setup'!G$7),"0.0000")&amp;" @IncFOR /"</f>
        <v>/ADD 0.9040 @IncFOR /</v>
      </c>
      <c r="K40" s="67" t="str">
        <f>IF(VALUE(MID($D40,2,4))&lt;'INP-Calc EFOR&amp;EUOR - 2019Plan'!$G$9,"-"," ")</f>
        <v>-</v>
      </c>
      <c r="L40" s="63" t="s">
        <v>187</v>
      </c>
      <c r="M40" s="68">
        <f ca="1">INDEX('INP-Calc EFOR&amp;EUOR - 2019Plan'!$I$11:$M$34,MATCH(INDIRECT(ADDRESS(5+7*$W40,3,,,"Calc- Prosym Setup")),'INP-Calc EFOR&amp;EUOR - 2019Plan'!$A$11:$A$34,0),MATCH(VALUE(MID(D40,2,4)),'INP-Calc EFOR&amp;EUOR - 2019Plan'!$C$9:$G$9,0))</f>
        <v>7.3999999999999996E-2</v>
      </c>
      <c r="N40" s="64" t="s">
        <v>188</v>
      </c>
      <c r="O40" s="68">
        <f ca="1">INDEX('INP-Calc EFOR&amp;EUOR - 2019Plan'!$C$11:$G$34,MATCH(INDIRECT(ADDRESS(5+7*$W40,3,,,"Calc- Prosym Setup")),'INP-Calc EFOR&amp;EUOR - 2019Plan'!$A$11:$A$34,0),MATCH(VALUE(MID(D40,2,4)),'INP-Calc EFOR&amp;EUOR - 2019Plan'!$C$9:$G$9,0))</f>
        <v>5.1999999999999998E-2</v>
      </c>
      <c r="P40" s="64" t="s">
        <v>189</v>
      </c>
      <c r="Q40" s="68">
        <f ca="1">INDEX('INP-Calc EFOR&amp;EUOR - 2019Plan'!$U$11:$Y$34,MATCH(INDIRECT(ADDRESS(5+7*$W40,3,,,"Calc- Prosym Setup")),'INP-Calc EFOR&amp;EUOR - 2019Plan'!$A$11:$A$34,0),MATCH(VALUE(MID(D40,2,4)),'INP-Calc EFOR&amp;EUOR - 2019Plan'!$C$9:$G$9,0))</f>
        <v>3.4396199718937544E-2</v>
      </c>
      <c r="R40" s="64" t="s">
        <v>190</v>
      </c>
      <c r="S40" s="68">
        <f ca="1">INDEX('INP-Calc EFOR&amp;EUOR - 2019Plan'!$O$11:$S$34,MATCH(INDIRECT(ADDRESS(5+7*$W40,3,,,"Calc- Prosym Setup")),'INP-Calc EFOR&amp;EUOR - 2019Plan'!$A$11:$A$34,0),MATCH(VALUE(MID(D40,2,4)),'INP-Calc EFOR&amp;EUOR - 2019Plan'!$C$9:$G$9,0))</f>
        <v>2.1999999999999999E-2</v>
      </c>
      <c r="T40" s="64" t="s">
        <v>191</v>
      </c>
      <c r="U40" s="68">
        <f ca="1">INDEX('INP-Calc EFOR&amp;EUOR - 2019Plan'!$AA$11:$AE$34,MATCH(INDIRECT(ADDRESS(5+7*$W40,3,,,"Calc- Prosym Setup")),'INP-Calc EFOR&amp;EUOR - 2019Plan'!$A$11:$A$34,0),MATCH(VALUE(MID(D40,2,4)),'INP-Calc EFOR&amp;EUOR - 2019Plan'!$C$9:$G$9,0))</f>
        <v>1.8230873030883308E-2</v>
      </c>
      <c r="W40" s="89">
        <f t="shared" si="5"/>
        <v>3</v>
      </c>
    </row>
    <row r="41" spans="1:23" x14ac:dyDescent="0.25">
      <c r="A41" s="72"/>
      <c r="B41" s="72"/>
      <c r="C41" s="72"/>
      <c r="D41" s="72" t="str">
        <f t="shared" ref="D41" si="6">D33</f>
        <v>[2022]</v>
      </c>
      <c r="E41" s="88">
        <f ca="1">INDEX('Calc- Prosym Setup'!$C$5:$AO$107,MATCH($A35,'Calc- Prosym Setup'!$A$5:$A$107,0)+4,MATCH(VALUE(MID($D41,2,4)),'Calc- Prosym Setup'!$C$4:$AO$4,0))</f>
        <v>2.0844214224125582E-2</v>
      </c>
      <c r="F41" s="88">
        <f ca="1">INDEX('Calc- Prosym Setup'!$C$5:$AO$107,MATCH($A35,'Calc- Prosym Setup'!$A$5:$A$107,0)+4,MATCH(VALUE(MID($D41,2,4)),'Calc- Prosym Setup'!$C$4:$AO$4,0)+'Calc- Prosym Setup'!C$7)</f>
        <v>6.11788169792512E-3</v>
      </c>
      <c r="G41" s="88">
        <f ca="1">INDEX('Calc- Prosym Setup'!$C$5:$AO$107,MATCH($A35,'Calc- Prosym Setup'!$A$5:$A$107,0)+4,MATCH(VALUE(MID($D41,2,4)),'Calc- Prosym Setup'!$C$4:$AO$4,0)+'Calc- Prosym Setup'!D$7)</f>
        <v>1.0652022407390284E-2</v>
      </c>
      <c r="H41" s="88">
        <f ca="1">INDEX('Calc- Prosym Setup'!$C$5:$AO$107,MATCH($A35,'Calc- Prosym Setup'!$A$5:$A$107,0)+4,MATCH(VALUE(MID($D41,2,4)),'Calc- Prosym Setup'!$C$4:$AO$4,0)+'Calc- Prosym Setup'!E$7)</f>
        <v>1.1313463645655374E-3</v>
      </c>
      <c r="I41" s="88">
        <f ca="1">INDEX('Calc- Prosym Setup'!$C$5:$AO$107,MATCH($A35,'Calc- Prosym Setup'!$A$5:$A$107,0)+4,MATCH(VALUE(MID($D41,2,4)),'Calc- Prosym Setup'!$C$4:$AO$4,0)+'Calc- Prosym Setup'!F$7)</f>
        <v>8.6629012946690803E-4</v>
      </c>
      <c r="J41" s="88" t="str">
        <f ca="1">"/ADD "&amp;TEXT(INDEX('Calc- Prosym Setup'!$C$5:$AO$107,MATCH($A35,'Calc- Prosym Setup'!$A$5:$A$107,0)+4,MATCH(VALUE(MID($D41,2,4)),'Calc- Prosym Setup'!$C$4:$AO$4,0)+'Calc- Prosym Setup'!G$7),"0.0000")&amp;" @IncFOR /"</f>
        <v>/ADD 0.9040 @IncFOR /</v>
      </c>
      <c r="K41" s="72" t="str">
        <f>IF(VALUE(MID($D41,2,4))&lt;'INP-Calc EFOR&amp;EUOR - 2019Plan'!$G$9,"-"," ")</f>
        <v xml:space="preserve"> </v>
      </c>
      <c r="L41" s="65" t="s">
        <v>187</v>
      </c>
      <c r="M41" s="74">
        <f ca="1">INDEX('INP-Calc EFOR&amp;EUOR - 2019Plan'!$I$11:$M$34,MATCH(INDIRECT(ADDRESS(5+7*$W41,3,,,"Calc- Prosym Setup")),'INP-Calc EFOR&amp;EUOR - 2019Plan'!$A$11:$A$34,0),MATCH(VALUE(MID(D41,2,4)),'INP-Calc EFOR&amp;EUOR - 2019Plan'!$C$9:$G$9,0))</f>
        <v>7.3999999999999996E-2</v>
      </c>
      <c r="N41" s="75" t="s">
        <v>188</v>
      </c>
      <c r="O41" s="74">
        <f ca="1">INDEX('INP-Calc EFOR&amp;EUOR - 2019Plan'!$C$11:$G$34,MATCH(INDIRECT(ADDRESS(5+7*$W41,3,,,"Calc- Prosym Setup")),'INP-Calc EFOR&amp;EUOR - 2019Plan'!$A$11:$A$34,0),MATCH(VALUE(MID(D41,2,4)),'INP-Calc EFOR&amp;EUOR - 2019Plan'!$C$9:$G$9,0))</f>
        <v>5.1999999999999998E-2</v>
      </c>
      <c r="P41" s="75" t="s">
        <v>189</v>
      </c>
      <c r="Q41" s="74">
        <f ca="1">INDEX('INP-Calc EFOR&amp;EUOR - 2019Plan'!$U$11:$Y$34,MATCH(INDIRECT(ADDRESS(5+7*$W41,3,,,"Calc- Prosym Setup")),'INP-Calc EFOR&amp;EUOR - 2019Plan'!$A$11:$A$34,0),MATCH(VALUE(MID(D41,2,4)),'INP-Calc EFOR&amp;EUOR - 2019Plan'!$C$9:$G$9,0))</f>
        <v>3.4396199718937544E-2</v>
      </c>
      <c r="R41" s="75" t="s">
        <v>190</v>
      </c>
      <c r="S41" s="74">
        <f ca="1">INDEX('INP-Calc EFOR&amp;EUOR - 2019Plan'!$O$11:$S$34,MATCH(INDIRECT(ADDRESS(5+7*$W41,3,,,"Calc- Prosym Setup")),'INP-Calc EFOR&amp;EUOR - 2019Plan'!$A$11:$A$34,0),MATCH(VALUE(MID(D41,2,4)),'INP-Calc EFOR&amp;EUOR - 2019Plan'!$C$9:$G$9,0))</f>
        <v>2.1999999999999999E-2</v>
      </c>
      <c r="T41" s="75" t="s">
        <v>191</v>
      </c>
      <c r="U41" s="74">
        <f ca="1">INDEX('INP-Calc EFOR&amp;EUOR - 2019Plan'!$AA$11:$AE$34,MATCH(INDIRECT(ADDRESS(5+7*$W41,3,,,"Calc- Prosym Setup")),'INP-Calc EFOR&amp;EUOR - 2019Plan'!$A$11:$A$34,0),MATCH(VALUE(MID(D41,2,4)),'INP-Calc EFOR&amp;EUOR - 2019Plan'!$C$9:$G$9,0))</f>
        <v>1.8230873030883308E-2</v>
      </c>
      <c r="W41" s="89">
        <f t="shared" si="5"/>
        <v>3</v>
      </c>
    </row>
    <row r="43" spans="1:23" x14ac:dyDescent="0.25">
      <c r="A43" s="67" t="str">
        <f>'Calc- Prosym Setup'!A33</f>
        <v>Ghent.2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</row>
    <row r="44" spans="1:23" x14ac:dyDescent="0.25">
      <c r="A44" s="67"/>
      <c r="B44" s="57" t="s">
        <v>185</v>
      </c>
      <c r="C44" s="67" t="str">
        <f>IF(AND(I44&gt;0,J44&gt;0),"[v6]",IF(AND(I44&gt;0,J44=" "),"[v5]",IF(AND(I44=" ",J44=" "),"[v4]","[V??]")))</f>
        <v>[v6]</v>
      </c>
      <c r="D44" s="67" t="str">
        <f>D36</f>
        <v>[2018]</v>
      </c>
      <c r="E44" s="66">
        <f>'Calc- Prosym Setup'!C36</f>
        <v>225</v>
      </c>
      <c r="F44" s="66">
        <f>'Calc- Prosym Setup'!D36</f>
        <v>296</v>
      </c>
      <c r="G44" s="66">
        <f>'Calc- Prosym Setup'!E36</f>
        <v>326</v>
      </c>
      <c r="H44" s="66">
        <f>'Calc- Prosym Setup'!F36</f>
        <v>406</v>
      </c>
      <c r="I44" s="66">
        <f>'Calc- Prosym Setup'!G36</f>
        <v>446</v>
      </c>
      <c r="J44" s="66">
        <f>'Calc- Prosym Setup'!H36</f>
        <v>486</v>
      </c>
      <c r="K44" s="67"/>
      <c r="L44" s="67"/>
      <c r="M44" s="67"/>
      <c r="N44" s="67"/>
      <c r="O44" s="67"/>
      <c r="P44" s="67"/>
      <c r="Q44" s="68"/>
      <c r="R44" s="69"/>
      <c r="S44" s="70"/>
      <c r="T44" s="67"/>
      <c r="U44" s="67"/>
    </row>
    <row r="45" spans="1:23" x14ac:dyDescent="0.25">
      <c r="A45" s="67"/>
      <c r="B45" s="57" t="s">
        <v>186</v>
      </c>
      <c r="C45" s="67" t="str">
        <f>C44</f>
        <v>[v6]</v>
      </c>
      <c r="D45" s="67" t="str">
        <f>D37</f>
        <v>[2018]</v>
      </c>
      <c r="E45" s="71">
        <f ca="1">INDEX('Calc- Prosym Setup'!$C$5:$AO$107,MATCH($A43,'Calc- Prosym Setup'!$A$5:$A$107,0)+4,MATCH(VALUE(MID($D45,2,4)),'Calc- Prosym Setup'!$C$4:$AO$4,0))</f>
        <v>3.7330306354450122E-3</v>
      </c>
      <c r="F45" s="71">
        <f ca="1">INDEX('Calc- Prosym Setup'!$C$5:$AO$107,MATCH($A43,'Calc- Prosym Setup'!$A$5:$A$107,0)+4,MATCH(VALUE(MID($D45,2,4)),'Calc- Prosym Setup'!$C$4:$AO$4,0)+'Calc- Prosym Setup'!C$7)</f>
        <v>2.8421965144902351E-3</v>
      </c>
      <c r="G45" s="71">
        <f ca="1">INDEX('Calc- Prosym Setup'!$C$5:$AO$107,MATCH($A43,'Calc- Prosym Setup'!$A$5:$A$107,0)+4,MATCH(VALUE(MID($D45,2,4)),'Calc- Prosym Setup'!$C$4:$AO$4,0)+'Calc- Prosym Setup'!D$7)</f>
        <v>3.4031500186452047E-2</v>
      </c>
      <c r="H45" s="71">
        <f ca="1">INDEX('Calc- Prosym Setup'!$C$5:$AO$107,MATCH($A43,'Calc- Prosym Setup'!$A$5:$A$107,0)+4,MATCH(VALUE(MID($D45,2,4)),'Calc- Prosym Setup'!$C$4:$AO$4,0)+'Calc- Prosym Setup'!E$7)</f>
        <v>1.9303732729436258E-2</v>
      </c>
      <c r="I45" s="71">
        <f ca="1">INDEX('Calc- Prosym Setup'!$C$5:$AO$107,MATCH($A43,'Calc- Prosym Setup'!$A$5:$A$107,0)+4,MATCH(VALUE(MID($D45,2,4)),'Calc- Prosym Setup'!$C$4:$AO$4,0)+'Calc- Prosym Setup'!F$7)</f>
        <v>1.2942488701206815E-3</v>
      </c>
      <c r="J45" s="71" t="str">
        <f ca="1">"/ADD "&amp;TEXT(INDEX('Calc- Prosym Setup'!$C$5:$AO$107,MATCH($A43,'Calc- Prosym Setup'!$A$5:$A$107,0)+4,MATCH(VALUE(MID($D45,2,4)),'Calc- Prosym Setup'!$C$4:$AO$4,0)+'Calc- Prosym Setup'!G$7),"0.0000")&amp;" @IncFOR /"</f>
        <v>/ADD 0.8824 @IncFOR /</v>
      </c>
      <c r="K45" s="67" t="str">
        <f>IF(VALUE(MID($D45,2,4))&lt;'INP-Calc EFOR&amp;EUOR - 2019Plan'!$G$9,"-"," ")</f>
        <v>-</v>
      </c>
      <c r="L45" s="63" t="s">
        <v>187</v>
      </c>
      <c r="M45" s="68">
        <f ca="1">INDEX('INP-Calc EFOR&amp;EUOR - 2019Plan'!$I$11:$M$34,MATCH(INDIRECT(ADDRESS(5+7*$W45,3,,,"Calc- Prosym Setup")),'INP-Calc EFOR&amp;EUOR - 2019Plan'!$A$11:$A$34,0),MATCH(VALUE(MID(D45,2,4)),'INP-Calc EFOR&amp;EUOR - 2019Plan'!$C$9:$G$9,0))</f>
        <v>7.3999999999999996E-2</v>
      </c>
      <c r="N45" s="64" t="s">
        <v>188</v>
      </c>
      <c r="O45" s="68">
        <f ca="1">INDEX('INP-Calc EFOR&amp;EUOR - 2019Plan'!$C$11:$G$34,MATCH(INDIRECT(ADDRESS(5+7*$W45,3,,,"Calc- Prosym Setup")),'INP-Calc EFOR&amp;EUOR - 2019Plan'!$A$11:$A$34,0),MATCH(VALUE(MID(D45,2,4)),'INP-Calc EFOR&amp;EUOR - 2019Plan'!$C$9:$G$9,0))</f>
        <v>5.1999999999999998E-2</v>
      </c>
      <c r="P45" s="64" t="s">
        <v>189</v>
      </c>
      <c r="Q45" s="68">
        <f ca="1">INDEX('INP-Calc EFOR&amp;EUOR - 2019Plan'!$U$11:$Y$34,MATCH(INDIRECT(ADDRESS(5+7*$W45,3,,,"Calc- Prosym Setup")),'INP-Calc EFOR&amp;EUOR - 2019Plan'!$A$11:$A$34,0),MATCH(VALUE(MID(D45,2,4)),'INP-Calc EFOR&amp;EUOR - 2019Plan'!$C$9:$G$9,0))</f>
        <v>3.4396199718937544E-2</v>
      </c>
      <c r="R45" s="64" t="s">
        <v>190</v>
      </c>
      <c r="S45" s="68">
        <f ca="1">INDEX('INP-Calc EFOR&amp;EUOR - 2019Plan'!$O$11:$S$34,MATCH(INDIRECT(ADDRESS(5+7*$W45,3,,,"Calc- Prosym Setup")),'INP-Calc EFOR&amp;EUOR - 2019Plan'!$A$11:$A$34,0),MATCH(VALUE(MID(D45,2,4)),'INP-Calc EFOR&amp;EUOR - 2019Plan'!$C$9:$G$9,0))</f>
        <v>2.1999999999999999E-2</v>
      </c>
      <c r="T45" s="64" t="s">
        <v>191</v>
      </c>
      <c r="U45" s="68">
        <f ca="1">INDEX('INP-Calc EFOR&amp;EUOR - 2019Plan'!$AA$11:$AE$34,MATCH(INDIRECT(ADDRESS(5+7*$W45,3,,,"Calc- Prosym Setup")),'INP-Calc EFOR&amp;EUOR - 2019Plan'!$A$11:$A$34,0),MATCH(VALUE(MID(D45,2,4)),'INP-Calc EFOR&amp;EUOR - 2019Plan'!$C$9:$G$9,0))</f>
        <v>1.8230873030883308E-2</v>
      </c>
      <c r="W45" s="89">
        <f>W37+1</f>
        <v>4</v>
      </c>
    </row>
    <row r="46" spans="1:23" x14ac:dyDescent="0.25">
      <c r="A46" s="67"/>
      <c r="B46" s="67"/>
      <c r="C46" s="67"/>
      <c r="D46" s="67" t="str">
        <f>D38</f>
        <v>[2019]</v>
      </c>
      <c r="E46" s="71">
        <f ca="1">INDEX('Calc- Prosym Setup'!$C$5:$AO$107,MATCH($A43,'Calc- Prosym Setup'!$A$5:$A$107,0)+4,MATCH(VALUE(MID($D46,2,4)),'Calc- Prosym Setup'!$C$4:$AO$4,0))</f>
        <v>3.7330306354450122E-3</v>
      </c>
      <c r="F46" s="71">
        <f ca="1">INDEX('Calc- Prosym Setup'!$C$5:$AO$107,MATCH($A43,'Calc- Prosym Setup'!$A$5:$A$107,0)+4,MATCH(VALUE(MID($D46,2,4)),'Calc- Prosym Setup'!$C$4:$AO$4,0)+'Calc- Prosym Setup'!C$7)</f>
        <v>2.8421965144902351E-3</v>
      </c>
      <c r="G46" s="71">
        <f ca="1">INDEX('Calc- Prosym Setup'!$C$5:$AO$107,MATCH($A43,'Calc- Prosym Setup'!$A$5:$A$107,0)+4,MATCH(VALUE(MID($D46,2,4)),'Calc- Prosym Setup'!$C$4:$AO$4,0)+'Calc- Prosym Setup'!D$7)</f>
        <v>3.4031500186452047E-2</v>
      </c>
      <c r="H46" s="71">
        <f ca="1">INDEX('Calc- Prosym Setup'!$C$5:$AO$107,MATCH($A43,'Calc- Prosym Setup'!$A$5:$A$107,0)+4,MATCH(VALUE(MID($D46,2,4)),'Calc- Prosym Setup'!$C$4:$AO$4,0)+'Calc- Prosym Setup'!E$7)</f>
        <v>1.9303732729436258E-2</v>
      </c>
      <c r="I46" s="71">
        <f ca="1">INDEX('Calc- Prosym Setup'!$C$5:$AO$107,MATCH($A43,'Calc- Prosym Setup'!$A$5:$A$107,0)+4,MATCH(VALUE(MID($D46,2,4)),'Calc- Prosym Setup'!$C$4:$AO$4,0)+'Calc- Prosym Setup'!F$7)</f>
        <v>1.2942488701206815E-3</v>
      </c>
      <c r="J46" s="71" t="str">
        <f ca="1">"/ADD "&amp;TEXT(INDEX('Calc- Prosym Setup'!$C$5:$AO$107,MATCH($A43,'Calc- Prosym Setup'!$A$5:$A$107,0)+4,MATCH(VALUE(MID($D46,2,4)),'Calc- Prosym Setup'!$C$4:$AO$4,0)+'Calc- Prosym Setup'!G$7),"0.0000")&amp;" @IncFOR /"</f>
        <v>/ADD 0.8824 @IncFOR /</v>
      </c>
      <c r="K46" s="67" t="str">
        <f>IF(VALUE(MID($D46,2,4))&lt;'INP-Calc EFOR&amp;EUOR - 2019Plan'!$G$9,"-"," ")</f>
        <v>-</v>
      </c>
      <c r="L46" s="63" t="s">
        <v>187</v>
      </c>
      <c r="M46" s="68">
        <f ca="1">INDEX('INP-Calc EFOR&amp;EUOR - 2019Plan'!$I$11:$M$34,MATCH(INDIRECT(ADDRESS(5+7*$W46,3,,,"Calc- Prosym Setup")),'INP-Calc EFOR&amp;EUOR - 2019Plan'!$A$11:$A$34,0),MATCH(VALUE(MID(D46,2,4)),'INP-Calc EFOR&amp;EUOR - 2019Plan'!$C$9:$G$9,0))</f>
        <v>7.3999999999999996E-2</v>
      </c>
      <c r="N46" s="64" t="s">
        <v>188</v>
      </c>
      <c r="O46" s="68">
        <f ca="1">INDEX('INP-Calc EFOR&amp;EUOR - 2019Plan'!$C$11:$G$34,MATCH(INDIRECT(ADDRESS(5+7*$W46,3,,,"Calc- Prosym Setup")),'INP-Calc EFOR&amp;EUOR - 2019Plan'!$A$11:$A$34,0),MATCH(VALUE(MID(D46,2,4)),'INP-Calc EFOR&amp;EUOR - 2019Plan'!$C$9:$G$9,0))</f>
        <v>5.1999999999999998E-2</v>
      </c>
      <c r="P46" s="64" t="s">
        <v>189</v>
      </c>
      <c r="Q46" s="68">
        <f ca="1">INDEX('INP-Calc EFOR&amp;EUOR - 2019Plan'!$U$11:$Y$34,MATCH(INDIRECT(ADDRESS(5+7*$W46,3,,,"Calc- Prosym Setup")),'INP-Calc EFOR&amp;EUOR - 2019Plan'!$A$11:$A$34,0),MATCH(VALUE(MID(D46,2,4)),'INP-Calc EFOR&amp;EUOR - 2019Plan'!$C$9:$G$9,0))</f>
        <v>3.4396199718937544E-2</v>
      </c>
      <c r="R46" s="64" t="s">
        <v>190</v>
      </c>
      <c r="S46" s="68">
        <f ca="1">INDEX('INP-Calc EFOR&amp;EUOR - 2019Plan'!$O$11:$S$34,MATCH(INDIRECT(ADDRESS(5+7*$W46,3,,,"Calc- Prosym Setup")),'INP-Calc EFOR&amp;EUOR - 2019Plan'!$A$11:$A$34,0),MATCH(VALUE(MID(D46,2,4)),'INP-Calc EFOR&amp;EUOR - 2019Plan'!$C$9:$G$9,0))</f>
        <v>2.1999999999999999E-2</v>
      </c>
      <c r="T46" s="64" t="s">
        <v>191</v>
      </c>
      <c r="U46" s="68">
        <f ca="1">INDEX('INP-Calc EFOR&amp;EUOR - 2019Plan'!$AA$11:$AE$34,MATCH(INDIRECT(ADDRESS(5+7*$W46,3,,,"Calc- Prosym Setup")),'INP-Calc EFOR&amp;EUOR - 2019Plan'!$A$11:$A$34,0),MATCH(VALUE(MID(D46,2,4)),'INP-Calc EFOR&amp;EUOR - 2019Plan'!$C$9:$G$9,0))</f>
        <v>1.8230873030883308E-2</v>
      </c>
      <c r="W46" s="89">
        <f>W45</f>
        <v>4</v>
      </c>
    </row>
    <row r="47" spans="1:23" x14ac:dyDescent="0.25">
      <c r="A47" s="67"/>
      <c r="B47" s="67"/>
      <c r="C47" s="67"/>
      <c r="D47" s="67" t="str">
        <f>D39</f>
        <v>[2020]</v>
      </c>
      <c r="E47" s="71">
        <f ca="1">INDEX('Calc- Prosym Setup'!$C$5:$AO$107,MATCH($A43,'Calc- Prosym Setup'!$A$5:$A$107,0)+4,MATCH(VALUE(MID($D47,2,4)),'Calc- Prosym Setup'!$C$4:$AO$4,0))</f>
        <v>3.7330306354450122E-3</v>
      </c>
      <c r="F47" s="71">
        <f ca="1">INDEX('Calc- Prosym Setup'!$C$5:$AO$107,MATCH($A43,'Calc- Prosym Setup'!$A$5:$A$107,0)+4,MATCH(VALUE(MID($D47,2,4)),'Calc- Prosym Setup'!$C$4:$AO$4,0)+'Calc- Prosym Setup'!C$7)</f>
        <v>2.8421965144902351E-3</v>
      </c>
      <c r="G47" s="71">
        <f ca="1">INDEX('Calc- Prosym Setup'!$C$5:$AO$107,MATCH($A43,'Calc- Prosym Setup'!$A$5:$A$107,0)+4,MATCH(VALUE(MID($D47,2,4)),'Calc- Prosym Setup'!$C$4:$AO$4,0)+'Calc- Prosym Setup'!D$7)</f>
        <v>3.4031500186452047E-2</v>
      </c>
      <c r="H47" s="71">
        <f ca="1">INDEX('Calc- Prosym Setup'!$C$5:$AO$107,MATCH($A43,'Calc- Prosym Setup'!$A$5:$A$107,0)+4,MATCH(VALUE(MID($D47,2,4)),'Calc- Prosym Setup'!$C$4:$AO$4,0)+'Calc- Prosym Setup'!E$7)</f>
        <v>1.9303732729436258E-2</v>
      </c>
      <c r="I47" s="71">
        <f ca="1">INDEX('Calc- Prosym Setup'!$C$5:$AO$107,MATCH($A43,'Calc- Prosym Setup'!$A$5:$A$107,0)+4,MATCH(VALUE(MID($D47,2,4)),'Calc- Prosym Setup'!$C$4:$AO$4,0)+'Calc- Prosym Setup'!F$7)</f>
        <v>1.2942488701206815E-3</v>
      </c>
      <c r="J47" s="71" t="str">
        <f ca="1">"/ADD "&amp;TEXT(INDEX('Calc- Prosym Setup'!$C$5:$AO$107,MATCH($A43,'Calc- Prosym Setup'!$A$5:$A$107,0)+4,MATCH(VALUE(MID($D47,2,4)),'Calc- Prosym Setup'!$C$4:$AO$4,0)+'Calc- Prosym Setup'!G$7),"0.0000")&amp;" @IncFOR /"</f>
        <v>/ADD 0.8824 @IncFOR /</v>
      </c>
      <c r="K47" s="67" t="str">
        <f>IF(VALUE(MID($D47,2,4))&lt;'INP-Calc EFOR&amp;EUOR - 2019Plan'!$G$9,"-"," ")</f>
        <v>-</v>
      </c>
      <c r="L47" s="63" t="s">
        <v>187</v>
      </c>
      <c r="M47" s="68">
        <f ca="1">INDEX('INP-Calc EFOR&amp;EUOR - 2019Plan'!$I$11:$M$34,MATCH(INDIRECT(ADDRESS(5+7*$W47,3,,,"Calc- Prosym Setup")),'INP-Calc EFOR&amp;EUOR - 2019Plan'!$A$11:$A$34,0),MATCH(VALUE(MID(D47,2,4)),'INP-Calc EFOR&amp;EUOR - 2019Plan'!$C$9:$G$9,0))</f>
        <v>7.3999999999999996E-2</v>
      </c>
      <c r="N47" s="64" t="s">
        <v>188</v>
      </c>
      <c r="O47" s="68">
        <f ca="1">INDEX('INP-Calc EFOR&amp;EUOR - 2019Plan'!$C$11:$G$34,MATCH(INDIRECT(ADDRESS(5+7*$W47,3,,,"Calc- Prosym Setup")),'INP-Calc EFOR&amp;EUOR - 2019Plan'!$A$11:$A$34,0),MATCH(VALUE(MID(D47,2,4)),'INP-Calc EFOR&amp;EUOR - 2019Plan'!$C$9:$G$9,0))</f>
        <v>5.1999999999999998E-2</v>
      </c>
      <c r="P47" s="64" t="s">
        <v>189</v>
      </c>
      <c r="Q47" s="68">
        <f ca="1">INDEX('INP-Calc EFOR&amp;EUOR - 2019Plan'!$U$11:$Y$34,MATCH(INDIRECT(ADDRESS(5+7*$W47,3,,,"Calc- Prosym Setup")),'INP-Calc EFOR&amp;EUOR - 2019Plan'!$A$11:$A$34,0),MATCH(VALUE(MID(D47,2,4)),'INP-Calc EFOR&amp;EUOR - 2019Plan'!$C$9:$G$9,0))</f>
        <v>3.4396199718937544E-2</v>
      </c>
      <c r="R47" s="64" t="s">
        <v>190</v>
      </c>
      <c r="S47" s="68">
        <f ca="1">INDEX('INP-Calc EFOR&amp;EUOR - 2019Plan'!$O$11:$S$34,MATCH(INDIRECT(ADDRESS(5+7*$W47,3,,,"Calc- Prosym Setup")),'INP-Calc EFOR&amp;EUOR - 2019Plan'!$A$11:$A$34,0),MATCH(VALUE(MID(D47,2,4)),'INP-Calc EFOR&amp;EUOR - 2019Plan'!$C$9:$G$9,0))</f>
        <v>2.1999999999999999E-2</v>
      </c>
      <c r="T47" s="64" t="s">
        <v>191</v>
      </c>
      <c r="U47" s="68">
        <f ca="1">INDEX('INP-Calc EFOR&amp;EUOR - 2019Plan'!$AA$11:$AE$34,MATCH(INDIRECT(ADDRESS(5+7*$W47,3,,,"Calc- Prosym Setup")),'INP-Calc EFOR&amp;EUOR - 2019Plan'!$A$11:$A$34,0),MATCH(VALUE(MID(D47,2,4)),'INP-Calc EFOR&amp;EUOR - 2019Plan'!$C$9:$G$9,0))</f>
        <v>1.8230873030883308E-2</v>
      </c>
      <c r="W47" s="89">
        <f t="shared" ref="W47:W48" si="7">W46</f>
        <v>4</v>
      </c>
    </row>
    <row r="48" spans="1:23" x14ac:dyDescent="0.25">
      <c r="A48" s="67"/>
      <c r="B48" s="67"/>
      <c r="C48" s="67"/>
      <c r="D48" s="67" t="str">
        <f>D40</f>
        <v>[2021]</v>
      </c>
      <c r="E48" s="71">
        <f ca="1">INDEX('Calc- Prosym Setup'!$C$5:$AO$107,MATCH($A43,'Calc- Prosym Setup'!$A$5:$A$107,0)+4,MATCH(VALUE(MID($D48,2,4)),'Calc- Prosym Setup'!$C$4:$AO$4,0))</f>
        <v>3.7330306354450122E-3</v>
      </c>
      <c r="F48" s="71">
        <f ca="1">INDEX('Calc- Prosym Setup'!$C$5:$AO$107,MATCH($A43,'Calc- Prosym Setup'!$A$5:$A$107,0)+4,MATCH(VALUE(MID($D48,2,4)),'Calc- Prosym Setup'!$C$4:$AO$4,0)+'Calc- Prosym Setup'!C$7)</f>
        <v>2.8421965144902351E-3</v>
      </c>
      <c r="G48" s="71">
        <f ca="1">INDEX('Calc- Prosym Setup'!$C$5:$AO$107,MATCH($A43,'Calc- Prosym Setup'!$A$5:$A$107,0)+4,MATCH(VALUE(MID($D48,2,4)),'Calc- Prosym Setup'!$C$4:$AO$4,0)+'Calc- Prosym Setup'!D$7)</f>
        <v>3.4031500186452047E-2</v>
      </c>
      <c r="H48" s="71">
        <f ca="1">INDEX('Calc- Prosym Setup'!$C$5:$AO$107,MATCH($A43,'Calc- Prosym Setup'!$A$5:$A$107,0)+4,MATCH(VALUE(MID($D48,2,4)),'Calc- Prosym Setup'!$C$4:$AO$4,0)+'Calc- Prosym Setup'!E$7)</f>
        <v>1.9303732729436258E-2</v>
      </c>
      <c r="I48" s="71">
        <f ca="1">INDEX('Calc- Prosym Setup'!$C$5:$AO$107,MATCH($A43,'Calc- Prosym Setup'!$A$5:$A$107,0)+4,MATCH(VALUE(MID($D48,2,4)),'Calc- Prosym Setup'!$C$4:$AO$4,0)+'Calc- Prosym Setup'!F$7)</f>
        <v>1.2942488701206815E-3</v>
      </c>
      <c r="J48" s="71" t="str">
        <f ca="1">"/ADD "&amp;TEXT(INDEX('Calc- Prosym Setup'!$C$5:$AO$107,MATCH($A43,'Calc- Prosym Setup'!$A$5:$A$107,0)+4,MATCH(VALUE(MID($D48,2,4)),'Calc- Prosym Setup'!$C$4:$AO$4,0)+'Calc- Prosym Setup'!G$7),"0.0000")&amp;" @IncFOR /"</f>
        <v>/ADD 0.8824 @IncFOR /</v>
      </c>
      <c r="K48" s="67" t="str">
        <f>IF(VALUE(MID($D48,2,4))&lt;'INP-Calc EFOR&amp;EUOR - 2019Plan'!$G$9,"-"," ")</f>
        <v>-</v>
      </c>
      <c r="L48" s="63" t="s">
        <v>187</v>
      </c>
      <c r="M48" s="68">
        <f ca="1">INDEX('INP-Calc EFOR&amp;EUOR - 2019Plan'!$I$11:$M$34,MATCH(INDIRECT(ADDRESS(5+7*$W48,3,,,"Calc- Prosym Setup")),'INP-Calc EFOR&amp;EUOR - 2019Plan'!$A$11:$A$34,0),MATCH(VALUE(MID(D48,2,4)),'INP-Calc EFOR&amp;EUOR - 2019Plan'!$C$9:$G$9,0))</f>
        <v>7.3999999999999996E-2</v>
      </c>
      <c r="N48" s="64" t="s">
        <v>188</v>
      </c>
      <c r="O48" s="68">
        <f ca="1">INDEX('INP-Calc EFOR&amp;EUOR - 2019Plan'!$C$11:$G$34,MATCH(INDIRECT(ADDRESS(5+7*$W48,3,,,"Calc- Prosym Setup")),'INP-Calc EFOR&amp;EUOR - 2019Plan'!$A$11:$A$34,0),MATCH(VALUE(MID(D48,2,4)),'INP-Calc EFOR&amp;EUOR - 2019Plan'!$C$9:$G$9,0))</f>
        <v>5.1999999999999998E-2</v>
      </c>
      <c r="P48" s="64" t="s">
        <v>189</v>
      </c>
      <c r="Q48" s="68">
        <f ca="1">INDEX('INP-Calc EFOR&amp;EUOR - 2019Plan'!$U$11:$Y$34,MATCH(INDIRECT(ADDRESS(5+7*$W48,3,,,"Calc- Prosym Setup")),'INP-Calc EFOR&amp;EUOR - 2019Plan'!$A$11:$A$34,0),MATCH(VALUE(MID(D48,2,4)),'INP-Calc EFOR&amp;EUOR - 2019Plan'!$C$9:$G$9,0))</f>
        <v>3.4396199718937544E-2</v>
      </c>
      <c r="R48" s="64" t="s">
        <v>190</v>
      </c>
      <c r="S48" s="68">
        <f ca="1">INDEX('INP-Calc EFOR&amp;EUOR - 2019Plan'!$O$11:$S$34,MATCH(INDIRECT(ADDRESS(5+7*$W48,3,,,"Calc- Prosym Setup")),'INP-Calc EFOR&amp;EUOR - 2019Plan'!$A$11:$A$34,0),MATCH(VALUE(MID(D48,2,4)),'INP-Calc EFOR&amp;EUOR - 2019Plan'!$C$9:$G$9,0))</f>
        <v>2.1999999999999999E-2</v>
      </c>
      <c r="T48" s="64" t="s">
        <v>191</v>
      </c>
      <c r="U48" s="68">
        <f ca="1">INDEX('INP-Calc EFOR&amp;EUOR - 2019Plan'!$AA$11:$AE$34,MATCH(INDIRECT(ADDRESS(5+7*$W48,3,,,"Calc- Prosym Setup")),'INP-Calc EFOR&amp;EUOR - 2019Plan'!$A$11:$A$34,0),MATCH(VALUE(MID(D48,2,4)),'INP-Calc EFOR&amp;EUOR - 2019Plan'!$C$9:$G$9,0))</f>
        <v>1.8230873030883308E-2</v>
      </c>
      <c r="W48" s="89">
        <f t="shared" si="7"/>
        <v>4</v>
      </c>
    </row>
    <row r="49" spans="1:23" x14ac:dyDescent="0.25">
      <c r="A49" s="72"/>
      <c r="B49" s="72"/>
      <c r="C49" s="72"/>
      <c r="D49" s="72" t="str">
        <f t="shared" ref="D49" si="8">D41</f>
        <v>[2022]</v>
      </c>
      <c r="E49" s="88">
        <f ca="1">INDEX('Calc- Prosym Setup'!$C$5:$AO$107,MATCH($A43,'Calc- Prosym Setup'!$A$5:$A$107,0)+4,MATCH(VALUE(MID($D49,2,4)),'Calc- Prosym Setup'!$C$4:$AO$4,0))</f>
        <v>3.7330306354450122E-3</v>
      </c>
      <c r="F49" s="88">
        <f ca="1">INDEX('Calc- Prosym Setup'!$C$5:$AO$107,MATCH($A43,'Calc- Prosym Setup'!$A$5:$A$107,0)+4,MATCH(VALUE(MID($D49,2,4)),'Calc- Prosym Setup'!$C$4:$AO$4,0)+'Calc- Prosym Setup'!C$7)</f>
        <v>2.8421965144902351E-3</v>
      </c>
      <c r="G49" s="88">
        <f ca="1">INDEX('Calc- Prosym Setup'!$C$5:$AO$107,MATCH($A43,'Calc- Prosym Setup'!$A$5:$A$107,0)+4,MATCH(VALUE(MID($D49,2,4)),'Calc- Prosym Setup'!$C$4:$AO$4,0)+'Calc- Prosym Setup'!D$7)</f>
        <v>3.4031500186452047E-2</v>
      </c>
      <c r="H49" s="88">
        <f ca="1">INDEX('Calc- Prosym Setup'!$C$5:$AO$107,MATCH($A43,'Calc- Prosym Setup'!$A$5:$A$107,0)+4,MATCH(VALUE(MID($D49,2,4)),'Calc- Prosym Setup'!$C$4:$AO$4,0)+'Calc- Prosym Setup'!E$7)</f>
        <v>1.9303732729436258E-2</v>
      </c>
      <c r="I49" s="88">
        <f ca="1">INDEX('Calc- Prosym Setup'!$C$5:$AO$107,MATCH($A43,'Calc- Prosym Setup'!$A$5:$A$107,0)+4,MATCH(VALUE(MID($D49,2,4)),'Calc- Prosym Setup'!$C$4:$AO$4,0)+'Calc- Prosym Setup'!F$7)</f>
        <v>1.2942488701206815E-3</v>
      </c>
      <c r="J49" s="88" t="str">
        <f ca="1">"/ADD "&amp;TEXT(INDEX('Calc- Prosym Setup'!$C$5:$AO$107,MATCH($A43,'Calc- Prosym Setup'!$A$5:$A$107,0)+4,MATCH(VALUE(MID($D49,2,4)),'Calc- Prosym Setup'!$C$4:$AO$4,0)+'Calc- Prosym Setup'!G$7),"0.0000")&amp;" @IncFOR /"</f>
        <v>/ADD 0.8824 @IncFOR /</v>
      </c>
      <c r="K49" s="87" t="str">
        <f>IF(VALUE(MID($D49,2,4))&lt;'INP-Calc EFOR&amp;EUOR - 2019Plan'!$G$9,"-"," ")</f>
        <v xml:space="preserve"> </v>
      </c>
      <c r="L49" s="91" t="s">
        <v>187</v>
      </c>
      <c r="M49" s="74">
        <f ca="1">INDEX('INP-Calc EFOR&amp;EUOR - 2019Plan'!$I$11:$M$34,MATCH(INDIRECT(ADDRESS(5+7*$W49,3,,,"Calc- Prosym Setup")),'INP-Calc EFOR&amp;EUOR - 2019Plan'!$A$11:$A$34,0),MATCH(VALUE(MID(D49,2,4)),'INP-Calc EFOR&amp;EUOR - 2019Plan'!$C$9:$G$9,0))</f>
        <v>7.3999999999999996E-2</v>
      </c>
      <c r="N49" s="75" t="s">
        <v>188</v>
      </c>
      <c r="O49" s="74">
        <f ca="1">INDEX('INP-Calc EFOR&amp;EUOR - 2019Plan'!$C$11:$G$34,MATCH(INDIRECT(ADDRESS(5+7*$W49,3,,,"Calc- Prosym Setup")),'INP-Calc EFOR&amp;EUOR - 2019Plan'!$A$11:$A$34,0),MATCH(VALUE(MID(D49,2,4)),'INP-Calc EFOR&amp;EUOR - 2019Plan'!$C$9:$G$9,0))</f>
        <v>5.1999999999999998E-2</v>
      </c>
      <c r="P49" s="75" t="s">
        <v>189</v>
      </c>
      <c r="Q49" s="74">
        <f ca="1">INDEX('INP-Calc EFOR&amp;EUOR - 2019Plan'!$U$11:$Y$34,MATCH(INDIRECT(ADDRESS(5+7*$W49,3,,,"Calc- Prosym Setup")),'INP-Calc EFOR&amp;EUOR - 2019Plan'!$A$11:$A$34,0),MATCH(VALUE(MID(D49,2,4)),'INP-Calc EFOR&amp;EUOR - 2019Plan'!$C$9:$G$9,0))</f>
        <v>3.4396199718937544E-2</v>
      </c>
      <c r="R49" s="75" t="s">
        <v>190</v>
      </c>
      <c r="S49" s="74">
        <f ca="1">INDEX('INP-Calc EFOR&amp;EUOR - 2019Plan'!$O$11:$S$34,MATCH(INDIRECT(ADDRESS(5+7*$W49,3,,,"Calc- Prosym Setup")),'INP-Calc EFOR&amp;EUOR - 2019Plan'!$A$11:$A$34,0),MATCH(VALUE(MID(D49,2,4)),'INP-Calc EFOR&amp;EUOR - 2019Plan'!$C$9:$G$9,0))</f>
        <v>2.1999999999999999E-2</v>
      </c>
      <c r="T49" s="75" t="s">
        <v>191</v>
      </c>
      <c r="U49" s="74">
        <f ca="1">INDEX('INP-Calc EFOR&amp;EUOR - 2019Plan'!$AA$11:$AE$34,MATCH(INDIRECT(ADDRESS(5+7*$W49,3,,,"Calc- Prosym Setup")),'INP-Calc EFOR&amp;EUOR - 2019Plan'!$A$11:$A$34,0),MATCH(VALUE(MID(D49,2,4)),'INP-Calc EFOR&amp;EUOR - 2019Plan'!$C$9:$G$9,0))</f>
        <v>1.8230873030883308E-2</v>
      </c>
      <c r="W49" s="89">
        <f>W47</f>
        <v>4</v>
      </c>
    </row>
    <row r="50" spans="1:23" x14ac:dyDescent="0.25">
      <c r="J50" s="147"/>
      <c r="M50" s="148"/>
      <c r="O50" s="148"/>
      <c r="Q50" s="149"/>
    </row>
    <row r="51" spans="1:23" x14ac:dyDescent="0.25">
      <c r="A51" s="67" t="str">
        <f>'Calc- Prosym Setup'!A40</f>
        <v>Ghent.3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</row>
    <row r="52" spans="1:23" x14ac:dyDescent="0.25">
      <c r="A52" s="67"/>
      <c r="B52" s="57" t="s">
        <v>185</v>
      </c>
      <c r="C52" s="67" t="str">
        <f>IF(AND(I52&gt;0,J52&gt;0),"[v6]",IF(AND(I52&gt;0,J52=" "),"[v5]",IF(AND(I52=" ",J52=" "),"[v4]","[V??]")))</f>
        <v>[v6]</v>
      </c>
      <c r="D52" s="67" t="str">
        <f>D44</f>
        <v>[2018]</v>
      </c>
      <c r="E52" s="66">
        <f>'Calc- Prosym Setup'!C43</f>
        <v>210</v>
      </c>
      <c r="F52" s="66">
        <f>'Calc- Prosym Setup'!D43</f>
        <v>291</v>
      </c>
      <c r="G52" s="66">
        <f>'Calc- Prosym Setup'!E43</f>
        <v>321</v>
      </c>
      <c r="H52" s="66">
        <f>'Calc- Prosym Setup'!F43</f>
        <v>401</v>
      </c>
      <c r="I52" s="66">
        <f>'Calc- Prosym Setup'!G43</f>
        <v>441</v>
      </c>
      <c r="J52" s="66">
        <f>'Calc- Prosym Setup'!H43</f>
        <v>481</v>
      </c>
      <c r="K52" s="67"/>
      <c r="L52" s="67"/>
      <c r="M52" s="67"/>
      <c r="N52" s="67"/>
      <c r="O52" s="67"/>
      <c r="P52" s="67"/>
      <c r="Q52" s="68"/>
      <c r="R52" s="69"/>
      <c r="S52" s="70"/>
      <c r="T52" s="67"/>
      <c r="U52" s="67"/>
    </row>
    <row r="53" spans="1:23" x14ac:dyDescent="0.25">
      <c r="A53" s="67"/>
      <c r="B53" s="57" t="s">
        <v>186</v>
      </c>
      <c r="C53" s="67" t="str">
        <f>C52</f>
        <v>[v6]</v>
      </c>
      <c r="D53" s="67" t="str">
        <f>D45</f>
        <v>[2018]</v>
      </c>
      <c r="E53" s="71">
        <f ca="1">INDEX('Calc- Prosym Setup'!$C$5:$AO$107,MATCH($A51,'Calc- Prosym Setup'!$A$5:$A$107,0)+4,MATCH(VALUE(MID($D53,2,4)),'Calc- Prosym Setup'!$C$4:$AO$4,0))</f>
        <v>1.5403078914806136E-3</v>
      </c>
      <c r="F53" s="71">
        <f ca="1">INDEX('Calc- Prosym Setup'!$C$5:$AO$107,MATCH($A51,'Calc- Prosym Setup'!$A$5:$A$107,0)+4,MATCH(VALUE(MID($D53,2,4)),'Calc- Prosym Setup'!$C$4:$AO$4,0)+'Calc- Prosym Setup'!C$7)</f>
        <v>1.3053122003473402E-3</v>
      </c>
      <c r="G53" s="71">
        <f ca="1">INDEX('Calc- Prosym Setup'!$C$5:$AO$107,MATCH($A51,'Calc- Prosym Setup'!$A$5:$A$107,0)+4,MATCH(VALUE(MID($D53,2,4)),'Calc- Prosym Setup'!$C$4:$AO$4,0)+'Calc- Prosym Setup'!D$7)</f>
        <v>8.0036767746342729E-3</v>
      </c>
      <c r="H53" s="71">
        <f ca="1">INDEX('Calc- Prosym Setup'!$C$5:$AO$107,MATCH($A51,'Calc- Prosym Setup'!$A$5:$A$107,0)+4,MATCH(VALUE(MID($D53,2,4)),'Calc- Prosym Setup'!$C$4:$AO$4,0)+'Calc- Prosym Setup'!E$7)</f>
        <v>6.1657734994903526E-2</v>
      </c>
      <c r="I53" s="71">
        <f ca="1">INDEX('Calc- Prosym Setup'!$C$5:$AO$107,MATCH($A51,'Calc- Prosym Setup'!$A$5:$A$107,0)+4,MATCH(VALUE(MID($D53,2,4)),'Calc- Prosym Setup'!$C$4:$AO$4,0)+'Calc- Prosym Setup'!F$7)</f>
        <v>3.9719702375000818E-2</v>
      </c>
      <c r="J53" s="71" t="str">
        <f ca="1">"/ADD "&amp;TEXT(INDEX('Calc- Prosym Setup'!$C$5:$AO$107,MATCH($A51,'Calc- Prosym Setup'!$A$5:$A$107,0)+4,MATCH(VALUE(MID($D53,2,4)),'Calc- Prosym Setup'!$C$4:$AO$4,0)+'Calc- Prosym Setup'!G$7),"0.0000")&amp;" @IncFOR /"</f>
        <v>/ADD 0.8314 @IncFOR /</v>
      </c>
      <c r="K53" s="67" t="str">
        <f>IF(VALUE(MID($D53,2,4))&lt;'INP-Calc EFOR&amp;EUOR - 2019Plan'!$G$9,"-"," ")</f>
        <v>-</v>
      </c>
      <c r="L53" s="63" t="s">
        <v>187</v>
      </c>
      <c r="M53" s="68">
        <f ca="1">INDEX('INP-Calc EFOR&amp;EUOR - 2019Plan'!$I$11:$M$34,MATCH(INDIRECT(ADDRESS(5+7*$W53,3,,,"Calc- Prosym Setup")),'INP-Calc EFOR&amp;EUOR - 2019Plan'!$A$11:$A$34,0),MATCH(VALUE(MID(D53,2,4)),'INP-Calc EFOR&amp;EUOR - 2019Plan'!$C$9:$G$9,0))</f>
        <v>7.3999999999999996E-2</v>
      </c>
      <c r="N53" s="64" t="s">
        <v>188</v>
      </c>
      <c r="O53" s="68">
        <f ca="1">INDEX('INP-Calc EFOR&amp;EUOR - 2019Plan'!$C$11:$G$34,MATCH(INDIRECT(ADDRESS(5+7*$W53,3,,,"Calc- Prosym Setup")),'INP-Calc EFOR&amp;EUOR - 2019Plan'!$A$11:$A$34,0),MATCH(VALUE(MID(D53,2,4)),'INP-Calc EFOR&amp;EUOR - 2019Plan'!$C$9:$G$9,0))</f>
        <v>5.1999999999999998E-2</v>
      </c>
      <c r="P53" s="64" t="s">
        <v>189</v>
      </c>
      <c r="Q53" s="68">
        <f ca="1">INDEX('INP-Calc EFOR&amp;EUOR - 2019Plan'!$U$11:$Y$34,MATCH(INDIRECT(ADDRESS(5+7*$W53,3,,,"Calc- Prosym Setup")),'INP-Calc EFOR&amp;EUOR - 2019Plan'!$A$11:$A$34,0),MATCH(VALUE(MID(D53,2,4)),'INP-Calc EFOR&amp;EUOR - 2019Plan'!$C$9:$G$9,0))</f>
        <v>3.4396199718937544E-2</v>
      </c>
      <c r="R53" s="64" t="s">
        <v>190</v>
      </c>
      <c r="S53" s="68">
        <f ca="1">INDEX('INP-Calc EFOR&amp;EUOR - 2019Plan'!$O$11:$S$34,MATCH(INDIRECT(ADDRESS(5+7*$W53,3,,,"Calc- Prosym Setup")),'INP-Calc EFOR&amp;EUOR - 2019Plan'!$A$11:$A$34,0),MATCH(VALUE(MID(D53,2,4)),'INP-Calc EFOR&amp;EUOR - 2019Plan'!$C$9:$G$9,0))</f>
        <v>2.1999999999999999E-2</v>
      </c>
      <c r="T53" s="64" t="s">
        <v>191</v>
      </c>
      <c r="U53" s="68">
        <f ca="1">INDEX('INP-Calc EFOR&amp;EUOR - 2019Plan'!$AA$11:$AE$34,MATCH(INDIRECT(ADDRESS(5+7*$W53,3,,,"Calc- Prosym Setup")),'INP-Calc EFOR&amp;EUOR - 2019Plan'!$A$11:$A$34,0),MATCH(VALUE(MID(D53,2,4)),'INP-Calc EFOR&amp;EUOR - 2019Plan'!$C$9:$G$9,0))</f>
        <v>1.8230873030883308E-2</v>
      </c>
      <c r="W53" s="89">
        <f>W45+1</f>
        <v>5</v>
      </c>
    </row>
    <row r="54" spans="1:23" x14ac:dyDescent="0.25">
      <c r="A54" s="67"/>
      <c r="B54" s="67"/>
      <c r="C54" s="67"/>
      <c r="D54" s="67" t="str">
        <f>D46</f>
        <v>[2019]</v>
      </c>
      <c r="E54" s="71">
        <f ca="1">INDEX('Calc- Prosym Setup'!$C$5:$AO$107,MATCH($A51,'Calc- Prosym Setup'!$A$5:$A$107,0)+4,MATCH(VALUE(MID($D54,2,4)),'Calc- Prosym Setup'!$C$4:$AO$4,0))</f>
        <v>1.5403078914806136E-3</v>
      </c>
      <c r="F54" s="71">
        <f ca="1">INDEX('Calc- Prosym Setup'!$C$5:$AO$107,MATCH($A51,'Calc- Prosym Setup'!$A$5:$A$107,0)+4,MATCH(VALUE(MID($D54,2,4)),'Calc- Prosym Setup'!$C$4:$AO$4,0)+'Calc- Prosym Setup'!C$7)</f>
        <v>1.3053122003473402E-3</v>
      </c>
      <c r="G54" s="71">
        <f ca="1">INDEX('Calc- Prosym Setup'!$C$5:$AO$107,MATCH($A51,'Calc- Prosym Setup'!$A$5:$A$107,0)+4,MATCH(VALUE(MID($D54,2,4)),'Calc- Prosym Setup'!$C$4:$AO$4,0)+'Calc- Prosym Setup'!D$7)</f>
        <v>8.0036767746342729E-3</v>
      </c>
      <c r="H54" s="71">
        <f ca="1">INDEX('Calc- Prosym Setup'!$C$5:$AO$107,MATCH($A51,'Calc- Prosym Setup'!$A$5:$A$107,0)+4,MATCH(VALUE(MID($D54,2,4)),'Calc- Prosym Setup'!$C$4:$AO$4,0)+'Calc- Prosym Setup'!E$7)</f>
        <v>6.1657734994903526E-2</v>
      </c>
      <c r="I54" s="71">
        <f ca="1">INDEX('Calc- Prosym Setup'!$C$5:$AO$107,MATCH($A51,'Calc- Prosym Setup'!$A$5:$A$107,0)+4,MATCH(VALUE(MID($D54,2,4)),'Calc- Prosym Setup'!$C$4:$AO$4,0)+'Calc- Prosym Setup'!F$7)</f>
        <v>3.9719702375000818E-2</v>
      </c>
      <c r="J54" s="71" t="str">
        <f ca="1">"/ADD "&amp;TEXT(INDEX('Calc- Prosym Setup'!$C$5:$AO$107,MATCH($A51,'Calc- Prosym Setup'!$A$5:$A$107,0)+4,MATCH(VALUE(MID($D54,2,4)),'Calc- Prosym Setup'!$C$4:$AO$4,0)+'Calc- Prosym Setup'!G$7),"0.0000")&amp;" @IncFOR /"</f>
        <v>/ADD 0.8314 @IncFOR /</v>
      </c>
      <c r="K54" s="67" t="str">
        <f>IF(VALUE(MID($D54,2,4))&lt;'INP-Calc EFOR&amp;EUOR - 2019Plan'!$G$9,"-"," ")</f>
        <v>-</v>
      </c>
      <c r="L54" s="63" t="s">
        <v>187</v>
      </c>
      <c r="M54" s="68">
        <f ca="1">INDEX('INP-Calc EFOR&amp;EUOR - 2019Plan'!$I$11:$M$34,MATCH(INDIRECT(ADDRESS(5+7*$W54,3,,,"Calc- Prosym Setup")),'INP-Calc EFOR&amp;EUOR - 2019Plan'!$A$11:$A$34,0),MATCH(VALUE(MID(D54,2,4)),'INP-Calc EFOR&amp;EUOR - 2019Plan'!$C$9:$G$9,0))</f>
        <v>7.3999999999999996E-2</v>
      </c>
      <c r="N54" s="64" t="s">
        <v>188</v>
      </c>
      <c r="O54" s="68">
        <f ca="1">INDEX('INP-Calc EFOR&amp;EUOR - 2019Plan'!$C$11:$G$34,MATCH(INDIRECT(ADDRESS(5+7*$W54,3,,,"Calc- Prosym Setup")),'INP-Calc EFOR&amp;EUOR - 2019Plan'!$A$11:$A$34,0),MATCH(VALUE(MID(D54,2,4)),'INP-Calc EFOR&amp;EUOR - 2019Plan'!$C$9:$G$9,0))</f>
        <v>5.1999999999999998E-2</v>
      </c>
      <c r="P54" s="64" t="s">
        <v>189</v>
      </c>
      <c r="Q54" s="68">
        <f ca="1">INDEX('INP-Calc EFOR&amp;EUOR - 2019Plan'!$U$11:$Y$34,MATCH(INDIRECT(ADDRESS(5+7*$W54,3,,,"Calc- Prosym Setup")),'INP-Calc EFOR&amp;EUOR - 2019Plan'!$A$11:$A$34,0),MATCH(VALUE(MID(D54,2,4)),'INP-Calc EFOR&amp;EUOR - 2019Plan'!$C$9:$G$9,0))</f>
        <v>3.4396199718937544E-2</v>
      </c>
      <c r="R54" s="64" t="s">
        <v>190</v>
      </c>
      <c r="S54" s="68">
        <f ca="1">INDEX('INP-Calc EFOR&amp;EUOR - 2019Plan'!$O$11:$S$34,MATCH(INDIRECT(ADDRESS(5+7*$W54,3,,,"Calc- Prosym Setup")),'INP-Calc EFOR&amp;EUOR - 2019Plan'!$A$11:$A$34,0),MATCH(VALUE(MID(D54,2,4)),'INP-Calc EFOR&amp;EUOR - 2019Plan'!$C$9:$G$9,0))</f>
        <v>2.1999999999999999E-2</v>
      </c>
      <c r="T54" s="64" t="s">
        <v>191</v>
      </c>
      <c r="U54" s="68">
        <f ca="1">INDEX('INP-Calc EFOR&amp;EUOR - 2019Plan'!$AA$11:$AE$34,MATCH(INDIRECT(ADDRESS(5+7*$W54,3,,,"Calc- Prosym Setup")),'INP-Calc EFOR&amp;EUOR - 2019Plan'!$A$11:$A$34,0),MATCH(VALUE(MID(D54,2,4)),'INP-Calc EFOR&amp;EUOR - 2019Plan'!$C$9:$G$9,0))</f>
        <v>1.8230873030883308E-2</v>
      </c>
      <c r="W54" s="89">
        <f>W53</f>
        <v>5</v>
      </c>
    </row>
    <row r="55" spans="1:23" x14ac:dyDescent="0.25">
      <c r="A55" s="67"/>
      <c r="B55" s="67"/>
      <c r="C55" s="67"/>
      <c r="D55" s="67" t="str">
        <f>D47</f>
        <v>[2020]</v>
      </c>
      <c r="E55" s="71">
        <f ca="1">INDEX('Calc- Prosym Setup'!$C$5:$AO$107,MATCH($A51,'Calc- Prosym Setup'!$A$5:$A$107,0)+4,MATCH(VALUE(MID($D55,2,4)),'Calc- Prosym Setup'!$C$4:$AO$4,0))</f>
        <v>1.5403078914806136E-3</v>
      </c>
      <c r="F55" s="71">
        <f ca="1">INDEX('Calc- Prosym Setup'!$C$5:$AO$107,MATCH($A51,'Calc- Prosym Setup'!$A$5:$A$107,0)+4,MATCH(VALUE(MID($D55,2,4)),'Calc- Prosym Setup'!$C$4:$AO$4,0)+'Calc- Prosym Setup'!C$7)</f>
        <v>1.3053122003473402E-3</v>
      </c>
      <c r="G55" s="71">
        <f ca="1">INDEX('Calc- Prosym Setup'!$C$5:$AO$107,MATCH($A51,'Calc- Prosym Setup'!$A$5:$A$107,0)+4,MATCH(VALUE(MID($D55,2,4)),'Calc- Prosym Setup'!$C$4:$AO$4,0)+'Calc- Prosym Setup'!D$7)</f>
        <v>8.0036767746342729E-3</v>
      </c>
      <c r="H55" s="71">
        <f ca="1">INDEX('Calc- Prosym Setup'!$C$5:$AO$107,MATCH($A51,'Calc- Prosym Setup'!$A$5:$A$107,0)+4,MATCH(VALUE(MID($D55,2,4)),'Calc- Prosym Setup'!$C$4:$AO$4,0)+'Calc- Prosym Setup'!E$7)</f>
        <v>6.1657734994903526E-2</v>
      </c>
      <c r="I55" s="71">
        <f ca="1">INDEX('Calc- Prosym Setup'!$C$5:$AO$107,MATCH($A51,'Calc- Prosym Setup'!$A$5:$A$107,0)+4,MATCH(VALUE(MID($D55,2,4)),'Calc- Prosym Setup'!$C$4:$AO$4,0)+'Calc- Prosym Setup'!F$7)</f>
        <v>3.9719702375000818E-2</v>
      </c>
      <c r="J55" s="71" t="str">
        <f ca="1">"/ADD "&amp;TEXT(INDEX('Calc- Prosym Setup'!$C$5:$AO$107,MATCH($A51,'Calc- Prosym Setup'!$A$5:$A$107,0)+4,MATCH(VALUE(MID($D55,2,4)),'Calc- Prosym Setup'!$C$4:$AO$4,0)+'Calc- Prosym Setup'!G$7),"0.0000")&amp;" @IncFOR /"</f>
        <v>/ADD 0.8314 @IncFOR /</v>
      </c>
      <c r="K55" s="67" t="str">
        <f>IF(VALUE(MID($D55,2,4))&lt;'INP-Calc EFOR&amp;EUOR - 2019Plan'!$G$9,"-"," ")</f>
        <v>-</v>
      </c>
      <c r="L55" s="63" t="s">
        <v>187</v>
      </c>
      <c r="M55" s="68">
        <f ca="1">INDEX('INP-Calc EFOR&amp;EUOR - 2019Plan'!$I$11:$M$34,MATCH(INDIRECT(ADDRESS(5+7*$W55,3,,,"Calc- Prosym Setup")),'INP-Calc EFOR&amp;EUOR - 2019Plan'!$A$11:$A$34,0),MATCH(VALUE(MID(D55,2,4)),'INP-Calc EFOR&amp;EUOR - 2019Plan'!$C$9:$G$9,0))</f>
        <v>7.3999999999999996E-2</v>
      </c>
      <c r="N55" s="64" t="s">
        <v>188</v>
      </c>
      <c r="O55" s="68">
        <f ca="1">INDEX('INP-Calc EFOR&amp;EUOR - 2019Plan'!$C$11:$G$34,MATCH(INDIRECT(ADDRESS(5+7*$W55,3,,,"Calc- Prosym Setup")),'INP-Calc EFOR&amp;EUOR - 2019Plan'!$A$11:$A$34,0),MATCH(VALUE(MID(D55,2,4)),'INP-Calc EFOR&amp;EUOR - 2019Plan'!$C$9:$G$9,0))</f>
        <v>5.1999999999999998E-2</v>
      </c>
      <c r="P55" s="64" t="s">
        <v>189</v>
      </c>
      <c r="Q55" s="68">
        <f ca="1">INDEX('INP-Calc EFOR&amp;EUOR - 2019Plan'!$U$11:$Y$34,MATCH(INDIRECT(ADDRESS(5+7*$W55,3,,,"Calc- Prosym Setup")),'INP-Calc EFOR&amp;EUOR - 2019Plan'!$A$11:$A$34,0),MATCH(VALUE(MID(D55,2,4)),'INP-Calc EFOR&amp;EUOR - 2019Plan'!$C$9:$G$9,0))</f>
        <v>3.4396199718937544E-2</v>
      </c>
      <c r="R55" s="64" t="s">
        <v>190</v>
      </c>
      <c r="S55" s="68">
        <f ca="1">INDEX('INP-Calc EFOR&amp;EUOR - 2019Plan'!$O$11:$S$34,MATCH(INDIRECT(ADDRESS(5+7*$W55,3,,,"Calc- Prosym Setup")),'INP-Calc EFOR&amp;EUOR - 2019Plan'!$A$11:$A$34,0),MATCH(VALUE(MID(D55,2,4)),'INP-Calc EFOR&amp;EUOR - 2019Plan'!$C$9:$G$9,0))</f>
        <v>2.1999999999999999E-2</v>
      </c>
      <c r="T55" s="64" t="s">
        <v>191</v>
      </c>
      <c r="U55" s="68">
        <f ca="1">INDEX('INP-Calc EFOR&amp;EUOR - 2019Plan'!$AA$11:$AE$34,MATCH(INDIRECT(ADDRESS(5+7*$W55,3,,,"Calc- Prosym Setup")),'INP-Calc EFOR&amp;EUOR - 2019Plan'!$A$11:$A$34,0),MATCH(VALUE(MID(D55,2,4)),'INP-Calc EFOR&amp;EUOR - 2019Plan'!$C$9:$G$9,0))</f>
        <v>1.8230873030883308E-2</v>
      </c>
      <c r="W55" s="89">
        <f t="shared" ref="W55" si="9">W54</f>
        <v>5</v>
      </c>
    </row>
    <row r="56" spans="1:23" x14ac:dyDescent="0.25">
      <c r="A56" s="67"/>
      <c r="B56" s="67"/>
      <c r="C56" s="67"/>
      <c r="D56" s="67" t="str">
        <f>D48</f>
        <v>[2021]</v>
      </c>
      <c r="E56" s="71">
        <f ca="1">INDEX('Calc- Prosym Setup'!$C$5:$AO$107,MATCH($A51,'Calc- Prosym Setup'!$A$5:$A$107,0)+4,MATCH(VALUE(MID($D56,2,4)),'Calc- Prosym Setup'!$C$4:$AO$4,0))</f>
        <v>1.5403078914806136E-3</v>
      </c>
      <c r="F56" s="71">
        <f ca="1">INDEX('Calc- Prosym Setup'!$C$5:$AO$107,MATCH($A51,'Calc- Prosym Setup'!$A$5:$A$107,0)+4,MATCH(VALUE(MID($D56,2,4)),'Calc- Prosym Setup'!$C$4:$AO$4,0)+'Calc- Prosym Setup'!C$7)</f>
        <v>1.3053122003473402E-3</v>
      </c>
      <c r="G56" s="71">
        <f ca="1">INDEX('Calc- Prosym Setup'!$C$5:$AO$107,MATCH($A51,'Calc- Prosym Setup'!$A$5:$A$107,0)+4,MATCH(VALUE(MID($D56,2,4)),'Calc- Prosym Setup'!$C$4:$AO$4,0)+'Calc- Prosym Setup'!D$7)</f>
        <v>8.0036767746342729E-3</v>
      </c>
      <c r="H56" s="71">
        <f ca="1">INDEX('Calc- Prosym Setup'!$C$5:$AO$107,MATCH($A51,'Calc- Prosym Setup'!$A$5:$A$107,0)+4,MATCH(VALUE(MID($D56,2,4)),'Calc- Prosym Setup'!$C$4:$AO$4,0)+'Calc- Prosym Setup'!E$7)</f>
        <v>6.1657734994903526E-2</v>
      </c>
      <c r="I56" s="71">
        <f ca="1">INDEX('Calc- Prosym Setup'!$C$5:$AO$107,MATCH($A51,'Calc- Prosym Setup'!$A$5:$A$107,0)+4,MATCH(VALUE(MID($D56,2,4)),'Calc- Prosym Setup'!$C$4:$AO$4,0)+'Calc- Prosym Setup'!F$7)</f>
        <v>3.9719702375000818E-2</v>
      </c>
      <c r="J56" s="71" t="str">
        <f ca="1">"/ADD "&amp;TEXT(INDEX('Calc- Prosym Setup'!$C$5:$AO$107,MATCH($A51,'Calc- Prosym Setup'!$A$5:$A$107,0)+4,MATCH(VALUE(MID($D56,2,4)),'Calc- Prosym Setup'!$C$4:$AO$4,0)+'Calc- Prosym Setup'!G$7),"0.0000")&amp;" @IncFOR /"</f>
        <v>/ADD 0.8314 @IncFOR /</v>
      </c>
      <c r="K56" s="67" t="str">
        <f>IF(VALUE(MID($D56,2,4))&lt;'INP-Calc EFOR&amp;EUOR - 2019Plan'!$G$9,"-"," ")</f>
        <v>-</v>
      </c>
      <c r="L56" s="63" t="s">
        <v>187</v>
      </c>
      <c r="M56" s="68">
        <f ca="1">INDEX('INP-Calc EFOR&amp;EUOR - 2019Plan'!$I$11:$M$34,MATCH(INDIRECT(ADDRESS(5+7*$W56,3,,,"Calc- Prosym Setup")),'INP-Calc EFOR&amp;EUOR - 2019Plan'!$A$11:$A$34,0),MATCH(VALUE(MID(D56,2,4)),'INP-Calc EFOR&amp;EUOR - 2019Plan'!$C$9:$G$9,0))</f>
        <v>7.3999999999999996E-2</v>
      </c>
      <c r="N56" s="64" t="s">
        <v>188</v>
      </c>
      <c r="O56" s="68">
        <f ca="1">INDEX('INP-Calc EFOR&amp;EUOR - 2019Plan'!$C$11:$G$34,MATCH(INDIRECT(ADDRESS(5+7*$W56,3,,,"Calc- Prosym Setup")),'INP-Calc EFOR&amp;EUOR - 2019Plan'!$A$11:$A$34,0),MATCH(VALUE(MID(D56,2,4)),'INP-Calc EFOR&amp;EUOR - 2019Plan'!$C$9:$G$9,0))</f>
        <v>5.1999999999999998E-2</v>
      </c>
      <c r="P56" s="64" t="s">
        <v>189</v>
      </c>
      <c r="Q56" s="68">
        <f ca="1">INDEX('INP-Calc EFOR&amp;EUOR - 2019Plan'!$U$11:$Y$34,MATCH(INDIRECT(ADDRESS(5+7*$W56,3,,,"Calc- Prosym Setup")),'INP-Calc EFOR&amp;EUOR - 2019Plan'!$A$11:$A$34,0),MATCH(VALUE(MID(D56,2,4)),'INP-Calc EFOR&amp;EUOR - 2019Plan'!$C$9:$G$9,0))</f>
        <v>3.4396199718937544E-2</v>
      </c>
      <c r="R56" s="64" t="s">
        <v>190</v>
      </c>
      <c r="S56" s="68">
        <f ca="1">INDEX('INP-Calc EFOR&amp;EUOR - 2019Plan'!$O$11:$S$34,MATCH(INDIRECT(ADDRESS(5+7*$W56,3,,,"Calc- Prosym Setup")),'INP-Calc EFOR&amp;EUOR - 2019Plan'!$A$11:$A$34,0),MATCH(VALUE(MID(D56,2,4)),'INP-Calc EFOR&amp;EUOR - 2019Plan'!$C$9:$G$9,0))</f>
        <v>2.1999999999999999E-2</v>
      </c>
      <c r="T56" s="64" t="s">
        <v>191</v>
      </c>
      <c r="U56" s="68">
        <f ca="1">INDEX('INP-Calc EFOR&amp;EUOR - 2019Plan'!$AA$11:$AE$34,MATCH(INDIRECT(ADDRESS(5+7*$W56,3,,,"Calc- Prosym Setup")),'INP-Calc EFOR&amp;EUOR - 2019Plan'!$A$11:$A$34,0),MATCH(VALUE(MID(D56,2,4)),'INP-Calc EFOR&amp;EUOR - 2019Plan'!$C$9:$G$9,0))</f>
        <v>1.8230873030883308E-2</v>
      </c>
      <c r="W56" s="89">
        <v>5</v>
      </c>
    </row>
    <row r="57" spans="1:23" x14ac:dyDescent="0.25">
      <c r="A57" s="72"/>
      <c r="B57" s="72"/>
      <c r="C57" s="72"/>
      <c r="D57" s="72" t="str">
        <f t="shared" ref="D57" si="10">D49</f>
        <v>[2022]</v>
      </c>
      <c r="E57" s="88">
        <f ca="1">INDEX('Calc- Prosym Setup'!$C$5:$AO$107,MATCH($A51,'Calc- Prosym Setup'!$A$5:$A$107,0)+4,MATCH(VALUE(MID($D57,2,4)),'Calc- Prosym Setup'!$C$4:$AO$4,0))</f>
        <v>1.5403078914806136E-3</v>
      </c>
      <c r="F57" s="88">
        <f ca="1">INDEX('Calc- Prosym Setup'!$C$5:$AO$107,MATCH($A51,'Calc- Prosym Setup'!$A$5:$A$107,0)+4,MATCH(VALUE(MID($D57,2,4)),'Calc- Prosym Setup'!$C$4:$AO$4,0)+'Calc- Prosym Setup'!C$7)</f>
        <v>1.3053122003473402E-3</v>
      </c>
      <c r="G57" s="88">
        <f ca="1">INDEX('Calc- Prosym Setup'!$C$5:$AO$107,MATCH($A51,'Calc- Prosym Setup'!$A$5:$A$107,0)+4,MATCH(VALUE(MID($D57,2,4)),'Calc- Prosym Setup'!$C$4:$AO$4,0)+'Calc- Prosym Setup'!D$7)</f>
        <v>8.0036767746342729E-3</v>
      </c>
      <c r="H57" s="88">
        <f ca="1">INDEX('Calc- Prosym Setup'!$C$5:$AO$107,MATCH($A51,'Calc- Prosym Setup'!$A$5:$A$107,0)+4,MATCH(VALUE(MID($D57,2,4)),'Calc- Prosym Setup'!$C$4:$AO$4,0)+'Calc- Prosym Setup'!E$7)</f>
        <v>6.1657734994903526E-2</v>
      </c>
      <c r="I57" s="88">
        <f ca="1">INDEX('Calc- Prosym Setup'!$C$5:$AO$107,MATCH($A51,'Calc- Prosym Setup'!$A$5:$A$107,0)+4,MATCH(VALUE(MID($D57,2,4)),'Calc- Prosym Setup'!$C$4:$AO$4,0)+'Calc- Prosym Setup'!F$7)</f>
        <v>3.9719702375000818E-2</v>
      </c>
      <c r="J57" s="88" t="str">
        <f ca="1">"/ADD "&amp;TEXT(INDEX('Calc- Prosym Setup'!$C$5:$AO$107,MATCH($A51,'Calc- Prosym Setup'!$A$5:$A$107,0)+4,MATCH(VALUE(MID($D57,2,4)),'Calc- Prosym Setup'!$C$4:$AO$4,0)+'Calc- Prosym Setup'!G$7),"0.0000")&amp;" @IncFOR /"</f>
        <v>/ADD 0.8314 @IncFOR /</v>
      </c>
      <c r="K57" s="87" t="str">
        <f>IF(VALUE(MID($D57,2,4))&lt;'INP-Calc EFOR&amp;EUOR - 2019Plan'!$G$9,"-"," ")</f>
        <v xml:space="preserve"> </v>
      </c>
      <c r="L57" s="91" t="s">
        <v>187</v>
      </c>
      <c r="M57" s="74">
        <f ca="1">INDEX('INP-Calc EFOR&amp;EUOR - 2019Plan'!$I$11:$M$34,MATCH(INDIRECT(ADDRESS(5+7*$W57,3,,,"Calc- Prosym Setup")),'INP-Calc EFOR&amp;EUOR - 2019Plan'!$A$11:$A$34,0),MATCH(VALUE(MID(D57,2,4)),'INP-Calc EFOR&amp;EUOR - 2019Plan'!$C$9:$G$9,0))</f>
        <v>7.3999999999999996E-2</v>
      </c>
      <c r="N57" s="75" t="s">
        <v>188</v>
      </c>
      <c r="O57" s="74">
        <f ca="1">INDEX('INP-Calc EFOR&amp;EUOR - 2019Plan'!$C$11:$G$34,MATCH(INDIRECT(ADDRESS(5+7*$W57,3,,,"Calc- Prosym Setup")),'INP-Calc EFOR&amp;EUOR - 2019Plan'!$A$11:$A$34,0),MATCH(VALUE(MID(D57,2,4)),'INP-Calc EFOR&amp;EUOR - 2019Plan'!$C$9:$G$9,0))</f>
        <v>5.1999999999999998E-2</v>
      </c>
      <c r="P57" s="75" t="s">
        <v>189</v>
      </c>
      <c r="Q57" s="74">
        <f ca="1">INDEX('INP-Calc EFOR&amp;EUOR - 2019Plan'!$U$11:$Y$34,MATCH(INDIRECT(ADDRESS(5+7*$W57,3,,,"Calc- Prosym Setup")),'INP-Calc EFOR&amp;EUOR - 2019Plan'!$A$11:$A$34,0),MATCH(VALUE(MID(D57,2,4)),'INP-Calc EFOR&amp;EUOR - 2019Plan'!$C$9:$G$9,0))</f>
        <v>3.4396199718937544E-2</v>
      </c>
      <c r="R57" s="75" t="s">
        <v>190</v>
      </c>
      <c r="S57" s="74">
        <f ca="1">INDEX('INP-Calc EFOR&amp;EUOR - 2019Plan'!$O$11:$S$34,MATCH(INDIRECT(ADDRESS(5+7*$W57,3,,,"Calc- Prosym Setup")),'INP-Calc EFOR&amp;EUOR - 2019Plan'!$A$11:$A$34,0),MATCH(VALUE(MID(D57,2,4)),'INP-Calc EFOR&amp;EUOR - 2019Plan'!$C$9:$G$9,0))</f>
        <v>2.1999999999999999E-2</v>
      </c>
      <c r="T57" s="75" t="s">
        <v>191</v>
      </c>
      <c r="U57" s="74">
        <f ca="1">INDEX('INP-Calc EFOR&amp;EUOR - 2019Plan'!$AA$11:$AE$34,MATCH(INDIRECT(ADDRESS(5+7*$W57,3,,,"Calc- Prosym Setup")),'INP-Calc EFOR&amp;EUOR - 2019Plan'!$A$11:$A$34,0),MATCH(VALUE(MID(D57,2,4)),'INP-Calc EFOR&amp;EUOR - 2019Plan'!$C$9:$G$9,0))</f>
        <v>1.8230873030883308E-2</v>
      </c>
      <c r="W57" s="89">
        <f>W55</f>
        <v>5</v>
      </c>
    </row>
    <row r="59" spans="1:23" x14ac:dyDescent="0.25">
      <c r="A59" s="67" t="str">
        <f>'Calc- Prosym Setup'!A47</f>
        <v>Ghent.4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</row>
    <row r="60" spans="1:23" x14ac:dyDescent="0.25">
      <c r="A60" s="67"/>
      <c r="B60" s="57" t="s">
        <v>185</v>
      </c>
      <c r="C60" s="67" t="str">
        <f>IF(AND(I60&gt;0,J60&gt;0),"[v6]",IF(AND(I60&gt;0,J60=" "),"[v5]",IF(AND(I60=" ",J60=" "),"[v4]","[V??]")))</f>
        <v>[v6]</v>
      </c>
      <c r="D60" s="67" t="str">
        <f>D52</f>
        <v>[2018]</v>
      </c>
      <c r="E60" s="66">
        <f>'Calc- Prosym Setup'!C50</f>
        <v>215</v>
      </c>
      <c r="F60" s="66">
        <f>'Calc- Prosym Setup'!D50</f>
        <v>288</v>
      </c>
      <c r="G60" s="66">
        <f>'Calc- Prosym Setup'!E50</f>
        <v>318</v>
      </c>
      <c r="H60" s="66">
        <f>'Calc- Prosym Setup'!F50</f>
        <v>398</v>
      </c>
      <c r="I60" s="66">
        <f>'Calc- Prosym Setup'!G50</f>
        <v>438</v>
      </c>
      <c r="J60" s="66">
        <f>'Calc- Prosym Setup'!H50</f>
        <v>478</v>
      </c>
      <c r="K60" s="67"/>
      <c r="L60" s="67"/>
      <c r="M60" s="67"/>
      <c r="N60" s="67"/>
      <c r="O60" s="67"/>
      <c r="P60" s="67"/>
      <c r="Q60" s="68"/>
      <c r="R60" s="69"/>
      <c r="S60" s="70"/>
      <c r="T60" s="67"/>
      <c r="U60" s="67"/>
    </row>
    <row r="61" spans="1:23" x14ac:dyDescent="0.25">
      <c r="A61" s="67"/>
      <c r="B61" s="57" t="s">
        <v>186</v>
      </c>
      <c r="C61" s="67" t="str">
        <f>C60</f>
        <v>[v6]</v>
      </c>
      <c r="D61" s="67" t="str">
        <f>D53</f>
        <v>[2018]</v>
      </c>
      <c r="E61" s="71">
        <f ca="1">INDEX('Calc- Prosym Setup'!$C$5:$AO$107,MATCH($A59,'Calc- Prosym Setup'!$A$5:$A$107,0)+4,MATCH(VALUE(MID($D61,2,4)),'Calc- Prosym Setup'!$C$4:$AO$4,0))</f>
        <v>1.6900183654554202E-2</v>
      </c>
      <c r="F61" s="71">
        <f ca="1">INDEX('Calc- Prosym Setup'!$C$5:$AO$107,MATCH($A59,'Calc- Prosym Setup'!$A$5:$A$107,0)+4,MATCH(VALUE(MID($D61,2,4)),'Calc- Prosym Setup'!$C$4:$AO$4,0)+'Calc- Prosym Setup'!C$7)</f>
        <v>8.583226941407545E-3</v>
      </c>
      <c r="G61" s="71">
        <f ca="1">INDEX('Calc- Prosym Setup'!$C$5:$AO$107,MATCH($A59,'Calc- Prosym Setup'!$A$5:$A$107,0)+4,MATCH(VALUE(MID($D61,2,4)),'Calc- Prosym Setup'!$C$4:$AO$4,0)+'Calc- Prosym Setup'!D$7)</f>
        <v>2.119118359941025E-3</v>
      </c>
      <c r="H61" s="71">
        <f ca="1">INDEX('Calc- Prosym Setup'!$C$5:$AO$107,MATCH($A59,'Calc- Prosym Setup'!$A$5:$A$107,0)+4,MATCH(VALUE(MID($D61,2,4)),'Calc- Prosym Setup'!$C$4:$AO$4,0)+'Calc- Prosym Setup'!E$7)</f>
        <v>1.7976308033062462E-2</v>
      </c>
      <c r="I61" s="71">
        <f ca="1">INDEX('Calc- Prosym Setup'!$C$5:$AO$107,MATCH($A59,'Calc- Prosym Setup'!$A$5:$A$107,0)+4,MATCH(VALUE(MID($D61,2,4)),'Calc- Prosym Setup'!$C$4:$AO$4,0)+'Calc- Prosym Setup'!F$7)</f>
        <v>1.4047288352427485E-2</v>
      </c>
      <c r="J61" s="71" t="str">
        <f ca="1">"/ADD "&amp;TEXT(INDEX('Calc- Prosym Setup'!$C$5:$AO$107,MATCH($A59,'Calc- Prosym Setup'!$A$5:$A$107,0)+4,MATCH(VALUE(MID($D61,2,4)),'Calc- Prosym Setup'!$C$4:$AO$4,0)+'Calc- Prosym Setup'!G$7),"0.0000")&amp;" @IncFOR /"</f>
        <v>/ADD 0.8840 @IncFOR /</v>
      </c>
      <c r="K61" s="67" t="str">
        <f>IF(VALUE(MID($D61,2,4))&lt;'INP-Calc EFOR&amp;EUOR - 2019Plan'!$G$9,"-"," ")</f>
        <v>-</v>
      </c>
      <c r="L61" s="63" t="s">
        <v>187</v>
      </c>
      <c r="M61" s="68">
        <f ca="1">INDEX('INP-Calc EFOR&amp;EUOR - 2019Plan'!$I$11:$M$34,MATCH(INDIRECT(ADDRESS(5+7*$W61,3,,,"Calc- Prosym Setup")),'INP-Calc EFOR&amp;EUOR - 2019Plan'!$A$11:$A$34,0),MATCH(VALUE(MID(D61,2,4)),'INP-Calc EFOR&amp;EUOR - 2019Plan'!$C$9:$G$9,0))</f>
        <v>7.3999999999999996E-2</v>
      </c>
      <c r="N61" s="64" t="s">
        <v>188</v>
      </c>
      <c r="O61" s="68">
        <f ca="1">INDEX('INP-Calc EFOR&amp;EUOR - 2019Plan'!$C$11:$G$34,MATCH(INDIRECT(ADDRESS(5+7*$W61,3,,,"Calc- Prosym Setup")),'INP-Calc EFOR&amp;EUOR - 2019Plan'!$A$11:$A$34,0),MATCH(VALUE(MID(D61,2,4)),'INP-Calc EFOR&amp;EUOR - 2019Plan'!$C$9:$G$9,0))</f>
        <v>5.1999999999999998E-2</v>
      </c>
      <c r="P61" s="64" t="s">
        <v>189</v>
      </c>
      <c r="Q61" s="68">
        <f ca="1">INDEX('INP-Calc EFOR&amp;EUOR - 2019Plan'!$U$11:$Y$34,MATCH(INDIRECT(ADDRESS(5+7*$W61,3,,,"Calc- Prosym Setup")),'INP-Calc EFOR&amp;EUOR - 2019Plan'!$A$11:$A$34,0),MATCH(VALUE(MID(D61,2,4)),'INP-Calc EFOR&amp;EUOR - 2019Plan'!$C$9:$G$9,0))</f>
        <v>3.4396199718937544E-2</v>
      </c>
      <c r="R61" s="64" t="s">
        <v>190</v>
      </c>
      <c r="S61" s="68">
        <f ca="1">INDEX('INP-Calc EFOR&amp;EUOR - 2019Plan'!$O$11:$S$34,MATCH(INDIRECT(ADDRESS(5+7*$W61,3,,,"Calc- Prosym Setup")),'INP-Calc EFOR&amp;EUOR - 2019Plan'!$A$11:$A$34,0),MATCH(VALUE(MID(D61,2,4)),'INP-Calc EFOR&amp;EUOR - 2019Plan'!$C$9:$G$9,0))</f>
        <v>2.1999999999999999E-2</v>
      </c>
      <c r="T61" s="64" t="s">
        <v>191</v>
      </c>
      <c r="U61" s="68">
        <f ca="1">INDEX('INP-Calc EFOR&amp;EUOR - 2019Plan'!$AA$11:$AE$34,MATCH(INDIRECT(ADDRESS(5+7*$W61,3,,,"Calc- Prosym Setup")),'INP-Calc EFOR&amp;EUOR - 2019Plan'!$A$11:$A$34,0),MATCH(VALUE(MID(D61,2,4)),'INP-Calc EFOR&amp;EUOR - 2019Plan'!$C$9:$G$9,0))</f>
        <v>1.8230873030883308E-2</v>
      </c>
      <c r="W61" s="89">
        <f>W53+1</f>
        <v>6</v>
      </c>
    </row>
    <row r="62" spans="1:23" x14ac:dyDescent="0.25">
      <c r="A62" s="67"/>
      <c r="B62" s="67"/>
      <c r="C62" s="67"/>
      <c r="D62" s="67" t="str">
        <f>D54</f>
        <v>[2019]</v>
      </c>
      <c r="E62" s="71">
        <f ca="1">INDEX('Calc- Prosym Setup'!$C$5:$AO$107,MATCH($A59,'Calc- Prosym Setup'!$A$5:$A$107,0)+4,MATCH(VALUE(MID($D62,2,4)),'Calc- Prosym Setup'!$C$4:$AO$4,0))</f>
        <v>1.6900183654554202E-2</v>
      </c>
      <c r="F62" s="71">
        <f ca="1">INDEX('Calc- Prosym Setup'!$C$5:$AO$107,MATCH($A59,'Calc- Prosym Setup'!$A$5:$A$107,0)+4,MATCH(VALUE(MID($D62,2,4)),'Calc- Prosym Setup'!$C$4:$AO$4,0)+'Calc- Prosym Setup'!C$7)</f>
        <v>8.583226941407545E-3</v>
      </c>
      <c r="G62" s="71">
        <f ca="1">INDEX('Calc- Prosym Setup'!$C$5:$AO$107,MATCH($A59,'Calc- Prosym Setup'!$A$5:$A$107,0)+4,MATCH(VALUE(MID($D62,2,4)),'Calc- Prosym Setup'!$C$4:$AO$4,0)+'Calc- Prosym Setup'!D$7)</f>
        <v>2.119118359941025E-3</v>
      </c>
      <c r="H62" s="71">
        <f ca="1">INDEX('Calc- Prosym Setup'!$C$5:$AO$107,MATCH($A59,'Calc- Prosym Setup'!$A$5:$A$107,0)+4,MATCH(VALUE(MID($D62,2,4)),'Calc- Prosym Setup'!$C$4:$AO$4,0)+'Calc- Prosym Setup'!E$7)</f>
        <v>1.7976308033062462E-2</v>
      </c>
      <c r="I62" s="71">
        <f ca="1">INDEX('Calc- Prosym Setup'!$C$5:$AO$107,MATCH($A59,'Calc- Prosym Setup'!$A$5:$A$107,0)+4,MATCH(VALUE(MID($D62,2,4)),'Calc- Prosym Setup'!$C$4:$AO$4,0)+'Calc- Prosym Setup'!F$7)</f>
        <v>1.4047288352427485E-2</v>
      </c>
      <c r="J62" s="71" t="str">
        <f ca="1">"/ADD "&amp;TEXT(INDEX('Calc- Prosym Setup'!$C$5:$AO$107,MATCH($A59,'Calc- Prosym Setup'!$A$5:$A$107,0)+4,MATCH(VALUE(MID($D62,2,4)),'Calc- Prosym Setup'!$C$4:$AO$4,0)+'Calc- Prosym Setup'!G$7),"0.0000")&amp;" @IncFOR /"</f>
        <v>/ADD 0.8840 @IncFOR /</v>
      </c>
      <c r="K62" s="67" t="str">
        <f>IF(VALUE(MID($D62,2,4))&lt;'INP-Calc EFOR&amp;EUOR - 2019Plan'!$G$9,"-"," ")</f>
        <v>-</v>
      </c>
      <c r="L62" s="63" t="s">
        <v>187</v>
      </c>
      <c r="M62" s="68">
        <f ca="1">INDEX('INP-Calc EFOR&amp;EUOR - 2019Plan'!$I$11:$M$34,MATCH(INDIRECT(ADDRESS(5+7*$W62,3,,,"Calc- Prosym Setup")),'INP-Calc EFOR&amp;EUOR - 2019Plan'!$A$11:$A$34,0),MATCH(VALUE(MID(D62,2,4)),'INP-Calc EFOR&amp;EUOR - 2019Plan'!$C$9:$G$9,0))</f>
        <v>7.3999999999999996E-2</v>
      </c>
      <c r="N62" s="64" t="s">
        <v>188</v>
      </c>
      <c r="O62" s="68">
        <f ca="1">INDEX('INP-Calc EFOR&amp;EUOR - 2019Plan'!$C$11:$G$34,MATCH(INDIRECT(ADDRESS(5+7*$W62,3,,,"Calc- Prosym Setup")),'INP-Calc EFOR&amp;EUOR - 2019Plan'!$A$11:$A$34,0),MATCH(VALUE(MID(D62,2,4)),'INP-Calc EFOR&amp;EUOR - 2019Plan'!$C$9:$G$9,0))</f>
        <v>5.1999999999999998E-2</v>
      </c>
      <c r="P62" s="64" t="s">
        <v>189</v>
      </c>
      <c r="Q62" s="68">
        <f ca="1">INDEX('INP-Calc EFOR&amp;EUOR - 2019Plan'!$U$11:$Y$34,MATCH(INDIRECT(ADDRESS(5+7*$W62,3,,,"Calc- Prosym Setup")),'INP-Calc EFOR&amp;EUOR - 2019Plan'!$A$11:$A$34,0),MATCH(VALUE(MID(D62,2,4)),'INP-Calc EFOR&amp;EUOR - 2019Plan'!$C$9:$G$9,0))</f>
        <v>3.4396199718937544E-2</v>
      </c>
      <c r="R62" s="64" t="s">
        <v>190</v>
      </c>
      <c r="S62" s="68">
        <f ca="1">INDEX('INP-Calc EFOR&amp;EUOR - 2019Plan'!$O$11:$S$34,MATCH(INDIRECT(ADDRESS(5+7*$W62,3,,,"Calc- Prosym Setup")),'INP-Calc EFOR&amp;EUOR - 2019Plan'!$A$11:$A$34,0),MATCH(VALUE(MID(D62,2,4)),'INP-Calc EFOR&amp;EUOR - 2019Plan'!$C$9:$G$9,0))</f>
        <v>2.1999999999999999E-2</v>
      </c>
      <c r="T62" s="64" t="s">
        <v>191</v>
      </c>
      <c r="U62" s="68">
        <f ca="1">INDEX('INP-Calc EFOR&amp;EUOR - 2019Plan'!$AA$11:$AE$34,MATCH(INDIRECT(ADDRESS(5+7*$W62,3,,,"Calc- Prosym Setup")),'INP-Calc EFOR&amp;EUOR - 2019Plan'!$A$11:$A$34,0),MATCH(VALUE(MID(D62,2,4)),'INP-Calc EFOR&amp;EUOR - 2019Plan'!$C$9:$G$9,0))</f>
        <v>1.8230873030883308E-2</v>
      </c>
      <c r="W62" s="89">
        <f>W61</f>
        <v>6</v>
      </c>
    </row>
    <row r="63" spans="1:23" x14ac:dyDescent="0.25">
      <c r="A63" s="67"/>
      <c r="B63" s="67"/>
      <c r="C63" s="67"/>
      <c r="D63" s="67" t="str">
        <f>D55</f>
        <v>[2020]</v>
      </c>
      <c r="E63" s="71">
        <f ca="1">INDEX('Calc- Prosym Setup'!$C$5:$AO$107,MATCH($A59,'Calc- Prosym Setup'!$A$5:$A$107,0)+4,MATCH(VALUE(MID($D63,2,4)),'Calc- Prosym Setup'!$C$4:$AO$4,0))</f>
        <v>1.6900183654554202E-2</v>
      </c>
      <c r="F63" s="71">
        <f ca="1">INDEX('Calc- Prosym Setup'!$C$5:$AO$107,MATCH($A59,'Calc- Prosym Setup'!$A$5:$A$107,0)+4,MATCH(VALUE(MID($D63,2,4)),'Calc- Prosym Setup'!$C$4:$AO$4,0)+'Calc- Prosym Setup'!C$7)</f>
        <v>8.583226941407545E-3</v>
      </c>
      <c r="G63" s="71">
        <f ca="1">INDEX('Calc- Prosym Setup'!$C$5:$AO$107,MATCH($A59,'Calc- Prosym Setup'!$A$5:$A$107,0)+4,MATCH(VALUE(MID($D63,2,4)),'Calc- Prosym Setup'!$C$4:$AO$4,0)+'Calc- Prosym Setup'!D$7)</f>
        <v>2.119118359941025E-3</v>
      </c>
      <c r="H63" s="71">
        <f ca="1">INDEX('Calc- Prosym Setup'!$C$5:$AO$107,MATCH($A59,'Calc- Prosym Setup'!$A$5:$A$107,0)+4,MATCH(VALUE(MID($D63,2,4)),'Calc- Prosym Setup'!$C$4:$AO$4,0)+'Calc- Prosym Setup'!E$7)</f>
        <v>1.7976308033062462E-2</v>
      </c>
      <c r="I63" s="71">
        <f ca="1">INDEX('Calc- Prosym Setup'!$C$5:$AO$107,MATCH($A59,'Calc- Prosym Setup'!$A$5:$A$107,0)+4,MATCH(VALUE(MID($D63,2,4)),'Calc- Prosym Setup'!$C$4:$AO$4,0)+'Calc- Prosym Setup'!F$7)</f>
        <v>1.4047288352427485E-2</v>
      </c>
      <c r="J63" s="71" t="str">
        <f ca="1">"/ADD "&amp;TEXT(INDEX('Calc- Prosym Setup'!$C$5:$AO$107,MATCH($A59,'Calc- Prosym Setup'!$A$5:$A$107,0)+4,MATCH(VALUE(MID($D63,2,4)),'Calc- Prosym Setup'!$C$4:$AO$4,0)+'Calc- Prosym Setup'!G$7),"0.0000")&amp;" @IncFOR /"</f>
        <v>/ADD 0.8840 @IncFOR /</v>
      </c>
      <c r="K63" s="67" t="str">
        <f>IF(VALUE(MID($D63,2,4))&lt;'INP-Calc EFOR&amp;EUOR - 2019Plan'!$G$9,"-"," ")</f>
        <v>-</v>
      </c>
      <c r="L63" s="63" t="s">
        <v>187</v>
      </c>
      <c r="M63" s="68">
        <f ca="1">INDEX('INP-Calc EFOR&amp;EUOR - 2019Plan'!$I$11:$M$34,MATCH(INDIRECT(ADDRESS(5+7*$W63,3,,,"Calc- Prosym Setup")),'INP-Calc EFOR&amp;EUOR - 2019Plan'!$A$11:$A$34,0),MATCH(VALUE(MID(D63,2,4)),'INP-Calc EFOR&amp;EUOR - 2019Plan'!$C$9:$G$9,0))</f>
        <v>7.3999999999999996E-2</v>
      </c>
      <c r="N63" s="64" t="s">
        <v>188</v>
      </c>
      <c r="O63" s="68">
        <f ca="1">INDEX('INP-Calc EFOR&amp;EUOR - 2019Plan'!$C$11:$G$34,MATCH(INDIRECT(ADDRESS(5+7*$W63,3,,,"Calc- Prosym Setup")),'INP-Calc EFOR&amp;EUOR - 2019Plan'!$A$11:$A$34,0),MATCH(VALUE(MID(D63,2,4)),'INP-Calc EFOR&amp;EUOR - 2019Plan'!$C$9:$G$9,0))</f>
        <v>5.1999999999999998E-2</v>
      </c>
      <c r="P63" s="64" t="s">
        <v>189</v>
      </c>
      <c r="Q63" s="68">
        <f ca="1">INDEX('INP-Calc EFOR&amp;EUOR - 2019Plan'!$U$11:$Y$34,MATCH(INDIRECT(ADDRESS(5+7*$W63,3,,,"Calc- Prosym Setup")),'INP-Calc EFOR&amp;EUOR - 2019Plan'!$A$11:$A$34,0),MATCH(VALUE(MID(D63,2,4)),'INP-Calc EFOR&amp;EUOR - 2019Plan'!$C$9:$G$9,0))</f>
        <v>3.4396199718937544E-2</v>
      </c>
      <c r="R63" s="64" t="s">
        <v>190</v>
      </c>
      <c r="S63" s="68">
        <f ca="1">INDEX('INP-Calc EFOR&amp;EUOR - 2019Plan'!$O$11:$S$34,MATCH(INDIRECT(ADDRESS(5+7*$W63,3,,,"Calc- Prosym Setup")),'INP-Calc EFOR&amp;EUOR - 2019Plan'!$A$11:$A$34,0),MATCH(VALUE(MID(D63,2,4)),'INP-Calc EFOR&amp;EUOR - 2019Plan'!$C$9:$G$9,0))</f>
        <v>2.1999999999999999E-2</v>
      </c>
      <c r="T63" s="64" t="s">
        <v>191</v>
      </c>
      <c r="U63" s="68">
        <f ca="1">INDEX('INP-Calc EFOR&amp;EUOR - 2019Plan'!$AA$11:$AE$34,MATCH(INDIRECT(ADDRESS(5+7*$W63,3,,,"Calc- Prosym Setup")),'INP-Calc EFOR&amp;EUOR - 2019Plan'!$A$11:$A$34,0),MATCH(VALUE(MID(D63,2,4)),'INP-Calc EFOR&amp;EUOR - 2019Plan'!$C$9:$G$9,0))</f>
        <v>1.8230873030883308E-2</v>
      </c>
      <c r="W63" s="89">
        <f t="shared" ref="W63" si="11">W62</f>
        <v>6</v>
      </c>
    </row>
    <row r="64" spans="1:23" x14ac:dyDescent="0.25">
      <c r="A64" s="67"/>
      <c r="B64" s="67"/>
      <c r="C64" s="67"/>
      <c r="D64" s="67" t="str">
        <f>D56</f>
        <v>[2021]</v>
      </c>
      <c r="E64" s="71">
        <f ca="1">INDEX('Calc- Prosym Setup'!$C$5:$AO$107,MATCH($A59,'Calc- Prosym Setup'!$A$5:$A$107,0)+4,MATCH(VALUE(MID($D64,2,4)),'Calc- Prosym Setup'!$C$4:$AO$4,0))</f>
        <v>1.6900183654554202E-2</v>
      </c>
      <c r="F64" s="71">
        <f ca="1">INDEX('Calc- Prosym Setup'!$C$5:$AO$107,MATCH($A59,'Calc- Prosym Setup'!$A$5:$A$107,0)+4,MATCH(VALUE(MID($D64,2,4)),'Calc- Prosym Setup'!$C$4:$AO$4,0)+'Calc- Prosym Setup'!C$7)</f>
        <v>8.583226941407545E-3</v>
      </c>
      <c r="G64" s="71">
        <f ca="1">INDEX('Calc- Prosym Setup'!$C$5:$AO$107,MATCH($A59,'Calc- Prosym Setup'!$A$5:$A$107,0)+4,MATCH(VALUE(MID($D64,2,4)),'Calc- Prosym Setup'!$C$4:$AO$4,0)+'Calc- Prosym Setup'!D$7)</f>
        <v>2.119118359941025E-3</v>
      </c>
      <c r="H64" s="71">
        <f ca="1">INDEX('Calc- Prosym Setup'!$C$5:$AO$107,MATCH($A59,'Calc- Prosym Setup'!$A$5:$A$107,0)+4,MATCH(VALUE(MID($D64,2,4)),'Calc- Prosym Setup'!$C$4:$AO$4,0)+'Calc- Prosym Setup'!E$7)</f>
        <v>1.7976308033062462E-2</v>
      </c>
      <c r="I64" s="71">
        <f ca="1">INDEX('Calc- Prosym Setup'!$C$5:$AO$107,MATCH($A59,'Calc- Prosym Setup'!$A$5:$A$107,0)+4,MATCH(VALUE(MID($D64,2,4)),'Calc- Prosym Setup'!$C$4:$AO$4,0)+'Calc- Prosym Setup'!F$7)</f>
        <v>1.4047288352427485E-2</v>
      </c>
      <c r="J64" s="71" t="str">
        <f ca="1">"/ADD "&amp;TEXT(INDEX('Calc- Prosym Setup'!$C$5:$AO$107,MATCH($A59,'Calc- Prosym Setup'!$A$5:$A$107,0)+4,MATCH(VALUE(MID($D64,2,4)),'Calc- Prosym Setup'!$C$4:$AO$4,0)+'Calc- Prosym Setup'!G$7),"0.0000")&amp;" @IncFOR /"</f>
        <v>/ADD 0.8840 @IncFOR /</v>
      </c>
      <c r="K64" s="67" t="str">
        <f>IF(VALUE(MID($D64,2,4))&lt;'INP-Calc EFOR&amp;EUOR - 2019Plan'!$G$9,"-"," ")</f>
        <v>-</v>
      </c>
      <c r="L64" s="63" t="s">
        <v>187</v>
      </c>
      <c r="M64" s="68">
        <f ca="1">INDEX('INP-Calc EFOR&amp;EUOR - 2019Plan'!$I$11:$M$34,MATCH(INDIRECT(ADDRESS(5+7*$W64,3,,,"Calc- Prosym Setup")),'INP-Calc EFOR&amp;EUOR - 2019Plan'!$A$11:$A$34,0),MATCH(VALUE(MID(D64,2,4)),'INP-Calc EFOR&amp;EUOR - 2019Plan'!$C$9:$G$9,0))</f>
        <v>7.3999999999999996E-2</v>
      </c>
      <c r="N64" s="64" t="s">
        <v>188</v>
      </c>
      <c r="O64" s="68">
        <f ca="1">INDEX('INP-Calc EFOR&amp;EUOR - 2019Plan'!$C$11:$G$34,MATCH(INDIRECT(ADDRESS(5+7*$W64,3,,,"Calc- Prosym Setup")),'INP-Calc EFOR&amp;EUOR - 2019Plan'!$A$11:$A$34,0),MATCH(VALUE(MID(D64,2,4)),'INP-Calc EFOR&amp;EUOR - 2019Plan'!$C$9:$G$9,0))</f>
        <v>5.1999999999999998E-2</v>
      </c>
      <c r="P64" s="64" t="s">
        <v>189</v>
      </c>
      <c r="Q64" s="68">
        <f ca="1">INDEX('INP-Calc EFOR&amp;EUOR - 2019Plan'!$U$11:$Y$34,MATCH(INDIRECT(ADDRESS(5+7*$W64,3,,,"Calc- Prosym Setup")),'INP-Calc EFOR&amp;EUOR - 2019Plan'!$A$11:$A$34,0),MATCH(VALUE(MID(D64,2,4)),'INP-Calc EFOR&amp;EUOR - 2019Plan'!$C$9:$G$9,0))</f>
        <v>3.4396199718937544E-2</v>
      </c>
      <c r="R64" s="64" t="s">
        <v>190</v>
      </c>
      <c r="S64" s="68">
        <f ca="1">INDEX('INP-Calc EFOR&amp;EUOR - 2019Plan'!$O$11:$S$34,MATCH(INDIRECT(ADDRESS(5+7*$W64,3,,,"Calc- Prosym Setup")),'INP-Calc EFOR&amp;EUOR - 2019Plan'!$A$11:$A$34,0),MATCH(VALUE(MID(D64,2,4)),'INP-Calc EFOR&amp;EUOR - 2019Plan'!$C$9:$G$9,0))</f>
        <v>2.1999999999999999E-2</v>
      </c>
      <c r="T64" s="64" t="s">
        <v>191</v>
      </c>
      <c r="U64" s="68">
        <f ca="1">INDEX('INP-Calc EFOR&amp;EUOR - 2019Plan'!$AA$11:$AE$34,MATCH(INDIRECT(ADDRESS(5+7*$W64,3,,,"Calc- Prosym Setup")),'INP-Calc EFOR&amp;EUOR - 2019Plan'!$A$11:$A$34,0),MATCH(VALUE(MID(D64,2,4)),'INP-Calc EFOR&amp;EUOR - 2019Plan'!$C$9:$G$9,0))</f>
        <v>1.8230873030883308E-2</v>
      </c>
      <c r="W64" s="89">
        <v>6</v>
      </c>
    </row>
    <row r="65" spans="1:23" x14ac:dyDescent="0.25">
      <c r="A65" s="72"/>
      <c r="B65" s="72"/>
      <c r="C65" s="72"/>
      <c r="D65" s="72" t="str">
        <f t="shared" ref="D65" si="12">D57</f>
        <v>[2022]</v>
      </c>
      <c r="E65" s="88">
        <f ca="1">INDEX('Calc- Prosym Setup'!$C$5:$AO$107,MATCH($A59,'Calc- Prosym Setup'!$A$5:$A$107,0)+4,MATCH(VALUE(MID($D65,2,4)),'Calc- Prosym Setup'!$C$4:$AO$4,0))</f>
        <v>1.6900183654554202E-2</v>
      </c>
      <c r="F65" s="88">
        <f ca="1">INDEX('Calc- Prosym Setup'!$C$5:$AO$107,MATCH($A59,'Calc- Prosym Setup'!$A$5:$A$107,0)+4,MATCH(VALUE(MID($D65,2,4)),'Calc- Prosym Setup'!$C$4:$AO$4,0)+'Calc- Prosym Setup'!C$7)</f>
        <v>8.583226941407545E-3</v>
      </c>
      <c r="G65" s="88">
        <f ca="1">INDEX('Calc- Prosym Setup'!$C$5:$AO$107,MATCH($A59,'Calc- Prosym Setup'!$A$5:$A$107,0)+4,MATCH(VALUE(MID($D65,2,4)),'Calc- Prosym Setup'!$C$4:$AO$4,0)+'Calc- Prosym Setup'!D$7)</f>
        <v>2.119118359941025E-3</v>
      </c>
      <c r="H65" s="88">
        <f ca="1">INDEX('Calc- Prosym Setup'!$C$5:$AO$107,MATCH($A59,'Calc- Prosym Setup'!$A$5:$A$107,0)+4,MATCH(VALUE(MID($D65,2,4)),'Calc- Prosym Setup'!$C$4:$AO$4,0)+'Calc- Prosym Setup'!E$7)</f>
        <v>1.7976308033062462E-2</v>
      </c>
      <c r="I65" s="88">
        <f ca="1">INDEX('Calc- Prosym Setup'!$C$5:$AO$107,MATCH($A59,'Calc- Prosym Setup'!$A$5:$A$107,0)+4,MATCH(VALUE(MID($D65,2,4)),'Calc- Prosym Setup'!$C$4:$AO$4,0)+'Calc- Prosym Setup'!F$7)</f>
        <v>1.4047288352427485E-2</v>
      </c>
      <c r="J65" s="88" t="str">
        <f ca="1">"/ADD "&amp;TEXT(INDEX('Calc- Prosym Setup'!$C$5:$AO$107,MATCH($A59,'Calc- Prosym Setup'!$A$5:$A$107,0)+4,MATCH(VALUE(MID($D65,2,4)),'Calc- Prosym Setup'!$C$4:$AO$4,0)+'Calc- Prosym Setup'!G$7),"0.0000")&amp;" @IncFOR /"</f>
        <v>/ADD 0.8840 @IncFOR /</v>
      </c>
      <c r="K65" s="87" t="str">
        <f>IF(VALUE(MID($D65,2,4))&lt;'INP-Calc EFOR&amp;EUOR - 2019Plan'!$G$9,"-"," ")</f>
        <v xml:space="preserve"> </v>
      </c>
      <c r="L65" s="91" t="s">
        <v>187</v>
      </c>
      <c r="M65" s="74">
        <f ca="1">INDEX('INP-Calc EFOR&amp;EUOR - 2019Plan'!$I$11:$M$34,MATCH(INDIRECT(ADDRESS(5+7*$W65,3,,,"Calc- Prosym Setup")),'INP-Calc EFOR&amp;EUOR - 2019Plan'!$A$11:$A$34,0),MATCH(VALUE(MID(D65,2,4)),'INP-Calc EFOR&amp;EUOR - 2019Plan'!$C$9:$G$9,0))</f>
        <v>7.3999999999999996E-2</v>
      </c>
      <c r="N65" s="75" t="s">
        <v>188</v>
      </c>
      <c r="O65" s="74">
        <f ca="1">INDEX('INP-Calc EFOR&amp;EUOR - 2019Plan'!$C$11:$G$34,MATCH(INDIRECT(ADDRESS(5+7*$W65,3,,,"Calc- Prosym Setup")),'INP-Calc EFOR&amp;EUOR - 2019Plan'!$A$11:$A$34,0),MATCH(VALUE(MID(D65,2,4)),'INP-Calc EFOR&amp;EUOR - 2019Plan'!$C$9:$G$9,0))</f>
        <v>5.1999999999999998E-2</v>
      </c>
      <c r="P65" s="75" t="s">
        <v>189</v>
      </c>
      <c r="Q65" s="74">
        <f ca="1">INDEX('INP-Calc EFOR&amp;EUOR - 2019Plan'!$U$11:$Y$34,MATCH(INDIRECT(ADDRESS(5+7*$W65,3,,,"Calc- Prosym Setup")),'INP-Calc EFOR&amp;EUOR - 2019Plan'!$A$11:$A$34,0),MATCH(VALUE(MID(D65,2,4)),'INP-Calc EFOR&amp;EUOR - 2019Plan'!$C$9:$G$9,0))</f>
        <v>3.4396199718937544E-2</v>
      </c>
      <c r="R65" s="75" t="s">
        <v>190</v>
      </c>
      <c r="S65" s="74">
        <f ca="1">INDEX('INP-Calc EFOR&amp;EUOR - 2019Plan'!$O$11:$S$34,MATCH(INDIRECT(ADDRESS(5+7*$W65,3,,,"Calc- Prosym Setup")),'INP-Calc EFOR&amp;EUOR - 2019Plan'!$A$11:$A$34,0),MATCH(VALUE(MID(D65,2,4)),'INP-Calc EFOR&amp;EUOR - 2019Plan'!$C$9:$G$9,0))</f>
        <v>2.1999999999999999E-2</v>
      </c>
      <c r="T65" s="75" t="s">
        <v>191</v>
      </c>
      <c r="U65" s="74">
        <f ca="1">INDEX('INP-Calc EFOR&amp;EUOR - 2019Plan'!$AA$11:$AE$34,MATCH(INDIRECT(ADDRESS(5+7*$W65,3,,,"Calc- Prosym Setup")),'INP-Calc EFOR&amp;EUOR - 2019Plan'!$A$11:$A$34,0),MATCH(VALUE(MID(D65,2,4)),'INP-Calc EFOR&amp;EUOR - 2019Plan'!$C$9:$G$9,0))</f>
        <v>1.8230873030883308E-2</v>
      </c>
      <c r="W65" s="89">
        <f>W63</f>
        <v>6</v>
      </c>
    </row>
    <row r="67" spans="1:23" x14ac:dyDescent="0.25">
      <c r="A67" s="67" t="str">
        <f>'Calc- Prosym Setup'!A68</f>
        <v>Mill.Creek.1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</row>
    <row r="68" spans="1:23" x14ac:dyDescent="0.25">
      <c r="A68" s="67"/>
      <c r="B68" s="57" t="s">
        <v>185</v>
      </c>
      <c r="C68" s="67" t="str">
        <f>IF(AND(I68&gt;0,J68&gt;0),"[v6]",IF(AND(I68&gt;0,J68=" "),"[v5]",IF(AND(I68=" ",J68=" "),"[v4]","[V??]")))</f>
        <v>[v6]</v>
      </c>
      <c r="D68" s="67" t="str">
        <f>D60</f>
        <v>[2018]</v>
      </c>
      <c r="E68" s="66">
        <f>'Calc- Prosym Setup'!C71</f>
        <v>150</v>
      </c>
      <c r="F68" s="66">
        <f>'Calc- Prosym Setup'!D71</f>
        <v>210</v>
      </c>
      <c r="G68" s="66">
        <f>'Calc- Prosym Setup'!E71</f>
        <v>220</v>
      </c>
      <c r="H68" s="66">
        <f>'Calc- Prosym Setup'!F71</f>
        <v>260</v>
      </c>
      <c r="I68" s="66">
        <f>'Calc- Prosym Setup'!G71</f>
        <v>280</v>
      </c>
      <c r="J68" s="66">
        <f>'Calc- Prosym Setup'!H71</f>
        <v>300</v>
      </c>
      <c r="K68" s="67"/>
      <c r="L68" s="67"/>
      <c r="M68" s="67"/>
      <c r="N68" s="67"/>
      <c r="O68" s="67"/>
      <c r="P68" s="67"/>
      <c r="Q68" s="68"/>
      <c r="R68" s="69"/>
      <c r="S68" s="70"/>
      <c r="T68" s="67"/>
      <c r="U68" s="67"/>
    </row>
    <row r="69" spans="1:23" x14ac:dyDescent="0.25">
      <c r="A69" s="67"/>
      <c r="B69" s="57" t="s">
        <v>186</v>
      </c>
      <c r="C69" s="67" t="str">
        <f>C68</f>
        <v>[v6]</v>
      </c>
      <c r="D69" s="67" t="str">
        <f t="shared" ref="D69:D73" si="13">D61</f>
        <v>[2018]</v>
      </c>
      <c r="E69" s="77">
        <f ca="1">INDEX('Calc- Prosym Setup'!$C$5:$AO$107,MATCH($A67,'Calc- Prosym Setup'!$A$5:$A$107,0)+4,MATCH(VALUE(MID($D69,2,4)),'Calc- Prosym Setup'!$C$4:$AO$4,0))</f>
        <v>3.267927408774822E-2</v>
      </c>
      <c r="F69" s="77">
        <f ca="1">INDEX('Calc- Prosym Setup'!$C$5:$AO$107,MATCH($A67,'Calc- Prosym Setup'!$A$5:$A$107,0)+4,MATCH(VALUE(MID($D69,2,4)),'Calc- Prosym Setup'!$C$4:$AO$4,0)+'Calc- Prosym Setup'!C$7)</f>
        <v>1.495938271840719E-3</v>
      </c>
      <c r="G69" s="77">
        <f ca="1">INDEX('Calc- Prosym Setup'!$C$5:$AO$107,MATCH($A67,'Calc- Prosym Setup'!$A$5:$A$107,0)+4,MATCH(VALUE(MID($D69,2,4)),'Calc- Prosym Setup'!$C$4:$AO$4,0)+'Calc- Prosym Setup'!D$7)</f>
        <v>1.7081727852282113E-4</v>
      </c>
      <c r="H69" s="77">
        <f ca="1">INDEX('Calc- Prosym Setup'!$C$5:$AO$107,MATCH($A67,'Calc- Prosym Setup'!$A$5:$A$107,0)+4,MATCH(VALUE(MID($D69,2,4)),'Calc- Prosym Setup'!$C$4:$AO$4,0)+'Calc- Prosym Setup'!E$7)</f>
        <v>7.8300857767761014E-5</v>
      </c>
      <c r="I69" s="77">
        <f ca="1">INDEX('Calc- Prosym Setup'!$C$5:$AO$107,MATCH($A67,'Calc- Prosym Setup'!$A$5:$A$107,0)+4,MATCH(VALUE(MID($D69,2,4)),'Calc- Prosym Setup'!$C$4:$AO$4,0)+'Calc- Prosym Setup'!F$7)</f>
        <v>6.3508988169428608E-4</v>
      </c>
      <c r="J69" s="71" t="str">
        <f ca="1">"/ADD "&amp;TEXT(INDEX('Calc- Prosym Setup'!$C$5:$AO$107,MATCH($A67,'Calc- Prosym Setup'!$A$5:$A$107,0)+4,MATCH(VALUE(MID($D69,2,4)),'Calc- Prosym Setup'!$C$4:$AO$4,0)+'Calc- Prosym Setup'!G$7),"0.0000")&amp;" @IncFOR /"</f>
        <v>/ADD 0.9078 @IncFOR /</v>
      </c>
      <c r="K69" s="67" t="str">
        <f>IF(VALUE(MID($D69,2,4))&lt;'INP-Calc EFOR&amp;EUOR - 2019Plan'!$G$9,"-"," ")</f>
        <v>-</v>
      </c>
      <c r="L69" s="63" t="s">
        <v>187</v>
      </c>
      <c r="M69" s="68">
        <f ca="1">INDEX('INP-Calc EFOR&amp;EUOR - 2019Plan'!$I$11:$M$34,MATCH(INDIRECT(ADDRESS(5+7*$W69,3,,,"Calc- Prosym Setup")),'INP-Calc EFOR&amp;EUOR - 2019Plan'!$A$11:$A$34,0),MATCH(VALUE(MID(D69,2,4)),'INP-Calc EFOR&amp;EUOR - 2019Plan'!$C$9:$G$9,0))</f>
        <v>7.3999999999999996E-2</v>
      </c>
      <c r="N69" s="64" t="s">
        <v>188</v>
      </c>
      <c r="O69" s="68">
        <f ca="1">INDEX('INP-Calc EFOR&amp;EUOR - 2019Plan'!$C$11:$G$34,MATCH(INDIRECT(ADDRESS(5+7*$W69,3,,,"Calc- Prosym Setup")),'INP-Calc EFOR&amp;EUOR - 2019Plan'!$A$11:$A$34,0),MATCH(VALUE(MID(D69,2,4)),'INP-Calc EFOR&amp;EUOR - 2019Plan'!$C$9:$G$9,0))</f>
        <v>5.1999999999999998E-2</v>
      </c>
      <c r="P69" s="64" t="s">
        <v>189</v>
      </c>
      <c r="Q69" s="68">
        <f ca="1">INDEX('INP-Calc EFOR&amp;EUOR - 2019Plan'!$U$11:$Y$34,MATCH(INDIRECT(ADDRESS(5+7*$W69,3,,,"Calc- Prosym Setup")),'INP-Calc EFOR&amp;EUOR - 2019Plan'!$A$11:$A$34,0),MATCH(VALUE(MID(D69,2,4)),'INP-Calc EFOR&amp;EUOR - 2019Plan'!$C$9:$G$9,0))</f>
        <v>3.5113250760485597E-2</v>
      </c>
      <c r="R69" s="64" t="s">
        <v>190</v>
      </c>
      <c r="S69" s="68">
        <f ca="1">INDEX('INP-Calc EFOR&amp;EUOR - 2019Plan'!$O$11:$S$34,MATCH(INDIRECT(ADDRESS(5+7*$W69,3,,,"Calc- Prosym Setup")),'INP-Calc EFOR&amp;EUOR - 2019Plan'!$A$11:$A$34,0),MATCH(VALUE(MID(D69,2,4)),'INP-Calc EFOR&amp;EUOR - 2019Plan'!$C$9:$G$9,0))</f>
        <v>2.1999999999999999E-2</v>
      </c>
      <c r="T69" s="64" t="s">
        <v>191</v>
      </c>
      <c r="U69" s="68">
        <f ca="1">INDEX('INP-Calc EFOR&amp;EUOR - 2019Plan'!$AA$11:$AE$34,MATCH(INDIRECT(ADDRESS(5+7*$W69,3,,,"Calc- Prosym Setup")),'INP-Calc EFOR&amp;EUOR - 2019Plan'!$A$11:$A$34,0),MATCH(VALUE(MID(D69,2,4)),'INP-Calc EFOR&amp;EUOR - 2019Plan'!$C$9:$G$9,0))</f>
        <v>1.7501275929868318E-2</v>
      </c>
      <c r="W69" s="89">
        <v>9</v>
      </c>
    </row>
    <row r="70" spans="1:23" x14ac:dyDescent="0.25">
      <c r="A70" s="67"/>
      <c r="B70" s="67"/>
      <c r="C70" s="67"/>
      <c r="D70" s="67" t="str">
        <f t="shared" si="13"/>
        <v>[2019]</v>
      </c>
      <c r="E70" s="77">
        <f ca="1">INDEX('Calc- Prosym Setup'!$C$5:$AO$107,MATCH($A67,'Calc- Prosym Setup'!$A$5:$A$107,0)+4,MATCH(VALUE(MID($D70,2,4)),'Calc- Prosym Setup'!$C$4:$AO$4,0))</f>
        <v>3.267927408774822E-2</v>
      </c>
      <c r="F70" s="77">
        <f ca="1">INDEX('Calc- Prosym Setup'!$C$5:$AO$107,MATCH($A67,'Calc- Prosym Setup'!$A$5:$A$107,0)+4,MATCH(VALUE(MID($D70,2,4)),'Calc- Prosym Setup'!$C$4:$AO$4,0)+'Calc- Prosym Setup'!C$7)</f>
        <v>1.495938271840719E-3</v>
      </c>
      <c r="G70" s="77">
        <f ca="1">INDEX('Calc- Prosym Setup'!$C$5:$AO$107,MATCH($A67,'Calc- Prosym Setup'!$A$5:$A$107,0)+4,MATCH(VALUE(MID($D70,2,4)),'Calc- Prosym Setup'!$C$4:$AO$4,0)+'Calc- Prosym Setup'!D$7)</f>
        <v>1.7081727852282113E-4</v>
      </c>
      <c r="H70" s="77">
        <f ca="1">INDEX('Calc- Prosym Setup'!$C$5:$AO$107,MATCH($A67,'Calc- Prosym Setup'!$A$5:$A$107,0)+4,MATCH(VALUE(MID($D70,2,4)),'Calc- Prosym Setup'!$C$4:$AO$4,0)+'Calc- Prosym Setup'!E$7)</f>
        <v>7.8300857767761014E-5</v>
      </c>
      <c r="I70" s="77">
        <f ca="1">INDEX('Calc- Prosym Setup'!$C$5:$AO$107,MATCH($A67,'Calc- Prosym Setup'!$A$5:$A$107,0)+4,MATCH(VALUE(MID($D70,2,4)),'Calc- Prosym Setup'!$C$4:$AO$4,0)+'Calc- Prosym Setup'!F$7)</f>
        <v>6.3508988169428608E-4</v>
      </c>
      <c r="J70" s="71" t="str">
        <f ca="1">"/ADD "&amp;TEXT(INDEX('Calc- Prosym Setup'!$C$5:$AO$107,MATCH($A67,'Calc- Prosym Setup'!$A$5:$A$107,0)+4,MATCH(VALUE(MID($D70,2,4)),'Calc- Prosym Setup'!$C$4:$AO$4,0)+'Calc- Prosym Setup'!G$7),"0.0000")&amp;" @IncFOR /"</f>
        <v>/ADD 0.9078 @IncFOR /</v>
      </c>
      <c r="K70" s="67" t="str">
        <f>IF(VALUE(MID($D70,2,4))&lt;'INP-Calc EFOR&amp;EUOR - 2019Plan'!$G$9,"-"," ")</f>
        <v>-</v>
      </c>
      <c r="L70" s="63" t="s">
        <v>187</v>
      </c>
      <c r="M70" s="68">
        <f ca="1">INDEX('INP-Calc EFOR&amp;EUOR - 2019Plan'!$I$11:$M$34,MATCH(INDIRECT(ADDRESS(5+7*$W70,3,,,"Calc- Prosym Setup")),'INP-Calc EFOR&amp;EUOR - 2019Plan'!$A$11:$A$34,0),MATCH(VALUE(MID(D70,2,4)),'INP-Calc EFOR&amp;EUOR - 2019Plan'!$C$9:$G$9,0))</f>
        <v>7.3999999999999996E-2</v>
      </c>
      <c r="N70" s="64" t="s">
        <v>188</v>
      </c>
      <c r="O70" s="68">
        <f ca="1">INDEX('INP-Calc EFOR&amp;EUOR - 2019Plan'!$C$11:$G$34,MATCH(INDIRECT(ADDRESS(5+7*$W70,3,,,"Calc- Prosym Setup")),'INP-Calc EFOR&amp;EUOR - 2019Plan'!$A$11:$A$34,0),MATCH(VALUE(MID(D70,2,4)),'INP-Calc EFOR&amp;EUOR - 2019Plan'!$C$9:$G$9,0))</f>
        <v>5.1999999999999998E-2</v>
      </c>
      <c r="P70" s="64" t="s">
        <v>189</v>
      </c>
      <c r="Q70" s="68">
        <f ca="1">INDEX('INP-Calc EFOR&amp;EUOR - 2019Plan'!$U$11:$Y$34,MATCH(INDIRECT(ADDRESS(5+7*$W70,3,,,"Calc- Prosym Setup")),'INP-Calc EFOR&amp;EUOR - 2019Plan'!$A$11:$A$34,0),MATCH(VALUE(MID(D70,2,4)),'INP-Calc EFOR&amp;EUOR - 2019Plan'!$C$9:$G$9,0))</f>
        <v>3.5113250760485597E-2</v>
      </c>
      <c r="R70" s="64" t="s">
        <v>190</v>
      </c>
      <c r="S70" s="68">
        <f ca="1">INDEX('INP-Calc EFOR&amp;EUOR - 2019Plan'!$O$11:$S$34,MATCH(INDIRECT(ADDRESS(5+7*$W70,3,,,"Calc- Prosym Setup")),'INP-Calc EFOR&amp;EUOR - 2019Plan'!$A$11:$A$34,0),MATCH(VALUE(MID(D70,2,4)),'INP-Calc EFOR&amp;EUOR - 2019Plan'!$C$9:$G$9,0))</f>
        <v>2.1999999999999999E-2</v>
      </c>
      <c r="T70" s="64" t="s">
        <v>191</v>
      </c>
      <c r="U70" s="68">
        <f ca="1">INDEX('INP-Calc EFOR&amp;EUOR - 2019Plan'!$AA$11:$AE$34,MATCH(INDIRECT(ADDRESS(5+7*$W70,3,,,"Calc- Prosym Setup")),'INP-Calc EFOR&amp;EUOR - 2019Plan'!$A$11:$A$34,0),MATCH(VALUE(MID(D70,2,4)),'INP-Calc EFOR&amp;EUOR - 2019Plan'!$C$9:$G$9,0))</f>
        <v>1.7501275929868318E-2</v>
      </c>
      <c r="W70" s="89">
        <f>W69</f>
        <v>9</v>
      </c>
    </row>
    <row r="71" spans="1:23" x14ac:dyDescent="0.25">
      <c r="A71" s="67"/>
      <c r="B71" s="67"/>
      <c r="C71" s="67"/>
      <c r="D71" s="67" t="str">
        <f t="shared" si="13"/>
        <v>[2020]</v>
      </c>
      <c r="E71" s="77">
        <f ca="1">INDEX('Calc- Prosym Setup'!$C$5:$AO$107,MATCH($A67,'Calc- Prosym Setup'!$A$5:$A$107,0)+4,MATCH(VALUE(MID($D71,2,4)),'Calc- Prosym Setup'!$C$4:$AO$4,0))</f>
        <v>3.267927408774822E-2</v>
      </c>
      <c r="F71" s="77">
        <f ca="1">INDEX('Calc- Prosym Setup'!$C$5:$AO$107,MATCH($A67,'Calc- Prosym Setup'!$A$5:$A$107,0)+4,MATCH(VALUE(MID($D71,2,4)),'Calc- Prosym Setup'!$C$4:$AO$4,0)+'Calc- Prosym Setup'!C$7)</f>
        <v>1.495938271840719E-3</v>
      </c>
      <c r="G71" s="77">
        <f ca="1">INDEX('Calc- Prosym Setup'!$C$5:$AO$107,MATCH($A67,'Calc- Prosym Setup'!$A$5:$A$107,0)+4,MATCH(VALUE(MID($D71,2,4)),'Calc- Prosym Setup'!$C$4:$AO$4,0)+'Calc- Prosym Setup'!D$7)</f>
        <v>1.7081727852282113E-4</v>
      </c>
      <c r="H71" s="77">
        <f ca="1">INDEX('Calc- Prosym Setup'!$C$5:$AO$107,MATCH($A67,'Calc- Prosym Setup'!$A$5:$A$107,0)+4,MATCH(VALUE(MID($D71,2,4)),'Calc- Prosym Setup'!$C$4:$AO$4,0)+'Calc- Prosym Setup'!E$7)</f>
        <v>7.8300857767761014E-5</v>
      </c>
      <c r="I71" s="77">
        <f ca="1">INDEX('Calc- Prosym Setup'!$C$5:$AO$107,MATCH($A67,'Calc- Prosym Setup'!$A$5:$A$107,0)+4,MATCH(VALUE(MID($D71,2,4)),'Calc- Prosym Setup'!$C$4:$AO$4,0)+'Calc- Prosym Setup'!F$7)</f>
        <v>6.3508988169428608E-4</v>
      </c>
      <c r="J71" s="71" t="str">
        <f ca="1">"/ADD "&amp;TEXT(INDEX('Calc- Prosym Setup'!$C$5:$AO$107,MATCH($A67,'Calc- Prosym Setup'!$A$5:$A$107,0)+4,MATCH(VALUE(MID($D71,2,4)),'Calc- Prosym Setup'!$C$4:$AO$4,0)+'Calc- Prosym Setup'!G$7),"0.0000")&amp;" @IncFOR /"</f>
        <v>/ADD 0.9078 @IncFOR /</v>
      </c>
      <c r="K71" s="67" t="str">
        <f>IF(VALUE(MID($D71,2,4))&lt;'INP-Calc EFOR&amp;EUOR - 2019Plan'!$G$9,"-"," ")</f>
        <v>-</v>
      </c>
      <c r="L71" s="63" t="s">
        <v>187</v>
      </c>
      <c r="M71" s="68">
        <f ca="1">INDEX('INP-Calc EFOR&amp;EUOR - 2019Plan'!$I$11:$M$34,MATCH(INDIRECT(ADDRESS(5+7*$W71,3,,,"Calc- Prosym Setup")),'INP-Calc EFOR&amp;EUOR - 2019Plan'!$A$11:$A$34,0),MATCH(VALUE(MID(D71,2,4)),'INP-Calc EFOR&amp;EUOR - 2019Plan'!$C$9:$G$9,0))</f>
        <v>7.3999999999999996E-2</v>
      </c>
      <c r="N71" s="64" t="s">
        <v>188</v>
      </c>
      <c r="O71" s="68">
        <f ca="1">INDEX('INP-Calc EFOR&amp;EUOR - 2019Plan'!$C$11:$G$34,MATCH(INDIRECT(ADDRESS(5+7*$W71,3,,,"Calc- Prosym Setup")),'INP-Calc EFOR&amp;EUOR - 2019Plan'!$A$11:$A$34,0),MATCH(VALUE(MID(D71,2,4)),'INP-Calc EFOR&amp;EUOR - 2019Plan'!$C$9:$G$9,0))</f>
        <v>5.1999999999999998E-2</v>
      </c>
      <c r="P71" s="64" t="s">
        <v>189</v>
      </c>
      <c r="Q71" s="68">
        <f ca="1">INDEX('INP-Calc EFOR&amp;EUOR - 2019Plan'!$U$11:$Y$34,MATCH(INDIRECT(ADDRESS(5+7*$W71,3,,,"Calc- Prosym Setup")),'INP-Calc EFOR&amp;EUOR - 2019Plan'!$A$11:$A$34,0),MATCH(VALUE(MID(D71,2,4)),'INP-Calc EFOR&amp;EUOR - 2019Plan'!$C$9:$G$9,0))</f>
        <v>3.5113250760485597E-2</v>
      </c>
      <c r="R71" s="64" t="s">
        <v>190</v>
      </c>
      <c r="S71" s="68">
        <f ca="1">INDEX('INP-Calc EFOR&amp;EUOR - 2019Plan'!$O$11:$S$34,MATCH(INDIRECT(ADDRESS(5+7*$W71,3,,,"Calc- Prosym Setup")),'INP-Calc EFOR&amp;EUOR - 2019Plan'!$A$11:$A$34,0),MATCH(VALUE(MID(D71,2,4)),'INP-Calc EFOR&amp;EUOR - 2019Plan'!$C$9:$G$9,0))</f>
        <v>2.1999999999999999E-2</v>
      </c>
      <c r="T71" s="64" t="s">
        <v>191</v>
      </c>
      <c r="U71" s="68">
        <f ca="1">INDEX('INP-Calc EFOR&amp;EUOR - 2019Plan'!$AA$11:$AE$34,MATCH(INDIRECT(ADDRESS(5+7*$W71,3,,,"Calc- Prosym Setup")),'INP-Calc EFOR&amp;EUOR - 2019Plan'!$A$11:$A$34,0),MATCH(VALUE(MID(D71,2,4)),'INP-Calc EFOR&amp;EUOR - 2019Plan'!$C$9:$G$9,0))</f>
        <v>1.7501275929868318E-2</v>
      </c>
      <c r="W71" s="89">
        <f t="shared" ref="W71:W72" si="14">W70</f>
        <v>9</v>
      </c>
    </row>
    <row r="72" spans="1:23" x14ac:dyDescent="0.25">
      <c r="A72" s="67"/>
      <c r="B72" s="67"/>
      <c r="C72" s="67"/>
      <c r="D72" s="67" t="str">
        <f t="shared" si="13"/>
        <v>[2021]</v>
      </c>
      <c r="E72" s="77">
        <f ca="1">INDEX('Calc- Prosym Setup'!$C$5:$AO$107,MATCH($A67,'Calc- Prosym Setup'!$A$5:$A$107,0)+4,MATCH(VALUE(MID($D72,2,4)),'Calc- Prosym Setup'!$C$4:$AO$4,0))</f>
        <v>3.267927408774822E-2</v>
      </c>
      <c r="F72" s="77">
        <f ca="1">INDEX('Calc- Prosym Setup'!$C$5:$AO$107,MATCH($A67,'Calc- Prosym Setup'!$A$5:$A$107,0)+4,MATCH(VALUE(MID($D72,2,4)),'Calc- Prosym Setup'!$C$4:$AO$4,0)+'Calc- Prosym Setup'!C$7)</f>
        <v>1.495938271840719E-3</v>
      </c>
      <c r="G72" s="77">
        <f ca="1">INDEX('Calc- Prosym Setup'!$C$5:$AO$107,MATCH($A67,'Calc- Prosym Setup'!$A$5:$A$107,0)+4,MATCH(VALUE(MID($D72,2,4)),'Calc- Prosym Setup'!$C$4:$AO$4,0)+'Calc- Prosym Setup'!D$7)</f>
        <v>1.7081727852282113E-4</v>
      </c>
      <c r="H72" s="77">
        <f ca="1">INDEX('Calc- Prosym Setup'!$C$5:$AO$107,MATCH($A67,'Calc- Prosym Setup'!$A$5:$A$107,0)+4,MATCH(VALUE(MID($D72,2,4)),'Calc- Prosym Setup'!$C$4:$AO$4,0)+'Calc- Prosym Setup'!E$7)</f>
        <v>7.8300857767761014E-5</v>
      </c>
      <c r="I72" s="77">
        <f ca="1">INDEX('Calc- Prosym Setup'!$C$5:$AO$107,MATCH($A67,'Calc- Prosym Setup'!$A$5:$A$107,0)+4,MATCH(VALUE(MID($D72,2,4)),'Calc- Prosym Setup'!$C$4:$AO$4,0)+'Calc- Prosym Setup'!F$7)</f>
        <v>6.3508988169428608E-4</v>
      </c>
      <c r="J72" s="71" t="str">
        <f ca="1">"/ADD "&amp;TEXT(INDEX('Calc- Prosym Setup'!$C$5:$AO$107,MATCH($A67,'Calc- Prosym Setup'!$A$5:$A$107,0)+4,MATCH(VALUE(MID($D72,2,4)),'Calc- Prosym Setup'!$C$4:$AO$4,0)+'Calc- Prosym Setup'!G$7),"0.0000")&amp;" @IncFOR /"</f>
        <v>/ADD 0.9078 @IncFOR /</v>
      </c>
      <c r="K72" s="67" t="str">
        <f>IF(VALUE(MID($D72,2,4))&lt;'INP-Calc EFOR&amp;EUOR - 2019Plan'!$G$9,"-"," ")</f>
        <v>-</v>
      </c>
      <c r="L72" s="92" t="s">
        <v>187</v>
      </c>
      <c r="M72" s="93">
        <f ca="1">INDEX('INP-Calc EFOR&amp;EUOR - 2019Plan'!$I$11:$M$34,MATCH(INDIRECT(ADDRESS(5+7*$W72,3,,,"Calc- Prosym Setup")),'INP-Calc EFOR&amp;EUOR - 2019Plan'!$A$11:$A$34,0),MATCH(VALUE(MID(D72,2,4)),'INP-Calc EFOR&amp;EUOR - 2019Plan'!$C$9:$G$9,0))</f>
        <v>7.3999999999999996E-2</v>
      </c>
      <c r="N72" s="94" t="s">
        <v>188</v>
      </c>
      <c r="O72" s="93">
        <f ca="1">INDEX('INP-Calc EFOR&amp;EUOR - 2019Plan'!$C$11:$G$34,MATCH(INDIRECT(ADDRESS(5+7*$W72,3,,,"Calc- Prosym Setup")),'INP-Calc EFOR&amp;EUOR - 2019Plan'!$A$11:$A$34,0),MATCH(VALUE(MID(D72,2,4)),'INP-Calc EFOR&amp;EUOR - 2019Plan'!$C$9:$G$9,0))</f>
        <v>5.1999999999999998E-2</v>
      </c>
      <c r="P72" s="94" t="s">
        <v>189</v>
      </c>
      <c r="Q72" s="93">
        <f ca="1">INDEX('INP-Calc EFOR&amp;EUOR - 2019Plan'!$U$11:$Y$34,MATCH(INDIRECT(ADDRESS(5+7*$W72,3,,,"Calc- Prosym Setup")),'INP-Calc EFOR&amp;EUOR - 2019Plan'!$A$11:$A$34,0),MATCH(VALUE(MID(D72,2,4)),'INP-Calc EFOR&amp;EUOR - 2019Plan'!$C$9:$G$9,0))</f>
        <v>3.5113250760485597E-2</v>
      </c>
      <c r="R72" s="94" t="s">
        <v>190</v>
      </c>
      <c r="S72" s="93">
        <f ca="1">INDEX('INP-Calc EFOR&amp;EUOR - 2019Plan'!$O$11:$S$34,MATCH(INDIRECT(ADDRESS(5+7*$W72,3,,,"Calc- Prosym Setup")),'INP-Calc EFOR&amp;EUOR - 2019Plan'!$A$11:$A$34,0),MATCH(VALUE(MID(D72,2,4)),'INP-Calc EFOR&amp;EUOR - 2019Plan'!$C$9:$G$9,0))</f>
        <v>2.1999999999999999E-2</v>
      </c>
      <c r="T72" s="94" t="s">
        <v>191</v>
      </c>
      <c r="U72" s="93">
        <f ca="1">INDEX('INP-Calc EFOR&amp;EUOR - 2019Plan'!$AA$11:$AE$34,MATCH(INDIRECT(ADDRESS(5+7*$W72,3,,,"Calc- Prosym Setup")),'INP-Calc EFOR&amp;EUOR - 2019Plan'!$A$11:$A$34,0),MATCH(VALUE(MID(D72,2,4)),'INP-Calc EFOR&amp;EUOR - 2019Plan'!$C$9:$G$9,0))</f>
        <v>1.7501275929868318E-2</v>
      </c>
      <c r="W72" s="89">
        <f t="shared" si="14"/>
        <v>9</v>
      </c>
    </row>
    <row r="73" spans="1:23" x14ac:dyDescent="0.25">
      <c r="A73" s="72"/>
      <c r="B73" s="72"/>
      <c r="C73" s="72"/>
      <c r="D73" s="87" t="str">
        <f t="shared" si="13"/>
        <v>[2022]</v>
      </c>
      <c r="E73" s="83">
        <f ca="1">INDEX('Calc- Prosym Setup'!$C$5:$AO$107,MATCH($A67,'Calc- Prosym Setup'!$A$5:$A$107,0)+4,MATCH(VALUE(MID($D73,2,4)),'Calc- Prosym Setup'!$C$4:$AO$4,0))</f>
        <v>3.267927408774822E-2</v>
      </c>
      <c r="F73" s="83">
        <f ca="1">INDEX('Calc- Prosym Setup'!$C$5:$AO$107,MATCH($A67,'Calc- Prosym Setup'!$A$5:$A$107,0)+4,MATCH(VALUE(MID($D73,2,4)),'Calc- Prosym Setup'!$C$4:$AO$4,0)+'Calc- Prosym Setup'!C$7)</f>
        <v>1.495938271840719E-3</v>
      </c>
      <c r="G73" s="83">
        <f ca="1">INDEX('Calc- Prosym Setup'!$C$5:$AO$107,MATCH($A67,'Calc- Prosym Setup'!$A$5:$A$107,0)+4,MATCH(VALUE(MID($D73,2,4)),'Calc- Prosym Setup'!$C$4:$AO$4,0)+'Calc- Prosym Setup'!D$7)</f>
        <v>1.7081727852282113E-4</v>
      </c>
      <c r="H73" s="83">
        <f ca="1">INDEX('Calc- Prosym Setup'!$C$5:$AO$107,MATCH($A67,'Calc- Prosym Setup'!$A$5:$A$107,0)+4,MATCH(VALUE(MID($D73,2,4)),'Calc- Prosym Setup'!$C$4:$AO$4,0)+'Calc- Prosym Setup'!E$7)</f>
        <v>7.8300857767761014E-5</v>
      </c>
      <c r="I73" s="83">
        <f ca="1">INDEX('Calc- Prosym Setup'!$C$5:$AO$107,MATCH($A67,'Calc- Prosym Setup'!$A$5:$A$107,0)+4,MATCH(VALUE(MID($D73,2,4)),'Calc- Prosym Setup'!$C$4:$AO$4,0)+'Calc- Prosym Setup'!F$7)</f>
        <v>6.3508988169428608E-4</v>
      </c>
      <c r="J73" s="88" t="str">
        <f ca="1">"/ADD "&amp;TEXT(INDEX('Calc- Prosym Setup'!$C$5:$AO$107,MATCH($A67,'Calc- Prosym Setup'!$A$5:$A$107,0)+4,MATCH(VALUE(MID($D73,2,4)),'Calc- Prosym Setup'!$C$4:$AO$4,0)+'Calc- Prosym Setup'!G$7),"0.0000")&amp;" @IncFOR /"</f>
        <v>/ADD 0.9078 @IncFOR /</v>
      </c>
      <c r="K73" s="72" t="str">
        <f>IF(VALUE(MID($D73,2,4))&lt;'INP-Calc EFOR&amp;EUOR - 2019Plan'!$G$9,"-"," ")</f>
        <v xml:space="preserve"> </v>
      </c>
      <c r="L73" s="91" t="s">
        <v>187</v>
      </c>
      <c r="M73" s="74">
        <f ca="1">INDEX('INP-Calc EFOR&amp;EUOR - 2019Plan'!$I$11:$M$34,MATCH(INDIRECT(ADDRESS(5+7*$W73,3,,,"Calc- Prosym Setup")),'INP-Calc EFOR&amp;EUOR - 2019Plan'!$A$11:$A$34,0),MATCH(VALUE(MID(D73,2,4)),'INP-Calc EFOR&amp;EUOR - 2019Plan'!$C$9:$G$9,0))</f>
        <v>7.3999999999999996E-2</v>
      </c>
      <c r="N73" s="75" t="s">
        <v>188</v>
      </c>
      <c r="O73" s="74">
        <f ca="1">INDEX('INP-Calc EFOR&amp;EUOR - 2019Plan'!$C$11:$G$34,MATCH(INDIRECT(ADDRESS(5+7*$W73,3,,,"Calc- Prosym Setup")),'INP-Calc EFOR&amp;EUOR - 2019Plan'!$A$11:$A$34,0),MATCH(VALUE(MID(D73,2,4)),'INP-Calc EFOR&amp;EUOR - 2019Plan'!$C$9:$G$9,0))</f>
        <v>5.1999999999999998E-2</v>
      </c>
      <c r="P73" s="75" t="s">
        <v>189</v>
      </c>
      <c r="Q73" s="74">
        <f ca="1">INDEX('INP-Calc EFOR&amp;EUOR - 2019Plan'!$U$11:$Y$34,MATCH(INDIRECT(ADDRESS(5+7*$W73,3,,,"Calc- Prosym Setup")),'INP-Calc EFOR&amp;EUOR - 2019Plan'!$A$11:$A$34,0),MATCH(VALUE(MID(D73,2,4)),'INP-Calc EFOR&amp;EUOR - 2019Plan'!$C$9:$G$9,0))</f>
        <v>3.5113250760485597E-2</v>
      </c>
      <c r="R73" s="75" t="s">
        <v>190</v>
      </c>
      <c r="S73" s="74">
        <f ca="1">INDEX('INP-Calc EFOR&amp;EUOR - 2019Plan'!$O$11:$S$34,MATCH(INDIRECT(ADDRESS(5+7*$W73,3,,,"Calc- Prosym Setup")),'INP-Calc EFOR&amp;EUOR - 2019Plan'!$A$11:$A$34,0),MATCH(VALUE(MID(D73,2,4)),'INP-Calc EFOR&amp;EUOR - 2019Plan'!$C$9:$G$9,0))</f>
        <v>2.1999999999999999E-2</v>
      </c>
      <c r="T73" s="75" t="s">
        <v>191</v>
      </c>
      <c r="U73" s="74">
        <f ca="1">INDEX('INP-Calc EFOR&amp;EUOR - 2019Plan'!$AA$11:$AE$34,MATCH(INDIRECT(ADDRESS(5+7*$W73,3,,,"Calc- Prosym Setup")),'INP-Calc EFOR&amp;EUOR - 2019Plan'!$A$11:$A$34,0),MATCH(VALUE(MID(D73,2,4)),'INP-Calc EFOR&amp;EUOR - 2019Plan'!$C$9:$G$9,0))</f>
        <v>1.7501275929868318E-2</v>
      </c>
      <c r="W73" s="89">
        <f>W71</f>
        <v>9</v>
      </c>
    </row>
    <row r="75" spans="1:23" x14ac:dyDescent="0.25">
      <c r="A75" s="67" t="str">
        <f>'Calc- Prosym Setup'!A75</f>
        <v>Mill.Creek.2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</row>
    <row r="76" spans="1:23" x14ac:dyDescent="0.25">
      <c r="A76" s="67"/>
      <c r="B76" s="57" t="s">
        <v>185</v>
      </c>
      <c r="C76" s="67" t="str">
        <f>IF(AND(I76&gt;0,J76&gt;0),"[v6]",IF(AND(I76&gt;0,J76=" "),"[v5]",IF(AND(I76=" ",J76=" "),"[v4]","[V??]")))</f>
        <v>[v6]</v>
      </c>
      <c r="D76" s="67" t="str">
        <f>D68</f>
        <v>[2018]</v>
      </c>
      <c r="E76" s="66">
        <f>'Calc- Prosym Setup'!C78</f>
        <v>147</v>
      </c>
      <c r="F76" s="66">
        <f>'Calc- Prosym Setup'!D78</f>
        <v>207</v>
      </c>
      <c r="G76" s="66">
        <f>'Calc- Prosym Setup'!E78</f>
        <v>217</v>
      </c>
      <c r="H76" s="66">
        <f>'Calc- Prosym Setup'!F78</f>
        <v>257</v>
      </c>
      <c r="I76" s="66">
        <f>'Calc- Prosym Setup'!G78</f>
        <v>277</v>
      </c>
      <c r="J76" s="66">
        <f>'Calc- Prosym Setup'!H78</f>
        <v>297</v>
      </c>
      <c r="K76" s="67"/>
      <c r="L76" s="67"/>
      <c r="M76" s="67"/>
      <c r="N76" s="67"/>
      <c r="O76" s="67"/>
      <c r="P76" s="67"/>
      <c r="Q76" s="68"/>
      <c r="R76" s="69"/>
      <c r="S76" s="70"/>
      <c r="T76" s="67"/>
      <c r="U76" s="67"/>
    </row>
    <row r="77" spans="1:23" x14ac:dyDescent="0.25">
      <c r="A77" s="67"/>
      <c r="B77" s="57" t="s">
        <v>186</v>
      </c>
      <c r="C77" s="67" t="str">
        <f>C76</f>
        <v>[v6]</v>
      </c>
      <c r="D77" s="67" t="str">
        <f>D69</f>
        <v>[2018]</v>
      </c>
      <c r="E77" s="77">
        <f ca="1">INDEX('Calc- Prosym Setup'!$C$5:$AO$107,MATCH($A75,'Calc- Prosym Setup'!$A$5:$A$107,0)+4,MATCH(VALUE(MID($D77,2,4)),'Calc- Prosym Setup'!$C$4:$AO$4,0))</f>
        <v>8.7716461390377563E-4</v>
      </c>
      <c r="F77" s="77">
        <f ca="1">INDEX('Calc- Prosym Setup'!$C$5:$AO$107,MATCH($A75,'Calc- Prosym Setup'!$A$5:$A$107,0)+4,MATCH(VALUE(MID($D77,2,4)),'Calc- Prosym Setup'!$C$4:$AO$4,0)+'Calc- Prosym Setup'!C$7)</f>
        <v>5.1584551128682231E-2</v>
      </c>
      <c r="G77" s="77">
        <f ca="1">INDEX('Calc- Prosym Setup'!$C$5:$AO$107,MATCH($A75,'Calc- Prosym Setup'!$A$5:$A$107,0)+4,MATCH(VALUE(MID($D77,2,4)),'Calc- Prosym Setup'!$C$4:$AO$4,0)+'Calc- Prosym Setup'!D$7)</f>
        <v>9.4923365324275216E-4</v>
      </c>
      <c r="H77" s="77">
        <f ca="1">INDEX('Calc- Prosym Setup'!$C$5:$AO$107,MATCH($A75,'Calc- Prosym Setup'!$A$5:$A$107,0)+4,MATCH(VALUE(MID($D77,2,4)),'Calc- Prosym Setup'!$C$4:$AO$4,0)+'Calc- Prosym Setup'!E$7)</f>
        <v>1.907232459917413E-3</v>
      </c>
      <c r="I77" s="77">
        <f ca="1">INDEX('Calc- Prosym Setup'!$C$5:$AO$107,MATCH($A75,'Calc- Prosym Setup'!$A$5:$A$107,0)+4,MATCH(VALUE(MID($D77,2,4)),'Calc- Prosym Setup'!$C$4:$AO$4,0)+'Calc- Prosym Setup'!F$7)</f>
        <v>4.447611990634686E-3</v>
      </c>
      <c r="J77" s="71" t="str">
        <f ca="1">"/ADD "&amp;TEXT(INDEX('Calc- Prosym Setup'!$C$5:$AO$107,MATCH($A75,'Calc- Prosym Setup'!$A$5:$A$107,0)+4,MATCH(VALUE(MID($D77,2,4)),'Calc- Prosym Setup'!$C$4:$AO$4,0)+'Calc- Prosym Setup'!G$7),"0.0000")&amp;" @IncFOR /"</f>
        <v>/ADD 0.8831 @IncFOR /</v>
      </c>
      <c r="K77" s="67" t="str">
        <f>IF(VALUE(MID($D77,2,4))&lt;'INP-Calc EFOR&amp;EUOR - 2019Plan'!$G$9,"-"," ")</f>
        <v>-</v>
      </c>
      <c r="L77" s="63" t="s">
        <v>187</v>
      </c>
      <c r="M77" s="68">
        <f ca="1">INDEX('INP-Calc EFOR&amp;EUOR - 2019Plan'!$I$11:$M$34,MATCH(INDIRECT(ADDRESS(5+7*$W77,3,,,"Calc- Prosym Setup")),'INP-Calc EFOR&amp;EUOR - 2019Plan'!$A$11:$A$34,0),MATCH(VALUE(MID(D77,2,4)),'INP-Calc EFOR&amp;EUOR - 2019Plan'!$C$9:$G$9,0))</f>
        <v>7.3999999999999996E-2</v>
      </c>
      <c r="N77" s="64" t="s">
        <v>188</v>
      </c>
      <c r="O77" s="68">
        <f ca="1">INDEX('INP-Calc EFOR&amp;EUOR - 2019Plan'!$C$11:$G$34,MATCH(INDIRECT(ADDRESS(5+7*$W77,3,,,"Calc- Prosym Setup")),'INP-Calc EFOR&amp;EUOR - 2019Plan'!$A$11:$A$34,0),MATCH(VALUE(MID(D77,2,4)),'INP-Calc EFOR&amp;EUOR - 2019Plan'!$C$9:$G$9,0))</f>
        <v>5.1999999999999998E-2</v>
      </c>
      <c r="P77" s="64" t="s">
        <v>189</v>
      </c>
      <c r="Q77" s="68">
        <f ca="1">INDEX('INP-Calc EFOR&amp;EUOR - 2019Plan'!$U$11:$Y$34,MATCH(INDIRECT(ADDRESS(5+7*$W77,3,,,"Calc- Prosym Setup")),'INP-Calc EFOR&amp;EUOR - 2019Plan'!$A$11:$A$34,0),MATCH(VALUE(MID(D77,2,4)),'INP-Calc EFOR&amp;EUOR - 2019Plan'!$C$9:$G$9,0))</f>
        <v>3.5113250760485597E-2</v>
      </c>
      <c r="R77" s="64" t="s">
        <v>190</v>
      </c>
      <c r="S77" s="68">
        <f ca="1">INDEX('INP-Calc EFOR&amp;EUOR - 2019Plan'!$O$11:$S$34,MATCH(INDIRECT(ADDRESS(5+7*$W77,3,,,"Calc- Prosym Setup")),'INP-Calc EFOR&amp;EUOR - 2019Plan'!$A$11:$A$34,0),MATCH(VALUE(MID(D77,2,4)),'INP-Calc EFOR&amp;EUOR - 2019Plan'!$C$9:$G$9,0))</f>
        <v>2.1999999999999999E-2</v>
      </c>
      <c r="T77" s="64" t="s">
        <v>191</v>
      </c>
      <c r="U77" s="68">
        <f ca="1">INDEX('INP-Calc EFOR&amp;EUOR - 2019Plan'!$AA$11:$AE$34,MATCH(INDIRECT(ADDRESS(5+7*$W77,3,,,"Calc- Prosym Setup")),'INP-Calc EFOR&amp;EUOR - 2019Plan'!$A$11:$A$34,0),MATCH(VALUE(MID(D77,2,4)),'INP-Calc EFOR&amp;EUOR - 2019Plan'!$C$9:$G$9,0))</f>
        <v>1.7501275929868318E-2</v>
      </c>
      <c r="W77" s="89">
        <f>W69+1</f>
        <v>10</v>
      </c>
    </row>
    <row r="78" spans="1:23" x14ac:dyDescent="0.25">
      <c r="A78" s="67"/>
      <c r="B78" s="67"/>
      <c r="C78" s="67"/>
      <c r="D78" s="67" t="str">
        <f>D70</f>
        <v>[2019]</v>
      </c>
      <c r="E78" s="77">
        <f ca="1">INDEX('Calc- Prosym Setup'!$C$5:$AO$107,MATCH($A75,'Calc- Prosym Setup'!$A$5:$A$107,0)+4,MATCH(VALUE(MID($D78,2,4)),'Calc- Prosym Setup'!$C$4:$AO$4,0))</f>
        <v>8.7716461390377563E-4</v>
      </c>
      <c r="F78" s="77">
        <f ca="1">INDEX('Calc- Prosym Setup'!$C$5:$AO$107,MATCH($A75,'Calc- Prosym Setup'!$A$5:$A$107,0)+4,MATCH(VALUE(MID($D78,2,4)),'Calc- Prosym Setup'!$C$4:$AO$4,0)+'Calc- Prosym Setup'!C$7)</f>
        <v>5.1584551128682231E-2</v>
      </c>
      <c r="G78" s="77">
        <f ca="1">INDEX('Calc- Prosym Setup'!$C$5:$AO$107,MATCH($A75,'Calc- Prosym Setup'!$A$5:$A$107,0)+4,MATCH(VALUE(MID($D78,2,4)),'Calc- Prosym Setup'!$C$4:$AO$4,0)+'Calc- Prosym Setup'!D$7)</f>
        <v>9.4923365324275216E-4</v>
      </c>
      <c r="H78" s="77">
        <f ca="1">INDEX('Calc- Prosym Setup'!$C$5:$AO$107,MATCH($A75,'Calc- Prosym Setup'!$A$5:$A$107,0)+4,MATCH(VALUE(MID($D78,2,4)),'Calc- Prosym Setup'!$C$4:$AO$4,0)+'Calc- Prosym Setup'!E$7)</f>
        <v>1.907232459917413E-3</v>
      </c>
      <c r="I78" s="77">
        <f ca="1">INDEX('Calc- Prosym Setup'!$C$5:$AO$107,MATCH($A75,'Calc- Prosym Setup'!$A$5:$A$107,0)+4,MATCH(VALUE(MID($D78,2,4)),'Calc- Prosym Setup'!$C$4:$AO$4,0)+'Calc- Prosym Setup'!F$7)</f>
        <v>4.447611990634686E-3</v>
      </c>
      <c r="J78" s="71" t="str">
        <f ca="1">"/ADD "&amp;TEXT(INDEX('Calc- Prosym Setup'!$C$5:$AO$107,MATCH($A75,'Calc- Prosym Setup'!$A$5:$A$107,0)+4,MATCH(VALUE(MID($D78,2,4)),'Calc- Prosym Setup'!$C$4:$AO$4,0)+'Calc- Prosym Setup'!G$7),"0.0000")&amp;" @IncFOR /"</f>
        <v>/ADD 0.8831 @IncFOR /</v>
      </c>
      <c r="K78" s="67" t="str">
        <f>IF(VALUE(MID($D78,2,4))&lt;'INP-Calc EFOR&amp;EUOR - 2019Plan'!$G$9,"-"," ")</f>
        <v>-</v>
      </c>
      <c r="L78" s="63" t="s">
        <v>187</v>
      </c>
      <c r="M78" s="68">
        <f ca="1">INDEX('INP-Calc EFOR&amp;EUOR - 2019Plan'!$I$11:$M$34,MATCH(INDIRECT(ADDRESS(5+7*$W78,3,,,"Calc- Prosym Setup")),'INP-Calc EFOR&amp;EUOR - 2019Plan'!$A$11:$A$34,0),MATCH(VALUE(MID(D78,2,4)),'INP-Calc EFOR&amp;EUOR - 2019Plan'!$C$9:$G$9,0))</f>
        <v>7.3999999999999996E-2</v>
      </c>
      <c r="N78" s="64" t="s">
        <v>188</v>
      </c>
      <c r="O78" s="68">
        <f ca="1">INDEX('INP-Calc EFOR&amp;EUOR - 2019Plan'!$C$11:$G$34,MATCH(INDIRECT(ADDRESS(5+7*$W78,3,,,"Calc- Prosym Setup")),'INP-Calc EFOR&amp;EUOR - 2019Plan'!$A$11:$A$34,0),MATCH(VALUE(MID(D78,2,4)),'INP-Calc EFOR&amp;EUOR - 2019Plan'!$C$9:$G$9,0))</f>
        <v>5.1999999999999998E-2</v>
      </c>
      <c r="P78" s="64" t="s">
        <v>189</v>
      </c>
      <c r="Q78" s="68">
        <f ca="1">INDEX('INP-Calc EFOR&amp;EUOR - 2019Plan'!$U$11:$Y$34,MATCH(INDIRECT(ADDRESS(5+7*$W78,3,,,"Calc- Prosym Setup")),'INP-Calc EFOR&amp;EUOR - 2019Plan'!$A$11:$A$34,0),MATCH(VALUE(MID(D78,2,4)),'INP-Calc EFOR&amp;EUOR - 2019Plan'!$C$9:$G$9,0))</f>
        <v>3.5113250760485597E-2</v>
      </c>
      <c r="R78" s="64" t="s">
        <v>190</v>
      </c>
      <c r="S78" s="68">
        <f ca="1">INDEX('INP-Calc EFOR&amp;EUOR - 2019Plan'!$O$11:$S$34,MATCH(INDIRECT(ADDRESS(5+7*$W78,3,,,"Calc- Prosym Setup")),'INP-Calc EFOR&amp;EUOR - 2019Plan'!$A$11:$A$34,0),MATCH(VALUE(MID(D78,2,4)),'INP-Calc EFOR&amp;EUOR - 2019Plan'!$C$9:$G$9,0))</f>
        <v>2.1999999999999999E-2</v>
      </c>
      <c r="T78" s="64" t="s">
        <v>191</v>
      </c>
      <c r="U78" s="68">
        <f ca="1">INDEX('INP-Calc EFOR&amp;EUOR - 2019Plan'!$AA$11:$AE$34,MATCH(INDIRECT(ADDRESS(5+7*$W78,3,,,"Calc- Prosym Setup")),'INP-Calc EFOR&amp;EUOR - 2019Plan'!$A$11:$A$34,0),MATCH(VALUE(MID(D78,2,4)),'INP-Calc EFOR&amp;EUOR - 2019Plan'!$C$9:$G$9,0))</f>
        <v>1.7501275929868318E-2</v>
      </c>
      <c r="W78" s="89">
        <f>W77</f>
        <v>10</v>
      </c>
    </row>
    <row r="79" spans="1:23" x14ac:dyDescent="0.25">
      <c r="A79" s="67"/>
      <c r="B79" s="67"/>
      <c r="C79" s="67"/>
      <c r="D79" s="67" t="str">
        <f>D71</f>
        <v>[2020]</v>
      </c>
      <c r="E79" s="77">
        <f ca="1">INDEX('Calc- Prosym Setup'!$C$5:$AO$107,MATCH($A75,'Calc- Prosym Setup'!$A$5:$A$107,0)+4,MATCH(VALUE(MID($D79,2,4)),'Calc- Prosym Setup'!$C$4:$AO$4,0))</f>
        <v>8.7716461390377563E-4</v>
      </c>
      <c r="F79" s="77">
        <f ca="1">INDEX('Calc- Prosym Setup'!$C$5:$AO$107,MATCH($A75,'Calc- Prosym Setup'!$A$5:$A$107,0)+4,MATCH(VALUE(MID($D79,2,4)),'Calc- Prosym Setup'!$C$4:$AO$4,0)+'Calc- Prosym Setup'!C$7)</f>
        <v>5.1584551128682231E-2</v>
      </c>
      <c r="G79" s="77">
        <f ca="1">INDEX('Calc- Prosym Setup'!$C$5:$AO$107,MATCH($A75,'Calc- Prosym Setup'!$A$5:$A$107,0)+4,MATCH(VALUE(MID($D79,2,4)),'Calc- Prosym Setup'!$C$4:$AO$4,0)+'Calc- Prosym Setup'!D$7)</f>
        <v>9.4923365324275216E-4</v>
      </c>
      <c r="H79" s="77">
        <f ca="1">INDEX('Calc- Prosym Setup'!$C$5:$AO$107,MATCH($A75,'Calc- Prosym Setup'!$A$5:$A$107,0)+4,MATCH(VALUE(MID($D79,2,4)),'Calc- Prosym Setup'!$C$4:$AO$4,0)+'Calc- Prosym Setup'!E$7)</f>
        <v>1.907232459917413E-3</v>
      </c>
      <c r="I79" s="77">
        <f ca="1">INDEX('Calc- Prosym Setup'!$C$5:$AO$107,MATCH($A75,'Calc- Prosym Setup'!$A$5:$A$107,0)+4,MATCH(VALUE(MID($D79,2,4)),'Calc- Prosym Setup'!$C$4:$AO$4,0)+'Calc- Prosym Setup'!F$7)</f>
        <v>4.447611990634686E-3</v>
      </c>
      <c r="J79" s="71" t="str">
        <f ca="1">"/ADD "&amp;TEXT(INDEX('Calc- Prosym Setup'!$C$5:$AO$107,MATCH($A75,'Calc- Prosym Setup'!$A$5:$A$107,0)+4,MATCH(VALUE(MID($D79,2,4)),'Calc- Prosym Setup'!$C$4:$AO$4,0)+'Calc- Prosym Setup'!G$7),"0.0000")&amp;" @IncFOR /"</f>
        <v>/ADD 0.8831 @IncFOR /</v>
      </c>
      <c r="K79" s="67" t="str">
        <f>IF(VALUE(MID($D79,2,4))&lt;'INP-Calc EFOR&amp;EUOR - 2019Plan'!$G$9,"-"," ")</f>
        <v>-</v>
      </c>
      <c r="L79" s="63" t="s">
        <v>187</v>
      </c>
      <c r="M79" s="68">
        <f ca="1">INDEX('INP-Calc EFOR&amp;EUOR - 2019Plan'!$I$11:$M$34,MATCH(INDIRECT(ADDRESS(5+7*$W79,3,,,"Calc- Prosym Setup")),'INP-Calc EFOR&amp;EUOR - 2019Plan'!$A$11:$A$34,0),MATCH(VALUE(MID(D79,2,4)),'INP-Calc EFOR&amp;EUOR - 2019Plan'!$C$9:$G$9,0))</f>
        <v>7.3999999999999996E-2</v>
      </c>
      <c r="N79" s="64" t="s">
        <v>188</v>
      </c>
      <c r="O79" s="68">
        <f ca="1">INDEX('INP-Calc EFOR&amp;EUOR - 2019Plan'!$C$11:$G$34,MATCH(INDIRECT(ADDRESS(5+7*$W79,3,,,"Calc- Prosym Setup")),'INP-Calc EFOR&amp;EUOR - 2019Plan'!$A$11:$A$34,0),MATCH(VALUE(MID(D79,2,4)),'INP-Calc EFOR&amp;EUOR - 2019Plan'!$C$9:$G$9,0))</f>
        <v>5.1999999999999998E-2</v>
      </c>
      <c r="P79" s="64" t="s">
        <v>189</v>
      </c>
      <c r="Q79" s="68">
        <f ca="1">INDEX('INP-Calc EFOR&amp;EUOR - 2019Plan'!$U$11:$Y$34,MATCH(INDIRECT(ADDRESS(5+7*$W79,3,,,"Calc- Prosym Setup")),'INP-Calc EFOR&amp;EUOR - 2019Plan'!$A$11:$A$34,0),MATCH(VALUE(MID(D79,2,4)),'INP-Calc EFOR&amp;EUOR - 2019Plan'!$C$9:$G$9,0))</f>
        <v>3.5113250760485597E-2</v>
      </c>
      <c r="R79" s="64" t="s">
        <v>190</v>
      </c>
      <c r="S79" s="68">
        <f ca="1">INDEX('INP-Calc EFOR&amp;EUOR - 2019Plan'!$O$11:$S$34,MATCH(INDIRECT(ADDRESS(5+7*$W79,3,,,"Calc- Prosym Setup")),'INP-Calc EFOR&amp;EUOR - 2019Plan'!$A$11:$A$34,0),MATCH(VALUE(MID(D79,2,4)),'INP-Calc EFOR&amp;EUOR - 2019Plan'!$C$9:$G$9,0))</f>
        <v>2.1999999999999999E-2</v>
      </c>
      <c r="T79" s="64" t="s">
        <v>191</v>
      </c>
      <c r="U79" s="68">
        <f ca="1">INDEX('INP-Calc EFOR&amp;EUOR - 2019Plan'!$AA$11:$AE$34,MATCH(INDIRECT(ADDRESS(5+7*$W79,3,,,"Calc- Prosym Setup")),'INP-Calc EFOR&amp;EUOR - 2019Plan'!$A$11:$A$34,0),MATCH(VALUE(MID(D79,2,4)),'INP-Calc EFOR&amp;EUOR - 2019Plan'!$C$9:$G$9,0))</f>
        <v>1.7501275929868318E-2</v>
      </c>
      <c r="W79" s="89">
        <f t="shared" ref="W79:W80" si="15">W78</f>
        <v>10</v>
      </c>
    </row>
    <row r="80" spans="1:23" x14ac:dyDescent="0.25">
      <c r="A80" s="67"/>
      <c r="B80" s="67"/>
      <c r="C80" s="67"/>
      <c r="D80" s="67" t="str">
        <f>D72</f>
        <v>[2021]</v>
      </c>
      <c r="E80" s="77">
        <f ca="1">INDEX('Calc- Prosym Setup'!$C$5:$AO$107,MATCH($A75,'Calc- Prosym Setup'!$A$5:$A$107,0)+4,MATCH(VALUE(MID($D80,2,4)),'Calc- Prosym Setup'!$C$4:$AO$4,0))</f>
        <v>8.7716461390377563E-4</v>
      </c>
      <c r="F80" s="77">
        <f ca="1">INDEX('Calc- Prosym Setup'!$C$5:$AO$107,MATCH($A75,'Calc- Prosym Setup'!$A$5:$A$107,0)+4,MATCH(VALUE(MID($D80,2,4)),'Calc- Prosym Setup'!$C$4:$AO$4,0)+'Calc- Prosym Setup'!C$7)</f>
        <v>5.1584551128682231E-2</v>
      </c>
      <c r="G80" s="77">
        <f ca="1">INDEX('Calc- Prosym Setup'!$C$5:$AO$107,MATCH($A75,'Calc- Prosym Setup'!$A$5:$A$107,0)+4,MATCH(VALUE(MID($D80,2,4)),'Calc- Prosym Setup'!$C$4:$AO$4,0)+'Calc- Prosym Setup'!D$7)</f>
        <v>9.4923365324275216E-4</v>
      </c>
      <c r="H80" s="77">
        <f ca="1">INDEX('Calc- Prosym Setup'!$C$5:$AO$107,MATCH($A75,'Calc- Prosym Setup'!$A$5:$A$107,0)+4,MATCH(VALUE(MID($D80,2,4)),'Calc- Prosym Setup'!$C$4:$AO$4,0)+'Calc- Prosym Setup'!E$7)</f>
        <v>1.907232459917413E-3</v>
      </c>
      <c r="I80" s="77">
        <f ca="1">INDEX('Calc- Prosym Setup'!$C$5:$AO$107,MATCH($A75,'Calc- Prosym Setup'!$A$5:$A$107,0)+4,MATCH(VALUE(MID($D80,2,4)),'Calc- Prosym Setup'!$C$4:$AO$4,0)+'Calc- Prosym Setup'!F$7)</f>
        <v>4.447611990634686E-3</v>
      </c>
      <c r="J80" s="71" t="str">
        <f ca="1">"/ADD "&amp;TEXT(INDEX('Calc- Prosym Setup'!$C$5:$AO$107,MATCH($A75,'Calc- Prosym Setup'!$A$5:$A$107,0)+4,MATCH(VALUE(MID($D80,2,4)),'Calc- Prosym Setup'!$C$4:$AO$4,0)+'Calc- Prosym Setup'!G$7),"0.0000")&amp;" @IncFOR /"</f>
        <v>/ADD 0.8831 @IncFOR /</v>
      </c>
      <c r="K80" s="67" t="str">
        <f>IF(VALUE(MID($D80,2,4))&lt;'INP-Calc EFOR&amp;EUOR - 2019Plan'!$G$9,"-"," ")</f>
        <v>-</v>
      </c>
      <c r="L80" s="63" t="s">
        <v>187</v>
      </c>
      <c r="M80" s="68">
        <f ca="1">INDEX('INP-Calc EFOR&amp;EUOR - 2019Plan'!$I$11:$M$34,MATCH(INDIRECT(ADDRESS(5+7*$W80,3,,,"Calc- Prosym Setup")),'INP-Calc EFOR&amp;EUOR - 2019Plan'!$A$11:$A$34,0),MATCH(VALUE(MID(D80,2,4)),'INP-Calc EFOR&amp;EUOR - 2019Plan'!$C$9:$G$9,0))</f>
        <v>7.3999999999999996E-2</v>
      </c>
      <c r="N80" s="64" t="s">
        <v>188</v>
      </c>
      <c r="O80" s="68">
        <f ca="1">INDEX('INP-Calc EFOR&amp;EUOR - 2019Plan'!$C$11:$G$34,MATCH(INDIRECT(ADDRESS(5+7*$W80,3,,,"Calc- Prosym Setup")),'INP-Calc EFOR&amp;EUOR - 2019Plan'!$A$11:$A$34,0),MATCH(VALUE(MID(D80,2,4)),'INP-Calc EFOR&amp;EUOR - 2019Plan'!$C$9:$G$9,0))</f>
        <v>5.1999999999999998E-2</v>
      </c>
      <c r="P80" s="64" t="s">
        <v>189</v>
      </c>
      <c r="Q80" s="68">
        <f ca="1">INDEX('INP-Calc EFOR&amp;EUOR - 2019Plan'!$U$11:$Y$34,MATCH(INDIRECT(ADDRESS(5+7*$W80,3,,,"Calc- Prosym Setup")),'INP-Calc EFOR&amp;EUOR - 2019Plan'!$A$11:$A$34,0),MATCH(VALUE(MID(D80,2,4)),'INP-Calc EFOR&amp;EUOR - 2019Plan'!$C$9:$G$9,0))</f>
        <v>3.5113250760485597E-2</v>
      </c>
      <c r="R80" s="64" t="s">
        <v>190</v>
      </c>
      <c r="S80" s="68">
        <f ca="1">INDEX('INP-Calc EFOR&amp;EUOR - 2019Plan'!$O$11:$S$34,MATCH(INDIRECT(ADDRESS(5+7*$W80,3,,,"Calc- Prosym Setup")),'INP-Calc EFOR&amp;EUOR - 2019Plan'!$A$11:$A$34,0),MATCH(VALUE(MID(D80,2,4)),'INP-Calc EFOR&amp;EUOR - 2019Plan'!$C$9:$G$9,0))</f>
        <v>2.1999999999999999E-2</v>
      </c>
      <c r="T80" s="64" t="s">
        <v>191</v>
      </c>
      <c r="U80" s="68">
        <f ca="1">INDEX('INP-Calc EFOR&amp;EUOR - 2019Plan'!$AA$11:$AE$34,MATCH(INDIRECT(ADDRESS(5+7*$W80,3,,,"Calc- Prosym Setup")),'INP-Calc EFOR&amp;EUOR - 2019Plan'!$A$11:$A$34,0),MATCH(VALUE(MID(D80,2,4)),'INP-Calc EFOR&amp;EUOR - 2019Plan'!$C$9:$G$9,0))</f>
        <v>1.7501275929868318E-2</v>
      </c>
      <c r="W80" s="89">
        <f t="shared" si="15"/>
        <v>10</v>
      </c>
    </row>
    <row r="81" spans="1:23" x14ac:dyDescent="0.25">
      <c r="A81" s="72"/>
      <c r="B81" s="72"/>
      <c r="C81" s="72"/>
      <c r="D81" s="72" t="str">
        <f t="shared" ref="D81" si="16">D73</f>
        <v>[2022]</v>
      </c>
      <c r="E81" s="83">
        <f ca="1">INDEX('Calc- Prosym Setup'!$C$5:$AO$107,MATCH($A75,'Calc- Prosym Setup'!$A$5:$A$107,0)+4,MATCH(VALUE(MID($D81,2,4)),'Calc- Prosym Setup'!$C$4:$AO$4,0))</f>
        <v>8.7716461390377563E-4</v>
      </c>
      <c r="F81" s="83">
        <f ca="1">INDEX('Calc- Prosym Setup'!$C$5:$AO$107,MATCH($A75,'Calc- Prosym Setup'!$A$5:$A$107,0)+4,MATCH(VALUE(MID($D81,2,4)),'Calc- Prosym Setup'!$C$4:$AO$4,0)+'Calc- Prosym Setup'!C$7)</f>
        <v>5.1584551128682231E-2</v>
      </c>
      <c r="G81" s="83">
        <f ca="1">INDEX('Calc- Prosym Setup'!$C$5:$AO$107,MATCH($A75,'Calc- Prosym Setup'!$A$5:$A$107,0)+4,MATCH(VALUE(MID($D81,2,4)),'Calc- Prosym Setup'!$C$4:$AO$4,0)+'Calc- Prosym Setup'!D$7)</f>
        <v>9.4923365324275216E-4</v>
      </c>
      <c r="H81" s="83">
        <f ca="1">INDEX('Calc- Prosym Setup'!$C$5:$AO$107,MATCH($A75,'Calc- Prosym Setup'!$A$5:$A$107,0)+4,MATCH(VALUE(MID($D81,2,4)),'Calc- Prosym Setup'!$C$4:$AO$4,0)+'Calc- Prosym Setup'!E$7)</f>
        <v>1.907232459917413E-3</v>
      </c>
      <c r="I81" s="83">
        <f ca="1">INDEX('Calc- Prosym Setup'!$C$5:$AO$107,MATCH($A75,'Calc- Prosym Setup'!$A$5:$A$107,0)+4,MATCH(VALUE(MID($D81,2,4)),'Calc- Prosym Setup'!$C$4:$AO$4,0)+'Calc- Prosym Setup'!F$7)</f>
        <v>4.447611990634686E-3</v>
      </c>
      <c r="J81" s="88" t="str">
        <f ca="1">"/ADD "&amp;TEXT(INDEX('Calc- Prosym Setup'!$C$5:$AO$107,MATCH($A75,'Calc- Prosym Setup'!$A$5:$A$107,0)+4,MATCH(VALUE(MID($D81,2,4)),'Calc- Prosym Setup'!$C$4:$AO$4,0)+'Calc- Prosym Setup'!G$7),"0.0000")&amp;" @IncFOR /"</f>
        <v>/ADD 0.8831 @IncFOR /</v>
      </c>
      <c r="K81" s="87" t="str">
        <f>IF(VALUE(MID($D81,2,4))&lt;'INP-Calc EFOR&amp;EUOR - 2019Plan'!$G$9,"-"," ")</f>
        <v xml:space="preserve"> </v>
      </c>
      <c r="L81" s="91" t="s">
        <v>187</v>
      </c>
      <c r="M81" s="74">
        <f ca="1">INDEX('INP-Calc EFOR&amp;EUOR - 2019Plan'!$I$11:$M$34,MATCH(INDIRECT(ADDRESS(5+7*$W81,3,,,"Calc- Prosym Setup")),'INP-Calc EFOR&amp;EUOR - 2019Plan'!$A$11:$A$34,0),MATCH(VALUE(MID(D81,2,4)),'INP-Calc EFOR&amp;EUOR - 2019Plan'!$C$9:$G$9,0))</f>
        <v>7.3999999999999996E-2</v>
      </c>
      <c r="N81" s="75" t="s">
        <v>188</v>
      </c>
      <c r="O81" s="74">
        <f ca="1">INDEX('INP-Calc EFOR&amp;EUOR - 2019Plan'!$C$11:$G$34,MATCH(INDIRECT(ADDRESS(5+7*$W81,3,,,"Calc- Prosym Setup")),'INP-Calc EFOR&amp;EUOR - 2019Plan'!$A$11:$A$34,0),MATCH(VALUE(MID(D81,2,4)),'INP-Calc EFOR&amp;EUOR - 2019Plan'!$C$9:$G$9,0))</f>
        <v>5.1999999999999998E-2</v>
      </c>
      <c r="P81" s="75" t="s">
        <v>189</v>
      </c>
      <c r="Q81" s="74">
        <f ca="1">INDEX('INP-Calc EFOR&amp;EUOR - 2019Plan'!$U$11:$Y$34,MATCH(INDIRECT(ADDRESS(5+7*$W81,3,,,"Calc- Prosym Setup")),'INP-Calc EFOR&amp;EUOR - 2019Plan'!$A$11:$A$34,0),MATCH(VALUE(MID(D81,2,4)),'INP-Calc EFOR&amp;EUOR - 2019Plan'!$C$9:$G$9,0))</f>
        <v>3.5113250760485597E-2</v>
      </c>
      <c r="R81" s="75" t="s">
        <v>190</v>
      </c>
      <c r="S81" s="74">
        <f ca="1">INDEX('INP-Calc EFOR&amp;EUOR - 2019Plan'!$O$11:$S$34,MATCH(INDIRECT(ADDRESS(5+7*$W81,3,,,"Calc- Prosym Setup")),'INP-Calc EFOR&amp;EUOR - 2019Plan'!$A$11:$A$34,0),MATCH(VALUE(MID(D81,2,4)),'INP-Calc EFOR&amp;EUOR - 2019Plan'!$C$9:$G$9,0))</f>
        <v>2.1999999999999999E-2</v>
      </c>
      <c r="T81" s="75" t="s">
        <v>191</v>
      </c>
      <c r="U81" s="74">
        <f ca="1">INDEX('INP-Calc EFOR&amp;EUOR - 2019Plan'!$AA$11:$AE$34,MATCH(INDIRECT(ADDRESS(5+7*$W81,3,,,"Calc- Prosym Setup")),'INP-Calc EFOR&amp;EUOR - 2019Plan'!$A$11:$A$34,0),MATCH(VALUE(MID(D81,2,4)),'INP-Calc EFOR&amp;EUOR - 2019Plan'!$C$9:$G$9,0))</f>
        <v>1.7501275929868318E-2</v>
      </c>
      <c r="W81" s="89">
        <f>W79</f>
        <v>10</v>
      </c>
    </row>
    <row r="82" spans="1:23" x14ac:dyDescent="0.25">
      <c r="H82" s="116"/>
    </row>
    <row r="83" spans="1:23" x14ac:dyDescent="0.25">
      <c r="A83" s="67" t="str">
        <f>'Calc- Prosym Setup'!A82</f>
        <v>Mill.Creek.3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</row>
    <row r="84" spans="1:23" x14ac:dyDescent="0.25">
      <c r="A84" s="67"/>
      <c r="B84" s="57" t="s">
        <v>185</v>
      </c>
      <c r="C84" s="67" t="str">
        <f>IF(AND(I84&gt;0,J84&gt;0),"[v6]",IF(AND(I84&gt;0,J84=" "),"[v5]",IF(AND(I84=" ",J84=" "),"[v4]","[V??]")))</f>
        <v>[v6]</v>
      </c>
      <c r="D84" s="67" t="str">
        <f>D76</f>
        <v>[2018]</v>
      </c>
      <c r="E84" s="66">
        <f>'Calc- Prosym Setup'!C85</f>
        <v>170</v>
      </c>
      <c r="F84" s="66">
        <f>'Calc- Prosym Setup'!D85</f>
        <v>204</v>
      </c>
      <c r="G84" s="66">
        <f>'Calc- Prosym Setup'!E85</f>
        <v>234</v>
      </c>
      <c r="H84" s="66">
        <f>'Calc- Prosym Setup'!F85</f>
        <v>314</v>
      </c>
      <c r="I84" s="66">
        <f>'Calc- Prosym Setup'!G85</f>
        <v>354</v>
      </c>
      <c r="J84" s="66">
        <f>'Calc- Prosym Setup'!H85</f>
        <v>394</v>
      </c>
      <c r="K84" s="67"/>
      <c r="L84" s="67"/>
      <c r="M84" s="67"/>
      <c r="N84" s="67"/>
      <c r="O84" s="67"/>
      <c r="P84" s="67"/>
      <c r="Q84" s="95"/>
      <c r="R84" s="69"/>
      <c r="S84" s="70"/>
      <c r="T84" s="67"/>
      <c r="U84" s="67"/>
    </row>
    <row r="85" spans="1:23" x14ac:dyDescent="0.25">
      <c r="A85" s="67"/>
      <c r="B85" s="57" t="s">
        <v>186</v>
      </c>
      <c r="C85" s="67" t="str">
        <f>C84</f>
        <v>[v6]</v>
      </c>
      <c r="D85" s="67" t="str">
        <f>D77</f>
        <v>[2018]</v>
      </c>
      <c r="E85" s="77">
        <f ca="1">INDEX('Calc- Prosym Setup'!$C$5:$AO$107,MATCH($A83,'Calc- Prosym Setup'!$A$5:$A$107,0)+4,MATCH(VALUE(MID($D85,2,4)),'Calc- Prosym Setup'!$C$4:$AO$4,0))</f>
        <v>2.0258783540593177E-2</v>
      </c>
      <c r="F85" s="77">
        <f ca="1">INDEX('Calc- Prosym Setup'!$C$5:$AO$107,MATCH($A83,'Calc- Prosym Setup'!$A$5:$A$107,0)+4,MATCH(VALUE(MID($D85,2,4)),'Calc- Prosym Setup'!$C$4:$AO$4,0)+'Calc- Prosym Setup'!C$7)</f>
        <v>3.4360395595441459E-3</v>
      </c>
      <c r="G85" s="77">
        <f ca="1">INDEX('Calc- Prosym Setup'!$C$5:$AO$107,MATCH($A83,'Calc- Prosym Setup'!$A$5:$A$107,0)+4,MATCH(VALUE(MID($D85,2,4)),'Calc- Prosym Setup'!$C$4:$AO$4,0)+'Calc- Prosym Setup'!D$7)</f>
        <v>6.2414031771451323E-3</v>
      </c>
      <c r="H85" s="77">
        <f ca="1">INDEX('Calc- Prosym Setup'!$C$5:$AO$107,MATCH($A83,'Calc- Prosym Setup'!$A$5:$A$107,0)+4,MATCH(VALUE(MID($D85,2,4)),'Calc- Prosym Setup'!$C$4:$AO$4,0)+'Calc- Prosym Setup'!E$7)</f>
        <v>2.5795660581292043E-3</v>
      </c>
      <c r="I85" s="77">
        <f ca="1">INDEX('Calc- Prosym Setup'!$C$5:$AO$107,MATCH($A83,'Calc- Prosym Setup'!$A$5:$A$107,0)+4,MATCH(VALUE(MID($D85,2,4)),'Calc- Prosym Setup'!$C$4:$AO$4,0)+'Calc- Prosym Setup'!F$7)</f>
        <v>6.4393594492214278E-3</v>
      </c>
      <c r="J85" s="71" t="str">
        <f ca="1">"/ADD "&amp;TEXT(INDEX('Calc- Prosym Setup'!$C$5:$AO$107,MATCH($A83,'Calc- Prosym Setup'!$A$5:$A$107,0)+4,MATCH(VALUE(MID($D85,2,4)),'Calc- Prosym Setup'!$C$4:$AO$4,0)+'Calc- Prosym Setup'!G$7),"0.0000")&amp;" @IncFOR /"</f>
        <v>/ADD 0.9039 @IncFOR /</v>
      </c>
      <c r="K85" s="67" t="str">
        <f>IF(VALUE(MID($D85,2,4))&lt;'INP-Calc EFOR&amp;EUOR - 2019Plan'!$G$9,"-"," ")</f>
        <v>-</v>
      </c>
      <c r="L85" s="63" t="s">
        <v>187</v>
      </c>
      <c r="M85" s="68">
        <f ca="1">INDEX('INP-Calc EFOR&amp;EUOR - 2019Plan'!$I$11:$M$34,MATCH(INDIRECT(ADDRESS(5+7*$W85,3,,,"Calc- Prosym Setup")),'INP-Calc EFOR&amp;EUOR - 2019Plan'!$A$11:$A$34,0),MATCH(VALUE(MID(D85,2,4)),'INP-Calc EFOR&amp;EUOR - 2019Plan'!$C$9:$G$9,0))</f>
        <v>7.3999999999999996E-2</v>
      </c>
      <c r="N85" s="64" t="s">
        <v>188</v>
      </c>
      <c r="O85" s="68">
        <f ca="1">INDEX('INP-Calc EFOR&amp;EUOR - 2019Plan'!$C$11:$G$34,MATCH(INDIRECT(ADDRESS(5+7*$W85,3,,,"Calc- Prosym Setup")),'INP-Calc EFOR&amp;EUOR - 2019Plan'!$A$11:$A$34,0),MATCH(VALUE(MID(D85,2,4)),'INP-Calc EFOR&amp;EUOR - 2019Plan'!$C$9:$G$9,0))</f>
        <v>5.1999999999999998E-2</v>
      </c>
      <c r="P85" s="64" t="s">
        <v>189</v>
      </c>
      <c r="Q85" s="68">
        <f ca="1">INDEX('INP-Calc EFOR&amp;EUOR - 2019Plan'!$U$11:$Y$34,MATCH(INDIRECT(ADDRESS(5+7*$W85,3,,,"Calc- Prosym Setup")),'INP-Calc EFOR&amp;EUOR - 2019Plan'!$A$11:$A$34,0),MATCH(VALUE(MID(D85,2,4)),'INP-Calc EFOR&amp;EUOR - 2019Plan'!$C$9:$G$9,0))</f>
        <v>3.5113250760485597E-2</v>
      </c>
      <c r="R85" s="64" t="s">
        <v>190</v>
      </c>
      <c r="S85" s="68">
        <f ca="1">INDEX('INP-Calc EFOR&amp;EUOR - 2019Plan'!$O$11:$S$34,MATCH(INDIRECT(ADDRESS(5+7*$W85,3,,,"Calc- Prosym Setup")),'INP-Calc EFOR&amp;EUOR - 2019Plan'!$A$11:$A$34,0),MATCH(VALUE(MID(D85,2,4)),'INP-Calc EFOR&amp;EUOR - 2019Plan'!$C$9:$G$9,0))</f>
        <v>2.1999999999999999E-2</v>
      </c>
      <c r="T85" s="64" t="s">
        <v>191</v>
      </c>
      <c r="U85" s="68">
        <f ca="1">INDEX('INP-Calc EFOR&amp;EUOR - 2019Plan'!$AA$11:$AE$34,MATCH(INDIRECT(ADDRESS(5+7*$W85,3,,,"Calc- Prosym Setup")),'INP-Calc EFOR&amp;EUOR - 2019Plan'!$A$11:$A$34,0),MATCH(VALUE(MID(D85,2,4)),'INP-Calc EFOR&amp;EUOR - 2019Plan'!$C$9:$G$9,0))</f>
        <v>1.7501275929868318E-2</v>
      </c>
      <c r="W85" s="89">
        <f>W77+1</f>
        <v>11</v>
      </c>
    </row>
    <row r="86" spans="1:23" x14ac:dyDescent="0.25">
      <c r="A86" s="67"/>
      <c r="B86" s="67"/>
      <c r="C86" s="67"/>
      <c r="D86" s="67" t="str">
        <f>D78</f>
        <v>[2019]</v>
      </c>
      <c r="E86" s="77">
        <f ca="1">INDEX('Calc- Prosym Setup'!$C$5:$AO$107,MATCH($A83,'Calc- Prosym Setup'!$A$5:$A$107,0)+4,MATCH(VALUE(MID($D86,2,4)),'Calc- Prosym Setup'!$C$4:$AO$4,0))</f>
        <v>2.0258783540593177E-2</v>
      </c>
      <c r="F86" s="77">
        <f ca="1">INDEX('Calc- Prosym Setup'!$C$5:$AO$107,MATCH($A83,'Calc- Prosym Setup'!$A$5:$A$107,0)+4,MATCH(VALUE(MID($D86,2,4)),'Calc- Prosym Setup'!$C$4:$AO$4,0)+'Calc- Prosym Setup'!C$7)</f>
        <v>3.4360395595441459E-3</v>
      </c>
      <c r="G86" s="77">
        <f ca="1">INDEX('Calc- Prosym Setup'!$C$5:$AO$107,MATCH($A83,'Calc- Prosym Setup'!$A$5:$A$107,0)+4,MATCH(VALUE(MID($D86,2,4)),'Calc- Prosym Setup'!$C$4:$AO$4,0)+'Calc- Prosym Setup'!D$7)</f>
        <v>6.2414031771451323E-3</v>
      </c>
      <c r="H86" s="77">
        <f ca="1">INDEX('Calc- Prosym Setup'!$C$5:$AO$107,MATCH($A83,'Calc- Prosym Setup'!$A$5:$A$107,0)+4,MATCH(VALUE(MID($D86,2,4)),'Calc- Prosym Setup'!$C$4:$AO$4,0)+'Calc- Prosym Setup'!E$7)</f>
        <v>2.5795660581292043E-3</v>
      </c>
      <c r="I86" s="77">
        <f ca="1">INDEX('Calc- Prosym Setup'!$C$5:$AO$107,MATCH($A83,'Calc- Prosym Setup'!$A$5:$A$107,0)+4,MATCH(VALUE(MID($D86,2,4)),'Calc- Prosym Setup'!$C$4:$AO$4,0)+'Calc- Prosym Setup'!F$7)</f>
        <v>6.4393594492214278E-3</v>
      </c>
      <c r="J86" s="71" t="str">
        <f ca="1">"/ADD "&amp;TEXT(INDEX('Calc- Prosym Setup'!$C$5:$AO$107,MATCH($A83,'Calc- Prosym Setup'!$A$5:$A$107,0)+4,MATCH(VALUE(MID($D86,2,4)),'Calc- Prosym Setup'!$C$4:$AO$4,0)+'Calc- Prosym Setup'!G$7),"0.0000")&amp;" @IncFOR /"</f>
        <v>/ADD 0.9039 @IncFOR /</v>
      </c>
      <c r="K86" s="67" t="str">
        <f>IF(VALUE(MID($D86,2,4))&lt;'INP-Calc EFOR&amp;EUOR - 2019Plan'!$G$9,"-"," ")</f>
        <v>-</v>
      </c>
      <c r="L86" s="63" t="s">
        <v>187</v>
      </c>
      <c r="M86" s="68">
        <f ca="1">INDEX('INP-Calc EFOR&amp;EUOR - 2019Plan'!$I$11:$M$34,MATCH(INDIRECT(ADDRESS(5+7*$W86,3,,,"Calc- Prosym Setup")),'INP-Calc EFOR&amp;EUOR - 2019Plan'!$A$11:$A$34,0),MATCH(VALUE(MID(D86,2,4)),'INP-Calc EFOR&amp;EUOR - 2019Plan'!$C$9:$G$9,0))</f>
        <v>7.3999999999999996E-2</v>
      </c>
      <c r="N86" s="64" t="s">
        <v>188</v>
      </c>
      <c r="O86" s="68">
        <f ca="1">INDEX('INP-Calc EFOR&amp;EUOR - 2019Plan'!$C$11:$G$34,MATCH(INDIRECT(ADDRESS(5+7*$W86,3,,,"Calc- Prosym Setup")),'INP-Calc EFOR&amp;EUOR - 2019Plan'!$A$11:$A$34,0),MATCH(VALUE(MID(D86,2,4)),'INP-Calc EFOR&amp;EUOR - 2019Plan'!$C$9:$G$9,0))</f>
        <v>5.1999999999999998E-2</v>
      </c>
      <c r="P86" s="64" t="s">
        <v>189</v>
      </c>
      <c r="Q86" s="68">
        <f ca="1">INDEX('INP-Calc EFOR&amp;EUOR - 2019Plan'!$U$11:$Y$34,MATCH(INDIRECT(ADDRESS(5+7*$W86,3,,,"Calc- Prosym Setup")),'INP-Calc EFOR&amp;EUOR - 2019Plan'!$A$11:$A$34,0),MATCH(VALUE(MID(D86,2,4)),'INP-Calc EFOR&amp;EUOR - 2019Plan'!$C$9:$G$9,0))</f>
        <v>3.5113250760485597E-2</v>
      </c>
      <c r="R86" s="64" t="s">
        <v>190</v>
      </c>
      <c r="S86" s="68">
        <f ca="1">INDEX('INP-Calc EFOR&amp;EUOR - 2019Plan'!$O$11:$S$34,MATCH(INDIRECT(ADDRESS(5+7*$W86,3,,,"Calc- Prosym Setup")),'INP-Calc EFOR&amp;EUOR - 2019Plan'!$A$11:$A$34,0),MATCH(VALUE(MID(D86,2,4)),'INP-Calc EFOR&amp;EUOR - 2019Plan'!$C$9:$G$9,0))</f>
        <v>2.1999999999999999E-2</v>
      </c>
      <c r="T86" s="64" t="s">
        <v>191</v>
      </c>
      <c r="U86" s="68">
        <f ca="1">INDEX('INP-Calc EFOR&amp;EUOR - 2019Plan'!$AA$11:$AE$34,MATCH(INDIRECT(ADDRESS(5+7*$W86,3,,,"Calc- Prosym Setup")),'INP-Calc EFOR&amp;EUOR - 2019Plan'!$A$11:$A$34,0),MATCH(VALUE(MID(D86,2,4)),'INP-Calc EFOR&amp;EUOR - 2019Plan'!$C$9:$G$9,0))</f>
        <v>1.7501275929868318E-2</v>
      </c>
      <c r="W86" s="89">
        <f>W85</f>
        <v>11</v>
      </c>
    </row>
    <row r="87" spans="1:23" x14ac:dyDescent="0.25">
      <c r="A87" s="67"/>
      <c r="B87" s="67"/>
      <c r="C87" s="67"/>
      <c r="D87" s="67" t="str">
        <f>D79</f>
        <v>[2020]</v>
      </c>
      <c r="E87" s="77">
        <f ca="1">INDEX('Calc- Prosym Setup'!$C$5:$AO$107,MATCH($A83,'Calc- Prosym Setup'!$A$5:$A$107,0)+4,MATCH(VALUE(MID($D87,2,4)),'Calc- Prosym Setup'!$C$4:$AO$4,0))</f>
        <v>2.0258783540593177E-2</v>
      </c>
      <c r="F87" s="77">
        <f ca="1">INDEX('Calc- Prosym Setup'!$C$5:$AO$107,MATCH($A83,'Calc- Prosym Setup'!$A$5:$A$107,0)+4,MATCH(VALUE(MID($D87,2,4)),'Calc- Prosym Setup'!$C$4:$AO$4,0)+'Calc- Prosym Setup'!C$7)</f>
        <v>3.4360395595441459E-3</v>
      </c>
      <c r="G87" s="77">
        <f ca="1">INDEX('Calc- Prosym Setup'!$C$5:$AO$107,MATCH($A83,'Calc- Prosym Setup'!$A$5:$A$107,0)+4,MATCH(VALUE(MID($D87,2,4)),'Calc- Prosym Setup'!$C$4:$AO$4,0)+'Calc- Prosym Setup'!D$7)</f>
        <v>6.2414031771451323E-3</v>
      </c>
      <c r="H87" s="77">
        <f ca="1">INDEX('Calc- Prosym Setup'!$C$5:$AO$107,MATCH($A83,'Calc- Prosym Setup'!$A$5:$A$107,0)+4,MATCH(VALUE(MID($D87,2,4)),'Calc- Prosym Setup'!$C$4:$AO$4,0)+'Calc- Prosym Setup'!E$7)</f>
        <v>2.5795660581292043E-3</v>
      </c>
      <c r="I87" s="77">
        <f ca="1">INDEX('Calc- Prosym Setup'!$C$5:$AO$107,MATCH($A83,'Calc- Prosym Setup'!$A$5:$A$107,0)+4,MATCH(VALUE(MID($D87,2,4)),'Calc- Prosym Setup'!$C$4:$AO$4,0)+'Calc- Prosym Setup'!F$7)</f>
        <v>6.4393594492214278E-3</v>
      </c>
      <c r="J87" s="71" t="str">
        <f ca="1">"/ADD "&amp;TEXT(INDEX('Calc- Prosym Setup'!$C$5:$AO$107,MATCH($A83,'Calc- Prosym Setup'!$A$5:$A$107,0)+4,MATCH(VALUE(MID($D87,2,4)),'Calc- Prosym Setup'!$C$4:$AO$4,0)+'Calc- Prosym Setup'!G$7),"0.0000")&amp;" @IncFOR /"</f>
        <v>/ADD 0.9039 @IncFOR /</v>
      </c>
      <c r="K87" s="67" t="str">
        <f>IF(VALUE(MID($D87,2,4))&lt;'INP-Calc EFOR&amp;EUOR - 2019Plan'!$G$9,"-"," ")</f>
        <v>-</v>
      </c>
      <c r="L87" s="63" t="s">
        <v>187</v>
      </c>
      <c r="M87" s="68">
        <f ca="1">INDEX('INP-Calc EFOR&amp;EUOR - 2019Plan'!$I$11:$M$34,MATCH(INDIRECT(ADDRESS(5+7*$W87,3,,,"Calc- Prosym Setup")),'INP-Calc EFOR&amp;EUOR - 2019Plan'!$A$11:$A$34,0),MATCH(VALUE(MID(D87,2,4)),'INP-Calc EFOR&amp;EUOR - 2019Plan'!$C$9:$G$9,0))</f>
        <v>7.3999999999999996E-2</v>
      </c>
      <c r="N87" s="64" t="s">
        <v>188</v>
      </c>
      <c r="O87" s="68">
        <f ca="1">INDEX('INP-Calc EFOR&amp;EUOR - 2019Plan'!$C$11:$G$34,MATCH(INDIRECT(ADDRESS(5+7*$W87,3,,,"Calc- Prosym Setup")),'INP-Calc EFOR&amp;EUOR - 2019Plan'!$A$11:$A$34,0),MATCH(VALUE(MID(D87,2,4)),'INP-Calc EFOR&amp;EUOR - 2019Plan'!$C$9:$G$9,0))</f>
        <v>5.1999999999999998E-2</v>
      </c>
      <c r="P87" s="64" t="s">
        <v>189</v>
      </c>
      <c r="Q87" s="68">
        <f ca="1">INDEX('INP-Calc EFOR&amp;EUOR - 2019Plan'!$U$11:$Y$34,MATCH(INDIRECT(ADDRESS(5+7*$W87,3,,,"Calc- Prosym Setup")),'INP-Calc EFOR&amp;EUOR - 2019Plan'!$A$11:$A$34,0),MATCH(VALUE(MID(D87,2,4)),'INP-Calc EFOR&amp;EUOR - 2019Plan'!$C$9:$G$9,0))</f>
        <v>3.5113250760485597E-2</v>
      </c>
      <c r="R87" s="64" t="s">
        <v>190</v>
      </c>
      <c r="S87" s="68">
        <f ca="1">INDEX('INP-Calc EFOR&amp;EUOR - 2019Plan'!$O$11:$S$34,MATCH(INDIRECT(ADDRESS(5+7*$W87,3,,,"Calc- Prosym Setup")),'INP-Calc EFOR&amp;EUOR - 2019Plan'!$A$11:$A$34,0),MATCH(VALUE(MID(D87,2,4)),'INP-Calc EFOR&amp;EUOR - 2019Plan'!$C$9:$G$9,0))</f>
        <v>2.1999999999999999E-2</v>
      </c>
      <c r="T87" s="64" t="s">
        <v>191</v>
      </c>
      <c r="U87" s="68">
        <f ca="1">INDEX('INP-Calc EFOR&amp;EUOR - 2019Plan'!$AA$11:$AE$34,MATCH(INDIRECT(ADDRESS(5+7*$W87,3,,,"Calc- Prosym Setup")),'INP-Calc EFOR&amp;EUOR - 2019Plan'!$A$11:$A$34,0),MATCH(VALUE(MID(D87,2,4)),'INP-Calc EFOR&amp;EUOR - 2019Plan'!$C$9:$G$9,0))</f>
        <v>1.7501275929868318E-2</v>
      </c>
      <c r="W87" s="89">
        <f t="shared" ref="W87:W88" si="17">W86</f>
        <v>11</v>
      </c>
    </row>
    <row r="88" spans="1:23" x14ac:dyDescent="0.25">
      <c r="A88" s="67"/>
      <c r="B88" s="67"/>
      <c r="C88" s="67"/>
      <c r="D88" s="67" t="str">
        <f>D80</f>
        <v>[2021]</v>
      </c>
      <c r="E88" s="77">
        <f ca="1">INDEX('Calc- Prosym Setup'!$C$5:$AO$107,MATCH($A83,'Calc- Prosym Setup'!$A$5:$A$107,0)+4,MATCH(VALUE(MID($D88,2,4)),'Calc- Prosym Setup'!$C$4:$AO$4,0))</f>
        <v>2.0258783540593177E-2</v>
      </c>
      <c r="F88" s="77">
        <f ca="1">INDEX('Calc- Prosym Setup'!$C$5:$AO$107,MATCH($A83,'Calc- Prosym Setup'!$A$5:$A$107,0)+4,MATCH(VALUE(MID($D88,2,4)),'Calc- Prosym Setup'!$C$4:$AO$4,0)+'Calc- Prosym Setup'!C$7)</f>
        <v>3.4360395595441459E-3</v>
      </c>
      <c r="G88" s="77">
        <f ca="1">INDEX('Calc- Prosym Setup'!$C$5:$AO$107,MATCH($A83,'Calc- Prosym Setup'!$A$5:$A$107,0)+4,MATCH(VALUE(MID($D88,2,4)),'Calc- Prosym Setup'!$C$4:$AO$4,0)+'Calc- Prosym Setup'!D$7)</f>
        <v>6.2414031771451323E-3</v>
      </c>
      <c r="H88" s="77">
        <f ca="1">INDEX('Calc- Prosym Setup'!$C$5:$AO$107,MATCH($A83,'Calc- Prosym Setup'!$A$5:$A$107,0)+4,MATCH(VALUE(MID($D88,2,4)),'Calc- Prosym Setup'!$C$4:$AO$4,0)+'Calc- Prosym Setup'!E$7)</f>
        <v>2.5795660581292043E-3</v>
      </c>
      <c r="I88" s="77">
        <f ca="1">INDEX('Calc- Prosym Setup'!$C$5:$AO$107,MATCH($A83,'Calc- Prosym Setup'!$A$5:$A$107,0)+4,MATCH(VALUE(MID($D88,2,4)),'Calc- Prosym Setup'!$C$4:$AO$4,0)+'Calc- Prosym Setup'!F$7)</f>
        <v>6.4393594492214278E-3</v>
      </c>
      <c r="J88" s="71" t="str">
        <f ca="1">"/ADD "&amp;TEXT(INDEX('Calc- Prosym Setup'!$C$5:$AO$107,MATCH($A83,'Calc- Prosym Setup'!$A$5:$A$107,0)+4,MATCH(VALUE(MID($D88,2,4)),'Calc- Prosym Setup'!$C$4:$AO$4,0)+'Calc- Prosym Setup'!G$7),"0.0000")&amp;" @IncFOR /"</f>
        <v>/ADD 0.9039 @IncFOR /</v>
      </c>
      <c r="K88" s="67" t="str">
        <f>IF(VALUE(MID($D88,2,4))&lt;'INP-Calc EFOR&amp;EUOR - 2019Plan'!$G$9,"-"," ")</f>
        <v>-</v>
      </c>
      <c r="L88" s="92" t="s">
        <v>187</v>
      </c>
      <c r="M88" s="93">
        <f ca="1">INDEX('INP-Calc EFOR&amp;EUOR - 2019Plan'!$I$11:$M$34,MATCH(INDIRECT(ADDRESS(5+7*$W88,3,,,"Calc- Prosym Setup")),'INP-Calc EFOR&amp;EUOR - 2019Plan'!$A$11:$A$34,0),MATCH(VALUE(MID(D88,2,4)),'INP-Calc EFOR&amp;EUOR - 2019Plan'!$C$9:$G$9,0))</f>
        <v>7.3999999999999996E-2</v>
      </c>
      <c r="N88" s="94" t="s">
        <v>188</v>
      </c>
      <c r="O88" s="93">
        <f ca="1">INDEX('INP-Calc EFOR&amp;EUOR - 2019Plan'!$C$11:$G$34,MATCH(INDIRECT(ADDRESS(5+7*$W88,3,,,"Calc- Prosym Setup")),'INP-Calc EFOR&amp;EUOR - 2019Plan'!$A$11:$A$34,0),MATCH(VALUE(MID(D88,2,4)),'INP-Calc EFOR&amp;EUOR - 2019Plan'!$C$9:$G$9,0))</f>
        <v>5.1999999999999998E-2</v>
      </c>
      <c r="P88" s="94" t="s">
        <v>189</v>
      </c>
      <c r="Q88" s="93">
        <f ca="1">INDEX('INP-Calc EFOR&amp;EUOR - 2019Plan'!$U$11:$Y$34,MATCH(INDIRECT(ADDRESS(5+7*$W88,3,,,"Calc- Prosym Setup")),'INP-Calc EFOR&amp;EUOR - 2019Plan'!$A$11:$A$34,0),MATCH(VALUE(MID(D88,2,4)),'INP-Calc EFOR&amp;EUOR - 2019Plan'!$C$9:$G$9,0))</f>
        <v>3.5113250760485597E-2</v>
      </c>
      <c r="R88" s="94" t="s">
        <v>190</v>
      </c>
      <c r="S88" s="93">
        <f ca="1">INDEX('INP-Calc EFOR&amp;EUOR - 2019Plan'!$O$11:$S$34,MATCH(INDIRECT(ADDRESS(5+7*$W88,3,,,"Calc- Prosym Setup")),'INP-Calc EFOR&amp;EUOR - 2019Plan'!$A$11:$A$34,0),MATCH(VALUE(MID(D88,2,4)),'INP-Calc EFOR&amp;EUOR - 2019Plan'!$C$9:$G$9,0))</f>
        <v>2.1999999999999999E-2</v>
      </c>
      <c r="T88" s="94" t="s">
        <v>191</v>
      </c>
      <c r="U88" s="93">
        <f ca="1">INDEX('INP-Calc EFOR&amp;EUOR - 2019Plan'!$AA$11:$AE$34,MATCH(INDIRECT(ADDRESS(5+7*$W88,3,,,"Calc- Prosym Setup")),'INP-Calc EFOR&amp;EUOR - 2019Plan'!$A$11:$A$34,0),MATCH(VALUE(MID(D88,2,4)),'INP-Calc EFOR&amp;EUOR - 2019Plan'!$C$9:$G$9,0))</f>
        <v>1.7501275929868318E-2</v>
      </c>
      <c r="W88" s="89">
        <f t="shared" si="17"/>
        <v>11</v>
      </c>
    </row>
    <row r="89" spans="1:23" x14ac:dyDescent="0.25">
      <c r="A89" s="72"/>
      <c r="B89" s="72"/>
      <c r="C89" s="72"/>
      <c r="D89" s="72" t="str">
        <f t="shared" ref="D89" si="18">D81</f>
        <v>[2022]</v>
      </c>
      <c r="E89" s="83">
        <f ca="1">INDEX('Calc- Prosym Setup'!$C$5:$AO$107,MATCH($A83,'Calc- Prosym Setup'!$A$5:$A$107,0)+4,MATCH(VALUE(MID($D89,2,4)),'Calc- Prosym Setup'!$C$4:$AO$4,0))</f>
        <v>2.0258783540593177E-2</v>
      </c>
      <c r="F89" s="83">
        <f ca="1">INDEX('Calc- Prosym Setup'!$C$5:$AO$107,MATCH($A83,'Calc- Prosym Setup'!$A$5:$A$107,0)+4,MATCH(VALUE(MID($D89,2,4)),'Calc- Prosym Setup'!$C$4:$AO$4,0)+'Calc- Prosym Setup'!C$7)</f>
        <v>3.4360395595441459E-3</v>
      </c>
      <c r="G89" s="83">
        <f ca="1">INDEX('Calc- Prosym Setup'!$C$5:$AO$107,MATCH($A83,'Calc- Prosym Setup'!$A$5:$A$107,0)+4,MATCH(VALUE(MID($D89,2,4)),'Calc- Prosym Setup'!$C$4:$AO$4,0)+'Calc- Prosym Setup'!D$7)</f>
        <v>6.2414031771451323E-3</v>
      </c>
      <c r="H89" s="83">
        <f ca="1">INDEX('Calc- Prosym Setup'!$C$5:$AO$107,MATCH($A83,'Calc- Prosym Setup'!$A$5:$A$107,0)+4,MATCH(VALUE(MID($D89,2,4)),'Calc- Prosym Setup'!$C$4:$AO$4,0)+'Calc- Prosym Setup'!E$7)</f>
        <v>2.5795660581292043E-3</v>
      </c>
      <c r="I89" s="83">
        <f ca="1">INDEX('Calc- Prosym Setup'!$C$5:$AO$107,MATCH($A83,'Calc- Prosym Setup'!$A$5:$A$107,0)+4,MATCH(VALUE(MID($D89,2,4)),'Calc- Prosym Setup'!$C$4:$AO$4,0)+'Calc- Prosym Setup'!F$7)</f>
        <v>6.4393594492214278E-3</v>
      </c>
      <c r="J89" s="88" t="str">
        <f ca="1">"/ADD "&amp;TEXT(INDEX('Calc- Prosym Setup'!$C$5:$AO$107,MATCH($A83,'Calc- Prosym Setup'!$A$5:$A$107,0)+4,MATCH(VALUE(MID($D89,2,4)),'Calc- Prosym Setup'!$C$4:$AO$4,0)+'Calc- Prosym Setup'!G$7),"0.0000")&amp;" @IncFOR /"</f>
        <v>/ADD 0.9039 @IncFOR /</v>
      </c>
      <c r="K89" s="72" t="str">
        <f>IF(VALUE(MID($D89,2,4))&lt;'INP-Calc EFOR&amp;EUOR - 2019Plan'!$G$9,"-"," ")</f>
        <v xml:space="preserve"> </v>
      </c>
      <c r="L89" s="91" t="s">
        <v>187</v>
      </c>
      <c r="M89" s="74">
        <f ca="1">INDEX('INP-Calc EFOR&amp;EUOR - 2019Plan'!$I$11:$M$34,MATCH(INDIRECT(ADDRESS(5+7*$W89,3,,,"Calc- Prosym Setup")),'INP-Calc EFOR&amp;EUOR - 2019Plan'!$A$11:$A$34,0),MATCH(VALUE(MID(D89,2,4)),'INP-Calc EFOR&amp;EUOR - 2019Plan'!$C$9:$G$9,0))</f>
        <v>7.3999999999999996E-2</v>
      </c>
      <c r="N89" s="75" t="s">
        <v>188</v>
      </c>
      <c r="O89" s="74">
        <f ca="1">INDEX('INP-Calc EFOR&amp;EUOR - 2019Plan'!$C$11:$G$34,MATCH(INDIRECT(ADDRESS(5+7*$W89,3,,,"Calc- Prosym Setup")),'INP-Calc EFOR&amp;EUOR - 2019Plan'!$A$11:$A$34,0),MATCH(VALUE(MID(D89,2,4)),'INP-Calc EFOR&amp;EUOR - 2019Plan'!$C$9:$G$9,0))</f>
        <v>5.1999999999999998E-2</v>
      </c>
      <c r="P89" s="75" t="s">
        <v>189</v>
      </c>
      <c r="Q89" s="74">
        <f ca="1">INDEX('INP-Calc EFOR&amp;EUOR - 2019Plan'!$U$11:$Y$34,MATCH(INDIRECT(ADDRESS(5+7*$W89,3,,,"Calc- Prosym Setup")),'INP-Calc EFOR&amp;EUOR - 2019Plan'!$A$11:$A$34,0),MATCH(VALUE(MID(D89,2,4)),'INP-Calc EFOR&amp;EUOR - 2019Plan'!$C$9:$G$9,0))</f>
        <v>3.5113250760485597E-2</v>
      </c>
      <c r="R89" s="75" t="s">
        <v>190</v>
      </c>
      <c r="S89" s="74">
        <f ca="1">INDEX('INP-Calc EFOR&amp;EUOR - 2019Plan'!$O$11:$S$34,MATCH(INDIRECT(ADDRESS(5+7*$W89,3,,,"Calc- Prosym Setup")),'INP-Calc EFOR&amp;EUOR - 2019Plan'!$A$11:$A$34,0),MATCH(VALUE(MID(D89,2,4)),'INP-Calc EFOR&amp;EUOR - 2019Plan'!$C$9:$G$9,0))</f>
        <v>2.1999999999999999E-2</v>
      </c>
      <c r="T89" s="75" t="s">
        <v>191</v>
      </c>
      <c r="U89" s="74">
        <f ca="1">INDEX('INP-Calc EFOR&amp;EUOR - 2019Plan'!$AA$11:$AE$34,MATCH(INDIRECT(ADDRESS(5+7*$W89,3,,,"Calc- Prosym Setup")),'INP-Calc EFOR&amp;EUOR - 2019Plan'!$A$11:$A$34,0),MATCH(VALUE(MID(D89,2,4)),'INP-Calc EFOR&amp;EUOR - 2019Plan'!$C$9:$G$9,0))</f>
        <v>1.7501275929868318E-2</v>
      </c>
      <c r="W89" s="89">
        <f>W87</f>
        <v>11</v>
      </c>
    </row>
    <row r="91" spans="1:23" x14ac:dyDescent="0.25">
      <c r="A91" s="67" t="str">
        <f>'Calc- Prosym Setup'!A89</f>
        <v>Mill.Creek.4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</row>
    <row r="92" spans="1:23" x14ac:dyDescent="0.25">
      <c r="A92" s="67"/>
      <c r="B92" s="57" t="s">
        <v>185</v>
      </c>
      <c r="C92" s="67" t="str">
        <f>IF(AND(I92&gt;0,J92&gt;0),"[v6]",IF(AND(I92&gt;0,J92=" "),"[v5]",IF(AND(I92=" ",J92=" "),"[v4]","[V??]")))</f>
        <v>[v6]</v>
      </c>
      <c r="D92" s="67" t="str">
        <f>D84</f>
        <v>[2018]</v>
      </c>
      <c r="E92" s="66">
        <f>'Calc- Prosym Setup'!C92</f>
        <v>175</v>
      </c>
      <c r="F92" s="66">
        <f>'Calc- Prosym Setup'!D92</f>
        <v>296</v>
      </c>
      <c r="G92" s="66">
        <f>'Calc- Prosym Setup'!E92</f>
        <v>326</v>
      </c>
      <c r="H92" s="66">
        <f>'Calc- Prosym Setup'!F92</f>
        <v>406</v>
      </c>
      <c r="I92" s="66">
        <f>'Calc- Prosym Setup'!G92</f>
        <v>446</v>
      </c>
      <c r="J92" s="66">
        <f>'Calc- Prosym Setup'!H92</f>
        <v>486</v>
      </c>
      <c r="K92" s="67"/>
      <c r="L92" s="67"/>
      <c r="M92" s="67"/>
      <c r="N92" s="67"/>
      <c r="O92" s="67"/>
      <c r="P92" s="67"/>
      <c r="Q92" s="68"/>
      <c r="R92" s="69"/>
      <c r="S92" s="70"/>
      <c r="T92" s="67"/>
      <c r="U92" s="67"/>
    </row>
    <row r="93" spans="1:23" x14ac:dyDescent="0.25">
      <c r="A93" s="67"/>
      <c r="B93" s="57" t="s">
        <v>186</v>
      </c>
      <c r="C93" s="67" t="str">
        <f>C92</f>
        <v>[v6]</v>
      </c>
      <c r="D93" s="67" t="str">
        <f>D85</f>
        <v>[2018]</v>
      </c>
      <c r="E93" s="77">
        <f ca="1">INDEX('Calc- Prosym Setup'!$C$5:$AO$107,MATCH($A91,'Calc- Prosym Setup'!$A$5:$A$107,0)+4,MATCH(VALUE(MID($D93,2,4)),'Calc- Prosym Setup'!$C$4:$AO$4,0))</f>
        <v>7.6513113369137201E-3</v>
      </c>
      <c r="F93" s="77">
        <f ca="1">INDEX('Calc- Prosym Setup'!$C$5:$AO$107,MATCH($A91,'Calc- Prosym Setup'!$A$5:$A$107,0)+4,MATCH(VALUE(MID($D93,2,4)),'Calc- Prosym Setup'!$C$4:$AO$4,0)+'Calc- Prosym Setup'!C$7)</f>
        <v>7.6170879078315953E-3</v>
      </c>
      <c r="G93" s="77">
        <f ca="1">INDEX('Calc- Prosym Setup'!$C$5:$AO$107,MATCH($A91,'Calc- Prosym Setup'!$A$5:$A$107,0)+4,MATCH(VALUE(MID($D93,2,4)),'Calc- Prosym Setup'!$C$4:$AO$4,0)+'Calc- Prosym Setup'!D$7)</f>
        <v>2.1287947226059653E-3</v>
      </c>
      <c r="H93" s="77">
        <f ca="1">INDEX('Calc- Prosym Setup'!$C$5:$AO$107,MATCH($A91,'Calc- Prosym Setup'!$A$5:$A$107,0)+4,MATCH(VALUE(MID($D93,2,4)),'Calc- Prosym Setup'!$C$4:$AO$4,0)+'Calc- Prosym Setup'!E$7)</f>
        <v>4.9742231786681003E-2</v>
      </c>
      <c r="I93" s="77">
        <f ca="1">INDEX('Calc- Prosym Setup'!$C$5:$AO$107,MATCH($A91,'Calc- Prosym Setup'!$A$5:$A$107,0)+4,MATCH(VALUE(MID($D93,2,4)),'Calc- Prosym Setup'!$C$4:$AO$4,0)+'Calc- Prosym Setup'!F$7)</f>
        <v>1.5042475896097957E-3</v>
      </c>
      <c r="J93" s="71" t="str">
        <f ca="1">"/ADD "&amp;TEXT(INDEX('Calc- Prosym Setup'!$C$5:$AO$107,MATCH($A91,'Calc- Prosym Setup'!$A$5:$A$107,0)+4,MATCH(VALUE(MID($D93,2,4)),'Calc- Prosym Setup'!$C$4:$AO$4,0)+'Calc- Prosym Setup'!G$7),"0.0000")&amp;" @IncFOR /"</f>
        <v>/ADD 0.8742 @IncFOR /</v>
      </c>
      <c r="K93" s="67" t="str">
        <f>IF(VALUE(MID($D93,2,4))&lt;'INP-Calc EFOR&amp;EUOR - 2019Plan'!$G$9,"-"," ")</f>
        <v>-</v>
      </c>
      <c r="L93" s="63" t="s">
        <v>187</v>
      </c>
      <c r="M93" s="68">
        <f ca="1">INDEX('INP-Calc EFOR&amp;EUOR - 2019Plan'!$I$11:$M$34,MATCH(INDIRECT(ADDRESS(5+7*$W93,3,,,"Calc- Prosym Setup")),'INP-Calc EFOR&amp;EUOR - 2019Plan'!$A$11:$A$34,0),MATCH(VALUE(MID(D93,2,4)),'INP-Calc EFOR&amp;EUOR - 2019Plan'!$C$9:$G$9,0))</f>
        <v>7.3999999999999996E-2</v>
      </c>
      <c r="N93" s="64" t="s">
        <v>188</v>
      </c>
      <c r="O93" s="68">
        <f ca="1">INDEX('INP-Calc EFOR&amp;EUOR - 2019Plan'!$C$11:$G$34,MATCH(INDIRECT(ADDRESS(5+7*$W93,3,,,"Calc- Prosym Setup")),'INP-Calc EFOR&amp;EUOR - 2019Plan'!$A$11:$A$34,0),MATCH(VALUE(MID(D93,2,4)),'INP-Calc EFOR&amp;EUOR - 2019Plan'!$C$9:$G$9,0))</f>
        <v>5.1999999999999998E-2</v>
      </c>
      <c r="P93" s="64" t="s">
        <v>189</v>
      </c>
      <c r="Q93" s="68">
        <f ca="1">INDEX('INP-Calc EFOR&amp;EUOR - 2019Plan'!$U$11:$Y$34,MATCH(INDIRECT(ADDRESS(5+7*$W93,3,,,"Calc- Prosym Setup")),'INP-Calc EFOR&amp;EUOR - 2019Plan'!$A$11:$A$34,0),MATCH(VALUE(MID(D93,2,4)),'INP-Calc EFOR&amp;EUOR - 2019Plan'!$C$9:$G$9,0))</f>
        <v>3.5113250760485597E-2</v>
      </c>
      <c r="R93" s="64" t="s">
        <v>190</v>
      </c>
      <c r="S93" s="68">
        <f ca="1">INDEX('INP-Calc EFOR&amp;EUOR - 2019Plan'!$O$11:$S$34,MATCH(INDIRECT(ADDRESS(5+7*$W93,3,,,"Calc- Prosym Setup")),'INP-Calc EFOR&amp;EUOR - 2019Plan'!$A$11:$A$34,0),MATCH(VALUE(MID(D93,2,4)),'INP-Calc EFOR&amp;EUOR - 2019Plan'!$C$9:$G$9,0))</f>
        <v>2.1999999999999999E-2</v>
      </c>
      <c r="T93" s="64" t="s">
        <v>191</v>
      </c>
      <c r="U93" s="68">
        <f ca="1">INDEX('INP-Calc EFOR&amp;EUOR - 2019Plan'!$AA$11:$AE$34,MATCH(INDIRECT(ADDRESS(5+7*$W93,3,,,"Calc- Prosym Setup")),'INP-Calc EFOR&amp;EUOR - 2019Plan'!$A$11:$A$34,0),MATCH(VALUE(MID(D93,2,4)),'INP-Calc EFOR&amp;EUOR - 2019Plan'!$C$9:$G$9,0))</f>
        <v>1.7501275929868318E-2</v>
      </c>
      <c r="W93" s="89">
        <f>W85+1</f>
        <v>12</v>
      </c>
    </row>
    <row r="94" spans="1:23" x14ac:dyDescent="0.25">
      <c r="A94" s="67"/>
      <c r="B94" s="67"/>
      <c r="C94" s="67"/>
      <c r="D94" s="67" t="str">
        <f>D86</f>
        <v>[2019]</v>
      </c>
      <c r="E94" s="77">
        <f ca="1">INDEX('Calc- Prosym Setup'!$C$5:$AO$107,MATCH($A91,'Calc- Prosym Setup'!$A$5:$A$107,0)+4,MATCH(VALUE(MID($D94,2,4)),'Calc- Prosym Setup'!$C$4:$AO$4,0))</f>
        <v>7.6513113369137201E-3</v>
      </c>
      <c r="F94" s="77">
        <f ca="1">INDEX('Calc- Prosym Setup'!$C$5:$AO$107,MATCH($A91,'Calc- Prosym Setup'!$A$5:$A$107,0)+4,MATCH(VALUE(MID($D94,2,4)),'Calc- Prosym Setup'!$C$4:$AO$4,0)+'Calc- Prosym Setup'!C$7)</f>
        <v>7.6170879078315953E-3</v>
      </c>
      <c r="G94" s="77">
        <f ca="1">INDEX('Calc- Prosym Setup'!$C$5:$AO$107,MATCH($A91,'Calc- Prosym Setup'!$A$5:$A$107,0)+4,MATCH(VALUE(MID($D94,2,4)),'Calc- Prosym Setup'!$C$4:$AO$4,0)+'Calc- Prosym Setup'!D$7)</f>
        <v>2.1287947226059653E-3</v>
      </c>
      <c r="H94" s="77">
        <f ca="1">INDEX('Calc- Prosym Setup'!$C$5:$AO$107,MATCH($A91,'Calc- Prosym Setup'!$A$5:$A$107,0)+4,MATCH(VALUE(MID($D94,2,4)),'Calc- Prosym Setup'!$C$4:$AO$4,0)+'Calc- Prosym Setup'!E$7)</f>
        <v>4.9742231786681003E-2</v>
      </c>
      <c r="I94" s="77">
        <f ca="1">INDEX('Calc- Prosym Setup'!$C$5:$AO$107,MATCH($A91,'Calc- Prosym Setup'!$A$5:$A$107,0)+4,MATCH(VALUE(MID($D94,2,4)),'Calc- Prosym Setup'!$C$4:$AO$4,0)+'Calc- Prosym Setup'!F$7)</f>
        <v>1.5042475896097957E-3</v>
      </c>
      <c r="J94" s="71" t="str">
        <f ca="1">"/ADD "&amp;TEXT(INDEX('Calc- Prosym Setup'!$C$5:$AO$107,MATCH($A91,'Calc- Prosym Setup'!$A$5:$A$107,0)+4,MATCH(VALUE(MID($D94,2,4)),'Calc- Prosym Setup'!$C$4:$AO$4,0)+'Calc- Prosym Setup'!G$7),"0.0000")&amp;" @IncFOR /"</f>
        <v>/ADD 0.8742 @IncFOR /</v>
      </c>
      <c r="K94" s="67" t="str">
        <f>IF(VALUE(MID($D94,2,4))&lt;'INP-Calc EFOR&amp;EUOR - 2019Plan'!$G$9,"-"," ")</f>
        <v>-</v>
      </c>
      <c r="L94" s="63" t="s">
        <v>187</v>
      </c>
      <c r="M94" s="68">
        <f ca="1">INDEX('INP-Calc EFOR&amp;EUOR - 2019Plan'!$I$11:$M$34,MATCH(INDIRECT(ADDRESS(5+7*$W94,3,,,"Calc- Prosym Setup")),'INP-Calc EFOR&amp;EUOR - 2019Plan'!$A$11:$A$34,0),MATCH(VALUE(MID(D94,2,4)),'INP-Calc EFOR&amp;EUOR - 2019Plan'!$C$9:$G$9,0))</f>
        <v>7.3999999999999996E-2</v>
      </c>
      <c r="N94" s="64" t="s">
        <v>188</v>
      </c>
      <c r="O94" s="68">
        <f ca="1">INDEX('INP-Calc EFOR&amp;EUOR - 2019Plan'!$C$11:$G$34,MATCH(INDIRECT(ADDRESS(5+7*$W94,3,,,"Calc- Prosym Setup")),'INP-Calc EFOR&amp;EUOR - 2019Plan'!$A$11:$A$34,0),MATCH(VALUE(MID(D94,2,4)),'INP-Calc EFOR&amp;EUOR - 2019Plan'!$C$9:$G$9,0))</f>
        <v>5.1999999999999998E-2</v>
      </c>
      <c r="P94" s="64" t="s">
        <v>189</v>
      </c>
      <c r="Q94" s="68">
        <f ca="1">INDEX('INP-Calc EFOR&amp;EUOR - 2019Plan'!$U$11:$Y$34,MATCH(INDIRECT(ADDRESS(5+7*$W94,3,,,"Calc- Prosym Setup")),'INP-Calc EFOR&amp;EUOR - 2019Plan'!$A$11:$A$34,0),MATCH(VALUE(MID(D94,2,4)),'INP-Calc EFOR&amp;EUOR - 2019Plan'!$C$9:$G$9,0))</f>
        <v>3.5113250760485597E-2</v>
      </c>
      <c r="R94" s="64" t="s">
        <v>190</v>
      </c>
      <c r="S94" s="68">
        <f ca="1">INDEX('INP-Calc EFOR&amp;EUOR - 2019Plan'!$O$11:$S$34,MATCH(INDIRECT(ADDRESS(5+7*$W94,3,,,"Calc- Prosym Setup")),'INP-Calc EFOR&amp;EUOR - 2019Plan'!$A$11:$A$34,0),MATCH(VALUE(MID(D94,2,4)),'INP-Calc EFOR&amp;EUOR - 2019Plan'!$C$9:$G$9,0))</f>
        <v>2.1999999999999999E-2</v>
      </c>
      <c r="T94" s="64" t="s">
        <v>191</v>
      </c>
      <c r="U94" s="68">
        <f ca="1">INDEX('INP-Calc EFOR&amp;EUOR - 2019Plan'!$AA$11:$AE$34,MATCH(INDIRECT(ADDRESS(5+7*$W94,3,,,"Calc- Prosym Setup")),'INP-Calc EFOR&amp;EUOR - 2019Plan'!$A$11:$A$34,0),MATCH(VALUE(MID(D94,2,4)),'INP-Calc EFOR&amp;EUOR - 2019Plan'!$C$9:$G$9,0))</f>
        <v>1.7501275929868318E-2</v>
      </c>
      <c r="W94" s="89">
        <f>W93</f>
        <v>12</v>
      </c>
    </row>
    <row r="95" spans="1:23" x14ac:dyDescent="0.25">
      <c r="A95" s="67"/>
      <c r="B95" s="67"/>
      <c r="C95" s="67"/>
      <c r="D95" s="67" t="str">
        <f>D87</f>
        <v>[2020]</v>
      </c>
      <c r="E95" s="77">
        <f ca="1">INDEX('Calc- Prosym Setup'!$C$5:$AO$107,MATCH($A91,'Calc- Prosym Setup'!$A$5:$A$107,0)+4,MATCH(VALUE(MID($D95,2,4)),'Calc- Prosym Setup'!$C$4:$AO$4,0))</f>
        <v>7.6513113369137201E-3</v>
      </c>
      <c r="F95" s="77">
        <f ca="1">INDEX('Calc- Prosym Setup'!$C$5:$AO$107,MATCH($A91,'Calc- Prosym Setup'!$A$5:$A$107,0)+4,MATCH(VALUE(MID($D95,2,4)),'Calc- Prosym Setup'!$C$4:$AO$4,0)+'Calc- Prosym Setup'!C$7)</f>
        <v>7.6170879078315953E-3</v>
      </c>
      <c r="G95" s="77">
        <f ca="1">INDEX('Calc- Prosym Setup'!$C$5:$AO$107,MATCH($A91,'Calc- Prosym Setup'!$A$5:$A$107,0)+4,MATCH(VALUE(MID($D95,2,4)),'Calc- Prosym Setup'!$C$4:$AO$4,0)+'Calc- Prosym Setup'!D$7)</f>
        <v>2.1287947226059653E-3</v>
      </c>
      <c r="H95" s="77">
        <f ca="1">INDEX('Calc- Prosym Setup'!$C$5:$AO$107,MATCH($A91,'Calc- Prosym Setup'!$A$5:$A$107,0)+4,MATCH(VALUE(MID($D95,2,4)),'Calc- Prosym Setup'!$C$4:$AO$4,0)+'Calc- Prosym Setup'!E$7)</f>
        <v>4.9742231786681003E-2</v>
      </c>
      <c r="I95" s="77">
        <f ca="1">INDEX('Calc- Prosym Setup'!$C$5:$AO$107,MATCH($A91,'Calc- Prosym Setup'!$A$5:$A$107,0)+4,MATCH(VALUE(MID($D95,2,4)),'Calc- Prosym Setup'!$C$4:$AO$4,0)+'Calc- Prosym Setup'!F$7)</f>
        <v>1.5042475896097957E-3</v>
      </c>
      <c r="J95" s="71" t="str">
        <f ca="1">"/ADD "&amp;TEXT(INDEX('Calc- Prosym Setup'!$C$5:$AO$107,MATCH($A91,'Calc- Prosym Setup'!$A$5:$A$107,0)+4,MATCH(VALUE(MID($D95,2,4)),'Calc- Prosym Setup'!$C$4:$AO$4,0)+'Calc- Prosym Setup'!G$7),"0.0000")&amp;" @IncFOR /"</f>
        <v>/ADD 0.8742 @IncFOR /</v>
      </c>
      <c r="K95" s="67" t="str">
        <f>IF(VALUE(MID($D95,2,4))&lt;'INP-Calc EFOR&amp;EUOR - 2019Plan'!$G$9,"-"," ")</f>
        <v>-</v>
      </c>
      <c r="L95" s="63" t="s">
        <v>187</v>
      </c>
      <c r="M95" s="68">
        <f ca="1">INDEX('INP-Calc EFOR&amp;EUOR - 2019Plan'!$I$11:$M$34,MATCH(INDIRECT(ADDRESS(5+7*$W95,3,,,"Calc- Prosym Setup")),'INP-Calc EFOR&amp;EUOR - 2019Plan'!$A$11:$A$34,0),MATCH(VALUE(MID(D95,2,4)),'INP-Calc EFOR&amp;EUOR - 2019Plan'!$C$9:$G$9,0))</f>
        <v>7.3999999999999996E-2</v>
      </c>
      <c r="N95" s="64" t="s">
        <v>188</v>
      </c>
      <c r="O95" s="68">
        <f ca="1">INDEX('INP-Calc EFOR&amp;EUOR - 2019Plan'!$C$11:$G$34,MATCH(INDIRECT(ADDRESS(5+7*$W95,3,,,"Calc- Prosym Setup")),'INP-Calc EFOR&amp;EUOR - 2019Plan'!$A$11:$A$34,0),MATCH(VALUE(MID(D95,2,4)),'INP-Calc EFOR&amp;EUOR - 2019Plan'!$C$9:$G$9,0))</f>
        <v>5.1999999999999998E-2</v>
      </c>
      <c r="P95" s="64" t="s">
        <v>189</v>
      </c>
      <c r="Q95" s="68">
        <f ca="1">INDEX('INP-Calc EFOR&amp;EUOR - 2019Plan'!$U$11:$Y$34,MATCH(INDIRECT(ADDRESS(5+7*$W95,3,,,"Calc- Prosym Setup")),'INP-Calc EFOR&amp;EUOR - 2019Plan'!$A$11:$A$34,0),MATCH(VALUE(MID(D95,2,4)),'INP-Calc EFOR&amp;EUOR - 2019Plan'!$C$9:$G$9,0))</f>
        <v>3.5113250760485597E-2</v>
      </c>
      <c r="R95" s="64" t="s">
        <v>190</v>
      </c>
      <c r="S95" s="68">
        <f ca="1">INDEX('INP-Calc EFOR&amp;EUOR - 2019Plan'!$O$11:$S$34,MATCH(INDIRECT(ADDRESS(5+7*$W95,3,,,"Calc- Prosym Setup")),'INP-Calc EFOR&amp;EUOR - 2019Plan'!$A$11:$A$34,0),MATCH(VALUE(MID(D95,2,4)),'INP-Calc EFOR&amp;EUOR - 2019Plan'!$C$9:$G$9,0))</f>
        <v>2.1999999999999999E-2</v>
      </c>
      <c r="T95" s="64" t="s">
        <v>191</v>
      </c>
      <c r="U95" s="68">
        <f ca="1">INDEX('INP-Calc EFOR&amp;EUOR - 2019Plan'!$AA$11:$AE$34,MATCH(INDIRECT(ADDRESS(5+7*$W95,3,,,"Calc- Prosym Setup")),'INP-Calc EFOR&amp;EUOR - 2019Plan'!$A$11:$A$34,0),MATCH(VALUE(MID(D95,2,4)),'INP-Calc EFOR&amp;EUOR - 2019Plan'!$C$9:$G$9,0))</f>
        <v>1.7501275929868318E-2</v>
      </c>
      <c r="W95" s="89">
        <f t="shared" ref="W95:W96" si="19">W94</f>
        <v>12</v>
      </c>
    </row>
    <row r="96" spans="1:23" x14ac:dyDescent="0.25">
      <c r="A96" s="67"/>
      <c r="B96" s="67"/>
      <c r="C96" s="67"/>
      <c r="D96" s="67" t="str">
        <f>D88</f>
        <v>[2021]</v>
      </c>
      <c r="E96" s="77">
        <f ca="1">INDEX('Calc- Prosym Setup'!$C$5:$AO$107,MATCH($A91,'Calc- Prosym Setup'!$A$5:$A$107,0)+4,MATCH(VALUE(MID($D96,2,4)),'Calc- Prosym Setup'!$C$4:$AO$4,0))</f>
        <v>7.6513113369137201E-3</v>
      </c>
      <c r="F96" s="77">
        <f ca="1">INDEX('Calc- Prosym Setup'!$C$5:$AO$107,MATCH($A91,'Calc- Prosym Setup'!$A$5:$A$107,0)+4,MATCH(VALUE(MID($D96,2,4)),'Calc- Prosym Setup'!$C$4:$AO$4,0)+'Calc- Prosym Setup'!C$7)</f>
        <v>7.6170879078315953E-3</v>
      </c>
      <c r="G96" s="77">
        <f ca="1">INDEX('Calc- Prosym Setup'!$C$5:$AO$107,MATCH($A91,'Calc- Prosym Setup'!$A$5:$A$107,0)+4,MATCH(VALUE(MID($D96,2,4)),'Calc- Prosym Setup'!$C$4:$AO$4,0)+'Calc- Prosym Setup'!D$7)</f>
        <v>2.1287947226059653E-3</v>
      </c>
      <c r="H96" s="77">
        <f ca="1">INDEX('Calc- Prosym Setup'!$C$5:$AO$107,MATCH($A91,'Calc- Prosym Setup'!$A$5:$A$107,0)+4,MATCH(VALUE(MID($D96,2,4)),'Calc- Prosym Setup'!$C$4:$AO$4,0)+'Calc- Prosym Setup'!E$7)</f>
        <v>4.9742231786681003E-2</v>
      </c>
      <c r="I96" s="77">
        <f ca="1">INDEX('Calc- Prosym Setup'!$C$5:$AO$107,MATCH($A91,'Calc- Prosym Setup'!$A$5:$A$107,0)+4,MATCH(VALUE(MID($D96,2,4)),'Calc- Prosym Setup'!$C$4:$AO$4,0)+'Calc- Prosym Setup'!F$7)</f>
        <v>1.5042475896097957E-3</v>
      </c>
      <c r="J96" s="71" t="str">
        <f ca="1">"/ADD "&amp;TEXT(INDEX('Calc- Prosym Setup'!$C$5:$AO$107,MATCH($A91,'Calc- Prosym Setup'!$A$5:$A$107,0)+4,MATCH(VALUE(MID($D96,2,4)),'Calc- Prosym Setup'!$C$4:$AO$4,0)+'Calc- Prosym Setup'!G$7),"0.0000")&amp;" @IncFOR /"</f>
        <v>/ADD 0.8742 @IncFOR /</v>
      </c>
      <c r="K96" s="67" t="str">
        <f>IF(VALUE(MID($D96,2,4))&lt;'INP-Calc EFOR&amp;EUOR - 2019Plan'!$G$9,"-"," ")</f>
        <v>-</v>
      </c>
      <c r="L96" s="63" t="s">
        <v>187</v>
      </c>
      <c r="M96" s="68">
        <f ca="1">INDEX('INP-Calc EFOR&amp;EUOR - 2019Plan'!$I$11:$M$34,MATCH(INDIRECT(ADDRESS(5+7*$W96,3,,,"Calc- Prosym Setup")),'INP-Calc EFOR&amp;EUOR - 2019Plan'!$A$11:$A$34,0),MATCH(VALUE(MID(D96,2,4)),'INP-Calc EFOR&amp;EUOR - 2019Plan'!$C$9:$G$9,0))</f>
        <v>7.3999999999999996E-2</v>
      </c>
      <c r="N96" s="64" t="s">
        <v>188</v>
      </c>
      <c r="O96" s="68">
        <f ca="1">INDEX('INP-Calc EFOR&amp;EUOR - 2019Plan'!$C$11:$G$34,MATCH(INDIRECT(ADDRESS(5+7*$W96,3,,,"Calc- Prosym Setup")),'INP-Calc EFOR&amp;EUOR - 2019Plan'!$A$11:$A$34,0),MATCH(VALUE(MID(D96,2,4)),'INP-Calc EFOR&amp;EUOR - 2019Plan'!$C$9:$G$9,0))</f>
        <v>5.1999999999999998E-2</v>
      </c>
      <c r="P96" s="64" t="s">
        <v>189</v>
      </c>
      <c r="Q96" s="68">
        <f ca="1">INDEX('INP-Calc EFOR&amp;EUOR - 2019Plan'!$U$11:$Y$34,MATCH(INDIRECT(ADDRESS(5+7*$W96,3,,,"Calc- Prosym Setup")),'INP-Calc EFOR&amp;EUOR - 2019Plan'!$A$11:$A$34,0),MATCH(VALUE(MID(D96,2,4)),'INP-Calc EFOR&amp;EUOR - 2019Plan'!$C$9:$G$9,0))</f>
        <v>3.5113250760485597E-2</v>
      </c>
      <c r="R96" s="64" t="s">
        <v>190</v>
      </c>
      <c r="S96" s="68">
        <f ca="1">INDEX('INP-Calc EFOR&amp;EUOR - 2019Plan'!$O$11:$S$34,MATCH(INDIRECT(ADDRESS(5+7*$W96,3,,,"Calc- Prosym Setup")),'INP-Calc EFOR&amp;EUOR - 2019Plan'!$A$11:$A$34,0),MATCH(VALUE(MID(D96,2,4)),'INP-Calc EFOR&amp;EUOR - 2019Plan'!$C$9:$G$9,0))</f>
        <v>2.1999999999999999E-2</v>
      </c>
      <c r="T96" s="64" t="s">
        <v>191</v>
      </c>
      <c r="U96" s="68">
        <f ca="1">INDEX('INP-Calc EFOR&amp;EUOR - 2019Plan'!$AA$11:$AE$34,MATCH(INDIRECT(ADDRESS(5+7*$W96,3,,,"Calc- Prosym Setup")),'INP-Calc EFOR&amp;EUOR - 2019Plan'!$A$11:$A$34,0),MATCH(VALUE(MID(D96,2,4)),'INP-Calc EFOR&amp;EUOR - 2019Plan'!$C$9:$G$9,0))</f>
        <v>1.7501275929868318E-2</v>
      </c>
      <c r="W96" s="89">
        <f t="shared" si="19"/>
        <v>12</v>
      </c>
    </row>
    <row r="97" spans="1:23" x14ac:dyDescent="0.25">
      <c r="A97" s="72"/>
      <c r="B97" s="72"/>
      <c r="C97" s="72"/>
      <c r="D97" s="72" t="str">
        <f t="shared" ref="D97" si="20">D89</f>
        <v>[2022]</v>
      </c>
      <c r="E97" s="83">
        <f ca="1">INDEX('Calc- Prosym Setup'!$C$5:$AO$107,MATCH($A91,'Calc- Prosym Setup'!$A$5:$A$107,0)+4,MATCH(VALUE(MID($D97,2,4)),'Calc- Prosym Setup'!$C$4:$AO$4,0))</f>
        <v>7.6513113369137201E-3</v>
      </c>
      <c r="F97" s="83">
        <f ca="1">INDEX('Calc- Prosym Setup'!$C$5:$AO$107,MATCH($A91,'Calc- Prosym Setup'!$A$5:$A$107,0)+4,MATCH(VALUE(MID($D97,2,4)),'Calc- Prosym Setup'!$C$4:$AO$4,0)+'Calc- Prosym Setup'!C$7)</f>
        <v>7.6170879078315953E-3</v>
      </c>
      <c r="G97" s="83">
        <f ca="1">INDEX('Calc- Prosym Setup'!$C$5:$AO$107,MATCH($A91,'Calc- Prosym Setup'!$A$5:$A$107,0)+4,MATCH(VALUE(MID($D97,2,4)),'Calc- Prosym Setup'!$C$4:$AO$4,0)+'Calc- Prosym Setup'!D$7)</f>
        <v>2.1287947226059653E-3</v>
      </c>
      <c r="H97" s="83">
        <f ca="1">INDEX('Calc- Prosym Setup'!$C$5:$AO$107,MATCH($A91,'Calc- Prosym Setup'!$A$5:$A$107,0)+4,MATCH(VALUE(MID($D97,2,4)),'Calc- Prosym Setup'!$C$4:$AO$4,0)+'Calc- Prosym Setup'!E$7)</f>
        <v>4.9742231786681003E-2</v>
      </c>
      <c r="I97" s="83">
        <f ca="1">INDEX('Calc- Prosym Setup'!$C$5:$AO$107,MATCH($A91,'Calc- Prosym Setup'!$A$5:$A$107,0)+4,MATCH(VALUE(MID($D97,2,4)),'Calc- Prosym Setup'!$C$4:$AO$4,0)+'Calc- Prosym Setup'!F$7)</f>
        <v>1.5042475896097957E-3</v>
      </c>
      <c r="J97" s="88" t="str">
        <f ca="1">"/ADD "&amp;TEXT(INDEX('Calc- Prosym Setup'!$C$5:$AO$107,MATCH($A91,'Calc- Prosym Setup'!$A$5:$A$107,0)+4,MATCH(VALUE(MID($D97,2,4)),'Calc- Prosym Setup'!$C$4:$AO$4,0)+'Calc- Prosym Setup'!G$7),"0.0000")&amp;" @IncFOR /"</f>
        <v>/ADD 0.8742 @IncFOR /</v>
      </c>
      <c r="K97" s="87" t="str">
        <f>IF(VALUE(MID($D97,2,4))&lt;'INP-Calc EFOR&amp;EUOR - 2019Plan'!$G$9,"-"," ")</f>
        <v xml:space="preserve"> </v>
      </c>
      <c r="L97" s="91" t="s">
        <v>187</v>
      </c>
      <c r="M97" s="74">
        <f ca="1">INDEX('INP-Calc EFOR&amp;EUOR - 2019Plan'!$I$11:$M$34,MATCH(INDIRECT(ADDRESS(5+7*$W97,3,,,"Calc- Prosym Setup")),'INP-Calc EFOR&amp;EUOR - 2019Plan'!$A$11:$A$34,0),MATCH(VALUE(MID(D97,2,4)),'INP-Calc EFOR&amp;EUOR - 2019Plan'!$C$9:$G$9,0))</f>
        <v>7.3999999999999996E-2</v>
      </c>
      <c r="N97" s="75" t="s">
        <v>188</v>
      </c>
      <c r="O97" s="74">
        <f ca="1">INDEX('INP-Calc EFOR&amp;EUOR - 2019Plan'!$C$11:$G$34,MATCH(INDIRECT(ADDRESS(5+7*$W97,3,,,"Calc- Prosym Setup")),'INP-Calc EFOR&amp;EUOR - 2019Plan'!$A$11:$A$34,0),MATCH(VALUE(MID(D97,2,4)),'INP-Calc EFOR&amp;EUOR - 2019Plan'!$C$9:$G$9,0))</f>
        <v>5.1999999999999998E-2</v>
      </c>
      <c r="P97" s="75" t="s">
        <v>189</v>
      </c>
      <c r="Q97" s="74">
        <f ca="1">INDEX('INP-Calc EFOR&amp;EUOR - 2019Plan'!$U$11:$Y$34,MATCH(INDIRECT(ADDRESS(5+7*$W97,3,,,"Calc- Prosym Setup")),'INP-Calc EFOR&amp;EUOR - 2019Plan'!$A$11:$A$34,0),MATCH(VALUE(MID(D97,2,4)),'INP-Calc EFOR&amp;EUOR - 2019Plan'!$C$9:$G$9,0))</f>
        <v>3.5113250760485597E-2</v>
      </c>
      <c r="R97" s="75" t="s">
        <v>190</v>
      </c>
      <c r="S97" s="74">
        <f ca="1">INDEX('INP-Calc EFOR&amp;EUOR - 2019Plan'!$O$11:$S$34,MATCH(INDIRECT(ADDRESS(5+7*$W97,3,,,"Calc- Prosym Setup")),'INP-Calc EFOR&amp;EUOR - 2019Plan'!$A$11:$A$34,0),MATCH(VALUE(MID(D97,2,4)),'INP-Calc EFOR&amp;EUOR - 2019Plan'!$C$9:$G$9,0))</f>
        <v>2.1999999999999999E-2</v>
      </c>
      <c r="T97" s="75" t="s">
        <v>191</v>
      </c>
      <c r="U97" s="74">
        <f ca="1">INDEX('INP-Calc EFOR&amp;EUOR - 2019Plan'!$AA$11:$AE$34,MATCH(INDIRECT(ADDRESS(5+7*$W97,3,,,"Calc- Prosym Setup")),'INP-Calc EFOR&amp;EUOR - 2019Plan'!$A$11:$A$34,0),MATCH(VALUE(MID(D97,2,4)),'INP-Calc EFOR&amp;EUOR - 2019Plan'!$C$9:$G$9,0))</f>
        <v>1.7501275929868318E-2</v>
      </c>
      <c r="W97" s="89">
        <f>W95</f>
        <v>12</v>
      </c>
    </row>
    <row r="99" spans="1:23" x14ac:dyDescent="0.25">
      <c r="A99" s="67" t="str">
        <f>'Calc- Prosym Setup'!A96</f>
        <v>Trimble.County.1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</row>
    <row r="100" spans="1:23" x14ac:dyDescent="0.25">
      <c r="A100" s="67"/>
      <c r="B100" s="57" t="s">
        <v>185</v>
      </c>
      <c r="C100" s="67" t="str">
        <f>IF(AND(I100&gt;0,J100&gt;0),"[v6]",IF(AND(I100&gt;0,J100=" "),"[v5]",IF(AND(I100=" ",J100=" "),"[v4]","[V??]")))</f>
        <v>[v6]</v>
      </c>
      <c r="D100" s="67" t="str">
        <f>D92</f>
        <v>[2018]</v>
      </c>
      <c r="E100" s="100">
        <f>'Calc- Prosym Setup'!C99</f>
        <v>141</v>
      </c>
      <c r="F100" s="100">
        <f>'Calc- Prosym Setup'!D99</f>
        <v>227.25</v>
      </c>
      <c r="G100" s="100">
        <f>'Calc- Prosym Setup'!E99</f>
        <v>249.75</v>
      </c>
      <c r="H100" s="100">
        <f>'Calc- Prosym Setup'!F99</f>
        <v>309.75</v>
      </c>
      <c r="I100" s="100">
        <f>'Calc- Prosym Setup'!G99</f>
        <v>339.75</v>
      </c>
      <c r="J100" s="100">
        <f>'Calc- Prosym Setup'!H99</f>
        <v>369.75</v>
      </c>
      <c r="K100" s="67"/>
      <c r="L100" s="67"/>
      <c r="M100" s="67"/>
      <c r="N100" s="67"/>
      <c r="O100" s="67"/>
      <c r="P100" s="67"/>
      <c r="Q100" s="68"/>
      <c r="R100" s="69"/>
      <c r="S100" s="70"/>
      <c r="T100" s="67"/>
      <c r="U100" s="67"/>
    </row>
    <row r="101" spans="1:23" x14ac:dyDescent="0.25">
      <c r="A101" s="67"/>
      <c r="B101" s="57" t="s">
        <v>186</v>
      </c>
      <c r="C101" s="67" t="str">
        <f>C100</f>
        <v>[v6]</v>
      </c>
      <c r="D101" s="67" t="str">
        <f>D93</f>
        <v>[2018]</v>
      </c>
      <c r="E101" s="77">
        <f ca="1">INDEX('Calc- Prosym Setup'!$C$5:$AO$107,MATCH($A99,'Calc- Prosym Setup'!$A$5:$A$107,0)+4,MATCH(VALUE(MID($D101,2,4)),'Calc- Prosym Setup'!$C$4:$AO$4,0))</f>
        <v>1.163597553917929E-3</v>
      </c>
      <c r="F101" s="77">
        <f ca="1">INDEX('Calc- Prosym Setup'!$C$5:$AO$107,MATCH($A99,'Calc- Prosym Setup'!$A$5:$A$107,0)+4,MATCH(VALUE(MID($D101,2,4)),'Calc- Prosym Setup'!$C$4:$AO$4,0)+'Calc- Prosym Setup'!C$7)</f>
        <v>8.9843565696334587E-4</v>
      </c>
      <c r="G101" s="77">
        <f ca="1">INDEX('Calc- Prosym Setup'!$C$5:$AO$107,MATCH($A99,'Calc- Prosym Setup'!$A$5:$A$107,0)+4,MATCH(VALUE(MID($D101,2,4)),'Calc- Prosym Setup'!$C$4:$AO$4,0)+'Calc- Prosym Setup'!D$7)</f>
        <v>1.9717649007202579E-2</v>
      </c>
      <c r="H101" s="77">
        <f ca="1">INDEX('Calc- Prosym Setup'!$C$5:$AO$107,MATCH($A99,'Calc- Prosym Setup'!$A$5:$A$107,0)+4,MATCH(VALUE(MID($D101,2,4)),'Calc- Prosym Setup'!$C$4:$AO$4,0)+'Calc- Prosym Setup'!E$7)</f>
        <v>1.1479831386255577E-2</v>
      </c>
      <c r="I101" s="77">
        <f ca="1">INDEX('Calc- Prosym Setup'!$C$5:$AO$107,MATCH($A99,'Calc- Prosym Setup'!$A$5:$A$107,0)+4,MATCH(VALUE(MID($D101,2,4)),'Calc- Prosym Setup'!$C$4:$AO$4,0)+'Calc- Prosym Setup'!F$7)</f>
        <v>9.6277432928673669E-3</v>
      </c>
      <c r="J101" s="71" t="str">
        <f ca="1">"/ADD "&amp;TEXT(INDEX('Calc- Prosym Setup'!$C$5:$AO$107,MATCH($A99,'Calc- Prosym Setup'!$A$5:$A$107,0)+4,MATCH(VALUE(MID($D101,2,4)),'Calc- Prosym Setup'!$C$4:$AO$4,0)+'Calc- Prosym Setup'!G$7),"0.0000")&amp;" @IncFOR /"</f>
        <v>/ADD 0.8932 @IncFOR /</v>
      </c>
      <c r="K101" s="67" t="str">
        <f>IF(VALUE(MID($D101,2,4))&lt;'INP-Calc EFOR&amp;EUOR - 2019Plan'!$G$9,"-"," ")</f>
        <v>-</v>
      </c>
      <c r="L101" s="63" t="s">
        <v>187</v>
      </c>
      <c r="M101" s="68">
        <f ca="1">INDEX('INP-Calc EFOR&amp;EUOR - 2019Plan'!$I$11:$M$34,MATCH(INDIRECT(ADDRESS(5+7*$W101,3,,,"Calc- Prosym Setup")),'INP-Calc EFOR&amp;EUOR - 2019Plan'!$A$11:$A$34,0),MATCH(VALUE(MID(D101,2,4)),'INP-Calc EFOR&amp;EUOR - 2019Plan'!$C$9:$G$9,0))</f>
        <v>7.3999999999999996E-2</v>
      </c>
      <c r="N101" s="64" t="s">
        <v>188</v>
      </c>
      <c r="O101" s="68">
        <f ca="1">INDEX('INP-Calc EFOR&amp;EUOR - 2019Plan'!$C$11:$G$34,MATCH(INDIRECT(ADDRESS(5+7*$W101,3,,,"Calc- Prosym Setup")),'INP-Calc EFOR&amp;EUOR - 2019Plan'!$A$11:$A$34,0),MATCH(VALUE(MID(D101,2,4)),'INP-Calc EFOR&amp;EUOR - 2019Plan'!$C$9:$G$9,0))</f>
        <v>5.1999999999999998E-2</v>
      </c>
      <c r="P101" s="64" t="s">
        <v>189</v>
      </c>
      <c r="Q101" s="68">
        <f ca="1">INDEX('INP-Calc EFOR&amp;EUOR - 2019Plan'!$U$11:$Y$34,MATCH(INDIRECT(ADDRESS(5+7*$W101,3,,,"Calc- Prosym Setup")),'INP-Calc EFOR&amp;EUOR - 2019Plan'!$A$11:$A$34,0),MATCH(VALUE(MID(D101,2,4)),'INP-Calc EFOR&amp;EUOR - 2019Plan'!$C$9:$G$9,0))</f>
        <v>4.1890628574978585E-2</v>
      </c>
      <c r="R101" s="64" t="s">
        <v>190</v>
      </c>
      <c r="S101" s="68">
        <f ca="1">INDEX('INP-Calc EFOR&amp;EUOR - 2019Plan'!$O$11:$S$34,MATCH(INDIRECT(ADDRESS(5+7*$W101,3,,,"Calc- Prosym Setup")),'INP-Calc EFOR&amp;EUOR - 2019Plan'!$A$11:$A$34,0),MATCH(VALUE(MID(D101,2,4)),'INP-Calc EFOR&amp;EUOR - 2019Plan'!$C$9:$G$9,0))</f>
        <v>2.1999999999999999E-2</v>
      </c>
      <c r="T101" s="64" t="s">
        <v>191</v>
      </c>
      <c r="U101" s="68">
        <f ca="1">INDEX('INP-Calc EFOR&amp;EUOR - 2019Plan'!$AA$11:$AE$34,MATCH(INDIRECT(ADDRESS(5+7*$W101,3,,,"Calc- Prosym Setup")),'INP-Calc EFOR&amp;EUOR - 2019Plan'!$A$11:$A$34,0),MATCH(VALUE(MID(D101,2,4)),'INP-Calc EFOR&amp;EUOR - 2019Plan'!$C$9:$G$9,0))</f>
        <v>1.0551375162926833E-2</v>
      </c>
      <c r="W101" s="89">
        <f>W93+1</f>
        <v>13</v>
      </c>
    </row>
    <row r="102" spans="1:23" x14ac:dyDescent="0.25">
      <c r="A102" s="67"/>
      <c r="B102" s="67"/>
      <c r="C102" s="67"/>
      <c r="D102" s="67" t="str">
        <f>D94</f>
        <v>[2019]</v>
      </c>
      <c r="E102" s="77">
        <f ca="1">INDEX('Calc- Prosym Setup'!$C$5:$AO$107,MATCH($A99,'Calc- Prosym Setup'!$A$5:$A$107,0)+4,MATCH(VALUE(MID($D102,2,4)),'Calc- Prosym Setup'!$C$4:$AO$4,0))</f>
        <v>1.163597553917929E-3</v>
      </c>
      <c r="F102" s="77">
        <f ca="1">INDEX('Calc- Prosym Setup'!$C$5:$AO$107,MATCH($A99,'Calc- Prosym Setup'!$A$5:$A$107,0)+4,MATCH(VALUE(MID($D102,2,4)),'Calc- Prosym Setup'!$C$4:$AO$4,0)+'Calc- Prosym Setup'!C$7)</f>
        <v>8.9843565696334587E-4</v>
      </c>
      <c r="G102" s="77">
        <f ca="1">INDEX('Calc- Prosym Setup'!$C$5:$AO$107,MATCH($A99,'Calc- Prosym Setup'!$A$5:$A$107,0)+4,MATCH(VALUE(MID($D102,2,4)),'Calc- Prosym Setup'!$C$4:$AO$4,0)+'Calc- Prosym Setup'!D$7)</f>
        <v>1.9717649007202579E-2</v>
      </c>
      <c r="H102" s="77">
        <f ca="1">INDEX('Calc- Prosym Setup'!$C$5:$AO$107,MATCH($A99,'Calc- Prosym Setup'!$A$5:$A$107,0)+4,MATCH(VALUE(MID($D102,2,4)),'Calc- Prosym Setup'!$C$4:$AO$4,0)+'Calc- Prosym Setup'!E$7)</f>
        <v>1.1479831386255577E-2</v>
      </c>
      <c r="I102" s="77">
        <f ca="1">INDEX('Calc- Prosym Setup'!$C$5:$AO$107,MATCH($A99,'Calc- Prosym Setup'!$A$5:$A$107,0)+4,MATCH(VALUE(MID($D102,2,4)),'Calc- Prosym Setup'!$C$4:$AO$4,0)+'Calc- Prosym Setup'!F$7)</f>
        <v>9.6277432928673669E-3</v>
      </c>
      <c r="J102" s="71" t="str">
        <f ca="1">"/ADD "&amp;TEXT(INDEX('Calc- Prosym Setup'!$C$5:$AO$107,MATCH($A99,'Calc- Prosym Setup'!$A$5:$A$107,0)+4,MATCH(VALUE(MID($D102,2,4)),'Calc- Prosym Setup'!$C$4:$AO$4,0)+'Calc- Prosym Setup'!G$7),"0.0000")&amp;" @IncFOR /"</f>
        <v>/ADD 0.8932 @IncFOR /</v>
      </c>
      <c r="K102" s="67" t="str">
        <f>IF(VALUE(MID($D102,2,4))&lt;'INP-Calc EFOR&amp;EUOR - 2019Plan'!$G$9,"-"," ")</f>
        <v>-</v>
      </c>
      <c r="L102" s="63" t="s">
        <v>187</v>
      </c>
      <c r="M102" s="68">
        <f ca="1">INDEX('INP-Calc EFOR&amp;EUOR - 2019Plan'!$I$11:$M$34,MATCH(INDIRECT(ADDRESS(5+7*$W102,3,,,"Calc- Prosym Setup")),'INP-Calc EFOR&amp;EUOR - 2019Plan'!$A$11:$A$34,0),MATCH(VALUE(MID(D102,2,4)),'INP-Calc EFOR&amp;EUOR - 2019Plan'!$C$9:$G$9,0))</f>
        <v>7.3999999999999996E-2</v>
      </c>
      <c r="N102" s="64" t="s">
        <v>188</v>
      </c>
      <c r="O102" s="68">
        <f ca="1">INDEX('INP-Calc EFOR&amp;EUOR - 2019Plan'!$C$11:$G$34,MATCH(INDIRECT(ADDRESS(5+7*$W102,3,,,"Calc- Prosym Setup")),'INP-Calc EFOR&amp;EUOR - 2019Plan'!$A$11:$A$34,0),MATCH(VALUE(MID(D102,2,4)),'INP-Calc EFOR&amp;EUOR - 2019Plan'!$C$9:$G$9,0))</f>
        <v>5.1999999999999998E-2</v>
      </c>
      <c r="P102" s="64" t="s">
        <v>189</v>
      </c>
      <c r="Q102" s="68">
        <f ca="1">INDEX('INP-Calc EFOR&amp;EUOR - 2019Plan'!$U$11:$Y$34,MATCH(INDIRECT(ADDRESS(5+7*$W102,3,,,"Calc- Prosym Setup")),'INP-Calc EFOR&amp;EUOR - 2019Plan'!$A$11:$A$34,0),MATCH(VALUE(MID(D102,2,4)),'INP-Calc EFOR&amp;EUOR - 2019Plan'!$C$9:$G$9,0))</f>
        <v>4.1890628574978585E-2</v>
      </c>
      <c r="R102" s="64" t="s">
        <v>190</v>
      </c>
      <c r="S102" s="68">
        <f ca="1">INDEX('INP-Calc EFOR&amp;EUOR - 2019Plan'!$O$11:$S$34,MATCH(INDIRECT(ADDRESS(5+7*$W102,3,,,"Calc- Prosym Setup")),'INP-Calc EFOR&amp;EUOR - 2019Plan'!$A$11:$A$34,0),MATCH(VALUE(MID(D102,2,4)),'INP-Calc EFOR&amp;EUOR - 2019Plan'!$C$9:$G$9,0))</f>
        <v>2.1999999999999999E-2</v>
      </c>
      <c r="T102" s="64" t="s">
        <v>191</v>
      </c>
      <c r="U102" s="68">
        <f ca="1">INDEX('INP-Calc EFOR&amp;EUOR - 2019Plan'!$AA$11:$AE$34,MATCH(INDIRECT(ADDRESS(5+7*$W102,3,,,"Calc- Prosym Setup")),'INP-Calc EFOR&amp;EUOR - 2019Plan'!$A$11:$A$34,0),MATCH(VALUE(MID(D102,2,4)),'INP-Calc EFOR&amp;EUOR - 2019Plan'!$C$9:$G$9,0))</f>
        <v>1.0551375162926833E-2</v>
      </c>
      <c r="W102" s="89">
        <f>W101</f>
        <v>13</v>
      </c>
    </row>
    <row r="103" spans="1:23" x14ac:dyDescent="0.25">
      <c r="A103" s="67"/>
      <c r="B103" s="67"/>
      <c r="C103" s="67"/>
      <c r="D103" s="67" t="str">
        <f>D95</f>
        <v>[2020]</v>
      </c>
      <c r="E103" s="77">
        <f ca="1">INDEX('Calc- Prosym Setup'!$C$5:$AO$107,MATCH($A99,'Calc- Prosym Setup'!$A$5:$A$107,0)+4,MATCH(VALUE(MID($D103,2,4)),'Calc- Prosym Setup'!$C$4:$AO$4,0))</f>
        <v>1.163597553917929E-3</v>
      </c>
      <c r="F103" s="77">
        <f ca="1">INDEX('Calc- Prosym Setup'!$C$5:$AO$107,MATCH($A99,'Calc- Prosym Setup'!$A$5:$A$107,0)+4,MATCH(VALUE(MID($D103,2,4)),'Calc- Prosym Setup'!$C$4:$AO$4,0)+'Calc- Prosym Setup'!C$7)</f>
        <v>8.9843565696334587E-4</v>
      </c>
      <c r="G103" s="77">
        <f ca="1">INDEX('Calc- Prosym Setup'!$C$5:$AO$107,MATCH($A99,'Calc- Prosym Setup'!$A$5:$A$107,0)+4,MATCH(VALUE(MID($D103,2,4)),'Calc- Prosym Setup'!$C$4:$AO$4,0)+'Calc- Prosym Setup'!D$7)</f>
        <v>1.9717649007202579E-2</v>
      </c>
      <c r="H103" s="77">
        <f ca="1">INDEX('Calc- Prosym Setup'!$C$5:$AO$107,MATCH($A99,'Calc- Prosym Setup'!$A$5:$A$107,0)+4,MATCH(VALUE(MID($D103,2,4)),'Calc- Prosym Setup'!$C$4:$AO$4,0)+'Calc- Prosym Setup'!E$7)</f>
        <v>1.1479831386255577E-2</v>
      </c>
      <c r="I103" s="77">
        <f ca="1">INDEX('Calc- Prosym Setup'!$C$5:$AO$107,MATCH($A99,'Calc- Prosym Setup'!$A$5:$A$107,0)+4,MATCH(VALUE(MID($D103,2,4)),'Calc- Prosym Setup'!$C$4:$AO$4,0)+'Calc- Prosym Setup'!F$7)</f>
        <v>9.6277432928673669E-3</v>
      </c>
      <c r="J103" s="71" t="str">
        <f ca="1">"/ADD "&amp;TEXT(INDEX('Calc- Prosym Setup'!$C$5:$AO$107,MATCH($A99,'Calc- Prosym Setup'!$A$5:$A$107,0)+4,MATCH(VALUE(MID($D103,2,4)),'Calc- Prosym Setup'!$C$4:$AO$4,0)+'Calc- Prosym Setup'!G$7),"0.0000")&amp;" @IncFOR /"</f>
        <v>/ADD 0.8932 @IncFOR /</v>
      </c>
      <c r="K103" s="67" t="str">
        <f>IF(VALUE(MID($D103,2,4))&lt;'INP-Calc EFOR&amp;EUOR - 2019Plan'!$G$9,"-"," ")</f>
        <v>-</v>
      </c>
      <c r="L103" s="63" t="s">
        <v>187</v>
      </c>
      <c r="M103" s="68">
        <f ca="1">INDEX('INP-Calc EFOR&amp;EUOR - 2019Plan'!$I$11:$M$34,MATCH(INDIRECT(ADDRESS(5+7*$W103,3,,,"Calc- Prosym Setup")),'INP-Calc EFOR&amp;EUOR - 2019Plan'!$A$11:$A$34,0),MATCH(VALUE(MID(D103,2,4)),'INP-Calc EFOR&amp;EUOR - 2019Plan'!$C$9:$G$9,0))</f>
        <v>7.3999999999999996E-2</v>
      </c>
      <c r="N103" s="64" t="s">
        <v>188</v>
      </c>
      <c r="O103" s="68">
        <f ca="1">INDEX('INP-Calc EFOR&amp;EUOR - 2019Plan'!$C$11:$G$34,MATCH(INDIRECT(ADDRESS(5+7*$W103,3,,,"Calc- Prosym Setup")),'INP-Calc EFOR&amp;EUOR - 2019Plan'!$A$11:$A$34,0),MATCH(VALUE(MID(D103,2,4)),'INP-Calc EFOR&amp;EUOR - 2019Plan'!$C$9:$G$9,0))</f>
        <v>5.1999999999999998E-2</v>
      </c>
      <c r="P103" s="64" t="s">
        <v>189</v>
      </c>
      <c r="Q103" s="68">
        <f ca="1">INDEX('INP-Calc EFOR&amp;EUOR - 2019Plan'!$U$11:$Y$34,MATCH(INDIRECT(ADDRESS(5+7*$W103,3,,,"Calc- Prosym Setup")),'INP-Calc EFOR&amp;EUOR - 2019Plan'!$A$11:$A$34,0),MATCH(VALUE(MID(D103,2,4)),'INP-Calc EFOR&amp;EUOR - 2019Plan'!$C$9:$G$9,0))</f>
        <v>4.1890628574978585E-2</v>
      </c>
      <c r="R103" s="64" t="s">
        <v>190</v>
      </c>
      <c r="S103" s="68">
        <f ca="1">INDEX('INP-Calc EFOR&amp;EUOR - 2019Plan'!$O$11:$S$34,MATCH(INDIRECT(ADDRESS(5+7*$W103,3,,,"Calc- Prosym Setup")),'INP-Calc EFOR&amp;EUOR - 2019Plan'!$A$11:$A$34,0),MATCH(VALUE(MID(D103,2,4)),'INP-Calc EFOR&amp;EUOR - 2019Plan'!$C$9:$G$9,0))</f>
        <v>2.1999999999999999E-2</v>
      </c>
      <c r="T103" s="64" t="s">
        <v>191</v>
      </c>
      <c r="U103" s="68">
        <f ca="1">INDEX('INP-Calc EFOR&amp;EUOR - 2019Plan'!$AA$11:$AE$34,MATCH(INDIRECT(ADDRESS(5+7*$W103,3,,,"Calc- Prosym Setup")),'INP-Calc EFOR&amp;EUOR - 2019Plan'!$A$11:$A$34,0),MATCH(VALUE(MID(D103,2,4)),'INP-Calc EFOR&amp;EUOR - 2019Plan'!$C$9:$G$9,0))</f>
        <v>1.0551375162926833E-2</v>
      </c>
      <c r="W103" s="89">
        <f t="shared" ref="W103:W105" si="21">W102</f>
        <v>13</v>
      </c>
    </row>
    <row r="104" spans="1:23" x14ac:dyDescent="0.25">
      <c r="A104" s="67"/>
      <c r="B104" s="67"/>
      <c r="C104" s="67"/>
      <c r="D104" s="67" t="str">
        <f>D96</f>
        <v>[2021]</v>
      </c>
      <c r="E104" s="77">
        <f ca="1">INDEX('Calc- Prosym Setup'!$C$5:$AO$107,MATCH($A99,'Calc- Prosym Setup'!$A$5:$A$107,0)+4,MATCH(VALUE(MID($D104,2,4)),'Calc- Prosym Setup'!$C$4:$AO$4,0))</f>
        <v>1.163597553917929E-3</v>
      </c>
      <c r="F104" s="77">
        <f ca="1">INDEX('Calc- Prosym Setup'!$C$5:$AO$107,MATCH($A99,'Calc- Prosym Setup'!$A$5:$A$107,0)+4,MATCH(VALUE(MID($D104,2,4)),'Calc- Prosym Setup'!$C$4:$AO$4,0)+'Calc- Prosym Setup'!C$7)</f>
        <v>8.9843565696334587E-4</v>
      </c>
      <c r="G104" s="77">
        <f ca="1">INDEX('Calc- Prosym Setup'!$C$5:$AO$107,MATCH($A99,'Calc- Prosym Setup'!$A$5:$A$107,0)+4,MATCH(VALUE(MID($D104,2,4)),'Calc- Prosym Setup'!$C$4:$AO$4,0)+'Calc- Prosym Setup'!D$7)</f>
        <v>1.9717649007202579E-2</v>
      </c>
      <c r="H104" s="77">
        <f ca="1">INDEX('Calc- Prosym Setup'!$C$5:$AO$107,MATCH($A99,'Calc- Prosym Setup'!$A$5:$A$107,0)+4,MATCH(VALUE(MID($D104,2,4)),'Calc- Prosym Setup'!$C$4:$AO$4,0)+'Calc- Prosym Setup'!E$7)</f>
        <v>1.1479831386255577E-2</v>
      </c>
      <c r="I104" s="77">
        <f ca="1">INDEX('Calc- Prosym Setup'!$C$5:$AO$107,MATCH($A99,'Calc- Prosym Setup'!$A$5:$A$107,0)+4,MATCH(VALUE(MID($D104,2,4)),'Calc- Prosym Setup'!$C$4:$AO$4,0)+'Calc- Prosym Setup'!F$7)</f>
        <v>9.6277432928673669E-3</v>
      </c>
      <c r="J104" s="71" t="str">
        <f ca="1">"/ADD "&amp;TEXT(INDEX('Calc- Prosym Setup'!$C$5:$AO$107,MATCH($A99,'Calc- Prosym Setup'!$A$5:$A$107,0)+4,MATCH(VALUE(MID($D104,2,4)),'Calc- Prosym Setup'!$C$4:$AO$4,0)+'Calc- Prosym Setup'!G$7),"0.0000")&amp;" @IncFOR /"</f>
        <v>/ADD 0.8932 @IncFOR /</v>
      </c>
      <c r="K104" s="67" t="str">
        <f>IF(VALUE(MID($D104,2,4))&lt;'INP-Calc EFOR&amp;EUOR - 2019Plan'!$G$9,"-"," ")</f>
        <v>-</v>
      </c>
      <c r="L104" s="63" t="s">
        <v>187</v>
      </c>
      <c r="M104" s="68">
        <f ca="1">INDEX('INP-Calc EFOR&amp;EUOR - 2019Plan'!$I$11:$M$34,MATCH(INDIRECT(ADDRESS(5+7*$W104,3,,,"Calc- Prosym Setup")),'INP-Calc EFOR&amp;EUOR - 2019Plan'!$A$11:$A$34,0),MATCH(VALUE(MID(D104,2,4)),'INP-Calc EFOR&amp;EUOR - 2019Plan'!$C$9:$G$9,0))</f>
        <v>7.3999999999999996E-2</v>
      </c>
      <c r="N104" s="64" t="s">
        <v>188</v>
      </c>
      <c r="O104" s="68">
        <f ca="1">INDEX('INP-Calc EFOR&amp;EUOR - 2019Plan'!$C$11:$G$34,MATCH(INDIRECT(ADDRESS(5+7*$W104,3,,,"Calc- Prosym Setup")),'INP-Calc EFOR&amp;EUOR - 2019Plan'!$A$11:$A$34,0),MATCH(VALUE(MID(D104,2,4)),'INP-Calc EFOR&amp;EUOR - 2019Plan'!$C$9:$G$9,0))</f>
        <v>5.1999999999999998E-2</v>
      </c>
      <c r="P104" s="64" t="s">
        <v>189</v>
      </c>
      <c r="Q104" s="68">
        <f ca="1">INDEX('INP-Calc EFOR&amp;EUOR - 2019Plan'!$U$11:$Y$34,MATCH(INDIRECT(ADDRESS(5+7*$W104,3,,,"Calc- Prosym Setup")),'INP-Calc EFOR&amp;EUOR - 2019Plan'!$A$11:$A$34,0),MATCH(VALUE(MID(D104,2,4)),'INP-Calc EFOR&amp;EUOR - 2019Plan'!$C$9:$G$9,0))</f>
        <v>4.1890628574978585E-2</v>
      </c>
      <c r="R104" s="64" t="s">
        <v>190</v>
      </c>
      <c r="S104" s="68">
        <f ca="1">INDEX('INP-Calc EFOR&amp;EUOR - 2019Plan'!$O$11:$S$34,MATCH(INDIRECT(ADDRESS(5+7*$W104,3,,,"Calc- Prosym Setup")),'INP-Calc EFOR&amp;EUOR - 2019Plan'!$A$11:$A$34,0),MATCH(VALUE(MID(D104,2,4)),'INP-Calc EFOR&amp;EUOR - 2019Plan'!$C$9:$G$9,0))</f>
        <v>2.1999999999999999E-2</v>
      </c>
      <c r="T104" s="64" t="s">
        <v>191</v>
      </c>
      <c r="U104" s="68">
        <f ca="1">INDEX('INP-Calc EFOR&amp;EUOR - 2019Plan'!$AA$11:$AE$34,MATCH(INDIRECT(ADDRESS(5+7*$W104,3,,,"Calc- Prosym Setup")),'INP-Calc EFOR&amp;EUOR - 2019Plan'!$A$11:$A$34,0),MATCH(VALUE(MID(D104,2,4)),'INP-Calc EFOR&amp;EUOR - 2019Plan'!$C$9:$G$9,0))</f>
        <v>1.0551375162926833E-2</v>
      </c>
      <c r="W104" s="89">
        <f t="shared" si="21"/>
        <v>13</v>
      </c>
    </row>
    <row r="105" spans="1:23" x14ac:dyDescent="0.25">
      <c r="A105" s="72"/>
      <c r="B105" s="72"/>
      <c r="C105" s="72"/>
      <c r="D105" s="72" t="str">
        <f t="shared" ref="D105" si="22">D97</f>
        <v>[2022]</v>
      </c>
      <c r="E105" s="83">
        <f ca="1">INDEX('Calc- Prosym Setup'!$C$5:$AO$107,MATCH($A99,'Calc- Prosym Setup'!$A$5:$A$107,0)+4,MATCH(VALUE(MID($D105,2,4)),'Calc- Prosym Setup'!$C$4:$AO$4,0))</f>
        <v>1.163597553917929E-3</v>
      </c>
      <c r="F105" s="83">
        <f ca="1">INDEX('Calc- Prosym Setup'!$C$5:$AO$107,MATCH($A99,'Calc- Prosym Setup'!$A$5:$A$107,0)+4,MATCH(VALUE(MID($D105,2,4)),'Calc- Prosym Setup'!$C$4:$AO$4,0)+'Calc- Prosym Setup'!C$7)</f>
        <v>8.9843565696334587E-4</v>
      </c>
      <c r="G105" s="83">
        <f ca="1">INDEX('Calc- Prosym Setup'!$C$5:$AO$107,MATCH($A99,'Calc- Prosym Setup'!$A$5:$A$107,0)+4,MATCH(VALUE(MID($D105,2,4)),'Calc- Prosym Setup'!$C$4:$AO$4,0)+'Calc- Prosym Setup'!D$7)</f>
        <v>1.9717649007202579E-2</v>
      </c>
      <c r="H105" s="83">
        <f ca="1">INDEX('Calc- Prosym Setup'!$C$5:$AO$107,MATCH($A99,'Calc- Prosym Setup'!$A$5:$A$107,0)+4,MATCH(VALUE(MID($D105,2,4)),'Calc- Prosym Setup'!$C$4:$AO$4,0)+'Calc- Prosym Setup'!E$7)</f>
        <v>1.1479831386255577E-2</v>
      </c>
      <c r="I105" s="83">
        <f ca="1">INDEX('Calc- Prosym Setup'!$C$5:$AO$107,MATCH($A99,'Calc- Prosym Setup'!$A$5:$A$107,0)+4,MATCH(VALUE(MID($D105,2,4)),'Calc- Prosym Setup'!$C$4:$AO$4,0)+'Calc- Prosym Setup'!F$7)</f>
        <v>9.6277432928673669E-3</v>
      </c>
      <c r="J105" s="88" t="str">
        <f ca="1">"/ADD "&amp;TEXT(INDEX('Calc- Prosym Setup'!$C$5:$AO$107,MATCH($A99,'Calc- Prosym Setup'!$A$5:$A$107,0)+4,MATCH(VALUE(MID($D105,2,4)),'Calc- Prosym Setup'!$C$4:$AO$4,0)+'Calc- Prosym Setup'!G$7),"0.0000")&amp;" @IncFOR /"</f>
        <v>/ADD 0.8932 @IncFOR /</v>
      </c>
      <c r="K105" s="72" t="str">
        <f>IF(VALUE(MID($D105,2,4))&lt;'INP-Calc EFOR&amp;EUOR - 2019Plan'!$G$9,"-"," ")</f>
        <v xml:space="preserve"> </v>
      </c>
      <c r="L105" s="91" t="s">
        <v>187</v>
      </c>
      <c r="M105" s="74">
        <f ca="1">INDEX('INP-Calc EFOR&amp;EUOR - 2019Plan'!$I$11:$M$34,MATCH(INDIRECT(ADDRESS(5+7*$W105,3,,,"Calc- Prosym Setup")),'INP-Calc EFOR&amp;EUOR - 2019Plan'!$A$11:$A$34,0),MATCH(VALUE(MID(D105,2,4)),'INP-Calc EFOR&amp;EUOR - 2019Plan'!$C$9:$G$9,0))</f>
        <v>7.3999999999999996E-2</v>
      </c>
      <c r="N105" s="75" t="s">
        <v>188</v>
      </c>
      <c r="O105" s="74">
        <f ca="1">INDEX('INP-Calc EFOR&amp;EUOR - 2019Plan'!$C$11:$G$34,MATCH(INDIRECT(ADDRESS(5+7*$W105,3,,,"Calc- Prosym Setup")),'INP-Calc EFOR&amp;EUOR - 2019Plan'!$A$11:$A$34,0),MATCH(VALUE(MID(D105,2,4)),'INP-Calc EFOR&amp;EUOR - 2019Plan'!$C$9:$G$9,0))</f>
        <v>5.1999999999999998E-2</v>
      </c>
      <c r="P105" s="75" t="s">
        <v>189</v>
      </c>
      <c r="Q105" s="74">
        <f ca="1">INDEX('INP-Calc EFOR&amp;EUOR - 2019Plan'!$U$11:$Y$34,MATCH(INDIRECT(ADDRESS(5+7*$W105,3,,,"Calc- Prosym Setup")),'INP-Calc EFOR&amp;EUOR - 2019Plan'!$A$11:$A$34,0),MATCH(VALUE(MID(D105,2,4)),'INP-Calc EFOR&amp;EUOR - 2019Plan'!$C$9:$G$9,0))</f>
        <v>4.1890628574978585E-2</v>
      </c>
      <c r="R105" s="75" t="s">
        <v>190</v>
      </c>
      <c r="S105" s="74">
        <f ca="1">INDEX('INP-Calc EFOR&amp;EUOR - 2019Plan'!$O$11:$S$34,MATCH(INDIRECT(ADDRESS(5+7*$W105,3,,,"Calc- Prosym Setup")),'INP-Calc EFOR&amp;EUOR - 2019Plan'!$A$11:$A$34,0),MATCH(VALUE(MID(D105,2,4)),'INP-Calc EFOR&amp;EUOR - 2019Plan'!$C$9:$G$9,0))</f>
        <v>2.1999999999999999E-2</v>
      </c>
      <c r="T105" s="75" t="s">
        <v>191</v>
      </c>
      <c r="U105" s="74">
        <f ca="1">INDEX('INP-Calc EFOR&amp;EUOR - 2019Plan'!$AA$11:$AE$34,MATCH(INDIRECT(ADDRESS(5+7*$W105,3,,,"Calc- Prosym Setup")),'INP-Calc EFOR&amp;EUOR - 2019Plan'!$A$11:$A$34,0),MATCH(VALUE(MID(D105,2,4)),'INP-Calc EFOR&amp;EUOR - 2019Plan'!$C$9:$G$9,0))</f>
        <v>1.0551375162926833E-2</v>
      </c>
      <c r="W105" s="89">
        <f t="shared" si="21"/>
        <v>13</v>
      </c>
    </row>
    <row r="107" spans="1:23" x14ac:dyDescent="0.25">
      <c r="A107" s="67" t="str">
        <f>'Calc- Prosym Setup'!A103</f>
        <v>Trimble.County.2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</row>
    <row r="108" spans="1:23" x14ac:dyDescent="0.25">
      <c r="A108" s="67"/>
      <c r="B108" s="57" t="s">
        <v>185</v>
      </c>
      <c r="C108" s="67" t="str">
        <f>IF(AND(I108&gt;0,J108&gt;0),"[v6]",IF(AND(I108&gt;0,J108=" "),"[v5]",IF(AND(I108=" ",J108=" "),"[v4]","[V??]")))</f>
        <v>[v6]</v>
      </c>
      <c r="D108" s="67" t="str">
        <f>D100</f>
        <v>[2018]</v>
      </c>
      <c r="E108" s="100">
        <f>'Calc- Prosym Setup'!C106</f>
        <v>330</v>
      </c>
      <c r="F108" s="100">
        <f>'Calc- Prosym Setup'!D106</f>
        <v>427.5</v>
      </c>
      <c r="G108" s="100">
        <f>'Calc- Prosym Setup'!E106</f>
        <v>450</v>
      </c>
      <c r="H108" s="100">
        <f>'Calc- Prosym Setup'!F106</f>
        <v>510</v>
      </c>
      <c r="I108" s="100">
        <f>'Calc- Prosym Setup'!G106</f>
        <v>540</v>
      </c>
      <c r="J108" s="66">
        <f>'Calc- Prosym Setup'!H106</f>
        <v>570</v>
      </c>
      <c r="K108" s="67"/>
      <c r="L108" s="67"/>
      <c r="M108" s="67"/>
      <c r="N108" s="67"/>
      <c r="O108" s="67"/>
      <c r="P108" s="67"/>
      <c r="Q108" s="68"/>
      <c r="R108" s="69"/>
      <c r="S108" s="70"/>
      <c r="T108" s="67"/>
      <c r="U108" s="67"/>
    </row>
    <row r="109" spans="1:23" x14ac:dyDescent="0.25">
      <c r="A109" s="67"/>
      <c r="B109" s="57" t="s">
        <v>186</v>
      </c>
      <c r="C109" s="67" t="str">
        <f>C108</f>
        <v>[v6]</v>
      </c>
      <c r="D109" s="67" t="str">
        <f>D101</f>
        <v>[2018]</v>
      </c>
      <c r="E109" s="77">
        <f ca="1">INDEX('Calc- Prosym Setup'!$C$5:$AO$107,MATCH($A107,'Calc- Prosym Setup'!$A$5:$A$107,0)+4,MATCH(VALUE(MID($D109,2,4)),'Calc- Prosym Setup'!$C$4:$AO$4,0))</f>
        <v>2.8220175018017412E-3</v>
      </c>
      <c r="F109" s="77">
        <f ca="1">INDEX('Calc- Prosym Setup'!$C$5:$AO$107,MATCH($A107,'Calc- Prosym Setup'!$A$5:$A$107,0)+4,MATCH(VALUE(MID($D109,2,4)),'Calc- Prosym Setup'!$C$4:$AO$4,0)+'Calc- Prosym Setup'!C$7)</f>
        <v>9.583341067340637E-3</v>
      </c>
      <c r="G109" s="77">
        <f ca="1">INDEX('Calc- Prosym Setup'!$C$5:$AO$107,MATCH($A107,'Calc- Prosym Setup'!$A$5:$A$107,0)+4,MATCH(VALUE(MID($D109,2,4)),'Calc- Prosym Setup'!$C$4:$AO$4,0)+'Calc- Prosym Setup'!D$7)</f>
        <v>7.5194462636233965E-3</v>
      </c>
      <c r="H109" s="77">
        <f ca="1">INDEX('Calc- Prosym Setup'!$C$5:$AO$107,MATCH($A107,'Calc- Prosym Setup'!$A$5:$A$107,0)+4,MATCH(VALUE(MID($D109,2,4)),'Calc- Prosym Setup'!$C$4:$AO$4,0)+'Calc- Prosym Setup'!E$7)</f>
        <v>4.9761749803436436E-2</v>
      </c>
      <c r="I109" s="77">
        <f ca="1">INDEX('Calc- Prosym Setup'!$C$5:$AO$107,MATCH($A107,'Calc- Prosym Setup'!$A$5:$A$107,0)+4,MATCH(VALUE(MID($D109,2,4)),'Calc- Prosym Setup'!$C$4:$AO$4,0)+'Calc- Prosym Setup'!F$7)</f>
        <v>2.2594988368781467E-2</v>
      </c>
      <c r="J109" s="71" t="str">
        <f ca="1">"/ADD "&amp;TEXT(INDEX('Calc- Prosym Setup'!$C$5:$AO$107,MATCH($A107,'Calc- Prosym Setup'!$A$5:$A$107,0)+4,MATCH(VALUE(MID($D109,2,4)),'Calc- Prosym Setup'!$C$4:$AO$4,0)+'Calc- Prosym Setup'!G$7),"0.0000")&amp;" @IncFOR /"</f>
        <v>/ADD 0.7883 @IncFOR /</v>
      </c>
      <c r="K109" s="67" t="str">
        <f>IF(VALUE(MID($D109,2,4))&lt;'INP-Calc EFOR&amp;EUOR - 2019Plan'!$G$9,"-"," ")</f>
        <v>-</v>
      </c>
      <c r="L109" s="63" t="s">
        <v>187</v>
      </c>
      <c r="M109" s="68">
        <f ca="1">INDEX('INP-Calc EFOR&amp;EUOR - 2019Plan'!$I$11:$M$34,MATCH(INDIRECT(ADDRESS(5+7*$W109,3,,,"Calc- Prosym Setup")),'INP-Calc EFOR&amp;EUOR - 2019Plan'!$A$11:$A$34,0),MATCH(VALUE(MID(D109,2,4)),'INP-Calc EFOR&amp;EUOR - 2019Plan'!$C$9:$G$9,0))</f>
        <v>0.13100000000000001</v>
      </c>
      <c r="N109" s="64" t="s">
        <v>188</v>
      </c>
      <c r="O109" s="68">
        <f ca="1">INDEX('INP-Calc EFOR&amp;EUOR - 2019Plan'!$C$11:$G$34,MATCH(INDIRECT(ADDRESS(5+7*$W109,3,,,"Calc- Prosym Setup")),'INP-Calc EFOR&amp;EUOR - 2019Plan'!$A$11:$A$34,0),MATCH(VALUE(MID(D109,2,4)),'INP-Calc EFOR&amp;EUOR - 2019Plan'!$C$9:$G$9,0))</f>
        <v>9.2999999999999999E-2</v>
      </c>
      <c r="P109" s="64" t="s">
        <v>189</v>
      </c>
      <c r="Q109" s="68">
        <f ca="1">INDEX('INP-Calc EFOR&amp;EUOR - 2019Plan'!$U$11:$Y$34,MATCH(INDIRECT(ADDRESS(5+7*$W109,3,,,"Calc- Prosym Setup")),'INP-Calc EFOR&amp;EUOR - 2019Plan'!$A$11:$A$34,0),MATCH(VALUE(MID(D109,2,4)),'INP-Calc EFOR&amp;EUOR - 2019Plan'!$C$9:$G$9,0))</f>
        <v>8.1405616678187923E-2</v>
      </c>
      <c r="R109" s="64" t="s">
        <v>190</v>
      </c>
      <c r="S109" s="68">
        <f ca="1">INDEX('INP-Calc EFOR&amp;EUOR - 2019Plan'!$O$11:$S$34,MATCH(INDIRECT(ADDRESS(5+7*$W109,3,,,"Calc- Prosym Setup")),'INP-Calc EFOR&amp;EUOR - 2019Plan'!$A$11:$A$34,0),MATCH(VALUE(MID(D109,2,4)),'INP-Calc EFOR&amp;EUOR - 2019Plan'!$C$9:$G$9,0))</f>
        <v>3.7999999999999999E-2</v>
      </c>
      <c r="T109" s="64" t="s">
        <v>191</v>
      </c>
      <c r="U109" s="68">
        <f ca="1">INDEX('INP-Calc EFOR&amp;EUOR - 2019Plan'!$AA$11:$AE$34,MATCH(INDIRECT(ADDRESS(5+7*$W109,3,,,"Calc- Prosym Setup")),'INP-Calc EFOR&amp;EUOR - 2019Plan'!$A$11:$A$34,0),MATCH(VALUE(MID(D109,2,4)),'INP-Calc EFOR&amp;EUOR - 2019Plan'!$C$9:$G$9,0))</f>
        <v>1.2621874825627145E-2</v>
      </c>
      <c r="W109" s="89">
        <f>W101+1</f>
        <v>14</v>
      </c>
    </row>
    <row r="110" spans="1:23" x14ac:dyDescent="0.25">
      <c r="A110" s="67"/>
      <c r="B110" s="67"/>
      <c r="C110" s="67"/>
      <c r="D110" s="67" t="str">
        <f>D102</f>
        <v>[2019]</v>
      </c>
      <c r="E110" s="77">
        <f ca="1">INDEX('Calc- Prosym Setup'!$C$5:$AO$107,MATCH($A107,'Calc- Prosym Setup'!$A$5:$A$107,0)+4,MATCH(VALUE(MID($D110,2,4)),'Calc- Prosym Setup'!$C$4:$AO$4,0))</f>
        <v>2.8220175018017412E-3</v>
      </c>
      <c r="F110" s="77">
        <f ca="1">INDEX('Calc- Prosym Setup'!$C$5:$AO$107,MATCH($A107,'Calc- Prosym Setup'!$A$5:$A$107,0)+4,MATCH(VALUE(MID($D110,2,4)),'Calc- Prosym Setup'!$C$4:$AO$4,0)+'Calc- Prosym Setup'!C$7)</f>
        <v>9.583341067340637E-3</v>
      </c>
      <c r="G110" s="77">
        <f ca="1">INDEX('Calc- Prosym Setup'!$C$5:$AO$107,MATCH($A107,'Calc- Prosym Setup'!$A$5:$A$107,0)+4,MATCH(VALUE(MID($D110,2,4)),'Calc- Prosym Setup'!$C$4:$AO$4,0)+'Calc- Prosym Setup'!D$7)</f>
        <v>7.5194462636233965E-3</v>
      </c>
      <c r="H110" s="77">
        <f ca="1">INDEX('Calc- Prosym Setup'!$C$5:$AO$107,MATCH($A107,'Calc- Prosym Setup'!$A$5:$A$107,0)+4,MATCH(VALUE(MID($D110,2,4)),'Calc- Prosym Setup'!$C$4:$AO$4,0)+'Calc- Prosym Setup'!E$7)</f>
        <v>4.9761749803436436E-2</v>
      </c>
      <c r="I110" s="77">
        <f ca="1">INDEX('Calc- Prosym Setup'!$C$5:$AO$107,MATCH($A107,'Calc- Prosym Setup'!$A$5:$A$107,0)+4,MATCH(VALUE(MID($D110,2,4)),'Calc- Prosym Setup'!$C$4:$AO$4,0)+'Calc- Prosym Setup'!F$7)</f>
        <v>2.2594988368781467E-2</v>
      </c>
      <c r="J110" s="71" t="str">
        <f ca="1">"/ADD "&amp;TEXT(INDEX('Calc- Prosym Setup'!$C$5:$AO$107,MATCH($A107,'Calc- Prosym Setup'!$A$5:$A$107,0)+4,MATCH(VALUE(MID($D110,2,4)),'Calc- Prosym Setup'!$C$4:$AO$4,0)+'Calc- Prosym Setup'!G$7),"0.0000")&amp;" @IncFOR /"</f>
        <v>/ADD 0.7883 @IncFOR /</v>
      </c>
      <c r="K110" s="67" t="str">
        <f>IF(VALUE(MID($D110,2,4))&lt;'INP-Calc EFOR&amp;EUOR - 2019Plan'!$G$9,"-"," ")</f>
        <v>-</v>
      </c>
      <c r="L110" s="63" t="s">
        <v>187</v>
      </c>
      <c r="M110" s="68">
        <f ca="1">INDEX('INP-Calc EFOR&amp;EUOR - 2019Plan'!$I$11:$M$34,MATCH(INDIRECT(ADDRESS(5+7*$W110,3,,,"Calc- Prosym Setup")),'INP-Calc EFOR&amp;EUOR - 2019Plan'!$A$11:$A$34,0),MATCH(VALUE(MID(D110,2,4)),'INP-Calc EFOR&amp;EUOR - 2019Plan'!$C$9:$G$9,0))</f>
        <v>0.13100000000000001</v>
      </c>
      <c r="N110" s="64" t="s">
        <v>188</v>
      </c>
      <c r="O110" s="68">
        <f ca="1">INDEX('INP-Calc EFOR&amp;EUOR - 2019Plan'!$C$11:$G$34,MATCH(INDIRECT(ADDRESS(5+7*$W110,3,,,"Calc- Prosym Setup")),'INP-Calc EFOR&amp;EUOR - 2019Plan'!$A$11:$A$34,0),MATCH(VALUE(MID(D110,2,4)),'INP-Calc EFOR&amp;EUOR - 2019Plan'!$C$9:$G$9,0))</f>
        <v>9.2999999999999999E-2</v>
      </c>
      <c r="P110" s="64" t="s">
        <v>189</v>
      </c>
      <c r="Q110" s="68">
        <f ca="1">INDEX('INP-Calc EFOR&amp;EUOR - 2019Plan'!$U$11:$Y$34,MATCH(INDIRECT(ADDRESS(5+7*$W110,3,,,"Calc- Prosym Setup")),'INP-Calc EFOR&amp;EUOR - 2019Plan'!$A$11:$A$34,0),MATCH(VALUE(MID(D110,2,4)),'INP-Calc EFOR&amp;EUOR - 2019Plan'!$C$9:$G$9,0))</f>
        <v>8.1405616678187923E-2</v>
      </c>
      <c r="R110" s="64" t="s">
        <v>190</v>
      </c>
      <c r="S110" s="68">
        <f ca="1">INDEX('INP-Calc EFOR&amp;EUOR - 2019Plan'!$O$11:$S$34,MATCH(INDIRECT(ADDRESS(5+7*$W110,3,,,"Calc- Prosym Setup")),'INP-Calc EFOR&amp;EUOR - 2019Plan'!$A$11:$A$34,0),MATCH(VALUE(MID(D110,2,4)),'INP-Calc EFOR&amp;EUOR - 2019Plan'!$C$9:$G$9,0))</f>
        <v>3.7999999999999999E-2</v>
      </c>
      <c r="T110" s="64" t="s">
        <v>191</v>
      </c>
      <c r="U110" s="68">
        <f ca="1">INDEX('INP-Calc EFOR&amp;EUOR - 2019Plan'!$AA$11:$AE$34,MATCH(INDIRECT(ADDRESS(5+7*$W110,3,,,"Calc- Prosym Setup")),'INP-Calc EFOR&amp;EUOR - 2019Plan'!$A$11:$A$34,0),MATCH(VALUE(MID(D110,2,4)),'INP-Calc EFOR&amp;EUOR - 2019Plan'!$C$9:$G$9,0))</f>
        <v>1.2621874825627145E-2</v>
      </c>
      <c r="W110" s="89">
        <f>W109</f>
        <v>14</v>
      </c>
    </row>
    <row r="111" spans="1:23" x14ac:dyDescent="0.25">
      <c r="A111" s="67"/>
      <c r="B111" s="67"/>
      <c r="C111" s="67"/>
      <c r="D111" s="67" t="str">
        <f>D103</f>
        <v>[2020]</v>
      </c>
      <c r="E111" s="77">
        <f ca="1">INDEX('Calc- Prosym Setup'!$C$5:$AO$107,MATCH($A107,'Calc- Prosym Setup'!$A$5:$A$107,0)+4,MATCH(VALUE(MID($D111,2,4)),'Calc- Prosym Setup'!$C$4:$AO$4,0))</f>
        <v>2.8220175018017412E-3</v>
      </c>
      <c r="F111" s="77">
        <f ca="1">INDEX('Calc- Prosym Setup'!$C$5:$AO$107,MATCH($A107,'Calc- Prosym Setup'!$A$5:$A$107,0)+4,MATCH(VALUE(MID($D111,2,4)),'Calc- Prosym Setup'!$C$4:$AO$4,0)+'Calc- Prosym Setup'!C$7)</f>
        <v>9.583341067340637E-3</v>
      </c>
      <c r="G111" s="77">
        <f ca="1">INDEX('Calc- Prosym Setup'!$C$5:$AO$107,MATCH($A107,'Calc- Prosym Setup'!$A$5:$A$107,0)+4,MATCH(VALUE(MID($D111,2,4)),'Calc- Prosym Setup'!$C$4:$AO$4,0)+'Calc- Prosym Setup'!D$7)</f>
        <v>7.5194462636233965E-3</v>
      </c>
      <c r="H111" s="77">
        <f ca="1">INDEX('Calc- Prosym Setup'!$C$5:$AO$107,MATCH($A107,'Calc- Prosym Setup'!$A$5:$A$107,0)+4,MATCH(VALUE(MID($D111,2,4)),'Calc- Prosym Setup'!$C$4:$AO$4,0)+'Calc- Prosym Setup'!E$7)</f>
        <v>4.9761749803436436E-2</v>
      </c>
      <c r="I111" s="77">
        <f ca="1">INDEX('Calc- Prosym Setup'!$C$5:$AO$107,MATCH($A107,'Calc- Prosym Setup'!$A$5:$A$107,0)+4,MATCH(VALUE(MID($D111,2,4)),'Calc- Prosym Setup'!$C$4:$AO$4,0)+'Calc- Prosym Setup'!F$7)</f>
        <v>2.2594988368781467E-2</v>
      </c>
      <c r="J111" s="71" t="str">
        <f ca="1">"/ADD "&amp;TEXT(INDEX('Calc- Prosym Setup'!$C$5:$AO$107,MATCH($A107,'Calc- Prosym Setup'!$A$5:$A$107,0)+4,MATCH(VALUE(MID($D111,2,4)),'Calc- Prosym Setup'!$C$4:$AO$4,0)+'Calc- Prosym Setup'!G$7),"0.0000")&amp;" @IncFOR /"</f>
        <v>/ADD 0.7883 @IncFOR /</v>
      </c>
      <c r="K111" s="67" t="str">
        <f>IF(VALUE(MID($D111,2,4))&lt;'INP-Calc EFOR&amp;EUOR - 2019Plan'!$G$9,"-"," ")</f>
        <v>-</v>
      </c>
      <c r="L111" s="63" t="s">
        <v>187</v>
      </c>
      <c r="M111" s="68">
        <f ca="1">INDEX('INP-Calc EFOR&amp;EUOR - 2019Plan'!$I$11:$M$34,MATCH(INDIRECT(ADDRESS(5+7*$W111,3,,,"Calc- Prosym Setup")),'INP-Calc EFOR&amp;EUOR - 2019Plan'!$A$11:$A$34,0),MATCH(VALUE(MID(D111,2,4)),'INP-Calc EFOR&amp;EUOR - 2019Plan'!$C$9:$G$9,0))</f>
        <v>0.13100000000000001</v>
      </c>
      <c r="N111" s="64" t="s">
        <v>188</v>
      </c>
      <c r="O111" s="68">
        <f ca="1">INDEX('INP-Calc EFOR&amp;EUOR - 2019Plan'!$C$11:$G$34,MATCH(INDIRECT(ADDRESS(5+7*$W111,3,,,"Calc- Prosym Setup")),'INP-Calc EFOR&amp;EUOR - 2019Plan'!$A$11:$A$34,0),MATCH(VALUE(MID(D111,2,4)),'INP-Calc EFOR&amp;EUOR - 2019Plan'!$C$9:$G$9,0))</f>
        <v>9.2999999999999999E-2</v>
      </c>
      <c r="P111" s="64" t="s">
        <v>189</v>
      </c>
      <c r="Q111" s="68">
        <f ca="1">INDEX('INP-Calc EFOR&amp;EUOR - 2019Plan'!$U$11:$Y$34,MATCH(INDIRECT(ADDRESS(5+7*$W111,3,,,"Calc- Prosym Setup")),'INP-Calc EFOR&amp;EUOR - 2019Plan'!$A$11:$A$34,0),MATCH(VALUE(MID(D111,2,4)),'INP-Calc EFOR&amp;EUOR - 2019Plan'!$C$9:$G$9,0))</f>
        <v>8.1405616678187923E-2</v>
      </c>
      <c r="R111" s="64" t="s">
        <v>190</v>
      </c>
      <c r="S111" s="68">
        <f ca="1">INDEX('INP-Calc EFOR&amp;EUOR - 2019Plan'!$O$11:$S$34,MATCH(INDIRECT(ADDRESS(5+7*$W111,3,,,"Calc- Prosym Setup")),'INP-Calc EFOR&amp;EUOR - 2019Plan'!$A$11:$A$34,0),MATCH(VALUE(MID(D111,2,4)),'INP-Calc EFOR&amp;EUOR - 2019Plan'!$C$9:$G$9,0))</f>
        <v>3.7999999999999999E-2</v>
      </c>
      <c r="T111" s="64" t="s">
        <v>191</v>
      </c>
      <c r="U111" s="68">
        <f ca="1">INDEX('INP-Calc EFOR&amp;EUOR - 2019Plan'!$AA$11:$AE$34,MATCH(INDIRECT(ADDRESS(5+7*$W111,3,,,"Calc- Prosym Setup")),'INP-Calc EFOR&amp;EUOR - 2019Plan'!$A$11:$A$34,0),MATCH(VALUE(MID(D111,2,4)),'INP-Calc EFOR&amp;EUOR - 2019Plan'!$C$9:$G$9,0))</f>
        <v>1.2621874825627145E-2</v>
      </c>
      <c r="W111" s="89">
        <f t="shared" ref="W111:W113" si="23">W110</f>
        <v>14</v>
      </c>
    </row>
    <row r="112" spans="1:23" x14ac:dyDescent="0.25">
      <c r="A112" s="67"/>
      <c r="B112" s="67"/>
      <c r="C112" s="67"/>
      <c r="D112" s="67" t="str">
        <f>D104</f>
        <v>[2021]</v>
      </c>
      <c r="E112" s="77">
        <f ca="1">INDEX('Calc- Prosym Setup'!$C$5:$AO$107,MATCH($A107,'Calc- Prosym Setup'!$A$5:$A$107,0)+4,MATCH(VALUE(MID($D112,2,4)),'Calc- Prosym Setup'!$C$4:$AO$4,0))</f>
        <v>2.8220175018017412E-3</v>
      </c>
      <c r="F112" s="77">
        <f ca="1">INDEX('Calc- Prosym Setup'!$C$5:$AO$107,MATCH($A107,'Calc- Prosym Setup'!$A$5:$A$107,0)+4,MATCH(VALUE(MID($D112,2,4)),'Calc- Prosym Setup'!$C$4:$AO$4,0)+'Calc- Prosym Setup'!C$7)</f>
        <v>9.583341067340637E-3</v>
      </c>
      <c r="G112" s="77">
        <f ca="1">INDEX('Calc- Prosym Setup'!$C$5:$AO$107,MATCH($A107,'Calc- Prosym Setup'!$A$5:$A$107,0)+4,MATCH(VALUE(MID($D112,2,4)),'Calc- Prosym Setup'!$C$4:$AO$4,0)+'Calc- Prosym Setup'!D$7)</f>
        <v>7.5194462636233965E-3</v>
      </c>
      <c r="H112" s="77">
        <f ca="1">INDEX('Calc- Prosym Setup'!$C$5:$AO$107,MATCH($A107,'Calc- Prosym Setup'!$A$5:$A$107,0)+4,MATCH(VALUE(MID($D112,2,4)),'Calc- Prosym Setup'!$C$4:$AO$4,0)+'Calc- Prosym Setup'!E$7)</f>
        <v>4.9761749803436436E-2</v>
      </c>
      <c r="I112" s="77">
        <f ca="1">INDEX('Calc- Prosym Setup'!$C$5:$AO$107,MATCH($A107,'Calc- Prosym Setup'!$A$5:$A$107,0)+4,MATCH(VALUE(MID($D112,2,4)),'Calc- Prosym Setup'!$C$4:$AO$4,0)+'Calc- Prosym Setup'!F$7)</f>
        <v>2.2594988368781467E-2</v>
      </c>
      <c r="J112" s="71" t="str">
        <f ca="1">"/ADD "&amp;TEXT(INDEX('Calc- Prosym Setup'!$C$5:$AO$107,MATCH($A107,'Calc- Prosym Setup'!$A$5:$A$107,0)+4,MATCH(VALUE(MID($D112,2,4)),'Calc- Prosym Setup'!$C$4:$AO$4,0)+'Calc- Prosym Setup'!G$7),"0.0000")&amp;" @IncFOR /"</f>
        <v>/ADD 0.7883 @IncFOR /</v>
      </c>
      <c r="K112" s="67" t="str">
        <f>IF(VALUE(MID($D112,2,4))&lt;'INP-Calc EFOR&amp;EUOR - 2019Plan'!$G$9,"-"," ")</f>
        <v>-</v>
      </c>
      <c r="L112" s="63" t="s">
        <v>187</v>
      </c>
      <c r="M112" s="68">
        <f ca="1">INDEX('INP-Calc EFOR&amp;EUOR - 2019Plan'!$I$11:$M$34,MATCH(INDIRECT(ADDRESS(5+7*$W112,3,,,"Calc- Prosym Setup")),'INP-Calc EFOR&amp;EUOR - 2019Plan'!$A$11:$A$34,0),MATCH(VALUE(MID(D112,2,4)),'INP-Calc EFOR&amp;EUOR - 2019Plan'!$C$9:$G$9,0))</f>
        <v>0.13100000000000001</v>
      </c>
      <c r="N112" s="64" t="s">
        <v>188</v>
      </c>
      <c r="O112" s="68">
        <f ca="1">INDEX('INP-Calc EFOR&amp;EUOR - 2019Plan'!$C$11:$G$34,MATCH(INDIRECT(ADDRESS(5+7*$W112,3,,,"Calc- Prosym Setup")),'INP-Calc EFOR&amp;EUOR - 2019Plan'!$A$11:$A$34,0),MATCH(VALUE(MID(D112,2,4)),'INP-Calc EFOR&amp;EUOR - 2019Plan'!$C$9:$G$9,0))</f>
        <v>9.2999999999999999E-2</v>
      </c>
      <c r="P112" s="64" t="s">
        <v>189</v>
      </c>
      <c r="Q112" s="68">
        <f ca="1">INDEX('INP-Calc EFOR&amp;EUOR - 2019Plan'!$U$11:$Y$34,MATCH(INDIRECT(ADDRESS(5+7*$W112,3,,,"Calc- Prosym Setup")),'INP-Calc EFOR&amp;EUOR - 2019Plan'!$A$11:$A$34,0),MATCH(VALUE(MID(D112,2,4)),'INP-Calc EFOR&amp;EUOR - 2019Plan'!$C$9:$G$9,0))</f>
        <v>8.1405616678187923E-2</v>
      </c>
      <c r="R112" s="64" t="s">
        <v>190</v>
      </c>
      <c r="S112" s="68">
        <f ca="1">INDEX('INP-Calc EFOR&amp;EUOR - 2019Plan'!$O$11:$S$34,MATCH(INDIRECT(ADDRESS(5+7*$W112,3,,,"Calc- Prosym Setup")),'INP-Calc EFOR&amp;EUOR - 2019Plan'!$A$11:$A$34,0),MATCH(VALUE(MID(D112,2,4)),'INP-Calc EFOR&amp;EUOR - 2019Plan'!$C$9:$G$9,0))</f>
        <v>3.7999999999999999E-2</v>
      </c>
      <c r="T112" s="64" t="s">
        <v>191</v>
      </c>
      <c r="U112" s="68">
        <f ca="1">INDEX('INP-Calc EFOR&amp;EUOR - 2019Plan'!$AA$11:$AE$34,MATCH(INDIRECT(ADDRESS(5+7*$W112,3,,,"Calc- Prosym Setup")),'INP-Calc EFOR&amp;EUOR - 2019Plan'!$A$11:$A$34,0),MATCH(VALUE(MID(D112,2,4)),'INP-Calc EFOR&amp;EUOR - 2019Plan'!$C$9:$G$9,0))</f>
        <v>1.2621874825627145E-2</v>
      </c>
      <c r="W112" s="89">
        <f t="shared" si="23"/>
        <v>14</v>
      </c>
    </row>
    <row r="113" spans="1:23" x14ac:dyDescent="0.25">
      <c r="A113" s="72"/>
      <c r="B113" s="72"/>
      <c r="C113" s="72"/>
      <c r="D113" s="72" t="str">
        <f t="shared" ref="D113" si="24">D105</f>
        <v>[2022]</v>
      </c>
      <c r="E113" s="83">
        <f ca="1">INDEX('Calc- Prosym Setup'!$C$5:$AO$107,MATCH($A107,'Calc- Prosym Setup'!$A$5:$A$107,0)+4,MATCH(VALUE(MID($D113,2,4)),'Calc- Prosym Setup'!$C$4:$AO$4,0))</f>
        <v>2.8220175018017412E-3</v>
      </c>
      <c r="F113" s="83">
        <f ca="1">INDEX('Calc- Prosym Setup'!$C$5:$AO$107,MATCH($A107,'Calc- Prosym Setup'!$A$5:$A$107,0)+4,MATCH(VALUE(MID($D113,2,4)),'Calc- Prosym Setup'!$C$4:$AO$4,0)+'Calc- Prosym Setup'!C$7)</f>
        <v>9.583341067340637E-3</v>
      </c>
      <c r="G113" s="83">
        <f ca="1">INDEX('Calc- Prosym Setup'!$C$5:$AO$107,MATCH($A107,'Calc- Prosym Setup'!$A$5:$A$107,0)+4,MATCH(VALUE(MID($D113,2,4)),'Calc- Prosym Setup'!$C$4:$AO$4,0)+'Calc- Prosym Setup'!D$7)</f>
        <v>7.5194462636233965E-3</v>
      </c>
      <c r="H113" s="83">
        <f ca="1">INDEX('Calc- Prosym Setup'!$C$5:$AO$107,MATCH($A107,'Calc- Prosym Setup'!$A$5:$A$107,0)+4,MATCH(VALUE(MID($D113,2,4)),'Calc- Prosym Setup'!$C$4:$AO$4,0)+'Calc- Prosym Setup'!E$7)</f>
        <v>4.9761749803436436E-2</v>
      </c>
      <c r="I113" s="83">
        <f ca="1">INDEX('Calc- Prosym Setup'!$C$5:$AO$107,MATCH($A107,'Calc- Prosym Setup'!$A$5:$A$107,0)+4,MATCH(VALUE(MID($D113,2,4)),'Calc- Prosym Setup'!$C$4:$AO$4,0)+'Calc- Prosym Setup'!F$7)</f>
        <v>2.2594988368781467E-2</v>
      </c>
      <c r="J113" s="88" t="str">
        <f ca="1">"/ADD "&amp;TEXT(INDEX('Calc- Prosym Setup'!$C$5:$AO$107,MATCH($A107,'Calc- Prosym Setup'!$A$5:$A$107,0)+4,MATCH(VALUE(MID($D113,2,4)),'Calc- Prosym Setup'!$C$4:$AO$4,0)+'Calc- Prosym Setup'!G$7),"0.0000")&amp;" @IncFOR /"</f>
        <v>/ADD 0.7883 @IncFOR /</v>
      </c>
      <c r="K113" s="72" t="str">
        <f>IF(VALUE(MID($D113,2,4))&lt;'INP-Calc EFOR&amp;EUOR - 2019Plan'!$G$9,"-"," ")</f>
        <v xml:space="preserve"> </v>
      </c>
      <c r="L113" s="91" t="s">
        <v>187</v>
      </c>
      <c r="M113" s="74">
        <f ca="1">INDEX('INP-Calc EFOR&amp;EUOR - 2019Plan'!$I$11:$M$34,MATCH(INDIRECT(ADDRESS(5+7*$W113,3,,,"Calc- Prosym Setup")),'INP-Calc EFOR&amp;EUOR - 2019Plan'!$A$11:$A$34,0),MATCH(VALUE(MID(D113,2,4)),'INP-Calc EFOR&amp;EUOR - 2019Plan'!$C$9:$G$9,0))</f>
        <v>0.13100000000000001</v>
      </c>
      <c r="N113" s="75" t="s">
        <v>188</v>
      </c>
      <c r="O113" s="74">
        <f ca="1">INDEX('INP-Calc EFOR&amp;EUOR - 2019Plan'!$C$11:$G$34,MATCH(INDIRECT(ADDRESS(5+7*$W113,3,,,"Calc- Prosym Setup")),'INP-Calc EFOR&amp;EUOR - 2019Plan'!$A$11:$A$34,0),MATCH(VALUE(MID(D113,2,4)),'INP-Calc EFOR&amp;EUOR - 2019Plan'!$C$9:$G$9,0))</f>
        <v>9.2999999999999999E-2</v>
      </c>
      <c r="P113" s="75" t="s">
        <v>189</v>
      </c>
      <c r="Q113" s="74">
        <f ca="1">INDEX('INP-Calc EFOR&amp;EUOR - 2019Plan'!$U$11:$Y$34,MATCH(INDIRECT(ADDRESS(5+7*$W113,3,,,"Calc- Prosym Setup")),'INP-Calc EFOR&amp;EUOR - 2019Plan'!$A$11:$A$34,0),MATCH(VALUE(MID(D113,2,4)),'INP-Calc EFOR&amp;EUOR - 2019Plan'!$C$9:$G$9,0))</f>
        <v>8.1405616678187923E-2</v>
      </c>
      <c r="R113" s="75" t="s">
        <v>190</v>
      </c>
      <c r="S113" s="74">
        <f ca="1">INDEX('INP-Calc EFOR&amp;EUOR - 2019Plan'!$O$11:$S$34,MATCH(INDIRECT(ADDRESS(5+7*$W113,3,,,"Calc- Prosym Setup")),'INP-Calc EFOR&amp;EUOR - 2019Plan'!$A$11:$A$34,0),MATCH(VALUE(MID(D113,2,4)),'INP-Calc EFOR&amp;EUOR - 2019Plan'!$C$9:$G$9,0))</f>
        <v>3.7999999999999999E-2</v>
      </c>
      <c r="T113" s="75" t="s">
        <v>191</v>
      </c>
      <c r="U113" s="74">
        <f ca="1">INDEX('INP-Calc EFOR&amp;EUOR - 2019Plan'!$AA$11:$AE$34,MATCH(INDIRECT(ADDRESS(5+7*$W113,3,,,"Calc- Prosym Setup")),'INP-Calc EFOR&amp;EUOR - 2019Plan'!$A$11:$A$34,0),MATCH(VALUE(MID(D113,2,4)),'INP-Calc EFOR&amp;EUOR - 2019Plan'!$C$9:$G$9,0))</f>
        <v>1.2621874825627145E-2</v>
      </c>
      <c r="W113" s="89">
        <f t="shared" si="23"/>
        <v>14</v>
      </c>
    </row>
    <row r="115" spans="1:23" x14ac:dyDescent="0.25">
      <c r="J115" s="116"/>
      <c r="M115" s="148"/>
      <c r="O115" s="148"/>
      <c r="Q115" s="149"/>
    </row>
    <row r="116" spans="1:23" x14ac:dyDescent="0.25">
      <c r="E116" s="116"/>
    </row>
    <row r="117" spans="1:23" x14ac:dyDescent="0.25">
      <c r="I117" s="116"/>
    </row>
    <row r="118" spans="1:23" x14ac:dyDescent="0.25">
      <c r="I118" s="106"/>
    </row>
    <row r="119" spans="1:23" x14ac:dyDescent="0.25">
      <c r="I119" s="116"/>
    </row>
  </sheetData>
  <mergeCells count="10">
    <mergeCell ref="A9:U9"/>
    <mergeCell ref="A10:U10"/>
    <mergeCell ref="A1:U1"/>
    <mergeCell ref="A2:U2"/>
    <mergeCell ref="A3:U3"/>
    <mergeCell ref="A4:U4"/>
    <mergeCell ref="A5:U5"/>
    <mergeCell ref="A6:U6"/>
    <mergeCell ref="A7:U7"/>
    <mergeCell ref="A8:U8"/>
  </mergeCells>
  <pageMargins left="0.7" right="0.7" top="0.75" bottom="0.75" header="0.3" footer="0.3"/>
  <pageSetup orientation="portrait" r:id="rId1"/>
  <headerFooter>
    <oddHeader>&amp;R&amp;"Times New Roman,Bold"&amp;12Case No. 2018-00294
Attachment 2 to Response to AG-2 Question No. 5
Page &amp;P of &amp;N
Sinclair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workbookViewId="0">
      <selection activeCell="F14" sqref="F14"/>
    </sheetView>
  </sheetViews>
  <sheetFormatPr defaultRowHeight="15" x14ac:dyDescent="0.25"/>
  <cols>
    <col min="1" max="1" width="18.42578125" bestFit="1" customWidth="1"/>
    <col min="2" max="2" width="17.5703125" bestFit="1" customWidth="1"/>
    <col min="3" max="3" width="34.42578125" bestFit="1" customWidth="1"/>
    <col min="4" max="4" width="30.85546875" bestFit="1" customWidth="1"/>
  </cols>
  <sheetData>
    <row r="1" spans="1:17" ht="21" x14ac:dyDescent="0.35">
      <c r="A1" s="40"/>
      <c r="B1" s="82" t="s">
        <v>193</v>
      </c>
      <c r="C1" s="82" t="s">
        <v>208</v>
      </c>
      <c r="E1" s="103" t="s">
        <v>280</v>
      </c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17" x14ac:dyDescent="0.25">
      <c r="A2" s="79" t="s">
        <v>194</v>
      </c>
      <c r="B2" s="80" t="s">
        <v>167</v>
      </c>
      <c r="C2" s="81" t="s">
        <v>201</v>
      </c>
      <c r="E2" s="103">
        <v>1</v>
      </c>
      <c r="F2" s="103">
        <v>2</v>
      </c>
      <c r="G2" s="103">
        <v>3</v>
      </c>
      <c r="H2" s="103">
        <v>4</v>
      </c>
      <c r="I2" s="103">
        <v>5</v>
      </c>
      <c r="J2" s="103">
        <v>6</v>
      </c>
      <c r="K2" s="103"/>
      <c r="L2" s="103"/>
      <c r="M2" s="103"/>
      <c r="N2" s="103"/>
      <c r="O2" s="103"/>
      <c r="P2" s="103"/>
      <c r="Q2" s="103"/>
    </row>
    <row r="3" spans="1:17" x14ac:dyDescent="0.25">
      <c r="A3" s="40"/>
      <c r="B3" s="81" t="s">
        <v>195</v>
      </c>
      <c r="C3" s="81"/>
      <c r="E3" s="103">
        <v>37</v>
      </c>
      <c r="F3" s="103">
        <v>74</v>
      </c>
      <c r="G3" s="103">
        <v>77</v>
      </c>
      <c r="H3" s="103">
        <v>87</v>
      </c>
      <c r="I3" s="103">
        <v>97</v>
      </c>
      <c r="J3" s="103">
        <v>107</v>
      </c>
      <c r="K3" s="103"/>
      <c r="L3" s="103" t="s">
        <v>269</v>
      </c>
      <c r="M3" s="103" t="s">
        <v>270</v>
      </c>
      <c r="N3" s="103" t="s">
        <v>271</v>
      </c>
      <c r="O3" s="103" t="s">
        <v>272</v>
      </c>
      <c r="P3" s="103" t="s">
        <v>273</v>
      </c>
      <c r="Q3" s="103" t="s">
        <v>275</v>
      </c>
    </row>
    <row r="4" spans="1:17" x14ac:dyDescent="0.25">
      <c r="A4" s="40"/>
      <c r="B4" s="40"/>
      <c r="C4" s="81"/>
      <c r="E4" s="84">
        <v>6.7074942678645817E-3</v>
      </c>
      <c r="F4" s="84">
        <v>3.0789912591838312E-3</v>
      </c>
      <c r="G4" s="84">
        <v>3.0842874692520471E-2</v>
      </c>
      <c r="H4" s="84">
        <v>2.2818517335517197E-2</v>
      </c>
      <c r="I4" s="84">
        <v>4.4938701815368236E-2</v>
      </c>
      <c r="J4" s="84">
        <v>0.82576365348882808</v>
      </c>
      <c r="K4" s="103"/>
      <c r="L4" s="103" t="s">
        <v>281</v>
      </c>
      <c r="M4" s="103" t="s">
        <v>3968</v>
      </c>
      <c r="N4" s="103" t="s">
        <v>3969</v>
      </c>
      <c r="O4" s="103" t="s">
        <v>3970</v>
      </c>
      <c r="P4" s="103" t="s">
        <v>3971</v>
      </c>
      <c r="Q4" s="103" t="s">
        <v>274</v>
      </c>
    </row>
    <row r="5" spans="1:17" x14ac:dyDescent="0.25">
      <c r="A5" s="79" t="s">
        <v>196</v>
      </c>
      <c r="B5" s="80" t="s">
        <v>169</v>
      </c>
      <c r="C5" s="81" t="s">
        <v>202</v>
      </c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</row>
    <row r="6" spans="1:17" x14ac:dyDescent="0.25">
      <c r="A6" s="40"/>
      <c r="B6" s="81" t="s">
        <v>197</v>
      </c>
      <c r="C6" s="81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</row>
    <row r="7" spans="1:17" x14ac:dyDescent="0.25">
      <c r="A7" s="40"/>
      <c r="B7" s="40"/>
      <c r="C7" s="81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</row>
    <row r="8" spans="1:17" x14ac:dyDescent="0.25">
      <c r="A8" s="79" t="s">
        <v>203</v>
      </c>
      <c r="B8" s="80" t="s">
        <v>204</v>
      </c>
      <c r="C8" s="81" t="s">
        <v>221</v>
      </c>
      <c r="E8" s="103" t="s">
        <v>3972</v>
      </c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</row>
    <row r="9" spans="1:17" x14ac:dyDescent="0.25">
      <c r="A9" s="40"/>
      <c r="B9" s="81" t="s">
        <v>195</v>
      </c>
      <c r="C9" s="81"/>
      <c r="E9" s="103" t="s">
        <v>3973</v>
      </c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</row>
    <row r="10" spans="1:17" x14ac:dyDescent="0.25">
      <c r="A10" s="40"/>
      <c r="B10" s="40"/>
      <c r="C10" s="81"/>
      <c r="E10" s="103" t="s">
        <v>3974</v>
      </c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</row>
    <row r="11" spans="1:17" s="23" customFormat="1" x14ac:dyDescent="0.25">
      <c r="A11" s="79" t="s">
        <v>211</v>
      </c>
      <c r="B11" s="80" t="s">
        <v>168</v>
      </c>
      <c r="C11" s="81" t="s">
        <v>223</v>
      </c>
      <c r="E11" s="103" t="s">
        <v>3975</v>
      </c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</row>
    <row r="12" spans="1:17" s="23" customFormat="1" x14ac:dyDescent="0.25">
      <c r="A12" s="40"/>
      <c r="B12" s="81" t="s">
        <v>212</v>
      </c>
      <c r="C12" s="81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</row>
    <row r="13" spans="1:17" s="23" customFormat="1" x14ac:dyDescent="0.25">
      <c r="A13" s="40"/>
      <c r="B13" s="81"/>
      <c r="C13" s="81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</row>
    <row r="14" spans="1:17" x14ac:dyDescent="0.25">
      <c r="A14" s="79" t="s">
        <v>220</v>
      </c>
      <c r="B14" s="80" t="s">
        <v>205</v>
      </c>
      <c r="C14" s="81" t="s">
        <v>207</v>
      </c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</row>
    <row r="15" spans="1:17" x14ac:dyDescent="0.25">
      <c r="A15" s="40"/>
      <c r="B15" s="81" t="s">
        <v>206</v>
      </c>
      <c r="C15" s="81"/>
    </row>
    <row r="16" spans="1:17" x14ac:dyDescent="0.25">
      <c r="A16" s="40"/>
      <c r="B16" s="40"/>
      <c r="C16" s="81"/>
    </row>
    <row r="17" spans="1:3" x14ac:dyDescent="0.25">
      <c r="A17" s="79" t="s">
        <v>209</v>
      </c>
      <c r="B17" s="80" t="s">
        <v>210</v>
      </c>
      <c r="C17" s="81" t="s">
        <v>222</v>
      </c>
    </row>
    <row r="18" spans="1:3" x14ac:dyDescent="0.25">
      <c r="A18" s="40"/>
      <c r="B18" s="81" t="s">
        <v>206</v>
      </c>
      <c r="C18" s="40"/>
    </row>
    <row r="19" spans="1:3" x14ac:dyDescent="0.25">
      <c r="A19" s="40"/>
      <c r="B19" s="40"/>
      <c r="C19" s="40"/>
    </row>
    <row r="20" spans="1:3" x14ac:dyDescent="0.25">
      <c r="A20" s="212" t="s">
        <v>213</v>
      </c>
      <c r="B20" s="212"/>
      <c r="C20" s="40"/>
    </row>
    <row r="21" spans="1:3" x14ac:dyDescent="0.25">
      <c r="A21" s="212" t="s">
        <v>214</v>
      </c>
      <c r="B21" s="212"/>
      <c r="C21" s="40"/>
    </row>
    <row r="22" spans="1:3" x14ac:dyDescent="0.25">
      <c r="A22" s="212" t="s">
        <v>215</v>
      </c>
      <c r="B22" s="212"/>
      <c r="C22" s="40"/>
    </row>
    <row r="23" spans="1:3" x14ac:dyDescent="0.25">
      <c r="A23" s="212" t="s">
        <v>216</v>
      </c>
      <c r="B23" s="212"/>
      <c r="C23" s="40"/>
    </row>
    <row r="24" spans="1:3" x14ac:dyDescent="0.25">
      <c r="A24" s="212" t="s">
        <v>217</v>
      </c>
      <c r="B24" s="212"/>
      <c r="C24" s="40"/>
    </row>
    <row r="25" spans="1:3" x14ac:dyDescent="0.25">
      <c r="A25" s="212" t="s">
        <v>218</v>
      </c>
      <c r="B25" s="212"/>
      <c r="C25" s="40"/>
    </row>
    <row r="26" spans="1:3" x14ac:dyDescent="0.25">
      <c r="A26" s="212" t="s">
        <v>198</v>
      </c>
      <c r="B26" s="212"/>
    </row>
    <row r="27" spans="1:3" x14ac:dyDescent="0.25">
      <c r="A27" s="212" t="s">
        <v>200</v>
      </c>
      <c r="B27" s="212"/>
      <c r="C27" s="40"/>
    </row>
    <row r="28" spans="1:3" x14ac:dyDescent="0.25">
      <c r="A28" s="212" t="s">
        <v>199</v>
      </c>
      <c r="B28" s="212"/>
      <c r="C28" s="40"/>
    </row>
    <row r="29" spans="1:3" x14ac:dyDescent="0.25">
      <c r="A29" s="213" t="s">
        <v>219</v>
      </c>
      <c r="B29" s="213"/>
      <c r="C29" s="40"/>
    </row>
    <row r="30" spans="1:3" x14ac:dyDescent="0.25">
      <c r="C30" s="2"/>
    </row>
  </sheetData>
  <mergeCells count="10">
    <mergeCell ref="A28:B28"/>
    <mergeCell ref="A29:B29"/>
    <mergeCell ref="A20:B20"/>
    <mergeCell ref="A26:B26"/>
    <mergeCell ref="A27:B27"/>
    <mergeCell ref="A21:B21"/>
    <mergeCell ref="A22:B22"/>
    <mergeCell ref="A23:B23"/>
    <mergeCell ref="A24:B24"/>
    <mergeCell ref="A25:B25"/>
  </mergeCells>
  <pageMargins left="0.7" right="0.7" top="0.75" bottom="0.75" header="0.3" footer="0.3"/>
  <pageSetup orientation="portrait" r:id="rId1"/>
  <headerFooter>
    <oddHeader>&amp;R&amp;"Times New Roman,Bold"&amp;12Case No. 2018-00294
Attachment 2 to Response to AG-2 Question No. 5
Page &amp;P of &amp;N
Sinclair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8"/>
  <sheetViews>
    <sheetView workbookViewId="0">
      <selection activeCell="H31" sqref="H31"/>
    </sheetView>
  </sheetViews>
  <sheetFormatPr defaultRowHeight="15" x14ac:dyDescent="0.25"/>
  <cols>
    <col min="1" max="1" width="29.5703125" style="98" bestFit="1" customWidth="1"/>
    <col min="2" max="2" width="10" style="98" bestFit="1" customWidth="1"/>
    <col min="3" max="3" width="11.42578125" style="98" bestFit="1" customWidth="1"/>
    <col min="4" max="4" width="8.5703125" style="98" bestFit="1" customWidth="1"/>
    <col min="5" max="9" width="9.140625" style="98"/>
    <col min="10" max="10" width="10" style="98" bestFit="1" customWidth="1"/>
    <col min="11" max="11" width="20.5703125" style="98" bestFit="1" customWidth="1"/>
    <col min="12" max="12" width="10.42578125" style="98" bestFit="1" customWidth="1"/>
    <col min="13" max="25" width="9.140625" style="98"/>
    <col min="26" max="26" width="12.42578125" style="98" bestFit="1" customWidth="1"/>
    <col min="27" max="39" width="9.140625" style="98"/>
    <col min="40" max="41" width="0" style="98" hidden="1" customWidth="1"/>
    <col min="42" max="16384" width="9.140625" style="98"/>
  </cols>
  <sheetData>
    <row r="1" spans="1:48" x14ac:dyDescent="0.25">
      <c r="AA1" s="98">
        <v>150</v>
      </c>
      <c r="AB1" s="98">
        <v>360</v>
      </c>
    </row>
    <row r="2" spans="1:48" x14ac:dyDescent="0.25">
      <c r="AA2" s="98" t="s">
        <v>172</v>
      </c>
      <c r="AB2" s="98" t="s">
        <v>173</v>
      </c>
      <c r="AC2" s="98" t="s">
        <v>224</v>
      </c>
      <c r="AF2" s="98" t="s">
        <v>262</v>
      </c>
      <c r="AG2" s="164">
        <f t="shared" ref="AG2:AU2" si="0">VLOOKUP(AG$3, $J$5:$P$19, 7, 0)</f>
        <v>1</v>
      </c>
      <c r="AH2" s="164">
        <f t="shared" si="0"/>
        <v>2</v>
      </c>
      <c r="AI2" s="164">
        <f t="shared" si="0"/>
        <v>3</v>
      </c>
      <c r="AJ2" s="164">
        <f t="shared" si="0"/>
        <v>3</v>
      </c>
      <c r="AK2" s="164">
        <f t="shared" si="0"/>
        <v>3</v>
      </c>
      <c r="AL2" s="164">
        <f t="shared" si="0"/>
        <v>3</v>
      </c>
      <c r="AM2" s="164">
        <f t="shared" si="0"/>
        <v>3</v>
      </c>
      <c r="AN2" s="164">
        <f t="shared" si="0"/>
        <v>1</v>
      </c>
      <c r="AO2" s="164">
        <f t="shared" si="0"/>
        <v>1</v>
      </c>
      <c r="AP2" s="164">
        <f t="shared" si="0"/>
        <v>2</v>
      </c>
      <c r="AQ2" s="164">
        <f t="shared" si="0"/>
        <v>2</v>
      </c>
      <c r="AR2" s="164">
        <f t="shared" si="0"/>
        <v>3</v>
      </c>
      <c r="AS2" s="164">
        <f t="shared" si="0"/>
        <v>3</v>
      </c>
      <c r="AT2" s="164">
        <f t="shared" si="0"/>
        <v>3</v>
      </c>
      <c r="AU2" s="164">
        <f t="shared" si="0"/>
        <v>3</v>
      </c>
      <c r="AV2" s="164"/>
    </row>
    <row r="3" spans="1:48" x14ac:dyDescent="0.25">
      <c r="D3" s="194" t="s">
        <v>1959</v>
      </c>
      <c r="E3" s="194"/>
      <c r="F3" s="194" t="s">
        <v>1960</v>
      </c>
      <c r="G3" s="194"/>
      <c r="H3" s="98" t="s">
        <v>1959</v>
      </c>
      <c r="Z3" s="165" t="s">
        <v>3967</v>
      </c>
      <c r="AA3" s="105">
        <v>0</v>
      </c>
      <c r="AB3" s="105">
        <v>0</v>
      </c>
      <c r="AC3" s="105">
        <v>0</v>
      </c>
      <c r="AD3" s="105"/>
      <c r="AE3" s="105"/>
      <c r="AF3" s="105"/>
      <c r="AG3" s="105" t="s">
        <v>21</v>
      </c>
      <c r="AH3" s="105" t="s">
        <v>22</v>
      </c>
      <c r="AI3" s="105" t="s">
        <v>28</v>
      </c>
      <c r="AJ3" s="105" t="s">
        <v>26</v>
      </c>
      <c r="AK3" s="105" t="s">
        <v>27</v>
      </c>
      <c r="AL3" s="105" t="s">
        <v>30</v>
      </c>
      <c r="AM3" s="105" t="s">
        <v>24</v>
      </c>
      <c r="AN3" s="105" t="s">
        <v>16</v>
      </c>
      <c r="AO3" s="105" t="s">
        <v>34</v>
      </c>
      <c r="AP3" s="105" t="s">
        <v>23</v>
      </c>
      <c r="AQ3" s="105" t="s">
        <v>35</v>
      </c>
      <c r="AR3" s="105" t="s">
        <v>29</v>
      </c>
      <c r="AS3" s="105" t="s">
        <v>25</v>
      </c>
      <c r="AT3" s="105" t="s">
        <v>19</v>
      </c>
      <c r="AU3" s="105" t="s">
        <v>69</v>
      </c>
      <c r="AV3" s="105"/>
    </row>
    <row r="4" spans="1:48" x14ac:dyDescent="0.25">
      <c r="A4" s="98" t="s">
        <v>3184</v>
      </c>
      <c r="B4" s="98" t="s">
        <v>0</v>
      </c>
      <c r="C4" s="98" t="s">
        <v>1963</v>
      </c>
      <c r="D4" s="98" t="s">
        <v>1961</v>
      </c>
      <c r="E4" s="98" t="s">
        <v>1962</v>
      </c>
      <c r="F4" s="98" t="s">
        <v>1961</v>
      </c>
      <c r="G4" s="98" t="s">
        <v>1962</v>
      </c>
      <c r="H4" s="98" t="s">
        <v>1965</v>
      </c>
      <c r="J4" s="98" t="s">
        <v>0</v>
      </c>
      <c r="K4" s="98" t="s">
        <v>265</v>
      </c>
      <c r="L4" s="98" t="s">
        <v>151</v>
      </c>
      <c r="M4" s="98" t="s">
        <v>152</v>
      </c>
      <c r="N4" s="98" t="s">
        <v>225</v>
      </c>
      <c r="O4" s="98" t="s">
        <v>227</v>
      </c>
      <c r="P4" s="98" t="s">
        <v>262</v>
      </c>
      <c r="Q4" s="98" t="s">
        <v>0</v>
      </c>
      <c r="R4" s="98">
        <v>5</v>
      </c>
      <c r="S4" s="98">
        <v>4</v>
      </c>
      <c r="T4" s="98">
        <v>3</v>
      </c>
      <c r="U4" s="98">
        <v>2</v>
      </c>
      <c r="V4" s="98">
        <v>1</v>
      </c>
      <c r="Z4" s="28">
        <f>'Calc- Prosym Setup'!C7</f>
        <v>1</v>
      </c>
      <c r="AA4" s="105">
        <v>10</v>
      </c>
      <c r="AB4" s="105">
        <v>20</v>
      </c>
      <c r="AC4" s="105">
        <v>40</v>
      </c>
      <c r="AD4" s="105"/>
      <c r="AE4" s="105"/>
      <c r="AF4" s="105"/>
      <c r="AG4" s="166">
        <f>COUNTIFS('INPUT-GADS DATA'!$A$2:$A$7442,"="&amp;AG$3,'INPUT-GADS DATA'!$B$2:$B$7442,"=D*",'INPUT-GADS DATA'!$U$2:$U$7442,"&lt;="&amp;INDEX($AA4:$AC4, 1, AG$2),'INPUT-GADS DATA'!$U$2:$U$7442,"&gt;"&amp;INDEX($AA3:$AC3, 1, AG$2))/VLOOKUP(AG$3, 'Calc-Pivot Table-Derates'!$A$5:$B$22, 2, 0)</f>
        <v>8.5714285714285715E-2</v>
      </c>
      <c r="AH4" s="166">
        <f>COUNTIFS('INPUT-GADS DATA'!$A$2:$A$7442,"="&amp;AH$3,'INPUT-GADS DATA'!$B$2:$B$7442,"=D*",'INPUT-GADS DATA'!$U$2:$U$7442,"&lt;="&amp;INDEX($AA4:$AC4, 1, AH$2),'INPUT-GADS DATA'!$U$2:$U$7442,"&gt;"&amp;INDEX($AA3:$AC3, 1, AH$2))/VLOOKUP(AH$3, 'Calc-Pivot Table-Derates'!$A$5:$B$22, 2, 0)</f>
        <v>7.6190476190476197E-2</v>
      </c>
      <c r="AI4" s="166">
        <f>COUNTIFS('INPUT-GADS DATA'!$A$2:$A$7442,"="&amp;AI$3,'INPUT-GADS DATA'!$B$2:$B$7442,"=D*",'INPUT-GADS DATA'!$U$2:$U$7442,"&lt;="&amp;INDEX($AA4:$AC4, 1, AI$2),'INPUT-GADS DATA'!$U$2:$U$7442,"&gt;"&amp;INDEX($AA3:$AC3, 1, AI$2))/VLOOKUP(AI$3, 'Calc-Pivot Table-Derates'!$A$5:$B$22, 2, 0)</f>
        <v>0.19095477386934673</v>
      </c>
      <c r="AJ4" s="166">
        <f>COUNTIFS('INPUT-GADS DATA'!$A$2:$A$7442,"="&amp;AJ$3,'INPUT-GADS DATA'!$B$2:$B$7442,"=D*",'INPUT-GADS DATA'!$U$2:$U$7442,"&lt;="&amp;INDEX($AA4:$AC4, 1, AJ$2),'INPUT-GADS DATA'!$U$2:$U$7442,"&gt;"&amp;INDEX($AA3:$AC3, 1, AJ$2))/VLOOKUP(AJ$3, 'Calc-Pivot Table-Derates'!$A$5:$B$22, 2, 0)</f>
        <v>0.19565217391304349</v>
      </c>
      <c r="AK4" s="166">
        <f>COUNTIFS('INPUT-GADS DATA'!$A$2:$A$7442,"="&amp;AK$3,'INPUT-GADS DATA'!$B$2:$B$7442,"=D*",'INPUT-GADS DATA'!$U$2:$U$7442,"&lt;="&amp;INDEX($AA4:$AC4, 1, AK$2),'INPUT-GADS DATA'!$U$2:$U$7442,"&gt;"&amp;INDEX($AA3:$AC3, 1, AK$2))/VLOOKUP(AK$3, 'Calc-Pivot Table-Derates'!$A$5:$B$22, 2, 0)</f>
        <v>0.12916666666666668</v>
      </c>
      <c r="AL4" s="166">
        <f>COUNTIFS('INPUT-GADS DATA'!$A$2:$A$7442,"="&amp;AL$3,'INPUT-GADS DATA'!$B$2:$B$7442,"=D*",'INPUT-GADS DATA'!$U$2:$U$7442,"&lt;="&amp;INDEX($AA4:$AC4, 1, AL$2),'INPUT-GADS DATA'!$U$2:$U$7442,"&gt;"&amp;INDEX($AA3:$AC3, 1, AL$2))/VLOOKUP(AL$3, 'Calc-Pivot Table-Derates'!$A$5:$B$22, 2, 0)</f>
        <v>0.41176470588235292</v>
      </c>
      <c r="AM4" s="166">
        <f>COUNTIFS('INPUT-GADS DATA'!$A$2:$A$7442,"="&amp;AM$3,'INPUT-GADS DATA'!$B$2:$B$7442,"=D*",'INPUT-GADS DATA'!$U$2:$U$7442,"&lt;="&amp;INDEX($AA4:$AC4, 1, AM$2),'INPUT-GADS DATA'!$U$2:$U$7442,"&gt;"&amp;INDEX($AA3:$AC3, 1, AM$2))/VLOOKUP(AM$3, 'Calc-Pivot Table-Derates'!$A$5:$B$22, 2, 0)</f>
        <v>0.39610389610389612</v>
      </c>
      <c r="AN4" s="166" t="e">
        <f>IF(VLOOKUP(AN$3, $J$5:$O$19,6,FALSE)&gt;INDEX($AA4:$AC4, 1, AN$2),COUNTIFS('INPUT-GADS DATA'!$A$2:$A$7442,"="&amp;AN$3,'INPUT-GADS DATA'!$B$2:$B$7442,"=D*",'INPUT-GADS DATA'!$U$2:$U$7442,"&lt;="&amp;INDEX($AA4:$AC4, 1, AN$2),'INPUT-GADS DATA'!$U$2:$U$7442,"&gt;"&amp;INDEX($AA3:$AC3, 1, AN$2))/VLOOKUP(AN$3, 'Calc-Pivot Table-Derates'!$A$5:$B$22, 2, 0),IF(AND(VLOOKUP(AN$3,$J$5:$O$19,6, FALSE)&lt;=INDEX($AA4:$AC4, 1, AN$2),VLOOKUP(AN$3,$J$5:$O$19,6,FALSE)&gt;INDEX($AA3:$AC3, 1, AN$2)),COUNTIFS('INPUT-GADS DATA'!$A$2:$A$7442,"="&amp;AN$3,'INPUT-GADS DATA'!$B$2:$B$7442,"=D*",'INPUT-GADS DATA'!$U$2:$U$7442,"&lt;="&amp;VLOOKUP(Lookup!AN$3,$J$5:$O$19,6,FALSE),'INPUT-GADS DATA'!$U$2:$U$7442,"&gt;"&amp;INDEX($AA3:$AC3, 1, AN$2))/VLOOKUP(AN$3, 'Calc-Pivot Table-Derates'!$A$5:$B$22, 2, 0),"NA"))</f>
        <v>#N/A</v>
      </c>
      <c r="AO4" s="166" t="e">
        <f>IF(VLOOKUP(AO$3, $J$5:$O$19,6,FALSE)&gt;INDEX($AA4:$AC4, 1, AO$2),COUNTIFS('INPUT-GADS DATA'!$A$2:$A$7442,"="&amp;AO$3,'INPUT-GADS DATA'!$B$2:$B$7442,"=D*",'INPUT-GADS DATA'!$U$2:$U$7442,"&lt;="&amp;INDEX($AA4:$AC4, 1, AO$2),'INPUT-GADS DATA'!$U$2:$U$7442,"&gt;"&amp;INDEX($AA3:$AC3, 1, AO$2))/VLOOKUP(AO$3, 'Calc-Pivot Table-Derates'!$A$5:$B$22, 2, 0),IF(AND(VLOOKUP(AO$3,$J$5:$O$19,6, FALSE)&lt;=INDEX($AA4:$AC4, 1, AO$2),VLOOKUP(AO$3,$J$5:$O$19,6,FALSE)&gt;INDEX($AA3:$AC3, 1, AO$2)),COUNTIFS('INPUT-GADS DATA'!$A$2:$A$7442,"="&amp;AO$3,'INPUT-GADS DATA'!$B$2:$B$7442,"=D*",'INPUT-GADS DATA'!$U$2:$U$7442,"&lt;="&amp;VLOOKUP(Lookup!AO$3,$J$5:$O$19,6,FALSE),'INPUT-GADS DATA'!$U$2:$U$7442,"&gt;"&amp;INDEX($AA3:$AC3, 1, AO$2))/VLOOKUP(AO$3, 'Calc-Pivot Table-Derates'!$A$5:$B$22, 2, 0),"NA"))</f>
        <v>#N/A</v>
      </c>
      <c r="AP4" s="166">
        <f>COUNTIFS('INPUT-GADS DATA'!$A$2:$A$7442,"="&amp;AP$3,'INPUT-GADS DATA'!$B$2:$B$7442,"=D*",'INPUT-GADS DATA'!$U$2:$U$7442,"&lt;="&amp;INDEX($AA4:$AC4, 1, AP$2),'INPUT-GADS DATA'!$U$2:$U$7442,"&gt;"&amp;INDEX($AA3:$AC3, 1, AP$2))/VLOOKUP(AP$3, 'Calc-Pivot Table-Derates'!$A$5:$B$22, 2, 0)</f>
        <v>5.0185873605947957E-2</v>
      </c>
      <c r="AQ4" s="166">
        <f>COUNTIFS('INPUT-GADS DATA'!$A$2:$A$7442,"="&amp;AQ$3,'INPUT-GADS DATA'!$B$2:$B$7442,"=D*",'INPUT-GADS DATA'!$U$2:$U$7442,"&lt;="&amp;INDEX($AA4:$AC4, 1, AQ$2),'INPUT-GADS DATA'!$U$2:$U$7442,"&gt;"&amp;INDEX($AA3:$AC3, 1, AQ$2))/VLOOKUP(AQ$3, 'Calc-Pivot Table-Derates'!$A$5:$B$22, 2, 0)</f>
        <v>0.19305019305019305</v>
      </c>
      <c r="AR4" s="166">
        <f>COUNTIFS('INPUT-GADS DATA'!$A$2:$A$7442,"="&amp;AR$3,'INPUT-GADS DATA'!$B$2:$B$7442,"=D*",'INPUT-GADS DATA'!$U$2:$U$7442,"&lt;="&amp;INDEX($AA4:$AC4, 1, AR$2),'INPUT-GADS DATA'!$U$2:$U$7442,"&gt;"&amp;INDEX($AA3:$AC3, 1, AR$2))/VLOOKUP(AR$3, 'Calc-Pivot Table-Derates'!$A$5:$B$22, 2, 0)</f>
        <v>0.15870307167235495</v>
      </c>
      <c r="AS4" s="166">
        <f>COUNTIFS('INPUT-GADS DATA'!$A$2:$A$7442,"="&amp;AS$3,'INPUT-GADS DATA'!$B$2:$B$7442,"=D*",'INPUT-GADS DATA'!$U$2:$U$7442,"&lt;="&amp;INDEX($AA4:$AC4, 1, AS$2),'INPUT-GADS DATA'!$U$2:$U$7442,"&gt;"&amp;INDEX($AA3:$AC3, 1, AS$2))/VLOOKUP(AS$3, 'Calc-Pivot Table-Derates'!$A$5:$B$22, 2, 0)</f>
        <v>0.35135135135135137</v>
      </c>
      <c r="AT4" s="166">
        <f>COUNTIFS('INPUT-GADS DATA'!$A$2:$A$7442,"="&amp;AT$3,'INPUT-GADS DATA'!$B$2:$B$7442,"=D*",'INPUT-GADS DATA'!$U$2:$U$7442,"&lt;="&amp;INDEX($AA4:$AC4, 1, AT$2),'INPUT-GADS DATA'!$U$2:$U$7442,"&gt;"&amp;INDEX($AA3:$AC3, 1, AT$2))/VLOOKUP(AT$3, 'Calc-Pivot Table-Derates'!$A$5:$B$22, 2, 0)</f>
        <v>0.38657407407407407</v>
      </c>
      <c r="AU4" s="166">
        <f>COUNTIFS('INPUT-GADS DATA'!$A$2:$A$7442,"="&amp;AU$3,'INPUT-GADS DATA'!$B$2:$B$7442,"=D*",'INPUT-GADS DATA'!$U$2:$U$7442,"&lt;="&amp;INDEX($AA4:$AC4, 1, AU$2),'INPUT-GADS DATA'!$U$2:$U$7442,"&gt;"&amp;INDEX($AA3:$AC3, 1, AU$2))/VLOOKUP(AU$3, 'Calc-Pivot Table-Derates'!$A$5:$B$22, 2, 0)</f>
        <v>0.19901719901719903</v>
      </c>
      <c r="AV4" s="105"/>
    </row>
    <row r="5" spans="1:48" x14ac:dyDescent="0.25">
      <c r="A5" s="98" t="s">
        <v>1946</v>
      </c>
      <c r="B5" s="98" t="s">
        <v>21</v>
      </c>
      <c r="C5" s="98" t="s">
        <v>100</v>
      </c>
      <c r="D5" s="98">
        <v>107</v>
      </c>
      <c r="E5" s="98">
        <v>106</v>
      </c>
      <c r="F5" s="98">
        <v>114</v>
      </c>
      <c r="G5" s="98">
        <v>113</v>
      </c>
      <c r="H5" s="98">
        <v>36</v>
      </c>
      <c r="J5" s="98" t="s">
        <v>21</v>
      </c>
      <c r="K5" s="98">
        <v>1</v>
      </c>
      <c r="L5" s="167" t="s">
        <v>77</v>
      </c>
      <c r="M5" s="98">
        <f>MAX(D5, E5)</f>
        <v>107</v>
      </c>
      <c r="N5" s="29">
        <f>H5</f>
        <v>36</v>
      </c>
      <c r="O5" s="29">
        <f>M5-N5</f>
        <v>71</v>
      </c>
      <c r="P5" s="98">
        <f>IF(M5&lt;$AA$1,1,IF(M5&lt;$AB$1,2,3))</f>
        <v>1</v>
      </c>
      <c r="Q5" s="98" t="str">
        <f t="shared" ref="Q5:Q19" si="1">J5</f>
        <v>BR1</v>
      </c>
      <c r="R5" s="105">
        <f>IF($M5-INDEX(Lookup!$AA$4:$AC$8,R$4,$P5)&lt;$N5,$N5,$M5-INDEX(Lookup!$AA$4:$AC$8,R$4,$P5))</f>
        <v>37</v>
      </c>
      <c r="S5" s="105">
        <f>IF($M5-INDEX(Lookup!$AA$4:$AC$8,S$4,$P5)&lt;$N5,$N5,$M5-INDEX(Lookup!$AA$4:$AC$8,S$4,$P5))</f>
        <v>74</v>
      </c>
      <c r="T5" s="105">
        <f>IF($M5-INDEX(Lookup!$AA$4:$AC$8,T$4,$P5)&lt;$N5,$N5,$M5-INDEX(Lookup!$AA$4:$AC$8,T$4,$P5))</f>
        <v>77</v>
      </c>
      <c r="U5" s="105">
        <f>IF($M5-INDEX(Lookup!$AA$4:$AC$8,U$4,$P5)&lt;$N5,$N5,$M5-INDEX(Lookup!$AA$4:$AC$8,U$4,$P5))</f>
        <v>87</v>
      </c>
      <c r="V5" s="105">
        <f>IF($M5-INDEX(Lookup!$AA$4:$AC$8,V$4,$P5)&lt;$N5,$N5,$M5-INDEX(Lookup!$AA$4:$AC$8,V$4,$P5))</f>
        <v>97</v>
      </c>
      <c r="W5" s="29"/>
      <c r="X5" s="29"/>
      <c r="Z5" s="28">
        <f>'Calc- Prosym Setup'!D7</f>
        <v>2</v>
      </c>
      <c r="AA5" s="105">
        <v>20</v>
      </c>
      <c r="AB5" s="105">
        <v>40</v>
      </c>
      <c r="AC5" s="105">
        <v>80</v>
      </c>
      <c r="AD5" s="105"/>
      <c r="AE5" s="105"/>
      <c r="AF5" s="105"/>
      <c r="AG5" s="166">
        <f>COUNTIFS('INPUT-GADS DATA'!$A$2:$A$7442,"="&amp;AG$3,'INPUT-GADS DATA'!$B$2:$B$7442,"=D*",'INPUT-GADS DATA'!$U$2:$U$7442,"&lt;="&amp;INDEX($AA5:$AC5, 1, AG$2),'INPUT-GADS DATA'!$U$2:$U$7442,"&gt;"&amp;INDEX($AA4:$AC4, 1, AG$2))/VLOOKUP(AG$3, 'Calc-Pivot Table-Derates'!$A$5:$B$22, 2, 0)</f>
        <v>0.12857142857142856</v>
      </c>
      <c r="AH5" s="166">
        <f>COUNTIFS('INPUT-GADS DATA'!$A$2:$A$7442,"="&amp;AH$3,'INPUT-GADS DATA'!$B$2:$B$7442,"=D*",'INPUT-GADS DATA'!$U$2:$U$7442,"&lt;="&amp;INDEX($AA5:$AC5, 1, AH$2),'INPUT-GADS DATA'!$U$2:$U$7442,"&gt;"&amp;INDEX($AA4:$AC4, 1, AH$2))/VLOOKUP(AH$3, 'Calc-Pivot Table-Derates'!$A$5:$B$22, 2, 0)</f>
        <v>0.19047619047619047</v>
      </c>
      <c r="AI5" s="166">
        <f>COUNTIFS('INPUT-GADS DATA'!$A$2:$A$7442,"="&amp;AI$3,'INPUT-GADS DATA'!$B$2:$B$7442,"=D*",'INPUT-GADS DATA'!$U$2:$U$7442,"&lt;="&amp;INDEX($AA5:$AC5, 1, AI$2),'INPUT-GADS DATA'!$U$2:$U$7442,"&gt;"&amp;INDEX($AA4:$AC4, 1, AI$2))/VLOOKUP(AI$3, 'Calc-Pivot Table-Derates'!$A$5:$B$22, 2, 0)</f>
        <v>8.5427135678391955E-2</v>
      </c>
      <c r="AJ5" s="166">
        <f>COUNTIFS('INPUT-GADS DATA'!$A$2:$A$7442,"="&amp;AJ$3,'INPUT-GADS DATA'!$B$2:$B$7442,"=D*",'INPUT-GADS DATA'!$U$2:$U$7442,"&lt;="&amp;INDEX($AA5:$AC5, 1, AJ$2),'INPUT-GADS DATA'!$U$2:$U$7442,"&gt;"&amp;INDEX($AA4:$AC4, 1, AJ$2))/VLOOKUP(AJ$3, 'Calc-Pivot Table-Derates'!$A$5:$B$22, 2, 0)</f>
        <v>0.5</v>
      </c>
      <c r="AK5" s="166">
        <f>COUNTIFS('INPUT-GADS DATA'!$A$2:$A$7442,"="&amp;AK$3,'INPUT-GADS DATA'!$B$2:$B$7442,"=D*",'INPUT-GADS DATA'!$U$2:$U$7442,"&lt;="&amp;INDEX($AA5:$AC5, 1, AK$2),'INPUT-GADS DATA'!$U$2:$U$7442,"&gt;"&amp;INDEX($AA4:$AC4, 1, AK$2))/VLOOKUP(AK$3, 'Calc-Pivot Table-Derates'!$A$5:$B$22, 2, 0)</f>
        <v>0.54166666666666663</v>
      </c>
      <c r="AL5" s="166">
        <f>COUNTIFS('INPUT-GADS DATA'!$A$2:$A$7442,"="&amp;AL$3,'INPUT-GADS DATA'!$B$2:$B$7442,"=D*",'INPUT-GADS DATA'!$U$2:$U$7442,"&lt;="&amp;INDEX($AA5:$AC5, 1, AL$2),'INPUT-GADS DATA'!$U$2:$U$7442,"&gt;"&amp;INDEX($AA4:$AC4, 1, AL$2))/VLOOKUP(AL$3, 'Calc-Pivot Table-Derates'!$A$5:$B$22, 2, 0)</f>
        <v>0.18235294117647058</v>
      </c>
      <c r="AM5" s="166">
        <f>COUNTIFS('INPUT-GADS DATA'!$A$2:$A$7442,"="&amp;AM$3,'INPUT-GADS DATA'!$B$2:$B$7442,"=D*",'INPUT-GADS DATA'!$U$2:$U$7442,"&lt;="&amp;INDEX($AA5:$AC5, 1, AM$2),'INPUT-GADS DATA'!$U$2:$U$7442,"&gt;"&amp;INDEX($AA4:$AC4, 1, AM$2))/VLOOKUP(AM$3, 'Calc-Pivot Table-Derates'!$A$5:$B$22, 2, 0)</f>
        <v>0.22077922077922077</v>
      </c>
      <c r="AN5" s="166" t="e">
        <f>IF(VLOOKUP(AN$3, $J$5:$O$19,6,FALSE)&gt;INDEX($AA5:$AC5, 1, AN$2),COUNTIFS('INPUT-GADS DATA'!$A$2:$A$7442,"="&amp;AN$3,'INPUT-GADS DATA'!$B$2:$B$7442,"=D*",'INPUT-GADS DATA'!$U$2:$U$7442,"&lt;="&amp;INDEX($AA5:$AC5, 1, AN$2),'INPUT-GADS DATA'!$U$2:$U$7442,"&gt;"&amp;INDEX($AA4:$AC4, 1, AN$2))/VLOOKUP(AN$3, 'Calc-Pivot Table-Derates'!$A$5:$B$22, 2, 0),IF(AND(VLOOKUP(AN$3,$J$5:$O$19,6, FALSE)&lt;=INDEX($AA5:$AC5, 1, AN$2),VLOOKUP(AN$3,$J$5:$O$19,6,FALSE)&gt;INDEX($AA4:$AC4, 1, AN$2)),COUNTIFS('INPUT-GADS DATA'!$A$2:$A$7442,"="&amp;AN$3,'INPUT-GADS DATA'!$B$2:$B$7442,"=D*",'INPUT-GADS DATA'!$U$2:$U$7442,"&lt;="&amp;VLOOKUP(Lookup!AN$3,$J$5:$O$19,6,FALSE),'INPUT-GADS DATA'!$U$2:$U$7442,"&gt;"&amp;INDEX($AA4:$AC4, 1, AN$2))/VLOOKUP(AN$3, 'Calc-Pivot Table-Derates'!$A$5:$B$22, 2, 0),"NA"))</f>
        <v>#N/A</v>
      </c>
      <c r="AO5" s="166" t="e">
        <f>IF(VLOOKUP(AO$3, $J$5:$O$19,6,FALSE)&gt;INDEX($AA5:$AC5, 1, AO$2),COUNTIFS('INPUT-GADS DATA'!$A$2:$A$7442,"="&amp;AO$3,'INPUT-GADS DATA'!$B$2:$B$7442,"=D*",'INPUT-GADS DATA'!$U$2:$U$7442,"&lt;="&amp;INDEX($AA5:$AC5, 1, AO$2),'INPUT-GADS DATA'!$U$2:$U$7442,"&gt;"&amp;INDEX($AA4:$AC4, 1, AO$2))/VLOOKUP(AO$3, 'Calc-Pivot Table-Derates'!$A$5:$B$22, 2, 0),IF(AND(VLOOKUP(AO$3,$J$5:$O$19,6, FALSE)&lt;=INDEX($AA5:$AC5, 1, AO$2),VLOOKUP(AO$3,$J$5:$O$19,6,FALSE)&gt;INDEX($AA4:$AC4, 1, AO$2)),COUNTIFS('INPUT-GADS DATA'!$A$2:$A$7442,"="&amp;AO$3,'INPUT-GADS DATA'!$B$2:$B$7442,"=D*",'INPUT-GADS DATA'!$U$2:$U$7442,"&lt;="&amp;VLOOKUP(Lookup!AO$3,$J$5:$O$19,6,FALSE),'INPUT-GADS DATA'!$U$2:$U$7442,"&gt;"&amp;INDEX($AA4:$AC4, 1, AO$2))/VLOOKUP(AO$3, 'Calc-Pivot Table-Derates'!$A$5:$B$22, 2, 0),"NA"))</f>
        <v>#N/A</v>
      </c>
      <c r="AP5" s="166">
        <f>COUNTIFS('INPUT-GADS DATA'!$A$2:$A$7442,"="&amp;AP$3,'INPUT-GADS DATA'!$B$2:$B$7442,"=D*",'INPUT-GADS DATA'!$U$2:$U$7442,"&lt;="&amp;INDEX($AA5:$AC5, 1, AP$2),'INPUT-GADS DATA'!$U$2:$U$7442,"&gt;"&amp;INDEX($AA4:$AC4, 1, AP$2))/VLOOKUP(AP$3, 'Calc-Pivot Table-Derates'!$A$5:$B$22, 2, 0)</f>
        <v>8.1784386617100371E-2</v>
      </c>
      <c r="AQ5" s="166">
        <f>COUNTIFS('INPUT-GADS DATA'!$A$2:$A$7442,"="&amp;AQ$3,'INPUT-GADS DATA'!$B$2:$B$7442,"=D*",'INPUT-GADS DATA'!$U$2:$U$7442,"&lt;="&amp;INDEX($AA5:$AC5, 1, AQ$2),'INPUT-GADS DATA'!$U$2:$U$7442,"&gt;"&amp;INDEX($AA4:$AC4, 1, AQ$2))/VLOOKUP(AQ$3, 'Calc-Pivot Table-Derates'!$A$5:$B$22, 2, 0)</f>
        <v>5.7915057915057917E-2</v>
      </c>
      <c r="AR5" s="166">
        <f>COUNTIFS('INPUT-GADS DATA'!$A$2:$A$7442,"="&amp;AR$3,'INPUT-GADS DATA'!$B$2:$B$7442,"=D*",'INPUT-GADS DATA'!$U$2:$U$7442,"&lt;="&amp;INDEX($AA5:$AC5, 1, AR$2),'INPUT-GADS DATA'!$U$2:$U$7442,"&gt;"&amp;INDEX($AA4:$AC4, 1, AR$2))/VLOOKUP(AR$3, 'Calc-Pivot Table-Derates'!$A$5:$B$22, 2, 0)</f>
        <v>0.24914675767918087</v>
      </c>
      <c r="AS5" s="166">
        <f>COUNTIFS('INPUT-GADS DATA'!$A$2:$A$7442,"="&amp;AS$3,'INPUT-GADS DATA'!$B$2:$B$7442,"=D*",'INPUT-GADS DATA'!$U$2:$U$7442,"&lt;="&amp;INDEX($AA5:$AC5, 1, AS$2),'INPUT-GADS DATA'!$U$2:$U$7442,"&gt;"&amp;INDEX($AA4:$AC4, 1, AS$2))/VLOOKUP(AS$3, 'Calc-Pivot Table-Derates'!$A$5:$B$22, 2, 0)</f>
        <v>0.12266112266112267</v>
      </c>
      <c r="AT5" s="166">
        <f>COUNTIFS('INPUT-GADS DATA'!$A$2:$A$7442,"="&amp;AT$3,'INPUT-GADS DATA'!$B$2:$B$7442,"=D*",'INPUT-GADS DATA'!$U$2:$U$7442,"&lt;="&amp;INDEX($AA5:$AC5, 1, AT$2),'INPUT-GADS DATA'!$U$2:$U$7442,"&gt;"&amp;INDEX($AA4:$AC4, 1, AT$2))/VLOOKUP(AT$3, 'Calc-Pivot Table-Derates'!$A$5:$B$22, 2, 0)</f>
        <v>0.18287037037037038</v>
      </c>
      <c r="AU5" s="166">
        <f>COUNTIFS('INPUT-GADS DATA'!$A$2:$A$7442,"="&amp;AU$3,'INPUT-GADS DATA'!$B$2:$B$7442,"=D*",'INPUT-GADS DATA'!$U$2:$U$7442,"&lt;="&amp;INDEX($AA5:$AC5, 1, AU$2),'INPUT-GADS DATA'!$U$2:$U$7442,"&gt;"&amp;INDEX($AA4:$AC4, 1, AU$2))/VLOOKUP(AU$3, 'Calc-Pivot Table-Derates'!$A$5:$B$22, 2, 0)</f>
        <v>0.12530712530712532</v>
      </c>
      <c r="AV5" s="105"/>
    </row>
    <row r="6" spans="1:48" x14ac:dyDescent="0.25">
      <c r="A6" s="98" t="s">
        <v>1947</v>
      </c>
      <c r="B6" s="98" t="s">
        <v>22</v>
      </c>
      <c r="C6" s="98" t="s">
        <v>100</v>
      </c>
      <c r="D6" s="98">
        <v>168</v>
      </c>
      <c r="E6" s="98">
        <v>166</v>
      </c>
      <c r="F6" s="98">
        <v>180</v>
      </c>
      <c r="G6" s="98">
        <v>177</v>
      </c>
      <c r="H6" s="98">
        <v>64</v>
      </c>
      <c r="J6" s="98" t="s">
        <v>22</v>
      </c>
      <c r="K6" s="98">
        <v>2</v>
      </c>
      <c r="L6" s="167" t="s">
        <v>153</v>
      </c>
      <c r="M6" s="98">
        <f t="shared" ref="M6:M19" si="2">MAX(D6, E6)</f>
        <v>168</v>
      </c>
      <c r="N6" s="29">
        <f t="shared" ref="N6:N19" si="3">H6</f>
        <v>64</v>
      </c>
      <c r="O6" s="29">
        <f t="shared" ref="O6:O19" si="4">M6-N6</f>
        <v>104</v>
      </c>
      <c r="P6" s="98">
        <f t="shared" ref="P6:P19" si="5">IF(M6&lt;$AA$1,1,IF(M6&lt;$AB$1,2,3))</f>
        <v>2</v>
      </c>
      <c r="Q6" s="98" t="str">
        <f t="shared" si="1"/>
        <v>BR2</v>
      </c>
      <c r="R6" s="105">
        <f>IF($M6-INDEX(Lookup!$AA$4:$AC$8,R$4,$P6)&lt;$N6,$N6,$M6-INDEX(Lookup!$AA$4:$AC$8,R$4,$P6))</f>
        <v>64</v>
      </c>
      <c r="S6" s="105">
        <f>IF($M6-INDEX(Lookup!$AA$4:$AC$8,S$4,$P6)&lt;$N6,$N6,$M6-INDEX(Lookup!$AA$4:$AC$8,S$4,$P6))</f>
        <v>78</v>
      </c>
      <c r="T6" s="105">
        <f>IF($M6-INDEX(Lookup!$AA$4:$AC$8,T$4,$P6)&lt;$N6,$N6,$M6-INDEX(Lookup!$AA$4:$AC$8,T$4,$P6))</f>
        <v>88</v>
      </c>
      <c r="U6" s="105">
        <f>IF($M6-INDEX(Lookup!$AA$4:$AC$8,U$4,$P6)&lt;$N6,$N6,$M6-INDEX(Lookup!$AA$4:$AC$8,U$4,$P6))</f>
        <v>128</v>
      </c>
      <c r="V6" s="105">
        <f>IF($M6-INDEX(Lookup!$AA$4:$AC$8,V$4,$P6)&lt;$N6,$N6,$M6-INDEX(Lookup!$AA$4:$AC$8,V$4,$P6))</f>
        <v>148</v>
      </c>
      <c r="Z6" s="28">
        <f>'Calc- Prosym Setup'!E7</f>
        <v>3</v>
      </c>
      <c r="AA6" s="105">
        <v>30</v>
      </c>
      <c r="AB6" s="105">
        <v>80</v>
      </c>
      <c r="AC6" s="105">
        <v>160</v>
      </c>
      <c r="AD6" s="105"/>
      <c r="AE6" s="105"/>
      <c r="AF6" s="105"/>
      <c r="AG6" s="166">
        <f>COUNTIFS('INPUT-GADS DATA'!$A$2:$A$7442,"="&amp;AG$3,'INPUT-GADS DATA'!$B$2:$B$7442,"=D*",'INPUT-GADS DATA'!$U$2:$U$7442,"&lt;="&amp;INDEX($AA6:$AC6, 1, AG$2),'INPUT-GADS DATA'!$U$2:$U$7442,"&gt;"&amp;INDEX($AA5:$AC5, 1, AG$2))/VLOOKUP(AG$3, 'Calc-Pivot Table-Derates'!$A$5:$B$22, 2, 0)</f>
        <v>0.31428571428571428</v>
      </c>
      <c r="AH6" s="166">
        <f>COUNTIFS('INPUT-GADS DATA'!$A$2:$A$7442,"="&amp;AH$3,'INPUT-GADS DATA'!$B$2:$B$7442,"=D*",'INPUT-GADS DATA'!$U$2:$U$7442,"&lt;="&amp;INDEX($AA6:$AC6, 1, AH$2),'INPUT-GADS DATA'!$U$2:$U$7442,"&gt;"&amp;INDEX($AA5:$AC5, 1, AH$2))/VLOOKUP(AH$3, 'Calc-Pivot Table-Derates'!$A$5:$B$22, 2, 0)</f>
        <v>0.63809523809523805</v>
      </c>
      <c r="AI6" s="166">
        <f>COUNTIFS('INPUT-GADS DATA'!$A$2:$A$7442,"="&amp;AI$3,'INPUT-GADS DATA'!$B$2:$B$7442,"=D*",'INPUT-GADS DATA'!$U$2:$U$7442,"&lt;="&amp;INDEX($AA6:$AC6, 1, AI$2),'INPUT-GADS DATA'!$U$2:$U$7442,"&gt;"&amp;INDEX($AA5:$AC5, 1, AI$2))/VLOOKUP(AI$3, 'Calc-Pivot Table-Derates'!$A$5:$B$22, 2, 0)</f>
        <v>0.55276381909547734</v>
      </c>
      <c r="AJ6" s="166">
        <f>COUNTIFS('INPUT-GADS DATA'!$A$2:$A$7442,"="&amp;AJ$3,'INPUT-GADS DATA'!$B$2:$B$7442,"=D*",'INPUT-GADS DATA'!$U$2:$U$7442,"&lt;="&amp;INDEX($AA6:$AC6, 1, AJ$2),'INPUT-GADS DATA'!$U$2:$U$7442,"&gt;"&amp;INDEX($AA5:$AC5, 1, AJ$2))/VLOOKUP(AJ$3, 'Calc-Pivot Table-Derates'!$A$5:$B$22, 2, 0)</f>
        <v>0.1358695652173913</v>
      </c>
      <c r="AK6" s="166">
        <f>COUNTIFS('INPUT-GADS DATA'!$A$2:$A$7442,"="&amp;AK$3,'INPUT-GADS DATA'!$B$2:$B$7442,"=D*",'INPUT-GADS DATA'!$U$2:$U$7442,"&lt;="&amp;INDEX($AA6:$AC6, 1, AK$2),'INPUT-GADS DATA'!$U$2:$U$7442,"&gt;"&amp;INDEX($AA5:$AC5, 1, AK$2))/VLOOKUP(AK$3, 'Calc-Pivot Table-Derates'!$A$5:$B$22, 2, 0)</f>
        <v>0.15833333333333333</v>
      </c>
      <c r="AL6" s="166">
        <f>COUNTIFS('INPUT-GADS DATA'!$A$2:$A$7442,"="&amp;AL$3,'INPUT-GADS DATA'!$B$2:$B$7442,"=D*",'INPUT-GADS DATA'!$U$2:$U$7442,"&lt;="&amp;INDEX($AA6:$AC6, 1, AL$2),'INPUT-GADS DATA'!$U$2:$U$7442,"&gt;"&amp;INDEX($AA5:$AC5, 1, AL$2))/VLOOKUP(AL$3, 'Calc-Pivot Table-Derates'!$A$5:$B$22, 2, 0)</f>
        <v>0.19411764705882353</v>
      </c>
      <c r="AM6" s="166">
        <f>COUNTIFS('INPUT-GADS DATA'!$A$2:$A$7442,"="&amp;AM$3,'INPUT-GADS DATA'!$B$2:$B$7442,"=D*",'INPUT-GADS DATA'!$U$2:$U$7442,"&lt;="&amp;INDEX($AA6:$AC6, 1, AM$2),'INPUT-GADS DATA'!$U$2:$U$7442,"&gt;"&amp;INDEX($AA5:$AC5, 1, AM$2))/VLOOKUP(AM$3, 'Calc-Pivot Table-Derates'!$A$5:$B$22, 2, 0)</f>
        <v>0.18831168831168832</v>
      </c>
      <c r="AN6" s="166" t="e">
        <f>IF(VLOOKUP(AN$3, $J$5:$O$19,6,FALSE)&gt;INDEX($AA6:$AC6, 1, AN$2),COUNTIFS('INPUT-GADS DATA'!$A$2:$A$7442,"="&amp;AN$3,'INPUT-GADS DATA'!$B$2:$B$7442,"=D*",'INPUT-GADS DATA'!$U$2:$U$7442,"&lt;="&amp;INDEX($AA6:$AC6, 1, AN$2),'INPUT-GADS DATA'!$U$2:$U$7442,"&gt;"&amp;INDEX($AA5:$AC5, 1, AN$2))/VLOOKUP(AN$3, 'Calc-Pivot Table-Derates'!$A$5:$B$22, 2, 0),IF(AND(VLOOKUP(AN$3,$J$5:$O$19,6, FALSE)&lt;=INDEX($AA6:$AC6, 1, AN$2),VLOOKUP(AN$3,$J$5:$O$19,6,FALSE)&gt;INDEX($AA5:$AC5, 1, AN$2)),COUNTIFS('INPUT-GADS DATA'!$A$2:$A$7442,"="&amp;AN$3,'INPUT-GADS DATA'!$B$2:$B$7442,"=D*",'INPUT-GADS DATA'!$U$2:$U$7442,"&lt;="&amp;VLOOKUP(Lookup!AN$3,$J$5:$O$19,6,FALSE),'INPUT-GADS DATA'!$U$2:$U$7442,"&gt;"&amp;INDEX($AA5:$AC5, 1, AN$2))/VLOOKUP(AN$3, 'Calc-Pivot Table-Derates'!$A$5:$B$22, 2, 0),"NA"))</f>
        <v>#N/A</v>
      </c>
      <c r="AO6" s="166" t="e">
        <f>IF(VLOOKUP(AO$3, $J$5:$O$19,6,FALSE)&gt;INDEX($AA6:$AC6, 1, AO$2),COUNTIFS('INPUT-GADS DATA'!$A$2:$A$7442,"="&amp;AO$3,'INPUT-GADS DATA'!$B$2:$B$7442,"=D*",'INPUT-GADS DATA'!$U$2:$U$7442,"&lt;="&amp;INDEX($AA6:$AC6, 1, AO$2),'INPUT-GADS DATA'!$U$2:$U$7442,"&gt;"&amp;INDEX($AA5:$AC5, 1, AO$2))/VLOOKUP(AO$3, 'Calc-Pivot Table-Derates'!$A$5:$B$22, 2, 0),IF(AND(VLOOKUP(AO$3,$J$5:$O$19,6, FALSE)&lt;=INDEX($AA6:$AC6, 1, AO$2),VLOOKUP(AO$3,$J$5:$O$19,6,FALSE)&gt;INDEX($AA5:$AC5, 1, AO$2)),COUNTIFS('INPUT-GADS DATA'!$A$2:$A$7442,"="&amp;AO$3,'INPUT-GADS DATA'!$B$2:$B$7442,"=D*",'INPUT-GADS DATA'!$U$2:$U$7442,"&lt;="&amp;VLOOKUP(Lookup!AO$3,$J$5:$O$19,6,FALSE),'INPUT-GADS DATA'!$U$2:$U$7442,"&gt;"&amp;INDEX($AA5:$AC5, 1, AO$2))/VLOOKUP(AO$3, 'Calc-Pivot Table-Derates'!$A$5:$B$22, 2, 0),"NA"))</f>
        <v>#N/A</v>
      </c>
      <c r="AP6" s="166">
        <f>COUNTIFS('INPUT-GADS DATA'!$A$2:$A$7442,"="&amp;AP$3,'INPUT-GADS DATA'!$B$2:$B$7442,"=D*",'INPUT-GADS DATA'!$U$2:$U$7442,"&lt;="&amp;INDEX($AA6:$AC6, 1, AP$2),'INPUT-GADS DATA'!$U$2:$U$7442,"&gt;"&amp;INDEX($AA5:$AC5, 1, AP$2))/VLOOKUP(AP$3, 'Calc-Pivot Table-Derates'!$A$5:$B$22, 2, 0)</f>
        <v>0.44052044609665425</v>
      </c>
      <c r="AQ6" s="166">
        <f>COUNTIFS('INPUT-GADS DATA'!$A$2:$A$7442,"="&amp;AQ$3,'INPUT-GADS DATA'!$B$2:$B$7442,"=D*",'INPUT-GADS DATA'!$U$2:$U$7442,"&lt;="&amp;INDEX($AA6:$AC6, 1, AQ$2),'INPUT-GADS DATA'!$U$2:$U$7442,"&gt;"&amp;INDEX($AA5:$AC5, 1, AQ$2))/VLOOKUP(AQ$3, 'Calc-Pivot Table-Derates'!$A$5:$B$22, 2, 0)</f>
        <v>0.27220077220077221</v>
      </c>
      <c r="AR6" s="166">
        <f>COUNTIFS('INPUT-GADS DATA'!$A$2:$A$7442,"="&amp;AR$3,'INPUT-GADS DATA'!$B$2:$B$7442,"=D*",'INPUT-GADS DATA'!$U$2:$U$7442,"&lt;="&amp;INDEX($AA6:$AC6, 1, AR$2),'INPUT-GADS DATA'!$U$2:$U$7442,"&gt;"&amp;INDEX($AA5:$AC5, 1, AR$2))/VLOOKUP(AR$3, 'Calc-Pivot Table-Derates'!$A$5:$B$22, 2, 0)</f>
        <v>0.51365187713310578</v>
      </c>
      <c r="AS6" s="166">
        <f>COUNTIFS('INPUT-GADS DATA'!$A$2:$A$7442,"="&amp;AS$3,'INPUT-GADS DATA'!$B$2:$B$7442,"=D*",'INPUT-GADS DATA'!$U$2:$U$7442,"&lt;="&amp;INDEX($AA6:$AC6, 1, AS$2),'INPUT-GADS DATA'!$U$2:$U$7442,"&gt;"&amp;INDEX($AA5:$AC5, 1, AS$2))/VLOOKUP(AS$3, 'Calc-Pivot Table-Derates'!$A$5:$B$22, 2, 0)</f>
        <v>0.35343035343035345</v>
      </c>
      <c r="AT6" s="166">
        <f>COUNTIFS('INPUT-GADS DATA'!$A$2:$A$7442,"="&amp;AT$3,'INPUT-GADS DATA'!$B$2:$B$7442,"=D*",'INPUT-GADS DATA'!$U$2:$U$7442,"&lt;="&amp;INDEX($AA6:$AC6, 1, AT$2),'INPUT-GADS DATA'!$U$2:$U$7442,"&gt;"&amp;INDEX($AA5:$AC5, 1, AT$2))/VLOOKUP(AT$3, 'Calc-Pivot Table-Derates'!$A$5:$B$22, 2, 0)</f>
        <v>0.29398148148148145</v>
      </c>
      <c r="AU6" s="166">
        <f>COUNTIFS('INPUT-GADS DATA'!$A$2:$A$7442,"="&amp;AU$3,'INPUT-GADS DATA'!$B$2:$B$7442,"=D*",'INPUT-GADS DATA'!$U$2:$U$7442,"&lt;="&amp;INDEX($AA6:$AC6, 1, AU$2),'INPUT-GADS DATA'!$U$2:$U$7442,"&gt;"&amp;INDEX($AA5:$AC5, 1, AU$2))/VLOOKUP(AU$3, 'Calc-Pivot Table-Derates'!$A$5:$B$22, 2, 0)</f>
        <v>0.31203931203931207</v>
      </c>
      <c r="AV6" s="105"/>
    </row>
    <row r="7" spans="1:48" x14ac:dyDescent="0.25">
      <c r="A7" s="98" t="s">
        <v>1948</v>
      </c>
      <c r="B7" s="98" t="s">
        <v>28</v>
      </c>
      <c r="C7" s="98" t="s">
        <v>100</v>
      </c>
      <c r="D7" s="98">
        <v>413</v>
      </c>
      <c r="E7" s="98">
        <v>409</v>
      </c>
      <c r="F7" s="98">
        <v>457</v>
      </c>
      <c r="G7" s="98">
        <v>455</v>
      </c>
      <c r="H7" s="98">
        <v>140</v>
      </c>
      <c r="J7" s="98" t="s">
        <v>28</v>
      </c>
      <c r="K7" s="98">
        <v>3</v>
      </c>
      <c r="L7" s="167" t="s">
        <v>154</v>
      </c>
      <c r="M7" s="98">
        <f t="shared" si="2"/>
        <v>413</v>
      </c>
      <c r="N7" s="29">
        <f t="shared" si="3"/>
        <v>140</v>
      </c>
      <c r="O7" s="29">
        <f t="shared" si="4"/>
        <v>273</v>
      </c>
      <c r="P7" s="98">
        <f t="shared" si="5"/>
        <v>3</v>
      </c>
      <c r="Q7" s="98" t="str">
        <f t="shared" si="1"/>
        <v>BR3</v>
      </c>
      <c r="R7" s="105">
        <f>IF($M7-INDEX(Lookup!$AA$4:$AC$8,R$4,$P7)&lt;$N7,$N7,$M7-INDEX(Lookup!$AA$4:$AC$8,R$4,$P7))</f>
        <v>140</v>
      </c>
      <c r="S7" s="105">
        <f>IF($M7-INDEX(Lookup!$AA$4:$AC$8,S$4,$P7)&lt;$N7,$N7,$M7-INDEX(Lookup!$AA$4:$AC$8,S$4,$P7))</f>
        <v>223</v>
      </c>
      <c r="T7" s="105">
        <f>IF($M7-INDEX(Lookup!$AA$4:$AC$8,T$4,$P7)&lt;$N7,$N7,$M7-INDEX(Lookup!$AA$4:$AC$8,T$4,$P7))</f>
        <v>253</v>
      </c>
      <c r="U7" s="105">
        <f>IF($M7-INDEX(Lookup!$AA$4:$AC$8,U$4,$P7)&lt;$N7,$N7,$M7-INDEX(Lookup!$AA$4:$AC$8,U$4,$P7))</f>
        <v>333</v>
      </c>
      <c r="V7" s="105">
        <f>IF($M7-INDEX(Lookup!$AA$4:$AC$8,V$4,$P7)&lt;$N7,$N7,$M7-INDEX(Lookup!$AA$4:$AC$8,V$4,$P7))</f>
        <v>373</v>
      </c>
      <c r="Z7" s="28">
        <f>'Calc- Prosym Setup'!F7</f>
        <v>4</v>
      </c>
      <c r="AA7" s="105">
        <v>33</v>
      </c>
      <c r="AB7" s="105">
        <v>90</v>
      </c>
      <c r="AC7" s="105">
        <v>190</v>
      </c>
      <c r="AD7" s="105"/>
      <c r="AE7" s="105"/>
      <c r="AF7" s="105"/>
      <c r="AG7" s="166">
        <f>COUNTIFS('INPUT-GADS DATA'!$A$2:$A$7442,"="&amp;AG$3,'INPUT-GADS DATA'!$B$2:$B$7442,"=D*",'INPUT-GADS DATA'!$U$2:$U$7442,"&lt;="&amp;INDEX($AA7:$AC7, 1, AG$2),'INPUT-GADS DATA'!$U$2:$U$7442,"&gt;"&amp;INDEX($AA6:$AC6, 1, AG$2))/VLOOKUP(AG$3, 'Calc-Pivot Table-Derates'!$A$5:$B$22, 2, 0)</f>
        <v>0.2</v>
      </c>
      <c r="AH7" s="166">
        <f>COUNTIFS('INPUT-GADS DATA'!$A$2:$A$7442,"="&amp;AH$3,'INPUT-GADS DATA'!$B$2:$B$7442,"=D*",'INPUT-GADS DATA'!$U$2:$U$7442,"&lt;="&amp;INDEX($AA7:$AC7, 1, AH$2),'INPUT-GADS DATA'!$U$2:$U$7442,"&gt;"&amp;INDEX($AA6:$AC6, 1, AH$2))/VLOOKUP(AH$3, 'Calc-Pivot Table-Derates'!$A$5:$B$22, 2, 0)</f>
        <v>9.5238095238095247E-3</v>
      </c>
      <c r="AI7" s="166">
        <f>COUNTIFS('INPUT-GADS DATA'!$A$2:$A$7442,"="&amp;AI$3,'INPUT-GADS DATA'!$B$2:$B$7442,"=D*",'INPUT-GADS DATA'!$U$2:$U$7442,"&lt;="&amp;INDEX($AA7:$AC7, 1, AI$2),'INPUT-GADS DATA'!$U$2:$U$7442,"&gt;"&amp;INDEX($AA6:$AC6, 1, AI$2))/VLOOKUP(AI$3, 'Calc-Pivot Table-Derates'!$A$5:$B$22, 2, 0)</f>
        <v>4.5226130653266333E-2</v>
      </c>
      <c r="AJ7" s="166">
        <f>COUNTIFS('INPUT-GADS DATA'!$A$2:$A$7442,"="&amp;AJ$3,'INPUT-GADS DATA'!$B$2:$B$7442,"=D*",'INPUT-GADS DATA'!$U$2:$U$7442,"&lt;="&amp;INDEX($AA7:$AC7, 1, AJ$2),'INPUT-GADS DATA'!$U$2:$U$7442,"&gt;"&amp;INDEX($AA6:$AC6, 1, AJ$2))/VLOOKUP(AJ$3, 'Calc-Pivot Table-Derates'!$A$5:$B$22, 2, 0)</f>
        <v>4.3478260869565216E-2</v>
      </c>
      <c r="AK7" s="166">
        <f>COUNTIFS('INPUT-GADS DATA'!$A$2:$A$7442,"="&amp;AK$3,'INPUT-GADS DATA'!$B$2:$B$7442,"=D*",'INPUT-GADS DATA'!$U$2:$U$7442,"&lt;="&amp;INDEX($AA7:$AC7, 1, AK$2),'INPUT-GADS DATA'!$U$2:$U$7442,"&gt;"&amp;INDEX($AA6:$AC6, 1, AK$2))/VLOOKUP(AK$3, 'Calc-Pivot Table-Derates'!$A$5:$B$22, 2, 0)</f>
        <v>4.583333333333333E-2</v>
      </c>
      <c r="AL7" s="166">
        <f>COUNTIFS('INPUT-GADS DATA'!$A$2:$A$7442,"="&amp;AL$3,'INPUT-GADS DATA'!$B$2:$B$7442,"=D*",'INPUT-GADS DATA'!$U$2:$U$7442,"&lt;="&amp;INDEX($AA7:$AC7, 1, AL$2),'INPUT-GADS DATA'!$U$2:$U$7442,"&gt;"&amp;INDEX($AA6:$AC6, 1, AL$2))/VLOOKUP(AL$3, 'Calc-Pivot Table-Derates'!$A$5:$B$22, 2, 0)</f>
        <v>3.5294117647058823E-2</v>
      </c>
      <c r="AM7" s="166">
        <f>COUNTIFS('INPUT-GADS DATA'!$A$2:$A$7442,"="&amp;AM$3,'INPUT-GADS DATA'!$B$2:$B$7442,"=D*",'INPUT-GADS DATA'!$U$2:$U$7442,"&lt;="&amp;INDEX($AA7:$AC7, 1, AM$2),'INPUT-GADS DATA'!$U$2:$U$7442,"&gt;"&amp;INDEX($AA6:$AC6, 1, AM$2))/VLOOKUP(AM$3, 'Calc-Pivot Table-Derates'!$A$5:$B$22, 2, 0)</f>
        <v>1.2987012987012988E-2</v>
      </c>
      <c r="AN7" s="166" t="e">
        <f>IF(VLOOKUP(AN$3, $J$5:$O$19,6,FALSE)&gt;INDEX($AA7:$AC7, 1, AN$2),COUNTIFS('INPUT-GADS DATA'!$A$2:$A$7442,"="&amp;AN$3,'INPUT-GADS DATA'!$B$2:$B$7442,"=D*",'INPUT-GADS DATA'!$U$2:$U$7442,"&lt;="&amp;INDEX($AA7:$AC7, 1, AN$2),'INPUT-GADS DATA'!$U$2:$U$7442,"&gt;"&amp;INDEX($AA6:$AC6, 1, AN$2))/VLOOKUP(AN$3, 'Calc-Pivot Table-Derates'!$A$5:$B$22, 2, 0),IF(AND(VLOOKUP(AN$3,$J$5:$O$19,6, FALSE)&lt;=INDEX($AA7:$AC7, 1, AN$2),VLOOKUP(AN$3,$J$5:$O$19,6,FALSE)&gt;INDEX($AA6:$AC6, 1, AN$2)),COUNTIFS('INPUT-GADS DATA'!$A$2:$A$7442,"="&amp;AN$3,'INPUT-GADS DATA'!$B$2:$B$7442,"=D*",'INPUT-GADS DATA'!$U$2:$U$7442,"&lt;="&amp;VLOOKUP(Lookup!AN$3,$J$5:$O$19,6,FALSE),'INPUT-GADS DATA'!$U$2:$U$7442,"&gt;"&amp;INDEX($AA6:$AC6, 1, AN$2))/VLOOKUP(AN$3, 'Calc-Pivot Table-Derates'!$A$5:$B$22, 2, 0),"NA"))</f>
        <v>#N/A</v>
      </c>
      <c r="AO7" s="166" t="e">
        <f>IF(VLOOKUP(AO$3, $J$5:$O$19,6,FALSE)&gt;INDEX($AA7:$AC7, 1, AO$2),COUNTIFS('INPUT-GADS DATA'!$A$2:$A$7442,"="&amp;AO$3,'INPUT-GADS DATA'!$B$2:$B$7442,"=D*",'INPUT-GADS DATA'!$U$2:$U$7442,"&lt;="&amp;INDEX($AA7:$AC7, 1, AO$2),'INPUT-GADS DATA'!$U$2:$U$7442,"&gt;"&amp;INDEX($AA6:$AC6, 1, AO$2))/VLOOKUP(AO$3, 'Calc-Pivot Table-Derates'!$A$5:$B$22, 2, 0),IF(AND(VLOOKUP(AO$3,$J$5:$O$19,6, FALSE)&lt;=INDEX($AA7:$AC7, 1, AO$2),VLOOKUP(AO$3,$J$5:$O$19,6,FALSE)&gt;INDEX($AA6:$AC6, 1, AO$2)),COUNTIFS('INPUT-GADS DATA'!$A$2:$A$7442,"="&amp;AO$3,'INPUT-GADS DATA'!$B$2:$B$7442,"=D*",'INPUT-GADS DATA'!$U$2:$U$7442,"&lt;="&amp;VLOOKUP(Lookup!AO$3,$J$5:$O$19,6,FALSE),'INPUT-GADS DATA'!$U$2:$U$7442,"&gt;"&amp;INDEX($AA6:$AC6, 1, AO$2))/VLOOKUP(AO$3, 'Calc-Pivot Table-Derates'!$A$5:$B$22, 2, 0),"NA"))</f>
        <v>#N/A</v>
      </c>
      <c r="AP7" s="166">
        <f>COUNTIFS('INPUT-GADS DATA'!$A$2:$A$7442,"="&amp;AP$3,'INPUT-GADS DATA'!$B$2:$B$7442,"=D*",'INPUT-GADS DATA'!$U$2:$U$7442,"&lt;="&amp;INDEX($AA7:$AC7, 1, AP$2),'INPUT-GADS DATA'!$U$2:$U$7442,"&gt;"&amp;INDEX($AA6:$AC6, 1, AP$2))/VLOOKUP(AP$3, 'Calc-Pivot Table-Derates'!$A$5:$B$22, 2, 0)</f>
        <v>0.24163568773234201</v>
      </c>
      <c r="AQ7" s="166">
        <f>COUNTIFS('INPUT-GADS DATA'!$A$2:$A$7442,"="&amp;AQ$3,'INPUT-GADS DATA'!$B$2:$B$7442,"=D*",'INPUT-GADS DATA'!$U$2:$U$7442,"&lt;="&amp;INDEX($AA7:$AC7, 1, AQ$2),'INPUT-GADS DATA'!$U$2:$U$7442,"&gt;"&amp;INDEX($AA6:$AC6, 1, AQ$2))/VLOOKUP(AQ$3, 'Calc-Pivot Table-Derates'!$A$5:$B$22, 2, 0)</f>
        <v>0.28378378378378377</v>
      </c>
      <c r="AR7" s="166">
        <f>COUNTIFS('INPUT-GADS DATA'!$A$2:$A$7442,"="&amp;AR$3,'INPUT-GADS DATA'!$B$2:$B$7442,"=D*",'INPUT-GADS DATA'!$U$2:$U$7442,"&lt;="&amp;INDEX($AA7:$AC7, 1, AR$2),'INPUT-GADS DATA'!$U$2:$U$7442,"&gt;"&amp;INDEX($AA6:$AC6, 1, AR$2))/VLOOKUP(AR$3, 'Calc-Pivot Table-Derates'!$A$5:$B$22, 2, 0)</f>
        <v>3.2423208191126277E-2</v>
      </c>
      <c r="AS7" s="166">
        <f>COUNTIFS('INPUT-GADS DATA'!$A$2:$A$7442,"="&amp;AS$3,'INPUT-GADS DATA'!$B$2:$B$7442,"=D*",'INPUT-GADS DATA'!$U$2:$U$7442,"&lt;="&amp;INDEX($AA7:$AC7, 1, AS$2),'INPUT-GADS DATA'!$U$2:$U$7442,"&gt;"&amp;INDEX($AA6:$AC6, 1, AS$2))/VLOOKUP(AS$3, 'Calc-Pivot Table-Derates'!$A$5:$B$22, 2, 0)</f>
        <v>4.781704781704782E-2</v>
      </c>
      <c r="AT7" s="166">
        <f>COUNTIFS('INPUT-GADS DATA'!$A$2:$A$7442,"="&amp;AT$3,'INPUT-GADS DATA'!$B$2:$B$7442,"=D*",'INPUT-GADS DATA'!$U$2:$U$7442,"&lt;="&amp;INDEX($AA7:$AC7, 1, AT$2),'INPUT-GADS DATA'!$U$2:$U$7442,"&gt;"&amp;INDEX($AA6:$AC6, 1, AT$2))/VLOOKUP(AT$3, 'Calc-Pivot Table-Derates'!$A$5:$B$22, 2, 0)</f>
        <v>1.3888888888888888E-2</v>
      </c>
      <c r="AU7" s="166">
        <f>COUNTIFS('INPUT-GADS DATA'!$A$2:$A$7442,"="&amp;AU$3,'INPUT-GADS DATA'!$B$2:$B$7442,"=D*",'INPUT-GADS DATA'!$U$2:$U$7442,"&lt;="&amp;INDEX($AA7:$AC7, 1, AU$2),'INPUT-GADS DATA'!$U$2:$U$7442,"&gt;"&amp;INDEX($AA6:$AC6, 1, AU$2))/VLOOKUP(AU$3, 'Calc-Pivot Table-Derates'!$A$5:$B$22, 2, 0)</f>
        <v>3.4398034398034398E-2</v>
      </c>
      <c r="AV7" s="105"/>
    </row>
    <row r="8" spans="1:48" x14ac:dyDescent="0.25">
      <c r="A8" s="98" t="s">
        <v>1949</v>
      </c>
      <c r="B8" s="98" t="s">
        <v>26</v>
      </c>
      <c r="C8" s="98" t="s">
        <v>101</v>
      </c>
      <c r="D8" s="98">
        <v>479</v>
      </c>
      <c r="E8" s="98">
        <v>475</v>
      </c>
      <c r="F8" s="98">
        <v>520</v>
      </c>
      <c r="G8" s="98">
        <v>520</v>
      </c>
      <c r="H8" s="98">
        <v>218</v>
      </c>
      <c r="J8" s="98" t="s">
        <v>26</v>
      </c>
      <c r="K8" s="98">
        <v>4</v>
      </c>
      <c r="L8" s="168" t="s">
        <v>155</v>
      </c>
      <c r="M8" s="98">
        <f t="shared" si="2"/>
        <v>479</v>
      </c>
      <c r="N8" s="29">
        <f t="shared" si="3"/>
        <v>218</v>
      </c>
      <c r="O8" s="29">
        <f t="shared" si="4"/>
        <v>261</v>
      </c>
      <c r="P8" s="98">
        <f t="shared" si="5"/>
        <v>3</v>
      </c>
      <c r="Q8" s="98" t="str">
        <f t="shared" si="1"/>
        <v>GH1</v>
      </c>
      <c r="R8" s="105">
        <f>IF($M8-INDEX(Lookup!$AA$4:$AC$8,R$4,$P8)&lt;$N8,$N8,$M8-INDEX(Lookup!$AA$4:$AC$8,R$4,$P8))</f>
        <v>218</v>
      </c>
      <c r="S8" s="105">
        <f>IF($M8-INDEX(Lookup!$AA$4:$AC$8,S$4,$P8)&lt;$N8,$N8,$M8-INDEX(Lookup!$AA$4:$AC$8,S$4,$P8))</f>
        <v>289</v>
      </c>
      <c r="T8" s="105">
        <f>IF($M8-INDEX(Lookup!$AA$4:$AC$8,T$4,$P8)&lt;$N8,$N8,$M8-INDEX(Lookup!$AA$4:$AC$8,T$4,$P8))</f>
        <v>319</v>
      </c>
      <c r="U8" s="105">
        <f>IF($M8-INDEX(Lookup!$AA$4:$AC$8,U$4,$P8)&lt;$N8,$N8,$M8-INDEX(Lookup!$AA$4:$AC$8,U$4,$P8))</f>
        <v>399</v>
      </c>
      <c r="V8" s="105">
        <f>IF($M8-INDEX(Lookup!$AA$4:$AC$8,V$4,$P8)&lt;$N8,$N8,$M8-INDEX(Lookup!$AA$4:$AC$8,V$4,$P8))</f>
        <v>439</v>
      </c>
      <c r="Z8" s="28">
        <f>'Calc- Prosym Setup'!G7</f>
        <v>5</v>
      </c>
      <c r="AA8" s="105">
        <v>70</v>
      </c>
      <c r="AB8" s="105">
        <v>150</v>
      </c>
      <c r="AC8" s="105">
        <v>320</v>
      </c>
      <c r="AD8" s="105"/>
      <c r="AE8" s="105"/>
      <c r="AF8" s="105"/>
      <c r="AG8" s="166">
        <f>COUNTIFS('INPUT-GADS DATA'!$A$2:$A$7442,"="&amp;AG$3,'INPUT-GADS DATA'!$B$2:$B$7442,"=D*",'INPUT-GADS DATA'!$U$2:$U$7442,"&lt;="&amp;INDEX($AA8:$AC8, 1, AG$2),'INPUT-GADS DATA'!$U$2:$U$7442,"&gt;"&amp;INDEX($AA7:$AC7, 1, AG$2))/VLOOKUP(AG$3, 'Calc-Pivot Table-Derates'!$A$5:$B$22, 2, 0)</f>
        <v>0.24285714285714285</v>
      </c>
      <c r="AH8" s="166">
        <f>COUNTIFS('INPUT-GADS DATA'!$A$2:$A$7442,"="&amp;AH$3,'INPUT-GADS DATA'!$B$2:$B$7442,"=D*",'INPUT-GADS DATA'!$U$2:$U$7442,"&lt;="&amp;INDEX($AA8:$AC8, 1, AH$2),'INPUT-GADS DATA'!$U$2:$U$7442,"&gt;"&amp;INDEX($AA7:$AC7, 1, AH$2))/VLOOKUP(AH$3, 'Calc-Pivot Table-Derates'!$A$5:$B$22, 2, 0)</f>
        <v>4.7619047619047616E-2</v>
      </c>
      <c r="AI8" s="166">
        <f>COUNTIFS('INPUT-GADS DATA'!$A$2:$A$7442,"="&amp;AI$3,'INPUT-GADS DATA'!$B$2:$B$7442,"=D*",'INPUT-GADS DATA'!$U$2:$U$7442,"&lt;="&amp;INDEX($AA8:$AC8, 1, AI$2),'INPUT-GADS DATA'!$U$2:$U$7442,"&gt;"&amp;INDEX($AA7:$AC7, 1, AI$2))/VLOOKUP(AI$3, 'Calc-Pivot Table-Derates'!$A$5:$B$22, 2, 0)</f>
        <v>5.5276381909547742E-2</v>
      </c>
      <c r="AJ8" s="166">
        <f>COUNTIFS('INPUT-GADS DATA'!$A$2:$A$7442,"="&amp;AJ$3,'INPUT-GADS DATA'!$B$2:$B$7442,"=D*",'INPUT-GADS DATA'!$U$2:$U$7442,"&lt;="&amp;INDEX($AA8:$AC8, 1, AJ$2),'INPUT-GADS DATA'!$U$2:$U$7442,"&gt;"&amp;INDEX($AA7:$AC7, 1, AJ$2))/VLOOKUP(AJ$3, 'Calc-Pivot Table-Derates'!$A$5:$B$22, 2, 0)</f>
        <v>0.11413043478260869</v>
      </c>
      <c r="AK8" s="166">
        <f>COUNTIFS('INPUT-GADS DATA'!$A$2:$A$7442,"="&amp;AK$3,'INPUT-GADS DATA'!$B$2:$B$7442,"=D*",'INPUT-GADS DATA'!$U$2:$U$7442,"&lt;="&amp;INDEX($AA8:$AC8, 1, AK$2),'INPUT-GADS DATA'!$U$2:$U$7442,"&gt;"&amp;INDEX($AA7:$AC7, 1, AK$2))/VLOOKUP(AK$3, 'Calc-Pivot Table-Derates'!$A$5:$B$22, 2, 0)</f>
        <v>0.1125</v>
      </c>
      <c r="AL8" s="166">
        <f>COUNTIFS('INPUT-GADS DATA'!$A$2:$A$7442,"="&amp;AL$3,'INPUT-GADS DATA'!$B$2:$B$7442,"=D*",'INPUT-GADS DATA'!$U$2:$U$7442,"&lt;="&amp;INDEX($AA8:$AC8, 1, AL$2),'INPUT-GADS DATA'!$U$2:$U$7442,"&gt;"&amp;INDEX($AA7:$AC7, 1, AL$2))/VLOOKUP(AL$3, 'Calc-Pivot Table-Derates'!$A$5:$B$22, 2, 0)</f>
        <v>0.14117647058823529</v>
      </c>
      <c r="AM8" s="166">
        <f>COUNTIFS('INPUT-GADS DATA'!$A$2:$A$7442,"="&amp;AM$3,'INPUT-GADS DATA'!$B$2:$B$7442,"=D*",'INPUT-GADS DATA'!$U$2:$U$7442,"&lt;="&amp;INDEX($AA8:$AC8, 1, AM$2),'INPUT-GADS DATA'!$U$2:$U$7442,"&gt;"&amp;INDEX($AA7:$AC7, 1, AM$2))/VLOOKUP(AM$3, 'Calc-Pivot Table-Derates'!$A$5:$B$22, 2, 0)</f>
        <v>0.14935064935064934</v>
      </c>
      <c r="AN8" s="166" t="e">
        <f>IF(VLOOKUP(AN$3, $J$5:$O$19,6,FALSE)&gt;INDEX($AA8:$AC8, 1, AN$2),COUNTIFS('INPUT-GADS DATA'!$A$2:$A$7442,"="&amp;AN$3,'INPUT-GADS DATA'!$B$2:$B$7442,"=D*",'INPUT-GADS DATA'!$U$2:$U$7442,"&lt;="&amp;INDEX($AA8:$AC8, 1, AN$2),'INPUT-GADS DATA'!$U$2:$U$7442,"&gt;"&amp;INDEX($AA7:$AC7, 1, AN$2))/VLOOKUP(AN$3, 'Calc-Pivot Table-Derates'!$A$5:$B$22, 2, 0),IF(AND(VLOOKUP(AN$3,$J$5:$O$19,6, FALSE)&lt;=INDEX($AA8:$AC8, 1, AN$2),VLOOKUP(AN$3,$J$5:$O$19,6,FALSE)&gt;INDEX($AA7:$AC7, 1, AN$2)),COUNTIFS('INPUT-GADS DATA'!$A$2:$A$7442,"="&amp;AN$3,'INPUT-GADS DATA'!$B$2:$B$7442,"=D*",'INPUT-GADS DATA'!$U$2:$U$7442,"&lt;="&amp;VLOOKUP(Lookup!AN$3,$J$5:$O$19,6,FALSE),'INPUT-GADS DATA'!$U$2:$U$7442,"&gt;"&amp;INDEX($AA7:$AC7, 1, AN$2))/VLOOKUP(AN$3, 'Calc-Pivot Table-Derates'!$A$5:$B$22, 2, 0),"NA"))</f>
        <v>#N/A</v>
      </c>
      <c r="AO8" s="166" t="e">
        <f>IF(VLOOKUP(AO$3, $J$5:$O$19,6,FALSE)&gt;INDEX($AA8:$AC8, 1, AO$2),COUNTIFS('INPUT-GADS DATA'!$A$2:$A$7442,"="&amp;AO$3,'INPUT-GADS DATA'!$B$2:$B$7442,"=D*",'INPUT-GADS DATA'!$U$2:$U$7442,"&lt;="&amp;INDEX($AA8:$AC8, 1, AO$2),'INPUT-GADS DATA'!$U$2:$U$7442,"&gt;"&amp;INDEX($AA7:$AC7, 1, AO$2))/VLOOKUP(AO$3, 'Calc-Pivot Table-Derates'!$A$5:$B$22, 2, 0),IF(AND(VLOOKUP(AO$3,$J$5:$O$19,6, FALSE)&lt;=INDEX($AA8:$AC8, 1, AO$2),VLOOKUP(AO$3,$J$5:$O$19,6,FALSE)&gt;INDEX($AA7:$AC7, 1, AO$2)),COUNTIFS('INPUT-GADS DATA'!$A$2:$A$7442,"="&amp;AO$3,'INPUT-GADS DATA'!$B$2:$B$7442,"=D*",'INPUT-GADS DATA'!$U$2:$U$7442,"&lt;="&amp;VLOOKUP(Lookup!AO$3,$J$5:$O$19,6,FALSE),'INPUT-GADS DATA'!$U$2:$U$7442,"&gt;"&amp;INDEX($AA7:$AC7, 1, AO$2))/VLOOKUP(AO$3, 'Calc-Pivot Table-Derates'!$A$5:$B$22, 2, 0),"NA"))</f>
        <v>#N/A</v>
      </c>
      <c r="AP8" s="166">
        <f>COUNTIFS('INPUT-GADS DATA'!$A$2:$A$7442,"="&amp;AP$3,'INPUT-GADS DATA'!$B$2:$B$7442,"=D*",'INPUT-GADS DATA'!$U$2:$U$7442,"&lt;="&amp;INDEX($AA8:$AC8, 1, AP$2),'INPUT-GADS DATA'!$U$2:$U$7442,"&gt;"&amp;INDEX($AA7:$AC7, 1, AP$2))/VLOOKUP(AP$3, 'Calc-Pivot Table-Derates'!$A$5:$B$22, 2, 0)</f>
        <v>0.11152416356877323</v>
      </c>
      <c r="AQ8" s="166">
        <f>COUNTIFS('INPUT-GADS DATA'!$A$2:$A$7442,"="&amp;AQ$3,'INPUT-GADS DATA'!$B$2:$B$7442,"=D*",'INPUT-GADS DATA'!$U$2:$U$7442,"&lt;="&amp;INDEX($AA8:$AC8, 1, AQ$2),'INPUT-GADS DATA'!$U$2:$U$7442,"&gt;"&amp;INDEX($AA7:$AC7, 1, AQ$2))/VLOOKUP(AQ$3, 'Calc-Pivot Table-Derates'!$A$5:$B$22, 2, 0)</f>
        <v>0.11969111969111969</v>
      </c>
      <c r="AR8" s="166">
        <f>COUNTIFS('INPUT-GADS DATA'!$A$2:$A$7442,"="&amp;AR$3,'INPUT-GADS DATA'!$B$2:$B$7442,"=D*",'INPUT-GADS DATA'!$U$2:$U$7442,"&lt;="&amp;INDEX($AA8:$AC8, 1, AR$2),'INPUT-GADS DATA'!$U$2:$U$7442,"&gt;"&amp;INDEX($AA7:$AC7, 1, AR$2))/VLOOKUP(AR$3, 'Calc-Pivot Table-Derates'!$A$5:$B$22, 2, 0)</f>
        <v>4.607508532423208E-2</v>
      </c>
      <c r="AS8" s="166">
        <f>COUNTIFS('INPUT-GADS DATA'!$A$2:$A$7442,"="&amp;AS$3,'INPUT-GADS DATA'!$B$2:$B$7442,"=D*",'INPUT-GADS DATA'!$U$2:$U$7442,"&lt;="&amp;INDEX($AA8:$AC8, 1, AS$2),'INPUT-GADS DATA'!$U$2:$U$7442,"&gt;"&amp;INDEX($AA7:$AC7, 1, AS$2))/VLOOKUP(AS$3, 'Calc-Pivot Table-Derates'!$A$5:$B$22, 2, 0)</f>
        <v>8.5239085239085244E-2</v>
      </c>
      <c r="AT8" s="166">
        <f>COUNTIFS('INPUT-GADS DATA'!$A$2:$A$7442,"="&amp;AT$3,'INPUT-GADS DATA'!$B$2:$B$7442,"=D*",'INPUT-GADS DATA'!$U$2:$U$7442,"&lt;="&amp;INDEX($AA8:$AC8, 1, AT$2),'INPUT-GADS DATA'!$U$2:$U$7442,"&gt;"&amp;INDEX($AA7:$AC7, 1, AT$2))/VLOOKUP(AT$3, 'Calc-Pivot Table-Derates'!$A$5:$B$22, 2, 0)</f>
        <v>5.3240740740740741E-2</v>
      </c>
      <c r="AU8" s="166">
        <f>COUNTIFS('INPUT-GADS DATA'!$A$2:$A$7442,"="&amp;AU$3,'INPUT-GADS DATA'!$B$2:$B$7442,"=D*",'INPUT-GADS DATA'!$U$2:$U$7442,"&lt;="&amp;INDEX($AA8:$AC8, 1, AU$2),'INPUT-GADS DATA'!$U$2:$U$7442,"&gt;"&amp;INDEX($AA7:$AC7, 1, AU$2))/VLOOKUP(AU$3, 'Calc-Pivot Table-Derates'!$A$5:$B$22, 2, 0)</f>
        <v>7.8624078624078622E-2</v>
      </c>
      <c r="AV8" s="105"/>
    </row>
    <row r="9" spans="1:48" x14ac:dyDescent="0.25">
      <c r="A9" s="98" t="s">
        <v>1950</v>
      </c>
      <c r="B9" s="98" t="s">
        <v>27</v>
      </c>
      <c r="C9" s="98" t="s">
        <v>101</v>
      </c>
      <c r="D9" s="98">
        <v>486</v>
      </c>
      <c r="E9" s="98">
        <v>485</v>
      </c>
      <c r="F9" s="98">
        <v>520</v>
      </c>
      <c r="G9" s="98">
        <v>520</v>
      </c>
      <c r="H9" s="98">
        <v>225</v>
      </c>
      <c r="J9" s="98" t="s">
        <v>27</v>
      </c>
      <c r="K9" s="98">
        <v>5</v>
      </c>
      <c r="L9" s="168" t="s">
        <v>156</v>
      </c>
      <c r="M9" s="98">
        <f t="shared" si="2"/>
        <v>486</v>
      </c>
      <c r="N9" s="29">
        <f t="shared" si="3"/>
        <v>225</v>
      </c>
      <c r="O9" s="29">
        <f t="shared" si="4"/>
        <v>261</v>
      </c>
      <c r="P9" s="98">
        <f t="shared" si="5"/>
        <v>3</v>
      </c>
      <c r="Q9" s="98" t="str">
        <f t="shared" si="1"/>
        <v>GH2</v>
      </c>
      <c r="R9" s="105">
        <f>IF($M9-INDEX(Lookup!$AA$4:$AC$8,R$4,$P9)&lt;$N9,$N9,$M9-INDEX(Lookup!$AA$4:$AC$8,R$4,$P9))</f>
        <v>225</v>
      </c>
      <c r="S9" s="105">
        <f>IF($M9-INDEX(Lookup!$AA$4:$AC$8,S$4,$P9)&lt;$N9,$N9,$M9-INDEX(Lookup!$AA$4:$AC$8,S$4,$P9))</f>
        <v>296</v>
      </c>
      <c r="T9" s="105">
        <f>IF($M9-INDEX(Lookup!$AA$4:$AC$8,T$4,$P9)&lt;$N9,$N9,$M9-INDEX(Lookup!$AA$4:$AC$8,T$4,$P9))</f>
        <v>326</v>
      </c>
      <c r="U9" s="105">
        <f>IF($M9-INDEX(Lookup!$AA$4:$AC$8,U$4,$P9)&lt;$N9,$N9,$M9-INDEX(Lookup!$AA$4:$AC$8,U$4,$P9))</f>
        <v>406</v>
      </c>
      <c r="V9" s="105">
        <f>IF($M9-INDEX(Lookup!$AA$4:$AC$8,V$4,$P9)&lt;$N9,$N9,$M9-INDEX(Lookup!$AA$4:$AC$8,V$4,$P9))</f>
        <v>446</v>
      </c>
      <c r="Z9" s="28">
        <v>6</v>
      </c>
      <c r="AA9" s="105">
        <v>100</v>
      </c>
      <c r="AB9" s="105">
        <v>220</v>
      </c>
      <c r="AC9" s="105">
        <v>400</v>
      </c>
      <c r="AD9" s="105"/>
      <c r="AE9" s="105"/>
      <c r="AF9" s="105"/>
      <c r="AG9" s="166">
        <f>COUNTIFS('INPUT-GADS DATA'!$A$2:$A$7442,"="&amp;AG$3,'INPUT-GADS DATA'!$B$2:$B$7442,"=D*",'INPUT-GADS DATA'!$U$2:$U$7442,"&lt;="&amp;INDEX($AA9:$AC9, 1, AG$2),'INPUT-GADS DATA'!$U$2:$U$7442,"&gt;"&amp;INDEX($AA8:$AC8, 1, AG$2))/VLOOKUP(AG$3, 'Calc-Pivot Table-Derates'!$A$5:$B$22, 2, 0)</f>
        <v>2.8571428571428571E-2</v>
      </c>
      <c r="AH9" s="166">
        <f>COUNTIFS('INPUT-GADS DATA'!$A$2:$A$7442,"="&amp;AH$3,'INPUT-GADS DATA'!$B$2:$B$7442,"=D*",'INPUT-GADS DATA'!$U$2:$U$7442,"&lt;="&amp;INDEX($AA9:$AC9, 1, AH$2),'INPUT-GADS DATA'!$U$2:$U$7442,"&gt;"&amp;INDEX($AA8:$AC8, 1, AH$2))/VLOOKUP(AH$3, 'Calc-Pivot Table-Derates'!$A$5:$B$22, 2, 0)</f>
        <v>3.8095238095238099E-2</v>
      </c>
      <c r="AI9" s="166">
        <f>COUNTIFS('INPUT-GADS DATA'!$A$2:$A$7442,"="&amp;AI$3,'INPUT-GADS DATA'!$B$2:$B$7442,"=D*",'INPUT-GADS DATA'!$U$2:$U$7442,"&lt;="&amp;INDEX($AA9:$AC9, 1, AI$2),'INPUT-GADS DATA'!$U$2:$U$7442,"&gt;"&amp;INDEX($AA8:$AC8, 1, AI$2))/VLOOKUP(AI$3, 'Calc-Pivot Table-Derates'!$A$5:$B$22, 2, 0)</f>
        <v>7.0351758793969849E-2</v>
      </c>
      <c r="AJ9" s="166">
        <f>COUNTIFS('INPUT-GADS DATA'!$A$2:$A$7442,"="&amp;AJ$3,'INPUT-GADS DATA'!$B$2:$B$7442,"=D*",'INPUT-GADS DATA'!$U$2:$U$7442,"&lt;="&amp;INDEX($AA9:$AC9, 1, AJ$2),'INPUT-GADS DATA'!$U$2:$U$7442,"&gt;"&amp;INDEX($AA8:$AC8, 1, AJ$2))/VLOOKUP(AJ$3, 'Calc-Pivot Table-Derates'!$A$5:$B$22, 2, 0)</f>
        <v>5.434782608695652E-3</v>
      </c>
      <c r="AK9" s="166">
        <f>COUNTIFS('INPUT-GADS DATA'!$A$2:$A$7442,"="&amp;AK$3,'INPUT-GADS DATA'!$B$2:$B$7442,"=D*",'INPUT-GADS DATA'!$U$2:$U$7442,"&lt;="&amp;INDEX($AA9:$AC9, 1, AK$2),'INPUT-GADS DATA'!$U$2:$U$7442,"&gt;"&amp;INDEX($AA8:$AC8, 1, AK$2))/VLOOKUP(AK$3, 'Calc-Pivot Table-Derates'!$A$5:$B$22, 2, 0)</f>
        <v>4.1666666666666666E-3</v>
      </c>
      <c r="AL9" s="166">
        <f>COUNTIFS('INPUT-GADS DATA'!$A$2:$A$7442,"="&amp;AL$3,'INPUT-GADS DATA'!$B$2:$B$7442,"=D*",'INPUT-GADS DATA'!$U$2:$U$7442,"&lt;="&amp;INDEX($AA9:$AC9, 1, AL$2),'INPUT-GADS DATA'!$U$2:$U$7442,"&gt;"&amp;INDEX($AA8:$AC8, 1, AL$2))/VLOOKUP(AL$3, 'Calc-Pivot Table-Derates'!$A$5:$B$22, 2, 0)</f>
        <v>1.1764705882352941E-2</v>
      </c>
      <c r="AM9" s="166">
        <f>COUNTIFS('INPUT-GADS DATA'!$A$2:$A$7442,"="&amp;AM$3,'INPUT-GADS DATA'!$B$2:$B$7442,"=D*",'INPUT-GADS DATA'!$U$2:$U$7442,"&lt;="&amp;INDEX($AA9:$AC9, 1, AM$2),'INPUT-GADS DATA'!$U$2:$U$7442,"&gt;"&amp;INDEX($AA8:$AC8, 1, AM$2))/VLOOKUP(AM$3, 'Calc-Pivot Table-Derates'!$A$5:$B$22, 2, 0)</f>
        <v>6.4935064935064939E-3</v>
      </c>
      <c r="AN9" s="166" t="str">
        <f>IF(VLOOKUP(AN$3, $J$5:$O$19,6,FALSE)&gt;INDEX($AA9:$AC9, 1, AN$2),COUNTIFS('INPUT-GADS DATA'!$A$2:$A$7442,"="&amp;AN$3,'INPUT-GADS DATA'!$B$2:$B$7442,"=D*",'INPUT-GADS DATA'!$U$2:$U$7442,"&lt;="&amp;INDEX($AA9:$AC9, 1, AN$2),'INPUT-GADS DATA'!$U$2:$U$7442,"&gt;"&amp;INDEX($AA8:$AC8, 1, AN$2))/VLOOKUP(AN$3, 'Calc-Pivot Table-Derates'!$A$5:$B$22, 2, 0),IF(AND(VLOOKUP(AN$3,$J$5:$O$19,6, FALSE)&lt;=INDEX($AA9:$AC9, 1, AN$2),VLOOKUP(AN$3,$J$5:$O$19,6,FALSE)&gt;INDEX($AA8:$AC8, 1, AN$2)),COUNTIFS('INPUT-GADS DATA'!$A$2:$A$7442,"="&amp;AN$3,'INPUT-GADS DATA'!$B$2:$B$7442,"=D*",'INPUT-GADS DATA'!$U$2:$U$7442,"&lt;="&amp;VLOOKUP(Lookup!AN$3,$J$5:$O$19,6,FALSE),'INPUT-GADS DATA'!$U$2:$U$7442,"&gt;"&amp;INDEX($AA8:$AC8, 1, AN$2))/VLOOKUP(AN$3, 'Calc-Pivot Table-Derates'!$A$5:$B$22, 2, 0),"NA"))</f>
        <v>NA</v>
      </c>
      <c r="AO9" s="166" t="str">
        <f>IF(VLOOKUP(AO$3, $J$5:$O$19,6,FALSE)&gt;INDEX($AA9:$AC9, 1, AO$2),COUNTIFS('INPUT-GADS DATA'!$A$2:$A$7442,"="&amp;AO$3,'INPUT-GADS DATA'!$B$2:$B$7442,"=D*",'INPUT-GADS DATA'!$U$2:$U$7442,"&lt;="&amp;INDEX($AA9:$AC9, 1, AO$2),'INPUT-GADS DATA'!$U$2:$U$7442,"&gt;"&amp;INDEX($AA8:$AC8, 1, AO$2))/VLOOKUP(AO$3, 'Calc-Pivot Table-Derates'!$A$5:$B$22, 2, 0),IF(AND(VLOOKUP(AO$3,$J$5:$O$19,6, FALSE)&lt;=INDEX($AA9:$AC9, 1, AO$2),VLOOKUP(AO$3,$J$5:$O$19,6,FALSE)&gt;INDEX($AA8:$AC8, 1, AO$2)),COUNTIFS('INPUT-GADS DATA'!$A$2:$A$7442,"="&amp;AO$3,'INPUT-GADS DATA'!$B$2:$B$7442,"=D*",'INPUT-GADS DATA'!$U$2:$U$7442,"&lt;="&amp;VLOOKUP(Lookup!AO$3,$J$5:$O$19,6,FALSE),'INPUT-GADS DATA'!$U$2:$U$7442,"&gt;"&amp;INDEX($AA8:$AC8, 1, AO$2))/VLOOKUP(AO$3, 'Calc-Pivot Table-Derates'!$A$5:$B$22, 2, 0),"NA"))</f>
        <v>NA</v>
      </c>
      <c r="AP9" s="166">
        <f>COUNTIFS('INPUT-GADS DATA'!$A$2:$A$7442,"="&amp;AP$3,'INPUT-GADS DATA'!$B$2:$B$7442,"=D*",'INPUT-GADS DATA'!$U$2:$U$7442,"&lt;="&amp;INDEX($AA9:$AC9, 1, AP$2),'INPUT-GADS DATA'!$U$2:$U$7442,"&gt;"&amp;INDEX($AA8:$AC8, 1, AP$2))/VLOOKUP(AP$3, 'Calc-Pivot Table-Derates'!$A$5:$B$22, 2, 0)</f>
        <v>6.8773234200743494E-2</v>
      </c>
      <c r="AQ9" s="166">
        <f>COUNTIFS('INPUT-GADS DATA'!$A$2:$A$7442,"="&amp;AQ$3,'INPUT-GADS DATA'!$B$2:$B$7442,"=D*",'INPUT-GADS DATA'!$U$2:$U$7442,"&lt;="&amp;INDEX($AA9:$AC9, 1, AQ$2),'INPUT-GADS DATA'!$U$2:$U$7442,"&gt;"&amp;INDEX($AA8:$AC8, 1, AQ$2))/VLOOKUP(AQ$3, 'Calc-Pivot Table-Derates'!$A$5:$B$22, 2, 0)</f>
        <v>6.9498069498069498E-2</v>
      </c>
      <c r="AR9" s="166">
        <f>COUNTIFS('INPUT-GADS DATA'!$A$2:$A$7442,"="&amp;AR$3,'INPUT-GADS DATA'!$B$2:$B$7442,"=D*",'INPUT-GADS DATA'!$U$2:$U$7442,"&lt;="&amp;INDEX($AA9:$AC9, 1, AR$2),'INPUT-GADS DATA'!$U$2:$U$7442,"&gt;"&amp;INDEX($AA8:$AC8, 1, AR$2))/VLOOKUP(AR$3, 'Calc-Pivot Table-Derates'!$A$5:$B$22, 2, 0)</f>
        <v>0</v>
      </c>
      <c r="AS9" s="166">
        <f>COUNTIFS('INPUT-GADS DATA'!$A$2:$A$7442,"="&amp;AS$3,'INPUT-GADS DATA'!$B$2:$B$7442,"=D*",'INPUT-GADS DATA'!$U$2:$U$7442,"&lt;="&amp;INDEX($AA9:$AC9, 1, AS$2),'INPUT-GADS DATA'!$U$2:$U$7442,"&gt;"&amp;INDEX($AA8:$AC8, 1, AS$2))/VLOOKUP(AS$3, 'Calc-Pivot Table-Derates'!$A$5:$B$22, 2, 0)</f>
        <v>2.286902286902287E-2</v>
      </c>
      <c r="AT9" s="166">
        <f>COUNTIFS('INPUT-GADS DATA'!$A$2:$A$7442,"="&amp;AT$3,'INPUT-GADS DATA'!$B$2:$B$7442,"=D*",'INPUT-GADS DATA'!$U$2:$U$7442,"&lt;="&amp;INDEX($AA9:$AC9, 1, AT$2),'INPUT-GADS DATA'!$U$2:$U$7442,"&gt;"&amp;INDEX($AA8:$AC8, 1, AT$2))/VLOOKUP(AT$3, 'Calc-Pivot Table-Derates'!$A$5:$B$22, 2, 0)</f>
        <v>0</v>
      </c>
      <c r="AU9" s="166">
        <f>COUNTIFS('INPUT-GADS DATA'!$A$2:$A$7442,"="&amp;AU$3,'INPUT-GADS DATA'!$B$2:$B$7442,"=D*",'INPUT-GADS DATA'!$U$2:$U$7442,"&lt;="&amp;INDEX($AA9:$AC9, 1, AU$2),'INPUT-GADS DATA'!$U$2:$U$7442,"&gt;"&amp;INDEX($AA8:$AC8, 1, AU$2))/VLOOKUP(AU$3, 'Calc-Pivot Table-Derates'!$A$5:$B$22, 2, 0)</f>
        <v>0.15970515970515969</v>
      </c>
      <c r="AV9" s="105"/>
    </row>
    <row r="10" spans="1:48" x14ac:dyDescent="0.25">
      <c r="A10" s="98" t="s">
        <v>1951</v>
      </c>
      <c r="B10" s="98" t="s">
        <v>30</v>
      </c>
      <c r="C10" s="98" t="s">
        <v>101</v>
      </c>
      <c r="D10" s="98">
        <v>476</v>
      </c>
      <c r="E10" s="98">
        <v>481</v>
      </c>
      <c r="F10" s="98">
        <v>525</v>
      </c>
      <c r="G10" s="98">
        <v>530</v>
      </c>
      <c r="H10" s="98">
        <v>210</v>
      </c>
      <c r="J10" s="98" t="s">
        <v>30</v>
      </c>
      <c r="K10" s="98">
        <v>6</v>
      </c>
      <c r="L10" s="168" t="s">
        <v>157</v>
      </c>
      <c r="M10" s="98">
        <f t="shared" si="2"/>
        <v>481</v>
      </c>
      <c r="N10" s="29">
        <f t="shared" si="3"/>
        <v>210</v>
      </c>
      <c r="O10" s="29">
        <f t="shared" si="4"/>
        <v>271</v>
      </c>
      <c r="P10" s="98">
        <f t="shared" si="5"/>
        <v>3</v>
      </c>
      <c r="Q10" s="98" t="str">
        <f t="shared" si="1"/>
        <v>GH3</v>
      </c>
      <c r="R10" s="105">
        <f>IF($M10-INDEX(Lookup!$AA$4:$AC$8,R$4,$P10)&lt;$N10,$N10,$M10-INDEX(Lookup!$AA$4:$AC$8,R$4,$P10))</f>
        <v>210</v>
      </c>
      <c r="S10" s="105">
        <f>IF($M10-INDEX(Lookup!$AA$4:$AC$8,S$4,$P10)&lt;$N10,$N10,$M10-INDEX(Lookup!$AA$4:$AC$8,S$4,$P10))</f>
        <v>291</v>
      </c>
      <c r="T10" s="105">
        <f>IF($M10-INDEX(Lookup!$AA$4:$AC$8,T$4,$P10)&lt;$N10,$N10,$M10-INDEX(Lookup!$AA$4:$AC$8,T$4,$P10))</f>
        <v>321</v>
      </c>
      <c r="U10" s="105">
        <f>IF($M10-INDEX(Lookup!$AA$4:$AC$8,U$4,$P10)&lt;$N10,$N10,$M10-INDEX(Lookup!$AA$4:$AC$8,U$4,$P10))</f>
        <v>401</v>
      </c>
      <c r="V10" s="105">
        <f>IF($M10-INDEX(Lookup!$AA$4:$AC$8,V$4,$P10)&lt;$N10,$N10,$M10-INDEX(Lookup!$AA$4:$AC$8,V$4,$P10))</f>
        <v>441</v>
      </c>
      <c r="Z10" s="28">
        <v>7</v>
      </c>
      <c r="AA10" s="105">
        <v>150</v>
      </c>
      <c r="AB10" s="105">
        <v>360</v>
      </c>
      <c r="AC10" s="105">
        <v>480</v>
      </c>
      <c r="AD10" s="105"/>
      <c r="AE10" s="105"/>
      <c r="AF10" s="105"/>
      <c r="AG10" s="166" t="str">
        <f>IF(VLOOKUP(AG$3, $J$5:$O$19,6,FALSE)&gt;INDEX($AA10:$AC10, 1, AG$2),COUNTIFS('INPUT-GADS DATA'!$A$2:$A$7442,"="&amp;AG$3,'INPUT-GADS DATA'!$B$2:$B$7442,"=D*",'INPUT-GADS DATA'!$U$2:$U$7442,"&lt;="&amp;INDEX($AA10:$AC10, 1, AG$2),'INPUT-GADS DATA'!$U$2:$U$7442,"&gt;"&amp;INDEX($AA9:$AC9, 1, AG$2))/VLOOKUP(AG$3, 'Calc-Pivot Table-Derates'!$A$5:$B$22, 2, 0),IF(AND(VLOOKUP(AG$3,$J$5:$O$19,6, FALSE)&lt;=INDEX($AA10:$AC10, 1, AG$2),VLOOKUP(AG$3,$J$5:$O$19,6,FALSE)&gt;INDEX($AA9:$AC9, 1, AG$2)),COUNTIFS('INPUT-GADS DATA'!$A$2:$A$7442,"="&amp;AG$3,'INPUT-GADS DATA'!$B$2:$B$7442,"=D*",'INPUT-GADS DATA'!$U$2:$U$7442,"&lt;="&amp;VLOOKUP(Lookup!AG$3,$J$5:$O$19,6,FALSE),'INPUT-GADS DATA'!$U$2:$U$7442,"&gt;"&amp;INDEX($AA9:$AC9, 1, AG$2))/VLOOKUP(AG$3, 'Calc-Pivot Table-Derates'!$A$5:$B$22, 2, 0),"NA"))</f>
        <v>NA</v>
      </c>
      <c r="AH10" s="166" t="str">
        <f>IF(AND(VLOOKUP(AH$3, $J$5:$O$19,6,FALSE)&gt;INDEX($AA10:$AC10, 1, AH$2),VLOOKUP(AH$3, $J$5:$O$19,6,FALSE)&gt;INDEX($AA9:$AC9, 1, AH$2)),COUNTIFS('INPUT-GADS DATA'!$A$2:$A$7442,"="&amp;AH$3,'INPUT-GADS DATA'!$B$2:$B$7442,"=D*",'INPUT-GADS DATA'!$U$2:$U$7442,"&lt;="&amp;INDEX($AA10:$AC10, 1, AH$2),'INPUT-GADS DATA'!$U$2:$U$7442,"&gt;"&amp;INDEX($AA9:$AC9, 1, AH$2))/VLOOKUP(AH$3, 'Calc-Pivot Table-Derates'!$A$5:$B$22, 2, 0),IF(AND(VLOOKUP(AH$3,$J$5:$O$19,6, FALSE)&lt;=INDEX($AA10:$AC10, 1, AH$2),VLOOKUP(AH$3,$J$5:$O$19,6,FALSE)&gt;INDEX($AA9:$AC9, 1, AH$2)),COUNTIFS('INPUT-GADS DATA'!$A$2:$A$7442,"="&amp;AH$3,'INPUT-GADS DATA'!$B$2:$B$7442,"=D*",'INPUT-GADS DATA'!$U$2:$U$7442,"&lt;="&amp;VLOOKUP(Lookup!AH$3,$J$5:$O$19,6,FALSE),'INPUT-GADS DATA'!$U$2:$U$7442,"&gt;"&amp;INDEX($AA9:$AC9, 1, AH$2))/VLOOKUP(AH$3, 'Calc-Pivot Table-Derates'!$A$5:$B$22, 2, 0),"NA"))</f>
        <v>NA</v>
      </c>
      <c r="AI10" s="166">
        <f>COUNTIFS('INPUT-GADS DATA'!$A$2:$A$7442,"="&amp;AI$3,'INPUT-GADS DATA'!$B$2:$B$7442,"=D*",'INPUT-GADS DATA'!$U$2:$U$7442,"&lt;="&amp;INDEX($AA10:$AC10, 1, AI$2),'INPUT-GADS DATA'!$U$2:$U$7442,"&gt;"&amp;INDEX($AA9:$AC9, 1, AI$2))/VLOOKUP(AI$3, 'Calc-Pivot Table-Derates'!$A$5:$B$22, 2, 0)</f>
        <v>0</v>
      </c>
      <c r="AJ10" s="166">
        <f>COUNTIFS('INPUT-GADS DATA'!$A$2:$A$7442,"="&amp;AJ$3,'INPUT-GADS DATA'!$B$2:$B$7442,"=D*",'INPUT-GADS DATA'!$U$2:$U$7442,"&lt;="&amp;INDEX($AA10:$AC10, 1, AJ$2),'INPUT-GADS DATA'!$U$2:$U$7442,"&gt;"&amp;INDEX($AA9:$AC9, 1, AJ$2))/VLOOKUP(AJ$3, 'Calc-Pivot Table-Derates'!$A$5:$B$22, 2, 0)</f>
        <v>5.434782608695652E-3</v>
      </c>
      <c r="AK10" s="166">
        <f>COUNTIFS('INPUT-GADS DATA'!$A$2:$A$7442,"="&amp;AK$3,'INPUT-GADS DATA'!$B$2:$B$7442,"=D*",'INPUT-GADS DATA'!$U$2:$U$7442,"&lt;="&amp;INDEX($AA10:$AC10, 1, AK$2),'INPUT-GADS DATA'!$U$2:$U$7442,"&gt;"&amp;INDEX($AA9:$AC9, 1, AK$2))/VLOOKUP(AK$3, 'Calc-Pivot Table-Derates'!$A$5:$B$22, 2, 0)</f>
        <v>0</v>
      </c>
      <c r="AL10" s="166">
        <f>COUNTIFS('INPUT-GADS DATA'!$A$2:$A$7442,"="&amp;AL$3,'INPUT-GADS DATA'!$B$2:$B$7442,"=D*",'INPUT-GADS DATA'!$U$2:$U$7442,"&lt;="&amp;INDEX($AA10:$AC10, 1, AL$2),'INPUT-GADS DATA'!$U$2:$U$7442,"&gt;"&amp;INDEX($AA9:$AC9, 1, AL$2))/VLOOKUP(AL$3, 'Calc-Pivot Table-Derates'!$A$5:$B$22, 2, 0)</f>
        <v>5.8823529411764705E-3</v>
      </c>
      <c r="AM10" s="166">
        <f>COUNTIFS('INPUT-GADS DATA'!$A$2:$A$7442,"="&amp;AM$3,'INPUT-GADS DATA'!$B$2:$B$7442,"=D*",'INPUT-GADS DATA'!$U$2:$U$7442,"&lt;="&amp;INDEX($AA10:$AC10, 1, AM$2),'INPUT-GADS DATA'!$U$2:$U$7442,"&gt;"&amp;INDEX($AA9:$AC9, 1, AM$2))/VLOOKUP(AM$3, 'Calc-Pivot Table-Derates'!$A$5:$B$22, 2, 0)</f>
        <v>0</v>
      </c>
      <c r="AN10" s="166" t="str">
        <f>IF(VLOOKUP(AN$3, $J$5:$O$19,6,FALSE)&gt;INDEX($AA10:$AC10, 1, AN$2),COUNTIFS('INPUT-GADS DATA'!$A$2:$A$7442,"="&amp;AN$3,'INPUT-GADS DATA'!$B$2:$B$7442,"=D*",'INPUT-GADS DATA'!$U$2:$U$7442,"&lt;="&amp;INDEX($AA10:$AC10, 1, AN$2),'INPUT-GADS DATA'!$U$2:$U$7442,"&gt;"&amp;INDEX($AA9:$AC9, 1, AN$2))/VLOOKUP(AN$3, 'Calc-Pivot Table-Derates'!$A$5:$B$22, 2, 0),IF(AND(VLOOKUP(AN$3,$J$5:$O$19,6, FALSE)&lt;=INDEX($AA10:$AC10, 1, AN$2),VLOOKUP(AN$3,$J$5:$O$19,6,FALSE)&gt;INDEX($AA9:$AC9, 1, AN$2)),COUNTIFS('INPUT-GADS DATA'!$A$2:$A$7442,"="&amp;AN$3,'INPUT-GADS DATA'!$B$2:$B$7442,"=D*",'INPUT-GADS DATA'!$U$2:$U$7442,"&lt;="&amp;VLOOKUP(Lookup!AN$3,$J$5:$O$19,6,FALSE),'INPUT-GADS DATA'!$U$2:$U$7442,"&gt;"&amp;INDEX($AA9:$AC9, 1, AN$2))/VLOOKUP(AN$3, 'Calc-Pivot Table-Derates'!$A$5:$B$22, 2, 0),"NA"))</f>
        <v>NA</v>
      </c>
      <c r="AO10" s="166" t="str">
        <f>IF(VLOOKUP(AO$3, $J$5:$O$19,6,FALSE)&gt;INDEX($AA10:$AC10, 1, AO$2),COUNTIFS('INPUT-GADS DATA'!$A$2:$A$7442,"="&amp;AO$3,'INPUT-GADS DATA'!$B$2:$B$7442,"=D*",'INPUT-GADS DATA'!$U$2:$U$7442,"&lt;="&amp;INDEX($AA10:$AC10, 1, AO$2),'INPUT-GADS DATA'!$U$2:$U$7442,"&gt;"&amp;INDEX($AA9:$AC9, 1, AO$2))/VLOOKUP(AO$3, 'Calc-Pivot Table-Derates'!$A$5:$B$22, 2, 0),IF(AND(VLOOKUP(AO$3,$J$5:$O$19,6, FALSE)&lt;=INDEX($AA10:$AC10, 1, AO$2),VLOOKUP(AO$3,$J$5:$O$19,6,FALSE)&gt;INDEX($AA9:$AC9, 1, AO$2)),COUNTIFS('INPUT-GADS DATA'!$A$2:$A$7442,"="&amp;AO$3,'INPUT-GADS DATA'!$B$2:$B$7442,"=D*",'INPUT-GADS DATA'!$U$2:$U$7442,"&lt;="&amp;VLOOKUP(Lookup!AO$3,$J$5:$O$19,6,FALSE),'INPUT-GADS DATA'!$U$2:$U$7442,"&gt;"&amp;INDEX($AA9:$AC9, 1, AO$2))/VLOOKUP(AO$3, 'Calc-Pivot Table-Derates'!$A$5:$B$22, 2, 0),"NA"))</f>
        <v>NA</v>
      </c>
      <c r="AP10" s="166">
        <f>COUNTIFS('INPUT-GADS DATA'!$A$2:$A$7442,"="&amp;AP$3,'INPUT-GADS DATA'!$B$2:$B$7442,"=D*",'INPUT-GADS DATA'!$U$2:$U$7442,"&lt;="&amp;INDEX($AA10:$AC10, 1, AP$2),'INPUT-GADS DATA'!$U$2:$U$7442,"&gt;"&amp;INDEX($AA9:$AC9, 1, AP$2))/VLOOKUP(AP$3, 'Calc-Pivot Table-Derates'!$A$5:$B$22, 2, 0)</f>
        <v>5.5762081784386614E-3</v>
      </c>
      <c r="AQ10" s="166">
        <f>COUNTIFS('INPUT-GADS DATA'!$A$2:$A$7442,"="&amp;AQ$3,'INPUT-GADS DATA'!$B$2:$B$7442,"=D*",'INPUT-GADS DATA'!$U$2:$U$7442,"&lt;="&amp;INDEX($AA10:$AC10, 1, AQ$2),'INPUT-GADS DATA'!$U$2:$U$7442,"&gt;"&amp;INDEX($AA9:$AC9, 1, AQ$2))/VLOOKUP(AQ$3, 'Calc-Pivot Table-Derates'!$A$5:$B$22, 2, 0)</f>
        <v>3.8610038610038611E-3</v>
      </c>
      <c r="AR10" s="166">
        <f>COUNTIFS('INPUT-GADS DATA'!$A$2:$A$7442,"="&amp;AR$3,'INPUT-GADS DATA'!$B$2:$B$7442,"=D*",'INPUT-GADS DATA'!$U$2:$U$7442,"&lt;="&amp;INDEX($AA10:$AC10, 1, AR$2),'INPUT-GADS DATA'!$U$2:$U$7442,"&gt;"&amp;INDEX($AA9:$AC9, 1, AR$2))/VLOOKUP(AR$3, 'Calc-Pivot Table-Derates'!$A$5:$B$22, 2, 0)</f>
        <v>0</v>
      </c>
      <c r="AS10" s="166">
        <f>COUNTIFS('INPUT-GADS DATA'!$A$2:$A$7442,"="&amp;AS$3,'INPUT-GADS DATA'!$B$2:$B$7442,"=D*",'INPUT-GADS DATA'!$U$2:$U$7442,"&lt;="&amp;INDEX($AA10:$AC10, 1, AS$2),'INPUT-GADS DATA'!$U$2:$U$7442,"&gt;"&amp;INDEX($AA9:$AC9, 1, AS$2))/VLOOKUP(AS$3, 'Calc-Pivot Table-Derates'!$A$5:$B$22, 2, 0)</f>
        <v>0</v>
      </c>
      <c r="AT10" s="166">
        <f>COUNTIFS('INPUT-GADS DATA'!$A$2:$A$7442,"="&amp;AT$3,'INPUT-GADS DATA'!$B$2:$B$7442,"=D*",'INPUT-GADS DATA'!$U$2:$U$7442,"&lt;="&amp;INDEX($AA10:$AC10, 1, AT$2),'INPUT-GADS DATA'!$U$2:$U$7442,"&gt;"&amp;INDEX($AA9:$AC9, 1, AT$2))/VLOOKUP(AT$3, 'Calc-Pivot Table-Derates'!$A$5:$B$22, 2, 0)</f>
        <v>0</v>
      </c>
      <c r="AU10" s="166">
        <f>COUNTIFS('INPUT-GADS DATA'!$A$2:$A$7442,"="&amp;AU$3,'INPUT-GADS DATA'!$B$2:$B$7442,"=D*",'INPUT-GADS DATA'!$U$2:$U$7442,"&lt;="&amp;INDEX($AA10:$AC10, 1, AU$2),'INPUT-GADS DATA'!$U$2:$U$7442,"&gt;"&amp;INDEX($AA9:$AC9, 1, AU$2))/VLOOKUP(AU$3, 'Calc-Pivot Table-Derates'!$A$5:$B$22, 2, 0)</f>
        <v>1.7199017199017199E-2</v>
      </c>
      <c r="AV10" s="105"/>
    </row>
    <row r="11" spans="1:48" x14ac:dyDescent="0.25">
      <c r="A11" s="98" t="s">
        <v>1952</v>
      </c>
      <c r="B11" s="98" t="s">
        <v>24</v>
      </c>
      <c r="C11" s="98" t="s">
        <v>101</v>
      </c>
      <c r="D11" s="98">
        <v>478</v>
      </c>
      <c r="E11" s="98">
        <v>478</v>
      </c>
      <c r="F11" s="98">
        <v>525</v>
      </c>
      <c r="G11" s="98">
        <v>525</v>
      </c>
      <c r="H11" s="98">
        <v>215</v>
      </c>
      <c r="J11" s="98" t="s">
        <v>24</v>
      </c>
      <c r="K11" s="98">
        <v>7</v>
      </c>
      <c r="L11" s="168" t="s">
        <v>158</v>
      </c>
      <c r="M11" s="98">
        <f t="shared" si="2"/>
        <v>478</v>
      </c>
      <c r="N11" s="29">
        <f t="shared" si="3"/>
        <v>215</v>
      </c>
      <c r="O11" s="29">
        <f t="shared" si="4"/>
        <v>263</v>
      </c>
      <c r="P11" s="98">
        <f t="shared" si="5"/>
        <v>3</v>
      </c>
      <c r="Q11" s="98" t="str">
        <f t="shared" si="1"/>
        <v>GH4</v>
      </c>
      <c r="R11" s="105">
        <f>IF($M11-INDEX(Lookup!$AA$4:$AC$8,R$4,$P11)&lt;$N11,$N11,$M11-INDEX(Lookup!$AA$4:$AC$8,R$4,$P11))</f>
        <v>215</v>
      </c>
      <c r="S11" s="105">
        <f>IF($M11-INDEX(Lookup!$AA$4:$AC$8,S$4,$P11)&lt;$N11,$N11,$M11-INDEX(Lookup!$AA$4:$AC$8,S$4,$P11))</f>
        <v>288</v>
      </c>
      <c r="T11" s="105">
        <f>IF($M11-INDEX(Lookup!$AA$4:$AC$8,T$4,$P11)&lt;$N11,$N11,$M11-INDEX(Lookup!$AA$4:$AC$8,T$4,$P11))</f>
        <v>318</v>
      </c>
      <c r="U11" s="105">
        <f>IF($M11-INDEX(Lookup!$AA$4:$AC$8,U$4,$P11)&lt;$N11,$N11,$M11-INDEX(Lookup!$AA$4:$AC$8,U$4,$P11))</f>
        <v>398</v>
      </c>
      <c r="V11" s="105">
        <f>IF($M11-INDEX(Lookup!$AA$4:$AC$8,V$4,$P11)&lt;$N11,$N11,$M11-INDEX(Lookup!$AA$4:$AC$8,V$4,$P11))</f>
        <v>438</v>
      </c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</row>
    <row r="12" spans="1:48" hidden="1" x14ac:dyDescent="0.25">
      <c r="A12" s="98" t="s">
        <v>1953</v>
      </c>
      <c r="B12" s="98" t="s">
        <v>16</v>
      </c>
      <c r="C12" s="98" t="s">
        <v>102</v>
      </c>
      <c r="D12" s="98">
        <v>71</v>
      </c>
      <c r="E12" s="98">
        <v>68</v>
      </c>
      <c r="F12" s="98">
        <v>75</v>
      </c>
      <c r="G12" s="98">
        <v>72</v>
      </c>
      <c r="H12" s="98">
        <v>37</v>
      </c>
      <c r="J12" s="98" t="s">
        <v>16</v>
      </c>
      <c r="K12" s="98">
        <v>8</v>
      </c>
      <c r="L12" s="167" t="s">
        <v>159</v>
      </c>
      <c r="M12" s="98">
        <f t="shared" si="2"/>
        <v>71</v>
      </c>
      <c r="N12" s="29">
        <f t="shared" si="3"/>
        <v>37</v>
      </c>
      <c r="O12" s="29">
        <f t="shared" si="4"/>
        <v>34</v>
      </c>
      <c r="P12" s="98">
        <f t="shared" si="5"/>
        <v>1</v>
      </c>
      <c r="Q12" s="98" t="str">
        <f t="shared" si="1"/>
        <v>GR3</v>
      </c>
      <c r="R12" s="105">
        <f>IF($M12-INDEX(Lookup!$AA$4:$AC$8,R$4,$P12)&lt;$N12,$N12,$M12-INDEX(Lookup!$AA$4:$AC$8,R$4,$P12))</f>
        <v>37</v>
      </c>
      <c r="S12" s="105">
        <f>IF($M12-INDEX(Lookup!$AA$4:$AC$8,S$4,$P12)&lt;$N12,$N12,$M12-INDEX(Lookup!$AA$4:$AC$8,S$4,$P12))</f>
        <v>38</v>
      </c>
      <c r="T12" s="105">
        <f>IF($M12-INDEX(Lookup!$AA$4:$AC$8,T$4,$P12)&lt;$N12,$N12,$M12-INDEX(Lookup!$AA$4:$AC$8,T$4,$P12))</f>
        <v>41</v>
      </c>
      <c r="U12" s="105">
        <f>IF($M12-INDEX(Lookup!$AA$4:$AC$8,U$4,$P12)&lt;$N12,$N12,$M12-INDEX(Lookup!$AA$4:$AC$8,U$4,$P12))</f>
        <v>51</v>
      </c>
      <c r="V12" s="105">
        <f>IF($M12-INDEX(Lookup!$AA$4:$AC$8,V$4,$P12)&lt;$N12,$N12,$M12-INDEX(Lookup!$AA$4:$AC$8,V$4,$P12))</f>
        <v>61</v>
      </c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69"/>
      <c r="AQ12" s="169"/>
      <c r="AR12" s="169"/>
      <c r="AS12" s="169"/>
      <c r="AT12" s="169"/>
      <c r="AU12" s="169"/>
      <c r="AV12" s="105"/>
    </row>
    <row r="13" spans="1:48" hidden="1" x14ac:dyDescent="0.25">
      <c r="A13" s="98" t="s">
        <v>1954</v>
      </c>
      <c r="B13" s="98" t="s">
        <v>34</v>
      </c>
      <c r="C13" s="98" t="s">
        <v>102</v>
      </c>
      <c r="D13" s="98">
        <v>98</v>
      </c>
      <c r="E13" s="98">
        <v>93</v>
      </c>
      <c r="F13" s="98">
        <v>105</v>
      </c>
      <c r="G13" s="98">
        <v>100</v>
      </c>
      <c r="H13" s="98">
        <v>37</v>
      </c>
      <c r="J13" s="98" t="s">
        <v>34</v>
      </c>
      <c r="K13" s="98">
        <v>9</v>
      </c>
      <c r="L13" s="167" t="s">
        <v>160</v>
      </c>
      <c r="M13" s="98">
        <f t="shared" si="2"/>
        <v>98</v>
      </c>
      <c r="N13" s="29">
        <f t="shared" si="3"/>
        <v>37</v>
      </c>
      <c r="O13" s="29">
        <f t="shared" si="4"/>
        <v>61</v>
      </c>
      <c r="P13" s="98">
        <f t="shared" si="5"/>
        <v>1</v>
      </c>
      <c r="Q13" s="98" t="str">
        <f t="shared" si="1"/>
        <v>GR4</v>
      </c>
      <c r="R13" s="105">
        <f>IF($M13-INDEX(Lookup!$AA$4:$AC$8,R$4,$P13)&lt;$N13,$N13,$M13-INDEX(Lookup!$AA$4:$AC$8,R$4,$P13))</f>
        <v>37</v>
      </c>
      <c r="S13" s="105">
        <f>IF($M13-INDEX(Lookup!$AA$4:$AC$8,S$4,$P13)&lt;$N13,$N13,$M13-INDEX(Lookup!$AA$4:$AC$8,S$4,$P13))</f>
        <v>65</v>
      </c>
      <c r="T13" s="105">
        <f>IF($M13-INDEX(Lookup!$AA$4:$AC$8,T$4,$P13)&lt;$N13,$N13,$M13-INDEX(Lookup!$AA$4:$AC$8,T$4,$P13))</f>
        <v>68</v>
      </c>
      <c r="U13" s="105">
        <f>IF($M13-INDEX(Lookup!$AA$4:$AC$8,U$4,$P13)&lt;$N13,$N13,$M13-INDEX(Lookup!$AA$4:$AC$8,U$4,$P13))</f>
        <v>78</v>
      </c>
      <c r="V13" s="105">
        <f>IF($M13-INDEX(Lookup!$AA$4:$AC$8,V$4,$P13)&lt;$N13,$N13,$M13-INDEX(Lookup!$AA$4:$AC$8,V$4,$P13))</f>
        <v>88</v>
      </c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69"/>
      <c r="AQ13" s="169"/>
      <c r="AR13" s="169"/>
      <c r="AS13" s="169"/>
      <c r="AT13" s="169"/>
      <c r="AU13" s="169"/>
      <c r="AV13" s="105"/>
    </row>
    <row r="14" spans="1:48" x14ac:dyDescent="0.25">
      <c r="A14" s="98" t="s">
        <v>1955</v>
      </c>
      <c r="B14" s="98" t="s">
        <v>23</v>
      </c>
      <c r="C14" s="98" t="s">
        <v>103</v>
      </c>
      <c r="D14" s="98">
        <v>300</v>
      </c>
      <c r="E14" s="98">
        <v>300</v>
      </c>
      <c r="F14" s="98">
        <v>330</v>
      </c>
      <c r="G14" s="98">
        <v>330</v>
      </c>
      <c r="H14" s="98">
        <v>115</v>
      </c>
      <c r="J14" s="98" t="s">
        <v>23</v>
      </c>
      <c r="K14" s="98">
        <v>10</v>
      </c>
      <c r="L14" s="167" t="s">
        <v>161</v>
      </c>
      <c r="M14" s="98">
        <f t="shared" si="2"/>
        <v>300</v>
      </c>
      <c r="N14" s="29">
        <f t="shared" si="3"/>
        <v>115</v>
      </c>
      <c r="O14" s="29">
        <f t="shared" si="4"/>
        <v>185</v>
      </c>
      <c r="P14" s="98">
        <f t="shared" si="5"/>
        <v>2</v>
      </c>
      <c r="Q14" s="98" t="str">
        <f t="shared" si="1"/>
        <v>MC1</v>
      </c>
      <c r="R14" s="105">
        <f>IF($M14-INDEX(Lookup!$AA$4:$AC$8,R$4,$P14)&lt;$N14,$N14,$M14-INDEX(Lookup!$AA$4:$AC$8,R$4,$P14))</f>
        <v>150</v>
      </c>
      <c r="S14" s="105">
        <f>IF($M14-INDEX(Lookup!$AA$4:$AC$8,S$4,$P14)&lt;$N14,$N14,$M14-INDEX(Lookup!$AA$4:$AC$8,S$4,$P14))</f>
        <v>210</v>
      </c>
      <c r="T14" s="105">
        <f>IF($M14-INDEX(Lookup!$AA$4:$AC$8,T$4,$P14)&lt;$N14,$N14,$M14-INDEX(Lookup!$AA$4:$AC$8,T$4,$P14))</f>
        <v>220</v>
      </c>
      <c r="U14" s="105">
        <f>IF($M14-INDEX(Lookup!$AA$4:$AC$8,U$4,$P14)&lt;$N14,$N14,$M14-INDEX(Lookup!$AA$4:$AC$8,U$4,$P14))</f>
        <v>260</v>
      </c>
      <c r="V14" s="105">
        <f>IF($M14-INDEX(Lookup!$AA$4:$AC$8,V$4,$P14)&lt;$N14,$N14,$M14-INDEX(Lookup!$AA$4:$AC$8,V$4,$P14))</f>
        <v>280</v>
      </c>
      <c r="AP14" s="170"/>
      <c r="AQ14" s="170"/>
      <c r="AR14" s="170"/>
      <c r="AS14" s="170"/>
      <c r="AT14" s="170"/>
      <c r="AU14" s="170"/>
    </row>
    <row r="15" spans="1:48" x14ac:dyDescent="0.25">
      <c r="A15" s="98" t="s">
        <v>1956</v>
      </c>
      <c r="B15" s="98" t="s">
        <v>35</v>
      </c>
      <c r="C15" s="98" t="s">
        <v>103</v>
      </c>
      <c r="D15" s="98">
        <v>295</v>
      </c>
      <c r="E15" s="98">
        <v>297</v>
      </c>
      <c r="F15" s="98">
        <v>330</v>
      </c>
      <c r="G15" s="98">
        <v>330</v>
      </c>
      <c r="H15" s="98">
        <v>115</v>
      </c>
      <c r="J15" s="98" t="s">
        <v>35</v>
      </c>
      <c r="K15" s="98">
        <v>11</v>
      </c>
      <c r="L15" s="167" t="s">
        <v>162</v>
      </c>
      <c r="M15" s="98">
        <f t="shared" si="2"/>
        <v>297</v>
      </c>
      <c r="N15" s="29">
        <f t="shared" si="3"/>
        <v>115</v>
      </c>
      <c r="O15" s="29">
        <f t="shared" si="4"/>
        <v>182</v>
      </c>
      <c r="P15" s="98">
        <f t="shared" si="5"/>
        <v>2</v>
      </c>
      <c r="Q15" s="98" t="str">
        <f t="shared" si="1"/>
        <v>MC2</v>
      </c>
      <c r="R15" s="105">
        <f>IF($M15-INDEX(Lookup!$AA$4:$AC$8,R$4,$P15)&lt;$N15,$N15,$M15-INDEX(Lookup!$AA$4:$AC$8,R$4,$P15))</f>
        <v>147</v>
      </c>
      <c r="S15" s="105">
        <f>IF($M15-INDEX(Lookup!$AA$4:$AC$8,S$4,$P15)&lt;$N15,$N15,$M15-INDEX(Lookup!$AA$4:$AC$8,S$4,$P15))</f>
        <v>207</v>
      </c>
      <c r="T15" s="105">
        <f>IF($M15-INDEX(Lookup!$AA$4:$AC$8,T$4,$P15)&lt;$N15,$N15,$M15-INDEX(Lookup!$AA$4:$AC$8,T$4,$P15))</f>
        <v>217</v>
      </c>
      <c r="U15" s="105">
        <f>IF($M15-INDEX(Lookup!$AA$4:$AC$8,U$4,$P15)&lt;$N15,$N15,$M15-INDEX(Lookup!$AA$4:$AC$8,U$4,$P15))</f>
        <v>257</v>
      </c>
      <c r="V15" s="105">
        <f>IF($M15-INDEX(Lookup!$AA$4:$AC$8,V$4,$P15)&lt;$N15,$N15,$M15-INDEX(Lookup!$AA$4:$AC$8,V$4,$P15))</f>
        <v>277</v>
      </c>
      <c r="AP15" s="170"/>
      <c r="AQ15" s="170"/>
      <c r="AR15" s="170"/>
      <c r="AS15" s="170"/>
      <c r="AT15" s="170"/>
      <c r="AU15" s="170"/>
    </row>
    <row r="16" spans="1:48" x14ac:dyDescent="0.25">
      <c r="A16" s="98" t="s">
        <v>1957</v>
      </c>
      <c r="B16" s="98" t="s">
        <v>29</v>
      </c>
      <c r="C16" s="98" t="s">
        <v>103</v>
      </c>
      <c r="D16" s="98">
        <v>394</v>
      </c>
      <c r="E16" s="98">
        <v>391</v>
      </c>
      <c r="F16" s="98">
        <v>423</v>
      </c>
      <c r="G16" s="98">
        <v>422</v>
      </c>
      <c r="H16" s="98">
        <v>170</v>
      </c>
      <c r="J16" s="98" t="s">
        <v>29</v>
      </c>
      <c r="K16" s="98">
        <v>12</v>
      </c>
      <c r="L16" s="167" t="s">
        <v>163</v>
      </c>
      <c r="M16" s="98">
        <f t="shared" si="2"/>
        <v>394</v>
      </c>
      <c r="N16" s="29">
        <f t="shared" si="3"/>
        <v>170</v>
      </c>
      <c r="O16" s="29">
        <f t="shared" si="4"/>
        <v>224</v>
      </c>
      <c r="P16" s="98">
        <f t="shared" si="5"/>
        <v>3</v>
      </c>
      <c r="Q16" s="98" t="str">
        <f t="shared" si="1"/>
        <v>MC3</v>
      </c>
      <c r="R16" s="105">
        <f>IF($M16-INDEX(Lookup!$AA$4:$AC$8,R$4,$P16)&lt;$N16,$N16,$M16-INDEX(Lookup!$AA$4:$AC$8,R$4,$P16))</f>
        <v>170</v>
      </c>
      <c r="S16" s="105">
        <f>IF($M16-INDEX(Lookup!$AA$4:$AC$8,S$4,$P16)&lt;$N16,$N16,$M16-INDEX(Lookup!$AA$4:$AC$8,S$4,$P16))</f>
        <v>204</v>
      </c>
      <c r="T16" s="105">
        <f>IF($M16-INDEX(Lookup!$AA$4:$AC$8,T$4,$P16)&lt;$N16,$N16,$M16-INDEX(Lookup!$AA$4:$AC$8,T$4,$P16))</f>
        <v>234</v>
      </c>
      <c r="U16" s="105">
        <f>IF($M16-INDEX(Lookup!$AA$4:$AC$8,U$4,$P16)&lt;$N16,$N16,$M16-INDEX(Lookup!$AA$4:$AC$8,U$4,$P16))</f>
        <v>314</v>
      </c>
      <c r="V16" s="105">
        <f>IF($M16-INDEX(Lookup!$AA$4:$AC$8,V$4,$P16)&lt;$N16,$N16,$M16-INDEX(Lookup!$AA$4:$AC$8,V$4,$P16))</f>
        <v>354</v>
      </c>
      <c r="AP16" s="170"/>
      <c r="AQ16" s="170"/>
      <c r="AR16" s="170"/>
      <c r="AS16" s="170"/>
      <c r="AT16" s="170"/>
      <c r="AU16" s="170"/>
    </row>
    <row r="17" spans="1:34" x14ac:dyDescent="0.25">
      <c r="A17" s="98" t="s">
        <v>1958</v>
      </c>
      <c r="B17" s="98" t="s">
        <v>25</v>
      </c>
      <c r="C17" s="98" t="s">
        <v>103</v>
      </c>
      <c r="D17" s="98">
        <v>486</v>
      </c>
      <c r="E17" s="98">
        <v>477</v>
      </c>
      <c r="F17" s="98">
        <v>525</v>
      </c>
      <c r="G17" s="98">
        <v>517</v>
      </c>
      <c r="H17" s="98">
        <v>175</v>
      </c>
      <c r="J17" s="98" t="s">
        <v>25</v>
      </c>
      <c r="K17" s="98">
        <v>13</v>
      </c>
      <c r="L17" s="167" t="s">
        <v>164</v>
      </c>
      <c r="M17" s="98">
        <f t="shared" si="2"/>
        <v>486</v>
      </c>
      <c r="N17" s="29">
        <f t="shared" si="3"/>
        <v>175</v>
      </c>
      <c r="O17" s="29">
        <f t="shared" si="4"/>
        <v>311</v>
      </c>
      <c r="P17" s="98">
        <f t="shared" si="5"/>
        <v>3</v>
      </c>
      <c r="Q17" s="98" t="str">
        <f t="shared" si="1"/>
        <v>MC4</v>
      </c>
      <c r="R17" s="105">
        <f>IF($M17-INDEX(Lookup!$AA$4:$AC$8,R$4,$P17)&lt;$N17,$N17,$M17-INDEX(Lookup!$AA$4:$AC$8,R$4,$P17))</f>
        <v>175</v>
      </c>
      <c r="S17" s="105">
        <f>IF($M17-INDEX(Lookup!$AA$4:$AC$8,S$4,$P17)&lt;$N17,$N17,$M17-INDEX(Lookup!$AA$4:$AC$8,S$4,$P17))</f>
        <v>296</v>
      </c>
      <c r="T17" s="105">
        <f>IF($M17-INDEX(Lookup!$AA$4:$AC$8,T$4,$P17)&lt;$N17,$N17,$M17-INDEX(Lookup!$AA$4:$AC$8,T$4,$P17))</f>
        <v>326</v>
      </c>
      <c r="U17" s="105">
        <f>IF($M17-INDEX(Lookup!$AA$4:$AC$8,U$4,$P17)&lt;$N17,$N17,$M17-INDEX(Lookup!$AA$4:$AC$8,U$4,$P17))</f>
        <v>406</v>
      </c>
      <c r="V17" s="105">
        <f>IF($M17-INDEX(Lookup!$AA$4:$AC$8,V$4,$P17)&lt;$N17,$N17,$M17-INDEX(Lookup!$AA$4:$AC$8,V$4,$P17))</f>
        <v>446</v>
      </c>
      <c r="AH17" s="171"/>
    </row>
    <row r="18" spans="1:34" x14ac:dyDescent="0.25">
      <c r="A18" s="98" t="s">
        <v>4982</v>
      </c>
      <c r="B18" s="98" t="s">
        <v>19</v>
      </c>
      <c r="C18" s="98" t="s">
        <v>104</v>
      </c>
      <c r="D18" s="98">
        <v>493</v>
      </c>
      <c r="E18" s="98">
        <v>493</v>
      </c>
      <c r="F18" s="98">
        <v>530</v>
      </c>
      <c r="G18" s="98">
        <v>530</v>
      </c>
      <c r="H18" s="98">
        <v>188</v>
      </c>
      <c r="J18" s="98" t="s">
        <v>19</v>
      </c>
      <c r="K18" s="98">
        <v>14</v>
      </c>
      <c r="L18" s="167" t="s">
        <v>165</v>
      </c>
      <c r="M18" s="98">
        <f t="shared" si="2"/>
        <v>493</v>
      </c>
      <c r="N18" s="29">
        <f t="shared" si="3"/>
        <v>188</v>
      </c>
      <c r="O18" s="29">
        <f t="shared" si="4"/>
        <v>305</v>
      </c>
      <c r="P18" s="98">
        <f t="shared" si="5"/>
        <v>3</v>
      </c>
      <c r="Q18" s="98" t="str">
        <f t="shared" si="1"/>
        <v>TC1</v>
      </c>
      <c r="R18" s="105">
        <f>IF($M18-INDEX(Lookup!$AA$4:$AC$8,R$4,$P18)&lt;$N18,$N18,$M18-INDEX(Lookup!$AA$4:$AC$8,R$4,$P18))</f>
        <v>188</v>
      </c>
      <c r="S18" s="105">
        <f>IF($M18-INDEX(Lookup!$AA$4:$AC$8,S$4,$P18)&lt;$N18,$N18,$M18-INDEX(Lookup!$AA$4:$AC$8,S$4,$P18))</f>
        <v>303</v>
      </c>
      <c r="T18" s="105">
        <f>IF($M18-INDEX(Lookup!$AA$4:$AC$8,T$4,$P18)&lt;$N18,$N18,$M18-INDEX(Lookup!$AA$4:$AC$8,T$4,$P18))</f>
        <v>333</v>
      </c>
      <c r="U18" s="105">
        <f>IF($M18-INDEX(Lookup!$AA$4:$AC$8,U$4,$P18)&lt;$N18,$N18,$M18-INDEX(Lookup!$AA$4:$AC$8,U$4,$P18))</f>
        <v>413</v>
      </c>
      <c r="V18" s="105">
        <f>IF($M18-INDEX(Lookup!$AA$4:$AC$8,V$4,$P18)&lt;$N18,$N18,$M18-INDEX(Lookup!$AA$4:$AC$8,V$4,$P18))</f>
        <v>453</v>
      </c>
    </row>
    <row r="19" spans="1:34" x14ac:dyDescent="0.25">
      <c r="A19" s="98" t="s">
        <v>4983</v>
      </c>
      <c r="B19" s="98" t="s">
        <v>69</v>
      </c>
      <c r="C19" s="98" t="s">
        <v>104</v>
      </c>
      <c r="D19" s="98">
        <v>760</v>
      </c>
      <c r="E19" s="98">
        <v>732</v>
      </c>
      <c r="F19" s="98">
        <v>809</v>
      </c>
      <c r="G19" s="98">
        <v>781</v>
      </c>
      <c r="H19" s="98">
        <v>420</v>
      </c>
      <c r="J19" s="98" t="s">
        <v>69</v>
      </c>
      <c r="K19" s="98">
        <v>15</v>
      </c>
      <c r="L19" s="167" t="s">
        <v>166</v>
      </c>
      <c r="M19" s="98">
        <f t="shared" si="2"/>
        <v>760</v>
      </c>
      <c r="N19" s="29">
        <f t="shared" si="3"/>
        <v>420</v>
      </c>
      <c r="O19" s="29">
        <f t="shared" si="4"/>
        <v>340</v>
      </c>
      <c r="P19" s="98">
        <f t="shared" si="5"/>
        <v>3</v>
      </c>
      <c r="Q19" s="98" t="str">
        <f t="shared" si="1"/>
        <v>TC2</v>
      </c>
      <c r="R19" s="105">
        <f>IF($M19-INDEX(Lookup!$AA$4:$AC$8,R$4,$P19)&lt;$N19,$N19,$M19-INDEX(Lookup!$AA$4:$AC$8,R$4,$P19))</f>
        <v>440</v>
      </c>
      <c r="S19" s="105">
        <f>IF($M19-INDEX(Lookup!$AA$4:$AC$8,S$4,$P19)&lt;$N19,$N19,$M19-INDEX(Lookup!$AA$4:$AC$8,S$4,$P19))</f>
        <v>570</v>
      </c>
      <c r="T19" s="105">
        <f>IF($M19-INDEX(Lookup!$AA$4:$AC$8,T$4,$P19)&lt;$N19,$N19,$M19-INDEX(Lookup!$AA$4:$AC$8,T$4,$P19))</f>
        <v>600</v>
      </c>
      <c r="U19" s="105">
        <f>IF($M19-INDEX(Lookup!$AA$4:$AC$8,U$4,$P19)&lt;$N19,$N19,$M19-INDEX(Lookup!$AA$4:$AC$8,U$4,$P19))</f>
        <v>680</v>
      </c>
      <c r="V19" s="105">
        <f>IF($M19-INDEX(Lookup!$AA$4:$AC$8,V$4,$P19)&lt;$N19,$N19,$M19-INDEX(Lookup!$AA$4:$AC$8,V$4,$P19))</f>
        <v>720</v>
      </c>
      <c r="AH19" s="171"/>
    </row>
    <row r="21" spans="1:34" x14ac:dyDescent="0.25">
      <c r="J21" s="29" t="str">
        <f t="array" ref="J21:X26">TRANSPOSE($Q$5:$V$19)</f>
        <v>BR1</v>
      </c>
      <c r="K21" s="29" t="str">
        <v>BR2</v>
      </c>
      <c r="L21" s="29" t="str">
        <v>BR3</v>
      </c>
      <c r="M21" s="29" t="str">
        <v>GH1</v>
      </c>
      <c r="N21" s="29" t="str">
        <v>GH2</v>
      </c>
      <c r="O21" s="29" t="str">
        <v>GH3</v>
      </c>
      <c r="P21" s="29" t="str">
        <v>GH4</v>
      </c>
      <c r="Q21" s="29" t="str">
        <v>GR3</v>
      </c>
      <c r="R21" s="29" t="str">
        <v>GR4</v>
      </c>
      <c r="S21" s="29" t="str">
        <v>MC1</v>
      </c>
      <c r="T21" s="29" t="str">
        <v>MC2</v>
      </c>
      <c r="U21" s="29" t="str">
        <v>MC3</v>
      </c>
      <c r="V21" s="29" t="str">
        <v>MC4</v>
      </c>
      <c r="W21" s="29" t="str">
        <v>TC1</v>
      </c>
      <c r="X21" s="29" t="str">
        <v>TC2</v>
      </c>
    </row>
    <row r="22" spans="1:34" x14ac:dyDescent="0.25">
      <c r="J22" s="29">
        <v>37</v>
      </c>
      <c r="K22" s="29">
        <v>64</v>
      </c>
      <c r="L22" s="29">
        <v>140</v>
      </c>
      <c r="M22" s="29">
        <v>218</v>
      </c>
      <c r="N22" s="29">
        <v>225</v>
      </c>
      <c r="O22" s="29">
        <v>210</v>
      </c>
      <c r="P22" s="29">
        <v>215</v>
      </c>
      <c r="Q22" s="29">
        <v>37</v>
      </c>
      <c r="R22" s="29">
        <v>37</v>
      </c>
      <c r="S22" s="29">
        <v>150</v>
      </c>
      <c r="T22" s="29">
        <v>147</v>
      </c>
      <c r="U22" s="29">
        <v>170</v>
      </c>
      <c r="V22" s="29">
        <v>175</v>
      </c>
      <c r="W22" s="29">
        <v>188</v>
      </c>
      <c r="X22" s="29">
        <v>440</v>
      </c>
    </row>
    <row r="23" spans="1:34" x14ac:dyDescent="0.25">
      <c r="J23" s="29">
        <v>74</v>
      </c>
      <c r="K23" s="29">
        <v>78</v>
      </c>
      <c r="L23" s="29">
        <v>223</v>
      </c>
      <c r="M23" s="29">
        <v>289</v>
      </c>
      <c r="N23" s="29">
        <v>296</v>
      </c>
      <c r="O23" s="29">
        <v>291</v>
      </c>
      <c r="P23" s="29">
        <v>288</v>
      </c>
      <c r="Q23" s="29">
        <v>38</v>
      </c>
      <c r="R23" s="29">
        <v>65</v>
      </c>
      <c r="S23" s="29">
        <v>210</v>
      </c>
      <c r="T23" s="29">
        <v>207</v>
      </c>
      <c r="U23" s="29">
        <v>204</v>
      </c>
      <c r="V23" s="29">
        <v>296</v>
      </c>
      <c r="W23" s="29">
        <v>303</v>
      </c>
      <c r="X23" s="29">
        <v>570</v>
      </c>
    </row>
    <row r="24" spans="1:34" x14ac:dyDescent="0.25">
      <c r="J24" s="29">
        <v>77</v>
      </c>
      <c r="K24" s="29">
        <v>88</v>
      </c>
      <c r="L24" s="29">
        <v>253</v>
      </c>
      <c r="M24" s="29">
        <v>319</v>
      </c>
      <c r="N24" s="29">
        <v>326</v>
      </c>
      <c r="O24" s="29">
        <v>321</v>
      </c>
      <c r="P24" s="29">
        <v>318</v>
      </c>
      <c r="Q24" s="29">
        <v>41</v>
      </c>
      <c r="R24" s="29">
        <v>68</v>
      </c>
      <c r="S24" s="29">
        <v>220</v>
      </c>
      <c r="T24" s="29">
        <v>217</v>
      </c>
      <c r="U24" s="29">
        <v>234</v>
      </c>
      <c r="V24" s="29">
        <v>326</v>
      </c>
      <c r="W24" s="29">
        <v>333</v>
      </c>
      <c r="X24" s="29">
        <v>600</v>
      </c>
    </row>
    <row r="25" spans="1:34" x14ac:dyDescent="0.25">
      <c r="J25" s="29">
        <v>87</v>
      </c>
      <c r="K25" s="29">
        <v>128</v>
      </c>
      <c r="L25" s="29">
        <v>333</v>
      </c>
      <c r="M25" s="29">
        <v>399</v>
      </c>
      <c r="N25" s="29">
        <v>406</v>
      </c>
      <c r="O25" s="29">
        <v>401</v>
      </c>
      <c r="P25" s="29">
        <v>398</v>
      </c>
      <c r="Q25" s="29">
        <v>51</v>
      </c>
      <c r="R25" s="29">
        <v>78</v>
      </c>
      <c r="S25" s="29">
        <v>260</v>
      </c>
      <c r="T25" s="29">
        <v>257</v>
      </c>
      <c r="U25" s="29">
        <v>314</v>
      </c>
      <c r="V25" s="29">
        <v>406</v>
      </c>
      <c r="W25" s="29">
        <v>413</v>
      </c>
      <c r="X25" s="29">
        <v>680</v>
      </c>
    </row>
    <row r="26" spans="1:34" x14ac:dyDescent="0.25">
      <c r="J26" s="29">
        <v>97</v>
      </c>
      <c r="K26" s="29">
        <v>148</v>
      </c>
      <c r="L26" s="29">
        <v>373</v>
      </c>
      <c r="M26" s="29">
        <v>439</v>
      </c>
      <c r="N26" s="29">
        <v>446</v>
      </c>
      <c r="O26" s="29">
        <v>441</v>
      </c>
      <c r="P26" s="29">
        <v>438</v>
      </c>
      <c r="Q26" s="29">
        <v>61</v>
      </c>
      <c r="R26" s="29">
        <v>88</v>
      </c>
      <c r="S26" s="29">
        <v>280</v>
      </c>
      <c r="T26" s="29">
        <v>277</v>
      </c>
      <c r="U26" s="29">
        <v>354</v>
      </c>
      <c r="V26" s="29">
        <v>446</v>
      </c>
      <c r="W26" s="29">
        <v>453</v>
      </c>
      <c r="X26" s="29">
        <v>720</v>
      </c>
    </row>
    <row r="27" spans="1:34" x14ac:dyDescent="0.25">
      <c r="L27" s="97"/>
    </row>
    <row r="28" spans="1:34" x14ac:dyDescent="0.25">
      <c r="W28" s="163"/>
    </row>
  </sheetData>
  <mergeCells count="2">
    <mergeCell ref="F3:G3"/>
    <mergeCell ref="D3:E3"/>
  </mergeCells>
  <pageMargins left="0.7" right="0.7" top="0.75" bottom="0.75" header="0.3" footer="0.3"/>
  <pageSetup orientation="portrait" r:id="rId1"/>
  <headerFooter>
    <oddHeader>&amp;R&amp;"Times New Roman,Bold"&amp;12Case No. 2018-00294
Attachment 2 to Response to AG-2 Question No. 5
Page &amp;P of &amp;N
Sinclair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7"/>
  <sheetViews>
    <sheetView zoomScale="80" zoomScaleNormal="80" workbookViewId="0"/>
  </sheetViews>
  <sheetFormatPr defaultColWidth="9.140625" defaultRowHeight="15" x14ac:dyDescent="0.25"/>
  <cols>
    <col min="1" max="1" width="10.140625" style="98" bestFit="1" customWidth="1"/>
    <col min="2" max="2" width="10.140625" style="98" customWidth="1"/>
    <col min="3" max="5" width="11.5703125" style="98" bestFit="1" customWidth="1"/>
    <col min="6" max="6" width="12.7109375" style="98" bestFit="1" customWidth="1"/>
    <col min="7" max="11" width="12.5703125" style="98" customWidth="1"/>
    <col min="12" max="12" width="9.140625" style="98"/>
    <col min="13" max="13" width="10.140625" style="98" bestFit="1" customWidth="1"/>
    <col min="14" max="14" width="10.140625" style="98" customWidth="1"/>
    <col min="15" max="17" width="11.5703125" style="98" bestFit="1" customWidth="1"/>
    <col min="18" max="18" width="12.7109375" style="98" bestFit="1" customWidth="1"/>
    <col min="19" max="23" width="12.5703125" style="98" customWidth="1"/>
    <col min="24" max="24" width="9.140625" style="98"/>
    <col min="25" max="25" width="10.140625" style="98" bestFit="1" customWidth="1"/>
    <col min="26" max="26" width="10.140625" style="98" customWidth="1"/>
    <col min="27" max="29" width="11.7109375" style="98" bestFit="1" customWidth="1"/>
    <col min="30" max="30" width="13.140625" style="98" bestFit="1" customWidth="1"/>
    <col min="31" max="31" width="10.5703125" style="98" bestFit="1" customWidth="1"/>
    <col min="32" max="32" width="9.28515625" style="98" bestFit="1" customWidth="1"/>
    <col min="33" max="33" width="10.5703125" style="98" bestFit="1" customWidth="1"/>
    <col min="34" max="34" width="9.85546875" style="98" bestFit="1" customWidth="1"/>
    <col min="35" max="35" width="11" style="98" bestFit="1" customWidth="1"/>
    <col min="36" max="36" width="9.140625" style="98"/>
    <col min="37" max="37" width="10.140625" style="98" bestFit="1" customWidth="1"/>
    <col min="38" max="38" width="10.140625" style="98" customWidth="1"/>
    <col min="39" max="41" width="11.7109375" style="98" bestFit="1" customWidth="1"/>
    <col min="42" max="42" width="13.140625" style="98" bestFit="1" customWidth="1"/>
    <col min="43" max="43" width="10.5703125" style="98" bestFit="1" customWidth="1"/>
    <col min="44" max="44" width="9.28515625" style="98" bestFit="1" customWidth="1"/>
    <col min="45" max="45" width="10.85546875" style="98" bestFit="1" customWidth="1"/>
    <col min="46" max="46" width="9.85546875" style="98" bestFit="1" customWidth="1"/>
    <col min="47" max="47" width="11" style="98" bestFit="1" customWidth="1"/>
    <col min="48" max="48" width="9.140625" style="98"/>
    <col min="49" max="49" width="10.140625" style="98" bestFit="1" customWidth="1"/>
    <col min="50" max="50" width="10.140625" style="98" customWidth="1"/>
    <col min="51" max="53" width="11.7109375" style="98" bestFit="1" customWidth="1"/>
    <col min="54" max="54" width="13.140625" style="98" bestFit="1" customWidth="1"/>
    <col min="55" max="55" width="10.5703125" style="98" bestFit="1" customWidth="1"/>
    <col min="56" max="56" width="9.28515625" style="98" bestFit="1" customWidth="1"/>
    <col min="57" max="57" width="11" style="98" bestFit="1" customWidth="1"/>
    <col min="58" max="58" width="9.28515625" style="98" bestFit="1" customWidth="1"/>
    <col min="59" max="59" width="11" style="98" bestFit="1" customWidth="1"/>
    <col min="60" max="60" width="9.140625" style="98"/>
    <col min="61" max="61" width="10.140625" style="98" bestFit="1" customWidth="1"/>
    <col min="62" max="62" width="10.140625" style="98" customWidth="1"/>
    <col min="63" max="65" width="11.7109375" style="98" bestFit="1" customWidth="1"/>
    <col min="66" max="66" width="13.140625" style="98" bestFit="1" customWidth="1"/>
    <col min="67" max="67" width="10.5703125" style="98" bestFit="1" customWidth="1"/>
    <col min="68" max="68" width="9.28515625" style="98" bestFit="1" customWidth="1"/>
    <col min="69" max="69" width="10.5703125" style="98" bestFit="1" customWidth="1"/>
    <col min="70" max="70" width="9.28515625" style="98" bestFit="1" customWidth="1"/>
    <col min="71" max="71" width="10.85546875" style="98" bestFit="1" customWidth="1"/>
    <col min="72" max="72" width="11.7109375" style="98" bestFit="1" customWidth="1"/>
    <col min="73" max="73" width="10.7109375" style="98" bestFit="1" customWidth="1"/>
    <col min="74" max="74" width="9.140625" style="98"/>
    <col min="75" max="75" width="11.5703125" style="98" bestFit="1" customWidth="1"/>
    <col min="76" max="76" width="13.140625" style="98" bestFit="1" customWidth="1"/>
    <col min="77" max="77" width="11.5703125" style="98" bestFit="1" customWidth="1"/>
    <col min="78" max="78" width="13.85546875" style="98" bestFit="1" customWidth="1"/>
    <col min="79" max="79" width="9.140625" style="98"/>
    <col min="80" max="81" width="13.85546875" style="98" bestFit="1" customWidth="1"/>
    <col min="82" max="82" width="15.140625" style="98" bestFit="1" customWidth="1"/>
    <col min="83" max="83" width="13.85546875" style="98" bestFit="1" customWidth="1"/>
    <col min="84" max="84" width="15.140625" style="98" bestFit="1" customWidth="1"/>
    <col min="85" max="85" width="17.42578125" style="98" bestFit="1" customWidth="1"/>
    <col min="86" max="86" width="10.5703125" style="98" bestFit="1" customWidth="1"/>
    <col min="87" max="16384" width="9.140625" style="98"/>
  </cols>
  <sheetData>
    <row r="1" spans="1:76" ht="23.25" x14ac:dyDescent="0.35">
      <c r="A1" s="172"/>
    </row>
    <row r="2" spans="1:76" ht="21.75" thickBot="1" x14ac:dyDescent="0.4">
      <c r="A2" s="195">
        <v>2013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M2" s="195">
        <f>A2+1</f>
        <v>2014</v>
      </c>
      <c r="N2" s="195"/>
      <c r="O2" s="195"/>
      <c r="P2" s="195"/>
      <c r="Q2" s="195"/>
      <c r="R2" s="195"/>
      <c r="S2" s="195"/>
      <c r="T2" s="195"/>
      <c r="U2" s="195"/>
      <c r="V2" s="195"/>
      <c r="W2" s="195"/>
      <c r="Y2" s="195">
        <f>M2+1</f>
        <v>2015</v>
      </c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K2" s="195">
        <f>Y2+1</f>
        <v>2016</v>
      </c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W2" s="196">
        <f>AK2+1</f>
        <v>2017</v>
      </c>
      <c r="AX2" s="196"/>
      <c r="AY2" s="196"/>
      <c r="AZ2" s="196"/>
      <c r="BA2" s="196"/>
      <c r="BB2" s="196"/>
      <c r="BC2" s="196"/>
      <c r="BD2" s="196"/>
      <c r="BE2" s="196"/>
      <c r="BF2" s="196"/>
      <c r="BG2" s="196"/>
      <c r="BI2" s="195" t="str">
        <f>A2&amp;" - " &amp;AW2</f>
        <v>2013 - 2017</v>
      </c>
      <c r="BJ2" s="195"/>
      <c r="BK2" s="195"/>
      <c r="BL2" s="195"/>
      <c r="BM2" s="195"/>
      <c r="BN2" s="195"/>
      <c r="BO2" s="195"/>
      <c r="BP2" s="195"/>
      <c r="BQ2" s="195"/>
      <c r="BR2" s="195"/>
      <c r="BS2" s="195"/>
      <c r="BT2" s="195"/>
      <c r="BU2" s="195"/>
    </row>
    <row r="3" spans="1:76" ht="15.75" thickBot="1" x14ac:dyDescent="0.3">
      <c r="A3" s="30" t="s">
        <v>139</v>
      </c>
      <c r="B3" s="30" t="s">
        <v>171</v>
      </c>
      <c r="C3" s="30" t="s">
        <v>167</v>
      </c>
      <c r="D3" s="30" t="s">
        <v>168</v>
      </c>
      <c r="E3" s="30" t="s">
        <v>169</v>
      </c>
      <c r="F3" s="30" t="s">
        <v>170</v>
      </c>
      <c r="G3" s="30" t="s">
        <v>137</v>
      </c>
      <c r="H3" s="30" t="s">
        <v>176</v>
      </c>
      <c r="I3" s="30" t="s">
        <v>138</v>
      </c>
      <c r="J3" s="30" t="s">
        <v>136</v>
      </c>
      <c r="K3" s="30" t="s">
        <v>140</v>
      </c>
      <c r="M3" s="30" t="s">
        <v>139</v>
      </c>
      <c r="N3" s="30" t="s">
        <v>171</v>
      </c>
      <c r="O3" s="30" t="s">
        <v>167</v>
      </c>
      <c r="P3" s="30" t="s">
        <v>168</v>
      </c>
      <c r="Q3" s="30" t="s">
        <v>169</v>
      </c>
      <c r="R3" s="30" t="s">
        <v>170</v>
      </c>
      <c r="S3" s="30" t="s">
        <v>137</v>
      </c>
      <c r="T3" s="30" t="s">
        <v>176</v>
      </c>
      <c r="U3" s="30" t="s">
        <v>138</v>
      </c>
      <c r="V3" s="30" t="s">
        <v>136</v>
      </c>
      <c r="W3" s="30" t="s">
        <v>140</v>
      </c>
      <c r="Y3" s="30" t="s">
        <v>139</v>
      </c>
      <c r="Z3" s="30" t="s">
        <v>171</v>
      </c>
      <c r="AA3" s="30" t="s">
        <v>167</v>
      </c>
      <c r="AB3" s="30" t="s">
        <v>168</v>
      </c>
      <c r="AC3" s="30" t="s">
        <v>169</v>
      </c>
      <c r="AD3" s="30" t="s">
        <v>170</v>
      </c>
      <c r="AE3" s="30" t="s">
        <v>137</v>
      </c>
      <c r="AF3" s="30" t="s">
        <v>176</v>
      </c>
      <c r="AG3" s="30" t="s">
        <v>138</v>
      </c>
      <c r="AH3" s="30" t="s">
        <v>136</v>
      </c>
      <c r="AI3" s="30" t="s">
        <v>140</v>
      </c>
      <c r="AK3" s="30" t="s">
        <v>139</v>
      </c>
      <c r="AL3" s="30" t="s">
        <v>171</v>
      </c>
      <c r="AM3" s="30" t="s">
        <v>167</v>
      </c>
      <c r="AN3" s="30" t="s">
        <v>168</v>
      </c>
      <c r="AO3" s="30" t="s">
        <v>169</v>
      </c>
      <c r="AP3" s="30" t="s">
        <v>170</v>
      </c>
      <c r="AQ3" s="30" t="s">
        <v>137</v>
      </c>
      <c r="AR3" s="30" t="s">
        <v>176</v>
      </c>
      <c r="AS3" s="30" t="s">
        <v>138</v>
      </c>
      <c r="AT3" s="30" t="s">
        <v>136</v>
      </c>
      <c r="AU3" s="30" t="s">
        <v>140</v>
      </c>
      <c r="AW3" s="30" t="s">
        <v>139</v>
      </c>
      <c r="AX3" s="30" t="s">
        <v>171</v>
      </c>
      <c r="AY3" s="30" t="s">
        <v>167</v>
      </c>
      <c r="AZ3" s="30" t="s">
        <v>168</v>
      </c>
      <c r="BA3" s="30" t="s">
        <v>169</v>
      </c>
      <c r="BB3" s="30" t="s">
        <v>170</v>
      </c>
      <c r="BC3" s="30" t="s">
        <v>137</v>
      </c>
      <c r="BD3" s="30" t="s">
        <v>176</v>
      </c>
      <c r="BE3" s="30" t="s">
        <v>138</v>
      </c>
      <c r="BF3" s="30" t="s">
        <v>136</v>
      </c>
      <c r="BG3" s="30" t="s">
        <v>140</v>
      </c>
      <c r="BI3" s="30" t="s">
        <v>139</v>
      </c>
      <c r="BJ3" s="30" t="s">
        <v>171</v>
      </c>
      <c r="BK3" s="30" t="s">
        <v>167</v>
      </c>
      <c r="BL3" s="30" t="s">
        <v>168</v>
      </c>
      <c r="BM3" s="30" t="s">
        <v>169</v>
      </c>
      <c r="BN3" s="30" t="s">
        <v>170</v>
      </c>
      <c r="BO3" s="30" t="s">
        <v>137</v>
      </c>
      <c r="BP3" s="30" t="s">
        <v>176</v>
      </c>
      <c r="BQ3" s="30" t="s">
        <v>138</v>
      </c>
      <c r="BR3" s="30" t="s">
        <v>136</v>
      </c>
      <c r="BS3" s="30" t="s">
        <v>140</v>
      </c>
      <c r="BT3" s="30" t="s">
        <v>177</v>
      </c>
      <c r="BU3" s="30" t="s">
        <v>178</v>
      </c>
      <c r="BW3" s="98" t="s">
        <v>139</v>
      </c>
      <c r="BX3" s="30" t="s">
        <v>171</v>
      </c>
    </row>
    <row r="4" spans="1:76" ht="15.75" x14ac:dyDescent="0.25">
      <c r="A4" s="26" t="s">
        <v>26</v>
      </c>
      <c r="B4" s="31">
        <v>471.5</v>
      </c>
      <c r="C4" s="173">
        <v>153.85</v>
      </c>
      <c r="D4" s="173">
        <v>271.21800000000002</v>
      </c>
      <c r="E4" s="173">
        <v>62.232999999999997</v>
      </c>
      <c r="F4" s="173">
        <v>8152.7</v>
      </c>
      <c r="G4" s="33">
        <f>C4/(C4+F4)</f>
        <v>1.8521528191607829E-2</v>
      </c>
      <c r="H4" s="33">
        <f>D4/(F4)</f>
        <v>3.3267261152746946E-2</v>
      </c>
      <c r="I4" s="118">
        <f>(C4+D4)/(C4+F4)</f>
        <v>5.1172628829056592E-2</v>
      </c>
      <c r="J4" s="34">
        <f>E4/(E4+F4)</f>
        <v>7.5755943475132427E-3</v>
      </c>
      <c r="K4" s="118">
        <f>(C4+D4+E4)/(C4+E4+F4)</f>
        <v>5.8228418636258106E-2</v>
      </c>
      <c r="M4" s="26" t="s">
        <v>26</v>
      </c>
      <c r="N4" s="31">
        <v>480</v>
      </c>
      <c r="O4" s="173">
        <v>49.65</v>
      </c>
      <c r="P4" s="173">
        <v>141.304</v>
      </c>
      <c r="Q4" s="173">
        <v>158.13300000000001</v>
      </c>
      <c r="R4" s="173">
        <v>8003.7830000000004</v>
      </c>
      <c r="S4" s="33">
        <f>O4/(O4+R4)</f>
        <v>6.1650727087442089E-3</v>
      </c>
      <c r="T4" s="33">
        <f>P4/(R4)</f>
        <v>1.765465155664515E-2</v>
      </c>
      <c r="U4" s="118">
        <f>(O4+P4)/(O4+R4)</f>
        <v>2.3710882054895101E-2</v>
      </c>
      <c r="V4" s="34">
        <f>Q4/(Q4+R4)</f>
        <v>1.9374494910263718E-2</v>
      </c>
      <c r="W4" s="118">
        <f>(O4+P4+Q4)/(O4+Q4+R4)</f>
        <v>4.2511623239708474E-2</v>
      </c>
      <c r="Y4" s="26" t="s">
        <v>26</v>
      </c>
      <c r="Z4" s="31">
        <v>480</v>
      </c>
      <c r="AA4" s="173">
        <v>386.3</v>
      </c>
      <c r="AB4" s="173">
        <v>24.350999999999999</v>
      </c>
      <c r="AC4" s="173">
        <v>208.233</v>
      </c>
      <c r="AD4" s="173">
        <v>6563.3329999999996</v>
      </c>
      <c r="AE4" s="33">
        <f>AA4/(AA4+AD4)</f>
        <v>5.5585669056193332E-2</v>
      </c>
      <c r="AF4" s="33">
        <f>AB4/(AD4)</f>
        <v>3.7101576287535618E-3</v>
      </c>
      <c r="AG4" s="118">
        <f>(AA4+AB4)/(AA4+AD4)</f>
        <v>5.9089595090848684E-2</v>
      </c>
      <c r="AH4" s="34">
        <f>AC4/(AC4+AD4)</f>
        <v>3.0751084756465492E-2</v>
      </c>
      <c r="AI4" s="118">
        <f>(AA4+AB4+AC4)/(AA4+AC4+AD4)</f>
        <v>8.6462082413948524E-2</v>
      </c>
      <c r="AK4" s="26" t="s">
        <v>26</v>
      </c>
      <c r="AL4" s="31">
        <v>476</v>
      </c>
      <c r="AM4" s="173">
        <v>276.93299999999999</v>
      </c>
      <c r="AN4" s="173">
        <v>39.03</v>
      </c>
      <c r="AO4" s="173">
        <v>52</v>
      </c>
      <c r="AP4" s="173">
        <v>7720.45</v>
      </c>
      <c r="AQ4" s="33">
        <f>AM4/(AM4+AP4)</f>
        <v>3.4627952669016852E-2</v>
      </c>
      <c r="AR4" s="33">
        <f>AN4/(AP4)</f>
        <v>5.0554048015335898E-3</v>
      </c>
      <c r="AS4" s="118">
        <f>(AM4+AN4)/(AM4+AP4)</f>
        <v>3.9508299152360211E-2</v>
      </c>
      <c r="AT4" s="34">
        <f>AO4/(AO4+AP4)</f>
        <v>6.6902971392546751E-3</v>
      </c>
      <c r="AU4" s="118">
        <f>(AM4+AN4+AO4)/(AM4+AO4+AP4)</f>
        <v>4.5713193172694101E-2</v>
      </c>
      <c r="AW4" s="26" t="s">
        <v>26</v>
      </c>
      <c r="AX4" s="31">
        <v>476</v>
      </c>
      <c r="AY4" s="173">
        <v>197.56700000000001</v>
      </c>
      <c r="AZ4" s="173">
        <v>40.474000000000004</v>
      </c>
      <c r="BA4" s="173">
        <v>227.05</v>
      </c>
      <c r="BB4" s="173">
        <v>7670.817</v>
      </c>
      <c r="BC4" s="33">
        <f>AY4/(AY4+BB4)</f>
        <v>2.5108967737212624E-2</v>
      </c>
      <c r="BD4" s="33">
        <f>AZ4/(BB4)</f>
        <v>5.2763610447231378E-3</v>
      </c>
      <c r="BE4" s="118">
        <f>(AY4+AZ4)/(AY4+BB4)</f>
        <v>3.0252844802693919E-2</v>
      </c>
      <c r="BF4" s="34">
        <f>BA4/(BA4+BB4)</f>
        <v>2.8748268361571547E-2</v>
      </c>
      <c r="BG4" s="118">
        <f>(AY4+AZ4+BA4)/(AY4+BA4+BB4)</f>
        <v>5.7451027332197382E-2</v>
      </c>
      <c r="BI4" s="26" t="s">
        <v>26</v>
      </c>
      <c r="BJ4" s="31">
        <f>SUM(AX4,B4,N4,Z4,AL4)/5</f>
        <v>476.7</v>
      </c>
      <c r="BK4" s="31">
        <f t="shared" ref="BK4:BN7" si="0">SUM(AY4,C4,O4,AA4,AM4)</f>
        <v>1064.3</v>
      </c>
      <c r="BL4" s="31">
        <f t="shared" si="0"/>
        <v>516.37699999999995</v>
      </c>
      <c r="BM4" s="31">
        <f t="shared" si="0"/>
        <v>707.64900000000011</v>
      </c>
      <c r="BN4" s="31">
        <f t="shared" si="0"/>
        <v>38111.082999999999</v>
      </c>
      <c r="BO4" s="33">
        <f>BK4/(BK4+BN4)</f>
        <v>2.7167571022853814E-2</v>
      </c>
      <c r="BP4" s="33">
        <f>BL4/(BN4)</f>
        <v>1.3549260722924089E-2</v>
      </c>
      <c r="BQ4" s="118">
        <f>(BK4+BL4)/(BK4+BN4)</f>
        <v>4.0348731242780697E-2</v>
      </c>
      <c r="BR4" s="34">
        <f>BM4/(BM4+BN4)</f>
        <v>1.8229575350374665E-2</v>
      </c>
      <c r="BS4" s="118">
        <f>(BK4+BL4+BM4)/(BK4+BM4+BN4)</f>
        <v>5.7375928690677279E-2</v>
      </c>
      <c r="BT4" s="33">
        <f t="shared" ref="BT4:BT7" si="1">BL4/BK4</f>
        <v>0.48517993047073193</v>
      </c>
      <c r="BU4" s="131">
        <f>BN4/5</f>
        <v>7622.2165999999997</v>
      </c>
      <c r="BW4" s="98" t="str">
        <f>IF(BI4&lt;&gt;"",BI4,"")</f>
        <v>GH1</v>
      </c>
      <c r="BX4" s="102">
        <f>AVERAGEIF($A$3:$BG$3,BX$3,$A4:$BG4)</f>
        <v>476.7</v>
      </c>
    </row>
    <row r="5" spans="1:76" ht="15.75" x14ac:dyDescent="0.25">
      <c r="A5" s="26" t="s">
        <v>27</v>
      </c>
      <c r="B5" s="31">
        <v>475</v>
      </c>
      <c r="C5" s="173">
        <v>104.583</v>
      </c>
      <c r="D5" s="173">
        <v>39.957999999999998</v>
      </c>
      <c r="E5" s="173">
        <v>155.4</v>
      </c>
      <c r="F5" s="173">
        <v>8397.5</v>
      </c>
      <c r="G5" s="33">
        <f t="shared" ref="G5:G7" si="2">C5/(C5+F5)</f>
        <v>1.2300867916721114E-2</v>
      </c>
      <c r="H5" s="33">
        <f>D5/(F5)</f>
        <v>4.7583209288478709E-3</v>
      </c>
      <c r="I5" s="118">
        <f t="shared" ref="I5:I7" si="3">(C5+D5)/(C5+F5)</f>
        <v>1.7000657368317858E-2</v>
      </c>
      <c r="J5" s="34">
        <f t="shared" ref="J5:J7" si="4">E5/(E5+F5)</f>
        <v>1.8169275918109649E-2</v>
      </c>
      <c r="K5" s="118">
        <f t="shared" ref="K5:K7" si="5">(C5+D5+E5)/(C5+E5+F5)</f>
        <v>3.4645288936749861E-2</v>
      </c>
      <c r="M5" s="26" t="s">
        <v>27</v>
      </c>
      <c r="N5" s="31">
        <v>486</v>
      </c>
      <c r="O5" s="173">
        <v>9.35</v>
      </c>
      <c r="P5" s="173">
        <v>49.908999999999999</v>
      </c>
      <c r="Q5" s="173">
        <v>148.63300000000001</v>
      </c>
      <c r="R5" s="173">
        <v>8277.0669999999991</v>
      </c>
      <c r="S5" s="33">
        <f t="shared" ref="S5:S7" si="6">O5/(O5+R5)</f>
        <v>1.1283525798906813E-3</v>
      </c>
      <c r="T5" s="33">
        <f>P5/(R5)</f>
        <v>6.0297929206082302E-3</v>
      </c>
      <c r="U5" s="118">
        <f t="shared" ref="U5:U7" si="7">(O5+P5)/(O5+R5)</f>
        <v>7.151341768100737E-3</v>
      </c>
      <c r="V5" s="34">
        <f t="shared" ref="V5:V7" si="8">Q5/(Q5+R5)</f>
        <v>1.7640433435797624E-2</v>
      </c>
      <c r="W5" s="118">
        <f t="shared" ref="W5:W7" si="9">(O5+P5+Q5)/(O5+Q5+R5)</f>
        <v>2.4646208380507528E-2</v>
      </c>
      <c r="Y5" s="26" t="s">
        <v>27</v>
      </c>
      <c r="Z5" s="31">
        <v>486</v>
      </c>
      <c r="AA5" s="173">
        <v>78.167000000000002</v>
      </c>
      <c r="AB5" s="173">
        <v>88.650999999999996</v>
      </c>
      <c r="AC5" s="173">
        <v>16.283000000000001</v>
      </c>
      <c r="AD5" s="173">
        <v>6866.15</v>
      </c>
      <c r="AE5" s="33">
        <f>AA5/(AA5+AD5)</f>
        <v>1.1256254574783957E-2</v>
      </c>
      <c r="AF5" s="33">
        <f>AB5/(AD5)</f>
        <v>1.2911311287985261E-2</v>
      </c>
      <c r="AG5" s="118">
        <f>(AA5+AB5)/(AA5+AD5)</f>
        <v>2.4022232856017373E-2</v>
      </c>
      <c r="AH5" s="34">
        <f>AC5/(AC5+AD5)</f>
        <v>2.3658784618753284E-3</v>
      </c>
      <c r="AI5" s="118">
        <f>(AA5+AB5+AC5)/(AA5+AC5+AD5)</f>
        <v>2.6305347240180445E-2</v>
      </c>
      <c r="AK5" s="26" t="s">
        <v>27</v>
      </c>
      <c r="AL5" s="31">
        <v>495</v>
      </c>
      <c r="AM5" s="173">
        <v>61.832999999999998</v>
      </c>
      <c r="AN5" s="173">
        <v>25.89</v>
      </c>
      <c r="AO5" s="173">
        <v>97.316999999999993</v>
      </c>
      <c r="AP5" s="173">
        <v>7987.8829999999998</v>
      </c>
      <c r="AQ5" s="33">
        <f>AM5/(AM5+AP5)</f>
        <v>7.6813890080097242E-3</v>
      </c>
      <c r="AR5" s="33">
        <f>AN5/(AP5)</f>
        <v>3.2411591406634275E-3</v>
      </c>
      <c r="AS5" s="118">
        <f>(AM5+AN5)/(AM5+AP5)</f>
        <v>1.0897651544476849E-2</v>
      </c>
      <c r="AT5" s="34">
        <f>AO5/(AO5+AP5)</f>
        <v>1.2036436946519565E-2</v>
      </c>
      <c r="AU5" s="118">
        <f>(AM5+AN5+AO5)/(AM5+AO5+AP5)</f>
        <v>2.2712562966174313E-2</v>
      </c>
      <c r="AW5" s="26" t="s">
        <v>27</v>
      </c>
      <c r="AX5" s="31">
        <v>493</v>
      </c>
      <c r="AY5" s="173">
        <v>66.099999999999994</v>
      </c>
      <c r="AZ5" s="173">
        <v>10.158999999999999</v>
      </c>
      <c r="BA5" s="173">
        <v>111.2</v>
      </c>
      <c r="BB5" s="173">
        <v>7946.7830000000004</v>
      </c>
      <c r="BC5" s="33">
        <f>AY5/(AY5+BB5)</f>
        <v>8.2492156693165231E-3</v>
      </c>
      <c r="BD5" s="33">
        <f>AZ5/(BB5)</f>
        <v>1.2783789364828508E-3</v>
      </c>
      <c r="BE5" s="118">
        <f>(AY5+AZ5)/(AY5+BB5)</f>
        <v>9.5170489822452142E-3</v>
      </c>
      <c r="BF5" s="34">
        <f>BA5/(BA5+BB5)</f>
        <v>1.3799979473771538E-2</v>
      </c>
      <c r="BG5" s="118">
        <f>(AY5+AZ5+BA5)/(AY5+BA5+BB5)</f>
        <v>2.3074481144518093E-2</v>
      </c>
      <c r="BI5" s="26" t="s">
        <v>27</v>
      </c>
      <c r="BJ5" s="31">
        <f>SUM(AX5,B5,N5,Z5,AL5)/5</f>
        <v>487</v>
      </c>
      <c r="BK5" s="31">
        <f t="shared" si="0"/>
        <v>320.03300000000002</v>
      </c>
      <c r="BL5" s="31">
        <f t="shared" si="0"/>
        <v>214.56700000000001</v>
      </c>
      <c r="BM5" s="31">
        <f t="shared" si="0"/>
        <v>528.83300000000008</v>
      </c>
      <c r="BN5" s="31">
        <f t="shared" si="0"/>
        <v>39475.383000000002</v>
      </c>
      <c r="BO5" s="33">
        <f t="shared" ref="BO5:BO7" si="10">BK5/(BK5+BN5)</f>
        <v>8.0419563901530759E-3</v>
      </c>
      <c r="BP5" s="33">
        <f>BL5/(BN5)</f>
        <v>5.435463412729903E-3</v>
      </c>
      <c r="BQ5" s="118">
        <f t="shared" ref="BQ5:BQ7" si="11">(BK5+BL5)/(BK5+BN5)</f>
        <v>1.3433708043157532E-2</v>
      </c>
      <c r="BR5" s="34">
        <f t="shared" ref="BR5:BR7" si="12">BM5/(BM5+BN5)</f>
        <v>1.3219431671901783E-2</v>
      </c>
      <c r="BS5" s="118">
        <f t="shared" ref="BS5:BS7" si="13">(BK5+BL5+BM5)/(BK5+BM5+BN5)</f>
        <v>2.6372047251270566E-2</v>
      </c>
      <c r="BT5" s="33">
        <f>BL5/BK5</f>
        <v>0.67045273456174836</v>
      </c>
      <c r="BU5" s="131">
        <f t="shared" ref="BU5:BU7" si="14">BN5/5</f>
        <v>7895.0766000000003</v>
      </c>
      <c r="BW5" s="98" t="str">
        <f t="shared" ref="BW5:BW28" si="15">IF(BI5&lt;&gt;"",BI5,"")</f>
        <v>GH2</v>
      </c>
      <c r="BX5" s="102">
        <f t="shared" ref="BX5:BX27" si="16">AVERAGEIF($A$3:$BG$3,BX$3,$A5:$BG5)</f>
        <v>487</v>
      </c>
    </row>
    <row r="6" spans="1:76" ht="15.75" x14ac:dyDescent="0.25">
      <c r="A6" s="26" t="s">
        <v>30</v>
      </c>
      <c r="B6" s="31">
        <v>481</v>
      </c>
      <c r="C6" s="173">
        <v>58.883000000000003</v>
      </c>
      <c r="D6" s="173">
        <v>221.821</v>
      </c>
      <c r="E6" s="173">
        <v>417.58300000000003</v>
      </c>
      <c r="F6" s="173">
        <v>7813.6170000000002</v>
      </c>
      <c r="G6" s="33">
        <f t="shared" si="2"/>
        <v>7.4795808193077167E-3</v>
      </c>
      <c r="H6" s="33">
        <f>D6/(F6)</f>
        <v>2.8389029050182521E-2</v>
      </c>
      <c r="I6" s="118">
        <f t="shared" si="3"/>
        <v>3.5656271832327724E-2</v>
      </c>
      <c r="J6" s="34">
        <f t="shared" si="4"/>
        <v>5.0731728059092235E-2</v>
      </c>
      <c r="K6" s="118">
        <f t="shared" si="5"/>
        <v>8.4231605401296941E-2</v>
      </c>
      <c r="M6" s="26" t="s">
        <v>30</v>
      </c>
      <c r="N6" s="31">
        <v>485.5</v>
      </c>
      <c r="O6" s="173">
        <v>56.832999999999998</v>
      </c>
      <c r="P6" s="173">
        <v>81.731999999999999</v>
      </c>
      <c r="Q6" s="173">
        <v>343.61700000000002</v>
      </c>
      <c r="R6" s="173">
        <v>7165.3829999999998</v>
      </c>
      <c r="S6" s="33">
        <f t="shared" si="6"/>
        <v>7.869191394995664E-3</v>
      </c>
      <c r="T6" s="33">
        <f>P6/(R6)</f>
        <v>1.1406508207586392E-2</v>
      </c>
      <c r="U6" s="118">
        <f t="shared" si="7"/>
        <v>1.9185939606347971E-2</v>
      </c>
      <c r="V6" s="34">
        <f t="shared" si="8"/>
        <v>4.5760687175389538E-2</v>
      </c>
      <c r="W6" s="118">
        <f t="shared" si="9"/>
        <v>6.3731515088953195E-2</v>
      </c>
      <c r="Y6" s="26" t="s">
        <v>30</v>
      </c>
      <c r="Z6" s="31">
        <v>485.5</v>
      </c>
      <c r="AA6" s="173">
        <v>230.15</v>
      </c>
      <c r="AB6" s="173">
        <v>48.76</v>
      </c>
      <c r="AC6" s="173">
        <v>324.66699999999997</v>
      </c>
      <c r="AD6" s="173">
        <v>7461.7169999999996</v>
      </c>
      <c r="AE6" s="33">
        <f>AA6/(AA6+AD6)</f>
        <v>2.9921214186360741E-2</v>
      </c>
      <c r="AF6" s="33">
        <f>AB6/(AD6)</f>
        <v>6.5346889998642403E-3</v>
      </c>
      <c r="AG6" s="118">
        <f>(AA6+AB6)/(AA6+AD6)</f>
        <v>3.6260377357018793E-2</v>
      </c>
      <c r="AH6" s="34">
        <f>AC6/(AC6+AD6)</f>
        <v>4.1696761937248403E-2</v>
      </c>
      <c r="AI6" s="118">
        <f>(AA6+AB6+AC6)/(AA6+AC6+AD6)</f>
        <v>7.5291516258772187E-2</v>
      </c>
      <c r="AK6" s="26" t="s">
        <v>30</v>
      </c>
      <c r="AL6" s="31">
        <v>485</v>
      </c>
      <c r="AM6" s="173">
        <v>269.21699999999998</v>
      </c>
      <c r="AN6" s="173">
        <v>46.4</v>
      </c>
      <c r="AO6" s="173">
        <v>417.15</v>
      </c>
      <c r="AP6" s="173">
        <v>7270.2669999999998</v>
      </c>
      <c r="AQ6" s="33">
        <f>AM6/(AM6+AP6)</f>
        <v>3.5707616064972088E-2</v>
      </c>
      <c r="AR6" s="33">
        <f>AN6/(AP6)</f>
        <v>6.3821590046142735E-3</v>
      </c>
      <c r="AS6" s="118">
        <f>(AM6+AN6)/(AM6+AP6)</f>
        <v>4.1861883386183983E-2</v>
      </c>
      <c r="AT6" s="34">
        <f>AO6/(AO6+AP6)</f>
        <v>5.4264000508883546E-2</v>
      </c>
      <c r="AU6" s="118">
        <f>(AM6+AN6+AO6)/(AM6+AO6+AP6)</f>
        <v>9.2095099510672476E-2</v>
      </c>
      <c r="AW6" s="26" t="s">
        <v>30</v>
      </c>
      <c r="AX6" s="31">
        <v>485</v>
      </c>
      <c r="AY6" s="173">
        <v>184.43299999999999</v>
      </c>
      <c r="AZ6" s="173">
        <v>19.160999999999998</v>
      </c>
      <c r="BA6" s="173">
        <v>21.617000000000001</v>
      </c>
      <c r="BB6" s="173">
        <v>7528.9</v>
      </c>
      <c r="BC6" s="33">
        <f>AY6/(AY6+BB6)</f>
        <v>2.3910934481889995E-2</v>
      </c>
      <c r="BD6" s="33">
        <f>AZ6/(BB6)</f>
        <v>2.5449932925128505E-3</v>
      </c>
      <c r="BE6" s="118">
        <f>(AY6+AZ6)/(AY6+BB6)</f>
        <v>2.6395074606528721E-2</v>
      </c>
      <c r="BF6" s="34">
        <f>BA6/(BA6+BB6)</f>
        <v>2.8629827599884884E-3</v>
      </c>
      <c r="BG6" s="118">
        <f>(AY6+AZ6+BA6)/(AY6+BA6+BB6)</f>
        <v>2.911602531367365E-2</v>
      </c>
      <c r="BI6" s="26" t="s">
        <v>30</v>
      </c>
      <c r="BJ6" s="31">
        <f>SUM(AX6,B6,N6,Z6,AL6)/5</f>
        <v>484.4</v>
      </c>
      <c r="BK6" s="31">
        <f t="shared" si="0"/>
        <v>799.51599999999996</v>
      </c>
      <c r="BL6" s="31">
        <f t="shared" si="0"/>
        <v>417.87399999999997</v>
      </c>
      <c r="BM6" s="31">
        <f t="shared" si="0"/>
        <v>1524.634</v>
      </c>
      <c r="BN6" s="31">
        <f t="shared" si="0"/>
        <v>37239.884000000005</v>
      </c>
      <c r="BO6" s="33">
        <f t="shared" si="10"/>
        <v>2.1018102283421918E-2</v>
      </c>
      <c r="BP6" s="33">
        <f>BL6/(BN6)</f>
        <v>1.1221141290343437E-2</v>
      </c>
      <c r="BQ6" s="118">
        <f t="shared" si="11"/>
        <v>3.2003396478388187E-2</v>
      </c>
      <c r="BR6" s="34">
        <f t="shared" si="12"/>
        <v>3.93306580001846E-2</v>
      </c>
      <c r="BS6" s="118">
        <f t="shared" si="13"/>
        <v>6.93059762308363E-2</v>
      </c>
      <c r="BT6" s="33">
        <f t="shared" si="1"/>
        <v>0.52265870851865381</v>
      </c>
      <c r="BU6" s="131">
        <f t="shared" si="14"/>
        <v>7447.9768000000013</v>
      </c>
      <c r="BW6" s="98" t="str">
        <f t="shared" si="15"/>
        <v>GH3</v>
      </c>
      <c r="BX6" s="102">
        <f t="shared" si="16"/>
        <v>484.4</v>
      </c>
    </row>
    <row r="7" spans="1:76" ht="18" x14ac:dyDescent="0.4">
      <c r="A7" s="27" t="s">
        <v>24</v>
      </c>
      <c r="B7" s="32">
        <v>480</v>
      </c>
      <c r="C7" s="174">
        <v>282.483</v>
      </c>
      <c r="D7" s="174">
        <v>193.23500000000001</v>
      </c>
      <c r="E7" s="174">
        <v>529.68299999999999</v>
      </c>
      <c r="F7" s="174">
        <v>7618.5</v>
      </c>
      <c r="G7" s="119">
        <f t="shared" si="2"/>
        <v>3.5752893026095613E-2</v>
      </c>
      <c r="H7" s="119">
        <f t="shared" ref="H7" si="17">D7/(F7)</f>
        <v>2.5363916781518673E-2</v>
      </c>
      <c r="I7" s="120">
        <f t="shared" si="3"/>
        <v>6.0209976404201858E-2</v>
      </c>
      <c r="J7" s="121">
        <f t="shared" si="4"/>
        <v>6.5006271950445879E-2</v>
      </c>
      <c r="K7" s="120">
        <f t="shared" si="5"/>
        <v>0.1192552284718669</v>
      </c>
      <c r="M7" s="27" t="s">
        <v>24</v>
      </c>
      <c r="N7" s="32">
        <v>480</v>
      </c>
      <c r="O7" s="174">
        <v>148.267</v>
      </c>
      <c r="P7" s="174">
        <v>58.631</v>
      </c>
      <c r="Q7" s="174">
        <v>369.983</v>
      </c>
      <c r="R7" s="174">
        <v>6919.95</v>
      </c>
      <c r="S7" s="119">
        <f t="shared" si="6"/>
        <v>2.0976577261281028E-2</v>
      </c>
      <c r="T7" s="119">
        <f t="shared" ref="T7" si="18">P7/(R7)</f>
        <v>8.4727490805569412E-3</v>
      </c>
      <c r="U7" s="120">
        <f t="shared" si="7"/>
        <v>2.927159706613422E-2</v>
      </c>
      <c r="V7" s="121">
        <f t="shared" si="8"/>
        <v>5.075259265071435E-2</v>
      </c>
      <c r="W7" s="120">
        <f t="shared" si="9"/>
        <v>7.7556532494420696E-2</v>
      </c>
      <c r="Y7" s="27" t="s">
        <v>24</v>
      </c>
      <c r="Z7" s="32">
        <v>480</v>
      </c>
      <c r="AA7" s="174">
        <v>93.316999999999993</v>
      </c>
      <c r="AB7" s="174">
        <v>78.147999999999996</v>
      </c>
      <c r="AC7" s="174">
        <v>281.88299999999998</v>
      </c>
      <c r="AD7" s="174">
        <v>8172.7830000000004</v>
      </c>
      <c r="AE7" s="119">
        <f>AA7/(AA7+AD7)</f>
        <v>1.1289120625204145E-2</v>
      </c>
      <c r="AF7" s="119">
        <f>AB7/(AD7)</f>
        <v>9.5619815184130041E-3</v>
      </c>
      <c r="AG7" s="120">
        <f>(AA7+AB7)/(AA7+AD7)</f>
        <v>2.0743155780839812E-2</v>
      </c>
      <c r="AH7" s="121">
        <f>AC7/(AC7+AD7)</f>
        <v>3.3340524628648838E-2</v>
      </c>
      <c r="AI7" s="120">
        <f>(AA7+AB7+AC7)/(AA7+AC7+AD7)</f>
        <v>5.3035669350301698E-2</v>
      </c>
      <c r="AK7" s="27" t="s">
        <v>24</v>
      </c>
      <c r="AL7" s="32">
        <v>487</v>
      </c>
      <c r="AM7" s="174">
        <v>253.083</v>
      </c>
      <c r="AN7" s="174">
        <v>71.05</v>
      </c>
      <c r="AO7" s="174">
        <v>125.767</v>
      </c>
      <c r="AP7" s="174">
        <v>7700.8329999999996</v>
      </c>
      <c r="AQ7" s="119">
        <f>AM7/(AM7+AP7)</f>
        <v>3.1818666427958255E-2</v>
      </c>
      <c r="AR7" s="119">
        <f>AN7/(AP7)</f>
        <v>9.2262746121101451E-3</v>
      </c>
      <c r="AS7" s="120">
        <f>(AM7+AN7)/(AM7+AP7)</f>
        <v>4.0751373285812929E-2</v>
      </c>
      <c r="AT7" s="121">
        <f>AO7/(AO7+AP7)</f>
        <v>1.6069174354125675E-2</v>
      </c>
      <c r="AU7" s="120">
        <f>(AM7+AN7+AO7)/(AM7+AO7+AP7)</f>
        <v>5.5682877657452647E-2</v>
      </c>
      <c r="AW7" s="27" t="s">
        <v>24</v>
      </c>
      <c r="AX7" s="32">
        <v>487</v>
      </c>
      <c r="AY7" s="174">
        <v>213.8</v>
      </c>
      <c r="AZ7" s="174">
        <v>74.963999999999999</v>
      </c>
      <c r="BA7" s="174">
        <v>0</v>
      </c>
      <c r="BB7" s="174">
        <v>8060.4170000000004</v>
      </c>
      <c r="BC7" s="119">
        <f>AY7/(AY7+BB7)</f>
        <v>2.5839302981780631E-2</v>
      </c>
      <c r="BD7" s="119">
        <f>AZ7/(BB7)</f>
        <v>9.3002632494075671E-3</v>
      </c>
      <c r="BE7" s="120">
        <f>(AY7+AZ7)/(AY7+BB7)</f>
        <v>3.4899253911276434E-2</v>
      </c>
      <c r="BF7" s="121">
        <f>BA7/(BA7+BB7)</f>
        <v>0</v>
      </c>
      <c r="BG7" s="120">
        <f>(AY7+AZ7+BA7)/(AY7+BA7+BB7)</f>
        <v>3.4899253911276434E-2</v>
      </c>
      <c r="BI7" s="27" t="s">
        <v>24</v>
      </c>
      <c r="BJ7" s="32">
        <f>SUM(AX7,B7,N7,Z7,AL7)/5</f>
        <v>482.8</v>
      </c>
      <c r="BK7" s="32">
        <f t="shared" si="0"/>
        <v>990.94999999999993</v>
      </c>
      <c r="BL7" s="32">
        <f t="shared" si="0"/>
        <v>476.02800000000008</v>
      </c>
      <c r="BM7" s="32">
        <f t="shared" si="0"/>
        <v>1307.316</v>
      </c>
      <c r="BN7" s="32">
        <f t="shared" si="0"/>
        <v>38472.483</v>
      </c>
      <c r="BO7" s="119">
        <f t="shared" si="10"/>
        <v>2.5110587819361787E-2</v>
      </c>
      <c r="BP7" s="119">
        <f t="shared" ref="BP7" si="19">BL7/(BN7)</f>
        <v>1.2373207104932636E-2</v>
      </c>
      <c r="BQ7" s="120">
        <f t="shared" si="11"/>
        <v>3.7173096420678862E-2</v>
      </c>
      <c r="BR7" s="121">
        <f t="shared" si="12"/>
        <v>3.2863816129387685E-2</v>
      </c>
      <c r="BS7" s="120">
        <f t="shared" si="13"/>
        <v>6.8046186740400569E-2</v>
      </c>
      <c r="BT7" s="119">
        <f t="shared" si="1"/>
        <v>0.48037539734598123</v>
      </c>
      <c r="BU7" s="132">
        <f t="shared" si="14"/>
        <v>7694.4966000000004</v>
      </c>
      <c r="BW7" s="98" t="str">
        <f t="shared" si="15"/>
        <v>GH4</v>
      </c>
      <c r="BX7" s="102">
        <f t="shared" si="16"/>
        <v>482.8</v>
      </c>
    </row>
    <row r="8" spans="1:76" ht="15.75" x14ac:dyDescent="0.25">
      <c r="A8" s="50" t="s">
        <v>141</v>
      </c>
      <c r="B8" s="31">
        <v>1907.5</v>
      </c>
      <c r="C8" s="31">
        <v>599.79899999999998</v>
      </c>
      <c r="D8" s="31">
        <v>726.23200000000008</v>
      </c>
      <c r="E8" s="31">
        <v>1164.8989999999999</v>
      </c>
      <c r="F8" s="31">
        <v>31982.317000000003</v>
      </c>
      <c r="G8" s="33">
        <f>(B4*C4+B5*C5+B6*C6+B7*C7)/(B4*(C4+F4)+B5*(C5+F5)+B6*(C6+F6)+B7*(C7+F7))</f>
        <v>1.8419505162054633E-2</v>
      </c>
      <c r="H8" s="33">
        <f>(B4*D4+B5*D5+B6*D6+B7*D7)/(B4*F4+B5*F5+B6*F6+B7*F7)</f>
        <v>2.2711642320802736E-2</v>
      </c>
      <c r="I8" s="122">
        <f>(B4*(C4+D4)+B5*(C5+D5)+B6*(C6+D6)+B7*(C7+D7))/(B4*(C4+F4)+B5*(C5+F5)+B6*(C6+F6)+B7*(C7+F7))</f>
        <v>4.0712810269890605E-2</v>
      </c>
      <c r="J8" s="34">
        <f>(B4*E4+B5*E5+B6*E6+B7*E7)/(B4*(E4+F4)+B5*(E5+F5)+B6*(E6+F6)+B7*(E7+F7))</f>
        <v>3.5319018408295808E-2</v>
      </c>
      <c r="K8" s="122">
        <f>(B4*(C4+D4+E4)+B5*(C5+D5+E5)+B6*(C6+D6+E6)+B7*(C7+D7+E7))/(B4*(C4+E4+F4)+B5*(C5+E5+F5)+B6*(C6+E6+F6)+B7*(C7+E7+F7))</f>
        <v>7.3991469145397379E-2</v>
      </c>
      <c r="M8" s="50" t="s">
        <v>141</v>
      </c>
      <c r="N8" s="31">
        <v>1931.5</v>
      </c>
      <c r="O8" s="31">
        <v>264.10000000000002</v>
      </c>
      <c r="P8" s="31">
        <v>331.57600000000002</v>
      </c>
      <c r="Q8" s="31">
        <v>1020.366</v>
      </c>
      <c r="R8" s="31">
        <v>30366.183000000001</v>
      </c>
      <c r="S8" s="33">
        <f>(N4*O4+N5*O5+N6*O6+N7*O7)/(N4*(O4+R4)+N5*(O5+R5)+N6*(O6+R6)+N7*(O7+R7))</f>
        <v>8.5949758804816073E-3</v>
      </c>
      <c r="T8" s="33">
        <f>(N4*P4+N5*P5+N6*P6+N7*P7)/(N4*R4+N5*R5+N6*R6+N7*R7)</f>
        <v>1.0904003156662909E-2</v>
      </c>
      <c r="U8" s="122">
        <f>(N4*(O4+P4)+N5*(O5+P5)+N6*(O6+P6)+N7*(O7+P7))/(N4*(O4+R4)+N5*(O5+R5)+N6*(O6+R6)+N7*(O7+R7))</f>
        <v>1.9405259393012301E-2</v>
      </c>
      <c r="V8" s="34">
        <f>(N4*Q4+N5*Q5+N6*Q6+N7*Q7)/(N4*(Q4+R4)+N5*(Q5+R5)+N6*(Q6+R6)+N7*(Q7+R7))</f>
        <v>3.2496170968593252E-2</v>
      </c>
      <c r="W8" s="122">
        <f>(N4*(O4+P4+Q4)+N5*(O5+P5+Q5)+N6*(O6+P6+Q6)+N7*(O7+P7+Q7))/(N4*(O4+Q4+R4)+N5*(O5+Q5+R5)+N6*(O6+Q6+R6)+N7*(O7+Q7+R7))</f>
        <v>5.1005776036356032E-2</v>
      </c>
      <c r="Y8" s="50" t="s">
        <v>141</v>
      </c>
      <c r="Z8" s="31">
        <f>SUM(Z4:Z7)</f>
        <v>1931.5</v>
      </c>
      <c r="AA8" s="31">
        <f>SUM(AA4:AA7)</f>
        <v>787.93399999999997</v>
      </c>
      <c r="AB8" s="31">
        <f>SUM(AB4:AB7)</f>
        <v>239.91</v>
      </c>
      <c r="AC8" s="31">
        <f>SUM(AC4:AC7)</f>
        <v>831.06600000000003</v>
      </c>
      <c r="AD8" s="31">
        <f>SUM(AD4:AD7)</f>
        <v>29063.983</v>
      </c>
      <c r="AE8" s="33">
        <f>(Z4*AA4+Z5*AA5+Z6*AA6+Z7*AA7)/(Z4*(AA4+AD4)+Z5*(AA5+AD5)+Z6*(AA6+AD6)+Z7*(AA7+AD7))</f>
        <v>2.6361341266479897E-2</v>
      </c>
      <c r="AF8" s="33">
        <f>(Z4*AB4+Z5*AB5+Z6*AB6+Z7*AB7)/(Z4*AD4+Z5*AD5+Z6*AD6+Z7*AD7)</f>
        <v>8.2631877837575571E-3</v>
      </c>
      <c r="AG8" s="122">
        <f>(Z4*(AA4+AB4)+Z5*(AA5+AB5)+Z6*(AA6+AB6)+Z7*(AA7+AB7))/(Z4*(AA4+AD4)+Z5*(AA5+AD5)+Z6*(AA6+AD6)+Z7*(AA7+AD7))</f>
        <v>3.4406700337120809E-2</v>
      </c>
      <c r="AH8" s="34">
        <f>(Z4*AC4+Z5*AC5+Z6*AC6+Z7*AC7)/(Z4*(AC4+AD4)+Z5*(AC5+AD5)+Z6*(AC6+AD6)+Z7*(AC7+AD7))</f>
        <v>2.7767921329441576E-2</v>
      </c>
      <c r="AI8" s="122">
        <f>(Z4*(AA4+AB4+AC4)+Z5*(AA5+AB5+AC5)+Z6*(AA6+AB6+AC6)+Z7*(AA7+AB7+AC7))/(Z4*(AA4+AC4+AD4)+Z5*(AA5+AC5+AD5)+Z6*(AA6+AC6+AD6)+Z7*(AA7+AC7+AD7))</f>
        <v>6.0531528525689951E-2</v>
      </c>
      <c r="AK8" s="50" t="s">
        <v>141</v>
      </c>
      <c r="AL8" s="31">
        <f>SUM(AL4:AL7)</f>
        <v>1943</v>
      </c>
      <c r="AM8" s="31">
        <f>SUM(AM4:AM7)</f>
        <v>861.06599999999992</v>
      </c>
      <c r="AN8" s="31">
        <f>SUM(AN4:AN7)</f>
        <v>182.37</v>
      </c>
      <c r="AO8" s="31">
        <f>SUM(AO4:AO7)</f>
        <v>692.23399999999992</v>
      </c>
      <c r="AP8" s="31">
        <f>SUM(AP4:AP7)</f>
        <v>30679.432999999997</v>
      </c>
      <c r="AQ8" s="33">
        <f>(AL4*AM4+AL5*AM5+AL6*AM6+AL7*AM7)/(AL4*(AM4+AP4)+AL5*(AM5+AP5)+AL6*(AM6+AP6)+AL7*(AM7+AP7))</f>
        <v>2.7167522243881501E-2</v>
      </c>
      <c r="AR8" s="33">
        <f>(AL4*AN4+AL5*AN5+AL6*AN6+AL7*AN7)/(AL4*AP4+AL5*AP5+AL6*AP6+AL7*AP7)</f>
        <v>5.9374217651684772E-3</v>
      </c>
      <c r="AS8" s="122">
        <f>(AL4*(AM4+AN4)+AL5*(AM5+AN5)+AL6*(AM6+AN6)+AL7*(AM7+AN7))/(AL4*(AM4+AP4)+AL5*(AM5+AP5)+AL6*(AM6+AP6)+AL7*(AM7+AP7))</f>
        <v>3.2943638971173458E-2</v>
      </c>
      <c r="AT8" s="34">
        <f>(AL4*AO4+AL5*AO5+AL6*AO6+AL7*AO7)/(AL4*(AO4+AP4)+AL5*(AO5+AP5)+AL6*(AO6+AP6)+AL7*(AO7+AP7))</f>
        <v>2.2076784691823951E-2</v>
      </c>
      <c r="AU8" s="122">
        <f>(AL4*(AM4+AN4+AO4)+AL5*(AM5+AN5+AO5)+AL6*(AM6+AN6+AO6)+AL7*(AM7+AN7+AO7))/(AL4*(AM4+AO4+AP4)+AL5*(AM5+AO5+AP5)+AL6*(AM6+AO6+AP6)+AL7*(AM7+AO7+AP7))</f>
        <v>5.372558557643211E-2</v>
      </c>
      <c r="AW8" s="50" t="s">
        <v>141</v>
      </c>
      <c r="AX8" s="31">
        <f>SUM(AX4:AX7)</f>
        <v>1941</v>
      </c>
      <c r="AY8" s="31">
        <f>SUM(AY4:AY7)</f>
        <v>661.90000000000009</v>
      </c>
      <c r="AZ8" s="31">
        <f>SUM(AZ4:AZ7)</f>
        <v>144.75799999999998</v>
      </c>
      <c r="BA8" s="31">
        <f>SUM(BA4:BA7)</f>
        <v>359.86700000000002</v>
      </c>
      <c r="BB8" s="31">
        <f>SUM(BB4:BB7)</f>
        <v>31206.917000000001</v>
      </c>
      <c r="BC8" s="33">
        <f>(AX4*AY4+AX5*AY5+AX6*AY6+AX7*AY7)/(AX4*(AY4+BB4)+AX5*(AY5+BB5)+AX6*(AY6+BB6)+AX7*(AY7+BB7))</f>
        <v>2.0703181299867542E-2</v>
      </c>
      <c r="BD8" s="33">
        <f>(AX4*AZ4+AX5*AZ5+AX6*AZ6+AX7*AZ7)/(AX4*BB4+AX5*BB5+AX6*BB6+AX7*BB7)</f>
        <v>4.6266014930507965E-3</v>
      </c>
      <c r="BE8" s="122">
        <f>(AX4*(AY4+AZ4)+AX5*(AY5+AZ5)+AX6*(AY6+AZ6)+AX7*(AY7+AZ7))/(AX4*(AY4+BB4)+AX5*(AY5+BB5)+AX6*(AY6+BB6)+AX7*(AY7+BB7))</f>
        <v>2.5233997423405465E-2</v>
      </c>
      <c r="BF8" s="34">
        <f>(AX4*BA4+AX5*BA5+AX6*BA6+AX7*BA7)/(AX4*(BA4+BB4)+AX5*(BA5+BB5)+AX6*(BA6+BB6)+AX7*(BA7+BB7))</f>
        <v>1.1317787340158408E-2</v>
      </c>
      <c r="BG8" s="122">
        <f>(AX4*(AY4+AZ4+BA4)+AX5*(AY5+AZ5+BA5)+AX6*(AY6+AZ6+BA6)+AX7*(AY7+AZ7+BA7))/(AX4*(AY4+BA4+BB4)+AX5*(AY5+BA5+BB5)+AX6*(AY6+BA6+BB6)+AX7*(AY7+BA7+BB7))</f>
        <v>3.6040322303171161E-2</v>
      </c>
      <c r="BI8" s="50" t="s">
        <v>141</v>
      </c>
      <c r="BJ8" s="31">
        <f>SUM(BJ4:BJ7)</f>
        <v>1930.8999999999999</v>
      </c>
      <c r="BK8" s="31">
        <f t="shared" ref="BK8:BN8" si="20">SUM(BK4:BK7)</f>
        <v>3174.799</v>
      </c>
      <c r="BL8" s="31">
        <f t="shared" si="20"/>
        <v>1624.846</v>
      </c>
      <c r="BM8" s="31">
        <f t="shared" si="20"/>
        <v>4068.4319999999998</v>
      </c>
      <c r="BN8" s="31">
        <f t="shared" si="20"/>
        <v>153298.83300000001</v>
      </c>
      <c r="BO8" s="33">
        <f>(BJ4*BK4+BJ5*BK5+BJ6*BK6+BJ7*BK7)/(BJ4*(BK4+BN4)+BJ5*(BK5+BN5)+BJ6*(BK6+BN6)+BJ7*(BK7+BN7))</f>
        <v>2.0241399902690922E-2</v>
      </c>
      <c r="BP8" s="33">
        <f>(BJ4*BL4+BJ5*BL5+BJ6*BL6+BJ7*BL7)/(BJ4*BN4+BJ5*BN5+BJ6*BN6+BJ7*BN7)</f>
        <v>1.0578871692683615E-2</v>
      </c>
      <c r="BQ8" s="122">
        <f>(BJ4*(BK4+BL4)+BJ5*(BK5+BL5)+BJ6*(BK6+BL6)+BJ7*(BK7+BL7))/(BJ4*(BK4+BN4)+BJ5*(BK5+BN5)+BJ6*(BK6+BN6)+BJ7*(BK7+BN7))</f>
        <v>3.0606140422923669E-2</v>
      </c>
      <c r="BR8" s="34">
        <f>(BJ4*BM4+BJ5*BM5+BJ6*BM6+BJ7*BM7)/(BJ4*(BM4+BN4)+BJ5*(BM5+BN5)+BJ6*(BM6+BN6)+BJ7*(BM7+BN7))</f>
        <v>2.5859926666959163E-2</v>
      </c>
      <c r="BS8" s="122">
        <f>(BJ4*(BK4+BL4+BM4)+BJ5*(BK5+BL5+BM5)+BJ6*(BK6+BL6+BM6)+BJ7*(BK7+BL7+BM7))/(BJ4*(BK4+BM4+BN4)+BJ5*(BK5+BM5+BN5)+BJ6*(BK6+BM6+BN6)+BJ7*(BK7+BM7+BN7))</f>
        <v>5.5180036926038498E-2</v>
      </c>
      <c r="BT8" s="127">
        <f>BL8/BK8</f>
        <v>0.51179491993036408</v>
      </c>
      <c r="BU8" s="128">
        <f>(BJ4*BU4+BJ5*BU5+BJ6*BU6+BJ7*BU7)/BJ8</f>
        <v>7665.3974197628058</v>
      </c>
      <c r="BW8" s="98" t="str">
        <f t="shared" si="15"/>
        <v>GH Sta.</v>
      </c>
      <c r="BX8" s="102">
        <f t="shared" si="16"/>
        <v>1930.9</v>
      </c>
    </row>
    <row r="9" spans="1:76" x14ac:dyDescent="0.25">
      <c r="A9" s="135" t="str">
        <f>A2&amp;" STEAM TARGETS :"</f>
        <v>2013 STEAM TARGETS :</v>
      </c>
      <c r="B9" s="135"/>
      <c r="C9" s="135"/>
      <c r="D9" s="135"/>
      <c r="E9" s="135"/>
      <c r="F9" s="135"/>
      <c r="G9" s="135"/>
      <c r="H9" s="135"/>
      <c r="I9" s="136">
        <v>4.3999999999999997E-2</v>
      </c>
      <c r="J9" s="136"/>
      <c r="K9" s="136">
        <v>6.8199999999999997E-2</v>
      </c>
      <c r="M9" s="135" t="str">
        <f>M2&amp;" STEAM TARGETS :"</f>
        <v>2014 STEAM TARGETS :</v>
      </c>
      <c r="N9" s="135"/>
      <c r="O9" s="135"/>
      <c r="P9" s="135"/>
      <c r="Q9" s="135"/>
      <c r="R9" s="135"/>
      <c r="S9" s="135"/>
      <c r="T9" s="135"/>
      <c r="U9" s="136">
        <v>0.05</v>
      </c>
      <c r="V9" s="136"/>
      <c r="W9" s="136">
        <v>7.2999999999999995E-2</v>
      </c>
      <c r="Y9" s="135" t="str">
        <f>Y2&amp;" STEAM TARGETS :"</f>
        <v>2015 STEAM TARGETS :</v>
      </c>
      <c r="Z9" s="135"/>
      <c r="AA9" s="135"/>
      <c r="AB9" s="135"/>
      <c r="AC9" s="135"/>
      <c r="AD9" s="135"/>
      <c r="AE9" s="135"/>
      <c r="AF9" s="135"/>
      <c r="AG9" s="136">
        <v>4.9099999999999998E-2</v>
      </c>
      <c r="AH9" s="136"/>
      <c r="AI9" s="136"/>
      <c r="AK9" s="135" t="str">
        <f>AK2&amp;" STEAM TARGETS :"</f>
        <v>2016 STEAM TARGETS :</v>
      </c>
      <c r="AL9" s="135"/>
      <c r="AM9" s="135"/>
      <c r="AN9" s="135"/>
      <c r="AO9" s="135"/>
      <c r="AP9" s="135"/>
      <c r="AQ9" s="135"/>
      <c r="AR9" s="135"/>
      <c r="AS9" s="136">
        <v>4.9099999999999998E-2</v>
      </c>
      <c r="AT9" s="136"/>
      <c r="AU9" s="136"/>
      <c r="AW9" s="135" t="str">
        <f>AW2&amp;" STEAM TARGETS :"</f>
        <v>2017 STEAM TARGETS :</v>
      </c>
      <c r="AX9" s="135"/>
      <c r="AY9" s="135"/>
      <c r="AZ9" s="135"/>
      <c r="BA9" s="135"/>
      <c r="BB9" s="135"/>
      <c r="BC9" s="135"/>
      <c r="BD9" s="135"/>
      <c r="BE9" s="136">
        <v>4.9099999999999998E-2</v>
      </c>
      <c r="BF9" s="136"/>
      <c r="BG9" s="136"/>
      <c r="BI9" s="135"/>
      <c r="BJ9" s="135"/>
      <c r="BK9" s="135"/>
      <c r="BL9" s="135"/>
      <c r="BM9" s="135"/>
      <c r="BN9" s="135"/>
      <c r="BO9" s="135"/>
      <c r="BP9" s="135"/>
      <c r="BQ9" s="136"/>
      <c r="BR9" s="136"/>
      <c r="BS9" s="136"/>
      <c r="BT9" s="175"/>
      <c r="BU9" s="176"/>
      <c r="BW9" s="98" t="str">
        <f t="shared" si="15"/>
        <v/>
      </c>
      <c r="BX9" s="102"/>
    </row>
    <row r="10" spans="1:76" ht="15.75" x14ac:dyDescent="0.25">
      <c r="A10" s="26" t="s">
        <v>21</v>
      </c>
      <c r="B10" s="31">
        <v>101.5</v>
      </c>
      <c r="C10" s="173">
        <v>68.566999999999993</v>
      </c>
      <c r="D10" s="173">
        <v>146.51899999999998</v>
      </c>
      <c r="E10" s="173">
        <v>319.983</v>
      </c>
      <c r="F10" s="173">
        <v>7521.7</v>
      </c>
      <c r="G10" s="33">
        <f>C10/(C10+F10)</f>
        <v>9.0335425618097483E-3</v>
      </c>
      <c r="H10" s="33">
        <f>D10/F10</f>
        <v>1.9479505962747782E-2</v>
      </c>
      <c r="I10" s="118">
        <f t="shared" ref="I10:I12" si="21">(C10+D10)/(C10+F10)</f>
        <v>2.8337079578360017E-2</v>
      </c>
      <c r="J10" s="34">
        <f t="shared" ref="J10:J12" si="22">E10/(E10+F10)</f>
        <v>4.0805398534982863E-2</v>
      </c>
      <c r="K10" s="118">
        <f t="shared" ref="K10:K12" si="23">(C10+D10+E10)/(C10+E10+F10)</f>
        <v>6.7642489175436929E-2</v>
      </c>
      <c r="M10" s="26" t="s">
        <v>21</v>
      </c>
      <c r="N10" s="31">
        <v>106.5</v>
      </c>
      <c r="O10" s="173">
        <v>108.05</v>
      </c>
      <c r="P10" s="173">
        <v>26.276</v>
      </c>
      <c r="Q10" s="173">
        <v>90.983000000000004</v>
      </c>
      <c r="R10" s="173">
        <v>7414.817</v>
      </c>
      <c r="S10" s="33">
        <f>O10/(O10+R10)</f>
        <v>1.4362875217653056E-2</v>
      </c>
      <c r="T10" s="33">
        <f>P10/R10</f>
        <v>3.5437152393646399E-3</v>
      </c>
      <c r="U10" s="118">
        <f t="shared" ref="U10:U12" si="24">(O10+P10)/(O10+R10)</f>
        <v>1.7855692517227805E-2</v>
      </c>
      <c r="V10" s="34">
        <f t="shared" ref="V10:V12" si="25">Q10/(Q10+R10)</f>
        <v>1.2121692557755337E-2</v>
      </c>
      <c r="W10" s="118">
        <f t="shared" ref="W10:W12" si="26">(O10+P10+Q10)/(O10+Q10+R10)</f>
        <v>2.9591993538091766E-2</v>
      </c>
      <c r="Y10" s="26" t="s">
        <v>21</v>
      </c>
      <c r="Z10" s="31">
        <v>106.5</v>
      </c>
      <c r="AA10" s="173">
        <v>34.417000000000002</v>
      </c>
      <c r="AB10" s="173">
        <v>12.878</v>
      </c>
      <c r="AC10" s="173">
        <v>715.88300000000004</v>
      </c>
      <c r="AD10" s="173">
        <v>4499.3329999999996</v>
      </c>
      <c r="AE10" s="33">
        <f>AA10/(AA10+AD10)</f>
        <v>7.5912875654811146E-3</v>
      </c>
      <c r="AF10" s="33">
        <f>AB10/AD10</f>
        <v>2.8622020197215901E-3</v>
      </c>
      <c r="AG10" s="118">
        <f>(AA10+AB10)/(AA10+AD10)</f>
        <v>1.0431761786600496E-2</v>
      </c>
      <c r="AH10" s="34">
        <f>AC10/(AC10+AD10)</f>
        <v>0.13726813999650256</v>
      </c>
      <c r="AI10" s="118">
        <f>(AA10+AB10+AC10)/(AA10+AC10+AD10)</f>
        <v>0.14537740066781812</v>
      </c>
      <c r="AK10" s="26" t="s">
        <v>21</v>
      </c>
      <c r="AL10" s="31">
        <v>106.5</v>
      </c>
      <c r="AM10" s="173">
        <v>44.683</v>
      </c>
      <c r="AN10" s="173">
        <v>2.0270000000000001</v>
      </c>
      <c r="AO10" s="173">
        <v>230.28299999999999</v>
      </c>
      <c r="AP10" s="173">
        <v>4924.8329999999996</v>
      </c>
      <c r="AQ10" s="33">
        <f>AM10/(AM10+AP10)</f>
        <v>8.9914188826437022E-3</v>
      </c>
      <c r="AR10" s="33">
        <f>AN10/AP10</f>
        <v>4.1158756043098318E-4</v>
      </c>
      <c r="AS10" s="118">
        <f>(AM10+AN10)/(AM10+AP10)</f>
        <v>9.399305686911965E-3</v>
      </c>
      <c r="AT10" s="34">
        <f>AO10/(AO10+AP10)</f>
        <v>4.4670769775112723E-2</v>
      </c>
      <c r="AU10" s="118">
        <f>(AM10+AN10+AO10)/(AM10+AO10+AP10)</f>
        <v>5.3269943703593156E-2</v>
      </c>
      <c r="AW10" s="26" t="s">
        <v>21</v>
      </c>
      <c r="AX10" s="31">
        <v>106.5</v>
      </c>
      <c r="AY10" s="173">
        <v>72.632999999999996</v>
      </c>
      <c r="AZ10" s="173">
        <v>1.893</v>
      </c>
      <c r="BA10" s="173">
        <v>28.617000000000001</v>
      </c>
      <c r="BB10" s="173">
        <v>1182.617</v>
      </c>
      <c r="BC10" s="33">
        <f>AY10/(AY10+BB10)</f>
        <v>5.7863373829914355E-2</v>
      </c>
      <c r="BD10" s="33">
        <f>AZ10/BB10</f>
        <v>1.6006872892914614E-3</v>
      </c>
      <c r="BE10" s="118">
        <f>(AY10+AZ10)/(AY10+BB10)</f>
        <v>5.9371439952200754E-2</v>
      </c>
      <c r="BF10" s="34">
        <f>BA10/(BA10+BB10)</f>
        <v>2.3626318283667732E-2</v>
      </c>
      <c r="BG10" s="118">
        <f>(AY10+AZ10+BA10)/(AY10+BA10+BB10)</f>
        <v>8.0337760842828732E-2</v>
      </c>
      <c r="BI10" s="26" t="s">
        <v>21</v>
      </c>
      <c r="BJ10" s="31">
        <f>SUM(AX10,B10,N10,Z10,AL10)/5</f>
        <v>105.5</v>
      </c>
      <c r="BK10" s="31">
        <f t="shared" ref="BK10:BN12" si="27">SUM(AY10,C10,O10,AA10,AM10)</f>
        <v>328.35</v>
      </c>
      <c r="BL10" s="31">
        <f t="shared" si="27"/>
        <v>189.59299999999996</v>
      </c>
      <c r="BM10" s="31">
        <f t="shared" si="27"/>
        <v>1385.749</v>
      </c>
      <c r="BN10" s="31">
        <f t="shared" si="27"/>
        <v>25543.299999999996</v>
      </c>
      <c r="BO10" s="33">
        <f>BK10/(BK10+BN10)</f>
        <v>1.2691498222958338E-2</v>
      </c>
      <c r="BP10" s="33">
        <f>BL10/BN10</f>
        <v>7.4224160543077834E-3</v>
      </c>
      <c r="BQ10" s="118">
        <f t="shared" ref="BQ10:BQ12" si="28">(BK10+BL10)/(BK10+BN10)</f>
        <v>2.0019712697102818E-2</v>
      </c>
      <c r="BR10" s="34">
        <f t="shared" ref="BR10:BR12" si="29">BM10/(BM10+BN10)</f>
        <v>5.1459262449260655E-2</v>
      </c>
      <c r="BS10" s="118">
        <f t="shared" ref="BS10:BS12" si="30">(BK10+BL10+BM10)/(BK10+BM10+BN10)</f>
        <v>6.9841293367720089E-2</v>
      </c>
      <c r="BT10" s="129">
        <f t="shared" ref="BT10:BT12" si="31">BL10/BK10</f>
        <v>0.57741129891883647</v>
      </c>
      <c r="BU10" s="131">
        <f>BN10/5</f>
        <v>5108.6599999999989</v>
      </c>
      <c r="BW10" s="98" t="str">
        <f t="shared" si="15"/>
        <v>BR1</v>
      </c>
      <c r="BX10" s="102">
        <f t="shared" si="16"/>
        <v>105.5</v>
      </c>
    </row>
    <row r="11" spans="1:76" ht="15.75" x14ac:dyDescent="0.25">
      <c r="A11" s="26" t="s">
        <v>22</v>
      </c>
      <c r="B11" s="31">
        <v>168</v>
      </c>
      <c r="C11" s="173">
        <v>149.25</v>
      </c>
      <c r="D11" s="173">
        <v>110.44799999999999</v>
      </c>
      <c r="E11" s="173">
        <v>118.417</v>
      </c>
      <c r="F11" s="173">
        <v>7671.9170000000004</v>
      </c>
      <c r="G11" s="33">
        <f t="shared" ref="G11:G12" si="32">C11/(C11+F11)</f>
        <v>1.908282996642317E-2</v>
      </c>
      <c r="H11" s="33">
        <f t="shared" ref="H11:H12" si="33">D11/F11</f>
        <v>1.4396401838028225E-2</v>
      </c>
      <c r="I11" s="118">
        <f t="shared" si="21"/>
        <v>3.3204507716048E-2</v>
      </c>
      <c r="J11" s="34">
        <f t="shared" si="22"/>
        <v>1.5200503598433647E-2</v>
      </c>
      <c r="K11" s="118">
        <f t="shared" si="23"/>
        <v>4.7624031687302504E-2</v>
      </c>
      <c r="M11" s="26" t="s">
        <v>22</v>
      </c>
      <c r="N11" s="31">
        <v>167.5</v>
      </c>
      <c r="O11" s="173">
        <v>82.367000000000004</v>
      </c>
      <c r="P11" s="173">
        <v>126.851</v>
      </c>
      <c r="Q11" s="173">
        <v>403.83300000000003</v>
      </c>
      <c r="R11" s="173">
        <v>7534.75</v>
      </c>
      <c r="S11" s="33">
        <f t="shared" ref="S11:S12" si="34">O11/(O11+R11)</f>
        <v>1.0813408800206167E-2</v>
      </c>
      <c r="T11" s="33">
        <f t="shared" ref="T11:T12" si="35">P11/R11</f>
        <v>1.683546235774246E-2</v>
      </c>
      <c r="U11" s="118">
        <f t="shared" si="24"/>
        <v>2.7466822421133876E-2</v>
      </c>
      <c r="V11" s="34">
        <f t="shared" si="25"/>
        <v>5.086965772103158E-2</v>
      </c>
      <c r="W11" s="118">
        <f t="shared" si="26"/>
        <v>7.6431220740685341E-2</v>
      </c>
      <c r="Y11" s="26" t="s">
        <v>22</v>
      </c>
      <c r="Z11" s="31">
        <v>167.5</v>
      </c>
      <c r="AA11" s="173">
        <v>8.8670000000000009</v>
      </c>
      <c r="AB11" s="173">
        <v>12.563000000000001</v>
      </c>
      <c r="AC11" s="173">
        <v>165.8</v>
      </c>
      <c r="AD11" s="173">
        <v>7271.3829999999998</v>
      </c>
      <c r="AE11" s="33">
        <f>AA11/(AA11+AD11)</f>
        <v>1.217952680196422E-3</v>
      </c>
      <c r="AF11" s="33">
        <f>AB11/AD11</f>
        <v>1.7277318496357571E-3</v>
      </c>
      <c r="AG11" s="118">
        <f>(AA11+AB11)/(AA11+AD11)</f>
        <v>2.9435802341952542E-3</v>
      </c>
      <c r="AH11" s="34">
        <f>AC11/(AC11+AD11)</f>
        <v>2.2293387160165348E-2</v>
      </c>
      <c r="AI11" s="118">
        <f>(AA11+AB11+AC11)/(AA11+AC11+AD11)</f>
        <v>2.514487547088725E-2</v>
      </c>
      <c r="AK11" s="26" t="s">
        <v>22</v>
      </c>
      <c r="AL11" s="31">
        <v>167.5</v>
      </c>
      <c r="AM11" s="173">
        <v>16.216999999999999</v>
      </c>
      <c r="AN11" s="173">
        <v>27.742000000000001</v>
      </c>
      <c r="AO11" s="173">
        <v>444.18299999999999</v>
      </c>
      <c r="AP11" s="173">
        <v>4990.5</v>
      </c>
      <c r="AQ11" s="33">
        <f>AM11/(AM11+AP11)</f>
        <v>3.2390486620274325E-3</v>
      </c>
      <c r="AR11" s="33">
        <f>AN11/AP11</f>
        <v>5.5589620278529211E-3</v>
      </c>
      <c r="AS11" s="118">
        <f>(AM11+AN11)/(AM11+AP11)</f>
        <v>8.780004941361776E-3</v>
      </c>
      <c r="AT11" s="34">
        <f>AO11/(AO11+AP11)</f>
        <v>8.1731169968883188E-2</v>
      </c>
      <c r="AU11" s="118">
        <f>(AM11+AN11+AO11)/(AM11+AO11+AP11)</f>
        <v>8.9552550954888191E-2</v>
      </c>
      <c r="AW11" s="26" t="s">
        <v>22</v>
      </c>
      <c r="AX11" s="31">
        <v>167.5</v>
      </c>
      <c r="AY11" s="173">
        <v>29.632999999999999</v>
      </c>
      <c r="AZ11" s="173">
        <v>11.279000000000002</v>
      </c>
      <c r="BA11" s="173">
        <v>38.433</v>
      </c>
      <c r="BB11" s="173">
        <v>3984.8670000000002</v>
      </c>
      <c r="BC11" s="33">
        <f>AY11/(AY11+BB11)</f>
        <v>7.3814920911695102E-3</v>
      </c>
      <c r="BD11" s="33">
        <f>AZ11/BB11</f>
        <v>2.8304583314825819E-3</v>
      </c>
      <c r="BE11" s="118">
        <f>(AY11+AZ11)/(AY11+BB11)</f>
        <v>1.0191057416863868E-2</v>
      </c>
      <c r="BF11" s="34">
        <f>BA11/(BA11+BB11)</f>
        <v>9.5526060696443215E-3</v>
      </c>
      <c r="BG11" s="118">
        <f>(AY11+AZ11+BA11)/(AY11+BA11+BB11)</f>
        <v>1.957718027907197E-2</v>
      </c>
      <c r="BI11" s="26" t="s">
        <v>22</v>
      </c>
      <c r="BJ11" s="31">
        <f>SUM(AX11,B11,N11,Z11,AL11)/5</f>
        <v>167.6</v>
      </c>
      <c r="BK11" s="31">
        <f t="shared" si="27"/>
        <v>286.334</v>
      </c>
      <c r="BL11" s="31">
        <f t="shared" si="27"/>
        <v>288.88299999999998</v>
      </c>
      <c r="BM11" s="31">
        <f t="shared" si="27"/>
        <v>1170.6659999999999</v>
      </c>
      <c r="BN11" s="31">
        <f t="shared" si="27"/>
        <v>31453.417000000001</v>
      </c>
      <c r="BO11" s="33">
        <f t="shared" ref="BO11:BO12" si="36">BK11/(BK11+BN11)</f>
        <v>9.0213058067153701E-3</v>
      </c>
      <c r="BP11" s="33">
        <f t="shared" ref="BP11:BP12" si="37">BL11/BN11</f>
        <v>9.1844711180346476E-3</v>
      </c>
      <c r="BQ11" s="118">
        <f t="shared" si="28"/>
        <v>1.8122921002121282E-2</v>
      </c>
      <c r="BR11" s="34">
        <f t="shared" si="29"/>
        <v>3.5883491345948322E-2</v>
      </c>
      <c r="BS11" s="118">
        <f t="shared" si="30"/>
        <v>5.3049555707543897E-2</v>
      </c>
      <c r="BT11" s="129">
        <f t="shared" si="31"/>
        <v>1.0089021911474012</v>
      </c>
      <c r="BU11" s="131">
        <f>BN11/5</f>
        <v>6290.6833999999999</v>
      </c>
      <c r="BW11" s="98" t="str">
        <f t="shared" si="15"/>
        <v>BR2</v>
      </c>
      <c r="BX11" s="102">
        <f t="shared" si="16"/>
        <v>167.6</v>
      </c>
    </row>
    <row r="12" spans="1:76" ht="18" x14ac:dyDescent="0.4">
      <c r="A12" s="27" t="s">
        <v>28</v>
      </c>
      <c r="B12" s="32">
        <v>418</v>
      </c>
      <c r="C12" s="174">
        <v>526.35</v>
      </c>
      <c r="D12" s="174">
        <v>569.74900000000002</v>
      </c>
      <c r="E12" s="174">
        <v>316.233</v>
      </c>
      <c r="F12" s="174">
        <v>7120.35</v>
      </c>
      <c r="G12" s="119">
        <f t="shared" si="32"/>
        <v>6.8833614500372703E-2</v>
      </c>
      <c r="H12" s="119">
        <f t="shared" si="33"/>
        <v>8.0016993546665541E-2</v>
      </c>
      <c r="I12" s="120">
        <f t="shared" si="21"/>
        <v>0.14334274915976827</v>
      </c>
      <c r="J12" s="121">
        <f t="shared" si="22"/>
        <v>4.2523965643898549E-2</v>
      </c>
      <c r="K12" s="120">
        <f t="shared" si="23"/>
        <v>0.17736329063675407</v>
      </c>
      <c r="M12" s="27" t="s">
        <v>28</v>
      </c>
      <c r="N12" s="32">
        <v>412</v>
      </c>
      <c r="O12" s="174">
        <v>516.21699999999998</v>
      </c>
      <c r="P12" s="174">
        <v>61.683999999999997</v>
      </c>
      <c r="Q12" s="174">
        <v>403.43299999999999</v>
      </c>
      <c r="R12" s="174">
        <v>6664.6170000000002</v>
      </c>
      <c r="S12" s="119">
        <f t="shared" si="34"/>
        <v>7.1888167864624083E-2</v>
      </c>
      <c r="T12" s="119">
        <f t="shared" si="35"/>
        <v>9.2554455867456444E-3</v>
      </c>
      <c r="U12" s="120">
        <f t="shared" si="24"/>
        <v>8.047825642536785E-2</v>
      </c>
      <c r="V12" s="121">
        <f t="shared" si="25"/>
        <v>5.7078402105248262E-2</v>
      </c>
      <c r="W12" s="120">
        <f t="shared" si="26"/>
        <v>0.12939075061571539</v>
      </c>
      <c r="Y12" s="27" t="s">
        <v>28</v>
      </c>
      <c r="Z12" s="32">
        <v>412</v>
      </c>
      <c r="AA12" s="174">
        <v>86.417000000000002</v>
      </c>
      <c r="AB12" s="174">
        <v>123.566</v>
      </c>
      <c r="AC12" s="174">
        <v>108.367</v>
      </c>
      <c r="AD12" s="174">
        <v>5933.9</v>
      </c>
      <c r="AE12" s="119">
        <f>AA12/(AA12+AD12)</f>
        <v>1.4354227526557156E-2</v>
      </c>
      <c r="AF12" s="119">
        <f>AB12/AD12</f>
        <v>2.0823741552773053E-2</v>
      </c>
      <c r="AG12" s="120">
        <f>(AA12+AB12)/(AA12+AD12)</f>
        <v>3.4879060355127479E-2</v>
      </c>
      <c r="AH12" s="121">
        <f>AC12/(AC12+AD12)</f>
        <v>1.7934824793409496E-2</v>
      </c>
      <c r="AI12" s="120">
        <f>(AA12+AB12+AC12)/(AA12+AC12+AD12)</f>
        <v>5.1944267317420849E-2</v>
      </c>
      <c r="AK12" s="27" t="s">
        <v>28</v>
      </c>
      <c r="AL12" s="32">
        <v>414</v>
      </c>
      <c r="AM12" s="174">
        <v>522.36699999999996</v>
      </c>
      <c r="AN12" s="174">
        <v>65.429000000000002</v>
      </c>
      <c r="AO12" s="174">
        <v>643.21699999999998</v>
      </c>
      <c r="AP12" s="174">
        <v>5518.85</v>
      </c>
      <c r="AQ12" s="119">
        <f>AM12/(AM12+AP12)</f>
        <v>8.646718037110733E-2</v>
      </c>
      <c r="AR12" s="119">
        <f>AN12/AP12</f>
        <v>1.1855549616314992E-2</v>
      </c>
      <c r="AS12" s="120">
        <f>(AM12+AN12)/(AM12+AP12)</f>
        <v>9.7297614040349797E-2</v>
      </c>
      <c r="AT12" s="121">
        <f>AO12/(AO12+AP12)</f>
        <v>0.10438331813010147</v>
      </c>
      <c r="AU12" s="120">
        <f>(AM12+AN12+AO12)/(AM12+AO12+AP12)</f>
        <v>0.18416114214008245</v>
      </c>
      <c r="AW12" s="27" t="s">
        <v>28</v>
      </c>
      <c r="AX12" s="32">
        <v>413</v>
      </c>
      <c r="AY12" s="174">
        <v>164.46700000000001</v>
      </c>
      <c r="AZ12" s="174">
        <v>16.145</v>
      </c>
      <c r="BA12" s="174">
        <v>202.083</v>
      </c>
      <c r="BB12" s="174">
        <v>5603.3329999999996</v>
      </c>
      <c r="BC12" s="119">
        <f>AY12/(AY12+BB12)</f>
        <v>2.8514684975207191E-2</v>
      </c>
      <c r="BD12" s="119">
        <f>AZ12/BB12</f>
        <v>2.881320813879882E-3</v>
      </c>
      <c r="BE12" s="120">
        <f>(AY12+AZ12)/(AY12+BB12)</f>
        <v>3.1313845833766785E-2</v>
      </c>
      <c r="BF12" s="121">
        <f>BA12/(BA12+BB12)</f>
        <v>3.4809391781743124E-2</v>
      </c>
      <c r="BG12" s="120">
        <f>(AY12+AZ12+BA12)/(AY12+BA12+BB12)</f>
        <v>6.4104271390243342E-2</v>
      </c>
      <c r="BI12" s="27" t="s">
        <v>28</v>
      </c>
      <c r="BJ12" s="32">
        <f>SUM(AX12,B12,N12,Z12,AL12)/5</f>
        <v>413.8</v>
      </c>
      <c r="BK12" s="32">
        <f t="shared" si="27"/>
        <v>1815.818</v>
      </c>
      <c r="BL12" s="32">
        <f t="shared" si="27"/>
        <v>836.57299999999998</v>
      </c>
      <c r="BM12" s="32">
        <f t="shared" si="27"/>
        <v>1673.3330000000001</v>
      </c>
      <c r="BN12" s="32">
        <f t="shared" si="27"/>
        <v>30841.050000000003</v>
      </c>
      <c r="BO12" s="119">
        <f t="shared" si="36"/>
        <v>5.5602943919790468E-2</v>
      </c>
      <c r="BP12" s="119">
        <f t="shared" si="37"/>
        <v>2.7125308638973052E-2</v>
      </c>
      <c r="BQ12" s="120">
        <f t="shared" si="28"/>
        <v>8.1220005543703691E-2</v>
      </c>
      <c r="BR12" s="121">
        <f t="shared" si="29"/>
        <v>5.14643934655011E-2</v>
      </c>
      <c r="BS12" s="120">
        <f t="shared" si="30"/>
        <v>0.12600345683964972</v>
      </c>
      <c r="BT12" s="130">
        <f t="shared" si="31"/>
        <v>0.46071412443317555</v>
      </c>
      <c r="BU12" s="132">
        <f>BN12/5</f>
        <v>6168.2100000000009</v>
      </c>
      <c r="BW12" s="98" t="str">
        <f t="shared" si="15"/>
        <v>BR3</v>
      </c>
      <c r="BX12" s="102">
        <f t="shared" si="16"/>
        <v>413.8</v>
      </c>
    </row>
    <row r="13" spans="1:76" ht="15.75" x14ac:dyDescent="0.25">
      <c r="A13" s="50" t="s">
        <v>142</v>
      </c>
      <c r="B13" s="31">
        <v>687.5</v>
      </c>
      <c r="C13" s="31">
        <v>744.16700000000003</v>
      </c>
      <c r="D13" s="31">
        <v>826.71600000000001</v>
      </c>
      <c r="E13" s="31">
        <v>754.63300000000004</v>
      </c>
      <c r="F13" s="31">
        <v>22313.967000000001</v>
      </c>
      <c r="G13" s="33">
        <f>(B10*C10+B11*C11+B12*C12)/(B10*(C10+F10)+B11*(C11+F11)+B12*(C12+F12))</f>
        <v>4.7730109105512855E-2</v>
      </c>
      <c r="H13" s="33">
        <f>(B10*D10+B11*D11+B12*D12)/(B10*F10+B11*F11+B12*F12)</f>
        <v>5.4007042772920559E-2</v>
      </c>
      <c r="I13" s="122">
        <f>(B10*(C10+D10)+B11*(C11+D11)+B12*(C12+D12))/(B10*(C10+F10)+B11*(C11+F11)+B12*(C12+F12))</f>
        <v>9.9159389834415815E-2</v>
      </c>
      <c r="J13" s="34">
        <f>(B10*E10+B11*E11+B12*E12)/(B10*(E10+F10)+B11*(E11+F11)+B12*(E12+F12))</f>
        <v>3.540201277201268E-2</v>
      </c>
      <c r="K13" s="122">
        <f>(B10*(C10+D10+E10)+B11*(C11+D11+E11)+B12*(C12+D12+E12))/(B10*(C10+E10+F10)+B11*(C11+E11+F11)+B12*(C12+E12+F12))</f>
        <v>0.12958017574541666</v>
      </c>
      <c r="M13" s="50" t="s">
        <v>142</v>
      </c>
      <c r="N13" s="31">
        <v>686</v>
      </c>
      <c r="O13" s="31">
        <v>706.63400000000001</v>
      </c>
      <c r="P13" s="31">
        <v>214.81100000000001</v>
      </c>
      <c r="Q13" s="31">
        <v>898.24900000000002</v>
      </c>
      <c r="R13" s="31">
        <v>21614.184000000001</v>
      </c>
      <c r="S13" s="33">
        <f>(N10*O10+N11*O11+N12*O12)/(N10*(O10+R10)+N11*(O11+R11)+N12*(O12+R12))</f>
        <v>4.726095778942796E-2</v>
      </c>
      <c r="T13" s="33">
        <f>(N10*P10+N11*P11+N12*P12)/(N10*R10+N11*R11+N12*R12)</f>
        <v>1.0309330733124655E-2</v>
      </c>
      <c r="U13" s="122">
        <f>(N10*(O10+P10)+N11*(O11+P11)+N12*(O12+P12))/(N10*(O10+R10)+N11*(O11+R11)+N12*(O12+R12))</f>
        <v>5.7083059677937163E-2</v>
      </c>
      <c r="V13" s="34">
        <f>(N10*Q10+N11*Q11+N12*Q12)/(N10*(Q10+R10)+N11*(Q11+R11)+N12*(Q12+R12))</f>
        <v>4.831193469519094E-2</v>
      </c>
      <c r="W13" s="122">
        <f>(N10*(O10+P10+Q10)+N11*(O11+P11+Q11)+N12*(O12+P12+Q12))/(N10*(O10+Q10+R10)+N11*(O11+Q11+R11)+N12*(O12+Q12+R12))</f>
        <v>0.10058359234394919</v>
      </c>
      <c r="Y13" s="50" t="s">
        <v>142</v>
      </c>
      <c r="Z13" s="31">
        <f>SUM(Z10:Z12)</f>
        <v>686</v>
      </c>
      <c r="AA13" s="31">
        <f>SUM(AA10:AA12)</f>
        <v>129.70100000000002</v>
      </c>
      <c r="AB13" s="31">
        <f>SUM(AB10:AB12)</f>
        <v>149.00700000000001</v>
      </c>
      <c r="AC13" s="31">
        <f>SUM(AC10:AC12)</f>
        <v>990.05</v>
      </c>
      <c r="AD13" s="31">
        <f>SUM(AD10:AD12)</f>
        <v>17704.616000000002</v>
      </c>
      <c r="AE13" s="33">
        <f>(Z10*AA10+Z11*AA11+Z12*AA12)/(Z10*(AA10+AD10)+Z11*(AA11+AD11)+Z12*(AA12+AD12))</f>
        <v>9.7436721257746304E-3</v>
      </c>
      <c r="AF13" s="33">
        <f>(Z10*AB10+Z11*AB11+Z12*AB12)/(Z10*AD10+Z11*AD11+Z12*AD12)</f>
        <v>1.3130440079124638E-2</v>
      </c>
      <c r="AG13" s="122">
        <f>(Z10*(AA10+AB10)+Z11*(AA11+AB11)+Z12*(AA12+AB12))/(Z10*(AA10+AD10)+Z11*(AA11+AD11)+Z12*(AA12+AD12))</f>
        <v>2.2746173501901147E-2</v>
      </c>
      <c r="AH13" s="34">
        <f>(Z10*AC10+Z11*AC11+Z12*AC12)/(Z10*(AC10+AD10)+Z11*(AC11+AD11)+Z12*(AC12+AD12))</f>
        <v>3.4648193083998906E-2</v>
      </c>
      <c r="AI13" s="122">
        <f>(Z10*(AA10+AB10+AC10)+Z11*(AA11+AB11+AC11)+Z12*(AA12+AB12+AC12))/(Z10*(AA10+AC10+AD10)+Z11*(AA11+AC11+AD11)+Z12*(AA12+AC12+AD12))</f>
        <v>5.6287654889252768E-2</v>
      </c>
      <c r="AK13" s="50" t="s">
        <v>142</v>
      </c>
      <c r="AL13" s="31">
        <f>SUM(AL10:AL12)</f>
        <v>688</v>
      </c>
      <c r="AM13" s="31">
        <f>SUM(AM10:AM12)</f>
        <v>583.26699999999994</v>
      </c>
      <c r="AN13" s="31">
        <f>SUM(AN10:AN12)</f>
        <v>95.198000000000008</v>
      </c>
      <c r="AO13" s="31">
        <f>SUM(AO10:AO12)</f>
        <v>1317.683</v>
      </c>
      <c r="AP13" s="31">
        <f>SUM(AP10:AP12)</f>
        <v>15434.182999999999</v>
      </c>
      <c r="AQ13" s="33">
        <f>(AL10*AM10+AL11*AM11+AL12*AM12)/(AL10*(AM10+AP10)+AL11*(AM11+AP11)+AL12*(AM12+AP12))</f>
        <v>5.7828471575901187E-2</v>
      </c>
      <c r="AR13" s="33">
        <f>(AL10*AN10+AL11*AN11+AL12*AN12)/(AL10*AP10+AL11*AP11+AL12*AP12)</f>
        <v>8.7650065703141419E-3</v>
      </c>
      <c r="AS13" s="122">
        <f>(AL10*(AM10+AN10)+AL11*(AM11+AN11)+AL12*(AM12+AN12))/(AL10*(AM10+AP10)+AL11*(AM11+AP11)+AL12*(AM12+AP12))</f>
        <v>6.6086611212901325E-2</v>
      </c>
      <c r="AT13" s="34">
        <f>(AL10*AO10+AL11*AO11+AL12*AO12)/(AL10*(AO10+AP10)+AL11*(AO11+AP11)+AL12*(AO12+AP12))</f>
        <v>9.106706408943413E-2</v>
      </c>
      <c r="AU13" s="122">
        <f>(AL10*(AM10+AN10+AO10)+AL11*(AM11+AN11+AO11)+AL12*(AM12+AN12+AO12))/(AL10*(AM10+AO10+AP10)+AL11*(AM11+AO11+AP11)+AL12*(AM12+AO12+AP12))</f>
        <v>0.14664134530591513</v>
      </c>
      <c r="AW13" s="50" t="s">
        <v>142</v>
      </c>
      <c r="AX13" s="31">
        <f>SUM(AX10:AX12)</f>
        <v>687</v>
      </c>
      <c r="AY13" s="31">
        <f>SUM(AY10:AY12)</f>
        <v>266.733</v>
      </c>
      <c r="AZ13" s="31">
        <f>SUM(AZ10:AZ12)</f>
        <v>29.317</v>
      </c>
      <c r="BA13" s="31">
        <f>SUM(BA10:BA12)</f>
        <v>269.13299999999998</v>
      </c>
      <c r="BB13" s="31">
        <f>SUM(BB10:BB12)</f>
        <v>10770.816999999999</v>
      </c>
      <c r="BC13" s="33">
        <f>(AX10*AY10+AX11*AY11+AX12*AY12)/(AX10*(AY10+BB10)+AX11*(AY11+BB11)+AX12*(AY12+BB12))</f>
        <v>2.5288078543591615E-2</v>
      </c>
      <c r="BD13" s="33">
        <f>(AX10*AZ10+AX11*AZ11+AX12*AZ12)/(AX10*BB10+AX11*BB11+AX12*BB12)</f>
        <v>2.8184930115801089E-3</v>
      </c>
      <c r="BE13" s="122">
        <f>(AX10*(AY10+AZ10)+AX11*(AY11+AZ11)+AX12*(AY12+AZ12))/(AX10*(AY10+BB10)+AX11*(AY11+BB11)+AX12*(AY12+BB12))</f>
        <v>2.8035297282520324E-2</v>
      </c>
      <c r="BF13" s="34">
        <f>(AX10*BA10+AX11*BA11+AX12*BA12)/(AX10*(BA10+BB10)+AX11*(BA11+BB11)+AX12*(BA12+BB12))</f>
        <v>2.9040609950912226E-2</v>
      </c>
      <c r="BG13" s="122">
        <f>(AX10*(AY10+AZ10+BA10)+AX11*(AY11+AZ11+BA11)+AX12*(AY12+AZ12+BA12))/(AX10*(AY10+BA10+BB10)+AX11*(AY11+BA11+BB11)+AX12*(AY12+BA12+BB12))</f>
        <v>5.5568172097118042E-2</v>
      </c>
      <c r="BI13" s="50" t="s">
        <v>142</v>
      </c>
      <c r="BJ13" s="31">
        <f>SUM(BJ10:BJ12)</f>
        <v>686.90000000000009</v>
      </c>
      <c r="BK13" s="31">
        <f t="shared" ref="BK13" si="38">SUM(BK10:BK12)</f>
        <v>2430.502</v>
      </c>
      <c r="BL13" s="31">
        <f t="shared" ref="BL13" si="39">SUM(BL10:BL12)</f>
        <v>1315.049</v>
      </c>
      <c r="BM13" s="31">
        <f t="shared" ref="BM13" si="40">SUM(BM10:BM12)</f>
        <v>4229.7479999999996</v>
      </c>
      <c r="BN13" s="31">
        <f t="shared" ref="BN13" si="41">SUM(BN10:BN12)</f>
        <v>87837.766999999993</v>
      </c>
      <c r="BO13" s="33">
        <f>(BJ10*BK10+BJ11*BK11+BJ12*BK12)/(BJ10*(BK10+BN10)+BJ11*(BK11+BN11)+BJ12*(BK12+BN12))</f>
        <v>3.8679086251643693E-2</v>
      </c>
      <c r="BP13" s="33">
        <f>(BJ10*BL10+BJ11*BL11+BJ12*BL12)/(BJ10*BN10+BJ11*BN11+BJ12*BN12)</f>
        <v>2.0001158462435865E-2</v>
      </c>
      <c r="BQ13" s="122">
        <f>(BJ10*(BK10+BL10)+BJ11*(BK11+BL11)+BJ12*(BK12+BL12))/(BJ10*(BK10+BN10)+BJ11*(BK11+BN11)+BJ12*(BK12+BN12))</f>
        <v>5.7906618180778198E-2</v>
      </c>
      <c r="BR13" s="34">
        <f>(BJ10*BM10+BJ11*BM11+BJ12*BM12)/(BJ10*(BM10+BN10)+BJ11*(BM11+BN11)+BJ12*(BM12+BN12))</f>
        <v>4.754918195840814E-2</v>
      </c>
      <c r="BS13" s="122">
        <f>(BJ10*(BK10+BL10+BM10)+BJ11*(BK11+BL11+BM11)+BJ12*(BK12+BL12+BM12))/(BJ10*(BK10+BM10+BN10)+BJ11*(BK11+BM11+BN11)+BJ12*(BK12+BM12+BN12))</f>
        <v>0.10104907420974481</v>
      </c>
      <c r="BT13" s="127">
        <f>BL13/BK13</f>
        <v>0.54106065331359532</v>
      </c>
      <c r="BU13" s="128">
        <f>(BJ10*BU10+BJ11*BU11+BJ12*BU12)/BJ13</f>
        <v>6035.358081001601</v>
      </c>
      <c r="BV13" s="163"/>
      <c r="BW13" s="98" t="str">
        <f t="shared" si="15"/>
        <v>BR Sta.</v>
      </c>
      <c r="BX13" s="102">
        <f t="shared" si="16"/>
        <v>686.9</v>
      </c>
    </row>
    <row r="14" spans="1:76" hidden="1" x14ac:dyDescent="0.25">
      <c r="A14" s="135" t="str">
        <f>A9</f>
        <v>2013 STEAM TARGETS :</v>
      </c>
      <c r="B14" s="135"/>
      <c r="C14" s="135"/>
      <c r="D14" s="135"/>
      <c r="E14" s="135"/>
      <c r="F14" s="135"/>
      <c r="G14" s="135"/>
      <c r="H14" s="135"/>
      <c r="I14" s="136">
        <v>0.05</v>
      </c>
      <c r="J14" s="136"/>
      <c r="K14" s="136">
        <v>7.51E-2</v>
      </c>
      <c r="M14" s="135" t="str">
        <f>M9</f>
        <v>2014 STEAM TARGETS :</v>
      </c>
      <c r="N14" s="135"/>
      <c r="O14" s="135"/>
      <c r="P14" s="135"/>
      <c r="Q14" s="135"/>
      <c r="R14" s="135"/>
      <c r="S14" s="135"/>
      <c r="T14" s="135"/>
      <c r="U14" s="136">
        <v>5.6000000000000001E-2</v>
      </c>
      <c r="V14" s="136"/>
      <c r="W14" s="136">
        <v>8.2500000000000004E-2</v>
      </c>
      <c r="Y14" s="135" t="str">
        <f>Y9</f>
        <v>2015 STEAM TARGETS :</v>
      </c>
      <c r="Z14" s="135"/>
      <c r="AA14" s="135"/>
      <c r="AB14" s="135"/>
      <c r="AC14" s="135"/>
      <c r="AD14" s="135"/>
      <c r="AE14" s="135"/>
      <c r="AF14" s="135"/>
      <c r="AG14" s="136">
        <v>3.8100000000000002E-2</v>
      </c>
      <c r="AH14" s="136"/>
      <c r="AI14" s="136"/>
      <c r="AK14" s="135" t="str">
        <f>AK9</f>
        <v>2016 STEAM TARGETS :</v>
      </c>
      <c r="AL14" s="135"/>
      <c r="AM14" s="135"/>
      <c r="AN14" s="135"/>
      <c r="AO14" s="135"/>
      <c r="AP14" s="135"/>
      <c r="AQ14" s="135"/>
      <c r="AR14" s="135"/>
      <c r="AS14" s="136">
        <v>3.8100000000000002E-2</v>
      </c>
      <c r="AT14" s="136"/>
      <c r="AU14" s="136"/>
      <c r="AW14" s="135" t="str">
        <f>AW9</f>
        <v>2017 STEAM TARGETS :</v>
      </c>
      <c r="AX14" s="135"/>
      <c r="AY14" s="135"/>
      <c r="AZ14" s="135"/>
      <c r="BA14" s="135"/>
      <c r="BB14" s="135"/>
      <c r="BC14" s="135"/>
      <c r="BD14" s="135"/>
      <c r="BE14" s="136">
        <v>3.8100000000000002E-2</v>
      </c>
      <c r="BF14" s="136"/>
      <c r="BG14" s="136"/>
      <c r="BI14" s="135"/>
      <c r="BJ14" s="135"/>
      <c r="BK14" s="135"/>
      <c r="BL14" s="135"/>
      <c r="BM14" s="135"/>
      <c r="BN14" s="135"/>
      <c r="BO14" s="135"/>
      <c r="BP14" s="135"/>
      <c r="BQ14" s="136"/>
      <c r="BR14" s="136"/>
      <c r="BS14" s="136"/>
      <c r="BT14" s="175"/>
      <c r="BU14" s="176"/>
      <c r="BW14" s="98" t="str">
        <f t="shared" si="15"/>
        <v/>
      </c>
      <c r="BX14" s="102"/>
    </row>
    <row r="15" spans="1:76" ht="15.75" hidden="1" x14ac:dyDescent="0.25">
      <c r="A15" s="26" t="s">
        <v>16</v>
      </c>
      <c r="B15" s="31">
        <v>69.5</v>
      </c>
      <c r="C15" s="173">
        <v>34.582999999999998</v>
      </c>
      <c r="D15" s="173">
        <v>24.241999999999997</v>
      </c>
      <c r="E15" s="173">
        <v>67.132999999999996</v>
      </c>
      <c r="F15" s="173">
        <v>7091.6</v>
      </c>
      <c r="G15" s="33">
        <f t="shared" ref="G15:G16" si="42">C15/(C15+F15)</f>
        <v>4.8529486262140617E-3</v>
      </c>
      <c r="H15" s="33">
        <f>D15/F15</f>
        <v>3.4184105138473681E-3</v>
      </c>
      <c r="I15" s="118">
        <f t="shared" ref="I15:I16" si="43">(C15+D15)/(C15+F15)</f>
        <v>8.2547697694544189E-3</v>
      </c>
      <c r="J15" s="34">
        <f t="shared" ref="J15:J16" si="44">E15/(E15+F15)</f>
        <v>9.3777767658047868E-3</v>
      </c>
      <c r="K15" s="118">
        <f t="shared" ref="K15:K16" si="45">(C15+D15+E15)/(C15+E15+F15)</f>
        <v>1.7510422175252692E-2</v>
      </c>
      <c r="M15" s="26" t="s">
        <v>16</v>
      </c>
      <c r="N15" s="31">
        <v>69.5</v>
      </c>
      <c r="O15" s="173">
        <v>173.96700000000001</v>
      </c>
      <c r="P15" s="173">
        <v>33.747</v>
      </c>
      <c r="Q15" s="173">
        <v>97.332999999999998</v>
      </c>
      <c r="R15" s="173">
        <v>7664.95</v>
      </c>
      <c r="S15" s="33">
        <f t="shared" ref="S15:S16" si="46">O15/(O15+R15)</f>
        <v>2.219273402180429E-2</v>
      </c>
      <c r="T15" s="33">
        <f>P15/R15</f>
        <v>4.4027684459781212E-3</v>
      </c>
      <c r="U15" s="118">
        <f t="shared" ref="U15:U16" si="47">(O15+P15)/(O15+R15)</f>
        <v>2.6497792998701225E-2</v>
      </c>
      <c r="V15" s="34">
        <f t="shared" ref="V15:V16" si="48">Q15/(Q15+R15)</f>
        <v>1.2539223318706624E-2</v>
      </c>
      <c r="W15" s="118">
        <f t="shared" ref="W15:W16" si="49">(O15+P15+Q15)/(O15+Q15+R15)</f>
        <v>3.8437171208064266E-2</v>
      </c>
      <c r="Y15" s="26" t="s">
        <v>16</v>
      </c>
      <c r="Z15" s="31">
        <v>69.5</v>
      </c>
      <c r="AA15" s="173">
        <v>173.96700000000001</v>
      </c>
      <c r="AB15" s="173">
        <v>33.747</v>
      </c>
      <c r="AC15" s="173">
        <v>97.332999999999998</v>
      </c>
      <c r="AD15" s="173">
        <v>7664.95</v>
      </c>
      <c r="AE15" s="33">
        <f>AA15/(AA15+AD15)</f>
        <v>2.219273402180429E-2</v>
      </c>
      <c r="AF15" s="33">
        <f>AB15/AD15</f>
        <v>4.4027684459781212E-3</v>
      </c>
      <c r="AG15" s="118">
        <f>(AA15+AB15)/(AA15+AD15)</f>
        <v>2.6497792998701225E-2</v>
      </c>
      <c r="AH15" s="34">
        <f>AC15/(AC15+AD15)</f>
        <v>1.2539223318706624E-2</v>
      </c>
      <c r="AI15" s="118">
        <f>(AA15+AB15+AC15)/(AA15+AC15+AD15)</f>
        <v>3.8437171208064266E-2</v>
      </c>
      <c r="AK15" s="26" t="s">
        <v>16</v>
      </c>
      <c r="AL15" s="31">
        <v>69.5</v>
      </c>
      <c r="AM15" s="173">
        <v>173.96700000000001</v>
      </c>
      <c r="AN15" s="173">
        <v>33.747</v>
      </c>
      <c r="AO15" s="173">
        <v>97.332999999999998</v>
      </c>
      <c r="AP15" s="173">
        <v>7664.95</v>
      </c>
      <c r="AQ15" s="33">
        <f>AM15/(AM15+AP15)</f>
        <v>2.219273402180429E-2</v>
      </c>
      <c r="AR15" s="33">
        <f>AN15/AP15</f>
        <v>4.4027684459781212E-3</v>
      </c>
      <c r="AS15" s="118">
        <f>(AM15+AN15)/(AM15+AP15)</f>
        <v>2.6497792998701225E-2</v>
      </c>
      <c r="AT15" s="34">
        <f>AO15/(AO15+AP15)</f>
        <v>1.2539223318706624E-2</v>
      </c>
      <c r="AU15" s="118">
        <f>(AM15+AN15+AO15)/(AM15+AO15+AP15)</f>
        <v>3.8437171208064266E-2</v>
      </c>
      <c r="AW15" s="26" t="s">
        <v>16</v>
      </c>
      <c r="AX15" s="31">
        <v>69.5</v>
      </c>
      <c r="AY15" s="173">
        <v>173.96700000000001</v>
      </c>
      <c r="AZ15" s="173">
        <v>33.747</v>
      </c>
      <c r="BA15" s="173">
        <v>97.332999999999998</v>
      </c>
      <c r="BB15" s="173">
        <v>7664.95</v>
      </c>
      <c r="BC15" s="33">
        <f>AY15/(AY15+BB15)</f>
        <v>2.219273402180429E-2</v>
      </c>
      <c r="BD15" s="33">
        <f>AZ15/BB15</f>
        <v>4.4027684459781212E-3</v>
      </c>
      <c r="BE15" s="118">
        <f>(AY15+AZ15)/(AY15+BB15)</f>
        <v>2.6497792998701225E-2</v>
      </c>
      <c r="BF15" s="34">
        <f>BA15/(BA15+BB15)</f>
        <v>1.2539223318706624E-2</v>
      </c>
      <c r="BG15" s="118">
        <f>(AY15+AZ15+BA15)/(AY15+BA15+BB15)</f>
        <v>3.8437171208064266E-2</v>
      </c>
      <c r="BI15" s="26" t="s">
        <v>16</v>
      </c>
      <c r="BJ15" s="31">
        <f>SUM(AX15,B15,N15,Z15,AL15)/5</f>
        <v>69.5</v>
      </c>
      <c r="BK15" s="31">
        <f t="shared" ref="BK15:BN16" si="50">SUM(AY15,C15,O15,AA15,AM15)</f>
        <v>730.45100000000002</v>
      </c>
      <c r="BL15" s="31">
        <f t="shared" si="50"/>
        <v>159.22999999999999</v>
      </c>
      <c r="BM15" s="31">
        <f t="shared" si="50"/>
        <v>456.46499999999992</v>
      </c>
      <c r="BN15" s="31">
        <f t="shared" si="50"/>
        <v>37751.4</v>
      </c>
      <c r="BO15" s="33">
        <f t="shared" ref="BO15:BO16" si="51">BK15/(BK15+BN15)</f>
        <v>1.898170127003506E-2</v>
      </c>
      <c r="BP15" s="33">
        <f>BL15/BN15</f>
        <v>4.2178568212039814E-3</v>
      </c>
      <c r="BQ15" s="118">
        <f t="shared" ref="BQ15:BQ16" si="52">(BK15+BL15)/(BK15+BN15)</f>
        <v>2.311949599305917E-2</v>
      </c>
      <c r="BR15" s="34">
        <f t="shared" ref="BR15:BR16" si="53">BM15/(BM15+BN15)</f>
        <v>1.1946885804794378E-2</v>
      </c>
      <c r="BS15" s="118">
        <f t="shared" ref="BS15:BS16" si="54">(BK15+BL15+BM15)/(BK15+BM15+BN15)</f>
        <v>3.4571243399432065E-2</v>
      </c>
      <c r="BT15" s="129">
        <f t="shared" ref="BT15:BT16" si="55">BL15/BK15</f>
        <v>0.21798861251473403</v>
      </c>
      <c r="BU15" s="131">
        <f>BN15/5</f>
        <v>7550.2800000000007</v>
      </c>
      <c r="BV15" s="163"/>
      <c r="BW15" s="98" t="str">
        <f t="shared" si="15"/>
        <v>GR3</v>
      </c>
      <c r="BX15" s="102">
        <f t="shared" si="16"/>
        <v>69.5</v>
      </c>
    </row>
    <row r="16" spans="1:76" ht="15.75" hidden="1" x14ac:dyDescent="0.25">
      <c r="A16" s="27" t="s">
        <v>34</v>
      </c>
      <c r="B16" s="32">
        <v>98.5</v>
      </c>
      <c r="C16" s="174">
        <v>357.3</v>
      </c>
      <c r="D16" s="174">
        <v>158.47899999999998</v>
      </c>
      <c r="E16" s="174">
        <v>162.75</v>
      </c>
      <c r="F16" s="174">
        <v>7632.4669999999996</v>
      </c>
      <c r="G16" s="119">
        <f t="shared" si="42"/>
        <v>4.4719702088934513E-2</v>
      </c>
      <c r="H16" s="119">
        <f>D16/F16</f>
        <v>2.0763797603055474E-2</v>
      </c>
      <c r="I16" s="120">
        <f t="shared" si="43"/>
        <v>6.4554948848946414E-2</v>
      </c>
      <c r="J16" s="121">
        <f t="shared" si="44"/>
        <v>2.0878187226859753E-2</v>
      </c>
      <c r="K16" s="120">
        <f t="shared" si="45"/>
        <v>8.3229387930132501E-2</v>
      </c>
      <c r="M16" s="27" t="s">
        <v>34</v>
      </c>
      <c r="N16" s="32">
        <v>95.5</v>
      </c>
      <c r="O16" s="174">
        <v>562.56700000000001</v>
      </c>
      <c r="P16" s="174">
        <v>40.832000000000001</v>
      </c>
      <c r="Q16" s="174">
        <v>64.417000000000002</v>
      </c>
      <c r="R16" s="174">
        <v>7793.1</v>
      </c>
      <c r="S16" s="119">
        <f t="shared" si="46"/>
        <v>6.7327599340663041E-2</v>
      </c>
      <c r="T16" s="119">
        <f>P16/R16</f>
        <v>5.2395067431445768E-3</v>
      </c>
      <c r="U16" s="120">
        <f t="shared" si="47"/>
        <v>7.2214342673062482E-2</v>
      </c>
      <c r="V16" s="121">
        <f t="shared" si="48"/>
        <v>8.198136892354161E-3</v>
      </c>
      <c r="W16" s="120">
        <f t="shared" si="49"/>
        <v>7.9312272894189656E-2</v>
      </c>
      <c r="Y16" s="27" t="s">
        <v>34</v>
      </c>
      <c r="Z16" s="32">
        <v>95.5</v>
      </c>
      <c r="AA16" s="174">
        <v>562.56700000000001</v>
      </c>
      <c r="AB16" s="174">
        <v>40.832000000000001</v>
      </c>
      <c r="AC16" s="174">
        <v>64.417000000000002</v>
      </c>
      <c r="AD16" s="174">
        <v>7793.1</v>
      </c>
      <c r="AE16" s="119">
        <f>AA16/(AA16+AD16)</f>
        <v>6.7327599340663041E-2</v>
      </c>
      <c r="AF16" s="119">
        <f>AB16/AD16</f>
        <v>5.2395067431445768E-3</v>
      </c>
      <c r="AG16" s="120">
        <f>(AA16+AB16)/(AA16+AD16)</f>
        <v>7.2214342673062482E-2</v>
      </c>
      <c r="AH16" s="121">
        <f>AC16/(AC16+AD16)</f>
        <v>8.198136892354161E-3</v>
      </c>
      <c r="AI16" s="120">
        <f>(AA16+AB16+AC16)/(AA16+AC16+AD16)</f>
        <v>7.9312272894189656E-2</v>
      </c>
      <c r="AK16" s="27" t="s">
        <v>34</v>
      </c>
      <c r="AL16" s="32">
        <v>95.5</v>
      </c>
      <c r="AM16" s="174">
        <v>562.56700000000001</v>
      </c>
      <c r="AN16" s="174">
        <v>40.832000000000001</v>
      </c>
      <c r="AO16" s="174">
        <v>64.417000000000002</v>
      </c>
      <c r="AP16" s="174">
        <v>7793.1</v>
      </c>
      <c r="AQ16" s="119">
        <f>AM16/(AM16+AP16)</f>
        <v>6.7327599340663041E-2</v>
      </c>
      <c r="AR16" s="119">
        <f>AN16/AP16</f>
        <v>5.2395067431445768E-3</v>
      </c>
      <c r="AS16" s="120">
        <f>(AM16+AN16)/(AM16+AP16)</f>
        <v>7.2214342673062482E-2</v>
      </c>
      <c r="AT16" s="121">
        <f>AO16/(AO16+AP16)</f>
        <v>8.198136892354161E-3</v>
      </c>
      <c r="AU16" s="120">
        <f>(AM16+AN16+AO16)/(AM16+AO16+AP16)</f>
        <v>7.9312272894189656E-2</v>
      </c>
      <c r="AW16" s="27" t="s">
        <v>34</v>
      </c>
      <c r="AX16" s="32">
        <v>95.5</v>
      </c>
      <c r="AY16" s="174">
        <v>562.56700000000001</v>
      </c>
      <c r="AZ16" s="174">
        <v>40.832000000000001</v>
      </c>
      <c r="BA16" s="174">
        <v>64.417000000000002</v>
      </c>
      <c r="BB16" s="174">
        <v>7793.1</v>
      </c>
      <c r="BC16" s="119">
        <f>AY16/(AY16+BB16)</f>
        <v>6.7327599340663041E-2</v>
      </c>
      <c r="BD16" s="119">
        <f>AZ16/BB16</f>
        <v>5.2395067431445768E-3</v>
      </c>
      <c r="BE16" s="120">
        <f>(AY16+AZ16)/(AY16+BB16)</f>
        <v>7.2214342673062482E-2</v>
      </c>
      <c r="BF16" s="121">
        <f>BA16/(BA16+BB16)</f>
        <v>8.198136892354161E-3</v>
      </c>
      <c r="BG16" s="120">
        <f>(AY16+AZ16+BA16)/(AY16+BA16+BB16)</f>
        <v>7.9312272894189656E-2</v>
      </c>
      <c r="BI16" s="27" t="s">
        <v>34</v>
      </c>
      <c r="BJ16" s="32">
        <f>SUM(AX16,B16,N16,Z16,AL16)/5</f>
        <v>96.1</v>
      </c>
      <c r="BK16" s="32">
        <f t="shared" si="50"/>
        <v>2607.5680000000002</v>
      </c>
      <c r="BL16" s="32">
        <f t="shared" si="50"/>
        <v>321.80699999999996</v>
      </c>
      <c r="BM16" s="32">
        <f t="shared" si="50"/>
        <v>420.41800000000001</v>
      </c>
      <c r="BN16" s="32">
        <f t="shared" si="50"/>
        <v>38804.866999999998</v>
      </c>
      <c r="BO16" s="119">
        <f t="shared" si="51"/>
        <v>6.2965821739291605E-2</v>
      </c>
      <c r="BP16" s="119">
        <f>BL16/BN16</f>
        <v>8.2929545925257264E-3</v>
      </c>
      <c r="BQ16" s="120">
        <f t="shared" si="52"/>
        <v>7.0736603631252309E-2</v>
      </c>
      <c r="BR16" s="121">
        <f t="shared" si="53"/>
        <v>1.0718035573227831E-2</v>
      </c>
      <c r="BS16" s="120">
        <f t="shared" si="54"/>
        <v>8.0075652502113598E-2</v>
      </c>
      <c r="BT16" s="130">
        <f t="shared" si="55"/>
        <v>0.12341269719524091</v>
      </c>
      <c r="BU16" s="133">
        <f>BN16/5</f>
        <v>7760.9733999999999</v>
      </c>
      <c r="BW16" s="98" t="str">
        <f t="shared" si="15"/>
        <v>GR4</v>
      </c>
      <c r="BX16" s="102">
        <f t="shared" si="16"/>
        <v>96.1</v>
      </c>
    </row>
    <row r="17" spans="1:85" ht="15.75" hidden="1" x14ac:dyDescent="0.25">
      <c r="A17" s="50" t="s">
        <v>143</v>
      </c>
      <c r="B17" s="31">
        <v>168</v>
      </c>
      <c r="C17" s="31">
        <v>391.88300000000004</v>
      </c>
      <c r="D17" s="31">
        <v>182.72099999999998</v>
      </c>
      <c r="E17" s="31">
        <v>229.88299999999998</v>
      </c>
      <c r="F17" s="31">
        <v>14724.066999999999</v>
      </c>
      <c r="G17" s="33">
        <f>(B15*C15+B16*C16)/(B15*(C15+F15)+B16*(C16+F16))</f>
        <v>2.9321289488840163E-2</v>
      </c>
      <c r="H17" s="33">
        <f>(B15*D15+B16*D16)/(B15*F15+B16*F16)</f>
        <v>1.389531450084903E-2</v>
      </c>
      <c r="I17" s="122">
        <f>(B15*(C15+D15)+B16*(C16+D16))/(B15*(C15+F15)+B16*(C16+F16))</f>
        <v>4.2809175450671325E-2</v>
      </c>
      <c r="J17" s="34">
        <f>(B15*E15+B16*E16)/(B15*(E15+F15)+B16*(E16+F16))</f>
        <v>1.635629790774824E-2</v>
      </c>
      <c r="K17" s="122">
        <f>(B15*(C15+D15+E15)+B16*(C16+D16+E16))/(B15*(C15+E15+F15)+B16*(C16+E16+F16))</f>
        <v>5.8013508553444504E-2</v>
      </c>
      <c r="M17" s="50" t="s">
        <v>143</v>
      </c>
      <c r="N17" s="31">
        <v>165</v>
      </c>
      <c r="O17" s="31">
        <v>736.53399999999999</v>
      </c>
      <c r="P17" s="31">
        <v>74.579000000000008</v>
      </c>
      <c r="Q17" s="31">
        <v>161.75</v>
      </c>
      <c r="R17" s="31">
        <v>15458.05</v>
      </c>
      <c r="S17" s="33">
        <f>(N15*O15+N16*O16)/(N15*(O15+R15)+N16*(O16+R16))</f>
        <v>4.9014953727066463E-2</v>
      </c>
      <c r="T17" s="33">
        <f>(N15*P15+N16*P16)/(N15*R15+N16*R16)</f>
        <v>4.8904402529587809E-3</v>
      </c>
      <c r="U17" s="122">
        <f>(N15*(O15+P15)+N16*(O16+P16))/(N15*(O15+R15)+N16*(O16+R16))</f>
        <v>5.3665689277321488E-2</v>
      </c>
      <c r="V17" s="34">
        <f>(N15*Q15+N16*Q16)/(N15*(Q15+R15)+N16*(Q16+R16))</f>
        <v>1.0013762285174907E-2</v>
      </c>
      <c r="W17" s="122">
        <f>(N15*(O15+P15+Q15)+N16*(O16+P16+Q16))/(N15*(O15+Q15+R15)+N16*(O16+Q16+R16))</f>
        <v>6.2681997847030213E-2</v>
      </c>
      <c r="Y17" s="50" t="s">
        <v>143</v>
      </c>
      <c r="Z17" s="31">
        <f>SUM(Z15:Z16)</f>
        <v>165</v>
      </c>
      <c r="AA17" s="31">
        <f>SUM(AA15:AA16)</f>
        <v>736.53399999999999</v>
      </c>
      <c r="AB17" s="31">
        <f>SUM(AB15:AB16)</f>
        <v>74.579000000000008</v>
      </c>
      <c r="AC17" s="31">
        <f>SUM(AC15:AC16)</f>
        <v>161.75</v>
      </c>
      <c r="AD17" s="31">
        <f>SUM(AD15:AD16)</f>
        <v>15458.05</v>
      </c>
      <c r="AE17" s="33">
        <f>(Z15*AA15+Z16*AA16)/(Z15*(AA15+AD15)+Z16*(AA16+AD16))</f>
        <v>4.9014953727066463E-2</v>
      </c>
      <c r="AF17" s="33">
        <f>(Z15*AB15+Z16*AB16)/(Z15*AD15+Z16*AD16)</f>
        <v>4.8904402529587809E-3</v>
      </c>
      <c r="AG17" s="122">
        <f>(Z15*(AA15+AB15)+Z16*(AA16+AB16))/(Z15*(AA15+AD15)+Z16*(AA16+AD16))</f>
        <v>5.3665689277321488E-2</v>
      </c>
      <c r="AH17" s="34">
        <f>(Z15*AC15+Z16*AC16)/(Z15*(AC15+AD15)+Z16*(AC16+AD16))</f>
        <v>1.0013762285174907E-2</v>
      </c>
      <c r="AI17" s="122">
        <f>(Z15*(AA15+AB15+AC15)+Z16*(AA16+AB16+AC16))/(Z15*(AA15+AC15+AD15)+Z16*(AA16+AC16+AD16))</f>
        <v>6.2681997847030213E-2</v>
      </c>
      <c r="AK17" s="50" t="s">
        <v>143</v>
      </c>
      <c r="AL17" s="31">
        <f>SUM(AL15:AL16)</f>
        <v>165</v>
      </c>
      <c r="AM17" s="31">
        <f>SUM(AM15:AM16)</f>
        <v>736.53399999999999</v>
      </c>
      <c r="AN17" s="31">
        <f>SUM(AN15:AN16)</f>
        <v>74.579000000000008</v>
      </c>
      <c r="AO17" s="31">
        <f>SUM(AO15:AO16)</f>
        <v>161.75</v>
      </c>
      <c r="AP17" s="31">
        <f>SUM(AP15:AP16)</f>
        <v>15458.05</v>
      </c>
      <c r="AQ17" s="33">
        <f>(AL15*AM15+AL16*AM16)/(AL15*(AM15+AP15)+AL16*(AM16+AP16))</f>
        <v>4.9014953727066463E-2</v>
      </c>
      <c r="AR17" s="33">
        <f>(AL15*AN15+AL16*AN16)/(AL15*AP15+AL16*AP16)</f>
        <v>4.8904402529587809E-3</v>
      </c>
      <c r="AS17" s="122">
        <f>(AL15*(AM15+AN15)+AL16*(AM16+AN16))/(AL15*(AM15+AP15)+AL16*(AM16+AP16))</f>
        <v>5.3665689277321488E-2</v>
      </c>
      <c r="AT17" s="34">
        <f>(AL15*AO15+AL16*AO16)/(AL15*(AO15+AP15)+AL16*(AO16+AP16))</f>
        <v>1.0013762285174907E-2</v>
      </c>
      <c r="AU17" s="122">
        <f>(AL15*(AM15+AN15+AO15)+AL16*(AM16+AN16+AO16))/(AL15*(AM15+AO15+AP15)+AL16*(AM16+AO16+AP16))</f>
        <v>6.2681997847030213E-2</v>
      </c>
      <c r="AW17" s="50" t="s">
        <v>143</v>
      </c>
      <c r="AX17" s="31">
        <f>SUM(AX15:AX16)</f>
        <v>165</v>
      </c>
      <c r="AY17" s="31">
        <f>SUM(AY15:AY16)</f>
        <v>736.53399999999999</v>
      </c>
      <c r="AZ17" s="31">
        <f>SUM(AZ15:AZ16)</f>
        <v>74.579000000000008</v>
      </c>
      <c r="BA17" s="31">
        <f>SUM(BA15:BA16)</f>
        <v>161.75</v>
      </c>
      <c r="BB17" s="31">
        <f>SUM(BB15:BB16)</f>
        <v>15458.05</v>
      </c>
      <c r="BC17" s="33">
        <f>(AX15*AY15+AX16*AY16)/(AX15*(AY15+BB15)+AX16*(AY16+BB16))</f>
        <v>4.9014953727066463E-2</v>
      </c>
      <c r="BD17" s="33">
        <f>(AX15*AZ15+AX16*AZ16)/(AX15*BB15+AX16*BB16)</f>
        <v>4.8904402529587809E-3</v>
      </c>
      <c r="BE17" s="122">
        <f>(AX15*(AY15+AZ15)+AX16*(AY16+AZ16))/(AX15*(AY15+BB15)+AX16*(AY16+BB16))</f>
        <v>5.3665689277321488E-2</v>
      </c>
      <c r="BF17" s="34">
        <f>(AX15*BA15+AX16*BA16)/(AX15*(BA15+BB15)+AX16*(BA16+BB16))</f>
        <v>1.0013762285174907E-2</v>
      </c>
      <c r="BG17" s="122">
        <f>(AX15*(AY15+AZ15+BA15)+AX16*(AY16+AZ16+BA16))/(AX15*(AY15+BA15+BB15)+AX16*(AY16+BA16+BB16))</f>
        <v>6.2681997847030213E-2</v>
      </c>
      <c r="BI17" s="50" t="s">
        <v>143</v>
      </c>
      <c r="BJ17" s="31">
        <f>SUM(BJ15:BJ16)</f>
        <v>165.6</v>
      </c>
      <c r="BK17" s="31">
        <f t="shared" ref="BK17" si="56">SUM(BK15:BK16)</f>
        <v>3338.0190000000002</v>
      </c>
      <c r="BL17" s="31">
        <f t="shared" ref="BL17" si="57">SUM(BL15:BL16)</f>
        <v>481.03699999999992</v>
      </c>
      <c r="BM17" s="31">
        <f t="shared" ref="BM17" si="58">SUM(BM15:BM16)</f>
        <v>876.88299999999992</v>
      </c>
      <c r="BN17" s="31">
        <f t="shared" ref="BN17" si="59">SUM(BN15:BN16)</f>
        <v>76556.266999999993</v>
      </c>
      <c r="BO17" s="33">
        <f>(BJ15*BK15+BJ16*BK16)/(BJ15*(BK15+BN15)+BJ16*(BK16+BN16))</f>
        <v>4.5287571509649384E-2</v>
      </c>
      <c r="BP17" s="33">
        <f>(BJ15*BL15+BJ16*BL16)/(BJ15*BN15+BJ16*BN16)</f>
        <v>6.6099475632893437E-3</v>
      </c>
      <c r="BQ17" s="122">
        <f>(BJ15*(BK15+BL15)+BJ16*(BK16+BL16))/(BJ15*(BK15+BN15)+BJ16*(BK16+BN16))</f>
        <v>5.1598170599991229E-2</v>
      </c>
      <c r="BR17" s="34">
        <f>(BJ15*BM15+BJ16*BM16)/(BJ15*(BM15+BN15)+BJ16*(BM16+BN16))</f>
        <v>1.1225918525036472E-2</v>
      </c>
      <c r="BS17" s="122">
        <f>(BJ15*(BK15+BL15+BM15)+BJ16*(BK16+BL16+BM16))/(BJ15*(BK15+BM15+BN15)+BJ16*(BK16+BM16+BN16))</f>
        <v>6.1767860123664177E-2</v>
      </c>
      <c r="BT17" s="127">
        <f>BL17/BK17</f>
        <v>0.14410852664409635</v>
      </c>
      <c r="BU17" s="128">
        <f>(BJ15*BU15+BJ16*BU16)/BJ17</f>
        <v>7672.5483317632861</v>
      </c>
      <c r="BW17" s="98" t="str">
        <f t="shared" si="15"/>
        <v>GR Sta.</v>
      </c>
      <c r="BX17" s="102">
        <f t="shared" si="16"/>
        <v>165.6</v>
      </c>
    </row>
    <row r="18" spans="1:85" x14ac:dyDescent="0.25">
      <c r="A18" s="135" t="str">
        <f>A14</f>
        <v>2013 STEAM TARGETS :</v>
      </c>
      <c r="B18" s="135"/>
      <c r="C18" s="135"/>
      <c r="D18" s="135"/>
      <c r="E18" s="135"/>
      <c r="F18" s="135"/>
      <c r="G18" s="135"/>
      <c r="H18" s="135"/>
      <c r="I18" s="136">
        <v>5.2999999999999999E-2</v>
      </c>
      <c r="J18" s="136"/>
      <c r="K18" s="136">
        <v>8.7599999999999997E-2</v>
      </c>
      <c r="M18" s="135" t="str">
        <f>M14</f>
        <v>2014 STEAM TARGETS :</v>
      </c>
      <c r="N18" s="135"/>
      <c r="O18" s="135"/>
      <c r="P18" s="135"/>
      <c r="Q18" s="135"/>
      <c r="R18" s="135"/>
      <c r="S18" s="135"/>
      <c r="T18" s="135"/>
      <c r="U18" s="136">
        <v>6.8000000000000005E-2</v>
      </c>
      <c r="V18" s="136"/>
      <c r="W18" s="136">
        <v>7.6499999999999999E-2</v>
      </c>
      <c r="Y18" s="135" t="str">
        <f>Y14</f>
        <v>2015 STEAM TARGETS :</v>
      </c>
      <c r="Z18" s="135"/>
      <c r="AA18" s="135"/>
      <c r="AB18" s="135"/>
      <c r="AC18" s="135"/>
      <c r="AD18" s="135"/>
      <c r="AE18" s="135"/>
      <c r="AF18" s="135"/>
      <c r="AG18" s="136">
        <v>4.8800000000000003E-2</v>
      </c>
      <c r="AH18" s="136"/>
      <c r="AI18" s="136"/>
      <c r="AK18" s="135" t="str">
        <f>AK14</f>
        <v>2016 STEAM TARGETS :</v>
      </c>
      <c r="AL18" s="135"/>
      <c r="AM18" s="135"/>
      <c r="AN18" s="135"/>
      <c r="AO18" s="135"/>
      <c r="AP18" s="135"/>
      <c r="AQ18" s="135"/>
      <c r="AR18" s="135"/>
      <c r="AS18" s="136">
        <v>4.8800000000000003E-2</v>
      </c>
      <c r="AT18" s="136"/>
      <c r="AU18" s="136"/>
      <c r="AW18" s="135" t="str">
        <f>AW14</f>
        <v>2017 STEAM TARGETS :</v>
      </c>
      <c r="AX18" s="135"/>
      <c r="AY18" s="135"/>
      <c r="AZ18" s="135"/>
      <c r="BA18" s="135"/>
      <c r="BB18" s="135"/>
      <c r="BC18" s="135"/>
      <c r="BD18" s="135"/>
      <c r="BE18" s="136">
        <v>4.8800000000000003E-2</v>
      </c>
      <c r="BF18" s="136"/>
      <c r="BG18" s="136"/>
      <c r="BI18" s="135"/>
      <c r="BJ18" s="135"/>
      <c r="BK18" s="135"/>
      <c r="BL18" s="135"/>
      <c r="BM18" s="135"/>
      <c r="BN18" s="135"/>
      <c r="BO18" s="135"/>
      <c r="BP18" s="135"/>
      <c r="BQ18" s="136"/>
      <c r="BR18" s="136"/>
      <c r="BS18" s="136"/>
      <c r="BT18" s="175"/>
      <c r="BU18" s="176"/>
      <c r="BW18" s="98" t="str">
        <f t="shared" si="15"/>
        <v/>
      </c>
      <c r="BX18" s="102"/>
    </row>
    <row r="19" spans="1:85" ht="15.75" x14ac:dyDescent="0.25">
      <c r="A19" s="26" t="s">
        <v>23</v>
      </c>
      <c r="B19" s="31">
        <v>303</v>
      </c>
      <c r="C19" s="173">
        <v>175.833</v>
      </c>
      <c r="D19" s="173">
        <v>68.620000000000019</v>
      </c>
      <c r="E19" s="173">
        <v>264.017</v>
      </c>
      <c r="F19" s="173">
        <v>6303.65</v>
      </c>
      <c r="G19" s="33">
        <f>C19/(C19+F19)</f>
        <v>2.7136887310299295E-2</v>
      </c>
      <c r="H19" s="33">
        <f>D19/(F19)</f>
        <v>1.0885756664789451E-2</v>
      </c>
      <c r="I19" s="118">
        <f>(C19+D19)/(C19+F19)</f>
        <v>3.7727238423189022E-2</v>
      </c>
      <c r="J19" s="34">
        <f>E19/(E19+F19)</f>
        <v>4.0199510724280026E-2</v>
      </c>
      <c r="K19" s="118">
        <f>(C19+D19+E19)/(C19+E19+F19)</f>
        <v>7.540149773856307E-2</v>
      </c>
      <c r="M19" s="26" t="s">
        <v>23</v>
      </c>
      <c r="N19" s="31">
        <v>303</v>
      </c>
      <c r="O19" s="173">
        <v>43.5</v>
      </c>
      <c r="P19" s="173">
        <v>157.31327272727273</v>
      </c>
      <c r="Q19" s="173">
        <v>444.65</v>
      </c>
      <c r="R19" s="173">
        <v>8105.1329999999998</v>
      </c>
      <c r="S19" s="33">
        <f>O19/(O19+R19)</f>
        <v>5.3383187094080686E-3</v>
      </c>
      <c r="T19" s="33">
        <f>P19/(R19)</f>
        <v>1.9409092081187653E-2</v>
      </c>
      <c r="U19" s="118">
        <f>(O19+P19)/(O19+R19)</f>
        <v>2.4643798871206095E-2</v>
      </c>
      <c r="V19" s="34">
        <f>Q19/(Q19+R19)</f>
        <v>5.2007167901220418E-2</v>
      </c>
      <c r="W19" s="118">
        <f>(O19+P19+Q19)/(O19+Q19+R19)</f>
        <v>7.5112535305455752E-2</v>
      </c>
      <c r="Y19" s="26" t="s">
        <v>23</v>
      </c>
      <c r="Z19" s="31">
        <v>303</v>
      </c>
      <c r="AA19" s="173">
        <v>204.43</v>
      </c>
      <c r="AB19" s="173">
        <v>85.11</v>
      </c>
      <c r="AC19" s="173">
        <v>351.77</v>
      </c>
      <c r="AD19" s="173">
        <v>6823.77</v>
      </c>
      <c r="AE19" s="33">
        <f>AA19/(AA19+AD19)</f>
        <v>2.908710622919097E-2</v>
      </c>
      <c r="AF19" s="33">
        <f>AB19/(AD19)</f>
        <v>1.2472577475501078E-2</v>
      </c>
      <c r="AG19" s="118">
        <f>(AA19+AB19)/(AA19+AD19)</f>
        <v>4.1196892518710337E-2</v>
      </c>
      <c r="AH19" s="34">
        <f>AC19/(AC19+AD19)</f>
        <v>4.9023488127722781E-2</v>
      </c>
      <c r="AI19" s="118">
        <f>(AA19+AB19+AC19)/(AA19+AC19+AD19)</f>
        <v>8.6898727230598494E-2</v>
      </c>
      <c r="AK19" s="26" t="s">
        <v>23</v>
      </c>
      <c r="AL19" s="31">
        <v>300</v>
      </c>
      <c r="AM19" s="173">
        <v>64.98</v>
      </c>
      <c r="AN19" s="173">
        <v>73.97</v>
      </c>
      <c r="AO19" s="173">
        <v>256.60000000000002</v>
      </c>
      <c r="AP19" s="173">
        <v>8225.42</v>
      </c>
      <c r="AQ19" s="33">
        <f>AM19/(AM19+AP19)</f>
        <v>7.8379812795522537E-3</v>
      </c>
      <c r="AR19" s="33">
        <f>AN19/(AP19)</f>
        <v>8.9928538603499877E-3</v>
      </c>
      <c r="AS19" s="118">
        <f>(AM19+AN19)/(AM19+AP19)</f>
        <v>1.676034931969507E-2</v>
      </c>
      <c r="AT19" s="34">
        <f>AO19/(AO19+AP19)</f>
        <v>3.0252227653318434E-2</v>
      </c>
      <c r="AU19" s="118">
        <f>(AM19+AN19+AO19)/(AM19+AO19+AP19)</f>
        <v>4.6279396279396277E-2</v>
      </c>
      <c r="AW19" s="26" t="s">
        <v>23</v>
      </c>
      <c r="AX19" s="31">
        <v>300</v>
      </c>
      <c r="AY19" s="173">
        <v>70.55</v>
      </c>
      <c r="AZ19" s="173">
        <v>93.782000000000011</v>
      </c>
      <c r="BA19" s="173">
        <v>185.15</v>
      </c>
      <c r="BB19" s="173">
        <v>7777.5</v>
      </c>
      <c r="BC19" s="33">
        <f>AY19/(AY19+BB19)</f>
        <v>8.9894942055669877E-3</v>
      </c>
      <c r="BD19" s="33">
        <f>AZ19/(BB19)</f>
        <v>1.2058116361298618E-2</v>
      </c>
      <c r="BE19" s="118">
        <f>(AY19+AZ19)/(AY19+BB19)</f>
        <v>2.0939214199705659E-2</v>
      </c>
      <c r="BF19" s="34">
        <f>BA19/(BA19+BB19)</f>
        <v>2.3252309218664641E-2</v>
      </c>
      <c r="BG19" s="118">
        <f>(AY19+AZ19+BA19)/(AY19+BA19+BB19)</f>
        <v>4.3504705472289996E-2</v>
      </c>
      <c r="BI19" s="26" t="s">
        <v>23</v>
      </c>
      <c r="BJ19" s="31">
        <f>SUM(AX19,B19,N19,Z19,AL19)/5</f>
        <v>301.8</v>
      </c>
      <c r="BK19" s="31">
        <f t="shared" ref="BK19:BN22" si="60">SUM(AY19,C19,O19,AA19,AM19)</f>
        <v>559.29300000000001</v>
      </c>
      <c r="BL19" s="31">
        <f t="shared" si="60"/>
        <v>478.79527272727285</v>
      </c>
      <c r="BM19" s="31">
        <f t="shared" si="60"/>
        <v>1502.1869999999999</v>
      </c>
      <c r="BN19" s="31">
        <f t="shared" si="60"/>
        <v>37235.472999999998</v>
      </c>
      <c r="BO19" s="33">
        <f>BK19/(BK19+BN19)</f>
        <v>1.4798160147360089E-2</v>
      </c>
      <c r="BP19" s="33">
        <f>BL19/(BN19)</f>
        <v>1.2858579041745297E-2</v>
      </c>
      <c r="BQ19" s="118">
        <f>(BK19+BL19)/(BK19+BN19)</f>
        <v>2.746645587717815E-2</v>
      </c>
      <c r="BR19" s="34">
        <f>BM19/(BM19+BN19)</f>
        <v>3.8778465193819139E-2</v>
      </c>
      <c r="BS19" s="118">
        <f>(BK19+BL19+BM19)/(BK19+BM19+BN19)</f>
        <v>6.4643059545285167E-2</v>
      </c>
      <c r="BT19" s="129">
        <f t="shared" ref="BT19:BT22" si="61">BL19/BK19</f>
        <v>0.85607234978315994</v>
      </c>
      <c r="BU19" s="131">
        <f>BN19/5</f>
        <v>7447.0945999999994</v>
      </c>
      <c r="BW19" s="98" t="str">
        <f t="shared" si="15"/>
        <v>MC1</v>
      </c>
      <c r="BX19" s="102">
        <f t="shared" si="16"/>
        <v>301.8</v>
      </c>
    </row>
    <row r="20" spans="1:85" ht="15.75" x14ac:dyDescent="0.25">
      <c r="A20" s="26" t="s">
        <v>35</v>
      </c>
      <c r="B20" s="31">
        <v>300</v>
      </c>
      <c r="C20" s="173">
        <v>264.60000000000002</v>
      </c>
      <c r="D20" s="173">
        <v>259.96000000000004</v>
      </c>
      <c r="E20" s="173">
        <v>374.46699999999998</v>
      </c>
      <c r="F20" s="173">
        <v>8057.1670000000004</v>
      </c>
      <c r="G20" s="33">
        <f t="shared" ref="G20:G22" si="62">C20/(C20+F20)</f>
        <v>3.1796131759036277E-2</v>
      </c>
      <c r="H20" s="33">
        <f>D20/(F20)</f>
        <v>3.2264442328178135E-2</v>
      </c>
      <c r="I20" s="118">
        <f t="shared" ref="I20:I22" si="63">(C20+D20)/(C20+F20)</f>
        <v>6.3034689627815832E-2</v>
      </c>
      <c r="J20" s="34">
        <f t="shared" ref="J20:J22" si="64">E20/(E20+F20)</f>
        <v>4.4412150717168225E-2</v>
      </c>
      <c r="K20" s="118">
        <f t="shared" ref="K20:K22" si="65">(C20+D20+E20)/(C20+E20+F20)</f>
        <v>0.10338118776472666</v>
      </c>
      <c r="M20" s="26" t="s">
        <v>35</v>
      </c>
      <c r="N20" s="31">
        <v>300</v>
      </c>
      <c r="O20" s="173">
        <v>333.483</v>
      </c>
      <c r="P20" s="173">
        <v>156.64400000000001</v>
      </c>
      <c r="Q20" s="173">
        <v>403.1</v>
      </c>
      <c r="R20" s="173">
        <v>7306.9</v>
      </c>
      <c r="S20" s="33">
        <f t="shared" ref="S20:S22" si="66">O20/(O20+R20)</f>
        <v>4.3647419245867652E-2</v>
      </c>
      <c r="T20" s="33">
        <f>P20/(R20)</f>
        <v>2.1437819047749388E-2</v>
      </c>
      <c r="U20" s="118">
        <f t="shared" ref="U20:U22" si="67">(O20+P20)/(O20+R20)</f>
        <v>6.4149532817922877E-2</v>
      </c>
      <c r="V20" s="34">
        <f t="shared" ref="V20:V22" si="68">Q20/(Q20+R20)</f>
        <v>5.2282749675745789E-2</v>
      </c>
      <c r="W20" s="118">
        <f t="shared" ref="W20:W22" si="69">(O20+P20+Q20)/(O20+Q20+R20)</f>
        <v>0.1110497778139147</v>
      </c>
      <c r="Y20" s="26" t="s">
        <v>35</v>
      </c>
      <c r="Z20" s="31">
        <v>300</v>
      </c>
      <c r="AA20" s="173">
        <v>232.07</v>
      </c>
      <c r="AB20" s="173">
        <v>68.349999999999994</v>
      </c>
      <c r="AC20" s="173">
        <v>327.83</v>
      </c>
      <c r="AD20" s="173">
        <v>6866.15</v>
      </c>
      <c r="AE20" s="33">
        <f>AA20/(AA20+AD20)</f>
        <v>3.2694112044991563E-2</v>
      </c>
      <c r="AF20" s="33">
        <f>AB20/(AD20)</f>
        <v>9.9546325087567257E-3</v>
      </c>
      <c r="AG20" s="118">
        <f>(AA20+AB20)/(AA20+AD20)</f>
        <v>4.2323286683140275E-2</v>
      </c>
      <c r="AH20" s="34">
        <f>AC20/(AC20+AD20)</f>
        <v>4.557004606629432E-2</v>
      </c>
      <c r="AI20" s="118">
        <f>(AA20+AB20+AC20)/(AA20+AC20+AD20)</f>
        <v>8.4600830858935785E-2</v>
      </c>
      <c r="AK20" s="26" t="s">
        <v>35</v>
      </c>
      <c r="AL20" s="31">
        <v>297</v>
      </c>
      <c r="AM20" s="173">
        <v>23.9</v>
      </c>
      <c r="AN20" s="173">
        <v>99.08</v>
      </c>
      <c r="AO20" s="173">
        <v>83.35</v>
      </c>
      <c r="AP20" s="173">
        <v>7798.78</v>
      </c>
      <c r="AQ20" s="33">
        <f>AM20/(AM20+AP20)</f>
        <v>3.055218927528673E-3</v>
      </c>
      <c r="AR20" s="33">
        <f>AN20/(AP20)</f>
        <v>1.2704551224678732E-2</v>
      </c>
      <c r="AS20" s="118">
        <f>(AM20+AN20)/(AM20+AP20)</f>
        <v>1.572095496684001E-2</v>
      </c>
      <c r="AT20" s="34">
        <f>AO20/(AO20+AP20)</f>
        <v>1.0574552817575959E-2</v>
      </c>
      <c r="AU20" s="118">
        <f>(AM20+AN20+AO20)/(AM20+AO20+AP20)</f>
        <v>2.6097801298502536E-2</v>
      </c>
      <c r="AW20" s="26" t="s">
        <v>35</v>
      </c>
      <c r="AX20" s="31">
        <v>295</v>
      </c>
      <c r="AY20" s="173">
        <v>6.95</v>
      </c>
      <c r="AZ20" s="173">
        <v>183.82899999999998</v>
      </c>
      <c r="BA20" s="173">
        <v>72.632999999999996</v>
      </c>
      <c r="BB20" s="173">
        <v>8062.0829999999996</v>
      </c>
      <c r="BC20" s="33">
        <f>AY20/(AY20+BB20)</f>
        <v>8.6131758291235153E-4</v>
      </c>
      <c r="BD20" s="33">
        <f>AZ20/(BB20)</f>
        <v>2.2801675447896033E-2</v>
      </c>
      <c r="BE20" s="118">
        <f>(AY20+AZ20)/(AY20+BB20)</f>
        <v>2.3643353546825251E-2</v>
      </c>
      <c r="BF20" s="34">
        <f>BA20/(BA20+BB20)</f>
        <v>8.9287689945168336E-3</v>
      </c>
      <c r="BG20" s="118">
        <f>(AY20+AZ20+BA20)/(AY20+BA20+BB20)</f>
        <v>3.2353574808890465E-2</v>
      </c>
      <c r="BI20" s="26" t="s">
        <v>35</v>
      </c>
      <c r="BJ20" s="31">
        <f>SUM(AX20,B20,N20,Z20,AL20)/5</f>
        <v>298.39999999999998</v>
      </c>
      <c r="BK20" s="31">
        <f t="shared" si="60"/>
        <v>861.00300000000004</v>
      </c>
      <c r="BL20" s="31">
        <f t="shared" si="60"/>
        <v>767.86300000000006</v>
      </c>
      <c r="BM20" s="31">
        <f t="shared" si="60"/>
        <v>1261.3799999999999</v>
      </c>
      <c r="BN20" s="31">
        <f t="shared" si="60"/>
        <v>38091.08</v>
      </c>
      <c r="BO20" s="33">
        <f t="shared" ref="BO20:BO22" si="70">BK20/(BK20+BN20)</f>
        <v>2.2104158075448754E-2</v>
      </c>
      <c r="BP20" s="33">
        <f>BL20/(BN20)</f>
        <v>2.0158604061633327E-2</v>
      </c>
      <c r="BQ20" s="118">
        <f t="shared" ref="BQ20:BQ22" si="71">(BK20+BL20)/(BK20+BN20)</f>
        <v>4.181717316632335E-2</v>
      </c>
      <c r="BR20" s="34">
        <f t="shared" ref="BR20:BR22" si="72">BM20/(BM20+BN20)</f>
        <v>3.2053396407746806E-2</v>
      </c>
      <c r="BS20" s="118">
        <f t="shared" ref="BS20:BS22" si="73">(BK20+BL20+BM20)/(BK20+BM20+BN20)</f>
        <v>7.1872596498341851E-2</v>
      </c>
      <c r="BT20" s="129">
        <f t="shared" si="61"/>
        <v>0.89182383801217879</v>
      </c>
      <c r="BU20" s="131">
        <f t="shared" ref="BU20:BU22" si="74">BN20/5</f>
        <v>7618.2160000000003</v>
      </c>
      <c r="BW20" s="98" t="str">
        <f t="shared" si="15"/>
        <v>MC2</v>
      </c>
      <c r="BX20" s="102">
        <f t="shared" si="16"/>
        <v>298.39999999999998</v>
      </c>
    </row>
    <row r="21" spans="1:85" ht="15.75" x14ac:dyDescent="0.25">
      <c r="A21" s="26" t="s">
        <v>29</v>
      </c>
      <c r="B21" s="31">
        <v>394</v>
      </c>
      <c r="C21" s="173">
        <v>910.26700000000005</v>
      </c>
      <c r="D21" s="173">
        <v>202.65400000000002</v>
      </c>
      <c r="E21" s="173">
        <v>167.88300000000001</v>
      </c>
      <c r="F21" s="173">
        <v>6859.817</v>
      </c>
      <c r="G21" s="33">
        <f t="shared" si="62"/>
        <v>0.11715021356268479</v>
      </c>
      <c r="H21" s="33">
        <f>D21/(F21)</f>
        <v>2.9542187495672265E-2</v>
      </c>
      <c r="I21" s="118">
        <f t="shared" si="63"/>
        <v>0.14323152748413018</v>
      </c>
      <c r="J21" s="34">
        <f t="shared" si="64"/>
        <v>2.3888754500049805E-2</v>
      </c>
      <c r="K21" s="118">
        <f t="shared" si="65"/>
        <v>0.16135164079165359</v>
      </c>
      <c r="M21" s="26" t="s">
        <v>29</v>
      </c>
      <c r="N21" s="31">
        <v>392.5</v>
      </c>
      <c r="O21" s="173">
        <v>193.68299999999999</v>
      </c>
      <c r="P21" s="173">
        <v>75.124033096927846</v>
      </c>
      <c r="Q21" s="173">
        <v>116.667</v>
      </c>
      <c r="R21" s="173">
        <v>8157.7330000000002</v>
      </c>
      <c r="S21" s="33">
        <f t="shared" si="66"/>
        <v>2.3191636005199592E-2</v>
      </c>
      <c r="T21" s="33">
        <f>P21/(R21)</f>
        <v>9.208935018702848E-3</v>
      </c>
      <c r="U21" s="118">
        <f t="shared" si="67"/>
        <v>3.2187000754953149E-2</v>
      </c>
      <c r="V21" s="34">
        <f t="shared" si="68"/>
        <v>1.4099753456443972E-2</v>
      </c>
      <c r="W21" s="118">
        <f t="shared" si="69"/>
        <v>4.5520814226422658E-2</v>
      </c>
      <c r="Y21" s="26" t="s">
        <v>29</v>
      </c>
      <c r="Z21" s="31">
        <v>392.5</v>
      </c>
      <c r="AA21" s="173">
        <v>86.17</v>
      </c>
      <c r="AB21" s="173">
        <v>128.03</v>
      </c>
      <c r="AC21" s="173">
        <v>628.28</v>
      </c>
      <c r="AD21" s="173">
        <v>7585.02</v>
      </c>
      <c r="AE21" s="33">
        <f>AA21/(AA21+AD21)</f>
        <v>1.1232937784098685E-2</v>
      </c>
      <c r="AF21" s="33">
        <f>AB21/(AD21)</f>
        <v>1.6879322664936941E-2</v>
      </c>
      <c r="AG21" s="118">
        <f>(AA21+AB21)/(AA21+AD21)</f>
        <v>2.792265606770266E-2</v>
      </c>
      <c r="AH21" s="34">
        <f>AC21/(AC21+AD21)</f>
        <v>7.6495440322403893E-2</v>
      </c>
      <c r="AI21" s="118">
        <f>(AA21+AB21+AC21)/(AA21+AC21+AD21)</f>
        <v>0.10151009642784417</v>
      </c>
      <c r="AK21" s="26" t="s">
        <v>29</v>
      </c>
      <c r="AL21" s="31">
        <v>394</v>
      </c>
      <c r="AM21" s="173">
        <v>281.42</v>
      </c>
      <c r="AN21" s="173">
        <v>125.96</v>
      </c>
      <c r="AO21" s="173">
        <v>194.27</v>
      </c>
      <c r="AP21" s="173">
        <v>6766.45</v>
      </c>
      <c r="AQ21" s="33">
        <f>AM21/(AM21+AP21)</f>
        <v>3.9929794391780779E-2</v>
      </c>
      <c r="AR21" s="33">
        <f>AN21/(AP21)</f>
        <v>1.8615374383908843E-2</v>
      </c>
      <c r="AS21" s="118">
        <f>(AM21+AN21)/(AM21+AP21)</f>
        <v>5.7801860704014121E-2</v>
      </c>
      <c r="AT21" s="34">
        <f>AO21/(AO21+AP21)</f>
        <v>2.7909469135376799E-2</v>
      </c>
      <c r="AU21" s="118">
        <f>(AM21+AN21+AO21)/(AM21+AO21+AP21)</f>
        <v>8.3076273035318296E-2</v>
      </c>
      <c r="AW21" s="26" t="s">
        <v>29</v>
      </c>
      <c r="AX21" s="31">
        <v>394</v>
      </c>
      <c r="AY21" s="173">
        <v>38.883000000000003</v>
      </c>
      <c r="AZ21" s="173">
        <v>18.334</v>
      </c>
      <c r="BA21" s="173">
        <v>55.332999999999998</v>
      </c>
      <c r="BB21" s="173">
        <v>8492.7000000000007</v>
      </c>
      <c r="BC21" s="33">
        <f>AY21/(AY21+BB21)</f>
        <v>4.5575363915465626E-3</v>
      </c>
      <c r="BD21" s="33">
        <f>AZ21/(BB21)</f>
        <v>2.158795200584031E-3</v>
      </c>
      <c r="BE21" s="118">
        <f>(AY21+AZ21)/(AY21+BB21)</f>
        <v>6.7064928044420352E-3</v>
      </c>
      <c r="BF21" s="34">
        <f>BA21/(BA21+BB21)</f>
        <v>6.4731851175586228E-3</v>
      </c>
      <c r="BG21" s="118">
        <f>(AY21+AZ21+BA21)/(AY21+BA21+BB21)</f>
        <v>1.3107150460072043E-2</v>
      </c>
      <c r="BI21" s="26" t="s">
        <v>29</v>
      </c>
      <c r="BJ21" s="31">
        <f>SUM(AX21,B21,N21,Z21,AL21)/5</f>
        <v>393.4</v>
      </c>
      <c r="BK21" s="31">
        <f t="shared" si="60"/>
        <v>1510.4230000000002</v>
      </c>
      <c r="BL21" s="31">
        <f t="shared" si="60"/>
        <v>550.10203309692793</v>
      </c>
      <c r="BM21" s="31">
        <f t="shared" si="60"/>
        <v>1162.433</v>
      </c>
      <c r="BN21" s="31">
        <f t="shared" si="60"/>
        <v>37861.72</v>
      </c>
      <c r="BO21" s="33">
        <f t="shared" si="70"/>
        <v>3.8362732757523513E-2</v>
      </c>
      <c r="BP21" s="33">
        <f>BL21/(BN21)</f>
        <v>1.4529240433264203E-2</v>
      </c>
      <c r="BQ21" s="118">
        <f t="shared" si="71"/>
        <v>5.23345918228766E-2</v>
      </c>
      <c r="BR21" s="34">
        <f t="shared" si="72"/>
        <v>2.978752671454522E-2</v>
      </c>
      <c r="BS21" s="118">
        <f t="shared" si="73"/>
        <v>7.9511329613930787E-2</v>
      </c>
      <c r="BT21" s="129">
        <f t="shared" si="61"/>
        <v>0.36420395683654699</v>
      </c>
      <c r="BU21" s="131">
        <f t="shared" si="74"/>
        <v>7572.3440000000001</v>
      </c>
      <c r="BW21" s="98" t="str">
        <f t="shared" si="15"/>
        <v>MC3</v>
      </c>
      <c r="BX21" s="102">
        <f t="shared" si="16"/>
        <v>393.4</v>
      </c>
    </row>
    <row r="22" spans="1:85" ht="18" x14ac:dyDescent="0.4">
      <c r="A22" s="27" t="s">
        <v>25</v>
      </c>
      <c r="B22" s="32">
        <v>484.5</v>
      </c>
      <c r="C22" s="174">
        <v>714.35</v>
      </c>
      <c r="D22" s="174">
        <v>116.56399999999999</v>
      </c>
      <c r="E22" s="174">
        <v>450.31700000000001</v>
      </c>
      <c r="F22" s="174">
        <v>7203.6670000000004</v>
      </c>
      <c r="G22" s="119">
        <f t="shared" si="62"/>
        <v>9.0218295818258534E-2</v>
      </c>
      <c r="H22" s="119">
        <f t="shared" ref="H22" si="75">D22/(F22)</f>
        <v>1.6181203267724618E-2</v>
      </c>
      <c r="I22" s="120">
        <f t="shared" si="63"/>
        <v>0.10493965850288019</v>
      </c>
      <c r="J22" s="121">
        <f t="shared" si="64"/>
        <v>5.8834327325481738E-2</v>
      </c>
      <c r="K22" s="120">
        <f t="shared" si="65"/>
        <v>0.15310466814541579</v>
      </c>
      <c r="M22" s="27" t="s">
        <v>25</v>
      </c>
      <c r="N22" s="32">
        <v>481.5</v>
      </c>
      <c r="O22" s="174">
        <v>455.65</v>
      </c>
      <c r="P22" s="174">
        <v>195.2046666666628</v>
      </c>
      <c r="Q22" s="174">
        <v>211.5</v>
      </c>
      <c r="R22" s="174">
        <v>6047.1170000000002</v>
      </c>
      <c r="S22" s="119">
        <f t="shared" si="66"/>
        <v>7.0070171666922712E-2</v>
      </c>
      <c r="T22" s="119">
        <f t="shared" ref="T22" si="76">P22/(R22)</f>
        <v>3.2280616807424563E-2</v>
      </c>
      <c r="U22" s="120">
        <f t="shared" si="67"/>
        <v>0.10008888011313688</v>
      </c>
      <c r="V22" s="121">
        <f t="shared" si="68"/>
        <v>3.3793408352036876E-2</v>
      </c>
      <c r="W22" s="120">
        <f t="shared" si="69"/>
        <v>0.12843615940007491</v>
      </c>
      <c r="Y22" s="27" t="s">
        <v>25</v>
      </c>
      <c r="Z22" s="32">
        <v>481.5</v>
      </c>
      <c r="AA22" s="174">
        <v>73.13</v>
      </c>
      <c r="AB22" s="174">
        <v>31.79</v>
      </c>
      <c r="AC22" s="174">
        <v>493.47</v>
      </c>
      <c r="AD22" s="174">
        <v>7840.58</v>
      </c>
      <c r="AE22" s="119">
        <f>AA22/(AA22+AD22)</f>
        <v>9.240924926488335E-3</v>
      </c>
      <c r="AF22" s="119">
        <f>AB22/(AD22)</f>
        <v>4.054546985044474E-3</v>
      </c>
      <c r="AG22" s="120">
        <f>(AA22+AB22)/(AA22+AD22)</f>
        <v>1.3258004147233091E-2</v>
      </c>
      <c r="AH22" s="121">
        <f>AC22/(AC22+AD22)</f>
        <v>5.9211307827526843E-2</v>
      </c>
      <c r="AI22" s="120">
        <f>(AA22+AB22+AC22)/(AA22+AC22+AD22)</f>
        <v>7.1176066172010111E-2</v>
      </c>
      <c r="AK22" s="27" t="s">
        <v>25</v>
      </c>
      <c r="AL22" s="32">
        <v>486</v>
      </c>
      <c r="AM22" s="174">
        <v>191.15</v>
      </c>
      <c r="AN22" s="174">
        <v>11.06</v>
      </c>
      <c r="AO22" s="174">
        <v>0</v>
      </c>
      <c r="AP22" s="174">
        <v>7338.43</v>
      </c>
      <c r="AQ22" s="119">
        <f>AM22/(AM22+AP22)</f>
        <v>2.5386542144448961E-2</v>
      </c>
      <c r="AR22" s="119">
        <f>AN22/(AP22)</f>
        <v>1.5071343598017559E-3</v>
      </c>
      <c r="AS22" s="120">
        <f>(AM22+AN22)/(AM22+AP22)</f>
        <v>2.6855415574308261E-2</v>
      </c>
      <c r="AT22" s="121">
        <f>AO22/(AO22+AP22)</f>
        <v>0</v>
      </c>
      <c r="AU22" s="120">
        <f>(AM22+AN22+AO22)/(AM22+AO22+AP22)</f>
        <v>2.6855415574308261E-2</v>
      </c>
      <c r="AW22" s="27" t="s">
        <v>25</v>
      </c>
      <c r="AX22" s="32">
        <v>486</v>
      </c>
      <c r="AY22" s="174">
        <v>166.917</v>
      </c>
      <c r="AZ22" s="174">
        <v>28.121000000000002</v>
      </c>
      <c r="BA22" s="174">
        <v>125.56699999999999</v>
      </c>
      <c r="BB22" s="174">
        <v>7694.817</v>
      </c>
      <c r="BC22" s="119">
        <f>AY22/(AY22+BB22)</f>
        <v>2.1231575629498529E-2</v>
      </c>
      <c r="BD22" s="119">
        <f>AZ22/(BB22)</f>
        <v>3.6545378532069055E-3</v>
      </c>
      <c r="BE22" s="120">
        <f>(AY22+AZ22)/(AY22+BB22)</f>
        <v>2.480852188588421E-2</v>
      </c>
      <c r="BF22" s="121">
        <f>BA22/(BA22+BB22)</f>
        <v>1.6056372679397839E-2</v>
      </c>
      <c r="BG22" s="120">
        <f>(AY22+AZ22+BA22)/(AY22+BA22+BB22)</f>
        <v>4.0139341186716262E-2</v>
      </c>
      <c r="BI22" s="27" t="s">
        <v>25</v>
      </c>
      <c r="BJ22" s="32">
        <f>SUM(AX22,B22,N22,Z22,AL22)/5</f>
        <v>483.9</v>
      </c>
      <c r="BK22" s="32">
        <f t="shared" si="60"/>
        <v>1601.1970000000001</v>
      </c>
      <c r="BL22" s="32">
        <f t="shared" si="60"/>
        <v>382.73966666666286</v>
      </c>
      <c r="BM22" s="32">
        <f t="shared" si="60"/>
        <v>1280.854</v>
      </c>
      <c r="BN22" s="32">
        <f t="shared" si="60"/>
        <v>36124.611000000004</v>
      </c>
      <c r="BO22" s="119">
        <f t="shared" si="70"/>
        <v>4.2443014076729645E-2</v>
      </c>
      <c r="BP22" s="119">
        <f t="shared" ref="BP22" si="77">BL22/(BN22)</f>
        <v>1.0594983754057942E-2</v>
      </c>
      <c r="BQ22" s="120">
        <f t="shared" si="71"/>
        <v>5.2588314786171382E-2</v>
      </c>
      <c r="BR22" s="121">
        <f t="shared" si="72"/>
        <v>3.4242429548730378E-2</v>
      </c>
      <c r="BS22" s="120">
        <f t="shared" si="73"/>
        <v>8.3698283812817992E-2</v>
      </c>
      <c r="BT22" s="130">
        <f t="shared" si="61"/>
        <v>0.23903346475584381</v>
      </c>
      <c r="BU22" s="132">
        <f t="shared" si="74"/>
        <v>7224.9222000000009</v>
      </c>
      <c r="BW22" s="98" t="str">
        <f t="shared" si="15"/>
        <v>MC4</v>
      </c>
      <c r="BX22" s="102">
        <f t="shared" si="16"/>
        <v>483.9</v>
      </c>
    </row>
    <row r="23" spans="1:85" ht="15.75" x14ac:dyDescent="0.25">
      <c r="A23" s="50" t="s">
        <v>144</v>
      </c>
      <c r="B23" s="31">
        <v>1481.5</v>
      </c>
      <c r="C23" s="31">
        <v>2065.0500000000002</v>
      </c>
      <c r="D23" s="31">
        <v>647.798</v>
      </c>
      <c r="E23" s="31">
        <v>1256.684</v>
      </c>
      <c r="F23" s="31">
        <v>28424.300999999999</v>
      </c>
      <c r="G23" s="33">
        <f>(B19*C19+B20*C20+B21*C21+B22*C22)/(B19*(C19+F19)+B20*(C20+F20)+B21*(C21+F21)+B22*(C22+F22))</f>
        <v>7.3731432597114011E-2</v>
      </c>
      <c r="H23" s="33">
        <f>(B19*D19+B20*D20+B21*D21+B22*D22)/(B19*F19+B20*F20+B21*F21+B22*F22)</f>
        <v>2.2347770494485213E-2</v>
      </c>
      <c r="I23" s="122">
        <f>(B19*(C19+D19)+B20*(C20+D20)+B21*(C21+D21)+B22*(C22+D22))/(B19*(C19+F19)+B20*(C20+F20)+B21*(C21+F21)+B22*(C22+F22))</f>
        <v>9.4431469957689321E-2</v>
      </c>
      <c r="J23" s="34">
        <f>(B19*E19+B20*E20+B21*E21+B22*E22)/(B19*(E19+F19)+B20*(E20+F20)+B21*(E21+F21)+B22*(E22+F22))</f>
        <v>4.3345643415068046E-2</v>
      </c>
      <c r="K23" s="122">
        <f>(B19*(C19+D19+E19)+B20*(C20+D20+E20)+B21*(C21+D21+E21)+B22*(C22+D22+E22))/(B19*(C19+E19+F19)+B20*(C20+E20+F20)+B21*(C21+E21+F21)+B22*(C22+E22+F22))</f>
        <v>0.13090635253818797</v>
      </c>
      <c r="M23" s="50" t="s">
        <v>144</v>
      </c>
      <c r="N23" s="31">
        <v>1477</v>
      </c>
      <c r="O23" s="31">
        <v>1026.3159999999998</v>
      </c>
      <c r="P23" s="31">
        <v>584.2859724908634</v>
      </c>
      <c r="Q23" s="31">
        <v>1175.9169999999999</v>
      </c>
      <c r="R23" s="31">
        <v>29616.883000000002</v>
      </c>
      <c r="S23" s="33">
        <f>(N19*O19+N20*O20+N21*O21+N22*O22)/(N19*(O19+R19)+N20*(O20+R20)+N21*(O21+R21)+N22*(O22+R22))</f>
        <v>3.6583299958781679E-2</v>
      </c>
      <c r="T23" s="33">
        <f>(N19*P19+N20*P20+N21*P21+N22*P22)/(N19*R19+N20*R20+N21*R21+N22*R22)</f>
        <v>2.0270027306166054E-2</v>
      </c>
      <c r="U23" s="122">
        <f>(N19*(O19+P19)+N20*(O20+P20)+N21*(O21+P21)+N22*(O22+P22))/(N19*(O19+R19)+N20*(O20+R20)+N21*(O21+R21)+N22*(O22+R22))</f>
        <v>5.6111782775833577E-2</v>
      </c>
      <c r="V23" s="34">
        <f>(N19*Q19+N20*Q20+N21*Q21+N22*Q22)/(N19*(Q19+R19)+N20*(Q20+R20)+N21*(Q21+R21)+N22*(Q22+R22))</f>
        <v>3.6121347825660191E-2</v>
      </c>
      <c r="W23" s="122">
        <f>(N19*(O19+P19+Q19)+N20*(O20+P20+Q20)+N21*(O21+P21+Q21)+N22*(O22+P22+Q22))/(N19*(O19+Q19+R19)+N20*(O20+Q20+R20)+N21*(O21+Q21+R21)+N22*(O22+Q22+R22))</f>
        <v>8.9002470532079117E-2</v>
      </c>
      <c r="Y23" s="50" t="s">
        <v>144</v>
      </c>
      <c r="Z23" s="31">
        <f>SUM(Z19:Z22)</f>
        <v>1477</v>
      </c>
      <c r="AA23" s="31">
        <f>SUM(AA19:AA22)</f>
        <v>595.79999999999995</v>
      </c>
      <c r="AB23" s="31">
        <f>SUM(AB19:AB22)</f>
        <v>313.28000000000003</v>
      </c>
      <c r="AC23" s="31">
        <f>SUM(AC19:AC22)</f>
        <v>1801.35</v>
      </c>
      <c r="AD23" s="31">
        <f>SUM(AD19:AD22)</f>
        <v>29115.520000000004</v>
      </c>
      <c r="AE23" s="33">
        <f>(Z19*AA19+Z20*AA20+Z21*AA21+Z22*AA22)/(Z19*(AA19+AD19)+Z20*(AA20+AD20)+Z21*(AA21+AD21)+Z22*(AA22+AD22))</f>
        <v>1.8103772143673567E-2</v>
      </c>
      <c r="AF23" s="33">
        <f>(Z19*AB19+Z20*AB20+Z21*AB21+Z22*AB22)/(Z19*AD19+Z20*AD20+Z21*AD21+Z22*AD22)</f>
        <v>1.0280696221876799E-2</v>
      </c>
      <c r="AG23" s="122">
        <f>(Z19*(AA19+AB19)+Z20*(AA20+AB20)+Z21*(AA21+AB21)+Z22*(AA22+AB22))/(Z19*(AA19+AD19)+Z20*(AA20+AD20)+Z21*(AA21+AD21)+Z22*(AA22+AD22))</f>
        <v>2.8198348983671177E-2</v>
      </c>
      <c r="AH23" s="34">
        <f>(Z19*AC19+Z20*AC20+Z21*AC21+Z22*AC22)/(Z19*(AC19+AD19)+Z20*(AC20+AD20)+Z21*(AC21+AD21)+Z22*(AC22+AD22))</f>
        <v>5.9568166291027423E-2</v>
      </c>
      <c r="AI23" s="122">
        <f>(Z19*(AA19+AB19+AC19)+Z20*(AA20+AB20+AC20)+Z21*(AA21+AB21+AC21)+Z22*(AA22+AB22+AC22))/(Z19*(AA19+AC19+AD19)+Z20*(AA20+AC20+AD20)+Z21*(AA21+AC21+AD21)+Z22*(AA22+AC22+AD22))</f>
        <v>8.5100155555672838E-2</v>
      </c>
      <c r="AK23" s="50" t="s">
        <v>144</v>
      </c>
      <c r="AL23" s="31">
        <f>SUM(AL19:AL22)</f>
        <v>1477</v>
      </c>
      <c r="AM23" s="31">
        <f>SUM(AM19:AM22)</f>
        <v>561.45000000000005</v>
      </c>
      <c r="AN23" s="31">
        <f>SUM(AN19:AN22)</f>
        <v>310.07</v>
      </c>
      <c r="AO23" s="31">
        <f>SUM(AO19:AO22)</f>
        <v>534.22</v>
      </c>
      <c r="AP23" s="31">
        <f>SUM(AP19:AP22)</f>
        <v>30129.08</v>
      </c>
      <c r="AQ23" s="33">
        <f>(AL19*AM19+AL20*AM20+AL21*AM21+AL22*AM22)/(AL19*(AM19+AP19)+AL20*(AM20+AP20)+AL21*(AM21+AP21)+AL22*(AM22+AP22))</f>
        <v>2.0483415683498957E-2</v>
      </c>
      <c r="AR23" s="33">
        <f>(AL19*AN19+AL20*AN20+AL21*AN21+AL22*AN22)/(AL19*AP19+AL20*AP20+AL21*AP21+AL22*AP22)</f>
        <v>9.6784716878018182E-3</v>
      </c>
      <c r="AS23" s="122">
        <f>(AL19*(AM19+AN19)+AL20*(AM20+AN20)+AL21*(AM21+AN21)+AL22*(AM22+AN22))/(AL19*(AM19+AP19)+AL20*(AM20+AP20)+AL21*(AM21+AP21)+AL22*(AM22+AP22))</f>
        <v>2.9963639212538553E-2</v>
      </c>
      <c r="AT23" s="34">
        <f>(AL19*AO19+AL20*AO20+AL21*AO21+AL22*AO22)/(AL19*(AO19+AP19)+AL20*(AO20+AP20)+AL21*(AO21+AP21)+AL22*(AO22+AP22))</f>
        <v>1.5925298056694084E-2</v>
      </c>
      <c r="AU23" s="122">
        <f>(AL19*(AM19+AN19+AO19)+AL20*(AM20+AN20+AO20)+AL21*(AM21+AN21+AO21)+AL22*(AM22+AN22+AO22))/(AL19*(AM19+AO19+AP19)+AL20*(AM20+AO20+AP20)+AL21*(AM21+AO21+AP21)+AL22*(AM22+AO22+AP22))</f>
        <v>4.5100264793256635E-2</v>
      </c>
      <c r="AW23" s="50" t="s">
        <v>144</v>
      </c>
      <c r="AX23" s="31">
        <f>SUM(AX19:AX22)</f>
        <v>1475</v>
      </c>
      <c r="AY23" s="31">
        <f>SUM(AY19:AY22)</f>
        <v>283.3</v>
      </c>
      <c r="AZ23" s="31">
        <f>SUM(AZ19:AZ22)</f>
        <v>324.06599999999997</v>
      </c>
      <c r="BA23" s="31">
        <f>SUM(BA19:BA22)</f>
        <v>438.68299999999999</v>
      </c>
      <c r="BB23" s="31">
        <f>SUM(BB19:BB22)</f>
        <v>32027.1</v>
      </c>
      <c r="BC23" s="33">
        <f>(AX19*AY19+AX20*AY20+AX21*AY21+AX22*AY22)/(AX19*(AY19+BB19)+AX20*(AY20+BB20)+AX21*(AY21+BB21)+AX22*(AY22+BB22))</f>
        <v>1.0040828339505734E-2</v>
      </c>
      <c r="BD23" s="33">
        <f>(AX19*AZ19+AX20*AZ20+AX21*AZ21+AX22*AZ22)/(AX19*BB19+AX20*BB20+AX21*BB21+AX22*BB22)</f>
        <v>8.7523374036142243E-3</v>
      </c>
      <c r="BE23" s="122">
        <f>(AX19*(AY19+AZ19)+AX20*(AY20+AZ20)+AX21*(AY21+AZ21)+AX22*(AY22+AZ22))/(AX19*(AY19+BB19)+AX20*(AY20+BB20)+AX21*(AY21+BB21)+AX22*(AY22+BB22))</f>
        <v>1.8705285025680831E-2</v>
      </c>
      <c r="BF23" s="34">
        <f>(AX19*BA19+AX20*BA20+AX21*BA21+AX22*BA22)/(AX19*(BA19+BB19)+AX20*(BA20+BB20)+AX21*(BA21+BB21)+AX22*(BA22+BB22))</f>
        <v>1.3364243193546619E-2</v>
      </c>
      <c r="BG23" s="122">
        <f>(AX19*(AY19+AZ19+BA19)+AX20*(AY20+AZ20+BA20)+AX21*(AY21+AZ21+BA21)+AX22*(AY22+AZ22+BA22))/(AX19*(AY19+BA19+BB19)+AX20*(AY20+BA20+BB20)+AX21*(AY21+BA21+BB21)+AX22*(AY22+BA22+BB22))</f>
        <v>3.16896105370797E-2</v>
      </c>
      <c r="BI23" s="50" t="s">
        <v>144</v>
      </c>
      <c r="BJ23" s="31">
        <f>SUM(BJ19:BJ22)</f>
        <v>1477.5</v>
      </c>
      <c r="BK23" s="31">
        <f t="shared" ref="BK23" si="78">SUM(BK19:BK22)</f>
        <v>4531.9160000000002</v>
      </c>
      <c r="BL23" s="31">
        <f t="shared" ref="BL23" si="79">SUM(BL19:BL22)</f>
        <v>2179.4999724908639</v>
      </c>
      <c r="BM23" s="31">
        <f t="shared" ref="BM23" si="80">SUM(BM19:BM22)</f>
        <v>5206.8540000000003</v>
      </c>
      <c r="BN23" s="31">
        <f t="shared" ref="BN23" si="81">SUM(BN19:BN22)</f>
        <v>149312.88400000002</v>
      </c>
      <c r="BO23" s="33">
        <f>(BJ19*BK19+BJ20*BK20+BJ21*BK21+BJ22*BK22)/(BJ19*(BK19+BN19)+BJ20*(BK20+BN20)+BJ21*(BK21+BN21)+BJ22*(BK22+BN22))</f>
        <v>3.1611805766465544E-2</v>
      </c>
      <c r="BP23" s="33">
        <f>(BJ19*BL19+BJ20*BL20+BJ21*BL21+BJ22*BL22)/(BJ19*BN19+BJ20*BN20+BJ21*BN21+BJ22*BN22)</f>
        <v>1.4100673478773027E-2</v>
      </c>
      <c r="BQ23" s="122">
        <f>(BJ19*(BK19+BL19)+BJ20*(BK20+BL20)+BJ21*(BK21+BL21)+BJ22*(BK22+BL22))/(BJ19*(BK19+BN19)+BJ20*(BK20+BN20)+BJ21*(BK21+BN21)+BJ22*(BK22+BN22))</f>
        <v>4.5266731494051249E-2</v>
      </c>
      <c r="BR23" s="34">
        <f>(BJ19*BM19+BJ20*BM20+BJ21*BM21+BJ22*BM22)/(BJ19*(BM19+BN19)+BJ20*(BM20+BN20)+BJ21*(BM21+BN21)+BJ22*(BM22+BN22))</f>
        <v>3.3520525381421598E-2</v>
      </c>
      <c r="BS23" s="122">
        <f>(BJ19*(BK19+BL19+BM19)+BJ20*(BK20+BL20+BM20)+BJ21*(BK21+BL21+BM21)+BJ22*(BK22+BL22+BM22))/(BJ19*(BK19+BM19+BN19)+BJ20*(BK20+BM20+BN20)+BJ21*(BK21+BM21+BN21)+BJ22*(BK22+BM22+BN22))</f>
        <v>7.6291089336766149E-2</v>
      </c>
      <c r="BT23" s="127">
        <f>BL23/BK23</f>
        <v>0.48092241173288819</v>
      </c>
      <c r="BU23" s="128">
        <f>(BJ19*BU19+BJ20*BU20+BJ21*BU21+BJ22*BU22)/BJ23</f>
        <v>7442.2394496514371</v>
      </c>
      <c r="BW23" s="98" t="str">
        <f t="shared" si="15"/>
        <v>MC Sta.</v>
      </c>
      <c r="BX23" s="102">
        <f t="shared" si="16"/>
        <v>1477.5</v>
      </c>
    </row>
    <row r="24" spans="1:85" x14ac:dyDescent="0.25">
      <c r="A24" s="135" t="str">
        <f>A18</f>
        <v>2013 STEAM TARGETS :</v>
      </c>
      <c r="B24" s="135"/>
      <c r="C24" s="135"/>
      <c r="D24" s="135"/>
      <c r="E24" s="135"/>
      <c r="F24" s="135"/>
      <c r="G24" s="135"/>
      <c r="H24" s="135"/>
      <c r="I24" s="136">
        <v>4.3999999999999997E-2</v>
      </c>
      <c r="J24" s="136"/>
      <c r="K24" s="136">
        <v>7.0300000000000001E-2</v>
      </c>
      <c r="M24" s="135" t="str">
        <f>M18</f>
        <v>2014 STEAM TARGETS :</v>
      </c>
      <c r="N24" s="135"/>
      <c r="O24" s="135"/>
      <c r="P24" s="135"/>
      <c r="Q24" s="135"/>
      <c r="R24" s="135"/>
      <c r="S24" s="135"/>
      <c r="T24" s="135"/>
      <c r="U24" s="136">
        <v>0.05</v>
      </c>
      <c r="V24" s="136"/>
      <c r="W24" s="136">
        <v>7.2999999999999995E-2</v>
      </c>
      <c r="Y24" s="135" t="str">
        <f>Y18</f>
        <v>2015 STEAM TARGETS :</v>
      </c>
      <c r="Z24" s="135"/>
      <c r="AA24" s="135"/>
      <c r="AB24" s="135"/>
      <c r="AC24" s="135"/>
      <c r="AD24" s="135"/>
      <c r="AE24" s="135"/>
      <c r="AF24" s="135"/>
      <c r="AG24" s="136">
        <v>4.4499999999999998E-2</v>
      </c>
      <c r="AH24" s="136"/>
      <c r="AI24" s="136"/>
      <c r="AK24" s="135" t="str">
        <f>AK18</f>
        <v>2016 STEAM TARGETS :</v>
      </c>
      <c r="AL24" s="135"/>
      <c r="AM24" s="135"/>
      <c r="AN24" s="135"/>
      <c r="AO24" s="135"/>
      <c r="AP24" s="135"/>
      <c r="AQ24" s="135"/>
      <c r="AR24" s="135"/>
      <c r="AS24" s="136">
        <v>4.4499999999999998E-2</v>
      </c>
      <c r="AT24" s="136"/>
      <c r="AU24" s="136"/>
      <c r="AW24" s="135" t="str">
        <f>AW18</f>
        <v>2017 STEAM TARGETS :</v>
      </c>
      <c r="AX24" s="135"/>
      <c r="AY24" s="135"/>
      <c r="AZ24" s="135"/>
      <c r="BA24" s="135"/>
      <c r="BB24" s="135"/>
      <c r="BC24" s="135"/>
      <c r="BD24" s="135"/>
      <c r="BE24" s="136">
        <v>4.4499999999999998E-2</v>
      </c>
      <c r="BF24" s="136"/>
      <c r="BG24" s="136"/>
      <c r="BI24" s="135"/>
      <c r="BJ24" s="135"/>
      <c r="BK24" s="135"/>
      <c r="BL24" s="135"/>
      <c r="BM24" s="135"/>
      <c r="BN24" s="135"/>
      <c r="BO24" s="135"/>
      <c r="BP24" s="135"/>
      <c r="BQ24" s="136"/>
      <c r="BR24" s="136"/>
      <c r="BS24" s="136"/>
      <c r="BT24" s="175"/>
      <c r="BU24" s="176"/>
      <c r="BW24" s="98" t="str">
        <f t="shared" si="15"/>
        <v/>
      </c>
      <c r="BX24" s="102"/>
    </row>
    <row r="25" spans="1:85" ht="15.75" x14ac:dyDescent="0.25">
      <c r="A25" s="48" t="s">
        <v>19</v>
      </c>
      <c r="B25" s="31">
        <v>513</v>
      </c>
      <c r="C25" s="173">
        <v>150.44999999999999</v>
      </c>
      <c r="D25" s="173">
        <v>53.900000000000006</v>
      </c>
      <c r="E25" s="173">
        <v>305.55</v>
      </c>
      <c r="F25" s="173">
        <v>7553.2169999999996</v>
      </c>
      <c r="G25" s="33">
        <f t="shared" ref="G25:G26" si="82">C25/(C25+F25)</f>
        <v>1.952966035525679E-2</v>
      </c>
      <c r="H25" s="33">
        <f>D25/F25</f>
        <v>7.1360322363305606E-3</v>
      </c>
      <c r="I25" s="118">
        <f t="shared" ref="I25:I26" si="83">(C25+D25)/(C25+F25)</f>
        <v>2.652632830572765E-2</v>
      </c>
      <c r="J25" s="34">
        <f t="shared" ref="J25:J26" si="84">E25/(E25+F25)</f>
        <v>3.8880144938767111E-2</v>
      </c>
      <c r="K25" s="118">
        <f t="shared" ref="K25:K26" si="85">(C25+D25+E25)/(C25+E25+F25)</f>
        <v>6.3664150940098141E-2</v>
      </c>
      <c r="M25" s="48" t="s">
        <v>19</v>
      </c>
      <c r="N25" s="31">
        <v>510.66666666666669</v>
      </c>
      <c r="O25" s="173">
        <v>267.06700000000001</v>
      </c>
      <c r="P25" s="173">
        <v>74.877477642275977</v>
      </c>
      <c r="Q25" s="173">
        <v>249.43299999999999</v>
      </c>
      <c r="R25" s="173">
        <v>8243.5</v>
      </c>
      <c r="S25" s="33">
        <f t="shared" ref="S25:S26" si="86">O25/(O25+R25)</f>
        <v>3.1380635391272997E-2</v>
      </c>
      <c r="T25" s="33">
        <f>P25/R25</f>
        <v>9.0832143679597226E-3</v>
      </c>
      <c r="U25" s="118">
        <f t="shared" ref="U25:U26" si="87">(O25+P25)/(O25+R25)</f>
        <v>4.0178812720970999E-2</v>
      </c>
      <c r="V25" s="34">
        <f t="shared" ref="V25:V26" si="88">Q25/(Q25+R25)</f>
        <v>2.9369476952190717E-2</v>
      </c>
      <c r="W25" s="118">
        <f t="shared" ref="W25:W26" si="89">(O25+P25+Q25)/(O25+Q25+R25)</f>
        <v>6.7508844479711866E-2</v>
      </c>
      <c r="Y25" s="48" t="s">
        <v>19</v>
      </c>
      <c r="Z25" s="31">
        <v>510.66666666666669</v>
      </c>
      <c r="AA25" s="173">
        <v>222.78299999999999</v>
      </c>
      <c r="AB25" s="173">
        <v>61.16</v>
      </c>
      <c r="AC25" s="173">
        <v>185.18299999999999</v>
      </c>
      <c r="AD25" s="173">
        <v>6841.9830000000002</v>
      </c>
      <c r="AE25" s="33">
        <f>AA25/(AA25+AD25)</f>
        <v>3.1534377784062484E-2</v>
      </c>
      <c r="AF25" s="33">
        <f>AB25/AD25</f>
        <v>8.9389289625536918E-3</v>
      </c>
      <c r="AG25" s="118">
        <f>(AA25+AB25)/(AA25+AD25)</f>
        <v>4.0191423183726108E-2</v>
      </c>
      <c r="AH25" s="34">
        <f>AC25/(AC25+AD25)</f>
        <v>2.6352444214353267E-2</v>
      </c>
      <c r="AI25" s="118">
        <f>(AA25+AB25+AC25)/(AA25+AC25+AD25)</f>
        <v>6.4707489666479032E-2</v>
      </c>
      <c r="AK25" s="48" t="s">
        <v>19</v>
      </c>
      <c r="AL25" s="31">
        <v>510.66666666666669</v>
      </c>
      <c r="AM25" s="173">
        <v>165.583</v>
      </c>
      <c r="AN25" s="173">
        <v>37.825000000000003</v>
      </c>
      <c r="AO25" s="173">
        <v>17.167000000000002</v>
      </c>
      <c r="AP25" s="173">
        <v>8383.35</v>
      </c>
      <c r="AQ25" s="33">
        <f>AM25/(AM25+AP25)</f>
        <v>1.9368849890389828E-2</v>
      </c>
      <c r="AR25" s="33">
        <f>AN25/AP25</f>
        <v>4.5119194594046537E-3</v>
      </c>
      <c r="AS25" s="118">
        <f>(AM25+AN25)/(AM25+AP25)</f>
        <v>2.3793378659067745E-2</v>
      </c>
      <c r="AT25" s="34">
        <f>AO25/(AO25+AP25)</f>
        <v>2.0435646996488431E-3</v>
      </c>
      <c r="AU25" s="118">
        <f>(AM25+AN25+AO25)/(AM25+AO25+AP25)</f>
        <v>2.5749757766077911E-2</v>
      </c>
      <c r="AW25" s="48" t="s">
        <v>19</v>
      </c>
      <c r="AX25" s="31">
        <v>510.66666666666669</v>
      </c>
      <c r="AY25" s="173">
        <v>220.267</v>
      </c>
      <c r="AZ25" s="173">
        <v>19.876000000000001</v>
      </c>
      <c r="BA25" s="173">
        <v>130.43299999999999</v>
      </c>
      <c r="BB25" s="173">
        <v>6819.25</v>
      </c>
      <c r="BC25" s="33">
        <f>AY25/(AY25+BB25)</f>
        <v>3.1290072884261805E-2</v>
      </c>
      <c r="BD25" s="33">
        <f>AZ25/BB25</f>
        <v>2.9146900318950033E-3</v>
      </c>
      <c r="BE25" s="118">
        <f>(AY25+AZ25)/(AY25+BB25)</f>
        <v>3.411356205262378E-2</v>
      </c>
      <c r="BF25" s="34">
        <f>BA25/(BA25+BB25)</f>
        <v>1.8768194175187557E-2</v>
      </c>
      <c r="BG25" s="118">
        <f>(AY25+AZ25+BA25)/(AY25+BA25+BB25)</f>
        <v>5.1684600311020304E-2</v>
      </c>
      <c r="BI25" s="48" t="s">
        <v>19</v>
      </c>
      <c r="BJ25" s="31">
        <f>SUM(AX25,B25,N25,Z25,AL25)/5</f>
        <v>511.13333333333338</v>
      </c>
      <c r="BK25" s="31">
        <f t="shared" ref="BK25:BN26" si="90">SUM(AY25,C25,O25,AA25,AM25)</f>
        <v>1026.1500000000001</v>
      </c>
      <c r="BL25" s="31">
        <f t="shared" si="90"/>
        <v>247.63847764227597</v>
      </c>
      <c r="BM25" s="31">
        <f t="shared" si="90"/>
        <v>887.76599999999996</v>
      </c>
      <c r="BN25" s="31">
        <f t="shared" si="90"/>
        <v>37841.300000000003</v>
      </c>
      <c r="BO25" s="33">
        <f t="shared" ref="BO25:BO26" si="91">BK25/(BK25+BN25)</f>
        <v>2.6401268928113369E-2</v>
      </c>
      <c r="BP25" s="33">
        <f>BL25/BN25</f>
        <v>6.544132406716364E-3</v>
      </c>
      <c r="BQ25" s="118">
        <f t="shared" ref="BQ25:BQ26" si="92">(BK25+BL25)/(BK25+BN25)</f>
        <v>3.2772627935258834E-2</v>
      </c>
      <c r="BR25" s="34">
        <f t="shared" ref="BR25:BR26" si="93">BM25/(BM25+BN25)</f>
        <v>2.2922473782352504E-2</v>
      </c>
      <c r="BS25" s="118">
        <f t="shared" ref="BS25:BS26" si="94">(BK25+BL25+BM25)/(BK25+BM25+BN25)</f>
        <v>5.4371594349840187E-2</v>
      </c>
      <c r="BT25" s="129">
        <f t="shared" ref="BT25" si="95">BL25/BK25</f>
        <v>0.2413277568019061</v>
      </c>
      <c r="BU25" s="131">
        <f>BN25/5</f>
        <v>7568.26</v>
      </c>
      <c r="BW25" s="98" t="str">
        <f t="shared" si="15"/>
        <v>TC1</v>
      </c>
      <c r="BX25" s="102">
        <f t="shared" si="16"/>
        <v>511.13333333333338</v>
      </c>
    </row>
    <row r="26" spans="1:85" ht="15.75" x14ac:dyDescent="0.25">
      <c r="A26" s="49" t="s">
        <v>69</v>
      </c>
      <c r="B26" s="32">
        <v>760</v>
      </c>
      <c r="C26" s="173">
        <v>864.36699999999996</v>
      </c>
      <c r="D26" s="173">
        <v>213.26300000000001</v>
      </c>
      <c r="E26" s="173">
        <v>232.35</v>
      </c>
      <c r="F26" s="173">
        <v>6055.567</v>
      </c>
      <c r="G26" s="123">
        <f t="shared" si="82"/>
        <v>0.12490971734701516</v>
      </c>
      <c r="H26" s="123">
        <f>D26/F26</f>
        <v>3.5217676561088332E-2</v>
      </c>
      <c r="I26" s="124">
        <f t="shared" si="83"/>
        <v>0.15572836388323932</v>
      </c>
      <c r="J26" s="123">
        <f t="shared" si="84"/>
        <v>3.6951823632532042E-2</v>
      </c>
      <c r="K26" s="124">
        <f t="shared" si="85"/>
        <v>0.18315547872539734</v>
      </c>
      <c r="M26" s="49" t="s">
        <v>69</v>
      </c>
      <c r="N26" s="32">
        <v>746</v>
      </c>
      <c r="O26" s="174">
        <v>728.9</v>
      </c>
      <c r="P26" s="174">
        <v>44.096918176795732</v>
      </c>
      <c r="Q26" s="174">
        <v>63.267000000000003</v>
      </c>
      <c r="R26" s="174">
        <v>5350.2</v>
      </c>
      <c r="S26" s="125">
        <f t="shared" si="86"/>
        <v>0.1199026171637249</v>
      </c>
      <c r="T26" s="125">
        <f>P26/R26</f>
        <v>8.2421064963544791E-3</v>
      </c>
      <c r="U26" s="126">
        <f t="shared" si="87"/>
        <v>0.12715647352022433</v>
      </c>
      <c r="V26" s="125">
        <f t="shared" si="88"/>
        <v>1.1686965118656863E-2</v>
      </c>
      <c r="W26" s="126">
        <f t="shared" si="89"/>
        <v>0.13614684993208576</v>
      </c>
      <c r="Y26" s="49" t="s">
        <v>69</v>
      </c>
      <c r="Z26" s="32">
        <v>746</v>
      </c>
      <c r="AA26" s="177">
        <v>348.35</v>
      </c>
      <c r="AB26" s="177">
        <v>271.11</v>
      </c>
      <c r="AC26" s="177">
        <v>64.117000000000004</v>
      </c>
      <c r="AD26" s="177">
        <v>7781.8829999999998</v>
      </c>
      <c r="AE26" s="119">
        <f>AA26/(AA26+AD26)</f>
        <v>4.2846250531811327E-2</v>
      </c>
      <c r="AF26" s="119">
        <f>AB26/AD26</f>
        <v>3.4838611683059233E-2</v>
      </c>
      <c r="AG26" s="120">
        <f>(AA26+AB26)/(AA26+AD26)</f>
        <v>7.619215833051772E-2</v>
      </c>
      <c r="AH26" s="121">
        <f>AC26/(AC26+AD26)</f>
        <v>8.1719347438185073E-3</v>
      </c>
      <c r="AI26" s="120">
        <f>(AA26+AB26+AC26)/(AA26+AC26+AD26)</f>
        <v>8.3420527558622712E-2</v>
      </c>
      <c r="AK26" s="49" t="s">
        <v>69</v>
      </c>
      <c r="AL26" s="32">
        <v>760</v>
      </c>
      <c r="AM26" s="177">
        <v>1708.7829999999999</v>
      </c>
      <c r="AN26" s="177">
        <v>38.81</v>
      </c>
      <c r="AO26" s="177">
        <v>464.43299999999999</v>
      </c>
      <c r="AP26" s="177">
        <v>5904.8</v>
      </c>
      <c r="AQ26" s="119">
        <f>AM26/(AM26+AP26)</f>
        <v>0.22443874323035551</v>
      </c>
      <c r="AR26" s="119">
        <f>AN26/AP26</f>
        <v>6.5726188863297662E-3</v>
      </c>
      <c r="AS26" s="120">
        <f>(AM26+AN26)/(AM26+AP26)</f>
        <v>0.22953621179410533</v>
      </c>
      <c r="AT26" s="121">
        <f>AO26/(AO26+AP26)</f>
        <v>7.2918199098698386E-2</v>
      </c>
      <c r="AU26" s="120">
        <f>(AM26+AN26+AO26)/(AM26+AO26+AP26)</f>
        <v>0.27383283222018873</v>
      </c>
      <c r="AW26" s="49" t="s">
        <v>69</v>
      </c>
      <c r="AX26" s="32">
        <v>760</v>
      </c>
      <c r="AY26" s="177">
        <v>771.48299999999995</v>
      </c>
      <c r="AZ26" s="177">
        <v>62.516999999999989</v>
      </c>
      <c r="BA26" s="177">
        <v>126.133</v>
      </c>
      <c r="BB26" s="177">
        <v>6830.15</v>
      </c>
      <c r="BC26" s="119">
        <f>AY26/(AY26+BB26)</f>
        <v>0.10148911424689931</v>
      </c>
      <c r="BD26" s="119">
        <f>AZ26/BB26</f>
        <v>9.1530932702795689E-3</v>
      </c>
      <c r="BE26" s="120">
        <f>(AY26+AZ26)/(AY26+BB26)</f>
        <v>0.10971326818855895</v>
      </c>
      <c r="BF26" s="121">
        <f>BA26/(BA26+BB26)</f>
        <v>1.8132241025846707E-2</v>
      </c>
      <c r="BG26" s="120">
        <f>(AY26+AZ26+BA26)/(AY26+BA26+BB26)</f>
        <v>0.12424457469338486</v>
      </c>
      <c r="BI26" s="49" t="s">
        <v>69</v>
      </c>
      <c r="BJ26" s="32">
        <f>SUM(AX26,B26,N26,Z26,AL26)/5</f>
        <v>754.4</v>
      </c>
      <c r="BK26" s="32">
        <f t="shared" si="90"/>
        <v>4421.8829999999998</v>
      </c>
      <c r="BL26" s="32">
        <f t="shared" si="90"/>
        <v>629.79691817679577</v>
      </c>
      <c r="BM26" s="32">
        <f t="shared" si="90"/>
        <v>950.3</v>
      </c>
      <c r="BN26" s="32">
        <f t="shared" si="90"/>
        <v>31922.600000000002</v>
      </c>
      <c r="BO26" s="125">
        <f t="shared" si="91"/>
        <v>0.12166586604079634</v>
      </c>
      <c r="BP26" s="125">
        <f>BL26/BN26</f>
        <v>1.9728872904362291E-2</v>
      </c>
      <c r="BQ26" s="124">
        <f t="shared" si="92"/>
        <v>0.1389944085372406</v>
      </c>
      <c r="BR26" s="123">
        <f t="shared" si="93"/>
        <v>2.8908310492837562E-2</v>
      </c>
      <c r="BS26" s="124">
        <f t="shared" si="94"/>
        <v>0.16093349888044114</v>
      </c>
      <c r="BT26" s="129">
        <f>BL26/BK26</f>
        <v>0.14242731392413499</v>
      </c>
      <c r="BU26" s="131">
        <f>BN26/5</f>
        <v>6384.52</v>
      </c>
      <c r="BW26" s="98" t="str">
        <f t="shared" si="15"/>
        <v>TC2</v>
      </c>
      <c r="BX26" s="102">
        <f t="shared" si="16"/>
        <v>754.4</v>
      </c>
    </row>
    <row r="27" spans="1:85" ht="15.75" x14ac:dyDescent="0.25">
      <c r="A27" s="50" t="s">
        <v>145</v>
      </c>
      <c r="B27" s="31">
        <f>SUM(B25:B26)</f>
        <v>1273</v>
      </c>
      <c r="C27" s="31">
        <f>SUM(C25:C26)</f>
        <v>1014.817</v>
      </c>
      <c r="D27" s="31">
        <f t="shared" ref="D27:F27" si="96">SUM(D25:D26)</f>
        <v>267.16300000000001</v>
      </c>
      <c r="E27" s="31">
        <f t="shared" si="96"/>
        <v>537.9</v>
      </c>
      <c r="F27" s="31">
        <f t="shared" si="96"/>
        <v>13608.784</v>
      </c>
      <c r="G27" s="33">
        <f>(B25*C25+B26*C26)/(B25*(C25+F25)+B26*(C26+F26))</f>
        <v>7.9697028423907176E-2</v>
      </c>
      <c r="H27" s="33">
        <f>(B25*D25+B26*D26)/(B25*F25+B26*F26)</f>
        <v>2.2381724757878595E-2</v>
      </c>
      <c r="I27" s="122">
        <f>(B25*(C25+D25)+B26*(C26+D26))/(B25*(C25+F25)+B26*(C26+F26))</f>
        <v>0.10029499622758106</v>
      </c>
      <c r="J27" s="34">
        <f>(B25*E25+B26*E26)/(B25*(E25+F25)+B26*(E26+F26))</f>
        <v>3.7834206987001344E-2</v>
      </c>
      <c r="K27" s="122">
        <f>(B25*(C25+D25+E25)+B26*(C26+D26+E26))/(B25*(C25+E25+F25)+B26*(C26+E26+F26))</f>
        <v>0.13171650904583451</v>
      </c>
      <c r="M27" s="50" t="s">
        <v>145</v>
      </c>
      <c r="N27" s="31">
        <f>SUM(N25:N26)</f>
        <v>1256.6666666666667</v>
      </c>
      <c r="O27" s="31">
        <f>SUM(O25:O26)</f>
        <v>995.96699999999998</v>
      </c>
      <c r="P27" s="31">
        <f t="shared" ref="P27:R27" si="97">SUM(P25:P26)</f>
        <v>118.9743958190717</v>
      </c>
      <c r="Q27" s="31">
        <f t="shared" si="97"/>
        <v>312.7</v>
      </c>
      <c r="R27" s="31">
        <f t="shared" si="97"/>
        <v>13593.7</v>
      </c>
      <c r="S27" s="33">
        <f>(N25*O25+N26*O26)/(N25*(O25+R25)+N26*(O26+R26))</f>
        <v>7.6583283458107651E-2</v>
      </c>
      <c r="T27" s="33">
        <f>(N25*P25+N26*P26)/(N25*R25+N26*R26)</f>
        <v>8.6738618708358025E-3</v>
      </c>
      <c r="U27" s="122">
        <f>(N25*(O25+P25)+N26*(O26+P26))/(N25*(O25+R25)+N26*(O26+R26))</f>
        <v>8.4592872506612751E-2</v>
      </c>
      <c r="V27" s="34">
        <f>(N25*Q25+N26*Q26)/(N25*(Q25+R25)+N26*(Q26+R26))</f>
        <v>2.0843437861036748E-2</v>
      </c>
      <c r="W27" s="122">
        <f>(N25*(O25+P25+Q25)+N26*(O26+P26+Q26))/(N25*(O25+Q25+R25)+N26*(O26+Q26+R26))</f>
        <v>0.1022400467617155</v>
      </c>
      <c r="Y27" s="50" t="s">
        <v>145</v>
      </c>
      <c r="Z27" s="31">
        <f>SUM(Z25:Z26)</f>
        <v>1256.6666666666667</v>
      </c>
      <c r="AA27" s="31">
        <f t="shared" ref="AA27:AD27" si="98">SUM(AA25:AA26)</f>
        <v>571.13300000000004</v>
      </c>
      <c r="AB27" s="31">
        <f t="shared" si="98"/>
        <v>332.27</v>
      </c>
      <c r="AC27" s="31">
        <f t="shared" si="98"/>
        <v>249.3</v>
      </c>
      <c r="AD27" s="31">
        <f t="shared" si="98"/>
        <v>14623.866</v>
      </c>
      <c r="AE27" s="33">
        <f>(Z25*AA25+Z26*AA26)/(Z25*(AA25+AD25)+Z26*(AA26+AD26))</f>
        <v>3.8627213278883993E-2</v>
      </c>
      <c r="AF27" s="33">
        <f>(Z25*AB25+Z26*AB26)/(Z25*AD25+Z26*AD26)</f>
        <v>2.5107427834673787E-2</v>
      </c>
      <c r="AG27" s="122">
        <f>(Z25*(AA25+AB25)+Z26*(AA26+AB26))/(Z25*(AA25+AD25)+Z26*(AA26+AD26))</f>
        <v>6.276481114370365E-2</v>
      </c>
      <c r="AH27" s="34">
        <f>(Z25*AC25+Z26*AC26)/(Z25*(AC25+AD25)+Z26*(AC26+AD26))</f>
        <v>1.5081896207552318E-2</v>
      </c>
      <c r="AI27" s="122">
        <f>(Z25*(AA25+AB25+AC25)+Z26*(AA26+AB26+AC26))/(Z25*(AA25+AC25+AD25)+Z26*(AA26+AC26+AD26))</f>
        <v>7.6362009702451106E-2</v>
      </c>
      <c r="AK27" s="50" t="s">
        <v>145</v>
      </c>
      <c r="AL27" s="31">
        <f>SUM(AL25:AL26)</f>
        <v>1270.6666666666667</v>
      </c>
      <c r="AM27" s="31">
        <f t="shared" ref="AM27:AP27" si="99">SUM(AM25:AM26)</f>
        <v>1874.366</v>
      </c>
      <c r="AN27" s="31">
        <f t="shared" si="99"/>
        <v>76.635000000000005</v>
      </c>
      <c r="AO27" s="31">
        <f t="shared" si="99"/>
        <v>481.6</v>
      </c>
      <c r="AP27" s="31">
        <f t="shared" si="99"/>
        <v>14288.150000000001</v>
      </c>
      <c r="AQ27" s="33">
        <f>(AL25*AM25+AL26*AM26)/(AL25*(AM25+AP25)+AL26*(AM26+AP26))</f>
        <v>0.13625253833271</v>
      </c>
      <c r="AR27" s="33">
        <f>(AL25*AN25+AL26*AN26)/(AL25*AP25+AL26*AP26)</f>
        <v>5.5665393896219932E-3</v>
      </c>
      <c r="AS27" s="122">
        <f>(AL25*(AM25+AN25)+AL26*(AM26+AN26))/(AL25*(AM25+AP25)+AL26*(AM26+AP26))</f>
        <v>0.14106062260076702</v>
      </c>
      <c r="AT27" s="34">
        <f>(AL25*AO25+AL26*AO26)/(AL25*(AO25+AP25)+AL26*(AO26+AP26))</f>
        <v>3.9618470364936757E-2</v>
      </c>
      <c r="AU27" s="122">
        <f>(AL25*(AM25+AN25+AO25)+AL26*(AM26+AN26+AO26))/(AL25*(AM25+AO25+AP25)+AL26*(AM26+AO26+AP26))</f>
        <v>0.17061336062582244</v>
      </c>
      <c r="AW27" s="50" t="s">
        <v>145</v>
      </c>
      <c r="AX27" s="31">
        <f>SUM(AX25:AX26)</f>
        <v>1270.6666666666667</v>
      </c>
      <c r="AY27" s="31">
        <f t="shared" ref="AY27:BB27" si="100">SUM(AY25:AY26)</f>
        <v>991.75</v>
      </c>
      <c r="AZ27" s="31">
        <f t="shared" si="100"/>
        <v>82.392999999999986</v>
      </c>
      <c r="BA27" s="31">
        <f t="shared" si="100"/>
        <v>256.56599999999997</v>
      </c>
      <c r="BB27" s="31">
        <f t="shared" si="100"/>
        <v>13649.4</v>
      </c>
      <c r="BC27" s="33">
        <f>(AX25*AY25+AX26*AY26)/(AX25*(AY25+BB25)+AX26*(AY26+BB26))</f>
        <v>7.4562905561956605E-2</v>
      </c>
      <c r="BD27" s="33">
        <f>(AX25*AZ25+AX26*AZ26)/(AX25*BB25+AX26*BB26)</f>
        <v>6.6483436692310804E-3</v>
      </c>
      <c r="BE27" s="122">
        <f>(AX25*(AY25+AZ25)+AX26*(AY26+AZ26))/(AX25*(AY25+BB25)+AX26*(AY26+BB26))</f>
        <v>8.0715529410035361E-2</v>
      </c>
      <c r="BF27" s="34">
        <f>(AX25*BA25+AX26*BA26)/(AX25*(BA25+BB25)+AX26*(BA26+BB26))</f>
        <v>1.8387678363670532E-2</v>
      </c>
      <c r="BG27" s="122">
        <f>(AX25*(AY25+AZ25+BA25)+AX26*(AY26+AZ26+BA26))/(AX25*(AY25+BA25+BB25)+AX26*(AY26+BA26+BB26))</f>
        <v>9.6380138757216002E-2</v>
      </c>
      <c r="BI27" s="50" t="s">
        <v>145</v>
      </c>
      <c r="BJ27" s="31">
        <f>SUM(BJ25:BJ26)</f>
        <v>1265.5333333333333</v>
      </c>
      <c r="BK27" s="134">
        <f>SUM(BK25:BK26)</f>
        <v>5448.0329999999994</v>
      </c>
      <c r="BL27" s="134">
        <f t="shared" ref="BL27" si="101">SUM(BL25:BL26)</f>
        <v>877.4353958190718</v>
      </c>
      <c r="BM27" s="134">
        <f t="shared" ref="BM27" si="102">SUM(BM25:BM26)</f>
        <v>1838.0659999999998</v>
      </c>
      <c r="BN27" s="134">
        <f t="shared" ref="BN27" si="103">SUM(BN25:BN26)</f>
        <v>69763.900000000009</v>
      </c>
      <c r="BO27" s="33">
        <f>(BJ25*BK25+BJ26*BK26)/(BJ25*(BK25+BN25)+BJ26*(BK26+BN26))</f>
        <v>8.1640906685098907E-2</v>
      </c>
      <c r="BP27" s="33">
        <f>(BJ25*BL25+BJ26*BL26)/(BJ25*BN25+BJ26*BN26)</f>
        <v>1.3856164743700865E-2</v>
      </c>
      <c r="BQ27" s="122">
        <f>(BJ25*(BK25+BL25)+BJ26*(BK26+BL26))/(BJ25*(BK25+BN25)+BJ26*(BK26+BN26))</f>
        <v>9.4365841575945936E-2</v>
      </c>
      <c r="BR27" s="34">
        <f>(BJ25*BM25+BJ26*BM26)/(BJ25*(BM25+BN25)+BJ26*(BM26+BN26))</f>
        <v>2.6251200028538292E-2</v>
      </c>
      <c r="BS27" s="122">
        <f>(BJ25*(BK25+BL25+BM25)+BJ26*(BK26+BL26+BM26))/(BJ25*(BK25+BM25+BN25)+BJ26*(BK26+BM26+BN26))</f>
        <v>0.1162457879408282</v>
      </c>
      <c r="BT27" s="127">
        <f>BL27/BK27</f>
        <v>0.1610554480523653</v>
      </c>
      <c r="BU27" s="128">
        <f>(BJ25*BU25+BJ26*BU26)/BJ27</f>
        <v>6862.6180129589648</v>
      </c>
      <c r="BW27" s="98" t="str">
        <f t="shared" si="15"/>
        <v>TC Sta.</v>
      </c>
      <c r="BX27" s="102">
        <f t="shared" si="16"/>
        <v>1265.5333333333335</v>
      </c>
    </row>
    <row r="28" spans="1:85" x14ac:dyDescent="0.25">
      <c r="A28" s="135" t="str">
        <f>A24</f>
        <v>2013 STEAM TARGETS :</v>
      </c>
      <c r="B28" s="135"/>
      <c r="C28" s="135"/>
      <c r="D28" s="135"/>
      <c r="E28" s="135"/>
      <c r="F28" s="135"/>
      <c r="G28" s="135"/>
      <c r="H28" s="178"/>
      <c r="I28" s="136">
        <v>3.3000000000000002E-2</v>
      </c>
      <c r="J28" s="136">
        <v>1.4E-2</v>
      </c>
      <c r="K28" s="136">
        <v>4.6100000000000002E-2</v>
      </c>
      <c r="M28" s="135" t="str">
        <f>M24</f>
        <v>2014 STEAM TARGETS :</v>
      </c>
      <c r="N28" s="135"/>
      <c r="O28" s="135"/>
      <c r="P28" s="135"/>
      <c r="Q28" s="135"/>
      <c r="R28" s="135"/>
      <c r="S28" s="135"/>
      <c r="T28" s="178"/>
      <c r="U28" s="136">
        <v>4.0500000000000001E-2</v>
      </c>
      <c r="V28" s="136"/>
      <c r="W28" s="136">
        <v>6.54E-2</v>
      </c>
      <c r="Y28" s="135" t="str">
        <f>Y24</f>
        <v>2015 STEAM TARGETS :</v>
      </c>
      <c r="Z28" s="135"/>
      <c r="AA28" s="135"/>
      <c r="AB28" s="135"/>
      <c r="AC28" s="135"/>
      <c r="AD28" s="135"/>
      <c r="AE28" s="135"/>
      <c r="AF28" s="178"/>
      <c r="AG28" s="136">
        <v>3.8800000000000001E-2</v>
      </c>
      <c r="AH28" s="136"/>
      <c r="AI28" s="136">
        <v>6.25E-2</v>
      </c>
      <c r="AK28" s="135" t="str">
        <f>AK24</f>
        <v>2016 STEAM TARGETS :</v>
      </c>
      <c r="AL28" s="135"/>
      <c r="AM28" s="135"/>
      <c r="AN28" s="135"/>
      <c r="AO28" s="135"/>
      <c r="AP28" s="135"/>
      <c r="AQ28" s="135"/>
      <c r="AR28" s="178"/>
      <c r="AS28" s="136">
        <v>3.3000000000000002E-2</v>
      </c>
      <c r="AT28" s="136"/>
      <c r="AU28" s="136"/>
      <c r="AW28" s="135" t="str">
        <f>AW24</f>
        <v>2017 STEAM TARGETS :</v>
      </c>
      <c r="AX28" s="135"/>
      <c r="AY28" s="135"/>
      <c r="AZ28" s="135"/>
      <c r="BA28" s="135"/>
      <c r="BB28" s="135"/>
      <c r="BC28" s="135"/>
      <c r="BD28" s="178"/>
      <c r="BE28" s="136">
        <v>3.3000000000000002E-2</v>
      </c>
      <c r="BF28" s="136"/>
      <c r="BG28" s="136"/>
      <c r="BI28" s="135"/>
      <c r="BJ28" s="135"/>
      <c r="BK28" s="135"/>
      <c r="BL28" s="135"/>
      <c r="BM28" s="135"/>
      <c r="BN28" s="135"/>
      <c r="BO28" s="135"/>
      <c r="BP28" s="178"/>
      <c r="BQ28" s="136"/>
      <c r="BR28" s="136"/>
      <c r="BS28" s="136"/>
      <c r="BT28" s="179">
        <f>SUM(BL8,BL13,BL17,BL23,BL27)/SUM(BK8,BK13,BK17,BK23,BK27)</f>
        <v>0.34232284962550258</v>
      </c>
      <c r="BU28" s="180">
        <f>SUM(BN8,BN13,BN17, BN23,BN27)/5</f>
        <v>107353.93019999999</v>
      </c>
      <c r="BW28" s="98" t="str">
        <f t="shared" si="15"/>
        <v/>
      </c>
    </row>
    <row r="29" spans="1:85" x14ac:dyDescent="0.25">
      <c r="BV29" s="181"/>
    </row>
    <row r="32" spans="1:85" x14ac:dyDescent="0.25">
      <c r="BZ32" s="163"/>
      <c r="CA32" s="163"/>
      <c r="CB32" s="163"/>
      <c r="CC32" s="163"/>
      <c r="CD32" s="163"/>
      <c r="CE32" s="163"/>
      <c r="CG32" s="163"/>
    </row>
    <row r="33" spans="78:84" x14ac:dyDescent="0.25">
      <c r="CC33" s="163"/>
      <c r="CD33" s="163"/>
      <c r="CE33" s="163"/>
    </row>
    <row r="34" spans="78:84" x14ac:dyDescent="0.25">
      <c r="BZ34" s="163"/>
      <c r="CA34" s="163"/>
      <c r="CB34" s="163"/>
      <c r="CC34" s="163"/>
      <c r="CD34" s="163"/>
      <c r="CE34" s="163"/>
      <c r="CF34" s="163"/>
    </row>
    <row r="35" spans="78:84" x14ac:dyDescent="0.25">
      <c r="CB35" s="163"/>
      <c r="CD35" s="163"/>
      <c r="CF35" s="163"/>
    </row>
    <row r="36" spans="78:84" x14ac:dyDescent="0.25">
      <c r="CD36" s="163"/>
      <c r="CE36" s="163"/>
    </row>
    <row r="37" spans="78:84" x14ac:dyDescent="0.25">
      <c r="BZ37" s="163"/>
      <c r="CA37" s="163"/>
      <c r="CB37" s="163"/>
      <c r="CC37" s="163"/>
      <c r="CD37" s="163"/>
      <c r="CE37" s="163"/>
    </row>
  </sheetData>
  <mergeCells count="6">
    <mergeCell ref="AK2:AU2"/>
    <mergeCell ref="BI2:BU2"/>
    <mergeCell ref="AW2:BG2"/>
    <mergeCell ref="M2:W2"/>
    <mergeCell ref="A2:K2"/>
    <mergeCell ref="Y2:AI2"/>
  </mergeCells>
  <pageMargins left="0.7" right="0.7" top="0.75" bottom="0.75" header="0.3" footer="0.3"/>
  <pageSetup orientation="portrait" r:id="rId1"/>
  <headerFooter>
    <oddHeader>&amp;R&amp;"Times New Roman,Bold"&amp;12Case No. 2018-00294
Attachment 2 to Response to AG-2 Question No. 5
Page &amp;P of &amp;N
Sinclair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1"/>
  <sheetViews>
    <sheetView zoomScale="80" zoomScaleNormal="80" workbookViewId="0">
      <selection activeCell="B41" sqref="B41"/>
    </sheetView>
  </sheetViews>
  <sheetFormatPr defaultRowHeight="15" x14ac:dyDescent="0.25"/>
  <cols>
    <col min="1" max="1" width="16.140625" style="98" customWidth="1"/>
    <col min="2" max="2" width="9.5703125" style="98" bestFit="1" customWidth="1"/>
    <col min="3" max="3" width="10.42578125" style="98" bestFit="1" customWidth="1"/>
    <col min="4" max="14" width="9.140625" style="98"/>
    <col min="15" max="15" width="24.42578125" style="98" bestFit="1" customWidth="1"/>
    <col min="16" max="16384" width="9.140625" style="98"/>
  </cols>
  <sheetData>
    <row r="1" spans="1:16384" ht="23.25" x14ac:dyDescent="0.35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F1" s="172"/>
      <c r="EG1" s="172"/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U1" s="172"/>
      <c r="EV1" s="172"/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  <c r="FJ1" s="172"/>
      <c r="FK1" s="172"/>
      <c r="FL1" s="172"/>
      <c r="FM1" s="172"/>
      <c r="FN1" s="172"/>
      <c r="FO1" s="172"/>
      <c r="FP1" s="172"/>
      <c r="FQ1" s="172"/>
      <c r="FR1" s="172"/>
      <c r="FS1" s="172"/>
      <c r="FT1" s="172"/>
      <c r="FU1" s="172"/>
      <c r="FV1" s="172"/>
      <c r="FW1" s="172"/>
      <c r="FX1" s="172"/>
      <c r="FY1" s="172"/>
      <c r="FZ1" s="172"/>
      <c r="GA1" s="172"/>
      <c r="GB1" s="172"/>
      <c r="GC1" s="172"/>
      <c r="GD1" s="172"/>
      <c r="GE1" s="172"/>
      <c r="GF1" s="172"/>
      <c r="GG1" s="172"/>
      <c r="GH1" s="172"/>
      <c r="GI1" s="172"/>
      <c r="GJ1" s="172"/>
      <c r="GK1" s="172"/>
      <c r="GL1" s="172"/>
      <c r="GM1" s="172"/>
      <c r="GN1" s="172"/>
      <c r="GO1" s="172"/>
      <c r="GP1" s="172"/>
      <c r="GQ1" s="172"/>
      <c r="GR1" s="172"/>
      <c r="GS1" s="172"/>
      <c r="GT1" s="172"/>
      <c r="GU1" s="172"/>
      <c r="GV1" s="172"/>
      <c r="GW1" s="172"/>
      <c r="GX1" s="172"/>
      <c r="GY1" s="172"/>
      <c r="GZ1" s="172"/>
      <c r="HA1" s="172"/>
      <c r="HB1" s="172"/>
      <c r="HC1" s="172"/>
      <c r="HD1" s="172"/>
      <c r="HE1" s="172"/>
      <c r="HF1" s="172"/>
      <c r="HG1" s="172"/>
      <c r="HH1" s="172"/>
      <c r="HI1" s="172"/>
      <c r="HJ1" s="172"/>
      <c r="HK1" s="172"/>
      <c r="HL1" s="172"/>
      <c r="HM1" s="172"/>
      <c r="HN1" s="172"/>
      <c r="HO1" s="172"/>
      <c r="HP1" s="172"/>
      <c r="HQ1" s="172"/>
      <c r="HR1" s="172"/>
      <c r="HS1" s="172"/>
      <c r="HT1" s="172"/>
      <c r="HU1" s="172"/>
      <c r="HV1" s="172"/>
      <c r="HW1" s="172"/>
      <c r="HX1" s="172"/>
      <c r="HY1" s="172"/>
      <c r="HZ1" s="172"/>
      <c r="IA1" s="172"/>
      <c r="IB1" s="172"/>
      <c r="IC1" s="172"/>
      <c r="ID1" s="172"/>
      <c r="IE1" s="172"/>
      <c r="IF1" s="172"/>
      <c r="IG1" s="172"/>
      <c r="IH1" s="172"/>
      <c r="II1" s="172"/>
      <c r="IJ1" s="172"/>
      <c r="IK1" s="172"/>
      <c r="IL1" s="172"/>
      <c r="IM1" s="172"/>
      <c r="IN1" s="172"/>
      <c r="IO1" s="172"/>
      <c r="IP1" s="172"/>
      <c r="IQ1" s="172"/>
      <c r="IR1" s="172"/>
      <c r="IS1" s="172"/>
      <c r="IT1" s="172"/>
      <c r="IU1" s="172"/>
      <c r="IV1" s="172"/>
      <c r="IW1" s="172"/>
      <c r="IX1" s="172"/>
      <c r="IY1" s="172"/>
      <c r="IZ1" s="172"/>
      <c r="JA1" s="172"/>
      <c r="JB1" s="172"/>
      <c r="JC1" s="172"/>
      <c r="JD1" s="172"/>
      <c r="JE1" s="172"/>
      <c r="JF1" s="172"/>
      <c r="JG1" s="172"/>
      <c r="JH1" s="172"/>
      <c r="JI1" s="172"/>
      <c r="JJ1" s="172"/>
      <c r="JK1" s="172"/>
      <c r="JL1" s="172"/>
      <c r="JM1" s="172"/>
      <c r="JN1" s="172"/>
      <c r="JO1" s="172"/>
      <c r="JP1" s="172"/>
      <c r="JQ1" s="172"/>
      <c r="JR1" s="172"/>
      <c r="JS1" s="172"/>
      <c r="JT1" s="172"/>
      <c r="JU1" s="172"/>
      <c r="JV1" s="172"/>
      <c r="JW1" s="172"/>
      <c r="JX1" s="172"/>
      <c r="JY1" s="172"/>
      <c r="JZ1" s="172"/>
      <c r="KA1" s="172"/>
      <c r="KB1" s="172"/>
      <c r="KC1" s="172"/>
      <c r="KD1" s="172"/>
      <c r="KE1" s="172"/>
      <c r="KF1" s="172"/>
      <c r="KG1" s="172"/>
      <c r="KH1" s="172"/>
      <c r="KI1" s="172"/>
      <c r="KJ1" s="172"/>
      <c r="KK1" s="172"/>
      <c r="KL1" s="172"/>
      <c r="KM1" s="172"/>
      <c r="KN1" s="172"/>
      <c r="KO1" s="172"/>
      <c r="KP1" s="172"/>
      <c r="KQ1" s="172"/>
      <c r="KR1" s="172"/>
      <c r="KS1" s="172"/>
      <c r="KT1" s="172"/>
      <c r="KU1" s="172"/>
      <c r="KV1" s="172"/>
      <c r="KW1" s="172"/>
      <c r="KX1" s="172"/>
      <c r="KY1" s="172"/>
      <c r="KZ1" s="172"/>
      <c r="LA1" s="172"/>
      <c r="LB1" s="172"/>
      <c r="LC1" s="172"/>
      <c r="LD1" s="172"/>
      <c r="LE1" s="172"/>
      <c r="LF1" s="172"/>
      <c r="LG1" s="172"/>
      <c r="LH1" s="172"/>
      <c r="LI1" s="172"/>
      <c r="LJ1" s="172"/>
      <c r="LK1" s="172"/>
      <c r="LL1" s="172"/>
      <c r="LM1" s="172"/>
      <c r="LN1" s="172"/>
      <c r="LO1" s="172"/>
      <c r="LP1" s="172"/>
      <c r="LQ1" s="172"/>
      <c r="LR1" s="172"/>
      <c r="LS1" s="172"/>
      <c r="LT1" s="172"/>
      <c r="LU1" s="172"/>
      <c r="LV1" s="172"/>
      <c r="LW1" s="172"/>
      <c r="LX1" s="172"/>
      <c r="LY1" s="172"/>
      <c r="LZ1" s="172"/>
      <c r="MA1" s="172"/>
      <c r="MB1" s="172"/>
      <c r="MC1" s="172"/>
      <c r="MD1" s="172"/>
      <c r="ME1" s="172"/>
      <c r="MF1" s="172"/>
      <c r="MG1" s="172"/>
      <c r="MH1" s="172"/>
      <c r="MI1" s="172"/>
      <c r="MJ1" s="172"/>
      <c r="MK1" s="172"/>
      <c r="ML1" s="172"/>
      <c r="MM1" s="172"/>
      <c r="MN1" s="172"/>
      <c r="MO1" s="172"/>
      <c r="MP1" s="172"/>
      <c r="MQ1" s="172"/>
      <c r="MR1" s="172"/>
      <c r="MS1" s="172"/>
      <c r="MT1" s="172"/>
      <c r="MU1" s="172"/>
      <c r="MV1" s="172"/>
      <c r="MW1" s="172"/>
      <c r="MX1" s="172"/>
      <c r="MY1" s="172"/>
      <c r="MZ1" s="172"/>
      <c r="NA1" s="172"/>
      <c r="NB1" s="172"/>
      <c r="NC1" s="172"/>
      <c r="ND1" s="172"/>
      <c r="NE1" s="172"/>
      <c r="NF1" s="172"/>
      <c r="NG1" s="172"/>
      <c r="NH1" s="172"/>
      <c r="NI1" s="172"/>
      <c r="NJ1" s="172"/>
      <c r="NK1" s="172"/>
      <c r="NL1" s="172"/>
      <c r="NM1" s="172"/>
      <c r="NN1" s="172"/>
      <c r="NO1" s="172"/>
      <c r="NP1" s="172"/>
      <c r="NQ1" s="172"/>
      <c r="NR1" s="172"/>
      <c r="NS1" s="172"/>
      <c r="NT1" s="172"/>
      <c r="NU1" s="172"/>
      <c r="NV1" s="172"/>
      <c r="NW1" s="172"/>
      <c r="NX1" s="172"/>
      <c r="NY1" s="172"/>
      <c r="NZ1" s="172"/>
      <c r="OA1" s="172"/>
      <c r="OB1" s="172"/>
      <c r="OC1" s="172"/>
      <c r="OD1" s="172"/>
      <c r="OE1" s="172"/>
      <c r="OF1" s="172"/>
      <c r="OG1" s="172"/>
      <c r="OH1" s="172"/>
      <c r="OI1" s="172"/>
      <c r="OJ1" s="172"/>
      <c r="OK1" s="172"/>
      <c r="OL1" s="172"/>
      <c r="OM1" s="172"/>
      <c r="ON1" s="172"/>
      <c r="OO1" s="172"/>
      <c r="OP1" s="172"/>
      <c r="OQ1" s="172"/>
      <c r="OR1" s="172"/>
      <c r="OS1" s="172"/>
      <c r="OT1" s="172"/>
      <c r="OU1" s="172"/>
      <c r="OV1" s="172"/>
      <c r="OW1" s="172"/>
      <c r="OX1" s="172"/>
      <c r="OY1" s="172"/>
      <c r="OZ1" s="172"/>
      <c r="PA1" s="172"/>
      <c r="PB1" s="172"/>
      <c r="PC1" s="172"/>
      <c r="PD1" s="172"/>
      <c r="PE1" s="172"/>
      <c r="PF1" s="172"/>
      <c r="PG1" s="172"/>
      <c r="PH1" s="172"/>
      <c r="PI1" s="172"/>
      <c r="PJ1" s="172"/>
      <c r="PK1" s="172"/>
      <c r="PL1" s="172"/>
      <c r="PM1" s="172"/>
      <c r="PN1" s="172"/>
      <c r="PO1" s="172"/>
      <c r="PP1" s="172"/>
      <c r="PQ1" s="172"/>
      <c r="PR1" s="172"/>
      <c r="PS1" s="172"/>
      <c r="PT1" s="172"/>
      <c r="PU1" s="172"/>
      <c r="PV1" s="172"/>
      <c r="PW1" s="172"/>
      <c r="PX1" s="172"/>
      <c r="PY1" s="172"/>
      <c r="PZ1" s="172"/>
      <c r="QA1" s="172"/>
      <c r="QB1" s="172"/>
      <c r="QC1" s="172"/>
      <c r="QD1" s="172"/>
      <c r="QE1" s="172"/>
      <c r="QF1" s="172"/>
      <c r="QG1" s="172"/>
      <c r="QH1" s="172"/>
      <c r="QI1" s="172"/>
      <c r="QJ1" s="172"/>
      <c r="QK1" s="172"/>
      <c r="QL1" s="172"/>
      <c r="QM1" s="172"/>
      <c r="QN1" s="172"/>
      <c r="QO1" s="172"/>
      <c r="QP1" s="172"/>
      <c r="QQ1" s="172"/>
      <c r="QR1" s="172"/>
      <c r="QS1" s="172"/>
      <c r="QT1" s="172"/>
      <c r="QU1" s="172"/>
      <c r="QV1" s="172"/>
      <c r="QW1" s="172"/>
      <c r="QX1" s="172"/>
      <c r="QY1" s="172"/>
      <c r="QZ1" s="172"/>
      <c r="RA1" s="172"/>
      <c r="RB1" s="172"/>
      <c r="RC1" s="172"/>
      <c r="RD1" s="172"/>
      <c r="RE1" s="172"/>
      <c r="RF1" s="172"/>
      <c r="RG1" s="172"/>
      <c r="RH1" s="172"/>
      <c r="RI1" s="172"/>
      <c r="RJ1" s="172"/>
      <c r="RK1" s="172"/>
      <c r="RL1" s="172"/>
      <c r="RM1" s="172"/>
      <c r="RN1" s="172"/>
      <c r="RO1" s="172"/>
      <c r="RP1" s="172"/>
      <c r="RQ1" s="172"/>
      <c r="RR1" s="172"/>
      <c r="RS1" s="172"/>
      <c r="RT1" s="172"/>
      <c r="RU1" s="172"/>
      <c r="RV1" s="172"/>
      <c r="RW1" s="172"/>
      <c r="RX1" s="172"/>
      <c r="RY1" s="172"/>
      <c r="RZ1" s="172"/>
      <c r="SA1" s="172"/>
      <c r="SB1" s="172"/>
      <c r="SC1" s="172"/>
      <c r="SD1" s="172"/>
      <c r="SE1" s="172"/>
      <c r="SF1" s="172"/>
      <c r="SG1" s="172"/>
      <c r="SH1" s="172"/>
      <c r="SI1" s="172"/>
      <c r="SJ1" s="172"/>
      <c r="SK1" s="172"/>
      <c r="SL1" s="172"/>
      <c r="SM1" s="172"/>
      <c r="SN1" s="172"/>
      <c r="SO1" s="172"/>
      <c r="SP1" s="172"/>
      <c r="SQ1" s="172"/>
      <c r="SR1" s="172"/>
      <c r="SS1" s="172"/>
      <c r="ST1" s="172"/>
      <c r="SU1" s="172"/>
      <c r="SV1" s="172"/>
      <c r="SW1" s="172"/>
      <c r="SX1" s="172"/>
      <c r="SY1" s="172"/>
      <c r="SZ1" s="172"/>
      <c r="TA1" s="172"/>
      <c r="TB1" s="172"/>
      <c r="TC1" s="172"/>
      <c r="TD1" s="172"/>
      <c r="TE1" s="172"/>
      <c r="TF1" s="172"/>
      <c r="TG1" s="172"/>
      <c r="TH1" s="172"/>
      <c r="TI1" s="172"/>
      <c r="TJ1" s="172"/>
      <c r="TK1" s="172"/>
      <c r="TL1" s="172"/>
      <c r="TM1" s="172"/>
      <c r="TN1" s="172"/>
      <c r="TO1" s="172"/>
      <c r="TP1" s="172"/>
      <c r="TQ1" s="172"/>
      <c r="TR1" s="172"/>
      <c r="TS1" s="172"/>
      <c r="TT1" s="172"/>
      <c r="TU1" s="172"/>
      <c r="TV1" s="172"/>
      <c r="TW1" s="172"/>
      <c r="TX1" s="172"/>
      <c r="TY1" s="172"/>
      <c r="TZ1" s="172"/>
      <c r="UA1" s="172"/>
      <c r="UB1" s="172"/>
      <c r="UC1" s="172"/>
      <c r="UD1" s="172"/>
      <c r="UE1" s="172"/>
      <c r="UF1" s="172"/>
      <c r="UG1" s="172"/>
      <c r="UH1" s="172"/>
      <c r="UI1" s="172"/>
      <c r="UJ1" s="172"/>
      <c r="UK1" s="172"/>
      <c r="UL1" s="172"/>
      <c r="UM1" s="172"/>
      <c r="UN1" s="172"/>
      <c r="UO1" s="172"/>
      <c r="UP1" s="172"/>
      <c r="UQ1" s="172"/>
      <c r="UR1" s="172"/>
      <c r="US1" s="172"/>
      <c r="UT1" s="172"/>
      <c r="UU1" s="172"/>
      <c r="UV1" s="172"/>
      <c r="UW1" s="172"/>
      <c r="UX1" s="172"/>
      <c r="UY1" s="172"/>
      <c r="UZ1" s="172"/>
      <c r="VA1" s="172"/>
      <c r="VB1" s="172"/>
      <c r="VC1" s="172"/>
      <c r="VD1" s="172"/>
      <c r="VE1" s="172"/>
      <c r="VF1" s="172"/>
      <c r="VG1" s="172"/>
      <c r="VH1" s="172"/>
      <c r="VI1" s="172"/>
      <c r="VJ1" s="172"/>
      <c r="VK1" s="172"/>
      <c r="VL1" s="172"/>
      <c r="VM1" s="172"/>
      <c r="VN1" s="172"/>
      <c r="VO1" s="172"/>
      <c r="VP1" s="172"/>
      <c r="VQ1" s="172"/>
      <c r="VR1" s="172"/>
      <c r="VS1" s="172"/>
      <c r="VT1" s="172"/>
      <c r="VU1" s="172"/>
      <c r="VV1" s="172"/>
      <c r="VW1" s="172"/>
      <c r="VX1" s="172"/>
      <c r="VY1" s="172"/>
      <c r="VZ1" s="172"/>
      <c r="WA1" s="172"/>
      <c r="WB1" s="172"/>
      <c r="WC1" s="172"/>
      <c r="WD1" s="172"/>
      <c r="WE1" s="172"/>
      <c r="WF1" s="172"/>
      <c r="WG1" s="172"/>
      <c r="WH1" s="172"/>
      <c r="WI1" s="172"/>
      <c r="WJ1" s="172"/>
      <c r="WK1" s="172"/>
      <c r="WL1" s="172"/>
      <c r="WM1" s="172"/>
      <c r="WN1" s="172"/>
      <c r="WO1" s="172"/>
      <c r="WP1" s="172"/>
      <c r="WQ1" s="172"/>
      <c r="WR1" s="172"/>
      <c r="WS1" s="172"/>
      <c r="WT1" s="172"/>
      <c r="WU1" s="172"/>
      <c r="WV1" s="172"/>
      <c r="WW1" s="172"/>
      <c r="WX1" s="172"/>
      <c r="WY1" s="172"/>
      <c r="WZ1" s="172"/>
      <c r="XA1" s="172"/>
      <c r="XB1" s="172"/>
      <c r="XC1" s="172"/>
      <c r="XD1" s="172"/>
      <c r="XE1" s="172"/>
      <c r="XF1" s="172"/>
      <c r="XG1" s="172"/>
      <c r="XH1" s="172"/>
      <c r="XI1" s="172"/>
      <c r="XJ1" s="172"/>
      <c r="XK1" s="172"/>
      <c r="XL1" s="172"/>
      <c r="XM1" s="172"/>
      <c r="XN1" s="172"/>
      <c r="XO1" s="172"/>
      <c r="XP1" s="172"/>
      <c r="XQ1" s="172"/>
      <c r="XR1" s="172"/>
      <c r="XS1" s="172"/>
      <c r="XT1" s="172"/>
      <c r="XU1" s="172"/>
      <c r="XV1" s="172"/>
      <c r="XW1" s="172"/>
      <c r="XX1" s="172"/>
      <c r="XY1" s="172"/>
      <c r="XZ1" s="172"/>
      <c r="YA1" s="172"/>
      <c r="YB1" s="172"/>
      <c r="YC1" s="172"/>
      <c r="YD1" s="172"/>
      <c r="YE1" s="172"/>
      <c r="YF1" s="172"/>
      <c r="YG1" s="172"/>
      <c r="YH1" s="172"/>
      <c r="YI1" s="172"/>
      <c r="YJ1" s="172"/>
      <c r="YK1" s="172"/>
      <c r="YL1" s="172"/>
      <c r="YM1" s="172"/>
      <c r="YN1" s="172"/>
      <c r="YO1" s="172"/>
      <c r="YP1" s="172"/>
      <c r="YQ1" s="172"/>
      <c r="YR1" s="172"/>
      <c r="YS1" s="172"/>
      <c r="YT1" s="172"/>
      <c r="YU1" s="172"/>
      <c r="YV1" s="172"/>
      <c r="YW1" s="172"/>
      <c r="YX1" s="172"/>
      <c r="YY1" s="172"/>
      <c r="YZ1" s="172"/>
      <c r="ZA1" s="172"/>
      <c r="ZB1" s="172"/>
      <c r="ZC1" s="172"/>
      <c r="ZD1" s="172"/>
      <c r="ZE1" s="172"/>
      <c r="ZF1" s="172"/>
      <c r="ZG1" s="172"/>
      <c r="ZH1" s="172"/>
      <c r="ZI1" s="172"/>
      <c r="ZJ1" s="172"/>
      <c r="ZK1" s="172"/>
      <c r="ZL1" s="172"/>
      <c r="ZM1" s="172"/>
      <c r="ZN1" s="172"/>
      <c r="ZO1" s="172"/>
      <c r="ZP1" s="172"/>
      <c r="ZQ1" s="172"/>
      <c r="ZR1" s="172"/>
      <c r="ZS1" s="172"/>
      <c r="ZT1" s="172"/>
      <c r="ZU1" s="172"/>
      <c r="ZV1" s="172"/>
      <c r="ZW1" s="172"/>
      <c r="ZX1" s="172"/>
      <c r="ZY1" s="172"/>
      <c r="ZZ1" s="172"/>
      <c r="AAA1" s="172"/>
      <c r="AAB1" s="172"/>
      <c r="AAC1" s="172"/>
      <c r="AAD1" s="172"/>
      <c r="AAE1" s="172"/>
      <c r="AAF1" s="172"/>
      <c r="AAG1" s="172"/>
      <c r="AAH1" s="172"/>
      <c r="AAI1" s="172"/>
      <c r="AAJ1" s="172"/>
      <c r="AAK1" s="172"/>
      <c r="AAL1" s="172"/>
      <c r="AAM1" s="172"/>
      <c r="AAN1" s="172"/>
      <c r="AAO1" s="172"/>
      <c r="AAP1" s="172"/>
      <c r="AAQ1" s="172"/>
      <c r="AAR1" s="172"/>
      <c r="AAS1" s="172"/>
      <c r="AAT1" s="172"/>
      <c r="AAU1" s="172"/>
      <c r="AAV1" s="172"/>
      <c r="AAW1" s="172"/>
      <c r="AAX1" s="172"/>
      <c r="AAY1" s="172"/>
      <c r="AAZ1" s="172"/>
      <c r="ABA1" s="172"/>
      <c r="ABB1" s="172"/>
      <c r="ABC1" s="172"/>
      <c r="ABD1" s="172"/>
      <c r="ABE1" s="172"/>
      <c r="ABF1" s="172"/>
      <c r="ABG1" s="172"/>
      <c r="ABH1" s="172"/>
      <c r="ABI1" s="172"/>
      <c r="ABJ1" s="172"/>
      <c r="ABK1" s="172"/>
      <c r="ABL1" s="172"/>
      <c r="ABM1" s="172"/>
      <c r="ABN1" s="172"/>
      <c r="ABO1" s="172"/>
      <c r="ABP1" s="172"/>
      <c r="ABQ1" s="172"/>
      <c r="ABR1" s="172"/>
      <c r="ABS1" s="172"/>
      <c r="ABT1" s="172"/>
      <c r="ABU1" s="172"/>
      <c r="ABV1" s="172"/>
      <c r="ABW1" s="172"/>
      <c r="ABX1" s="172"/>
      <c r="ABY1" s="172"/>
      <c r="ABZ1" s="172"/>
      <c r="ACA1" s="172"/>
      <c r="ACB1" s="172"/>
      <c r="ACC1" s="172"/>
      <c r="ACD1" s="172"/>
      <c r="ACE1" s="172"/>
      <c r="ACF1" s="172"/>
      <c r="ACG1" s="172"/>
      <c r="ACH1" s="172"/>
      <c r="ACI1" s="172"/>
      <c r="ACJ1" s="172"/>
      <c r="ACK1" s="172"/>
      <c r="ACL1" s="172"/>
      <c r="ACM1" s="172"/>
      <c r="ACN1" s="172"/>
      <c r="ACO1" s="172"/>
      <c r="ACP1" s="172"/>
      <c r="ACQ1" s="172"/>
      <c r="ACR1" s="172"/>
      <c r="ACS1" s="172"/>
      <c r="ACT1" s="172"/>
      <c r="ACU1" s="172"/>
      <c r="ACV1" s="172"/>
      <c r="ACW1" s="172"/>
      <c r="ACX1" s="172"/>
      <c r="ACY1" s="172"/>
      <c r="ACZ1" s="172"/>
      <c r="ADA1" s="172"/>
      <c r="ADB1" s="172"/>
      <c r="ADC1" s="172"/>
      <c r="ADD1" s="172"/>
      <c r="ADE1" s="172"/>
      <c r="ADF1" s="172"/>
      <c r="ADG1" s="172"/>
      <c r="ADH1" s="172"/>
      <c r="ADI1" s="172"/>
      <c r="ADJ1" s="172"/>
      <c r="ADK1" s="172"/>
      <c r="ADL1" s="172"/>
      <c r="ADM1" s="172"/>
      <c r="ADN1" s="172"/>
      <c r="ADO1" s="172"/>
      <c r="ADP1" s="172"/>
      <c r="ADQ1" s="172"/>
      <c r="ADR1" s="172"/>
      <c r="ADS1" s="172"/>
      <c r="ADT1" s="172"/>
      <c r="ADU1" s="172"/>
      <c r="ADV1" s="172"/>
      <c r="ADW1" s="172"/>
      <c r="ADX1" s="172"/>
      <c r="ADY1" s="172"/>
      <c r="ADZ1" s="172"/>
      <c r="AEA1" s="172"/>
      <c r="AEB1" s="172"/>
      <c r="AEC1" s="172"/>
      <c r="AED1" s="172"/>
      <c r="AEE1" s="172"/>
      <c r="AEF1" s="172"/>
      <c r="AEG1" s="172"/>
      <c r="AEH1" s="172"/>
      <c r="AEI1" s="172"/>
      <c r="AEJ1" s="172"/>
      <c r="AEK1" s="172"/>
      <c r="AEL1" s="172"/>
      <c r="AEM1" s="172"/>
      <c r="AEN1" s="172"/>
      <c r="AEO1" s="172"/>
      <c r="AEP1" s="172"/>
      <c r="AEQ1" s="172"/>
      <c r="AER1" s="172"/>
      <c r="AES1" s="172"/>
      <c r="AET1" s="172"/>
      <c r="AEU1" s="172"/>
      <c r="AEV1" s="172"/>
      <c r="AEW1" s="172"/>
      <c r="AEX1" s="172"/>
      <c r="AEY1" s="172"/>
      <c r="AEZ1" s="172"/>
      <c r="AFA1" s="172"/>
      <c r="AFB1" s="172"/>
      <c r="AFC1" s="172"/>
      <c r="AFD1" s="172"/>
      <c r="AFE1" s="172"/>
      <c r="AFF1" s="172"/>
      <c r="AFG1" s="172"/>
      <c r="AFH1" s="172"/>
      <c r="AFI1" s="172"/>
      <c r="AFJ1" s="172"/>
      <c r="AFK1" s="172"/>
      <c r="AFL1" s="172"/>
      <c r="AFM1" s="172"/>
      <c r="AFN1" s="172"/>
      <c r="AFO1" s="172"/>
      <c r="AFP1" s="172"/>
      <c r="AFQ1" s="172"/>
      <c r="AFR1" s="172"/>
      <c r="AFS1" s="172"/>
      <c r="AFT1" s="172"/>
      <c r="AFU1" s="172"/>
      <c r="AFV1" s="172"/>
      <c r="AFW1" s="172"/>
      <c r="AFX1" s="172"/>
      <c r="AFY1" s="172"/>
      <c r="AFZ1" s="172"/>
      <c r="AGA1" s="172"/>
      <c r="AGB1" s="172"/>
      <c r="AGC1" s="172"/>
      <c r="AGD1" s="172"/>
      <c r="AGE1" s="172"/>
      <c r="AGF1" s="172"/>
      <c r="AGG1" s="172"/>
      <c r="AGH1" s="172"/>
      <c r="AGI1" s="172"/>
      <c r="AGJ1" s="172"/>
      <c r="AGK1" s="172"/>
      <c r="AGL1" s="172"/>
      <c r="AGM1" s="172"/>
      <c r="AGN1" s="172"/>
      <c r="AGO1" s="172"/>
      <c r="AGP1" s="172"/>
      <c r="AGQ1" s="172"/>
      <c r="AGR1" s="172"/>
      <c r="AGS1" s="172"/>
      <c r="AGT1" s="172"/>
      <c r="AGU1" s="172"/>
      <c r="AGV1" s="172"/>
      <c r="AGW1" s="172"/>
      <c r="AGX1" s="172"/>
      <c r="AGY1" s="172"/>
      <c r="AGZ1" s="172"/>
      <c r="AHA1" s="172"/>
      <c r="AHB1" s="172"/>
      <c r="AHC1" s="172"/>
      <c r="AHD1" s="172"/>
      <c r="AHE1" s="172"/>
      <c r="AHF1" s="172"/>
      <c r="AHG1" s="172"/>
      <c r="AHH1" s="172"/>
      <c r="AHI1" s="172"/>
      <c r="AHJ1" s="172"/>
      <c r="AHK1" s="172"/>
      <c r="AHL1" s="172"/>
      <c r="AHM1" s="172"/>
      <c r="AHN1" s="172"/>
      <c r="AHO1" s="172"/>
      <c r="AHP1" s="172"/>
      <c r="AHQ1" s="172"/>
      <c r="AHR1" s="172"/>
      <c r="AHS1" s="172"/>
      <c r="AHT1" s="172"/>
      <c r="AHU1" s="172"/>
      <c r="AHV1" s="172"/>
      <c r="AHW1" s="172"/>
      <c r="AHX1" s="172"/>
      <c r="AHY1" s="172"/>
      <c r="AHZ1" s="172"/>
      <c r="AIA1" s="172"/>
      <c r="AIB1" s="172"/>
      <c r="AIC1" s="172"/>
      <c r="AID1" s="172"/>
      <c r="AIE1" s="172"/>
      <c r="AIF1" s="172"/>
      <c r="AIG1" s="172"/>
      <c r="AIH1" s="172"/>
      <c r="AII1" s="172"/>
      <c r="AIJ1" s="172"/>
      <c r="AIK1" s="172"/>
      <c r="AIL1" s="172"/>
      <c r="AIM1" s="172"/>
      <c r="AIN1" s="172"/>
      <c r="AIO1" s="172"/>
      <c r="AIP1" s="172"/>
      <c r="AIQ1" s="172"/>
      <c r="AIR1" s="172"/>
      <c r="AIS1" s="172"/>
      <c r="AIT1" s="172"/>
      <c r="AIU1" s="172"/>
      <c r="AIV1" s="172"/>
      <c r="AIW1" s="172"/>
      <c r="AIX1" s="172"/>
      <c r="AIY1" s="172"/>
      <c r="AIZ1" s="172"/>
      <c r="AJA1" s="172"/>
      <c r="AJB1" s="172"/>
      <c r="AJC1" s="172"/>
      <c r="AJD1" s="172"/>
      <c r="AJE1" s="172"/>
      <c r="AJF1" s="172"/>
      <c r="AJG1" s="172"/>
      <c r="AJH1" s="172"/>
      <c r="AJI1" s="172"/>
      <c r="AJJ1" s="172"/>
      <c r="AJK1" s="172"/>
      <c r="AJL1" s="172"/>
      <c r="AJM1" s="172"/>
      <c r="AJN1" s="172"/>
      <c r="AJO1" s="172"/>
      <c r="AJP1" s="172"/>
      <c r="AJQ1" s="172"/>
      <c r="AJR1" s="172"/>
      <c r="AJS1" s="172"/>
      <c r="AJT1" s="172"/>
      <c r="AJU1" s="172"/>
      <c r="AJV1" s="172"/>
      <c r="AJW1" s="172"/>
      <c r="AJX1" s="172"/>
      <c r="AJY1" s="172"/>
      <c r="AJZ1" s="172"/>
      <c r="AKA1" s="172"/>
      <c r="AKB1" s="172"/>
      <c r="AKC1" s="172"/>
      <c r="AKD1" s="172"/>
      <c r="AKE1" s="172"/>
      <c r="AKF1" s="172"/>
      <c r="AKG1" s="172"/>
      <c r="AKH1" s="172"/>
      <c r="AKI1" s="172"/>
      <c r="AKJ1" s="172"/>
      <c r="AKK1" s="172"/>
      <c r="AKL1" s="172"/>
      <c r="AKM1" s="172"/>
      <c r="AKN1" s="172"/>
      <c r="AKO1" s="172"/>
      <c r="AKP1" s="172"/>
      <c r="AKQ1" s="172"/>
      <c r="AKR1" s="172"/>
      <c r="AKS1" s="172"/>
      <c r="AKT1" s="172"/>
      <c r="AKU1" s="172"/>
      <c r="AKV1" s="172"/>
      <c r="AKW1" s="172"/>
      <c r="AKX1" s="172"/>
      <c r="AKY1" s="172"/>
      <c r="AKZ1" s="172"/>
      <c r="ALA1" s="172"/>
      <c r="ALB1" s="172"/>
      <c r="ALC1" s="172"/>
      <c r="ALD1" s="172"/>
      <c r="ALE1" s="172"/>
      <c r="ALF1" s="172"/>
      <c r="ALG1" s="172"/>
      <c r="ALH1" s="172"/>
      <c r="ALI1" s="172"/>
      <c r="ALJ1" s="172"/>
      <c r="ALK1" s="172"/>
      <c r="ALL1" s="172"/>
      <c r="ALM1" s="172"/>
      <c r="ALN1" s="172"/>
      <c r="ALO1" s="172"/>
      <c r="ALP1" s="172"/>
      <c r="ALQ1" s="172"/>
      <c r="ALR1" s="172"/>
      <c r="ALS1" s="172"/>
      <c r="ALT1" s="172"/>
      <c r="ALU1" s="172"/>
      <c r="ALV1" s="172"/>
      <c r="ALW1" s="172"/>
      <c r="ALX1" s="172"/>
      <c r="ALY1" s="172"/>
      <c r="ALZ1" s="172"/>
      <c r="AMA1" s="172"/>
      <c r="AMB1" s="172"/>
      <c r="AMC1" s="172"/>
      <c r="AMD1" s="172"/>
      <c r="AME1" s="172"/>
      <c r="AMF1" s="172"/>
      <c r="AMG1" s="172"/>
      <c r="AMH1" s="172"/>
      <c r="AMI1" s="172"/>
      <c r="AMJ1" s="172"/>
      <c r="AMK1" s="172"/>
      <c r="AML1" s="172"/>
      <c r="AMM1" s="172"/>
      <c r="AMN1" s="172"/>
      <c r="AMO1" s="172"/>
      <c r="AMP1" s="172"/>
      <c r="AMQ1" s="172"/>
      <c r="AMR1" s="172"/>
      <c r="AMS1" s="172"/>
      <c r="AMT1" s="172"/>
      <c r="AMU1" s="172"/>
      <c r="AMV1" s="172"/>
      <c r="AMW1" s="172"/>
      <c r="AMX1" s="172"/>
      <c r="AMY1" s="172"/>
      <c r="AMZ1" s="172"/>
      <c r="ANA1" s="172"/>
      <c r="ANB1" s="172"/>
      <c r="ANC1" s="172"/>
      <c r="AND1" s="172"/>
      <c r="ANE1" s="172"/>
      <c r="ANF1" s="172"/>
      <c r="ANG1" s="172"/>
      <c r="ANH1" s="172"/>
      <c r="ANI1" s="172"/>
      <c r="ANJ1" s="172"/>
      <c r="ANK1" s="172"/>
      <c r="ANL1" s="172"/>
      <c r="ANM1" s="172"/>
      <c r="ANN1" s="172"/>
      <c r="ANO1" s="172"/>
      <c r="ANP1" s="172"/>
      <c r="ANQ1" s="172"/>
      <c r="ANR1" s="172"/>
      <c r="ANS1" s="172"/>
      <c r="ANT1" s="172"/>
      <c r="ANU1" s="172"/>
      <c r="ANV1" s="172"/>
      <c r="ANW1" s="172"/>
      <c r="ANX1" s="172"/>
      <c r="ANY1" s="172"/>
      <c r="ANZ1" s="172"/>
      <c r="AOA1" s="172"/>
      <c r="AOB1" s="172"/>
      <c r="AOC1" s="172"/>
      <c r="AOD1" s="172"/>
      <c r="AOE1" s="172"/>
      <c r="AOF1" s="172"/>
      <c r="AOG1" s="172"/>
      <c r="AOH1" s="172"/>
      <c r="AOI1" s="172"/>
      <c r="AOJ1" s="172"/>
      <c r="AOK1" s="172"/>
      <c r="AOL1" s="172"/>
      <c r="AOM1" s="172"/>
      <c r="AON1" s="172"/>
      <c r="AOO1" s="172"/>
      <c r="AOP1" s="172"/>
      <c r="AOQ1" s="172"/>
      <c r="AOR1" s="172"/>
      <c r="AOS1" s="172"/>
      <c r="AOT1" s="172"/>
      <c r="AOU1" s="172"/>
      <c r="AOV1" s="172"/>
      <c r="AOW1" s="172"/>
      <c r="AOX1" s="172"/>
      <c r="AOY1" s="172"/>
      <c r="AOZ1" s="172"/>
      <c r="APA1" s="172"/>
      <c r="APB1" s="172"/>
      <c r="APC1" s="172"/>
      <c r="APD1" s="172"/>
      <c r="APE1" s="172"/>
      <c r="APF1" s="172"/>
      <c r="APG1" s="172"/>
      <c r="APH1" s="172"/>
      <c r="API1" s="172"/>
      <c r="APJ1" s="172"/>
      <c r="APK1" s="172"/>
      <c r="APL1" s="172"/>
      <c r="APM1" s="172"/>
      <c r="APN1" s="172"/>
      <c r="APO1" s="172"/>
      <c r="APP1" s="172"/>
      <c r="APQ1" s="172"/>
      <c r="APR1" s="172"/>
      <c r="APS1" s="172"/>
      <c r="APT1" s="172"/>
      <c r="APU1" s="172"/>
      <c r="APV1" s="172"/>
      <c r="APW1" s="172"/>
      <c r="APX1" s="172"/>
      <c r="APY1" s="172"/>
      <c r="APZ1" s="172"/>
      <c r="AQA1" s="172"/>
      <c r="AQB1" s="172"/>
      <c r="AQC1" s="172"/>
      <c r="AQD1" s="172"/>
      <c r="AQE1" s="172"/>
      <c r="AQF1" s="172"/>
      <c r="AQG1" s="172"/>
      <c r="AQH1" s="172"/>
      <c r="AQI1" s="172"/>
      <c r="AQJ1" s="172"/>
      <c r="AQK1" s="172"/>
      <c r="AQL1" s="172"/>
      <c r="AQM1" s="172"/>
      <c r="AQN1" s="172"/>
      <c r="AQO1" s="172"/>
      <c r="AQP1" s="172"/>
      <c r="AQQ1" s="172"/>
      <c r="AQR1" s="172"/>
      <c r="AQS1" s="172"/>
      <c r="AQT1" s="172"/>
      <c r="AQU1" s="172"/>
      <c r="AQV1" s="172"/>
      <c r="AQW1" s="172"/>
      <c r="AQX1" s="172"/>
      <c r="AQY1" s="172"/>
      <c r="AQZ1" s="172"/>
      <c r="ARA1" s="172"/>
      <c r="ARB1" s="172"/>
      <c r="ARC1" s="172"/>
      <c r="ARD1" s="172"/>
      <c r="ARE1" s="172"/>
      <c r="ARF1" s="172"/>
      <c r="ARG1" s="172"/>
      <c r="ARH1" s="172"/>
      <c r="ARI1" s="172"/>
      <c r="ARJ1" s="172"/>
      <c r="ARK1" s="172"/>
      <c r="ARL1" s="172"/>
      <c r="ARM1" s="172"/>
      <c r="ARN1" s="172"/>
      <c r="ARO1" s="172"/>
      <c r="ARP1" s="172"/>
      <c r="ARQ1" s="172"/>
      <c r="ARR1" s="172"/>
      <c r="ARS1" s="172"/>
      <c r="ART1" s="172"/>
      <c r="ARU1" s="172"/>
      <c r="ARV1" s="172"/>
      <c r="ARW1" s="172"/>
      <c r="ARX1" s="172"/>
      <c r="ARY1" s="172"/>
      <c r="ARZ1" s="172"/>
      <c r="ASA1" s="172"/>
      <c r="ASB1" s="172"/>
      <c r="ASC1" s="172"/>
      <c r="ASD1" s="172"/>
      <c r="ASE1" s="172"/>
      <c r="ASF1" s="172"/>
      <c r="ASG1" s="172"/>
      <c r="ASH1" s="172"/>
      <c r="ASI1" s="172"/>
      <c r="ASJ1" s="172"/>
      <c r="ASK1" s="172"/>
      <c r="ASL1" s="172"/>
      <c r="ASM1" s="172"/>
      <c r="ASN1" s="172"/>
      <c r="ASO1" s="172"/>
      <c r="ASP1" s="172"/>
      <c r="ASQ1" s="172"/>
      <c r="ASR1" s="172"/>
      <c r="ASS1" s="172"/>
      <c r="AST1" s="172"/>
      <c r="ASU1" s="172"/>
      <c r="ASV1" s="172"/>
      <c r="ASW1" s="172"/>
      <c r="ASX1" s="172"/>
      <c r="ASY1" s="172"/>
      <c r="ASZ1" s="172"/>
      <c r="ATA1" s="172"/>
      <c r="ATB1" s="172"/>
      <c r="ATC1" s="172"/>
      <c r="ATD1" s="172"/>
      <c r="ATE1" s="172"/>
      <c r="ATF1" s="172"/>
      <c r="ATG1" s="172"/>
      <c r="ATH1" s="172"/>
      <c r="ATI1" s="172"/>
      <c r="ATJ1" s="172"/>
      <c r="ATK1" s="172"/>
      <c r="ATL1" s="172"/>
      <c r="ATM1" s="172"/>
      <c r="ATN1" s="172"/>
      <c r="ATO1" s="172"/>
      <c r="ATP1" s="172"/>
      <c r="ATQ1" s="172"/>
      <c r="ATR1" s="172"/>
      <c r="ATS1" s="172"/>
      <c r="ATT1" s="172"/>
      <c r="ATU1" s="172"/>
      <c r="ATV1" s="172"/>
      <c r="ATW1" s="172"/>
      <c r="ATX1" s="172"/>
      <c r="ATY1" s="172"/>
      <c r="ATZ1" s="172"/>
      <c r="AUA1" s="172"/>
      <c r="AUB1" s="172"/>
      <c r="AUC1" s="172"/>
      <c r="AUD1" s="172"/>
      <c r="AUE1" s="172"/>
      <c r="AUF1" s="172"/>
      <c r="AUG1" s="172"/>
      <c r="AUH1" s="172"/>
      <c r="AUI1" s="172"/>
      <c r="AUJ1" s="172"/>
      <c r="AUK1" s="172"/>
      <c r="AUL1" s="172"/>
      <c r="AUM1" s="172"/>
      <c r="AUN1" s="172"/>
      <c r="AUO1" s="172"/>
      <c r="AUP1" s="172"/>
      <c r="AUQ1" s="172"/>
      <c r="AUR1" s="172"/>
      <c r="AUS1" s="172"/>
      <c r="AUT1" s="172"/>
      <c r="AUU1" s="172"/>
      <c r="AUV1" s="172"/>
      <c r="AUW1" s="172"/>
      <c r="AUX1" s="172"/>
      <c r="AUY1" s="172"/>
      <c r="AUZ1" s="172"/>
      <c r="AVA1" s="172"/>
      <c r="AVB1" s="172"/>
      <c r="AVC1" s="172"/>
      <c r="AVD1" s="172"/>
      <c r="AVE1" s="172"/>
      <c r="AVF1" s="172"/>
      <c r="AVG1" s="172"/>
      <c r="AVH1" s="172"/>
      <c r="AVI1" s="172"/>
      <c r="AVJ1" s="172"/>
      <c r="AVK1" s="172"/>
      <c r="AVL1" s="172"/>
      <c r="AVM1" s="172"/>
      <c r="AVN1" s="172"/>
      <c r="AVO1" s="172"/>
      <c r="AVP1" s="172"/>
      <c r="AVQ1" s="172"/>
      <c r="AVR1" s="172"/>
      <c r="AVS1" s="172"/>
      <c r="AVT1" s="172"/>
      <c r="AVU1" s="172"/>
      <c r="AVV1" s="172"/>
      <c r="AVW1" s="172"/>
      <c r="AVX1" s="172"/>
      <c r="AVY1" s="172"/>
      <c r="AVZ1" s="172"/>
      <c r="AWA1" s="172"/>
      <c r="AWB1" s="172"/>
      <c r="AWC1" s="172"/>
      <c r="AWD1" s="172"/>
      <c r="AWE1" s="172"/>
      <c r="AWF1" s="172"/>
      <c r="AWG1" s="172"/>
      <c r="AWH1" s="172"/>
      <c r="AWI1" s="172"/>
      <c r="AWJ1" s="172"/>
      <c r="AWK1" s="172"/>
      <c r="AWL1" s="172"/>
      <c r="AWM1" s="172"/>
      <c r="AWN1" s="172"/>
      <c r="AWO1" s="172"/>
      <c r="AWP1" s="172"/>
      <c r="AWQ1" s="172"/>
      <c r="AWR1" s="172"/>
      <c r="AWS1" s="172"/>
      <c r="AWT1" s="172"/>
      <c r="AWU1" s="172"/>
      <c r="AWV1" s="172"/>
      <c r="AWW1" s="172"/>
      <c r="AWX1" s="172"/>
      <c r="AWY1" s="172"/>
      <c r="AWZ1" s="172"/>
      <c r="AXA1" s="172"/>
      <c r="AXB1" s="172"/>
      <c r="AXC1" s="172"/>
      <c r="AXD1" s="172"/>
      <c r="AXE1" s="172"/>
      <c r="AXF1" s="172"/>
      <c r="AXG1" s="172"/>
      <c r="AXH1" s="172"/>
      <c r="AXI1" s="172"/>
      <c r="AXJ1" s="172"/>
      <c r="AXK1" s="172"/>
      <c r="AXL1" s="172"/>
      <c r="AXM1" s="172"/>
      <c r="AXN1" s="172"/>
      <c r="AXO1" s="172"/>
      <c r="AXP1" s="172"/>
      <c r="AXQ1" s="172"/>
      <c r="AXR1" s="172"/>
      <c r="AXS1" s="172"/>
      <c r="AXT1" s="172"/>
      <c r="AXU1" s="172"/>
      <c r="AXV1" s="172"/>
      <c r="AXW1" s="172"/>
      <c r="AXX1" s="172"/>
      <c r="AXY1" s="172"/>
      <c r="AXZ1" s="172"/>
      <c r="AYA1" s="172"/>
      <c r="AYB1" s="172"/>
      <c r="AYC1" s="172"/>
      <c r="AYD1" s="172"/>
      <c r="AYE1" s="172"/>
      <c r="AYF1" s="172"/>
      <c r="AYG1" s="172"/>
      <c r="AYH1" s="172"/>
      <c r="AYI1" s="172"/>
      <c r="AYJ1" s="172"/>
      <c r="AYK1" s="172"/>
      <c r="AYL1" s="172"/>
      <c r="AYM1" s="172"/>
      <c r="AYN1" s="172"/>
      <c r="AYO1" s="172"/>
      <c r="AYP1" s="172"/>
      <c r="AYQ1" s="172"/>
      <c r="AYR1" s="172"/>
      <c r="AYS1" s="172"/>
      <c r="AYT1" s="172"/>
      <c r="AYU1" s="172"/>
      <c r="AYV1" s="172"/>
      <c r="AYW1" s="172"/>
      <c r="AYX1" s="172"/>
      <c r="AYY1" s="172"/>
      <c r="AYZ1" s="172"/>
      <c r="AZA1" s="172"/>
      <c r="AZB1" s="172"/>
      <c r="AZC1" s="172"/>
      <c r="AZD1" s="172"/>
      <c r="AZE1" s="172"/>
      <c r="AZF1" s="172"/>
      <c r="AZG1" s="172"/>
      <c r="AZH1" s="172"/>
      <c r="AZI1" s="172"/>
      <c r="AZJ1" s="172"/>
      <c r="AZK1" s="172"/>
      <c r="AZL1" s="172"/>
      <c r="AZM1" s="172"/>
      <c r="AZN1" s="172"/>
      <c r="AZO1" s="172"/>
      <c r="AZP1" s="172"/>
      <c r="AZQ1" s="172"/>
      <c r="AZR1" s="172"/>
      <c r="AZS1" s="172"/>
      <c r="AZT1" s="172"/>
      <c r="AZU1" s="172"/>
      <c r="AZV1" s="172"/>
      <c r="AZW1" s="172"/>
      <c r="AZX1" s="172"/>
      <c r="AZY1" s="172"/>
      <c r="AZZ1" s="172"/>
      <c r="BAA1" s="172"/>
      <c r="BAB1" s="172"/>
      <c r="BAC1" s="172"/>
      <c r="BAD1" s="172"/>
      <c r="BAE1" s="172"/>
      <c r="BAF1" s="172"/>
      <c r="BAG1" s="172"/>
      <c r="BAH1" s="172"/>
      <c r="BAI1" s="172"/>
      <c r="BAJ1" s="172"/>
      <c r="BAK1" s="172"/>
      <c r="BAL1" s="172"/>
      <c r="BAM1" s="172"/>
      <c r="BAN1" s="172"/>
      <c r="BAO1" s="172"/>
      <c r="BAP1" s="172"/>
      <c r="BAQ1" s="172"/>
      <c r="BAR1" s="172"/>
      <c r="BAS1" s="172"/>
      <c r="BAT1" s="172"/>
      <c r="BAU1" s="172"/>
      <c r="BAV1" s="172"/>
      <c r="BAW1" s="172"/>
      <c r="BAX1" s="172"/>
      <c r="BAY1" s="172"/>
      <c r="BAZ1" s="172"/>
      <c r="BBA1" s="172"/>
      <c r="BBB1" s="172"/>
      <c r="BBC1" s="172"/>
      <c r="BBD1" s="172"/>
      <c r="BBE1" s="172"/>
      <c r="BBF1" s="172"/>
      <c r="BBG1" s="172"/>
      <c r="BBH1" s="172"/>
      <c r="BBI1" s="172"/>
      <c r="BBJ1" s="172"/>
      <c r="BBK1" s="172"/>
      <c r="BBL1" s="172"/>
      <c r="BBM1" s="172"/>
      <c r="BBN1" s="172"/>
      <c r="BBO1" s="172"/>
      <c r="BBP1" s="172"/>
      <c r="BBQ1" s="172"/>
      <c r="BBR1" s="172"/>
      <c r="BBS1" s="172"/>
      <c r="BBT1" s="172"/>
      <c r="BBU1" s="172"/>
      <c r="BBV1" s="172"/>
      <c r="BBW1" s="172"/>
      <c r="BBX1" s="172"/>
      <c r="BBY1" s="172"/>
      <c r="BBZ1" s="172"/>
      <c r="BCA1" s="172"/>
      <c r="BCB1" s="172"/>
      <c r="BCC1" s="172"/>
      <c r="BCD1" s="172"/>
      <c r="BCE1" s="172"/>
      <c r="BCF1" s="172"/>
      <c r="BCG1" s="172"/>
      <c r="BCH1" s="172"/>
      <c r="BCI1" s="172"/>
      <c r="BCJ1" s="172"/>
      <c r="BCK1" s="172"/>
      <c r="BCL1" s="172"/>
      <c r="BCM1" s="172"/>
      <c r="BCN1" s="172"/>
      <c r="BCO1" s="172"/>
      <c r="BCP1" s="172"/>
      <c r="BCQ1" s="172"/>
      <c r="BCR1" s="172"/>
      <c r="BCS1" s="172"/>
      <c r="BCT1" s="172"/>
      <c r="BCU1" s="172"/>
      <c r="BCV1" s="172"/>
      <c r="BCW1" s="172"/>
      <c r="BCX1" s="172"/>
      <c r="BCY1" s="172"/>
      <c r="BCZ1" s="172"/>
      <c r="BDA1" s="172"/>
      <c r="BDB1" s="172"/>
      <c r="BDC1" s="172"/>
      <c r="BDD1" s="172"/>
      <c r="BDE1" s="172"/>
      <c r="BDF1" s="172"/>
      <c r="BDG1" s="172"/>
      <c r="BDH1" s="172"/>
      <c r="BDI1" s="172"/>
      <c r="BDJ1" s="172"/>
      <c r="BDK1" s="172"/>
      <c r="BDL1" s="172"/>
      <c r="BDM1" s="172"/>
      <c r="BDN1" s="172"/>
      <c r="BDO1" s="172"/>
      <c r="BDP1" s="172"/>
      <c r="BDQ1" s="172"/>
      <c r="BDR1" s="172"/>
      <c r="BDS1" s="172"/>
      <c r="BDT1" s="172"/>
      <c r="BDU1" s="172"/>
      <c r="BDV1" s="172"/>
      <c r="BDW1" s="172"/>
      <c r="BDX1" s="172"/>
      <c r="BDY1" s="172"/>
      <c r="BDZ1" s="172"/>
      <c r="BEA1" s="172"/>
      <c r="BEB1" s="172"/>
      <c r="BEC1" s="172"/>
      <c r="BED1" s="172"/>
      <c r="BEE1" s="172"/>
      <c r="BEF1" s="172"/>
      <c r="BEG1" s="172"/>
      <c r="BEH1" s="172"/>
      <c r="BEI1" s="172"/>
      <c r="BEJ1" s="172"/>
      <c r="BEK1" s="172"/>
      <c r="BEL1" s="172"/>
      <c r="BEM1" s="172"/>
      <c r="BEN1" s="172"/>
      <c r="BEO1" s="172"/>
      <c r="BEP1" s="172"/>
      <c r="BEQ1" s="172"/>
      <c r="BER1" s="172"/>
      <c r="BES1" s="172"/>
      <c r="BET1" s="172"/>
      <c r="BEU1" s="172"/>
      <c r="BEV1" s="172"/>
      <c r="BEW1" s="172"/>
      <c r="BEX1" s="172"/>
      <c r="BEY1" s="172"/>
      <c r="BEZ1" s="172"/>
      <c r="BFA1" s="172"/>
      <c r="BFB1" s="172"/>
      <c r="BFC1" s="172"/>
      <c r="BFD1" s="172"/>
      <c r="BFE1" s="172"/>
      <c r="BFF1" s="172"/>
      <c r="BFG1" s="172"/>
      <c r="BFH1" s="172"/>
      <c r="BFI1" s="172"/>
      <c r="BFJ1" s="172"/>
      <c r="BFK1" s="172"/>
      <c r="BFL1" s="172"/>
      <c r="BFM1" s="172"/>
      <c r="BFN1" s="172"/>
      <c r="BFO1" s="172"/>
      <c r="BFP1" s="172"/>
      <c r="BFQ1" s="172"/>
      <c r="BFR1" s="172"/>
      <c r="BFS1" s="172"/>
      <c r="BFT1" s="172"/>
      <c r="BFU1" s="172"/>
      <c r="BFV1" s="172"/>
      <c r="BFW1" s="172"/>
      <c r="BFX1" s="172"/>
      <c r="BFY1" s="172"/>
      <c r="BFZ1" s="172"/>
      <c r="BGA1" s="172"/>
      <c r="BGB1" s="172"/>
      <c r="BGC1" s="172"/>
      <c r="BGD1" s="172"/>
      <c r="BGE1" s="172"/>
      <c r="BGF1" s="172"/>
      <c r="BGG1" s="172"/>
      <c r="BGH1" s="172"/>
      <c r="BGI1" s="172"/>
      <c r="BGJ1" s="172"/>
      <c r="BGK1" s="172"/>
      <c r="BGL1" s="172"/>
      <c r="BGM1" s="172"/>
      <c r="BGN1" s="172"/>
      <c r="BGO1" s="172"/>
      <c r="BGP1" s="172"/>
      <c r="BGQ1" s="172"/>
      <c r="BGR1" s="172"/>
      <c r="BGS1" s="172"/>
      <c r="BGT1" s="172"/>
      <c r="BGU1" s="172"/>
      <c r="BGV1" s="172"/>
      <c r="BGW1" s="172"/>
      <c r="BGX1" s="172"/>
      <c r="BGY1" s="172"/>
      <c r="BGZ1" s="172"/>
      <c r="BHA1" s="172"/>
      <c r="BHB1" s="172"/>
      <c r="BHC1" s="172"/>
      <c r="BHD1" s="172"/>
      <c r="BHE1" s="172"/>
      <c r="BHF1" s="172"/>
      <c r="BHG1" s="172"/>
      <c r="BHH1" s="172"/>
      <c r="BHI1" s="172"/>
      <c r="BHJ1" s="172"/>
      <c r="BHK1" s="172"/>
      <c r="BHL1" s="172"/>
      <c r="BHM1" s="172"/>
      <c r="BHN1" s="172"/>
      <c r="BHO1" s="172"/>
      <c r="BHP1" s="172"/>
      <c r="BHQ1" s="172"/>
      <c r="BHR1" s="172"/>
      <c r="BHS1" s="172"/>
      <c r="BHT1" s="172"/>
      <c r="BHU1" s="172"/>
      <c r="BHV1" s="172"/>
      <c r="BHW1" s="172"/>
      <c r="BHX1" s="172"/>
      <c r="BHY1" s="172"/>
      <c r="BHZ1" s="172"/>
      <c r="BIA1" s="172"/>
      <c r="BIB1" s="172"/>
      <c r="BIC1" s="172"/>
      <c r="BID1" s="172"/>
      <c r="BIE1" s="172"/>
      <c r="BIF1" s="172"/>
      <c r="BIG1" s="172"/>
      <c r="BIH1" s="172"/>
      <c r="BII1" s="172"/>
      <c r="BIJ1" s="172"/>
      <c r="BIK1" s="172"/>
      <c r="BIL1" s="172"/>
      <c r="BIM1" s="172"/>
      <c r="BIN1" s="172"/>
      <c r="BIO1" s="172"/>
      <c r="BIP1" s="172"/>
      <c r="BIQ1" s="172"/>
      <c r="BIR1" s="172"/>
      <c r="BIS1" s="172"/>
      <c r="BIT1" s="172"/>
      <c r="BIU1" s="172"/>
      <c r="BIV1" s="172"/>
      <c r="BIW1" s="172"/>
      <c r="BIX1" s="172"/>
      <c r="BIY1" s="172"/>
      <c r="BIZ1" s="172"/>
      <c r="BJA1" s="172"/>
      <c r="BJB1" s="172"/>
      <c r="BJC1" s="172"/>
      <c r="BJD1" s="172"/>
      <c r="BJE1" s="172"/>
      <c r="BJF1" s="172"/>
      <c r="BJG1" s="172"/>
      <c r="BJH1" s="172"/>
      <c r="BJI1" s="172"/>
      <c r="BJJ1" s="172"/>
      <c r="BJK1" s="172"/>
      <c r="BJL1" s="172"/>
      <c r="BJM1" s="172"/>
      <c r="BJN1" s="172"/>
      <c r="BJO1" s="172"/>
      <c r="BJP1" s="172"/>
      <c r="BJQ1" s="172"/>
      <c r="BJR1" s="172"/>
      <c r="BJS1" s="172"/>
      <c r="BJT1" s="172"/>
      <c r="BJU1" s="172"/>
      <c r="BJV1" s="172"/>
      <c r="BJW1" s="172"/>
      <c r="BJX1" s="172"/>
      <c r="BJY1" s="172"/>
      <c r="BJZ1" s="172"/>
      <c r="BKA1" s="172"/>
      <c r="BKB1" s="172"/>
      <c r="BKC1" s="172"/>
      <c r="BKD1" s="172"/>
      <c r="BKE1" s="172"/>
      <c r="BKF1" s="172"/>
      <c r="BKG1" s="172"/>
      <c r="BKH1" s="172"/>
      <c r="BKI1" s="172"/>
      <c r="BKJ1" s="172"/>
      <c r="BKK1" s="172"/>
      <c r="BKL1" s="172"/>
      <c r="BKM1" s="172"/>
      <c r="BKN1" s="172"/>
      <c r="BKO1" s="172"/>
      <c r="BKP1" s="172"/>
      <c r="BKQ1" s="172"/>
      <c r="BKR1" s="172"/>
      <c r="BKS1" s="172"/>
      <c r="BKT1" s="172"/>
      <c r="BKU1" s="172"/>
      <c r="BKV1" s="172"/>
      <c r="BKW1" s="172"/>
      <c r="BKX1" s="172"/>
      <c r="BKY1" s="172"/>
      <c r="BKZ1" s="172"/>
      <c r="BLA1" s="172"/>
      <c r="BLB1" s="172"/>
      <c r="BLC1" s="172"/>
      <c r="BLD1" s="172"/>
      <c r="BLE1" s="172"/>
      <c r="BLF1" s="172"/>
      <c r="BLG1" s="172"/>
      <c r="BLH1" s="172"/>
      <c r="BLI1" s="172"/>
      <c r="BLJ1" s="172"/>
      <c r="BLK1" s="172"/>
      <c r="BLL1" s="172"/>
      <c r="BLM1" s="172"/>
      <c r="BLN1" s="172"/>
      <c r="BLO1" s="172"/>
      <c r="BLP1" s="172"/>
      <c r="BLQ1" s="172"/>
      <c r="BLR1" s="172"/>
      <c r="BLS1" s="172"/>
      <c r="BLT1" s="172"/>
      <c r="BLU1" s="172"/>
      <c r="BLV1" s="172"/>
      <c r="BLW1" s="172"/>
      <c r="BLX1" s="172"/>
      <c r="BLY1" s="172"/>
      <c r="BLZ1" s="172"/>
      <c r="BMA1" s="172"/>
      <c r="BMB1" s="172"/>
      <c r="BMC1" s="172"/>
      <c r="BMD1" s="172"/>
      <c r="BME1" s="172"/>
      <c r="BMF1" s="172"/>
      <c r="BMG1" s="172"/>
      <c r="BMH1" s="172"/>
      <c r="BMI1" s="172"/>
      <c r="BMJ1" s="172"/>
      <c r="BMK1" s="172"/>
      <c r="BML1" s="172"/>
      <c r="BMM1" s="172"/>
      <c r="BMN1" s="172"/>
      <c r="BMO1" s="172"/>
      <c r="BMP1" s="172"/>
      <c r="BMQ1" s="172"/>
      <c r="BMR1" s="172"/>
      <c r="BMS1" s="172"/>
      <c r="BMT1" s="172"/>
      <c r="BMU1" s="172"/>
      <c r="BMV1" s="172"/>
      <c r="BMW1" s="172"/>
      <c r="BMX1" s="172"/>
      <c r="BMY1" s="172"/>
      <c r="BMZ1" s="172"/>
      <c r="BNA1" s="172"/>
      <c r="BNB1" s="172"/>
      <c r="BNC1" s="172"/>
      <c r="BND1" s="172"/>
      <c r="BNE1" s="172"/>
      <c r="BNF1" s="172"/>
      <c r="BNG1" s="172"/>
      <c r="BNH1" s="172"/>
      <c r="BNI1" s="172"/>
      <c r="BNJ1" s="172"/>
      <c r="BNK1" s="172"/>
      <c r="BNL1" s="172"/>
      <c r="BNM1" s="172"/>
      <c r="BNN1" s="172"/>
      <c r="BNO1" s="172"/>
      <c r="BNP1" s="172"/>
      <c r="BNQ1" s="172"/>
      <c r="BNR1" s="172"/>
      <c r="BNS1" s="172"/>
      <c r="BNT1" s="172"/>
      <c r="BNU1" s="172"/>
      <c r="BNV1" s="172"/>
      <c r="BNW1" s="172"/>
      <c r="BNX1" s="172"/>
      <c r="BNY1" s="172"/>
      <c r="BNZ1" s="172"/>
      <c r="BOA1" s="172"/>
      <c r="BOB1" s="172"/>
      <c r="BOC1" s="172"/>
      <c r="BOD1" s="172"/>
      <c r="BOE1" s="172"/>
      <c r="BOF1" s="172"/>
      <c r="BOG1" s="172"/>
      <c r="BOH1" s="172"/>
      <c r="BOI1" s="172"/>
      <c r="BOJ1" s="172"/>
      <c r="BOK1" s="172"/>
      <c r="BOL1" s="172"/>
      <c r="BOM1" s="172"/>
      <c r="BON1" s="172"/>
      <c r="BOO1" s="172"/>
      <c r="BOP1" s="172"/>
      <c r="BOQ1" s="172"/>
      <c r="BOR1" s="172"/>
      <c r="BOS1" s="172"/>
      <c r="BOT1" s="172"/>
      <c r="BOU1" s="172"/>
      <c r="BOV1" s="172"/>
      <c r="BOW1" s="172"/>
      <c r="BOX1" s="172"/>
      <c r="BOY1" s="172"/>
      <c r="BOZ1" s="172"/>
      <c r="BPA1" s="172"/>
      <c r="BPB1" s="172"/>
      <c r="BPC1" s="172"/>
      <c r="BPD1" s="172"/>
      <c r="BPE1" s="172"/>
      <c r="BPF1" s="172"/>
      <c r="BPG1" s="172"/>
      <c r="BPH1" s="172"/>
      <c r="BPI1" s="172"/>
      <c r="BPJ1" s="172"/>
      <c r="BPK1" s="172"/>
      <c r="BPL1" s="172"/>
      <c r="BPM1" s="172"/>
      <c r="BPN1" s="172"/>
      <c r="BPO1" s="172"/>
      <c r="BPP1" s="172"/>
      <c r="BPQ1" s="172"/>
      <c r="BPR1" s="172"/>
      <c r="BPS1" s="172"/>
      <c r="BPT1" s="172"/>
      <c r="BPU1" s="172"/>
      <c r="BPV1" s="172"/>
      <c r="BPW1" s="172"/>
      <c r="BPX1" s="172"/>
      <c r="BPY1" s="172"/>
      <c r="BPZ1" s="172"/>
      <c r="BQA1" s="172"/>
      <c r="BQB1" s="172"/>
      <c r="BQC1" s="172"/>
      <c r="BQD1" s="172"/>
      <c r="BQE1" s="172"/>
      <c r="BQF1" s="172"/>
      <c r="BQG1" s="172"/>
      <c r="BQH1" s="172"/>
      <c r="BQI1" s="172"/>
      <c r="BQJ1" s="172"/>
      <c r="BQK1" s="172"/>
      <c r="BQL1" s="172"/>
      <c r="BQM1" s="172"/>
      <c r="BQN1" s="172"/>
      <c r="BQO1" s="172"/>
      <c r="BQP1" s="172"/>
      <c r="BQQ1" s="172"/>
      <c r="BQR1" s="172"/>
      <c r="BQS1" s="172"/>
      <c r="BQT1" s="172"/>
      <c r="BQU1" s="172"/>
      <c r="BQV1" s="172"/>
      <c r="BQW1" s="172"/>
      <c r="BQX1" s="172"/>
      <c r="BQY1" s="172"/>
      <c r="BQZ1" s="172"/>
      <c r="BRA1" s="172"/>
      <c r="BRB1" s="172"/>
      <c r="BRC1" s="172"/>
      <c r="BRD1" s="172"/>
      <c r="BRE1" s="172"/>
      <c r="BRF1" s="172"/>
      <c r="BRG1" s="172"/>
      <c r="BRH1" s="172"/>
      <c r="BRI1" s="172"/>
      <c r="BRJ1" s="172"/>
      <c r="BRK1" s="172"/>
      <c r="BRL1" s="172"/>
      <c r="BRM1" s="172"/>
      <c r="BRN1" s="172"/>
      <c r="BRO1" s="172"/>
      <c r="BRP1" s="172"/>
      <c r="BRQ1" s="172"/>
      <c r="BRR1" s="172"/>
      <c r="BRS1" s="172"/>
      <c r="BRT1" s="172"/>
      <c r="BRU1" s="172"/>
      <c r="BRV1" s="172"/>
      <c r="BRW1" s="172"/>
      <c r="BRX1" s="172"/>
      <c r="BRY1" s="172"/>
      <c r="BRZ1" s="172"/>
      <c r="BSA1" s="172"/>
      <c r="BSB1" s="172"/>
      <c r="BSC1" s="172"/>
      <c r="BSD1" s="172"/>
      <c r="BSE1" s="172"/>
      <c r="BSF1" s="172"/>
      <c r="BSG1" s="172"/>
      <c r="BSH1" s="172"/>
      <c r="BSI1" s="172"/>
      <c r="BSJ1" s="172"/>
      <c r="BSK1" s="172"/>
      <c r="BSL1" s="172"/>
      <c r="BSM1" s="172"/>
      <c r="BSN1" s="172"/>
      <c r="BSO1" s="172"/>
      <c r="BSP1" s="172"/>
      <c r="BSQ1" s="172"/>
      <c r="BSR1" s="172"/>
      <c r="BSS1" s="172"/>
      <c r="BST1" s="172"/>
      <c r="BSU1" s="172"/>
      <c r="BSV1" s="172"/>
      <c r="BSW1" s="172"/>
      <c r="BSX1" s="172"/>
      <c r="BSY1" s="172"/>
      <c r="BSZ1" s="172"/>
      <c r="BTA1" s="172"/>
      <c r="BTB1" s="172"/>
      <c r="BTC1" s="172"/>
      <c r="BTD1" s="172"/>
      <c r="BTE1" s="172"/>
      <c r="BTF1" s="172"/>
      <c r="BTG1" s="172"/>
      <c r="BTH1" s="172"/>
      <c r="BTI1" s="172"/>
      <c r="BTJ1" s="172"/>
      <c r="BTK1" s="172"/>
      <c r="BTL1" s="172"/>
      <c r="BTM1" s="172"/>
      <c r="BTN1" s="172"/>
      <c r="BTO1" s="172"/>
      <c r="BTP1" s="172"/>
      <c r="BTQ1" s="172"/>
      <c r="BTR1" s="172"/>
      <c r="BTS1" s="172"/>
      <c r="BTT1" s="172"/>
      <c r="BTU1" s="172"/>
      <c r="BTV1" s="172"/>
      <c r="BTW1" s="172"/>
      <c r="BTX1" s="172"/>
      <c r="BTY1" s="172"/>
      <c r="BTZ1" s="172"/>
      <c r="BUA1" s="172"/>
      <c r="BUB1" s="172"/>
      <c r="BUC1" s="172"/>
      <c r="BUD1" s="172"/>
      <c r="BUE1" s="172"/>
      <c r="BUF1" s="172"/>
      <c r="BUG1" s="172"/>
      <c r="BUH1" s="172"/>
      <c r="BUI1" s="172"/>
      <c r="BUJ1" s="172"/>
      <c r="BUK1" s="172"/>
      <c r="BUL1" s="172"/>
      <c r="BUM1" s="172"/>
      <c r="BUN1" s="172"/>
      <c r="BUO1" s="172"/>
      <c r="BUP1" s="172"/>
      <c r="BUQ1" s="172"/>
      <c r="BUR1" s="172"/>
      <c r="BUS1" s="172"/>
      <c r="BUT1" s="172"/>
      <c r="BUU1" s="172"/>
      <c r="BUV1" s="172"/>
      <c r="BUW1" s="172"/>
      <c r="BUX1" s="172"/>
      <c r="BUY1" s="172"/>
      <c r="BUZ1" s="172"/>
      <c r="BVA1" s="172"/>
      <c r="BVB1" s="172"/>
      <c r="BVC1" s="172"/>
      <c r="BVD1" s="172"/>
      <c r="BVE1" s="172"/>
      <c r="BVF1" s="172"/>
      <c r="BVG1" s="172"/>
      <c r="BVH1" s="172"/>
      <c r="BVI1" s="172"/>
      <c r="BVJ1" s="172"/>
      <c r="BVK1" s="172"/>
      <c r="BVL1" s="172"/>
      <c r="BVM1" s="172"/>
      <c r="BVN1" s="172"/>
      <c r="BVO1" s="172"/>
      <c r="BVP1" s="172"/>
      <c r="BVQ1" s="172"/>
      <c r="BVR1" s="172"/>
      <c r="BVS1" s="172"/>
      <c r="BVT1" s="172"/>
      <c r="BVU1" s="172"/>
      <c r="BVV1" s="172"/>
      <c r="BVW1" s="172"/>
      <c r="BVX1" s="172"/>
      <c r="BVY1" s="172"/>
      <c r="BVZ1" s="172"/>
      <c r="BWA1" s="172"/>
      <c r="BWB1" s="172"/>
      <c r="BWC1" s="172"/>
      <c r="BWD1" s="172"/>
      <c r="BWE1" s="172"/>
      <c r="BWF1" s="172"/>
      <c r="BWG1" s="172"/>
      <c r="BWH1" s="172"/>
      <c r="BWI1" s="172"/>
      <c r="BWJ1" s="172"/>
      <c r="BWK1" s="172"/>
      <c r="BWL1" s="172"/>
      <c r="BWM1" s="172"/>
      <c r="BWN1" s="172"/>
      <c r="BWO1" s="172"/>
      <c r="BWP1" s="172"/>
      <c r="BWQ1" s="172"/>
      <c r="BWR1" s="172"/>
      <c r="BWS1" s="172"/>
      <c r="BWT1" s="172"/>
      <c r="BWU1" s="172"/>
      <c r="BWV1" s="172"/>
      <c r="BWW1" s="172"/>
      <c r="BWX1" s="172"/>
      <c r="BWY1" s="172"/>
      <c r="BWZ1" s="172"/>
      <c r="BXA1" s="172"/>
      <c r="BXB1" s="172"/>
      <c r="BXC1" s="172"/>
      <c r="BXD1" s="172"/>
      <c r="BXE1" s="172"/>
      <c r="BXF1" s="172"/>
      <c r="BXG1" s="172"/>
      <c r="BXH1" s="172"/>
      <c r="BXI1" s="172"/>
      <c r="BXJ1" s="172"/>
      <c r="BXK1" s="172"/>
      <c r="BXL1" s="172"/>
      <c r="BXM1" s="172"/>
      <c r="BXN1" s="172"/>
      <c r="BXO1" s="172"/>
      <c r="BXP1" s="172"/>
      <c r="BXQ1" s="172"/>
      <c r="BXR1" s="172"/>
      <c r="BXS1" s="172"/>
      <c r="BXT1" s="172"/>
      <c r="BXU1" s="172"/>
      <c r="BXV1" s="172"/>
      <c r="BXW1" s="172"/>
      <c r="BXX1" s="172"/>
      <c r="BXY1" s="172"/>
      <c r="BXZ1" s="172"/>
      <c r="BYA1" s="172"/>
      <c r="BYB1" s="172"/>
      <c r="BYC1" s="172"/>
      <c r="BYD1" s="172"/>
      <c r="BYE1" s="172"/>
      <c r="BYF1" s="172"/>
      <c r="BYG1" s="172"/>
      <c r="BYH1" s="172"/>
      <c r="BYI1" s="172"/>
      <c r="BYJ1" s="172"/>
      <c r="BYK1" s="172"/>
      <c r="BYL1" s="172"/>
      <c r="BYM1" s="172"/>
      <c r="BYN1" s="172"/>
      <c r="BYO1" s="172"/>
      <c r="BYP1" s="172"/>
      <c r="BYQ1" s="172"/>
      <c r="BYR1" s="172"/>
      <c r="BYS1" s="172"/>
      <c r="BYT1" s="172"/>
      <c r="BYU1" s="172"/>
      <c r="BYV1" s="172"/>
      <c r="BYW1" s="172"/>
      <c r="BYX1" s="172"/>
      <c r="BYY1" s="172"/>
      <c r="BYZ1" s="172"/>
      <c r="BZA1" s="172"/>
      <c r="BZB1" s="172"/>
      <c r="BZC1" s="172"/>
      <c r="BZD1" s="172"/>
      <c r="BZE1" s="172"/>
      <c r="BZF1" s="172"/>
      <c r="BZG1" s="172"/>
      <c r="BZH1" s="172"/>
      <c r="BZI1" s="172"/>
      <c r="BZJ1" s="172"/>
      <c r="BZK1" s="172"/>
      <c r="BZL1" s="172"/>
      <c r="BZM1" s="172"/>
      <c r="BZN1" s="172"/>
      <c r="BZO1" s="172"/>
      <c r="BZP1" s="172"/>
      <c r="BZQ1" s="172"/>
      <c r="BZR1" s="172"/>
      <c r="BZS1" s="172"/>
      <c r="BZT1" s="172"/>
      <c r="BZU1" s="172"/>
      <c r="BZV1" s="172"/>
      <c r="BZW1" s="172"/>
      <c r="BZX1" s="172"/>
      <c r="BZY1" s="172"/>
      <c r="BZZ1" s="172"/>
      <c r="CAA1" s="172"/>
      <c r="CAB1" s="172"/>
      <c r="CAC1" s="172"/>
      <c r="CAD1" s="172"/>
      <c r="CAE1" s="172"/>
      <c r="CAF1" s="172"/>
      <c r="CAG1" s="172"/>
      <c r="CAH1" s="172"/>
      <c r="CAI1" s="172"/>
      <c r="CAJ1" s="172"/>
      <c r="CAK1" s="172"/>
      <c r="CAL1" s="172"/>
      <c r="CAM1" s="172"/>
      <c r="CAN1" s="172"/>
      <c r="CAO1" s="172"/>
      <c r="CAP1" s="172"/>
      <c r="CAQ1" s="172"/>
      <c r="CAR1" s="172"/>
      <c r="CAS1" s="172"/>
      <c r="CAT1" s="172"/>
      <c r="CAU1" s="172"/>
      <c r="CAV1" s="172"/>
      <c r="CAW1" s="172"/>
      <c r="CAX1" s="172"/>
      <c r="CAY1" s="172"/>
      <c r="CAZ1" s="172"/>
      <c r="CBA1" s="172"/>
      <c r="CBB1" s="172"/>
      <c r="CBC1" s="172"/>
      <c r="CBD1" s="172"/>
      <c r="CBE1" s="172"/>
      <c r="CBF1" s="172"/>
      <c r="CBG1" s="172"/>
      <c r="CBH1" s="172"/>
      <c r="CBI1" s="172"/>
      <c r="CBJ1" s="172"/>
      <c r="CBK1" s="172"/>
      <c r="CBL1" s="172"/>
      <c r="CBM1" s="172"/>
      <c r="CBN1" s="172"/>
      <c r="CBO1" s="172"/>
      <c r="CBP1" s="172"/>
      <c r="CBQ1" s="172"/>
      <c r="CBR1" s="172"/>
      <c r="CBS1" s="172"/>
      <c r="CBT1" s="172"/>
      <c r="CBU1" s="172"/>
      <c r="CBV1" s="172"/>
      <c r="CBW1" s="172"/>
      <c r="CBX1" s="172"/>
      <c r="CBY1" s="172"/>
      <c r="CBZ1" s="172"/>
      <c r="CCA1" s="172"/>
      <c r="CCB1" s="172"/>
      <c r="CCC1" s="172"/>
      <c r="CCD1" s="172"/>
      <c r="CCE1" s="172"/>
      <c r="CCF1" s="172"/>
      <c r="CCG1" s="172"/>
      <c r="CCH1" s="172"/>
      <c r="CCI1" s="172"/>
      <c r="CCJ1" s="172"/>
      <c r="CCK1" s="172"/>
      <c r="CCL1" s="172"/>
      <c r="CCM1" s="172"/>
      <c r="CCN1" s="172"/>
      <c r="CCO1" s="172"/>
      <c r="CCP1" s="172"/>
      <c r="CCQ1" s="172"/>
      <c r="CCR1" s="172"/>
      <c r="CCS1" s="172"/>
      <c r="CCT1" s="172"/>
      <c r="CCU1" s="172"/>
      <c r="CCV1" s="172"/>
      <c r="CCW1" s="172"/>
      <c r="CCX1" s="172"/>
      <c r="CCY1" s="172"/>
      <c r="CCZ1" s="172"/>
      <c r="CDA1" s="172"/>
      <c r="CDB1" s="172"/>
      <c r="CDC1" s="172"/>
      <c r="CDD1" s="172"/>
      <c r="CDE1" s="172"/>
      <c r="CDF1" s="172"/>
      <c r="CDG1" s="172"/>
      <c r="CDH1" s="172"/>
      <c r="CDI1" s="172"/>
      <c r="CDJ1" s="172"/>
      <c r="CDK1" s="172"/>
      <c r="CDL1" s="172"/>
      <c r="CDM1" s="172"/>
      <c r="CDN1" s="172"/>
      <c r="CDO1" s="172"/>
      <c r="CDP1" s="172"/>
      <c r="CDQ1" s="172"/>
      <c r="CDR1" s="172"/>
      <c r="CDS1" s="172"/>
      <c r="CDT1" s="172"/>
      <c r="CDU1" s="172"/>
      <c r="CDV1" s="172"/>
      <c r="CDW1" s="172"/>
      <c r="CDX1" s="172"/>
      <c r="CDY1" s="172"/>
      <c r="CDZ1" s="172"/>
      <c r="CEA1" s="172"/>
      <c r="CEB1" s="172"/>
      <c r="CEC1" s="172"/>
      <c r="CED1" s="172"/>
      <c r="CEE1" s="172"/>
      <c r="CEF1" s="172"/>
      <c r="CEG1" s="172"/>
      <c r="CEH1" s="172"/>
      <c r="CEI1" s="172"/>
      <c r="CEJ1" s="172"/>
      <c r="CEK1" s="172"/>
      <c r="CEL1" s="172"/>
      <c r="CEM1" s="172"/>
      <c r="CEN1" s="172"/>
      <c r="CEO1" s="172"/>
      <c r="CEP1" s="172"/>
      <c r="CEQ1" s="172"/>
      <c r="CER1" s="172"/>
      <c r="CES1" s="172"/>
      <c r="CET1" s="172"/>
      <c r="CEU1" s="172"/>
      <c r="CEV1" s="172"/>
      <c r="CEW1" s="172"/>
      <c r="CEX1" s="172"/>
      <c r="CEY1" s="172"/>
      <c r="CEZ1" s="172"/>
      <c r="CFA1" s="172"/>
      <c r="CFB1" s="172"/>
      <c r="CFC1" s="172"/>
      <c r="CFD1" s="172"/>
      <c r="CFE1" s="172"/>
      <c r="CFF1" s="172"/>
      <c r="CFG1" s="172"/>
      <c r="CFH1" s="172"/>
      <c r="CFI1" s="172"/>
      <c r="CFJ1" s="172"/>
      <c r="CFK1" s="172"/>
      <c r="CFL1" s="172"/>
      <c r="CFM1" s="172"/>
      <c r="CFN1" s="172"/>
      <c r="CFO1" s="172"/>
      <c r="CFP1" s="172"/>
      <c r="CFQ1" s="172"/>
      <c r="CFR1" s="172"/>
      <c r="CFS1" s="172"/>
      <c r="CFT1" s="172"/>
      <c r="CFU1" s="172"/>
      <c r="CFV1" s="172"/>
      <c r="CFW1" s="172"/>
      <c r="CFX1" s="172"/>
      <c r="CFY1" s="172"/>
      <c r="CFZ1" s="172"/>
      <c r="CGA1" s="172"/>
      <c r="CGB1" s="172"/>
      <c r="CGC1" s="172"/>
      <c r="CGD1" s="172"/>
      <c r="CGE1" s="172"/>
      <c r="CGF1" s="172"/>
      <c r="CGG1" s="172"/>
      <c r="CGH1" s="172"/>
      <c r="CGI1" s="172"/>
      <c r="CGJ1" s="172"/>
      <c r="CGK1" s="172"/>
      <c r="CGL1" s="172"/>
      <c r="CGM1" s="172"/>
      <c r="CGN1" s="172"/>
      <c r="CGO1" s="172"/>
      <c r="CGP1" s="172"/>
      <c r="CGQ1" s="172"/>
      <c r="CGR1" s="172"/>
      <c r="CGS1" s="172"/>
      <c r="CGT1" s="172"/>
      <c r="CGU1" s="172"/>
      <c r="CGV1" s="172"/>
      <c r="CGW1" s="172"/>
      <c r="CGX1" s="172"/>
      <c r="CGY1" s="172"/>
      <c r="CGZ1" s="172"/>
      <c r="CHA1" s="172"/>
      <c r="CHB1" s="172"/>
      <c r="CHC1" s="172"/>
      <c r="CHD1" s="172"/>
      <c r="CHE1" s="172"/>
      <c r="CHF1" s="172"/>
      <c r="CHG1" s="172"/>
      <c r="CHH1" s="172"/>
      <c r="CHI1" s="172"/>
      <c r="CHJ1" s="172"/>
      <c r="CHK1" s="172"/>
      <c r="CHL1" s="172"/>
      <c r="CHM1" s="172"/>
      <c r="CHN1" s="172"/>
      <c r="CHO1" s="172"/>
      <c r="CHP1" s="172"/>
      <c r="CHQ1" s="172"/>
      <c r="CHR1" s="172"/>
      <c r="CHS1" s="172"/>
      <c r="CHT1" s="172"/>
      <c r="CHU1" s="172"/>
      <c r="CHV1" s="172"/>
      <c r="CHW1" s="172"/>
      <c r="CHX1" s="172"/>
      <c r="CHY1" s="172"/>
      <c r="CHZ1" s="172"/>
      <c r="CIA1" s="172"/>
      <c r="CIB1" s="172"/>
      <c r="CIC1" s="172"/>
      <c r="CID1" s="172"/>
      <c r="CIE1" s="172"/>
      <c r="CIF1" s="172"/>
      <c r="CIG1" s="172"/>
      <c r="CIH1" s="172"/>
      <c r="CII1" s="172"/>
      <c r="CIJ1" s="172"/>
      <c r="CIK1" s="172"/>
      <c r="CIL1" s="172"/>
      <c r="CIM1" s="172"/>
      <c r="CIN1" s="172"/>
      <c r="CIO1" s="172"/>
      <c r="CIP1" s="172"/>
      <c r="CIQ1" s="172"/>
      <c r="CIR1" s="172"/>
      <c r="CIS1" s="172"/>
      <c r="CIT1" s="172"/>
      <c r="CIU1" s="172"/>
      <c r="CIV1" s="172"/>
      <c r="CIW1" s="172"/>
      <c r="CIX1" s="172"/>
      <c r="CIY1" s="172"/>
      <c r="CIZ1" s="172"/>
      <c r="CJA1" s="172"/>
      <c r="CJB1" s="172"/>
      <c r="CJC1" s="172"/>
      <c r="CJD1" s="172"/>
      <c r="CJE1" s="172"/>
      <c r="CJF1" s="172"/>
      <c r="CJG1" s="172"/>
      <c r="CJH1" s="172"/>
      <c r="CJI1" s="172"/>
      <c r="CJJ1" s="172"/>
      <c r="CJK1" s="172"/>
      <c r="CJL1" s="172"/>
      <c r="CJM1" s="172"/>
      <c r="CJN1" s="172"/>
      <c r="CJO1" s="172"/>
      <c r="CJP1" s="172"/>
      <c r="CJQ1" s="172"/>
      <c r="CJR1" s="172"/>
      <c r="CJS1" s="172"/>
      <c r="CJT1" s="172"/>
      <c r="CJU1" s="172"/>
      <c r="CJV1" s="172"/>
      <c r="CJW1" s="172"/>
      <c r="CJX1" s="172"/>
      <c r="CJY1" s="172"/>
      <c r="CJZ1" s="172"/>
      <c r="CKA1" s="172"/>
      <c r="CKB1" s="172"/>
      <c r="CKC1" s="172"/>
      <c r="CKD1" s="172"/>
      <c r="CKE1" s="172"/>
      <c r="CKF1" s="172"/>
      <c r="CKG1" s="172"/>
      <c r="CKH1" s="172"/>
      <c r="CKI1" s="172"/>
      <c r="CKJ1" s="172"/>
      <c r="CKK1" s="172"/>
      <c r="CKL1" s="172"/>
      <c r="CKM1" s="172"/>
      <c r="CKN1" s="172"/>
      <c r="CKO1" s="172"/>
      <c r="CKP1" s="172"/>
      <c r="CKQ1" s="172"/>
      <c r="CKR1" s="172"/>
      <c r="CKS1" s="172"/>
      <c r="CKT1" s="172"/>
      <c r="CKU1" s="172"/>
      <c r="CKV1" s="172"/>
      <c r="CKW1" s="172"/>
      <c r="CKX1" s="172"/>
      <c r="CKY1" s="172"/>
      <c r="CKZ1" s="172"/>
      <c r="CLA1" s="172"/>
      <c r="CLB1" s="172"/>
      <c r="CLC1" s="172"/>
      <c r="CLD1" s="172"/>
      <c r="CLE1" s="172"/>
      <c r="CLF1" s="172"/>
      <c r="CLG1" s="172"/>
      <c r="CLH1" s="172"/>
      <c r="CLI1" s="172"/>
      <c r="CLJ1" s="172"/>
      <c r="CLK1" s="172"/>
      <c r="CLL1" s="172"/>
      <c r="CLM1" s="172"/>
      <c r="CLN1" s="172"/>
      <c r="CLO1" s="172"/>
      <c r="CLP1" s="172"/>
      <c r="CLQ1" s="172"/>
      <c r="CLR1" s="172"/>
      <c r="CLS1" s="172"/>
      <c r="CLT1" s="172"/>
      <c r="CLU1" s="172"/>
      <c r="CLV1" s="172"/>
      <c r="CLW1" s="172"/>
      <c r="CLX1" s="172"/>
      <c r="CLY1" s="172"/>
      <c r="CLZ1" s="172"/>
      <c r="CMA1" s="172"/>
      <c r="CMB1" s="172"/>
      <c r="CMC1" s="172"/>
      <c r="CMD1" s="172"/>
      <c r="CME1" s="172"/>
      <c r="CMF1" s="172"/>
      <c r="CMG1" s="172"/>
      <c r="CMH1" s="172"/>
      <c r="CMI1" s="172"/>
      <c r="CMJ1" s="172"/>
      <c r="CMK1" s="172"/>
      <c r="CML1" s="172"/>
      <c r="CMM1" s="172"/>
      <c r="CMN1" s="172"/>
      <c r="CMO1" s="172"/>
      <c r="CMP1" s="172"/>
      <c r="CMQ1" s="172"/>
      <c r="CMR1" s="172"/>
      <c r="CMS1" s="172"/>
      <c r="CMT1" s="172"/>
      <c r="CMU1" s="172"/>
      <c r="CMV1" s="172"/>
      <c r="CMW1" s="172"/>
      <c r="CMX1" s="172"/>
      <c r="CMY1" s="172"/>
      <c r="CMZ1" s="172"/>
      <c r="CNA1" s="172"/>
      <c r="CNB1" s="172"/>
      <c r="CNC1" s="172"/>
      <c r="CND1" s="172"/>
      <c r="CNE1" s="172"/>
      <c r="CNF1" s="172"/>
      <c r="CNG1" s="172"/>
      <c r="CNH1" s="172"/>
      <c r="CNI1" s="172"/>
      <c r="CNJ1" s="172"/>
      <c r="CNK1" s="172"/>
      <c r="CNL1" s="172"/>
      <c r="CNM1" s="172"/>
      <c r="CNN1" s="172"/>
      <c r="CNO1" s="172"/>
      <c r="CNP1" s="172"/>
      <c r="CNQ1" s="172"/>
      <c r="CNR1" s="172"/>
      <c r="CNS1" s="172"/>
      <c r="CNT1" s="172"/>
      <c r="CNU1" s="172"/>
      <c r="CNV1" s="172"/>
      <c r="CNW1" s="172"/>
      <c r="CNX1" s="172"/>
      <c r="CNY1" s="172"/>
      <c r="CNZ1" s="172"/>
      <c r="COA1" s="172"/>
      <c r="COB1" s="172"/>
      <c r="COC1" s="172"/>
      <c r="COD1" s="172"/>
      <c r="COE1" s="172"/>
      <c r="COF1" s="172"/>
      <c r="COG1" s="172"/>
      <c r="COH1" s="172"/>
      <c r="COI1" s="172"/>
      <c r="COJ1" s="172"/>
      <c r="COK1" s="172"/>
      <c r="COL1" s="172"/>
      <c r="COM1" s="172"/>
      <c r="CON1" s="172"/>
      <c r="COO1" s="172"/>
      <c r="COP1" s="172"/>
      <c r="COQ1" s="172"/>
      <c r="COR1" s="172"/>
      <c r="COS1" s="172"/>
      <c r="COT1" s="172"/>
      <c r="COU1" s="172"/>
      <c r="COV1" s="172"/>
      <c r="COW1" s="172"/>
      <c r="COX1" s="172"/>
      <c r="COY1" s="172"/>
      <c r="COZ1" s="172"/>
      <c r="CPA1" s="172"/>
      <c r="CPB1" s="172"/>
      <c r="CPC1" s="172"/>
      <c r="CPD1" s="172"/>
      <c r="CPE1" s="172"/>
      <c r="CPF1" s="172"/>
      <c r="CPG1" s="172"/>
      <c r="CPH1" s="172"/>
      <c r="CPI1" s="172"/>
      <c r="CPJ1" s="172"/>
      <c r="CPK1" s="172"/>
      <c r="CPL1" s="172"/>
      <c r="CPM1" s="172"/>
      <c r="CPN1" s="172"/>
      <c r="CPO1" s="172"/>
      <c r="CPP1" s="172"/>
      <c r="CPQ1" s="172"/>
      <c r="CPR1" s="172"/>
      <c r="CPS1" s="172"/>
      <c r="CPT1" s="172"/>
      <c r="CPU1" s="172"/>
      <c r="CPV1" s="172"/>
      <c r="CPW1" s="172"/>
      <c r="CPX1" s="172"/>
      <c r="CPY1" s="172"/>
      <c r="CPZ1" s="172"/>
      <c r="CQA1" s="172"/>
      <c r="CQB1" s="172"/>
      <c r="CQC1" s="172"/>
      <c r="CQD1" s="172"/>
      <c r="CQE1" s="172"/>
      <c r="CQF1" s="172"/>
      <c r="CQG1" s="172"/>
      <c r="CQH1" s="172"/>
      <c r="CQI1" s="172"/>
      <c r="CQJ1" s="172"/>
      <c r="CQK1" s="172"/>
      <c r="CQL1" s="172"/>
      <c r="CQM1" s="172"/>
      <c r="CQN1" s="172"/>
      <c r="CQO1" s="172"/>
      <c r="CQP1" s="172"/>
      <c r="CQQ1" s="172"/>
      <c r="CQR1" s="172"/>
      <c r="CQS1" s="172"/>
      <c r="CQT1" s="172"/>
      <c r="CQU1" s="172"/>
      <c r="CQV1" s="172"/>
      <c r="CQW1" s="172"/>
      <c r="CQX1" s="172"/>
      <c r="CQY1" s="172"/>
      <c r="CQZ1" s="172"/>
      <c r="CRA1" s="172"/>
      <c r="CRB1" s="172"/>
      <c r="CRC1" s="172"/>
      <c r="CRD1" s="172"/>
      <c r="CRE1" s="172"/>
      <c r="CRF1" s="172"/>
      <c r="CRG1" s="172"/>
      <c r="CRH1" s="172"/>
      <c r="CRI1" s="172"/>
      <c r="CRJ1" s="172"/>
      <c r="CRK1" s="172"/>
      <c r="CRL1" s="172"/>
      <c r="CRM1" s="172"/>
      <c r="CRN1" s="172"/>
      <c r="CRO1" s="172"/>
      <c r="CRP1" s="172"/>
      <c r="CRQ1" s="172"/>
      <c r="CRR1" s="172"/>
      <c r="CRS1" s="172"/>
      <c r="CRT1" s="172"/>
      <c r="CRU1" s="172"/>
      <c r="CRV1" s="172"/>
      <c r="CRW1" s="172"/>
      <c r="CRX1" s="172"/>
      <c r="CRY1" s="172"/>
      <c r="CRZ1" s="172"/>
      <c r="CSA1" s="172"/>
      <c r="CSB1" s="172"/>
      <c r="CSC1" s="172"/>
      <c r="CSD1" s="172"/>
      <c r="CSE1" s="172"/>
      <c r="CSF1" s="172"/>
      <c r="CSG1" s="172"/>
      <c r="CSH1" s="172"/>
      <c r="CSI1" s="172"/>
      <c r="CSJ1" s="172"/>
      <c r="CSK1" s="172"/>
      <c r="CSL1" s="172"/>
      <c r="CSM1" s="172"/>
      <c r="CSN1" s="172"/>
      <c r="CSO1" s="172"/>
      <c r="CSP1" s="172"/>
      <c r="CSQ1" s="172"/>
      <c r="CSR1" s="172"/>
      <c r="CSS1" s="172"/>
      <c r="CST1" s="172"/>
      <c r="CSU1" s="172"/>
      <c r="CSV1" s="172"/>
      <c r="CSW1" s="172"/>
      <c r="CSX1" s="172"/>
      <c r="CSY1" s="172"/>
      <c r="CSZ1" s="172"/>
      <c r="CTA1" s="172"/>
      <c r="CTB1" s="172"/>
      <c r="CTC1" s="172"/>
      <c r="CTD1" s="172"/>
      <c r="CTE1" s="172"/>
      <c r="CTF1" s="172"/>
      <c r="CTG1" s="172"/>
      <c r="CTH1" s="172"/>
      <c r="CTI1" s="172"/>
      <c r="CTJ1" s="172"/>
      <c r="CTK1" s="172"/>
      <c r="CTL1" s="172"/>
      <c r="CTM1" s="172"/>
      <c r="CTN1" s="172"/>
      <c r="CTO1" s="172"/>
      <c r="CTP1" s="172"/>
      <c r="CTQ1" s="172"/>
      <c r="CTR1" s="172"/>
      <c r="CTS1" s="172"/>
      <c r="CTT1" s="172"/>
      <c r="CTU1" s="172"/>
      <c r="CTV1" s="172"/>
      <c r="CTW1" s="172"/>
      <c r="CTX1" s="172"/>
      <c r="CTY1" s="172"/>
      <c r="CTZ1" s="172"/>
      <c r="CUA1" s="172"/>
      <c r="CUB1" s="172"/>
      <c r="CUC1" s="172"/>
      <c r="CUD1" s="172"/>
      <c r="CUE1" s="172"/>
      <c r="CUF1" s="172"/>
      <c r="CUG1" s="172"/>
      <c r="CUH1" s="172"/>
      <c r="CUI1" s="172"/>
      <c r="CUJ1" s="172"/>
      <c r="CUK1" s="172"/>
      <c r="CUL1" s="172"/>
      <c r="CUM1" s="172"/>
      <c r="CUN1" s="172"/>
      <c r="CUO1" s="172"/>
      <c r="CUP1" s="172"/>
      <c r="CUQ1" s="172"/>
      <c r="CUR1" s="172"/>
      <c r="CUS1" s="172"/>
      <c r="CUT1" s="172"/>
      <c r="CUU1" s="172"/>
      <c r="CUV1" s="172"/>
      <c r="CUW1" s="172"/>
      <c r="CUX1" s="172"/>
      <c r="CUY1" s="172"/>
      <c r="CUZ1" s="172"/>
      <c r="CVA1" s="172"/>
      <c r="CVB1" s="172"/>
      <c r="CVC1" s="172"/>
      <c r="CVD1" s="172"/>
      <c r="CVE1" s="172"/>
      <c r="CVF1" s="172"/>
      <c r="CVG1" s="172"/>
      <c r="CVH1" s="172"/>
      <c r="CVI1" s="172"/>
      <c r="CVJ1" s="172"/>
      <c r="CVK1" s="172"/>
      <c r="CVL1" s="172"/>
      <c r="CVM1" s="172"/>
      <c r="CVN1" s="172"/>
      <c r="CVO1" s="172"/>
      <c r="CVP1" s="172"/>
      <c r="CVQ1" s="172"/>
      <c r="CVR1" s="172"/>
      <c r="CVS1" s="172"/>
      <c r="CVT1" s="172"/>
      <c r="CVU1" s="172"/>
      <c r="CVV1" s="172"/>
      <c r="CVW1" s="172"/>
      <c r="CVX1" s="172"/>
      <c r="CVY1" s="172"/>
      <c r="CVZ1" s="172"/>
      <c r="CWA1" s="172"/>
      <c r="CWB1" s="172"/>
      <c r="CWC1" s="172"/>
      <c r="CWD1" s="172"/>
      <c r="CWE1" s="172"/>
      <c r="CWF1" s="172"/>
      <c r="CWG1" s="172"/>
      <c r="CWH1" s="172"/>
      <c r="CWI1" s="172"/>
      <c r="CWJ1" s="172"/>
      <c r="CWK1" s="172"/>
      <c r="CWL1" s="172"/>
      <c r="CWM1" s="172"/>
      <c r="CWN1" s="172"/>
      <c r="CWO1" s="172"/>
      <c r="CWP1" s="172"/>
      <c r="CWQ1" s="172"/>
      <c r="CWR1" s="172"/>
      <c r="CWS1" s="172"/>
      <c r="CWT1" s="172"/>
      <c r="CWU1" s="172"/>
      <c r="CWV1" s="172"/>
      <c r="CWW1" s="172"/>
      <c r="CWX1" s="172"/>
      <c r="CWY1" s="172"/>
      <c r="CWZ1" s="172"/>
      <c r="CXA1" s="172"/>
      <c r="CXB1" s="172"/>
      <c r="CXC1" s="172"/>
      <c r="CXD1" s="172"/>
      <c r="CXE1" s="172"/>
      <c r="CXF1" s="172"/>
      <c r="CXG1" s="172"/>
      <c r="CXH1" s="172"/>
      <c r="CXI1" s="172"/>
      <c r="CXJ1" s="172"/>
      <c r="CXK1" s="172"/>
      <c r="CXL1" s="172"/>
      <c r="CXM1" s="172"/>
      <c r="CXN1" s="172"/>
      <c r="CXO1" s="172"/>
      <c r="CXP1" s="172"/>
      <c r="CXQ1" s="172"/>
      <c r="CXR1" s="172"/>
      <c r="CXS1" s="172"/>
      <c r="CXT1" s="172"/>
      <c r="CXU1" s="172"/>
      <c r="CXV1" s="172"/>
      <c r="CXW1" s="172"/>
      <c r="CXX1" s="172"/>
      <c r="CXY1" s="172"/>
      <c r="CXZ1" s="172"/>
      <c r="CYA1" s="172"/>
      <c r="CYB1" s="172"/>
      <c r="CYC1" s="172"/>
      <c r="CYD1" s="172"/>
      <c r="CYE1" s="172"/>
      <c r="CYF1" s="172"/>
      <c r="CYG1" s="172"/>
      <c r="CYH1" s="172"/>
      <c r="CYI1" s="172"/>
      <c r="CYJ1" s="172"/>
      <c r="CYK1" s="172"/>
      <c r="CYL1" s="172"/>
      <c r="CYM1" s="172"/>
      <c r="CYN1" s="172"/>
      <c r="CYO1" s="172"/>
      <c r="CYP1" s="172"/>
      <c r="CYQ1" s="172"/>
      <c r="CYR1" s="172"/>
      <c r="CYS1" s="172"/>
      <c r="CYT1" s="172"/>
      <c r="CYU1" s="172"/>
      <c r="CYV1" s="172"/>
      <c r="CYW1" s="172"/>
      <c r="CYX1" s="172"/>
      <c r="CYY1" s="172"/>
      <c r="CYZ1" s="172"/>
      <c r="CZA1" s="172"/>
      <c r="CZB1" s="172"/>
      <c r="CZC1" s="172"/>
      <c r="CZD1" s="172"/>
      <c r="CZE1" s="172"/>
      <c r="CZF1" s="172"/>
      <c r="CZG1" s="172"/>
      <c r="CZH1" s="172"/>
      <c r="CZI1" s="172"/>
      <c r="CZJ1" s="172"/>
      <c r="CZK1" s="172"/>
      <c r="CZL1" s="172"/>
      <c r="CZM1" s="172"/>
      <c r="CZN1" s="172"/>
      <c r="CZO1" s="172"/>
      <c r="CZP1" s="172"/>
      <c r="CZQ1" s="172"/>
      <c r="CZR1" s="172"/>
      <c r="CZS1" s="172"/>
      <c r="CZT1" s="172"/>
      <c r="CZU1" s="172"/>
      <c r="CZV1" s="172"/>
      <c r="CZW1" s="172"/>
      <c r="CZX1" s="172"/>
      <c r="CZY1" s="172"/>
      <c r="CZZ1" s="172"/>
      <c r="DAA1" s="172"/>
      <c r="DAB1" s="172"/>
      <c r="DAC1" s="172"/>
      <c r="DAD1" s="172"/>
      <c r="DAE1" s="172"/>
      <c r="DAF1" s="172"/>
      <c r="DAG1" s="172"/>
      <c r="DAH1" s="172"/>
      <c r="DAI1" s="172"/>
      <c r="DAJ1" s="172"/>
      <c r="DAK1" s="172"/>
      <c r="DAL1" s="172"/>
      <c r="DAM1" s="172"/>
      <c r="DAN1" s="172"/>
      <c r="DAO1" s="172"/>
      <c r="DAP1" s="172"/>
      <c r="DAQ1" s="172"/>
      <c r="DAR1" s="172"/>
      <c r="DAS1" s="172"/>
      <c r="DAT1" s="172"/>
      <c r="DAU1" s="172"/>
      <c r="DAV1" s="172"/>
      <c r="DAW1" s="172"/>
      <c r="DAX1" s="172"/>
      <c r="DAY1" s="172"/>
      <c r="DAZ1" s="172"/>
      <c r="DBA1" s="172"/>
      <c r="DBB1" s="172"/>
      <c r="DBC1" s="172"/>
      <c r="DBD1" s="172"/>
      <c r="DBE1" s="172"/>
      <c r="DBF1" s="172"/>
      <c r="DBG1" s="172"/>
      <c r="DBH1" s="172"/>
      <c r="DBI1" s="172"/>
      <c r="DBJ1" s="172"/>
      <c r="DBK1" s="172"/>
      <c r="DBL1" s="172"/>
      <c r="DBM1" s="172"/>
      <c r="DBN1" s="172"/>
      <c r="DBO1" s="172"/>
      <c r="DBP1" s="172"/>
      <c r="DBQ1" s="172"/>
      <c r="DBR1" s="172"/>
      <c r="DBS1" s="172"/>
      <c r="DBT1" s="172"/>
      <c r="DBU1" s="172"/>
      <c r="DBV1" s="172"/>
      <c r="DBW1" s="172"/>
      <c r="DBX1" s="172"/>
      <c r="DBY1" s="172"/>
      <c r="DBZ1" s="172"/>
      <c r="DCA1" s="172"/>
      <c r="DCB1" s="172"/>
      <c r="DCC1" s="172"/>
      <c r="DCD1" s="172"/>
      <c r="DCE1" s="172"/>
      <c r="DCF1" s="172"/>
      <c r="DCG1" s="172"/>
      <c r="DCH1" s="172"/>
      <c r="DCI1" s="172"/>
      <c r="DCJ1" s="172"/>
      <c r="DCK1" s="172"/>
      <c r="DCL1" s="172"/>
      <c r="DCM1" s="172"/>
      <c r="DCN1" s="172"/>
      <c r="DCO1" s="172"/>
      <c r="DCP1" s="172"/>
      <c r="DCQ1" s="172"/>
      <c r="DCR1" s="172"/>
      <c r="DCS1" s="172"/>
      <c r="DCT1" s="172"/>
      <c r="DCU1" s="172"/>
      <c r="DCV1" s="172"/>
      <c r="DCW1" s="172"/>
      <c r="DCX1" s="172"/>
      <c r="DCY1" s="172"/>
      <c r="DCZ1" s="172"/>
      <c r="DDA1" s="172"/>
      <c r="DDB1" s="172"/>
      <c r="DDC1" s="172"/>
      <c r="DDD1" s="172"/>
      <c r="DDE1" s="172"/>
      <c r="DDF1" s="172"/>
      <c r="DDG1" s="172"/>
      <c r="DDH1" s="172"/>
      <c r="DDI1" s="172"/>
      <c r="DDJ1" s="172"/>
      <c r="DDK1" s="172"/>
      <c r="DDL1" s="172"/>
      <c r="DDM1" s="172"/>
      <c r="DDN1" s="172"/>
      <c r="DDO1" s="172"/>
      <c r="DDP1" s="172"/>
      <c r="DDQ1" s="172"/>
      <c r="DDR1" s="172"/>
      <c r="DDS1" s="172"/>
      <c r="DDT1" s="172"/>
      <c r="DDU1" s="172"/>
      <c r="DDV1" s="172"/>
      <c r="DDW1" s="172"/>
      <c r="DDX1" s="172"/>
      <c r="DDY1" s="172"/>
      <c r="DDZ1" s="172"/>
      <c r="DEA1" s="172"/>
      <c r="DEB1" s="172"/>
      <c r="DEC1" s="172"/>
      <c r="DED1" s="172"/>
      <c r="DEE1" s="172"/>
      <c r="DEF1" s="172"/>
      <c r="DEG1" s="172"/>
      <c r="DEH1" s="172"/>
      <c r="DEI1" s="172"/>
      <c r="DEJ1" s="172"/>
      <c r="DEK1" s="172"/>
      <c r="DEL1" s="172"/>
      <c r="DEM1" s="172"/>
      <c r="DEN1" s="172"/>
      <c r="DEO1" s="172"/>
      <c r="DEP1" s="172"/>
      <c r="DEQ1" s="172"/>
      <c r="DER1" s="172"/>
      <c r="DES1" s="172"/>
      <c r="DET1" s="172"/>
      <c r="DEU1" s="172"/>
      <c r="DEV1" s="172"/>
      <c r="DEW1" s="172"/>
      <c r="DEX1" s="172"/>
      <c r="DEY1" s="172"/>
      <c r="DEZ1" s="172"/>
      <c r="DFA1" s="172"/>
      <c r="DFB1" s="172"/>
      <c r="DFC1" s="172"/>
      <c r="DFD1" s="172"/>
      <c r="DFE1" s="172"/>
      <c r="DFF1" s="172"/>
      <c r="DFG1" s="172"/>
      <c r="DFH1" s="172"/>
      <c r="DFI1" s="172"/>
      <c r="DFJ1" s="172"/>
      <c r="DFK1" s="172"/>
      <c r="DFL1" s="172"/>
      <c r="DFM1" s="172"/>
      <c r="DFN1" s="172"/>
      <c r="DFO1" s="172"/>
      <c r="DFP1" s="172"/>
      <c r="DFQ1" s="172"/>
      <c r="DFR1" s="172"/>
      <c r="DFS1" s="172"/>
      <c r="DFT1" s="172"/>
      <c r="DFU1" s="172"/>
      <c r="DFV1" s="172"/>
      <c r="DFW1" s="172"/>
      <c r="DFX1" s="172"/>
      <c r="DFY1" s="172"/>
      <c r="DFZ1" s="172"/>
      <c r="DGA1" s="172"/>
      <c r="DGB1" s="172"/>
      <c r="DGC1" s="172"/>
      <c r="DGD1" s="172"/>
      <c r="DGE1" s="172"/>
      <c r="DGF1" s="172"/>
      <c r="DGG1" s="172"/>
      <c r="DGH1" s="172"/>
      <c r="DGI1" s="172"/>
      <c r="DGJ1" s="172"/>
      <c r="DGK1" s="172"/>
      <c r="DGL1" s="172"/>
      <c r="DGM1" s="172"/>
      <c r="DGN1" s="172"/>
      <c r="DGO1" s="172"/>
      <c r="DGP1" s="172"/>
      <c r="DGQ1" s="172"/>
      <c r="DGR1" s="172"/>
      <c r="DGS1" s="172"/>
      <c r="DGT1" s="172"/>
      <c r="DGU1" s="172"/>
      <c r="DGV1" s="172"/>
      <c r="DGW1" s="172"/>
      <c r="DGX1" s="172"/>
      <c r="DGY1" s="172"/>
      <c r="DGZ1" s="172"/>
      <c r="DHA1" s="172"/>
      <c r="DHB1" s="172"/>
      <c r="DHC1" s="172"/>
      <c r="DHD1" s="172"/>
      <c r="DHE1" s="172"/>
      <c r="DHF1" s="172"/>
      <c r="DHG1" s="172"/>
      <c r="DHH1" s="172"/>
      <c r="DHI1" s="172"/>
      <c r="DHJ1" s="172"/>
      <c r="DHK1" s="172"/>
      <c r="DHL1" s="172"/>
      <c r="DHM1" s="172"/>
      <c r="DHN1" s="172"/>
      <c r="DHO1" s="172"/>
      <c r="DHP1" s="172"/>
      <c r="DHQ1" s="172"/>
      <c r="DHR1" s="172"/>
      <c r="DHS1" s="172"/>
      <c r="DHT1" s="172"/>
      <c r="DHU1" s="172"/>
      <c r="DHV1" s="172"/>
      <c r="DHW1" s="172"/>
      <c r="DHX1" s="172"/>
      <c r="DHY1" s="172"/>
      <c r="DHZ1" s="172"/>
      <c r="DIA1" s="172"/>
      <c r="DIB1" s="172"/>
      <c r="DIC1" s="172"/>
      <c r="DID1" s="172"/>
      <c r="DIE1" s="172"/>
      <c r="DIF1" s="172"/>
      <c r="DIG1" s="172"/>
      <c r="DIH1" s="172"/>
      <c r="DII1" s="172"/>
      <c r="DIJ1" s="172"/>
      <c r="DIK1" s="172"/>
      <c r="DIL1" s="172"/>
      <c r="DIM1" s="172"/>
      <c r="DIN1" s="172"/>
      <c r="DIO1" s="172"/>
      <c r="DIP1" s="172"/>
      <c r="DIQ1" s="172"/>
      <c r="DIR1" s="172"/>
      <c r="DIS1" s="172"/>
      <c r="DIT1" s="172"/>
      <c r="DIU1" s="172"/>
      <c r="DIV1" s="172"/>
      <c r="DIW1" s="172"/>
      <c r="DIX1" s="172"/>
      <c r="DIY1" s="172"/>
      <c r="DIZ1" s="172"/>
      <c r="DJA1" s="172"/>
      <c r="DJB1" s="172"/>
      <c r="DJC1" s="172"/>
      <c r="DJD1" s="172"/>
      <c r="DJE1" s="172"/>
      <c r="DJF1" s="172"/>
      <c r="DJG1" s="172"/>
      <c r="DJH1" s="172"/>
      <c r="DJI1" s="172"/>
      <c r="DJJ1" s="172"/>
      <c r="DJK1" s="172"/>
      <c r="DJL1" s="172"/>
      <c r="DJM1" s="172"/>
      <c r="DJN1" s="172"/>
      <c r="DJO1" s="172"/>
      <c r="DJP1" s="172"/>
      <c r="DJQ1" s="172"/>
      <c r="DJR1" s="172"/>
      <c r="DJS1" s="172"/>
      <c r="DJT1" s="172"/>
      <c r="DJU1" s="172"/>
      <c r="DJV1" s="172"/>
      <c r="DJW1" s="172"/>
      <c r="DJX1" s="172"/>
      <c r="DJY1" s="172"/>
      <c r="DJZ1" s="172"/>
      <c r="DKA1" s="172"/>
      <c r="DKB1" s="172"/>
      <c r="DKC1" s="172"/>
      <c r="DKD1" s="172"/>
      <c r="DKE1" s="172"/>
      <c r="DKF1" s="172"/>
      <c r="DKG1" s="172"/>
      <c r="DKH1" s="172"/>
      <c r="DKI1" s="172"/>
      <c r="DKJ1" s="172"/>
      <c r="DKK1" s="172"/>
      <c r="DKL1" s="172"/>
      <c r="DKM1" s="172"/>
      <c r="DKN1" s="172"/>
      <c r="DKO1" s="172"/>
      <c r="DKP1" s="172"/>
      <c r="DKQ1" s="172"/>
      <c r="DKR1" s="172"/>
      <c r="DKS1" s="172"/>
      <c r="DKT1" s="172"/>
      <c r="DKU1" s="172"/>
      <c r="DKV1" s="172"/>
      <c r="DKW1" s="172"/>
      <c r="DKX1" s="172"/>
      <c r="DKY1" s="172"/>
      <c r="DKZ1" s="172"/>
      <c r="DLA1" s="172"/>
      <c r="DLB1" s="172"/>
      <c r="DLC1" s="172"/>
      <c r="DLD1" s="172"/>
      <c r="DLE1" s="172"/>
      <c r="DLF1" s="172"/>
      <c r="DLG1" s="172"/>
      <c r="DLH1" s="172"/>
      <c r="DLI1" s="172"/>
      <c r="DLJ1" s="172"/>
      <c r="DLK1" s="172"/>
      <c r="DLL1" s="172"/>
      <c r="DLM1" s="172"/>
      <c r="DLN1" s="172"/>
      <c r="DLO1" s="172"/>
      <c r="DLP1" s="172"/>
      <c r="DLQ1" s="172"/>
      <c r="DLR1" s="172"/>
      <c r="DLS1" s="172"/>
      <c r="DLT1" s="172"/>
      <c r="DLU1" s="172"/>
      <c r="DLV1" s="172"/>
      <c r="DLW1" s="172"/>
      <c r="DLX1" s="172"/>
      <c r="DLY1" s="172"/>
      <c r="DLZ1" s="172"/>
      <c r="DMA1" s="172"/>
      <c r="DMB1" s="172"/>
      <c r="DMC1" s="172"/>
      <c r="DMD1" s="172"/>
      <c r="DME1" s="172"/>
      <c r="DMF1" s="172"/>
      <c r="DMG1" s="172"/>
      <c r="DMH1" s="172"/>
      <c r="DMI1" s="172"/>
      <c r="DMJ1" s="172"/>
      <c r="DMK1" s="172"/>
      <c r="DML1" s="172"/>
      <c r="DMM1" s="172"/>
      <c r="DMN1" s="172"/>
      <c r="DMO1" s="172"/>
      <c r="DMP1" s="172"/>
      <c r="DMQ1" s="172"/>
      <c r="DMR1" s="172"/>
      <c r="DMS1" s="172"/>
      <c r="DMT1" s="172"/>
      <c r="DMU1" s="172"/>
      <c r="DMV1" s="172"/>
      <c r="DMW1" s="172"/>
      <c r="DMX1" s="172"/>
      <c r="DMY1" s="172"/>
      <c r="DMZ1" s="172"/>
      <c r="DNA1" s="172"/>
      <c r="DNB1" s="172"/>
      <c r="DNC1" s="172"/>
      <c r="DND1" s="172"/>
      <c r="DNE1" s="172"/>
      <c r="DNF1" s="172"/>
      <c r="DNG1" s="172"/>
      <c r="DNH1" s="172"/>
      <c r="DNI1" s="172"/>
      <c r="DNJ1" s="172"/>
      <c r="DNK1" s="172"/>
      <c r="DNL1" s="172"/>
      <c r="DNM1" s="172"/>
      <c r="DNN1" s="172"/>
      <c r="DNO1" s="172"/>
      <c r="DNP1" s="172"/>
      <c r="DNQ1" s="172"/>
      <c r="DNR1" s="172"/>
      <c r="DNS1" s="172"/>
      <c r="DNT1" s="172"/>
      <c r="DNU1" s="172"/>
      <c r="DNV1" s="172"/>
      <c r="DNW1" s="172"/>
      <c r="DNX1" s="172"/>
      <c r="DNY1" s="172"/>
      <c r="DNZ1" s="172"/>
      <c r="DOA1" s="172"/>
      <c r="DOB1" s="172"/>
      <c r="DOC1" s="172"/>
      <c r="DOD1" s="172"/>
      <c r="DOE1" s="172"/>
      <c r="DOF1" s="172"/>
      <c r="DOG1" s="172"/>
      <c r="DOH1" s="172"/>
      <c r="DOI1" s="172"/>
      <c r="DOJ1" s="172"/>
      <c r="DOK1" s="172"/>
      <c r="DOL1" s="172"/>
      <c r="DOM1" s="172"/>
      <c r="DON1" s="172"/>
      <c r="DOO1" s="172"/>
      <c r="DOP1" s="172"/>
      <c r="DOQ1" s="172"/>
      <c r="DOR1" s="172"/>
      <c r="DOS1" s="172"/>
      <c r="DOT1" s="172"/>
      <c r="DOU1" s="172"/>
      <c r="DOV1" s="172"/>
      <c r="DOW1" s="172"/>
      <c r="DOX1" s="172"/>
      <c r="DOY1" s="172"/>
      <c r="DOZ1" s="172"/>
      <c r="DPA1" s="172"/>
      <c r="DPB1" s="172"/>
      <c r="DPC1" s="172"/>
      <c r="DPD1" s="172"/>
      <c r="DPE1" s="172"/>
      <c r="DPF1" s="172"/>
      <c r="DPG1" s="172"/>
      <c r="DPH1" s="172"/>
      <c r="DPI1" s="172"/>
      <c r="DPJ1" s="172"/>
      <c r="DPK1" s="172"/>
      <c r="DPL1" s="172"/>
      <c r="DPM1" s="172"/>
      <c r="DPN1" s="172"/>
      <c r="DPO1" s="172"/>
      <c r="DPP1" s="172"/>
      <c r="DPQ1" s="172"/>
      <c r="DPR1" s="172"/>
      <c r="DPS1" s="172"/>
      <c r="DPT1" s="172"/>
      <c r="DPU1" s="172"/>
      <c r="DPV1" s="172"/>
      <c r="DPW1" s="172"/>
      <c r="DPX1" s="172"/>
      <c r="DPY1" s="172"/>
      <c r="DPZ1" s="172"/>
      <c r="DQA1" s="172"/>
      <c r="DQB1" s="172"/>
      <c r="DQC1" s="172"/>
      <c r="DQD1" s="172"/>
      <c r="DQE1" s="172"/>
      <c r="DQF1" s="172"/>
      <c r="DQG1" s="172"/>
      <c r="DQH1" s="172"/>
      <c r="DQI1" s="172"/>
      <c r="DQJ1" s="172"/>
      <c r="DQK1" s="172"/>
      <c r="DQL1" s="172"/>
      <c r="DQM1" s="172"/>
      <c r="DQN1" s="172"/>
      <c r="DQO1" s="172"/>
      <c r="DQP1" s="172"/>
      <c r="DQQ1" s="172"/>
      <c r="DQR1" s="172"/>
      <c r="DQS1" s="172"/>
      <c r="DQT1" s="172"/>
      <c r="DQU1" s="172"/>
      <c r="DQV1" s="172"/>
      <c r="DQW1" s="172"/>
      <c r="DQX1" s="172"/>
      <c r="DQY1" s="172"/>
      <c r="DQZ1" s="172"/>
      <c r="DRA1" s="172"/>
      <c r="DRB1" s="172"/>
      <c r="DRC1" s="172"/>
      <c r="DRD1" s="172"/>
      <c r="DRE1" s="172"/>
      <c r="DRF1" s="172"/>
      <c r="DRG1" s="172"/>
      <c r="DRH1" s="172"/>
      <c r="DRI1" s="172"/>
      <c r="DRJ1" s="172"/>
      <c r="DRK1" s="172"/>
      <c r="DRL1" s="172"/>
      <c r="DRM1" s="172"/>
      <c r="DRN1" s="172"/>
      <c r="DRO1" s="172"/>
      <c r="DRP1" s="172"/>
      <c r="DRQ1" s="172"/>
      <c r="DRR1" s="172"/>
      <c r="DRS1" s="172"/>
      <c r="DRT1" s="172"/>
      <c r="DRU1" s="172"/>
      <c r="DRV1" s="172"/>
      <c r="DRW1" s="172"/>
      <c r="DRX1" s="172"/>
      <c r="DRY1" s="172"/>
      <c r="DRZ1" s="172"/>
      <c r="DSA1" s="172"/>
      <c r="DSB1" s="172"/>
      <c r="DSC1" s="172"/>
      <c r="DSD1" s="172"/>
      <c r="DSE1" s="172"/>
      <c r="DSF1" s="172"/>
      <c r="DSG1" s="172"/>
      <c r="DSH1" s="172"/>
      <c r="DSI1" s="172"/>
      <c r="DSJ1" s="172"/>
      <c r="DSK1" s="172"/>
      <c r="DSL1" s="172"/>
      <c r="DSM1" s="172"/>
      <c r="DSN1" s="172"/>
      <c r="DSO1" s="172"/>
      <c r="DSP1" s="172"/>
      <c r="DSQ1" s="172"/>
      <c r="DSR1" s="172"/>
      <c r="DSS1" s="172"/>
      <c r="DST1" s="172"/>
      <c r="DSU1" s="172"/>
      <c r="DSV1" s="172"/>
      <c r="DSW1" s="172"/>
      <c r="DSX1" s="172"/>
      <c r="DSY1" s="172"/>
      <c r="DSZ1" s="172"/>
      <c r="DTA1" s="172"/>
      <c r="DTB1" s="172"/>
      <c r="DTC1" s="172"/>
      <c r="DTD1" s="172"/>
      <c r="DTE1" s="172"/>
      <c r="DTF1" s="172"/>
      <c r="DTG1" s="172"/>
      <c r="DTH1" s="172"/>
      <c r="DTI1" s="172"/>
      <c r="DTJ1" s="172"/>
      <c r="DTK1" s="172"/>
      <c r="DTL1" s="172"/>
      <c r="DTM1" s="172"/>
      <c r="DTN1" s="172"/>
      <c r="DTO1" s="172"/>
      <c r="DTP1" s="172"/>
      <c r="DTQ1" s="172"/>
      <c r="DTR1" s="172"/>
      <c r="DTS1" s="172"/>
      <c r="DTT1" s="172"/>
      <c r="DTU1" s="172"/>
      <c r="DTV1" s="172"/>
      <c r="DTW1" s="172"/>
      <c r="DTX1" s="172"/>
      <c r="DTY1" s="172"/>
      <c r="DTZ1" s="172"/>
      <c r="DUA1" s="172"/>
      <c r="DUB1" s="172"/>
      <c r="DUC1" s="172"/>
      <c r="DUD1" s="172"/>
      <c r="DUE1" s="172"/>
      <c r="DUF1" s="172"/>
      <c r="DUG1" s="172"/>
      <c r="DUH1" s="172"/>
      <c r="DUI1" s="172"/>
      <c r="DUJ1" s="172"/>
      <c r="DUK1" s="172"/>
      <c r="DUL1" s="172"/>
      <c r="DUM1" s="172"/>
      <c r="DUN1" s="172"/>
      <c r="DUO1" s="172"/>
      <c r="DUP1" s="172"/>
      <c r="DUQ1" s="172"/>
      <c r="DUR1" s="172"/>
      <c r="DUS1" s="172"/>
      <c r="DUT1" s="172"/>
      <c r="DUU1" s="172"/>
      <c r="DUV1" s="172"/>
      <c r="DUW1" s="172"/>
      <c r="DUX1" s="172"/>
      <c r="DUY1" s="172"/>
      <c r="DUZ1" s="172"/>
      <c r="DVA1" s="172"/>
      <c r="DVB1" s="172"/>
      <c r="DVC1" s="172"/>
      <c r="DVD1" s="172"/>
      <c r="DVE1" s="172"/>
      <c r="DVF1" s="172"/>
      <c r="DVG1" s="172"/>
      <c r="DVH1" s="172"/>
      <c r="DVI1" s="172"/>
      <c r="DVJ1" s="172"/>
      <c r="DVK1" s="172"/>
      <c r="DVL1" s="172"/>
      <c r="DVM1" s="172"/>
      <c r="DVN1" s="172"/>
      <c r="DVO1" s="172"/>
      <c r="DVP1" s="172"/>
      <c r="DVQ1" s="172"/>
      <c r="DVR1" s="172"/>
      <c r="DVS1" s="172"/>
      <c r="DVT1" s="172"/>
      <c r="DVU1" s="172"/>
      <c r="DVV1" s="172"/>
      <c r="DVW1" s="172"/>
      <c r="DVX1" s="172"/>
      <c r="DVY1" s="172"/>
      <c r="DVZ1" s="172"/>
      <c r="DWA1" s="172"/>
      <c r="DWB1" s="172"/>
      <c r="DWC1" s="172"/>
      <c r="DWD1" s="172"/>
      <c r="DWE1" s="172"/>
      <c r="DWF1" s="172"/>
      <c r="DWG1" s="172"/>
      <c r="DWH1" s="172"/>
      <c r="DWI1" s="172"/>
      <c r="DWJ1" s="172"/>
      <c r="DWK1" s="172"/>
      <c r="DWL1" s="172"/>
      <c r="DWM1" s="172"/>
      <c r="DWN1" s="172"/>
      <c r="DWO1" s="172"/>
      <c r="DWP1" s="172"/>
      <c r="DWQ1" s="172"/>
      <c r="DWR1" s="172"/>
      <c r="DWS1" s="172"/>
      <c r="DWT1" s="172"/>
      <c r="DWU1" s="172"/>
      <c r="DWV1" s="172"/>
      <c r="DWW1" s="172"/>
      <c r="DWX1" s="172"/>
      <c r="DWY1" s="172"/>
      <c r="DWZ1" s="172"/>
      <c r="DXA1" s="172"/>
      <c r="DXB1" s="172"/>
      <c r="DXC1" s="172"/>
      <c r="DXD1" s="172"/>
      <c r="DXE1" s="172"/>
      <c r="DXF1" s="172"/>
      <c r="DXG1" s="172"/>
      <c r="DXH1" s="172"/>
      <c r="DXI1" s="172"/>
      <c r="DXJ1" s="172"/>
      <c r="DXK1" s="172"/>
      <c r="DXL1" s="172"/>
      <c r="DXM1" s="172"/>
      <c r="DXN1" s="172"/>
      <c r="DXO1" s="172"/>
      <c r="DXP1" s="172"/>
      <c r="DXQ1" s="172"/>
      <c r="DXR1" s="172"/>
      <c r="DXS1" s="172"/>
      <c r="DXT1" s="172"/>
      <c r="DXU1" s="172"/>
      <c r="DXV1" s="172"/>
      <c r="DXW1" s="172"/>
      <c r="DXX1" s="172"/>
      <c r="DXY1" s="172"/>
      <c r="DXZ1" s="172"/>
      <c r="DYA1" s="172"/>
      <c r="DYB1" s="172"/>
      <c r="DYC1" s="172"/>
      <c r="DYD1" s="172"/>
      <c r="DYE1" s="172"/>
      <c r="DYF1" s="172"/>
      <c r="DYG1" s="172"/>
      <c r="DYH1" s="172"/>
      <c r="DYI1" s="172"/>
      <c r="DYJ1" s="172"/>
      <c r="DYK1" s="172"/>
      <c r="DYL1" s="172"/>
      <c r="DYM1" s="172"/>
      <c r="DYN1" s="172"/>
      <c r="DYO1" s="172"/>
      <c r="DYP1" s="172"/>
      <c r="DYQ1" s="172"/>
      <c r="DYR1" s="172"/>
      <c r="DYS1" s="172"/>
      <c r="DYT1" s="172"/>
      <c r="DYU1" s="172"/>
      <c r="DYV1" s="172"/>
      <c r="DYW1" s="172"/>
      <c r="DYX1" s="172"/>
      <c r="DYY1" s="172"/>
      <c r="DYZ1" s="172"/>
      <c r="DZA1" s="172"/>
      <c r="DZB1" s="172"/>
      <c r="DZC1" s="172"/>
      <c r="DZD1" s="172"/>
      <c r="DZE1" s="172"/>
      <c r="DZF1" s="172"/>
      <c r="DZG1" s="172"/>
      <c r="DZH1" s="172"/>
      <c r="DZI1" s="172"/>
      <c r="DZJ1" s="172"/>
      <c r="DZK1" s="172"/>
      <c r="DZL1" s="172"/>
      <c r="DZM1" s="172"/>
      <c r="DZN1" s="172"/>
      <c r="DZO1" s="172"/>
      <c r="DZP1" s="172"/>
      <c r="DZQ1" s="172"/>
      <c r="DZR1" s="172"/>
      <c r="DZS1" s="172"/>
      <c r="DZT1" s="172"/>
      <c r="DZU1" s="172"/>
      <c r="DZV1" s="172"/>
      <c r="DZW1" s="172"/>
      <c r="DZX1" s="172"/>
      <c r="DZY1" s="172"/>
      <c r="DZZ1" s="172"/>
      <c r="EAA1" s="172"/>
      <c r="EAB1" s="172"/>
      <c r="EAC1" s="172"/>
      <c r="EAD1" s="172"/>
      <c r="EAE1" s="172"/>
      <c r="EAF1" s="172"/>
      <c r="EAG1" s="172"/>
      <c r="EAH1" s="172"/>
      <c r="EAI1" s="172"/>
      <c r="EAJ1" s="172"/>
      <c r="EAK1" s="172"/>
      <c r="EAL1" s="172"/>
      <c r="EAM1" s="172"/>
      <c r="EAN1" s="172"/>
      <c r="EAO1" s="172"/>
      <c r="EAP1" s="172"/>
      <c r="EAQ1" s="172"/>
      <c r="EAR1" s="172"/>
      <c r="EAS1" s="172"/>
      <c r="EAT1" s="172"/>
      <c r="EAU1" s="172"/>
      <c r="EAV1" s="172"/>
      <c r="EAW1" s="172"/>
      <c r="EAX1" s="172"/>
      <c r="EAY1" s="172"/>
      <c r="EAZ1" s="172"/>
      <c r="EBA1" s="172"/>
      <c r="EBB1" s="172"/>
      <c r="EBC1" s="172"/>
      <c r="EBD1" s="172"/>
      <c r="EBE1" s="172"/>
      <c r="EBF1" s="172"/>
      <c r="EBG1" s="172"/>
      <c r="EBH1" s="172"/>
      <c r="EBI1" s="172"/>
      <c r="EBJ1" s="172"/>
      <c r="EBK1" s="172"/>
      <c r="EBL1" s="172"/>
      <c r="EBM1" s="172"/>
      <c r="EBN1" s="172"/>
      <c r="EBO1" s="172"/>
      <c r="EBP1" s="172"/>
      <c r="EBQ1" s="172"/>
      <c r="EBR1" s="172"/>
      <c r="EBS1" s="172"/>
      <c r="EBT1" s="172"/>
      <c r="EBU1" s="172"/>
      <c r="EBV1" s="172"/>
      <c r="EBW1" s="172"/>
      <c r="EBX1" s="172"/>
      <c r="EBY1" s="172"/>
      <c r="EBZ1" s="172"/>
      <c r="ECA1" s="172"/>
      <c r="ECB1" s="172"/>
      <c r="ECC1" s="172"/>
      <c r="ECD1" s="172"/>
      <c r="ECE1" s="172"/>
      <c r="ECF1" s="172"/>
      <c r="ECG1" s="172"/>
      <c r="ECH1" s="172"/>
      <c r="ECI1" s="172"/>
      <c r="ECJ1" s="172"/>
      <c r="ECK1" s="172"/>
      <c r="ECL1" s="172"/>
      <c r="ECM1" s="172"/>
      <c r="ECN1" s="172"/>
      <c r="ECO1" s="172"/>
      <c r="ECP1" s="172"/>
      <c r="ECQ1" s="172"/>
      <c r="ECR1" s="172"/>
      <c r="ECS1" s="172"/>
      <c r="ECT1" s="172"/>
      <c r="ECU1" s="172"/>
      <c r="ECV1" s="172"/>
      <c r="ECW1" s="172"/>
      <c r="ECX1" s="172"/>
      <c r="ECY1" s="172"/>
      <c r="ECZ1" s="172"/>
      <c r="EDA1" s="172"/>
      <c r="EDB1" s="172"/>
      <c r="EDC1" s="172"/>
      <c r="EDD1" s="172"/>
      <c r="EDE1" s="172"/>
      <c r="EDF1" s="172"/>
      <c r="EDG1" s="172"/>
      <c r="EDH1" s="172"/>
      <c r="EDI1" s="172"/>
      <c r="EDJ1" s="172"/>
      <c r="EDK1" s="172"/>
      <c r="EDL1" s="172"/>
      <c r="EDM1" s="172"/>
      <c r="EDN1" s="172"/>
      <c r="EDO1" s="172"/>
      <c r="EDP1" s="172"/>
      <c r="EDQ1" s="172"/>
      <c r="EDR1" s="172"/>
      <c r="EDS1" s="172"/>
      <c r="EDT1" s="172"/>
      <c r="EDU1" s="172"/>
      <c r="EDV1" s="172"/>
      <c r="EDW1" s="172"/>
      <c r="EDX1" s="172"/>
      <c r="EDY1" s="172"/>
      <c r="EDZ1" s="172"/>
      <c r="EEA1" s="172"/>
      <c r="EEB1" s="172"/>
      <c r="EEC1" s="172"/>
      <c r="EED1" s="172"/>
      <c r="EEE1" s="172"/>
      <c r="EEF1" s="172"/>
      <c r="EEG1" s="172"/>
      <c r="EEH1" s="172"/>
      <c r="EEI1" s="172"/>
      <c r="EEJ1" s="172"/>
      <c r="EEK1" s="172"/>
      <c r="EEL1" s="172"/>
      <c r="EEM1" s="172"/>
      <c r="EEN1" s="172"/>
      <c r="EEO1" s="172"/>
      <c r="EEP1" s="172"/>
      <c r="EEQ1" s="172"/>
      <c r="EER1" s="172"/>
      <c r="EES1" s="172"/>
      <c r="EET1" s="172"/>
      <c r="EEU1" s="172"/>
      <c r="EEV1" s="172"/>
      <c r="EEW1" s="172"/>
      <c r="EEX1" s="172"/>
      <c r="EEY1" s="172"/>
      <c r="EEZ1" s="172"/>
      <c r="EFA1" s="172"/>
      <c r="EFB1" s="172"/>
      <c r="EFC1" s="172"/>
      <c r="EFD1" s="172"/>
      <c r="EFE1" s="172"/>
      <c r="EFF1" s="172"/>
      <c r="EFG1" s="172"/>
      <c r="EFH1" s="172"/>
      <c r="EFI1" s="172"/>
      <c r="EFJ1" s="172"/>
      <c r="EFK1" s="172"/>
      <c r="EFL1" s="172"/>
      <c r="EFM1" s="172"/>
      <c r="EFN1" s="172"/>
      <c r="EFO1" s="172"/>
      <c r="EFP1" s="172"/>
      <c r="EFQ1" s="172"/>
      <c r="EFR1" s="172"/>
      <c r="EFS1" s="172"/>
      <c r="EFT1" s="172"/>
      <c r="EFU1" s="172"/>
      <c r="EFV1" s="172"/>
      <c r="EFW1" s="172"/>
      <c r="EFX1" s="172"/>
      <c r="EFY1" s="172"/>
      <c r="EFZ1" s="172"/>
      <c r="EGA1" s="172"/>
      <c r="EGB1" s="172"/>
      <c r="EGC1" s="172"/>
      <c r="EGD1" s="172"/>
      <c r="EGE1" s="172"/>
      <c r="EGF1" s="172"/>
      <c r="EGG1" s="172"/>
      <c r="EGH1" s="172"/>
      <c r="EGI1" s="172"/>
      <c r="EGJ1" s="172"/>
      <c r="EGK1" s="172"/>
      <c r="EGL1" s="172"/>
      <c r="EGM1" s="172"/>
      <c r="EGN1" s="172"/>
      <c r="EGO1" s="172"/>
      <c r="EGP1" s="172"/>
      <c r="EGQ1" s="172"/>
      <c r="EGR1" s="172"/>
      <c r="EGS1" s="172"/>
      <c r="EGT1" s="172"/>
      <c r="EGU1" s="172"/>
      <c r="EGV1" s="172"/>
      <c r="EGW1" s="172"/>
      <c r="EGX1" s="172"/>
      <c r="EGY1" s="172"/>
      <c r="EGZ1" s="172"/>
      <c r="EHA1" s="172"/>
      <c r="EHB1" s="172"/>
      <c r="EHC1" s="172"/>
      <c r="EHD1" s="172"/>
      <c r="EHE1" s="172"/>
      <c r="EHF1" s="172"/>
      <c r="EHG1" s="172"/>
      <c r="EHH1" s="172"/>
      <c r="EHI1" s="172"/>
      <c r="EHJ1" s="172"/>
      <c r="EHK1" s="172"/>
      <c r="EHL1" s="172"/>
      <c r="EHM1" s="172"/>
      <c r="EHN1" s="172"/>
      <c r="EHO1" s="172"/>
      <c r="EHP1" s="172"/>
      <c r="EHQ1" s="172"/>
      <c r="EHR1" s="172"/>
      <c r="EHS1" s="172"/>
      <c r="EHT1" s="172"/>
      <c r="EHU1" s="172"/>
      <c r="EHV1" s="172"/>
      <c r="EHW1" s="172"/>
      <c r="EHX1" s="172"/>
      <c r="EHY1" s="172"/>
      <c r="EHZ1" s="172"/>
      <c r="EIA1" s="172"/>
      <c r="EIB1" s="172"/>
      <c r="EIC1" s="172"/>
      <c r="EID1" s="172"/>
      <c r="EIE1" s="172"/>
      <c r="EIF1" s="172"/>
      <c r="EIG1" s="172"/>
      <c r="EIH1" s="172"/>
      <c r="EII1" s="172"/>
      <c r="EIJ1" s="172"/>
      <c r="EIK1" s="172"/>
      <c r="EIL1" s="172"/>
      <c r="EIM1" s="172"/>
      <c r="EIN1" s="172"/>
      <c r="EIO1" s="172"/>
      <c r="EIP1" s="172"/>
      <c r="EIQ1" s="172"/>
      <c r="EIR1" s="172"/>
      <c r="EIS1" s="172"/>
      <c r="EIT1" s="172"/>
      <c r="EIU1" s="172"/>
      <c r="EIV1" s="172"/>
      <c r="EIW1" s="172"/>
      <c r="EIX1" s="172"/>
      <c r="EIY1" s="172"/>
      <c r="EIZ1" s="172"/>
      <c r="EJA1" s="172"/>
      <c r="EJB1" s="172"/>
      <c r="EJC1" s="172"/>
      <c r="EJD1" s="172"/>
      <c r="EJE1" s="172"/>
      <c r="EJF1" s="172"/>
      <c r="EJG1" s="172"/>
      <c r="EJH1" s="172"/>
      <c r="EJI1" s="172"/>
      <c r="EJJ1" s="172"/>
      <c r="EJK1" s="172"/>
      <c r="EJL1" s="172"/>
      <c r="EJM1" s="172"/>
      <c r="EJN1" s="172"/>
      <c r="EJO1" s="172"/>
      <c r="EJP1" s="172"/>
      <c r="EJQ1" s="172"/>
      <c r="EJR1" s="172"/>
      <c r="EJS1" s="172"/>
      <c r="EJT1" s="172"/>
      <c r="EJU1" s="172"/>
      <c r="EJV1" s="172"/>
      <c r="EJW1" s="172"/>
      <c r="EJX1" s="172"/>
      <c r="EJY1" s="172"/>
      <c r="EJZ1" s="172"/>
      <c r="EKA1" s="172"/>
      <c r="EKB1" s="172"/>
      <c r="EKC1" s="172"/>
      <c r="EKD1" s="172"/>
      <c r="EKE1" s="172"/>
      <c r="EKF1" s="172"/>
      <c r="EKG1" s="172"/>
      <c r="EKH1" s="172"/>
      <c r="EKI1" s="172"/>
      <c r="EKJ1" s="172"/>
      <c r="EKK1" s="172"/>
      <c r="EKL1" s="172"/>
      <c r="EKM1" s="172"/>
      <c r="EKN1" s="172"/>
      <c r="EKO1" s="172"/>
      <c r="EKP1" s="172"/>
      <c r="EKQ1" s="172"/>
      <c r="EKR1" s="172"/>
      <c r="EKS1" s="172"/>
      <c r="EKT1" s="172"/>
      <c r="EKU1" s="172"/>
      <c r="EKV1" s="172"/>
      <c r="EKW1" s="172"/>
      <c r="EKX1" s="172"/>
      <c r="EKY1" s="172"/>
      <c r="EKZ1" s="172"/>
      <c r="ELA1" s="172"/>
      <c r="ELB1" s="172"/>
      <c r="ELC1" s="172"/>
      <c r="ELD1" s="172"/>
      <c r="ELE1" s="172"/>
      <c r="ELF1" s="172"/>
      <c r="ELG1" s="172"/>
      <c r="ELH1" s="172"/>
      <c r="ELI1" s="172"/>
      <c r="ELJ1" s="172"/>
      <c r="ELK1" s="172"/>
      <c r="ELL1" s="172"/>
      <c r="ELM1" s="172"/>
      <c r="ELN1" s="172"/>
      <c r="ELO1" s="172"/>
      <c r="ELP1" s="172"/>
      <c r="ELQ1" s="172"/>
      <c r="ELR1" s="172"/>
      <c r="ELS1" s="172"/>
      <c r="ELT1" s="172"/>
      <c r="ELU1" s="172"/>
      <c r="ELV1" s="172"/>
      <c r="ELW1" s="172"/>
      <c r="ELX1" s="172"/>
      <c r="ELY1" s="172"/>
      <c r="ELZ1" s="172"/>
      <c r="EMA1" s="172"/>
      <c r="EMB1" s="172"/>
      <c r="EMC1" s="172"/>
      <c r="EMD1" s="172"/>
      <c r="EME1" s="172"/>
      <c r="EMF1" s="172"/>
      <c r="EMG1" s="172"/>
      <c r="EMH1" s="172"/>
      <c r="EMI1" s="172"/>
      <c r="EMJ1" s="172"/>
      <c r="EMK1" s="172"/>
      <c r="EML1" s="172"/>
      <c r="EMM1" s="172"/>
      <c r="EMN1" s="172"/>
      <c r="EMO1" s="172"/>
      <c r="EMP1" s="172"/>
      <c r="EMQ1" s="172"/>
      <c r="EMR1" s="172"/>
      <c r="EMS1" s="172"/>
      <c r="EMT1" s="172"/>
      <c r="EMU1" s="172"/>
      <c r="EMV1" s="172"/>
      <c r="EMW1" s="172"/>
      <c r="EMX1" s="172"/>
      <c r="EMY1" s="172"/>
      <c r="EMZ1" s="172"/>
      <c r="ENA1" s="172"/>
      <c r="ENB1" s="172"/>
      <c r="ENC1" s="172"/>
      <c r="END1" s="172"/>
      <c r="ENE1" s="172"/>
      <c r="ENF1" s="172"/>
      <c r="ENG1" s="172"/>
      <c r="ENH1" s="172"/>
      <c r="ENI1" s="172"/>
      <c r="ENJ1" s="172"/>
      <c r="ENK1" s="172"/>
      <c r="ENL1" s="172"/>
      <c r="ENM1" s="172"/>
      <c r="ENN1" s="172"/>
      <c r="ENO1" s="172"/>
      <c r="ENP1" s="172"/>
      <c r="ENQ1" s="172"/>
      <c r="ENR1" s="172"/>
      <c r="ENS1" s="172"/>
      <c r="ENT1" s="172"/>
      <c r="ENU1" s="172"/>
      <c r="ENV1" s="172"/>
      <c r="ENW1" s="172"/>
      <c r="ENX1" s="172"/>
      <c r="ENY1" s="172"/>
      <c r="ENZ1" s="172"/>
      <c r="EOA1" s="172"/>
      <c r="EOB1" s="172"/>
      <c r="EOC1" s="172"/>
      <c r="EOD1" s="172"/>
      <c r="EOE1" s="172"/>
      <c r="EOF1" s="172"/>
      <c r="EOG1" s="172"/>
      <c r="EOH1" s="172"/>
      <c r="EOI1" s="172"/>
      <c r="EOJ1" s="172"/>
      <c r="EOK1" s="172"/>
      <c r="EOL1" s="172"/>
      <c r="EOM1" s="172"/>
      <c r="EON1" s="172"/>
      <c r="EOO1" s="172"/>
      <c r="EOP1" s="172"/>
      <c r="EOQ1" s="172"/>
      <c r="EOR1" s="172"/>
      <c r="EOS1" s="172"/>
      <c r="EOT1" s="172"/>
      <c r="EOU1" s="172"/>
      <c r="EOV1" s="172"/>
      <c r="EOW1" s="172"/>
      <c r="EOX1" s="172"/>
      <c r="EOY1" s="172"/>
      <c r="EOZ1" s="172"/>
      <c r="EPA1" s="172"/>
      <c r="EPB1" s="172"/>
      <c r="EPC1" s="172"/>
      <c r="EPD1" s="172"/>
      <c r="EPE1" s="172"/>
      <c r="EPF1" s="172"/>
      <c r="EPG1" s="172"/>
      <c r="EPH1" s="172"/>
      <c r="EPI1" s="172"/>
      <c r="EPJ1" s="172"/>
      <c r="EPK1" s="172"/>
      <c r="EPL1" s="172"/>
      <c r="EPM1" s="172"/>
      <c r="EPN1" s="172"/>
      <c r="EPO1" s="172"/>
      <c r="EPP1" s="172"/>
      <c r="EPQ1" s="172"/>
      <c r="EPR1" s="172"/>
      <c r="EPS1" s="172"/>
      <c r="EPT1" s="172"/>
      <c r="EPU1" s="172"/>
      <c r="EPV1" s="172"/>
      <c r="EPW1" s="172"/>
      <c r="EPX1" s="172"/>
      <c r="EPY1" s="172"/>
      <c r="EPZ1" s="172"/>
      <c r="EQA1" s="172"/>
      <c r="EQB1" s="172"/>
      <c r="EQC1" s="172"/>
      <c r="EQD1" s="172"/>
      <c r="EQE1" s="172"/>
      <c r="EQF1" s="172"/>
      <c r="EQG1" s="172"/>
      <c r="EQH1" s="172"/>
      <c r="EQI1" s="172"/>
      <c r="EQJ1" s="172"/>
      <c r="EQK1" s="172"/>
      <c r="EQL1" s="172"/>
      <c r="EQM1" s="172"/>
      <c r="EQN1" s="172"/>
      <c r="EQO1" s="172"/>
      <c r="EQP1" s="172"/>
      <c r="EQQ1" s="172"/>
      <c r="EQR1" s="172"/>
      <c r="EQS1" s="172"/>
      <c r="EQT1" s="172"/>
      <c r="EQU1" s="172"/>
      <c r="EQV1" s="172"/>
      <c r="EQW1" s="172"/>
      <c r="EQX1" s="172"/>
      <c r="EQY1" s="172"/>
      <c r="EQZ1" s="172"/>
      <c r="ERA1" s="172"/>
      <c r="ERB1" s="172"/>
      <c r="ERC1" s="172"/>
      <c r="ERD1" s="172"/>
      <c r="ERE1" s="172"/>
      <c r="ERF1" s="172"/>
      <c r="ERG1" s="172"/>
      <c r="ERH1" s="172"/>
      <c r="ERI1" s="172"/>
      <c r="ERJ1" s="172"/>
      <c r="ERK1" s="172"/>
      <c r="ERL1" s="172"/>
      <c r="ERM1" s="172"/>
      <c r="ERN1" s="172"/>
      <c r="ERO1" s="172"/>
      <c r="ERP1" s="172"/>
      <c r="ERQ1" s="172"/>
      <c r="ERR1" s="172"/>
      <c r="ERS1" s="172"/>
      <c r="ERT1" s="172"/>
      <c r="ERU1" s="172"/>
      <c r="ERV1" s="172"/>
      <c r="ERW1" s="172"/>
      <c r="ERX1" s="172"/>
      <c r="ERY1" s="172"/>
      <c r="ERZ1" s="172"/>
      <c r="ESA1" s="172"/>
      <c r="ESB1" s="172"/>
      <c r="ESC1" s="172"/>
      <c r="ESD1" s="172"/>
      <c r="ESE1" s="172"/>
      <c r="ESF1" s="172"/>
      <c r="ESG1" s="172"/>
      <c r="ESH1" s="172"/>
      <c r="ESI1" s="172"/>
      <c r="ESJ1" s="172"/>
      <c r="ESK1" s="172"/>
      <c r="ESL1" s="172"/>
      <c r="ESM1" s="172"/>
      <c r="ESN1" s="172"/>
      <c r="ESO1" s="172"/>
      <c r="ESP1" s="172"/>
      <c r="ESQ1" s="172"/>
      <c r="ESR1" s="172"/>
      <c r="ESS1" s="172"/>
      <c r="EST1" s="172"/>
      <c r="ESU1" s="172"/>
      <c r="ESV1" s="172"/>
      <c r="ESW1" s="172"/>
      <c r="ESX1" s="172"/>
      <c r="ESY1" s="172"/>
      <c r="ESZ1" s="172"/>
      <c r="ETA1" s="172"/>
      <c r="ETB1" s="172"/>
      <c r="ETC1" s="172"/>
      <c r="ETD1" s="172"/>
      <c r="ETE1" s="172"/>
      <c r="ETF1" s="172"/>
      <c r="ETG1" s="172"/>
      <c r="ETH1" s="172"/>
      <c r="ETI1" s="172"/>
      <c r="ETJ1" s="172"/>
      <c r="ETK1" s="172"/>
      <c r="ETL1" s="172"/>
      <c r="ETM1" s="172"/>
      <c r="ETN1" s="172"/>
      <c r="ETO1" s="172"/>
      <c r="ETP1" s="172"/>
      <c r="ETQ1" s="172"/>
      <c r="ETR1" s="172"/>
      <c r="ETS1" s="172"/>
      <c r="ETT1" s="172"/>
      <c r="ETU1" s="172"/>
      <c r="ETV1" s="172"/>
      <c r="ETW1" s="172"/>
      <c r="ETX1" s="172"/>
      <c r="ETY1" s="172"/>
      <c r="ETZ1" s="172"/>
      <c r="EUA1" s="172"/>
      <c r="EUB1" s="172"/>
      <c r="EUC1" s="172"/>
      <c r="EUD1" s="172"/>
      <c r="EUE1" s="172"/>
      <c r="EUF1" s="172"/>
      <c r="EUG1" s="172"/>
      <c r="EUH1" s="172"/>
      <c r="EUI1" s="172"/>
      <c r="EUJ1" s="172"/>
      <c r="EUK1" s="172"/>
      <c r="EUL1" s="172"/>
      <c r="EUM1" s="172"/>
      <c r="EUN1" s="172"/>
      <c r="EUO1" s="172"/>
      <c r="EUP1" s="172"/>
      <c r="EUQ1" s="172"/>
      <c r="EUR1" s="172"/>
      <c r="EUS1" s="172"/>
      <c r="EUT1" s="172"/>
      <c r="EUU1" s="172"/>
      <c r="EUV1" s="172"/>
      <c r="EUW1" s="172"/>
      <c r="EUX1" s="172"/>
      <c r="EUY1" s="172"/>
      <c r="EUZ1" s="172"/>
      <c r="EVA1" s="172"/>
      <c r="EVB1" s="172"/>
      <c r="EVC1" s="172"/>
      <c r="EVD1" s="172"/>
      <c r="EVE1" s="172"/>
      <c r="EVF1" s="172"/>
      <c r="EVG1" s="172"/>
      <c r="EVH1" s="172"/>
      <c r="EVI1" s="172"/>
      <c r="EVJ1" s="172"/>
      <c r="EVK1" s="172"/>
      <c r="EVL1" s="172"/>
      <c r="EVM1" s="172"/>
      <c r="EVN1" s="172"/>
      <c r="EVO1" s="172"/>
      <c r="EVP1" s="172"/>
      <c r="EVQ1" s="172"/>
      <c r="EVR1" s="172"/>
      <c r="EVS1" s="172"/>
      <c r="EVT1" s="172"/>
      <c r="EVU1" s="172"/>
      <c r="EVV1" s="172"/>
      <c r="EVW1" s="172"/>
      <c r="EVX1" s="172"/>
      <c r="EVY1" s="172"/>
      <c r="EVZ1" s="172"/>
      <c r="EWA1" s="172"/>
      <c r="EWB1" s="172"/>
      <c r="EWC1" s="172"/>
      <c r="EWD1" s="172"/>
      <c r="EWE1" s="172"/>
      <c r="EWF1" s="172"/>
      <c r="EWG1" s="172"/>
      <c r="EWH1" s="172"/>
      <c r="EWI1" s="172"/>
      <c r="EWJ1" s="172"/>
      <c r="EWK1" s="172"/>
      <c r="EWL1" s="172"/>
      <c r="EWM1" s="172"/>
      <c r="EWN1" s="172"/>
      <c r="EWO1" s="172"/>
      <c r="EWP1" s="172"/>
      <c r="EWQ1" s="172"/>
      <c r="EWR1" s="172"/>
      <c r="EWS1" s="172"/>
      <c r="EWT1" s="172"/>
      <c r="EWU1" s="172"/>
      <c r="EWV1" s="172"/>
      <c r="EWW1" s="172"/>
      <c r="EWX1" s="172"/>
      <c r="EWY1" s="172"/>
      <c r="EWZ1" s="172"/>
      <c r="EXA1" s="172"/>
      <c r="EXB1" s="172"/>
      <c r="EXC1" s="172"/>
      <c r="EXD1" s="172"/>
      <c r="EXE1" s="172"/>
      <c r="EXF1" s="172"/>
      <c r="EXG1" s="172"/>
      <c r="EXH1" s="172"/>
      <c r="EXI1" s="172"/>
      <c r="EXJ1" s="172"/>
      <c r="EXK1" s="172"/>
      <c r="EXL1" s="172"/>
      <c r="EXM1" s="172"/>
      <c r="EXN1" s="172"/>
      <c r="EXO1" s="172"/>
      <c r="EXP1" s="172"/>
      <c r="EXQ1" s="172"/>
      <c r="EXR1" s="172"/>
      <c r="EXS1" s="172"/>
      <c r="EXT1" s="172"/>
      <c r="EXU1" s="172"/>
      <c r="EXV1" s="172"/>
      <c r="EXW1" s="172"/>
      <c r="EXX1" s="172"/>
      <c r="EXY1" s="172"/>
      <c r="EXZ1" s="172"/>
      <c r="EYA1" s="172"/>
      <c r="EYB1" s="172"/>
      <c r="EYC1" s="172"/>
      <c r="EYD1" s="172"/>
      <c r="EYE1" s="172"/>
      <c r="EYF1" s="172"/>
      <c r="EYG1" s="172"/>
      <c r="EYH1" s="172"/>
      <c r="EYI1" s="172"/>
      <c r="EYJ1" s="172"/>
      <c r="EYK1" s="172"/>
      <c r="EYL1" s="172"/>
      <c r="EYM1" s="172"/>
      <c r="EYN1" s="172"/>
      <c r="EYO1" s="172"/>
      <c r="EYP1" s="172"/>
      <c r="EYQ1" s="172"/>
      <c r="EYR1" s="172"/>
      <c r="EYS1" s="172"/>
      <c r="EYT1" s="172"/>
      <c r="EYU1" s="172"/>
      <c r="EYV1" s="172"/>
      <c r="EYW1" s="172"/>
      <c r="EYX1" s="172"/>
      <c r="EYY1" s="172"/>
      <c r="EYZ1" s="172"/>
      <c r="EZA1" s="172"/>
      <c r="EZB1" s="172"/>
      <c r="EZC1" s="172"/>
      <c r="EZD1" s="172"/>
      <c r="EZE1" s="172"/>
      <c r="EZF1" s="172"/>
      <c r="EZG1" s="172"/>
      <c r="EZH1" s="172"/>
      <c r="EZI1" s="172"/>
      <c r="EZJ1" s="172"/>
      <c r="EZK1" s="172"/>
      <c r="EZL1" s="172"/>
      <c r="EZM1" s="172"/>
      <c r="EZN1" s="172"/>
      <c r="EZO1" s="172"/>
      <c r="EZP1" s="172"/>
      <c r="EZQ1" s="172"/>
      <c r="EZR1" s="172"/>
      <c r="EZS1" s="172"/>
      <c r="EZT1" s="172"/>
      <c r="EZU1" s="172"/>
      <c r="EZV1" s="172"/>
      <c r="EZW1" s="172"/>
      <c r="EZX1" s="172"/>
      <c r="EZY1" s="172"/>
      <c r="EZZ1" s="172"/>
      <c r="FAA1" s="172"/>
      <c r="FAB1" s="172"/>
      <c r="FAC1" s="172"/>
      <c r="FAD1" s="172"/>
      <c r="FAE1" s="172"/>
      <c r="FAF1" s="172"/>
      <c r="FAG1" s="172"/>
      <c r="FAH1" s="172"/>
      <c r="FAI1" s="172"/>
      <c r="FAJ1" s="172"/>
      <c r="FAK1" s="172"/>
      <c r="FAL1" s="172"/>
      <c r="FAM1" s="172"/>
      <c r="FAN1" s="172"/>
      <c r="FAO1" s="172"/>
      <c r="FAP1" s="172"/>
      <c r="FAQ1" s="172"/>
      <c r="FAR1" s="172"/>
      <c r="FAS1" s="172"/>
      <c r="FAT1" s="172"/>
      <c r="FAU1" s="172"/>
      <c r="FAV1" s="172"/>
      <c r="FAW1" s="172"/>
      <c r="FAX1" s="172"/>
      <c r="FAY1" s="172"/>
      <c r="FAZ1" s="172"/>
      <c r="FBA1" s="172"/>
      <c r="FBB1" s="172"/>
      <c r="FBC1" s="172"/>
      <c r="FBD1" s="172"/>
      <c r="FBE1" s="172"/>
      <c r="FBF1" s="172"/>
      <c r="FBG1" s="172"/>
      <c r="FBH1" s="172"/>
      <c r="FBI1" s="172"/>
      <c r="FBJ1" s="172"/>
      <c r="FBK1" s="172"/>
      <c r="FBL1" s="172"/>
      <c r="FBM1" s="172"/>
      <c r="FBN1" s="172"/>
      <c r="FBO1" s="172"/>
      <c r="FBP1" s="172"/>
      <c r="FBQ1" s="172"/>
      <c r="FBR1" s="172"/>
      <c r="FBS1" s="172"/>
      <c r="FBT1" s="172"/>
      <c r="FBU1" s="172"/>
      <c r="FBV1" s="172"/>
      <c r="FBW1" s="172"/>
      <c r="FBX1" s="172"/>
      <c r="FBY1" s="172"/>
      <c r="FBZ1" s="172"/>
      <c r="FCA1" s="172"/>
      <c r="FCB1" s="172"/>
      <c r="FCC1" s="172"/>
      <c r="FCD1" s="172"/>
      <c r="FCE1" s="172"/>
      <c r="FCF1" s="172"/>
      <c r="FCG1" s="172"/>
      <c r="FCH1" s="172"/>
      <c r="FCI1" s="172"/>
      <c r="FCJ1" s="172"/>
      <c r="FCK1" s="172"/>
      <c r="FCL1" s="172"/>
      <c r="FCM1" s="172"/>
      <c r="FCN1" s="172"/>
      <c r="FCO1" s="172"/>
      <c r="FCP1" s="172"/>
      <c r="FCQ1" s="172"/>
      <c r="FCR1" s="172"/>
      <c r="FCS1" s="172"/>
      <c r="FCT1" s="172"/>
      <c r="FCU1" s="172"/>
      <c r="FCV1" s="172"/>
      <c r="FCW1" s="172"/>
      <c r="FCX1" s="172"/>
      <c r="FCY1" s="172"/>
      <c r="FCZ1" s="172"/>
      <c r="FDA1" s="172"/>
      <c r="FDB1" s="172"/>
      <c r="FDC1" s="172"/>
      <c r="FDD1" s="172"/>
      <c r="FDE1" s="172"/>
      <c r="FDF1" s="172"/>
      <c r="FDG1" s="172"/>
      <c r="FDH1" s="172"/>
      <c r="FDI1" s="172"/>
      <c r="FDJ1" s="172"/>
      <c r="FDK1" s="172"/>
      <c r="FDL1" s="172"/>
      <c r="FDM1" s="172"/>
      <c r="FDN1" s="172"/>
      <c r="FDO1" s="172"/>
      <c r="FDP1" s="172"/>
      <c r="FDQ1" s="172"/>
      <c r="FDR1" s="172"/>
      <c r="FDS1" s="172"/>
      <c r="FDT1" s="172"/>
      <c r="FDU1" s="172"/>
      <c r="FDV1" s="172"/>
      <c r="FDW1" s="172"/>
      <c r="FDX1" s="172"/>
      <c r="FDY1" s="172"/>
      <c r="FDZ1" s="172"/>
      <c r="FEA1" s="172"/>
      <c r="FEB1" s="172"/>
      <c r="FEC1" s="172"/>
      <c r="FED1" s="172"/>
      <c r="FEE1" s="172"/>
      <c r="FEF1" s="172"/>
      <c r="FEG1" s="172"/>
      <c r="FEH1" s="172"/>
      <c r="FEI1" s="172"/>
      <c r="FEJ1" s="172"/>
      <c r="FEK1" s="172"/>
      <c r="FEL1" s="172"/>
      <c r="FEM1" s="172"/>
      <c r="FEN1" s="172"/>
      <c r="FEO1" s="172"/>
      <c r="FEP1" s="172"/>
      <c r="FEQ1" s="172"/>
      <c r="FER1" s="172"/>
      <c r="FES1" s="172"/>
      <c r="FET1" s="172"/>
      <c r="FEU1" s="172"/>
      <c r="FEV1" s="172"/>
      <c r="FEW1" s="172"/>
      <c r="FEX1" s="172"/>
      <c r="FEY1" s="172"/>
      <c r="FEZ1" s="172"/>
      <c r="FFA1" s="172"/>
      <c r="FFB1" s="172"/>
      <c r="FFC1" s="172"/>
      <c r="FFD1" s="172"/>
      <c r="FFE1" s="172"/>
      <c r="FFF1" s="172"/>
      <c r="FFG1" s="172"/>
      <c r="FFH1" s="172"/>
      <c r="FFI1" s="172"/>
      <c r="FFJ1" s="172"/>
      <c r="FFK1" s="172"/>
      <c r="FFL1" s="172"/>
      <c r="FFM1" s="172"/>
      <c r="FFN1" s="172"/>
      <c r="FFO1" s="172"/>
      <c r="FFP1" s="172"/>
      <c r="FFQ1" s="172"/>
      <c r="FFR1" s="172"/>
      <c r="FFS1" s="172"/>
      <c r="FFT1" s="172"/>
      <c r="FFU1" s="172"/>
      <c r="FFV1" s="172"/>
      <c r="FFW1" s="172"/>
      <c r="FFX1" s="172"/>
      <c r="FFY1" s="172"/>
      <c r="FFZ1" s="172"/>
      <c r="FGA1" s="172"/>
      <c r="FGB1" s="172"/>
      <c r="FGC1" s="172"/>
      <c r="FGD1" s="172"/>
      <c r="FGE1" s="172"/>
      <c r="FGF1" s="172"/>
      <c r="FGG1" s="172"/>
      <c r="FGH1" s="172"/>
      <c r="FGI1" s="172"/>
      <c r="FGJ1" s="172"/>
      <c r="FGK1" s="172"/>
      <c r="FGL1" s="172"/>
      <c r="FGM1" s="172"/>
      <c r="FGN1" s="172"/>
      <c r="FGO1" s="172"/>
      <c r="FGP1" s="172"/>
      <c r="FGQ1" s="172"/>
      <c r="FGR1" s="172"/>
      <c r="FGS1" s="172"/>
      <c r="FGT1" s="172"/>
      <c r="FGU1" s="172"/>
      <c r="FGV1" s="172"/>
      <c r="FGW1" s="172"/>
      <c r="FGX1" s="172"/>
      <c r="FGY1" s="172"/>
      <c r="FGZ1" s="172"/>
      <c r="FHA1" s="172"/>
      <c r="FHB1" s="172"/>
      <c r="FHC1" s="172"/>
      <c r="FHD1" s="172"/>
      <c r="FHE1" s="172"/>
      <c r="FHF1" s="172"/>
      <c r="FHG1" s="172"/>
      <c r="FHH1" s="172"/>
      <c r="FHI1" s="172"/>
      <c r="FHJ1" s="172"/>
      <c r="FHK1" s="172"/>
      <c r="FHL1" s="172"/>
      <c r="FHM1" s="172"/>
      <c r="FHN1" s="172"/>
      <c r="FHO1" s="172"/>
      <c r="FHP1" s="172"/>
      <c r="FHQ1" s="172"/>
      <c r="FHR1" s="172"/>
      <c r="FHS1" s="172"/>
      <c r="FHT1" s="172"/>
      <c r="FHU1" s="172"/>
      <c r="FHV1" s="172"/>
      <c r="FHW1" s="172"/>
      <c r="FHX1" s="172"/>
      <c r="FHY1" s="172"/>
      <c r="FHZ1" s="172"/>
      <c r="FIA1" s="172"/>
      <c r="FIB1" s="172"/>
      <c r="FIC1" s="172"/>
      <c r="FID1" s="172"/>
      <c r="FIE1" s="172"/>
      <c r="FIF1" s="172"/>
      <c r="FIG1" s="172"/>
      <c r="FIH1" s="172"/>
      <c r="FII1" s="172"/>
      <c r="FIJ1" s="172"/>
      <c r="FIK1" s="172"/>
      <c r="FIL1" s="172"/>
      <c r="FIM1" s="172"/>
      <c r="FIN1" s="172"/>
      <c r="FIO1" s="172"/>
      <c r="FIP1" s="172"/>
      <c r="FIQ1" s="172"/>
      <c r="FIR1" s="172"/>
      <c r="FIS1" s="172"/>
      <c r="FIT1" s="172"/>
      <c r="FIU1" s="172"/>
      <c r="FIV1" s="172"/>
      <c r="FIW1" s="172"/>
      <c r="FIX1" s="172"/>
      <c r="FIY1" s="172"/>
      <c r="FIZ1" s="172"/>
      <c r="FJA1" s="172"/>
      <c r="FJB1" s="172"/>
      <c r="FJC1" s="172"/>
      <c r="FJD1" s="172"/>
      <c r="FJE1" s="172"/>
      <c r="FJF1" s="172"/>
      <c r="FJG1" s="172"/>
      <c r="FJH1" s="172"/>
      <c r="FJI1" s="172"/>
      <c r="FJJ1" s="172"/>
      <c r="FJK1" s="172"/>
      <c r="FJL1" s="172"/>
      <c r="FJM1" s="172"/>
      <c r="FJN1" s="172"/>
      <c r="FJO1" s="172"/>
      <c r="FJP1" s="172"/>
      <c r="FJQ1" s="172"/>
      <c r="FJR1" s="172"/>
      <c r="FJS1" s="172"/>
      <c r="FJT1" s="172"/>
      <c r="FJU1" s="172"/>
      <c r="FJV1" s="172"/>
      <c r="FJW1" s="172"/>
      <c r="FJX1" s="172"/>
      <c r="FJY1" s="172"/>
      <c r="FJZ1" s="172"/>
      <c r="FKA1" s="172"/>
      <c r="FKB1" s="172"/>
      <c r="FKC1" s="172"/>
      <c r="FKD1" s="172"/>
      <c r="FKE1" s="172"/>
      <c r="FKF1" s="172"/>
      <c r="FKG1" s="172"/>
      <c r="FKH1" s="172"/>
      <c r="FKI1" s="172"/>
      <c r="FKJ1" s="172"/>
      <c r="FKK1" s="172"/>
      <c r="FKL1" s="172"/>
      <c r="FKM1" s="172"/>
      <c r="FKN1" s="172"/>
      <c r="FKO1" s="172"/>
      <c r="FKP1" s="172"/>
      <c r="FKQ1" s="172"/>
      <c r="FKR1" s="172"/>
      <c r="FKS1" s="172"/>
      <c r="FKT1" s="172"/>
      <c r="FKU1" s="172"/>
      <c r="FKV1" s="172"/>
      <c r="FKW1" s="172"/>
      <c r="FKX1" s="172"/>
      <c r="FKY1" s="172"/>
      <c r="FKZ1" s="172"/>
      <c r="FLA1" s="172"/>
      <c r="FLB1" s="172"/>
      <c r="FLC1" s="172"/>
      <c r="FLD1" s="172"/>
      <c r="FLE1" s="172"/>
      <c r="FLF1" s="172"/>
      <c r="FLG1" s="172"/>
      <c r="FLH1" s="172"/>
      <c r="FLI1" s="172"/>
      <c r="FLJ1" s="172"/>
      <c r="FLK1" s="172"/>
      <c r="FLL1" s="172"/>
      <c r="FLM1" s="172"/>
      <c r="FLN1" s="172"/>
      <c r="FLO1" s="172"/>
      <c r="FLP1" s="172"/>
      <c r="FLQ1" s="172"/>
      <c r="FLR1" s="172"/>
      <c r="FLS1" s="172"/>
      <c r="FLT1" s="172"/>
      <c r="FLU1" s="172"/>
      <c r="FLV1" s="172"/>
      <c r="FLW1" s="172"/>
      <c r="FLX1" s="172"/>
      <c r="FLY1" s="172"/>
      <c r="FLZ1" s="172"/>
      <c r="FMA1" s="172"/>
      <c r="FMB1" s="172"/>
      <c r="FMC1" s="172"/>
      <c r="FMD1" s="172"/>
      <c r="FME1" s="172"/>
      <c r="FMF1" s="172"/>
      <c r="FMG1" s="172"/>
      <c r="FMH1" s="172"/>
      <c r="FMI1" s="172"/>
      <c r="FMJ1" s="172"/>
      <c r="FMK1" s="172"/>
      <c r="FML1" s="172"/>
      <c r="FMM1" s="172"/>
      <c r="FMN1" s="172"/>
      <c r="FMO1" s="172"/>
      <c r="FMP1" s="172"/>
      <c r="FMQ1" s="172"/>
      <c r="FMR1" s="172"/>
      <c r="FMS1" s="172"/>
      <c r="FMT1" s="172"/>
      <c r="FMU1" s="172"/>
      <c r="FMV1" s="172"/>
      <c r="FMW1" s="172"/>
      <c r="FMX1" s="172"/>
      <c r="FMY1" s="172"/>
      <c r="FMZ1" s="172"/>
      <c r="FNA1" s="172"/>
      <c r="FNB1" s="172"/>
      <c r="FNC1" s="172"/>
      <c r="FND1" s="172"/>
      <c r="FNE1" s="172"/>
      <c r="FNF1" s="172"/>
      <c r="FNG1" s="172"/>
      <c r="FNH1" s="172"/>
      <c r="FNI1" s="172"/>
      <c r="FNJ1" s="172"/>
      <c r="FNK1" s="172"/>
      <c r="FNL1" s="172"/>
      <c r="FNM1" s="172"/>
      <c r="FNN1" s="172"/>
      <c r="FNO1" s="172"/>
      <c r="FNP1" s="172"/>
      <c r="FNQ1" s="172"/>
      <c r="FNR1" s="172"/>
      <c r="FNS1" s="172"/>
      <c r="FNT1" s="172"/>
      <c r="FNU1" s="172"/>
      <c r="FNV1" s="172"/>
      <c r="FNW1" s="172"/>
      <c r="FNX1" s="172"/>
      <c r="FNY1" s="172"/>
      <c r="FNZ1" s="172"/>
      <c r="FOA1" s="172"/>
      <c r="FOB1" s="172"/>
      <c r="FOC1" s="172"/>
      <c r="FOD1" s="172"/>
      <c r="FOE1" s="172"/>
      <c r="FOF1" s="172"/>
      <c r="FOG1" s="172"/>
      <c r="FOH1" s="172"/>
      <c r="FOI1" s="172"/>
      <c r="FOJ1" s="172"/>
      <c r="FOK1" s="172"/>
      <c r="FOL1" s="172"/>
      <c r="FOM1" s="172"/>
      <c r="FON1" s="172"/>
      <c r="FOO1" s="172"/>
      <c r="FOP1" s="172"/>
      <c r="FOQ1" s="172"/>
      <c r="FOR1" s="172"/>
      <c r="FOS1" s="172"/>
      <c r="FOT1" s="172"/>
      <c r="FOU1" s="172"/>
      <c r="FOV1" s="172"/>
      <c r="FOW1" s="172"/>
      <c r="FOX1" s="172"/>
      <c r="FOY1" s="172"/>
      <c r="FOZ1" s="172"/>
      <c r="FPA1" s="172"/>
      <c r="FPB1" s="172"/>
      <c r="FPC1" s="172"/>
      <c r="FPD1" s="172"/>
      <c r="FPE1" s="172"/>
      <c r="FPF1" s="172"/>
      <c r="FPG1" s="172"/>
      <c r="FPH1" s="172"/>
      <c r="FPI1" s="172"/>
      <c r="FPJ1" s="172"/>
      <c r="FPK1" s="172"/>
      <c r="FPL1" s="172"/>
      <c r="FPM1" s="172"/>
      <c r="FPN1" s="172"/>
      <c r="FPO1" s="172"/>
      <c r="FPP1" s="172"/>
      <c r="FPQ1" s="172"/>
      <c r="FPR1" s="172"/>
      <c r="FPS1" s="172"/>
      <c r="FPT1" s="172"/>
      <c r="FPU1" s="172"/>
      <c r="FPV1" s="172"/>
      <c r="FPW1" s="172"/>
      <c r="FPX1" s="172"/>
      <c r="FPY1" s="172"/>
      <c r="FPZ1" s="172"/>
      <c r="FQA1" s="172"/>
      <c r="FQB1" s="172"/>
      <c r="FQC1" s="172"/>
      <c r="FQD1" s="172"/>
      <c r="FQE1" s="172"/>
      <c r="FQF1" s="172"/>
      <c r="FQG1" s="172"/>
      <c r="FQH1" s="172"/>
      <c r="FQI1" s="172"/>
      <c r="FQJ1" s="172"/>
      <c r="FQK1" s="172"/>
      <c r="FQL1" s="172"/>
      <c r="FQM1" s="172"/>
      <c r="FQN1" s="172"/>
      <c r="FQO1" s="172"/>
      <c r="FQP1" s="172"/>
      <c r="FQQ1" s="172"/>
      <c r="FQR1" s="172"/>
      <c r="FQS1" s="172"/>
      <c r="FQT1" s="172"/>
      <c r="FQU1" s="172"/>
      <c r="FQV1" s="172"/>
      <c r="FQW1" s="172"/>
      <c r="FQX1" s="172"/>
      <c r="FQY1" s="172"/>
      <c r="FQZ1" s="172"/>
      <c r="FRA1" s="172"/>
      <c r="FRB1" s="172"/>
      <c r="FRC1" s="172"/>
      <c r="FRD1" s="172"/>
      <c r="FRE1" s="172"/>
      <c r="FRF1" s="172"/>
      <c r="FRG1" s="172"/>
      <c r="FRH1" s="172"/>
      <c r="FRI1" s="172"/>
      <c r="FRJ1" s="172"/>
      <c r="FRK1" s="172"/>
      <c r="FRL1" s="172"/>
      <c r="FRM1" s="172"/>
      <c r="FRN1" s="172"/>
      <c r="FRO1" s="172"/>
      <c r="FRP1" s="172"/>
      <c r="FRQ1" s="172"/>
      <c r="FRR1" s="172"/>
      <c r="FRS1" s="172"/>
      <c r="FRT1" s="172"/>
      <c r="FRU1" s="172"/>
      <c r="FRV1" s="172"/>
      <c r="FRW1" s="172"/>
      <c r="FRX1" s="172"/>
      <c r="FRY1" s="172"/>
      <c r="FRZ1" s="172"/>
      <c r="FSA1" s="172"/>
      <c r="FSB1" s="172"/>
      <c r="FSC1" s="172"/>
      <c r="FSD1" s="172"/>
      <c r="FSE1" s="172"/>
      <c r="FSF1" s="172"/>
      <c r="FSG1" s="172"/>
      <c r="FSH1" s="172"/>
      <c r="FSI1" s="172"/>
      <c r="FSJ1" s="172"/>
      <c r="FSK1" s="172"/>
      <c r="FSL1" s="172"/>
      <c r="FSM1" s="172"/>
      <c r="FSN1" s="172"/>
      <c r="FSO1" s="172"/>
      <c r="FSP1" s="172"/>
      <c r="FSQ1" s="172"/>
      <c r="FSR1" s="172"/>
      <c r="FSS1" s="172"/>
      <c r="FST1" s="172"/>
      <c r="FSU1" s="172"/>
      <c r="FSV1" s="172"/>
      <c r="FSW1" s="172"/>
      <c r="FSX1" s="172"/>
      <c r="FSY1" s="172"/>
      <c r="FSZ1" s="172"/>
      <c r="FTA1" s="172"/>
      <c r="FTB1" s="172"/>
      <c r="FTC1" s="172"/>
      <c r="FTD1" s="172"/>
      <c r="FTE1" s="172"/>
      <c r="FTF1" s="172"/>
      <c r="FTG1" s="172"/>
      <c r="FTH1" s="172"/>
      <c r="FTI1" s="172"/>
      <c r="FTJ1" s="172"/>
      <c r="FTK1" s="172"/>
      <c r="FTL1" s="172"/>
      <c r="FTM1" s="172"/>
      <c r="FTN1" s="172"/>
      <c r="FTO1" s="172"/>
      <c r="FTP1" s="172"/>
      <c r="FTQ1" s="172"/>
      <c r="FTR1" s="172"/>
      <c r="FTS1" s="172"/>
      <c r="FTT1" s="172"/>
      <c r="FTU1" s="172"/>
      <c r="FTV1" s="172"/>
      <c r="FTW1" s="172"/>
      <c r="FTX1" s="172"/>
      <c r="FTY1" s="172"/>
      <c r="FTZ1" s="172"/>
      <c r="FUA1" s="172"/>
      <c r="FUB1" s="172"/>
      <c r="FUC1" s="172"/>
      <c r="FUD1" s="172"/>
      <c r="FUE1" s="172"/>
      <c r="FUF1" s="172"/>
      <c r="FUG1" s="172"/>
      <c r="FUH1" s="172"/>
      <c r="FUI1" s="172"/>
      <c r="FUJ1" s="172"/>
      <c r="FUK1" s="172"/>
      <c r="FUL1" s="172"/>
      <c r="FUM1" s="172"/>
      <c r="FUN1" s="172"/>
      <c r="FUO1" s="172"/>
      <c r="FUP1" s="172"/>
      <c r="FUQ1" s="172"/>
      <c r="FUR1" s="172"/>
      <c r="FUS1" s="172"/>
      <c r="FUT1" s="172"/>
      <c r="FUU1" s="172"/>
      <c r="FUV1" s="172"/>
      <c r="FUW1" s="172"/>
      <c r="FUX1" s="172"/>
      <c r="FUY1" s="172"/>
      <c r="FUZ1" s="172"/>
      <c r="FVA1" s="172"/>
      <c r="FVB1" s="172"/>
      <c r="FVC1" s="172"/>
      <c r="FVD1" s="172"/>
      <c r="FVE1" s="172"/>
      <c r="FVF1" s="172"/>
      <c r="FVG1" s="172"/>
      <c r="FVH1" s="172"/>
      <c r="FVI1" s="172"/>
      <c r="FVJ1" s="172"/>
      <c r="FVK1" s="172"/>
      <c r="FVL1" s="172"/>
      <c r="FVM1" s="172"/>
      <c r="FVN1" s="172"/>
      <c r="FVO1" s="172"/>
      <c r="FVP1" s="172"/>
      <c r="FVQ1" s="172"/>
      <c r="FVR1" s="172"/>
      <c r="FVS1" s="172"/>
      <c r="FVT1" s="172"/>
      <c r="FVU1" s="172"/>
      <c r="FVV1" s="172"/>
      <c r="FVW1" s="172"/>
      <c r="FVX1" s="172"/>
      <c r="FVY1" s="172"/>
      <c r="FVZ1" s="172"/>
      <c r="FWA1" s="172"/>
      <c r="FWB1" s="172"/>
      <c r="FWC1" s="172"/>
      <c r="FWD1" s="172"/>
      <c r="FWE1" s="172"/>
      <c r="FWF1" s="172"/>
      <c r="FWG1" s="172"/>
      <c r="FWH1" s="172"/>
      <c r="FWI1" s="172"/>
      <c r="FWJ1" s="172"/>
      <c r="FWK1" s="172"/>
      <c r="FWL1" s="172"/>
      <c r="FWM1" s="172"/>
      <c r="FWN1" s="172"/>
      <c r="FWO1" s="172"/>
      <c r="FWP1" s="172"/>
      <c r="FWQ1" s="172"/>
      <c r="FWR1" s="172"/>
      <c r="FWS1" s="172"/>
      <c r="FWT1" s="172"/>
      <c r="FWU1" s="172"/>
      <c r="FWV1" s="172"/>
      <c r="FWW1" s="172"/>
      <c r="FWX1" s="172"/>
      <c r="FWY1" s="172"/>
      <c r="FWZ1" s="172"/>
      <c r="FXA1" s="172"/>
      <c r="FXB1" s="172"/>
      <c r="FXC1" s="172"/>
      <c r="FXD1" s="172"/>
      <c r="FXE1" s="172"/>
      <c r="FXF1" s="172"/>
      <c r="FXG1" s="172"/>
      <c r="FXH1" s="172"/>
      <c r="FXI1" s="172"/>
      <c r="FXJ1" s="172"/>
      <c r="FXK1" s="172"/>
      <c r="FXL1" s="172"/>
      <c r="FXM1" s="172"/>
      <c r="FXN1" s="172"/>
      <c r="FXO1" s="172"/>
      <c r="FXP1" s="172"/>
      <c r="FXQ1" s="172"/>
      <c r="FXR1" s="172"/>
      <c r="FXS1" s="172"/>
      <c r="FXT1" s="172"/>
      <c r="FXU1" s="172"/>
      <c r="FXV1" s="172"/>
      <c r="FXW1" s="172"/>
      <c r="FXX1" s="172"/>
      <c r="FXY1" s="172"/>
      <c r="FXZ1" s="172"/>
      <c r="FYA1" s="172"/>
      <c r="FYB1" s="172"/>
      <c r="FYC1" s="172"/>
      <c r="FYD1" s="172"/>
      <c r="FYE1" s="172"/>
      <c r="FYF1" s="172"/>
      <c r="FYG1" s="172"/>
      <c r="FYH1" s="172"/>
      <c r="FYI1" s="172"/>
      <c r="FYJ1" s="172"/>
      <c r="FYK1" s="172"/>
      <c r="FYL1" s="172"/>
      <c r="FYM1" s="172"/>
      <c r="FYN1" s="172"/>
      <c r="FYO1" s="172"/>
      <c r="FYP1" s="172"/>
      <c r="FYQ1" s="172"/>
      <c r="FYR1" s="172"/>
      <c r="FYS1" s="172"/>
      <c r="FYT1" s="172"/>
      <c r="FYU1" s="172"/>
      <c r="FYV1" s="172"/>
      <c r="FYW1" s="172"/>
      <c r="FYX1" s="172"/>
      <c r="FYY1" s="172"/>
      <c r="FYZ1" s="172"/>
      <c r="FZA1" s="172"/>
      <c r="FZB1" s="172"/>
      <c r="FZC1" s="172"/>
      <c r="FZD1" s="172"/>
      <c r="FZE1" s="172"/>
      <c r="FZF1" s="172"/>
      <c r="FZG1" s="172"/>
      <c r="FZH1" s="172"/>
      <c r="FZI1" s="172"/>
      <c r="FZJ1" s="172"/>
      <c r="FZK1" s="172"/>
      <c r="FZL1" s="172"/>
      <c r="FZM1" s="172"/>
      <c r="FZN1" s="172"/>
      <c r="FZO1" s="172"/>
      <c r="FZP1" s="172"/>
      <c r="FZQ1" s="172"/>
      <c r="FZR1" s="172"/>
      <c r="FZS1" s="172"/>
      <c r="FZT1" s="172"/>
      <c r="FZU1" s="172"/>
      <c r="FZV1" s="172"/>
      <c r="FZW1" s="172"/>
      <c r="FZX1" s="172"/>
      <c r="FZY1" s="172"/>
      <c r="FZZ1" s="172"/>
      <c r="GAA1" s="172"/>
      <c r="GAB1" s="172"/>
      <c r="GAC1" s="172"/>
      <c r="GAD1" s="172"/>
      <c r="GAE1" s="172"/>
      <c r="GAF1" s="172"/>
      <c r="GAG1" s="172"/>
      <c r="GAH1" s="172"/>
      <c r="GAI1" s="172"/>
      <c r="GAJ1" s="172"/>
      <c r="GAK1" s="172"/>
      <c r="GAL1" s="172"/>
      <c r="GAM1" s="172"/>
      <c r="GAN1" s="172"/>
      <c r="GAO1" s="172"/>
      <c r="GAP1" s="172"/>
      <c r="GAQ1" s="172"/>
      <c r="GAR1" s="172"/>
      <c r="GAS1" s="172"/>
      <c r="GAT1" s="172"/>
      <c r="GAU1" s="172"/>
      <c r="GAV1" s="172"/>
      <c r="GAW1" s="172"/>
      <c r="GAX1" s="172"/>
      <c r="GAY1" s="172"/>
      <c r="GAZ1" s="172"/>
      <c r="GBA1" s="172"/>
      <c r="GBB1" s="172"/>
      <c r="GBC1" s="172"/>
      <c r="GBD1" s="172"/>
      <c r="GBE1" s="172"/>
      <c r="GBF1" s="172"/>
      <c r="GBG1" s="172"/>
      <c r="GBH1" s="172"/>
      <c r="GBI1" s="172"/>
      <c r="GBJ1" s="172"/>
      <c r="GBK1" s="172"/>
      <c r="GBL1" s="172"/>
      <c r="GBM1" s="172"/>
      <c r="GBN1" s="172"/>
      <c r="GBO1" s="172"/>
      <c r="GBP1" s="172"/>
      <c r="GBQ1" s="172"/>
      <c r="GBR1" s="172"/>
      <c r="GBS1" s="172"/>
      <c r="GBT1" s="172"/>
      <c r="GBU1" s="172"/>
      <c r="GBV1" s="172"/>
      <c r="GBW1" s="172"/>
      <c r="GBX1" s="172"/>
      <c r="GBY1" s="172"/>
      <c r="GBZ1" s="172"/>
      <c r="GCA1" s="172"/>
      <c r="GCB1" s="172"/>
      <c r="GCC1" s="172"/>
      <c r="GCD1" s="172"/>
      <c r="GCE1" s="172"/>
      <c r="GCF1" s="172"/>
      <c r="GCG1" s="172"/>
      <c r="GCH1" s="172"/>
      <c r="GCI1" s="172"/>
      <c r="GCJ1" s="172"/>
      <c r="GCK1" s="172"/>
      <c r="GCL1" s="172"/>
      <c r="GCM1" s="172"/>
      <c r="GCN1" s="172"/>
      <c r="GCO1" s="172"/>
      <c r="GCP1" s="172"/>
      <c r="GCQ1" s="172"/>
      <c r="GCR1" s="172"/>
      <c r="GCS1" s="172"/>
      <c r="GCT1" s="172"/>
      <c r="GCU1" s="172"/>
      <c r="GCV1" s="172"/>
      <c r="GCW1" s="172"/>
      <c r="GCX1" s="172"/>
      <c r="GCY1" s="172"/>
      <c r="GCZ1" s="172"/>
      <c r="GDA1" s="172"/>
      <c r="GDB1" s="172"/>
      <c r="GDC1" s="172"/>
      <c r="GDD1" s="172"/>
      <c r="GDE1" s="172"/>
      <c r="GDF1" s="172"/>
      <c r="GDG1" s="172"/>
      <c r="GDH1" s="172"/>
      <c r="GDI1" s="172"/>
      <c r="GDJ1" s="172"/>
      <c r="GDK1" s="172"/>
      <c r="GDL1" s="172"/>
      <c r="GDM1" s="172"/>
      <c r="GDN1" s="172"/>
      <c r="GDO1" s="172"/>
      <c r="GDP1" s="172"/>
      <c r="GDQ1" s="172"/>
      <c r="GDR1" s="172"/>
      <c r="GDS1" s="172"/>
      <c r="GDT1" s="172"/>
      <c r="GDU1" s="172"/>
      <c r="GDV1" s="172"/>
      <c r="GDW1" s="172"/>
      <c r="GDX1" s="172"/>
      <c r="GDY1" s="172"/>
      <c r="GDZ1" s="172"/>
      <c r="GEA1" s="172"/>
      <c r="GEB1" s="172"/>
      <c r="GEC1" s="172"/>
      <c r="GED1" s="172"/>
      <c r="GEE1" s="172"/>
      <c r="GEF1" s="172"/>
      <c r="GEG1" s="172"/>
      <c r="GEH1" s="172"/>
      <c r="GEI1" s="172"/>
      <c r="GEJ1" s="172"/>
      <c r="GEK1" s="172"/>
      <c r="GEL1" s="172"/>
      <c r="GEM1" s="172"/>
      <c r="GEN1" s="172"/>
      <c r="GEO1" s="172"/>
      <c r="GEP1" s="172"/>
      <c r="GEQ1" s="172"/>
      <c r="GER1" s="172"/>
      <c r="GES1" s="172"/>
      <c r="GET1" s="172"/>
      <c r="GEU1" s="172"/>
      <c r="GEV1" s="172"/>
      <c r="GEW1" s="172"/>
      <c r="GEX1" s="172"/>
      <c r="GEY1" s="172"/>
      <c r="GEZ1" s="172"/>
      <c r="GFA1" s="172"/>
      <c r="GFB1" s="172"/>
      <c r="GFC1" s="172"/>
      <c r="GFD1" s="172"/>
      <c r="GFE1" s="172"/>
      <c r="GFF1" s="172"/>
      <c r="GFG1" s="172"/>
      <c r="GFH1" s="172"/>
      <c r="GFI1" s="172"/>
      <c r="GFJ1" s="172"/>
      <c r="GFK1" s="172"/>
      <c r="GFL1" s="172"/>
      <c r="GFM1" s="172"/>
      <c r="GFN1" s="172"/>
      <c r="GFO1" s="172"/>
      <c r="GFP1" s="172"/>
      <c r="GFQ1" s="172"/>
      <c r="GFR1" s="172"/>
      <c r="GFS1" s="172"/>
      <c r="GFT1" s="172"/>
      <c r="GFU1" s="172"/>
      <c r="GFV1" s="172"/>
      <c r="GFW1" s="172"/>
      <c r="GFX1" s="172"/>
      <c r="GFY1" s="172"/>
      <c r="GFZ1" s="172"/>
      <c r="GGA1" s="172"/>
      <c r="GGB1" s="172"/>
      <c r="GGC1" s="172"/>
      <c r="GGD1" s="172"/>
      <c r="GGE1" s="172"/>
      <c r="GGF1" s="172"/>
      <c r="GGG1" s="172"/>
      <c r="GGH1" s="172"/>
      <c r="GGI1" s="172"/>
      <c r="GGJ1" s="172"/>
      <c r="GGK1" s="172"/>
      <c r="GGL1" s="172"/>
      <c r="GGM1" s="172"/>
      <c r="GGN1" s="172"/>
      <c r="GGO1" s="172"/>
      <c r="GGP1" s="172"/>
      <c r="GGQ1" s="172"/>
      <c r="GGR1" s="172"/>
      <c r="GGS1" s="172"/>
      <c r="GGT1" s="172"/>
      <c r="GGU1" s="172"/>
      <c r="GGV1" s="172"/>
      <c r="GGW1" s="172"/>
      <c r="GGX1" s="172"/>
      <c r="GGY1" s="172"/>
      <c r="GGZ1" s="172"/>
      <c r="GHA1" s="172"/>
      <c r="GHB1" s="172"/>
      <c r="GHC1" s="172"/>
      <c r="GHD1" s="172"/>
      <c r="GHE1" s="172"/>
      <c r="GHF1" s="172"/>
      <c r="GHG1" s="172"/>
      <c r="GHH1" s="172"/>
      <c r="GHI1" s="172"/>
      <c r="GHJ1" s="172"/>
      <c r="GHK1" s="172"/>
      <c r="GHL1" s="172"/>
      <c r="GHM1" s="172"/>
      <c r="GHN1" s="172"/>
      <c r="GHO1" s="172"/>
      <c r="GHP1" s="172"/>
      <c r="GHQ1" s="172"/>
      <c r="GHR1" s="172"/>
      <c r="GHS1" s="172"/>
      <c r="GHT1" s="172"/>
      <c r="GHU1" s="172"/>
      <c r="GHV1" s="172"/>
      <c r="GHW1" s="172"/>
      <c r="GHX1" s="172"/>
      <c r="GHY1" s="172"/>
      <c r="GHZ1" s="172"/>
      <c r="GIA1" s="172"/>
      <c r="GIB1" s="172"/>
      <c r="GIC1" s="172"/>
      <c r="GID1" s="172"/>
      <c r="GIE1" s="172"/>
      <c r="GIF1" s="172"/>
      <c r="GIG1" s="172"/>
      <c r="GIH1" s="172"/>
      <c r="GII1" s="172"/>
      <c r="GIJ1" s="172"/>
      <c r="GIK1" s="172"/>
      <c r="GIL1" s="172"/>
      <c r="GIM1" s="172"/>
      <c r="GIN1" s="172"/>
      <c r="GIO1" s="172"/>
      <c r="GIP1" s="172"/>
      <c r="GIQ1" s="172"/>
      <c r="GIR1" s="172"/>
      <c r="GIS1" s="172"/>
      <c r="GIT1" s="172"/>
      <c r="GIU1" s="172"/>
      <c r="GIV1" s="172"/>
      <c r="GIW1" s="172"/>
      <c r="GIX1" s="172"/>
      <c r="GIY1" s="172"/>
      <c r="GIZ1" s="172"/>
      <c r="GJA1" s="172"/>
      <c r="GJB1" s="172"/>
      <c r="GJC1" s="172"/>
      <c r="GJD1" s="172"/>
      <c r="GJE1" s="172"/>
      <c r="GJF1" s="172"/>
      <c r="GJG1" s="172"/>
      <c r="GJH1" s="172"/>
      <c r="GJI1" s="172"/>
      <c r="GJJ1" s="172"/>
      <c r="GJK1" s="172"/>
      <c r="GJL1" s="172"/>
      <c r="GJM1" s="172"/>
      <c r="GJN1" s="172"/>
      <c r="GJO1" s="172"/>
      <c r="GJP1" s="172"/>
      <c r="GJQ1" s="172"/>
      <c r="GJR1" s="172"/>
      <c r="GJS1" s="172"/>
      <c r="GJT1" s="172"/>
      <c r="GJU1" s="172"/>
      <c r="GJV1" s="172"/>
      <c r="GJW1" s="172"/>
      <c r="GJX1" s="172"/>
      <c r="GJY1" s="172"/>
      <c r="GJZ1" s="172"/>
      <c r="GKA1" s="172"/>
      <c r="GKB1" s="172"/>
      <c r="GKC1" s="172"/>
      <c r="GKD1" s="172"/>
      <c r="GKE1" s="172"/>
      <c r="GKF1" s="172"/>
      <c r="GKG1" s="172"/>
      <c r="GKH1" s="172"/>
      <c r="GKI1" s="172"/>
      <c r="GKJ1" s="172"/>
      <c r="GKK1" s="172"/>
      <c r="GKL1" s="172"/>
      <c r="GKM1" s="172"/>
      <c r="GKN1" s="172"/>
      <c r="GKO1" s="172"/>
      <c r="GKP1" s="172"/>
      <c r="GKQ1" s="172"/>
      <c r="GKR1" s="172"/>
      <c r="GKS1" s="172"/>
      <c r="GKT1" s="172"/>
      <c r="GKU1" s="172"/>
      <c r="GKV1" s="172"/>
      <c r="GKW1" s="172"/>
      <c r="GKX1" s="172"/>
      <c r="GKY1" s="172"/>
      <c r="GKZ1" s="172"/>
      <c r="GLA1" s="172"/>
      <c r="GLB1" s="172"/>
      <c r="GLC1" s="172"/>
      <c r="GLD1" s="172"/>
      <c r="GLE1" s="172"/>
      <c r="GLF1" s="172"/>
      <c r="GLG1" s="172"/>
      <c r="GLH1" s="172"/>
      <c r="GLI1" s="172"/>
      <c r="GLJ1" s="172"/>
      <c r="GLK1" s="172"/>
      <c r="GLL1" s="172"/>
      <c r="GLM1" s="172"/>
      <c r="GLN1" s="172"/>
      <c r="GLO1" s="172"/>
      <c r="GLP1" s="172"/>
      <c r="GLQ1" s="172"/>
      <c r="GLR1" s="172"/>
      <c r="GLS1" s="172"/>
      <c r="GLT1" s="172"/>
      <c r="GLU1" s="172"/>
      <c r="GLV1" s="172"/>
      <c r="GLW1" s="172"/>
      <c r="GLX1" s="172"/>
      <c r="GLY1" s="172"/>
      <c r="GLZ1" s="172"/>
      <c r="GMA1" s="172"/>
      <c r="GMB1" s="172"/>
      <c r="GMC1" s="172"/>
      <c r="GMD1" s="172"/>
      <c r="GME1" s="172"/>
      <c r="GMF1" s="172"/>
      <c r="GMG1" s="172"/>
      <c r="GMH1" s="172"/>
      <c r="GMI1" s="172"/>
      <c r="GMJ1" s="172"/>
      <c r="GMK1" s="172"/>
      <c r="GML1" s="172"/>
      <c r="GMM1" s="172"/>
      <c r="GMN1" s="172"/>
      <c r="GMO1" s="172"/>
      <c r="GMP1" s="172"/>
      <c r="GMQ1" s="172"/>
      <c r="GMR1" s="172"/>
      <c r="GMS1" s="172"/>
      <c r="GMT1" s="172"/>
      <c r="GMU1" s="172"/>
      <c r="GMV1" s="172"/>
      <c r="GMW1" s="172"/>
      <c r="GMX1" s="172"/>
      <c r="GMY1" s="172"/>
      <c r="GMZ1" s="172"/>
      <c r="GNA1" s="172"/>
      <c r="GNB1" s="172"/>
      <c r="GNC1" s="172"/>
      <c r="GND1" s="172"/>
      <c r="GNE1" s="172"/>
      <c r="GNF1" s="172"/>
      <c r="GNG1" s="172"/>
      <c r="GNH1" s="172"/>
      <c r="GNI1" s="172"/>
      <c r="GNJ1" s="172"/>
      <c r="GNK1" s="172"/>
      <c r="GNL1" s="172"/>
      <c r="GNM1" s="172"/>
      <c r="GNN1" s="172"/>
      <c r="GNO1" s="172"/>
      <c r="GNP1" s="172"/>
      <c r="GNQ1" s="172"/>
      <c r="GNR1" s="172"/>
      <c r="GNS1" s="172"/>
      <c r="GNT1" s="172"/>
      <c r="GNU1" s="172"/>
      <c r="GNV1" s="172"/>
      <c r="GNW1" s="172"/>
      <c r="GNX1" s="172"/>
      <c r="GNY1" s="172"/>
      <c r="GNZ1" s="172"/>
      <c r="GOA1" s="172"/>
      <c r="GOB1" s="172"/>
      <c r="GOC1" s="172"/>
      <c r="GOD1" s="172"/>
      <c r="GOE1" s="172"/>
      <c r="GOF1" s="172"/>
      <c r="GOG1" s="172"/>
      <c r="GOH1" s="172"/>
      <c r="GOI1" s="172"/>
      <c r="GOJ1" s="172"/>
      <c r="GOK1" s="172"/>
      <c r="GOL1" s="172"/>
      <c r="GOM1" s="172"/>
      <c r="GON1" s="172"/>
      <c r="GOO1" s="172"/>
      <c r="GOP1" s="172"/>
      <c r="GOQ1" s="172"/>
      <c r="GOR1" s="172"/>
      <c r="GOS1" s="172"/>
      <c r="GOT1" s="172"/>
      <c r="GOU1" s="172"/>
      <c r="GOV1" s="172"/>
      <c r="GOW1" s="172"/>
      <c r="GOX1" s="172"/>
      <c r="GOY1" s="172"/>
      <c r="GOZ1" s="172"/>
      <c r="GPA1" s="172"/>
      <c r="GPB1" s="172"/>
      <c r="GPC1" s="172"/>
      <c r="GPD1" s="172"/>
      <c r="GPE1" s="172"/>
      <c r="GPF1" s="172"/>
      <c r="GPG1" s="172"/>
      <c r="GPH1" s="172"/>
      <c r="GPI1" s="172"/>
      <c r="GPJ1" s="172"/>
      <c r="GPK1" s="172"/>
      <c r="GPL1" s="172"/>
      <c r="GPM1" s="172"/>
      <c r="GPN1" s="172"/>
      <c r="GPO1" s="172"/>
      <c r="GPP1" s="172"/>
      <c r="GPQ1" s="172"/>
      <c r="GPR1" s="172"/>
      <c r="GPS1" s="172"/>
      <c r="GPT1" s="172"/>
      <c r="GPU1" s="172"/>
      <c r="GPV1" s="172"/>
      <c r="GPW1" s="172"/>
      <c r="GPX1" s="172"/>
      <c r="GPY1" s="172"/>
      <c r="GPZ1" s="172"/>
      <c r="GQA1" s="172"/>
      <c r="GQB1" s="172"/>
      <c r="GQC1" s="172"/>
      <c r="GQD1" s="172"/>
      <c r="GQE1" s="172"/>
      <c r="GQF1" s="172"/>
      <c r="GQG1" s="172"/>
      <c r="GQH1" s="172"/>
      <c r="GQI1" s="172"/>
      <c r="GQJ1" s="172"/>
      <c r="GQK1" s="172"/>
      <c r="GQL1" s="172"/>
      <c r="GQM1" s="172"/>
      <c r="GQN1" s="172"/>
      <c r="GQO1" s="172"/>
      <c r="GQP1" s="172"/>
      <c r="GQQ1" s="172"/>
      <c r="GQR1" s="172"/>
      <c r="GQS1" s="172"/>
      <c r="GQT1" s="172"/>
      <c r="GQU1" s="172"/>
      <c r="GQV1" s="172"/>
      <c r="GQW1" s="172"/>
      <c r="GQX1" s="172"/>
      <c r="GQY1" s="172"/>
      <c r="GQZ1" s="172"/>
      <c r="GRA1" s="172"/>
      <c r="GRB1" s="172"/>
      <c r="GRC1" s="172"/>
      <c r="GRD1" s="172"/>
      <c r="GRE1" s="172"/>
      <c r="GRF1" s="172"/>
      <c r="GRG1" s="172"/>
      <c r="GRH1" s="172"/>
      <c r="GRI1" s="172"/>
      <c r="GRJ1" s="172"/>
      <c r="GRK1" s="172"/>
      <c r="GRL1" s="172"/>
      <c r="GRM1" s="172"/>
      <c r="GRN1" s="172"/>
      <c r="GRO1" s="172"/>
      <c r="GRP1" s="172"/>
      <c r="GRQ1" s="172"/>
      <c r="GRR1" s="172"/>
      <c r="GRS1" s="172"/>
      <c r="GRT1" s="172"/>
      <c r="GRU1" s="172"/>
      <c r="GRV1" s="172"/>
      <c r="GRW1" s="172"/>
      <c r="GRX1" s="172"/>
      <c r="GRY1" s="172"/>
      <c r="GRZ1" s="172"/>
      <c r="GSA1" s="172"/>
      <c r="GSB1" s="172"/>
      <c r="GSC1" s="172"/>
      <c r="GSD1" s="172"/>
      <c r="GSE1" s="172"/>
      <c r="GSF1" s="172"/>
      <c r="GSG1" s="172"/>
      <c r="GSH1" s="172"/>
      <c r="GSI1" s="172"/>
      <c r="GSJ1" s="172"/>
      <c r="GSK1" s="172"/>
      <c r="GSL1" s="172"/>
      <c r="GSM1" s="172"/>
      <c r="GSN1" s="172"/>
      <c r="GSO1" s="172"/>
      <c r="GSP1" s="172"/>
      <c r="GSQ1" s="172"/>
      <c r="GSR1" s="172"/>
      <c r="GSS1" s="172"/>
      <c r="GST1" s="172"/>
      <c r="GSU1" s="172"/>
      <c r="GSV1" s="172"/>
      <c r="GSW1" s="172"/>
      <c r="GSX1" s="172"/>
      <c r="GSY1" s="172"/>
      <c r="GSZ1" s="172"/>
      <c r="GTA1" s="172"/>
      <c r="GTB1" s="172"/>
      <c r="GTC1" s="172"/>
      <c r="GTD1" s="172"/>
      <c r="GTE1" s="172"/>
      <c r="GTF1" s="172"/>
      <c r="GTG1" s="172"/>
      <c r="GTH1" s="172"/>
      <c r="GTI1" s="172"/>
      <c r="GTJ1" s="172"/>
      <c r="GTK1" s="172"/>
      <c r="GTL1" s="172"/>
      <c r="GTM1" s="172"/>
      <c r="GTN1" s="172"/>
      <c r="GTO1" s="172"/>
      <c r="GTP1" s="172"/>
      <c r="GTQ1" s="172"/>
      <c r="GTR1" s="172"/>
      <c r="GTS1" s="172"/>
      <c r="GTT1" s="172"/>
      <c r="GTU1" s="172"/>
      <c r="GTV1" s="172"/>
      <c r="GTW1" s="172"/>
      <c r="GTX1" s="172"/>
      <c r="GTY1" s="172"/>
      <c r="GTZ1" s="172"/>
      <c r="GUA1" s="172"/>
      <c r="GUB1" s="172"/>
      <c r="GUC1" s="172"/>
      <c r="GUD1" s="172"/>
      <c r="GUE1" s="172"/>
      <c r="GUF1" s="172"/>
      <c r="GUG1" s="172"/>
      <c r="GUH1" s="172"/>
      <c r="GUI1" s="172"/>
      <c r="GUJ1" s="172"/>
      <c r="GUK1" s="172"/>
      <c r="GUL1" s="172"/>
      <c r="GUM1" s="172"/>
      <c r="GUN1" s="172"/>
      <c r="GUO1" s="172"/>
      <c r="GUP1" s="172"/>
      <c r="GUQ1" s="172"/>
      <c r="GUR1" s="172"/>
      <c r="GUS1" s="172"/>
      <c r="GUT1" s="172"/>
      <c r="GUU1" s="172"/>
      <c r="GUV1" s="172"/>
      <c r="GUW1" s="172"/>
      <c r="GUX1" s="172"/>
      <c r="GUY1" s="172"/>
      <c r="GUZ1" s="172"/>
      <c r="GVA1" s="172"/>
      <c r="GVB1" s="172"/>
      <c r="GVC1" s="172"/>
      <c r="GVD1" s="172"/>
      <c r="GVE1" s="172"/>
      <c r="GVF1" s="172"/>
      <c r="GVG1" s="172"/>
      <c r="GVH1" s="172"/>
      <c r="GVI1" s="172"/>
      <c r="GVJ1" s="172"/>
      <c r="GVK1" s="172"/>
      <c r="GVL1" s="172"/>
      <c r="GVM1" s="172"/>
      <c r="GVN1" s="172"/>
      <c r="GVO1" s="172"/>
      <c r="GVP1" s="172"/>
      <c r="GVQ1" s="172"/>
      <c r="GVR1" s="172"/>
      <c r="GVS1" s="172"/>
      <c r="GVT1" s="172"/>
      <c r="GVU1" s="172"/>
      <c r="GVV1" s="172"/>
      <c r="GVW1" s="172"/>
      <c r="GVX1" s="172"/>
      <c r="GVY1" s="172"/>
      <c r="GVZ1" s="172"/>
      <c r="GWA1" s="172"/>
      <c r="GWB1" s="172"/>
      <c r="GWC1" s="172"/>
      <c r="GWD1" s="172"/>
      <c r="GWE1" s="172"/>
      <c r="GWF1" s="172"/>
      <c r="GWG1" s="172"/>
      <c r="GWH1" s="172"/>
      <c r="GWI1" s="172"/>
      <c r="GWJ1" s="172"/>
      <c r="GWK1" s="172"/>
      <c r="GWL1" s="172"/>
      <c r="GWM1" s="172"/>
      <c r="GWN1" s="172"/>
      <c r="GWO1" s="172"/>
      <c r="GWP1" s="172"/>
      <c r="GWQ1" s="172"/>
      <c r="GWR1" s="172"/>
      <c r="GWS1" s="172"/>
      <c r="GWT1" s="172"/>
      <c r="GWU1" s="172"/>
      <c r="GWV1" s="172"/>
      <c r="GWW1" s="172"/>
      <c r="GWX1" s="172"/>
      <c r="GWY1" s="172"/>
      <c r="GWZ1" s="172"/>
      <c r="GXA1" s="172"/>
      <c r="GXB1" s="172"/>
      <c r="GXC1" s="172"/>
      <c r="GXD1" s="172"/>
      <c r="GXE1" s="172"/>
      <c r="GXF1" s="172"/>
      <c r="GXG1" s="172"/>
      <c r="GXH1" s="172"/>
      <c r="GXI1" s="172"/>
      <c r="GXJ1" s="172"/>
      <c r="GXK1" s="172"/>
      <c r="GXL1" s="172"/>
      <c r="GXM1" s="172"/>
      <c r="GXN1" s="172"/>
      <c r="GXO1" s="172"/>
      <c r="GXP1" s="172"/>
      <c r="GXQ1" s="172"/>
      <c r="GXR1" s="172"/>
      <c r="GXS1" s="172"/>
      <c r="GXT1" s="172"/>
      <c r="GXU1" s="172"/>
      <c r="GXV1" s="172"/>
      <c r="GXW1" s="172"/>
      <c r="GXX1" s="172"/>
      <c r="GXY1" s="172"/>
      <c r="GXZ1" s="172"/>
      <c r="GYA1" s="172"/>
      <c r="GYB1" s="172"/>
      <c r="GYC1" s="172"/>
      <c r="GYD1" s="172"/>
      <c r="GYE1" s="172"/>
      <c r="GYF1" s="172"/>
      <c r="GYG1" s="172"/>
      <c r="GYH1" s="172"/>
      <c r="GYI1" s="172"/>
      <c r="GYJ1" s="172"/>
      <c r="GYK1" s="172"/>
      <c r="GYL1" s="172"/>
      <c r="GYM1" s="172"/>
      <c r="GYN1" s="172"/>
      <c r="GYO1" s="172"/>
      <c r="GYP1" s="172"/>
      <c r="GYQ1" s="172"/>
      <c r="GYR1" s="172"/>
      <c r="GYS1" s="172"/>
      <c r="GYT1" s="172"/>
      <c r="GYU1" s="172"/>
      <c r="GYV1" s="172"/>
      <c r="GYW1" s="172"/>
      <c r="GYX1" s="172"/>
      <c r="GYY1" s="172"/>
      <c r="GYZ1" s="172"/>
      <c r="GZA1" s="172"/>
      <c r="GZB1" s="172"/>
      <c r="GZC1" s="172"/>
      <c r="GZD1" s="172"/>
      <c r="GZE1" s="172"/>
      <c r="GZF1" s="172"/>
      <c r="GZG1" s="172"/>
      <c r="GZH1" s="172"/>
      <c r="GZI1" s="172"/>
      <c r="GZJ1" s="172"/>
      <c r="GZK1" s="172"/>
      <c r="GZL1" s="172"/>
      <c r="GZM1" s="172"/>
      <c r="GZN1" s="172"/>
      <c r="GZO1" s="172"/>
      <c r="GZP1" s="172"/>
      <c r="GZQ1" s="172"/>
      <c r="GZR1" s="172"/>
      <c r="GZS1" s="172"/>
      <c r="GZT1" s="172"/>
      <c r="GZU1" s="172"/>
      <c r="GZV1" s="172"/>
      <c r="GZW1" s="172"/>
      <c r="GZX1" s="172"/>
      <c r="GZY1" s="172"/>
      <c r="GZZ1" s="172"/>
      <c r="HAA1" s="172"/>
      <c r="HAB1" s="172"/>
      <c r="HAC1" s="172"/>
      <c r="HAD1" s="172"/>
      <c r="HAE1" s="172"/>
      <c r="HAF1" s="172"/>
      <c r="HAG1" s="172"/>
      <c r="HAH1" s="172"/>
      <c r="HAI1" s="172"/>
      <c r="HAJ1" s="172"/>
      <c r="HAK1" s="172"/>
      <c r="HAL1" s="172"/>
      <c r="HAM1" s="172"/>
      <c r="HAN1" s="172"/>
      <c r="HAO1" s="172"/>
      <c r="HAP1" s="172"/>
      <c r="HAQ1" s="172"/>
      <c r="HAR1" s="172"/>
      <c r="HAS1" s="172"/>
      <c r="HAT1" s="172"/>
      <c r="HAU1" s="172"/>
      <c r="HAV1" s="172"/>
      <c r="HAW1" s="172"/>
      <c r="HAX1" s="172"/>
      <c r="HAY1" s="172"/>
      <c r="HAZ1" s="172"/>
      <c r="HBA1" s="172"/>
      <c r="HBB1" s="172"/>
      <c r="HBC1" s="172"/>
      <c r="HBD1" s="172"/>
      <c r="HBE1" s="172"/>
      <c r="HBF1" s="172"/>
      <c r="HBG1" s="172"/>
      <c r="HBH1" s="172"/>
      <c r="HBI1" s="172"/>
      <c r="HBJ1" s="172"/>
      <c r="HBK1" s="172"/>
      <c r="HBL1" s="172"/>
      <c r="HBM1" s="172"/>
      <c r="HBN1" s="172"/>
      <c r="HBO1" s="172"/>
      <c r="HBP1" s="172"/>
      <c r="HBQ1" s="172"/>
      <c r="HBR1" s="172"/>
      <c r="HBS1" s="172"/>
      <c r="HBT1" s="172"/>
      <c r="HBU1" s="172"/>
      <c r="HBV1" s="172"/>
      <c r="HBW1" s="172"/>
      <c r="HBX1" s="172"/>
      <c r="HBY1" s="172"/>
      <c r="HBZ1" s="172"/>
      <c r="HCA1" s="172"/>
      <c r="HCB1" s="172"/>
      <c r="HCC1" s="172"/>
      <c r="HCD1" s="172"/>
      <c r="HCE1" s="172"/>
      <c r="HCF1" s="172"/>
      <c r="HCG1" s="172"/>
      <c r="HCH1" s="172"/>
      <c r="HCI1" s="172"/>
      <c r="HCJ1" s="172"/>
      <c r="HCK1" s="172"/>
      <c r="HCL1" s="172"/>
      <c r="HCM1" s="172"/>
      <c r="HCN1" s="172"/>
      <c r="HCO1" s="172"/>
      <c r="HCP1" s="172"/>
      <c r="HCQ1" s="172"/>
      <c r="HCR1" s="172"/>
      <c r="HCS1" s="172"/>
      <c r="HCT1" s="172"/>
      <c r="HCU1" s="172"/>
      <c r="HCV1" s="172"/>
      <c r="HCW1" s="172"/>
      <c r="HCX1" s="172"/>
      <c r="HCY1" s="172"/>
      <c r="HCZ1" s="172"/>
      <c r="HDA1" s="172"/>
      <c r="HDB1" s="172"/>
      <c r="HDC1" s="172"/>
      <c r="HDD1" s="172"/>
      <c r="HDE1" s="172"/>
      <c r="HDF1" s="172"/>
      <c r="HDG1" s="172"/>
      <c r="HDH1" s="172"/>
      <c r="HDI1" s="172"/>
      <c r="HDJ1" s="172"/>
      <c r="HDK1" s="172"/>
      <c r="HDL1" s="172"/>
      <c r="HDM1" s="172"/>
      <c r="HDN1" s="172"/>
      <c r="HDO1" s="172"/>
      <c r="HDP1" s="172"/>
      <c r="HDQ1" s="172"/>
      <c r="HDR1" s="172"/>
      <c r="HDS1" s="172"/>
      <c r="HDT1" s="172"/>
      <c r="HDU1" s="172"/>
      <c r="HDV1" s="172"/>
      <c r="HDW1" s="172"/>
      <c r="HDX1" s="172"/>
      <c r="HDY1" s="172"/>
      <c r="HDZ1" s="172"/>
      <c r="HEA1" s="172"/>
      <c r="HEB1" s="172"/>
      <c r="HEC1" s="172"/>
      <c r="HED1" s="172"/>
      <c r="HEE1" s="172"/>
      <c r="HEF1" s="172"/>
      <c r="HEG1" s="172"/>
      <c r="HEH1" s="172"/>
      <c r="HEI1" s="172"/>
      <c r="HEJ1" s="172"/>
      <c r="HEK1" s="172"/>
      <c r="HEL1" s="172"/>
      <c r="HEM1" s="172"/>
      <c r="HEN1" s="172"/>
      <c r="HEO1" s="172"/>
      <c r="HEP1" s="172"/>
      <c r="HEQ1" s="172"/>
      <c r="HER1" s="172"/>
      <c r="HES1" s="172"/>
      <c r="HET1" s="172"/>
      <c r="HEU1" s="172"/>
      <c r="HEV1" s="172"/>
      <c r="HEW1" s="172"/>
      <c r="HEX1" s="172"/>
      <c r="HEY1" s="172"/>
      <c r="HEZ1" s="172"/>
      <c r="HFA1" s="172"/>
      <c r="HFB1" s="172"/>
      <c r="HFC1" s="172"/>
      <c r="HFD1" s="172"/>
      <c r="HFE1" s="172"/>
      <c r="HFF1" s="172"/>
      <c r="HFG1" s="172"/>
      <c r="HFH1" s="172"/>
      <c r="HFI1" s="172"/>
      <c r="HFJ1" s="172"/>
      <c r="HFK1" s="172"/>
      <c r="HFL1" s="172"/>
      <c r="HFM1" s="172"/>
      <c r="HFN1" s="172"/>
      <c r="HFO1" s="172"/>
      <c r="HFP1" s="172"/>
      <c r="HFQ1" s="172"/>
      <c r="HFR1" s="172"/>
      <c r="HFS1" s="172"/>
      <c r="HFT1" s="172"/>
      <c r="HFU1" s="172"/>
      <c r="HFV1" s="172"/>
      <c r="HFW1" s="172"/>
      <c r="HFX1" s="172"/>
      <c r="HFY1" s="172"/>
      <c r="HFZ1" s="172"/>
      <c r="HGA1" s="172"/>
      <c r="HGB1" s="172"/>
      <c r="HGC1" s="172"/>
      <c r="HGD1" s="172"/>
      <c r="HGE1" s="172"/>
      <c r="HGF1" s="172"/>
      <c r="HGG1" s="172"/>
      <c r="HGH1" s="172"/>
      <c r="HGI1" s="172"/>
      <c r="HGJ1" s="172"/>
      <c r="HGK1" s="172"/>
      <c r="HGL1" s="172"/>
      <c r="HGM1" s="172"/>
      <c r="HGN1" s="172"/>
      <c r="HGO1" s="172"/>
      <c r="HGP1" s="172"/>
      <c r="HGQ1" s="172"/>
      <c r="HGR1" s="172"/>
      <c r="HGS1" s="172"/>
      <c r="HGT1" s="172"/>
      <c r="HGU1" s="172"/>
      <c r="HGV1" s="172"/>
      <c r="HGW1" s="172"/>
      <c r="HGX1" s="172"/>
      <c r="HGY1" s="172"/>
      <c r="HGZ1" s="172"/>
      <c r="HHA1" s="172"/>
      <c r="HHB1" s="172"/>
      <c r="HHC1" s="172"/>
      <c r="HHD1" s="172"/>
      <c r="HHE1" s="172"/>
      <c r="HHF1" s="172"/>
      <c r="HHG1" s="172"/>
      <c r="HHH1" s="172"/>
      <c r="HHI1" s="172"/>
      <c r="HHJ1" s="172"/>
      <c r="HHK1" s="172"/>
      <c r="HHL1" s="172"/>
      <c r="HHM1" s="172"/>
      <c r="HHN1" s="172"/>
      <c r="HHO1" s="172"/>
      <c r="HHP1" s="172"/>
      <c r="HHQ1" s="172"/>
      <c r="HHR1" s="172"/>
      <c r="HHS1" s="172"/>
      <c r="HHT1" s="172"/>
      <c r="HHU1" s="172"/>
      <c r="HHV1" s="172"/>
      <c r="HHW1" s="172"/>
      <c r="HHX1" s="172"/>
      <c r="HHY1" s="172"/>
      <c r="HHZ1" s="172"/>
      <c r="HIA1" s="172"/>
      <c r="HIB1" s="172"/>
      <c r="HIC1" s="172"/>
      <c r="HID1" s="172"/>
      <c r="HIE1" s="172"/>
      <c r="HIF1" s="172"/>
      <c r="HIG1" s="172"/>
      <c r="HIH1" s="172"/>
      <c r="HII1" s="172"/>
      <c r="HIJ1" s="172"/>
      <c r="HIK1" s="172"/>
      <c r="HIL1" s="172"/>
      <c r="HIM1" s="172"/>
      <c r="HIN1" s="172"/>
      <c r="HIO1" s="172"/>
      <c r="HIP1" s="172"/>
      <c r="HIQ1" s="172"/>
      <c r="HIR1" s="172"/>
      <c r="HIS1" s="172"/>
      <c r="HIT1" s="172"/>
      <c r="HIU1" s="172"/>
      <c r="HIV1" s="172"/>
      <c r="HIW1" s="172"/>
      <c r="HIX1" s="172"/>
      <c r="HIY1" s="172"/>
      <c r="HIZ1" s="172"/>
      <c r="HJA1" s="172"/>
      <c r="HJB1" s="172"/>
      <c r="HJC1" s="172"/>
      <c r="HJD1" s="172"/>
      <c r="HJE1" s="172"/>
      <c r="HJF1" s="172"/>
      <c r="HJG1" s="172"/>
      <c r="HJH1" s="172"/>
      <c r="HJI1" s="172"/>
      <c r="HJJ1" s="172"/>
      <c r="HJK1" s="172"/>
      <c r="HJL1" s="172"/>
      <c r="HJM1" s="172"/>
      <c r="HJN1" s="172"/>
      <c r="HJO1" s="172"/>
      <c r="HJP1" s="172"/>
      <c r="HJQ1" s="172"/>
      <c r="HJR1" s="172"/>
      <c r="HJS1" s="172"/>
      <c r="HJT1" s="172"/>
      <c r="HJU1" s="172"/>
      <c r="HJV1" s="172"/>
      <c r="HJW1" s="172"/>
      <c r="HJX1" s="172"/>
      <c r="HJY1" s="172"/>
      <c r="HJZ1" s="172"/>
      <c r="HKA1" s="172"/>
      <c r="HKB1" s="172"/>
      <c r="HKC1" s="172"/>
      <c r="HKD1" s="172"/>
      <c r="HKE1" s="172"/>
      <c r="HKF1" s="172"/>
      <c r="HKG1" s="172"/>
      <c r="HKH1" s="172"/>
      <c r="HKI1" s="172"/>
      <c r="HKJ1" s="172"/>
      <c r="HKK1" s="172"/>
      <c r="HKL1" s="172"/>
      <c r="HKM1" s="172"/>
      <c r="HKN1" s="172"/>
      <c r="HKO1" s="172"/>
      <c r="HKP1" s="172"/>
      <c r="HKQ1" s="172"/>
      <c r="HKR1" s="172"/>
      <c r="HKS1" s="172"/>
      <c r="HKT1" s="172"/>
      <c r="HKU1" s="172"/>
      <c r="HKV1" s="172"/>
      <c r="HKW1" s="172"/>
      <c r="HKX1" s="172"/>
      <c r="HKY1" s="172"/>
      <c r="HKZ1" s="172"/>
      <c r="HLA1" s="172"/>
      <c r="HLB1" s="172"/>
      <c r="HLC1" s="172"/>
      <c r="HLD1" s="172"/>
      <c r="HLE1" s="172"/>
      <c r="HLF1" s="172"/>
      <c r="HLG1" s="172"/>
      <c r="HLH1" s="172"/>
      <c r="HLI1" s="172"/>
      <c r="HLJ1" s="172"/>
      <c r="HLK1" s="172"/>
      <c r="HLL1" s="172"/>
      <c r="HLM1" s="172"/>
      <c r="HLN1" s="172"/>
      <c r="HLO1" s="172"/>
      <c r="HLP1" s="172"/>
      <c r="HLQ1" s="172"/>
      <c r="HLR1" s="172"/>
      <c r="HLS1" s="172"/>
      <c r="HLT1" s="172"/>
      <c r="HLU1" s="172"/>
      <c r="HLV1" s="172"/>
      <c r="HLW1" s="172"/>
      <c r="HLX1" s="172"/>
      <c r="HLY1" s="172"/>
      <c r="HLZ1" s="172"/>
      <c r="HMA1" s="172"/>
      <c r="HMB1" s="172"/>
      <c r="HMC1" s="172"/>
      <c r="HMD1" s="172"/>
      <c r="HME1" s="172"/>
      <c r="HMF1" s="172"/>
      <c r="HMG1" s="172"/>
      <c r="HMH1" s="172"/>
      <c r="HMI1" s="172"/>
      <c r="HMJ1" s="172"/>
      <c r="HMK1" s="172"/>
      <c r="HML1" s="172"/>
      <c r="HMM1" s="172"/>
      <c r="HMN1" s="172"/>
      <c r="HMO1" s="172"/>
      <c r="HMP1" s="172"/>
      <c r="HMQ1" s="172"/>
      <c r="HMR1" s="172"/>
      <c r="HMS1" s="172"/>
      <c r="HMT1" s="172"/>
      <c r="HMU1" s="172"/>
      <c r="HMV1" s="172"/>
      <c r="HMW1" s="172"/>
      <c r="HMX1" s="172"/>
      <c r="HMY1" s="172"/>
      <c r="HMZ1" s="172"/>
      <c r="HNA1" s="172"/>
      <c r="HNB1" s="172"/>
      <c r="HNC1" s="172"/>
      <c r="HND1" s="172"/>
      <c r="HNE1" s="172"/>
      <c r="HNF1" s="172"/>
      <c r="HNG1" s="172"/>
      <c r="HNH1" s="172"/>
      <c r="HNI1" s="172"/>
      <c r="HNJ1" s="172"/>
      <c r="HNK1" s="172"/>
      <c r="HNL1" s="172"/>
      <c r="HNM1" s="172"/>
      <c r="HNN1" s="172"/>
      <c r="HNO1" s="172"/>
      <c r="HNP1" s="172"/>
      <c r="HNQ1" s="172"/>
      <c r="HNR1" s="172"/>
      <c r="HNS1" s="172"/>
      <c r="HNT1" s="172"/>
      <c r="HNU1" s="172"/>
      <c r="HNV1" s="172"/>
      <c r="HNW1" s="172"/>
      <c r="HNX1" s="172"/>
      <c r="HNY1" s="172"/>
      <c r="HNZ1" s="172"/>
      <c r="HOA1" s="172"/>
      <c r="HOB1" s="172"/>
      <c r="HOC1" s="172"/>
      <c r="HOD1" s="172"/>
      <c r="HOE1" s="172"/>
      <c r="HOF1" s="172"/>
      <c r="HOG1" s="172"/>
      <c r="HOH1" s="172"/>
      <c r="HOI1" s="172"/>
      <c r="HOJ1" s="172"/>
      <c r="HOK1" s="172"/>
      <c r="HOL1" s="172"/>
      <c r="HOM1" s="172"/>
      <c r="HON1" s="172"/>
      <c r="HOO1" s="172"/>
      <c r="HOP1" s="172"/>
      <c r="HOQ1" s="172"/>
      <c r="HOR1" s="172"/>
      <c r="HOS1" s="172"/>
      <c r="HOT1" s="172"/>
      <c r="HOU1" s="172"/>
      <c r="HOV1" s="172"/>
      <c r="HOW1" s="172"/>
      <c r="HOX1" s="172"/>
      <c r="HOY1" s="172"/>
      <c r="HOZ1" s="172"/>
      <c r="HPA1" s="172"/>
      <c r="HPB1" s="172"/>
      <c r="HPC1" s="172"/>
      <c r="HPD1" s="172"/>
      <c r="HPE1" s="172"/>
      <c r="HPF1" s="172"/>
      <c r="HPG1" s="172"/>
      <c r="HPH1" s="172"/>
      <c r="HPI1" s="172"/>
      <c r="HPJ1" s="172"/>
      <c r="HPK1" s="172"/>
      <c r="HPL1" s="172"/>
      <c r="HPM1" s="172"/>
      <c r="HPN1" s="172"/>
      <c r="HPO1" s="172"/>
      <c r="HPP1" s="172"/>
      <c r="HPQ1" s="172"/>
      <c r="HPR1" s="172"/>
      <c r="HPS1" s="172"/>
      <c r="HPT1" s="172"/>
      <c r="HPU1" s="172"/>
      <c r="HPV1" s="172"/>
      <c r="HPW1" s="172"/>
      <c r="HPX1" s="172"/>
      <c r="HPY1" s="172"/>
      <c r="HPZ1" s="172"/>
      <c r="HQA1" s="172"/>
      <c r="HQB1" s="172"/>
      <c r="HQC1" s="172"/>
      <c r="HQD1" s="172"/>
      <c r="HQE1" s="172"/>
      <c r="HQF1" s="172"/>
      <c r="HQG1" s="172"/>
      <c r="HQH1" s="172"/>
      <c r="HQI1" s="172"/>
      <c r="HQJ1" s="172"/>
      <c r="HQK1" s="172"/>
      <c r="HQL1" s="172"/>
      <c r="HQM1" s="172"/>
      <c r="HQN1" s="172"/>
      <c r="HQO1" s="172"/>
      <c r="HQP1" s="172"/>
      <c r="HQQ1" s="172"/>
      <c r="HQR1" s="172"/>
      <c r="HQS1" s="172"/>
      <c r="HQT1" s="172"/>
      <c r="HQU1" s="172"/>
      <c r="HQV1" s="172"/>
      <c r="HQW1" s="172"/>
      <c r="HQX1" s="172"/>
      <c r="HQY1" s="172"/>
      <c r="HQZ1" s="172"/>
      <c r="HRA1" s="172"/>
      <c r="HRB1" s="172"/>
      <c r="HRC1" s="172"/>
      <c r="HRD1" s="172"/>
      <c r="HRE1" s="172"/>
      <c r="HRF1" s="172"/>
      <c r="HRG1" s="172"/>
      <c r="HRH1" s="172"/>
      <c r="HRI1" s="172"/>
      <c r="HRJ1" s="172"/>
      <c r="HRK1" s="172"/>
      <c r="HRL1" s="172"/>
      <c r="HRM1" s="172"/>
      <c r="HRN1" s="172"/>
      <c r="HRO1" s="172"/>
      <c r="HRP1" s="172"/>
      <c r="HRQ1" s="172"/>
      <c r="HRR1" s="172"/>
      <c r="HRS1" s="172"/>
      <c r="HRT1" s="172"/>
      <c r="HRU1" s="172"/>
      <c r="HRV1" s="172"/>
      <c r="HRW1" s="172"/>
      <c r="HRX1" s="172"/>
      <c r="HRY1" s="172"/>
      <c r="HRZ1" s="172"/>
      <c r="HSA1" s="172"/>
      <c r="HSB1" s="172"/>
      <c r="HSC1" s="172"/>
      <c r="HSD1" s="172"/>
      <c r="HSE1" s="172"/>
      <c r="HSF1" s="172"/>
      <c r="HSG1" s="172"/>
      <c r="HSH1" s="172"/>
      <c r="HSI1" s="172"/>
      <c r="HSJ1" s="172"/>
      <c r="HSK1" s="172"/>
      <c r="HSL1" s="172"/>
      <c r="HSM1" s="172"/>
      <c r="HSN1" s="172"/>
      <c r="HSO1" s="172"/>
      <c r="HSP1" s="172"/>
      <c r="HSQ1" s="172"/>
      <c r="HSR1" s="172"/>
      <c r="HSS1" s="172"/>
      <c r="HST1" s="172"/>
      <c r="HSU1" s="172"/>
      <c r="HSV1" s="172"/>
      <c r="HSW1" s="172"/>
      <c r="HSX1" s="172"/>
      <c r="HSY1" s="172"/>
      <c r="HSZ1" s="172"/>
      <c r="HTA1" s="172"/>
      <c r="HTB1" s="172"/>
      <c r="HTC1" s="172"/>
      <c r="HTD1" s="172"/>
      <c r="HTE1" s="172"/>
      <c r="HTF1" s="172"/>
      <c r="HTG1" s="172"/>
      <c r="HTH1" s="172"/>
      <c r="HTI1" s="172"/>
      <c r="HTJ1" s="172"/>
      <c r="HTK1" s="172"/>
      <c r="HTL1" s="172"/>
      <c r="HTM1" s="172"/>
      <c r="HTN1" s="172"/>
      <c r="HTO1" s="172"/>
      <c r="HTP1" s="172"/>
      <c r="HTQ1" s="172"/>
      <c r="HTR1" s="172"/>
      <c r="HTS1" s="172"/>
      <c r="HTT1" s="172"/>
      <c r="HTU1" s="172"/>
      <c r="HTV1" s="172"/>
      <c r="HTW1" s="172"/>
      <c r="HTX1" s="172"/>
      <c r="HTY1" s="172"/>
      <c r="HTZ1" s="172"/>
      <c r="HUA1" s="172"/>
      <c r="HUB1" s="172"/>
      <c r="HUC1" s="172"/>
      <c r="HUD1" s="172"/>
      <c r="HUE1" s="172"/>
      <c r="HUF1" s="172"/>
      <c r="HUG1" s="172"/>
      <c r="HUH1" s="172"/>
      <c r="HUI1" s="172"/>
      <c r="HUJ1" s="172"/>
      <c r="HUK1" s="172"/>
      <c r="HUL1" s="172"/>
      <c r="HUM1" s="172"/>
      <c r="HUN1" s="172"/>
      <c r="HUO1" s="172"/>
      <c r="HUP1" s="172"/>
      <c r="HUQ1" s="172"/>
      <c r="HUR1" s="172"/>
      <c r="HUS1" s="172"/>
      <c r="HUT1" s="172"/>
      <c r="HUU1" s="172"/>
      <c r="HUV1" s="172"/>
      <c r="HUW1" s="172"/>
      <c r="HUX1" s="172"/>
      <c r="HUY1" s="172"/>
      <c r="HUZ1" s="172"/>
      <c r="HVA1" s="172"/>
      <c r="HVB1" s="172"/>
      <c r="HVC1" s="172"/>
      <c r="HVD1" s="172"/>
      <c r="HVE1" s="172"/>
      <c r="HVF1" s="172"/>
      <c r="HVG1" s="172"/>
      <c r="HVH1" s="172"/>
      <c r="HVI1" s="172"/>
      <c r="HVJ1" s="172"/>
      <c r="HVK1" s="172"/>
      <c r="HVL1" s="172"/>
      <c r="HVM1" s="172"/>
      <c r="HVN1" s="172"/>
      <c r="HVO1" s="172"/>
      <c r="HVP1" s="172"/>
      <c r="HVQ1" s="172"/>
      <c r="HVR1" s="172"/>
      <c r="HVS1" s="172"/>
      <c r="HVT1" s="172"/>
      <c r="HVU1" s="172"/>
      <c r="HVV1" s="172"/>
      <c r="HVW1" s="172"/>
      <c r="HVX1" s="172"/>
      <c r="HVY1" s="172"/>
      <c r="HVZ1" s="172"/>
      <c r="HWA1" s="172"/>
      <c r="HWB1" s="172"/>
      <c r="HWC1" s="172"/>
      <c r="HWD1" s="172"/>
      <c r="HWE1" s="172"/>
      <c r="HWF1" s="172"/>
      <c r="HWG1" s="172"/>
      <c r="HWH1" s="172"/>
      <c r="HWI1" s="172"/>
      <c r="HWJ1" s="172"/>
      <c r="HWK1" s="172"/>
      <c r="HWL1" s="172"/>
      <c r="HWM1" s="172"/>
      <c r="HWN1" s="172"/>
      <c r="HWO1" s="172"/>
      <c r="HWP1" s="172"/>
      <c r="HWQ1" s="172"/>
      <c r="HWR1" s="172"/>
      <c r="HWS1" s="172"/>
      <c r="HWT1" s="172"/>
      <c r="HWU1" s="172"/>
      <c r="HWV1" s="172"/>
      <c r="HWW1" s="172"/>
      <c r="HWX1" s="172"/>
      <c r="HWY1" s="172"/>
      <c r="HWZ1" s="172"/>
      <c r="HXA1" s="172"/>
      <c r="HXB1" s="172"/>
      <c r="HXC1" s="172"/>
      <c r="HXD1" s="172"/>
      <c r="HXE1" s="172"/>
      <c r="HXF1" s="172"/>
      <c r="HXG1" s="172"/>
      <c r="HXH1" s="172"/>
      <c r="HXI1" s="172"/>
      <c r="HXJ1" s="172"/>
      <c r="HXK1" s="172"/>
      <c r="HXL1" s="172"/>
      <c r="HXM1" s="172"/>
      <c r="HXN1" s="172"/>
      <c r="HXO1" s="172"/>
      <c r="HXP1" s="172"/>
      <c r="HXQ1" s="172"/>
      <c r="HXR1" s="172"/>
      <c r="HXS1" s="172"/>
      <c r="HXT1" s="172"/>
      <c r="HXU1" s="172"/>
      <c r="HXV1" s="172"/>
      <c r="HXW1" s="172"/>
      <c r="HXX1" s="172"/>
      <c r="HXY1" s="172"/>
      <c r="HXZ1" s="172"/>
      <c r="HYA1" s="172"/>
      <c r="HYB1" s="172"/>
      <c r="HYC1" s="172"/>
      <c r="HYD1" s="172"/>
      <c r="HYE1" s="172"/>
      <c r="HYF1" s="172"/>
      <c r="HYG1" s="172"/>
      <c r="HYH1" s="172"/>
      <c r="HYI1" s="172"/>
      <c r="HYJ1" s="172"/>
      <c r="HYK1" s="172"/>
      <c r="HYL1" s="172"/>
      <c r="HYM1" s="172"/>
      <c r="HYN1" s="172"/>
      <c r="HYO1" s="172"/>
      <c r="HYP1" s="172"/>
      <c r="HYQ1" s="172"/>
      <c r="HYR1" s="172"/>
      <c r="HYS1" s="172"/>
      <c r="HYT1" s="172"/>
      <c r="HYU1" s="172"/>
      <c r="HYV1" s="172"/>
      <c r="HYW1" s="172"/>
      <c r="HYX1" s="172"/>
      <c r="HYY1" s="172"/>
      <c r="HYZ1" s="172"/>
      <c r="HZA1" s="172"/>
      <c r="HZB1" s="172"/>
      <c r="HZC1" s="172"/>
      <c r="HZD1" s="172"/>
      <c r="HZE1" s="172"/>
      <c r="HZF1" s="172"/>
      <c r="HZG1" s="172"/>
      <c r="HZH1" s="172"/>
      <c r="HZI1" s="172"/>
      <c r="HZJ1" s="172"/>
      <c r="HZK1" s="172"/>
      <c r="HZL1" s="172"/>
      <c r="HZM1" s="172"/>
      <c r="HZN1" s="172"/>
      <c r="HZO1" s="172"/>
      <c r="HZP1" s="172"/>
      <c r="HZQ1" s="172"/>
      <c r="HZR1" s="172"/>
      <c r="HZS1" s="172"/>
      <c r="HZT1" s="172"/>
      <c r="HZU1" s="172"/>
      <c r="HZV1" s="172"/>
      <c r="HZW1" s="172"/>
      <c r="HZX1" s="172"/>
      <c r="HZY1" s="172"/>
      <c r="HZZ1" s="172"/>
      <c r="IAA1" s="172"/>
      <c r="IAB1" s="172"/>
      <c r="IAC1" s="172"/>
      <c r="IAD1" s="172"/>
      <c r="IAE1" s="172"/>
      <c r="IAF1" s="172"/>
      <c r="IAG1" s="172"/>
      <c r="IAH1" s="172"/>
      <c r="IAI1" s="172"/>
      <c r="IAJ1" s="172"/>
      <c r="IAK1" s="172"/>
      <c r="IAL1" s="172"/>
      <c r="IAM1" s="172"/>
      <c r="IAN1" s="172"/>
      <c r="IAO1" s="172"/>
      <c r="IAP1" s="172"/>
      <c r="IAQ1" s="172"/>
      <c r="IAR1" s="172"/>
      <c r="IAS1" s="172"/>
      <c r="IAT1" s="172"/>
      <c r="IAU1" s="172"/>
      <c r="IAV1" s="172"/>
      <c r="IAW1" s="172"/>
      <c r="IAX1" s="172"/>
      <c r="IAY1" s="172"/>
      <c r="IAZ1" s="172"/>
      <c r="IBA1" s="172"/>
      <c r="IBB1" s="172"/>
      <c r="IBC1" s="172"/>
      <c r="IBD1" s="172"/>
      <c r="IBE1" s="172"/>
      <c r="IBF1" s="172"/>
      <c r="IBG1" s="172"/>
      <c r="IBH1" s="172"/>
      <c r="IBI1" s="172"/>
      <c r="IBJ1" s="172"/>
      <c r="IBK1" s="172"/>
      <c r="IBL1" s="172"/>
      <c r="IBM1" s="172"/>
      <c r="IBN1" s="172"/>
      <c r="IBO1" s="172"/>
      <c r="IBP1" s="172"/>
      <c r="IBQ1" s="172"/>
      <c r="IBR1" s="172"/>
      <c r="IBS1" s="172"/>
      <c r="IBT1" s="172"/>
      <c r="IBU1" s="172"/>
      <c r="IBV1" s="172"/>
      <c r="IBW1" s="172"/>
      <c r="IBX1" s="172"/>
      <c r="IBY1" s="172"/>
      <c r="IBZ1" s="172"/>
      <c r="ICA1" s="172"/>
      <c r="ICB1" s="172"/>
      <c r="ICC1" s="172"/>
      <c r="ICD1" s="172"/>
      <c r="ICE1" s="172"/>
      <c r="ICF1" s="172"/>
      <c r="ICG1" s="172"/>
      <c r="ICH1" s="172"/>
      <c r="ICI1" s="172"/>
      <c r="ICJ1" s="172"/>
      <c r="ICK1" s="172"/>
      <c r="ICL1" s="172"/>
      <c r="ICM1" s="172"/>
      <c r="ICN1" s="172"/>
      <c r="ICO1" s="172"/>
      <c r="ICP1" s="172"/>
      <c r="ICQ1" s="172"/>
      <c r="ICR1" s="172"/>
      <c r="ICS1" s="172"/>
      <c r="ICT1" s="172"/>
      <c r="ICU1" s="172"/>
      <c r="ICV1" s="172"/>
      <c r="ICW1" s="172"/>
      <c r="ICX1" s="172"/>
      <c r="ICY1" s="172"/>
      <c r="ICZ1" s="172"/>
      <c r="IDA1" s="172"/>
      <c r="IDB1" s="172"/>
      <c r="IDC1" s="172"/>
      <c r="IDD1" s="172"/>
      <c r="IDE1" s="172"/>
      <c r="IDF1" s="172"/>
      <c r="IDG1" s="172"/>
      <c r="IDH1" s="172"/>
      <c r="IDI1" s="172"/>
      <c r="IDJ1" s="172"/>
      <c r="IDK1" s="172"/>
      <c r="IDL1" s="172"/>
      <c r="IDM1" s="172"/>
      <c r="IDN1" s="172"/>
      <c r="IDO1" s="172"/>
      <c r="IDP1" s="172"/>
      <c r="IDQ1" s="172"/>
      <c r="IDR1" s="172"/>
      <c r="IDS1" s="172"/>
      <c r="IDT1" s="172"/>
      <c r="IDU1" s="172"/>
      <c r="IDV1" s="172"/>
      <c r="IDW1" s="172"/>
      <c r="IDX1" s="172"/>
      <c r="IDY1" s="172"/>
      <c r="IDZ1" s="172"/>
      <c r="IEA1" s="172"/>
      <c r="IEB1" s="172"/>
      <c r="IEC1" s="172"/>
      <c r="IED1" s="172"/>
      <c r="IEE1" s="172"/>
      <c r="IEF1" s="172"/>
      <c r="IEG1" s="172"/>
      <c r="IEH1" s="172"/>
      <c r="IEI1" s="172"/>
      <c r="IEJ1" s="172"/>
      <c r="IEK1" s="172"/>
      <c r="IEL1" s="172"/>
      <c r="IEM1" s="172"/>
      <c r="IEN1" s="172"/>
      <c r="IEO1" s="172"/>
      <c r="IEP1" s="172"/>
      <c r="IEQ1" s="172"/>
      <c r="IER1" s="172"/>
      <c r="IES1" s="172"/>
      <c r="IET1" s="172"/>
      <c r="IEU1" s="172"/>
      <c r="IEV1" s="172"/>
      <c r="IEW1" s="172"/>
      <c r="IEX1" s="172"/>
      <c r="IEY1" s="172"/>
      <c r="IEZ1" s="172"/>
      <c r="IFA1" s="172"/>
      <c r="IFB1" s="172"/>
      <c r="IFC1" s="172"/>
      <c r="IFD1" s="172"/>
      <c r="IFE1" s="172"/>
      <c r="IFF1" s="172"/>
      <c r="IFG1" s="172"/>
      <c r="IFH1" s="172"/>
      <c r="IFI1" s="172"/>
      <c r="IFJ1" s="172"/>
      <c r="IFK1" s="172"/>
      <c r="IFL1" s="172"/>
      <c r="IFM1" s="172"/>
      <c r="IFN1" s="172"/>
      <c r="IFO1" s="172"/>
      <c r="IFP1" s="172"/>
      <c r="IFQ1" s="172"/>
      <c r="IFR1" s="172"/>
      <c r="IFS1" s="172"/>
      <c r="IFT1" s="172"/>
      <c r="IFU1" s="172"/>
      <c r="IFV1" s="172"/>
      <c r="IFW1" s="172"/>
      <c r="IFX1" s="172"/>
      <c r="IFY1" s="172"/>
      <c r="IFZ1" s="172"/>
      <c r="IGA1" s="172"/>
      <c r="IGB1" s="172"/>
      <c r="IGC1" s="172"/>
      <c r="IGD1" s="172"/>
      <c r="IGE1" s="172"/>
      <c r="IGF1" s="172"/>
      <c r="IGG1" s="172"/>
      <c r="IGH1" s="172"/>
      <c r="IGI1" s="172"/>
      <c r="IGJ1" s="172"/>
      <c r="IGK1" s="172"/>
      <c r="IGL1" s="172"/>
      <c r="IGM1" s="172"/>
      <c r="IGN1" s="172"/>
      <c r="IGO1" s="172"/>
      <c r="IGP1" s="172"/>
      <c r="IGQ1" s="172"/>
      <c r="IGR1" s="172"/>
      <c r="IGS1" s="172"/>
      <c r="IGT1" s="172"/>
      <c r="IGU1" s="172"/>
      <c r="IGV1" s="172"/>
      <c r="IGW1" s="172"/>
      <c r="IGX1" s="172"/>
      <c r="IGY1" s="172"/>
      <c r="IGZ1" s="172"/>
      <c r="IHA1" s="172"/>
      <c r="IHB1" s="172"/>
      <c r="IHC1" s="172"/>
      <c r="IHD1" s="172"/>
      <c r="IHE1" s="172"/>
      <c r="IHF1" s="172"/>
      <c r="IHG1" s="172"/>
      <c r="IHH1" s="172"/>
      <c r="IHI1" s="172"/>
      <c r="IHJ1" s="172"/>
      <c r="IHK1" s="172"/>
      <c r="IHL1" s="172"/>
      <c r="IHM1" s="172"/>
      <c r="IHN1" s="172"/>
      <c r="IHO1" s="172"/>
      <c r="IHP1" s="172"/>
      <c r="IHQ1" s="172"/>
      <c r="IHR1" s="172"/>
      <c r="IHS1" s="172"/>
      <c r="IHT1" s="172"/>
      <c r="IHU1" s="172"/>
      <c r="IHV1" s="172"/>
      <c r="IHW1" s="172"/>
      <c r="IHX1" s="172"/>
      <c r="IHY1" s="172"/>
      <c r="IHZ1" s="172"/>
      <c r="IIA1" s="172"/>
      <c r="IIB1" s="172"/>
      <c r="IIC1" s="172"/>
      <c r="IID1" s="172"/>
      <c r="IIE1" s="172"/>
      <c r="IIF1" s="172"/>
      <c r="IIG1" s="172"/>
      <c r="IIH1" s="172"/>
      <c r="III1" s="172"/>
      <c r="IIJ1" s="172"/>
      <c r="IIK1" s="172"/>
      <c r="IIL1" s="172"/>
      <c r="IIM1" s="172"/>
      <c r="IIN1" s="172"/>
      <c r="IIO1" s="172"/>
      <c r="IIP1" s="172"/>
      <c r="IIQ1" s="172"/>
      <c r="IIR1" s="172"/>
      <c r="IIS1" s="172"/>
      <c r="IIT1" s="172"/>
      <c r="IIU1" s="172"/>
      <c r="IIV1" s="172"/>
      <c r="IIW1" s="172"/>
      <c r="IIX1" s="172"/>
      <c r="IIY1" s="172"/>
      <c r="IIZ1" s="172"/>
      <c r="IJA1" s="172"/>
      <c r="IJB1" s="172"/>
      <c r="IJC1" s="172"/>
      <c r="IJD1" s="172"/>
      <c r="IJE1" s="172"/>
      <c r="IJF1" s="172"/>
      <c r="IJG1" s="172"/>
      <c r="IJH1" s="172"/>
      <c r="IJI1" s="172"/>
      <c r="IJJ1" s="172"/>
      <c r="IJK1" s="172"/>
      <c r="IJL1" s="172"/>
      <c r="IJM1" s="172"/>
      <c r="IJN1" s="172"/>
      <c r="IJO1" s="172"/>
      <c r="IJP1" s="172"/>
      <c r="IJQ1" s="172"/>
      <c r="IJR1" s="172"/>
      <c r="IJS1" s="172"/>
      <c r="IJT1" s="172"/>
      <c r="IJU1" s="172"/>
      <c r="IJV1" s="172"/>
      <c r="IJW1" s="172"/>
      <c r="IJX1" s="172"/>
      <c r="IJY1" s="172"/>
      <c r="IJZ1" s="172"/>
      <c r="IKA1" s="172"/>
      <c r="IKB1" s="172"/>
      <c r="IKC1" s="172"/>
      <c r="IKD1" s="172"/>
      <c r="IKE1" s="172"/>
      <c r="IKF1" s="172"/>
      <c r="IKG1" s="172"/>
      <c r="IKH1" s="172"/>
      <c r="IKI1" s="172"/>
      <c r="IKJ1" s="172"/>
      <c r="IKK1" s="172"/>
      <c r="IKL1" s="172"/>
      <c r="IKM1" s="172"/>
      <c r="IKN1" s="172"/>
      <c r="IKO1" s="172"/>
      <c r="IKP1" s="172"/>
      <c r="IKQ1" s="172"/>
      <c r="IKR1" s="172"/>
      <c r="IKS1" s="172"/>
      <c r="IKT1" s="172"/>
      <c r="IKU1" s="172"/>
      <c r="IKV1" s="172"/>
      <c r="IKW1" s="172"/>
      <c r="IKX1" s="172"/>
      <c r="IKY1" s="172"/>
      <c r="IKZ1" s="172"/>
      <c r="ILA1" s="172"/>
      <c r="ILB1" s="172"/>
      <c r="ILC1" s="172"/>
      <c r="ILD1" s="172"/>
      <c r="ILE1" s="172"/>
      <c r="ILF1" s="172"/>
      <c r="ILG1" s="172"/>
      <c r="ILH1" s="172"/>
      <c r="ILI1" s="172"/>
      <c r="ILJ1" s="172"/>
      <c r="ILK1" s="172"/>
      <c r="ILL1" s="172"/>
      <c r="ILM1" s="172"/>
      <c r="ILN1" s="172"/>
      <c r="ILO1" s="172"/>
      <c r="ILP1" s="172"/>
      <c r="ILQ1" s="172"/>
      <c r="ILR1" s="172"/>
      <c r="ILS1" s="172"/>
      <c r="ILT1" s="172"/>
      <c r="ILU1" s="172"/>
      <c r="ILV1" s="172"/>
      <c r="ILW1" s="172"/>
      <c r="ILX1" s="172"/>
      <c r="ILY1" s="172"/>
      <c r="ILZ1" s="172"/>
      <c r="IMA1" s="172"/>
      <c r="IMB1" s="172"/>
      <c r="IMC1" s="172"/>
      <c r="IMD1" s="172"/>
      <c r="IME1" s="172"/>
      <c r="IMF1" s="172"/>
      <c r="IMG1" s="172"/>
      <c r="IMH1" s="172"/>
      <c r="IMI1" s="172"/>
      <c r="IMJ1" s="172"/>
      <c r="IMK1" s="172"/>
      <c r="IML1" s="172"/>
      <c r="IMM1" s="172"/>
      <c r="IMN1" s="172"/>
      <c r="IMO1" s="172"/>
      <c r="IMP1" s="172"/>
      <c r="IMQ1" s="172"/>
      <c r="IMR1" s="172"/>
      <c r="IMS1" s="172"/>
      <c r="IMT1" s="172"/>
      <c r="IMU1" s="172"/>
      <c r="IMV1" s="172"/>
      <c r="IMW1" s="172"/>
      <c r="IMX1" s="172"/>
      <c r="IMY1" s="172"/>
      <c r="IMZ1" s="172"/>
      <c r="INA1" s="172"/>
      <c r="INB1" s="172"/>
      <c r="INC1" s="172"/>
      <c r="IND1" s="172"/>
      <c r="INE1" s="172"/>
      <c r="INF1" s="172"/>
      <c r="ING1" s="172"/>
      <c r="INH1" s="172"/>
      <c r="INI1" s="172"/>
      <c r="INJ1" s="172"/>
      <c r="INK1" s="172"/>
      <c r="INL1" s="172"/>
      <c r="INM1" s="172"/>
      <c r="INN1" s="172"/>
      <c r="INO1" s="172"/>
      <c r="INP1" s="172"/>
      <c r="INQ1" s="172"/>
      <c r="INR1" s="172"/>
      <c r="INS1" s="172"/>
      <c r="INT1" s="172"/>
      <c r="INU1" s="172"/>
      <c r="INV1" s="172"/>
      <c r="INW1" s="172"/>
      <c r="INX1" s="172"/>
      <c r="INY1" s="172"/>
      <c r="INZ1" s="172"/>
      <c r="IOA1" s="172"/>
      <c r="IOB1" s="172"/>
      <c r="IOC1" s="172"/>
      <c r="IOD1" s="172"/>
      <c r="IOE1" s="172"/>
      <c r="IOF1" s="172"/>
      <c r="IOG1" s="172"/>
      <c r="IOH1" s="172"/>
      <c r="IOI1" s="172"/>
      <c r="IOJ1" s="172"/>
      <c r="IOK1" s="172"/>
      <c r="IOL1" s="172"/>
      <c r="IOM1" s="172"/>
      <c r="ION1" s="172"/>
      <c r="IOO1" s="172"/>
      <c r="IOP1" s="172"/>
      <c r="IOQ1" s="172"/>
      <c r="IOR1" s="172"/>
      <c r="IOS1" s="172"/>
      <c r="IOT1" s="172"/>
      <c r="IOU1" s="172"/>
      <c r="IOV1" s="172"/>
      <c r="IOW1" s="172"/>
      <c r="IOX1" s="172"/>
      <c r="IOY1" s="172"/>
      <c r="IOZ1" s="172"/>
      <c r="IPA1" s="172"/>
      <c r="IPB1" s="172"/>
      <c r="IPC1" s="172"/>
      <c r="IPD1" s="172"/>
      <c r="IPE1" s="172"/>
      <c r="IPF1" s="172"/>
      <c r="IPG1" s="172"/>
      <c r="IPH1" s="172"/>
      <c r="IPI1" s="172"/>
      <c r="IPJ1" s="172"/>
      <c r="IPK1" s="172"/>
      <c r="IPL1" s="172"/>
      <c r="IPM1" s="172"/>
      <c r="IPN1" s="172"/>
      <c r="IPO1" s="172"/>
      <c r="IPP1" s="172"/>
      <c r="IPQ1" s="172"/>
      <c r="IPR1" s="172"/>
      <c r="IPS1" s="172"/>
      <c r="IPT1" s="172"/>
      <c r="IPU1" s="172"/>
      <c r="IPV1" s="172"/>
      <c r="IPW1" s="172"/>
      <c r="IPX1" s="172"/>
      <c r="IPY1" s="172"/>
      <c r="IPZ1" s="172"/>
      <c r="IQA1" s="172"/>
      <c r="IQB1" s="172"/>
      <c r="IQC1" s="172"/>
      <c r="IQD1" s="172"/>
      <c r="IQE1" s="172"/>
      <c r="IQF1" s="172"/>
      <c r="IQG1" s="172"/>
      <c r="IQH1" s="172"/>
      <c r="IQI1" s="172"/>
      <c r="IQJ1" s="172"/>
      <c r="IQK1" s="172"/>
      <c r="IQL1" s="172"/>
      <c r="IQM1" s="172"/>
      <c r="IQN1" s="172"/>
      <c r="IQO1" s="172"/>
      <c r="IQP1" s="172"/>
      <c r="IQQ1" s="172"/>
      <c r="IQR1" s="172"/>
      <c r="IQS1" s="172"/>
      <c r="IQT1" s="172"/>
      <c r="IQU1" s="172"/>
      <c r="IQV1" s="172"/>
      <c r="IQW1" s="172"/>
      <c r="IQX1" s="172"/>
      <c r="IQY1" s="172"/>
      <c r="IQZ1" s="172"/>
      <c r="IRA1" s="172"/>
      <c r="IRB1" s="172"/>
      <c r="IRC1" s="172"/>
      <c r="IRD1" s="172"/>
      <c r="IRE1" s="172"/>
      <c r="IRF1" s="172"/>
      <c r="IRG1" s="172"/>
      <c r="IRH1" s="172"/>
      <c r="IRI1" s="172"/>
      <c r="IRJ1" s="172"/>
      <c r="IRK1" s="172"/>
      <c r="IRL1" s="172"/>
      <c r="IRM1" s="172"/>
      <c r="IRN1" s="172"/>
      <c r="IRO1" s="172"/>
      <c r="IRP1" s="172"/>
      <c r="IRQ1" s="172"/>
      <c r="IRR1" s="172"/>
      <c r="IRS1" s="172"/>
      <c r="IRT1" s="172"/>
      <c r="IRU1" s="172"/>
      <c r="IRV1" s="172"/>
      <c r="IRW1" s="172"/>
      <c r="IRX1" s="172"/>
      <c r="IRY1" s="172"/>
      <c r="IRZ1" s="172"/>
      <c r="ISA1" s="172"/>
      <c r="ISB1" s="172"/>
      <c r="ISC1" s="172"/>
      <c r="ISD1" s="172"/>
      <c r="ISE1" s="172"/>
      <c r="ISF1" s="172"/>
      <c r="ISG1" s="172"/>
      <c r="ISH1" s="172"/>
      <c r="ISI1" s="172"/>
      <c r="ISJ1" s="172"/>
      <c r="ISK1" s="172"/>
      <c r="ISL1" s="172"/>
      <c r="ISM1" s="172"/>
      <c r="ISN1" s="172"/>
      <c r="ISO1" s="172"/>
      <c r="ISP1" s="172"/>
      <c r="ISQ1" s="172"/>
      <c r="ISR1" s="172"/>
      <c r="ISS1" s="172"/>
      <c r="IST1" s="172"/>
      <c r="ISU1" s="172"/>
      <c r="ISV1" s="172"/>
      <c r="ISW1" s="172"/>
      <c r="ISX1" s="172"/>
      <c r="ISY1" s="172"/>
      <c r="ISZ1" s="172"/>
      <c r="ITA1" s="172"/>
      <c r="ITB1" s="172"/>
      <c r="ITC1" s="172"/>
      <c r="ITD1" s="172"/>
      <c r="ITE1" s="172"/>
      <c r="ITF1" s="172"/>
      <c r="ITG1" s="172"/>
      <c r="ITH1" s="172"/>
      <c r="ITI1" s="172"/>
      <c r="ITJ1" s="172"/>
      <c r="ITK1" s="172"/>
      <c r="ITL1" s="172"/>
      <c r="ITM1" s="172"/>
      <c r="ITN1" s="172"/>
      <c r="ITO1" s="172"/>
      <c r="ITP1" s="172"/>
      <c r="ITQ1" s="172"/>
      <c r="ITR1" s="172"/>
      <c r="ITS1" s="172"/>
      <c r="ITT1" s="172"/>
      <c r="ITU1" s="172"/>
      <c r="ITV1" s="172"/>
      <c r="ITW1" s="172"/>
      <c r="ITX1" s="172"/>
      <c r="ITY1" s="172"/>
      <c r="ITZ1" s="172"/>
      <c r="IUA1" s="172"/>
      <c r="IUB1" s="172"/>
      <c r="IUC1" s="172"/>
      <c r="IUD1" s="172"/>
      <c r="IUE1" s="172"/>
      <c r="IUF1" s="172"/>
      <c r="IUG1" s="172"/>
      <c r="IUH1" s="172"/>
      <c r="IUI1" s="172"/>
      <c r="IUJ1" s="172"/>
      <c r="IUK1" s="172"/>
      <c r="IUL1" s="172"/>
      <c r="IUM1" s="172"/>
      <c r="IUN1" s="172"/>
      <c r="IUO1" s="172"/>
      <c r="IUP1" s="172"/>
      <c r="IUQ1" s="172"/>
      <c r="IUR1" s="172"/>
      <c r="IUS1" s="172"/>
      <c r="IUT1" s="172"/>
      <c r="IUU1" s="172"/>
      <c r="IUV1" s="172"/>
      <c r="IUW1" s="172"/>
      <c r="IUX1" s="172"/>
      <c r="IUY1" s="172"/>
      <c r="IUZ1" s="172"/>
      <c r="IVA1" s="172"/>
      <c r="IVB1" s="172"/>
      <c r="IVC1" s="172"/>
      <c r="IVD1" s="172"/>
      <c r="IVE1" s="172"/>
      <c r="IVF1" s="172"/>
      <c r="IVG1" s="172"/>
      <c r="IVH1" s="172"/>
      <c r="IVI1" s="172"/>
      <c r="IVJ1" s="172"/>
      <c r="IVK1" s="172"/>
      <c r="IVL1" s="172"/>
      <c r="IVM1" s="172"/>
      <c r="IVN1" s="172"/>
      <c r="IVO1" s="172"/>
      <c r="IVP1" s="172"/>
      <c r="IVQ1" s="172"/>
      <c r="IVR1" s="172"/>
      <c r="IVS1" s="172"/>
      <c r="IVT1" s="172"/>
      <c r="IVU1" s="172"/>
      <c r="IVV1" s="172"/>
      <c r="IVW1" s="172"/>
      <c r="IVX1" s="172"/>
      <c r="IVY1" s="172"/>
      <c r="IVZ1" s="172"/>
      <c r="IWA1" s="172"/>
      <c r="IWB1" s="172"/>
      <c r="IWC1" s="172"/>
      <c r="IWD1" s="172"/>
      <c r="IWE1" s="172"/>
      <c r="IWF1" s="172"/>
      <c r="IWG1" s="172"/>
      <c r="IWH1" s="172"/>
      <c r="IWI1" s="172"/>
      <c r="IWJ1" s="172"/>
      <c r="IWK1" s="172"/>
      <c r="IWL1" s="172"/>
      <c r="IWM1" s="172"/>
      <c r="IWN1" s="172"/>
      <c r="IWO1" s="172"/>
      <c r="IWP1" s="172"/>
      <c r="IWQ1" s="172"/>
      <c r="IWR1" s="172"/>
      <c r="IWS1" s="172"/>
      <c r="IWT1" s="172"/>
      <c r="IWU1" s="172"/>
      <c r="IWV1" s="172"/>
      <c r="IWW1" s="172"/>
      <c r="IWX1" s="172"/>
      <c r="IWY1" s="172"/>
      <c r="IWZ1" s="172"/>
      <c r="IXA1" s="172"/>
      <c r="IXB1" s="172"/>
      <c r="IXC1" s="172"/>
      <c r="IXD1" s="172"/>
      <c r="IXE1" s="172"/>
      <c r="IXF1" s="172"/>
      <c r="IXG1" s="172"/>
      <c r="IXH1" s="172"/>
      <c r="IXI1" s="172"/>
      <c r="IXJ1" s="172"/>
      <c r="IXK1" s="172"/>
      <c r="IXL1" s="172"/>
      <c r="IXM1" s="172"/>
      <c r="IXN1" s="172"/>
      <c r="IXO1" s="172"/>
      <c r="IXP1" s="172"/>
      <c r="IXQ1" s="172"/>
      <c r="IXR1" s="172"/>
      <c r="IXS1" s="172"/>
      <c r="IXT1" s="172"/>
      <c r="IXU1" s="172"/>
      <c r="IXV1" s="172"/>
      <c r="IXW1" s="172"/>
      <c r="IXX1" s="172"/>
      <c r="IXY1" s="172"/>
      <c r="IXZ1" s="172"/>
      <c r="IYA1" s="172"/>
      <c r="IYB1" s="172"/>
      <c r="IYC1" s="172"/>
      <c r="IYD1" s="172"/>
      <c r="IYE1" s="172"/>
      <c r="IYF1" s="172"/>
      <c r="IYG1" s="172"/>
      <c r="IYH1" s="172"/>
      <c r="IYI1" s="172"/>
      <c r="IYJ1" s="172"/>
      <c r="IYK1" s="172"/>
      <c r="IYL1" s="172"/>
      <c r="IYM1" s="172"/>
      <c r="IYN1" s="172"/>
      <c r="IYO1" s="172"/>
      <c r="IYP1" s="172"/>
      <c r="IYQ1" s="172"/>
      <c r="IYR1" s="172"/>
      <c r="IYS1" s="172"/>
      <c r="IYT1" s="172"/>
      <c r="IYU1" s="172"/>
      <c r="IYV1" s="172"/>
      <c r="IYW1" s="172"/>
      <c r="IYX1" s="172"/>
      <c r="IYY1" s="172"/>
      <c r="IYZ1" s="172"/>
      <c r="IZA1" s="172"/>
      <c r="IZB1" s="172"/>
      <c r="IZC1" s="172"/>
      <c r="IZD1" s="172"/>
      <c r="IZE1" s="172"/>
      <c r="IZF1" s="172"/>
      <c r="IZG1" s="172"/>
      <c r="IZH1" s="172"/>
      <c r="IZI1" s="172"/>
      <c r="IZJ1" s="172"/>
      <c r="IZK1" s="172"/>
      <c r="IZL1" s="172"/>
      <c r="IZM1" s="172"/>
      <c r="IZN1" s="172"/>
      <c r="IZO1" s="172"/>
      <c r="IZP1" s="172"/>
      <c r="IZQ1" s="172"/>
      <c r="IZR1" s="172"/>
      <c r="IZS1" s="172"/>
      <c r="IZT1" s="172"/>
      <c r="IZU1" s="172"/>
      <c r="IZV1" s="172"/>
      <c r="IZW1" s="172"/>
      <c r="IZX1" s="172"/>
      <c r="IZY1" s="172"/>
      <c r="IZZ1" s="172"/>
      <c r="JAA1" s="172"/>
      <c r="JAB1" s="172"/>
      <c r="JAC1" s="172"/>
      <c r="JAD1" s="172"/>
      <c r="JAE1" s="172"/>
      <c r="JAF1" s="172"/>
      <c r="JAG1" s="172"/>
      <c r="JAH1" s="172"/>
      <c r="JAI1" s="172"/>
      <c r="JAJ1" s="172"/>
      <c r="JAK1" s="172"/>
      <c r="JAL1" s="172"/>
      <c r="JAM1" s="172"/>
      <c r="JAN1" s="172"/>
      <c r="JAO1" s="172"/>
      <c r="JAP1" s="172"/>
      <c r="JAQ1" s="172"/>
      <c r="JAR1" s="172"/>
      <c r="JAS1" s="172"/>
      <c r="JAT1" s="172"/>
      <c r="JAU1" s="172"/>
      <c r="JAV1" s="172"/>
      <c r="JAW1" s="172"/>
      <c r="JAX1" s="172"/>
      <c r="JAY1" s="172"/>
      <c r="JAZ1" s="172"/>
      <c r="JBA1" s="172"/>
      <c r="JBB1" s="172"/>
      <c r="JBC1" s="172"/>
      <c r="JBD1" s="172"/>
      <c r="JBE1" s="172"/>
      <c r="JBF1" s="172"/>
      <c r="JBG1" s="172"/>
      <c r="JBH1" s="172"/>
      <c r="JBI1" s="172"/>
      <c r="JBJ1" s="172"/>
      <c r="JBK1" s="172"/>
      <c r="JBL1" s="172"/>
      <c r="JBM1" s="172"/>
      <c r="JBN1" s="172"/>
      <c r="JBO1" s="172"/>
      <c r="JBP1" s="172"/>
      <c r="JBQ1" s="172"/>
      <c r="JBR1" s="172"/>
      <c r="JBS1" s="172"/>
      <c r="JBT1" s="172"/>
      <c r="JBU1" s="172"/>
      <c r="JBV1" s="172"/>
      <c r="JBW1" s="172"/>
      <c r="JBX1" s="172"/>
      <c r="JBY1" s="172"/>
      <c r="JBZ1" s="172"/>
      <c r="JCA1" s="172"/>
      <c r="JCB1" s="172"/>
      <c r="JCC1" s="172"/>
      <c r="JCD1" s="172"/>
      <c r="JCE1" s="172"/>
      <c r="JCF1" s="172"/>
      <c r="JCG1" s="172"/>
      <c r="JCH1" s="172"/>
      <c r="JCI1" s="172"/>
      <c r="JCJ1" s="172"/>
      <c r="JCK1" s="172"/>
      <c r="JCL1" s="172"/>
      <c r="JCM1" s="172"/>
      <c r="JCN1" s="172"/>
      <c r="JCO1" s="172"/>
      <c r="JCP1" s="172"/>
      <c r="JCQ1" s="172"/>
      <c r="JCR1" s="172"/>
      <c r="JCS1" s="172"/>
      <c r="JCT1" s="172"/>
      <c r="JCU1" s="172"/>
      <c r="JCV1" s="172"/>
      <c r="JCW1" s="172"/>
      <c r="JCX1" s="172"/>
      <c r="JCY1" s="172"/>
      <c r="JCZ1" s="172"/>
      <c r="JDA1" s="172"/>
      <c r="JDB1" s="172"/>
      <c r="JDC1" s="172"/>
      <c r="JDD1" s="172"/>
      <c r="JDE1" s="172"/>
      <c r="JDF1" s="172"/>
      <c r="JDG1" s="172"/>
      <c r="JDH1" s="172"/>
      <c r="JDI1" s="172"/>
      <c r="JDJ1" s="172"/>
      <c r="JDK1" s="172"/>
      <c r="JDL1" s="172"/>
      <c r="JDM1" s="172"/>
      <c r="JDN1" s="172"/>
      <c r="JDO1" s="172"/>
      <c r="JDP1" s="172"/>
      <c r="JDQ1" s="172"/>
      <c r="JDR1" s="172"/>
      <c r="JDS1" s="172"/>
      <c r="JDT1" s="172"/>
      <c r="JDU1" s="172"/>
      <c r="JDV1" s="172"/>
      <c r="JDW1" s="172"/>
      <c r="JDX1" s="172"/>
      <c r="JDY1" s="172"/>
      <c r="JDZ1" s="172"/>
      <c r="JEA1" s="172"/>
      <c r="JEB1" s="172"/>
      <c r="JEC1" s="172"/>
      <c r="JED1" s="172"/>
      <c r="JEE1" s="172"/>
      <c r="JEF1" s="172"/>
      <c r="JEG1" s="172"/>
      <c r="JEH1" s="172"/>
      <c r="JEI1" s="172"/>
      <c r="JEJ1" s="172"/>
      <c r="JEK1" s="172"/>
      <c r="JEL1" s="172"/>
      <c r="JEM1" s="172"/>
      <c r="JEN1" s="172"/>
      <c r="JEO1" s="172"/>
      <c r="JEP1" s="172"/>
      <c r="JEQ1" s="172"/>
      <c r="JER1" s="172"/>
      <c r="JES1" s="172"/>
      <c r="JET1" s="172"/>
      <c r="JEU1" s="172"/>
      <c r="JEV1" s="172"/>
      <c r="JEW1" s="172"/>
      <c r="JEX1" s="172"/>
      <c r="JEY1" s="172"/>
      <c r="JEZ1" s="172"/>
      <c r="JFA1" s="172"/>
      <c r="JFB1" s="172"/>
      <c r="JFC1" s="172"/>
      <c r="JFD1" s="172"/>
      <c r="JFE1" s="172"/>
      <c r="JFF1" s="172"/>
      <c r="JFG1" s="172"/>
      <c r="JFH1" s="172"/>
      <c r="JFI1" s="172"/>
      <c r="JFJ1" s="172"/>
      <c r="JFK1" s="172"/>
      <c r="JFL1" s="172"/>
      <c r="JFM1" s="172"/>
      <c r="JFN1" s="172"/>
      <c r="JFO1" s="172"/>
      <c r="JFP1" s="172"/>
      <c r="JFQ1" s="172"/>
      <c r="JFR1" s="172"/>
      <c r="JFS1" s="172"/>
      <c r="JFT1" s="172"/>
      <c r="JFU1" s="172"/>
      <c r="JFV1" s="172"/>
      <c r="JFW1" s="172"/>
      <c r="JFX1" s="172"/>
      <c r="JFY1" s="172"/>
      <c r="JFZ1" s="172"/>
      <c r="JGA1" s="172"/>
      <c r="JGB1" s="172"/>
      <c r="JGC1" s="172"/>
      <c r="JGD1" s="172"/>
      <c r="JGE1" s="172"/>
      <c r="JGF1" s="172"/>
      <c r="JGG1" s="172"/>
      <c r="JGH1" s="172"/>
      <c r="JGI1" s="172"/>
      <c r="JGJ1" s="172"/>
      <c r="JGK1" s="172"/>
      <c r="JGL1" s="172"/>
      <c r="JGM1" s="172"/>
      <c r="JGN1" s="172"/>
      <c r="JGO1" s="172"/>
      <c r="JGP1" s="172"/>
      <c r="JGQ1" s="172"/>
      <c r="JGR1" s="172"/>
      <c r="JGS1" s="172"/>
      <c r="JGT1" s="172"/>
      <c r="JGU1" s="172"/>
      <c r="JGV1" s="172"/>
      <c r="JGW1" s="172"/>
      <c r="JGX1" s="172"/>
      <c r="JGY1" s="172"/>
      <c r="JGZ1" s="172"/>
      <c r="JHA1" s="172"/>
      <c r="JHB1" s="172"/>
      <c r="JHC1" s="172"/>
      <c r="JHD1" s="172"/>
      <c r="JHE1" s="172"/>
      <c r="JHF1" s="172"/>
      <c r="JHG1" s="172"/>
      <c r="JHH1" s="172"/>
      <c r="JHI1" s="172"/>
      <c r="JHJ1" s="172"/>
      <c r="JHK1" s="172"/>
      <c r="JHL1" s="172"/>
      <c r="JHM1" s="172"/>
      <c r="JHN1" s="172"/>
      <c r="JHO1" s="172"/>
      <c r="JHP1" s="172"/>
      <c r="JHQ1" s="172"/>
      <c r="JHR1" s="172"/>
      <c r="JHS1" s="172"/>
      <c r="JHT1" s="172"/>
      <c r="JHU1" s="172"/>
      <c r="JHV1" s="172"/>
      <c r="JHW1" s="172"/>
      <c r="JHX1" s="172"/>
      <c r="JHY1" s="172"/>
      <c r="JHZ1" s="172"/>
      <c r="JIA1" s="172"/>
      <c r="JIB1" s="172"/>
      <c r="JIC1" s="172"/>
      <c r="JID1" s="172"/>
      <c r="JIE1" s="172"/>
      <c r="JIF1" s="172"/>
      <c r="JIG1" s="172"/>
      <c r="JIH1" s="172"/>
      <c r="JII1" s="172"/>
      <c r="JIJ1" s="172"/>
      <c r="JIK1" s="172"/>
      <c r="JIL1" s="172"/>
      <c r="JIM1" s="172"/>
      <c r="JIN1" s="172"/>
      <c r="JIO1" s="172"/>
      <c r="JIP1" s="172"/>
      <c r="JIQ1" s="172"/>
      <c r="JIR1" s="172"/>
      <c r="JIS1" s="172"/>
      <c r="JIT1" s="172"/>
      <c r="JIU1" s="172"/>
      <c r="JIV1" s="172"/>
      <c r="JIW1" s="172"/>
      <c r="JIX1" s="172"/>
      <c r="JIY1" s="172"/>
      <c r="JIZ1" s="172"/>
      <c r="JJA1" s="172"/>
      <c r="JJB1" s="172"/>
      <c r="JJC1" s="172"/>
      <c r="JJD1" s="172"/>
      <c r="JJE1" s="172"/>
      <c r="JJF1" s="172"/>
      <c r="JJG1" s="172"/>
      <c r="JJH1" s="172"/>
      <c r="JJI1" s="172"/>
      <c r="JJJ1" s="172"/>
      <c r="JJK1" s="172"/>
      <c r="JJL1" s="172"/>
      <c r="JJM1" s="172"/>
      <c r="JJN1" s="172"/>
      <c r="JJO1" s="172"/>
      <c r="JJP1" s="172"/>
      <c r="JJQ1" s="172"/>
      <c r="JJR1" s="172"/>
      <c r="JJS1" s="172"/>
      <c r="JJT1" s="172"/>
      <c r="JJU1" s="172"/>
      <c r="JJV1" s="172"/>
      <c r="JJW1" s="172"/>
      <c r="JJX1" s="172"/>
      <c r="JJY1" s="172"/>
      <c r="JJZ1" s="172"/>
      <c r="JKA1" s="172"/>
      <c r="JKB1" s="172"/>
      <c r="JKC1" s="172"/>
      <c r="JKD1" s="172"/>
      <c r="JKE1" s="172"/>
      <c r="JKF1" s="172"/>
      <c r="JKG1" s="172"/>
      <c r="JKH1" s="172"/>
      <c r="JKI1" s="172"/>
      <c r="JKJ1" s="172"/>
      <c r="JKK1" s="172"/>
      <c r="JKL1" s="172"/>
      <c r="JKM1" s="172"/>
      <c r="JKN1" s="172"/>
      <c r="JKO1" s="172"/>
      <c r="JKP1" s="172"/>
      <c r="JKQ1" s="172"/>
      <c r="JKR1" s="172"/>
      <c r="JKS1" s="172"/>
      <c r="JKT1" s="172"/>
      <c r="JKU1" s="172"/>
      <c r="JKV1" s="172"/>
      <c r="JKW1" s="172"/>
      <c r="JKX1" s="172"/>
      <c r="JKY1" s="172"/>
      <c r="JKZ1" s="172"/>
      <c r="JLA1" s="172"/>
      <c r="JLB1" s="172"/>
      <c r="JLC1" s="172"/>
      <c r="JLD1" s="172"/>
      <c r="JLE1" s="172"/>
      <c r="JLF1" s="172"/>
      <c r="JLG1" s="172"/>
      <c r="JLH1" s="172"/>
      <c r="JLI1" s="172"/>
      <c r="JLJ1" s="172"/>
      <c r="JLK1" s="172"/>
      <c r="JLL1" s="172"/>
      <c r="JLM1" s="172"/>
      <c r="JLN1" s="172"/>
      <c r="JLO1" s="172"/>
      <c r="JLP1" s="172"/>
      <c r="JLQ1" s="172"/>
      <c r="JLR1" s="172"/>
      <c r="JLS1" s="172"/>
      <c r="JLT1" s="172"/>
      <c r="JLU1" s="172"/>
      <c r="JLV1" s="172"/>
      <c r="JLW1" s="172"/>
      <c r="JLX1" s="172"/>
      <c r="JLY1" s="172"/>
      <c r="JLZ1" s="172"/>
      <c r="JMA1" s="172"/>
      <c r="JMB1" s="172"/>
      <c r="JMC1" s="172"/>
      <c r="JMD1" s="172"/>
      <c r="JME1" s="172"/>
      <c r="JMF1" s="172"/>
      <c r="JMG1" s="172"/>
      <c r="JMH1" s="172"/>
      <c r="JMI1" s="172"/>
      <c r="JMJ1" s="172"/>
      <c r="JMK1" s="172"/>
      <c r="JML1" s="172"/>
      <c r="JMM1" s="172"/>
      <c r="JMN1" s="172"/>
      <c r="JMO1" s="172"/>
      <c r="JMP1" s="172"/>
      <c r="JMQ1" s="172"/>
      <c r="JMR1" s="172"/>
      <c r="JMS1" s="172"/>
      <c r="JMT1" s="172"/>
      <c r="JMU1" s="172"/>
      <c r="JMV1" s="172"/>
      <c r="JMW1" s="172"/>
      <c r="JMX1" s="172"/>
      <c r="JMY1" s="172"/>
      <c r="JMZ1" s="172"/>
      <c r="JNA1" s="172"/>
      <c r="JNB1" s="172"/>
      <c r="JNC1" s="172"/>
      <c r="JND1" s="172"/>
      <c r="JNE1" s="172"/>
      <c r="JNF1" s="172"/>
      <c r="JNG1" s="172"/>
      <c r="JNH1" s="172"/>
      <c r="JNI1" s="172"/>
      <c r="JNJ1" s="172"/>
      <c r="JNK1" s="172"/>
      <c r="JNL1" s="172"/>
      <c r="JNM1" s="172"/>
      <c r="JNN1" s="172"/>
      <c r="JNO1" s="172"/>
      <c r="JNP1" s="172"/>
      <c r="JNQ1" s="172"/>
      <c r="JNR1" s="172"/>
      <c r="JNS1" s="172"/>
      <c r="JNT1" s="172"/>
      <c r="JNU1" s="172"/>
      <c r="JNV1" s="172"/>
      <c r="JNW1" s="172"/>
      <c r="JNX1" s="172"/>
      <c r="JNY1" s="172"/>
      <c r="JNZ1" s="172"/>
      <c r="JOA1" s="172"/>
      <c r="JOB1" s="172"/>
      <c r="JOC1" s="172"/>
      <c r="JOD1" s="172"/>
      <c r="JOE1" s="172"/>
      <c r="JOF1" s="172"/>
      <c r="JOG1" s="172"/>
      <c r="JOH1" s="172"/>
      <c r="JOI1" s="172"/>
      <c r="JOJ1" s="172"/>
      <c r="JOK1" s="172"/>
      <c r="JOL1" s="172"/>
      <c r="JOM1" s="172"/>
      <c r="JON1" s="172"/>
      <c r="JOO1" s="172"/>
      <c r="JOP1" s="172"/>
      <c r="JOQ1" s="172"/>
      <c r="JOR1" s="172"/>
      <c r="JOS1" s="172"/>
      <c r="JOT1" s="172"/>
      <c r="JOU1" s="172"/>
      <c r="JOV1" s="172"/>
      <c r="JOW1" s="172"/>
      <c r="JOX1" s="172"/>
      <c r="JOY1" s="172"/>
      <c r="JOZ1" s="172"/>
      <c r="JPA1" s="172"/>
      <c r="JPB1" s="172"/>
      <c r="JPC1" s="172"/>
      <c r="JPD1" s="172"/>
      <c r="JPE1" s="172"/>
      <c r="JPF1" s="172"/>
      <c r="JPG1" s="172"/>
      <c r="JPH1" s="172"/>
      <c r="JPI1" s="172"/>
      <c r="JPJ1" s="172"/>
      <c r="JPK1" s="172"/>
      <c r="JPL1" s="172"/>
      <c r="JPM1" s="172"/>
      <c r="JPN1" s="172"/>
      <c r="JPO1" s="172"/>
      <c r="JPP1" s="172"/>
      <c r="JPQ1" s="172"/>
      <c r="JPR1" s="172"/>
      <c r="JPS1" s="172"/>
      <c r="JPT1" s="172"/>
      <c r="JPU1" s="172"/>
      <c r="JPV1" s="172"/>
      <c r="JPW1" s="172"/>
      <c r="JPX1" s="172"/>
      <c r="JPY1" s="172"/>
      <c r="JPZ1" s="172"/>
      <c r="JQA1" s="172"/>
      <c r="JQB1" s="172"/>
      <c r="JQC1" s="172"/>
      <c r="JQD1" s="172"/>
      <c r="JQE1" s="172"/>
      <c r="JQF1" s="172"/>
      <c r="JQG1" s="172"/>
      <c r="JQH1" s="172"/>
      <c r="JQI1" s="172"/>
      <c r="JQJ1" s="172"/>
      <c r="JQK1" s="172"/>
      <c r="JQL1" s="172"/>
      <c r="JQM1" s="172"/>
      <c r="JQN1" s="172"/>
      <c r="JQO1" s="172"/>
      <c r="JQP1" s="172"/>
      <c r="JQQ1" s="172"/>
      <c r="JQR1" s="172"/>
      <c r="JQS1" s="172"/>
      <c r="JQT1" s="172"/>
      <c r="JQU1" s="172"/>
      <c r="JQV1" s="172"/>
      <c r="JQW1" s="172"/>
      <c r="JQX1" s="172"/>
      <c r="JQY1" s="172"/>
      <c r="JQZ1" s="172"/>
      <c r="JRA1" s="172"/>
      <c r="JRB1" s="172"/>
      <c r="JRC1" s="172"/>
      <c r="JRD1" s="172"/>
      <c r="JRE1" s="172"/>
      <c r="JRF1" s="172"/>
      <c r="JRG1" s="172"/>
      <c r="JRH1" s="172"/>
      <c r="JRI1" s="172"/>
      <c r="JRJ1" s="172"/>
      <c r="JRK1" s="172"/>
      <c r="JRL1" s="172"/>
      <c r="JRM1" s="172"/>
      <c r="JRN1" s="172"/>
      <c r="JRO1" s="172"/>
      <c r="JRP1" s="172"/>
      <c r="JRQ1" s="172"/>
      <c r="JRR1" s="172"/>
      <c r="JRS1" s="172"/>
      <c r="JRT1" s="172"/>
      <c r="JRU1" s="172"/>
      <c r="JRV1" s="172"/>
      <c r="JRW1" s="172"/>
      <c r="JRX1" s="172"/>
      <c r="JRY1" s="172"/>
      <c r="JRZ1" s="172"/>
      <c r="JSA1" s="172"/>
      <c r="JSB1" s="172"/>
      <c r="JSC1" s="172"/>
      <c r="JSD1" s="172"/>
      <c r="JSE1" s="172"/>
      <c r="JSF1" s="172"/>
      <c r="JSG1" s="172"/>
      <c r="JSH1" s="172"/>
      <c r="JSI1" s="172"/>
      <c r="JSJ1" s="172"/>
      <c r="JSK1" s="172"/>
      <c r="JSL1" s="172"/>
      <c r="JSM1" s="172"/>
      <c r="JSN1" s="172"/>
      <c r="JSO1" s="172"/>
      <c r="JSP1" s="172"/>
      <c r="JSQ1" s="172"/>
      <c r="JSR1" s="172"/>
      <c r="JSS1" s="172"/>
      <c r="JST1" s="172"/>
      <c r="JSU1" s="172"/>
      <c r="JSV1" s="172"/>
      <c r="JSW1" s="172"/>
      <c r="JSX1" s="172"/>
      <c r="JSY1" s="172"/>
      <c r="JSZ1" s="172"/>
      <c r="JTA1" s="172"/>
      <c r="JTB1" s="172"/>
      <c r="JTC1" s="172"/>
      <c r="JTD1" s="172"/>
      <c r="JTE1" s="172"/>
      <c r="JTF1" s="172"/>
      <c r="JTG1" s="172"/>
      <c r="JTH1" s="172"/>
      <c r="JTI1" s="172"/>
      <c r="JTJ1" s="172"/>
      <c r="JTK1" s="172"/>
      <c r="JTL1" s="172"/>
      <c r="JTM1" s="172"/>
      <c r="JTN1" s="172"/>
      <c r="JTO1" s="172"/>
      <c r="JTP1" s="172"/>
      <c r="JTQ1" s="172"/>
      <c r="JTR1" s="172"/>
      <c r="JTS1" s="172"/>
      <c r="JTT1" s="172"/>
      <c r="JTU1" s="172"/>
      <c r="JTV1" s="172"/>
      <c r="JTW1" s="172"/>
      <c r="JTX1" s="172"/>
      <c r="JTY1" s="172"/>
      <c r="JTZ1" s="172"/>
      <c r="JUA1" s="172"/>
      <c r="JUB1" s="172"/>
      <c r="JUC1" s="172"/>
      <c r="JUD1" s="172"/>
      <c r="JUE1" s="172"/>
      <c r="JUF1" s="172"/>
      <c r="JUG1" s="172"/>
      <c r="JUH1" s="172"/>
      <c r="JUI1" s="172"/>
      <c r="JUJ1" s="172"/>
      <c r="JUK1" s="172"/>
      <c r="JUL1" s="172"/>
      <c r="JUM1" s="172"/>
      <c r="JUN1" s="172"/>
      <c r="JUO1" s="172"/>
      <c r="JUP1" s="172"/>
      <c r="JUQ1" s="172"/>
      <c r="JUR1" s="172"/>
      <c r="JUS1" s="172"/>
      <c r="JUT1" s="172"/>
      <c r="JUU1" s="172"/>
      <c r="JUV1" s="172"/>
      <c r="JUW1" s="172"/>
      <c r="JUX1" s="172"/>
      <c r="JUY1" s="172"/>
      <c r="JUZ1" s="172"/>
      <c r="JVA1" s="172"/>
      <c r="JVB1" s="172"/>
      <c r="JVC1" s="172"/>
      <c r="JVD1" s="172"/>
      <c r="JVE1" s="172"/>
      <c r="JVF1" s="172"/>
      <c r="JVG1" s="172"/>
      <c r="JVH1" s="172"/>
      <c r="JVI1" s="172"/>
      <c r="JVJ1" s="172"/>
      <c r="JVK1" s="172"/>
      <c r="JVL1" s="172"/>
      <c r="JVM1" s="172"/>
      <c r="JVN1" s="172"/>
      <c r="JVO1" s="172"/>
      <c r="JVP1" s="172"/>
      <c r="JVQ1" s="172"/>
      <c r="JVR1" s="172"/>
      <c r="JVS1" s="172"/>
      <c r="JVT1" s="172"/>
      <c r="JVU1" s="172"/>
      <c r="JVV1" s="172"/>
      <c r="JVW1" s="172"/>
      <c r="JVX1" s="172"/>
      <c r="JVY1" s="172"/>
      <c r="JVZ1" s="172"/>
      <c r="JWA1" s="172"/>
      <c r="JWB1" s="172"/>
      <c r="JWC1" s="172"/>
      <c r="JWD1" s="172"/>
      <c r="JWE1" s="172"/>
      <c r="JWF1" s="172"/>
      <c r="JWG1" s="172"/>
      <c r="JWH1" s="172"/>
      <c r="JWI1" s="172"/>
      <c r="JWJ1" s="172"/>
      <c r="JWK1" s="172"/>
      <c r="JWL1" s="172"/>
      <c r="JWM1" s="172"/>
      <c r="JWN1" s="172"/>
      <c r="JWO1" s="172"/>
      <c r="JWP1" s="172"/>
      <c r="JWQ1" s="172"/>
      <c r="JWR1" s="172"/>
      <c r="JWS1" s="172"/>
      <c r="JWT1" s="172"/>
      <c r="JWU1" s="172"/>
      <c r="JWV1" s="172"/>
      <c r="JWW1" s="172"/>
      <c r="JWX1" s="172"/>
      <c r="JWY1" s="172"/>
      <c r="JWZ1" s="172"/>
      <c r="JXA1" s="172"/>
      <c r="JXB1" s="172"/>
      <c r="JXC1" s="172"/>
      <c r="JXD1" s="172"/>
      <c r="JXE1" s="172"/>
      <c r="JXF1" s="172"/>
      <c r="JXG1" s="172"/>
      <c r="JXH1" s="172"/>
      <c r="JXI1" s="172"/>
      <c r="JXJ1" s="172"/>
      <c r="JXK1" s="172"/>
      <c r="JXL1" s="172"/>
      <c r="JXM1" s="172"/>
      <c r="JXN1" s="172"/>
      <c r="JXO1" s="172"/>
      <c r="JXP1" s="172"/>
      <c r="JXQ1" s="172"/>
      <c r="JXR1" s="172"/>
      <c r="JXS1" s="172"/>
      <c r="JXT1" s="172"/>
      <c r="JXU1" s="172"/>
      <c r="JXV1" s="172"/>
      <c r="JXW1" s="172"/>
      <c r="JXX1" s="172"/>
      <c r="JXY1" s="172"/>
      <c r="JXZ1" s="172"/>
      <c r="JYA1" s="172"/>
      <c r="JYB1" s="172"/>
      <c r="JYC1" s="172"/>
      <c r="JYD1" s="172"/>
      <c r="JYE1" s="172"/>
      <c r="JYF1" s="172"/>
      <c r="JYG1" s="172"/>
      <c r="JYH1" s="172"/>
      <c r="JYI1" s="172"/>
      <c r="JYJ1" s="172"/>
      <c r="JYK1" s="172"/>
      <c r="JYL1" s="172"/>
      <c r="JYM1" s="172"/>
      <c r="JYN1" s="172"/>
      <c r="JYO1" s="172"/>
      <c r="JYP1" s="172"/>
      <c r="JYQ1" s="172"/>
      <c r="JYR1" s="172"/>
      <c r="JYS1" s="172"/>
      <c r="JYT1" s="172"/>
      <c r="JYU1" s="172"/>
      <c r="JYV1" s="172"/>
      <c r="JYW1" s="172"/>
      <c r="JYX1" s="172"/>
      <c r="JYY1" s="172"/>
      <c r="JYZ1" s="172"/>
      <c r="JZA1" s="172"/>
      <c r="JZB1" s="172"/>
      <c r="JZC1" s="172"/>
      <c r="JZD1" s="172"/>
      <c r="JZE1" s="172"/>
      <c r="JZF1" s="172"/>
      <c r="JZG1" s="172"/>
      <c r="JZH1" s="172"/>
      <c r="JZI1" s="172"/>
      <c r="JZJ1" s="172"/>
      <c r="JZK1" s="172"/>
      <c r="JZL1" s="172"/>
      <c r="JZM1" s="172"/>
      <c r="JZN1" s="172"/>
      <c r="JZO1" s="172"/>
      <c r="JZP1" s="172"/>
      <c r="JZQ1" s="172"/>
      <c r="JZR1" s="172"/>
      <c r="JZS1" s="172"/>
      <c r="JZT1" s="172"/>
      <c r="JZU1" s="172"/>
      <c r="JZV1" s="172"/>
      <c r="JZW1" s="172"/>
      <c r="JZX1" s="172"/>
      <c r="JZY1" s="172"/>
      <c r="JZZ1" s="172"/>
      <c r="KAA1" s="172"/>
      <c r="KAB1" s="172"/>
      <c r="KAC1" s="172"/>
      <c r="KAD1" s="172"/>
      <c r="KAE1" s="172"/>
      <c r="KAF1" s="172"/>
      <c r="KAG1" s="172"/>
      <c r="KAH1" s="172"/>
      <c r="KAI1" s="172"/>
      <c r="KAJ1" s="172"/>
      <c r="KAK1" s="172"/>
      <c r="KAL1" s="172"/>
      <c r="KAM1" s="172"/>
      <c r="KAN1" s="172"/>
      <c r="KAO1" s="172"/>
      <c r="KAP1" s="172"/>
      <c r="KAQ1" s="172"/>
      <c r="KAR1" s="172"/>
      <c r="KAS1" s="172"/>
      <c r="KAT1" s="172"/>
      <c r="KAU1" s="172"/>
      <c r="KAV1" s="172"/>
      <c r="KAW1" s="172"/>
      <c r="KAX1" s="172"/>
      <c r="KAY1" s="172"/>
      <c r="KAZ1" s="172"/>
      <c r="KBA1" s="172"/>
      <c r="KBB1" s="172"/>
      <c r="KBC1" s="172"/>
      <c r="KBD1" s="172"/>
      <c r="KBE1" s="172"/>
      <c r="KBF1" s="172"/>
      <c r="KBG1" s="172"/>
      <c r="KBH1" s="172"/>
      <c r="KBI1" s="172"/>
      <c r="KBJ1" s="172"/>
      <c r="KBK1" s="172"/>
      <c r="KBL1" s="172"/>
      <c r="KBM1" s="172"/>
      <c r="KBN1" s="172"/>
      <c r="KBO1" s="172"/>
      <c r="KBP1" s="172"/>
      <c r="KBQ1" s="172"/>
      <c r="KBR1" s="172"/>
      <c r="KBS1" s="172"/>
      <c r="KBT1" s="172"/>
      <c r="KBU1" s="172"/>
      <c r="KBV1" s="172"/>
      <c r="KBW1" s="172"/>
      <c r="KBX1" s="172"/>
      <c r="KBY1" s="172"/>
      <c r="KBZ1" s="172"/>
      <c r="KCA1" s="172"/>
      <c r="KCB1" s="172"/>
      <c r="KCC1" s="172"/>
      <c r="KCD1" s="172"/>
      <c r="KCE1" s="172"/>
      <c r="KCF1" s="172"/>
      <c r="KCG1" s="172"/>
      <c r="KCH1" s="172"/>
      <c r="KCI1" s="172"/>
      <c r="KCJ1" s="172"/>
      <c r="KCK1" s="172"/>
      <c r="KCL1" s="172"/>
      <c r="KCM1" s="172"/>
      <c r="KCN1" s="172"/>
      <c r="KCO1" s="172"/>
      <c r="KCP1" s="172"/>
      <c r="KCQ1" s="172"/>
      <c r="KCR1" s="172"/>
      <c r="KCS1" s="172"/>
      <c r="KCT1" s="172"/>
      <c r="KCU1" s="172"/>
      <c r="KCV1" s="172"/>
      <c r="KCW1" s="172"/>
      <c r="KCX1" s="172"/>
      <c r="KCY1" s="172"/>
      <c r="KCZ1" s="172"/>
      <c r="KDA1" s="172"/>
      <c r="KDB1" s="172"/>
      <c r="KDC1" s="172"/>
      <c r="KDD1" s="172"/>
      <c r="KDE1" s="172"/>
      <c r="KDF1" s="172"/>
      <c r="KDG1" s="172"/>
      <c r="KDH1" s="172"/>
      <c r="KDI1" s="172"/>
      <c r="KDJ1" s="172"/>
      <c r="KDK1" s="172"/>
      <c r="KDL1" s="172"/>
      <c r="KDM1" s="172"/>
      <c r="KDN1" s="172"/>
      <c r="KDO1" s="172"/>
      <c r="KDP1" s="172"/>
      <c r="KDQ1" s="172"/>
      <c r="KDR1" s="172"/>
      <c r="KDS1" s="172"/>
      <c r="KDT1" s="172"/>
      <c r="KDU1" s="172"/>
      <c r="KDV1" s="172"/>
      <c r="KDW1" s="172"/>
      <c r="KDX1" s="172"/>
      <c r="KDY1" s="172"/>
      <c r="KDZ1" s="172"/>
      <c r="KEA1" s="172"/>
      <c r="KEB1" s="172"/>
      <c r="KEC1" s="172"/>
      <c r="KED1" s="172"/>
      <c r="KEE1" s="172"/>
      <c r="KEF1" s="172"/>
      <c r="KEG1" s="172"/>
      <c r="KEH1" s="172"/>
      <c r="KEI1" s="172"/>
      <c r="KEJ1" s="172"/>
      <c r="KEK1" s="172"/>
      <c r="KEL1" s="172"/>
      <c r="KEM1" s="172"/>
      <c r="KEN1" s="172"/>
      <c r="KEO1" s="172"/>
      <c r="KEP1" s="172"/>
      <c r="KEQ1" s="172"/>
      <c r="KER1" s="172"/>
      <c r="KES1" s="172"/>
      <c r="KET1" s="172"/>
      <c r="KEU1" s="172"/>
      <c r="KEV1" s="172"/>
      <c r="KEW1" s="172"/>
      <c r="KEX1" s="172"/>
      <c r="KEY1" s="172"/>
      <c r="KEZ1" s="172"/>
      <c r="KFA1" s="172"/>
      <c r="KFB1" s="172"/>
      <c r="KFC1" s="172"/>
      <c r="KFD1" s="172"/>
      <c r="KFE1" s="172"/>
      <c r="KFF1" s="172"/>
      <c r="KFG1" s="172"/>
      <c r="KFH1" s="172"/>
      <c r="KFI1" s="172"/>
      <c r="KFJ1" s="172"/>
      <c r="KFK1" s="172"/>
      <c r="KFL1" s="172"/>
      <c r="KFM1" s="172"/>
      <c r="KFN1" s="172"/>
      <c r="KFO1" s="172"/>
      <c r="KFP1" s="172"/>
      <c r="KFQ1" s="172"/>
      <c r="KFR1" s="172"/>
      <c r="KFS1" s="172"/>
      <c r="KFT1" s="172"/>
      <c r="KFU1" s="172"/>
      <c r="KFV1" s="172"/>
      <c r="KFW1" s="172"/>
      <c r="KFX1" s="172"/>
      <c r="KFY1" s="172"/>
      <c r="KFZ1" s="172"/>
      <c r="KGA1" s="172"/>
      <c r="KGB1" s="172"/>
      <c r="KGC1" s="172"/>
      <c r="KGD1" s="172"/>
      <c r="KGE1" s="172"/>
      <c r="KGF1" s="172"/>
      <c r="KGG1" s="172"/>
      <c r="KGH1" s="172"/>
      <c r="KGI1" s="172"/>
      <c r="KGJ1" s="172"/>
      <c r="KGK1" s="172"/>
      <c r="KGL1" s="172"/>
      <c r="KGM1" s="172"/>
      <c r="KGN1" s="172"/>
      <c r="KGO1" s="172"/>
      <c r="KGP1" s="172"/>
      <c r="KGQ1" s="172"/>
      <c r="KGR1" s="172"/>
      <c r="KGS1" s="172"/>
      <c r="KGT1" s="172"/>
      <c r="KGU1" s="172"/>
      <c r="KGV1" s="172"/>
      <c r="KGW1" s="172"/>
      <c r="KGX1" s="172"/>
      <c r="KGY1" s="172"/>
      <c r="KGZ1" s="172"/>
      <c r="KHA1" s="172"/>
      <c r="KHB1" s="172"/>
      <c r="KHC1" s="172"/>
      <c r="KHD1" s="172"/>
      <c r="KHE1" s="172"/>
      <c r="KHF1" s="172"/>
      <c r="KHG1" s="172"/>
      <c r="KHH1" s="172"/>
      <c r="KHI1" s="172"/>
      <c r="KHJ1" s="172"/>
      <c r="KHK1" s="172"/>
      <c r="KHL1" s="172"/>
      <c r="KHM1" s="172"/>
      <c r="KHN1" s="172"/>
      <c r="KHO1" s="172"/>
      <c r="KHP1" s="172"/>
      <c r="KHQ1" s="172"/>
      <c r="KHR1" s="172"/>
      <c r="KHS1" s="172"/>
      <c r="KHT1" s="172"/>
      <c r="KHU1" s="172"/>
      <c r="KHV1" s="172"/>
      <c r="KHW1" s="172"/>
      <c r="KHX1" s="172"/>
      <c r="KHY1" s="172"/>
      <c r="KHZ1" s="172"/>
      <c r="KIA1" s="172"/>
      <c r="KIB1" s="172"/>
      <c r="KIC1" s="172"/>
      <c r="KID1" s="172"/>
      <c r="KIE1" s="172"/>
      <c r="KIF1" s="172"/>
      <c r="KIG1" s="172"/>
      <c r="KIH1" s="172"/>
      <c r="KII1" s="172"/>
      <c r="KIJ1" s="172"/>
      <c r="KIK1" s="172"/>
      <c r="KIL1" s="172"/>
      <c r="KIM1" s="172"/>
      <c r="KIN1" s="172"/>
      <c r="KIO1" s="172"/>
      <c r="KIP1" s="172"/>
      <c r="KIQ1" s="172"/>
      <c r="KIR1" s="172"/>
      <c r="KIS1" s="172"/>
      <c r="KIT1" s="172"/>
      <c r="KIU1" s="172"/>
      <c r="KIV1" s="172"/>
      <c r="KIW1" s="172"/>
      <c r="KIX1" s="172"/>
      <c r="KIY1" s="172"/>
      <c r="KIZ1" s="172"/>
      <c r="KJA1" s="172"/>
      <c r="KJB1" s="172"/>
      <c r="KJC1" s="172"/>
      <c r="KJD1" s="172"/>
      <c r="KJE1" s="172"/>
      <c r="KJF1" s="172"/>
      <c r="KJG1" s="172"/>
      <c r="KJH1" s="172"/>
      <c r="KJI1" s="172"/>
      <c r="KJJ1" s="172"/>
      <c r="KJK1" s="172"/>
      <c r="KJL1" s="172"/>
      <c r="KJM1" s="172"/>
      <c r="KJN1" s="172"/>
      <c r="KJO1" s="172"/>
      <c r="KJP1" s="172"/>
      <c r="KJQ1" s="172"/>
      <c r="KJR1" s="172"/>
      <c r="KJS1" s="172"/>
      <c r="KJT1" s="172"/>
      <c r="KJU1" s="172"/>
      <c r="KJV1" s="172"/>
      <c r="KJW1" s="172"/>
      <c r="KJX1" s="172"/>
      <c r="KJY1" s="172"/>
      <c r="KJZ1" s="172"/>
      <c r="KKA1" s="172"/>
      <c r="KKB1" s="172"/>
      <c r="KKC1" s="172"/>
      <c r="KKD1" s="172"/>
      <c r="KKE1" s="172"/>
      <c r="KKF1" s="172"/>
      <c r="KKG1" s="172"/>
      <c r="KKH1" s="172"/>
      <c r="KKI1" s="172"/>
      <c r="KKJ1" s="172"/>
      <c r="KKK1" s="172"/>
      <c r="KKL1" s="172"/>
      <c r="KKM1" s="172"/>
      <c r="KKN1" s="172"/>
      <c r="KKO1" s="172"/>
      <c r="KKP1" s="172"/>
      <c r="KKQ1" s="172"/>
      <c r="KKR1" s="172"/>
      <c r="KKS1" s="172"/>
      <c r="KKT1" s="172"/>
      <c r="KKU1" s="172"/>
      <c r="KKV1" s="172"/>
      <c r="KKW1" s="172"/>
      <c r="KKX1" s="172"/>
      <c r="KKY1" s="172"/>
      <c r="KKZ1" s="172"/>
      <c r="KLA1" s="172"/>
      <c r="KLB1" s="172"/>
      <c r="KLC1" s="172"/>
      <c r="KLD1" s="172"/>
      <c r="KLE1" s="172"/>
      <c r="KLF1" s="172"/>
      <c r="KLG1" s="172"/>
      <c r="KLH1" s="172"/>
      <c r="KLI1" s="172"/>
      <c r="KLJ1" s="172"/>
      <c r="KLK1" s="172"/>
      <c r="KLL1" s="172"/>
      <c r="KLM1" s="172"/>
      <c r="KLN1" s="172"/>
      <c r="KLO1" s="172"/>
      <c r="KLP1" s="172"/>
      <c r="KLQ1" s="172"/>
      <c r="KLR1" s="172"/>
      <c r="KLS1" s="172"/>
      <c r="KLT1" s="172"/>
      <c r="KLU1" s="172"/>
      <c r="KLV1" s="172"/>
      <c r="KLW1" s="172"/>
      <c r="KLX1" s="172"/>
      <c r="KLY1" s="172"/>
      <c r="KLZ1" s="172"/>
      <c r="KMA1" s="172"/>
      <c r="KMB1" s="172"/>
      <c r="KMC1" s="172"/>
      <c r="KMD1" s="172"/>
      <c r="KME1" s="172"/>
      <c r="KMF1" s="172"/>
      <c r="KMG1" s="172"/>
      <c r="KMH1" s="172"/>
      <c r="KMI1" s="172"/>
      <c r="KMJ1" s="172"/>
      <c r="KMK1" s="172"/>
      <c r="KML1" s="172"/>
      <c r="KMM1" s="172"/>
      <c r="KMN1" s="172"/>
      <c r="KMO1" s="172"/>
      <c r="KMP1" s="172"/>
      <c r="KMQ1" s="172"/>
      <c r="KMR1" s="172"/>
      <c r="KMS1" s="172"/>
      <c r="KMT1" s="172"/>
      <c r="KMU1" s="172"/>
      <c r="KMV1" s="172"/>
      <c r="KMW1" s="172"/>
      <c r="KMX1" s="172"/>
      <c r="KMY1" s="172"/>
      <c r="KMZ1" s="172"/>
      <c r="KNA1" s="172"/>
      <c r="KNB1" s="172"/>
      <c r="KNC1" s="172"/>
      <c r="KND1" s="172"/>
      <c r="KNE1" s="172"/>
      <c r="KNF1" s="172"/>
      <c r="KNG1" s="172"/>
      <c r="KNH1" s="172"/>
      <c r="KNI1" s="172"/>
      <c r="KNJ1" s="172"/>
      <c r="KNK1" s="172"/>
      <c r="KNL1" s="172"/>
      <c r="KNM1" s="172"/>
      <c r="KNN1" s="172"/>
      <c r="KNO1" s="172"/>
      <c r="KNP1" s="172"/>
      <c r="KNQ1" s="172"/>
      <c r="KNR1" s="172"/>
      <c r="KNS1" s="172"/>
      <c r="KNT1" s="172"/>
      <c r="KNU1" s="172"/>
      <c r="KNV1" s="172"/>
      <c r="KNW1" s="172"/>
      <c r="KNX1" s="172"/>
      <c r="KNY1" s="172"/>
      <c r="KNZ1" s="172"/>
      <c r="KOA1" s="172"/>
      <c r="KOB1" s="172"/>
      <c r="KOC1" s="172"/>
      <c r="KOD1" s="172"/>
      <c r="KOE1" s="172"/>
      <c r="KOF1" s="172"/>
      <c r="KOG1" s="172"/>
      <c r="KOH1" s="172"/>
      <c r="KOI1" s="172"/>
      <c r="KOJ1" s="172"/>
      <c r="KOK1" s="172"/>
      <c r="KOL1" s="172"/>
      <c r="KOM1" s="172"/>
      <c r="KON1" s="172"/>
      <c r="KOO1" s="172"/>
      <c r="KOP1" s="172"/>
      <c r="KOQ1" s="172"/>
      <c r="KOR1" s="172"/>
      <c r="KOS1" s="172"/>
      <c r="KOT1" s="172"/>
      <c r="KOU1" s="172"/>
      <c r="KOV1" s="172"/>
      <c r="KOW1" s="172"/>
      <c r="KOX1" s="172"/>
      <c r="KOY1" s="172"/>
      <c r="KOZ1" s="172"/>
      <c r="KPA1" s="172"/>
      <c r="KPB1" s="172"/>
      <c r="KPC1" s="172"/>
      <c r="KPD1" s="172"/>
      <c r="KPE1" s="172"/>
      <c r="KPF1" s="172"/>
      <c r="KPG1" s="172"/>
      <c r="KPH1" s="172"/>
      <c r="KPI1" s="172"/>
      <c r="KPJ1" s="172"/>
      <c r="KPK1" s="172"/>
      <c r="KPL1" s="172"/>
      <c r="KPM1" s="172"/>
      <c r="KPN1" s="172"/>
      <c r="KPO1" s="172"/>
      <c r="KPP1" s="172"/>
      <c r="KPQ1" s="172"/>
      <c r="KPR1" s="172"/>
      <c r="KPS1" s="172"/>
      <c r="KPT1" s="172"/>
      <c r="KPU1" s="172"/>
      <c r="KPV1" s="172"/>
      <c r="KPW1" s="172"/>
      <c r="KPX1" s="172"/>
      <c r="KPY1" s="172"/>
      <c r="KPZ1" s="172"/>
      <c r="KQA1" s="172"/>
      <c r="KQB1" s="172"/>
      <c r="KQC1" s="172"/>
      <c r="KQD1" s="172"/>
      <c r="KQE1" s="172"/>
      <c r="KQF1" s="172"/>
      <c r="KQG1" s="172"/>
      <c r="KQH1" s="172"/>
      <c r="KQI1" s="172"/>
      <c r="KQJ1" s="172"/>
      <c r="KQK1" s="172"/>
      <c r="KQL1" s="172"/>
      <c r="KQM1" s="172"/>
      <c r="KQN1" s="172"/>
      <c r="KQO1" s="172"/>
      <c r="KQP1" s="172"/>
      <c r="KQQ1" s="172"/>
      <c r="KQR1" s="172"/>
      <c r="KQS1" s="172"/>
      <c r="KQT1" s="172"/>
      <c r="KQU1" s="172"/>
      <c r="KQV1" s="172"/>
      <c r="KQW1" s="172"/>
      <c r="KQX1" s="172"/>
      <c r="KQY1" s="172"/>
      <c r="KQZ1" s="172"/>
      <c r="KRA1" s="172"/>
      <c r="KRB1" s="172"/>
      <c r="KRC1" s="172"/>
      <c r="KRD1" s="172"/>
      <c r="KRE1" s="172"/>
      <c r="KRF1" s="172"/>
      <c r="KRG1" s="172"/>
      <c r="KRH1" s="172"/>
      <c r="KRI1" s="172"/>
      <c r="KRJ1" s="172"/>
      <c r="KRK1" s="172"/>
      <c r="KRL1" s="172"/>
      <c r="KRM1" s="172"/>
      <c r="KRN1" s="172"/>
      <c r="KRO1" s="172"/>
      <c r="KRP1" s="172"/>
      <c r="KRQ1" s="172"/>
      <c r="KRR1" s="172"/>
      <c r="KRS1" s="172"/>
      <c r="KRT1" s="172"/>
      <c r="KRU1" s="172"/>
      <c r="KRV1" s="172"/>
      <c r="KRW1" s="172"/>
      <c r="KRX1" s="172"/>
      <c r="KRY1" s="172"/>
      <c r="KRZ1" s="172"/>
      <c r="KSA1" s="172"/>
      <c r="KSB1" s="172"/>
      <c r="KSC1" s="172"/>
      <c r="KSD1" s="172"/>
      <c r="KSE1" s="172"/>
      <c r="KSF1" s="172"/>
      <c r="KSG1" s="172"/>
      <c r="KSH1" s="172"/>
      <c r="KSI1" s="172"/>
      <c r="KSJ1" s="172"/>
      <c r="KSK1" s="172"/>
      <c r="KSL1" s="172"/>
      <c r="KSM1" s="172"/>
      <c r="KSN1" s="172"/>
      <c r="KSO1" s="172"/>
      <c r="KSP1" s="172"/>
      <c r="KSQ1" s="172"/>
      <c r="KSR1" s="172"/>
      <c r="KSS1" s="172"/>
      <c r="KST1" s="172"/>
      <c r="KSU1" s="172"/>
      <c r="KSV1" s="172"/>
      <c r="KSW1" s="172"/>
      <c r="KSX1" s="172"/>
      <c r="KSY1" s="172"/>
      <c r="KSZ1" s="172"/>
      <c r="KTA1" s="172"/>
      <c r="KTB1" s="172"/>
      <c r="KTC1" s="172"/>
      <c r="KTD1" s="172"/>
      <c r="KTE1" s="172"/>
      <c r="KTF1" s="172"/>
      <c r="KTG1" s="172"/>
      <c r="KTH1" s="172"/>
      <c r="KTI1" s="172"/>
      <c r="KTJ1" s="172"/>
      <c r="KTK1" s="172"/>
      <c r="KTL1" s="172"/>
      <c r="KTM1" s="172"/>
      <c r="KTN1" s="172"/>
      <c r="KTO1" s="172"/>
      <c r="KTP1" s="172"/>
      <c r="KTQ1" s="172"/>
      <c r="KTR1" s="172"/>
      <c r="KTS1" s="172"/>
      <c r="KTT1" s="172"/>
      <c r="KTU1" s="172"/>
      <c r="KTV1" s="172"/>
      <c r="KTW1" s="172"/>
      <c r="KTX1" s="172"/>
      <c r="KTY1" s="172"/>
      <c r="KTZ1" s="172"/>
      <c r="KUA1" s="172"/>
      <c r="KUB1" s="172"/>
      <c r="KUC1" s="172"/>
      <c r="KUD1" s="172"/>
      <c r="KUE1" s="172"/>
      <c r="KUF1" s="172"/>
      <c r="KUG1" s="172"/>
      <c r="KUH1" s="172"/>
      <c r="KUI1" s="172"/>
      <c r="KUJ1" s="172"/>
      <c r="KUK1" s="172"/>
      <c r="KUL1" s="172"/>
      <c r="KUM1" s="172"/>
      <c r="KUN1" s="172"/>
      <c r="KUO1" s="172"/>
      <c r="KUP1" s="172"/>
      <c r="KUQ1" s="172"/>
      <c r="KUR1" s="172"/>
      <c r="KUS1" s="172"/>
      <c r="KUT1" s="172"/>
      <c r="KUU1" s="172"/>
      <c r="KUV1" s="172"/>
      <c r="KUW1" s="172"/>
      <c r="KUX1" s="172"/>
      <c r="KUY1" s="172"/>
      <c r="KUZ1" s="172"/>
      <c r="KVA1" s="172"/>
      <c r="KVB1" s="172"/>
      <c r="KVC1" s="172"/>
      <c r="KVD1" s="172"/>
      <c r="KVE1" s="172"/>
      <c r="KVF1" s="172"/>
      <c r="KVG1" s="172"/>
      <c r="KVH1" s="172"/>
      <c r="KVI1" s="172"/>
      <c r="KVJ1" s="172"/>
      <c r="KVK1" s="172"/>
      <c r="KVL1" s="172"/>
      <c r="KVM1" s="172"/>
      <c r="KVN1" s="172"/>
      <c r="KVO1" s="172"/>
      <c r="KVP1" s="172"/>
      <c r="KVQ1" s="172"/>
      <c r="KVR1" s="172"/>
      <c r="KVS1" s="172"/>
      <c r="KVT1" s="172"/>
      <c r="KVU1" s="172"/>
      <c r="KVV1" s="172"/>
      <c r="KVW1" s="172"/>
      <c r="KVX1" s="172"/>
      <c r="KVY1" s="172"/>
      <c r="KVZ1" s="172"/>
      <c r="KWA1" s="172"/>
      <c r="KWB1" s="172"/>
      <c r="KWC1" s="172"/>
      <c r="KWD1" s="172"/>
      <c r="KWE1" s="172"/>
      <c r="KWF1" s="172"/>
      <c r="KWG1" s="172"/>
      <c r="KWH1" s="172"/>
      <c r="KWI1" s="172"/>
      <c r="KWJ1" s="172"/>
      <c r="KWK1" s="172"/>
      <c r="KWL1" s="172"/>
      <c r="KWM1" s="172"/>
      <c r="KWN1" s="172"/>
      <c r="KWO1" s="172"/>
      <c r="KWP1" s="172"/>
      <c r="KWQ1" s="172"/>
      <c r="KWR1" s="172"/>
      <c r="KWS1" s="172"/>
      <c r="KWT1" s="172"/>
      <c r="KWU1" s="172"/>
      <c r="KWV1" s="172"/>
      <c r="KWW1" s="172"/>
      <c r="KWX1" s="172"/>
      <c r="KWY1" s="172"/>
      <c r="KWZ1" s="172"/>
      <c r="KXA1" s="172"/>
      <c r="KXB1" s="172"/>
      <c r="KXC1" s="172"/>
      <c r="KXD1" s="172"/>
      <c r="KXE1" s="172"/>
      <c r="KXF1" s="172"/>
      <c r="KXG1" s="172"/>
      <c r="KXH1" s="172"/>
      <c r="KXI1" s="172"/>
      <c r="KXJ1" s="172"/>
      <c r="KXK1" s="172"/>
      <c r="KXL1" s="172"/>
      <c r="KXM1" s="172"/>
      <c r="KXN1" s="172"/>
      <c r="KXO1" s="172"/>
      <c r="KXP1" s="172"/>
      <c r="KXQ1" s="172"/>
      <c r="KXR1" s="172"/>
      <c r="KXS1" s="172"/>
      <c r="KXT1" s="172"/>
      <c r="KXU1" s="172"/>
      <c r="KXV1" s="172"/>
      <c r="KXW1" s="172"/>
      <c r="KXX1" s="172"/>
      <c r="KXY1" s="172"/>
      <c r="KXZ1" s="172"/>
      <c r="KYA1" s="172"/>
      <c r="KYB1" s="172"/>
      <c r="KYC1" s="172"/>
      <c r="KYD1" s="172"/>
      <c r="KYE1" s="172"/>
      <c r="KYF1" s="172"/>
      <c r="KYG1" s="172"/>
      <c r="KYH1" s="172"/>
      <c r="KYI1" s="172"/>
      <c r="KYJ1" s="172"/>
      <c r="KYK1" s="172"/>
      <c r="KYL1" s="172"/>
      <c r="KYM1" s="172"/>
      <c r="KYN1" s="172"/>
      <c r="KYO1" s="172"/>
      <c r="KYP1" s="172"/>
      <c r="KYQ1" s="172"/>
      <c r="KYR1" s="172"/>
      <c r="KYS1" s="172"/>
      <c r="KYT1" s="172"/>
      <c r="KYU1" s="172"/>
      <c r="KYV1" s="172"/>
      <c r="KYW1" s="172"/>
      <c r="KYX1" s="172"/>
      <c r="KYY1" s="172"/>
      <c r="KYZ1" s="172"/>
      <c r="KZA1" s="172"/>
      <c r="KZB1" s="172"/>
      <c r="KZC1" s="172"/>
      <c r="KZD1" s="172"/>
      <c r="KZE1" s="172"/>
      <c r="KZF1" s="172"/>
      <c r="KZG1" s="172"/>
      <c r="KZH1" s="172"/>
      <c r="KZI1" s="172"/>
      <c r="KZJ1" s="172"/>
      <c r="KZK1" s="172"/>
      <c r="KZL1" s="172"/>
      <c r="KZM1" s="172"/>
      <c r="KZN1" s="172"/>
      <c r="KZO1" s="172"/>
      <c r="KZP1" s="172"/>
      <c r="KZQ1" s="172"/>
      <c r="KZR1" s="172"/>
      <c r="KZS1" s="172"/>
      <c r="KZT1" s="172"/>
      <c r="KZU1" s="172"/>
      <c r="KZV1" s="172"/>
      <c r="KZW1" s="172"/>
      <c r="KZX1" s="172"/>
      <c r="KZY1" s="172"/>
      <c r="KZZ1" s="172"/>
      <c r="LAA1" s="172"/>
      <c r="LAB1" s="172"/>
      <c r="LAC1" s="172"/>
      <c r="LAD1" s="172"/>
      <c r="LAE1" s="172"/>
      <c r="LAF1" s="172"/>
      <c r="LAG1" s="172"/>
      <c r="LAH1" s="172"/>
      <c r="LAI1" s="172"/>
      <c r="LAJ1" s="172"/>
      <c r="LAK1" s="172"/>
      <c r="LAL1" s="172"/>
      <c r="LAM1" s="172"/>
      <c r="LAN1" s="172"/>
      <c r="LAO1" s="172"/>
      <c r="LAP1" s="172"/>
      <c r="LAQ1" s="172"/>
      <c r="LAR1" s="172"/>
      <c r="LAS1" s="172"/>
      <c r="LAT1" s="172"/>
      <c r="LAU1" s="172"/>
      <c r="LAV1" s="172"/>
      <c r="LAW1" s="172"/>
      <c r="LAX1" s="172"/>
      <c r="LAY1" s="172"/>
      <c r="LAZ1" s="172"/>
      <c r="LBA1" s="172"/>
      <c r="LBB1" s="172"/>
      <c r="LBC1" s="172"/>
      <c r="LBD1" s="172"/>
      <c r="LBE1" s="172"/>
      <c r="LBF1" s="172"/>
      <c r="LBG1" s="172"/>
      <c r="LBH1" s="172"/>
      <c r="LBI1" s="172"/>
      <c r="LBJ1" s="172"/>
      <c r="LBK1" s="172"/>
      <c r="LBL1" s="172"/>
      <c r="LBM1" s="172"/>
      <c r="LBN1" s="172"/>
      <c r="LBO1" s="172"/>
      <c r="LBP1" s="172"/>
      <c r="LBQ1" s="172"/>
      <c r="LBR1" s="172"/>
      <c r="LBS1" s="172"/>
      <c r="LBT1" s="172"/>
      <c r="LBU1" s="172"/>
      <c r="LBV1" s="172"/>
      <c r="LBW1" s="172"/>
      <c r="LBX1" s="172"/>
      <c r="LBY1" s="172"/>
      <c r="LBZ1" s="172"/>
      <c r="LCA1" s="172"/>
      <c r="LCB1" s="172"/>
      <c r="LCC1" s="172"/>
      <c r="LCD1" s="172"/>
      <c r="LCE1" s="172"/>
      <c r="LCF1" s="172"/>
      <c r="LCG1" s="172"/>
      <c r="LCH1" s="172"/>
      <c r="LCI1" s="172"/>
      <c r="LCJ1" s="172"/>
      <c r="LCK1" s="172"/>
      <c r="LCL1" s="172"/>
      <c r="LCM1" s="172"/>
      <c r="LCN1" s="172"/>
      <c r="LCO1" s="172"/>
      <c r="LCP1" s="172"/>
      <c r="LCQ1" s="172"/>
      <c r="LCR1" s="172"/>
      <c r="LCS1" s="172"/>
      <c r="LCT1" s="172"/>
      <c r="LCU1" s="172"/>
      <c r="LCV1" s="172"/>
      <c r="LCW1" s="172"/>
      <c r="LCX1" s="172"/>
      <c r="LCY1" s="172"/>
      <c r="LCZ1" s="172"/>
      <c r="LDA1" s="172"/>
      <c r="LDB1" s="172"/>
      <c r="LDC1" s="172"/>
      <c r="LDD1" s="172"/>
      <c r="LDE1" s="172"/>
      <c r="LDF1" s="172"/>
      <c r="LDG1" s="172"/>
      <c r="LDH1" s="172"/>
      <c r="LDI1" s="172"/>
      <c r="LDJ1" s="172"/>
      <c r="LDK1" s="172"/>
      <c r="LDL1" s="172"/>
      <c r="LDM1" s="172"/>
      <c r="LDN1" s="172"/>
      <c r="LDO1" s="172"/>
      <c r="LDP1" s="172"/>
      <c r="LDQ1" s="172"/>
      <c r="LDR1" s="172"/>
      <c r="LDS1" s="172"/>
      <c r="LDT1" s="172"/>
      <c r="LDU1" s="172"/>
      <c r="LDV1" s="172"/>
      <c r="LDW1" s="172"/>
      <c r="LDX1" s="172"/>
      <c r="LDY1" s="172"/>
      <c r="LDZ1" s="172"/>
      <c r="LEA1" s="172"/>
      <c r="LEB1" s="172"/>
      <c r="LEC1" s="172"/>
      <c r="LED1" s="172"/>
      <c r="LEE1" s="172"/>
      <c r="LEF1" s="172"/>
      <c r="LEG1" s="172"/>
      <c r="LEH1" s="172"/>
      <c r="LEI1" s="172"/>
      <c r="LEJ1" s="172"/>
      <c r="LEK1" s="172"/>
      <c r="LEL1" s="172"/>
      <c r="LEM1" s="172"/>
      <c r="LEN1" s="172"/>
      <c r="LEO1" s="172"/>
      <c r="LEP1" s="172"/>
      <c r="LEQ1" s="172"/>
      <c r="LER1" s="172"/>
      <c r="LES1" s="172"/>
      <c r="LET1" s="172"/>
      <c r="LEU1" s="172"/>
      <c r="LEV1" s="172"/>
      <c r="LEW1" s="172"/>
      <c r="LEX1" s="172"/>
      <c r="LEY1" s="172"/>
      <c r="LEZ1" s="172"/>
      <c r="LFA1" s="172"/>
      <c r="LFB1" s="172"/>
      <c r="LFC1" s="172"/>
      <c r="LFD1" s="172"/>
      <c r="LFE1" s="172"/>
      <c r="LFF1" s="172"/>
      <c r="LFG1" s="172"/>
      <c r="LFH1" s="172"/>
      <c r="LFI1" s="172"/>
      <c r="LFJ1" s="172"/>
      <c r="LFK1" s="172"/>
      <c r="LFL1" s="172"/>
      <c r="LFM1" s="172"/>
      <c r="LFN1" s="172"/>
      <c r="LFO1" s="172"/>
      <c r="LFP1" s="172"/>
      <c r="LFQ1" s="172"/>
      <c r="LFR1" s="172"/>
      <c r="LFS1" s="172"/>
      <c r="LFT1" s="172"/>
      <c r="LFU1" s="172"/>
      <c r="LFV1" s="172"/>
      <c r="LFW1" s="172"/>
      <c r="LFX1" s="172"/>
      <c r="LFY1" s="172"/>
      <c r="LFZ1" s="172"/>
      <c r="LGA1" s="172"/>
      <c r="LGB1" s="172"/>
      <c r="LGC1" s="172"/>
      <c r="LGD1" s="172"/>
      <c r="LGE1" s="172"/>
      <c r="LGF1" s="172"/>
      <c r="LGG1" s="172"/>
      <c r="LGH1" s="172"/>
      <c r="LGI1" s="172"/>
      <c r="LGJ1" s="172"/>
      <c r="LGK1" s="172"/>
      <c r="LGL1" s="172"/>
      <c r="LGM1" s="172"/>
      <c r="LGN1" s="172"/>
      <c r="LGO1" s="172"/>
      <c r="LGP1" s="172"/>
      <c r="LGQ1" s="172"/>
      <c r="LGR1" s="172"/>
      <c r="LGS1" s="172"/>
      <c r="LGT1" s="172"/>
      <c r="LGU1" s="172"/>
      <c r="LGV1" s="172"/>
      <c r="LGW1" s="172"/>
      <c r="LGX1" s="172"/>
      <c r="LGY1" s="172"/>
      <c r="LGZ1" s="172"/>
      <c r="LHA1" s="172"/>
      <c r="LHB1" s="172"/>
      <c r="LHC1" s="172"/>
      <c r="LHD1" s="172"/>
      <c r="LHE1" s="172"/>
      <c r="LHF1" s="172"/>
      <c r="LHG1" s="172"/>
      <c r="LHH1" s="172"/>
      <c r="LHI1" s="172"/>
      <c r="LHJ1" s="172"/>
      <c r="LHK1" s="172"/>
      <c r="LHL1" s="172"/>
      <c r="LHM1" s="172"/>
      <c r="LHN1" s="172"/>
      <c r="LHO1" s="172"/>
      <c r="LHP1" s="172"/>
      <c r="LHQ1" s="172"/>
      <c r="LHR1" s="172"/>
      <c r="LHS1" s="172"/>
      <c r="LHT1" s="172"/>
      <c r="LHU1" s="172"/>
      <c r="LHV1" s="172"/>
      <c r="LHW1" s="172"/>
      <c r="LHX1" s="172"/>
      <c r="LHY1" s="172"/>
      <c r="LHZ1" s="172"/>
      <c r="LIA1" s="172"/>
      <c r="LIB1" s="172"/>
      <c r="LIC1" s="172"/>
      <c r="LID1" s="172"/>
      <c r="LIE1" s="172"/>
      <c r="LIF1" s="172"/>
      <c r="LIG1" s="172"/>
      <c r="LIH1" s="172"/>
      <c r="LII1" s="172"/>
      <c r="LIJ1" s="172"/>
      <c r="LIK1" s="172"/>
      <c r="LIL1" s="172"/>
      <c r="LIM1" s="172"/>
      <c r="LIN1" s="172"/>
      <c r="LIO1" s="172"/>
      <c r="LIP1" s="172"/>
      <c r="LIQ1" s="172"/>
      <c r="LIR1" s="172"/>
      <c r="LIS1" s="172"/>
      <c r="LIT1" s="172"/>
      <c r="LIU1" s="172"/>
      <c r="LIV1" s="172"/>
      <c r="LIW1" s="172"/>
      <c r="LIX1" s="172"/>
      <c r="LIY1" s="172"/>
      <c r="LIZ1" s="172"/>
      <c r="LJA1" s="172"/>
      <c r="LJB1" s="172"/>
      <c r="LJC1" s="172"/>
      <c r="LJD1" s="172"/>
      <c r="LJE1" s="172"/>
      <c r="LJF1" s="172"/>
      <c r="LJG1" s="172"/>
      <c r="LJH1" s="172"/>
      <c r="LJI1" s="172"/>
      <c r="LJJ1" s="172"/>
      <c r="LJK1" s="172"/>
      <c r="LJL1" s="172"/>
      <c r="LJM1" s="172"/>
      <c r="LJN1" s="172"/>
      <c r="LJO1" s="172"/>
      <c r="LJP1" s="172"/>
      <c r="LJQ1" s="172"/>
      <c r="LJR1" s="172"/>
      <c r="LJS1" s="172"/>
      <c r="LJT1" s="172"/>
      <c r="LJU1" s="172"/>
      <c r="LJV1" s="172"/>
      <c r="LJW1" s="172"/>
      <c r="LJX1" s="172"/>
      <c r="LJY1" s="172"/>
      <c r="LJZ1" s="172"/>
      <c r="LKA1" s="172"/>
      <c r="LKB1" s="172"/>
      <c r="LKC1" s="172"/>
      <c r="LKD1" s="172"/>
      <c r="LKE1" s="172"/>
      <c r="LKF1" s="172"/>
      <c r="LKG1" s="172"/>
      <c r="LKH1" s="172"/>
      <c r="LKI1" s="172"/>
      <c r="LKJ1" s="172"/>
      <c r="LKK1" s="172"/>
      <c r="LKL1" s="172"/>
      <c r="LKM1" s="172"/>
      <c r="LKN1" s="172"/>
      <c r="LKO1" s="172"/>
      <c r="LKP1" s="172"/>
      <c r="LKQ1" s="172"/>
      <c r="LKR1" s="172"/>
      <c r="LKS1" s="172"/>
      <c r="LKT1" s="172"/>
      <c r="LKU1" s="172"/>
      <c r="LKV1" s="172"/>
      <c r="LKW1" s="172"/>
      <c r="LKX1" s="172"/>
      <c r="LKY1" s="172"/>
      <c r="LKZ1" s="172"/>
      <c r="LLA1" s="172"/>
      <c r="LLB1" s="172"/>
      <c r="LLC1" s="172"/>
      <c r="LLD1" s="172"/>
      <c r="LLE1" s="172"/>
      <c r="LLF1" s="172"/>
      <c r="LLG1" s="172"/>
      <c r="LLH1" s="172"/>
      <c r="LLI1" s="172"/>
      <c r="LLJ1" s="172"/>
      <c r="LLK1" s="172"/>
      <c r="LLL1" s="172"/>
      <c r="LLM1" s="172"/>
      <c r="LLN1" s="172"/>
      <c r="LLO1" s="172"/>
      <c r="LLP1" s="172"/>
      <c r="LLQ1" s="172"/>
      <c r="LLR1" s="172"/>
      <c r="LLS1" s="172"/>
      <c r="LLT1" s="172"/>
      <c r="LLU1" s="172"/>
      <c r="LLV1" s="172"/>
      <c r="LLW1" s="172"/>
      <c r="LLX1" s="172"/>
      <c r="LLY1" s="172"/>
      <c r="LLZ1" s="172"/>
      <c r="LMA1" s="172"/>
      <c r="LMB1" s="172"/>
      <c r="LMC1" s="172"/>
      <c r="LMD1" s="172"/>
      <c r="LME1" s="172"/>
      <c r="LMF1" s="172"/>
      <c r="LMG1" s="172"/>
      <c r="LMH1" s="172"/>
      <c r="LMI1" s="172"/>
      <c r="LMJ1" s="172"/>
      <c r="LMK1" s="172"/>
      <c r="LML1" s="172"/>
      <c r="LMM1" s="172"/>
      <c r="LMN1" s="172"/>
      <c r="LMO1" s="172"/>
      <c r="LMP1" s="172"/>
      <c r="LMQ1" s="172"/>
      <c r="LMR1" s="172"/>
      <c r="LMS1" s="172"/>
      <c r="LMT1" s="172"/>
      <c r="LMU1" s="172"/>
      <c r="LMV1" s="172"/>
      <c r="LMW1" s="172"/>
      <c r="LMX1" s="172"/>
      <c r="LMY1" s="172"/>
      <c r="LMZ1" s="172"/>
      <c r="LNA1" s="172"/>
      <c r="LNB1" s="172"/>
      <c r="LNC1" s="172"/>
      <c r="LND1" s="172"/>
      <c r="LNE1" s="172"/>
      <c r="LNF1" s="172"/>
      <c r="LNG1" s="172"/>
      <c r="LNH1" s="172"/>
      <c r="LNI1" s="172"/>
      <c r="LNJ1" s="172"/>
      <c r="LNK1" s="172"/>
      <c r="LNL1" s="172"/>
      <c r="LNM1" s="172"/>
      <c r="LNN1" s="172"/>
      <c r="LNO1" s="172"/>
      <c r="LNP1" s="172"/>
      <c r="LNQ1" s="172"/>
      <c r="LNR1" s="172"/>
      <c r="LNS1" s="172"/>
      <c r="LNT1" s="172"/>
      <c r="LNU1" s="172"/>
      <c r="LNV1" s="172"/>
      <c r="LNW1" s="172"/>
      <c r="LNX1" s="172"/>
      <c r="LNY1" s="172"/>
      <c r="LNZ1" s="172"/>
      <c r="LOA1" s="172"/>
      <c r="LOB1" s="172"/>
      <c r="LOC1" s="172"/>
      <c r="LOD1" s="172"/>
      <c r="LOE1" s="172"/>
      <c r="LOF1" s="172"/>
      <c r="LOG1" s="172"/>
      <c r="LOH1" s="172"/>
      <c r="LOI1" s="172"/>
      <c r="LOJ1" s="172"/>
      <c r="LOK1" s="172"/>
      <c r="LOL1" s="172"/>
      <c r="LOM1" s="172"/>
      <c r="LON1" s="172"/>
      <c r="LOO1" s="172"/>
      <c r="LOP1" s="172"/>
      <c r="LOQ1" s="172"/>
      <c r="LOR1" s="172"/>
      <c r="LOS1" s="172"/>
      <c r="LOT1" s="172"/>
      <c r="LOU1" s="172"/>
      <c r="LOV1" s="172"/>
      <c r="LOW1" s="172"/>
      <c r="LOX1" s="172"/>
      <c r="LOY1" s="172"/>
      <c r="LOZ1" s="172"/>
      <c r="LPA1" s="172"/>
      <c r="LPB1" s="172"/>
      <c r="LPC1" s="172"/>
      <c r="LPD1" s="172"/>
      <c r="LPE1" s="172"/>
      <c r="LPF1" s="172"/>
      <c r="LPG1" s="172"/>
      <c r="LPH1" s="172"/>
      <c r="LPI1" s="172"/>
      <c r="LPJ1" s="172"/>
      <c r="LPK1" s="172"/>
      <c r="LPL1" s="172"/>
      <c r="LPM1" s="172"/>
      <c r="LPN1" s="172"/>
      <c r="LPO1" s="172"/>
      <c r="LPP1" s="172"/>
      <c r="LPQ1" s="172"/>
      <c r="LPR1" s="172"/>
      <c r="LPS1" s="172"/>
      <c r="LPT1" s="172"/>
      <c r="LPU1" s="172"/>
      <c r="LPV1" s="172"/>
      <c r="LPW1" s="172"/>
      <c r="LPX1" s="172"/>
      <c r="LPY1" s="172"/>
      <c r="LPZ1" s="172"/>
      <c r="LQA1" s="172"/>
      <c r="LQB1" s="172"/>
      <c r="LQC1" s="172"/>
      <c r="LQD1" s="172"/>
      <c r="LQE1" s="172"/>
      <c r="LQF1" s="172"/>
      <c r="LQG1" s="172"/>
      <c r="LQH1" s="172"/>
      <c r="LQI1" s="172"/>
      <c r="LQJ1" s="172"/>
      <c r="LQK1" s="172"/>
      <c r="LQL1" s="172"/>
      <c r="LQM1" s="172"/>
      <c r="LQN1" s="172"/>
      <c r="LQO1" s="172"/>
      <c r="LQP1" s="172"/>
      <c r="LQQ1" s="172"/>
      <c r="LQR1" s="172"/>
      <c r="LQS1" s="172"/>
      <c r="LQT1" s="172"/>
      <c r="LQU1" s="172"/>
      <c r="LQV1" s="172"/>
      <c r="LQW1" s="172"/>
      <c r="LQX1" s="172"/>
      <c r="LQY1" s="172"/>
      <c r="LQZ1" s="172"/>
      <c r="LRA1" s="172"/>
      <c r="LRB1" s="172"/>
      <c r="LRC1" s="172"/>
      <c r="LRD1" s="172"/>
      <c r="LRE1" s="172"/>
      <c r="LRF1" s="172"/>
      <c r="LRG1" s="172"/>
      <c r="LRH1" s="172"/>
      <c r="LRI1" s="172"/>
      <c r="LRJ1" s="172"/>
      <c r="LRK1" s="172"/>
      <c r="LRL1" s="172"/>
      <c r="LRM1" s="172"/>
      <c r="LRN1" s="172"/>
      <c r="LRO1" s="172"/>
      <c r="LRP1" s="172"/>
      <c r="LRQ1" s="172"/>
      <c r="LRR1" s="172"/>
      <c r="LRS1" s="172"/>
      <c r="LRT1" s="172"/>
      <c r="LRU1" s="172"/>
      <c r="LRV1" s="172"/>
      <c r="LRW1" s="172"/>
      <c r="LRX1" s="172"/>
      <c r="LRY1" s="172"/>
      <c r="LRZ1" s="172"/>
      <c r="LSA1" s="172"/>
      <c r="LSB1" s="172"/>
      <c r="LSC1" s="172"/>
      <c r="LSD1" s="172"/>
      <c r="LSE1" s="172"/>
      <c r="LSF1" s="172"/>
      <c r="LSG1" s="172"/>
      <c r="LSH1" s="172"/>
      <c r="LSI1" s="172"/>
      <c r="LSJ1" s="172"/>
      <c r="LSK1" s="172"/>
      <c r="LSL1" s="172"/>
      <c r="LSM1" s="172"/>
      <c r="LSN1" s="172"/>
      <c r="LSO1" s="172"/>
      <c r="LSP1" s="172"/>
      <c r="LSQ1" s="172"/>
      <c r="LSR1" s="172"/>
      <c r="LSS1" s="172"/>
      <c r="LST1" s="172"/>
      <c r="LSU1" s="172"/>
      <c r="LSV1" s="172"/>
      <c r="LSW1" s="172"/>
      <c r="LSX1" s="172"/>
      <c r="LSY1" s="172"/>
      <c r="LSZ1" s="172"/>
      <c r="LTA1" s="172"/>
      <c r="LTB1" s="172"/>
      <c r="LTC1" s="172"/>
      <c r="LTD1" s="172"/>
      <c r="LTE1" s="172"/>
      <c r="LTF1" s="172"/>
      <c r="LTG1" s="172"/>
      <c r="LTH1" s="172"/>
      <c r="LTI1" s="172"/>
      <c r="LTJ1" s="172"/>
      <c r="LTK1" s="172"/>
      <c r="LTL1" s="172"/>
      <c r="LTM1" s="172"/>
      <c r="LTN1" s="172"/>
      <c r="LTO1" s="172"/>
      <c r="LTP1" s="172"/>
      <c r="LTQ1" s="172"/>
      <c r="LTR1" s="172"/>
      <c r="LTS1" s="172"/>
      <c r="LTT1" s="172"/>
      <c r="LTU1" s="172"/>
      <c r="LTV1" s="172"/>
      <c r="LTW1" s="172"/>
      <c r="LTX1" s="172"/>
      <c r="LTY1" s="172"/>
      <c r="LTZ1" s="172"/>
      <c r="LUA1" s="172"/>
      <c r="LUB1" s="172"/>
      <c r="LUC1" s="172"/>
      <c r="LUD1" s="172"/>
      <c r="LUE1" s="172"/>
      <c r="LUF1" s="172"/>
      <c r="LUG1" s="172"/>
      <c r="LUH1" s="172"/>
      <c r="LUI1" s="172"/>
      <c r="LUJ1" s="172"/>
      <c r="LUK1" s="172"/>
      <c r="LUL1" s="172"/>
      <c r="LUM1" s="172"/>
      <c r="LUN1" s="172"/>
      <c r="LUO1" s="172"/>
      <c r="LUP1" s="172"/>
      <c r="LUQ1" s="172"/>
      <c r="LUR1" s="172"/>
      <c r="LUS1" s="172"/>
      <c r="LUT1" s="172"/>
      <c r="LUU1" s="172"/>
      <c r="LUV1" s="172"/>
      <c r="LUW1" s="172"/>
      <c r="LUX1" s="172"/>
      <c r="LUY1" s="172"/>
      <c r="LUZ1" s="172"/>
      <c r="LVA1" s="172"/>
      <c r="LVB1" s="172"/>
      <c r="LVC1" s="172"/>
      <c r="LVD1" s="172"/>
      <c r="LVE1" s="172"/>
      <c r="LVF1" s="172"/>
      <c r="LVG1" s="172"/>
      <c r="LVH1" s="172"/>
      <c r="LVI1" s="172"/>
      <c r="LVJ1" s="172"/>
      <c r="LVK1" s="172"/>
      <c r="LVL1" s="172"/>
      <c r="LVM1" s="172"/>
      <c r="LVN1" s="172"/>
      <c r="LVO1" s="172"/>
      <c r="LVP1" s="172"/>
      <c r="LVQ1" s="172"/>
      <c r="LVR1" s="172"/>
      <c r="LVS1" s="172"/>
      <c r="LVT1" s="172"/>
      <c r="LVU1" s="172"/>
      <c r="LVV1" s="172"/>
      <c r="LVW1" s="172"/>
      <c r="LVX1" s="172"/>
      <c r="LVY1" s="172"/>
      <c r="LVZ1" s="172"/>
      <c r="LWA1" s="172"/>
      <c r="LWB1" s="172"/>
      <c r="LWC1" s="172"/>
      <c r="LWD1" s="172"/>
      <c r="LWE1" s="172"/>
      <c r="LWF1" s="172"/>
      <c r="LWG1" s="172"/>
      <c r="LWH1" s="172"/>
      <c r="LWI1" s="172"/>
      <c r="LWJ1" s="172"/>
      <c r="LWK1" s="172"/>
      <c r="LWL1" s="172"/>
      <c r="LWM1" s="172"/>
      <c r="LWN1" s="172"/>
      <c r="LWO1" s="172"/>
      <c r="LWP1" s="172"/>
      <c r="LWQ1" s="172"/>
      <c r="LWR1" s="172"/>
      <c r="LWS1" s="172"/>
      <c r="LWT1" s="172"/>
      <c r="LWU1" s="172"/>
      <c r="LWV1" s="172"/>
      <c r="LWW1" s="172"/>
      <c r="LWX1" s="172"/>
      <c r="LWY1" s="172"/>
      <c r="LWZ1" s="172"/>
      <c r="LXA1" s="172"/>
      <c r="LXB1" s="172"/>
      <c r="LXC1" s="172"/>
      <c r="LXD1" s="172"/>
      <c r="LXE1" s="172"/>
      <c r="LXF1" s="172"/>
      <c r="LXG1" s="172"/>
      <c r="LXH1" s="172"/>
      <c r="LXI1" s="172"/>
      <c r="LXJ1" s="172"/>
      <c r="LXK1" s="172"/>
      <c r="LXL1" s="172"/>
      <c r="LXM1" s="172"/>
      <c r="LXN1" s="172"/>
      <c r="LXO1" s="172"/>
      <c r="LXP1" s="172"/>
      <c r="LXQ1" s="172"/>
      <c r="LXR1" s="172"/>
      <c r="LXS1" s="172"/>
      <c r="LXT1" s="172"/>
      <c r="LXU1" s="172"/>
      <c r="LXV1" s="172"/>
      <c r="LXW1" s="172"/>
      <c r="LXX1" s="172"/>
      <c r="LXY1" s="172"/>
      <c r="LXZ1" s="172"/>
      <c r="LYA1" s="172"/>
      <c r="LYB1" s="172"/>
      <c r="LYC1" s="172"/>
      <c r="LYD1" s="172"/>
      <c r="LYE1" s="172"/>
      <c r="LYF1" s="172"/>
      <c r="LYG1" s="172"/>
      <c r="LYH1" s="172"/>
      <c r="LYI1" s="172"/>
      <c r="LYJ1" s="172"/>
      <c r="LYK1" s="172"/>
      <c r="LYL1" s="172"/>
      <c r="LYM1" s="172"/>
      <c r="LYN1" s="172"/>
      <c r="LYO1" s="172"/>
      <c r="LYP1" s="172"/>
      <c r="LYQ1" s="172"/>
      <c r="LYR1" s="172"/>
      <c r="LYS1" s="172"/>
      <c r="LYT1" s="172"/>
      <c r="LYU1" s="172"/>
      <c r="LYV1" s="172"/>
      <c r="LYW1" s="172"/>
      <c r="LYX1" s="172"/>
      <c r="LYY1" s="172"/>
      <c r="LYZ1" s="172"/>
      <c r="LZA1" s="172"/>
      <c r="LZB1" s="172"/>
      <c r="LZC1" s="172"/>
      <c r="LZD1" s="172"/>
      <c r="LZE1" s="172"/>
      <c r="LZF1" s="172"/>
      <c r="LZG1" s="172"/>
      <c r="LZH1" s="172"/>
      <c r="LZI1" s="172"/>
      <c r="LZJ1" s="172"/>
      <c r="LZK1" s="172"/>
      <c r="LZL1" s="172"/>
      <c r="LZM1" s="172"/>
      <c r="LZN1" s="172"/>
      <c r="LZO1" s="172"/>
      <c r="LZP1" s="172"/>
      <c r="LZQ1" s="172"/>
      <c r="LZR1" s="172"/>
      <c r="LZS1" s="172"/>
      <c r="LZT1" s="172"/>
      <c r="LZU1" s="172"/>
      <c r="LZV1" s="172"/>
      <c r="LZW1" s="172"/>
      <c r="LZX1" s="172"/>
      <c r="LZY1" s="172"/>
      <c r="LZZ1" s="172"/>
      <c r="MAA1" s="172"/>
      <c r="MAB1" s="172"/>
      <c r="MAC1" s="172"/>
      <c r="MAD1" s="172"/>
      <c r="MAE1" s="172"/>
      <c r="MAF1" s="172"/>
      <c r="MAG1" s="172"/>
      <c r="MAH1" s="172"/>
      <c r="MAI1" s="172"/>
      <c r="MAJ1" s="172"/>
      <c r="MAK1" s="172"/>
      <c r="MAL1" s="172"/>
      <c r="MAM1" s="172"/>
      <c r="MAN1" s="172"/>
      <c r="MAO1" s="172"/>
      <c r="MAP1" s="172"/>
      <c r="MAQ1" s="172"/>
      <c r="MAR1" s="172"/>
      <c r="MAS1" s="172"/>
      <c r="MAT1" s="172"/>
      <c r="MAU1" s="172"/>
      <c r="MAV1" s="172"/>
      <c r="MAW1" s="172"/>
      <c r="MAX1" s="172"/>
      <c r="MAY1" s="172"/>
      <c r="MAZ1" s="172"/>
      <c r="MBA1" s="172"/>
      <c r="MBB1" s="172"/>
      <c r="MBC1" s="172"/>
      <c r="MBD1" s="172"/>
      <c r="MBE1" s="172"/>
      <c r="MBF1" s="172"/>
      <c r="MBG1" s="172"/>
      <c r="MBH1" s="172"/>
      <c r="MBI1" s="172"/>
      <c r="MBJ1" s="172"/>
      <c r="MBK1" s="172"/>
      <c r="MBL1" s="172"/>
      <c r="MBM1" s="172"/>
      <c r="MBN1" s="172"/>
      <c r="MBO1" s="172"/>
      <c r="MBP1" s="172"/>
      <c r="MBQ1" s="172"/>
      <c r="MBR1" s="172"/>
      <c r="MBS1" s="172"/>
      <c r="MBT1" s="172"/>
      <c r="MBU1" s="172"/>
      <c r="MBV1" s="172"/>
      <c r="MBW1" s="172"/>
      <c r="MBX1" s="172"/>
      <c r="MBY1" s="172"/>
      <c r="MBZ1" s="172"/>
      <c r="MCA1" s="172"/>
      <c r="MCB1" s="172"/>
      <c r="MCC1" s="172"/>
      <c r="MCD1" s="172"/>
      <c r="MCE1" s="172"/>
      <c r="MCF1" s="172"/>
      <c r="MCG1" s="172"/>
      <c r="MCH1" s="172"/>
      <c r="MCI1" s="172"/>
      <c r="MCJ1" s="172"/>
      <c r="MCK1" s="172"/>
      <c r="MCL1" s="172"/>
      <c r="MCM1" s="172"/>
      <c r="MCN1" s="172"/>
      <c r="MCO1" s="172"/>
      <c r="MCP1" s="172"/>
      <c r="MCQ1" s="172"/>
      <c r="MCR1" s="172"/>
      <c r="MCS1" s="172"/>
      <c r="MCT1" s="172"/>
      <c r="MCU1" s="172"/>
      <c r="MCV1" s="172"/>
      <c r="MCW1" s="172"/>
      <c r="MCX1" s="172"/>
      <c r="MCY1" s="172"/>
      <c r="MCZ1" s="172"/>
      <c r="MDA1" s="172"/>
      <c r="MDB1" s="172"/>
      <c r="MDC1" s="172"/>
      <c r="MDD1" s="172"/>
      <c r="MDE1" s="172"/>
      <c r="MDF1" s="172"/>
      <c r="MDG1" s="172"/>
      <c r="MDH1" s="172"/>
      <c r="MDI1" s="172"/>
      <c r="MDJ1" s="172"/>
      <c r="MDK1" s="172"/>
      <c r="MDL1" s="172"/>
      <c r="MDM1" s="172"/>
      <c r="MDN1" s="172"/>
      <c r="MDO1" s="172"/>
      <c r="MDP1" s="172"/>
      <c r="MDQ1" s="172"/>
      <c r="MDR1" s="172"/>
      <c r="MDS1" s="172"/>
      <c r="MDT1" s="172"/>
      <c r="MDU1" s="172"/>
      <c r="MDV1" s="172"/>
      <c r="MDW1" s="172"/>
      <c r="MDX1" s="172"/>
      <c r="MDY1" s="172"/>
      <c r="MDZ1" s="172"/>
      <c r="MEA1" s="172"/>
      <c r="MEB1" s="172"/>
      <c r="MEC1" s="172"/>
      <c r="MED1" s="172"/>
      <c r="MEE1" s="172"/>
      <c r="MEF1" s="172"/>
      <c r="MEG1" s="172"/>
      <c r="MEH1" s="172"/>
      <c r="MEI1" s="172"/>
      <c r="MEJ1" s="172"/>
      <c r="MEK1" s="172"/>
      <c r="MEL1" s="172"/>
      <c r="MEM1" s="172"/>
      <c r="MEN1" s="172"/>
      <c r="MEO1" s="172"/>
      <c r="MEP1" s="172"/>
      <c r="MEQ1" s="172"/>
      <c r="MER1" s="172"/>
      <c r="MES1" s="172"/>
      <c r="MET1" s="172"/>
      <c r="MEU1" s="172"/>
      <c r="MEV1" s="172"/>
      <c r="MEW1" s="172"/>
      <c r="MEX1" s="172"/>
      <c r="MEY1" s="172"/>
      <c r="MEZ1" s="172"/>
      <c r="MFA1" s="172"/>
      <c r="MFB1" s="172"/>
      <c r="MFC1" s="172"/>
      <c r="MFD1" s="172"/>
      <c r="MFE1" s="172"/>
      <c r="MFF1" s="172"/>
      <c r="MFG1" s="172"/>
      <c r="MFH1" s="172"/>
      <c r="MFI1" s="172"/>
      <c r="MFJ1" s="172"/>
      <c r="MFK1" s="172"/>
      <c r="MFL1" s="172"/>
      <c r="MFM1" s="172"/>
      <c r="MFN1" s="172"/>
      <c r="MFO1" s="172"/>
      <c r="MFP1" s="172"/>
      <c r="MFQ1" s="172"/>
      <c r="MFR1" s="172"/>
      <c r="MFS1" s="172"/>
      <c r="MFT1" s="172"/>
      <c r="MFU1" s="172"/>
      <c r="MFV1" s="172"/>
      <c r="MFW1" s="172"/>
      <c r="MFX1" s="172"/>
      <c r="MFY1" s="172"/>
      <c r="MFZ1" s="172"/>
      <c r="MGA1" s="172"/>
      <c r="MGB1" s="172"/>
      <c r="MGC1" s="172"/>
      <c r="MGD1" s="172"/>
      <c r="MGE1" s="172"/>
      <c r="MGF1" s="172"/>
      <c r="MGG1" s="172"/>
      <c r="MGH1" s="172"/>
      <c r="MGI1" s="172"/>
      <c r="MGJ1" s="172"/>
      <c r="MGK1" s="172"/>
      <c r="MGL1" s="172"/>
      <c r="MGM1" s="172"/>
      <c r="MGN1" s="172"/>
      <c r="MGO1" s="172"/>
      <c r="MGP1" s="172"/>
      <c r="MGQ1" s="172"/>
      <c r="MGR1" s="172"/>
      <c r="MGS1" s="172"/>
      <c r="MGT1" s="172"/>
      <c r="MGU1" s="172"/>
      <c r="MGV1" s="172"/>
      <c r="MGW1" s="172"/>
      <c r="MGX1" s="172"/>
      <c r="MGY1" s="172"/>
      <c r="MGZ1" s="172"/>
      <c r="MHA1" s="172"/>
      <c r="MHB1" s="172"/>
      <c r="MHC1" s="172"/>
      <c r="MHD1" s="172"/>
      <c r="MHE1" s="172"/>
      <c r="MHF1" s="172"/>
      <c r="MHG1" s="172"/>
      <c r="MHH1" s="172"/>
      <c r="MHI1" s="172"/>
      <c r="MHJ1" s="172"/>
      <c r="MHK1" s="172"/>
      <c r="MHL1" s="172"/>
      <c r="MHM1" s="172"/>
      <c r="MHN1" s="172"/>
      <c r="MHO1" s="172"/>
      <c r="MHP1" s="172"/>
      <c r="MHQ1" s="172"/>
      <c r="MHR1" s="172"/>
      <c r="MHS1" s="172"/>
      <c r="MHT1" s="172"/>
      <c r="MHU1" s="172"/>
      <c r="MHV1" s="172"/>
      <c r="MHW1" s="172"/>
      <c r="MHX1" s="172"/>
      <c r="MHY1" s="172"/>
      <c r="MHZ1" s="172"/>
      <c r="MIA1" s="172"/>
      <c r="MIB1" s="172"/>
      <c r="MIC1" s="172"/>
      <c r="MID1" s="172"/>
      <c r="MIE1" s="172"/>
      <c r="MIF1" s="172"/>
      <c r="MIG1" s="172"/>
      <c r="MIH1" s="172"/>
      <c r="MII1" s="172"/>
      <c r="MIJ1" s="172"/>
      <c r="MIK1" s="172"/>
      <c r="MIL1" s="172"/>
      <c r="MIM1" s="172"/>
      <c r="MIN1" s="172"/>
      <c r="MIO1" s="172"/>
      <c r="MIP1" s="172"/>
      <c r="MIQ1" s="172"/>
      <c r="MIR1" s="172"/>
      <c r="MIS1" s="172"/>
      <c r="MIT1" s="172"/>
      <c r="MIU1" s="172"/>
      <c r="MIV1" s="172"/>
      <c r="MIW1" s="172"/>
      <c r="MIX1" s="172"/>
      <c r="MIY1" s="172"/>
      <c r="MIZ1" s="172"/>
      <c r="MJA1" s="172"/>
      <c r="MJB1" s="172"/>
      <c r="MJC1" s="172"/>
      <c r="MJD1" s="172"/>
      <c r="MJE1" s="172"/>
      <c r="MJF1" s="172"/>
      <c r="MJG1" s="172"/>
      <c r="MJH1" s="172"/>
      <c r="MJI1" s="172"/>
      <c r="MJJ1" s="172"/>
      <c r="MJK1" s="172"/>
      <c r="MJL1" s="172"/>
      <c r="MJM1" s="172"/>
      <c r="MJN1" s="172"/>
      <c r="MJO1" s="172"/>
      <c r="MJP1" s="172"/>
      <c r="MJQ1" s="172"/>
      <c r="MJR1" s="172"/>
      <c r="MJS1" s="172"/>
      <c r="MJT1" s="172"/>
      <c r="MJU1" s="172"/>
      <c r="MJV1" s="172"/>
      <c r="MJW1" s="172"/>
      <c r="MJX1" s="172"/>
      <c r="MJY1" s="172"/>
      <c r="MJZ1" s="172"/>
      <c r="MKA1" s="172"/>
      <c r="MKB1" s="172"/>
      <c r="MKC1" s="172"/>
      <c r="MKD1" s="172"/>
      <c r="MKE1" s="172"/>
      <c r="MKF1" s="172"/>
      <c r="MKG1" s="172"/>
      <c r="MKH1" s="172"/>
      <c r="MKI1" s="172"/>
      <c r="MKJ1" s="172"/>
      <c r="MKK1" s="172"/>
      <c r="MKL1" s="172"/>
      <c r="MKM1" s="172"/>
      <c r="MKN1" s="172"/>
      <c r="MKO1" s="172"/>
      <c r="MKP1" s="172"/>
      <c r="MKQ1" s="172"/>
      <c r="MKR1" s="172"/>
      <c r="MKS1" s="172"/>
      <c r="MKT1" s="172"/>
      <c r="MKU1" s="172"/>
      <c r="MKV1" s="172"/>
      <c r="MKW1" s="172"/>
      <c r="MKX1" s="172"/>
      <c r="MKY1" s="172"/>
      <c r="MKZ1" s="172"/>
      <c r="MLA1" s="172"/>
      <c r="MLB1" s="172"/>
      <c r="MLC1" s="172"/>
      <c r="MLD1" s="172"/>
      <c r="MLE1" s="172"/>
      <c r="MLF1" s="172"/>
      <c r="MLG1" s="172"/>
      <c r="MLH1" s="172"/>
      <c r="MLI1" s="172"/>
      <c r="MLJ1" s="172"/>
      <c r="MLK1" s="172"/>
      <c r="MLL1" s="172"/>
      <c r="MLM1" s="172"/>
      <c r="MLN1" s="172"/>
      <c r="MLO1" s="172"/>
      <c r="MLP1" s="172"/>
      <c r="MLQ1" s="172"/>
      <c r="MLR1" s="172"/>
      <c r="MLS1" s="172"/>
      <c r="MLT1" s="172"/>
      <c r="MLU1" s="172"/>
      <c r="MLV1" s="172"/>
      <c r="MLW1" s="172"/>
      <c r="MLX1" s="172"/>
      <c r="MLY1" s="172"/>
      <c r="MLZ1" s="172"/>
      <c r="MMA1" s="172"/>
      <c r="MMB1" s="172"/>
      <c r="MMC1" s="172"/>
      <c r="MMD1" s="172"/>
      <c r="MME1" s="172"/>
      <c r="MMF1" s="172"/>
      <c r="MMG1" s="172"/>
      <c r="MMH1" s="172"/>
      <c r="MMI1" s="172"/>
      <c r="MMJ1" s="172"/>
      <c r="MMK1" s="172"/>
      <c r="MML1" s="172"/>
      <c r="MMM1" s="172"/>
      <c r="MMN1" s="172"/>
      <c r="MMO1" s="172"/>
      <c r="MMP1" s="172"/>
      <c r="MMQ1" s="172"/>
      <c r="MMR1" s="172"/>
      <c r="MMS1" s="172"/>
      <c r="MMT1" s="172"/>
      <c r="MMU1" s="172"/>
      <c r="MMV1" s="172"/>
      <c r="MMW1" s="172"/>
      <c r="MMX1" s="172"/>
      <c r="MMY1" s="172"/>
      <c r="MMZ1" s="172"/>
      <c r="MNA1" s="172"/>
      <c r="MNB1" s="172"/>
      <c r="MNC1" s="172"/>
      <c r="MND1" s="172"/>
      <c r="MNE1" s="172"/>
      <c r="MNF1" s="172"/>
      <c r="MNG1" s="172"/>
      <c r="MNH1" s="172"/>
      <c r="MNI1" s="172"/>
      <c r="MNJ1" s="172"/>
      <c r="MNK1" s="172"/>
      <c r="MNL1" s="172"/>
      <c r="MNM1" s="172"/>
      <c r="MNN1" s="172"/>
      <c r="MNO1" s="172"/>
      <c r="MNP1" s="172"/>
      <c r="MNQ1" s="172"/>
      <c r="MNR1" s="172"/>
      <c r="MNS1" s="172"/>
      <c r="MNT1" s="172"/>
      <c r="MNU1" s="172"/>
      <c r="MNV1" s="172"/>
      <c r="MNW1" s="172"/>
      <c r="MNX1" s="172"/>
      <c r="MNY1" s="172"/>
      <c r="MNZ1" s="172"/>
      <c r="MOA1" s="172"/>
      <c r="MOB1" s="172"/>
      <c r="MOC1" s="172"/>
      <c r="MOD1" s="172"/>
      <c r="MOE1" s="172"/>
      <c r="MOF1" s="172"/>
      <c r="MOG1" s="172"/>
      <c r="MOH1" s="172"/>
      <c r="MOI1" s="172"/>
      <c r="MOJ1" s="172"/>
      <c r="MOK1" s="172"/>
      <c r="MOL1" s="172"/>
      <c r="MOM1" s="172"/>
      <c r="MON1" s="172"/>
      <c r="MOO1" s="172"/>
      <c r="MOP1" s="172"/>
      <c r="MOQ1" s="172"/>
      <c r="MOR1" s="172"/>
      <c r="MOS1" s="172"/>
      <c r="MOT1" s="172"/>
      <c r="MOU1" s="172"/>
      <c r="MOV1" s="172"/>
      <c r="MOW1" s="172"/>
      <c r="MOX1" s="172"/>
      <c r="MOY1" s="172"/>
      <c r="MOZ1" s="172"/>
      <c r="MPA1" s="172"/>
      <c r="MPB1" s="172"/>
      <c r="MPC1" s="172"/>
      <c r="MPD1" s="172"/>
      <c r="MPE1" s="172"/>
      <c r="MPF1" s="172"/>
      <c r="MPG1" s="172"/>
      <c r="MPH1" s="172"/>
      <c r="MPI1" s="172"/>
      <c r="MPJ1" s="172"/>
      <c r="MPK1" s="172"/>
      <c r="MPL1" s="172"/>
      <c r="MPM1" s="172"/>
      <c r="MPN1" s="172"/>
      <c r="MPO1" s="172"/>
      <c r="MPP1" s="172"/>
      <c r="MPQ1" s="172"/>
      <c r="MPR1" s="172"/>
      <c r="MPS1" s="172"/>
      <c r="MPT1" s="172"/>
      <c r="MPU1" s="172"/>
      <c r="MPV1" s="172"/>
      <c r="MPW1" s="172"/>
      <c r="MPX1" s="172"/>
      <c r="MPY1" s="172"/>
      <c r="MPZ1" s="172"/>
      <c r="MQA1" s="172"/>
      <c r="MQB1" s="172"/>
      <c r="MQC1" s="172"/>
      <c r="MQD1" s="172"/>
      <c r="MQE1" s="172"/>
      <c r="MQF1" s="172"/>
      <c r="MQG1" s="172"/>
      <c r="MQH1" s="172"/>
      <c r="MQI1" s="172"/>
      <c r="MQJ1" s="172"/>
      <c r="MQK1" s="172"/>
      <c r="MQL1" s="172"/>
      <c r="MQM1" s="172"/>
      <c r="MQN1" s="172"/>
      <c r="MQO1" s="172"/>
      <c r="MQP1" s="172"/>
      <c r="MQQ1" s="172"/>
      <c r="MQR1" s="172"/>
      <c r="MQS1" s="172"/>
      <c r="MQT1" s="172"/>
      <c r="MQU1" s="172"/>
      <c r="MQV1" s="172"/>
      <c r="MQW1" s="172"/>
      <c r="MQX1" s="172"/>
      <c r="MQY1" s="172"/>
      <c r="MQZ1" s="172"/>
      <c r="MRA1" s="172"/>
      <c r="MRB1" s="172"/>
      <c r="MRC1" s="172"/>
      <c r="MRD1" s="172"/>
      <c r="MRE1" s="172"/>
      <c r="MRF1" s="172"/>
      <c r="MRG1" s="172"/>
      <c r="MRH1" s="172"/>
      <c r="MRI1" s="172"/>
      <c r="MRJ1" s="172"/>
      <c r="MRK1" s="172"/>
      <c r="MRL1" s="172"/>
      <c r="MRM1" s="172"/>
      <c r="MRN1" s="172"/>
      <c r="MRO1" s="172"/>
      <c r="MRP1" s="172"/>
      <c r="MRQ1" s="172"/>
      <c r="MRR1" s="172"/>
      <c r="MRS1" s="172"/>
      <c r="MRT1" s="172"/>
      <c r="MRU1" s="172"/>
      <c r="MRV1" s="172"/>
      <c r="MRW1" s="172"/>
      <c r="MRX1" s="172"/>
      <c r="MRY1" s="172"/>
      <c r="MRZ1" s="172"/>
      <c r="MSA1" s="172"/>
      <c r="MSB1" s="172"/>
      <c r="MSC1" s="172"/>
      <c r="MSD1" s="172"/>
      <c r="MSE1" s="172"/>
      <c r="MSF1" s="172"/>
      <c r="MSG1" s="172"/>
      <c r="MSH1" s="172"/>
      <c r="MSI1" s="172"/>
      <c r="MSJ1" s="172"/>
      <c r="MSK1" s="172"/>
      <c r="MSL1" s="172"/>
      <c r="MSM1" s="172"/>
      <c r="MSN1" s="172"/>
      <c r="MSO1" s="172"/>
      <c r="MSP1" s="172"/>
      <c r="MSQ1" s="172"/>
      <c r="MSR1" s="172"/>
      <c r="MSS1" s="172"/>
      <c r="MST1" s="172"/>
      <c r="MSU1" s="172"/>
      <c r="MSV1" s="172"/>
      <c r="MSW1" s="172"/>
      <c r="MSX1" s="172"/>
      <c r="MSY1" s="172"/>
      <c r="MSZ1" s="172"/>
      <c r="MTA1" s="172"/>
      <c r="MTB1" s="172"/>
      <c r="MTC1" s="172"/>
      <c r="MTD1" s="172"/>
      <c r="MTE1" s="172"/>
      <c r="MTF1" s="172"/>
      <c r="MTG1" s="172"/>
      <c r="MTH1" s="172"/>
      <c r="MTI1" s="172"/>
      <c r="MTJ1" s="172"/>
      <c r="MTK1" s="172"/>
      <c r="MTL1" s="172"/>
      <c r="MTM1" s="172"/>
      <c r="MTN1" s="172"/>
      <c r="MTO1" s="172"/>
      <c r="MTP1" s="172"/>
      <c r="MTQ1" s="172"/>
      <c r="MTR1" s="172"/>
      <c r="MTS1" s="172"/>
      <c r="MTT1" s="172"/>
      <c r="MTU1" s="172"/>
      <c r="MTV1" s="172"/>
      <c r="MTW1" s="172"/>
      <c r="MTX1" s="172"/>
      <c r="MTY1" s="172"/>
      <c r="MTZ1" s="172"/>
      <c r="MUA1" s="172"/>
      <c r="MUB1" s="172"/>
      <c r="MUC1" s="172"/>
      <c r="MUD1" s="172"/>
      <c r="MUE1" s="172"/>
      <c r="MUF1" s="172"/>
      <c r="MUG1" s="172"/>
      <c r="MUH1" s="172"/>
      <c r="MUI1" s="172"/>
      <c r="MUJ1" s="172"/>
      <c r="MUK1" s="172"/>
      <c r="MUL1" s="172"/>
      <c r="MUM1" s="172"/>
      <c r="MUN1" s="172"/>
      <c r="MUO1" s="172"/>
      <c r="MUP1" s="172"/>
      <c r="MUQ1" s="172"/>
      <c r="MUR1" s="172"/>
      <c r="MUS1" s="172"/>
      <c r="MUT1" s="172"/>
      <c r="MUU1" s="172"/>
      <c r="MUV1" s="172"/>
      <c r="MUW1" s="172"/>
      <c r="MUX1" s="172"/>
      <c r="MUY1" s="172"/>
      <c r="MUZ1" s="172"/>
      <c r="MVA1" s="172"/>
      <c r="MVB1" s="172"/>
      <c r="MVC1" s="172"/>
      <c r="MVD1" s="172"/>
      <c r="MVE1" s="172"/>
      <c r="MVF1" s="172"/>
      <c r="MVG1" s="172"/>
      <c r="MVH1" s="172"/>
      <c r="MVI1" s="172"/>
      <c r="MVJ1" s="172"/>
      <c r="MVK1" s="172"/>
      <c r="MVL1" s="172"/>
      <c r="MVM1" s="172"/>
      <c r="MVN1" s="172"/>
      <c r="MVO1" s="172"/>
      <c r="MVP1" s="172"/>
      <c r="MVQ1" s="172"/>
      <c r="MVR1" s="172"/>
      <c r="MVS1" s="172"/>
      <c r="MVT1" s="172"/>
      <c r="MVU1" s="172"/>
      <c r="MVV1" s="172"/>
      <c r="MVW1" s="172"/>
      <c r="MVX1" s="172"/>
      <c r="MVY1" s="172"/>
      <c r="MVZ1" s="172"/>
      <c r="MWA1" s="172"/>
      <c r="MWB1" s="172"/>
      <c r="MWC1" s="172"/>
      <c r="MWD1" s="172"/>
      <c r="MWE1" s="172"/>
      <c r="MWF1" s="172"/>
      <c r="MWG1" s="172"/>
      <c r="MWH1" s="172"/>
      <c r="MWI1" s="172"/>
      <c r="MWJ1" s="172"/>
      <c r="MWK1" s="172"/>
      <c r="MWL1" s="172"/>
      <c r="MWM1" s="172"/>
      <c r="MWN1" s="172"/>
      <c r="MWO1" s="172"/>
      <c r="MWP1" s="172"/>
      <c r="MWQ1" s="172"/>
      <c r="MWR1" s="172"/>
      <c r="MWS1" s="172"/>
      <c r="MWT1" s="172"/>
      <c r="MWU1" s="172"/>
      <c r="MWV1" s="172"/>
      <c r="MWW1" s="172"/>
      <c r="MWX1" s="172"/>
      <c r="MWY1" s="172"/>
      <c r="MWZ1" s="172"/>
      <c r="MXA1" s="172"/>
      <c r="MXB1" s="172"/>
      <c r="MXC1" s="172"/>
      <c r="MXD1" s="172"/>
      <c r="MXE1" s="172"/>
      <c r="MXF1" s="172"/>
      <c r="MXG1" s="172"/>
      <c r="MXH1" s="172"/>
      <c r="MXI1" s="172"/>
      <c r="MXJ1" s="172"/>
      <c r="MXK1" s="172"/>
      <c r="MXL1" s="172"/>
      <c r="MXM1" s="172"/>
      <c r="MXN1" s="172"/>
      <c r="MXO1" s="172"/>
      <c r="MXP1" s="172"/>
      <c r="MXQ1" s="172"/>
      <c r="MXR1" s="172"/>
      <c r="MXS1" s="172"/>
      <c r="MXT1" s="172"/>
      <c r="MXU1" s="172"/>
      <c r="MXV1" s="172"/>
      <c r="MXW1" s="172"/>
      <c r="MXX1" s="172"/>
      <c r="MXY1" s="172"/>
      <c r="MXZ1" s="172"/>
      <c r="MYA1" s="172"/>
      <c r="MYB1" s="172"/>
      <c r="MYC1" s="172"/>
      <c r="MYD1" s="172"/>
      <c r="MYE1" s="172"/>
      <c r="MYF1" s="172"/>
      <c r="MYG1" s="172"/>
      <c r="MYH1" s="172"/>
      <c r="MYI1" s="172"/>
      <c r="MYJ1" s="172"/>
      <c r="MYK1" s="172"/>
      <c r="MYL1" s="172"/>
      <c r="MYM1" s="172"/>
      <c r="MYN1" s="172"/>
      <c r="MYO1" s="172"/>
      <c r="MYP1" s="172"/>
      <c r="MYQ1" s="172"/>
      <c r="MYR1" s="172"/>
      <c r="MYS1" s="172"/>
      <c r="MYT1" s="172"/>
      <c r="MYU1" s="172"/>
      <c r="MYV1" s="172"/>
      <c r="MYW1" s="172"/>
      <c r="MYX1" s="172"/>
      <c r="MYY1" s="172"/>
      <c r="MYZ1" s="172"/>
      <c r="MZA1" s="172"/>
      <c r="MZB1" s="172"/>
      <c r="MZC1" s="172"/>
      <c r="MZD1" s="172"/>
      <c r="MZE1" s="172"/>
      <c r="MZF1" s="172"/>
      <c r="MZG1" s="172"/>
      <c r="MZH1" s="172"/>
      <c r="MZI1" s="172"/>
      <c r="MZJ1" s="172"/>
      <c r="MZK1" s="172"/>
      <c r="MZL1" s="172"/>
      <c r="MZM1" s="172"/>
      <c r="MZN1" s="172"/>
      <c r="MZO1" s="172"/>
      <c r="MZP1" s="172"/>
      <c r="MZQ1" s="172"/>
      <c r="MZR1" s="172"/>
      <c r="MZS1" s="172"/>
      <c r="MZT1" s="172"/>
      <c r="MZU1" s="172"/>
      <c r="MZV1" s="172"/>
      <c r="MZW1" s="172"/>
      <c r="MZX1" s="172"/>
      <c r="MZY1" s="172"/>
      <c r="MZZ1" s="172"/>
      <c r="NAA1" s="172"/>
      <c r="NAB1" s="172"/>
      <c r="NAC1" s="172"/>
      <c r="NAD1" s="172"/>
      <c r="NAE1" s="172"/>
      <c r="NAF1" s="172"/>
      <c r="NAG1" s="172"/>
      <c r="NAH1" s="172"/>
      <c r="NAI1" s="172"/>
      <c r="NAJ1" s="172"/>
      <c r="NAK1" s="172"/>
      <c r="NAL1" s="172"/>
      <c r="NAM1" s="172"/>
      <c r="NAN1" s="172"/>
      <c r="NAO1" s="172"/>
      <c r="NAP1" s="172"/>
      <c r="NAQ1" s="172"/>
      <c r="NAR1" s="172"/>
      <c r="NAS1" s="172"/>
      <c r="NAT1" s="172"/>
      <c r="NAU1" s="172"/>
      <c r="NAV1" s="172"/>
      <c r="NAW1" s="172"/>
      <c r="NAX1" s="172"/>
      <c r="NAY1" s="172"/>
      <c r="NAZ1" s="172"/>
      <c r="NBA1" s="172"/>
      <c r="NBB1" s="172"/>
      <c r="NBC1" s="172"/>
      <c r="NBD1" s="172"/>
      <c r="NBE1" s="172"/>
      <c r="NBF1" s="172"/>
      <c r="NBG1" s="172"/>
      <c r="NBH1" s="172"/>
      <c r="NBI1" s="172"/>
      <c r="NBJ1" s="172"/>
      <c r="NBK1" s="172"/>
      <c r="NBL1" s="172"/>
      <c r="NBM1" s="172"/>
      <c r="NBN1" s="172"/>
      <c r="NBO1" s="172"/>
      <c r="NBP1" s="172"/>
      <c r="NBQ1" s="172"/>
      <c r="NBR1" s="172"/>
      <c r="NBS1" s="172"/>
      <c r="NBT1" s="172"/>
      <c r="NBU1" s="172"/>
      <c r="NBV1" s="172"/>
      <c r="NBW1" s="172"/>
      <c r="NBX1" s="172"/>
      <c r="NBY1" s="172"/>
      <c r="NBZ1" s="172"/>
      <c r="NCA1" s="172"/>
      <c r="NCB1" s="172"/>
      <c r="NCC1" s="172"/>
      <c r="NCD1" s="172"/>
      <c r="NCE1" s="172"/>
      <c r="NCF1" s="172"/>
      <c r="NCG1" s="172"/>
      <c r="NCH1" s="172"/>
      <c r="NCI1" s="172"/>
      <c r="NCJ1" s="172"/>
      <c r="NCK1" s="172"/>
      <c r="NCL1" s="172"/>
      <c r="NCM1" s="172"/>
      <c r="NCN1" s="172"/>
      <c r="NCO1" s="172"/>
      <c r="NCP1" s="172"/>
      <c r="NCQ1" s="172"/>
      <c r="NCR1" s="172"/>
      <c r="NCS1" s="172"/>
      <c r="NCT1" s="172"/>
      <c r="NCU1" s="172"/>
      <c r="NCV1" s="172"/>
      <c r="NCW1" s="172"/>
      <c r="NCX1" s="172"/>
      <c r="NCY1" s="172"/>
      <c r="NCZ1" s="172"/>
      <c r="NDA1" s="172"/>
      <c r="NDB1" s="172"/>
      <c r="NDC1" s="172"/>
      <c r="NDD1" s="172"/>
      <c r="NDE1" s="172"/>
      <c r="NDF1" s="172"/>
      <c r="NDG1" s="172"/>
      <c r="NDH1" s="172"/>
      <c r="NDI1" s="172"/>
      <c r="NDJ1" s="172"/>
      <c r="NDK1" s="172"/>
      <c r="NDL1" s="172"/>
      <c r="NDM1" s="172"/>
      <c r="NDN1" s="172"/>
      <c r="NDO1" s="172"/>
      <c r="NDP1" s="172"/>
      <c r="NDQ1" s="172"/>
      <c r="NDR1" s="172"/>
      <c r="NDS1" s="172"/>
      <c r="NDT1" s="172"/>
      <c r="NDU1" s="172"/>
      <c r="NDV1" s="172"/>
      <c r="NDW1" s="172"/>
      <c r="NDX1" s="172"/>
      <c r="NDY1" s="172"/>
      <c r="NDZ1" s="172"/>
      <c r="NEA1" s="172"/>
      <c r="NEB1" s="172"/>
      <c r="NEC1" s="172"/>
      <c r="NED1" s="172"/>
      <c r="NEE1" s="172"/>
      <c r="NEF1" s="172"/>
      <c r="NEG1" s="172"/>
      <c r="NEH1" s="172"/>
      <c r="NEI1" s="172"/>
      <c r="NEJ1" s="172"/>
      <c r="NEK1" s="172"/>
      <c r="NEL1" s="172"/>
      <c r="NEM1" s="172"/>
      <c r="NEN1" s="172"/>
      <c r="NEO1" s="172"/>
      <c r="NEP1" s="172"/>
      <c r="NEQ1" s="172"/>
      <c r="NER1" s="172"/>
      <c r="NES1" s="172"/>
      <c r="NET1" s="172"/>
      <c r="NEU1" s="172"/>
      <c r="NEV1" s="172"/>
      <c r="NEW1" s="172"/>
      <c r="NEX1" s="172"/>
      <c r="NEY1" s="172"/>
      <c r="NEZ1" s="172"/>
      <c r="NFA1" s="172"/>
      <c r="NFB1" s="172"/>
      <c r="NFC1" s="172"/>
      <c r="NFD1" s="172"/>
      <c r="NFE1" s="172"/>
      <c r="NFF1" s="172"/>
      <c r="NFG1" s="172"/>
      <c r="NFH1" s="172"/>
      <c r="NFI1" s="172"/>
      <c r="NFJ1" s="172"/>
      <c r="NFK1" s="172"/>
      <c r="NFL1" s="172"/>
      <c r="NFM1" s="172"/>
      <c r="NFN1" s="172"/>
      <c r="NFO1" s="172"/>
      <c r="NFP1" s="172"/>
      <c r="NFQ1" s="172"/>
      <c r="NFR1" s="172"/>
      <c r="NFS1" s="172"/>
      <c r="NFT1" s="172"/>
      <c r="NFU1" s="172"/>
      <c r="NFV1" s="172"/>
      <c r="NFW1" s="172"/>
      <c r="NFX1" s="172"/>
      <c r="NFY1" s="172"/>
      <c r="NFZ1" s="172"/>
      <c r="NGA1" s="172"/>
      <c r="NGB1" s="172"/>
      <c r="NGC1" s="172"/>
      <c r="NGD1" s="172"/>
      <c r="NGE1" s="172"/>
      <c r="NGF1" s="172"/>
      <c r="NGG1" s="172"/>
      <c r="NGH1" s="172"/>
      <c r="NGI1" s="172"/>
      <c r="NGJ1" s="172"/>
      <c r="NGK1" s="172"/>
      <c r="NGL1" s="172"/>
      <c r="NGM1" s="172"/>
      <c r="NGN1" s="172"/>
      <c r="NGO1" s="172"/>
      <c r="NGP1" s="172"/>
      <c r="NGQ1" s="172"/>
      <c r="NGR1" s="172"/>
      <c r="NGS1" s="172"/>
      <c r="NGT1" s="172"/>
      <c r="NGU1" s="172"/>
      <c r="NGV1" s="172"/>
      <c r="NGW1" s="172"/>
      <c r="NGX1" s="172"/>
      <c r="NGY1" s="172"/>
      <c r="NGZ1" s="172"/>
      <c r="NHA1" s="172"/>
      <c r="NHB1" s="172"/>
      <c r="NHC1" s="172"/>
      <c r="NHD1" s="172"/>
      <c r="NHE1" s="172"/>
      <c r="NHF1" s="172"/>
      <c r="NHG1" s="172"/>
      <c r="NHH1" s="172"/>
      <c r="NHI1" s="172"/>
      <c r="NHJ1" s="172"/>
      <c r="NHK1" s="172"/>
      <c r="NHL1" s="172"/>
      <c r="NHM1" s="172"/>
      <c r="NHN1" s="172"/>
      <c r="NHO1" s="172"/>
      <c r="NHP1" s="172"/>
      <c r="NHQ1" s="172"/>
      <c r="NHR1" s="172"/>
      <c r="NHS1" s="172"/>
      <c r="NHT1" s="172"/>
      <c r="NHU1" s="172"/>
      <c r="NHV1" s="172"/>
      <c r="NHW1" s="172"/>
      <c r="NHX1" s="172"/>
      <c r="NHY1" s="172"/>
      <c r="NHZ1" s="172"/>
      <c r="NIA1" s="172"/>
      <c r="NIB1" s="172"/>
      <c r="NIC1" s="172"/>
      <c r="NID1" s="172"/>
      <c r="NIE1" s="172"/>
      <c r="NIF1" s="172"/>
      <c r="NIG1" s="172"/>
      <c r="NIH1" s="172"/>
      <c r="NII1" s="172"/>
      <c r="NIJ1" s="172"/>
      <c r="NIK1" s="172"/>
      <c r="NIL1" s="172"/>
      <c r="NIM1" s="172"/>
      <c r="NIN1" s="172"/>
      <c r="NIO1" s="172"/>
      <c r="NIP1" s="172"/>
      <c r="NIQ1" s="172"/>
      <c r="NIR1" s="172"/>
      <c r="NIS1" s="172"/>
      <c r="NIT1" s="172"/>
      <c r="NIU1" s="172"/>
      <c r="NIV1" s="172"/>
      <c r="NIW1" s="172"/>
      <c r="NIX1" s="172"/>
      <c r="NIY1" s="172"/>
      <c r="NIZ1" s="172"/>
      <c r="NJA1" s="172"/>
      <c r="NJB1" s="172"/>
      <c r="NJC1" s="172"/>
      <c r="NJD1" s="172"/>
      <c r="NJE1" s="172"/>
      <c r="NJF1" s="172"/>
      <c r="NJG1" s="172"/>
      <c r="NJH1" s="172"/>
      <c r="NJI1" s="172"/>
      <c r="NJJ1" s="172"/>
      <c r="NJK1" s="172"/>
      <c r="NJL1" s="172"/>
      <c r="NJM1" s="172"/>
      <c r="NJN1" s="172"/>
      <c r="NJO1" s="172"/>
      <c r="NJP1" s="172"/>
      <c r="NJQ1" s="172"/>
      <c r="NJR1" s="172"/>
      <c r="NJS1" s="172"/>
      <c r="NJT1" s="172"/>
      <c r="NJU1" s="172"/>
      <c r="NJV1" s="172"/>
      <c r="NJW1" s="172"/>
      <c r="NJX1" s="172"/>
      <c r="NJY1" s="172"/>
      <c r="NJZ1" s="172"/>
      <c r="NKA1" s="172"/>
      <c r="NKB1" s="172"/>
      <c r="NKC1" s="172"/>
      <c r="NKD1" s="172"/>
      <c r="NKE1" s="172"/>
      <c r="NKF1" s="172"/>
      <c r="NKG1" s="172"/>
      <c r="NKH1" s="172"/>
      <c r="NKI1" s="172"/>
      <c r="NKJ1" s="172"/>
      <c r="NKK1" s="172"/>
      <c r="NKL1" s="172"/>
      <c r="NKM1" s="172"/>
      <c r="NKN1" s="172"/>
      <c r="NKO1" s="172"/>
      <c r="NKP1" s="172"/>
      <c r="NKQ1" s="172"/>
      <c r="NKR1" s="172"/>
      <c r="NKS1" s="172"/>
      <c r="NKT1" s="172"/>
      <c r="NKU1" s="172"/>
      <c r="NKV1" s="172"/>
      <c r="NKW1" s="172"/>
      <c r="NKX1" s="172"/>
      <c r="NKY1" s="172"/>
      <c r="NKZ1" s="172"/>
      <c r="NLA1" s="172"/>
      <c r="NLB1" s="172"/>
      <c r="NLC1" s="172"/>
      <c r="NLD1" s="172"/>
      <c r="NLE1" s="172"/>
      <c r="NLF1" s="172"/>
      <c r="NLG1" s="172"/>
      <c r="NLH1" s="172"/>
      <c r="NLI1" s="172"/>
      <c r="NLJ1" s="172"/>
      <c r="NLK1" s="172"/>
      <c r="NLL1" s="172"/>
      <c r="NLM1" s="172"/>
      <c r="NLN1" s="172"/>
      <c r="NLO1" s="172"/>
      <c r="NLP1" s="172"/>
      <c r="NLQ1" s="172"/>
      <c r="NLR1" s="172"/>
      <c r="NLS1" s="172"/>
      <c r="NLT1" s="172"/>
      <c r="NLU1" s="172"/>
      <c r="NLV1" s="172"/>
      <c r="NLW1" s="172"/>
      <c r="NLX1" s="172"/>
      <c r="NLY1" s="172"/>
      <c r="NLZ1" s="172"/>
      <c r="NMA1" s="172"/>
      <c r="NMB1" s="172"/>
      <c r="NMC1" s="172"/>
      <c r="NMD1" s="172"/>
      <c r="NME1" s="172"/>
      <c r="NMF1" s="172"/>
      <c r="NMG1" s="172"/>
      <c r="NMH1" s="172"/>
      <c r="NMI1" s="172"/>
      <c r="NMJ1" s="172"/>
      <c r="NMK1" s="172"/>
      <c r="NML1" s="172"/>
      <c r="NMM1" s="172"/>
      <c r="NMN1" s="172"/>
      <c r="NMO1" s="172"/>
      <c r="NMP1" s="172"/>
      <c r="NMQ1" s="172"/>
      <c r="NMR1" s="172"/>
      <c r="NMS1" s="172"/>
      <c r="NMT1" s="172"/>
      <c r="NMU1" s="172"/>
      <c r="NMV1" s="172"/>
      <c r="NMW1" s="172"/>
      <c r="NMX1" s="172"/>
      <c r="NMY1" s="172"/>
      <c r="NMZ1" s="172"/>
      <c r="NNA1" s="172"/>
      <c r="NNB1" s="172"/>
      <c r="NNC1" s="172"/>
      <c r="NND1" s="172"/>
      <c r="NNE1" s="172"/>
      <c r="NNF1" s="172"/>
      <c r="NNG1" s="172"/>
      <c r="NNH1" s="172"/>
      <c r="NNI1" s="172"/>
      <c r="NNJ1" s="172"/>
      <c r="NNK1" s="172"/>
      <c r="NNL1" s="172"/>
      <c r="NNM1" s="172"/>
      <c r="NNN1" s="172"/>
      <c r="NNO1" s="172"/>
      <c r="NNP1" s="172"/>
      <c r="NNQ1" s="172"/>
      <c r="NNR1" s="172"/>
      <c r="NNS1" s="172"/>
      <c r="NNT1" s="172"/>
      <c r="NNU1" s="172"/>
      <c r="NNV1" s="172"/>
      <c r="NNW1" s="172"/>
      <c r="NNX1" s="172"/>
      <c r="NNY1" s="172"/>
      <c r="NNZ1" s="172"/>
      <c r="NOA1" s="172"/>
      <c r="NOB1" s="172"/>
      <c r="NOC1" s="172"/>
      <c r="NOD1" s="172"/>
      <c r="NOE1" s="172"/>
      <c r="NOF1" s="172"/>
      <c r="NOG1" s="172"/>
      <c r="NOH1" s="172"/>
      <c r="NOI1" s="172"/>
      <c r="NOJ1" s="172"/>
      <c r="NOK1" s="172"/>
      <c r="NOL1" s="172"/>
      <c r="NOM1" s="172"/>
      <c r="NON1" s="172"/>
      <c r="NOO1" s="172"/>
      <c r="NOP1" s="172"/>
      <c r="NOQ1" s="172"/>
      <c r="NOR1" s="172"/>
      <c r="NOS1" s="172"/>
      <c r="NOT1" s="172"/>
      <c r="NOU1" s="172"/>
      <c r="NOV1" s="172"/>
      <c r="NOW1" s="172"/>
      <c r="NOX1" s="172"/>
      <c r="NOY1" s="172"/>
      <c r="NOZ1" s="172"/>
      <c r="NPA1" s="172"/>
      <c r="NPB1" s="172"/>
      <c r="NPC1" s="172"/>
      <c r="NPD1" s="172"/>
      <c r="NPE1" s="172"/>
      <c r="NPF1" s="172"/>
      <c r="NPG1" s="172"/>
      <c r="NPH1" s="172"/>
      <c r="NPI1" s="172"/>
      <c r="NPJ1" s="172"/>
      <c r="NPK1" s="172"/>
      <c r="NPL1" s="172"/>
      <c r="NPM1" s="172"/>
      <c r="NPN1" s="172"/>
      <c r="NPO1" s="172"/>
      <c r="NPP1" s="172"/>
      <c r="NPQ1" s="172"/>
      <c r="NPR1" s="172"/>
      <c r="NPS1" s="172"/>
      <c r="NPT1" s="172"/>
      <c r="NPU1" s="172"/>
      <c r="NPV1" s="172"/>
      <c r="NPW1" s="172"/>
      <c r="NPX1" s="172"/>
      <c r="NPY1" s="172"/>
      <c r="NPZ1" s="172"/>
      <c r="NQA1" s="172"/>
      <c r="NQB1" s="172"/>
      <c r="NQC1" s="172"/>
      <c r="NQD1" s="172"/>
      <c r="NQE1" s="172"/>
      <c r="NQF1" s="172"/>
      <c r="NQG1" s="172"/>
      <c r="NQH1" s="172"/>
      <c r="NQI1" s="172"/>
      <c r="NQJ1" s="172"/>
      <c r="NQK1" s="172"/>
      <c r="NQL1" s="172"/>
      <c r="NQM1" s="172"/>
      <c r="NQN1" s="172"/>
      <c r="NQO1" s="172"/>
      <c r="NQP1" s="172"/>
      <c r="NQQ1" s="172"/>
      <c r="NQR1" s="172"/>
      <c r="NQS1" s="172"/>
      <c r="NQT1" s="172"/>
      <c r="NQU1" s="172"/>
      <c r="NQV1" s="172"/>
      <c r="NQW1" s="172"/>
      <c r="NQX1" s="172"/>
      <c r="NQY1" s="172"/>
      <c r="NQZ1" s="172"/>
      <c r="NRA1" s="172"/>
      <c r="NRB1" s="172"/>
      <c r="NRC1" s="172"/>
      <c r="NRD1" s="172"/>
      <c r="NRE1" s="172"/>
      <c r="NRF1" s="172"/>
      <c r="NRG1" s="172"/>
      <c r="NRH1" s="172"/>
      <c r="NRI1" s="172"/>
      <c r="NRJ1" s="172"/>
      <c r="NRK1" s="172"/>
      <c r="NRL1" s="172"/>
      <c r="NRM1" s="172"/>
      <c r="NRN1" s="172"/>
      <c r="NRO1" s="172"/>
      <c r="NRP1" s="172"/>
      <c r="NRQ1" s="172"/>
      <c r="NRR1" s="172"/>
      <c r="NRS1" s="172"/>
      <c r="NRT1" s="172"/>
      <c r="NRU1" s="172"/>
      <c r="NRV1" s="172"/>
      <c r="NRW1" s="172"/>
      <c r="NRX1" s="172"/>
      <c r="NRY1" s="172"/>
      <c r="NRZ1" s="172"/>
      <c r="NSA1" s="172"/>
      <c r="NSB1" s="172"/>
      <c r="NSC1" s="172"/>
      <c r="NSD1" s="172"/>
      <c r="NSE1" s="172"/>
      <c r="NSF1" s="172"/>
      <c r="NSG1" s="172"/>
      <c r="NSH1" s="172"/>
      <c r="NSI1" s="172"/>
      <c r="NSJ1" s="172"/>
      <c r="NSK1" s="172"/>
      <c r="NSL1" s="172"/>
      <c r="NSM1" s="172"/>
      <c r="NSN1" s="172"/>
      <c r="NSO1" s="172"/>
      <c r="NSP1" s="172"/>
      <c r="NSQ1" s="172"/>
      <c r="NSR1" s="172"/>
      <c r="NSS1" s="172"/>
      <c r="NST1" s="172"/>
      <c r="NSU1" s="172"/>
      <c r="NSV1" s="172"/>
      <c r="NSW1" s="172"/>
      <c r="NSX1" s="172"/>
      <c r="NSY1" s="172"/>
      <c r="NSZ1" s="172"/>
      <c r="NTA1" s="172"/>
      <c r="NTB1" s="172"/>
      <c r="NTC1" s="172"/>
      <c r="NTD1" s="172"/>
      <c r="NTE1" s="172"/>
      <c r="NTF1" s="172"/>
      <c r="NTG1" s="172"/>
      <c r="NTH1" s="172"/>
      <c r="NTI1" s="172"/>
      <c r="NTJ1" s="172"/>
      <c r="NTK1" s="172"/>
      <c r="NTL1" s="172"/>
      <c r="NTM1" s="172"/>
      <c r="NTN1" s="172"/>
      <c r="NTO1" s="172"/>
      <c r="NTP1" s="172"/>
      <c r="NTQ1" s="172"/>
      <c r="NTR1" s="172"/>
      <c r="NTS1" s="172"/>
      <c r="NTT1" s="172"/>
      <c r="NTU1" s="172"/>
      <c r="NTV1" s="172"/>
      <c r="NTW1" s="172"/>
      <c r="NTX1" s="172"/>
      <c r="NTY1" s="172"/>
      <c r="NTZ1" s="172"/>
      <c r="NUA1" s="172"/>
      <c r="NUB1" s="172"/>
      <c r="NUC1" s="172"/>
      <c r="NUD1" s="172"/>
      <c r="NUE1" s="172"/>
      <c r="NUF1" s="172"/>
      <c r="NUG1" s="172"/>
      <c r="NUH1" s="172"/>
      <c r="NUI1" s="172"/>
      <c r="NUJ1" s="172"/>
      <c r="NUK1" s="172"/>
      <c r="NUL1" s="172"/>
      <c r="NUM1" s="172"/>
      <c r="NUN1" s="172"/>
      <c r="NUO1" s="172"/>
      <c r="NUP1" s="172"/>
      <c r="NUQ1" s="172"/>
      <c r="NUR1" s="172"/>
      <c r="NUS1" s="172"/>
      <c r="NUT1" s="172"/>
      <c r="NUU1" s="172"/>
      <c r="NUV1" s="172"/>
      <c r="NUW1" s="172"/>
      <c r="NUX1" s="172"/>
      <c r="NUY1" s="172"/>
      <c r="NUZ1" s="172"/>
      <c r="NVA1" s="172"/>
      <c r="NVB1" s="172"/>
      <c r="NVC1" s="172"/>
      <c r="NVD1" s="172"/>
      <c r="NVE1" s="172"/>
      <c r="NVF1" s="172"/>
      <c r="NVG1" s="172"/>
      <c r="NVH1" s="172"/>
      <c r="NVI1" s="172"/>
      <c r="NVJ1" s="172"/>
      <c r="NVK1" s="172"/>
      <c r="NVL1" s="172"/>
      <c r="NVM1" s="172"/>
      <c r="NVN1" s="172"/>
      <c r="NVO1" s="172"/>
      <c r="NVP1" s="172"/>
      <c r="NVQ1" s="172"/>
      <c r="NVR1" s="172"/>
      <c r="NVS1" s="172"/>
      <c r="NVT1" s="172"/>
      <c r="NVU1" s="172"/>
      <c r="NVV1" s="172"/>
      <c r="NVW1" s="172"/>
      <c r="NVX1" s="172"/>
      <c r="NVY1" s="172"/>
      <c r="NVZ1" s="172"/>
      <c r="NWA1" s="172"/>
      <c r="NWB1" s="172"/>
      <c r="NWC1" s="172"/>
      <c r="NWD1" s="172"/>
      <c r="NWE1" s="172"/>
      <c r="NWF1" s="172"/>
      <c r="NWG1" s="172"/>
      <c r="NWH1" s="172"/>
      <c r="NWI1" s="172"/>
      <c r="NWJ1" s="172"/>
      <c r="NWK1" s="172"/>
      <c r="NWL1" s="172"/>
      <c r="NWM1" s="172"/>
      <c r="NWN1" s="172"/>
      <c r="NWO1" s="172"/>
      <c r="NWP1" s="172"/>
      <c r="NWQ1" s="172"/>
      <c r="NWR1" s="172"/>
      <c r="NWS1" s="172"/>
      <c r="NWT1" s="172"/>
      <c r="NWU1" s="172"/>
      <c r="NWV1" s="172"/>
      <c r="NWW1" s="172"/>
      <c r="NWX1" s="172"/>
      <c r="NWY1" s="172"/>
      <c r="NWZ1" s="172"/>
      <c r="NXA1" s="172"/>
      <c r="NXB1" s="172"/>
      <c r="NXC1" s="172"/>
      <c r="NXD1" s="172"/>
      <c r="NXE1" s="172"/>
      <c r="NXF1" s="172"/>
      <c r="NXG1" s="172"/>
      <c r="NXH1" s="172"/>
      <c r="NXI1" s="172"/>
      <c r="NXJ1" s="172"/>
      <c r="NXK1" s="172"/>
      <c r="NXL1" s="172"/>
      <c r="NXM1" s="172"/>
      <c r="NXN1" s="172"/>
      <c r="NXO1" s="172"/>
      <c r="NXP1" s="172"/>
      <c r="NXQ1" s="172"/>
      <c r="NXR1" s="172"/>
      <c r="NXS1" s="172"/>
      <c r="NXT1" s="172"/>
      <c r="NXU1" s="172"/>
      <c r="NXV1" s="172"/>
      <c r="NXW1" s="172"/>
      <c r="NXX1" s="172"/>
      <c r="NXY1" s="172"/>
      <c r="NXZ1" s="172"/>
      <c r="NYA1" s="172"/>
      <c r="NYB1" s="172"/>
      <c r="NYC1" s="172"/>
      <c r="NYD1" s="172"/>
      <c r="NYE1" s="172"/>
      <c r="NYF1" s="172"/>
      <c r="NYG1" s="172"/>
      <c r="NYH1" s="172"/>
      <c r="NYI1" s="172"/>
      <c r="NYJ1" s="172"/>
      <c r="NYK1" s="172"/>
      <c r="NYL1" s="172"/>
      <c r="NYM1" s="172"/>
      <c r="NYN1" s="172"/>
      <c r="NYO1" s="172"/>
      <c r="NYP1" s="172"/>
      <c r="NYQ1" s="172"/>
      <c r="NYR1" s="172"/>
      <c r="NYS1" s="172"/>
      <c r="NYT1" s="172"/>
      <c r="NYU1" s="172"/>
      <c r="NYV1" s="172"/>
      <c r="NYW1" s="172"/>
      <c r="NYX1" s="172"/>
      <c r="NYY1" s="172"/>
      <c r="NYZ1" s="172"/>
      <c r="NZA1" s="172"/>
      <c r="NZB1" s="172"/>
      <c r="NZC1" s="172"/>
      <c r="NZD1" s="172"/>
      <c r="NZE1" s="172"/>
      <c r="NZF1" s="172"/>
      <c r="NZG1" s="172"/>
      <c r="NZH1" s="172"/>
      <c r="NZI1" s="172"/>
      <c r="NZJ1" s="172"/>
      <c r="NZK1" s="172"/>
      <c r="NZL1" s="172"/>
      <c r="NZM1" s="172"/>
      <c r="NZN1" s="172"/>
      <c r="NZO1" s="172"/>
      <c r="NZP1" s="172"/>
      <c r="NZQ1" s="172"/>
      <c r="NZR1" s="172"/>
      <c r="NZS1" s="172"/>
      <c r="NZT1" s="172"/>
      <c r="NZU1" s="172"/>
      <c r="NZV1" s="172"/>
      <c r="NZW1" s="172"/>
      <c r="NZX1" s="172"/>
      <c r="NZY1" s="172"/>
      <c r="NZZ1" s="172"/>
      <c r="OAA1" s="172"/>
      <c r="OAB1" s="172"/>
      <c r="OAC1" s="172"/>
      <c r="OAD1" s="172"/>
      <c r="OAE1" s="172"/>
      <c r="OAF1" s="172"/>
      <c r="OAG1" s="172"/>
      <c r="OAH1" s="172"/>
      <c r="OAI1" s="172"/>
      <c r="OAJ1" s="172"/>
      <c r="OAK1" s="172"/>
      <c r="OAL1" s="172"/>
      <c r="OAM1" s="172"/>
      <c r="OAN1" s="172"/>
      <c r="OAO1" s="172"/>
      <c r="OAP1" s="172"/>
      <c r="OAQ1" s="172"/>
      <c r="OAR1" s="172"/>
      <c r="OAS1" s="172"/>
      <c r="OAT1" s="172"/>
      <c r="OAU1" s="172"/>
      <c r="OAV1" s="172"/>
      <c r="OAW1" s="172"/>
      <c r="OAX1" s="172"/>
      <c r="OAY1" s="172"/>
      <c r="OAZ1" s="172"/>
      <c r="OBA1" s="172"/>
      <c r="OBB1" s="172"/>
      <c r="OBC1" s="172"/>
      <c r="OBD1" s="172"/>
      <c r="OBE1" s="172"/>
      <c r="OBF1" s="172"/>
      <c r="OBG1" s="172"/>
      <c r="OBH1" s="172"/>
      <c r="OBI1" s="172"/>
      <c r="OBJ1" s="172"/>
      <c r="OBK1" s="172"/>
      <c r="OBL1" s="172"/>
      <c r="OBM1" s="172"/>
      <c r="OBN1" s="172"/>
      <c r="OBO1" s="172"/>
      <c r="OBP1" s="172"/>
      <c r="OBQ1" s="172"/>
      <c r="OBR1" s="172"/>
      <c r="OBS1" s="172"/>
      <c r="OBT1" s="172"/>
      <c r="OBU1" s="172"/>
      <c r="OBV1" s="172"/>
      <c r="OBW1" s="172"/>
      <c r="OBX1" s="172"/>
      <c r="OBY1" s="172"/>
      <c r="OBZ1" s="172"/>
      <c r="OCA1" s="172"/>
      <c r="OCB1" s="172"/>
      <c r="OCC1" s="172"/>
      <c r="OCD1" s="172"/>
      <c r="OCE1" s="172"/>
      <c r="OCF1" s="172"/>
      <c r="OCG1" s="172"/>
      <c r="OCH1" s="172"/>
      <c r="OCI1" s="172"/>
      <c r="OCJ1" s="172"/>
      <c r="OCK1" s="172"/>
      <c r="OCL1" s="172"/>
      <c r="OCM1" s="172"/>
      <c r="OCN1" s="172"/>
      <c r="OCO1" s="172"/>
      <c r="OCP1" s="172"/>
      <c r="OCQ1" s="172"/>
      <c r="OCR1" s="172"/>
      <c r="OCS1" s="172"/>
      <c r="OCT1" s="172"/>
      <c r="OCU1" s="172"/>
      <c r="OCV1" s="172"/>
      <c r="OCW1" s="172"/>
      <c r="OCX1" s="172"/>
      <c r="OCY1" s="172"/>
      <c r="OCZ1" s="172"/>
      <c r="ODA1" s="172"/>
      <c r="ODB1" s="172"/>
      <c r="ODC1" s="172"/>
      <c r="ODD1" s="172"/>
      <c r="ODE1" s="172"/>
      <c r="ODF1" s="172"/>
      <c r="ODG1" s="172"/>
      <c r="ODH1" s="172"/>
      <c r="ODI1" s="172"/>
      <c r="ODJ1" s="172"/>
      <c r="ODK1" s="172"/>
      <c r="ODL1" s="172"/>
      <c r="ODM1" s="172"/>
      <c r="ODN1" s="172"/>
      <c r="ODO1" s="172"/>
      <c r="ODP1" s="172"/>
      <c r="ODQ1" s="172"/>
      <c r="ODR1" s="172"/>
      <c r="ODS1" s="172"/>
      <c r="ODT1" s="172"/>
      <c r="ODU1" s="172"/>
      <c r="ODV1" s="172"/>
      <c r="ODW1" s="172"/>
      <c r="ODX1" s="172"/>
      <c r="ODY1" s="172"/>
      <c r="ODZ1" s="172"/>
      <c r="OEA1" s="172"/>
      <c r="OEB1" s="172"/>
      <c r="OEC1" s="172"/>
      <c r="OED1" s="172"/>
      <c r="OEE1" s="172"/>
      <c r="OEF1" s="172"/>
      <c r="OEG1" s="172"/>
      <c r="OEH1" s="172"/>
      <c r="OEI1" s="172"/>
      <c r="OEJ1" s="172"/>
      <c r="OEK1" s="172"/>
      <c r="OEL1" s="172"/>
      <c r="OEM1" s="172"/>
      <c r="OEN1" s="172"/>
      <c r="OEO1" s="172"/>
      <c r="OEP1" s="172"/>
      <c r="OEQ1" s="172"/>
      <c r="OER1" s="172"/>
      <c r="OES1" s="172"/>
      <c r="OET1" s="172"/>
      <c r="OEU1" s="172"/>
      <c r="OEV1" s="172"/>
      <c r="OEW1" s="172"/>
      <c r="OEX1" s="172"/>
      <c r="OEY1" s="172"/>
      <c r="OEZ1" s="172"/>
      <c r="OFA1" s="172"/>
      <c r="OFB1" s="172"/>
      <c r="OFC1" s="172"/>
      <c r="OFD1" s="172"/>
      <c r="OFE1" s="172"/>
      <c r="OFF1" s="172"/>
      <c r="OFG1" s="172"/>
      <c r="OFH1" s="172"/>
      <c r="OFI1" s="172"/>
      <c r="OFJ1" s="172"/>
      <c r="OFK1" s="172"/>
      <c r="OFL1" s="172"/>
      <c r="OFM1" s="172"/>
      <c r="OFN1" s="172"/>
      <c r="OFO1" s="172"/>
      <c r="OFP1" s="172"/>
      <c r="OFQ1" s="172"/>
      <c r="OFR1" s="172"/>
      <c r="OFS1" s="172"/>
      <c r="OFT1" s="172"/>
      <c r="OFU1" s="172"/>
      <c r="OFV1" s="172"/>
      <c r="OFW1" s="172"/>
      <c r="OFX1" s="172"/>
      <c r="OFY1" s="172"/>
      <c r="OFZ1" s="172"/>
      <c r="OGA1" s="172"/>
      <c r="OGB1" s="172"/>
      <c r="OGC1" s="172"/>
      <c r="OGD1" s="172"/>
      <c r="OGE1" s="172"/>
      <c r="OGF1" s="172"/>
      <c r="OGG1" s="172"/>
      <c r="OGH1" s="172"/>
      <c r="OGI1" s="172"/>
      <c r="OGJ1" s="172"/>
      <c r="OGK1" s="172"/>
      <c r="OGL1" s="172"/>
      <c r="OGM1" s="172"/>
      <c r="OGN1" s="172"/>
      <c r="OGO1" s="172"/>
      <c r="OGP1" s="172"/>
      <c r="OGQ1" s="172"/>
      <c r="OGR1" s="172"/>
      <c r="OGS1" s="172"/>
      <c r="OGT1" s="172"/>
      <c r="OGU1" s="172"/>
      <c r="OGV1" s="172"/>
      <c r="OGW1" s="172"/>
      <c r="OGX1" s="172"/>
      <c r="OGY1" s="172"/>
      <c r="OGZ1" s="172"/>
      <c r="OHA1" s="172"/>
      <c r="OHB1" s="172"/>
      <c r="OHC1" s="172"/>
      <c r="OHD1" s="172"/>
      <c r="OHE1" s="172"/>
      <c r="OHF1" s="172"/>
      <c r="OHG1" s="172"/>
      <c r="OHH1" s="172"/>
      <c r="OHI1" s="172"/>
      <c r="OHJ1" s="172"/>
      <c r="OHK1" s="172"/>
      <c r="OHL1" s="172"/>
      <c r="OHM1" s="172"/>
      <c r="OHN1" s="172"/>
      <c r="OHO1" s="172"/>
      <c r="OHP1" s="172"/>
      <c r="OHQ1" s="172"/>
      <c r="OHR1" s="172"/>
      <c r="OHS1" s="172"/>
      <c r="OHT1" s="172"/>
      <c r="OHU1" s="172"/>
      <c r="OHV1" s="172"/>
      <c r="OHW1" s="172"/>
      <c r="OHX1" s="172"/>
      <c r="OHY1" s="172"/>
      <c r="OHZ1" s="172"/>
      <c r="OIA1" s="172"/>
      <c r="OIB1" s="172"/>
      <c r="OIC1" s="172"/>
      <c r="OID1" s="172"/>
      <c r="OIE1" s="172"/>
      <c r="OIF1" s="172"/>
      <c r="OIG1" s="172"/>
      <c r="OIH1" s="172"/>
      <c r="OII1" s="172"/>
      <c r="OIJ1" s="172"/>
      <c r="OIK1" s="172"/>
      <c r="OIL1" s="172"/>
      <c r="OIM1" s="172"/>
      <c r="OIN1" s="172"/>
      <c r="OIO1" s="172"/>
      <c r="OIP1" s="172"/>
      <c r="OIQ1" s="172"/>
      <c r="OIR1" s="172"/>
      <c r="OIS1" s="172"/>
      <c r="OIT1" s="172"/>
      <c r="OIU1" s="172"/>
      <c r="OIV1" s="172"/>
      <c r="OIW1" s="172"/>
      <c r="OIX1" s="172"/>
      <c r="OIY1" s="172"/>
      <c r="OIZ1" s="172"/>
      <c r="OJA1" s="172"/>
      <c r="OJB1" s="172"/>
      <c r="OJC1" s="172"/>
      <c r="OJD1" s="172"/>
      <c r="OJE1" s="172"/>
      <c r="OJF1" s="172"/>
      <c r="OJG1" s="172"/>
      <c r="OJH1" s="172"/>
      <c r="OJI1" s="172"/>
      <c r="OJJ1" s="172"/>
      <c r="OJK1" s="172"/>
      <c r="OJL1" s="172"/>
      <c r="OJM1" s="172"/>
      <c r="OJN1" s="172"/>
      <c r="OJO1" s="172"/>
      <c r="OJP1" s="172"/>
      <c r="OJQ1" s="172"/>
      <c r="OJR1" s="172"/>
      <c r="OJS1" s="172"/>
      <c r="OJT1" s="172"/>
      <c r="OJU1" s="172"/>
      <c r="OJV1" s="172"/>
      <c r="OJW1" s="172"/>
      <c r="OJX1" s="172"/>
      <c r="OJY1" s="172"/>
      <c r="OJZ1" s="172"/>
      <c r="OKA1" s="172"/>
      <c r="OKB1" s="172"/>
      <c r="OKC1" s="172"/>
      <c r="OKD1" s="172"/>
      <c r="OKE1" s="172"/>
      <c r="OKF1" s="172"/>
      <c r="OKG1" s="172"/>
      <c r="OKH1" s="172"/>
      <c r="OKI1" s="172"/>
      <c r="OKJ1" s="172"/>
      <c r="OKK1" s="172"/>
      <c r="OKL1" s="172"/>
      <c r="OKM1" s="172"/>
      <c r="OKN1" s="172"/>
      <c r="OKO1" s="172"/>
      <c r="OKP1" s="172"/>
      <c r="OKQ1" s="172"/>
      <c r="OKR1" s="172"/>
      <c r="OKS1" s="172"/>
      <c r="OKT1" s="172"/>
      <c r="OKU1" s="172"/>
      <c r="OKV1" s="172"/>
      <c r="OKW1" s="172"/>
      <c r="OKX1" s="172"/>
      <c r="OKY1" s="172"/>
      <c r="OKZ1" s="172"/>
      <c r="OLA1" s="172"/>
      <c r="OLB1" s="172"/>
      <c r="OLC1" s="172"/>
      <c r="OLD1" s="172"/>
      <c r="OLE1" s="172"/>
      <c r="OLF1" s="172"/>
      <c r="OLG1" s="172"/>
      <c r="OLH1" s="172"/>
      <c r="OLI1" s="172"/>
      <c r="OLJ1" s="172"/>
      <c r="OLK1" s="172"/>
      <c r="OLL1" s="172"/>
      <c r="OLM1" s="172"/>
      <c r="OLN1" s="172"/>
      <c r="OLO1" s="172"/>
      <c r="OLP1" s="172"/>
      <c r="OLQ1" s="172"/>
      <c r="OLR1" s="172"/>
      <c r="OLS1" s="172"/>
      <c r="OLT1" s="172"/>
      <c r="OLU1" s="172"/>
      <c r="OLV1" s="172"/>
      <c r="OLW1" s="172"/>
      <c r="OLX1" s="172"/>
      <c r="OLY1" s="172"/>
      <c r="OLZ1" s="172"/>
      <c r="OMA1" s="172"/>
      <c r="OMB1" s="172"/>
      <c r="OMC1" s="172"/>
      <c r="OMD1" s="172"/>
      <c r="OME1" s="172"/>
      <c r="OMF1" s="172"/>
      <c r="OMG1" s="172"/>
      <c r="OMH1" s="172"/>
      <c r="OMI1" s="172"/>
      <c r="OMJ1" s="172"/>
      <c r="OMK1" s="172"/>
      <c r="OML1" s="172"/>
      <c r="OMM1" s="172"/>
      <c r="OMN1" s="172"/>
      <c r="OMO1" s="172"/>
      <c r="OMP1" s="172"/>
      <c r="OMQ1" s="172"/>
      <c r="OMR1" s="172"/>
      <c r="OMS1" s="172"/>
      <c r="OMT1" s="172"/>
      <c r="OMU1" s="172"/>
      <c r="OMV1" s="172"/>
      <c r="OMW1" s="172"/>
      <c r="OMX1" s="172"/>
      <c r="OMY1" s="172"/>
      <c r="OMZ1" s="172"/>
      <c r="ONA1" s="172"/>
      <c r="ONB1" s="172"/>
      <c r="ONC1" s="172"/>
      <c r="OND1" s="172"/>
      <c r="ONE1" s="172"/>
      <c r="ONF1" s="172"/>
      <c r="ONG1" s="172"/>
      <c r="ONH1" s="172"/>
      <c r="ONI1" s="172"/>
      <c r="ONJ1" s="172"/>
      <c r="ONK1" s="172"/>
      <c r="ONL1" s="172"/>
      <c r="ONM1" s="172"/>
      <c r="ONN1" s="172"/>
      <c r="ONO1" s="172"/>
      <c r="ONP1" s="172"/>
      <c r="ONQ1" s="172"/>
      <c r="ONR1" s="172"/>
      <c r="ONS1" s="172"/>
      <c r="ONT1" s="172"/>
      <c r="ONU1" s="172"/>
      <c r="ONV1" s="172"/>
      <c r="ONW1" s="172"/>
      <c r="ONX1" s="172"/>
      <c r="ONY1" s="172"/>
      <c r="ONZ1" s="172"/>
      <c r="OOA1" s="172"/>
      <c r="OOB1" s="172"/>
      <c r="OOC1" s="172"/>
      <c r="OOD1" s="172"/>
      <c r="OOE1" s="172"/>
      <c r="OOF1" s="172"/>
      <c r="OOG1" s="172"/>
      <c r="OOH1" s="172"/>
      <c r="OOI1" s="172"/>
      <c r="OOJ1" s="172"/>
      <c r="OOK1" s="172"/>
      <c r="OOL1" s="172"/>
      <c r="OOM1" s="172"/>
      <c r="OON1" s="172"/>
      <c r="OOO1" s="172"/>
      <c r="OOP1" s="172"/>
      <c r="OOQ1" s="172"/>
      <c r="OOR1" s="172"/>
      <c r="OOS1" s="172"/>
      <c r="OOT1" s="172"/>
      <c r="OOU1" s="172"/>
      <c r="OOV1" s="172"/>
      <c r="OOW1" s="172"/>
      <c r="OOX1" s="172"/>
      <c r="OOY1" s="172"/>
      <c r="OOZ1" s="172"/>
      <c r="OPA1" s="172"/>
      <c r="OPB1" s="172"/>
      <c r="OPC1" s="172"/>
      <c r="OPD1" s="172"/>
      <c r="OPE1" s="172"/>
      <c r="OPF1" s="172"/>
      <c r="OPG1" s="172"/>
      <c r="OPH1" s="172"/>
      <c r="OPI1" s="172"/>
      <c r="OPJ1" s="172"/>
      <c r="OPK1" s="172"/>
      <c r="OPL1" s="172"/>
      <c r="OPM1" s="172"/>
      <c r="OPN1" s="172"/>
      <c r="OPO1" s="172"/>
      <c r="OPP1" s="172"/>
      <c r="OPQ1" s="172"/>
      <c r="OPR1" s="172"/>
      <c r="OPS1" s="172"/>
      <c r="OPT1" s="172"/>
      <c r="OPU1" s="172"/>
      <c r="OPV1" s="172"/>
      <c r="OPW1" s="172"/>
      <c r="OPX1" s="172"/>
      <c r="OPY1" s="172"/>
      <c r="OPZ1" s="172"/>
      <c r="OQA1" s="172"/>
      <c r="OQB1" s="172"/>
      <c r="OQC1" s="172"/>
      <c r="OQD1" s="172"/>
      <c r="OQE1" s="172"/>
      <c r="OQF1" s="172"/>
      <c r="OQG1" s="172"/>
      <c r="OQH1" s="172"/>
      <c r="OQI1" s="172"/>
      <c r="OQJ1" s="172"/>
      <c r="OQK1" s="172"/>
      <c r="OQL1" s="172"/>
      <c r="OQM1" s="172"/>
      <c r="OQN1" s="172"/>
      <c r="OQO1" s="172"/>
      <c r="OQP1" s="172"/>
      <c r="OQQ1" s="172"/>
      <c r="OQR1" s="172"/>
      <c r="OQS1" s="172"/>
      <c r="OQT1" s="172"/>
      <c r="OQU1" s="172"/>
      <c r="OQV1" s="172"/>
      <c r="OQW1" s="172"/>
      <c r="OQX1" s="172"/>
      <c r="OQY1" s="172"/>
      <c r="OQZ1" s="172"/>
      <c r="ORA1" s="172"/>
      <c r="ORB1" s="172"/>
      <c r="ORC1" s="172"/>
      <c r="ORD1" s="172"/>
      <c r="ORE1" s="172"/>
      <c r="ORF1" s="172"/>
      <c r="ORG1" s="172"/>
      <c r="ORH1" s="172"/>
      <c r="ORI1" s="172"/>
      <c r="ORJ1" s="172"/>
      <c r="ORK1" s="172"/>
      <c r="ORL1" s="172"/>
      <c r="ORM1" s="172"/>
      <c r="ORN1" s="172"/>
      <c r="ORO1" s="172"/>
      <c r="ORP1" s="172"/>
      <c r="ORQ1" s="172"/>
      <c r="ORR1" s="172"/>
      <c r="ORS1" s="172"/>
      <c r="ORT1" s="172"/>
      <c r="ORU1" s="172"/>
      <c r="ORV1" s="172"/>
      <c r="ORW1" s="172"/>
      <c r="ORX1" s="172"/>
      <c r="ORY1" s="172"/>
      <c r="ORZ1" s="172"/>
      <c r="OSA1" s="172"/>
      <c r="OSB1" s="172"/>
      <c r="OSC1" s="172"/>
      <c r="OSD1" s="172"/>
      <c r="OSE1" s="172"/>
      <c r="OSF1" s="172"/>
      <c r="OSG1" s="172"/>
      <c r="OSH1" s="172"/>
      <c r="OSI1" s="172"/>
      <c r="OSJ1" s="172"/>
      <c r="OSK1" s="172"/>
      <c r="OSL1" s="172"/>
      <c r="OSM1" s="172"/>
      <c r="OSN1" s="172"/>
      <c r="OSO1" s="172"/>
      <c r="OSP1" s="172"/>
      <c r="OSQ1" s="172"/>
      <c r="OSR1" s="172"/>
      <c r="OSS1" s="172"/>
      <c r="OST1" s="172"/>
      <c r="OSU1" s="172"/>
      <c r="OSV1" s="172"/>
      <c r="OSW1" s="172"/>
      <c r="OSX1" s="172"/>
      <c r="OSY1" s="172"/>
      <c r="OSZ1" s="172"/>
      <c r="OTA1" s="172"/>
      <c r="OTB1" s="172"/>
      <c r="OTC1" s="172"/>
      <c r="OTD1" s="172"/>
      <c r="OTE1" s="172"/>
      <c r="OTF1" s="172"/>
      <c r="OTG1" s="172"/>
      <c r="OTH1" s="172"/>
      <c r="OTI1" s="172"/>
      <c r="OTJ1" s="172"/>
      <c r="OTK1" s="172"/>
      <c r="OTL1" s="172"/>
      <c r="OTM1" s="172"/>
      <c r="OTN1" s="172"/>
      <c r="OTO1" s="172"/>
      <c r="OTP1" s="172"/>
      <c r="OTQ1" s="172"/>
      <c r="OTR1" s="172"/>
      <c r="OTS1" s="172"/>
      <c r="OTT1" s="172"/>
      <c r="OTU1" s="172"/>
      <c r="OTV1" s="172"/>
      <c r="OTW1" s="172"/>
      <c r="OTX1" s="172"/>
      <c r="OTY1" s="172"/>
      <c r="OTZ1" s="172"/>
      <c r="OUA1" s="172"/>
      <c r="OUB1" s="172"/>
      <c r="OUC1" s="172"/>
      <c r="OUD1" s="172"/>
      <c r="OUE1" s="172"/>
      <c r="OUF1" s="172"/>
      <c r="OUG1" s="172"/>
      <c r="OUH1" s="172"/>
      <c r="OUI1" s="172"/>
      <c r="OUJ1" s="172"/>
      <c r="OUK1" s="172"/>
      <c r="OUL1" s="172"/>
      <c r="OUM1" s="172"/>
      <c r="OUN1" s="172"/>
      <c r="OUO1" s="172"/>
      <c r="OUP1" s="172"/>
      <c r="OUQ1" s="172"/>
      <c r="OUR1" s="172"/>
      <c r="OUS1" s="172"/>
      <c r="OUT1" s="172"/>
      <c r="OUU1" s="172"/>
      <c r="OUV1" s="172"/>
      <c r="OUW1" s="172"/>
      <c r="OUX1" s="172"/>
      <c r="OUY1" s="172"/>
      <c r="OUZ1" s="172"/>
      <c r="OVA1" s="172"/>
      <c r="OVB1" s="172"/>
      <c r="OVC1" s="172"/>
      <c r="OVD1" s="172"/>
      <c r="OVE1" s="172"/>
      <c r="OVF1" s="172"/>
      <c r="OVG1" s="172"/>
      <c r="OVH1" s="172"/>
      <c r="OVI1" s="172"/>
      <c r="OVJ1" s="172"/>
      <c r="OVK1" s="172"/>
      <c r="OVL1" s="172"/>
      <c r="OVM1" s="172"/>
      <c r="OVN1" s="172"/>
      <c r="OVO1" s="172"/>
      <c r="OVP1" s="172"/>
      <c r="OVQ1" s="172"/>
      <c r="OVR1" s="172"/>
      <c r="OVS1" s="172"/>
      <c r="OVT1" s="172"/>
      <c r="OVU1" s="172"/>
      <c r="OVV1" s="172"/>
      <c r="OVW1" s="172"/>
      <c r="OVX1" s="172"/>
      <c r="OVY1" s="172"/>
      <c r="OVZ1" s="172"/>
      <c r="OWA1" s="172"/>
      <c r="OWB1" s="172"/>
      <c r="OWC1" s="172"/>
      <c r="OWD1" s="172"/>
      <c r="OWE1" s="172"/>
      <c r="OWF1" s="172"/>
      <c r="OWG1" s="172"/>
      <c r="OWH1" s="172"/>
      <c r="OWI1" s="172"/>
      <c r="OWJ1" s="172"/>
      <c r="OWK1" s="172"/>
      <c r="OWL1" s="172"/>
      <c r="OWM1" s="172"/>
      <c r="OWN1" s="172"/>
      <c r="OWO1" s="172"/>
      <c r="OWP1" s="172"/>
      <c r="OWQ1" s="172"/>
      <c r="OWR1" s="172"/>
      <c r="OWS1" s="172"/>
      <c r="OWT1" s="172"/>
      <c r="OWU1" s="172"/>
      <c r="OWV1" s="172"/>
      <c r="OWW1" s="172"/>
      <c r="OWX1" s="172"/>
      <c r="OWY1" s="172"/>
      <c r="OWZ1" s="172"/>
      <c r="OXA1" s="172"/>
      <c r="OXB1" s="172"/>
      <c r="OXC1" s="172"/>
      <c r="OXD1" s="172"/>
      <c r="OXE1" s="172"/>
      <c r="OXF1" s="172"/>
      <c r="OXG1" s="172"/>
      <c r="OXH1" s="172"/>
      <c r="OXI1" s="172"/>
      <c r="OXJ1" s="172"/>
      <c r="OXK1" s="172"/>
      <c r="OXL1" s="172"/>
      <c r="OXM1" s="172"/>
      <c r="OXN1" s="172"/>
      <c r="OXO1" s="172"/>
      <c r="OXP1" s="172"/>
      <c r="OXQ1" s="172"/>
      <c r="OXR1" s="172"/>
      <c r="OXS1" s="172"/>
      <c r="OXT1" s="172"/>
      <c r="OXU1" s="172"/>
      <c r="OXV1" s="172"/>
      <c r="OXW1" s="172"/>
      <c r="OXX1" s="172"/>
      <c r="OXY1" s="172"/>
      <c r="OXZ1" s="172"/>
      <c r="OYA1" s="172"/>
      <c r="OYB1" s="172"/>
      <c r="OYC1" s="172"/>
      <c r="OYD1" s="172"/>
      <c r="OYE1" s="172"/>
      <c r="OYF1" s="172"/>
      <c r="OYG1" s="172"/>
      <c r="OYH1" s="172"/>
      <c r="OYI1" s="172"/>
      <c r="OYJ1" s="172"/>
      <c r="OYK1" s="172"/>
      <c r="OYL1" s="172"/>
      <c r="OYM1" s="172"/>
      <c r="OYN1" s="172"/>
      <c r="OYO1" s="172"/>
      <c r="OYP1" s="172"/>
      <c r="OYQ1" s="172"/>
      <c r="OYR1" s="172"/>
      <c r="OYS1" s="172"/>
      <c r="OYT1" s="172"/>
      <c r="OYU1" s="172"/>
      <c r="OYV1" s="172"/>
      <c r="OYW1" s="172"/>
      <c r="OYX1" s="172"/>
      <c r="OYY1" s="172"/>
      <c r="OYZ1" s="172"/>
      <c r="OZA1" s="172"/>
      <c r="OZB1" s="172"/>
      <c r="OZC1" s="172"/>
      <c r="OZD1" s="172"/>
      <c r="OZE1" s="172"/>
      <c r="OZF1" s="172"/>
      <c r="OZG1" s="172"/>
      <c r="OZH1" s="172"/>
      <c r="OZI1" s="172"/>
      <c r="OZJ1" s="172"/>
      <c r="OZK1" s="172"/>
      <c r="OZL1" s="172"/>
      <c r="OZM1" s="172"/>
      <c r="OZN1" s="172"/>
      <c r="OZO1" s="172"/>
      <c r="OZP1" s="172"/>
      <c r="OZQ1" s="172"/>
      <c r="OZR1" s="172"/>
      <c r="OZS1" s="172"/>
      <c r="OZT1" s="172"/>
      <c r="OZU1" s="172"/>
      <c r="OZV1" s="172"/>
      <c r="OZW1" s="172"/>
      <c r="OZX1" s="172"/>
      <c r="OZY1" s="172"/>
      <c r="OZZ1" s="172"/>
      <c r="PAA1" s="172"/>
      <c r="PAB1" s="172"/>
      <c r="PAC1" s="172"/>
      <c r="PAD1" s="172"/>
      <c r="PAE1" s="172"/>
      <c r="PAF1" s="172"/>
      <c r="PAG1" s="172"/>
      <c r="PAH1" s="172"/>
      <c r="PAI1" s="172"/>
      <c r="PAJ1" s="172"/>
      <c r="PAK1" s="172"/>
      <c r="PAL1" s="172"/>
      <c r="PAM1" s="172"/>
      <c r="PAN1" s="172"/>
      <c r="PAO1" s="172"/>
      <c r="PAP1" s="172"/>
      <c r="PAQ1" s="172"/>
      <c r="PAR1" s="172"/>
      <c r="PAS1" s="172"/>
      <c r="PAT1" s="172"/>
      <c r="PAU1" s="172"/>
      <c r="PAV1" s="172"/>
      <c r="PAW1" s="172"/>
      <c r="PAX1" s="172"/>
      <c r="PAY1" s="172"/>
      <c r="PAZ1" s="172"/>
      <c r="PBA1" s="172"/>
      <c r="PBB1" s="172"/>
      <c r="PBC1" s="172"/>
      <c r="PBD1" s="172"/>
      <c r="PBE1" s="172"/>
      <c r="PBF1" s="172"/>
      <c r="PBG1" s="172"/>
      <c r="PBH1" s="172"/>
      <c r="PBI1" s="172"/>
      <c r="PBJ1" s="172"/>
      <c r="PBK1" s="172"/>
      <c r="PBL1" s="172"/>
      <c r="PBM1" s="172"/>
      <c r="PBN1" s="172"/>
      <c r="PBO1" s="172"/>
      <c r="PBP1" s="172"/>
      <c r="PBQ1" s="172"/>
      <c r="PBR1" s="172"/>
      <c r="PBS1" s="172"/>
      <c r="PBT1" s="172"/>
      <c r="PBU1" s="172"/>
      <c r="PBV1" s="172"/>
      <c r="PBW1" s="172"/>
      <c r="PBX1" s="172"/>
      <c r="PBY1" s="172"/>
      <c r="PBZ1" s="172"/>
      <c r="PCA1" s="172"/>
      <c r="PCB1" s="172"/>
      <c r="PCC1" s="172"/>
      <c r="PCD1" s="172"/>
      <c r="PCE1" s="172"/>
      <c r="PCF1" s="172"/>
      <c r="PCG1" s="172"/>
      <c r="PCH1" s="172"/>
      <c r="PCI1" s="172"/>
      <c r="PCJ1" s="172"/>
      <c r="PCK1" s="172"/>
      <c r="PCL1" s="172"/>
      <c r="PCM1" s="172"/>
      <c r="PCN1" s="172"/>
      <c r="PCO1" s="172"/>
      <c r="PCP1" s="172"/>
      <c r="PCQ1" s="172"/>
      <c r="PCR1" s="172"/>
      <c r="PCS1" s="172"/>
      <c r="PCT1" s="172"/>
      <c r="PCU1" s="172"/>
      <c r="PCV1" s="172"/>
      <c r="PCW1" s="172"/>
      <c r="PCX1" s="172"/>
      <c r="PCY1" s="172"/>
      <c r="PCZ1" s="172"/>
      <c r="PDA1" s="172"/>
      <c r="PDB1" s="172"/>
      <c r="PDC1" s="172"/>
      <c r="PDD1" s="172"/>
      <c r="PDE1" s="172"/>
      <c r="PDF1" s="172"/>
      <c r="PDG1" s="172"/>
      <c r="PDH1" s="172"/>
      <c r="PDI1" s="172"/>
      <c r="PDJ1" s="172"/>
      <c r="PDK1" s="172"/>
      <c r="PDL1" s="172"/>
      <c r="PDM1" s="172"/>
      <c r="PDN1" s="172"/>
      <c r="PDO1" s="172"/>
      <c r="PDP1" s="172"/>
      <c r="PDQ1" s="172"/>
      <c r="PDR1" s="172"/>
      <c r="PDS1" s="172"/>
      <c r="PDT1" s="172"/>
      <c r="PDU1" s="172"/>
      <c r="PDV1" s="172"/>
      <c r="PDW1" s="172"/>
      <c r="PDX1" s="172"/>
      <c r="PDY1" s="172"/>
      <c r="PDZ1" s="172"/>
      <c r="PEA1" s="172"/>
      <c r="PEB1" s="172"/>
      <c r="PEC1" s="172"/>
      <c r="PED1" s="172"/>
      <c r="PEE1" s="172"/>
      <c r="PEF1" s="172"/>
      <c r="PEG1" s="172"/>
      <c r="PEH1" s="172"/>
      <c r="PEI1" s="172"/>
      <c r="PEJ1" s="172"/>
      <c r="PEK1" s="172"/>
      <c r="PEL1" s="172"/>
      <c r="PEM1" s="172"/>
      <c r="PEN1" s="172"/>
      <c r="PEO1" s="172"/>
      <c r="PEP1" s="172"/>
      <c r="PEQ1" s="172"/>
      <c r="PER1" s="172"/>
      <c r="PES1" s="172"/>
      <c r="PET1" s="172"/>
      <c r="PEU1" s="172"/>
      <c r="PEV1" s="172"/>
      <c r="PEW1" s="172"/>
      <c r="PEX1" s="172"/>
      <c r="PEY1" s="172"/>
      <c r="PEZ1" s="172"/>
      <c r="PFA1" s="172"/>
      <c r="PFB1" s="172"/>
      <c r="PFC1" s="172"/>
      <c r="PFD1" s="172"/>
      <c r="PFE1" s="172"/>
      <c r="PFF1" s="172"/>
      <c r="PFG1" s="172"/>
      <c r="PFH1" s="172"/>
      <c r="PFI1" s="172"/>
      <c r="PFJ1" s="172"/>
      <c r="PFK1" s="172"/>
      <c r="PFL1" s="172"/>
      <c r="PFM1" s="172"/>
      <c r="PFN1" s="172"/>
      <c r="PFO1" s="172"/>
      <c r="PFP1" s="172"/>
      <c r="PFQ1" s="172"/>
      <c r="PFR1" s="172"/>
      <c r="PFS1" s="172"/>
      <c r="PFT1" s="172"/>
      <c r="PFU1" s="172"/>
      <c r="PFV1" s="172"/>
      <c r="PFW1" s="172"/>
      <c r="PFX1" s="172"/>
      <c r="PFY1" s="172"/>
      <c r="PFZ1" s="172"/>
      <c r="PGA1" s="172"/>
      <c r="PGB1" s="172"/>
      <c r="PGC1" s="172"/>
      <c r="PGD1" s="172"/>
      <c r="PGE1" s="172"/>
      <c r="PGF1" s="172"/>
      <c r="PGG1" s="172"/>
      <c r="PGH1" s="172"/>
      <c r="PGI1" s="172"/>
      <c r="PGJ1" s="172"/>
      <c r="PGK1" s="172"/>
      <c r="PGL1" s="172"/>
      <c r="PGM1" s="172"/>
      <c r="PGN1" s="172"/>
      <c r="PGO1" s="172"/>
      <c r="PGP1" s="172"/>
      <c r="PGQ1" s="172"/>
      <c r="PGR1" s="172"/>
      <c r="PGS1" s="172"/>
      <c r="PGT1" s="172"/>
      <c r="PGU1" s="172"/>
      <c r="PGV1" s="172"/>
      <c r="PGW1" s="172"/>
      <c r="PGX1" s="172"/>
      <c r="PGY1" s="172"/>
      <c r="PGZ1" s="172"/>
      <c r="PHA1" s="172"/>
      <c r="PHB1" s="172"/>
      <c r="PHC1" s="172"/>
      <c r="PHD1" s="172"/>
      <c r="PHE1" s="172"/>
      <c r="PHF1" s="172"/>
      <c r="PHG1" s="172"/>
      <c r="PHH1" s="172"/>
      <c r="PHI1" s="172"/>
      <c r="PHJ1" s="172"/>
      <c r="PHK1" s="172"/>
      <c r="PHL1" s="172"/>
      <c r="PHM1" s="172"/>
      <c r="PHN1" s="172"/>
      <c r="PHO1" s="172"/>
      <c r="PHP1" s="172"/>
      <c r="PHQ1" s="172"/>
      <c r="PHR1" s="172"/>
      <c r="PHS1" s="172"/>
      <c r="PHT1" s="172"/>
      <c r="PHU1" s="172"/>
      <c r="PHV1" s="172"/>
      <c r="PHW1" s="172"/>
      <c r="PHX1" s="172"/>
      <c r="PHY1" s="172"/>
      <c r="PHZ1" s="172"/>
      <c r="PIA1" s="172"/>
      <c r="PIB1" s="172"/>
      <c r="PIC1" s="172"/>
      <c r="PID1" s="172"/>
      <c r="PIE1" s="172"/>
      <c r="PIF1" s="172"/>
      <c r="PIG1" s="172"/>
      <c r="PIH1" s="172"/>
      <c r="PII1" s="172"/>
      <c r="PIJ1" s="172"/>
      <c r="PIK1" s="172"/>
      <c r="PIL1" s="172"/>
      <c r="PIM1" s="172"/>
      <c r="PIN1" s="172"/>
      <c r="PIO1" s="172"/>
      <c r="PIP1" s="172"/>
      <c r="PIQ1" s="172"/>
      <c r="PIR1" s="172"/>
      <c r="PIS1" s="172"/>
      <c r="PIT1" s="172"/>
      <c r="PIU1" s="172"/>
      <c r="PIV1" s="172"/>
      <c r="PIW1" s="172"/>
      <c r="PIX1" s="172"/>
      <c r="PIY1" s="172"/>
      <c r="PIZ1" s="172"/>
      <c r="PJA1" s="172"/>
      <c r="PJB1" s="172"/>
      <c r="PJC1" s="172"/>
      <c r="PJD1" s="172"/>
      <c r="PJE1" s="172"/>
      <c r="PJF1" s="172"/>
      <c r="PJG1" s="172"/>
      <c r="PJH1" s="172"/>
      <c r="PJI1" s="172"/>
      <c r="PJJ1" s="172"/>
      <c r="PJK1" s="172"/>
      <c r="PJL1" s="172"/>
      <c r="PJM1" s="172"/>
      <c r="PJN1" s="172"/>
      <c r="PJO1" s="172"/>
      <c r="PJP1" s="172"/>
      <c r="PJQ1" s="172"/>
      <c r="PJR1" s="172"/>
      <c r="PJS1" s="172"/>
      <c r="PJT1" s="172"/>
      <c r="PJU1" s="172"/>
      <c r="PJV1" s="172"/>
      <c r="PJW1" s="172"/>
      <c r="PJX1" s="172"/>
      <c r="PJY1" s="172"/>
      <c r="PJZ1" s="172"/>
      <c r="PKA1" s="172"/>
      <c r="PKB1" s="172"/>
      <c r="PKC1" s="172"/>
      <c r="PKD1" s="172"/>
      <c r="PKE1" s="172"/>
      <c r="PKF1" s="172"/>
      <c r="PKG1" s="172"/>
      <c r="PKH1" s="172"/>
      <c r="PKI1" s="172"/>
      <c r="PKJ1" s="172"/>
      <c r="PKK1" s="172"/>
      <c r="PKL1" s="172"/>
      <c r="PKM1" s="172"/>
      <c r="PKN1" s="172"/>
      <c r="PKO1" s="172"/>
      <c r="PKP1" s="172"/>
      <c r="PKQ1" s="172"/>
      <c r="PKR1" s="172"/>
      <c r="PKS1" s="172"/>
      <c r="PKT1" s="172"/>
      <c r="PKU1" s="172"/>
      <c r="PKV1" s="172"/>
      <c r="PKW1" s="172"/>
      <c r="PKX1" s="172"/>
      <c r="PKY1" s="172"/>
      <c r="PKZ1" s="172"/>
      <c r="PLA1" s="172"/>
      <c r="PLB1" s="172"/>
      <c r="PLC1" s="172"/>
      <c r="PLD1" s="172"/>
      <c r="PLE1" s="172"/>
      <c r="PLF1" s="172"/>
      <c r="PLG1" s="172"/>
      <c r="PLH1" s="172"/>
      <c r="PLI1" s="172"/>
      <c r="PLJ1" s="172"/>
      <c r="PLK1" s="172"/>
      <c r="PLL1" s="172"/>
      <c r="PLM1" s="172"/>
      <c r="PLN1" s="172"/>
      <c r="PLO1" s="172"/>
      <c r="PLP1" s="172"/>
      <c r="PLQ1" s="172"/>
      <c r="PLR1" s="172"/>
      <c r="PLS1" s="172"/>
      <c r="PLT1" s="172"/>
      <c r="PLU1" s="172"/>
      <c r="PLV1" s="172"/>
      <c r="PLW1" s="172"/>
      <c r="PLX1" s="172"/>
      <c r="PLY1" s="172"/>
      <c r="PLZ1" s="172"/>
      <c r="PMA1" s="172"/>
      <c r="PMB1" s="172"/>
      <c r="PMC1" s="172"/>
      <c r="PMD1" s="172"/>
      <c r="PME1" s="172"/>
      <c r="PMF1" s="172"/>
      <c r="PMG1" s="172"/>
      <c r="PMH1" s="172"/>
      <c r="PMI1" s="172"/>
      <c r="PMJ1" s="172"/>
      <c r="PMK1" s="172"/>
      <c r="PML1" s="172"/>
      <c r="PMM1" s="172"/>
      <c r="PMN1" s="172"/>
      <c r="PMO1" s="172"/>
      <c r="PMP1" s="172"/>
      <c r="PMQ1" s="172"/>
      <c r="PMR1" s="172"/>
      <c r="PMS1" s="172"/>
      <c r="PMT1" s="172"/>
      <c r="PMU1" s="172"/>
      <c r="PMV1" s="172"/>
      <c r="PMW1" s="172"/>
      <c r="PMX1" s="172"/>
      <c r="PMY1" s="172"/>
      <c r="PMZ1" s="172"/>
      <c r="PNA1" s="172"/>
      <c r="PNB1" s="172"/>
      <c r="PNC1" s="172"/>
      <c r="PND1" s="172"/>
      <c r="PNE1" s="172"/>
      <c r="PNF1" s="172"/>
      <c r="PNG1" s="172"/>
      <c r="PNH1" s="172"/>
      <c r="PNI1" s="172"/>
      <c r="PNJ1" s="172"/>
      <c r="PNK1" s="172"/>
      <c r="PNL1" s="172"/>
      <c r="PNM1" s="172"/>
      <c r="PNN1" s="172"/>
      <c r="PNO1" s="172"/>
      <c r="PNP1" s="172"/>
      <c r="PNQ1" s="172"/>
      <c r="PNR1" s="172"/>
      <c r="PNS1" s="172"/>
      <c r="PNT1" s="172"/>
      <c r="PNU1" s="172"/>
      <c r="PNV1" s="172"/>
      <c r="PNW1" s="172"/>
      <c r="PNX1" s="172"/>
      <c r="PNY1" s="172"/>
      <c r="PNZ1" s="172"/>
      <c r="POA1" s="172"/>
      <c r="POB1" s="172"/>
      <c r="POC1" s="172"/>
      <c r="POD1" s="172"/>
      <c r="POE1" s="172"/>
      <c r="POF1" s="172"/>
      <c r="POG1" s="172"/>
      <c r="POH1" s="172"/>
      <c r="POI1" s="172"/>
      <c r="POJ1" s="172"/>
      <c r="POK1" s="172"/>
      <c r="POL1" s="172"/>
      <c r="POM1" s="172"/>
      <c r="PON1" s="172"/>
      <c r="POO1" s="172"/>
      <c r="POP1" s="172"/>
      <c r="POQ1" s="172"/>
      <c r="POR1" s="172"/>
      <c r="POS1" s="172"/>
      <c r="POT1" s="172"/>
      <c r="POU1" s="172"/>
      <c r="POV1" s="172"/>
      <c r="POW1" s="172"/>
      <c r="POX1" s="172"/>
      <c r="POY1" s="172"/>
      <c r="POZ1" s="172"/>
      <c r="PPA1" s="172"/>
      <c r="PPB1" s="172"/>
      <c r="PPC1" s="172"/>
      <c r="PPD1" s="172"/>
      <c r="PPE1" s="172"/>
      <c r="PPF1" s="172"/>
      <c r="PPG1" s="172"/>
      <c r="PPH1" s="172"/>
      <c r="PPI1" s="172"/>
      <c r="PPJ1" s="172"/>
      <c r="PPK1" s="172"/>
      <c r="PPL1" s="172"/>
      <c r="PPM1" s="172"/>
      <c r="PPN1" s="172"/>
      <c r="PPO1" s="172"/>
      <c r="PPP1" s="172"/>
      <c r="PPQ1" s="172"/>
      <c r="PPR1" s="172"/>
      <c r="PPS1" s="172"/>
      <c r="PPT1" s="172"/>
      <c r="PPU1" s="172"/>
      <c r="PPV1" s="172"/>
      <c r="PPW1" s="172"/>
      <c r="PPX1" s="172"/>
      <c r="PPY1" s="172"/>
      <c r="PPZ1" s="172"/>
      <c r="PQA1" s="172"/>
      <c r="PQB1" s="172"/>
      <c r="PQC1" s="172"/>
      <c r="PQD1" s="172"/>
      <c r="PQE1" s="172"/>
      <c r="PQF1" s="172"/>
      <c r="PQG1" s="172"/>
      <c r="PQH1" s="172"/>
      <c r="PQI1" s="172"/>
      <c r="PQJ1" s="172"/>
      <c r="PQK1" s="172"/>
      <c r="PQL1" s="172"/>
      <c r="PQM1" s="172"/>
      <c r="PQN1" s="172"/>
      <c r="PQO1" s="172"/>
      <c r="PQP1" s="172"/>
      <c r="PQQ1" s="172"/>
      <c r="PQR1" s="172"/>
      <c r="PQS1" s="172"/>
      <c r="PQT1" s="172"/>
      <c r="PQU1" s="172"/>
      <c r="PQV1" s="172"/>
      <c r="PQW1" s="172"/>
      <c r="PQX1" s="172"/>
      <c r="PQY1" s="172"/>
      <c r="PQZ1" s="172"/>
      <c r="PRA1" s="172"/>
      <c r="PRB1" s="172"/>
      <c r="PRC1" s="172"/>
      <c r="PRD1" s="172"/>
      <c r="PRE1" s="172"/>
      <c r="PRF1" s="172"/>
      <c r="PRG1" s="172"/>
      <c r="PRH1" s="172"/>
      <c r="PRI1" s="172"/>
      <c r="PRJ1" s="172"/>
      <c r="PRK1" s="172"/>
      <c r="PRL1" s="172"/>
      <c r="PRM1" s="172"/>
      <c r="PRN1" s="172"/>
      <c r="PRO1" s="172"/>
      <c r="PRP1" s="172"/>
      <c r="PRQ1" s="172"/>
      <c r="PRR1" s="172"/>
      <c r="PRS1" s="172"/>
      <c r="PRT1" s="172"/>
      <c r="PRU1" s="172"/>
      <c r="PRV1" s="172"/>
      <c r="PRW1" s="172"/>
      <c r="PRX1" s="172"/>
      <c r="PRY1" s="172"/>
      <c r="PRZ1" s="172"/>
      <c r="PSA1" s="172"/>
      <c r="PSB1" s="172"/>
      <c r="PSC1" s="172"/>
      <c r="PSD1" s="172"/>
      <c r="PSE1" s="172"/>
      <c r="PSF1" s="172"/>
      <c r="PSG1" s="172"/>
      <c r="PSH1" s="172"/>
      <c r="PSI1" s="172"/>
      <c r="PSJ1" s="172"/>
      <c r="PSK1" s="172"/>
      <c r="PSL1" s="172"/>
      <c r="PSM1" s="172"/>
      <c r="PSN1" s="172"/>
      <c r="PSO1" s="172"/>
      <c r="PSP1" s="172"/>
      <c r="PSQ1" s="172"/>
      <c r="PSR1" s="172"/>
      <c r="PSS1" s="172"/>
      <c r="PST1" s="172"/>
      <c r="PSU1" s="172"/>
      <c r="PSV1" s="172"/>
      <c r="PSW1" s="172"/>
      <c r="PSX1" s="172"/>
      <c r="PSY1" s="172"/>
      <c r="PSZ1" s="172"/>
      <c r="PTA1" s="172"/>
      <c r="PTB1" s="172"/>
      <c r="PTC1" s="172"/>
      <c r="PTD1" s="172"/>
      <c r="PTE1" s="172"/>
      <c r="PTF1" s="172"/>
      <c r="PTG1" s="172"/>
      <c r="PTH1" s="172"/>
      <c r="PTI1" s="172"/>
      <c r="PTJ1" s="172"/>
      <c r="PTK1" s="172"/>
      <c r="PTL1" s="172"/>
      <c r="PTM1" s="172"/>
      <c r="PTN1" s="172"/>
      <c r="PTO1" s="172"/>
      <c r="PTP1" s="172"/>
      <c r="PTQ1" s="172"/>
      <c r="PTR1" s="172"/>
      <c r="PTS1" s="172"/>
      <c r="PTT1" s="172"/>
      <c r="PTU1" s="172"/>
      <c r="PTV1" s="172"/>
      <c r="PTW1" s="172"/>
      <c r="PTX1" s="172"/>
      <c r="PTY1" s="172"/>
      <c r="PTZ1" s="172"/>
      <c r="PUA1" s="172"/>
      <c r="PUB1" s="172"/>
      <c r="PUC1" s="172"/>
      <c r="PUD1" s="172"/>
      <c r="PUE1" s="172"/>
      <c r="PUF1" s="172"/>
      <c r="PUG1" s="172"/>
      <c r="PUH1" s="172"/>
      <c r="PUI1" s="172"/>
      <c r="PUJ1" s="172"/>
      <c r="PUK1" s="172"/>
      <c r="PUL1" s="172"/>
      <c r="PUM1" s="172"/>
      <c r="PUN1" s="172"/>
      <c r="PUO1" s="172"/>
      <c r="PUP1" s="172"/>
      <c r="PUQ1" s="172"/>
      <c r="PUR1" s="172"/>
      <c r="PUS1" s="172"/>
      <c r="PUT1" s="172"/>
      <c r="PUU1" s="172"/>
      <c r="PUV1" s="172"/>
      <c r="PUW1" s="172"/>
      <c r="PUX1" s="172"/>
      <c r="PUY1" s="172"/>
      <c r="PUZ1" s="172"/>
      <c r="PVA1" s="172"/>
      <c r="PVB1" s="172"/>
      <c r="PVC1" s="172"/>
      <c r="PVD1" s="172"/>
      <c r="PVE1" s="172"/>
      <c r="PVF1" s="172"/>
      <c r="PVG1" s="172"/>
      <c r="PVH1" s="172"/>
      <c r="PVI1" s="172"/>
      <c r="PVJ1" s="172"/>
      <c r="PVK1" s="172"/>
      <c r="PVL1" s="172"/>
      <c r="PVM1" s="172"/>
      <c r="PVN1" s="172"/>
      <c r="PVO1" s="172"/>
      <c r="PVP1" s="172"/>
      <c r="PVQ1" s="172"/>
      <c r="PVR1" s="172"/>
      <c r="PVS1" s="172"/>
      <c r="PVT1" s="172"/>
      <c r="PVU1" s="172"/>
      <c r="PVV1" s="172"/>
      <c r="PVW1" s="172"/>
      <c r="PVX1" s="172"/>
      <c r="PVY1" s="172"/>
      <c r="PVZ1" s="172"/>
      <c r="PWA1" s="172"/>
      <c r="PWB1" s="172"/>
      <c r="PWC1" s="172"/>
      <c r="PWD1" s="172"/>
      <c r="PWE1" s="172"/>
      <c r="PWF1" s="172"/>
      <c r="PWG1" s="172"/>
      <c r="PWH1" s="172"/>
      <c r="PWI1" s="172"/>
      <c r="PWJ1" s="172"/>
      <c r="PWK1" s="172"/>
      <c r="PWL1" s="172"/>
      <c r="PWM1" s="172"/>
      <c r="PWN1" s="172"/>
      <c r="PWO1" s="172"/>
      <c r="PWP1" s="172"/>
      <c r="PWQ1" s="172"/>
      <c r="PWR1" s="172"/>
      <c r="PWS1" s="172"/>
      <c r="PWT1" s="172"/>
      <c r="PWU1" s="172"/>
      <c r="PWV1" s="172"/>
      <c r="PWW1" s="172"/>
      <c r="PWX1" s="172"/>
      <c r="PWY1" s="172"/>
      <c r="PWZ1" s="172"/>
      <c r="PXA1" s="172"/>
      <c r="PXB1" s="172"/>
      <c r="PXC1" s="172"/>
      <c r="PXD1" s="172"/>
      <c r="PXE1" s="172"/>
      <c r="PXF1" s="172"/>
      <c r="PXG1" s="172"/>
      <c r="PXH1" s="172"/>
      <c r="PXI1" s="172"/>
      <c r="PXJ1" s="172"/>
      <c r="PXK1" s="172"/>
      <c r="PXL1" s="172"/>
      <c r="PXM1" s="172"/>
      <c r="PXN1" s="172"/>
      <c r="PXO1" s="172"/>
      <c r="PXP1" s="172"/>
      <c r="PXQ1" s="172"/>
      <c r="PXR1" s="172"/>
      <c r="PXS1" s="172"/>
      <c r="PXT1" s="172"/>
      <c r="PXU1" s="172"/>
      <c r="PXV1" s="172"/>
      <c r="PXW1" s="172"/>
      <c r="PXX1" s="172"/>
      <c r="PXY1" s="172"/>
      <c r="PXZ1" s="172"/>
      <c r="PYA1" s="172"/>
      <c r="PYB1" s="172"/>
      <c r="PYC1" s="172"/>
      <c r="PYD1" s="172"/>
      <c r="PYE1" s="172"/>
      <c r="PYF1" s="172"/>
      <c r="PYG1" s="172"/>
      <c r="PYH1" s="172"/>
      <c r="PYI1" s="172"/>
      <c r="PYJ1" s="172"/>
      <c r="PYK1" s="172"/>
      <c r="PYL1" s="172"/>
      <c r="PYM1" s="172"/>
      <c r="PYN1" s="172"/>
      <c r="PYO1" s="172"/>
      <c r="PYP1" s="172"/>
      <c r="PYQ1" s="172"/>
      <c r="PYR1" s="172"/>
      <c r="PYS1" s="172"/>
      <c r="PYT1" s="172"/>
      <c r="PYU1" s="172"/>
      <c r="PYV1" s="172"/>
      <c r="PYW1" s="172"/>
      <c r="PYX1" s="172"/>
      <c r="PYY1" s="172"/>
      <c r="PYZ1" s="172"/>
      <c r="PZA1" s="172"/>
      <c r="PZB1" s="172"/>
      <c r="PZC1" s="172"/>
      <c r="PZD1" s="172"/>
      <c r="PZE1" s="172"/>
      <c r="PZF1" s="172"/>
      <c r="PZG1" s="172"/>
      <c r="PZH1" s="172"/>
      <c r="PZI1" s="172"/>
      <c r="PZJ1" s="172"/>
      <c r="PZK1" s="172"/>
      <c r="PZL1" s="172"/>
      <c r="PZM1" s="172"/>
      <c r="PZN1" s="172"/>
      <c r="PZO1" s="172"/>
      <c r="PZP1" s="172"/>
      <c r="PZQ1" s="172"/>
      <c r="PZR1" s="172"/>
      <c r="PZS1" s="172"/>
      <c r="PZT1" s="172"/>
      <c r="PZU1" s="172"/>
      <c r="PZV1" s="172"/>
      <c r="PZW1" s="172"/>
      <c r="PZX1" s="172"/>
      <c r="PZY1" s="172"/>
      <c r="PZZ1" s="172"/>
      <c r="QAA1" s="172"/>
      <c r="QAB1" s="172"/>
      <c r="QAC1" s="172"/>
      <c r="QAD1" s="172"/>
      <c r="QAE1" s="172"/>
      <c r="QAF1" s="172"/>
      <c r="QAG1" s="172"/>
      <c r="QAH1" s="172"/>
      <c r="QAI1" s="172"/>
      <c r="QAJ1" s="172"/>
      <c r="QAK1" s="172"/>
      <c r="QAL1" s="172"/>
      <c r="QAM1" s="172"/>
      <c r="QAN1" s="172"/>
      <c r="QAO1" s="172"/>
      <c r="QAP1" s="172"/>
      <c r="QAQ1" s="172"/>
      <c r="QAR1" s="172"/>
      <c r="QAS1" s="172"/>
      <c r="QAT1" s="172"/>
      <c r="QAU1" s="172"/>
      <c r="QAV1" s="172"/>
      <c r="QAW1" s="172"/>
      <c r="QAX1" s="172"/>
      <c r="QAY1" s="172"/>
      <c r="QAZ1" s="172"/>
      <c r="QBA1" s="172"/>
      <c r="QBB1" s="172"/>
      <c r="QBC1" s="172"/>
      <c r="QBD1" s="172"/>
      <c r="QBE1" s="172"/>
      <c r="QBF1" s="172"/>
      <c r="QBG1" s="172"/>
      <c r="QBH1" s="172"/>
      <c r="QBI1" s="172"/>
      <c r="QBJ1" s="172"/>
      <c r="QBK1" s="172"/>
      <c r="QBL1" s="172"/>
      <c r="QBM1" s="172"/>
      <c r="QBN1" s="172"/>
      <c r="QBO1" s="172"/>
      <c r="QBP1" s="172"/>
      <c r="QBQ1" s="172"/>
      <c r="QBR1" s="172"/>
      <c r="QBS1" s="172"/>
      <c r="QBT1" s="172"/>
      <c r="QBU1" s="172"/>
      <c r="QBV1" s="172"/>
      <c r="QBW1" s="172"/>
      <c r="QBX1" s="172"/>
      <c r="QBY1" s="172"/>
      <c r="QBZ1" s="172"/>
      <c r="QCA1" s="172"/>
      <c r="QCB1" s="172"/>
      <c r="QCC1" s="172"/>
      <c r="QCD1" s="172"/>
      <c r="QCE1" s="172"/>
      <c r="QCF1" s="172"/>
      <c r="QCG1" s="172"/>
      <c r="QCH1" s="172"/>
      <c r="QCI1" s="172"/>
      <c r="QCJ1" s="172"/>
      <c r="QCK1" s="172"/>
      <c r="QCL1" s="172"/>
      <c r="QCM1" s="172"/>
      <c r="QCN1" s="172"/>
      <c r="QCO1" s="172"/>
      <c r="QCP1" s="172"/>
      <c r="QCQ1" s="172"/>
      <c r="QCR1" s="172"/>
      <c r="QCS1" s="172"/>
      <c r="QCT1" s="172"/>
      <c r="QCU1" s="172"/>
      <c r="QCV1" s="172"/>
      <c r="QCW1" s="172"/>
      <c r="QCX1" s="172"/>
      <c r="QCY1" s="172"/>
      <c r="QCZ1" s="172"/>
      <c r="QDA1" s="172"/>
      <c r="QDB1" s="172"/>
      <c r="QDC1" s="172"/>
      <c r="QDD1" s="172"/>
      <c r="QDE1" s="172"/>
      <c r="QDF1" s="172"/>
      <c r="QDG1" s="172"/>
      <c r="QDH1" s="172"/>
      <c r="QDI1" s="172"/>
      <c r="QDJ1" s="172"/>
      <c r="QDK1" s="172"/>
      <c r="QDL1" s="172"/>
      <c r="QDM1" s="172"/>
      <c r="QDN1" s="172"/>
      <c r="QDO1" s="172"/>
      <c r="QDP1" s="172"/>
      <c r="QDQ1" s="172"/>
      <c r="QDR1" s="172"/>
      <c r="QDS1" s="172"/>
      <c r="QDT1" s="172"/>
      <c r="QDU1" s="172"/>
      <c r="QDV1" s="172"/>
      <c r="QDW1" s="172"/>
      <c r="QDX1" s="172"/>
      <c r="QDY1" s="172"/>
      <c r="QDZ1" s="172"/>
      <c r="QEA1" s="172"/>
      <c r="QEB1" s="172"/>
      <c r="QEC1" s="172"/>
      <c r="QED1" s="172"/>
      <c r="QEE1" s="172"/>
      <c r="QEF1" s="172"/>
      <c r="QEG1" s="172"/>
      <c r="QEH1" s="172"/>
      <c r="QEI1" s="172"/>
      <c r="QEJ1" s="172"/>
      <c r="QEK1" s="172"/>
      <c r="QEL1" s="172"/>
      <c r="QEM1" s="172"/>
      <c r="QEN1" s="172"/>
      <c r="QEO1" s="172"/>
      <c r="QEP1" s="172"/>
      <c r="QEQ1" s="172"/>
      <c r="QER1" s="172"/>
      <c r="QES1" s="172"/>
      <c r="QET1" s="172"/>
      <c r="QEU1" s="172"/>
      <c r="QEV1" s="172"/>
      <c r="QEW1" s="172"/>
      <c r="QEX1" s="172"/>
      <c r="QEY1" s="172"/>
      <c r="QEZ1" s="172"/>
      <c r="QFA1" s="172"/>
      <c r="QFB1" s="172"/>
      <c r="QFC1" s="172"/>
      <c r="QFD1" s="172"/>
      <c r="QFE1" s="172"/>
      <c r="QFF1" s="172"/>
      <c r="QFG1" s="172"/>
      <c r="QFH1" s="172"/>
      <c r="QFI1" s="172"/>
      <c r="QFJ1" s="172"/>
      <c r="QFK1" s="172"/>
      <c r="QFL1" s="172"/>
      <c r="QFM1" s="172"/>
      <c r="QFN1" s="172"/>
      <c r="QFO1" s="172"/>
      <c r="QFP1" s="172"/>
      <c r="QFQ1" s="172"/>
      <c r="QFR1" s="172"/>
      <c r="QFS1" s="172"/>
      <c r="QFT1" s="172"/>
      <c r="QFU1" s="172"/>
      <c r="QFV1" s="172"/>
      <c r="QFW1" s="172"/>
      <c r="QFX1" s="172"/>
      <c r="QFY1" s="172"/>
      <c r="QFZ1" s="172"/>
      <c r="QGA1" s="172"/>
      <c r="QGB1" s="172"/>
      <c r="QGC1" s="172"/>
      <c r="QGD1" s="172"/>
      <c r="QGE1" s="172"/>
      <c r="QGF1" s="172"/>
      <c r="QGG1" s="172"/>
      <c r="QGH1" s="172"/>
      <c r="QGI1" s="172"/>
      <c r="QGJ1" s="172"/>
      <c r="QGK1" s="172"/>
      <c r="QGL1" s="172"/>
      <c r="QGM1" s="172"/>
      <c r="QGN1" s="172"/>
      <c r="QGO1" s="172"/>
      <c r="QGP1" s="172"/>
      <c r="QGQ1" s="172"/>
      <c r="QGR1" s="172"/>
      <c r="QGS1" s="172"/>
      <c r="QGT1" s="172"/>
      <c r="QGU1" s="172"/>
      <c r="QGV1" s="172"/>
      <c r="QGW1" s="172"/>
      <c r="QGX1" s="172"/>
      <c r="QGY1" s="172"/>
      <c r="QGZ1" s="172"/>
      <c r="QHA1" s="172"/>
      <c r="QHB1" s="172"/>
      <c r="QHC1" s="172"/>
      <c r="QHD1" s="172"/>
      <c r="QHE1" s="172"/>
      <c r="QHF1" s="172"/>
      <c r="QHG1" s="172"/>
      <c r="QHH1" s="172"/>
      <c r="QHI1" s="172"/>
      <c r="QHJ1" s="172"/>
      <c r="QHK1" s="172"/>
      <c r="QHL1" s="172"/>
      <c r="QHM1" s="172"/>
      <c r="QHN1" s="172"/>
      <c r="QHO1" s="172"/>
      <c r="QHP1" s="172"/>
      <c r="QHQ1" s="172"/>
      <c r="QHR1" s="172"/>
      <c r="QHS1" s="172"/>
      <c r="QHT1" s="172"/>
      <c r="QHU1" s="172"/>
      <c r="QHV1" s="172"/>
      <c r="QHW1" s="172"/>
      <c r="QHX1" s="172"/>
      <c r="QHY1" s="172"/>
      <c r="QHZ1" s="172"/>
      <c r="QIA1" s="172"/>
      <c r="QIB1" s="172"/>
      <c r="QIC1" s="172"/>
      <c r="QID1" s="172"/>
      <c r="QIE1" s="172"/>
      <c r="QIF1" s="172"/>
      <c r="QIG1" s="172"/>
      <c r="QIH1" s="172"/>
      <c r="QII1" s="172"/>
      <c r="QIJ1" s="172"/>
      <c r="QIK1" s="172"/>
      <c r="QIL1" s="172"/>
      <c r="QIM1" s="172"/>
      <c r="QIN1" s="172"/>
      <c r="QIO1" s="172"/>
      <c r="QIP1" s="172"/>
      <c r="QIQ1" s="172"/>
      <c r="QIR1" s="172"/>
      <c r="QIS1" s="172"/>
      <c r="QIT1" s="172"/>
      <c r="QIU1" s="172"/>
      <c r="QIV1" s="172"/>
      <c r="QIW1" s="172"/>
      <c r="QIX1" s="172"/>
      <c r="QIY1" s="172"/>
      <c r="QIZ1" s="172"/>
      <c r="QJA1" s="172"/>
      <c r="QJB1" s="172"/>
      <c r="QJC1" s="172"/>
      <c r="QJD1" s="172"/>
      <c r="QJE1" s="172"/>
      <c r="QJF1" s="172"/>
      <c r="QJG1" s="172"/>
      <c r="QJH1" s="172"/>
      <c r="QJI1" s="172"/>
      <c r="QJJ1" s="172"/>
      <c r="QJK1" s="172"/>
      <c r="QJL1" s="172"/>
      <c r="QJM1" s="172"/>
      <c r="QJN1" s="172"/>
      <c r="QJO1" s="172"/>
      <c r="QJP1" s="172"/>
      <c r="QJQ1" s="172"/>
      <c r="QJR1" s="172"/>
      <c r="QJS1" s="172"/>
      <c r="QJT1" s="172"/>
      <c r="QJU1" s="172"/>
      <c r="QJV1" s="172"/>
      <c r="QJW1" s="172"/>
      <c r="QJX1" s="172"/>
      <c r="QJY1" s="172"/>
      <c r="QJZ1" s="172"/>
      <c r="QKA1" s="172"/>
      <c r="QKB1" s="172"/>
      <c r="QKC1" s="172"/>
      <c r="QKD1" s="172"/>
      <c r="QKE1" s="172"/>
      <c r="QKF1" s="172"/>
      <c r="QKG1" s="172"/>
      <c r="QKH1" s="172"/>
      <c r="QKI1" s="172"/>
      <c r="QKJ1" s="172"/>
      <c r="QKK1" s="172"/>
      <c r="QKL1" s="172"/>
      <c r="QKM1" s="172"/>
      <c r="QKN1" s="172"/>
      <c r="QKO1" s="172"/>
      <c r="QKP1" s="172"/>
      <c r="QKQ1" s="172"/>
      <c r="QKR1" s="172"/>
      <c r="QKS1" s="172"/>
      <c r="QKT1" s="172"/>
      <c r="QKU1" s="172"/>
      <c r="QKV1" s="172"/>
      <c r="QKW1" s="172"/>
      <c r="QKX1" s="172"/>
      <c r="QKY1" s="172"/>
      <c r="QKZ1" s="172"/>
      <c r="QLA1" s="172"/>
      <c r="QLB1" s="172"/>
      <c r="QLC1" s="172"/>
      <c r="QLD1" s="172"/>
      <c r="QLE1" s="172"/>
      <c r="QLF1" s="172"/>
      <c r="QLG1" s="172"/>
      <c r="QLH1" s="172"/>
      <c r="QLI1" s="172"/>
      <c r="QLJ1" s="172"/>
      <c r="QLK1" s="172"/>
      <c r="QLL1" s="172"/>
      <c r="QLM1" s="172"/>
      <c r="QLN1" s="172"/>
      <c r="QLO1" s="172"/>
      <c r="QLP1" s="172"/>
      <c r="QLQ1" s="172"/>
      <c r="QLR1" s="172"/>
      <c r="QLS1" s="172"/>
      <c r="QLT1" s="172"/>
      <c r="QLU1" s="172"/>
      <c r="QLV1" s="172"/>
      <c r="QLW1" s="172"/>
      <c r="QLX1" s="172"/>
      <c r="QLY1" s="172"/>
      <c r="QLZ1" s="172"/>
      <c r="QMA1" s="172"/>
      <c r="QMB1" s="172"/>
      <c r="QMC1" s="172"/>
      <c r="QMD1" s="172"/>
      <c r="QME1" s="172"/>
      <c r="QMF1" s="172"/>
      <c r="QMG1" s="172"/>
      <c r="QMH1" s="172"/>
      <c r="QMI1" s="172"/>
      <c r="QMJ1" s="172"/>
      <c r="QMK1" s="172"/>
      <c r="QML1" s="172"/>
      <c r="QMM1" s="172"/>
      <c r="QMN1" s="172"/>
      <c r="QMO1" s="172"/>
      <c r="QMP1" s="172"/>
      <c r="QMQ1" s="172"/>
      <c r="QMR1" s="172"/>
      <c r="QMS1" s="172"/>
      <c r="QMT1" s="172"/>
      <c r="QMU1" s="172"/>
      <c r="QMV1" s="172"/>
      <c r="QMW1" s="172"/>
      <c r="QMX1" s="172"/>
      <c r="QMY1" s="172"/>
      <c r="QMZ1" s="172"/>
      <c r="QNA1" s="172"/>
      <c r="QNB1" s="172"/>
      <c r="QNC1" s="172"/>
      <c r="QND1" s="172"/>
      <c r="QNE1" s="172"/>
      <c r="QNF1" s="172"/>
      <c r="QNG1" s="172"/>
      <c r="QNH1" s="172"/>
      <c r="QNI1" s="172"/>
      <c r="QNJ1" s="172"/>
      <c r="QNK1" s="172"/>
      <c r="QNL1" s="172"/>
      <c r="QNM1" s="172"/>
      <c r="QNN1" s="172"/>
      <c r="QNO1" s="172"/>
      <c r="QNP1" s="172"/>
      <c r="QNQ1" s="172"/>
      <c r="QNR1" s="172"/>
      <c r="QNS1" s="172"/>
      <c r="QNT1" s="172"/>
      <c r="QNU1" s="172"/>
      <c r="QNV1" s="172"/>
      <c r="QNW1" s="172"/>
      <c r="QNX1" s="172"/>
      <c r="QNY1" s="172"/>
      <c r="QNZ1" s="172"/>
      <c r="QOA1" s="172"/>
      <c r="QOB1" s="172"/>
      <c r="QOC1" s="172"/>
      <c r="QOD1" s="172"/>
      <c r="QOE1" s="172"/>
      <c r="QOF1" s="172"/>
      <c r="QOG1" s="172"/>
      <c r="QOH1" s="172"/>
      <c r="QOI1" s="172"/>
      <c r="QOJ1" s="172"/>
      <c r="QOK1" s="172"/>
      <c r="QOL1" s="172"/>
      <c r="QOM1" s="172"/>
      <c r="QON1" s="172"/>
      <c r="QOO1" s="172"/>
      <c r="QOP1" s="172"/>
      <c r="QOQ1" s="172"/>
      <c r="QOR1" s="172"/>
      <c r="QOS1" s="172"/>
      <c r="QOT1" s="172"/>
      <c r="QOU1" s="172"/>
      <c r="QOV1" s="172"/>
      <c r="QOW1" s="172"/>
      <c r="QOX1" s="172"/>
      <c r="QOY1" s="172"/>
      <c r="QOZ1" s="172"/>
      <c r="QPA1" s="172"/>
      <c r="QPB1" s="172"/>
      <c r="QPC1" s="172"/>
      <c r="QPD1" s="172"/>
      <c r="QPE1" s="172"/>
      <c r="QPF1" s="172"/>
      <c r="QPG1" s="172"/>
      <c r="QPH1" s="172"/>
      <c r="QPI1" s="172"/>
      <c r="QPJ1" s="172"/>
      <c r="QPK1" s="172"/>
      <c r="QPL1" s="172"/>
      <c r="QPM1" s="172"/>
      <c r="QPN1" s="172"/>
      <c r="QPO1" s="172"/>
      <c r="QPP1" s="172"/>
      <c r="QPQ1" s="172"/>
      <c r="QPR1" s="172"/>
      <c r="QPS1" s="172"/>
      <c r="QPT1" s="172"/>
      <c r="QPU1" s="172"/>
      <c r="QPV1" s="172"/>
      <c r="QPW1" s="172"/>
      <c r="QPX1" s="172"/>
      <c r="QPY1" s="172"/>
      <c r="QPZ1" s="172"/>
      <c r="QQA1" s="172"/>
      <c r="QQB1" s="172"/>
      <c r="QQC1" s="172"/>
      <c r="QQD1" s="172"/>
      <c r="QQE1" s="172"/>
      <c r="QQF1" s="172"/>
      <c r="QQG1" s="172"/>
      <c r="QQH1" s="172"/>
      <c r="QQI1" s="172"/>
      <c r="QQJ1" s="172"/>
      <c r="QQK1" s="172"/>
      <c r="QQL1" s="172"/>
      <c r="QQM1" s="172"/>
      <c r="QQN1" s="172"/>
      <c r="QQO1" s="172"/>
      <c r="QQP1" s="172"/>
      <c r="QQQ1" s="172"/>
      <c r="QQR1" s="172"/>
      <c r="QQS1" s="172"/>
      <c r="QQT1" s="172"/>
      <c r="QQU1" s="172"/>
      <c r="QQV1" s="172"/>
      <c r="QQW1" s="172"/>
      <c r="QQX1" s="172"/>
      <c r="QQY1" s="172"/>
      <c r="QQZ1" s="172"/>
      <c r="QRA1" s="172"/>
      <c r="QRB1" s="172"/>
      <c r="QRC1" s="172"/>
      <c r="QRD1" s="172"/>
      <c r="QRE1" s="172"/>
      <c r="QRF1" s="172"/>
      <c r="QRG1" s="172"/>
      <c r="QRH1" s="172"/>
      <c r="QRI1" s="172"/>
      <c r="QRJ1" s="172"/>
      <c r="QRK1" s="172"/>
      <c r="QRL1" s="172"/>
      <c r="QRM1" s="172"/>
      <c r="QRN1" s="172"/>
      <c r="QRO1" s="172"/>
      <c r="QRP1" s="172"/>
      <c r="QRQ1" s="172"/>
      <c r="QRR1" s="172"/>
      <c r="QRS1" s="172"/>
      <c r="QRT1" s="172"/>
      <c r="QRU1" s="172"/>
      <c r="QRV1" s="172"/>
      <c r="QRW1" s="172"/>
      <c r="QRX1" s="172"/>
      <c r="QRY1" s="172"/>
      <c r="QRZ1" s="172"/>
      <c r="QSA1" s="172"/>
      <c r="QSB1" s="172"/>
      <c r="QSC1" s="172"/>
      <c r="QSD1" s="172"/>
      <c r="QSE1" s="172"/>
      <c r="QSF1" s="172"/>
      <c r="QSG1" s="172"/>
      <c r="QSH1" s="172"/>
      <c r="QSI1" s="172"/>
      <c r="QSJ1" s="172"/>
      <c r="QSK1" s="172"/>
      <c r="QSL1" s="172"/>
      <c r="QSM1" s="172"/>
      <c r="QSN1" s="172"/>
      <c r="QSO1" s="172"/>
      <c r="QSP1" s="172"/>
      <c r="QSQ1" s="172"/>
      <c r="QSR1" s="172"/>
      <c r="QSS1" s="172"/>
      <c r="QST1" s="172"/>
      <c r="QSU1" s="172"/>
      <c r="QSV1" s="172"/>
      <c r="QSW1" s="172"/>
      <c r="QSX1" s="172"/>
      <c r="QSY1" s="172"/>
      <c r="QSZ1" s="172"/>
      <c r="QTA1" s="172"/>
      <c r="QTB1" s="172"/>
      <c r="QTC1" s="172"/>
      <c r="QTD1" s="172"/>
      <c r="QTE1" s="172"/>
      <c r="QTF1" s="172"/>
      <c r="QTG1" s="172"/>
      <c r="QTH1" s="172"/>
      <c r="QTI1" s="172"/>
      <c r="QTJ1" s="172"/>
      <c r="QTK1" s="172"/>
      <c r="QTL1" s="172"/>
      <c r="QTM1" s="172"/>
      <c r="QTN1" s="172"/>
      <c r="QTO1" s="172"/>
      <c r="QTP1" s="172"/>
      <c r="QTQ1" s="172"/>
      <c r="QTR1" s="172"/>
      <c r="QTS1" s="172"/>
      <c r="QTT1" s="172"/>
      <c r="QTU1" s="172"/>
      <c r="QTV1" s="172"/>
      <c r="QTW1" s="172"/>
      <c r="QTX1" s="172"/>
      <c r="QTY1" s="172"/>
      <c r="QTZ1" s="172"/>
      <c r="QUA1" s="172"/>
      <c r="QUB1" s="172"/>
      <c r="QUC1" s="172"/>
      <c r="QUD1" s="172"/>
      <c r="QUE1" s="172"/>
      <c r="QUF1" s="172"/>
      <c r="QUG1" s="172"/>
      <c r="QUH1" s="172"/>
      <c r="QUI1" s="172"/>
      <c r="QUJ1" s="172"/>
      <c r="QUK1" s="172"/>
      <c r="QUL1" s="172"/>
      <c r="QUM1" s="172"/>
      <c r="QUN1" s="172"/>
      <c r="QUO1" s="172"/>
      <c r="QUP1" s="172"/>
      <c r="QUQ1" s="172"/>
      <c r="QUR1" s="172"/>
      <c r="QUS1" s="172"/>
      <c r="QUT1" s="172"/>
      <c r="QUU1" s="172"/>
      <c r="QUV1" s="172"/>
      <c r="QUW1" s="172"/>
      <c r="QUX1" s="172"/>
      <c r="QUY1" s="172"/>
      <c r="QUZ1" s="172"/>
      <c r="QVA1" s="172"/>
      <c r="QVB1" s="172"/>
      <c r="QVC1" s="172"/>
      <c r="QVD1" s="172"/>
      <c r="QVE1" s="172"/>
      <c r="QVF1" s="172"/>
      <c r="QVG1" s="172"/>
      <c r="QVH1" s="172"/>
      <c r="QVI1" s="172"/>
      <c r="QVJ1" s="172"/>
      <c r="QVK1" s="172"/>
      <c r="QVL1" s="172"/>
      <c r="QVM1" s="172"/>
      <c r="QVN1" s="172"/>
      <c r="QVO1" s="172"/>
      <c r="QVP1" s="172"/>
      <c r="QVQ1" s="172"/>
      <c r="QVR1" s="172"/>
      <c r="QVS1" s="172"/>
      <c r="QVT1" s="172"/>
      <c r="QVU1" s="172"/>
      <c r="QVV1" s="172"/>
      <c r="QVW1" s="172"/>
      <c r="QVX1" s="172"/>
      <c r="QVY1" s="172"/>
      <c r="QVZ1" s="172"/>
      <c r="QWA1" s="172"/>
      <c r="QWB1" s="172"/>
      <c r="QWC1" s="172"/>
      <c r="QWD1" s="172"/>
      <c r="QWE1" s="172"/>
      <c r="QWF1" s="172"/>
      <c r="QWG1" s="172"/>
      <c r="QWH1" s="172"/>
      <c r="QWI1" s="172"/>
      <c r="QWJ1" s="172"/>
      <c r="QWK1" s="172"/>
      <c r="QWL1" s="172"/>
      <c r="QWM1" s="172"/>
      <c r="QWN1" s="172"/>
      <c r="QWO1" s="172"/>
      <c r="QWP1" s="172"/>
      <c r="QWQ1" s="172"/>
      <c r="QWR1" s="172"/>
      <c r="QWS1" s="172"/>
      <c r="QWT1" s="172"/>
      <c r="QWU1" s="172"/>
      <c r="QWV1" s="172"/>
      <c r="QWW1" s="172"/>
      <c r="QWX1" s="172"/>
      <c r="QWY1" s="172"/>
      <c r="QWZ1" s="172"/>
      <c r="QXA1" s="172"/>
      <c r="QXB1" s="172"/>
      <c r="QXC1" s="172"/>
      <c r="QXD1" s="172"/>
      <c r="QXE1" s="172"/>
      <c r="QXF1" s="172"/>
      <c r="QXG1" s="172"/>
      <c r="QXH1" s="172"/>
      <c r="QXI1" s="172"/>
      <c r="QXJ1" s="172"/>
      <c r="QXK1" s="172"/>
      <c r="QXL1" s="172"/>
      <c r="QXM1" s="172"/>
      <c r="QXN1" s="172"/>
      <c r="QXO1" s="172"/>
      <c r="QXP1" s="172"/>
      <c r="QXQ1" s="172"/>
      <c r="QXR1" s="172"/>
      <c r="QXS1" s="172"/>
      <c r="QXT1" s="172"/>
      <c r="QXU1" s="172"/>
      <c r="QXV1" s="172"/>
      <c r="QXW1" s="172"/>
      <c r="QXX1" s="172"/>
      <c r="QXY1" s="172"/>
      <c r="QXZ1" s="172"/>
      <c r="QYA1" s="172"/>
      <c r="QYB1" s="172"/>
      <c r="QYC1" s="172"/>
      <c r="QYD1" s="172"/>
      <c r="QYE1" s="172"/>
      <c r="QYF1" s="172"/>
      <c r="QYG1" s="172"/>
      <c r="QYH1" s="172"/>
      <c r="QYI1" s="172"/>
      <c r="QYJ1" s="172"/>
      <c r="QYK1" s="172"/>
      <c r="QYL1" s="172"/>
      <c r="QYM1" s="172"/>
      <c r="QYN1" s="172"/>
      <c r="QYO1" s="172"/>
      <c r="QYP1" s="172"/>
      <c r="QYQ1" s="172"/>
      <c r="QYR1" s="172"/>
      <c r="QYS1" s="172"/>
      <c r="QYT1" s="172"/>
      <c r="QYU1" s="172"/>
      <c r="QYV1" s="172"/>
      <c r="QYW1" s="172"/>
      <c r="QYX1" s="172"/>
      <c r="QYY1" s="172"/>
      <c r="QYZ1" s="172"/>
      <c r="QZA1" s="172"/>
      <c r="QZB1" s="172"/>
      <c r="QZC1" s="172"/>
      <c r="QZD1" s="172"/>
      <c r="QZE1" s="172"/>
      <c r="QZF1" s="172"/>
      <c r="QZG1" s="172"/>
      <c r="QZH1" s="172"/>
      <c r="QZI1" s="172"/>
      <c r="QZJ1" s="172"/>
      <c r="QZK1" s="172"/>
      <c r="QZL1" s="172"/>
      <c r="QZM1" s="172"/>
      <c r="QZN1" s="172"/>
      <c r="QZO1" s="172"/>
      <c r="QZP1" s="172"/>
      <c r="QZQ1" s="172"/>
      <c r="QZR1" s="172"/>
      <c r="QZS1" s="172"/>
      <c r="QZT1" s="172"/>
      <c r="QZU1" s="172"/>
      <c r="QZV1" s="172"/>
      <c r="QZW1" s="172"/>
      <c r="QZX1" s="172"/>
      <c r="QZY1" s="172"/>
      <c r="QZZ1" s="172"/>
      <c r="RAA1" s="172"/>
      <c r="RAB1" s="172"/>
      <c r="RAC1" s="172"/>
      <c r="RAD1" s="172"/>
      <c r="RAE1" s="172"/>
      <c r="RAF1" s="172"/>
      <c r="RAG1" s="172"/>
      <c r="RAH1" s="172"/>
      <c r="RAI1" s="172"/>
      <c r="RAJ1" s="172"/>
      <c r="RAK1" s="172"/>
      <c r="RAL1" s="172"/>
      <c r="RAM1" s="172"/>
      <c r="RAN1" s="172"/>
      <c r="RAO1" s="172"/>
      <c r="RAP1" s="172"/>
      <c r="RAQ1" s="172"/>
      <c r="RAR1" s="172"/>
      <c r="RAS1" s="172"/>
      <c r="RAT1" s="172"/>
      <c r="RAU1" s="172"/>
      <c r="RAV1" s="172"/>
      <c r="RAW1" s="172"/>
      <c r="RAX1" s="172"/>
      <c r="RAY1" s="172"/>
      <c r="RAZ1" s="172"/>
      <c r="RBA1" s="172"/>
      <c r="RBB1" s="172"/>
      <c r="RBC1" s="172"/>
      <c r="RBD1" s="172"/>
      <c r="RBE1" s="172"/>
      <c r="RBF1" s="172"/>
      <c r="RBG1" s="172"/>
      <c r="RBH1" s="172"/>
      <c r="RBI1" s="172"/>
      <c r="RBJ1" s="172"/>
      <c r="RBK1" s="172"/>
      <c r="RBL1" s="172"/>
      <c r="RBM1" s="172"/>
      <c r="RBN1" s="172"/>
      <c r="RBO1" s="172"/>
      <c r="RBP1" s="172"/>
      <c r="RBQ1" s="172"/>
      <c r="RBR1" s="172"/>
      <c r="RBS1" s="172"/>
      <c r="RBT1" s="172"/>
      <c r="RBU1" s="172"/>
      <c r="RBV1" s="172"/>
      <c r="RBW1" s="172"/>
      <c r="RBX1" s="172"/>
      <c r="RBY1" s="172"/>
      <c r="RBZ1" s="172"/>
      <c r="RCA1" s="172"/>
      <c r="RCB1" s="172"/>
      <c r="RCC1" s="172"/>
      <c r="RCD1" s="172"/>
      <c r="RCE1" s="172"/>
      <c r="RCF1" s="172"/>
      <c r="RCG1" s="172"/>
      <c r="RCH1" s="172"/>
      <c r="RCI1" s="172"/>
      <c r="RCJ1" s="172"/>
      <c r="RCK1" s="172"/>
      <c r="RCL1" s="172"/>
      <c r="RCM1" s="172"/>
      <c r="RCN1" s="172"/>
      <c r="RCO1" s="172"/>
      <c r="RCP1" s="172"/>
      <c r="RCQ1" s="172"/>
      <c r="RCR1" s="172"/>
      <c r="RCS1" s="172"/>
      <c r="RCT1" s="172"/>
      <c r="RCU1" s="172"/>
      <c r="RCV1" s="172"/>
      <c r="RCW1" s="172"/>
      <c r="RCX1" s="172"/>
      <c r="RCY1" s="172"/>
      <c r="RCZ1" s="172"/>
      <c r="RDA1" s="172"/>
      <c r="RDB1" s="172"/>
      <c r="RDC1" s="172"/>
      <c r="RDD1" s="172"/>
      <c r="RDE1" s="172"/>
      <c r="RDF1" s="172"/>
      <c r="RDG1" s="172"/>
      <c r="RDH1" s="172"/>
      <c r="RDI1" s="172"/>
      <c r="RDJ1" s="172"/>
      <c r="RDK1" s="172"/>
      <c r="RDL1" s="172"/>
      <c r="RDM1" s="172"/>
      <c r="RDN1" s="172"/>
      <c r="RDO1" s="172"/>
      <c r="RDP1" s="172"/>
      <c r="RDQ1" s="172"/>
      <c r="RDR1" s="172"/>
      <c r="RDS1" s="172"/>
      <c r="RDT1" s="172"/>
      <c r="RDU1" s="172"/>
      <c r="RDV1" s="172"/>
      <c r="RDW1" s="172"/>
      <c r="RDX1" s="172"/>
      <c r="RDY1" s="172"/>
      <c r="RDZ1" s="172"/>
      <c r="REA1" s="172"/>
      <c r="REB1" s="172"/>
      <c r="REC1" s="172"/>
      <c r="RED1" s="172"/>
      <c r="REE1" s="172"/>
      <c r="REF1" s="172"/>
      <c r="REG1" s="172"/>
      <c r="REH1" s="172"/>
      <c r="REI1" s="172"/>
      <c r="REJ1" s="172"/>
      <c r="REK1" s="172"/>
      <c r="REL1" s="172"/>
      <c r="REM1" s="172"/>
      <c r="REN1" s="172"/>
      <c r="REO1" s="172"/>
      <c r="REP1" s="172"/>
      <c r="REQ1" s="172"/>
      <c r="RER1" s="172"/>
      <c r="RES1" s="172"/>
      <c r="RET1" s="172"/>
      <c r="REU1" s="172"/>
      <c r="REV1" s="172"/>
      <c r="REW1" s="172"/>
      <c r="REX1" s="172"/>
      <c r="REY1" s="172"/>
      <c r="REZ1" s="172"/>
      <c r="RFA1" s="172"/>
      <c r="RFB1" s="172"/>
      <c r="RFC1" s="172"/>
      <c r="RFD1" s="172"/>
      <c r="RFE1" s="172"/>
      <c r="RFF1" s="172"/>
      <c r="RFG1" s="172"/>
      <c r="RFH1" s="172"/>
      <c r="RFI1" s="172"/>
      <c r="RFJ1" s="172"/>
      <c r="RFK1" s="172"/>
      <c r="RFL1" s="172"/>
      <c r="RFM1" s="172"/>
      <c r="RFN1" s="172"/>
      <c r="RFO1" s="172"/>
      <c r="RFP1" s="172"/>
      <c r="RFQ1" s="172"/>
      <c r="RFR1" s="172"/>
      <c r="RFS1" s="172"/>
      <c r="RFT1" s="172"/>
      <c r="RFU1" s="172"/>
      <c r="RFV1" s="172"/>
      <c r="RFW1" s="172"/>
      <c r="RFX1" s="172"/>
      <c r="RFY1" s="172"/>
      <c r="RFZ1" s="172"/>
      <c r="RGA1" s="172"/>
      <c r="RGB1" s="172"/>
      <c r="RGC1" s="172"/>
      <c r="RGD1" s="172"/>
      <c r="RGE1" s="172"/>
      <c r="RGF1" s="172"/>
      <c r="RGG1" s="172"/>
      <c r="RGH1" s="172"/>
      <c r="RGI1" s="172"/>
      <c r="RGJ1" s="172"/>
      <c r="RGK1" s="172"/>
      <c r="RGL1" s="172"/>
      <c r="RGM1" s="172"/>
      <c r="RGN1" s="172"/>
      <c r="RGO1" s="172"/>
      <c r="RGP1" s="172"/>
      <c r="RGQ1" s="172"/>
      <c r="RGR1" s="172"/>
      <c r="RGS1" s="172"/>
      <c r="RGT1" s="172"/>
      <c r="RGU1" s="172"/>
      <c r="RGV1" s="172"/>
      <c r="RGW1" s="172"/>
      <c r="RGX1" s="172"/>
      <c r="RGY1" s="172"/>
      <c r="RGZ1" s="172"/>
      <c r="RHA1" s="172"/>
      <c r="RHB1" s="172"/>
      <c r="RHC1" s="172"/>
      <c r="RHD1" s="172"/>
      <c r="RHE1" s="172"/>
      <c r="RHF1" s="172"/>
      <c r="RHG1" s="172"/>
      <c r="RHH1" s="172"/>
      <c r="RHI1" s="172"/>
      <c r="RHJ1" s="172"/>
      <c r="RHK1" s="172"/>
      <c r="RHL1" s="172"/>
      <c r="RHM1" s="172"/>
      <c r="RHN1" s="172"/>
      <c r="RHO1" s="172"/>
      <c r="RHP1" s="172"/>
      <c r="RHQ1" s="172"/>
      <c r="RHR1" s="172"/>
      <c r="RHS1" s="172"/>
      <c r="RHT1" s="172"/>
      <c r="RHU1" s="172"/>
      <c r="RHV1" s="172"/>
      <c r="RHW1" s="172"/>
      <c r="RHX1" s="172"/>
      <c r="RHY1" s="172"/>
      <c r="RHZ1" s="172"/>
      <c r="RIA1" s="172"/>
      <c r="RIB1" s="172"/>
      <c r="RIC1" s="172"/>
      <c r="RID1" s="172"/>
      <c r="RIE1" s="172"/>
      <c r="RIF1" s="172"/>
      <c r="RIG1" s="172"/>
      <c r="RIH1" s="172"/>
      <c r="RII1" s="172"/>
      <c r="RIJ1" s="172"/>
      <c r="RIK1" s="172"/>
      <c r="RIL1" s="172"/>
      <c r="RIM1" s="172"/>
      <c r="RIN1" s="172"/>
      <c r="RIO1" s="172"/>
      <c r="RIP1" s="172"/>
      <c r="RIQ1" s="172"/>
      <c r="RIR1" s="172"/>
      <c r="RIS1" s="172"/>
      <c r="RIT1" s="172"/>
      <c r="RIU1" s="172"/>
      <c r="RIV1" s="172"/>
      <c r="RIW1" s="172"/>
      <c r="RIX1" s="172"/>
      <c r="RIY1" s="172"/>
      <c r="RIZ1" s="172"/>
      <c r="RJA1" s="172"/>
      <c r="RJB1" s="172"/>
      <c r="RJC1" s="172"/>
      <c r="RJD1" s="172"/>
      <c r="RJE1" s="172"/>
      <c r="RJF1" s="172"/>
      <c r="RJG1" s="172"/>
      <c r="RJH1" s="172"/>
      <c r="RJI1" s="172"/>
      <c r="RJJ1" s="172"/>
      <c r="RJK1" s="172"/>
      <c r="RJL1" s="172"/>
      <c r="RJM1" s="172"/>
      <c r="RJN1" s="172"/>
      <c r="RJO1" s="172"/>
      <c r="RJP1" s="172"/>
      <c r="RJQ1" s="172"/>
      <c r="RJR1" s="172"/>
      <c r="RJS1" s="172"/>
      <c r="RJT1" s="172"/>
      <c r="RJU1" s="172"/>
      <c r="RJV1" s="172"/>
      <c r="RJW1" s="172"/>
      <c r="RJX1" s="172"/>
      <c r="RJY1" s="172"/>
      <c r="RJZ1" s="172"/>
      <c r="RKA1" s="172"/>
      <c r="RKB1" s="172"/>
      <c r="RKC1" s="172"/>
      <c r="RKD1" s="172"/>
      <c r="RKE1" s="172"/>
      <c r="RKF1" s="172"/>
      <c r="RKG1" s="172"/>
      <c r="RKH1" s="172"/>
      <c r="RKI1" s="172"/>
      <c r="RKJ1" s="172"/>
      <c r="RKK1" s="172"/>
      <c r="RKL1" s="172"/>
      <c r="RKM1" s="172"/>
      <c r="RKN1" s="172"/>
      <c r="RKO1" s="172"/>
      <c r="RKP1" s="172"/>
      <c r="RKQ1" s="172"/>
      <c r="RKR1" s="172"/>
      <c r="RKS1" s="172"/>
      <c r="RKT1" s="172"/>
      <c r="RKU1" s="172"/>
      <c r="RKV1" s="172"/>
      <c r="RKW1" s="172"/>
      <c r="RKX1" s="172"/>
      <c r="RKY1" s="172"/>
      <c r="RKZ1" s="172"/>
      <c r="RLA1" s="172"/>
      <c r="RLB1" s="172"/>
      <c r="RLC1" s="172"/>
      <c r="RLD1" s="172"/>
      <c r="RLE1" s="172"/>
      <c r="RLF1" s="172"/>
      <c r="RLG1" s="172"/>
      <c r="RLH1" s="172"/>
      <c r="RLI1" s="172"/>
      <c r="RLJ1" s="172"/>
      <c r="RLK1" s="172"/>
      <c r="RLL1" s="172"/>
      <c r="RLM1" s="172"/>
      <c r="RLN1" s="172"/>
      <c r="RLO1" s="172"/>
      <c r="RLP1" s="172"/>
      <c r="RLQ1" s="172"/>
      <c r="RLR1" s="172"/>
      <c r="RLS1" s="172"/>
      <c r="RLT1" s="172"/>
      <c r="RLU1" s="172"/>
      <c r="RLV1" s="172"/>
      <c r="RLW1" s="172"/>
      <c r="RLX1" s="172"/>
      <c r="RLY1" s="172"/>
      <c r="RLZ1" s="172"/>
      <c r="RMA1" s="172"/>
      <c r="RMB1" s="172"/>
      <c r="RMC1" s="172"/>
      <c r="RMD1" s="172"/>
      <c r="RME1" s="172"/>
      <c r="RMF1" s="172"/>
      <c r="RMG1" s="172"/>
      <c r="RMH1" s="172"/>
      <c r="RMI1" s="172"/>
      <c r="RMJ1" s="172"/>
      <c r="RMK1" s="172"/>
      <c r="RML1" s="172"/>
      <c r="RMM1" s="172"/>
      <c r="RMN1" s="172"/>
      <c r="RMO1" s="172"/>
      <c r="RMP1" s="172"/>
      <c r="RMQ1" s="172"/>
      <c r="RMR1" s="172"/>
      <c r="RMS1" s="172"/>
      <c r="RMT1" s="172"/>
      <c r="RMU1" s="172"/>
      <c r="RMV1" s="172"/>
      <c r="RMW1" s="172"/>
      <c r="RMX1" s="172"/>
      <c r="RMY1" s="172"/>
      <c r="RMZ1" s="172"/>
      <c r="RNA1" s="172"/>
      <c r="RNB1" s="172"/>
      <c r="RNC1" s="172"/>
      <c r="RND1" s="172"/>
      <c r="RNE1" s="172"/>
      <c r="RNF1" s="172"/>
      <c r="RNG1" s="172"/>
      <c r="RNH1" s="172"/>
      <c r="RNI1" s="172"/>
      <c r="RNJ1" s="172"/>
      <c r="RNK1" s="172"/>
      <c r="RNL1" s="172"/>
      <c r="RNM1" s="172"/>
      <c r="RNN1" s="172"/>
      <c r="RNO1" s="172"/>
      <c r="RNP1" s="172"/>
      <c r="RNQ1" s="172"/>
      <c r="RNR1" s="172"/>
      <c r="RNS1" s="172"/>
      <c r="RNT1" s="172"/>
      <c r="RNU1" s="172"/>
      <c r="RNV1" s="172"/>
      <c r="RNW1" s="172"/>
      <c r="RNX1" s="172"/>
      <c r="RNY1" s="172"/>
      <c r="RNZ1" s="172"/>
      <c r="ROA1" s="172"/>
      <c r="ROB1" s="172"/>
      <c r="ROC1" s="172"/>
      <c r="ROD1" s="172"/>
      <c r="ROE1" s="172"/>
      <c r="ROF1" s="172"/>
      <c r="ROG1" s="172"/>
      <c r="ROH1" s="172"/>
      <c r="ROI1" s="172"/>
      <c r="ROJ1" s="172"/>
      <c r="ROK1" s="172"/>
      <c r="ROL1" s="172"/>
      <c r="ROM1" s="172"/>
      <c r="RON1" s="172"/>
      <c r="ROO1" s="172"/>
      <c r="ROP1" s="172"/>
      <c r="ROQ1" s="172"/>
      <c r="ROR1" s="172"/>
      <c r="ROS1" s="172"/>
      <c r="ROT1" s="172"/>
      <c r="ROU1" s="172"/>
      <c r="ROV1" s="172"/>
      <c r="ROW1" s="172"/>
      <c r="ROX1" s="172"/>
      <c r="ROY1" s="172"/>
      <c r="ROZ1" s="172"/>
      <c r="RPA1" s="172"/>
      <c r="RPB1" s="172"/>
      <c r="RPC1" s="172"/>
      <c r="RPD1" s="172"/>
      <c r="RPE1" s="172"/>
      <c r="RPF1" s="172"/>
      <c r="RPG1" s="172"/>
      <c r="RPH1" s="172"/>
      <c r="RPI1" s="172"/>
      <c r="RPJ1" s="172"/>
      <c r="RPK1" s="172"/>
      <c r="RPL1" s="172"/>
      <c r="RPM1" s="172"/>
      <c r="RPN1" s="172"/>
      <c r="RPO1" s="172"/>
      <c r="RPP1" s="172"/>
      <c r="RPQ1" s="172"/>
      <c r="RPR1" s="172"/>
      <c r="RPS1" s="172"/>
      <c r="RPT1" s="172"/>
      <c r="RPU1" s="172"/>
      <c r="RPV1" s="172"/>
      <c r="RPW1" s="172"/>
      <c r="RPX1" s="172"/>
      <c r="RPY1" s="172"/>
      <c r="RPZ1" s="172"/>
      <c r="RQA1" s="172"/>
      <c r="RQB1" s="172"/>
      <c r="RQC1" s="172"/>
      <c r="RQD1" s="172"/>
      <c r="RQE1" s="172"/>
      <c r="RQF1" s="172"/>
      <c r="RQG1" s="172"/>
      <c r="RQH1" s="172"/>
      <c r="RQI1" s="172"/>
      <c r="RQJ1" s="172"/>
      <c r="RQK1" s="172"/>
      <c r="RQL1" s="172"/>
      <c r="RQM1" s="172"/>
      <c r="RQN1" s="172"/>
      <c r="RQO1" s="172"/>
      <c r="RQP1" s="172"/>
      <c r="RQQ1" s="172"/>
      <c r="RQR1" s="172"/>
      <c r="RQS1" s="172"/>
      <c r="RQT1" s="172"/>
      <c r="RQU1" s="172"/>
      <c r="RQV1" s="172"/>
      <c r="RQW1" s="172"/>
      <c r="RQX1" s="172"/>
      <c r="RQY1" s="172"/>
      <c r="RQZ1" s="172"/>
      <c r="RRA1" s="172"/>
      <c r="RRB1" s="172"/>
      <c r="RRC1" s="172"/>
      <c r="RRD1" s="172"/>
      <c r="RRE1" s="172"/>
      <c r="RRF1" s="172"/>
      <c r="RRG1" s="172"/>
      <c r="RRH1" s="172"/>
      <c r="RRI1" s="172"/>
      <c r="RRJ1" s="172"/>
      <c r="RRK1" s="172"/>
      <c r="RRL1" s="172"/>
      <c r="RRM1" s="172"/>
      <c r="RRN1" s="172"/>
      <c r="RRO1" s="172"/>
      <c r="RRP1" s="172"/>
      <c r="RRQ1" s="172"/>
      <c r="RRR1" s="172"/>
      <c r="RRS1" s="172"/>
      <c r="RRT1" s="172"/>
      <c r="RRU1" s="172"/>
      <c r="RRV1" s="172"/>
      <c r="RRW1" s="172"/>
      <c r="RRX1" s="172"/>
      <c r="RRY1" s="172"/>
      <c r="RRZ1" s="172"/>
      <c r="RSA1" s="172"/>
      <c r="RSB1" s="172"/>
      <c r="RSC1" s="172"/>
      <c r="RSD1" s="172"/>
      <c r="RSE1" s="172"/>
      <c r="RSF1" s="172"/>
      <c r="RSG1" s="172"/>
      <c r="RSH1" s="172"/>
      <c r="RSI1" s="172"/>
      <c r="RSJ1" s="172"/>
      <c r="RSK1" s="172"/>
      <c r="RSL1" s="172"/>
      <c r="RSM1" s="172"/>
      <c r="RSN1" s="172"/>
      <c r="RSO1" s="172"/>
      <c r="RSP1" s="172"/>
      <c r="RSQ1" s="172"/>
      <c r="RSR1" s="172"/>
      <c r="RSS1" s="172"/>
      <c r="RST1" s="172"/>
      <c r="RSU1" s="172"/>
      <c r="RSV1" s="172"/>
      <c r="RSW1" s="172"/>
      <c r="RSX1" s="172"/>
      <c r="RSY1" s="172"/>
      <c r="RSZ1" s="172"/>
      <c r="RTA1" s="172"/>
      <c r="RTB1" s="172"/>
      <c r="RTC1" s="172"/>
      <c r="RTD1" s="172"/>
      <c r="RTE1" s="172"/>
      <c r="RTF1" s="172"/>
      <c r="RTG1" s="172"/>
      <c r="RTH1" s="172"/>
      <c r="RTI1" s="172"/>
      <c r="RTJ1" s="172"/>
      <c r="RTK1" s="172"/>
      <c r="RTL1" s="172"/>
      <c r="RTM1" s="172"/>
      <c r="RTN1" s="172"/>
      <c r="RTO1" s="172"/>
      <c r="RTP1" s="172"/>
      <c r="RTQ1" s="172"/>
      <c r="RTR1" s="172"/>
      <c r="RTS1" s="172"/>
      <c r="RTT1" s="172"/>
      <c r="RTU1" s="172"/>
      <c r="RTV1" s="172"/>
      <c r="RTW1" s="172"/>
      <c r="RTX1" s="172"/>
      <c r="RTY1" s="172"/>
      <c r="RTZ1" s="172"/>
      <c r="RUA1" s="172"/>
      <c r="RUB1" s="172"/>
      <c r="RUC1" s="172"/>
      <c r="RUD1" s="172"/>
      <c r="RUE1" s="172"/>
      <c r="RUF1" s="172"/>
      <c r="RUG1" s="172"/>
      <c r="RUH1" s="172"/>
      <c r="RUI1" s="172"/>
      <c r="RUJ1" s="172"/>
      <c r="RUK1" s="172"/>
      <c r="RUL1" s="172"/>
      <c r="RUM1" s="172"/>
      <c r="RUN1" s="172"/>
      <c r="RUO1" s="172"/>
      <c r="RUP1" s="172"/>
      <c r="RUQ1" s="172"/>
      <c r="RUR1" s="172"/>
      <c r="RUS1" s="172"/>
      <c r="RUT1" s="172"/>
      <c r="RUU1" s="172"/>
      <c r="RUV1" s="172"/>
      <c r="RUW1" s="172"/>
      <c r="RUX1" s="172"/>
      <c r="RUY1" s="172"/>
      <c r="RUZ1" s="172"/>
      <c r="RVA1" s="172"/>
      <c r="RVB1" s="172"/>
      <c r="RVC1" s="172"/>
      <c r="RVD1" s="172"/>
      <c r="RVE1" s="172"/>
      <c r="RVF1" s="172"/>
      <c r="RVG1" s="172"/>
      <c r="RVH1" s="172"/>
      <c r="RVI1" s="172"/>
      <c r="RVJ1" s="172"/>
      <c r="RVK1" s="172"/>
      <c r="RVL1" s="172"/>
      <c r="RVM1" s="172"/>
      <c r="RVN1" s="172"/>
      <c r="RVO1" s="172"/>
      <c r="RVP1" s="172"/>
      <c r="RVQ1" s="172"/>
      <c r="RVR1" s="172"/>
      <c r="RVS1" s="172"/>
      <c r="RVT1" s="172"/>
      <c r="RVU1" s="172"/>
      <c r="RVV1" s="172"/>
      <c r="RVW1" s="172"/>
      <c r="RVX1" s="172"/>
      <c r="RVY1" s="172"/>
      <c r="RVZ1" s="172"/>
      <c r="RWA1" s="172"/>
      <c r="RWB1" s="172"/>
      <c r="RWC1" s="172"/>
      <c r="RWD1" s="172"/>
      <c r="RWE1" s="172"/>
      <c r="RWF1" s="172"/>
      <c r="RWG1" s="172"/>
      <c r="RWH1" s="172"/>
      <c r="RWI1" s="172"/>
      <c r="RWJ1" s="172"/>
      <c r="RWK1" s="172"/>
      <c r="RWL1" s="172"/>
      <c r="RWM1" s="172"/>
      <c r="RWN1" s="172"/>
      <c r="RWO1" s="172"/>
      <c r="RWP1" s="172"/>
      <c r="RWQ1" s="172"/>
      <c r="RWR1" s="172"/>
      <c r="RWS1" s="172"/>
      <c r="RWT1" s="172"/>
      <c r="RWU1" s="172"/>
      <c r="RWV1" s="172"/>
      <c r="RWW1" s="172"/>
      <c r="RWX1" s="172"/>
      <c r="RWY1" s="172"/>
      <c r="RWZ1" s="172"/>
      <c r="RXA1" s="172"/>
      <c r="RXB1" s="172"/>
      <c r="RXC1" s="172"/>
      <c r="RXD1" s="172"/>
      <c r="RXE1" s="172"/>
      <c r="RXF1" s="172"/>
      <c r="RXG1" s="172"/>
      <c r="RXH1" s="172"/>
      <c r="RXI1" s="172"/>
      <c r="RXJ1" s="172"/>
      <c r="RXK1" s="172"/>
      <c r="RXL1" s="172"/>
      <c r="RXM1" s="172"/>
      <c r="RXN1" s="172"/>
      <c r="RXO1" s="172"/>
      <c r="RXP1" s="172"/>
      <c r="RXQ1" s="172"/>
      <c r="RXR1" s="172"/>
      <c r="RXS1" s="172"/>
      <c r="RXT1" s="172"/>
      <c r="RXU1" s="172"/>
      <c r="RXV1" s="172"/>
      <c r="RXW1" s="172"/>
      <c r="RXX1" s="172"/>
      <c r="RXY1" s="172"/>
      <c r="RXZ1" s="172"/>
      <c r="RYA1" s="172"/>
      <c r="RYB1" s="172"/>
      <c r="RYC1" s="172"/>
      <c r="RYD1" s="172"/>
      <c r="RYE1" s="172"/>
      <c r="RYF1" s="172"/>
      <c r="RYG1" s="172"/>
      <c r="RYH1" s="172"/>
      <c r="RYI1" s="172"/>
      <c r="RYJ1" s="172"/>
      <c r="RYK1" s="172"/>
      <c r="RYL1" s="172"/>
      <c r="RYM1" s="172"/>
      <c r="RYN1" s="172"/>
      <c r="RYO1" s="172"/>
      <c r="RYP1" s="172"/>
      <c r="RYQ1" s="172"/>
      <c r="RYR1" s="172"/>
      <c r="RYS1" s="172"/>
      <c r="RYT1" s="172"/>
      <c r="RYU1" s="172"/>
      <c r="RYV1" s="172"/>
      <c r="RYW1" s="172"/>
      <c r="RYX1" s="172"/>
      <c r="RYY1" s="172"/>
      <c r="RYZ1" s="172"/>
      <c r="RZA1" s="172"/>
      <c r="RZB1" s="172"/>
      <c r="RZC1" s="172"/>
      <c r="RZD1" s="172"/>
      <c r="RZE1" s="172"/>
      <c r="RZF1" s="172"/>
      <c r="RZG1" s="172"/>
      <c r="RZH1" s="172"/>
      <c r="RZI1" s="172"/>
      <c r="RZJ1" s="172"/>
      <c r="RZK1" s="172"/>
      <c r="RZL1" s="172"/>
      <c r="RZM1" s="172"/>
      <c r="RZN1" s="172"/>
      <c r="RZO1" s="172"/>
      <c r="RZP1" s="172"/>
      <c r="RZQ1" s="172"/>
      <c r="RZR1" s="172"/>
      <c r="RZS1" s="172"/>
      <c r="RZT1" s="172"/>
      <c r="RZU1" s="172"/>
      <c r="RZV1" s="172"/>
      <c r="RZW1" s="172"/>
      <c r="RZX1" s="172"/>
      <c r="RZY1" s="172"/>
      <c r="RZZ1" s="172"/>
      <c r="SAA1" s="172"/>
      <c r="SAB1" s="172"/>
      <c r="SAC1" s="172"/>
      <c r="SAD1" s="172"/>
      <c r="SAE1" s="172"/>
      <c r="SAF1" s="172"/>
      <c r="SAG1" s="172"/>
      <c r="SAH1" s="172"/>
      <c r="SAI1" s="172"/>
      <c r="SAJ1" s="172"/>
      <c r="SAK1" s="172"/>
      <c r="SAL1" s="172"/>
      <c r="SAM1" s="172"/>
      <c r="SAN1" s="172"/>
      <c r="SAO1" s="172"/>
      <c r="SAP1" s="172"/>
      <c r="SAQ1" s="172"/>
      <c r="SAR1" s="172"/>
      <c r="SAS1" s="172"/>
      <c r="SAT1" s="172"/>
      <c r="SAU1" s="172"/>
      <c r="SAV1" s="172"/>
      <c r="SAW1" s="172"/>
      <c r="SAX1" s="172"/>
      <c r="SAY1" s="172"/>
      <c r="SAZ1" s="172"/>
      <c r="SBA1" s="172"/>
      <c r="SBB1" s="172"/>
      <c r="SBC1" s="172"/>
      <c r="SBD1" s="172"/>
      <c r="SBE1" s="172"/>
      <c r="SBF1" s="172"/>
      <c r="SBG1" s="172"/>
      <c r="SBH1" s="172"/>
      <c r="SBI1" s="172"/>
      <c r="SBJ1" s="172"/>
      <c r="SBK1" s="172"/>
      <c r="SBL1" s="172"/>
      <c r="SBM1" s="172"/>
      <c r="SBN1" s="172"/>
      <c r="SBO1" s="172"/>
      <c r="SBP1" s="172"/>
      <c r="SBQ1" s="172"/>
      <c r="SBR1" s="172"/>
      <c r="SBS1" s="172"/>
      <c r="SBT1" s="172"/>
      <c r="SBU1" s="172"/>
      <c r="SBV1" s="172"/>
      <c r="SBW1" s="172"/>
      <c r="SBX1" s="172"/>
      <c r="SBY1" s="172"/>
      <c r="SBZ1" s="172"/>
      <c r="SCA1" s="172"/>
      <c r="SCB1" s="172"/>
      <c r="SCC1" s="172"/>
      <c r="SCD1" s="172"/>
      <c r="SCE1" s="172"/>
      <c r="SCF1" s="172"/>
      <c r="SCG1" s="172"/>
      <c r="SCH1" s="172"/>
      <c r="SCI1" s="172"/>
      <c r="SCJ1" s="172"/>
      <c r="SCK1" s="172"/>
      <c r="SCL1" s="172"/>
      <c r="SCM1" s="172"/>
      <c r="SCN1" s="172"/>
      <c r="SCO1" s="172"/>
      <c r="SCP1" s="172"/>
      <c r="SCQ1" s="172"/>
      <c r="SCR1" s="172"/>
      <c r="SCS1" s="172"/>
      <c r="SCT1" s="172"/>
      <c r="SCU1" s="172"/>
      <c r="SCV1" s="172"/>
      <c r="SCW1" s="172"/>
      <c r="SCX1" s="172"/>
      <c r="SCY1" s="172"/>
      <c r="SCZ1" s="172"/>
      <c r="SDA1" s="172"/>
      <c r="SDB1" s="172"/>
      <c r="SDC1" s="172"/>
      <c r="SDD1" s="172"/>
      <c r="SDE1" s="172"/>
      <c r="SDF1" s="172"/>
      <c r="SDG1" s="172"/>
      <c r="SDH1" s="172"/>
      <c r="SDI1" s="172"/>
      <c r="SDJ1" s="172"/>
      <c r="SDK1" s="172"/>
      <c r="SDL1" s="172"/>
      <c r="SDM1" s="172"/>
      <c r="SDN1" s="172"/>
      <c r="SDO1" s="172"/>
      <c r="SDP1" s="172"/>
      <c r="SDQ1" s="172"/>
      <c r="SDR1" s="172"/>
      <c r="SDS1" s="172"/>
      <c r="SDT1" s="172"/>
      <c r="SDU1" s="172"/>
      <c r="SDV1" s="172"/>
      <c r="SDW1" s="172"/>
      <c r="SDX1" s="172"/>
      <c r="SDY1" s="172"/>
      <c r="SDZ1" s="172"/>
      <c r="SEA1" s="172"/>
      <c r="SEB1" s="172"/>
      <c r="SEC1" s="172"/>
      <c r="SED1" s="172"/>
      <c r="SEE1" s="172"/>
      <c r="SEF1" s="172"/>
      <c r="SEG1" s="172"/>
      <c r="SEH1" s="172"/>
      <c r="SEI1" s="172"/>
      <c r="SEJ1" s="172"/>
      <c r="SEK1" s="172"/>
      <c r="SEL1" s="172"/>
      <c r="SEM1" s="172"/>
      <c r="SEN1" s="172"/>
      <c r="SEO1" s="172"/>
      <c r="SEP1" s="172"/>
      <c r="SEQ1" s="172"/>
      <c r="SER1" s="172"/>
      <c r="SES1" s="172"/>
      <c r="SET1" s="172"/>
      <c r="SEU1" s="172"/>
      <c r="SEV1" s="172"/>
      <c r="SEW1" s="172"/>
      <c r="SEX1" s="172"/>
      <c r="SEY1" s="172"/>
      <c r="SEZ1" s="172"/>
      <c r="SFA1" s="172"/>
      <c r="SFB1" s="172"/>
      <c r="SFC1" s="172"/>
      <c r="SFD1" s="172"/>
      <c r="SFE1" s="172"/>
      <c r="SFF1" s="172"/>
      <c r="SFG1" s="172"/>
      <c r="SFH1" s="172"/>
      <c r="SFI1" s="172"/>
      <c r="SFJ1" s="172"/>
      <c r="SFK1" s="172"/>
      <c r="SFL1" s="172"/>
      <c r="SFM1" s="172"/>
      <c r="SFN1" s="172"/>
      <c r="SFO1" s="172"/>
      <c r="SFP1" s="172"/>
      <c r="SFQ1" s="172"/>
      <c r="SFR1" s="172"/>
      <c r="SFS1" s="172"/>
      <c r="SFT1" s="172"/>
      <c r="SFU1" s="172"/>
      <c r="SFV1" s="172"/>
      <c r="SFW1" s="172"/>
      <c r="SFX1" s="172"/>
      <c r="SFY1" s="172"/>
      <c r="SFZ1" s="172"/>
      <c r="SGA1" s="172"/>
      <c r="SGB1" s="172"/>
      <c r="SGC1" s="172"/>
      <c r="SGD1" s="172"/>
      <c r="SGE1" s="172"/>
      <c r="SGF1" s="172"/>
      <c r="SGG1" s="172"/>
      <c r="SGH1" s="172"/>
      <c r="SGI1" s="172"/>
      <c r="SGJ1" s="172"/>
      <c r="SGK1" s="172"/>
      <c r="SGL1" s="172"/>
      <c r="SGM1" s="172"/>
      <c r="SGN1" s="172"/>
      <c r="SGO1" s="172"/>
      <c r="SGP1" s="172"/>
      <c r="SGQ1" s="172"/>
      <c r="SGR1" s="172"/>
      <c r="SGS1" s="172"/>
      <c r="SGT1" s="172"/>
      <c r="SGU1" s="172"/>
      <c r="SGV1" s="172"/>
      <c r="SGW1" s="172"/>
      <c r="SGX1" s="172"/>
      <c r="SGY1" s="172"/>
      <c r="SGZ1" s="172"/>
      <c r="SHA1" s="172"/>
      <c r="SHB1" s="172"/>
      <c r="SHC1" s="172"/>
      <c r="SHD1" s="172"/>
      <c r="SHE1" s="172"/>
      <c r="SHF1" s="172"/>
      <c r="SHG1" s="172"/>
      <c r="SHH1" s="172"/>
      <c r="SHI1" s="172"/>
      <c r="SHJ1" s="172"/>
      <c r="SHK1" s="172"/>
      <c r="SHL1" s="172"/>
      <c r="SHM1" s="172"/>
      <c r="SHN1" s="172"/>
      <c r="SHO1" s="172"/>
      <c r="SHP1" s="172"/>
      <c r="SHQ1" s="172"/>
      <c r="SHR1" s="172"/>
      <c r="SHS1" s="172"/>
      <c r="SHT1" s="172"/>
      <c r="SHU1" s="172"/>
      <c r="SHV1" s="172"/>
      <c r="SHW1" s="172"/>
      <c r="SHX1" s="172"/>
      <c r="SHY1" s="172"/>
      <c r="SHZ1" s="172"/>
      <c r="SIA1" s="172"/>
      <c r="SIB1" s="172"/>
      <c r="SIC1" s="172"/>
      <c r="SID1" s="172"/>
      <c r="SIE1" s="172"/>
      <c r="SIF1" s="172"/>
      <c r="SIG1" s="172"/>
      <c r="SIH1" s="172"/>
      <c r="SII1" s="172"/>
      <c r="SIJ1" s="172"/>
      <c r="SIK1" s="172"/>
      <c r="SIL1" s="172"/>
      <c r="SIM1" s="172"/>
      <c r="SIN1" s="172"/>
      <c r="SIO1" s="172"/>
      <c r="SIP1" s="172"/>
      <c r="SIQ1" s="172"/>
      <c r="SIR1" s="172"/>
      <c r="SIS1" s="172"/>
      <c r="SIT1" s="172"/>
      <c r="SIU1" s="172"/>
      <c r="SIV1" s="172"/>
      <c r="SIW1" s="172"/>
      <c r="SIX1" s="172"/>
      <c r="SIY1" s="172"/>
      <c r="SIZ1" s="172"/>
      <c r="SJA1" s="172"/>
      <c r="SJB1" s="172"/>
      <c r="SJC1" s="172"/>
      <c r="SJD1" s="172"/>
      <c r="SJE1" s="172"/>
      <c r="SJF1" s="172"/>
      <c r="SJG1" s="172"/>
      <c r="SJH1" s="172"/>
      <c r="SJI1" s="172"/>
      <c r="SJJ1" s="172"/>
      <c r="SJK1" s="172"/>
      <c r="SJL1" s="172"/>
      <c r="SJM1" s="172"/>
      <c r="SJN1" s="172"/>
      <c r="SJO1" s="172"/>
      <c r="SJP1" s="172"/>
      <c r="SJQ1" s="172"/>
      <c r="SJR1" s="172"/>
      <c r="SJS1" s="172"/>
      <c r="SJT1" s="172"/>
      <c r="SJU1" s="172"/>
      <c r="SJV1" s="172"/>
      <c r="SJW1" s="172"/>
      <c r="SJX1" s="172"/>
      <c r="SJY1" s="172"/>
      <c r="SJZ1" s="172"/>
      <c r="SKA1" s="172"/>
      <c r="SKB1" s="172"/>
      <c r="SKC1" s="172"/>
      <c r="SKD1" s="172"/>
      <c r="SKE1" s="172"/>
      <c r="SKF1" s="172"/>
      <c r="SKG1" s="172"/>
      <c r="SKH1" s="172"/>
      <c r="SKI1" s="172"/>
      <c r="SKJ1" s="172"/>
      <c r="SKK1" s="172"/>
      <c r="SKL1" s="172"/>
      <c r="SKM1" s="172"/>
      <c r="SKN1" s="172"/>
      <c r="SKO1" s="172"/>
      <c r="SKP1" s="172"/>
      <c r="SKQ1" s="172"/>
      <c r="SKR1" s="172"/>
      <c r="SKS1" s="172"/>
      <c r="SKT1" s="172"/>
      <c r="SKU1" s="172"/>
      <c r="SKV1" s="172"/>
      <c r="SKW1" s="172"/>
      <c r="SKX1" s="172"/>
      <c r="SKY1" s="172"/>
      <c r="SKZ1" s="172"/>
      <c r="SLA1" s="172"/>
      <c r="SLB1" s="172"/>
      <c r="SLC1" s="172"/>
      <c r="SLD1" s="172"/>
      <c r="SLE1" s="172"/>
      <c r="SLF1" s="172"/>
      <c r="SLG1" s="172"/>
      <c r="SLH1" s="172"/>
      <c r="SLI1" s="172"/>
      <c r="SLJ1" s="172"/>
      <c r="SLK1" s="172"/>
      <c r="SLL1" s="172"/>
      <c r="SLM1" s="172"/>
      <c r="SLN1" s="172"/>
      <c r="SLO1" s="172"/>
      <c r="SLP1" s="172"/>
      <c r="SLQ1" s="172"/>
      <c r="SLR1" s="172"/>
      <c r="SLS1" s="172"/>
      <c r="SLT1" s="172"/>
      <c r="SLU1" s="172"/>
      <c r="SLV1" s="172"/>
      <c r="SLW1" s="172"/>
      <c r="SLX1" s="172"/>
      <c r="SLY1" s="172"/>
      <c r="SLZ1" s="172"/>
      <c r="SMA1" s="172"/>
      <c r="SMB1" s="172"/>
      <c r="SMC1" s="172"/>
      <c r="SMD1" s="172"/>
      <c r="SME1" s="172"/>
      <c r="SMF1" s="172"/>
      <c r="SMG1" s="172"/>
      <c r="SMH1" s="172"/>
      <c r="SMI1" s="172"/>
      <c r="SMJ1" s="172"/>
      <c r="SMK1" s="172"/>
      <c r="SML1" s="172"/>
      <c r="SMM1" s="172"/>
      <c r="SMN1" s="172"/>
      <c r="SMO1" s="172"/>
      <c r="SMP1" s="172"/>
      <c r="SMQ1" s="172"/>
      <c r="SMR1" s="172"/>
      <c r="SMS1" s="172"/>
      <c r="SMT1" s="172"/>
      <c r="SMU1" s="172"/>
      <c r="SMV1" s="172"/>
      <c r="SMW1" s="172"/>
      <c r="SMX1" s="172"/>
      <c r="SMY1" s="172"/>
      <c r="SMZ1" s="172"/>
      <c r="SNA1" s="172"/>
      <c r="SNB1" s="172"/>
      <c r="SNC1" s="172"/>
      <c r="SND1" s="172"/>
      <c r="SNE1" s="172"/>
      <c r="SNF1" s="172"/>
      <c r="SNG1" s="172"/>
      <c r="SNH1" s="172"/>
      <c r="SNI1" s="172"/>
      <c r="SNJ1" s="172"/>
      <c r="SNK1" s="172"/>
      <c r="SNL1" s="172"/>
      <c r="SNM1" s="172"/>
      <c r="SNN1" s="172"/>
      <c r="SNO1" s="172"/>
      <c r="SNP1" s="172"/>
      <c r="SNQ1" s="172"/>
      <c r="SNR1" s="172"/>
      <c r="SNS1" s="172"/>
      <c r="SNT1" s="172"/>
      <c r="SNU1" s="172"/>
      <c r="SNV1" s="172"/>
      <c r="SNW1" s="172"/>
      <c r="SNX1" s="172"/>
      <c r="SNY1" s="172"/>
      <c r="SNZ1" s="172"/>
      <c r="SOA1" s="172"/>
      <c r="SOB1" s="172"/>
      <c r="SOC1" s="172"/>
      <c r="SOD1" s="172"/>
      <c r="SOE1" s="172"/>
      <c r="SOF1" s="172"/>
      <c r="SOG1" s="172"/>
      <c r="SOH1" s="172"/>
      <c r="SOI1" s="172"/>
      <c r="SOJ1" s="172"/>
      <c r="SOK1" s="172"/>
      <c r="SOL1" s="172"/>
      <c r="SOM1" s="172"/>
      <c r="SON1" s="172"/>
      <c r="SOO1" s="172"/>
      <c r="SOP1" s="172"/>
      <c r="SOQ1" s="172"/>
      <c r="SOR1" s="172"/>
      <c r="SOS1" s="172"/>
      <c r="SOT1" s="172"/>
      <c r="SOU1" s="172"/>
      <c r="SOV1" s="172"/>
      <c r="SOW1" s="172"/>
      <c r="SOX1" s="172"/>
      <c r="SOY1" s="172"/>
      <c r="SOZ1" s="172"/>
      <c r="SPA1" s="172"/>
      <c r="SPB1" s="172"/>
      <c r="SPC1" s="172"/>
      <c r="SPD1" s="172"/>
      <c r="SPE1" s="172"/>
      <c r="SPF1" s="172"/>
      <c r="SPG1" s="172"/>
      <c r="SPH1" s="172"/>
      <c r="SPI1" s="172"/>
      <c r="SPJ1" s="172"/>
      <c r="SPK1" s="172"/>
      <c r="SPL1" s="172"/>
      <c r="SPM1" s="172"/>
      <c r="SPN1" s="172"/>
      <c r="SPO1" s="172"/>
      <c r="SPP1" s="172"/>
      <c r="SPQ1" s="172"/>
      <c r="SPR1" s="172"/>
      <c r="SPS1" s="172"/>
      <c r="SPT1" s="172"/>
      <c r="SPU1" s="172"/>
      <c r="SPV1" s="172"/>
      <c r="SPW1" s="172"/>
      <c r="SPX1" s="172"/>
      <c r="SPY1" s="172"/>
      <c r="SPZ1" s="172"/>
      <c r="SQA1" s="172"/>
      <c r="SQB1" s="172"/>
      <c r="SQC1" s="172"/>
      <c r="SQD1" s="172"/>
      <c r="SQE1" s="172"/>
      <c r="SQF1" s="172"/>
      <c r="SQG1" s="172"/>
      <c r="SQH1" s="172"/>
      <c r="SQI1" s="172"/>
      <c r="SQJ1" s="172"/>
      <c r="SQK1" s="172"/>
      <c r="SQL1" s="172"/>
      <c r="SQM1" s="172"/>
      <c r="SQN1" s="172"/>
      <c r="SQO1" s="172"/>
      <c r="SQP1" s="172"/>
      <c r="SQQ1" s="172"/>
      <c r="SQR1" s="172"/>
      <c r="SQS1" s="172"/>
      <c r="SQT1" s="172"/>
      <c r="SQU1" s="172"/>
      <c r="SQV1" s="172"/>
      <c r="SQW1" s="172"/>
      <c r="SQX1" s="172"/>
      <c r="SQY1" s="172"/>
      <c r="SQZ1" s="172"/>
      <c r="SRA1" s="172"/>
      <c r="SRB1" s="172"/>
      <c r="SRC1" s="172"/>
      <c r="SRD1" s="172"/>
      <c r="SRE1" s="172"/>
      <c r="SRF1" s="172"/>
      <c r="SRG1" s="172"/>
      <c r="SRH1" s="172"/>
      <c r="SRI1" s="172"/>
      <c r="SRJ1" s="172"/>
      <c r="SRK1" s="172"/>
      <c r="SRL1" s="172"/>
      <c r="SRM1" s="172"/>
      <c r="SRN1" s="172"/>
      <c r="SRO1" s="172"/>
      <c r="SRP1" s="172"/>
      <c r="SRQ1" s="172"/>
      <c r="SRR1" s="172"/>
      <c r="SRS1" s="172"/>
      <c r="SRT1" s="172"/>
      <c r="SRU1" s="172"/>
      <c r="SRV1" s="172"/>
      <c r="SRW1" s="172"/>
      <c r="SRX1" s="172"/>
      <c r="SRY1" s="172"/>
      <c r="SRZ1" s="172"/>
      <c r="SSA1" s="172"/>
      <c r="SSB1" s="172"/>
      <c r="SSC1" s="172"/>
      <c r="SSD1" s="172"/>
      <c r="SSE1" s="172"/>
      <c r="SSF1" s="172"/>
      <c r="SSG1" s="172"/>
      <c r="SSH1" s="172"/>
      <c r="SSI1" s="172"/>
      <c r="SSJ1" s="172"/>
      <c r="SSK1" s="172"/>
      <c r="SSL1" s="172"/>
      <c r="SSM1" s="172"/>
      <c r="SSN1" s="172"/>
      <c r="SSO1" s="172"/>
      <c r="SSP1" s="172"/>
      <c r="SSQ1" s="172"/>
      <c r="SSR1" s="172"/>
      <c r="SSS1" s="172"/>
      <c r="SST1" s="172"/>
      <c r="SSU1" s="172"/>
      <c r="SSV1" s="172"/>
      <c r="SSW1" s="172"/>
      <c r="SSX1" s="172"/>
      <c r="SSY1" s="172"/>
      <c r="SSZ1" s="172"/>
      <c r="STA1" s="172"/>
      <c r="STB1" s="172"/>
      <c r="STC1" s="172"/>
      <c r="STD1" s="172"/>
      <c r="STE1" s="172"/>
      <c r="STF1" s="172"/>
      <c r="STG1" s="172"/>
      <c r="STH1" s="172"/>
      <c r="STI1" s="172"/>
      <c r="STJ1" s="172"/>
      <c r="STK1" s="172"/>
      <c r="STL1" s="172"/>
      <c r="STM1" s="172"/>
      <c r="STN1" s="172"/>
      <c r="STO1" s="172"/>
      <c r="STP1" s="172"/>
      <c r="STQ1" s="172"/>
      <c r="STR1" s="172"/>
      <c r="STS1" s="172"/>
      <c r="STT1" s="172"/>
      <c r="STU1" s="172"/>
      <c r="STV1" s="172"/>
      <c r="STW1" s="172"/>
      <c r="STX1" s="172"/>
      <c r="STY1" s="172"/>
      <c r="STZ1" s="172"/>
      <c r="SUA1" s="172"/>
      <c r="SUB1" s="172"/>
      <c r="SUC1" s="172"/>
      <c r="SUD1" s="172"/>
      <c r="SUE1" s="172"/>
      <c r="SUF1" s="172"/>
      <c r="SUG1" s="172"/>
      <c r="SUH1" s="172"/>
      <c r="SUI1" s="172"/>
      <c r="SUJ1" s="172"/>
      <c r="SUK1" s="172"/>
      <c r="SUL1" s="172"/>
      <c r="SUM1" s="172"/>
      <c r="SUN1" s="172"/>
      <c r="SUO1" s="172"/>
      <c r="SUP1" s="172"/>
      <c r="SUQ1" s="172"/>
      <c r="SUR1" s="172"/>
      <c r="SUS1" s="172"/>
      <c r="SUT1" s="172"/>
      <c r="SUU1" s="172"/>
      <c r="SUV1" s="172"/>
      <c r="SUW1" s="172"/>
      <c r="SUX1" s="172"/>
      <c r="SUY1" s="172"/>
      <c r="SUZ1" s="172"/>
      <c r="SVA1" s="172"/>
      <c r="SVB1" s="172"/>
      <c r="SVC1" s="172"/>
      <c r="SVD1" s="172"/>
      <c r="SVE1" s="172"/>
      <c r="SVF1" s="172"/>
      <c r="SVG1" s="172"/>
      <c r="SVH1" s="172"/>
      <c r="SVI1" s="172"/>
      <c r="SVJ1" s="172"/>
      <c r="SVK1" s="172"/>
      <c r="SVL1" s="172"/>
      <c r="SVM1" s="172"/>
      <c r="SVN1" s="172"/>
      <c r="SVO1" s="172"/>
      <c r="SVP1" s="172"/>
      <c r="SVQ1" s="172"/>
      <c r="SVR1" s="172"/>
      <c r="SVS1" s="172"/>
      <c r="SVT1" s="172"/>
      <c r="SVU1" s="172"/>
      <c r="SVV1" s="172"/>
      <c r="SVW1" s="172"/>
      <c r="SVX1" s="172"/>
      <c r="SVY1" s="172"/>
      <c r="SVZ1" s="172"/>
      <c r="SWA1" s="172"/>
      <c r="SWB1" s="172"/>
      <c r="SWC1" s="172"/>
      <c r="SWD1" s="172"/>
      <c r="SWE1" s="172"/>
      <c r="SWF1" s="172"/>
      <c r="SWG1" s="172"/>
      <c r="SWH1" s="172"/>
      <c r="SWI1" s="172"/>
      <c r="SWJ1" s="172"/>
      <c r="SWK1" s="172"/>
      <c r="SWL1" s="172"/>
      <c r="SWM1" s="172"/>
      <c r="SWN1" s="172"/>
      <c r="SWO1" s="172"/>
      <c r="SWP1" s="172"/>
      <c r="SWQ1" s="172"/>
      <c r="SWR1" s="172"/>
      <c r="SWS1" s="172"/>
      <c r="SWT1" s="172"/>
      <c r="SWU1" s="172"/>
      <c r="SWV1" s="172"/>
      <c r="SWW1" s="172"/>
      <c r="SWX1" s="172"/>
      <c r="SWY1" s="172"/>
      <c r="SWZ1" s="172"/>
      <c r="SXA1" s="172"/>
      <c r="SXB1" s="172"/>
      <c r="SXC1" s="172"/>
      <c r="SXD1" s="172"/>
      <c r="SXE1" s="172"/>
      <c r="SXF1" s="172"/>
      <c r="SXG1" s="172"/>
      <c r="SXH1" s="172"/>
      <c r="SXI1" s="172"/>
      <c r="SXJ1" s="172"/>
      <c r="SXK1" s="172"/>
      <c r="SXL1" s="172"/>
      <c r="SXM1" s="172"/>
      <c r="SXN1" s="172"/>
      <c r="SXO1" s="172"/>
      <c r="SXP1" s="172"/>
      <c r="SXQ1" s="172"/>
      <c r="SXR1" s="172"/>
      <c r="SXS1" s="172"/>
      <c r="SXT1" s="172"/>
      <c r="SXU1" s="172"/>
      <c r="SXV1" s="172"/>
      <c r="SXW1" s="172"/>
      <c r="SXX1" s="172"/>
      <c r="SXY1" s="172"/>
      <c r="SXZ1" s="172"/>
      <c r="SYA1" s="172"/>
      <c r="SYB1" s="172"/>
      <c r="SYC1" s="172"/>
      <c r="SYD1" s="172"/>
      <c r="SYE1" s="172"/>
      <c r="SYF1" s="172"/>
      <c r="SYG1" s="172"/>
      <c r="SYH1" s="172"/>
      <c r="SYI1" s="172"/>
      <c r="SYJ1" s="172"/>
      <c r="SYK1" s="172"/>
      <c r="SYL1" s="172"/>
      <c r="SYM1" s="172"/>
      <c r="SYN1" s="172"/>
      <c r="SYO1" s="172"/>
      <c r="SYP1" s="172"/>
      <c r="SYQ1" s="172"/>
      <c r="SYR1" s="172"/>
      <c r="SYS1" s="172"/>
      <c r="SYT1" s="172"/>
      <c r="SYU1" s="172"/>
      <c r="SYV1" s="172"/>
      <c r="SYW1" s="172"/>
      <c r="SYX1" s="172"/>
      <c r="SYY1" s="172"/>
      <c r="SYZ1" s="172"/>
      <c r="SZA1" s="172"/>
      <c r="SZB1" s="172"/>
      <c r="SZC1" s="172"/>
      <c r="SZD1" s="172"/>
      <c r="SZE1" s="172"/>
      <c r="SZF1" s="172"/>
      <c r="SZG1" s="172"/>
      <c r="SZH1" s="172"/>
      <c r="SZI1" s="172"/>
      <c r="SZJ1" s="172"/>
      <c r="SZK1" s="172"/>
      <c r="SZL1" s="172"/>
      <c r="SZM1" s="172"/>
      <c r="SZN1" s="172"/>
      <c r="SZO1" s="172"/>
      <c r="SZP1" s="172"/>
      <c r="SZQ1" s="172"/>
      <c r="SZR1" s="172"/>
      <c r="SZS1" s="172"/>
      <c r="SZT1" s="172"/>
      <c r="SZU1" s="172"/>
      <c r="SZV1" s="172"/>
      <c r="SZW1" s="172"/>
      <c r="SZX1" s="172"/>
      <c r="SZY1" s="172"/>
      <c r="SZZ1" s="172"/>
      <c r="TAA1" s="172"/>
      <c r="TAB1" s="172"/>
      <c r="TAC1" s="172"/>
      <c r="TAD1" s="172"/>
      <c r="TAE1" s="172"/>
      <c r="TAF1" s="172"/>
      <c r="TAG1" s="172"/>
      <c r="TAH1" s="172"/>
      <c r="TAI1" s="172"/>
      <c r="TAJ1" s="172"/>
      <c r="TAK1" s="172"/>
      <c r="TAL1" s="172"/>
      <c r="TAM1" s="172"/>
      <c r="TAN1" s="172"/>
      <c r="TAO1" s="172"/>
      <c r="TAP1" s="172"/>
      <c r="TAQ1" s="172"/>
      <c r="TAR1" s="172"/>
      <c r="TAS1" s="172"/>
      <c r="TAT1" s="172"/>
      <c r="TAU1" s="172"/>
      <c r="TAV1" s="172"/>
      <c r="TAW1" s="172"/>
      <c r="TAX1" s="172"/>
      <c r="TAY1" s="172"/>
      <c r="TAZ1" s="172"/>
      <c r="TBA1" s="172"/>
      <c r="TBB1" s="172"/>
      <c r="TBC1" s="172"/>
      <c r="TBD1" s="172"/>
      <c r="TBE1" s="172"/>
      <c r="TBF1" s="172"/>
      <c r="TBG1" s="172"/>
      <c r="TBH1" s="172"/>
      <c r="TBI1" s="172"/>
      <c r="TBJ1" s="172"/>
      <c r="TBK1" s="172"/>
      <c r="TBL1" s="172"/>
      <c r="TBM1" s="172"/>
      <c r="TBN1" s="172"/>
      <c r="TBO1" s="172"/>
      <c r="TBP1" s="172"/>
      <c r="TBQ1" s="172"/>
      <c r="TBR1" s="172"/>
      <c r="TBS1" s="172"/>
      <c r="TBT1" s="172"/>
      <c r="TBU1" s="172"/>
      <c r="TBV1" s="172"/>
      <c r="TBW1" s="172"/>
      <c r="TBX1" s="172"/>
      <c r="TBY1" s="172"/>
      <c r="TBZ1" s="172"/>
      <c r="TCA1" s="172"/>
      <c r="TCB1" s="172"/>
      <c r="TCC1" s="172"/>
      <c r="TCD1" s="172"/>
      <c r="TCE1" s="172"/>
      <c r="TCF1" s="172"/>
      <c r="TCG1" s="172"/>
      <c r="TCH1" s="172"/>
      <c r="TCI1" s="172"/>
      <c r="TCJ1" s="172"/>
      <c r="TCK1" s="172"/>
      <c r="TCL1" s="172"/>
      <c r="TCM1" s="172"/>
      <c r="TCN1" s="172"/>
      <c r="TCO1" s="172"/>
      <c r="TCP1" s="172"/>
      <c r="TCQ1" s="172"/>
      <c r="TCR1" s="172"/>
      <c r="TCS1" s="172"/>
      <c r="TCT1" s="172"/>
      <c r="TCU1" s="172"/>
      <c r="TCV1" s="172"/>
      <c r="TCW1" s="172"/>
      <c r="TCX1" s="172"/>
      <c r="TCY1" s="172"/>
      <c r="TCZ1" s="172"/>
      <c r="TDA1" s="172"/>
      <c r="TDB1" s="172"/>
      <c r="TDC1" s="172"/>
      <c r="TDD1" s="172"/>
      <c r="TDE1" s="172"/>
      <c r="TDF1" s="172"/>
      <c r="TDG1" s="172"/>
      <c r="TDH1" s="172"/>
      <c r="TDI1" s="172"/>
      <c r="TDJ1" s="172"/>
      <c r="TDK1" s="172"/>
      <c r="TDL1" s="172"/>
      <c r="TDM1" s="172"/>
      <c r="TDN1" s="172"/>
      <c r="TDO1" s="172"/>
      <c r="TDP1" s="172"/>
      <c r="TDQ1" s="172"/>
      <c r="TDR1" s="172"/>
      <c r="TDS1" s="172"/>
      <c r="TDT1" s="172"/>
      <c r="TDU1" s="172"/>
      <c r="TDV1" s="172"/>
      <c r="TDW1" s="172"/>
      <c r="TDX1" s="172"/>
      <c r="TDY1" s="172"/>
      <c r="TDZ1" s="172"/>
      <c r="TEA1" s="172"/>
      <c r="TEB1" s="172"/>
      <c r="TEC1" s="172"/>
      <c r="TED1" s="172"/>
      <c r="TEE1" s="172"/>
      <c r="TEF1" s="172"/>
      <c r="TEG1" s="172"/>
      <c r="TEH1" s="172"/>
      <c r="TEI1" s="172"/>
      <c r="TEJ1" s="172"/>
      <c r="TEK1" s="172"/>
      <c r="TEL1" s="172"/>
      <c r="TEM1" s="172"/>
      <c r="TEN1" s="172"/>
      <c r="TEO1" s="172"/>
      <c r="TEP1" s="172"/>
      <c r="TEQ1" s="172"/>
      <c r="TER1" s="172"/>
      <c r="TES1" s="172"/>
      <c r="TET1" s="172"/>
      <c r="TEU1" s="172"/>
      <c r="TEV1" s="172"/>
      <c r="TEW1" s="172"/>
      <c r="TEX1" s="172"/>
      <c r="TEY1" s="172"/>
      <c r="TEZ1" s="172"/>
      <c r="TFA1" s="172"/>
      <c r="TFB1" s="172"/>
      <c r="TFC1" s="172"/>
      <c r="TFD1" s="172"/>
      <c r="TFE1" s="172"/>
      <c r="TFF1" s="172"/>
      <c r="TFG1" s="172"/>
      <c r="TFH1" s="172"/>
      <c r="TFI1" s="172"/>
      <c r="TFJ1" s="172"/>
      <c r="TFK1" s="172"/>
      <c r="TFL1" s="172"/>
      <c r="TFM1" s="172"/>
      <c r="TFN1" s="172"/>
      <c r="TFO1" s="172"/>
      <c r="TFP1" s="172"/>
      <c r="TFQ1" s="172"/>
      <c r="TFR1" s="172"/>
      <c r="TFS1" s="172"/>
      <c r="TFT1" s="172"/>
      <c r="TFU1" s="172"/>
      <c r="TFV1" s="172"/>
      <c r="TFW1" s="172"/>
      <c r="TFX1" s="172"/>
      <c r="TFY1" s="172"/>
      <c r="TFZ1" s="172"/>
      <c r="TGA1" s="172"/>
      <c r="TGB1" s="172"/>
      <c r="TGC1" s="172"/>
      <c r="TGD1" s="172"/>
      <c r="TGE1" s="172"/>
      <c r="TGF1" s="172"/>
      <c r="TGG1" s="172"/>
      <c r="TGH1" s="172"/>
      <c r="TGI1" s="172"/>
      <c r="TGJ1" s="172"/>
      <c r="TGK1" s="172"/>
      <c r="TGL1" s="172"/>
      <c r="TGM1" s="172"/>
      <c r="TGN1" s="172"/>
      <c r="TGO1" s="172"/>
      <c r="TGP1" s="172"/>
      <c r="TGQ1" s="172"/>
      <c r="TGR1" s="172"/>
      <c r="TGS1" s="172"/>
      <c r="TGT1" s="172"/>
      <c r="TGU1" s="172"/>
      <c r="TGV1" s="172"/>
      <c r="TGW1" s="172"/>
      <c r="TGX1" s="172"/>
      <c r="TGY1" s="172"/>
      <c r="TGZ1" s="172"/>
      <c r="THA1" s="172"/>
      <c r="THB1" s="172"/>
      <c r="THC1" s="172"/>
      <c r="THD1" s="172"/>
      <c r="THE1" s="172"/>
      <c r="THF1" s="172"/>
      <c r="THG1" s="172"/>
      <c r="THH1" s="172"/>
      <c r="THI1" s="172"/>
      <c r="THJ1" s="172"/>
      <c r="THK1" s="172"/>
      <c r="THL1" s="172"/>
      <c r="THM1" s="172"/>
      <c r="THN1" s="172"/>
      <c r="THO1" s="172"/>
      <c r="THP1" s="172"/>
      <c r="THQ1" s="172"/>
      <c r="THR1" s="172"/>
      <c r="THS1" s="172"/>
      <c r="THT1" s="172"/>
      <c r="THU1" s="172"/>
      <c r="THV1" s="172"/>
      <c r="THW1" s="172"/>
      <c r="THX1" s="172"/>
      <c r="THY1" s="172"/>
      <c r="THZ1" s="172"/>
      <c r="TIA1" s="172"/>
      <c r="TIB1" s="172"/>
      <c r="TIC1" s="172"/>
      <c r="TID1" s="172"/>
      <c r="TIE1" s="172"/>
      <c r="TIF1" s="172"/>
      <c r="TIG1" s="172"/>
      <c r="TIH1" s="172"/>
      <c r="TII1" s="172"/>
      <c r="TIJ1" s="172"/>
      <c r="TIK1" s="172"/>
      <c r="TIL1" s="172"/>
      <c r="TIM1" s="172"/>
      <c r="TIN1" s="172"/>
      <c r="TIO1" s="172"/>
      <c r="TIP1" s="172"/>
      <c r="TIQ1" s="172"/>
      <c r="TIR1" s="172"/>
      <c r="TIS1" s="172"/>
      <c r="TIT1" s="172"/>
      <c r="TIU1" s="172"/>
      <c r="TIV1" s="172"/>
      <c r="TIW1" s="172"/>
      <c r="TIX1" s="172"/>
      <c r="TIY1" s="172"/>
      <c r="TIZ1" s="172"/>
      <c r="TJA1" s="172"/>
      <c r="TJB1" s="172"/>
      <c r="TJC1" s="172"/>
      <c r="TJD1" s="172"/>
      <c r="TJE1" s="172"/>
      <c r="TJF1" s="172"/>
      <c r="TJG1" s="172"/>
      <c r="TJH1" s="172"/>
      <c r="TJI1" s="172"/>
      <c r="TJJ1" s="172"/>
      <c r="TJK1" s="172"/>
      <c r="TJL1" s="172"/>
      <c r="TJM1" s="172"/>
      <c r="TJN1" s="172"/>
      <c r="TJO1" s="172"/>
      <c r="TJP1" s="172"/>
      <c r="TJQ1" s="172"/>
      <c r="TJR1" s="172"/>
      <c r="TJS1" s="172"/>
      <c r="TJT1" s="172"/>
      <c r="TJU1" s="172"/>
      <c r="TJV1" s="172"/>
      <c r="TJW1" s="172"/>
      <c r="TJX1" s="172"/>
      <c r="TJY1" s="172"/>
      <c r="TJZ1" s="172"/>
      <c r="TKA1" s="172"/>
      <c r="TKB1" s="172"/>
      <c r="TKC1" s="172"/>
      <c r="TKD1" s="172"/>
      <c r="TKE1" s="172"/>
      <c r="TKF1" s="172"/>
      <c r="TKG1" s="172"/>
      <c r="TKH1" s="172"/>
      <c r="TKI1" s="172"/>
      <c r="TKJ1" s="172"/>
      <c r="TKK1" s="172"/>
      <c r="TKL1" s="172"/>
      <c r="TKM1" s="172"/>
      <c r="TKN1" s="172"/>
      <c r="TKO1" s="172"/>
      <c r="TKP1" s="172"/>
      <c r="TKQ1" s="172"/>
      <c r="TKR1" s="172"/>
      <c r="TKS1" s="172"/>
      <c r="TKT1" s="172"/>
      <c r="TKU1" s="172"/>
      <c r="TKV1" s="172"/>
      <c r="TKW1" s="172"/>
      <c r="TKX1" s="172"/>
      <c r="TKY1" s="172"/>
      <c r="TKZ1" s="172"/>
      <c r="TLA1" s="172"/>
      <c r="TLB1" s="172"/>
      <c r="TLC1" s="172"/>
      <c r="TLD1" s="172"/>
      <c r="TLE1" s="172"/>
      <c r="TLF1" s="172"/>
      <c r="TLG1" s="172"/>
      <c r="TLH1" s="172"/>
      <c r="TLI1" s="172"/>
      <c r="TLJ1" s="172"/>
      <c r="TLK1" s="172"/>
      <c r="TLL1" s="172"/>
      <c r="TLM1" s="172"/>
      <c r="TLN1" s="172"/>
      <c r="TLO1" s="172"/>
      <c r="TLP1" s="172"/>
      <c r="TLQ1" s="172"/>
      <c r="TLR1" s="172"/>
      <c r="TLS1" s="172"/>
      <c r="TLT1" s="172"/>
      <c r="TLU1" s="172"/>
      <c r="TLV1" s="172"/>
      <c r="TLW1" s="172"/>
      <c r="TLX1" s="172"/>
      <c r="TLY1" s="172"/>
      <c r="TLZ1" s="172"/>
      <c r="TMA1" s="172"/>
      <c r="TMB1" s="172"/>
      <c r="TMC1" s="172"/>
      <c r="TMD1" s="172"/>
      <c r="TME1" s="172"/>
      <c r="TMF1" s="172"/>
      <c r="TMG1" s="172"/>
      <c r="TMH1" s="172"/>
      <c r="TMI1" s="172"/>
      <c r="TMJ1" s="172"/>
      <c r="TMK1" s="172"/>
      <c r="TML1" s="172"/>
      <c r="TMM1" s="172"/>
      <c r="TMN1" s="172"/>
      <c r="TMO1" s="172"/>
      <c r="TMP1" s="172"/>
      <c r="TMQ1" s="172"/>
      <c r="TMR1" s="172"/>
      <c r="TMS1" s="172"/>
      <c r="TMT1" s="172"/>
      <c r="TMU1" s="172"/>
      <c r="TMV1" s="172"/>
      <c r="TMW1" s="172"/>
      <c r="TMX1" s="172"/>
      <c r="TMY1" s="172"/>
      <c r="TMZ1" s="172"/>
      <c r="TNA1" s="172"/>
      <c r="TNB1" s="172"/>
      <c r="TNC1" s="172"/>
      <c r="TND1" s="172"/>
      <c r="TNE1" s="172"/>
      <c r="TNF1" s="172"/>
      <c r="TNG1" s="172"/>
      <c r="TNH1" s="172"/>
      <c r="TNI1" s="172"/>
      <c r="TNJ1" s="172"/>
      <c r="TNK1" s="172"/>
      <c r="TNL1" s="172"/>
      <c r="TNM1" s="172"/>
      <c r="TNN1" s="172"/>
      <c r="TNO1" s="172"/>
      <c r="TNP1" s="172"/>
      <c r="TNQ1" s="172"/>
      <c r="TNR1" s="172"/>
      <c r="TNS1" s="172"/>
      <c r="TNT1" s="172"/>
      <c r="TNU1" s="172"/>
      <c r="TNV1" s="172"/>
      <c r="TNW1" s="172"/>
      <c r="TNX1" s="172"/>
      <c r="TNY1" s="172"/>
      <c r="TNZ1" s="172"/>
      <c r="TOA1" s="172"/>
      <c r="TOB1" s="172"/>
      <c r="TOC1" s="172"/>
      <c r="TOD1" s="172"/>
      <c r="TOE1" s="172"/>
      <c r="TOF1" s="172"/>
      <c r="TOG1" s="172"/>
      <c r="TOH1" s="172"/>
      <c r="TOI1" s="172"/>
      <c r="TOJ1" s="172"/>
      <c r="TOK1" s="172"/>
      <c r="TOL1" s="172"/>
      <c r="TOM1" s="172"/>
      <c r="TON1" s="172"/>
      <c r="TOO1" s="172"/>
      <c r="TOP1" s="172"/>
      <c r="TOQ1" s="172"/>
      <c r="TOR1" s="172"/>
      <c r="TOS1" s="172"/>
      <c r="TOT1" s="172"/>
      <c r="TOU1" s="172"/>
      <c r="TOV1" s="172"/>
      <c r="TOW1" s="172"/>
      <c r="TOX1" s="172"/>
      <c r="TOY1" s="172"/>
      <c r="TOZ1" s="172"/>
      <c r="TPA1" s="172"/>
      <c r="TPB1" s="172"/>
      <c r="TPC1" s="172"/>
      <c r="TPD1" s="172"/>
      <c r="TPE1" s="172"/>
      <c r="TPF1" s="172"/>
      <c r="TPG1" s="172"/>
      <c r="TPH1" s="172"/>
      <c r="TPI1" s="172"/>
      <c r="TPJ1" s="172"/>
      <c r="TPK1" s="172"/>
      <c r="TPL1" s="172"/>
      <c r="TPM1" s="172"/>
      <c r="TPN1" s="172"/>
      <c r="TPO1" s="172"/>
      <c r="TPP1" s="172"/>
      <c r="TPQ1" s="172"/>
      <c r="TPR1" s="172"/>
      <c r="TPS1" s="172"/>
      <c r="TPT1" s="172"/>
      <c r="TPU1" s="172"/>
      <c r="TPV1" s="172"/>
      <c r="TPW1" s="172"/>
      <c r="TPX1" s="172"/>
      <c r="TPY1" s="172"/>
      <c r="TPZ1" s="172"/>
      <c r="TQA1" s="172"/>
      <c r="TQB1" s="172"/>
      <c r="TQC1" s="172"/>
      <c r="TQD1" s="172"/>
      <c r="TQE1" s="172"/>
      <c r="TQF1" s="172"/>
      <c r="TQG1" s="172"/>
      <c r="TQH1" s="172"/>
      <c r="TQI1" s="172"/>
      <c r="TQJ1" s="172"/>
      <c r="TQK1" s="172"/>
      <c r="TQL1" s="172"/>
      <c r="TQM1" s="172"/>
      <c r="TQN1" s="172"/>
      <c r="TQO1" s="172"/>
      <c r="TQP1" s="172"/>
      <c r="TQQ1" s="172"/>
      <c r="TQR1" s="172"/>
      <c r="TQS1" s="172"/>
      <c r="TQT1" s="172"/>
      <c r="TQU1" s="172"/>
      <c r="TQV1" s="172"/>
      <c r="TQW1" s="172"/>
      <c r="TQX1" s="172"/>
      <c r="TQY1" s="172"/>
      <c r="TQZ1" s="172"/>
      <c r="TRA1" s="172"/>
      <c r="TRB1" s="172"/>
      <c r="TRC1" s="172"/>
      <c r="TRD1" s="172"/>
      <c r="TRE1" s="172"/>
      <c r="TRF1" s="172"/>
      <c r="TRG1" s="172"/>
      <c r="TRH1" s="172"/>
      <c r="TRI1" s="172"/>
      <c r="TRJ1" s="172"/>
      <c r="TRK1" s="172"/>
      <c r="TRL1" s="172"/>
      <c r="TRM1" s="172"/>
      <c r="TRN1" s="172"/>
      <c r="TRO1" s="172"/>
      <c r="TRP1" s="172"/>
      <c r="TRQ1" s="172"/>
      <c r="TRR1" s="172"/>
      <c r="TRS1" s="172"/>
      <c r="TRT1" s="172"/>
      <c r="TRU1" s="172"/>
      <c r="TRV1" s="172"/>
      <c r="TRW1" s="172"/>
      <c r="TRX1" s="172"/>
      <c r="TRY1" s="172"/>
      <c r="TRZ1" s="172"/>
      <c r="TSA1" s="172"/>
      <c r="TSB1" s="172"/>
      <c r="TSC1" s="172"/>
      <c r="TSD1" s="172"/>
      <c r="TSE1" s="172"/>
      <c r="TSF1" s="172"/>
      <c r="TSG1" s="172"/>
      <c r="TSH1" s="172"/>
      <c r="TSI1" s="172"/>
      <c r="TSJ1" s="172"/>
      <c r="TSK1" s="172"/>
      <c r="TSL1" s="172"/>
      <c r="TSM1" s="172"/>
      <c r="TSN1" s="172"/>
      <c r="TSO1" s="172"/>
      <c r="TSP1" s="172"/>
      <c r="TSQ1" s="172"/>
      <c r="TSR1" s="172"/>
      <c r="TSS1" s="172"/>
      <c r="TST1" s="172"/>
      <c r="TSU1" s="172"/>
      <c r="TSV1" s="172"/>
      <c r="TSW1" s="172"/>
      <c r="TSX1" s="172"/>
      <c r="TSY1" s="172"/>
      <c r="TSZ1" s="172"/>
      <c r="TTA1" s="172"/>
      <c r="TTB1" s="172"/>
      <c r="TTC1" s="172"/>
      <c r="TTD1" s="172"/>
      <c r="TTE1" s="172"/>
      <c r="TTF1" s="172"/>
      <c r="TTG1" s="172"/>
      <c r="TTH1" s="172"/>
      <c r="TTI1" s="172"/>
      <c r="TTJ1" s="172"/>
      <c r="TTK1" s="172"/>
      <c r="TTL1" s="172"/>
      <c r="TTM1" s="172"/>
      <c r="TTN1" s="172"/>
      <c r="TTO1" s="172"/>
      <c r="TTP1" s="172"/>
      <c r="TTQ1" s="172"/>
      <c r="TTR1" s="172"/>
      <c r="TTS1" s="172"/>
      <c r="TTT1" s="172"/>
      <c r="TTU1" s="172"/>
      <c r="TTV1" s="172"/>
      <c r="TTW1" s="172"/>
      <c r="TTX1" s="172"/>
      <c r="TTY1" s="172"/>
      <c r="TTZ1" s="172"/>
      <c r="TUA1" s="172"/>
      <c r="TUB1" s="172"/>
      <c r="TUC1" s="172"/>
      <c r="TUD1" s="172"/>
      <c r="TUE1" s="172"/>
      <c r="TUF1" s="172"/>
      <c r="TUG1" s="172"/>
      <c r="TUH1" s="172"/>
      <c r="TUI1" s="172"/>
      <c r="TUJ1" s="172"/>
      <c r="TUK1" s="172"/>
      <c r="TUL1" s="172"/>
      <c r="TUM1" s="172"/>
      <c r="TUN1" s="172"/>
      <c r="TUO1" s="172"/>
      <c r="TUP1" s="172"/>
      <c r="TUQ1" s="172"/>
      <c r="TUR1" s="172"/>
      <c r="TUS1" s="172"/>
      <c r="TUT1" s="172"/>
      <c r="TUU1" s="172"/>
      <c r="TUV1" s="172"/>
      <c r="TUW1" s="172"/>
      <c r="TUX1" s="172"/>
      <c r="TUY1" s="172"/>
      <c r="TUZ1" s="172"/>
      <c r="TVA1" s="172"/>
      <c r="TVB1" s="172"/>
      <c r="TVC1" s="172"/>
      <c r="TVD1" s="172"/>
      <c r="TVE1" s="172"/>
      <c r="TVF1" s="172"/>
      <c r="TVG1" s="172"/>
      <c r="TVH1" s="172"/>
      <c r="TVI1" s="172"/>
      <c r="TVJ1" s="172"/>
      <c r="TVK1" s="172"/>
      <c r="TVL1" s="172"/>
      <c r="TVM1" s="172"/>
      <c r="TVN1" s="172"/>
      <c r="TVO1" s="172"/>
      <c r="TVP1" s="172"/>
      <c r="TVQ1" s="172"/>
      <c r="TVR1" s="172"/>
      <c r="TVS1" s="172"/>
      <c r="TVT1" s="172"/>
      <c r="TVU1" s="172"/>
      <c r="TVV1" s="172"/>
      <c r="TVW1" s="172"/>
      <c r="TVX1" s="172"/>
      <c r="TVY1" s="172"/>
      <c r="TVZ1" s="172"/>
      <c r="TWA1" s="172"/>
      <c r="TWB1" s="172"/>
      <c r="TWC1" s="172"/>
      <c r="TWD1" s="172"/>
      <c r="TWE1" s="172"/>
      <c r="TWF1" s="172"/>
      <c r="TWG1" s="172"/>
      <c r="TWH1" s="172"/>
      <c r="TWI1" s="172"/>
      <c r="TWJ1" s="172"/>
      <c r="TWK1" s="172"/>
      <c r="TWL1" s="172"/>
      <c r="TWM1" s="172"/>
      <c r="TWN1" s="172"/>
      <c r="TWO1" s="172"/>
      <c r="TWP1" s="172"/>
      <c r="TWQ1" s="172"/>
      <c r="TWR1" s="172"/>
      <c r="TWS1" s="172"/>
      <c r="TWT1" s="172"/>
      <c r="TWU1" s="172"/>
      <c r="TWV1" s="172"/>
      <c r="TWW1" s="172"/>
      <c r="TWX1" s="172"/>
      <c r="TWY1" s="172"/>
      <c r="TWZ1" s="172"/>
      <c r="TXA1" s="172"/>
      <c r="TXB1" s="172"/>
      <c r="TXC1" s="172"/>
      <c r="TXD1" s="172"/>
      <c r="TXE1" s="172"/>
      <c r="TXF1" s="172"/>
      <c r="TXG1" s="172"/>
      <c r="TXH1" s="172"/>
      <c r="TXI1" s="172"/>
      <c r="TXJ1" s="172"/>
      <c r="TXK1" s="172"/>
      <c r="TXL1" s="172"/>
      <c r="TXM1" s="172"/>
      <c r="TXN1" s="172"/>
      <c r="TXO1" s="172"/>
      <c r="TXP1" s="172"/>
      <c r="TXQ1" s="172"/>
      <c r="TXR1" s="172"/>
      <c r="TXS1" s="172"/>
      <c r="TXT1" s="172"/>
      <c r="TXU1" s="172"/>
      <c r="TXV1" s="172"/>
      <c r="TXW1" s="172"/>
      <c r="TXX1" s="172"/>
      <c r="TXY1" s="172"/>
      <c r="TXZ1" s="172"/>
      <c r="TYA1" s="172"/>
      <c r="TYB1" s="172"/>
      <c r="TYC1" s="172"/>
      <c r="TYD1" s="172"/>
      <c r="TYE1" s="172"/>
      <c r="TYF1" s="172"/>
      <c r="TYG1" s="172"/>
      <c r="TYH1" s="172"/>
      <c r="TYI1" s="172"/>
      <c r="TYJ1" s="172"/>
      <c r="TYK1" s="172"/>
      <c r="TYL1" s="172"/>
      <c r="TYM1" s="172"/>
      <c r="TYN1" s="172"/>
      <c r="TYO1" s="172"/>
      <c r="TYP1" s="172"/>
      <c r="TYQ1" s="172"/>
      <c r="TYR1" s="172"/>
      <c r="TYS1" s="172"/>
      <c r="TYT1" s="172"/>
      <c r="TYU1" s="172"/>
      <c r="TYV1" s="172"/>
      <c r="TYW1" s="172"/>
      <c r="TYX1" s="172"/>
      <c r="TYY1" s="172"/>
      <c r="TYZ1" s="172"/>
      <c r="TZA1" s="172"/>
      <c r="TZB1" s="172"/>
      <c r="TZC1" s="172"/>
      <c r="TZD1" s="172"/>
      <c r="TZE1" s="172"/>
      <c r="TZF1" s="172"/>
      <c r="TZG1" s="172"/>
      <c r="TZH1" s="172"/>
      <c r="TZI1" s="172"/>
      <c r="TZJ1" s="172"/>
      <c r="TZK1" s="172"/>
      <c r="TZL1" s="172"/>
      <c r="TZM1" s="172"/>
      <c r="TZN1" s="172"/>
      <c r="TZO1" s="172"/>
      <c r="TZP1" s="172"/>
      <c r="TZQ1" s="172"/>
      <c r="TZR1" s="172"/>
      <c r="TZS1" s="172"/>
      <c r="TZT1" s="172"/>
      <c r="TZU1" s="172"/>
      <c r="TZV1" s="172"/>
      <c r="TZW1" s="172"/>
      <c r="TZX1" s="172"/>
      <c r="TZY1" s="172"/>
      <c r="TZZ1" s="172"/>
      <c r="UAA1" s="172"/>
      <c r="UAB1" s="172"/>
      <c r="UAC1" s="172"/>
      <c r="UAD1" s="172"/>
      <c r="UAE1" s="172"/>
      <c r="UAF1" s="172"/>
      <c r="UAG1" s="172"/>
      <c r="UAH1" s="172"/>
      <c r="UAI1" s="172"/>
      <c r="UAJ1" s="172"/>
      <c r="UAK1" s="172"/>
      <c r="UAL1" s="172"/>
      <c r="UAM1" s="172"/>
      <c r="UAN1" s="172"/>
      <c r="UAO1" s="172"/>
      <c r="UAP1" s="172"/>
      <c r="UAQ1" s="172"/>
      <c r="UAR1" s="172"/>
      <c r="UAS1" s="172"/>
      <c r="UAT1" s="172"/>
      <c r="UAU1" s="172"/>
      <c r="UAV1" s="172"/>
      <c r="UAW1" s="172"/>
      <c r="UAX1" s="172"/>
      <c r="UAY1" s="172"/>
      <c r="UAZ1" s="172"/>
      <c r="UBA1" s="172"/>
      <c r="UBB1" s="172"/>
      <c r="UBC1" s="172"/>
      <c r="UBD1" s="172"/>
      <c r="UBE1" s="172"/>
      <c r="UBF1" s="172"/>
      <c r="UBG1" s="172"/>
      <c r="UBH1" s="172"/>
      <c r="UBI1" s="172"/>
      <c r="UBJ1" s="172"/>
      <c r="UBK1" s="172"/>
      <c r="UBL1" s="172"/>
      <c r="UBM1" s="172"/>
      <c r="UBN1" s="172"/>
      <c r="UBO1" s="172"/>
      <c r="UBP1" s="172"/>
      <c r="UBQ1" s="172"/>
      <c r="UBR1" s="172"/>
      <c r="UBS1" s="172"/>
      <c r="UBT1" s="172"/>
      <c r="UBU1" s="172"/>
      <c r="UBV1" s="172"/>
      <c r="UBW1" s="172"/>
      <c r="UBX1" s="172"/>
      <c r="UBY1" s="172"/>
      <c r="UBZ1" s="172"/>
      <c r="UCA1" s="172"/>
      <c r="UCB1" s="172"/>
      <c r="UCC1" s="172"/>
      <c r="UCD1" s="172"/>
      <c r="UCE1" s="172"/>
      <c r="UCF1" s="172"/>
      <c r="UCG1" s="172"/>
      <c r="UCH1" s="172"/>
      <c r="UCI1" s="172"/>
      <c r="UCJ1" s="172"/>
      <c r="UCK1" s="172"/>
      <c r="UCL1" s="172"/>
      <c r="UCM1" s="172"/>
      <c r="UCN1" s="172"/>
      <c r="UCO1" s="172"/>
      <c r="UCP1" s="172"/>
      <c r="UCQ1" s="172"/>
      <c r="UCR1" s="172"/>
      <c r="UCS1" s="172"/>
      <c r="UCT1" s="172"/>
      <c r="UCU1" s="172"/>
      <c r="UCV1" s="172"/>
      <c r="UCW1" s="172"/>
      <c r="UCX1" s="172"/>
      <c r="UCY1" s="172"/>
      <c r="UCZ1" s="172"/>
      <c r="UDA1" s="172"/>
      <c r="UDB1" s="172"/>
      <c r="UDC1" s="172"/>
      <c r="UDD1" s="172"/>
      <c r="UDE1" s="172"/>
      <c r="UDF1" s="172"/>
      <c r="UDG1" s="172"/>
      <c r="UDH1" s="172"/>
      <c r="UDI1" s="172"/>
      <c r="UDJ1" s="172"/>
      <c r="UDK1" s="172"/>
      <c r="UDL1" s="172"/>
      <c r="UDM1" s="172"/>
      <c r="UDN1" s="172"/>
      <c r="UDO1" s="172"/>
      <c r="UDP1" s="172"/>
      <c r="UDQ1" s="172"/>
      <c r="UDR1" s="172"/>
      <c r="UDS1" s="172"/>
      <c r="UDT1" s="172"/>
      <c r="UDU1" s="172"/>
      <c r="UDV1" s="172"/>
      <c r="UDW1" s="172"/>
      <c r="UDX1" s="172"/>
      <c r="UDY1" s="172"/>
      <c r="UDZ1" s="172"/>
      <c r="UEA1" s="172"/>
      <c r="UEB1" s="172"/>
      <c r="UEC1" s="172"/>
      <c r="UED1" s="172"/>
      <c r="UEE1" s="172"/>
      <c r="UEF1" s="172"/>
      <c r="UEG1" s="172"/>
      <c r="UEH1" s="172"/>
      <c r="UEI1" s="172"/>
      <c r="UEJ1" s="172"/>
      <c r="UEK1" s="172"/>
      <c r="UEL1" s="172"/>
      <c r="UEM1" s="172"/>
      <c r="UEN1" s="172"/>
      <c r="UEO1" s="172"/>
      <c r="UEP1" s="172"/>
      <c r="UEQ1" s="172"/>
      <c r="UER1" s="172"/>
      <c r="UES1" s="172"/>
      <c r="UET1" s="172"/>
      <c r="UEU1" s="172"/>
      <c r="UEV1" s="172"/>
      <c r="UEW1" s="172"/>
      <c r="UEX1" s="172"/>
      <c r="UEY1" s="172"/>
      <c r="UEZ1" s="172"/>
      <c r="UFA1" s="172"/>
      <c r="UFB1" s="172"/>
      <c r="UFC1" s="172"/>
      <c r="UFD1" s="172"/>
      <c r="UFE1" s="172"/>
      <c r="UFF1" s="172"/>
      <c r="UFG1" s="172"/>
      <c r="UFH1" s="172"/>
      <c r="UFI1" s="172"/>
      <c r="UFJ1" s="172"/>
      <c r="UFK1" s="172"/>
      <c r="UFL1" s="172"/>
      <c r="UFM1" s="172"/>
      <c r="UFN1" s="172"/>
      <c r="UFO1" s="172"/>
      <c r="UFP1" s="172"/>
      <c r="UFQ1" s="172"/>
      <c r="UFR1" s="172"/>
      <c r="UFS1" s="172"/>
      <c r="UFT1" s="172"/>
      <c r="UFU1" s="172"/>
      <c r="UFV1" s="172"/>
      <c r="UFW1" s="172"/>
      <c r="UFX1" s="172"/>
      <c r="UFY1" s="172"/>
      <c r="UFZ1" s="172"/>
      <c r="UGA1" s="172"/>
      <c r="UGB1" s="172"/>
      <c r="UGC1" s="172"/>
      <c r="UGD1" s="172"/>
      <c r="UGE1" s="172"/>
      <c r="UGF1" s="172"/>
      <c r="UGG1" s="172"/>
      <c r="UGH1" s="172"/>
      <c r="UGI1" s="172"/>
      <c r="UGJ1" s="172"/>
      <c r="UGK1" s="172"/>
      <c r="UGL1" s="172"/>
      <c r="UGM1" s="172"/>
      <c r="UGN1" s="172"/>
      <c r="UGO1" s="172"/>
      <c r="UGP1" s="172"/>
      <c r="UGQ1" s="172"/>
      <c r="UGR1" s="172"/>
      <c r="UGS1" s="172"/>
      <c r="UGT1" s="172"/>
      <c r="UGU1" s="172"/>
      <c r="UGV1" s="172"/>
      <c r="UGW1" s="172"/>
      <c r="UGX1" s="172"/>
      <c r="UGY1" s="172"/>
      <c r="UGZ1" s="172"/>
      <c r="UHA1" s="172"/>
      <c r="UHB1" s="172"/>
      <c r="UHC1" s="172"/>
      <c r="UHD1" s="172"/>
      <c r="UHE1" s="172"/>
      <c r="UHF1" s="172"/>
      <c r="UHG1" s="172"/>
      <c r="UHH1" s="172"/>
      <c r="UHI1" s="172"/>
      <c r="UHJ1" s="172"/>
      <c r="UHK1" s="172"/>
      <c r="UHL1" s="172"/>
      <c r="UHM1" s="172"/>
      <c r="UHN1" s="172"/>
      <c r="UHO1" s="172"/>
      <c r="UHP1" s="172"/>
      <c r="UHQ1" s="172"/>
      <c r="UHR1" s="172"/>
      <c r="UHS1" s="172"/>
      <c r="UHT1" s="172"/>
      <c r="UHU1" s="172"/>
      <c r="UHV1" s="172"/>
      <c r="UHW1" s="172"/>
      <c r="UHX1" s="172"/>
      <c r="UHY1" s="172"/>
      <c r="UHZ1" s="172"/>
      <c r="UIA1" s="172"/>
      <c r="UIB1" s="172"/>
      <c r="UIC1" s="172"/>
      <c r="UID1" s="172"/>
      <c r="UIE1" s="172"/>
      <c r="UIF1" s="172"/>
      <c r="UIG1" s="172"/>
      <c r="UIH1" s="172"/>
      <c r="UII1" s="172"/>
      <c r="UIJ1" s="172"/>
      <c r="UIK1" s="172"/>
      <c r="UIL1" s="172"/>
      <c r="UIM1" s="172"/>
      <c r="UIN1" s="172"/>
      <c r="UIO1" s="172"/>
      <c r="UIP1" s="172"/>
      <c r="UIQ1" s="172"/>
      <c r="UIR1" s="172"/>
      <c r="UIS1" s="172"/>
      <c r="UIT1" s="172"/>
      <c r="UIU1" s="172"/>
      <c r="UIV1" s="172"/>
      <c r="UIW1" s="172"/>
      <c r="UIX1" s="172"/>
      <c r="UIY1" s="172"/>
      <c r="UIZ1" s="172"/>
      <c r="UJA1" s="172"/>
      <c r="UJB1" s="172"/>
      <c r="UJC1" s="172"/>
      <c r="UJD1" s="172"/>
      <c r="UJE1" s="172"/>
      <c r="UJF1" s="172"/>
      <c r="UJG1" s="172"/>
      <c r="UJH1" s="172"/>
      <c r="UJI1" s="172"/>
      <c r="UJJ1" s="172"/>
      <c r="UJK1" s="172"/>
      <c r="UJL1" s="172"/>
      <c r="UJM1" s="172"/>
      <c r="UJN1" s="172"/>
      <c r="UJO1" s="172"/>
      <c r="UJP1" s="172"/>
      <c r="UJQ1" s="172"/>
      <c r="UJR1" s="172"/>
      <c r="UJS1" s="172"/>
      <c r="UJT1" s="172"/>
      <c r="UJU1" s="172"/>
      <c r="UJV1" s="172"/>
      <c r="UJW1" s="172"/>
      <c r="UJX1" s="172"/>
      <c r="UJY1" s="172"/>
      <c r="UJZ1" s="172"/>
      <c r="UKA1" s="172"/>
      <c r="UKB1" s="172"/>
      <c r="UKC1" s="172"/>
      <c r="UKD1" s="172"/>
      <c r="UKE1" s="172"/>
      <c r="UKF1" s="172"/>
      <c r="UKG1" s="172"/>
      <c r="UKH1" s="172"/>
      <c r="UKI1" s="172"/>
      <c r="UKJ1" s="172"/>
      <c r="UKK1" s="172"/>
      <c r="UKL1" s="172"/>
      <c r="UKM1" s="172"/>
      <c r="UKN1" s="172"/>
      <c r="UKO1" s="172"/>
      <c r="UKP1" s="172"/>
      <c r="UKQ1" s="172"/>
      <c r="UKR1" s="172"/>
      <c r="UKS1" s="172"/>
      <c r="UKT1" s="172"/>
      <c r="UKU1" s="172"/>
      <c r="UKV1" s="172"/>
      <c r="UKW1" s="172"/>
      <c r="UKX1" s="172"/>
      <c r="UKY1" s="172"/>
      <c r="UKZ1" s="172"/>
      <c r="ULA1" s="172"/>
      <c r="ULB1" s="172"/>
      <c r="ULC1" s="172"/>
      <c r="ULD1" s="172"/>
      <c r="ULE1" s="172"/>
      <c r="ULF1" s="172"/>
      <c r="ULG1" s="172"/>
      <c r="ULH1" s="172"/>
      <c r="ULI1" s="172"/>
      <c r="ULJ1" s="172"/>
      <c r="ULK1" s="172"/>
      <c r="ULL1" s="172"/>
      <c r="ULM1" s="172"/>
      <c r="ULN1" s="172"/>
      <c r="ULO1" s="172"/>
      <c r="ULP1" s="172"/>
      <c r="ULQ1" s="172"/>
      <c r="ULR1" s="172"/>
      <c r="ULS1" s="172"/>
      <c r="ULT1" s="172"/>
      <c r="ULU1" s="172"/>
      <c r="ULV1" s="172"/>
      <c r="ULW1" s="172"/>
      <c r="ULX1" s="172"/>
      <c r="ULY1" s="172"/>
      <c r="ULZ1" s="172"/>
      <c r="UMA1" s="172"/>
      <c r="UMB1" s="172"/>
      <c r="UMC1" s="172"/>
      <c r="UMD1" s="172"/>
      <c r="UME1" s="172"/>
      <c r="UMF1" s="172"/>
      <c r="UMG1" s="172"/>
      <c r="UMH1" s="172"/>
      <c r="UMI1" s="172"/>
      <c r="UMJ1" s="172"/>
      <c r="UMK1" s="172"/>
      <c r="UML1" s="172"/>
      <c r="UMM1" s="172"/>
      <c r="UMN1" s="172"/>
      <c r="UMO1" s="172"/>
      <c r="UMP1" s="172"/>
      <c r="UMQ1" s="172"/>
      <c r="UMR1" s="172"/>
      <c r="UMS1" s="172"/>
      <c r="UMT1" s="172"/>
      <c r="UMU1" s="172"/>
      <c r="UMV1" s="172"/>
      <c r="UMW1" s="172"/>
      <c r="UMX1" s="172"/>
      <c r="UMY1" s="172"/>
      <c r="UMZ1" s="172"/>
      <c r="UNA1" s="172"/>
      <c r="UNB1" s="172"/>
      <c r="UNC1" s="172"/>
      <c r="UND1" s="172"/>
      <c r="UNE1" s="172"/>
      <c r="UNF1" s="172"/>
      <c r="UNG1" s="172"/>
      <c r="UNH1" s="172"/>
      <c r="UNI1" s="172"/>
      <c r="UNJ1" s="172"/>
      <c r="UNK1" s="172"/>
      <c r="UNL1" s="172"/>
      <c r="UNM1" s="172"/>
      <c r="UNN1" s="172"/>
      <c r="UNO1" s="172"/>
      <c r="UNP1" s="172"/>
      <c r="UNQ1" s="172"/>
      <c r="UNR1" s="172"/>
      <c r="UNS1" s="172"/>
      <c r="UNT1" s="172"/>
      <c r="UNU1" s="172"/>
      <c r="UNV1" s="172"/>
      <c r="UNW1" s="172"/>
      <c r="UNX1" s="172"/>
      <c r="UNY1" s="172"/>
      <c r="UNZ1" s="172"/>
      <c r="UOA1" s="172"/>
      <c r="UOB1" s="172"/>
      <c r="UOC1" s="172"/>
      <c r="UOD1" s="172"/>
      <c r="UOE1" s="172"/>
      <c r="UOF1" s="172"/>
      <c r="UOG1" s="172"/>
      <c r="UOH1" s="172"/>
      <c r="UOI1" s="172"/>
      <c r="UOJ1" s="172"/>
      <c r="UOK1" s="172"/>
      <c r="UOL1" s="172"/>
      <c r="UOM1" s="172"/>
      <c r="UON1" s="172"/>
      <c r="UOO1" s="172"/>
      <c r="UOP1" s="172"/>
      <c r="UOQ1" s="172"/>
      <c r="UOR1" s="172"/>
      <c r="UOS1" s="172"/>
      <c r="UOT1" s="172"/>
      <c r="UOU1" s="172"/>
      <c r="UOV1" s="172"/>
      <c r="UOW1" s="172"/>
      <c r="UOX1" s="172"/>
      <c r="UOY1" s="172"/>
      <c r="UOZ1" s="172"/>
      <c r="UPA1" s="172"/>
      <c r="UPB1" s="172"/>
      <c r="UPC1" s="172"/>
      <c r="UPD1" s="172"/>
      <c r="UPE1" s="172"/>
      <c r="UPF1" s="172"/>
      <c r="UPG1" s="172"/>
      <c r="UPH1" s="172"/>
      <c r="UPI1" s="172"/>
      <c r="UPJ1" s="172"/>
      <c r="UPK1" s="172"/>
      <c r="UPL1" s="172"/>
      <c r="UPM1" s="172"/>
      <c r="UPN1" s="172"/>
      <c r="UPO1" s="172"/>
      <c r="UPP1" s="172"/>
      <c r="UPQ1" s="172"/>
      <c r="UPR1" s="172"/>
      <c r="UPS1" s="172"/>
      <c r="UPT1" s="172"/>
      <c r="UPU1" s="172"/>
      <c r="UPV1" s="172"/>
      <c r="UPW1" s="172"/>
      <c r="UPX1" s="172"/>
      <c r="UPY1" s="172"/>
      <c r="UPZ1" s="172"/>
      <c r="UQA1" s="172"/>
      <c r="UQB1" s="172"/>
      <c r="UQC1" s="172"/>
      <c r="UQD1" s="172"/>
      <c r="UQE1" s="172"/>
      <c r="UQF1" s="172"/>
      <c r="UQG1" s="172"/>
      <c r="UQH1" s="172"/>
      <c r="UQI1" s="172"/>
      <c r="UQJ1" s="172"/>
      <c r="UQK1" s="172"/>
      <c r="UQL1" s="172"/>
      <c r="UQM1" s="172"/>
      <c r="UQN1" s="172"/>
      <c r="UQO1" s="172"/>
      <c r="UQP1" s="172"/>
      <c r="UQQ1" s="172"/>
      <c r="UQR1" s="172"/>
      <c r="UQS1" s="172"/>
      <c r="UQT1" s="172"/>
      <c r="UQU1" s="172"/>
      <c r="UQV1" s="172"/>
      <c r="UQW1" s="172"/>
      <c r="UQX1" s="172"/>
      <c r="UQY1" s="172"/>
      <c r="UQZ1" s="172"/>
      <c r="URA1" s="172"/>
      <c r="URB1" s="172"/>
      <c r="URC1" s="172"/>
      <c r="URD1" s="172"/>
      <c r="URE1" s="172"/>
      <c r="URF1" s="172"/>
      <c r="URG1" s="172"/>
      <c r="URH1" s="172"/>
      <c r="URI1" s="172"/>
      <c r="URJ1" s="172"/>
      <c r="URK1" s="172"/>
      <c r="URL1" s="172"/>
      <c r="URM1" s="172"/>
      <c r="URN1" s="172"/>
      <c r="URO1" s="172"/>
      <c r="URP1" s="172"/>
      <c r="URQ1" s="172"/>
      <c r="URR1" s="172"/>
      <c r="URS1" s="172"/>
      <c r="URT1" s="172"/>
      <c r="URU1" s="172"/>
      <c r="URV1" s="172"/>
      <c r="URW1" s="172"/>
      <c r="URX1" s="172"/>
      <c r="URY1" s="172"/>
      <c r="URZ1" s="172"/>
      <c r="USA1" s="172"/>
      <c r="USB1" s="172"/>
      <c r="USC1" s="172"/>
      <c r="USD1" s="172"/>
      <c r="USE1" s="172"/>
      <c r="USF1" s="172"/>
      <c r="USG1" s="172"/>
      <c r="USH1" s="172"/>
      <c r="USI1" s="172"/>
      <c r="USJ1" s="172"/>
      <c r="USK1" s="172"/>
      <c r="USL1" s="172"/>
      <c r="USM1" s="172"/>
      <c r="USN1" s="172"/>
      <c r="USO1" s="172"/>
      <c r="USP1" s="172"/>
      <c r="USQ1" s="172"/>
      <c r="USR1" s="172"/>
      <c r="USS1" s="172"/>
      <c r="UST1" s="172"/>
      <c r="USU1" s="172"/>
      <c r="USV1" s="172"/>
      <c r="USW1" s="172"/>
      <c r="USX1" s="172"/>
      <c r="USY1" s="172"/>
      <c r="USZ1" s="172"/>
      <c r="UTA1" s="172"/>
      <c r="UTB1" s="172"/>
      <c r="UTC1" s="172"/>
      <c r="UTD1" s="172"/>
      <c r="UTE1" s="172"/>
      <c r="UTF1" s="172"/>
      <c r="UTG1" s="172"/>
      <c r="UTH1" s="172"/>
      <c r="UTI1" s="172"/>
      <c r="UTJ1" s="172"/>
      <c r="UTK1" s="172"/>
      <c r="UTL1" s="172"/>
      <c r="UTM1" s="172"/>
      <c r="UTN1" s="172"/>
      <c r="UTO1" s="172"/>
      <c r="UTP1" s="172"/>
      <c r="UTQ1" s="172"/>
      <c r="UTR1" s="172"/>
      <c r="UTS1" s="172"/>
      <c r="UTT1" s="172"/>
      <c r="UTU1" s="172"/>
      <c r="UTV1" s="172"/>
      <c r="UTW1" s="172"/>
      <c r="UTX1" s="172"/>
      <c r="UTY1" s="172"/>
      <c r="UTZ1" s="172"/>
      <c r="UUA1" s="172"/>
      <c r="UUB1" s="172"/>
      <c r="UUC1" s="172"/>
      <c r="UUD1" s="172"/>
      <c r="UUE1" s="172"/>
      <c r="UUF1" s="172"/>
      <c r="UUG1" s="172"/>
      <c r="UUH1" s="172"/>
      <c r="UUI1" s="172"/>
      <c r="UUJ1" s="172"/>
      <c r="UUK1" s="172"/>
      <c r="UUL1" s="172"/>
      <c r="UUM1" s="172"/>
      <c r="UUN1" s="172"/>
      <c r="UUO1" s="172"/>
      <c r="UUP1" s="172"/>
      <c r="UUQ1" s="172"/>
      <c r="UUR1" s="172"/>
      <c r="UUS1" s="172"/>
      <c r="UUT1" s="172"/>
      <c r="UUU1" s="172"/>
      <c r="UUV1" s="172"/>
      <c r="UUW1" s="172"/>
      <c r="UUX1" s="172"/>
      <c r="UUY1" s="172"/>
      <c r="UUZ1" s="172"/>
      <c r="UVA1" s="172"/>
      <c r="UVB1" s="172"/>
      <c r="UVC1" s="172"/>
      <c r="UVD1" s="172"/>
      <c r="UVE1" s="172"/>
      <c r="UVF1" s="172"/>
      <c r="UVG1" s="172"/>
      <c r="UVH1" s="172"/>
      <c r="UVI1" s="172"/>
      <c r="UVJ1" s="172"/>
      <c r="UVK1" s="172"/>
      <c r="UVL1" s="172"/>
      <c r="UVM1" s="172"/>
      <c r="UVN1" s="172"/>
      <c r="UVO1" s="172"/>
      <c r="UVP1" s="172"/>
      <c r="UVQ1" s="172"/>
      <c r="UVR1" s="172"/>
      <c r="UVS1" s="172"/>
      <c r="UVT1" s="172"/>
      <c r="UVU1" s="172"/>
      <c r="UVV1" s="172"/>
      <c r="UVW1" s="172"/>
      <c r="UVX1" s="172"/>
      <c r="UVY1" s="172"/>
      <c r="UVZ1" s="172"/>
      <c r="UWA1" s="172"/>
      <c r="UWB1" s="172"/>
      <c r="UWC1" s="172"/>
      <c r="UWD1" s="172"/>
      <c r="UWE1" s="172"/>
      <c r="UWF1" s="172"/>
      <c r="UWG1" s="172"/>
      <c r="UWH1" s="172"/>
      <c r="UWI1" s="172"/>
      <c r="UWJ1" s="172"/>
      <c r="UWK1" s="172"/>
      <c r="UWL1" s="172"/>
      <c r="UWM1" s="172"/>
      <c r="UWN1" s="172"/>
      <c r="UWO1" s="172"/>
      <c r="UWP1" s="172"/>
      <c r="UWQ1" s="172"/>
      <c r="UWR1" s="172"/>
      <c r="UWS1" s="172"/>
      <c r="UWT1" s="172"/>
      <c r="UWU1" s="172"/>
      <c r="UWV1" s="172"/>
      <c r="UWW1" s="172"/>
      <c r="UWX1" s="172"/>
      <c r="UWY1" s="172"/>
      <c r="UWZ1" s="172"/>
      <c r="UXA1" s="172"/>
      <c r="UXB1" s="172"/>
      <c r="UXC1" s="172"/>
      <c r="UXD1" s="172"/>
      <c r="UXE1" s="172"/>
      <c r="UXF1" s="172"/>
      <c r="UXG1" s="172"/>
      <c r="UXH1" s="172"/>
      <c r="UXI1" s="172"/>
      <c r="UXJ1" s="172"/>
      <c r="UXK1" s="172"/>
      <c r="UXL1" s="172"/>
      <c r="UXM1" s="172"/>
      <c r="UXN1" s="172"/>
      <c r="UXO1" s="172"/>
      <c r="UXP1" s="172"/>
      <c r="UXQ1" s="172"/>
      <c r="UXR1" s="172"/>
      <c r="UXS1" s="172"/>
      <c r="UXT1" s="172"/>
      <c r="UXU1" s="172"/>
      <c r="UXV1" s="172"/>
      <c r="UXW1" s="172"/>
      <c r="UXX1" s="172"/>
      <c r="UXY1" s="172"/>
      <c r="UXZ1" s="172"/>
      <c r="UYA1" s="172"/>
      <c r="UYB1" s="172"/>
      <c r="UYC1" s="172"/>
      <c r="UYD1" s="172"/>
      <c r="UYE1" s="172"/>
      <c r="UYF1" s="172"/>
      <c r="UYG1" s="172"/>
      <c r="UYH1" s="172"/>
      <c r="UYI1" s="172"/>
      <c r="UYJ1" s="172"/>
      <c r="UYK1" s="172"/>
      <c r="UYL1" s="172"/>
      <c r="UYM1" s="172"/>
      <c r="UYN1" s="172"/>
      <c r="UYO1" s="172"/>
      <c r="UYP1" s="172"/>
      <c r="UYQ1" s="172"/>
      <c r="UYR1" s="172"/>
      <c r="UYS1" s="172"/>
      <c r="UYT1" s="172"/>
      <c r="UYU1" s="172"/>
      <c r="UYV1" s="172"/>
      <c r="UYW1" s="172"/>
      <c r="UYX1" s="172"/>
      <c r="UYY1" s="172"/>
      <c r="UYZ1" s="172"/>
      <c r="UZA1" s="172"/>
      <c r="UZB1" s="172"/>
      <c r="UZC1" s="172"/>
      <c r="UZD1" s="172"/>
      <c r="UZE1" s="172"/>
      <c r="UZF1" s="172"/>
      <c r="UZG1" s="172"/>
      <c r="UZH1" s="172"/>
      <c r="UZI1" s="172"/>
      <c r="UZJ1" s="172"/>
      <c r="UZK1" s="172"/>
      <c r="UZL1" s="172"/>
      <c r="UZM1" s="172"/>
      <c r="UZN1" s="172"/>
      <c r="UZO1" s="172"/>
      <c r="UZP1" s="172"/>
      <c r="UZQ1" s="172"/>
      <c r="UZR1" s="172"/>
      <c r="UZS1" s="172"/>
      <c r="UZT1" s="172"/>
      <c r="UZU1" s="172"/>
      <c r="UZV1" s="172"/>
      <c r="UZW1" s="172"/>
      <c r="UZX1" s="172"/>
      <c r="UZY1" s="172"/>
      <c r="UZZ1" s="172"/>
      <c r="VAA1" s="172"/>
      <c r="VAB1" s="172"/>
      <c r="VAC1" s="172"/>
      <c r="VAD1" s="172"/>
      <c r="VAE1" s="172"/>
      <c r="VAF1" s="172"/>
      <c r="VAG1" s="172"/>
      <c r="VAH1" s="172"/>
      <c r="VAI1" s="172"/>
      <c r="VAJ1" s="172"/>
      <c r="VAK1" s="172"/>
      <c r="VAL1" s="172"/>
      <c r="VAM1" s="172"/>
      <c r="VAN1" s="172"/>
      <c r="VAO1" s="172"/>
      <c r="VAP1" s="172"/>
      <c r="VAQ1" s="172"/>
      <c r="VAR1" s="172"/>
      <c r="VAS1" s="172"/>
      <c r="VAT1" s="172"/>
      <c r="VAU1" s="172"/>
      <c r="VAV1" s="172"/>
      <c r="VAW1" s="172"/>
      <c r="VAX1" s="172"/>
      <c r="VAY1" s="172"/>
      <c r="VAZ1" s="172"/>
      <c r="VBA1" s="172"/>
      <c r="VBB1" s="172"/>
      <c r="VBC1" s="172"/>
      <c r="VBD1" s="172"/>
      <c r="VBE1" s="172"/>
      <c r="VBF1" s="172"/>
      <c r="VBG1" s="172"/>
      <c r="VBH1" s="172"/>
      <c r="VBI1" s="172"/>
      <c r="VBJ1" s="172"/>
      <c r="VBK1" s="172"/>
      <c r="VBL1" s="172"/>
      <c r="VBM1" s="172"/>
      <c r="VBN1" s="172"/>
      <c r="VBO1" s="172"/>
      <c r="VBP1" s="172"/>
      <c r="VBQ1" s="172"/>
      <c r="VBR1" s="172"/>
      <c r="VBS1" s="172"/>
      <c r="VBT1" s="172"/>
      <c r="VBU1" s="172"/>
      <c r="VBV1" s="172"/>
      <c r="VBW1" s="172"/>
      <c r="VBX1" s="172"/>
      <c r="VBY1" s="172"/>
      <c r="VBZ1" s="172"/>
      <c r="VCA1" s="172"/>
      <c r="VCB1" s="172"/>
      <c r="VCC1" s="172"/>
      <c r="VCD1" s="172"/>
      <c r="VCE1" s="172"/>
      <c r="VCF1" s="172"/>
      <c r="VCG1" s="172"/>
      <c r="VCH1" s="172"/>
      <c r="VCI1" s="172"/>
      <c r="VCJ1" s="172"/>
      <c r="VCK1" s="172"/>
      <c r="VCL1" s="172"/>
      <c r="VCM1" s="172"/>
      <c r="VCN1" s="172"/>
      <c r="VCO1" s="172"/>
      <c r="VCP1" s="172"/>
      <c r="VCQ1" s="172"/>
      <c r="VCR1" s="172"/>
      <c r="VCS1" s="172"/>
      <c r="VCT1" s="172"/>
      <c r="VCU1" s="172"/>
      <c r="VCV1" s="172"/>
      <c r="VCW1" s="172"/>
      <c r="VCX1" s="172"/>
      <c r="VCY1" s="172"/>
      <c r="VCZ1" s="172"/>
      <c r="VDA1" s="172"/>
      <c r="VDB1" s="172"/>
      <c r="VDC1" s="172"/>
      <c r="VDD1" s="172"/>
      <c r="VDE1" s="172"/>
      <c r="VDF1" s="172"/>
      <c r="VDG1" s="172"/>
      <c r="VDH1" s="172"/>
      <c r="VDI1" s="172"/>
      <c r="VDJ1" s="172"/>
      <c r="VDK1" s="172"/>
      <c r="VDL1" s="172"/>
      <c r="VDM1" s="172"/>
      <c r="VDN1" s="172"/>
      <c r="VDO1" s="172"/>
      <c r="VDP1" s="172"/>
      <c r="VDQ1" s="172"/>
      <c r="VDR1" s="172"/>
      <c r="VDS1" s="172"/>
      <c r="VDT1" s="172"/>
      <c r="VDU1" s="172"/>
      <c r="VDV1" s="172"/>
      <c r="VDW1" s="172"/>
      <c r="VDX1" s="172"/>
      <c r="VDY1" s="172"/>
      <c r="VDZ1" s="172"/>
      <c r="VEA1" s="172"/>
      <c r="VEB1" s="172"/>
      <c r="VEC1" s="172"/>
      <c r="VED1" s="172"/>
      <c r="VEE1" s="172"/>
      <c r="VEF1" s="172"/>
      <c r="VEG1" s="172"/>
      <c r="VEH1" s="172"/>
      <c r="VEI1" s="172"/>
      <c r="VEJ1" s="172"/>
      <c r="VEK1" s="172"/>
      <c r="VEL1" s="172"/>
      <c r="VEM1" s="172"/>
      <c r="VEN1" s="172"/>
      <c r="VEO1" s="172"/>
      <c r="VEP1" s="172"/>
      <c r="VEQ1" s="172"/>
      <c r="VER1" s="172"/>
      <c r="VES1" s="172"/>
      <c r="VET1" s="172"/>
      <c r="VEU1" s="172"/>
      <c r="VEV1" s="172"/>
      <c r="VEW1" s="172"/>
      <c r="VEX1" s="172"/>
      <c r="VEY1" s="172"/>
      <c r="VEZ1" s="172"/>
      <c r="VFA1" s="172"/>
      <c r="VFB1" s="172"/>
      <c r="VFC1" s="172"/>
      <c r="VFD1" s="172"/>
      <c r="VFE1" s="172"/>
      <c r="VFF1" s="172"/>
      <c r="VFG1" s="172"/>
      <c r="VFH1" s="172"/>
      <c r="VFI1" s="172"/>
      <c r="VFJ1" s="172"/>
      <c r="VFK1" s="172"/>
      <c r="VFL1" s="172"/>
      <c r="VFM1" s="172"/>
      <c r="VFN1" s="172"/>
      <c r="VFO1" s="172"/>
      <c r="VFP1" s="172"/>
      <c r="VFQ1" s="172"/>
      <c r="VFR1" s="172"/>
      <c r="VFS1" s="172"/>
      <c r="VFT1" s="172"/>
      <c r="VFU1" s="172"/>
      <c r="VFV1" s="172"/>
      <c r="VFW1" s="172"/>
      <c r="VFX1" s="172"/>
      <c r="VFY1" s="172"/>
      <c r="VFZ1" s="172"/>
      <c r="VGA1" s="172"/>
      <c r="VGB1" s="172"/>
      <c r="VGC1" s="172"/>
      <c r="VGD1" s="172"/>
      <c r="VGE1" s="172"/>
      <c r="VGF1" s="172"/>
      <c r="VGG1" s="172"/>
      <c r="VGH1" s="172"/>
      <c r="VGI1" s="172"/>
      <c r="VGJ1" s="172"/>
      <c r="VGK1" s="172"/>
      <c r="VGL1" s="172"/>
      <c r="VGM1" s="172"/>
      <c r="VGN1" s="172"/>
      <c r="VGO1" s="172"/>
      <c r="VGP1" s="172"/>
      <c r="VGQ1" s="172"/>
      <c r="VGR1" s="172"/>
      <c r="VGS1" s="172"/>
      <c r="VGT1" s="172"/>
      <c r="VGU1" s="172"/>
      <c r="VGV1" s="172"/>
      <c r="VGW1" s="172"/>
      <c r="VGX1" s="172"/>
      <c r="VGY1" s="172"/>
      <c r="VGZ1" s="172"/>
      <c r="VHA1" s="172"/>
      <c r="VHB1" s="172"/>
      <c r="VHC1" s="172"/>
      <c r="VHD1" s="172"/>
      <c r="VHE1" s="172"/>
      <c r="VHF1" s="172"/>
      <c r="VHG1" s="172"/>
      <c r="VHH1" s="172"/>
      <c r="VHI1" s="172"/>
      <c r="VHJ1" s="172"/>
      <c r="VHK1" s="172"/>
      <c r="VHL1" s="172"/>
      <c r="VHM1" s="172"/>
      <c r="VHN1" s="172"/>
      <c r="VHO1" s="172"/>
      <c r="VHP1" s="172"/>
      <c r="VHQ1" s="172"/>
      <c r="VHR1" s="172"/>
      <c r="VHS1" s="172"/>
      <c r="VHT1" s="172"/>
      <c r="VHU1" s="172"/>
      <c r="VHV1" s="172"/>
      <c r="VHW1" s="172"/>
      <c r="VHX1" s="172"/>
      <c r="VHY1" s="172"/>
      <c r="VHZ1" s="172"/>
      <c r="VIA1" s="172"/>
      <c r="VIB1" s="172"/>
      <c r="VIC1" s="172"/>
      <c r="VID1" s="172"/>
      <c r="VIE1" s="172"/>
      <c r="VIF1" s="172"/>
      <c r="VIG1" s="172"/>
      <c r="VIH1" s="172"/>
      <c r="VII1" s="172"/>
      <c r="VIJ1" s="172"/>
      <c r="VIK1" s="172"/>
      <c r="VIL1" s="172"/>
      <c r="VIM1" s="172"/>
      <c r="VIN1" s="172"/>
      <c r="VIO1" s="172"/>
      <c r="VIP1" s="172"/>
      <c r="VIQ1" s="172"/>
      <c r="VIR1" s="172"/>
      <c r="VIS1" s="172"/>
      <c r="VIT1" s="172"/>
      <c r="VIU1" s="172"/>
      <c r="VIV1" s="172"/>
      <c r="VIW1" s="172"/>
      <c r="VIX1" s="172"/>
      <c r="VIY1" s="172"/>
      <c r="VIZ1" s="172"/>
      <c r="VJA1" s="172"/>
      <c r="VJB1" s="172"/>
      <c r="VJC1" s="172"/>
      <c r="VJD1" s="172"/>
      <c r="VJE1" s="172"/>
      <c r="VJF1" s="172"/>
      <c r="VJG1" s="172"/>
      <c r="VJH1" s="172"/>
      <c r="VJI1" s="172"/>
      <c r="VJJ1" s="172"/>
      <c r="VJK1" s="172"/>
      <c r="VJL1" s="172"/>
      <c r="VJM1" s="172"/>
      <c r="VJN1" s="172"/>
      <c r="VJO1" s="172"/>
      <c r="VJP1" s="172"/>
      <c r="VJQ1" s="172"/>
      <c r="VJR1" s="172"/>
      <c r="VJS1" s="172"/>
      <c r="VJT1" s="172"/>
      <c r="VJU1" s="172"/>
      <c r="VJV1" s="172"/>
      <c r="VJW1" s="172"/>
      <c r="VJX1" s="172"/>
      <c r="VJY1" s="172"/>
      <c r="VJZ1" s="172"/>
      <c r="VKA1" s="172"/>
      <c r="VKB1" s="172"/>
      <c r="VKC1" s="172"/>
      <c r="VKD1" s="172"/>
      <c r="VKE1" s="172"/>
      <c r="VKF1" s="172"/>
      <c r="VKG1" s="172"/>
      <c r="VKH1" s="172"/>
      <c r="VKI1" s="172"/>
      <c r="VKJ1" s="172"/>
      <c r="VKK1" s="172"/>
      <c r="VKL1" s="172"/>
      <c r="VKM1" s="172"/>
      <c r="VKN1" s="172"/>
      <c r="VKO1" s="172"/>
      <c r="VKP1" s="172"/>
      <c r="VKQ1" s="172"/>
      <c r="VKR1" s="172"/>
      <c r="VKS1" s="172"/>
      <c r="VKT1" s="172"/>
      <c r="VKU1" s="172"/>
      <c r="VKV1" s="172"/>
      <c r="VKW1" s="172"/>
      <c r="VKX1" s="172"/>
      <c r="VKY1" s="172"/>
      <c r="VKZ1" s="172"/>
      <c r="VLA1" s="172"/>
      <c r="VLB1" s="172"/>
      <c r="VLC1" s="172"/>
      <c r="VLD1" s="172"/>
      <c r="VLE1" s="172"/>
      <c r="VLF1" s="172"/>
      <c r="VLG1" s="172"/>
      <c r="VLH1" s="172"/>
      <c r="VLI1" s="172"/>
      <c r="VLJ1" s="172"/>
      <c r="VLK1" s="172"/>
      <c r="VLL1" s="172"/>
      <c r="VLM1" s="172"/>
      <c r="VLN1" s="172"/>
      <c r="VLO1" s="172"/>
      <c r="VLP1" s="172"/>
      <c r="VLQ1" s="172"/>
      <c r="VLR1" s="172"/>
      <c r="VLS1" s="172"/>
      <c r="VLT1" s="172"/>
      <c r="VLU1" s="172"/>
      <c r="VLV1" s="172"/>
      <c r="VLW1" s="172"/>
      <c r="VLX1" s="172"/>
      <c r="VLY1" s="172"/>
      <c r="VLZ1" s="172"/>
      <c r="VMA1" s="172"/>
      <c r="VMB1" s="172"/>
      <c r="VMC1" s="172"/>
      <c r="VMD1" s="172"/>
      <c r="VME1" s="172"/>
      <c r="VMF1" s="172"/>
      <c r="VMG1" s="172"/>
      <c r="VMH1" s="172"/>
      <c r="VMI1" s="172"/>
      <c r="VMJ1" s="172"/>
      <c r="VMK1" s="172"/>
      <c r="VML1" s="172"/>
      <c r="VMM1" s="172"/>
      <c r="VMN1" s="172"/>
      <c r="VMO1" s="172"/>
      <c r="VMP1" s="172"/>
      <c r="VMQ1" s="172"/>
      <c r="VMR1" s="172"/>
      <c r="VMS1" s="172"/>
      <c r="VMT1" s="172"/>
      <c r="VMU1" s="172"/>
      <c r="VMV1" s="172"/>
      <c r="VMW1" s="172"/>
      <c r="VMX1" s="172"/>
      <c r="VMY1" s="172"/>
      <c r="VMZ1" s="172"/>
      <c r="VNA1" s="172"/>
      <c r="VNB1" s="172"/>
      <c r="VNC1" s="172"/>
      <c r="VND1" s="172"/>
      <c r="VNE1" s="172"/>
      <c r="VNF1" s="172"/>
      <c r="VNG1" s="172"/>
      <c r="VNH1" s="172"/>
      <c r="VNI1" s="172"/>
      <c r="VNJ1" s="172"/>
      <c r="VNK1" s="172"/>
      <c r="VNL1" s="172"/>
      <c r="VNM1" s="172"/>
      <c r="VNN1" s="172"/>
      <c r="VNO1" s="172"/>
      <c r="VNP1" s="172"/>
      <c r="VNQ1" s="172"/>
      <c r="VNR1" s="172"/>
      <c r="VNS1" s="172"/>
      <c r="VNT1" s="172"/>
      <c r="VNU1" s="172"/>
      <c r="VNV1" s="172"/>
      <c r="VNW1" s="172"/>
      <c r="VNX1" s="172"/>
      <c r="VNY1" s="172"/>
      <c r="VNZ1" s="172"/>
      <c r="VOA1" s="172"/>
      <c r="VOB1" s="172"/>
      <c r="VOC1" s="172"/>
      <c r="VOD1" s="172"/>
      <c r="VOE1" s="172"/>
      <c r="VOF1" s="172"/>
      <c r="VOG1" s="172"/>
      <c r="VOH1" s="172"/>
      <c r="VOI1" s="172"/>
      <c r="VOJ1" s="172"/>
      <c r="VOK1" s="172"/>
      <c r="VOL1" s="172"/>
      <c r="VOM1" s="172"/>
      <c r="VON1" s="172"/>
      <c r="VOO1" s="172"/>
      <c r="VOP1" s="172"/>
      <c r="VOQ1" s="172"/>
      <c r="VOR1" s="172"/>
      <c r="VOS1" s="172"/>
      <c r="VOT1" s="172"/>
      <c r="VOU1" s="172"/>
      <c r="VOV1" s="172"/>
      <c r="VOW1" s="172"/>
      <c r="VOX1" s="172"/>
      <c r="VOY1" s="172"/>
      <c r="VOZ1" s="172"/>
      <c r="VPA1" s="172"/>
      <c r="VPB1" s="172"/>
      <c r="VPC1" s="172"/>
      <c r="VPD1" s="172"/>
      <c r="VPE1" s="172"/>
      <c r="VPF1" s="172"/>
      <c r="VPG1" s="172"/>
      <c r="VPH1" s="172"/>
      <c r="VPI1" s="172"/>
      <c r="VPJ1" s="172"/>
      <c r="VPK1" s="172"/>
      <c r="VPL1" s="172"/>
      <c r="VPM1" s="172"/>
      <c r="VPN1" s="172"/>
      <c r="VPO1" s="172"/>
      <c r="VPP1" s="172"/>
      <c r="VPQ1" s="172"/>
      <c r="VPR1" s="172"/>
      <c r="VPS1" s="172"/>
      <c r="VPT1" s="172"/>
      <c r="VPU1" s="172"/>
      <c r="VPV1" s="172"/>
      <c r="VPW1" s="172"/>
      <c r="VPX1" s="172"/>
      <c r="VPY1" s="172"/>
      <c r="VPZ1" s="172"/>
      <c r="VQA1" s="172"/>
      <c r="VQB1" s="172"/>
      <c r="VQC1" s="172"/>
      <c r="VQD1" s="172"/>
      <c r="VQE1" s="172"/>
      <c r="VQF1" s="172"/>
      <c r="VQG1" s="172"/>
      <c r="VQH1" s="172"/>
      <c r="VQI1" s="172"/>
      <c r="VQJ1" s="172"/>
      <c r="VQK1" s="172"/>
      <c r="VQL1" s="172"/>
      <c r="VQM1" s="172"/>
      <c r="VQN1" s="172"/>
      <c r="VQO1" s="172"/>
      <c r="VQP1" s="172"/>
      <c r="VQQ1" s="172"/>
      <c r="VQR1" s="172"/>
      <c r="VQS1" s="172"/>
      <c r="VQT1" s="172"/>
      <c r="VQU1" s="172"/>
      <c r="VQV1" s="172"/>
      <c r="VQW1" s="172"/>
      <c r="VQX1" s="172"/>
      <c r="VQY1" s="172"/>
      <c r="VQZ1" s="172"/>
      <c r="VRA1" s="172"/>
      <c r="VRB1" s="172"/>
      <c r="VRC1" s="172"/>
      <c r="VRD1" s="172"/>
      <c r="VRE1" s="172"/>
      <c r="VRF1" s="172"/>
      <c r="VRG1" s="172"/>
      <c r="VRH1" s="172"/>
      <c r="VRI1" s="172"/>
      <c r="VRJ1" s="172"/>
      <c r="VRK1" s="172"/>
      <c r="VRL1" s="172"/>
      <c r="VRM1" s="172"/>
      <c r="VRN1" s="172"/>
      <c r="VRO1" s="172"/>
      <c r="VRP1" s="172"/>
      <c r="VRQ1" s="172"/>
      <c r="VRR1" s="172"/>
      <c r="VRS1" s="172"/>
      <c r="VRT1" s="172"/>
      <c r="VRU1" s="172"/>
      <c r="VRV1" s="172"/>
      <c r="VRW1" s="172"/>
      <c r="VRX1" s="172"/>
      <c r="VRY1" s="172"/>
      <c r="VRZ1" s="172"/>
      <c r="VSA1" s="172"/>
      <c r="VSB1" s="172"/>
      <c r="VSC1" s="172"/>
      <c r="VSD1" s="172"/>
      <c r="VSE1" s="172"/>
      <c r="VSF1" s="172"/>
      <c r="VSG1" s="172"/>
      <c r="VSH1" s="172"/>
      <c r="VSI1" s="172"/>
      <c r="VSJ1" s="172"/>
      <c r="VSK1" s="172"/>
      <c r="VSL1" s="172"/>
      <c r="VSM1" s="172"/>
      <c r="VSN1" s="172"/>
      <c r="VSO1" s="172"/>
      <c r="VSP1" s="172"/>
      <c r="VSQ1" s="172"/>
      <c r="VSR1" s="172"/>
      <c r="VSS1" s="172"/>
      <c r="VST1" s="172"/>
      <c r="VSU1" s="172"/>
      <c r="VSV1" s="172"/>
      <c r="VSW1" s="172"/>
      <c r="VSX1" s="172"/>
      <c r="VSY1" s="172"/>
      <c r="VSZ1" s="172"/>
      <c r="VTA1" s="172"/>
      <c r="VTB1" s="172"/>
      <c r="VTC1" s="172"/>
      <c r="VTD1" s="172"/>
      <c r="VTE1" s="172"/>
      <c r="VTF1" s="172"/>
      <c r="VTG1" s="172"/>
      <c r="VTH1" s="172"/>
      <c r="VTI1" s="172"/>
      <c r="VTJ1" s="172"/>
      <c r="VTK1" s="172"/>
      <c r="VTL1" s="172"/>
      <c r="VTM1" s="172"/>
      <c r="VTN1" s="172"/>
      <c r="VTO1" s="172"/>
      <c r="VTP1" s="172"/>
      <c r="VTQ1" s="172"/>
      <c r="VTR1" s="172"/>
      <c r="VTS1" s="172"/>
      <c r="VTT1" s="172"/>
      <c r="VTU1" s="172"/>
      <c r="VTV1" s="172"/>
      <c r="VTW1" s="172"/>
      <c r="VTX1" s="172"/>
      <c r="VTY1" s="172"/>
      <c r="VTZ1" s="172"/>
      <c r="VUA1" s="172"/>
      <c r="VUB1" s="172"/>
      <c r="VUC1" s="172"/>
      <c r="VUD1" s="172"/>
      <c r="VUE1" s="172"/>
      <c r="VUF1" s="172"/>
      <c r="VUG1" s="172"/>
      <c r="VUH1" s="172"/>
      <c r="VUI1" s="172"/>
      <c r="VUJ1" s="172"/>
      <c r="VUK1" s="172"/>
      <c r="VUL1" s="172"/>
      <c r="VUM1" s="172"/>
      <c r="VUN1" s="172"/>
      <c r="VUO1" s="172"/>
      <c r="VUP1" s="172"/>
      <c r="VUQ1" s="172"/>
      <c r="VUR1" s="172"/>
      <c r="VUS1" s="172"/>
      <c r="VUT1" s="172"/>
      <c r="VUU1" s="172"/>
      <c r="VUV1" s="172"/>
      <c r="VUW1" s="172"/>
      <c r="VUX1" s="172"/>
      <c r="VUY1" s="172"/>
      <c r="VUZ1" s="172"/>
      <c r="VVA1" s="172"/>
      <c r="VVB1" s="172"/>
      <c r="VVC1" s="172"/>
      <c r="VVD1" s="172"/>
      <c r="VVE1" s="172"/>
      <c r="VVF1" s="172"/>
      <c r="VVG1" s="172"/>
      <c r="VVH1" s="172"/>
      <c r="VVI1" s="172"/>
      <c r="VVJ1" s="172"/>
      <c r="VVK1" s="172"/>
      <c r="VVL1" s="172"/>
      <c r="VVM1" s="172"/>
      <c r="VVN1" s="172"/>
      <c r="VVO1" s="172"/>
      <c r="VVP1" s="172"/>
      <c r="VVQ1" s="172"/>
      <c r="VVR1" s="172"/>
      <c r="VVS1" s="172"/>
      <c r="VVT1" s="172"/>
      <c r="VVU1" s="172"/>
      <c r="VVV1" s="172"/>
      <c r="VVW1" s="172"/>
      <c r="VVX1" s="172"/>
      <c r="VVY1" s="172"/>
      <c r="VVZ1" s="172"/>
      <c r="VWA1" s="172"/>
      <c r="VWB1" s="172"/>
      <c r="VWC1" s="172"/>
      <c r="VWD1" s="172"/>
      <c r="VWE1" s="172"/>
      <c r="VWF1" s="172"/>
      <c r="VWG1" s="172"/>
      <c r="VWH1" s="172"/>
      <c r="VWI1" s="172"/>
      <c r="VWJ1" s="172"/>
      <c r="VWK1" s="172"/>
      <c r="VWL1" s="172"/>
      <c r="VWM1" s="172"/>
      <c r="VWN1" s="172"/>
      <c r="VWO1" s="172"/>
      <c r="VWP1" s="172"/>
      <c r="VWQ1" s="172"/>
      <c r="VWR1" s="172"/>
      <c r="VWS1" s="172"/>
      <c r="VWT1" s="172"/>
      <c r="VWU1" s="172"/>
      <c r="VWV1" s="172"/>
      <c r="VWW1" s="172"/>
      <c r="VWX1" s="172"/>
      <c r="VWY1" s="172"/>
      <c r="VWZ1" s="172"/>
      <c r="VXA1" s="172"/>
      <c r="VXB1" s="172"/>
      <c r="VXC1" s="172"/>
      <c r="VXD1" s="172"/>
      <c r="VXE1" s="172"/>
      <c r="VXF1" s="172"/>
      <c r="VXG1" s="172"/>
      <c r="VXH1" s="172"/>
      <c r="VXI1" s="172"/>
      <c r="VXJ1" s="172"/>
      <c r="VXK1" s="172"/>
      <c r="VXL1" s="172"/>
      <c r="VXM1" s="172"/>
      <c r="VXN1" s="172"/>
      <c r="VXO1" s="172"/>
      <c r="VXP1" s="172"/>
      <c r="VXQ1" s="172"/>
      <c r="VXR1" s="172"/>
      <c r="VXS1" s="172"/>
      <c r="VXT1" s="172"/>
      <c r="VXU1" s="172"/>
      <c r="VXV1" s="172"/>
      <c r="VXW1" s="172"/>
      <c r="VXX1" s="172"/>
      <c r="VXY1" s="172"/>
      <c r="VXZ1" s="172"/>
      <c r="VYA1" s="172"/>
      <c r="VYB1" s="172"/>
      <c r="VYC1" s="172"/>
      <c r="VYD1" s="172"/>
      <c r="VYE1" s="172"/>
      <c r="VYF1" s="172"/>
      <c r="VYG1" s="172"/>
      <c r="VYH1" s="172"/>
      <c r="VYI1" s="172"/>
      <c r="VYJ1" s="172"/>
      <c r="VYK1" s="172"/>
      <c r="VYL1" s="172"/>
      <c r="VYM1" s="172"/>
      <c r="VYN1" s="172"/>
      <c r="VYO1" s="172"/>
      <c r="VYP1" s="172"/>
      <c r="VYQ1" s="172"/>
      <c r="VYR1" s="172"/>
      <c r="VYS1" s="172"/>
      <c r="VYT1" s="172"/>
      <c r="VYU1" s="172"/>
      <c r="VYV1" s="172"/>
      <c r="VYW1" s="172"/>
      <c r="VYX1" s="172"/>
      <c r="VYY1" s="172"/>
      <c r="VYZ1" s="172"/>
      <c r="VZA1" s="172"/>
      <c r="VZB1" s="172"/>
      <c r="VZC1" s="172"/>
      <c r="VZD1" s="172"/>
      <c r="VZE1" s="172"/>
      <c r="VZF1" s="172"/>
      <c r="VZG1" s="172"/>
      <c r="VZH1" s="172"/>
      <c r="VZI1" s="172"/>
      <c r="VZJ1" s="172"/>
      <c r="VZK1" s="172"/>
      <c r="VZL1" s="172"/>
      <c r="VZM1" s="172"/>
      <c r="VZN1" s="172"/>
      <c r="VZO1" s="172"/>
      <c r="VZP1" s="172"/>
      <c r="VZQ1" s="172"/>
      <c r="VZR1" s="172"/>
      <c r="VZS1" s="172"/>
      <c r="VZT1" s="172"/>
      <c r="VZU1" s="172"/>
      <c r="VZV1" s="172"/>
      <c r="VZW1" s="172"/>
      <c r="VZX1" s="172"/>
      <c r="VZY1" s="172"/>
      <c r="VZZ1" s="172"/>
      <c r="WAA1" s="172"/>
      <c r="WAB1" s="172"/>
      <c r="WAC1" s="172"/>
      <c r="WAD1" s="172"/>
      <c r="WAE1" s="172"/>
      <c r="WAF1" s="172"/>
      <c r="WAG1" s="172"/>
      <c r="WAH1" s="172"/>
      <c r="WAI1" s="172"/>
      <c r="WAJ1" s="172"/>
      <c r="WAK1" s="172"/>
      <c r="WAL1" s="172"/>
      <c r="WAM1" s="172"/>
      <c r="WAN1" s="172"/>
      <c r="WAO1" s="172"/>
      <c r="WAP1" s="172"/>
      <c r="WAQ1" s="172"/>
      <c r="WAR1" s="172"/>
      <c r="WAS1" s="172"/>
      <c r="WAT1" s="172"/>
      <c r="WAU1" s="172"/>
      <c r="WAV1" s="172"/>
      <c r="WAW1" s="172"/>
      <c r="WAX1" s="172"/>
      <c r="WAY1" s="172"/>
      <c r="WAZ1" s="172"/>
      <c r="WBA1" s="172"/>
      <c r="WBB1" s="172"/>
      <c r="WBC1" s="172"/>
      <c r="WBD1" s="172"/>
      <c r="WBE1" s="172"/>
      <c r="WBF1" s="172"/>
      <c r="WBG1" s="172"/>
      <c r="WBH1" s="172"/>
      <c r="WBI1" s="172"/>
      <c r="WBJ1" s="172"/>
      <c r="WBK1" s="172"/>
      <c r="WBL1" s="172"/>
      <c r="WBM1" s="172"/>
      <c r="WBN1" s="172"/>
      <c r="WBO1" s="172"/>
      <c r="WBP1" s="172"/>
      <c r="WBQ1" s="172"/>
      <c r="WBR1" s="172"/>
      <c r="WBS1" s="172"/>
      <c r="WBT1" s="172"/>
      <c r="WBU1" s="172"/>
      <c r="WBV1" s="172"/>
      <c r="WBW1" s="172"/>
      <c r="WBX1" s="172"/>
      <c r="WBY1" s="172"/>
      <c r="WBZ1" s="172"/>
      <c r="WCA1" s="172"/>
      <c r="WCB1" s="172"/>
      <c r="WCC1" s="172"/>
      <c r="WCD1" s="172"/>
      <c r="WCE1" s="172"/>
      <c r="WCF1" s="172"/>
      <c r="WCG1" s="172"/>
      <c r="WCH1" s="172"/>
      <c r="WCI1" s="172"/>
      <c r="WCJ1" s="172"/>
      <c r="WCK1" s="172"/>
      <c r="WCL1" s="172"/>
      <c r="WCM1" s="172"/>
      <c r="WCN1" s="172"/>
      <c r="WCO1" s="172"/>
      <c r="WCP1" s="172"/>
      <c r="WCQ1" s="172"/>
      <c r="WCR1" s="172"/>
      <c r="WCS1" s="172"/>
      <c r="WCT1" s="172"/>
      <c r="WCU1" s="172"/>
      <c r="WCV1" s="172"/>
      <c r="WCW1" s="172"/>
      <c r="WCX1" s="172"/>
      <c r="WCY1" s="172"/>
      <c r="WCZ1" s="172"/>
      <c r="WDA1" s="172"/>
      <c r="WDB1" s="172"/>
      <c r="WDC1" s="172"/>
      <c r="WDD1" s="172"/>
      <c r="WDE1" s="172"/>
      <c r="WDF1" s="172"/>
      <c r="WDG1" s="172"/>
      <c r="WDH1" s="172"/>
      <c r="WDI1" s="172"/>
      <c r="WDJ1" s="172"/>
      <c r="WDK1" s="172"/>
      <c r="WDL1" s="172"/>
      <c r="WDM1" s="172"/>
      <c r="WDN1" s="172"/>
      <c r="WDO1" s="172"/>
      <c r="WDP1" s="172"/>
      <c r="WDQ1" s="172"/>
      <c r="WDR1" s="172"/>
      <c r="WDS1" s="172"/>
      <c r="WDT1" s="172"/>
      <c r="WDU1" s="172"/>
      <c r="WDV1" s="172"/>
      <c r="WDW1" s="172"/>
      <c r="WDX1" s="172"/>
      <c r="WDY1" s="172"/>
      <c r="WDZ1" s="172"/>
      <c r="WEA1" s="172"/>
      <c r="WEB1" s="172"/>
      <c r="WEC1" s="172"/>
      <c r="WED1" s="172"/>
      <c r="WEE1" s="172"/>
      <c r="WEF1" s="172"/>
      <c r="WEG1" s="172"/>
      <c r="WEH1" s="172"/>
      <c r="WEI1" s="172"/>
      <c r="WEJ1" s="172"/>
      <c r="WEK1" s="172"/>
      <c r="WEL1" s="172"/>
      <c r="WEM1" s="172"/>
      <c r="WEN1" s="172"/>
      <c r="WEO1" s="172"/>
      <c r="WEP1" s="172"/>
      <c r="WEQ1" s="172"/>
      <c r="WER1" s="172"/>
      <c r="WES1" s="172"/>
      <c r="WET1" s="172"/>
      <c r="WEU1" s="172"/>
      <c r="WEV1" s="172"/>
      <c r="WEW1" s="172"/>
      <c r="WEX1" s="172"/>
      <c r="WEY1" s="172"/>
      <c r="WEZ1" s="172"/>
      <c r="WFA1" s="172"/>
      <c r="WFB1" s="172"/>
      <c r="WFC1" s="172"/>
      <c r="WFD1" s="172"/>
      <c r="WFE1" s="172"/>
      <c r="WFF1" s="172"/>
      <c r="WFG1" s="172"/>
      <c r="WFH1" s="172"/>
      <c r="WFI1" s="172"/>
      <c r="WFJ1" s="172"/>
      <c r="WFK1" s="172"/>
      <c r="WFL1" s="172"/>
      <c r="WFM1" s="172"/>
      <c r="WFN1" s="172"/>
      <c r="WFO1" s="172"/>
      <c r="WFP1" s="172"/>
      <c r="WFQ1" s="172"/>
      <c r="WFR1" s="172"/>
      <c r="WFS1" s="172"/>
      <c r="WFT1" s="172"/>
      <c r="WFU1" s="172"/>
      <c r="WFV1" s="172"/>
      <c r="WFW1" s="172"/>
      <c r="WFX1" s="172"/>
      <c r="WFY1" s="172"/>
      <c r="WFZ1" s="172"/>
      <c r="WGA1" s="172"/>
      <c r="WGB1" s="172"/>
      <c r="WGC1" s="172"/>
      <c r="WGD1" s="172"/>
      <c r="WGE1" s="172"/>
      <c r="WGF1" s="172"/>
      <c r="WGG1" s="172"/>
      <c r="WGH1" s="172"/>
      <c r="WGI1" s="172"/>
      <c r="WGJ1" s="172"/>
      <c r="WGK1" s="172"/>
      <c r="WGL1" s="172"/>
      <c r="WGM1" s="172"/>
      <c r="WGN1" s="172"/>
      <c r="WGO1" s="172"/>
      <c r="WGP1" s="172"/>
      <c r="WGQ1" s="172"/>
      <c r="WGR1" s="172"/>
      <c r="WGS1" s="172"/>
      <c r="WGT1" s="172"/>
      <c r="WGU1" s="172"/>
      <c r="WGV1" s="172"/>
      <c r="WGW1" s="172"/>
      <c r="WGX1" s="172"/>
      <c r="WGY1" s="172"/>
      <c r="WGZ1" s="172"/>
      <c r="WHA1" s="172"/>
      <c r="WHB1" s="172"/>
      <c r="WHC1" s="172"/>
      <c r="WHD1" s="172"/>
      <c r="WHE1" s="172"/>
      <c r="WHF1" s="172"/>
      <c r="WHG1" s="172"/>
      <c r="WHH1" s="172"/>
      <c r="WHI1" s="172"/>
      <c r="WHJ1" s="172"/>
      <c r="WHK1" s="172"/>
      <c r="WHL1" s="172"/>
      <c r="WHM1" s="172"/>
      <c r="WHN1" s="172"/>
      <c r="WHO1" s="172"/>
      <c r="WHP1" s="172"/>
      <c r="WHQ1" s="172"/>
      <c r="WHR1" s="172"/>
      <c r="WHS1" s="172"/>
      <c r="WHT1" s="172"/>
      <c r="WHU1" s="172"/>
      <c r="WHV1" s="172"/>
      <c r="WHW1" s="172"/>
      <c r="WHX1" s="172"/>
      <c r="WHY1" s="172"/>
      <c r="WHZ1" s="172"/>
      <c r="WIA1" s="172"/>
      <c r="WIB1" s="172"/>
      <c r="WIC1" s="172"/>
      <c r="WID1" s="172"/>
      <c r="WIE1" s="172"/>
      <c r="WIF1" s="172"/>
      <c r="WIG1" s="172"/>
      <c r="WIH1" s="172"/>
      <c r="WII1" s="172"/>
      <c r="WIJ1" s="172"/>
      <c r="WIK1" s="172"/>
      <c r="WIL1" s="172"/>
      <c r="WIM1" s="172"/>
      <c r="WIN1" s="172"/>
      <c r="WIO1" s="172"/>
      <c r="WIP1" s="172"/>
      <c r="WIQ1" s="172"/>
      <c r="WIR1" s="172"/>
      <c r="WIS1" s="172"/>
      <c r="WIT1" s="172"/>
      <c r="WIU1" s="172"/>
      <c r="WIV1" s="172"/>
      <c r="WIW1" s="172"/>
      <c r="WIX1" s="172"/>
      <c r="WIY1" s="172"/>
      <c r="WIZ1" s="172"/>
      <c r="WJA1" s="172"/>
      <c r="WJB1" s="172"/>
      <c r="WJC1" s="172"/>
      <c r="WJD1" s="172"/>
      <c r="WJE1" s="172"/>
      <c r="WJF1" s="172"/>
      <c r="WJG1" s="172"/>
      <c r="WJH1" s="172"/>
      <c r="WJI1" s="172"/>
      <c r="WJJ1" s="172"/>
      <c r="WJK1" s="172"/>
      <c r="WJL1" s="172"/>
      <c r="WJM1" s="172"/>
      <c r="WJN1" s="172"/>
      <c r="WJO1" s="172"/>
      <c r="WJP1" s="172"/>
      <c r="WJQ1" s="172"/>
      <c r="WJR1" s="172"/>
      <c r="WJS1" s="172"/>
      <c r="WJT1" s="172"/>
      <c r="WJU1" s="172"/>
      <c r="WJV1" s="172"/>
      <c r="WJW1" s="172"/>
      <c r="WJX1" s="172"/>
      <c r="WJY1" s="172"/>
      <c r="WJZ1" s="172"/>
      <c r="WKA1" s="172"/>
      <c r="WKB1" s="172"/>
      <c r="WKC1" s="172"/>
      <c r="WKD1" s="172"/>
      <c r="WKE1" s="172"/>
      <c r="WKF1" s="172"/>
      <c r="WKG1" s="172"/>
      <c r="WKH1" s="172"/>
      <c r="WKI1" s="172"/>
      <c r="WKJ1" s="172"/>
      <c r="WKK1" s="172"/>
      <c r="WKL1" s="172"/>
      <c r="WKM1" s="172"/>
      <c r="WKN1" s="172"/>
      <c r="WKO1" s="172"/>
      <c r="WKP1" s="172"/>
      <c r="WKQ1" s="172"/>
      <c r="WKR1" s="172"/>
      <c r="WKS1" s="172"/>
      <c r="WKT1" s="172"/>
      <c r="WKU1" s="172"/>
      <c r="WKV1" s="172"/>
      <c r="WKW1" s="172"/>
      <c r="WKX1" s="172"/>
      <c r="WKY1" s="172"/>
      <c r="WKZ1" s="172"/>
      <c r="WLA1" s="172"/>
      <c r="WLB1" s="172"/>
      <c r="WLC1" s="172"/>
      <c r="WLD1" s="172"/>
      <c r="WLE1" s="172"/>
      <c r="WLF1" s="172"/>
      <c r="WLG1" s="172"/>
      <c r="WLH1" s="172"/>
      <c r="WLI1" s="172"/>
      <c r="WLJ1" s="172"/>
      <c r="WLK1" s="172"/>
      <c r="WLL1" s="172"/>
      <c r="WLM1" s="172"/>
      <c r="WLN1" s="172"/>
      <c r="WLO1" s="172"/>
      <c r="WLP1" s="172"/>
      <c r="WLQ1" s="172"/>
      <c r="WLR1" s="172"/>
      <c r="WLS1" s="172"/>
      <c r="WLT1" s="172"/>
      <c r="WLU1" s="172"/>
      <c r="WLV1" s="172"/>
      <c r="WLW1" s="172"/>
      <c r="WLX1" s="172"/>
      <c r="WLY1" s="172"/>
      <c r="WLZ1" s="172"/>
      <c r="WMA1" s="172"/>
      <c r="WMB1" s="172"/>
      <c r="WMC1" s="172"/>
      <c r="WMD1" s="172"/>
      <c r="WME1" s="172"/>
      <c r="WMF1" s="172"/>
      <c r="WMG1" s="172"/>
      <c r="WMH1" s="172"/>
      <c r="WMI1" s="172"/>
      <c r="WMJ1" s="172"/>
      <c r="WMK1" s="172"/>
      <c r="WML1" s="172"/>
      <c r="WMM1" s="172"/>
      <c r="WMN1" s="172"/>
      <c r="WMO1" s="172"/>
      <c r="WMP1" s="172"/>
      <c r="WMQ1" s="172"/>
      <c r="WMR1" s="172"/>
      <c r="WMS1" s="172"/>
      <c r="WMT1" s="172"/>
      <c r="WMU1" s="172"/>
      <c r="WMV1" s="172"/>
      <c r="WMW1" s="172"/>
      <c r="WMX1" s="172"/>
      <c r="WMY1" s="172"/>
      <c r="WMZ1" s="172"/>
      <c r="WNA1" s="172"/>
      <c r="WNB1" s="172"/>
      <c r="WNC1" s="172"/>
      <c r="WND1" s="172"/>
      <c r="WNE1" s="172"/>
      <c r="WNF1" s="172"/>
      <c r="WNG1" s="172"/>
      <c r="WNH1" s="172"/>
      <c r="WNI1" s="172"/>
      <c r="WNJ1" s="172"/>
      <c r="WNK1" s="172"/>
      <c r="WNL1" s="172"/>
      <c r="WNM1" s="172"/>
      <c r="WNN1" s="172"/>
      <c r="WNO1" s="172"/>
      <c r="WNP1" s="172"/>
      <c r="WNQ1" s="172"/>
      <c r="WNR1" s="172"/>
      <c r="WNS1" s="172"/>
      <c r="WNT1" s="172"/>
      <c r="WNU1" s="172"/>
      <c r="WNV1" s="172"/>
      <c r="WNW1" s="172"/>
      <c r="WNX1" s="172"/>
      <c r="WNY1" s="172"/>
      <c r="WNZ1" s="172"/>
      <c r="WOA1" s="172"/>
      <c r="WOB1" s="172"/>
      <c r="WOC1" s="172"/>
      <c r="WOD1" s="172"/>
      <c r="WOE1" s="172"/>
      <c r="WOF1" s="172"/>
      <c r="WOG1" s="172"/>
      <c r="WOH1" s="172"/>
      <c r="WOI1" s="172"/>
      <c r="WOJ1" s="172"/>
      <c r="WOK1" s="172"/>
      <c r="WOL1" s="172"/>
      <c r="WOM1" s="172"/>
      <c r="WON1" s="172"/>
      <c r="WOO1" s="172"/>
      <c r="WOP1" s="172"/>
      <c r="WOQ1" s="172"/>
      <c r="WOR1" s="172"/>
      <c r="WOS1" s="172"/>
      <c r="WOT1" s="172"/>
      <c r="WOU1" s="172"/>
      <c r="WOV1" s="172"/>
      <c r="WOW1" s="172"/>
      <c r="WOX1" s="172"/>
      <c r="WOY1" s="172"/>
      <c r="WOZ1" s="172"/>
      <c r="WPA1" s="172"/>
      <c r="WPB1" s="172"/>
      <c r="WPC1" s="172"/>
      <c r="WPD1" s="172"/>
      <c r="WPE1" s="172"/>
      <c r="WPF1" s="172"/>
      <c r="WPG1" s="172"/>
      <c r="WPH1" s="172"/>
      <c r="WPI1" s="172"/>
      <c r="WPJ1" s="172"/>
      <c r="WPK1" s="172"/>
      <c r="WPL1" s="172"/>
      <c r="WPM1" s="172"/>
      <c r="WPN1" s="172"/>
      <c r="WPO1" s="172"/>
      <c r="WPP1" s="172"/>
      <c r="WPQ1" s="172"/>
      <c r="WPR1" s="172"/>
      <c r="WPS1" s="172"/>
      <c r="WPT1" s="172"/>
      <c r="WPU1" s="172"/>
      <c r="WPV1" s="172"/>
      <c r="WPW1" s="172"/>
      <c r="WPX1" s="172"/>
      <c r="WPY1" s="172"/>
      <c r="WPZ1" s="172"/>
      <c r="WQA1" s="172"/>
      <c r="WQB1" s="172"/>
      <c r="WQC1" s="172"/>
      <c r="WQD1" s="172"/>
      <c r="WQE1" s="172"/>
      <c r="WQF1" s="172"/>
      <c r="WQG1" s="172"/>
      <c r="WQH1" s="172"/>
      <c r="WQI1" s="172"/>
      <c r="WQJ1" s="172"/>
      <c r="WQK1" s="172"/>
      <c r="WQL1" s="172"/>
      <c r="WQM1" s="172"/>
      <c r="WQN1" s="172"/>
      <c r="WQO1" s="172"/>
      <c r="WQP1" s="172"/>
      <c r="WQQ1" s="172"/>
      <c r="WQR1" s="172"/>
      <c r="WQS1" s="172"/>
      <c r="WQT1" s="172"/>
      <c r="WQU1" s="172"/>
      <c r="WQV1" s="172"/>
      <c r="WQW1" s="172"/>
      <c r="WQX1" s="172"/>
      <c r="WQY1" s="172"/>
      <c r="WQZ1" s="172"/>
      <c r="WRA1" s="172"/>
      <c r="WRB1" s="172"/>
      <c r="WRC1" s="172"/>
      <c r="WRD1" s="172"/>
      <c r="WRE1" s="172"/>
      <c r="WRF1" s="172"/>
      <c r="WRG1" s="172"/>
      <c r="WRH1" s="172"/>
      <c r="WRI1" s="172"/>
      <c r="WRJ1" s="172"/>
      <c r="WRK1" s="172"/>
      <c r="WRL1" s="172"/>
      <c r="WRM1" s="172"/>
      <c r="WRN1" s="172"/>
      <c r="WRO1" s="172"/>
      <c r="WRP1" s="172"/>
      <c r="WRQ1" s="172"/>
      <c r="WRR1" s="172"/>
      <c r="WRS1" s="172"/>
      <c r="WRT1" s="172"/>
      <c r="WRU1" s="172"/>
      <c r="WRV1" s="172"/>
      <c r="WRW1" s="172"/>
      <c r="WRX1" s="172"/>
      <c r="WRY1" s="172"/>
      <c r="WRZ1" s="172"/>
      <c r="WSA1" s="172"/>
      <c r="WSB1" s="172"/>
      <c r="WSC1" s="172"/>
      <c r="WSD1" s="172"/>
      <c r="WSE1" s="172"/>
      <c r="WSF1" s="172"/>
      <c r="WSG1" s="172"/>
      <c r="WSH1" s="172"/>
      <c r="WSI1" s="172"/>
      <c r="WSJ1" s="172"/>
      <c r="WSK1" s="172"/>
      <c r="WSL1" s="172"/>
      <c r="WSM1" s="172"/>
      <c r="WSN1" s="172"/>
      <c r="WSO1" s="172"/>
      <c r="WSP1" s="172"/>
      <c r="WSQ1" s="172"/>
      <c r="WSR1" s="172"/>
      <c r="WSS1" s="172"/>
      <c r="WST1" s="172"/>
      <c r="WSU1" s="172"/>
      <c r="WSV1" s="172"/>
      <c r="WSW1" s="172"/>
      <c r="WSX1" s="172"/>
      <c r="WSY1" s="172"/>
      <c r="WSZ1" s="172"/>
      <c r="WTA1" s="172"/>
      <c r="WTB1" s="172"/>
      <c r="WTC1" s="172"/>
      <c r="WTD1" s="172"/>
      <c r="WTE1" s="172"/>
      <c r="WTF1" s="172"/>
      <c r="WTG1" s="172"/>
      <c r="WTH1" s="172"/>
      <c r="WTI1" s="172"/>
      <c r="WTJ1" s="172"/>
      <c r="WTK1" s="172"/>
      <c r="WTL1" s="172"/>
      <c r="WTM1" s="172"/>
      <c r="WTN1" s="172"/>
      <c r="WTO1" s="172"/>
      <c r="WTP1" s="172"/>
      <c r="WTQ1" s="172"/>
      <c r="WTR1" s="172"/>
      <c r="WTS1" s="172"/>
      <c r="WTT1" s="172"/>
      <c r="WTU1" s="172"/>
      <c r="WTV1" s="172"/>
      <c r="WTW1" s="172"/>
      <c r="WTX1" s="172"/>
      <c r="WTY1" s="172"/>
      <c r="WTZ1" s="172"/>
      <c r="WUA1" s="172"/>
      <c r="WUB1" s="172"/>
      <c r="WUC1" s="172"/>
      <c r="WUD1" s="172"/>
      <c r="WUE1" s="172"/>
      <c r="WUF1" s="172"/>
      <c r="WUG1" s="172"/>
      <c r="WUH1" s="172"/>
      <c r="WUI1" s="172"/>
      <c r="WUJ1" s="172"/>
      <c r="WUK1" s="172"/>
      <c r="WUL1" s="172"/>
      <c r="WUM1" s="172"/>
      <c r="WUN1" s="172"/>
      <c r="WUO1" s="172"/>
      <c r="WUP1" s="172"/>
      <c r="WUQ1" s="172"/>
      <c r="WUR1" s="172"/>
      <c r="WUS1" s="172"/>
      <c r="WUT1" s="172"/>
      <c r="WUU1" s="172"/>
      <c r="WUV1" s="172"/>
      <c r="WUW1" s="172"/>
      <c r="WUX1" s="172"/>
      <c r="WUY1" s="172"/>
      <c r="WUZ1" s="172"/>
      <c r="WVA1" s="172"/>
      <c r="WVB1" s="172"/>
      <c r="WVC1" s="172"/>
      <c r="WVD1" s="172"/>
      <c r="WVE1" s="172"/>
      <c r="WVF1" s="172"/>
      <c r="WVG1" s="172"/>
      <c r="WVH1" s="172"/>
      <c r="WVI1" s="172"/>
      <c r="WVJ1" s="172"/>
      <c r="WVK1" s="172"/>
      <c r="WVL1" s="172"/>
      <c r="WVM1" s="172"/>
      <c r="WVN1" s="172"/>
      <c r="WVO1" s="172"/>
      <c r="WVP1" s="172"/>
      <c r="WVQ1" s="172"/>
      <c r="WVR1" s="172"/>
      <c r="WVS1" s="172"/>
      <c r="WVT1" s="172"/>
      <c r="WVU1" s="172"/>
      <c r="WVV1" s="172"/>
      <c r="WVW1" s="172"/>
      <c r="WVX1" s="172"/>
      <c r="WVY1" s="172"/>
      <c r="WVZ1" s="172"/>
      <c r="WWA1" s="172"/>
      <c r="WWB1" s="172"/>
      <c r="WWC1" s="172"/>
      <c r="WWD1" s="172"/>
      <c r="WWE1" s="172"/>
      <c r="WWF1" s="172"/>
      <c r="WWG1" s="172"/>
      <c r="WWH1" s="172"/>
      <c r="WWI1" s="172"/>
      <c r="WWJ1" s="172"/>
      <c r="WWK1" s="172"/>
      <c r="WWL1" s="172"/>
      <c r="WWM1" s="172"/>
      <c r="WWN1" s="172"/>
      <c r="WWO1" s="172"/>
      <c r="WWP1" s="172"/>
      <c r="WWQ1" s="172"/>
      <c r="WWR1" s="172"/>
      <c r="WWS1" s="172"/>
      <c r="WWT1" s="172"/>
      <c r="WWU1" s="172"/>
      <c r="WWV1" s="172"/>
      <c r="WWW1" s="172"/>
      <c r="WWX1" s="172"/>
      <c r="WWY1" s="172"/>
      <c r="WWZ1" s="172"/>
      <c r="WXA1" s="172"/>
      <c r="WXB1" s="172"/>
      <c r="WXC1" s="172"/>
      <c r="WXD1" s="172"/>
      <c r="WXE1" s="172"/>
      <c r="WXF1" s="172"/>
      <c r="WXG1" s="172"/>
      <c r="WXH1" s="172"/>
      <c r="WXI1" s="172"/>
      <c r="WXJ1" s="172"/>
      <c r="WXK1" s="172"/>
      <c r="WXL1" s="172"/>
      <c r="WXM1" s="172"/>
      <c r="WXN1" s="172"/>
      <c r="WXO1" s="172"/>
      <c r="WXP1" s="172"/>
      <c r="WXQ1" s="172"/>
      <c r="WXR1" s="172"/>
      <c r="WXS1" s="172"/>
      <c r="WXT1" s="172"/>
      <c r="WXU1" s="172"/>
      <c r="WXV1" s="172"/>
      <c r="WXW1" s="172"/>
      <c r="WXX1" s="172"/>
      <c r="WXY1" s="172"/>
      <c r="WXZ1" s="172"/>
      <c r="WYA1" s="172"/>
      <c r="WYB1" s="172"/>
      <c r="WYC1" s="172"/>
      <c r="WYD1" s="172"/>
      <c r="WYE1" s="172"/>
      <c r="WYF1" s="172"/>
      <c r="WYG1" s="172"/>
      <c r="WYH1" s="172"/>
      <c r="WYI1" s="172"/>
      <c r="WYJ1" s="172"/>
      <c r="WYK1" s="172"/>
      <c r="WYL1" s="172"/>
      <c r="WYM1" s="172"/>
      <c r="WYN1" s="172"/>
      <c r="WYO1" s="172"/>
      <c r="WYP1" s="172"/>
      <c r="WYQ1" s="172"/>
      <c r="WYR1" s="172"/>
      <c r="WYS1" s="172"/>
      <c r="WYT1" s="172"/>
      <c r="WYU1" s="172"/>
      <c r="WYV1" s="172"/>
      <c r="WYW1" s="172"/>
      <c r="WYX1" s="172"/>
      <c r="WYY1" s="172"/>
      <c r="WYZ1" s="172"/>
      <c r="WZA1" s="172"/>
      <c r="WZB1" s="172"/>
      <c r="WZC1" s="172"/>
      <c r="WZD1" s="172"/>
      <c r="WZE1" s="172"/>
      <c r="WZF1" s="172"/>
      <c r="WZG1" s="172"/>
      <c r="WZH1" s="172"/>
      <c r="WZI1" s="172"/>
      <c r="WZJ1" s="172"/>
      <c r="WZK1" s="172"/>
      <c r="WZL1" s="172"/>
      <c r="WZM1" s="172"/>
      <c r="WZN1" s="172"/>
      <c r="WZO1" s="172"/>
      <c r="WZP1" s="172"/>
      <c r="WZQ1" s="172"/>
      <c r="WZR1" s="172"/>
      <c r="WZS1" s="172"/>
      <c r="WZT1" s="172"/>
      <c r="WZU1" s="172"/>
      <c r="WZV1" s="172"/>
      <c r="WZW1" s="172"/>
      <c r="WZX1" s="172"/>
      <c r="WZY1" s="172"/>
      <c r="WZZ1" s="172"/>
      <c r="XAA1" s="172"/>
      <c r="XAB1" s="172"/>
      <c r="XAC1" s="172"/>
      <c r="XAD1" s="172"/>
      <c r="XAE1" s="172"/>
      <c r="XAF1" s="172"/>
      <c r="XAG1" s="172"/>
      <c r="XAH1" s="172"/>
      <c r="XAI1" s="172"/>
      <c r="XAJ1" s="172"/>
      <c r="XAK1" s="172"/>
      <c r="XAL1" s="172"/>
      <c r="XAM1" s="172"/>
      <c r="XAN1" s="172"/>
      <c r="XAO1" s="172"/>
      <c r="XAP1" s="172"/>
      <c r="XAQ1" s="172"/>
      <c r="XAR1" s="172"/>
      <c r="XAS1" s="172"/>
      <c r="XAT1" s="172"/>
      <c r="XAU1" s="172"/>
      <c r="XAV1" s="172"/>
      <c r="XAW1" s="172"/>
      <c r="XAX1" s="172"/>
      <c r="XAY1" s="172"/>
      <c r="XAZ1" s="172"/>
      <c r="XBA1" s="172"/>
      <c r="XBB1" s="172"/>
      <c r="XBC1" s="172"/>
      <c r="XBD1" s="172"/>
      <c r="XBE1" s="172"/>
      <c r="XBF1" s="172"/>
      <c r="XBG1" s="172"/>
      <c r="XBH1" s="172"/>
      <c r="XBI1" s="172"/>
      <c r="XBJ1" s="172"/>
      <c r="XBK1" s="172"/>
      <c r="XBL1" s="172"/>
      <c r="XBM1" s="172"/>
      <c r="XBN1" s="172"/>
      <c r="XBO1" s="172"/>
      <c r="XBP1" s="172"/>
      <c r="XBQ1" s="172"/>
      <c r="XBR1" s="172"/>
      <c r="XBS1" s="172"/>
      <c r="XBT1" s="172"/>
      <c r="XBU1" s="172"/>
      <c r="XBV1" s="172"/>
      <c r="XBW1" s="172"/>
      <c r="XBX1" s="172"/>
      <c r="XBY1" s="172"/>
      <c r="XBZ1" s="172"/>
      <c r="XCA1" s="172"/>
      <c r="XCB1" s="172"/>
      <c r="XCC1" s="172"/>
      <c r="XCD1" s="172"/>
      <c r="XCE1" s="172"/>
      <c r="XCF1" s="172"/>
      <c r="XCG1" s="172"/>
      <c r="XCH1" s="172"/>
      <c r="XCI1" s="172"/>
      <c r="XCJ1" s="172"/>
      <c r="XCK1" s="172"/>
      <c r="XCL1" s="172"/>
      <c r="XCM1" s="172"/>
      <c r="XCN1" s="172"/>
      <c r="XCO1" s="172"/>
      <c r="XCP1" s="172"/>
      <c r="XCQ1" s="172"/>
      <c r="XCR1" s="172"/>
      <c r="XCS1" s="172"/>
      <c r="XCT1" s="172"/>
      <c r="XCU1" s="172"/>
      <c r="XCV1" s="172"/>
      <c r="XCW1" s="172"/>
      <c r="XCX1" s="172"/>
      <c r="XCY1" s="172"/>
      <c r="XCZ1" s="172"/>
      <c r="XDA1" s="172"/>
      <c r="XDB1" s="172"/>
      <c r="XDC1" s="172"/>
      <c r="XDD1" s="172"/>
      <c r="XDE1" s="172"/>
      <c r="XDF1" s="172"/>
      <c r="XDG1" s="172"/>
      <c r="XDH1" s="172"/>
      <c r="XDI1" s="172"/>
      <c r="XDJ1" s="172"/>
      <c r="XDK1" s="172"/>
      <c r="XDL1" s="172"/>
      <c r="XDM1" s="172"/>
      <c r="XDN1" s="172"/>
      <c r="XDO1" s="172"/>
      <c r="XDP1" s="172"/>
      <c r="XDQ1" s="172"/>
      <c r="XDR1" s="172"/>
      <c r="XDS1" s="172"/>
      <c r="XDT1" s="172"/>
      <c r="XDU1" s="172"/>
      <c r="XDV1" s="172"/>
      <c r="XDW1" s="172"/>
      <c r="XDX1" s="172"/>
      <c r="XDY1" s="172"/>
      <c r="XDZ1" s="172"/>
      <c r="XEA1" s="172"/>
      <c r="XEB1" s="172"/>
      <c r="XEC1" s="172"/>
      <c r="XED1" s="172"/>
      <c r="XEE1" s="172"/>
      <c r="XEF1" s="172"/>
      <c r="XEG1" s="172"/>
      <c r="XEH1" s="172"/>
      <c r="XEI1" s="172"/>
      <c r="XEJ1" s="172"/>
      <c r="XEK1" s="172"/>
      <c r="XEL1" s="172"/>
      <c r="XEM1" s="172"/>
      <c r="XEN1" s="172"/>
      <c r="XEO1" s="172"/>
      <c r="XEP1" s="172"/>
      <c r="XEQ1" s="172"/>
      <c r="XER1" s="172"/>
      <c r="XES1" s="172"/>
      <c r="XET1" s="172"/>
      <c r="XEU1" s="172"/>
      <c r="XEV1" s="172"/>
      <c r="XEW1" s="172"/>
      <c r="XEX1" s="172"/>
      <c r="XEY1" s="172"/>
      <c r="XEZ1" s="172"/>
      <c r="XFA1" s="172"/>
      <c r="XFB1" s="172"/>
      <c r="XFC1" s="172"/>
      <c r="XFD1" s="172"/>
    </row>
    <row r="2" spans="1:16384" ht="18" x14ac:dyDescent="0.25">
      <c r="A2" s="11" t="s">
        <v>124</v>
      </c>
      <c r="B2" s="4"/>
      <c r="C2" s="13"/>
      <c r="D2" s="13"/>
      <c r="E2" s="13"/>
      <c r="F2" s="13"/>
      <c r="G2" s="4"/>
      <c r="H2" s="4"/>
      <c r="I2" s="6"/>
      <c r="J2" s="4"/>
      <c r="K2" s="4"/>
      <c r="L2" s="4"/>
      <c r="M2" s="4"/>
      <c r="N2" s="4"/>
    </row>
    <row r="3" spans="1:16384" ht="18" x14ac:dyDescent="0.25">
      <c r="A3" s="12" t="s">
        <v>125</v>
      </c>
      <c r="B3" s="4"/>
      <c r="C3" s="13"/>
      <c r="D3" s="13"/>
      <c r="E3" s="13"/>
      <c r="F3" s="13"/>
      <c r="G3" s="151"/>
      <c r="H3" s="4"/>
      <c r="I3" s="4"/>
      <c r="J3" s="4"/>
      <c r="K3" s="4"/>
      <c r="L3" s="4"/>
      <c r="M3" s="4"/>
      <c r="N3" s="4"/>
    </row>
    <row r="4" spans="1:16384" ht="18" x14ac:dyDescent="0.25">
      <c r="A4" s="12" t="s">
        <v>126</v>
      </c>
      <c r="B4" s="3"/>
      <c r="C4" s="14"/>
      <c r="D4" s="14"/>
      <c r="E4" s="14"/>
      <c r="F4" s="14"/>
      <c r="G4" s="14"/>
      <c r="H4" s="3"/>
      <c r="I4" s="3"/>
      <c r="J4" s="3"/>
      <c r="K4" s="3"/>
      <c r="L4" s="3"/>
      <c r="M4" s="3"/>
      <c r="N4" s="3"/>
    </row>
    <row r="5" spans="1:16384" x14ac:dyDescent="0.25">
      <c r="A5" s="59">
        <v>1</v>
      </c>
      <c r="B5" s="60">
        <v>2</v>
      </c>
      <c r="C5" s="59">
        <v>3</v>
      </c>
      <c r="D5" s="59">
        <v>4</v>
      </c>
      <c r="E5" s="60">
        <v>5</v>
      </c>
      <c r="F5" s="59">
        <v>6</v>
      </c>
      <c r="G5" s="59">
        <v>7</v>
      </c>
      <c r="H5" s="60">
        <v>8</v>
      </c>
      <c r="I5" s="59">
        <v>9</v>
      </c>
      <c r="J5" s="59">
        <v>10</v>
      </c>
      <c r="K5" s="60">
        <v>11</v>
      </c>
      <c r="L5" s="59">
        <v>12</v>
      </c>
      <c r="M5" s="59">
        <v>13</v>
      </c>
      <c r="N5" s="60">
        <v>14</v>
      </c>
      <c r="O5" s="59">
        <v>15</v>
      </c>
      <c r="P5" s="59">
        <v>16</v>
      </c>
      <c r="Q5" s="60">
        <v>17</v>
      </c>
      <c r="R5" s="59">
        <v>18</v>
      </c>
      <c r="S5" s="59">
        <v>19</v>
      </c>
      <c r="T5" s="60">
        <v>20</v>
      </c>
      <c r="U5" s="59">
        <v>21</v>
      </c>
      <c r="V5" s="59">
        <v>22</v>
      </c>
      <c r="W5" s="60">
        <v>23</v>
      </c>
      <c r="X5" s="59">
        <v>24</v>
      </c>
      <c r="Y5" s="59">
        <v>25</v>
      </c>
      <c r="Z5" s="60">
        <v>26</v>
      </c>
      <c r="AA5" s="59">
        <v>27</v>
      </c>
      <c r="AB5" s="59">
        <v>28</v>
      </c>
      <c r="AC5" s="60">
        <v>29</v>
      </c>
      <c r="AD5" s="59">
        <v>30</v>
      </c>
      <c r="AE5" s="59">
        <v>31</v>
      </c>
    </row>
    <row r="6" spans="1:16384" x14ac:dyDescent="0.25">
      <c r="A6" s="182"/>
      <c r="B6" s="6"/>
      <c r="C6" s="199" t="s">
        <v>4980</v>
      </c>
      <c r="D6" s="200"/>
      <c r="E6" s="200"/>
      <c r="F6" s="200"/>
      <c r="G6" s="201"/>
      <c r="H6" s="182"/>
      <c r="I6" s="199" t="str">
        <f>C6</f>
        <v>2019 Plan</v>
      </c>
      <c r="J6" s="200"/>
      <c r="K6" s="200"/>
      <c r="L6" s="200"/>
      <c r="M6" s="201"/>
      <c r="N6" s="182"/>
      <c r="O6" s="199" t="str">
        <f>C6</f>
        <v>2019 Plan</v>
      </c>
      <c r="P6" s="200"/>
      <c r="Q6" s="200"/>
      <c r="R6" s="200"/>
      <c r="S6" s="201"/>
      <c r="U6" s="199" t="str">
        <f>C6</f>
        <v>2019 Plan</v>
      </c>
      <c r="V6" s="200"/>
      <c r="W6" s="200"/>
      <c r="X6" s="200"/>
      <c r="Y6" s="201"/>
      <c r="AA6" s="199" t="str">
        <f>C6</f>
        <v>2019 Plan</v>
      </c>
      <c r="AB6" s="200"/>
      <c r="AC6" s="200"/>
      <c r="AD6" s="200"/>
      <c r="AE6" s="201"/>
    </row>
    <row r="7" spans="1:16384" x14ac:dyDescent="0.25">
      <c r="A7" s="182"/>
      <c r="B7" s="6"/>
      <c r="C7" s="202" t="s">
        <v>127</v>
      </c>
      <c r="D7" s="203"/>
      <c r="E7" s="203"/>
      <c r="F7" s="204"/>
      <c r="G7" s="205"/>
      <c r="H7" s="182"/>
      <c r="I7" s="202" t="s">
        <v>135</v>
      </c>
      <c r="J7" s="203"/>
      <c r="K7" s="203"/>
      <c r="L7" s="204"/>
      <c r="M7" s="205"/>
      <c r="N7" s="182"/>
      <c r="O7" s="202" t="s">
        <v>174</v>
      </c>
      <c r="P7" s="203"/>
      <c r="Q7" s="203"/>
      <c r="R7" s="204"/>
      <c r="S7" s="205"/>
      <c r="U7" s="202" t="s">
        <v>175</v>
      </c>
      <c r="V7" s="203"/>
      <c r="W7" s="203"/>
      <c r="X7" s="204"/>
      <c r="Y7" s="205"/>
      <c r="AA7" s="202" t="s">
        <v>179</v>
      </c>
      <c r="AB7" s="203"/>
      <c r="AC7" s="203"/>
      <c r="AD7" s="204"/>
      <c r="AE7" s="205"/>
    </row>
    <row r="8" spans="1:16384" x14ac:dyDescent="0.25">
      <c r="A8" s="5"/>
      <c r="B8" s="5"/>
      <c r="C8" s="206"/>
      <c r="D8" s="207"/>
      <c r="E8" s="207"/>
      <c r="F8" s="207"/>
      <c r="G8" s="208"/>
      <c r="H8" s="5"/>
      <c r="I8" s="206"/>
      <c r="J8" s="207"/>
      <c r="K8" s="207"/>
      <c r="L8" s="207"/>
      <c r="M8" s="208"/>
      <c r="N8" s="5"/>
      <c r="O8" s="206"/>
      <c r="P8" s="207"/>
      <c r="Q8" s="207"/>
      <c r="R8" s="207"/>
      <c r="S8" s="208"/>
      <c r="U8" s="206"/>
      <c r="V8" s="207"/>
      <c r="W8" s="207"/>
      <c r="X8" s="207"/>
      <c r="Y8" s="208"/>
      <c r="AA8" s="206"/>
      <c r="AB8" s="207"/>
      <c r="AC8" s="207"/>
      <c r="AD8" s="207"/>
      <c r="AE8" s="208"/>
    </row>
    <row r="9" spans="1:16384" x14ac:dyDescent="0.25">
      <c r="A9" s="51" t="s">
        <v>128</v>
      </c>
      <c r="B9" s="8" t="s">
        <v>171</v>
      </c>
      <c r="C9" s="22">
        <v>2018</v>
      </c>
      <c r="D9" s="107">
        <f>C9+1</f>
        <v>2019</v>
      </c>
      <c r="E9" s="107">
        <f t="shared" ref="E9:G9" si="0">D9+1</f>
        <v>2020</v>
      </c>
      <c r="F9" s="107">
        <f t="shared" si="0"/>
        <v>2021</v>
      </c>
      <c r="G9" s="107">
        <f t="shared" si="0"/>
        <v>2022</v>
      </c>
      <c r="H9" s="8"/>
      <c r="I9" s="22">
        <f>C9</f>
        <v>2018</v>
      </c>
      <c r="J9" s="22">
        <f t="shared" ref="J9:M9" si="1">D9</f>
        <v>2019</v>
      </c>
      <c r="K9" s="22">
        <f t="shared" si="1"/>
        <v>2020</v>
      </c>
      <c r="L9" s="22">
        <f t="shared" si="1"/>
        <v>2021</v>
      </c>
      <c r="M9" s="22">
        <f t="shared" si="1"/>
        <v>2022</v>
      </c>
      <c r="N9" s="8"/>
      <c r="O9" s="22">
        <f>C9</f>
        <v>2018</v>
      </c>
      <c r="P9" s="22">
        <f t="shared" ref="P9:S9" si="2">D9</f>
        <v>2019</v>
      </c>
      <c r="Q9" s="22">
        <f t="shared" si="2"/>
        <v>2020</v>
      </c>
      <c r="R9" s="22">
        <f t="shared" si="2"/>
        <v>2021</v>
      </c>
      <c r="S9" s="22">
        <f t="shared" si="2"/>
        <v>2022</v>
      </c>
      <c r="U9" s="22">
        <f>C9</f>
        <v>2018</v>
      </c>
      <c r="V9" s="22">
        <f t="shared" ref="V9:Y9" si="3">D9</f>
        <v>2019</v>
      </c>
      <c r="W9" s="22">
        <f t="shared" si="3"/>
        <v>2020</v>
      </c>
      <c r="X9" s="22">
        <f t="shared" si="3"/>
        <v>2021</v>
      </c>
      <c r="Y9" s="22">
        <f t="shared" si="3"/>
        <v>2022</v>
      </c>
      <c r="AA9" s="22">
        <f>C9</f>
        <v>2018</v>
      </c>
      <c r="AB9" s="22">
        <f t="shared" ref="AB9:AE9" si="4">D9</f>
        <v>2019</v>
      </c>
      <c r="AC9" s="22">
        <f t="shared" si="4"/>
        <v>2020</v>
      </c>
      <c r="AD9" s="22">
        <f t="shared" si="4"/>
        <v>2021</v>
      </c>
      <c r="AE9" s="22">
        <f t="shared" si="4"/>
        <v>2022</v>
      </c>
    </row>
    <row r="10" spans="1:16384" x14ac:dyDescent="0.25">
      <c r="A10" s="52"/>
      <c r="B10" s="6"/>
      <c r="C10" s="21"/>
      <c r="D10" s="21"/>
      <c r="E10" s="21"/>
      <c r="F10" s="21"/>
      <c r="G10" s="21"/>
      <c r="H10" s="182"/>
      <c r="I10" s="21"/>
      <c r="J10" s="21"/>
      <c r="K10" s="21"/>
      <c r="L10" s="21"/>
      <c r="M10" s="21"/>
      <c r="N10" s="182"/>
      <c r="O10" s="21"/>
      <c r="P10" s="21"/>
      <c r="Q10" s="21"/>
      <c r="R10" s="21"/>
      <c r="S10" s="21"/>
      <c r="U10" s="21"/>
      <c r="V10" s="21"/>
      <c r="W10" s="21"/>
      <c r="X10" s="21"/>
      <c r="Y10" s="21"/>
      <c r="AA10" s="21"/>
      <c r="AB10" s="21"/>
      <c r="AC10" s="21"/>
      <c r="AD10" s="21"/>
      <c r="AE10" s="21"/>
    </row>
    <row r="11" spans="1:16384" x14ac:dyDescent="0.25">
      <c r="A11" s="52" t="s">
        <v>21</v>
      </c>
      <c r="B11" s="90">
        <f>VLOOKUP(A11,Lookup!$J$5:$M$19,4,0)</f>
        <v>107</v>
      </c>
      <c r="C11" s="108">
        <v>5.7000000000000002E-2</v>
      </c>
      <c r="D11" s="108">
        <f>C11</f>
        <v>5.7000000000000002E-2</v>
      </c>
      <c r="E11" s="108">
        <f t="shared" ref="E11:G11" si="5">D11</f>
        <v>5.7000000000000002E-2</v>
      </c>
      <c r="F11" s="108">
        <f t="shared" si="5"/>
        <v>5.7000000000000002E-2</v>
      </c>
      <c r="G11" s="108">
        <f t="shared" si="5"/>
        <v>5.7000000000000002E-2</v>
      </c>
      <c r="H11" s="20"/>
      <c r="I11" s="108">
        <f>C11+O11</f>
        <v>8.5000000000000006E-2</v>
      </c>
      <c r="J11" s="108">
        <f t="shared" ref="J11:M11" si="6">D11+P11</f>
        <v>8.5000000000000006E-2</v>
      </c>
      <c r="K11" s="108">
        <f t="shared" si="6"/>
        <v>8.5000000000000006E-2</v>
      </c>
      <c r="L11" s="108">
        <f t="shared" si="6"/>
        <v>8.5000000000000006E-2</v>
      </c>
      <c r="M11" s="108">
        <f t="shared" si="6"/>
        <v>8.5000000000000006E-2</v>
      </c>
      <c r="N11" s="182"/>
      <c r="O11" s="108">
        <v>2.8000000000000001E-2</v>
      </c>
      <c r="P11" s="108">
        <f>O11</f>
        <v>2.8000000000000001E-2</v>
      </c>
      <c r="Q11" s="108">
        <f t="shared" ref="Q11:S11" si="7">P11</f>
        <v>2.8000000000000001E-2</v>
      </c>
      <c r="R11" s="108">
        <f t="shared" si="7"/>
        <v>2.8000000000000001E-2</v>
      </c>
      <c r="S11" s="108">
        <f t="shared" si="7"/>
        <v>2.8000000000000001E-2</v>
      </c>
      <c r="U11" s="108">
        <f>(C$11*'INP-Calc Hist Outage Rates'!$BU$13)/(1+'INP-Calc Hist Outage Rates'!$BT$13-'INP-Calc EFOR&amp;EUOR - 2019Plan'!C$11)/((C$11*'INP-Calc Hist Outage Rates'!$BU$13)/(1+'INP-Calc Hist Outage Rates'!$BT$13-'INP-Calc EFOR&amp;EUOR - 2019Plan'!C$11)+'INP-Calc Hist Outage Rates'!$BU$13)</f>
        <v>3.6987512384693201E-2</v>
      </c>
      <c r="V11" s="108">
        <f>(D$11*'INP-Calc Hist Outage Rates'!$BU$13)/(1+'INP-Calc Hist Outage Rates'!$BT$13-'INP-Calc EFOR&amp;EUOR - 2019Plan'!D$11)/((D$11*'INP-Calc Hist Outage Rates'!$BU$13)/(1+'INP-Calc Hist Outage Rates'!$BT$13-'INP-Calc EFOR&amp;EUOR - 2019Plan'!D$11)+'INP-Calc Hist Outage Rates'!$BU$13)</f>
        <v>3.6987512384693201E-2</v>
      </c>
      <c r="W11" s="108">
        <f>(E$11*'INP-Calc Hist Outage Rates'!$BU$13)/(1+'INP-Calc Hist Outage Rates'!$BT$13-'INP-Calc EFOR&amp;EUOR - 2019Plan'!E$11)/((E$11*'INP-Calc Hist Outage Rates'!$BU$13)/(1+'INP-Calc Hist Outage Rates'!$BT$13-'INP-Calc EFOR&amp;EUOR - 2019Plan'!E$11)+'INP-Calc Hist Outage Rates'!$BU$13)</f>
        <v>3.6987512384693201E-2</v>
      </c>
      <c r="X11" s="108">
        <f>(F$11*'INP-Calc Hist Outage Rates'!$BU$13)/(1+'INP-Calc Hist Outage Rates'!$BT$13-'INP-Calc EFOR&amp;EUOR - 2019Plan'!F$11)/((F$11*'INP-Calc Hist Outage Rates'!$BU$13)/(1+'INP-Calc Hist Outage Rates'!$BT$13-'INP-Calc EFOR&amp;EUOR - 2019Plan'!F$11)+'INP-Calc Hist Outage Rates'!$BU$13)</f>
        <v>3.6987512384693201E-2</v>
      </c>
      <c r="Y11" s="108">
        <f>(G$11*'INP-Calc Hist Outage Rates'!$BU$13)/(1+'INP-Calc Hist Outage Rates'!$BT$13-'INP-Calc EFOR&amp;EUOR - 2019Plan'!G$11)/((G$11*'INP-Calc Hist Outage Rates'!$BU$13)/(1+'INP-Calc Hist Outage Rates'!$BT$13-'INP-Calc EFOR&amp;EUOR - 2019Plan'!G$11)+'INP-Calc Hist Outage Rates'!$BU$13)</f>
        <v>3.6987512384693201E-2</v>
      </c>
      <c r="AA11" s="115">
        <f>'INP-Calc Hist Outage Rates'!$BT$13*(C$11*'INP-Calc Hist Outage Rates'!$BU$13)/(1+'INP-Calc Hist Outage Rates'!$BT$13-'INP-Calc EFOR&amp;EUOR - 2019Plan'!C$11)/'INP-Calc Hist Outage Rates'!$BU$13</f>
        <v>2.0781129915421366E-2</v>
      </c>
      <c r="AB11" s="115">
        <f>'INP-Calc Hist Outage Rates'!$BT$13*(D$11*'INP-Calc Hist Outage Rates'!$BU$13)/(1+'INP-Calc Hist Outage Rates'!$BT$13-'INP-Calc EFOR&amp;EUOR - 2019Plan'!D$11)/'INP-Calc Hist Outage Rates'!$BU$13</f>
        <v>2.0781129915421366E-2</v>
      </c>
      <c r="AC11" s="115">
        <f>'INP-Calc Hist Outage Rates'!$BT$13*(E$11*'INP-Calc Hist Outage Rates'!$BU$13)/(1+'INP-Calc Hist Outage Rates'!$BT$13-'INP-Calc EFOR&amp;EUOR - 2019Plan'!E$11)/'INP-Calc Hist Outage Rates'!$BU$13</f>
        <v>2.0781129915421366E-2</v>
      </c>
      <c r="AD11" s="115">
        <f>'INP-Calc Hist Outage Rates'!$BT$13*(F$11*'INP-Calc Hist Outage Rates'!$BU$13)/(1+'INP-Calc Hist Outage Rates'!$BT$13-'INP-Calc EFOR&amp;EUOR - 2019Plan'!F$11)/'INP-Calc Hist Outage Rates'!$BU$13</f>
        <v>2.0781129915421366E-2</v>
      </c>
      <c r="AE11" s="115">
        <f>'INP-Calc Hist Outage Rates'!$BT$13*(G$11*'INP-Calc Hist Outage Rates'!$BU$13)/(1+'INP-Calc Hist Outage Rates'!$BT$13-'INP-Calc EFOR&amp;EUOR - 2019Plan'!G$11)/'INP-Calc Hist Outage Rates'!$BU$13</f>
        <v>2.0781129915421366E-2</v>
      </c>
    </row>
    <row r="12" spans="1:16384" x14ac:dyDescent="0.25">
      <c r="A12" s="52" t="s">
        <v>22</v>
      </c>
      <c r="B12" s="90">
        <f>VLOOKUP(A12,Lookup!$J$5:$M$19,4,0)</f>
        <v>168</v>
      </c>
      <c r="C12" s="108">
        <v>5.7000000000000002E-2</v>
      </c>
      <c r="D12" s="108">
        <f t="shared" ref="D12:G12" si="8">C12</f>
        <v>5.7000000000000002E-2</v>
      </c>
      <c r="E12" s="108">
        <f t="shared" si="8"/>
        <v>5.7000000000000002E-2</v>
      </c>
      <c r="F12" s="108">
        <f t="shared" si="8"/>
        <v>5.7000000000000002E-2</v>
      </c>
      <c r="G12" s="108">
        <f t="shared" si="8"/>
        <v>5.7000000000000002E-2</v>
      </c>
      <c r="H12" s="20"/>
      <c r="I12" s="108">
        <f t="shared" ref="I12:I34" si="9">C12+O12</f>
        <v>8.5000000000000006E-2</v>
      </c>
      <c r="J12" s="108">
        <f t="shared" ref="J12:J34" si="10">D12+P12</f>
        <v>8.5000000000000006E-2</v>
      </c>
      <c r="K12" s="108">
        <f t="shared" ref="K12:K34" si="11">E12+Q12</f>
        <v>8.5000000000000006E-2</v>
      </c>
      <c r="L12" s="108">
        <f t="shared" ref="L12:L34" si="12">F12+R12</f>
        <v>8.5000000000000006E-2</v>
      </c>
      <c r="M12" s="108">
        <f t="shared" ref="M12:M34" si="13">G12+S12</f>
        <v>8.5000000000000006E-2</v>
      </c>
      <c r="N12" s="182"/>
      <c r="O12" s="108">
        <v>2.8000000000000001E-2</v>
      </c>
      <c r="P12" s="108">
        <f>O12</f>
        <v>2.8000000000000001E-2</v>
      </c>
      <c r="Q12" s="108">
        <f t="shared" ref="Q12:S12" si="14">P12</f>
        <v>2.8000000000000001E-2</v>
      </c>
      <c r="R12" s="108">
        <f t="shared" si="14"/>
        <v>2.8000000000000001E-2</v>
      </c>
      <c r="S12" s="108">
        <f t="shared" si="14"/>
        <v>2.8000000000000001E-2</v>
      </c>
      <c r="U12" s="108">
        <f>(C$12*'INP-Calc Hist Outage Rates'!$BU$13)/(1+'INP-Calc Hist Outage Rates'!$BT$13-'INP-Calc EFOR&amp;EUOR - 2019Plan'!C12)/((C12*'INP-Calc Hist Outage Rates'!$BU$13)/(1+'INP-Calc Hist Outage Rates'!$BT$13-'INP-Calc EFOR&amp;EUOR - 2019Plan'!C12)+'INP-Calc Hist Outage Rates'!$BU$13)</f>
        <v>3.6987512384693201E-2</v>
      </c>
      <c r="V12" s="108">
        <f>(D$12*'INP-Calc Hist Outage Rates'!$BU$13)/(1+'INP-Calc Hist Outage Rates'!$BT$13-'INP-Calc EFOR&amp;EUOR - 2019Plan'!D12)/((D12*'INP-Calc Hist Outage Rates'!$BU$13)/(1+'INP-Calc Hist Outage Rates'!$BT$13-'INP-Calc EFOR&amp;EUOR - 2019Plan'!D12)+'INP-Calc Hist Outage Rates'!$BU$13)</f>
        <v>3.6987512384693201E-2</v>
      </c>
      <c r="W12" s="108">
        <f>(E$12*'INP-Calc Hist Outage Rates'!$BU$13)/(1+'INP-Calc Hist Outage Rates'!$BT$13-'INP-Calc EFOR&amp;EUOR - 2019Plan'!E12)/((E12*'INP-Calc Hist Outage Rates'!$BU$13)/(1+'INP-Calc Hist Outage Rates'!$BT$13-'INP-Calc EFOR&amp;EUOR - 2019Plan'!E12)+'INP-Calc Hist Outage Rates'!$BU$13)</f>
        <v>3.6987512384693201E-2</v>
      </c>
      <c r="X12" s="108">
        <f>(F$12*'INP-Calc Hist Outage Rates'!$BU$13)/(1+'INP-Calc Hist Outage Rates'!$BT$13-'INP-Calc EFOR&amp;EUOR - 2019Plan'!F12)/((F12*'INP-Calc Hist Outage Rates'!$BU$13)/(1+'INP-Calc Hist Outage Rates'!$BT$13-'INP-Calc EFOR&amp;EUOR - 2019Plan'!F12)+'INP-Calc Hist Outage Rates'!$BU$13)</f>
        <v>3.6987512384693201E-2</v>
      </c>
      <c r="Y12" s="108">
        <f>(G$12*'INP-Calc Hist Outage Rates'!$BU$13)/(1+'INP-Calc Hist Outage Rates'!$BT$13-'INP-Calc EFOR&amp;EUOR - 2019Plan'!G12)/((G12*'INP-Calc Hist Outage Rates'!$BU$13)/(1+'INP-Calc Hist Outage Rates'!$BT$13-'INP-Calc EFOR&amp;EUOR - 2019Plan'!G12)+'INP-Calc Hist Outage Rates'!$BU$13)</f>
        <v>3.6987512384693201E-2</v>
      </c>
      <c r="AA12" s="115">
        <f>'INP-Calc Hist Outage Rates'!$BT$13*(C$12*'INP-Calc Hist Outage Rates'!$BU$13)/(1+'INP-Calc Hist Outage Rates'!$BT$13-'INP-Calc EFOR&amp;EUOR - 2019Plan'!C$12)/'INP-Calc Hist Outage Rates'!$BU$13</f>
        <v>2.0781129915421366E-2</v>
      </c>
      <c r="AB12" s="115">
        <f>'INP-Calc Hist Outage Rates'!$BT$13*(D$12*'INP-Calc Hist Outage Rates'!$BU$13)/(1+'INP-Calc Hist Outage Rates'!$BT$13-'INP-Calc EFOR&amp;EUOR - 2019Plan'!D$12)/'INP-Calc Hist Outage Rates'!$BU$13</f>
        <v>2.0781129915421366E-2</v>
      </c>
      <c r="AC12" s="115">
        <f>'INP-Calc Hist Outage Rates'!$BT$13*(E$12*'INP-Calc Hist Outage Rates'!$BU$13)/(1+'INP-Calc Hist Outage Rates'!$BT$13-'INP-Calc EFOR&amp;EUOR - 2019Plan'!E$12)/'INP-Calc Hist Outage Rates'!$BU$13</f>
        <v>2.0781129915421366E-2</v>
      </c>
      <c r="AD12" s="115">
        <f>'INP-Calc Hist Outage Rates'!$BT$13*(F$12*'INP-Calc Hist Outage Rates'!$BU$13)/(1+'INP-Calc Hist Outage Rates'!$BT$13-'INP-Calc EFOR&amp;EUOR - 2019Plan'!F$12)/'INP-Calc Hist Outage Rates'!$BU$13</f>
        <v>2.0781129915421366E-2</v>
      </c>
      <c r="AE12" s="115">
        <f>'INP-Calc Hist Outage Rates'!$BT$13*(G$12*'INP-Calc Hist Outage Rates'!$BU$13)/(1+'INP-Calc Hist Outage Rates'!$BT$13-'INP-Calc EFOR&amp;EUOR - 2019Plan'!G$12)/'INP-Calc Hist Outage Rates'!$BU$13</f>
        <v>2.0781129915421366E-2</v>
      </c>
    </row>
    <row r="13" spans="1:16384" x14ac:dyDescent="0.25">
      <c r="A13" s="53" t="s">
        <v>28</v>
      </c>
      <c r="B13" s="138">
        <f>VLOOKUP(A13,Lookup!$J$5:$M$19,4,0)</f>
        <v>413</v>
      </c>
      <c r="C13" s="108">
        <v>5.7000000000000002E-2</v>
      </c>
      <c r="D13" s="109">
        <f t="shared" ref="D13:G13" si="15">C13</f>
        <v>5.7000000000000002E-2</v>
      </c>
      <c r="E13" s="109">
        <f t="shared" si="15"/>
        <v>5.7000000000000002E-2</v>
      </c>
      <c r="F13" s="109">
        <f t="shared" si="15"/>
        <v>5.7000000000000002E-2</v>
      </c>
      <c r="G13" s="109">
        <f t="shared" si="15"/>
        <v>5.7000000000000002E-2</v>
      </c>
      <c r="H13" s="20"/>
      <c r="I13" s="109">
        <f t="shared" si="9"/>
        <v>8.5000000000000006E-2</v>
      </c>
      <c r="J13" s="109">
        <f t="shared" si="10"/>
        <v>8.5000000000000006E-2</v>
      </c>
      <c r="K13" s="109">
        <f t="shared" si="11"/>
        <v>8.5000000000000006E-2</v>
      </c>
      <c r="L13" s="109">
        <f t="shared" si="12"/>
        <v>8.5000000000000006E-2</v>
      </c>
      <c r="M13" s="109">
        <f t="shared" si="13"/>
        <v>8.5000000000000006E-2</v>
      </c>
      <c r="N13" s="6"/>
      <c r="O13" s="108">
        <v>2.8000000000000001E-2</v>
      </c>
      <c r="P13" s="109">
        <f>O13</f>
        <v>2.8000000000000001E-2</v>
      </c>
      <c r="Q13" s="109">
        <f t="shared" ref="Q13:S13" si="16">P13</f>
        <v>2.8000000000000001E-2</v>
      </c>
      <c r="R13" s="109">
        <f t="shared" si="16"/>
        <v>2.8000000000000001E-2</v>
      </c>
      <c r="S13" s="109">
        <f t="shared" si="16"/>
        <v>2.8000000000000001E-2</v>
      </c>
      <c r="U13" s="109">
        <f>(C$13*'INP-Calc Hist Outage Rates'!$BU$13)/(1+'INP-Calc Hist Outage Rates'!$BT$13-'INP-Calc EFOR&amp;EUOR - 2019Plan'!C13)/((C13*'INP-Calc Hist Outage Rates'!$BU$13)/(1+'INP-Calc Hist Outage Rates'!$BT$13-'INP-Calc EFOR&amp;EUOR - 2019Plan'!C13)+'INP-Calc Hist Outage Rates'!$BU$13)</f>
        <v>3.6987512384693201E-2</v>
      </c>
      <c r="V13" s="109">
        <f>(D$13*'INP-Calc Hist Outage Rates'!$BU$13)/(1+'INP-Calc Hist Outage Rates'!$BT$13-'INP-Calc EFOR&amp;EUOR - 2019Plan'!D13)/((D13*'INP-Calc Hist Outage Rates'!$BU$13)/(1+'INP-Calc Hist Outage Rates'!$BT$13-'INP-Calc EFOR&amp;EUOR - 2019Plan'!D13)+'INP-Calc Hist Outage Rates'!$BU$13)</f>
        <v>3.6987512384693201E-2</v>
      </c>
      <c r="W13" s="109">
        <f>(E$13*'INP-Calc Hist Outage Rates'!$BU$13)/(1+'INP-Calc Hist Outage Rates'!$BT$13-'INP-Calc EFOR&amp;EUOR - 2019Plan'!E13)/((E13*'INP-Calc Hist Outage Rates'!$BU$13)/(1+'INP-Calc Hist Outage Rates'!$BT$13-'INP-Calc EFOR&amp;EUOR - 2019Plan'!E13)+'INP-Calc Hist Outage Rates'!$BU$13)</f>
        <v>3.6987512384693201E-2</v>
      </c>
      <c r="X13" s="109">
        <f>(F$13*'INP-Calc Hist Outage Rates'!$BU$13)/(1+'INP-Calc Hist Outage Rates'!$BT$13-'INP-Calc EFOR&amp;EUOR - 2019Plan'!F13)/((F13*'INP-Calc Hist Outage Rates'!$BU$13)/(1+'INP-Calc Hist Outage Rates'!$BT$13-'INP-Calc EFOR&amp;EUOR - 2019Plan'!F13)+'INP-Calc Hist Outage Rates'!$BU$13)</f>
        <v>3.6987512384693201E-2</v>
      </c>
      <c r="Y13" s="109">
        <f>(G$13*'INP-Calc Hist Outage Rates'!$BU$13)/(1+'INP-Calc Hist Outage Rates'!$BT$13-'INP-Calc EFOR&amp;EUOR - 2019Plan'!G13)/((G13*'INP-Calc Hist Outage Rates'!$BU$13)/(1+'INP-Calc Hist Outage Rates'!$BT$13-'INP-Calc EFOR&amp;EUOR - 2019Plan'!G13)+'INP-Calc Hist Outage Rates'!$BU$13)</f>
        <v>3.6987512384693201E-2</v>
      </c>
      <c r="AA13" s="115">
        <f>'INP-Calc Hist Outage Rates'!$BT$13*(C$13*'INP-Calc Hist Outage Rates'!$BU$13)/(1+'INP-Calc Hist Outage Rates'!$BT$13-'INP-Calc EFOR&amp;EUOR - 2019Plan'!C$13)/'INP-Calc Hist Outage Rates'!$BU$13</f>
        <v>2.0781129915421366E-2</v>
      </c>
      <c r="AB13" s="115">
        <f>'INP-Calc Hist Outage Rates'!$BT$13*(D$13*'INP-Calc Hist Outage Rates'!$BU$13)/(1+'INP-Calc Hist Outage Rates'!$BT$13-'INP-Calc EFOR&amp;EUOR - 2019Plan'!D$13)/'INP-Calc Hist Outage Rates'!$BU$13</f>
        <v>2.0781129915421366E-2</v>
      </c>
      <c r="AC13" s="115">
        <f>'INP-Calc Hist Outage Rates'!$BT$13*(E$13*'INP-Calc Hist Outage Rates'!$BU$13)/(1+'INP-Calc Hist Outage Rates'!$BT$13-'INP-Calc EFOR&amp;EUOR - 2019Plan'!E$13)/'INP-Calc Hist Outage Rates'!$BU$13</f>
        <v>2.0781129915421366E-2</v>
      </c>
      <c r="AD13" s="115">
        <f>'INP-Calc Hist Outage Rates'!$BT$13*(F$13*'INP-Calc Hist Outage Rates'!$BU$13)/(1+'INP-Calc Hist Outage Rates'!$BT$13-'INP-Calc EFOR&amp;EUOR - 2019Plan'!F$13)/'INP-Calc Hist Outage Rates'!$BU$13</f>
        <v>2.0781129915421366E-2</v>
      </c>
      <c r="AE13" s="115">
        <f>'INP-Calc Hist Outage Rates'!$BT$13*(G$13*'INP-Calc Hist Outage Rates'!$BU$13)/(1+'INP-Calc Hist Outage Rates'!$BT$13-'INP-Calc EFOR&amp;EUOR - 2019Plan'!G$13)/'INP-Calc Hist Outage Rates'!$BU$13</f>
        <v>2.0781129915421366E-2</v>
      </c>
    </row>
    <row r="14" spans="1:16384" x14ac:dyDescent="0.25">
      <c r="A14" s="54" t="s">
        <v>129</v>
      </c>
      <c r="B14" s="137">
        <f>SUM(B11:B13)</f>
        <v>688</v>
      </c>
      <c r="C14" s="110">
        <f>(C11*$B11+C12*$B12+C13*$B13)/$B14</f>
        <v>5.7000000000000002E-2</v>
      </c>
      <c r="D14" s="110">
        <f>(D11*$B11+D12*$B12+D13*$B13)/$B14</f>
        <v>5.7000000000000002E-2</v>
      </c>
      <c r="E14" s="110">
        <f>(E11*$B11+E12*$B12+E13*$B13)/$B14</f>
        <v>5.7000000000000002E-2</v>
      </c>
      <c r="F14" s="110">
        <f>(F11*$B11+F12*$B12+F13*$B13)/$B14</f>
        <v>5.7000000000000002E-2</v>
      </c>
      <c r="G14" s="110">
        <f>(G11*$B11+G12*$B12+G13*$B13)/$B14</f>
        <v>5.7000000000000002E-2</v>
      </c>
      <c r="H14" s="20"/>
      <c r="I14" s="110">
        <f t="shared" si="9"/>
        <v>8.5000000000000006E-2</v>
      </c>
      <c r="J14" s="110">
        <f t="shared" si="10"/>
        <v>8.5000000000000006E-2</v>
      </c>
      <c r="K14" s="110">
        <f t="shared" si="11"/>
        <v>8.5000000000000006E-2</v>
      </c>
      <c r="L14" s="110">
        <f t="shared" si="12"/>
        <v>8.5000000000000006E-2</v>
      </c>
      <c r="M14" s="110">
        <f t="shared" si="13"/>
        <v>8.5000000000000006E-2</v>
      </c>
      <c r="N14" s="6"/>
      <c r="O14" s="110">
        <f>(O11*$B11+O12*$B12+O13*$B13)/$B14</f>
        <v>2.8000000000000001E-2</v>
      </c>
      <c r="P14" s="110">
        <f>(P11*$B11+P12*$B12+P13*$B13)/$B14</f>
        <v>2.8000000000000001E-2</v>
      </c>
      <c r="Q14" s="110">
        <f>(Q11*$B11+Q12*$B12+Q13*$B13)/$B14</f>
        <v>2.8000000000000001E-2</v>
      </c>
      <c r="R14" s="110">
        <f>(R11*$B11+R12*$B12+R13*$B13)/$B14</f>
        <v>2.8000000000000001E-2</v>
      </c>
      <c r="S14" s="110">
        <f>(S11*$B11+S12*$B12+S13*$B13)/$B14</f>
        <v>2.8000000000000001E-2</v>
      </c>
      <c r="U14" s="110">
        <f>($C$14*'INP-Calc Hist Outage Rates'!$BU$13)/(1+'INP-Calc Hist Outage Rates'!$BT$13-'INP-Calc EFOR&amp;EUOR - 2019Plan'!$C$14)/(($C$14*'INP-Calc Hist Outage Rates'!$BU$13)/(1+'INP-Calc Hist Outage Rates'!$BT$13-'INP-Calc EFOR&amp;EUOR - 2019Plan'!$C$14)+'INP-Calc Hist Outage Rates'!$BU$13)</f>
        <v>3.6987512384693201E-2</v>
      </c>
      <c r="V14" s="110">
        <f>($D$14*'INP-Calc Hist Outage Rates'!$BU$13)/(1+'INP-Calc Hist Outage Rates'!$BT$13-'INP-Calc EFOR&amp;EUOR - 2019Plan'!$D$14)/(($D$14*'INP-Calc Hist Outage Rates'!$BU$13)/(1+'INP-Calc Hist Outage Rates'!$BT$13-'INP-Calc EFOR&amp;EUOR - 2019Plan'!$D$14)+'INP-Calc Hist Outage Rates'!$BU$13)</f>
        <v>3.6987512384693201E-2</v>
      </c>
      <c r="W14" s="110">
        <f>($G$14*'INP-Calc Hist Outage Rates'!$BU$13)/(1+'INP-Calc Hist Outage Rates'!$BT$13-'INP-Calc EFOR&amp;EUOR - 2019Plan'!$G$14)/(($G$14*'INP-Calc Hist Outage Rates'!$BU$13)/(1+'INP-Calc Hist Outage Rates'!$BT$13-'INP-Calc EFOR&amp;EUOR - 2019Plan'!$G$14)+'INP-Calc Hist Outage Rates'!$BU$13)</f>
        <v>3.6987512384693201E-2</v>
      </c>
      <c r="X14" s="110">
        <f>($G$14*'INP-Calc Hist Outage Rates'!$BU$13)/(1+'INP-Calc Hist Outage Rates'!$BT$13-'INP-Calc EFOR&amp;EUOR - 2019Plan'!$G$14)/(($G$14*'INP-Calc Hist Outage Rates'!$BU$13)/(1+'INP-Calc Hist Outage Rates'!$BT$13-'INP-Calc EFOR&amp;EUOR - 2019Plan'!$G$14)+'INP-Calc Hist Outage Rates'!$BU$13)</f>
        <v>3.6987512384693201E-2</v>
      </c>
      <c r="Y14" s="110">
        <f>($G$14*'INP-Calc Hist Outage Rates'!$BU$13)/(1+'INP-Calc Hist Outage Rates'!$BT$13-'INP-Calc EFOR&amp;EUOR - 2019Plan'!$G$14)/(($G$14*'INP-Calc Hist Outage Rates'!$BU$13)/(1+'INP-Calc Hist Outage Rates'!$BT$13-'INP-Calc EFOR&amp;EUOR - 2019Plan'!$G$14)+'INP-Calc Hist Outage Rates'!$BU$13)</f>
        <v>3.6987512384693201E-2</v>
      </c>
      <c r="AA14" s="110">
        <f>'INP-Calc Hist Outage Rates'!$BT$13*(C14*'INP-Calc Hist Outage Rates'!$BU$13)/(1+'INP-Calc Hist Outage Rates'!$BT$13-'INP-Calc EFOR&amp;EUOR - 2019Plan'!C14)/'INP-Calc Hist Outage Rates'!$BU$13</f>
        <v>2.0781129915421366E-2</v>
      </c>
      <c r="AB14" s="110">
        <f>'INP-Calc Hist Outage Rates'!$BT$13*($D$14*'INP-Calc Hist Outage Rates'!$BU$13)/(1+'INP-Calc Hist Outage Rates'!$BT$13-'INP-Calc EFOR&amp;EUOR - 2019Plan'!$D$14)/'INP-Calc Hist Outage Rates'!$BU$13</f>
        <v>2.0781129915421366E-2</v>
      </c>
      <c r="AC14" s="110">
        <f>'INP-Calc Hist Outage Rates'!$BT$13*($G$14*'INP-Calc Hist Outage Rates'!$BU$13)/(1+'INP-Calc Hist Outage Rates'!$BT$13-'INP-Calc EFOR&amp;EUOR - 2019Plan'!$G$14)/'INP-Calc Hist Outage Rates'!$BU$13</f>
        <v>2.0781129915421366E-2</v>
      </c>
      <c r="AD14" s="110">
        <f>'INP-Calc Hist Outage Rates'!$BT$13*($G$14*'INP-Calc Hist Outage Rates'!$BU$13)/(1+'INP-Calc Hist Outage Rates'!$BT$13-'INP-Calc EFOR&amp;EUOR - 2019Plan'!$G$14)/'INP-Calc Hist Outage Rates'!$BU$13</f>
        <v>2.0781129915421366E-2</v>
      </c>
      <c r="AE14" s="110">
        <f>'INP-Calc Hist Outage Rates'!$BT$13*($G$14*'INP-Calc Hist Outage Rates'!$BU$13)/(1+'INP-Calc Hist Outage Rates'!$BT$13-'INP-Calc EFOR&amp;EUOR - 2019Plan'!$G$14)/'INP-Calc Hist Outage Rates'!$BU$13</f>
        <v>2.0781129915421366E-2</v>
      </c>
    </row>
    <row r="15" spans="1:16384" x14ac:dyDescent="0.25">
      <c r="A15" s="52"/>
      <c r="B15" s="6"/>
      <c r="C15" s="108"/>
      <c r="D15" s="108"/>
      <c r="E15" s="108"/>
      <c r="F15" s="108"/>
      <c r="G15" s="108"/>
      <c r="H15" s="20"/>
      <c r="I15" s="108"/>
      <c r="J15" s="108"/>
      <c r="K15" s="108"/>
      <c r="L15" s="108"/>
      <c r="M15" s="108"/>
      <c r="N15" s="6"/>
      <c r="O15" s="108"/>
      <c r="P15" s="108"/>
      <c r="Q15" s="108"/>
      <c r="R15" s="108"/>
      <c r="S15" s="108"/>
      <c r="U15" s="114"/>
      <c r="V15" s="114"/>
      <c r="W15" s="114"/>
      <c r="X15" s="114"/>
      <c r="Y15" s="114"/>
      <c r="AA15" s="114"/>
      <c r="AB15" s="114"/>
      <c r="AC15" s="114"/>
      <c r="AD15" s="114"/>
      <c r="AE15" s="114"/>
    </row>
    <row r="16" spans="1:16384" x14ac:dyDescent="0.25">
      <c r="A16" s="52" t="s">
        <v>26</v>
      </c>
      <c r="B16" s="90">
        <f>VLOOKUP(A16,Lookup!$J$5:$M$19,4,0)</f>
        <v>479</v>
      </c>
      <c r="C16" s="108">
        <v>5.1999999999999998E-2</v>
      </c>
      <c r="D16" s="108">
        <f>C16</f>
        <v>5.1999999999999998E-2</v>
      </c>
      <c r="E16" s="108">
        <f>C16</f>
        <v>5.1999999999999998E-2</v>
      </c>
      <c r="F16" s="108">
        <f>C16</f>
        <v>5.1999999999999998E-2</v>
      </c>
      <c r="G16" s="108">
        <f>C16</f>
        <v>5.1999999999999998E-2</v>
      </c>
      <c r="H16" s="20"/>
      <c r="I16" s="108">
        <f t="shared" si="9"/>
        <v>7.3999999999999996E-2</v>
      </c>
      <c r="J16" s="108">
        <f t="shared" si="10"/>
        <v>7.3999999999999996E-2</v>
      </c>
      <c r="K16" s="108">
        <f t="shared" si="11"/>
        <v>7.3999999999999996E-2</v>
      </c>
      <c r="L16" s="108">
        <f t="shared" si="12"/>
        <v>7.3999999999999996E-2</v>
      </c>
      <c r="M16" s="108">
        <f t="shared" si="13"/>
        <v>7.3999999999999996E-2</v>
      </c>
      <c r="N16" s="19"/>
      <c r="O16" s="108">
        <v>2.1999999999999999E-2</v>
      </c>
      <c r="P16" s="108">
        <f>+O16</f>
        <v>2.1999999999999999E-2</v>
      </c>
      <c r="Q16" s="108">
        <f t="shared" ref="Q16:S16" si="17">+P16</f>
        <v>2.1999999999999999E-2</v>
      </c>
      <c r="R16" s="108">
        <f t="shared" si="17"/>
        <v>2.1999999999999999E-2</v>
      </c>
      <c r="S16" s="108">
        <f t="shared" si="17"/>
        <v>2.1999999999999999E-2</v>
      </c>
      <c r="U16" s="108">
        <f>(C$16*'INP-Calc Hist Outage Rates'!$BU$8)/(1+'INP-Calc Hist Outage Rates'!$BT$8-'INP-Calc EFOR&amp;EUOR - 2019Plan'!C$16)/((C$16*'INP-Calc Hist Outage Rates'!$BU$8)/(1+'INP-Calc Hist Outage Rates'!$BT$8-'INP-Calc EFOR&amp;EUOR - 2019Plan'!C$16)+'INP-Calc Hist Outage Rates'!$BU$8)</f>
        <v>3.4396199718937544E-2</v>
      </c>
      <c r="V16" s="108">
        <f>(D$16*'INP-Calc Hist Outage Rates'!$BU$8)/(1+'INP-Calc Hist Outage Rates'!$BT$8-'INP-Calc EFOR&amp;EUOR - 2019Plan'!D$16)/((D$16*'INP-Calc Hist Outage Rates'!$BU$8)/(1+'INP-Calc Hist Outage Rates'!$BT$8-'INP-Calc EFOR&amp;EUOR - 2019Plan'!D$16)+'INP-Calc Hist Outage Rates'!$BU$8)</f>
        <v>3.4396199718937544E-2</v>
      </c>
      <c r="W16" s="108">
        <f>(E$16*'INP-Calc Hist Outage Rates'!$BU$8)/(1+'INP-Calc Hist Outage Rates'!$BT$8-'INP-Calc EFOR&amp;EUOR - 2019Plan'!E$16)/((E$16*'INP-Calc Hist Outage Rates'!$BU$8)/(1+'INP-Calc Hist Outage Rates'!$BT$8-'INP-Calc EFOR&amp;EUOR - 2019Plan'!E$16)+'INP-Calc Hist Outage Rates'!$BU$8)</f>
        <v>3.4396199718937544E-2</v>
      </c>
      <c r="X16" s="108">
        <f>(F$16*'INP-Calc Hist Outage Rates'!$BU$8)/(1+'INP-Calc Hist Outage Rates'!$BT$8-'INP-Calc EFOR&amp;EUOR - 2019Plan'!F$16)/((F$16*'INP-Calc Hist Outage Rates'!$BU$8)/(1+'INP-Calc Hist Outage Rates'!$BT$8-'INP-Calc EFOR&amp;EUOR - 2019Plan'!F$16)+'INP-Calc Hist Outage Rates'!$BU$8)</f>
        <v>3.4396199718937544E-2</v>
      </c>
      <c r="Y16" s="108">
        <f>(G$16*'INP-Calc Hist Outage Rates'!$BU$8)/(1+'INP-Calc Hist Outage Rates'!$BT$8-'INP-Calc EFOR&amp;EUOR - 2019Plan'!G$16)/((G$16*'INP-Calc Hist Outage Rates'!$BU$8)/(1+'INP-Calc Hist Outage Rates'!$BT$8-'INP-Calc EFOR&amp;EUOR - 2019Plan'!G$16)+'INP-Calc Hist Outage Rates'!$BU$8)</f>
        <v>3.4396199718937544E-2</v>
      </c>
      <c r="AA16" s="115">
        <f>'INP-Calc Hist Outage Rates'!$BT$8*(C$16*'INP-Calc Hist Outage Rates'!$BU$8)/(1+'INP-Calc Hist Outage Rates'!$BT$8-'INP-Calc EFOR&amp;EUOR - 2019Plan'!C$16)/'INP-Calc Hist Outage Rates'!$BU$8</f>
        <v>1.8230873030883308E-2</v>
      </c>
      <c r="AB16" s="115">
        <f>'INP-Calc Hist Outage Rates'!$BT$8*(D$16*'INP-Calc Hist Outage Rates'!$BU$8)/(1+'INP-Calc Hist Outage Rates'!$BT$8-'INP-Calc EFOR&amp;EUOR - 2019Plan'!D$16)/'INP-Calc Hist Outage Rates'!$BU$8</f>
        <v>1.8230873030883308E-2</v>
      </c>
      <c r="AC16" s="115">
        <f>'INP-Calc Hist Outage Rates'!$BT$8*(E$16*'INP-Calc Hist Outage Rates'!$BU$8)/(1+'INP-Calc Hist Outage Rates'!$BT$8-'INP-Calc EFOR&amp;EUOR - 2019Plan'!E$16)/'INP-Calc Hist Outage Rates'!$BU$8</f>
        <v>1.8230873030883308E-2</v>
      </c>
      <c r="AD16" s="115">
        <f>'INP-Calc Hist Outage Rates'!$BT$8*(F$16*'INP-Calc Hist Outage Rates'!$BU$8)/(1+'INP-Calc Hist Outage Rates'!$BT$8-'INP-Calc EFOR&amp;EUOR - 2019Plan'!F$16)/'INP-Calc Hist Outage Rates'!$BU$8</f>
        <v>1.8230873030883308E-2</v>
      </c>
      <c r="AE16" s="115">
        <f>'INP-Calc Hist Outage Rates'!$BT$8*(G$16*'INP-Calc Hist Outage Rates'!$BU$8)/(1+'INP-Calc Hist Outage Rates'!$BT$8-'INP-Calc EFOR&amp;EUOR - 2019Plan'!G$16)/'INP-Calc Hist Outage Rates'!$BU$8</f>
        <v>1.8230873030883308E-2</v>
      </c>
    </row>
    <row r="17" spans="1:31" x14ac:dyDescent="0.25">
      <c r="A17" s="52" t="s">
        <v>27</v>
      </c>
      <c r="B17" s="90">
        <f>VLOOKUP(A17,Lookup!$J$5:$M$19,4,0)</f>
        <v>486</v>
      </c>
      <c r="C17" s="108">
        <v>5.1999999999999998E-2</v>
      </c>
      <c r="D17" s="108">
        <f>C17</f>
        <v>5.1999999999999998E-2</v>
      </c>
      <c r="E17" s="108">
        <f>C17</f>
        <v>5.1999999999999998E-2</v>
      </c>
      <c r="F17" s="108">
        <f>C17</f>
        <v>5.1999999999999998E-2</v>
      </c>
      <c r="G17" s="108">
        <f>C17</f>
        <v>5.1999999999999998E-2</v>
      </c>
      <c r="H17" s="20"/>
      <c r="I17" s="108">
        <f t="shared" si="9"/>
        <v>7.3999999999999996E-2</v>
      </c>
      <c r="J17" s="108">
        <f t="shared" si="10"/>
        <v>7.3999999999999996E-2</v>
      </c>
      <c r="K17" s="108">
        <f t="shared" si="11"/>
        <v>7.3999999999999996E-2</v>
      </c>
      <c r="L17" s="108">
        <f t="shared" si="12"/>
        <v>7.3999999999999996E-2</v>
      </c>
      <c r="M17" s="108">
        <f t="shared" si="13"/>
        <v>7.3999999999999996E-2</v>
      </c>
      <c r="N17" s="6"/>
      <c r="O17" s="108">
        <v>2.1999999999999999E-2</v>
      </c>
      <c r="P17" s="108">
        <f t="shared" ref="P17:P18" si="18">+O17</f>
        <v>2.1999999999999999E-2</v>
      </c>
      <c r="Q17" s="108">
        <f t="shared" ref="Q17:S17" si="19">+P17</f>
        <v>2.1999999999999999E-2</v>
      </c>
      <c r="R17" s="108">
        <f t="shared" si="19"/>
        <v>2.1999999999999999E-2</v>
      </c>
      <c r="S17" s="108">
        <f t="shared" si="19"/>
        <v>2.1999999999999999E-2</v>
      </c>
      <c r="U17" s="108">
        <f>(C$17*'INP-Calc Hist Outage Rates'!$BU$8)/(1+'INP-Calc Hist Outage Rates'!$BT$8-'INP-Calc EFOR&amp;EUOR - 2019Plan'!C$17)/((C$17*'INP-Calc Hist Outage Rates'!$BU$8)/(1+'INP-Calc Hist Outage Rates'!$BT$8-'INP-Calc EFOR&amp;EUOR - 2019Plan'!C$17)+'INP-Calc Hist Outage Rates'!$BU$8)</f>
        <v>3.4396199718937544E-2</v>
      </c>
      <c r="V17" s="108">
        <f>(D$17*'INP-Calc Hist Outage Rates'!$BU$8)/(1+'INP-Calc Hist Outage Rates'!$BT$8-'INP-Calc EFOR&amp;EUOR - 2019Plan'!D$17)/((D$17*'INP-Calc Hist Outage Rates'!$BU$8)/(1+'INP-Calc Hist Outage Rates'!$BT$8-'INP-Calc EFOR&amp;EUOR - 2019Plan'!D$17)+'INP-Calc Hist Outage Rates'!$BU$8)</f>
        <v>3.4396199718937544E-2</v>
      </c>
      <c r="W17" s="108">
        <f>(E$17*'INP-Calc Hist Outage Rates'!$BU$8)/(1+'INP-Calc Hist Outage Rates'!$BT$8-'INP-Calc EFOR&amp;EUOR - 2019Plan'!E$17)/((E$17*'INP-Calc Hist Outage Rates'!$BU$8)/(1+'INP-Calc Hist Outage Rates'!$BT$8-'INP-Calc EFOR&amp;EUOR - 2019Plan'!E$17)+'INP-Calc Hist Outage Rates'!$BU$8)</f>
        <v>3.4396199718937544E-2</v>
      </c>
      <c r="X17" s="108">
        <f>(F$17*'INP-Calc Hist Outage Rates'!$BU$8)/(1+'INP-Calc Hist Outage Rates'!$BT$8-'INP-Calc EFOR&amp;EUOR - 2019Plan'!F$17)/((F$17*'INP-Calc Hist Outage Rates'!$BU$8)/(1+'INP-Calc Hist Outage Rates'!$BT$8-'INP-Calc EFOR&amp;EUOR - 2019Plan'!F$17)+'INP-Calc Hist Outage Rates'!$BU$8)</f>
        <v>3.4396199718937544E-2</v>
      </c>
      <c r="Y17" s="108">
        <f>(G$17*'INP-Calc Hist Outage Rates'!$BU$8)/(1+'INP-Calc Hist Outage Rates'!$BT$8-'INP-Calc EFOR&amp;EUOR - 2019Plan'!G$17)/((G$17*'INP-Calc Hist Outage Rates'!$BU$8)/(1+'INP-Calc Hist Outage Rates'!$BT$8-'INP-Calc EFOR&amp;EUOR - 2019Plan'!G$17)+'INP-Calc Hist Outage Rates'!$BU$8)</f>
        <v>3.4396199718937544E-2</v>
      </c>
      <c r="AA17" s="115">
        <f>'INP-Calc Hist Outage Rates'!$BT$8*(C$17*'INP-Calc Hist Outage Rates'!$BU$8)/(1+'INP-Calc Hist Outage Rates'!$BT$8-'INP-Calc EFOR&amp;EUOR - 2019Plan'!C$17)/'INP-Calc Hist Outage Rates'!$BU$8</f>
        <v>1.8230873030883308E-2</v>
      </c>
      <c r="AB17" s="115">
        <f>'INP-Calc Hist Outage Rates'!$BT$8*(D$17*'INP-Calc Hist Outage Rates'!$BU$8)/(1+'INP-Calc Hist Outage Rates'!$BT$8-'INP-Calc EFOR&amp;EUOR - 2019Plan'!D$17)/'INP-Calc Hist Outage Rates'!$BU$8</f>
        <v>1.8230873030883308E-2</v>
      </c>
      <c r="AC17" s="115">
        <f>'INP-Calc Hist Outage Rates'!$BT$8*(E$17*'INP-Calc Hist Outage Rates'!$BU$8)/(1+'INP-Calc Hist Outage Rates'!$BT$8-'INP-Calc EFOR&amp;EUOR - 2019Plan'!E$17)/'INP-Calc Hist Outage Rates'!$BU$8</f>
        <v>1.8230873030883308E-2</v>
      </c>
      <c r="AD17" s="115">
        <f>'INP-Calc Hist Outage Rates'!$BT$8*(F$17*'INP-Calc Hist Outage Rates'!$BU$8)/(1+'INP-Calc Hist Outage Rates'!$BT$8-'INP-Calc EFOR&amp;EUOR - 2019Plan'!F$17)/'INP-Calc Hist Outage Rates'!$BU$8</f>
        <v>1.8230873030883308E-2</v>
      </c>
      <c r="AE17" s="115">
        <f>'INP-Calc Hist Outage Rates'!$BT$8*(G$17*'INP-Calc Hist Outage Rates'!$BU$8)/(1+'INP-Calc Hist Outage Rates'!$BT$8-'INP-Calc EFOR&amp;EUOR - 2019Plan'!G$17)/'INP-Calc Hist Outage Rates'!$BU$8</f>
        <v>1.8230873030883308E-2</v>
      </c>
    </row>
    <row r="18" spans="1:31" x14ac:dyDescent="0.25">
      <c r="A18" s="52" t="s">
        <v>30</v>
      </c>
      <c r="B18" s="90">
        <f>VLOOKUP(A18,Lookup!$J$5:$M$19,4,0)</f>
        <v>481</v>
      </c>
      <c r="C18" s="108">
        <v>5.1999999999999998E-2</v>
      </c>
      <c r="D18" s="108">
        <f>C18</f>
        <v>5.1999999999999998E-2</v>
      </c>
      <c r="E18" s="108">
        <f>C18</f>
        <v>5.1999999999999998E-2</v>
      </c>
      <c r="F18" s="108">
        <f>C18</f>
        <v>5.1999999999999998E-2</v>
      </c>
      <c r="G18" s="108">
        <f>C18</f>
        <v>5.1999999999999998E-2</v>
      </c>
      <c r="H18" s="20"/>
      <c r="I18" s="108">
        <f t="shared" si="9"/>
        <v>7.3999999999999996E-2</v>
      </c>
      <c r="J18" s="108">
        <f t="shared" si="10"/>
        <v>7.3999999999999996E-2</v>
      </c>
      <c r="K18" s="108">
        <f t="shared" si="11"/>
        <v>7.3999999999999996E-2</v>
      </c>
      <c r="L18" s="108">
        <f t="shared" si="12"/>
        <v>7.3999999999999996E-2</v>
      </c>
      <c r="M18" s="108">
        <f t="shared" si="13"/>
        <v>7.3999999999999996E-2</v>
      </c>
      <c r="N18" s="6"/>
      <c r="O18" s="108">
        <v>2.1999999999999999E-2</v>
      </c>
      <c r="P18" s="108">
        <f t="shared" si="18"/>
        <v>2.1999999999999999E-2</v>
      </c>
      <c r="Q18" s="108">
        <f t="shared" ref="Q18:S18" si="20">+P18</f>
        <v>2.1999999999999999E-2</v>
      </c>
      <c r="R18" s="108">
        <f t="shared" si="20"/>
        <v>2.1999999999999999E-2</v>
      </c>
      <c r="S18" s="108">
        <f t="shared" si="20"/>
        <v>2.1999999999999999E-2</v>
      </c>
      <c r="U18" s="108">
        <f>(C$18*'INP-Calc Hist Outage Rates'!$BU$8)/(1+'INP-Calc Hist Outage Rates'!$BT$8-'INP-Calc EFOR&amp;EUOR - 2019Plan'!C$18)/((C$18*'INP-Calc Hist Outage Rates'!$BU$8)/(1+'INP-Calc Hist Outage Rates'!$BT$8-'INP-Calc EFOR&amp;EUOR - 2019Plan'!C$18)+'INP-Calc Hist Outage Rates'!$BU$8)</f>
        <v>3.4396199718937544E-2</v>
      </c>
      <c r="V18" s="108">
        <f>(D$18*'INP-Calc Hist Outage Rates'!$BU$8)/(1+'INP-Calc Hist Outage Rates'!$BT$8-'INP-Calc EFOR&amp;EUOR - 2019Plan'!D$18)/((D$18*'INP-Calc Hist Outage Rates'!$BU$8)/(1+'INP-Calc Hist Outage Rates'!$BT$8-'INP-Calc EFOR&amp;EUOR - 2019Plan'!D$18)+'INP-Calc Hist Outage Rates'!$BU$8)</f>
        <v>3.4396199718937544E-2</v>
      </c>
      <c r="W18" s="108">
        <f>(E$18*'INP-Calc Hist Outage Rates'!$BU$8)/(1+'INP-Calc Hist Outage Rates'!$BT$8-'INP-Calc EFOR&amp;EUOR - 2019Plan'!E$18)/((E$18*'INP-Calc Hist Outage Rates'!$BU$8)/(1+'INP-Calc Hist Outage Rates'!$BT$8-'INP-Calc EFOR&amp;EUOR - 2019Plan'!E$18)+'INP-Calc Hist Outage Rates'!$BU$8)</f>
        <v>3.4396199718937544E-2</v>
      </c>
      <c r="X18" s="108">
        <f>(F$18*'INP-Calc Hist Outage Rates'!$BU$8)/(1+'INP-Calc Hist Outage Rates'!$BT$8-'INP-Calc EFOR&amp;EUOR - 2019Plan'!F$18)/((F$18*'INP-Calc Hist Outage Rates'!$BU$8)/(1+'INP-Calc Hist Outage Rates'!$BT$8-'INP-Calc EFOR&amp;EUOR - 2019Plan'!F$18)+'INP-Calc Hist Outage Rates'!$BU$8)</f>
        <v>3.4396199718937544E-2</v>
      </c>
      <c r="Y18" s="108">
        <f>(G$18*'INP-Calc Hist Outage Rates'!$BU$8)/(1+'INP-Calc Hist Outage Rates'!$BT$8-'INP-Calc EFOR&amp;EUOR - 2019Plan'!G$18)/((G$18*'INP-Calc Hist Outage Rates'!$BU$8)/(1+'INP-Calc Hist Outage Rates'!$BT$8-'INP-Calc EFOR&amp;EUOR - 2019Plan'!G$18)+'INP-Calc Hist Outage Rates'!$BU$8)</f>
        <v>3.4396199718937544E-2</v>
      </c>
      <c r="AA18" s="115">
        <f>'INP-Calc Hist Outage Rates'!$BT$8*(C$18*'INP-Calc Hist Outage Rates'!$BU$8)/(1+'INP-Calc Hist Outage Rates'!$BT$8-'INP-Calc EFOR&amp;EUOR - 2019Plan'!C$18)/'INP-Calc Hist Outage Rates'!$BU$8</f>
        <v>1.8230873030883308E-2</v>
      </c>
      <c r="AB18" s="115">
        <f>'INP-Calc Hist Outage Rates'!$BT$8*(D$18*'INP-Calc Hist Outage Rates'!$BU$8)/(1+'INP-Calc Hist Outage Rates'!$BT$8-'INP-Calc EFOR&amp;EUOR - 2019Plan'!D$18)/'INP-Calc Hist Outage Rates'!$BU$8</f>
        <v>1.8230873030883308E-2</v>
      </c>
      <c r="AC18" s="115">
        <f>'INP-Calc Hist Outage Rates'!$BT$8*(E$18*'INP-Calc Hist Outage Rates'!$BU$8)/(1+'INP-Calc Hist Outage Rates'!$BT$8-'INP-Calc EFOR&amp;EUOR - 2019Plan'!E$18)/'INP-Calc Hist Outage Rates'!$BU$8</f>
        <v>1.8230873030883308E-2</v>
      </c>
      <c r="AD18" s="115">
        <f>'INP-Calc Hist Outage Rates'!$BT$8*(F$18*'INP-Calc Hist Outage Rates'!$BU$8)/(1+'INP-Calc Hist Outage Rates'!$BT$8-'INP-Calc EFOR&amp;EUOR - 2019Plan'!F$18)/'INP-Calc Hist Outage Rates'!$BU$8</f>
        <v>1.8230873030883308E-2</v>
      </c>
      <c r="AE18" s="115">
        <f>'INP-Calc Hist Outage Rates'!$BT$8*(G$18*'INP-Calc Hist Outage Rates'!$BU$8)/(1+'INP-Calc Hist Outage Rates'!$BT$8-'INP-Calc EFOR&amp;EUOR - 2019Plan'!G$18)/'INP-Calc Hist Outage Rates'!$BU$8</f>
        <v>1.8230873030883308E-2</v>
      </c>
    </row>
    <row r="19" spans="1:31" x14ac:dyDescent="0.25">
      <c r="A19" s="53" t="s">
        <v>24</v>
      </c>
      <c r="B19" s="138">
        <f>VLOOKUP(A19,Lookup!$J$5:$M$19,4,0)</f>
        <v>478</v>
      </c>
      <c r="C19" s="108">
        <v>5.1999999999999998E-2</v>
      </c>
      <c r="D19" s="109">
        <f>C19</f>
        <v>5.1999999999999998E-2</v>
      </c>
      <c r="E19" s="109">
        <f>C19</f>
        <v>5.1999999999999998E-2</v>
      </c>
      <c r="F19" s="109">
        <f>C19</f>
        <v>5.1999999999999998E-2</v>
      </c>
      <c r="G19" s="109">
        <f>C19</f>
        <v>5.1999999999999998E-2</v>
      </c>
      <c r="H19" s="20"/>
      <c r="I19" s="109">
        <f t="shared" si="9"/>
        <v>7.3999999999999996E-2</v>
      </c>
      <c r="J19" s="109">
        <f t="shared" si="10"/>
        <v>7.3999999999999996E-2</v>
      </c>
      <c r="K19" s="109">
        <f t="shared" si="11"/>
        <v>7.3999999999999996E-2</v>
      </c>
      <c r="L19" s="109">
        <f t="shared" si="12"/>
        <v>7.3999999999999996E-2</v>
      </c>
      <c r="M19" s="109">
        <f t="shared" si="13"/>
        <v>7.3999999999999996E-2</v>
      </c>
      <c r="N19" s="6"/>
      <c r="O19" s="108">
        <v>2.1999999999999999E-2</v>
      </c>
      <c r="P19" s="109">
        <f>+O19</f>
        <v>2.1999999999999999E-2</v>
      </c>
      <c r="Q19" s="109">
        <f t="shared" ref="Q19:S19" si="21">+P19</f>
        <v>2.1999999999999999E-2</v>
      </c>
      <c r="R19" s="109">
        <f t="shared" si="21"/>
        <v>2.1999999999999999E-2</v>
      </c>
      <c r="S19" s="109">
        <f t="shared" si="21"/>
        <v>2.1999999999999999E-2</v>
      </c>
      <c r="U19" s="109">
        <f>(C$19*'INP-Calc Hist Outage Rates'!$BU$8)/(1+'INP-Calc Hist Outage Rates'!$BT$8-'INP-Calc EFOR&amp;EUOR - 2019Plan'!C$19)/((C$19*'INP-Calc Hist Outage Rates'!$BU$8)/(1+'INP-Calc Hist Outage Rates'!$BT$8-'INP-Calc EFOR&amp;EUOR - 2019Plan'!C$19)+'INP-Calc Hist Outage Rates'!$BU$8)</f>
        <v>3.4396199718937544E-2</v>
      </c>
      <c r="V19" s="109">
        <f>(D$19*'INP-Calc Hist Outage Rates'!$BU$8)/(1+'INP-Calc Hist Outage Rates'!$BT$8-'INP-Calc EFOR&amp;EUOR - 2019Plan'!D$19)/((D$19*'INP-Calc Hist Outage Rates'!$BU$8)/(1+'INP-Calc Hist Outage Rates'!$BT$8-'INP-Calc EFOR&amp;EUOR - 2019Plan'!D$19)+'INP-Calc Hist Outage Rates'!$BU$8)</f>
        <v>3.4396199718937544E-2</v>
      </c>
      <c r="W19" s="109">
        <f>(E$19*'INP-Calc Hist Outage Rates'!$BU$8)/(1+'INP-Calc Hist Outage Rates'!$BT$8-'INP-Calc EFOR&amp;EUOR - 2019Plan'!E$19)/((E$19*'INP-Calc Hist Outage Rates'!$BU$8)/(1+'INP-Calc Hist Outage Rates'!$BT$8-'INP-Calc EFOR&amp;EUOR - 2019Plan'!E$19)+'INP-Calc Hist Outage Rates'!$BU$8)</f>
        <v>3.4396199718937544E-2</v>
      </c>
      <c r="X19" s="109">
        <f>(F$19*'INP-Calc Hist Outage Rates'!$BU$8)/(1+'INP-Calc Hist Outage Rates'!$BT$8-'INP-Calc EFOR&amp;EUOR - 2019Plan'!F$19)/((F$19*'INP-Calc Hist Outage Rates'!$BU$8)/(1+'INP-Calc Hist Outage Rates'!$BT$8-'INP-Calc EFOR&amp;EUOR - 2019Plan'!F$19)+'INP-Calc Hist Outage Rates'!$BU$8)</f>
        <v>3.4396199718937544E-2</v>
      </c>
      <c r="Y19" s="109">
        <f>(G$19*'INP-Calc Hist Outage Rates'!$BU$8)/(1+'INP-Calc Hist Outage Rates'!$BT$8-'INP-Calc EFOR&amp;EUOR - 2019Plan'!G$19)/((G$19*'INP-Calc Hist Outage Rates'!$BU$8)/(1+'INP-Calc Hist Outage Rates'!$BT$8-'INP-Calc EFOR&amp;EUOR - 2019Plan'!G$19)+'INP-Calc Hist Outage Rates'!$BU$8)</f>
        <v>3.4396199718937544E-2</v>
      </c>
      <c r="AA19" s="115">
        <f>'INP-Calc Hist Outage Rates'!$BT$8*(C$19*'INP-Calc Hist Outage Rates'!$BU$8)/(1+'INP-Calc Hist Outage Rates'!$BT$8-'INP-Calc EFOR&amp;EUOR - 2019Plan'!C$19)/'INP-Calc Hist Outage Rates'!$BU$8</f>
        <v>1.8230873030883308E-2</v>
      </c>
      <c r="AB19" s="115">
        <f>'INP-Calc Hist Outage Rates'!$BT$8*(D$19*'INP-Calc Hist Outage Rates'!$BU$8)/(1+'INP-Calc Hist Outage Rates'!$BT$8-'INP-Calc EFOR&amp;EUOR - 2019Plan'!D$19)/'INP-Calc Hist Outage Rates'!$BU$8</f>
        <v>1.8230873030883308E-2</v>
      </c>
      <c r="AC19" s="115">
        <f>'INP-Calc Hist Outage Rates'!$BT$8*(E$19*'INP-Calc Hist Outage Rates'!$BU$8)/(1+'INP-Calc Hist Outage Rates'!$BT$8-'INP-Calc EFOR&amp;EUOR - 2019Plan'!E$19)/'INP-Calc Hist Outage Rates'!$BU$8</f>
        <v>1.8230873030883308E-2</v>
      </c>
      <c r="AD19" s="115">
        <f>'INP-Calc Hist Outage Rates'!$BT$8*(F$19*'INP-Calc Hist Outage Rates'!$BU$8)/(1+'INP-Calc Hist Outage Rates'!$BT$8-'INP-Calc EFOR&amp;EUOR - 2019Plan'!F$19)/'INP-Calc Hist Outage Rates'!$BU$8</f>
        <v>1.8230873030883308E-2</v>
      </c>
      <c r="AE19" s="115">
        <f>'INP-Calc Hist Outage Rates'!$BT$8*(G$19*'INP-Calc Hist Outage Rates'!$BU$8)/(1+'INP-Calc Hist Outage Rates'!$BT$8-'INP-Calc EFOR&amp;EUOR - 2019Plan'!G$19)/'INP-Calc Hist Outage Rates'!$BU$8</f>
        <v>1.8230873030883308E-2</v>
      </c>
    </row>
    <row r="20" spans="1:31" x14ac:dyDescent="0.25">
      <c r="A20" s="54" t="s">
        <v>130</v>
      </c>
      <c r="B20" s="137">
        <f>SUM(B16:B19)</f>
        <v>1924</v>
      </c>
      <c r="C20" s="110">
        <f>(C16*$B16+C17*$B17+C18*$B18+C19*$B19)/$B20</f>
        <v>5.1999999999999991E-2</v>
      </c>
      <c r="D20" s="110">
        <f>(D16*$B16+D17*$B17+D18*$B18+D19*$B19)/$B20</f>
        <v>5.1999999999999991E-2</v>
      </c>
      <c r="E20" s="110">
        <f>(E16*$B16+E17*$B17+E18*$B18+E19*$B19)/$B20</f>
        <v>5.1999999999999991E-2</v>
      </c>
      <c r="F20" s="110">
        <f>(F16*$B16+F17*$B17+F18*$B18+F19*$B19)/$B20</f>
        <v>5.1999999999999991E-2</v>
      </c>
      <c r="G20" s="110">
        <f>(G16*$B16+G17*$B17+G18*$B18+G19*$B19)/$B20</f>
        <v>5.1999999999999991E-2</v>
      </c>
      <c r="H20" s="20"/>
      <c r="I20" s="110">
        <f t="shared" si="9"/>
        <v>7.3999999999999982E-2</v>
      </c>
      <c r="J20" s="110">
        <f t="shared" si="10"/>
        <v>7.3999999999999982E-2</v>
      </c>
      <c r="K20" s="110">
        <f t="shared" si="11"/>
        <v>7.3999999999999982E-2</v>
      </c>
      <c r="L20" s="110">
        <f t="shared" si="12"/>
        <v>7.3999999999999982E-2</v>
      </c>
      <c r="M20" s="110">
        <f t="shared" si="13"/>
        <v>7.3999999999999982E-2</v>
      </c>
      <c r="N20" s="6"/>
      <c r="O20" s="110">
        <f>(O16*$B16+O17*$B17+O18*$B18+O19*$B19)/$B20</f>
        <v>2.1999999999999999E-2</v>
      </c>
      <c r="P20" s="110">
        <f>(P16*$B16+P17*$B17+P18*$B18+P19*$B19)/$B20</f>
        <v>2.1999999999999999E-2</v>
      </c>
      <c r="Q20" s="110">
        <f t="shared" ref="Q20:S20" si="22">(Q16*$B16+Q17*$B17+Q18*$B18+Q19*$B19)/$B20</f>
        <v>2.1999999999999999E-2</v>
      </c>
      <c r="R20" s="110">
        <f t="shared" si="22"/>
        <v>2.1999999999999999E-2</v>
      </c>
      <c r="S20" s="110">
        <f t="shared" si="22"/>
        <v>2.1999999999999999E-2</v>
      </c>
      <c r="U20" s="110">
        <f>($C$20*'INP-Calc Hist Outage Rates'!$BU$8)/(1+'INP-Calc Hist Outage Rates'!$BT$8-'INP-Calc EFOR&amp;EUOR - 2019Plan'!$C$20)/(($C$20*'INP-Calc Hist Outage Rates'!$BU$8)/(1+'INP-Calc Hist Outage Rates'!$BT$8-'INP-Calc EFOR&amp;EUOR - 2019Plan'!$C$20)+'INP-Calc Hist Outage Rates'!$BU$8)</f>
        <v>3.4396199718937537E-2</v>
      </c>
      <c r="V20" s="110">
        <f>($D$20*'INP-Calc Hist Outage Rates'!$BU$8)/(1+'INP-Calc Hist Outage Rates'!$BT$8-'INP-Calc EFOR&amp;EUOR - 2019Plan'!$D$20)/(($D$20*'INP-Calc Hist Outage Rates'!$BU$8)/(1+'INP-Calc Hist Outage Rates'!$BT$8-'INP-Calc EFOR&amp;EUOR - 2019Plan'!$D$20)+'INP-Calc Hist Outage Rates'!$BU$8)</f>
        <v>3.4396199718937537E-2</v>
      </c>
      <c r="W20" s="110">
        <f>($G$20*'INP-Calc Hist Outage Rates'!$BU$8)/(1+'INP-Calc Hist Outage Rates'!$BT$8-'INP-Calc EFOR&amp;EUOR - 2019Plan'!$G$20)/(($G$20*'INP-Calc Hist Outage Rates'!$BU$8)/(1+'INP-Calc Hist Outage Rates'!$BT$8-'INP-Calc EFOR&amp;EUOR - 2019Plan'!$G$20)+'INP-Calc Hist Outage Rates'!$BU$8)</f>
        <v>3.4396199718937537E-2</v>
      </c>
      <c r="X20" s="110">
        <f>($G$20*'INP-Calc Hist Outage Rates'!$BU$8)/(1+'INP-Calc Hist Outage Rates'!$BT$8-'INP-Calc EFOR&amp;EUOR - 2019Plan'!$G$20)/(($G$20*'INP-Calc Hist Outage Rates'!$BU$8)/(1+'INP-Calc Hist Outage Rates'!$BT$8-'INP-Calc EFOR&amp;EUOR - 2019Plan'!$G$20)+'INP-Calc Hist Outage Rates'!$BU$8)</f>
        <v>3.4396199718937537E-2</v>
      </c>
      <c r="Y20" s="110">
        <f>($G$20*'INP-Calc Hist Outage Rates'!$BU$8)/(1+'INP-Calc Hist Outage Rates'!$BT$8-'INP-Calc EFOR&amp;EUOR - 2019Plan'!$G$20)/(($G$20*'INP-Calc Hist Outage Rates'!$BU$8)/(1+'INP-Calc Hist Outage Rates'!$BT$8-'INP-Calc EFOR&amp;EUOR - 2019Plan'!$G$20)+'INP-Calc Hist Outage Rates'!$BU$8)</f>
        <v>3.4396199718937537E-2</v>
      </c>
      <c r="AA20" s="110">
        <f>'INP-Calc Hist Outage Rates'!$BT$8*($C$20*'INP-Calc Hist Outage Rates'!$BU$8)/(1+'INP-Calc Hist Outage Rates'!$BT$8-'INP-Calc EFOR&amp;EUOR - 2019Plan'!$C$20)/'INP-Calc Hist Outage Rates'!$BU$8</f>
        <v>1.8230873030883308E-2</v>
      </c>
      <c r="AB20" s="110">
        <f>'INP-Calc Hist Outage Rates'!$BT$8*($D$20*'INP-Calc Hist Outage Rates'!$BU$8)/(1+'INP-Calc Hist Outage Rates'!$BT$8-'INP-Calc EFOR&amp;EUOR - 2019Plan'!$D$20)/'INP-Calc Hist Outage Rates'!$BU$8</f>
        <v>1.8230873030883308E-2</v>
      </c>
      <c r="AC20" s="110">
        <f>'INP-Calc Hist Outage Rates'!$BT$8*($G$20*'INP-Calc Hist Outage Rates'!$BU$8)/(1+'INP-Calc Hist Outage Rates'!$BT$8-'INP-Calc EFOR&amp;EUOR - 2019Plan'!$G$20)/'INP-Calc Hist Outage Rates'!$BU$8</f>
        <v>1.8230873030883308E-2</v>
      </c>
      <c r="AD20" s="110">
        <f>'INP-Calc Hist Outage Rates'!$BT$8*($G$20*'INP-Calc Hist Outage Rates'!$BU$8)/(1+'INP-Calc Hist Outage Rates'!$BT$8-'INP-Calc EFOR&amp;EUOR - 2019Plan'!$G$20)/'INP-Calc Hist Outage Rates'!$BU$8</f>
        <v>1.8230873030883308E-2</v>
      </c>
      <c r="AE20" s="110">
        <f>'INP-Calc Hist Outage Rates'!$BT$8*($G$20*'INP-Calc Hist Outage Rates'!$BU$8)/(1+'INP-Calc Hist Outage Rates'!$BT$8-'INP-Calc EFOR&amp;EUOR - 2019Plan'!$G$20)/'INP-Calc Hist Outage Rates'!$BU$8</f>
        <v>1.8230873030883308E-2</v>
      </c>
    </row>
    <row r="21" spans="1:31" x14ac:dyDescent="0.25">
      <c r="A21" s="52"/>
      <c r="B21" s="6"/>
      <c r="C21" s="108"/>
      <c r="D21" s="108"/>
      <c r="E21" s="108"/>
      <c r="F21" s="108"/>
      <c r="G21" s="108"/>
      <c r="H21" s="20"/>
      <c r="I21" s="108"/>
      <c r="J21" s="108"/>
      <c r="K21" s="108"/>
      <c r="L21" s="108"/>
      <c r="M21" s="108"/>
      <c r="N21" s="6"/>
      <c r="O21" s="108"/>
      <c r="P21" s="108"/>
      <c r="Q21" s="108"/>
      <c r="R21" s="108"/>
      <c r="S21" s="108"/>
      <c r="U21" s="114"/>
      <c r="V21" s="114"/>
      <c r="W21" s="114"/>
      <c r="X21" s="114"/>
      <c r="Y21" s="114"/>
      <c r="AA21" s="114"/>
      <c r="AB21" s="114"/>
      <c r="AC21" s="114"/>
      <c r="AD21" s="114"/>
      <c r="AE21" s="114"/>
    </row>
    <row r="22" spans="1:31" hidden="1" x14ac:dyDescent="0.25">
      <c r="A22" s="52" t="s">
        <v>16</v>
      </c>
      <c r="B22" s="90">
        <f>VLOOKUP(A22,Lookup!$J$5:$M$19,4,0)</f>
        <v>71</v>
      </c>
      <c r="C22" s="108">
        <v>7.8E-2</v>
      </c>
      <c r="D22" s="108">
        <f t="shared" ref="D22:G22" si="23">C22+0.003</f>
        <v>8.1000000000000003E-2</v>
      </c>
      <c r="E22" s="108">
        <f t="shared" si="23"/>
        <v>8.4000000000000005E-2</v>
      </c>
      <c r="F22" s="108">
        <f t="shared" si="23"/>
        <v>8.7000000000000008E-2</v>
      </c>
      <c r="G22" s="108">
        <f t="shared" si="23"/>
        <v>9.0000000000000011E-2</v>
      </c>
      <c r="H22" s="20"/>
      <c r="I22" s="108">
        <f t="shared" si="9"/>
        <v>0.11</v>
      </c>
      <c r="J22" s="108">
        <f t="shared" si="10"/>
        <v>0.113</v>
      </c>
      <c r="K22" s="108">
        <f t="shared" si="11"/>
        <v>0.11600000000000001</v>
      </c>
      <c r="L22" s="108">
        <f t="shared" si="12"/>
        <v>0.11900000000000001</v>
      </c>
      <c r="M22" s="108">
        <f t="shared" si="13"/>
        <v>0.12200000000000001</v>
      </c>
      <c r="N22" s="6"/>
      <c r="O22" s="108">
        <v>3.2000000000000001E-2</v>
      </c>
      <c r="P22" s="108">
        <f>+O22</f>
        <v>3.2000000000000001E-2</v>
      </c>
      <c r="Q22" s="108">
        <f t="shared" ref="Q22:S22" si="24">+P22</f>
        <v>3.2000000000000001E-2</v>
      </c>
      <c r="R22" s="108">
        <f t="shared" si="24"/>
        <v>3.2000000000000001E-2</v>
      </c>
      <c r="S22" s="108">
        <f t="shared" si="24"/>
        <v>3.2000000000000001E-2</v>
      </c>
      <c r="U22" s="108">
        <f>(C$22*'INP-Calc Hist Outage Rates'!$BU$17)/(1+'INP-Calc Hist Outage Rates'!$BT$17-'INP-Calc EFOR&amp;EUOR - 2019Plan'!C$22)/((C$22*'INP-Calc Hist Outage Rates'!$BU$17)/(1+'INP-Calc Hist Outage Rates'!$BT$17-'INP-Calc EFOR&amp;EUOR - 2019Plan'!C$22)+'INP-Calc Hist Outage Rates'!$BU$17)</f>
        <v>6.8175350662572104E-2</v>
      </c>
      <c r="V22" s="108">
        <f>(D$22*'INP-Calc Hist Outage Rates'!$BU$17)/(1+'INP-Calc Hist Outage Rates'!$BT$17-'INP-Calc EFOR&amp;EUOR - 2019Plan'!D$22)/((D$22*'INP-Calc Hist Outage Rates'!$BU$17)/(1+'INP-Calc Hist Outage Rates'!$BT$17-'INP-Calc EFOR&amp;EUOR - 2019Plan'!D$22)+'INP-Calc Hist Outage Rates'!$BU$17)</f>
        <v>7.0797479534209506E-2</v>
      </c>
      <c r="W22" s="108">
        <f>(E$22*'INP-Calc Hist Outage Rates'!$BU$17)/(1+'INP-Calc Hist Outage Rates'!$BT$17-'INP-Calc EFOR&amp;EUOR - 2019Plan'!E$22)/((E$22*'INP-Calc Hist Outage Rates'!$BU$17)/(1+'INP-Calc Hist Outage Rates'!$BT$17-'INP-Calc EFOR&amp;EUOR - 2019Plan'!E$22)+'INP-Calc Hist Outage Rates'!$BU$17)</f>
        <v>7.3419608405846895E-2</v>
      </c>
      <c r="X22" s="108">
        <f>(F$22*'INP-Calc Hist Outage Rates'!$BU$17)/(1+'INP-Calc Hist Outage Rates'!$BT$17-'INP-Calc EFOR&amp;EUOR - 2019Plan'!F$22)/((F$22*'INP-Calc Hist Outage Rates'!$BU$17)/(1+'INP-Calc Hist Outage Rates'!$BT$17-'INP-Calc EFOR&amp;EUOR - 2019Plan'!F$22)+'INP-Calc Hist Outage Rates'!$BU$17)</f>
        <v>7.604173727748427E-2</v>
      </c>
      <c r="Y22" s="108">
        <f>(G$22*'INP-Calc Hist Outage Rates'!$BU$17)/(1+'INP-Calc Hist Outage Rates'!$BT$17-'INP-Calc EFOR&amp;EUOR - 2019Plan'!G$22)/((G$22*'INP-Calc Hist Outage Rates'!$BU$17)/(1+'INP-Calc Hist Outage Rates'!$BT$17-'INP-Calc EFOR&amp;EUOR - 2019Plan'!G$22)+'INP-Calc Hist Outage Rates'!$BU$17)</f>
        <v>7.8663866149121686E-2</v>
      </c>
      <c r="AA22" s="115">
        <f>'INP-Calc Hist Outage Rates'!$BT$17*(C$22*'INP-Calc Hist Outage Rates'!$BU$17)/(1+'INP-Calc Hist Outage Rates'!$BT$17-'INP-Calc EFOR&amp;EUOR - 2019Plan'!C$22)/'INP-Calc Hist Outage Rates'!$BU$17</f>
        <v>1.0543452938719406E-2</v>
      </c>
      <c r="AB22" s="115">
        <f>'INP-Calc Hist Outage Rates'!$BT$17*(D$22*'INP-Calc Hist Outage Rates'!$BU$17)/(1+'INP-Calc Hist Outage Rates'!$BT$17-'INP-Calc EFOR&amp;EUOR - 2019Plan'!D$22)/'INP-Calc Hist Outage Rates'!$BU$17</f>
        <v>1.0979867403584073E-2</v>
      </c>
      <c r="AC22" s="115">
        <f>'INP-Calc Hist Outage Rates'!$BT$17*(E$22*'INP-Calc Hist Outage Rates'!$BU$17)/(1+'INP-Calc Hist Outage Rates'!$BT$17-'INP-Calc EFOR&amp;EUOR - 2019Plan'!E$22)/'INP-Calc Hist Outage Rates'!$BU$17</f>
        <v>1.1418751886115212E-2</v>
      </c>
      <c r="AD22" s="115">
        <f>'INP-Calc Hist Outage Rates'!$BT$17*(F$22*'INP-Calc Hist Outage Rates'!$BU$17)/(1+'INP-Calc Hist Outage Rates'!$BT$17-'INP-Calc EFOR&amp;EUOR - 2019Plan'!F$22)/'INP-Calc Hist Outage Rates'!$BU$17</f>
        <v>1.1860127415524521E-2</v>
      </c>
      <c r="AE22" s="115">
        <f>'INP-Calc Hist Outage Rates'!$BT$17*(G$22*'INP-Calc Hist Outage Rates'!$BU$17)/(1+'INP-Calc Hist Outage Rates'!$BT$17-'INP-Calc EFOR&amp;EUOR - 2019Plan'!G$22)/'INP-Calc Hist Outage Rates'!$BU$17</f>
        <v>1.2304015260420824E-2</v>
      </c>
    </row>
    <row r="23" spans="1:31" hidden="1" x14ac:dyDescent="0.25">
      <c r="A23" s="53" t="s">
        <v>34</v>
      </c>
      <c r="B23" s="138">
        <f>VLOOKUP(A23,Lookup!$J$5:$M$19,4,0)</f>
        <v>98</v>
      </c>
      <c r="C23" s="109">
        <v>7.8E-2</v>
      </c>
      <c r="D23" s="109">
        <f t="shared" ref="D23:G23" si="25">C23+0.003</f>
        <v>8.1000000000000003E-2</v>
      </c>
      <c r="E23" s="109">
        <f t="shared" si="25"/>
        <v>8.4000000000000005E-2</v>
      </c>
      <c r="F23" s="109">
        <f t="shared" si="25"/>
        <v>8.7000000000000008E-2</v>
      </c>
      <c r="G23" s="109">
        <f t="shared" si="25"/>
        <v>9.0000000000000011E-2</v>
      </c>
      <c r="H23" s="20"/>
      <c r="I23" s="109">
        <f t="shared" si="9"/>
        <v>0.11</v>
      </c>
      <c r="J23" s="109">
        <f t="shared" si="10"/>
        <v>0.113</v>
      </c>
      <c r="K23" s="109">
        <f t="shared" si="11"/>
        <v>0.11600000000000001</v>
      </c>
      <c r="L23" s="109">
        <f t="shared" si="12"/>
        <v>0.11900000000000001</v>
      </c>
      <c r="M23" s="109">
        <f t="shared" si="13"/>
        <v>0.12200000000000001</v>
      </c>
      <c r="N23" s="19"/>
      <c r="O23" s="109">
        <v>3.2000000000000001E-2</v>
      </c>
      <c r="P23" s="109">
        <f>+O23</f>
        <v>3.2000000000000001E-2</v>
      </c>
      <c r="Q23" s="109">
        <f t="shared" ref="Q23:S23" si="26">+P23</f>
        <v>3.2000000000000001E-2</v>
      </c>
      <c r="R23" s="109">
        <f t="shared" si="26"/>
        <v>3.2000000000000001E-2</v>
      </c>
      <c r="S23" s="109">
        <f t="shared" si="26"/>
        <v>3.2000000000000001E-2</v>
      </c>
      <c r="U23" s="109">
        <f>(C$23*'INP-Calc Hist Outage Rates'!$BU$17)/(1+'INP-Calc Hist Outage Rates'!$BT$17-'INP-Calc EFOR&amp;EUOR - 2019Plan'!C$23)/((C$23*'INP-Calc Hist Outage Rates'!$BU$17)/(1+'INP-Calc Hist Outage Rates'!$BT$17-'INP-Calc EFOR&amp;EUOR - 2019Plan'!C$23)+'INP-Calc Hist Outage Rates'!$BU$17)</f>
        <v>6.8175350662572104E-2</v>
      </c>
      <c r="V23" s="109">
        <f>(D$23*'INP-Calc Hist Outage Rates'!$BU$17)/(1+'INP-Calc Hist Outage Rates'!$BT$17-'INP-Calc EFOR&amp;EUOR - 2019Plan'!D$23)/((D$23*'INP-Calc Hist Outage Rates'!$BU$17)/(1+'INP-Calc Hist Outage Rates'!$BT$17-'INP-Calc EFOR&amp;EUOR - 2019Plan'!D$23)+'INP-Calc Hist Outage Rates'!$BU$17)</f>
        <v>7.0797479534209506E-2</v>
      </c>
      <c r="W23" s="109">
        <f>(E$23*'INP-Calc Hist Outage Rates'!$BU$17)/(1+'INP-Calc Hist Outage Rates'!$BT$17-'INP-Calc EFOR&amp;EUOR - 2019Plan'!E$23)/((E$23*'INP-Calc Hist Outage Rates'!$BU$17)/(1+'INP-Calc Hist Outage Rates'!$BT$17-'INP-Calc EFOR&amp;EUOR - 2019Plan'!E$23)+'INP-Calc Hist Outage Rates'!$BU$17)</f>
        <v>7.3419608405846895E-2</v>
      </c>
      <c r="X23" s="109">
        <f>(F$23*'INP-Calc Hist Outage Rates'!$BU$17)/(1+'INP-Calc Hist Outage Rates'!$BT$17-'INP-Calc EFOR&amp;EUOR - 2019Plan'!F$23)/((F$23*'INP-Calc Hist Outage Rates'!$BU$17)/(1+'INP-Calc Hist Outage Rates'!$BT$17-'INP-Calc EFOR&amp;EUOR - 2019Plan'!F$23)+'INP-Calc Hist Outage Rates'!$BU$17)</f>
        <v>7.604173727748427E-2</v>
      </c>
      <c r="Y23" s="109">
        <f>(G$23*'INP-Calc Hist Outage Rates'!$BU$17)/(1+'INP-Calc Hist Outage Rates'!$BT$17-'INP-Calc EFOR&amp;EUOR - 2019Plan'!G$23)/((G$23*'INP-Calc Hist Outage Rates'!$BU$17)/(1+'INP-Calc Hist Outage Rates'!$BT$17-'INP-Calc EFOR&amp;EUOR - 2019Plan'!G$23)+'INP-Calc Hist Outage Rates'!$BU$17)</f>
        <v>7.8663866149121686E-2</v>
      </c>
      <c r="AA23" s="115">
        <f>'INP-Calc Hist Outage Rates'!$BT$17*(C$23*'INP-Calc Hist Outage Rates'!$BU$17)/(1+'INP-Calc Hist Outage Rates'!$BT$17-'INP-Calc EFOR&amp;EUOR - 2019Plan'!C$23)/'INP-Calc Hist Outage Rates'!$BU$17</f>
        <v>1.0543452938719406E-2</v>
      </c>
      <c r="AB23" s="115">
        <f>'INP-Calc Hist Outage Rates'!$BT$17*(D$23*'INP-Calc Hist Outage Rates'!$BU$17)/(1+'INP-Calc Hist Outage Rates'!$BT$17-'INP-Calc EFOR&amp;EUOR - 2019Plan'!D$23)/'INP-Calc Hist Outage Rates'!$BU$17</f>
        <v>1.0979867403584073E-2</v>
      </c>
      <c r="AC23" s="115">
        <f>'INP-Calc Hist Outage Rates'!$BT$17*(E$23*'INP-Calc Hist Outage Rates'!$BU$17)/(1+'INP-Calc Hist Outage Rates'!$BT$17-'INP-Calc EFOR&amp;EUOR - 2019Plan'!E$23)/'INP-Calc Hist Outage Rates'!$BU$17</f>
        <v>1.1418751886115212E-2</v>
      </c>
      <c r="AD23" s="115">
        <f>'INP-Calc Hist Outage Rates'!$BT$17*(F$23*'INP-Calc Hist Outage Rates'!$BU$17)/(1+'INP-Calc Hist Outage Rates'!$BT$17-'INP-Calc EFOR&amp;EUOR - 2019Plan'!F$23)/'INP-Calc Hist Outage Rates'!$BU$17</f>
        <v>1.1860127415524521E-2</v>
      </c>
      <c r="AE23" s="115">
        <f>'INP-Calc Hist Outage Rates'!$BT$17*(G$23*'INP-Calc Hist Outage Rates'!$BU$17)/(1+'INP-Calc Hist Outage Rates'!$BT$17-'INP-Calc EFOR&amp;EUOR - 2019Plan'!G$23)/'INP-Calc Hist Outage Rates'!$BU$17</f>
        <v>1.2304015260420824E-2</v>
      </c>
    </row>
    <row r="24" spans="1:31" hidden="1" x14ac:dyDescent="0.25">
      <c r="A24" s="54" t="s">
        <v>131</v>
      </c>
      <c r="B24" s="16">
        <f>SUM(B22:B23)</f>
        <v>169</v>
      </c>
      <c r="C24" s="110">
        <f>(C22*$B22+C23*$B23)/$B24</f>
        <v>7.8E-2</v>
      </c>
      <c r="D24" s="110">
        <f>(D22*$B22+D23*$B23)/$B24</f>
        <v>8.1000000000000003E-2</v>
      </c>
      <c r="E24" s="110">
        <f>(E22*$B22+E23*$B23)/$B24</f>
        <v>8.4000000000000005E-2</v>
      </c>
      <c r="F24" s="110">
        <f>(F22*$B22+F23*$B23)/$B24</f>
        <v>8.7000000000000022E-2</v>
      </c>
      <c r="G24" s="110">
        <f>(G22*$B22+G23*$B23)/$B24</f>
        <v>9.0000000000000011E-2</v>
      </c>
      <c r="H24" s="20"/>
      <c r="I24" s="110">
        <f t="shared" si="9"/>
        <v>0.11</v>
      </c>
      <c r="J24" s="110">
        <f t="shared" si="10"/>
        <v>0.113</v>
      </c>
      <c r="K24" s="110">
        <f t="shared" si="11"/>
        <v>0.11600000000000001</v>
      </c>
      <c r="L24" s="110">
        <f t="shared" si="12"/>
        <v>0.11900000000000002</v>
      </c>
      <c r="M24" s="110">
        <f t="shared" si="13"/>
        <v>0.12200000000000001</v>
      </c>
      <c r="N24" s="19"/>
      <c r="O24" s="110">
        <f>(O22*$B22+O23*$B23)/$B24</f>
        <v>3.2000000000000001E-2</v>
      </c>
      <c r="P24" s="110">
        <f>(P22*$B22+P23*$B23)/$B24</f>
        <v>3.2000000000000001E-2</v>
      </c>
      <c r="Q24" s="110">
        <f t="shared" ref="Q24:S24" si="27">(Q22*$B22+Q23*$B23)/$B24</f>
        <v>3.2000000000000001E-2</v>
      </c>
      <c r="R24" s="110">
        <f t="shared" si="27"/>
        <v>3.2000000000000001E-2</v>
      </c>
      <c r="S24" s="110">
        <f t="shared" si="27"/>
        <v>3.2000000000000001E-2</v>
      </c>
      <c r="U24" s="110">
        <f>($C$24*'INP-Calc Hist Outage Rates'!$BU$17)/(1+'INP-Calc Hist Outage Rates'!$BT$17-'INP-Calc EFOR&amp;EUOR - 2019Plan'!$C$24)/(($C$24*'INP-Calc Hist Outage Rates'!$BU$17)/(1+'INP-Calc Hist Outage Rates'!$BT$17-'INP-Calc EFOR&amp;EUOR - 2019Plan'!$C$24)+'INP-Calc Hist Outage Rates'!$BU$17)</f>
        <v>6.8175350662572104E-2</v>
      </c>
      <c r="V24" s="110">
        <f>($D$24*'INP-Calc Hist Outage Rates'!$BU$17)/(1+'INP-Calc Hist Outage Rates'!$BT$17-'INP-Calc EFOR&amp;EUOR - 2019Plan'!$D$24)/(($D$24*'INP-Calc Hist Outage Rates'!$BU$17)/(1+'INP-Calc Hist Outage Rates'!$BT$17-'INP-Calc EFOR&amp;EUOR - 2019Plan'!$D$24)+'INP-Calc Hist Outage Rates'!$BU$17)</f>
        <v>7.0797479534209506E-2</v>
      </c>
      <c r="W24" s="110">
        <f>($G$24*'INP-Calc Hist Outage Rates'!$BU$17)/(1+'INP-Calc Hist Outage Rates'!$BT$17-'INP-Calc EFOR&amp;EUOR - 2019Plan'!$G$24)/(($G$24*'INP-Calc Hist Outage Rates'!$BU$17)/(1+'INP-Calc Hist Outage Rates'!$BT$17-'INP-Calc EFOR&amp;EUOR - 2019Plan'!$G$24)+'INP-Calc Hist Outage Rates'!$BU$17)</f>
        <v>7.8663866149121686E-2</v>
      </c>
      <c r="X24" s="110">
        <f>($G$24*'INP-Calc Hist Outage Rates'!$BU$17)/(1+'INP-Calc Hist Outage Rates'!$BT$17-'INP-Calc EFOR&amp;EUOR - 2019Plan'!$G$24)/(($G$24*'INP-Calc Hist Outage Rates'!$BU$17)/(1+'INP-Calc Hist Outage Rates'!$BT$17-'INP-Calc EFOR&amp;EUOR - 2019Plan'!$G$24)+'INP-Calc Hist Outage Rates'!$BU$17)</f>
        <v>7.8663866149121686E-2</v>
      </c>
      <c r="Y24" s="110">
        <f>($G$24*'INP-Calc Hist Outage Rates'!$BU$17)/(1+'INP-Calc Hist Outage Rates'!$BT$17-'INP-Calc EFOR&amp;EUOR - 2019Plan'!$G$24)/(($G$24*'INP-Calc Hist Outage Rates'!$BU$17)/(1+'INP-Calc Hist Outage Rates'!$BT$17-'INP-Calc EFOR&amp;EUOR - 2019Plan'!$G$24)+'INP-Calc Hist Outage Rates'!$BU$17)</f>
        <v>7.8663866149121686E-2</v>
      </c>
      <c r="AA24" s="110">
        <f>'INP-Calc Hist Outage Rates'!$BT$17*($C$24*'INP-Calc Hist Outage Rates'!$BU$17)/(1+'INP-Calc Hist Outage Rates'!$BT$17-'INP-Calc EFOR&amp;EUOR - 2019Plan'!$C$24)/'INP-Calc Hist Outage Rates'!$BU$17</f>
        <v>1.0543452938719406E-2</v>
      </c>
      <c r="AB24" s="110">
        <f>'INP-Calc Hist Outage Rates'!$BT$17*($D$24*'INP-Calc Hist Outage Rates'!$BU$17)/(1+'INP-Calc Hist Outage Rates'!$BT$17-'INP-Calc EFOR&amp;EUOR - 2019Plan'!$D$24)/'INP-Calc Hist Outage Rates'!$BU$17</f>
        <v>1.0979867403584073E-2</v>
      </c>
      <c r="AC24" s="110">
        <f>'INP-Calc Hist Outage Rates'!$BT$17*($G$24*'INP-Calc Hist Outage Rates'!$BU$17)/(1+'INP-Calc Hist Outage Rates'!$BT$17-'INP-Calc EFOR&amp;EUOR - 2019Plan'!$G$24)/'INP-Calc Hist Outage Rates'!$BU$17</f>
        <v>1.2304015260420824E-2</v>
      </c>
      <c r="AD24" s="110">
        <f>'INP-Calc Hist Outage Rates'!$BT$17*($G$24*'INP-Calc Hist Outage Rates'!$BU$17)/(1+'INP-Calc Hist Outage Rates'!$BT$17-'INP-Calc EFOR&amp;EUOR - 2019Plan'!$G$24)/'INP-Calc Hist Outage Rates'!$BU$17</f>
        <v>1.2304015260420824E-2</v>
      </c>
      <c r="AE24" s="110">
        <f>'INP-Calc Hist Outage Rates'!$BT$17*($G$24*'INP-Calc Hist Outage Rates'!$BU$17)/(1+'INP-Calc Hist Outage Rates'!$BT$17-'INP-Calc EFOR&amp;EUOR - 2019Plan'!$G$24)/'INP-Calc Hist Outage Rates'!$BU$17</f>
        <v>1.2304015260420824E-2</v>
      </c>
    </row>
    <row r="25" spans="1:31" hidden="1" x14ac:dyDescent="0.25">
      <c r="A25" s="52"/>
      <c r="B25" s="6"/>
      <c r="C25" s="108"/>
      <c r="D25" s="108"/>
      <c r="E25" s="108"/>
      <c r="F25" s="108"/>
      <c r="G25" s="108"/>
      <c r="H25" s="20"/>
      <c r="I25" s="108"/>
      <c r="J25" s="108"/>
      <c r="K25" s="108"/>
      <c r="L25" s="108"/>
      <c r="M25" s="108"/>
      <c r="N25" s="19"/>
      <c r="O25" s="108"/>
      <c r="P25" s="108"/>
      <c r="Q25" s="108"/>
      <c r="R25" s="108"/>
      <c r="S25" s="108"/>
      <c r="U25" s="114"/>
      <c r="V25" s="114"/>
      <c r="W25" s="114"/>
      <c r="X25" s="114"/>
      <c r="Y25" s="114"/>
      <c r="AA25" s="114"/>
      <c r="AB25" s="114"/>
      <c r="AC25" s="114"/>
      <c r="AD25" s="114"/>
      <c r="AE25" s="114"/>
    </row>
    <row r="26" spans="1:31" x14ac:dyDescent="0.25">
      <c r="A26" s="52" t="s">
        <v>23</v>
      </c>
      <c r="B26" s="90">
        <f>VLOOKUP(A26,Lookup!$J$5:$M$19,4,0)</f>
        <v>300</v>
      </c>
      <c r="C26" s="108">
        <v>5.1999999999999998E-2</v>
      </c>
      <c r="D26" s="108">
        <f>C26</f>
        <v>5.1999999999999998E-2</v>
      </c>
      <c r="E26" s="108">
        <f>C26</f>
        <v>5.1999999999999998E-2</v>
      </c>
      <c r="F26" s="108">
        <f>C26</f>
        <v>5.1999999999999998E-2</v>
      </c>
      <c r="G26" s="108">
        <f>C26</f>
        <v>5.1999999999999998E-2</v>
      </c>
      <c r="H26" s="20"/>
      <c r="I26" s="108">
        <f t="shared" si="9"/>
        <v>7.3999999999999996E-2</v>
      </c>
      <c r="J26" s="108">
        <f t="shared" si="10"/>
        <v>7.3999999999999996E-2</v>
      </c>
      <c r="K26" s="108">
        <f t="shared" si="11"/>
        <v>7.3999999999999996E-2</v>
      </c>
      <c r="L26" s="108">
        <f t="shared" si="12"/>
        <v>7.3999999999999996E-2</v>
      </c>
      <c r="M26" s="108">
        <f t="shared" si="13"/>
        <v>7.3999999999999996E-2</v>
      </c>
      <c r="N26" s="6"/>
      <c r="O26" s="108">
        <v>2.1999999999999999E-2</v>
      </c>
      <c r="P26" s="108">
        <f>+O26</f>
        <v>2.1999999999999999E-2</v>
      </c>
      <c r="Q26" s="108">
        <f t="shared" ref="Q26:S26" si="28">+P26</f>
        <v>2.1999999999999999E-2</v>
      </c>
      <c r="R26" s="108">
        <f t="shared" si="28"/>
        <v>2.1999999999999999E-2</v>
      </c>
      <c r="S26" s="108">
        <f t="shared" si="28"/>
        <v>2.1999999999999999E-2</v>
      </c>
      <c r="U26" s="115">
        <f>(C$26*'INP-Calc Hist Outage Rates'!$BU$23)/(1+'INP-Calc Hist Outage Rates'!$BT$23-'INP-Calc EFOR&amp;EUOR - 2019Plan'!C$26)/((C$26*'INP-Calc Hist Outage Rates'!$BU$23)/(1+'INP-Calc Hist Outage Rates'!$BT$23-'INP-Calc EFOR&amp;EUOR - 2019Plan'!C$26)+'INP-Calc Hist Outage Rates'!$BU$23)</f>
        <v>3.5113250760485597E-2</v>
      </c>
      <c r="V26" s="115">
        <f>(D$26*'INP-Calc Hist Outage Rates'!$BU$23)/(1+'INP-Calc Hist Outage Rates'!$BT$23-'INP-Calc EFOR&amp;EUOR - 2019Plan'!D$26)/((D$26*'INP-Calc Hist Outage Rates'!$BU$23)/(1+'INP-Calc Hist Outage Rates'!$BT$23-'INP-Calc EFOR&amp;EUOR - 2019Plan'!D$26)+'INP-Calc Hist Outage Rates'!$BU$23)</f>
        <v>3.5113250760485597E-2</v>
      </c>
      <c r="W26" s="115">
        <f>(E$26*'INP-Calc Hist Outage Rates'!$BU$23)/(1+'INP-Calc Hist Outage Rates'!$BT$23-'INP-Calc EFOR&amp;EUOR - 2019Plan'!E$26)/((E$26*'INP-Calc Hist Outage Rates'!$BU$23)/(1+'INP-Calc Hist Outage Rates'!$BT$23-'INP-Calc EFOR&amp;EUOR - 2019Plan'!E$26)+'INP-Calc Hist Outage Rates'!$BU$23)</f>
        <v>3.5113250760485597E-2</v>
      </c>
      <c r="X26" s="115">
        <f>(F$26*'INP-Calc Hist Outage Rates'!$BU$23)/(1+'INP-Calc Hist Outage Rates'!$BT$23-'INP-Calc EFOR&amp;EUOR - 2019Plan'!F$26)/((F$26*'INP-Calc Hist Outage Rates'!$BU$23)/(1+'INP-Calc Hist Outage Rates'!$BT$23-'INP-Calc EFOR&amp;EUOR - 2019Plan'!F$26)+'INP-Calc Hist Outage Rates'!$BU$23)</f>
        <v>3.5113250760485597E-2</v>
      </c>
      <c r="Y26" s="115">
        <f>(G$26*'INP-Calc Hist Outage Rates'!$BU$23)/(1+'INP-Calc Hist Outage Rates'!$BT$23-'INP-Calc EFOR&amp;EUOR - 2019Plan'!G$26)/((G$26*'INP-Calc Hist Outage Rates'!$BU$23)/(1+'INP-Calc Hist Outage Rates'!$BT$23-'INP-Calc EFOR&amp;EUOR - 2019Plan'!G$26)+'INP-Calc Hist Outage Rates'!$BU$23)</f>
        <v>3.5113250760485597E-2</v>
      </c>
      <c r="AA26" s="115">
        <f>'INP-Calc Hist Outage Rates'!$BT$23*(C$26*'INP-Calc Hist Outage Rates'!$BU$23)/(1+'INP-Calc Hist Outage Rates'!$BT$23-'INP-Calc EFOR&amp;EUOR - 2019Plan'!C$26)/'INP-Calc Hist Outage Rates'!$BU$23</f>
        <v>1.7501275929868318E-2</v>
      </c>
      <c r="AB26" s="115">
        <f>'INP-Calc Hist Outage Rates'!$BT$23*(D$26*'INP-Calc Hist Outage Rates'!$BU$23)/(1+'INP-Calc Hist Outage Rates'!$BT$23-'INP-Calc EFOR&amp;EUOR - 2019Plan'!D$26)/'INP-Calc Hist Outage Rates'!$BU$23</f>
        <v>1.7501275929868318E-2</v>
      </c>
      <c r="AC26" s="115">
        <f>'INP-Calc Hist Outage Rates'!$BT$23*(E$26*'INP-Calc Hist Outage Rates'!$BU$23)/(1+'INP-Calc Hist Outage Rates'!$BT$23-'INP-Calc EFOR&amp;EUOR - 2019Plan'!E$26)/'INP-Calc Hist Outage Rates'!$BU$23</f>
        <v>1.7501275929868318E-2</v>
      </c>
      <c r="AD26" s="115">
        <f>'INP-Calc Hist Outage Rates'!$BT$23*(F$26*'INP-Calc Hist Outage Rates'!$BU$23)/(1+'INP-Calc Hist Outage Rates'!$BT$23-'INP-Calc EFOR&amp;EUOR - 2019Plan'!F$26)/'INP-Calc Hist Outage Rates'!$BU$23</f>
        <v>1.7501275929868318E-2</v>
      </c>
      <c r="AE26" s="115">
        <f>'INP-Calc Hist Outage Rates'!$BT$23*(G$26*'INP-Calc Hist Outage Rates'!$BU$23)/(1+'INP-Calc Hist Outage Rates'!$BT$23-'INP-Calc EFOR&amp;EUOR - 2019Plan'!G$26)/'INP-Calc Hist Outage Rates'!$BU$23</f>
        <v>1.7501275929868318E-2</v>
      </c>
    </row>
    <row r="27" spans="1:31" x14ac:dyDescent="0.25">
      <c r="A27" s="52" t="s">
        <v>35</v>
      </c>
      <c r="B27" s="90">
        <f>VLOOKUP(A27,Lookup!$J$5:$M$19,4,0)</f>
        <v>297</v>
      </c>
      <c r="C27" s="108">
        <v>5.1999999999999998E-2</v>
      </c>
      <c r="D27" s="108">
        <f>C27</f>
        <v>5.1999999999999998E-2</v>
      </c>
      <c r="E27" s="108">
        <f>C27</f>
        <v>5.1999999999999998E-2</v>
      </c>
      <c r="F27" s="108">
        <f>C27</f>
        <v>5.1999999999999998E-2</v>
      </c>
      <c r="G27" s="108">
        <f>C27</f>
        <v>5.1999999999999998E-2</v>
      </c>
      <c r="H27" s="20"/>
      <c r="I27" s="108">
        <f t="shared" si="9"/>
        <v>7.3999999999999996E-2</v>
      </c>
      <c r="J27" s="108">
        <f t="shared" si="10"/>
        <v>7.3999999999999996E-2</v>
      </c>
      <c r="K27" s="108">
        <f t="shared" si="11"/>
        <v>7.3999999999999996E-2</v>
      </c>
      <c r="L27" s="108">
        <f t="shared" si="12"/>
        <v>7.3999999999999996E-2</v>
      </c>
      <c r="M27" s="108">
        <f t="shared" si="13"/>
        <v>7.3999999999999996E-2</v>
      </c>
      <c r="N27" s="19"/>
      <c r="O27" s="108">
        <v>2.1999999999999999E-2</v>
      </c>
      <c r="P27" s="108">
        <f>+O27</f>
        <v>2.1999999999999999E-2</v>
      </c>
      <c r="Q27" s="108">
        <f t="shared" ref="Q27:S27" si="29">+P27</f>
        <v>2.1999999999999999E-2</v>
      </c>
      <c r="R27" s="108">
        <f t="shared" si="29"/>
        <v>2.1999999999999999E-2</v>
      </c>
      <c r="S27" s="108">
        <f t="shared" si="29"/>
        <v>2.1999999999999999E-2</v>
      </c>
      <c r="U27" s="115">
        <f>(C$27*'INP-Calc Hist Outage Rates'!$BU$23)/(1+'INP-Calc Hist Outage Rates'!$BT$23-'INP-Calc EFOR&amp;EUOR - 2019Plan'!C$27)/((C$27*'INP-Calc Hist Outage Rates'!$BU$23)/(1+'INP-Calc Hist Outage Rates'!$BT$23-'INP-Calc EFOR&amp;EUOR - 2019Plan'!C$27)+'INP-Calc Hist Outage Rates'!$BU$23)</f>
        <v>3.5113250760485597E-2</v>
      </c>
      <c r="V27" s="115">
        <f>(D$27*'INP-Calc Hist Outage Rates'!$BU$23)/(1+'INP-Calc Hist Outage Rates'!$BT$23-'INP-Calc EFOR&amp;EUOR - 2019Plan'!D$27)/((D$27*'INP-Calc Hist Outage Rates'!$BU$23)/(1+'INP-Calc Hist Outage Rates'!$BT$23-'INP-Calc EFOR&amp;EUOR - 2019Plan'!D$27)+'INP-Calc Hist Outage Rates'!$BU$23)</f>
        <v>3.5113250760485597E-2</v>
      </c>
      <c r="W27" s="115">
        <f>(E$27*'INP-Calc Hist Outage Rates'!$BU$23)/(1+'INP-Calc Hist Outage Rates'!$BT$23-'INP-Calc EFOR&amp;EUOR - 2019Plan'!E$27)/((E$27*'INP-Calc Hist Outage Rates'!$BU$23)/(1+'INP-Calc Hist Outage Rates'!$BT$23-'INP-Calc EFOR&amp;EUOR - 2019Plan'!E$27)+'INP-Calc Hist Outage Rates'!$BU$23)</f>
        <v>3.5113250760485597E-2</v>
      </c>
      <c r="X27" s="115">
        <f>(F$27*'INP-Calc Hist Outage Rates'!$BU$23)/(1+'INP-Calc Hist Outage Rates'!$BT$23-'INP-Calc EFOR&amp;EUOR - 2019Plan'!F$27)/((F$27*'INP-Calc Hist Outage Rates'!$BU$23)/(1+'INP-Calc Hist Outage Rates'!$BT$23-'INP-Calc EFOR&amp;EUOR - 2019Plan'!F$27)+'INP-Calc Hist Outage Rates'!$BU$23)</f>
        <v>3.5113250760485597E-2</v>
      </c>
      <c r="Y27" s="115">
        <f>(G$27*'INP-Calc Hist Outage Rates'!$BU$23)/(1+'INP-Calc Hist Outage Rates'!$BT$23-'INP-Calc EFOR&amp;EUOR - 2019Plan'!G$27)/((G$27*'INP-Calc Hist Outage Rates'!$BU$23)/(1+'INP-Calc Hist Outage Rates'!$BT$23-'INP-Calc EFOR&amp;EUOR - 2019Plan'!G$27)+'INP-Calc Hist Outage Rates'!$BU$23)</f>
        <v>3.5113250760485597E-2</v>
      </c>
      <c r="AA27" s="115">
        <f>'INP-Calc Hist Outage Rates'!$BT$23*(C$27*'INP-Calc Hist Outage Rates'!$BU$23)/(1+'INP-Calc Hist Outage Rates'!$BT$23-'INP-Calc EFOR&amp;EUOR - 2019Plan'!C$27)/'INP-Calc Hist Outage Rates'!$BU$23</f>
        <v>1.7501275929868318E-2</v>
      </c>
      <c r="AB27" s="115">
        <f>'INP-Calc Hist Outage Rates'!$BT$23*(D$27*'INP-Calc Hist Outage Rates'!$BU$23)/(1+'INP-Calc Hist Outage Rates'!$BT$23-'INP-Calc EFOR&amp;EUOR - 2019Plan'!D$27)/'INP-Calc Hist Outage Rates'!$BU$23</f>
        <v>1.7501275929868318E-2</v>
      </c>
      <c r="AC27" s="115">
        <f>'INP-Calc Hist Outage Rates'!$BT$23*(E$27*'INP-Calc Hist Outage Rates'!$BU$23)/(1+'INP-Calc Hist Outage Rates'!$BT$23-'INP-Calc EFOR&amp;EUOR - 2019Plan'!E$27)/'INP-Calc Hist Outage Rates'!$BU$23</f>
        <v>1.7501275929868318E-2</v>
      </c>
      <c r="AD27" s="115">
        <f>'INP-Calc Hist Outage Rates'!$BT$23*(F$27*'INP-Calc Hist Outage Rates'!$BU$23)/(1+'INP-Calc Hist Outage Rates'!$BT$23-'INP-Calc EFOR&amp;EUOR - 2019Plan'!F$27)/'INP-Calc Hist Outage Rates'!$BU$23</f>
        <v>1.7501275929868318E-2</v>
      </c>
      <c r="AE27" s="115">
        <f>'INP-Calc Hist Outage Rates'!$BT$23*(G$27*'INP-Calc Hist Outage Rates'!$BU$23)/(1+'INP-Calc Hist Outage Rates'!$BT$23-'INP-Calc EFOR&amp;EUOR - 2019Plan'!G$27)/'INP-Calc Hist Outage Rates'!$BU$23</f>
        <v>1.7501275929868318E-2</v>
      </c>
    </row>
    <row r="28" spans="1:31" x14ac:dyDescent="0.25">
      <c r="A28" s="52" t="s">
        <v>29</v>
      </c>
      <c r="B28" s="90">
        <f>VLOOKUP(A28,Lookup!$J$5:$M$19,4,0)</f>
        <v>394</v>
      </c>
      <c r="C28" s="108">
        <v>5.1999999999999998E-2</v>
      </c>
      <c r="D28" s="108">
        <f>C28</f>
        <v>5.1999999999999998E-2</v>
      </c>
      <c r="E28" s="108">
        <f>C28</f>
        <v>5.1999999999999998E-2</v>
      </c>
      <c r="F28" s="108">
        <f>C28</f>
        <v>5.1999999999999998E-2</v>
      </c>
      <c r="G28" s="108">
        <f>C28</f>
        <v>5.1999999999999998E-2</v>
      </c>
      <c r="H28" s="20"/>
      <c r="I28" s="108">
        <f t="shared" si="9"/>
        <v>7.3999999999999996E-2</v>
      </c>
      <c r="J28" s="108">
        <f t="shared" si="10"/>
        <v>7.3999999999999996E-2</v>
      </c>
      <c r="K28" s="108">
        <f t="shared" si="11"/>
        <v>7.3999999999999996E-2</v>
      </c>
      <c r="L28" s="108">
        <f t="shared" si="12"/>
        <v>7.3999999999999996E-2</v>
      </c>
      <c r="M28" s="108">
        <f t="shared" si="13"/>
        <v>7.3999999999999996E-2</v>
      </c>
      <c r="N28" s="6"/>
      <c r="O28" s="108">
        <v>2.1999999999999999E-2</v>
      </c>
      <c r="P28" s="108">
        <f>+O28</f>
        <v>2.1999999999999999E-2</v>
      </c>
      <c r="Q28" s="108">
        <f t="shared" ref="Q28:S28" si="30">+P28</f>
        <v>2.1999999999999999E-2</v>
      </c>
      <c r="R28" s="108">
        <f t="shared" si="30"/>
        <v>2.1999999999999999E-2</v>
      </c>
      <c r="S28" s="108">
        <f t="shared" si="30"/>
        <v>2.1999999999999999E-2</v>
      </c>
      <c r="U28" s="115">
        <f>(C$28*'INP-Calc Hist Outage Rates'!$BU$23)/(1+'INP-Calc Hist Outage Rates'!$BT$23-'INP-Calc EFOR&amp;EUOR - 2019Plan'!C$28)/((C$28*'INP-Calc Hist Outage Rates'!$BU$23)/(1+'INP-Calc Hist Outage Rates'!$BT$23-'INP-Calc EFOR&amp;EUOR - 2019Plan'!C$28)+'INP-Calc Hist Outage Rates'!$BU$23)</f>
        <v>3.5113250760485597E-2</v>
      </c>
      <c r="V28" s="115">
        <f>(D$28*'INP-Calc Hist Outage Rates'!$BU$23)/(1+'INP-Calc Hist Outage Rates'!$BT$23-'INP-Calc EFOR&amp;EUOR - 2019Plan'!D$28)/((D$28*'INP-Calc Hist Outage Rates'!$BU$23)/(1+'INP-Calc Hist Outage Rates'!$BT$23-'INP-Calc EFOR&amp;EUOR - 2019Plan'!D$28)+'INP-Calc Hist Outage Rates'!$BU$23)</f>
        <v>3.5113250760485597E-2</v>
      </c>
      <c r="W28" s="115">
        <f>(E$28*'INP-Calc Hist Outage Rates'!$BU$23)/(1+'INP-Calc Hist Outage Rates'!$BT$23-'INP-Calc EFOR&amp;EUOR - 2019Plan'!E$28)/((E$28*'INP-Calc Hist Outage Rates'!$BU$23)/(1+'INP-Calc Hist Outage Rates'!$BT$23-'INP-Calc EFOR&amp;EUOR - 2019Plan'!E$28)+'INP-Calc Hist Outage Rates'!$BU$23)</f>
        <v>3.5113250760485597E-2</v>
      </c>
      <c r="X28" s="115">
        <f>(F$28*'INP-Calc Hist Outage Rates'!$BU$23)/(1+'INP-Calc Hist Outage Rates'!$BT$23-'INP-Calc EFOR&amp;EUOR - 2019Plan'!F$28)/((F$28*'INP-Calc Hist Outage Rates'!$BU$23)/(1+'INP-Calc Hist Outage Rates'!$BT$23-'INP-Calc EFOR&amp;EUOR - 2019Plan'!F$28)+'INP-Calc Hist Outage Rates'!$BU$23)</f>
        <v>3.5113250760485597E-2</v>
      </c>
      <c r="Y28" s="115">
        <f>(G$28*'INP-Calc Hist Outage Rates'!$BU$23)/(1+'INP-Calc Hist Outage Rates'!$BT$23-'INP-Calc EFOR&amp;EUOR - 2019Plan'!G$28)/((G$28*'INP-Calc Hist Outage Rates'!$BU$23)/(1+'INP-Calc Hist Outage Rates'!$BT$23-'INP-Calc EFOR&amp;EUOR - 2019Plan'!G$28)+'INP-Calc Hist Outage Rates'!$BU$23)</f>
        <v>3.5113250760485597E-2</v>
      </c>
      <c r="AA28" s="115">
        <f>'INP-Calc Hist Outage Rates'!$BT$23*(C$28*'INP-Calc Hist Outage Rates'!$BU$23)/(1+'INP-Calc Hist Outage Rates'!$BT$23-'INP-Calc EFOR&amp;EUOR - 2019Plan'!C$28)/'INP-Calc Hist Outage Rates'!$BU$23</f>
        <v>1.7501275929868318E-2</v>
      </c>
      <c r="AB28" s="115">
        <f>'INP-Calc Hist Outage Rates'!$BT$23*(D$28*'INP-Calc Hist Outage Rates'!$BU$23)/(1+'INP-Calc Hist Outage Rates'!$BT$23-'INP-Calc EFOR&amp;EUOR - 2019Plan'!D$28)/'INP-Calc Hist Outage Rates'!$BU$23</f>
        <v>1.7501275929868318E-2</v>
      </c>
      <c r="AC28" s="115">
        <f>'INP-Calc Hist Outage Rates'!$BT$23*(E$28*'INP-Calc Hist Outage Rates'!$BU$23)/(1+'INP-Calc Hist Outage Rates'!$BT$23-'INP-Calc EFOR&amp;EUOR - 2019Plan'!E$28)/'INP-Calc Hist Outage Rates'!$BU$23</f>
        <v>1.7501275929868318E-2</v>
      </c>
      <c r="AD28" s="115">
        <f>'INP-Calc Hist Outage Rates'!$BT$23*(F$28*'INP-Calc Hist Outage Rates'!$BU$23)/(1+'INP-Calc Hist Outage Rates'!$BT$23-'INP-Calc EFOR&amp;EUOR - 2019Plan'!F$28)/'INP-Calc Hist Outage Rates'!$BU$23</f>
        <v>1.7501275929868318E-2</v>
      </c>
      <c r="AE28" s="115">
        <f>'INP-Calc Hist Outage Rates'!$BT$23*(G$28*'INP-Calc Hist Outage Rates'!$BU$23)/(1+'INP-Calc Hist Outage Rates'!$BT$23-'INP-Calc EFOR&amp;EUOR - 2019Plan'!G$28)/'INP-Calc Hist Outage Rates'!$BU$23</f>
        <v>1.7501275929868318E-2</v>
      </c>
    </row>
    <row r="29" spans="1:31" x14ac:dyDescent="0.25">
      <c r="A29" s="53" t="s">
        <v>25</v>
      </c>
      <c r="B29" s="90">
        <f>VLOOKUP(A29,Lookup!$J$5:$M$19,4,0)</f>
        <v>486</v>
      </c>
      <c r="C29" s="108">
        <v>5.1999999999999998E-2</v>
      </c>
      <c r="D29" s="109">
        <f>C29</f>
        <v>5.1999999999999998E-2</v>
      </c>
      <c r="E29" s="109">
        <f>C29</f>
        <v>5.1999999999999998E-2</v>
      </c>
      <c r="F29" s="109">
        <f>C29</f>
        <v>5.1999999999999998E-2</v>
      </c>
      <c r="G29" s="109">
        <f>C29</f>
        <v>5.1999999999999998E-2</v>
      </c>
      <c r="H29" s="20"/>
      <c r="I29" s="109">
        <f t="shared" si="9"/>
        <v>7.3999999999999996E-2</v>
      </c>
      <c r="J29" s="109">
        <f t="shared" si="10"/>
        <v>7.3999999999999996E-2</v>
      </c>
      <c r="K29" s="109">
        <f t="shared" si="11"/>
        <v>7.3999999999999996E-2</v>
      </c>
      <c r="L29" s="109">
        <f t="shared" si="12"/>
        <v>7.3999999999999996E-2</v>
      </c>
      <c r="M29" s="109">
        <f t="shared" si="13"/>
        <v>7.3999999999999996E-2</v>
      </c>
      <c r="N29" s="6"/>
      <c r="O29" s="108">
        <v>2.1999999999999999E-2</v>
      </c>
      <c r="P29" s="109">
        <f>+O29</f>
        <v>2.1999999999999999E-2</v>
      </c>
      <c r="Q29" s="109">
        <f t="shared" ref="Q29:S29" si="31">+P29</f>
        <v>2.1999999999999999E-2</v>
      </c>
      <c r="R29" s="109">
        <f t="shared" si="31"/>
        <v>2.1999999999999999E-2</v>
      </c>
      <c r="S29" s="109">
        <f t="shared" si="31"/>
        <v>2.1999999999999999E-2</v>
      </c>
      <c r="U29" s="115">
        <f>(C$29*'INP-Calc Hist Outage Rates'!$BU$23)/(1+'INP-Calc Hist Outage Rates'!$BT$23-'INP-Calc EFOR&amp;EUOR - 2019Plan'!C$29)/((C$29*'INP-Calc Hist Outage Rates'!$BU$23)/(1+'INP-Calc Hist Outage Rates'!$BT$23-'INP-Calc EFOR&amp;EUOR - 2019Plan'!C$29)+'INP-Calc Hist Outage Rates'!$BU$23)</f>
        <v>3.5113250760485597E-2</v>
      </c>
      <c r="V29" s="115">
        <f>(D$29*'INP-Calc Hist Outage Rates'!$BU$23)/(1+'INP-Calc Hist Outage Rates'!$BT$23-'INP-Calc EFOR&amp;EUOR - 2019Plan'!D$29)/((D$29*'INP-Calc Hist Outage Rates'!$BU$23)/(1+'INP-Calc Hist Outage Rates'!$BT$23-'INP-Calc EFOR&amp;EUOR - 2019Plan'!D$29)+'INP-Calc Hist Outage Rates'!$BU$23)</f>
        <v>3.5113250760485597E-2</v>
      </c>
      <c r="W29" s="115">
        <f>(E$29*'INP-Calc Hist Outage Rates'!$BU$23)/(1+'INP-Calc Hist Outage Rates'!$BT$23-'INP-Calc EFOR&amp;EUOR - 2019Plan'!E$29)/((E$29*'INP-Calc Hist Outage Rates'!$BU$23)/(1+'INP-Calc Hist Outage Rates'!$BT$23-'INP-Calc EFOR&amp;EUOR - 2019Plan'!E$29)+'INP-Calc Hist Outage Rates'!$BU$23)</f>
        <v>3.5113250760485597E-2</v>
      </c>
      <c r="X29" s="115">
        <f>(F$29*'INP-Calc Hist Outage Rates'!$BU$23)/(1+'INP-Calc Hist Outage Rates'!$BT$23-'INP-Calc EFOR&amp;EUOR - 2019Plan'!F$29)/((F$29*'INP-Calc Hist Outage Rates'!$BU$23)/(1+'INP-Calc Hist Outage Rates'!$BT$23-'INP-Calc EFOR&amp;EUOR - 2019Plan'!F$29)+'INP-Calc Hist Outage Rates'!$BU$23)</f>
        <v>3.5113250760485597E-2</v>
      </c>
      <c r="Y29" s="115">
        <f>(G$29*'INP-Calc Hist Outage Rates'!$BU$23)/(1+'INP-Calc Hist Outage Rates'!$BT$23-'INP-Calc EFOR&amp;EUOR - 2019Plan'!G$29)/((G$29*'INP-Calc Hist Outage Rates'!$BU$23)/(1+'INP-Calc Hist Outage Rates'!$BT$23-'INP-Calc EFOR&amp;EUOR - 2019Plan'!G$29)+'INP-Calc Hist Outage Rates'!$BU$23)</f>
        <v>3.5113250760485597E-2</v>
      </c>
      <c r="AA29" s="115">
        <f>'INP-Calc Hist Outage Rates'!$BT$23*(C$29*'INP-Calc Hist Outage Rates'!$BU$23)/(1+'INP-Calc Hist Outage Rates'!$BT$23-'INP-Calc EFOR&amp;EUOR - 2019Plan'!C$29)/'INP-Calc Hist Outage Rates'!$BU$23</f>
        <v>1.7501275929868318E-2</v>
      </c>
      <c r="AB29" s="115">
        <f>'INP-Calc Hist Outage Rates'!$BT$23*(D$29*'INP-Calc Hist Outage Rates'!$BU$23)/(1+'INP-Calc Hist Outage Rates'!$BT$23-'INP-Calc EFOR&amp;EUOR - 2019Plan'!D$29)/'INP-Calc Hist Outage Rates'!$BU$23</f>
        <v>1.7501275929868318E-2</v>
      </c>
      <c r="AC29" s="115">
        <f>'INP-Calc Hist Outage Rates'!$BT$23*(E$29*'INP-Calc Hist Outage Rates'!$BU$23)/(1+'INP-Calc Hist Outage Rates'!$BT$23-'INP-Calc EFOR&amp;EUOR - 2019Plan'!E$29)/'INP-Calc Hist Outage Rates'!$BU$23</f>
        <v>1.7501275929868318E-2</v>
      </c>
      <c r="AD29" s="115">
        <f>'INP-Calc Hist Outage Rates'!$BT$23*(F$29*'INP-Calc Hist Outage Rates'!$BU$23)/(1+'INP-Calc Hist Outage Rates'!$BT$23-'INP-Calc EFOR&amp;EUOR - 2019Plan'!F$29)/'INP-Calc Hist Outage Rates'!$BU$23</f>
        <v>1.7501275929868318E-2</v>
      </c>
      <c r="AE29" s="115">
        <f>'INP-Calc Hist Outage Rates'!$BT$23*(G$29*'INP-Calc Hist Outage Rates'!$BU$23)/(1+'INP-Calc Hist Outage Rates'!$BT$23-'INP-Calc EFOR&amp;EUOR - 2019Plan'!G$29)/'INP-Calc Hist Outage Rates'!$BU$23</f>
        <v>1.7501275929868318E-2</v>
      </c>
    </row>
    <row r="30" spans="1:31" x14ac:dyDescent="0.25">
      <c r="A30" s="54" t="s">
        <v>132</v>
      </c>
      <c r="B30" s="16">
        <f>SUM(B26:B29)</f>
        <v>1477</v>
      </c>
      <c r="C30" s="110">
        <f>(C26*$B26+C27*$B27+C28*$B28+C29*$B29)/$B30</f>
        <v>5.2000000000000005E-2</v>
      </c>
      <c r="D30" s="110">
        <f>(D26*$B26+D27*$B27+D28*$B28+D29*$B29)/$B30</f>
        <v>5.2000000000000005E-2</v>
      </c>
      <c r="E30" s="110">
        <f>(E26*$B26+E27*$B27+E28*$B28+E29*$B29)/$B30</f>
        <v>5.2000000000000005E-2</v>
      </c>
      <c r="F30" s="110">
        <f>(F26*$B26+F27*$B27+F28*$B28+F29*$B29)/$B30</f>
        <v>5.2000000000000005E-2</v>
      </c>
      <c r="G30" s="110">
        <f>(G26*$B26+G27*$B27+G28*$B28+G29*$B29)/$B30</f>
        <v>5.2000000000000005E-2</v>
      </c>
      <c r="H30" s="20"/>
      <c r="I30" s="110">
        <f t="shared" si="9"/>
        <v>7.400000000000001E-2</v>
      </c>
      <c r="J30" s="110">
        <f t="shared" si="10"/>
        <v>7.400000000000001E-2</v>
      </c>
      <c r="K30" s="110">
        <f t="shared" si="11"/>
        <v>7.400000000000001E-2</v>
      </c>
      <c r="L30" s="110">
        <f t="shared" si="12"/>
        <v>7.400000000000001E-2</v>
      </c>
      <c r="M30" s="110">
        <f t="shared" si="13"/>
        <v>7.400000000000001E-2</v>
      </c>
      <c r="N30" s="6"/>
      <c r="O30" s="110">
        <f>(O26*$B26+O27*$B27+O28*$B28+O29*$B29)/$B30</f>
        <v>2.1999999999999999E-2</v>
      </c>
      <c r="P30" s="110">
        <f>(P26*$B26+P27*$B27+P28*$B28+P29*$B29)/$B30</f>
        <v>2.1999999999999999E-2</v>
      </c>
      <c r="Q30" s="110">
        <f t="shared" ref="Q30:S30" si="32">(Q26*$B26+Q27*$B27+Q28*$B28+Q29*$B29)/$B30</f>
        <v>2.1999999999999999E-2</v>
      </c>
      <c r="R30" s="110">
        <f t="shared" si="32"/>
        <v>2.1999999999999999E-2</v>
      </c>
      <c r="S30" s="110">
        <f t="shared" si="32"/>
        <v>2.1999999999999999E-2</v>
      </c>
      <c r="U30" s="110">
        <f>($C$30*'INP-Calc Hist Outage Rates'!$BU$23)/(1+'INP-Calc Hist Outage Rates'!$BT$23-'INP-Calc EFOR&amp;EUOR - 2019Plan'!$C$30)/(($C$30*'INP-Calc Hist Outage Rates'!$BU$23)/(1+'INP-Calc Hist Outage Rates'!$BT$23-'INP-Calc EFOR&amp;EUOR - 2019Plan'!$C$30)+'INP-Calc Hist Outage Rates'!$BU$23)</f>
        <v>3.5113250760485597E-2</v>
      </c>
      <c r="V30" s="110">
        <f>($D$30*'INP-Calc Hist Outage Rates'!$BU$23)/(1+'INP-Calc Hist Outage Rates'!$BT$23-'INP-Calc EFOR&amp;EUOR - 2019Plan'!$D$30)/(($D$30*'INP-Calc Hist Outage Rates'!$BU$23)/(1+'INP-Calc Hist Outage Rates'!$BT$23-'INP-Calc EFOR&amp;EUOR - 2019Plan'!$D$30)+'INP-Calc Hist Outage Rates'!$BU$23)</f>
        <v>3.5113250760485597E-2</v>
      </c>
      <c r="W30" s="110">
        <f>($G$30*'INP-Calc Hist Outage Rates'!$BU$23)/(1+'INP-Calc Hist Outage Rates'!$BT$23-'INP-Calc EFOR&amp;EUOR - 2019Plan'!$G$30)/(($G$30*'INP-Calc Hist Outage Rates'!$BU$23)/(1+'INP-Calc Hist Outage Rates'!$BT$23-'INP-Calc EFOR&amp;EUOR - 2019Plan'!$G$30)+'INP-Calc Hist Outage Rates'!$BU$23)</f>
        <v>3.5113250760485597E-2</v>
      </c>
      <c r="X30" s="110">
        <f>($G$30*'INP-Calc Hist Outage Rates'!$BU$23)/(1+'INP-Calc Hist Outage Rates'!$BT$23-'INP-Calc EFOR&amp;EUOR - 2019Plan'!$G$30)/(($G$30*'INP-Calc Hist Outage Rates'!$BU$23)/(1+'INP-Calc Hist Outage Rates'!$BT$23-'INP-Calc EFOR&amp;EUOR - 2019Plan'!$G$30)+'INP-Calc Hist Outage Rates'!$BU$23)</f>
        <v>3.5113250760485597E-2</v>
      </c>
      <c r="Y30" s="110">
        <f>($G$30*'INP-Calc Hist Outage Rates'!$BU$23)/(1+'INP-Calc Hist Outage Rates'!$BT$23-'INP-Calc EFOR&amp;EUOR - 2019Plan'!$G$30)/(($G$30*'INP-Calc Hist Outage Rates'!$BU$23)/(1+'INP-Calc Hist Outage Rates'!$BT$23-'INP-Calc EFOR&amp;EUOR - 2019Plan'!$G$30)+'INP-Calc Hist Outage Rates'!$BU$23)</f>
        <v>3.5113250760485597E-2</v>
      </c>
      <c r="AA30" s="110">
        <f>'INP-Calc Hist Outage Rates'!$BT$23*($C$30*'INP-Calc Hist Outage Rates'!$BU$23)/(1+'INP-Calc Hist Outage Rates'!$BT$23-'INP-Calc EFOR&amp;EUOR - 2019Plan'!$C$30)/'INP-Calc Hist Outage Rates'!$BU$23</f>
        <v>1.7501275929868321E-2</v>
      </c>
      <c r="AB30" s="110">
        <f>'INP-Calc Hist Outage Rates'!$BT$23*($D$30*'INP-Calc Hist Outage Rates'!$BU$23)/(1+'INP-Calc Hist Outage Rates'!$BT$23-'INP-Calc EFOR&amp;EUOR - 2019Plan'!$D$30)/'INP-Calc Hist Outage Rates'!$BU$23</f>
        <v>1.7501275929868321E-2</v>
      </c>
      <c r="AC30" s="110">
        <f>'INP-Calc Hist Outage Rates'!$BT$23*($G$30*'INP-Calc Hist Outage Rates'!$BU$23)/(1+'INP-Calc Hist Outage Rates'!$BT$23-'INP-Calc EFOR&amp;EUOR - 2019Plan'!$G$30)/'INP-Calc Hist Outage Rates'!$BU$23</f>
        <v>1.7501275929868321E-2</v>
      </c>
      <c r="AD30" s="110">
        <f>'INP-Calc Hist Outage Rates'!$BT$23*($G$30*'INP-Calc Hist Outage Rates'!$BU$23)/(1+'INP-Calc Hist Outage Rates'!$BT$23-'INP-Calc EFOR&amp;EUOR - 2019Plan'!$G$30)/'INP-Calc Hist Outage Rates'!$BU$23</f>
        <v>1.7501275929868321E-2</v>
      </c>
      <c r="AE30" s="110">
        <f>'INP-Calc Hist Outage Rates'!$BT$23*($G$30*'INP-Calc Hist Outage Rates'!$BU$23)/(1+'INP-Calc Hist Outage Rates'!$BT$23-'INP-Calc EFOR&amp;EUOR - 2019Plan'!$G$30)/'INP-Calc Hist Outage Rates'!$BU$23</f>
        <v>1.7501275929868321E-2</v>
      </c>
    </row>
    <row r="31" spans="1:31" x14ac:dyDescent="0.25">
      <c r="A31" s="52"/>
      <c r="B31" s="6"/>
      <c r="C31" s="108"/>
      <c r="D31" s="108"/>
      <c r="E31" s="108"/>
      <c r="F31" s="108"/>
      <c r="G31" s="108"/>
      <c r="H31" s="20"/>
      <c r="I31" s="108"/>
      <c r="J31" s="108"/>
      <c r="K31" s="108"/>
      <c r="L31" s="108"/>
      <c r="M31" s="108"/>
      <c r="N31" s="6"/>
      <c r="O31" s="108"/>
      <c r="P31" s="108"/>
      <c r="Q31" s="108"/>
      <c r="R31" s="108"/>
      <c r="S31" s="108"/>
      <c r="U31" s="108"/>
      <c r="V31" s="114"/>
      <c r="W31" s="114"/>
      <c r="X31" s="114"/>
      <c r="Y31" s="114"/>
      <c r="AA31" s="108"/>
      <c r="AB31" s="114"/>
      <c r="AC31" s="114"/>
      <c r="AD31" s="114"/>
      <c r="AE31" s="114"/>
    </row>
    <row r="32" spans="1:31" x14ac:dyDescent="0.25">
      <c r="A32" s="52" t="s">
        <v>19</v>
      </c>
      <c r="B32" s="90">
        <f>VLOOKUP(A32,Lookup!$J$5:$M$19,4,0)</f>
        <v>493</v>
      </c>
      <c r="C32" s="108">
        <v>5.1999999999999998E-2</v>
      </c>
      <c r="D32" s="108">
        <f>C32</f>
        <v>5.1999999999999998E-2</v>
      </c>
      <c r="E32" s="108">
        <f>C32</f>
        <v>5.1999999999999998E-2</v>
      </c>
      <c r="F32" s="108">
        <f>C32</f>
        <v>5.1999999999999998E-2</v>
      </c>
      <c r="G32" s="108">
        <f>C32</f>
        <v>5.1999999999999998E-2</v>
      </c>
      <c r="H32" s="20"/>
      <c r="I32" s="108">
        <f t="shared" si="9"/>
        <v>7.3999999999999996E-2</v>
      </c>
      <c r="J32" s="108">
        <f t="shared" si="10"/>
        <v>7.3999999999999996E-2</v>
      </c>
      <c r="K32" s="108">
        <f t="shared" si="11"/>
        <v>7.3999999999999996E-2</v>
      </c>
      <c r="L32" s="108">
        <f t="shared" si="12"/>
        <v>7.3999999999999996E-2</v>
      </c>
      <c r="M32" s="108">
        <f t="shared" si="13"/>
        <v>7.3999999999999996E-2</v>
      </c>
      <c r="N32" s="6"/>
      <c r="O32" s="108">
        <v>2.1999999999999999E-2</v>
      </c>
      <c r="P32" s="108">
        <f>+O32</f>
        <v>2.1999999999999999E-2</v>
      </c>
      <c r="Q32" s="108">
        <f t="shared" ref="Q32:S32" si="33">+P32</f>
        <v>2.1999999999999999E-2</v>
      </c>
      <c r="R32" s="108">
        <f t="shared" si="33"/>
        <v>2.1999999999999999E-2</v>
      </c>
      <c r="S32" s="108">
        <f t="shared" si="33"/>
        <v>2.1999999999999999E-2</v>
      </c>
      <c r="U32" s="108">
        <f>(C$32*'INP-Calc Hist Outage Rates'!$BU$25)/(1+'INP-Calc Hist Outage Rates'!$BT$25-'INP-Calc EFOR&amp;EUOR - 2019Plan'!C$32)/((C$32*'INP-Calc Hist Outage Rates'!$BU$25)/(1+'INP-Calc Hist Outage Rates'!$BT$25-'INP-Calc EFOR&amp;EUOR - 2019Plan'!C$32)+'INP-Calc Hist Outage Rates'!$BU$25)</f>
        <v>4.1890628574978585E-2</v>
      </c>
      <c r="V32" s="108">
        <f>(D$32*'INP-Calc Hist Outage Rates'!$BU$25)/(1+'INP-Calc Hist Outage Rates'!$BT$25-'INP-Calc EFOR&amp;EUOR - 2019Plan'!D$32)/((D$32*'INP-Calc Hist Outage Rates'!$BU$25)/(1+'INP-Calc Hist Outage Rates'!$BT$25-'INP-Calc EFOR&amp;EUOR - 2019Plan'!D$32)+'INP-Calc Hist Outage Rates'!$BU$25)</f>
        <v>4.1890628574978585E-2</v>
      </c>
      <c r="W32" s="108">
        <f>(E$32*'INP-Calc Hist Outage Rates'!$BU$25)/(1+'INP-Calc Hist Outage Rates'!$BT$25-'INP-Calc EFOR&amp;EUOR - 2019Plan'!E$32)/((E$32*'INP-Calc Hist Outage Rates'!$BU$25)/(1+'INP-Calc Hist Outage Rates'!$BT$25-'INP-Calc EFOR&amp;EUOR - 2019Plan'!E$32)+'INP-Calc Hist Outage Rates'!$BU$25)</f>
        <v>4.1890628574978585E-2</v>
      </c>
      <c r="X32" s="108">
        <f>(F$32*'INP-Calc Hist Outage Rates'!$BU$25)/(1+'INP-Calc Hist Outage Rates'!$BT$25-'INP-Calc EFOR&amp;EUOR - 2019Plan'!F$32)/((F$32*'INP-Calc Hist Outage Rates'!$BU$25)/(1+'INP-Calc Hist Outage Rates'!$BT$25-'INP-Calc EFOR&amp;EUOR - 2019Plan'!F$32)+'INP-Calc Hist Outage Rates'!$BU$25)</f>
        <v>4.1890628574978585E-2</v>
      </c>
      <c r="Y32" s="108">
        <f>(G$32*'INP-Calc Hist Outage Rates'!$BU$25)/(1+'INP-Calc Hist Outage Rates'!$BT$25-'INP-Calc EFOR&amp;EUOR - 2019Plan'!G$32)/((G$32*'INP-Calc Hist Outage Rates'!$BU$25)/(1+'INP-Calc Hist Outage Rates'!$BT$25-'INP-Calc EFOR&amp;EUOR - 2019Plan'!G$32)+'INP-Calc Hist Outage Rates'!$BU$25)</f>
        <v>4.1890628574978585E-2</v>
      </c>
      <c r="AA32" s="108">
        <f>'INP-Calc Hist Outage Rates'!$BT$25*(C$32*'INP-Calc Hist Outage Rates'!$BU$25)/(1+'INP-Calc Hist Outage Rates'!$BT$25-'INP-Calc EFOR&amp;EUOR - 2019Plan'!C$32)/'INP-Calc Hist Outage Rates'!$BU$25</f>
        <v>1.0551375162926833E-2</v>
      </c>
      <c r="AB32" s="108">
        <f>'INP-Calc Hist Outage Rates'!$BT$25*(D$32*'INP-Calc Hist Outage Rates'!$BU$25)/(1+'INP-Calc Hist Outage Rates'!$BT$25-'INP-Calc EFOR&amp;EUOR - 2019Plan'!D$32)/'INP-Calc Hist Outage Rates'!$BU$25</f>
        <v>1.0551375162926833E-2</v>
      </c>
      <c r="AC32" s="108">
        <f>'INP-Calc Hist Outage Rates'!$BT$25*(E$32*'INP-Calc Hist Outage Rates'!$BU$25)/(1+'INP-Calc Hist Outage Rates'!$BT$25-'INP-Calc EFOR&amp;EUOR - 2019Plan'!E$32)/'INP-Calc Hist Outage Rates'!$BU$25</f>
        <v>1.0551375162926833E-2</v>
      </c>
      <c r="AD32" s="108">
        <f>'INP-Calc Hist Outage Rates'!$BT$25*(F$32*'INP-Calc Hist Outage Rates'!$BU$25)/(1+'INP-Calc Hist Outage Rates'!$BT$25-'INP-Calc EFOR&amp;EUOR - 2019Plan'!F$32)/'INP-Calc Hist Outage Rates'!$BU$25</f>
        <v>1.0551375162926833E-2</v>
      </c>
      <c r="AE32" s="108">
        <f>'INP-Calc Hist Outage Rates'!$BT$25*(G$32*'INP-Calc Hist Outage Rates'!$BU$25)/(1+'INP-Calc Hist Outage Rates'!$BT$25-'INP-Calc EFOR&amp;EUOR - 2019Plan'!G$32)/'INP-Calc Hist Outage Rates'!$BU$25</f>
        <v>1.0551375162926833E-2</v>
      </c>
    </row>
    <row r="33" spans="1:31" x14ac:dyDescent="0.25">
      <c r="A33" s="53" t="s">
        <v>69</v>
      </c>
      <c r="B33" s="90">
        <f>VLOOKUP(A33,Lookup!$J$5:$M$19,4,0)</f>
        <v>760</v>
      </c>
      <c r="C33" s="109">
        <v>9.2999999999999999E-2</v>
      </c>
      <c r="D33" s="109">
        <f>C33</f>
        <v>9.2999999999999999E-2</v>
      </c>
      <c r="E33" s="109">
        <f>C33</f>
        <v>9.2999999999999999E-2</v>
      </c>
      <c r="F33" s="109">
        <f>C33</f>
        <v>9.2999999999999999E-2</v>
      </c>
      <c r="G33" s="109">
        <f>C33</f>
        <v>9.2999999999999999E-2</v>
      </c>
      <c r="H33" s="20"/>
      <c r="I33" s="109">
        <f t="shared" si="9"/>
        <v>0.13100000000000001</v>
      </c>
      <c r="J33" s="109">
        <f t="shared" si="10"/>
        <v>0.13100000000000001</v>
      </c>
      <c r="K33" s="109">
        <f t="shared" si="11"/>
        <v>0.13100000000000001</v>
      </c>
      <c r="L33" s="109">
        <f t="shared" si="12"/>
        <v>0.13100000000000001</v>
      </c>
      <c r="M33" s="109">
        <f t="shared" si="13"/>
        <v>0.13100000000000001</v>
      </c>
      <c r="N33" s="19"/>
      <c r="O33" s="109">
        <v>3.7999999999999999E-2</v>
      </c>
      <c r="P33" s="109">
        <f>+O33</f>
        <v>3.7999999999999999E-2</v>
      </c>
      <c r="Q33" s="109">
        <f t="shared" ref="Q33:S33" si="34">+P33</f>
        <v>3.7999999999999999E-2</v>
      </c>
      <c r="R33" s="109">
        <f t="shared" si="34"/>
        <v>3.7999999999999999E-2</v>
      </c>
      <c r="S33" s="109">
        <f t="shared" si="34"/>
        <v>3.7999999999999999E-2</v>
      </c>
      <c r="U33" s="108">
        <f>(C$33*'INP-Calc Hist Outage Rates'!$BU$26)/(1+'INP-Calc Hist Outage Rates'!$BT$26-'INP-Calc EFOR&amp;EUOR - 2019Plan'!C$33)/((C$33*'INP-Calc Hist Outage Rates'!$BU$26)/(1+'INP-Calc Hist Outage Rates'!$BT$26-'INP-Calc EFOR&amp;EUOR - 2019Plan'!C$33)+'INP-Calc Hist Outage Rates'!$BU$26)</f>
        <v>8.1405616678187923E-2</v>
      </c>
      <c r="V33" s="108">
        <f>(D$33*'INP-Calc Hist Outage Rates'!$BU$26)/(1+'INP-Calc Hist Outage Rates'!$BT$26-'INP-Calc EFOR&amp;EUOR - 2019Plan'!D$33)/((D$33*'INP-Calc Hist Outage Rates'!$BU$26)/(1+'INP-Calc Hist Outage Rates'!$BT$26-'INP-Calc EFOR&amp;EUOR - 2019Plan'!D$33)+'INP-Calc Hist Outage Rates'!$BU$26)</f>
        <v>8.1405616678187923E-2</v>
      </c>
      <c r="W33" s="108">
        <f>(E$33*'INP-Calc Hist Outage Rates'!$BU$26)/(1+'INP-Calc Hist Outage Rates'!$BT$26-'INP-Calc EFOR&amp;EUOR - 2019Plan'!E$33)/((E$33*'INP-Calc Hist Outage Rates'!$BU$26)/(1+'INP-Calc Hist Outage Rates'!$BT$26-'INP-Calc EFOR&amp;EUOR - 2019Plan'!E$33)+'INP-Calc Hist Outage Rates'!$BU$26)</f>
        <v>8.1405616678187923E-2</v>
      </c>
      <c r="X33" s="108">
        <f>(F$33*'INP-Calc Hist Outage Rates'!$BU$26)/(1+'INP-Calc Hist Outage Rates'!$BT$26-'INP-Calc EFOR&amp;EUOR - 2019Plan'!F$33)/((F$33*'INP-Calc Hist Outage Rates'!$BU$26)/(1+'INP-Calc Hist Outage Rates'!$BT$26-'INP-Calc EFOR&amp;EUOR - 2019Plan'!F$33)+'INP-Calc Hist Outage Rates'!$BU$26)</f>
        <v>8.1405616678187923E-2</v>
      </c>
      <c r="Y33" s="108">
        <f>(G$33*'INP-Calc Hist Outage Rates'!$BU$26)/(1+'INP-Calc Hist Outage Rates'!$BT$26-'INP-Calc EFOR&amp;EUOR - 2019Plan'!G$33)/((G$33*'INP-Calc Hist Outage Rates'!$BU$26)/(1+'INP-Calc Hist Outage Rates'!$BT$26-'INP-Calc EFOR&amp;EUOR - 2019Plan'!G$33)+'INP-Calc Hist Outage Rates'!$BU$26)</f>
        <v>8.1405616678187923E-2</v>
      </c>
      <c r="AA33" s="108">
        <f>'INP-Calc Hist Outage Rates'!$BT$26*(C$33*'INP-Calc Hist Outage Rates'!$BU$26)/(1+'INP-Calc Hist Outage Rates'!$BT$26-'INP-Calc EFOR&amp;EUOR - 2019Plan'!C$33)/'INP-Calc Hist Outage Rates'!$BU$26</f>
        <v>1.2621874825627145E-2</v>
      </c>
      <c r="AB33" s="108">
        <f>'INP-Calc Hist Outage Rates'!$BT$26*(D$33*'INP-Calc Hist Outage Rates'!$BU$26)/(1+'INP-Calc Hist Outage Rates'!$BT$26-'INP-Calc EFOR&amp;EUOR - 2019Plan'!D$33)/'INP-Calc Hist Outage Rates'!$BU$26</f>
        <v>1.2621874825627145E-2</v>
      </c>
      <c r="AC33" s="108">
        <f>'INP-Calc Hist Outage Rates'!$BT$26*(E$33*'INP-Calc Hist Outage Rates'!$BU$26)/(1+'INP-Calc Hist Outage Rates'!$BT$26-'INP-Calc EFOR&amp;EUOR - 2019Plan'!E$33)/'INP-Calc Hist Outage Rates'!$BU$26</f>
        <v>1.2621874825627145E-2</v>
      </c>
      <c r="AD33" s="108">
        <f>'INP-Calc Hist Outage Rates'!$BT$26*(F$33*'INP-Calc Hist Outage Rates'!$BU$26)/(1+'INP-Calc Hist Outage Rates'!$BT$26-'INP-Calc EFOR&amp;EUOR - 2019Plan'!F$33)/'INP-Calc Hist Outage Rates'!$BU$26</f>
        <v>1.2621874825627145E-2</v>
      </c>
      <c r="AE33" s="108">
        <f>'INP-Calc Hist Outage Rates'!$BT$26*(G$33*'INP-Calc Hist Outage Rates'!$BU$26)/(1+'INP-Calc Hist Outage Rates'!$BT$26-'INP-Calc EFOR&amp;EUOR - 2019Plan'!G$33)/'INP-Calc Hist Outage Rates'!$BU$26</f>
        <v>1.2621874825627145E-2</v>
      </c>
    </row>
    <row r="34" spans="1:31" x14ac:dyDescent="0.25">
      <c r="A34" s="54" t="s">
        <v>133</v>
      </c>
      <c r="B34" s="16">
        <f>SUM(B32:B33)</f>
        <v>1253</v>
      </c>
      <c r="C34" s="110">
        <f>(C32*$B32+C33*$B33)/$B34</f>
        <v>7.6868316041500392E-2</v>
      </c>
      <c r="D34" s="110">
        <f>(D32*$B32+D33*$B33)/$B34</f>
        <v>7.6868316041500392E-2</v>
      </c>
      <c r="E34" s="110">
        <f>(E32*$B32+E33*$B33)/$B34</f>
        <v>7.6868316041500392E-2</v>
      </c>
      <c r="F34" s="110">
        <f>(F32*$B32+F33*$B33)/$B34</f>
        <v>7.6868316041500392E-2</v>
      </c>
      <c r="G34" s="110">
        <f>(G32*$B32+G33*$B33)/$B34</f>
        <v>7.6868316041500392E-2</v>
      </c>
      <c r="H34" s="20"/>
      <c r="I34" s="110">
        <f t="shared" si="9"/>
        <v>0.1085730247406225</v>
      </c>
      <c r="J34" s="110">
        <f t="shared" si="10"/>
        <v>0.1085730247406225</v>
      </c>
      <c r="K34" s="110">
        <f t="shared" si="11"/>
        <v>0.1085730247406225</v>
      </c>
      <c r="L34" s="110">
        <f t="shared" si="12"/>
        <v>0.1085730247406225</v>
      </c>
      <c r="M34" s="110">
        <f t="shared" si="13"/>
        <v>0.1085730247406225</v>
      </c>
      <c r="N34" s="19"/>
      <c r="O34" s="110">
        <f>(O32*$B32+O33*$B33)/$B34</f>
        <v>3.1704708699122106E-2</v>
      </c>
      <c r="P34" s="110">
        <f>(P32*$B32+P33*$B33)/$B34</f>
        <v>3.1704708699122106E-2</v>
      </c>
      <c r="Q34" s="110">
        <f t="shared" ref="Q34:S34" si="35">(Q32*$B32+Q33*$B33)/$B34</f>
        <v>3.1704708699122106E-2</v>
      </c>
      <c r="R34" s="110">
        <f t="shared" si="35"/>
        <v>3.1704708699122106E-2</v>
      </c>
      <c r="S34" s="110">
        <f t="shared" si="35"/>
        <v>3.1704708699122106E-2</v>
      </c>
      <c r="U34" s="110">
        <f>(C$34*'INP-Calc Hist Outage Rates'!$BU$27)/(1+'INP-Calc Hist Outage Rates'!$BT$27-'INP-Calc EFOR&amp;EUOR - 2019Plan'!C$34)/((C$34*'INP-Calc Hist Outage Rates'!$BU$27)/(1+'INP-Calc Hist Outage Rates'!$BT$27-'INP-Calc EFOR&amp;EUOR - 2019Plan'!C$34)+'INP-Calc Hist Outage Rates'!$BU$27)</f>
        <v>6.6205551311476665E-2</v>
      </c>
      <c r="V34" s="110">
        <f>(D$34*'INP-Calc Hist Outage Rates'!$BU$27)/(1+'INP-Calc Hist Outage Rates'!$BT$27-'INP-Calc EFOR&amp;EUOR - 2019Plan'!D$34)/((D$34*'INP-Calc Hist Outage Rates'!$BU$27)/(1+'INP-Calc Hist Outage Rates'!$BT$27-'INP-Calc EFOR&amp;EUOR - 2019Plan'!D$34)+'INP-Calc Hist Outage Rates'!$BU$27)</f>
        <v>6.6205551311476665E-2</v>
      </c>
      <c r="W34" s="110">
        <f>(E$34*'INP-Calc Hist Outage Rates'!$BU$27)/(1+'INP-Calc Hist Outage Rates'!$BT$27-'INP-Calc EFOR&amp;EUOR - 2019Plan'!E$34)/((E$34*'INP-Calc Hist Outage Rates'!$BU$27)/(1+'INP-Calc Hist Outage Rates'!$BT$27-'INP-Calc EFOR&amp;EUOR - 2019Plan'!E$34)+'INP-Calc Hist Outage Rates'!$BU$27)</f>
        <v>6.6205551311476665E-2</v>
      </c>
      <c r="X34" s="110">
        <f>(F$34*'INP-Calc Hist Outage Rates'!$BU$27)/(1+'INP-Calc Hist Outage Rates'!$BT$27-'INP-Calc EFOR&amp;EUOR - 2019Plan'!F$34)/((F$34*'INP-Calc Hist Outage Rates'!$BU$27)/(1+'INP-Calc Hist Outage Rates'!$BT$27-'INP-Calc EFOR&amp;EUOR - 2019Plan'!F$34)+'INP-Calc Hist Outage Rates'!$BU$27)</f>
        <v>6.6205551311476665E-2</v>
      </c>
      <c r="Y34" s="110">
        <f>(G$34*'INP-Calc Hist Outage Rates'!$BU$27)/(1+'INP-Calc Hist Outage Rates'!$BT$27-'INP-Calc EFOR&amp;EUOR - 2019Plan'!G$34)/((G$34*'INP-Calc Hist Outage Rates'!$BU$27)/(1+'INP-Calc Hist Outage Rates'!$BT$27-'INP-Calc EFOR&amp;EUOR - 2019Plan'!G$34)+'INP-Calc Hist Outage Rates'!$BU$27)</f>
        <v>6.6205551311476665E-2</v>
      </c>
      <c r="AA34" s="110">
        <f>'INP-Calc Hist Outage Rates'!$BT$27*(C$34*'INP-Calc Hist Outage Rates'!$BU$27)/(1+'INP-Calc Hist Outage Rates'!$BT$27-'INP-Calc EFOR&amp;EUOR - 2019Plan'!C$34)/'INP-Calc Hist Outage Rates'!$BU$27</f>
        <v>1.141874932432845E-2</v>
      </c>
      <c r="AB34" s="110">
        <f>'INP-Calc Hist Outage Rates'!$BT$27*(D$34*'INP-Calc Hist Outage Rates'!$BU$27)/(1+'INP-Calc Hist Outage Rates'!$BT$27-'INP-Calc EFOR&amp;EUOR - 2019Plan'!D$34)/'INP-Calc Hist Outage Rates'!$BU$27</f>
        <v>1.141874932432845E-2</v>
      </c>
      <c r="AC34" s="110">
        <f>'INP-Calc Hist Outage Rates'!$BT$27*(E$34*'INP-Calc Hist Outage Rates'!$BU$27)/(1+'INP-Calc Hist Outage Rates'!$BT$27-'INP-Calc EFOR&amp;EUOR - 2019Plan'!E$34)/'INP-Calc Hist Outage Rates'!$BU$27</f>
        <v>1.141874932432845E-2</v>
      </c>
      <c r="AD34" s="110">
        <f>'INP-Calc Hist Outage Rates'!$BT$27*(F$34*'INP-Calc Hist Outage Rates'!$BU$27)/(1+'INP-Calc Hist Outage Rates'!$BT$27-'INP-Calc EFOR&amp;EUOR - 2019Plan'!F$34)/'INP-Calc Hist Outage Rates'!$BU$27</f>
        <v>1.141874932432845E-2</v>
      </c>
      <c r="AE34" s="110">
        <f>'INP-Calc Hist Outage Rates'!$BT$27*(G$34*'INP-Calc Hist Outage Rates'!$BU$27)/(1+'INP-Calc Hist Outage Rates'!$BT$27-'INP-Calc EFOR&amp;EUOR - 2019Plan'!G$34)/'INP-Calc Hist Outage Rates'!$BU$27</f>
        <v>1.141874932432845E-2</v>
      </c>
    </row>
    <row r="35" spans="1:31" ht="15.75" thickBot="1" x14ac:dyDescent="0.3">
      <c r="A35" s="52"/>
      <c r="B35" s="6"/>
      <c r="C35" s="108"/>
      <c r="D35" s="108"/>
      <c r="E35" s="108"/>
      <c r="F35" s="108"/>
      <c r="G35" s="108"/>
      <c r="H35" s="20"/>
      <c r="I35" s="108"/>
      <c r="J35" s="108"/>
      <c r="K35" s="108"/>
      <c r="L35" s="108"/>
      <c r="M35" s="108"/>
      <c r="N35" s="182"/>
      <c r="O35" s="108"/>
      <c r="P35" s="108"/>
      <c r="Q35" s="108"/>
      <c r="R35" s="108"/>
      <c r="S35" s="108"/>
      <c r="U35" s="114"/>
      <c r="V35" s="114"/>
      <c r="W35" s="114"/>
      <c r="X35" s="114"/>
      <c r="Y35" s="114"/>
      <c r="AA35" s="114"/>
      <c r="AB35" s="114"/>
      <c r="AC35" s="114"/>
      <c r="AD35" s="114"/>
      <c r="AE35" s="114"/>
    </row>
    <row r="36" spans="1:31" ht="16.5" thickBot="1" x14ac:dyDescent="0.3">
      <c r="A36" s="55" t="s">
        <v>134</v>
      </c>
      <c r="B36" s="86">
        <f>B14+B20+B24+B30+B34</f>
        <v>5511</v>
      </c>
      <c r="C36" s="112">
        <f>(C14*$B$14+C20*$B$20+C24*$B$24+C30*$B$30+C34*$B$34)/$B$36</f>
        <v>5.9075666848121933E-2</v>
      </c>
      <c r="D36" s="112">
        <f t="shared" ref="D36:G36" si="36">(D14*$B$14+D20*$B$20+D24*$B$24+D30*$B$30+D34*$B$34)/$B$36</f>
        <v>5.9167664670658676E-2</v>
      </c>
      <c r="E36" s="112">
        <f t="shared" si="36"/>
        <v>5.9259662493195427E-2</v>
      </c>
      <c r="F36" s="112">
        <f t="shared" si="36"/>
        <v>5.935166031573217E-2</v>
      </c>
      <c r="G36" s="112">
        <f t="shared" si="36"/>
        <v>5.9443658138268914E-2</v>
      </c>
      <c r="H36" s="20"/>
      <c r="I36" s="111">
        <f>(I14*$B$14+I20*$B$20+I24*$B$24+I30*$B$30+I34*$B$34)/$B$36</f>
        <v>8.4337869715115241E-2</v>
      </c>
      <c r="J36" s="111">
        <f t="shared" ref="J36:M36" si="37">(J14*$B$14+J20*$B$20+J24*$B$24+J30*$B$30+J34*$B$34)/$B$36</f>
        <v>8.442986753765197E-2</v>
      </c>
      <c r="K36" s="111">
        <f t="shared" si="37"/>
        <v>8.4521865360188728E-2</v>
      </c>
      <c r="L36" s="111">
        <f t="shared" si="37"/>
        <v>8.4613863182725457E-2</v>
      </c>
      <c r="M36" s="111">
        <f t="shared" si="37"/>
        <v>8.4705861005262201E-2</v>
      </c>
      <c r="N36" s="6"/>
      <c r="O36" s="111">
        <f>I36-C36</f>
        <v>2.5262202866993308E-2</v>
      </c>
      <c r="P36" s="112">
        <f>J36-D36</f>
        <v>2.5262202866993294E-2</v>
      </c>
      <c r="Q36" s="113">
        <f>K36-E36</f>
        <v>2.5262202866993301E-2</v>
      </c>
      <c r="R36" s="113">
        <f>L36-F36</f>
        <v>2.5262202866993287E-2</v>
      </c>
      <c r="S36" s="113">
        <f>M36-G36</f>
        <v>2.5262202866993287E-2</v>
      </c>
      <c r="U36" s="111">
        <f>(C$36*'INP-Calc Hist Outage Rates'!$BU$28)/(1+'INP-Calc Hist Outage Rates'!$BT$28-'INP-Calc EFOR&amp;EUOR - 2019Plan'!C$36)/((C$36*'INP-Calc Hist Outage Rates'!$BU$28)/(1+'INP-Calc Hist Outage Rates'!$BT$28-'INP-Calc EFOR&amp;EUOR - 2019Plan'!C$36)+'INP-Calc Hist Outage Rates'!$BU$28)</f>
        <v>4.4010028485027705E-2</v>
      </c>
      <c r="V36" s="111">
        <f>(D$36*'INP-Calc Hist Outage Rates'!$BU$28)/(1+'INP-Calc Hist Outage Rates'!$BT$28-'INP-Calc EFOR&amp;EUOR - 2019Plan'!D$36)/((D$36*'INP-Calc Hist Outage Rates'!$BU$28)/(1+'INP-Calc Hist Outage Rates'!$BT$28-'INP-Calc EFOR&amp;EUOR - 2019Plan'!D$36)+'INP-Calc Hist Outage Rates'!$BU$28)</f>
        <v>4.4078564770886522E-2</v>
      </c>
      <c r="W36" s="111">
        <f>(E$36*'INP-Calc Hist Outage Rates'!$BU$28)/(1+'INP-Calc Hist Outage Rates'!$BT$28-'INP-Calc EFOR&amp;EUOR - 2019Plan'!E$36)/((E$36*'INP-Calc Hist Outage Rates'!$BU$28)/(1+'INP-Calc Hist Outage Rates'!$BT$28-'INP-Calc EFOR&amp;EUOR - 2019Plan'!E$36)+'INP-Calc Hist Outage Rates'!$BU$28)</f>
        <v>4.4147101056745325E-2</v>
      </c>
      <c r="X36" s="111">
        <f>(F$36*'INP-Calc Hist Outage Rates'!$BU$28)/(1+'INP-Calc Hist Outage Rates'!$BT$28-'INP-Calc EFOR&amp;EUOR - 2019Plan'!F$36)/((F$36*'INP-Calc Hist Outage Rates'!$BU$28)/(1+'INP-Calc Hist Outage Rates'!$BT$28-'INP-Calc EFOR&amp;EUOR - 2019Plan'!F$36)+'INP-Calc Hist Outage Rates'!$BU$28)</f>
        <v>4.4215637342604142E-2</v>
      </c>
      <c r="Y36" s="111">
        <f>(G$36*'INP-Calc Hist Outage Rates'!$BU$28)/(1+'INP-Calc Hist Outage Rates'!$BT$28-'INP-Calc EFOR&amp;EUOR - 2019Plan'!G$36)/((G$36*'INP-Calc Hist Outage Rates'!$BU$28)/(1+'INP-Calc Hist Outage Rates'!$BT$28-'INP-Calc EFOR&amp;EUOR - 2019Plan'!G$36)+'INP-Calc Hist Outage Rates'!$BU$28)</f>
        <v>4.4284173628462944E-2</v>
      </c>
      <c r="AA36" s="111">
        <f>'INP-Calc Hist Outage Rates'!$BT$28*(C$36*'INP-Calc Hist Outage Rates'!$BU$28)/(1+'INP-Calc Hist Outage Rates'!$BT$28-'INP-Calc EFOR&amp;EUOR - 2019Plan'!C$36)/'INP-Calc Hist Outage Rates'!$BU$28</f>
        <v>1.5759201259422706E-2</v>
      </c>
      <c r="AB36" s="111">
        <f>'INP-Calc Hist Outage Rates'!$BT$28*(D$36*'INP-Calc Hist Outage Rates'!$BU$28)/(1+'INP-Calc Hist Outage Rates'!$BT$28-'INP-Calc EFOR&amp;EUOR - 2019Plan'!D$36)/'INP-Calc Hist Outage Rates'!$BU$28</f>
        <v>1.5784874513411904E-2</v>
      </c>
      <c r="AC36" s="111">
        <f>'INP-Calc Hist Outage Rates'!$BT$28*(E$36*'INP-Calc Hist Outage Rates'!$BU$28)/(1+'INP-Calc Hist Outage Rates'!$BT$28-'INP-Calc EFOR&amp;EUOR - 2019Plan'!E$36)/'INP-Calc Hist Outage Rates'!$BU$28</f>
        <v>1.5810551449033448E-2</v>
      </c>
      <c r="AD36" s="111">
        <f>'INP-Calc Hist Outage Rates'!$BT$28*(F$36*'INP-Calc Hist Outage Rates'!$BU$28)/(1+'INP-Calc Hist Outage Rates'!$BT$28-'INP-Calc EFOR&amp;EUOR - 2019Plan'!F$36)/'INP-Calc Hist Outage Rates'!$BU$28</f>
        <v>1.583623206707933E-2</v>
      </c>
      <c r="AE36" s="111">
        <f>'INP-Calc Hist Outage Rates'!$BT$28*(G$36*'INP-Calc Hist Outage Rates'!$BU$28)/(1+'INP-Calc Hist Outage Rates'!$BT$28-'INP-Calc EFOR&amp;EUOR - 2019Plan'!G$36)/'INP-Calc Hist Outage Rates'!$BU$28</f>
        <v>1.586191636834177E-2</v>
      </c>
    </row>
    <row r="37" spans="1:31" x14ac:dyDescent="0.25">
      <c r="A37" s="7"/>
      <c r="B37" s="4"/>
      <c r="C37" s="183"/>
      <c r="D37" s="184"/>
      <c r="E37" s="183"/>
      <c r="F37" s="183"/>
      <c r="G37" s="183">
        <f>(G14*$B$14+G20*$B$20+G30*$B$30+G34*$B$34)/SUM(B14,B20,B30,B34)</f>
        <v>5.8476974915761877E-2</v>
      </c>
      <c r="H37" s="10"/>
      <c r="I37" s="9"/>
      <c r="J37" s="9"/>
      <c r="K37" s="9"/>
      <c r="L37" s="9"/>
      <c r="M37" s="9"/>
      <c r="N37" s="9"/>
    </row>
    <row r="38" spans="1:31" x14ac:dyDescent="0.25">
      <c r="A38" s="7"/>
      <c r="B38" s="150"/>
      <c r="C38" s="85"/>
      <c r="D38" s="85"/>
      <c r="E38" s="85"/>
      <c r="F38" s="85"/>
      <c r="G38" s="85"/>
      <c r="H38" s="182"/>
      <c r="I38" s="85"/>
      <c r="J38" s="85"/>
      <c r="K38" s="85"/>
      <c r="L38" s="85"/>
      <c r="M38" s="85"/>
      <c r="N38" s="52"/>
      <c r="O38" s="170"/>
      <c r="P38" s="170"/>
      <c r="Q38" s="170"/>
      <c r="R38" s="170"/>
      <c r="S38" s="170"/>
    </row>
    <row r="39" spans="1:31" x14ac:dyDescent="0.25">
      <c r="A39" s="7"/>
      <c r="B39" s="15"/>
      <c r="C39" s="15"/>
      <c r="D39" s="15"/>
      <c r="E39" s="15"/>
      <c r="F39" s="15"/>
      <c r="G39" s="182"/>
      <c r="H39" s="182"/>
      <c r="I39" s="182"/>
      <c r="J39" s="182"/>
      <c r="K39" s="182"/>
      <c r="L39" s="182"/>
      <c r="M39" s="182"/>
      <c r="N39" s="52"/>
      <c r="O39" s="170"/>
      <c r="P39" s="170"/>
      <c r="Q39" s="170"/>
      <c r="R39" s="170"/>
      <c r="S39" s="170"/>
    </row>
    <row r="40" spans="1:31" x14ac:dyDescent="0.25">
      <c r="A40" s="7"/>
      <c r="B40" s="150"/>
      <c r="C40" s="150"/>
      <c r="D40" s="150"/>
      <c r="E40" s="150"/>
      <c r="F40" s="150"/>
      <c r="G40" s="150"/>
      <c r="H40" s="9"/>
      <c r="I40" s="151"/>
      <c r="J40" s="151"/>
      <c r="K40" s="151"/>
      <c r="L40" s="151"/>
      <c r="M40" s="151"/>
      <c r="N40" s="53"/>
      <c r="O40" s="170"/>
      <c r="P40" s="170"/>
      <c r="Q40" s="170"/>
      <c r="R40" s="170"/>
      <c r="S40" s="170"/>
    </row>
    <row r="41" spans="1:31" x14ac:dyDescent="0.25">
      <c r="A41" s="7"/>
      <c r="B41" s="15"/>
      <c r="C41" s="198"/>
      <c r="D41" s="198"/>
      <c r="E41" s="151"/>
      <c r="F41" s="151"/>
      <c r="G41" s="15"/>
      <c r="H41" s="182"/>
      <c r="I41" s="9"/>
      <c r="J41" s="18"/>
      <c r="K41" s="18"/>
      <c r="L41" s="18"/>
      <c r="M41" s="18"/>
      <c r="N41" s="52"/>
      <c r="O41" s="170"/>
      <c r="P41" s="170"/>
      <c r="Q41" s="170"/>
      <c r="R41" s="170"/>
      <c r="S41" s="170"/>
    </row>
    <row r="42" spans="1:31" x14ac:dyDescent="0.25">
      <c r="A42" s="7"/>
      <c r="B42" s="185"/>
      <c r="C42" s="197"/>
      <c r="D42" s="197"/>
      <c r="E42" s="150"/>
      <c r="F42" s="150"/>
      <c r="G42" s="185"/>
      <c r="H42" s="182"/>
      <c r="I42" s="16"/>
      <c r="J42" s="16"/>
      <c r="K42" s="16"/>
      <c r="L42" s="16"/>
      <c r="M42" s="16"/>
      <c r="N42" s="52"/>
      <c r="O42" s="170"/>
      <c r="P42" s="170"/>
      <c r="Q42" s="170"/>
      <c r="R42" s="170"/>
      <c r="S42" s="170"/>
    </row>
    <row r="43" spans="1:31" x14ac:dyDescent="0.25">
      <c r="A43" s="7"/>
      <c r="B43" s="15"/>
      <c r="C43" s="15"/>
      <c r="D43" s="15"/>
      <c r="E43" s="15"/>
      <c r="F43" s="15"/>
      <c r="G43" s="15"/>
      <c r="H43" s="182"/>
      <c r="I43" s="182"/>
      <c r="J43" s="182"/>
      <c r="K43" s="182"/>
      <c r="L43" s="182"/>
      <c r="M43" s="182"/>
      <c r="N43" s="53"/>
      <c r="O43" s="170"/>
      <c r="P43" s="170"/>
      <c r="Q43" s="170"/>
      <c r="R43" s="170"/>
      <c r="S43" s="170"/>
    </row>
    <row r="44" spans="1:31" x14ac:dyDescent="0.25">
      <c r="A44" s="7"/>
      <c r="B44" s="182"/>
      <c r="C44" s="182"/>
      <c r="D44" s="182"/>
      <c r="E44" s="182"/>
      <c r="F44" s="182"/>
      <c r="G44" s="182"/>
      <c r="H44" s="182"/>
      <c r="I44" s="9"/>
      <c r="J44" s="9"/>
      <c r="K44" s="9"/>
      <c r="L44" s="9"/>
      <c r="M44" s="9"/>
      <c r="N44" s="52"/>
      <c r="O44" s="170"/>
      <c r="P44" s="170"/>
      <c r="Q44" s="170"/>
      <c r="R44" s="170"/>
      <c r="S44" s="170"/>
    </row>
    <row r="45" spans="1:31" x14ac:dyDescent="0.25">
      <c r="A45" s="7"/>
      <c r="B45" s="150"/>
      <c r="C45" s="150"/>
      <c r="D45" s="150"/>
      <c r="E45" s="150"/>
      <c r="F45" s="150"/>
      <c r="G45" s="150"/>
      <c r="H45" s="9"/>
      <c r="I45" s="16"/>
      <c r="J45" s="16"/>
      <c r="K45" s="16"/>
      <c r="L45" s="16"/>
      <c r="M45" s="16"/>
      <c r="N45" s="52"/>
      <c r="O45" s="170"/>
      <c r="P45" s="170"/>
      <c r="Q45" s="170"/>
      <c r="R45" s="170"/>
      <c r="S45" s="170"/>
    </row>
    <row r="46" spans="1:31" x14ac:dyDescent="0.25">
      <c r="A46" s="182"/>
      <c r="B46" s="15"/>
      <c r="C46" s="15"/>
      <c r="D46" s="15"/>
      <c r="E46" s="15"/>
      <c r="F46" s="15"/>
      <c r="G46" s="15"/>
      <c r="H46" s="182"/>
      <c r="I46" s="182"/>
      <c r="J46" s="182"/>
      <c r="K46" s="182"/>
      <c r="L46" s="182"/>
      <c r="M46" s="182"/>
      <c r="N46" s="52"/>
      <c r="O46" s="170"/>
      <c r="P46" s="170"/>
      <c r="Q46" s="170"/>
      <c r="R46" s="170"/>
      <c r="S46" s="170"/>
    </row>
    <row r="47" spans="1:31" x14ac:dyDescent="0.25">
      <c r="A47" s="182"/>
      <c r="B47" s="185"/>
      <c r="C47" s="185"/>
      <c r="D47" s="185"/>
      <c r="E47" s="185"/>
      <c r="F47" s="185"/>
      <c r="G47" s="185"/>
      <c r="H47" s="182"/>
      <c r="I47" s="182"/>
      <c r="J47" s="182"/>
      <c r="K47" s="182"/>
      <c r="L47" s="182"/>
      <c r="M47" s="182"/>
      <c r="N47" s="53"/>
      <c r="O47" s="170"/>
      <c r="P47" s="170"/>
      <c r="Q47" s="170"/>
      <c r="R47" s="170"/>
      <c r="S47" s="170"/>
    </row>
    <row r="48" spans="1:31" ht="15.75" x14ac:dyDescent="0.25">
      <c r="A48" s="182"/>
      <c r="B48" s="182"/>
      <c r="C48" s="182"/>
      <c r="D48" s="182"/>
      <c r="E48" s="182"/>
      <c r="F48" s="182"/>
      <c r="G48" s="182"/>
      <c r="H48" s="182"/>
      <c r="I48" s="17"/>
      <c r="J48" s="17"/>
      <c r="K48" s="17"/>
      <c r="L48" s="17"/>
      <c r="M48" s="17"/>
      <c r="N48" s="52"/>
      <c r="O48" s="170"/>
      <c r="P48" s="170"/>
      <c r="Q48" s="170"/>
      <c r="R48" s="170"/>
      <c r="S48" s="170"/>
    </row>
    <row r="49" spans="1:19" x14ac:dyDescent="0.25">
      <c r="A49" s="182"/>
      <c r="B49" s="182"/>
      <c r="C49" s="182"/>
      <c r="D49" s="182"/>
      <c r="E49" s="182"/>
      <c r="F49" s="182"/>
      <c r="G49" s="182"/>
      <c r="H49" s="182"/>
      <c r="I49" s="10"/>
      <c r="J49" s="10"/>
      <c r="K49" s="10"/>
      <c r="L49" s="10"/>
      <c r="M49" s="10"/>
      <c r="N49" s="53"/>
      <c r="O49" s="170"/>
      <c r="P49" s="170"/>
      <c r="Q49" s="170"/>
      <c r="R49" s="170"/>
      <c r="S49" s="170"/>
    </row>
    <row r="50" spans="1:19" x14ac:dyDescent="0.25">
      <c r="N50" s="52"/>
      <c r="O50" s="170"/>
      <c r="P50" s="170"/>
      <c r="Q50" s="170"/>
      <c r="R50" s="170"/>
      <c r="S50" s="170"/>
    </row>
    <row r="51" spans="1:19" x14ac:dyDescent="0.25">
      <c r="N51" s="52"/>
      <c r="O51" s="170"/>
      <c r="P51" s="170"/>
      <c r="Q51" s="170"/>
      <c r="R51" s="170"/>
      <c r="S51" s="170"/>
    </row>
    <row r="52" spans="1:19" x14ac:dyDescent="0.25">
      <c r="A52" s="182"/>
      <c r="B52" s="182"/>
      <c r="C52" s="182"/>
      <c r="D52" s="182"/>
      <c r="E52" s="182"/>
      <c r="F52" s="182"/>
      <c r="G52" s="182"/>
      <c r="H52" s="182"/>
      <c r="I52" s="9"/>
      <c r="J52" s="9"/>
      <c r="K52" s="9"/>
      <c r="L52" s="9"/>
      <c r="M52" s="9"/>
      <c r="N52" s="52"/>
      <c r="O52" s="170"/>
      <c r="P52" s="170"/>
      <c r="Q52" s="170"/>
      <c r="R52" s="170"/>
      <c r="S52" s="170"/>
    </row>
    <row r="53" spans="1:19" x14ac:dyDescent="0.25">
      <c r="N53" s="53"/>
      <c r="O53" s="170"/>
      <c r="P53" s="170"/>
      <c r="Q53" s="170"/>
      <c r="R53" s="170"/>
      <c r="S53" s="170"/>
    </row>
    <row r="54" spans="1:19" x14ac:dyDescent="0.25">
      <c r="N54" s="52"/>
      <c r="O54" s="170"/>
      <c r="P54" s="170"/>
      <c r="Q54" s="170"/>
      <c r="R54" s="170"/>
      <c r="S54" s="170"/>
    </row>
    <row r="55" spans="1:19" x14ac:dyDescent="0.25">
      <c r="N55" s="53"/>
      <c r="O55" s="170"/>
      <c r="P55" s="170"/>
      <c r="Q55" s="170"/>
      <c r="R55" s="170"/>
      <c r="S55" s="170"/>
    </row>
    <row r="56" spans="1:19" x14ac:dyDescent="0.25">
      <c r="N56" s="53"/>
      <c r="O56" s="170"/>
      <c r="P56" s="170"/>
      <c r="Q56" s="170"/>
      <c r="R56" s="170"/>
      <c r="S56" s="170"/>
    </row>
    <row r="57" spans="1:19" x14ac:dyDescent="0.25">
      <c r="A57" s="182"/>
      <c r="B57" s="182"/>
      <c r="C57" s="182"/>
      <c r="D57" s="182"/>
      <c r="E57" s="182"/>
      <c r="F57" s="182"/>
      <c r="G57" s="182"/>
      <c r="H57" s="182"/>
      <c r="I57" s="9"/>
      <c r="J57" s="9"/>
      <c r="K57" s="9"/>
      <c r="L57" s="9"/>
      <c r="M57" s="9"/>
      <c r="N57" s="54"/>
      <c r="O57" s="170"/>
      <c r="P57" s="170"/>
      <c r="Q57" s="170"/>
      <c r="R57" s="170"/>
      <c r="S57" s="170"/>
    </row>
    <row r="58" spans="1:19" x14ac:dyDescent="0.25">
      <c r="O58" s="170"/>
      <c r="P58" s="170"/>
      <c r="Q58" s="170"/>
      <c r="R58" s="170"/>
      <c r="S58" s="170"/>
    </row>
    <row r="59" spans="1:19" x14ac:dyDescent="0.25">
      <c r="O59" s="170"/>
      <c r="P59" s="170"/>
      <c r="Q59" s="170"/>
      <c r="R59" s="170"/>
      <c r="S59" s="170"/>
    </row>
    <row r="60" spans="1:19" x14ac:dyDescent="0.25">
      <c r="O60" s="170"/>
      <c r="P60" s="170"/>
      <c r="Q60" s="170"/>
      <c r="R60" s="170"/>
      <c r="S60" s="170"/>
    </row>
    <row r="61" spans="1:19" x14ac:dyDescent="0.25">
      <c r="O61" s="170"/>
      <c r="P61" s="170"/>
      <c r="Q61" s="170"/>
      <c r="R61" s="170"/>
      <c r="S61" s="170"/>
    </row>
    <row r="62" spans="1:19" x14ac:dyDescent="0.25">
      <c r="O62" s="170"/>
      <c r="P62" s="170"/>
      <c r="Q62" s="170"/>
      <c r="R62" s="170"/>
      <c r="S62" s="170"/>
    </row>
    <row r="63" spans="1:19" x14ac:dyDescent="0.25">
      <c r="O63" s="170"/>
      <c r="P63" s="170"/>
      <c r="Q63" s="170"/>
      <c r="R63" s="170"/>
      <c r="S63" s="170"/>
    </row>
    <row r="64" spans="1:19" x14ac:dyDescent="0.25">
      <c r="O64" s="170"/>
      <c r="P64" s="170"/>
      <c r="Q64" s="170"/>
      <c r="R64" s="170"/>
      <c r="S64" s="170"/>
    </row>
    <row r="65" spans="15:19" x14ac:dyDescent="0.25">
      <c r="O65" s="170"/>
      <c r="P65" s="170"/>
      <c r="Q65" s="170"/>
      <c r="R65" s="170"/>
      <c r="S65" s="170"/>
    </row>
    <row r="66" spans="15:19" x14ac:dyDescent="0.25">
      <c r="O66" s="170"/>
      <c r="P66" s="170"/>
      <c r="Q66" s="170"/>
      <c r="R66" s="170"/>
      <c r="S66" s="170"/>
    </row>
    <row r="67" spans="15:19" x14ac:dyDescent="0.25">
      <c r="O67" s="170"/>
      <c r="P67" s="170"/>
      <c r="Q67" s="170"/>
      <c r="R67" s="170"/>
      <c r="S67" s="170"/>
    </row>
    <row r="68" spans="15:19" x14ac:dyDescent="0.25">
      <c r="O68" s="170"/>
      <c r="P68" s="170"/>
      <c r="Q68" s="170"/>
      <c r="R68" s="170"/>
      <c r="S68" s="170"/>
    </row>
    <row r="69" spans="15:19" x14ac:dyDescent="0.25">
      <c r="O69" s="170"/>
      <c r="P69" s="170"/>
      <c r="Q69" s="170"/>
      <c r="R69" s="170"/>
      <c r="S69" s="170"/>
    </row>
    <row r="70" spans="15:19" x14ac:dyDescent="0.25">
      <c r="O70" s="170"/>
      <c r="P70" s="170"/>
      <c r="Q70" s="170"/>
      <c r="R70" s="170"/>
      <c r="S70" s="170"/>
    </row>
    <row r="71" spans="15:19" x14ac:dyDescent="0.25">
      <c r="O71" s="170"/>
      <c r="P71" s="170"/>
      <c r="Q71" s="170"/>
      <c r="R71" s="170"/>
      <c r="S71" s="170"/>
    </row>
    <row r="72" spans="15:19" x14ac:dyDescent="0.25">
      <c r="O72" s="170"/>
      <c r="P72" s="170"/>
      <c r="Q72" s="170"/>
      <c r="R72" s="170"/>
      <c r="S72" s="170"/>
    </row>
    <row r="73" spans="15:19" x14ac:dyDescent="0.25">
      <c r="O73" s="170"/>
      <c r="P73" s="170"/>
      <c r="Q73" s="170"/>
      <c r="R73" s="170"/>
      <c r="S73" s="170"/>
    </row>
    <row r="74" spans="15:19" x14ac:dyDescent="0.25">
      <c r="O74" s="170"/>
      <c r="P74" s="170"/>
      <c r="Q74" s="170"/>
      <c r="R74" s="170"/>
      <c r="S74" s="170"/>
    </row>
    <row r="75" spans="15:19" x14ac:dyDescent="0.25">
      <c r="O75" s="170"/>
      <c r="P75" s="170"/>
      <c r="Q75" s="170"/>
      <c r="R75" s="170"/>
      <c r="S75" s="170"/>
    </row>
    <row r="76" spans="15:19" x14ac:dyDescent="0.25">
      <c r="O76" s="170"/>
      <c r="P76" s="170"/>
      <c r="Q76" s="170"/>
      <c r="R76" s="170"/>
      <c r="S76" s="170"/>
    </row>
    <row r="77" spans="15:19" x14ac:dyDescent="0.25">
      <c r="O77" s="170"/>
      <c r="P77" s="170"/>
      <c r="Q77" s="170"/>
      <c r="R77" s="170"/>
      <c r="S77" s="170"/>
    </row>
    <row r="78" spans="15:19" x14ac:dyDescent="0.25">
      <c r="O78" s="170"/>
      <c r="P78" s="170"/>
      <c r="Q78" s="170"/>
      <c r="R78" s="170"/>
      <c r="S78" s="170"/>
    </row>
    <row r="79" spans="15:19" x14ac:dyDescent="0.25">
      <c r="O79" s="170"/>
      <c r="P79" s="170"/>
      <c r="Q79" s="170"/>
      <c r="R79" s="170"/>
      <c r="S79" s="170"/>
    </row>
    <row r="80" spans="15:19" x14ac:dyDescent="0.25">
      <c r="O80" s="170"/>
      <c r="P80" s="170"/>
      <c r="Q80" s="170"/>
      <c r="R80" s="170"/>
      <c r="S80" s="170"/>
    </row>
    <row r="81" spans="15:19" x14ac:dyDescent="0.25">
      <c r="O81" s="170"/>
      <c r="P81" s="170"/>
      <c r="Q81" s="170"/>
      <c r="R81" s="170"/>
      <c r="S81" s="170"/>
    </row>
    <row r="82" spans="15:19" x14ac:dyDescent="0.25">
      <c r="O82" s="170"/>
      <c r="P82" s="170"/>
      <c r="Q82" s="170"/>
      <c r="R82" s="170"/>
      <c r="S82" s="170"/>
    </row>
    <row r="83" spans="15:19" x14ac:dyDescent="0.25">
      <c r="O83" s="170"/>
      <c r="P83" s="170"/>
      <c r="Q83" s="170"/>
      <c r="R83" s="170"/>
      <c r="S83" s="170"/>
    </row>
    <row r="84" spans="15:19" x14ac:dyDescent="0.25">
      <c r="O84" s="170"/>
      <c r="P84" s="170"/>
      <c r="Q84" s="170"/>
      <c r="R84" s="170"/>
      <c r="S84" s="170"/>
    </row>
    <row r="85" spans="15:19" x14ac:dyDescent="0.25">
      <c r="O85" s="170"/>
      <c r="P85" s="170"/>
      <c r="Q85" s="170"/>
      <c r="R85" s="170"/>
      <c r="S85" s="170"/>
    </row>
    <row r="86" spans="15:19" x14ac:dyDescent="0.25">
      <c r="O86" s="170"/>
      <c r="P86" s="170"/>
      <c r="Q86" s="170"/>
      <c r="R86" s="170"/>
      <c r="S86" s="170"/>
    </row>
    <row r="87" spans="15:19" x14ac:dyDescent="0.25">
      <c r="O87" s="170"/>
      <c r="P87" s="170"/>
      <c r="Q87" s="170"/>
      <c r="R87" s="170"/>
      <c r="S87" s="170"/>
    </row>
    <row r="88" spans="15:19" x14ac:dyDescent="0.25">
      <c r="O88" s="170"/>
      <c r="P88" s="170"/>
      <c r="Q88" s="170"/>
      <c r="R88" s="170"/>
      <c r="S88" s="170"/>
    </row>
    <row r="89" spans="15:19" x14ac:dyDescent="0.25">
      <c r="O89" s="170"/>
      <c r="P89" s="170"/>
      <c r="Q89" s="170"/>
      <c r="R89" s="170"/>
      <c r="S89" s="170"/>
    </row>
    <row r="90" spans="15:19" x14ac:dyDescent="0.25">
      <c r="O90" s="170"/>
      <c r="P90" s="170"/>
      <c r="Q90" s="170"/>
      <c r="R90" s="170"/>
      <c r="S90" s="170"/>
    </row>
    <row r="91" spans="15:19" x14ac:dyDescent="0.25">
      <c r="O91" s="170"/>
      <c r="P91" s="170"/>
      <c r="Q91" s="170"/>
      <c r="R91" s="170"/>
      <c r="S91" s="170"/>
    </row>
    <row r="92" spans="15:19" x14ac:dyDescent="0.25">
      <c r="O92" s="170"/>
      <c r="P92" s="170"/>
      <c r="Q92" s="170"/>
      <c r="R92" s="170"/>
      <c r="S92" s="170"/>
    </row>
    <row r="93" spans="15:19" x14ac:dyDescent="0.25">
      <c r="O93" s="170"/>
      <c r="P93" s="170"/>
      <c r="Q93" s="170"/>
      <c r="R93" s="170"/>
      <c r="S93" s="170"/>
    </row>
    <row r="94" spans="15:19" x14ac:dyDescent="0.25">
      <c r="O94" s="170"/>
      <c r="P94" s="170"/>
      <c r="Q94" s="170"/>
      <c r="R94" s="170"/>
      <c r="S94" s="170"/>
    </row>
    <row r="95" spans="15:19" x14ac:dyDescent="0.25">
      <c r="O95" s="170"/>
      <c r="P95" s="170"/>
      <c r="Q95" s="170"/>
      <c r="R95" s="170"/>
      <c r="S95" s="170"/>
    </row>
    <row r="96" spans="15:19" x14ac:dyDescent="0.25">
      <c r="O96" s="170"/>
      <c r="P96" s="170"/>
      <c r="Q96" s="170"/>
      <c r="R96" s="170"/>
      <c r="S96" s="170"/>
    </row>
    <row r="97" spans="15:19" x14ac:dyDescent="0.25">
      <c r="O97" s="170"/>
      <c r="P97" s="170"/>
      <c r="Q97" s="170"/>
      <c r="R97" s="170"/>
      <c r="S97" s="170"/>
    </row>
    <row r="98" spans="15:19" x14ac:dyDescent="0.25">
      <c r="O98" s="170"/>
      <c r="P98" s="170"/>
      <c r="Q98" s="170"/>
      <c r="R98" s="170"/>
      <c r="S98" s="170"/>
    </row>
    <row r="99" spans="15:19" x14ac:dyDescent="0.25">
      <c r="O99" s="170"/>
      <c r="P99" s="170"/>
      <c r="Q99" s="170"/>
      <c r="R99" s="170"/>
      <c r="S99" s="170"/>
    </row>
    <row r="100" spans="15:19" x14ac:dyDescent="0.25">
      <c r="O100" s="170"/>
      <c r="P100" s="170"/>
      <c r="Q100" s="170"/>
      <c r="R100" s="170"/>
      <c r="S100" s="170"/>
    </row>
    <row r="101" spans="15:19" x14ac:dyDescent="0.25">
      <c r="O101" s="170"/>
      <c r="P101" s="170"/>
      <c r="Q101" s="170"/>
      <c r="R101" s="170"/>
      <c r="S101" s="170"/>
    </row>
  </sheetData>
  <mergeCells count="17">
    <mergeCell ref="AA6:AE6"/>
    <mergeCell ref="AA7:AE7"/>
    <mergeCell ref="AA8:AE8"/>
    <mergeCell ref="I6:M6"/>
    <mergeCell ref="I7:M7"/>
    <mergeCell ref="I8:M8"/>
    <mergeCell ref="O6:S6"/>
    <mergeCell ref="O7:S7"/>
    <mergeCell ref="O8:S8"/>
    <mergeCell ref="U6:Y6"/>
    <mergeCell ref="U7:Y7"/>
    <mergeCell ref="U8:Y8"/>
    <mergeCell ref="C42:D42"/>
    <mergeCell ref="C41:D41"/>
    <mergeCell ref="C6:G6"/>
    <mergeCell ref="C7:G7"/>
    <mergeCell ref="C8:G8"/>
  </mergeCells>
  <pageMargins left="0.7" right="0.7" top="0.75" bottom="0.75" header="0.3" footer="0.3"/>
  <pageSetup orientation="portrait" r:id="rId1"/>
  <headerFooter>
    <oddHeader>&amp;R&amp;"Times New Roman,Bold"&amp;12Case No. 2018-00294
Attachment 2 to Response to AG-2 Question No. 5
Page &amp;P of &amp;N
Sinclair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17"/>
  <sheetViews>
    <sheetView zoomScale="85" zoomScaleNormal="85" workbookViewId="0">
      <pane xSplit="3" ySplit="6" topLeftCell="D822" activePane="bottomRight" state="frozen"/>
      <selection activeCell="F14" sqref="F14"/>
      <selection pane="topRight" activeCell="F14" sqref="F14"/>
      <selection pane="bottomLeft" activeCell="F14" sqref="F14"/>
      <selection pane="bottomRight" activeCell="F14" sqref="F14"/>
    </sheetView>
  </sheetViews>
  <sheetFormatPr defaultRowHeight="15" x14ac:dyDescent="0.25"/>
  <cols>
    <col min="1" max="1" width="19.42578125" customWidth="1"/>
    <col min="2" max="2" width="14.42578125" customWidth="1"/>
    <col min="3" max="3" width="6.7109375" customWidth="1"/>
    <col min="4" max="4" width="11.42578125" bestFit="1" customWidth="1"/>
    <col min="5" max="5" width="11.85546875" bestFit="1" customWidth="1"/>
    <col min="6" max="6" width="13.85546875" bestFit="1" customWidth="1"/>
  </cols>
  <sheetData>
    <row r="1" spans="1:9" x14ac:dyDescent="0.25">
      <c r="A1" s="24" t="s">
        <v>98</v>
      </c>
      <c r="B1" s="103" t="s">
        <v>12</v>
      </c>
    </row>
    <row r="2" spans="1:9" x14ac:dyDescent="0.25">
      <c r="A2" s="24" t="s">
        <v>97</v>
      </c>
      <c r="B2" s="103" t="s">
        <v>259</v>
      </c>
    </row>
    <row r="3" spans="1:9" x14ac:dyDescent="0.25">
      <c r="A3" s="24" t="s">
        <v>262</v>
      </c>
      <c r="B3" s="103" t="s">
        <v>259</v>
      </c>
    </row>
    <row r="5" spans="1:9" x14ac:dyDescent="0.25">
      <c r="A5" s="24" t="s">
        <v>261</v>
      </c>
    </row>
    <row r="6" spans="1:9" x14ac:dyDescent="0.25">
      <c r="A6" s="24" t="s">
        <v>0</v>
      </c>
      <c r="B6" s="24" t="s">
        <v>260</v>
      </c>
      <c r="C6" t="s">
        <v>263</v>
      </c>
      <c r="D6" s="23" t="str">
        <f t="shared" ref="D6:D8" si="0">IF(A6="",D5,A6)</f>
        <v>UnitName</v>
      </c>
      <c r="E6" s="23" t="str">
        <f t="shared" ref="E6:E8" si="1">IF(B6="",E5,B6)</f>
        <v>Derate_RND</v>
      </c>
      <c r="F6" s="23" t="s">
        <v>267</v>
      </c>
      <c r="G6" t="s">
        <v>264</v>
      </c>
      <c r="H6" t="s">
        <v>265</v>
      </c>
      <c r="I6" t="s">
        <v>266</v>
      </c>
    </row>
    <row r="7" spans="1:9" x14ac:dyDescent="0.25">
      <c r="A7" s="103" t="s">
        <v>21</v>
      </c>
      <c r="B7" s="96">
        <v>2</v>
      </c>
      <c r="C7" s="1">
        <v>0.23333333322079852</v>
      </c>
      <c r="D7" t="str">
        <f t="shared" si="0"/>
        <v>BR1</v>
      </c>
      <c r="E7" s="23">
        <f t="shared" si="1"/>
        <v>2</v>
      </c>
      <c r="F7" s="117">
        <f t="shared" ref="F7:F8" si="2">IF(C7="",F6,C7)</f>
        <v>0.23333333322079852</v>
      </c>
      <c r="G7">
        <f>VLOOKUP(D7,Lookup!$J$5:$M$19,4,FALSE)-E7</f>
        <v>105</v>
      </c>
      <c r="H7">
        <f>VLOOKUP(D7,Lookup!$J$5:$K$19,2,FALSE)</f>
        <v>1</v>
      </c>
      <c r="I7">
        <f ca="1">IFERROR(VLOOKUP(G7,OFFSET(Lookup!$J$21,1,H7-1,5,1),1,1),0)</f>
        <v>97</v>
      </c>
    </row>
    <row r="8" spans="1:9" x14ac:dyDescent="0.25">
      <c r="B8" s="96">
        <v>4</v>
      </c>
      <c r="C8" s="1">
        <v>121.08333333337214</v>
      </c>
      <c r="D8" s="23" t="str">
        <f t="shared" si="0"/>
        <v>BR1</v>
      </c>
      <c r="E8" s="23">
        <f t="shared" si="1"/>
        <v>4</v>
      </c>
      <c r="F8" s="117">
        <f t="shared" si="2"/>
        <v>121.08333333337214</v>
      </c>
      <c r="G8" s="23">
        <f>VLOOKUP(D8,Lookup!$J$5:$M$19,4,FALSE)-E8</f>
        <v>103</v>
      </c>
      <c r="H8" s="23">
        <f>VLOOKUP(D8,Lookup!$J$5:$K$19,2,FALSE)</f>
        <v>1</v>
      </c>
      <c r="I8" s="103">
        <f ca="1">IFERROR(VLOOKUP(G8,OFFSET(Lookup!$J$21,1,H8-1,5,1),1,1),0)</f>
        <v>97</v>
      </c>
    </row>
    <row r="9" spans="1:9" x14ac:dyDescent="0.25">
      <c r="B9" s="96">
        <v>7</v>
      </c>
      <c r="C9" s="1">
        <v>2.0000000000582077</v>
      </c>
      <c r="D9" s="103" t="str">
        <f t="shared" ref="D9:D72" si="3">IF(A9="",D8,A9)</f>
        <v>BR1</v>
      </c>
      <c r="E9" s="103">
        <f t="shared" ref="E9:E72" si="4">IF(B9="",E8,B9)</f>
        <v>7</v>
      </c>
      <c r="F9" s="117">
        <f t="shared" ref="F9:F72" si="5">IF(C9="",F8,C9)</f>
        <v>2.0000000000582077</v>
      </c>
      <c r="G9" s="103">
        <f>VLOOKUP(D9,Lookup!$J$5:$M$19,4,FALSE)-E9</f>
        <v>100</v>
      </c>
      <c r="H9" s="103">
        <f>VLOOKUP(D9,Lookup!$J$5:$K$19,2,FALSE)</f>
        <v>1</v>
      </c>
      <c r="I9" s="103">
        <f ca="1">IFERROR(VLOOKUP(G9,OFFSET(Lookup!$J$21,1,H9-1,5,1),1,1),0)</f>
        <v>97</v>
      </c>
    </row>
    <row r="10" spans="1:9" x14ac:dyDescent="0.25">
      <c r="B10" s="96">
        <v>8</v>
      </c>
      <c r="C10" s="1">
        <v>188.19999999983702</v>
      </c>
      <c r="D10" s="103" t="str">
        <f t="shared" si="3"/>
        <v>BR1</v>
      </c>
      <c r="E10" s="103">
        <f t="shared" si="4"/>
        <v>8</v>
      </c>
      <c r="F10" s="117">
        <f t="shared" si="5"/>
        <v>188.19999999983702</v>
      </c>
      <c r="G10" s="103">
        <f>VLOOKUP(D10,Lookup!$J$5:$M$19,4,FALSE)-E10</f>
        <v>99</v>
      </c>
      <c r="H10" s="103">
        <f>VLOOKUP(D10,Lookup!$J$5:$K$19,2,FALSE)</f>
        <v>1</v>
      </c>
      <c r="I10" s="103">
        <f ca="1">IFERROR(VLOOKUP(G10,OFFSET(Lookup!$J$21,1,H10-1,5,1),1,1),0)</f>
        <v>97</v>
      </c>
    </row>
    <row r="11" spans="1:9" x14ac:dyDescent="0.25">
      <c r="B11" s="96">
        <v>12</v>
      </c>
      <c r="C11" s="1">
        <v>42.46666666661622</v>
      </c>
      <c r="D11" s="103" t="str">
        <f t="shared" si="3"/>
        <v>BR1</v>
      </c>
      <c r="E11" s="103">
        <f t="shared" si="4"/>
        <v>12</v>
      </c>
      <c r="F11" s="117">
        <f t="shared" si="5"/>
        <v>42.46666666661622</v>
      </c>
      <c r="G11" s="103">
        <f>VLOOKUP(D11,Lookup!$J$5:$M$19,4,FALSE)-E11</f>
        <v>95</v>
      </c>
      <c r="H11" s="103">
        <f>VLOOKUP(D11,Lookup!$J$5:$K$19,2,FALSE)</f>
        <v>1</v>
      </c>
      <c r="I11" s="103">
        <f ca="1">IFERROR(VLOOKUP(G11,OFFSET(Lookup!$J$21,1,H11-1,5,1),1,1),0)</f>
        <v>87</v>
      </c>
    </row>
    <row r="12" spans="1:9" x14ac:dyDescent="0.25">
      <c r="B12" s="96">
        <v>13</v>
      </c>
      <c r="C12" s="1">
        <v>34.800000000104774</v>
      </c>
      <c r="D12" s="103" t="str">
        <f t="shared" si="3"/>
        <v>BR1</v>
      </c>
      <c r="E12" s="103">
        <f t="shared" si="4"/>
        <v>13</v>
      </c>
      <c r="F12" s="117">
        <f t="shared" si="5"/>
        <v>34.800000000104774</v>
      </c>
      <c r="G12" s="103">
        <f>VLOOKUP(D12,Lookup!$J$5:$M$19,4,FALSE)-E12</f>
        <v>94</v>
      </c>
      <c r="H12" s="103">
        <f>VLOOKUP(D12,Lookup!$J$5:$K$19,2,FALSE)</f>
        <v>1</v>
      </c>
      <c r="I12" s="103">
        <f ca="1">IFERROR(VLOOKUP(G12,OFFSET(Lookup!$J$21,1,H12-1,5,1),1,1),0)</f>
        <v>87</v>
      </c>
    </row>
    <row r="13" spans="1:9" x14ac:dyDescent="0.25">
      <c r="B13" s="96">
        <v>18</v>
      </c>
      <c r="C13" s="1">
        <v>48.766666666546371</v>
      </c>
      <c r="D13" s="103" t="str">
        <f t="shared" si="3"/>
        <v>BR1</v>
      </c>
      <c r="E13" s="103">
        <f t="shared" si="4"/>
        <v>18</v>
      </c>
      <c r="F13" s="117">
        <f t="shared" si="5"/>
        <v>48.766666666546371</v>
      </c>
      <c r="G13" s="103">
        <f>VLOOKUP(D13,Lookup!$J$5:$M$19,4,FALSE)-E13</f>
        <v>89</v>
      </c>
      <c r="H13" s="103">
        <f>VLOOKUP(D13,Lookup!$J$5:$K$19,2,FALSE)</f>
        <v>1</v>
      </c>
      <c r="I13" s="103">
        <f ca="1">IFERROR(VLOOKUP(G13,OFFSET(Lookup!$J$21,1,H13-1,5,1),1,1),0)</f>
        <v>87</v>
      </c>
    </row>
    <row r="14" spans="1:9" x14ac:dyDescent="0.25">
      <c r="B14" s="96">
        <v>20</v>
      </c>
      <c r="C14" s="1">
        <v>1.8833333333604969</v>
      </c>
      <c r="D14" s="103" t="str">
        <f t="shared" si="3"/>
        <v>BR1</v>
      </c>
      <c r="E14" s="103">
        <f t="shared" si="4"/>
        <v>20</v>
      </c>
      <c r="F14" s="117">
        <f t="shared" si="5"/>
        <v>1.8833333333604969</v>
      </c>
      <c r="G14" s="103">
        <f>VLOOKUP(D14,Lookup!$J$5:$M$19,4,FALSE)-E14</f>
        <v>87</v>
      </c>
      <c r="H14" s="103">
        <f>VLOOKUP(D14,Lookup!$J$5:$K$19,2,FALSE)</f>
        <v>1</v>
      </c>
      <c r="I14" s="103">
        <f ca="1">IFERROR(VLOOKUP(G14,OFFSET(Lookup!$J$21,1,H14-1,5,1),1,1),0)</f>
        <v>87</v>
      </c>
    </row>
    <row r="15" spans="1:9" x14ac:dyDescent="0.25">
      <c r="B15" s="96">
        <v>22</v>
      </c>
      <c r="C15" s="1">
        <v>4.2500000000582077</v>
      </c>
      <c r="D15" s="103" t="str">
        <f t="shared" si="3"/>
        <v>BR1</v>
      </c>
      <c r="E15" s="103">
        <f t="shared" si="4"/>
        <v>22</v>
      </c>
      <c r="F15" s="117">
        <f t="shared" si="5"/>
        <v>4.2500000000582077</v>
      </c>
      <c r="G15" s="103">
        <f>VLOOKUP(D15,Lookup!$J$5:$M$19,4,FALSE)-E15</f>
        <v>85</v>
      </c>
      <c r="H15" s="103">
        <f>VLOOKUP(D15,Lookup!$J$5:$K$19,2,FALSE)</f>
        <v>1</v>
      </c>
      <c r="I15" s="103">
        <f ca="1">IFERROR(VLOOKUP(G15,OFFSET(Lookup!$J$21,1,H15-1,5,1),1,1),0)</f>
        <v>77</v>
      </c>
    </row>
    <row r="16" spans="1:9" x14ac:dyDescent="0.25">
      <c r="B16" s="96">
        <v>23</v>
      </c>
      <c r="C16" s="1">
        <v>207.04999999998836</v>
      </c>
      <c r="D16" s="103" t="str">
        <f t="shared" si="3"/>
        <v>BR1</v>
      </c>
      <c r="E16" s="103">
        <f t="shared" si="4"/>
        <v>23</v>
      </c>
      <c r="F16" s="117">
        <f t="shared" si="5"/>
        <v>207.04999999998836</v>
      </c>
      <c r="G16" s="103">
        <f>VLOOKUP(D16,Lookup!$J$5:$M$19,4,FALSE)-E16</f>
        <v>84</v>
      </c>
      <c r="H16" s="103">
        <f>VLOOKUP(D16,Lookup!$J$5:$K$19,2,FALSE)</f>
        <v>1</v>
      </c>
      <c r="I16" s="103">
        <f ca="1">IFERROR(VLOOKUP(G16,OFFSET(Lookup!$J$21,1,H16-1,5,1),1,1),0)</f>
        <v>77</v>
      </c>
    </row>
    <row r="17" spans="2:9" x14ac:dyDescent="0.25">
      <c r="B17" s="96">
        <v>26</v>
      </c>
      <c r="C17" s="1">
        <v>6.6666666709352285E-2</v>
      </c>
      <c r="D17" s="103" t="str">
        <f t="shared" si="3"/>
        <v>BR1</v>
      </c>
      <c r="E17" s="103">
        <f t="shared" si="4"/>
        <v>26</v>
      </c>
      <c r="F17" s="117">
        <f t="shared" si="5"/>
        <v>6.6666666709352285E-2</v>
      </c>
      <c r="G17" s="103">
        <f>VLOOKUP(D17,Lookup!$J$5:$M$19,4,FALSE)-E17</f>
        <v>81</v>
      </c>
      <c r="H17" s="103">
        <f>VLOOKUP(D17,Lookup!$J$5:$K$19,2,FALSE)</f>
        <v>1</v>
      </c>
      <c r="I17" s="103">
        <f ca="1">IFERROR(VLOOKUP(G17,OFFSET(Lookup!$J$21,1,H17-1,5,1),1,1),0)</f>
        <v>77</v>
      </c>
    </row>
    <row r="18" spans="2:9" x14ac:dyDescent="0.25">
      <c r="B18" s="96">
        <v>27</v>
      </c>
      <c r="C18" s="1">
        <v>75.366666667337995</v>
      </c>
      <c r="D18" s="103" t="str">
        <f t="shared" si="3"/>
        <v>BR1</v>
      </c>
      <c r="E18" s="103">
        <f t="shared" si="4"/>
        <v>27</v>
      </c>
      <c r="F18" s="117">
        <f t="shared" si="5"/>
        <v>75.366666667337995</v>
      </c>
      <c r="G18" s="103">
        <f>VLOOKUP(D18,Lookup!$J$5:$M$19,4,FALSE)-E18</f>
        <v>80</v>
      </c>
      <c r="H18" s="103">
        <f>VLOOKUP(D18,Lookup!$J$5:$K$19,2,FALSE)</f>
        <v>1</v>
      </c>
      <c r="I18" s="103">
        <f ca="1">IFERROR(VLOOKUP(G18,OFFSET(Lookup!$J$21,1,H18-1,5,1),1,1),0)</f>
        <v>77</v>
      </c>
    </row>
    <row r="19" spans="2:9" x14ac:dyDescent="0.25">
      <c r="B19" s="96">
        <v>32</v>
      </c>
      <c r="C19" s="1">
        <v>83.766666666429956</v>
      </c>
      <c r="D19" s="103" t="str">
        <f t="shared" si="3"/>
        <v>BR1</v>
      </c>
      <c r="E19" s="103">
        <f t="shared" si="4"/>
        <v>32</v>
      </c>
      <c r="F19" s="117">
        <f t="shared" si="5"/>
        <v>83.766666666429956</v>
      </c>
      <c r="G19" s="103">
        <f>VLOOKUP(D19,Lookup!$J$5:$M$19,4,FALSE)-E19</f>
        <v>75</v>
      </c>
      <c r="H19" s="103">
        <f>VLOOKUP(D19,Lookup!$J$5:$K$19,2,FALSE)</f>
        <v>1</v>
      </c>
      <c r="I19" s="103">
        <f ca="1">IFERROR(VLOOKUP(G19,OFFSET(Lookup!$J$21,1,H19-1,5,1),1,1),0)</f>
        <v>74</v>
      </c>
    </row>
    <row r="20" spans="2:9" x14ac:dyDescent="0.25">
      <c r="B20" s="96">
        <v>33</v>
      </c>
      <c r="C20" s="1">
        <v>2.25</v>
      </c>
      <c r="D20" s="103" t="str">
        <f t="shared" si="3"/>
        <v>BR1</v>
      </c>
      <c r="E20" s="103">
        <f t="shared" si="4"/>
        <v>33</v>
      </c>
      <c r="F20" s="117">
        <f t="shared" si="5"/>
        <v>2.25</v>
      </c>
      <c r="G20" s="103">
        <f>VLOOKUP(D20,Lookup!$J$5:$M$19,4,FALSE)-E20</f>
        <v>74</v>
      </c>
      <c r="H20" s="103">
        <f>VLOOKUP(D20,Lookup!$J$5:$K$19,2,FALSE)</f>
        <v>1</v>
      </c>
      <c r="I20" s="103">
        <f ca="1">IFERROR(VLOOKUP(G20,OFFSET(Lookup!$J$21,1,H20-1,5,1),1,1),0)</f>
        <v>74</v>
      </c>
    </row>
    <row r="21" spans="2:9" x14ac:dyDescent="0.25">
      <c r="B21" s="96">
        <v>37</v>
      </c>
      <c r="C21" s="1">
        <v>5.4833333332207985</v>
      </c>
      <c r="D21" s="103" t="str">
        <f t="shared" si="3"/>
        <v>BR1</v>
      </c>
      <c r="E21" s="103">
        <f t="shared" si="4"/>
        <v>37</v>
      </c>
      <c r="F21" s="117">
        <f t="shared" si="5"/>
        <v>5.4833333332207985</v>
      </c>
      <c r="G21" s="103">
        <f>VLOOKUP(D21,Lookup!$J$5:$M$19,4,FALSE)-E21</f>
        <v>70</v>
      </c>
      <c r="H21" s="103">
        <f>VLOOKUP(D21,Lookup!$J$5:$K$19,2,FALSE)</f>
        <v>1</v>
      </c>
      <c r="I21" s="103">
        <f ca="1">IFERROR(VLOOKUP(G21,OFFSET(Lookup!$J$21,1,H21-1,5,1),1,1),0)</f>
        <v>37</v>
      </c>
    </row>
    <row r="22" spans="2:9" x14ac:dyDescent="0.25">
      <c r="B22" s="96">
        <v>38</v>
      </c>
      <c r="C22" s="1">
        <v>0.96666666667442769</v>
      </c>
      <c r="D22" s="103" t="str">
        <f t="shared" si="3"/>
        <v>BR1</v>
      </c>
      <c r="E22" s="103">
        <f t="shared" si="4"/>
        <v>38</v>
      </c>
      <c r="F22" s="117">
        <f t="shared" si="5"/>
        <v>0.96666666667442769</v>
      </c>
      <c r="G22" s="103">
        <f>VLOOKUP(D22,Lookup!$J$5:$M$19,4,FALSE)-E22</f>
        <v>69</v>
      </c>
      <c r="H22" s="103">
        <f>VLOOKUP(D22,Lookup!$J$5:$K$19,2,FALSE)</f>
        <v>1</v>
      </c>
      <c r="I22" s="103">
        <f ca="1">IFERROR(VLOOKUP(G22,OFFSET(Lookup!$J$21,1,H22-1,5,1),1,1),0)</f>
        <v>37</v>
      </c>
    </row>
    <row r="23" spans="2:9" x14ac:dyDescent="0.25">
      <c r="B23" s="96">
        <v>45</v>
      </c>
      <c r="C23" s="1">
        <v>0.91666666668606922</v>
      </c>
      <c r="D23" s="103" t="str">
        <f t="shared" si="3"/>
        <v>BR1</v>
      </c>
      <c r="E23" s="103">
        <f t="shared" si="4"/>
        <v>45</v>
      </c>
      <c r="F23" s="117">
        <f t="shared" si="5"/>
        <v>0.91666666668606922</v>
      </c>
      <c r="G23" s="103">
        <f>VLOOKUP(D23,Lookup!$J$5:$M$19,4,FALSE)-E23</f>
        <v>62</v>
      </c>
      <c r="H23" s="103">
        <f>VLOOKUP(D23,Lookup!$J$5:$K$19,2,FALSE)</f>
        <v>1</v>
      </c>
      <c r="I23" s="103">
        <f ca="1">IFERROR(VLOOKUP(G23,OFFSET(Lookup!$J$21,1,H23-1,5,1),1,1),0)</f>
        <v>37</v>
      </c>
    </row>
    <row r="24" spans="2:9" x14ac:dyDescent="0.25">
      <c r="B24" s="96">
        <v>46</v>
      </c>
      <c r="C24" s="1">
        <v>1.4000000000232831</v>
      </c>
      <c r="D24" s="103" t="str">
        <f t="shared" si="3"/>
        <v>BR1</v>
      </c>
      <c r="E24" s="103">
        <f t="shared" si="4"/>
        <v>46</v>
      </c>
      <c r="F24" s="117">
        <f t="shared" si="5"/>
        <v>1.4000000000232831</v>
      </c>
      <c r="G24" s="103">
        <f>VLOOKUP(D24,Lookup!$J$5:$M$19,4,FALSE)-E24</f>
        <v>61</v>
      </c>
      <c r="H24" s="103">
        <f>VLOOKUP(D24,Lookup!$J$5:$K$19,2,FALSE)</f>
        <v>1</v>
      </c>
      <c r="I24" s="103">
        <f ca="1">IFERROR(VLOOKUP(G24,OFFSET(Lookup!$J$21,1,H24-1,5,1),1,1),0)</f>
        <v>37</v>
      </c>
    </row>
    <row r="25" spans="2:9" x14ac:dyDescent="0.25">
      <c r="B25" s="96">
        <v>48</v>
      </c>
      <c r="C25" s="1">
        <v>3.8166666665347293</v>
      </c>
      <c r="D25" s="103" t="str">
        <f t="shared" si="3"/>
        <v>BR1</v>
      </c>
      <c r="E25" s="103">
        <f t="shared" si="4"/>
        <v>48</v>
      </c>
      <c r="F25" s="117">
        <f t="shared" si="5"/>
        <v>3.8166666665347293</v>
      </c>
      <c r="G25" s="103">
        <f>VLOOKUP(D25,Lookup!$J$5:$M$19,4,FALSE)-E25</f>
        <v>59</v>
      </c>
      <c r="H25" s="103">
        <f>VLOOKUP(D25,Lookup!$J$5:$K$19,2,FALSE)</f>
        <v>1</v>
      </c>
      <c r="I25" s="103">
        <f ca="1">IFERROR(VLOOKUP(G25,OFFSET(Lookup!$J$21,1,H25-1,5,1),1,1),0)</f>
        <v>37</v>
      </c>
    </row>
    <row r="26" spans="2:9" x14ac:dyDescent="0.25">
      <c r="B26" s="96">
        <v>51</v>
      </c>
      <c r="C26" s="1">
        <v>12.083333333255723</v>
      </c>
      <c r="D26" s="103" t="str">
        <f t="shared" si="3"/>
        <v>BR1</v>
      </c>
      <c r="E26" s="103">
        <f t="shared" si="4"/>
        <v>51</v>
      </c>
      <c r="F26" s="117">
        <f t="shared" si="5"/>
        <v>12.083333333255723</v>
      </c>
      <c r="G26" s="103">
        <f>VLOOKUP(D26,Lookup!$J$5:$M$19,4,FALSE)-E26</f>
        <v>56</v>
      </c>
      <c r="H26" s="103">
        <f>VLOOKUP(D26,Lookup!$J$5:$K$19,2,FALSE)</f>
        <v>1</v>
      </c>
      <c r="I26" s="103">
        <f ca="1">IFERROR(VLOOKUP(G26,OFFSET(Lookup!$J$21,1,H26-1,5,1),1,1),0)</f>
        <v>37</v>
      </c>
    </row>
    <row r="27" spans="2:9" x14ac:dyDescent="0.25">
      <c r="B27" s="96">
        <v>52</v>
      </c>
      <c r="C27" s="1">
        <v>2.7500000000582077</v>
      </c>
      <c r="D27" s="103" t="str">
        <f t="shared" si="3"/>
        <v>BR1</v>
      </c>
      <c r="E27" s="103">
        <f t="shared" si="4"/>
        <v>52</v>
      </c>
      <c r="F27" s="117">
        <f t="shared" si="5"/>
        <v>2.7500000000582077</v>
      </c>
      <c r="G27" s="103">
        <f>VLOOKUP(D27,Lookup!$J$5:$M$19,4,FALSE)-E27</f>
        <v>55</v>
      </c>
      <c r="H27" s="103">
        <f>VLOOKUP(D27,Lookup!$J$5:$K$19,2,FALSE)</f>
        <v>1</v>
      </c>
      <c r="I27" s="103">
        <f ca="1">IFERROR(VLOOKUP(G27,OFFSET(Lookup!$J$21,1,H27-1,5,1),1,1),0)</f>
        <v>37</v>
      </c>
    </row>
    <row r="28" spans="2:9" x14ac:dyDescent="0.25">
      <c r="B28" s="96">
        <v>55</v>
      </c>
      <c r="C28" s="1">
        <v>267.56666666624369</v>
      </c>
      <c r="D28" s="103" t="str">
        <f t="shared" si="3"/>
        <v>BR1</v>
      </c>
      <c r="E28" s="103">
        <f t="shared" si="4"/>
        <v>55</v>
      </c>
      <c r="F28" s="117">
        <f t="shared" si="5"/>
        <v>267.56666666624369</v>
      </c>
      <c r="G28" s="103">
        <f>VLOOKUP(D28,Lookup!$J$5:$M$19,4,FALSE)-E28</f>
        <v>52</v>
      </c>
      <c r="H28" s="103">
        <f>VLOOKUP(D28,Lookup!$J$5:$K$19,2,FALSE)</f>
        <v>1</v>
      </c>
      <c r="I28" s="103">
        <f ca="1">IFERROR(VLOOKUP(G28,OFFSET(Lookup!$J$21,1,H28-1,5,1),1,1),0)</f>
        <v>37</v>
      </c>
    </row>
    <row r="29" spans="2:9" x14ac:dyDescent="0.25">
      <c r="B29" s="96">
        <v>60</v>
      </c>
      <c r="C29" s="1">
        <v>7.0166666664881632</v>
      </c>
      <c r="D29" s="103" t="str">
        <f t="shared" si="3"/>
        <v>BR1</v>
      </c>
      <c r="E29" s="103">
        <f t="shared" si="4"/>
        <v>60</v>
      </c>
      <c r="F29" s="117">
        <f t="shared" si="5"/>
        <v>7.0166666664881632</v>
      </c>
      <c r="G29" s="103">
        <f>VLOOKUP(D29,Lookup!$J$5:$M$19,4,FALSE)-E29</f>
        <v>47</v>
      </c>
      <c r="H29" s="103">
        <f>VLOOKUP(D29,Lookup!$J$5:$K$19,2,FALSE)</f>
        <v>1</v>
      </c>
      <c r="I29" s="103">
        <f ca="1">IFERROR(VLOOKUP(G29,OFFSET(Lookup!$J$21,1,H29-1,5,1),1,1),0)</f>
        <v>37</v>
      </c>
    </row>
    <row r="30" spans="2:9" x14ac:dyDescent="0.25">
      <c r="B30" s="96">
        <v>69</v>
      </c>
      <c r="C30" s="1">
        <v>10.516666666720994</v>
      </c>
      <c r="D30" s="103" t="str">
        <f t="shared" si="3"/>
        <v>BR1</v>
      </c>
      <c r="E30" s="103">
        <f t="shared" si="4"/>
        <v>69</v>
      </c>
      <c r="F30" s="117">
        <f t="shared" si="5"/>
        <v>10.516666666720994</v>
      </c>
      <c r="G30" s="103">
        <f>VLOOKUP(D30,Lookup!$J$5:$M$19,4,FALSE)-E30</f>
        <v>38</v>
      </c>
      <c r="H30" s="103">
        <f>VLOOKUP(D30,Lookup!$J$5:$K$19,2,FALSE)</f>
        <v>1</v>
      </c>
      <c r="I30" s="103">
        <f ca="1">IFERROR(VLOOKUP(G30,OFFSET(Lookup!$J$21,1,H30-1,5,1),1,1),0)</f>
        <v>37</v>
      </c>
    </row>
    <row r="31" spans="2:9" x14ac:dyDescent="0.25">
      <c r="B31" s="96">
        <v>95</v>
      </c>
      <c r="C31" s="1">
        <v>0.24999999994179234</v>
      </c>
      <c r="D31" s="103" t="str">
        <f t="shared" si="3"/>
        <v>BR1</v>
      </c>
      <c r="E31" s="103">
        <f t="shared" si="4"/>
        <v>95</v>
      </c>
      <c r="F31" s="117">
        <f t="shared" si="5"/>
        <v>0.24999999994179234</v>
      </c>
      <c r="G31" s="103">
        <f>VLOOKUP(D31,Lookup!$J$5:$M$19,4,FALSE)-E31</f>
        <v>12</v>
      </c>
      <c r="H31" s="103">
        <f>VLOOKUP(D31,Lookup!$J$5:$K$19,2,FALSE)</f>
        <v>1</v>
      </c>
      <c r="I31" s="103">
        <f ca="1">IFERROR(VLOOKUP(G31,OFFSET(Lookup!$J$21,1,H31-1,5,1),1,1),0)</f>
        <v>0</v>
      </c>
    </row>
    <row r="32" spans="2:9" x14ac:dyDescent="0.25">
      <c r="B32" s="96">
        <v>99</v>
      </c>
      <c r="C32" s="1">
        <v>0.78333333326736465</v>
      </c>
      <c r="D32" s="103" t="str">
        <f t="shared" si="3"/>
        <v>BR1</v>
      </c>
      <c r="E32" s="103">
        <f t="shared" si="4"/>
        <v>99</v>
      </c>
      <c r="F32" s="117">
        <f t="shared" si="5"/>
        <v>0.78333333326736465</v>
      </c>
      <c r="G32" s="103">
        <f>VLOOKUP(D32,Lookup!$J$5:$M$19,4,FALSE)-E32</f>
        <v>8</v>
      </c>
      <c r="H32" s="103">
        <f>VLOOKUP(D32,Lookup!$J$5:$K$19,2,FALSE)</f>
        <v>1</v>
      </c>
      <c r="I32" s="103">
        <f ca="1">IFERROR(VLOOKUP(G32,OFFSET(Lookup!$J$21,1,H32-1,5,1),1,1),0)</f>
        <v>0</v>
      </c>
    </row>
    <row r="33" spans="1:9" x14ac:dyDescent="0.25">
      <c r="A33" s="103" t="s">
        <v>22</v>
      </c>
      <c r="B33" s="96">
        <v>8</v>
      </c>
      <c r="C33" s="1">
        <v>4.0833333333721384</v>
      </c>
      <c r="D33" s="103" t="str">
        <f t="shared" si="3"/>
        <v>BR2</v>
      </c>
      <c r="E33" s="103">
        <f t="shared" si="4"/>
        <v>8</v>
      </c>
      <c r="F33" s="117">
        <f t="shared" si="5"/>
        <v>4.0833333333721384</v>
      </c>
      <c r="G33" s="103">
        <f>VLOOKUP(D33,Lookup!$J$5:$M$19,4,FALSE)-E33</f>
        <v>160</v>
      </c>
      <c r="H33" s="103">
        <f>VLOOKUP(D33,Lookup!$J$5:$K$19,2,FALSE)</f>
        <v>2</v>
      </c>
      <c r="I33" s="103">
        <f ca="1">IFERROR(VLOOKUP(G33,OFFSET(Lookup!$J$21,1,H33-1,5,1),1,1),0)</f>
        <v>148</v>
      </c>
    </row>
    <row r="34" spans="1:9" x14ac:dyDescent="0.25">
      <c r="B34" s="96">
        <v>13</v>
      </c>
      <c r="C34" s="1">
        <v>16.066666666651145</v>
      </c>
      <c r="D34" s="103" t="str">
        <f t="shared" si="3"/>
        <v>BR2</v>
      </c>
      <c r="E34" s="103">
        <f t="shared" si="4"/>
        <v>13</v>
      </c>
      <c r="F34" s="117">
        <f t="shared" si="5"/>
        <v>16.066666666651145</v>
      </c>
      <c r="G34" s="103">
        <f>VLOOKUP(D34,Lookup!$J$5:$M$19,4,FALSE)-E34</f>
        <v>155</v>
      </c>
      <c r="H34" s="103">
        <f>VLOOKUP(D34,Lookup!$J$5:$K$19,2,FALSE)</f>
        <v>2</v>
      </c>
      <c r="I34" s="103">
        <f ca="1">IFERROR(VLOOKUP(G34,OFFSET(Lookup!$J$21,1,H34-1,5,1),1,1),0)</f>
        <v>148</v>
      </c>
    </row>
    <row r="35" spans="1:9" x14ac:dyDescent="0.25">
      <c r="B35" s="96">
        <v>18</v>
      </c>
      <c r="C35" s="1">
        <v>51.399999999906868</v>
      </c>
      <c r="D35" s="103" t="str">
        <f t="shared" si="3"/>
        <v>BR2</v>
      </c>
      <c r="E35" s="103">
        <f t="shared" si="4"/>
        <v>18</v>
      </c>
      <c r="F35" s="117">
        <f t="shared" si="5"/>
        <v>51.399999999906868</v>
      </c>
      <c r="G35" s="103">
        <f>VLOOKUP(D35,Lookup!$J$5:$M$19,4,FALSE)-E35</f>
        <v>150</v>
      </c>
      <c r="H35" s="103">
        <f>VLOOKUP(D35,Lookup!$J$5:$K$19,2,FALSE)</f>
        <v>2</v>
      </c>
      <c r="I35" s="103">
        <f ca="1">IFERROR(VLOOKUP(G35,OFFSET(Lookup!$J$21,1,H35-1,5,1),1,1),0)</f>
        <v>148</v>
      </c>
    </row>
    <row r="36" spans="1:9" x14ac:dyDescent="0.25">
      <c r="B36" s="96">
        <v>27</v>
      </c>
      <c r="C36" s="1">
        <v>137.01666666642996</v>
      </c>
      <c r="D36" s="103" t="str">
        <f t="shared" si="3"/>
        <v>BR2</v>
      </c>
      <c r="E36" s="103">
        <f t="shared" si="4"/>
        <v>27</v>
      </c>
      <c r="F36" s="117">
        <f t="shared" si="5"/>
        <v>137.01666666642996</v>
      </c>
      <c r="G36" s="103">
        <f>VLOOKUP(D36,Lookup!$J$5:$M$19,4,FALSE)-E36</f>
        <v>141</v>
      </c>
      <c r="H36" s="103">
        <f>VLOOKUP(D36,Lookup!$J$5:$K$19,2,FALSE)</f>
        <v>2</v>
      </c>
      <c r="I36" s="103">
        <f ca="1">IFERROR(VLOOKUP(G36,OFFSET(Lookup!$J$21,1,H36-1,5,1),1,1),0)</f>
        <v>128</v>
      </c>
    </row>
    <row r="37" spans="1:9" x14ac:dyDescent="0.25">
      <c r="B37" s="96">
        <v>32</v>
      </c>
      <c r="C37" s="1">
        <v>9.7999999998137355</v>
      </c>
      <c r="D37" s="103" t="str">
        <f t="shared" si="3"/>
        <v>BR2</v>
      </c>
      <c r="E37" s="103">
        <f t="shared" si="4"/>
        <v>32</v>
      </c>
      <c r="F37" s="117">
        <f t="shared" si="5"/>
        <v>9.7999999998137355</v>
      </c>
      <c r="G37" s="103">
        <f>VLOOKUP(D37,Lookup!$J$5:$M$19,4,FALSE)-E37</f>
        <v>136</v>
      </c>
      <c r="H37" s="103">
        <f>VLOOKUP(D37,Lookup!$J$5:$K$19,2,FALSE)</f>
        <v>2</v>
      </c>
      <c r="I37" s="103">
        <f ca="1">IFERROR(VLOOKUP(G37,OFFSET(Lookup!$J$21,1,H37-1,5,1),1,1),0)</f>
        <v>128</v>
      </c>
    </row>
    <row r="38" spans="1:9" x14ac:dyDescent="0.25">
      <c r="B38" s="96">
        <v>36</v>
      </c>
      <c r="C38" s="1">
        <v>139.83333333354676</v>
      </c>
      <c r="D38" s="103" t="str">
        <f t="shared" si="3"/>
        <v>BR2</v>
      </c>
      <c r="E38" s="103">
        <f t="shared" si="4"/>
        <v>36</v>
      </c>
      <c r="F38" s="117">
        <f t="shared" si="5"/>
        <v>139.83333333354676</v>
      </c>
      <c r="G38" s="103">
        <f>VLOOKUP(D38,Lookup!$J$5:$M$19,4,FALSE)-E38</f>
        <v>132</v>
      </c>
      <c r="H38" s="103">
        <f>VLOOKUP(D38,Lookup!$J$5:$K$19,2,FALSE)</f>
        <v>2</v>
      </c>
      <c r="I38" s="103">
        <f ca="1">IFERROR(VLOOKUP(G38,OFFSET(Lookup!$J$21,1,H38-1,5,1),1,1),0)</f>
        <v>128</v>
      </c>
    </row>
    <row r="39" spans="1:9" x14ac:dyDescent="0.25">
      <c r="B39" s="96">
        <v>41</v>
      </c>
      <c r="C39" s="1">
        <v>102.53333333315095</v>
      </c>
      <c r="D39" s="103" t="str">
        <f t="shared" si="3"/>
        <v>BR2</v>
      </c>
      <c r="E39" s="103">
        <f t="shared" si="4"/>
        <v>41</v>
      </c>
      <c r="F39" s="117">
        <f t="shared" si="5"/>
        <v>102.53333333315095</v>
      </c>
      <c r="G39" s="103">
        <f>VLOOKUP(D39,Lookup!$J$5:$M$19,4,FALSE)-E39</f>
        <v>127</v>
      </c>
      <c r="H39" s="103">
        <f>VLOOKUP(D39,Lookup!$J$5:$K$19,2,FALSE)</f>
        <v>2</v>
      </c>
      <c r="I39" s="103">
        <f ca="1">IFERROR(VLOOKUP(G39,OFFSET(Lookup!$J$21,1,H39-1,5,1),1,1),0)</f>
        <v>88</v>
      </c>
    </row>
    <row r="40" spans="1:9" x14ac:dyDescent="0.25">
      <c r="B40" s="96">
        <v>46</v>
      </c>
      <c r="C40" s="1">
        <v>293.61666666646488</v>
      </c>
      <c r="D40" s="103" t="str">
        <f t="shared" si="3"/>
        <v>BR2</v>
      </c>
      <c r="E40" s="103">
        <f t="shared" si="4"/>
        <v>46</v>
      </c>
      <c r="F40" s="117">
        <f t="shared" si="5"/>
        <v>293.61666666646488</v>
      </c>
      <c r="G40" s="103">
        <f>VLOOKUP(D40,Lookup!$J$5:$M$19,4,FALSE)-E40</f>
        <v>122</v>
      </c>
      <c r="H40" s="103">
        <f>VLOOKUP(D40,Lookup!$J$5:$K$19,2,FALSE)</f>
        <v>2</v>
      </c>
      <c r="I40" s="103">
        <f ca="1">IFERROR(VLOOKUP(G40,OFFSET(Lookup!$J$21,1,H40-1,5,1),1,1),0)</f>
        <v>88</v>
      </c>
    </row>
    <row r="41" spans="1:9" x14ac:dyDescent="0.25">
      <c r="B41" s="96">
        <v>50</v>
      </c>
      <c r="C41" s="1">
        <v>41.26666666707024</v>
      </c>
      <c r="D41" s="103" t="str">
        <f t="shared" si="3"/>
        <v>BR2</v>
      </c>
      <c r="E41" s="103">
        <f t="shared" si="4"/>
        <v>50</v>
      </c>
      <c r="F41" s="117">
        <f t="shared" si="5"/>
        <v>41.26666666707024</v>
      </c>
      <c r="G41" s="103">
        <f>VLOOKUP(D41,Lookup!$J$5:$M$19,4,FALSE)-E41</f>
        <v>118</v>
      </c>
      <c r="H41" s="103">
        <f>VLOOKUP(D41,Lookup!$J$5:$K$19,2,FALSE)</f>
        <v>2</v>
      </c>
      <c r="I41" s="103">
        <f ca="1">IFERROR(VLOOKUP(G41,OFFSET(Lookup!$J$21,1,H41-1,5,1),1,1),0)</f>
        <v>88</v>
      </c>
    </row>
    <row r="42" spans="1:9" x14ac:dyDescent="0.25">
      <c r="B42" s="96">
        <v>52</v>
      </c>
      <c r="C42" s="1">
        <v>2.5000000001164153</v>
      </c>
      <c r="D42" s="103" t="str">
        <f t="shared" si="3"/>
        <v>BR2</v>
      </c>
      <c r="E42" s="103">
        <f t="shared" si="4"/>
        <v>52</v>
      </c>
      <c r="F42" s="117">
        <f t="shared" si="5"/>
        <v>2.5000000001164153</v>
      </c>
      <c r="G42" s="103">
        <f>VLOOKUP(D42,Lookup!$J$5:$M$19,4,FALSE)-E42</f>
        <v>116</v>
      </c>
      <c r="H42" s="103">
        <f>VLOOKUP(D42,Lookup!$J$5:$K$19,2,FALSE)</f>
        <v>2</v>
      </c>
      <c r="I42" s="103">
        <f ca="1">IFERROR(VLOOKUP(G42,OFFSET(Lookup!$J$21,1,H42-1,5,1),1,1),0)</f>
        <v>88</v>
      </c>
    </row>
    <row r="43" spans="1:9" x14ac:dyDescent="0.25">
      <c r="B43" s="96">
        <v>55</v>
      </c>
      <c r="C43" s="1">
        <v>19.68333333323244</v>
      </c>
      <c r="D43" s="103" t="str">
        <f t="shared" si="3"/>
        <v>BR2</v>
      </c>
      <c r="E43" s="103">
        <f t="shared" si="4"/>
        <v>55</v>
      </c>
      <c r="F43" s="117">
        <f t="shared" si="5"/>
        <v>19.68333333323244</v>
      </c>
      <c r="G43" s="103">
        <f>VLOOKUP(D43,Lookup!$J$5:$M$19,4,FALSE)-E43</f>
        <v>113</v>
      </c>
      <c r="H43" s="103">
        <f>VLOOKUP(D43,Lookup!$J$5:$K$19,2,FALSE)</f>
        <v>2</v>
      </c>
      <c r="I43" s="103">
        <f ca="1">IFERROR(VLOOKUP(G43,OFFSET(Lookup!$J$21,1,H43-1,5,1),1,1),0)</f>
        <v>88</v>
      </c>
    </row>
    <row r="44" spans="1:9" x14ac:dyDescent="0.25">
      <c r="B44" s="96">
        <v>60</v>
      </c>
      <c r="C44" s="1">
        <v>41.749999999883585</v>
      </c>
      <c r="D44" s="103" t="str">
        <f t="shared" si="3"/>
        <v>BR2</v>
      </c>
      <c r="E44" s="103">
        <f t="shared" si="4"/>
        <v>60</v>
      </c>
      <c r="F44" s="117">
        <f t="shared" si="5"/>
        <v>41.749999999883585</v>
      </c>
      <c r="G44" s="103">
        <f>VLOOKUP(D44,Lookup!$J$5:$M$19,4,FALSE)-E44</f>
        <v>108</v>
      </c>
      <c r="H44" s="103">
        <f>VLOOKUP(D44,Lookup!$J$5:$K$19,2,FALSE)</f>
        <v>2</v>
      </c>
      <c r="I44" s="103">
        <f ca="1">IFERROR(VLOOKUP(G44,OFFSET(Lookup!$J$21,1,H44-1,5,1),1,1),0)</f>
        <v>88</v>
      </c>
    </row>
    <row r="45" spans="1:9" x14ac:dyDescent="0.25">
      <c r="B45" s="96">
        <v>64</v>
      </c>
      <c r="C45" s="1">
        <v>188.48333333304618</v>
      </c>
      <c r="D45" s="103" t="str">
        <f t="shared" si="3"/>
        <v>BR2</v>
      </c>
      <c r="E45" s="103">
        <f t="shared" si="4"/>
        <v>64</v>
      </c>
      <c r="F45" s="117">
        <f t="shared" si="5"/>
        <v>188.48333333304618</v>
      </c>
      <c r="G45" s="103">
        <f>VLOOKUP(D45,Lookup!$J$5:$M$19,4,FALSE)-E45</f>
        <v>104</v>
      </c>
      <c r="H45" s="103">
        <f>VLOOKUP(D45,Lookup!$J$5:$K$19,2,FALSE)</f>
        <v>2</v>
      </c>
      <c r="I45" s="103">
        <f ca="1">IFERROR(VLOOKUP(G45,OFFSET(Lookup!$J$21,1,H45-1,5,1),1,1),0)</f>
        <v>88</v>
      </c>
    </row>
    <row r="46" spans="1:9" x14ac:dyDescent="0.25">
      <c r="B46" s="96">
        <v>69</v>
      </c>
      <c r="C46" s="1">
        <v>164.7833333335002</v>
      </c>
      <c r="D46" s="103" t="str">
        <f t="shared" si="3"/>
        <v>BR2</v>
      </c>
      <c r="E46" s="103">
        <f t="shared" si="4"/>
        <v>69</v>
      </c>
      <c r="F46" s="117">
        <f t="shared" si="5"/>
        <v>164.7833333335002</v>
      </c>
      <c r="G46" s="103">
        <f>VLOOKUP(D46,Lookup!$J$5:$M$19,4,FALSE)-E46</f>
        <v>99</v>
      </c>
      <c r="H46" s="103">
        <f>VLOOKUP(D46,Lookup!$J$5:$K$19,2,FALSE)</f>
        <v>2</v>
      </c>
      <c r="I46" s="103">
        <f ca="1">IFERROR(VLOOKUP(G46,OFFSET(Lookup!$J$21,1,H46-1,5,1),1,1),0)</f>
        <v>88</v>
      </c>
    </row>
    <row r="47" spans="1:9" x14ac:dyDescent="0.25">
      <c r="B47" s="96">
        <v>74</v>
      </c>
      <c r="C47" s="1">
        <v>2.9666666665580124</v>
      </c>
      <c r="D47" s="103" t="str">
        <f t="shared" si="3"/>
        <v>BR2</v>
      </c>
      <c r="E47" s="103">
        <f t="shared" si="4"/>
        <v>74</v>
      </c>
      <c r="F47" s="117">
        <f t="shared" si="5"/>
        <v>2.9666666665580124</v>
      </c>
      <c r="G47" s="103">
        <f>VLOOKUP(D47,Lookup!$J$5:$M$19,4,FALSE)-E47</f>
        <v>94</v>
      </c>
      <c r="H47" s="103">
        <f>VLOOKUP(D47,Lookup!$J$5:$K$19,2,FALSE)</f>
        <v>2</v>
      </c>
      <c r="I47" s="103">
        <f ca="1">IFERROR(VLOOKUP(G47,OFFSET(Lookup!$J$21,1,H47-1,5,1),1,1),0)</f>
        <v>88</v>
      </c>
    </row>
    <row r="48" spans="1:9" x14ac:dyDescent="0.25">
      <c r="B48" s="96">
        <v>75</v>
      </c>
      <c r="C48" s="1">
        <v>20.53333333338378</v>
      </c>
      <c r="D48" s="103" t="str">
        <f t="shared" si="3"/>
        <v>BR2</v>
      </c>
      <c r="E48" s="103">
        <f t="shared" si="4"/>
        <v>75</v>
      </c>
      <c r="F48" s="117">
        <f t="shared" si="5"/>
        <v>20.53333333338378</v>
      </c>
      <c r="G48" s="103">
        <f>VLOOKUP(D48,Lookup!$J$5:$M$19,4,FALSE)-E48</f>
        <v>93</v>
      </c>
      <c r="H48" s="103">
        <f>VLOOKUP(D48,Lookup!$J$5:$K$19,2,FALSE)</f>
        <v>2</v>
      </c>
      <c r="I48" s="103">
        <f ca="1">IFERROR(VLOOKUP(G48,OFFSET(Lookup!$J$21,1,H48-1,5,1),1,1),0)</f>
        <v>88</v>
      </c>
    </row>
    <row r="49" spans="1:9" x14ac:dyDescent="0.25">
      <c r="B49" s="96">
        <v>83</v>
      </c>
      <c r="C49" s="1">
        <v>7.8666666666395031</v>
      </c>
      <c r="D49" s="103" t="str">
        <f t="shared" si="3"/>
        <v>BR2</v>
      </c>
      <c r="E49" s="103">
        <f t="shared" si="4"/>
        <v>83</v>
      </c>
      <c r="F49" s="117">
        <f t="shared" si="5"/>
        <v>7.8666666666395031</v>
      </c>
      <c r="G49" s="103">
        <f>VLOOKUP(D49,Lookup!$J$5:$M$19,4,FALSE)-E49</f>
        <v>85</v>
      </c>
      <c r="H49" s="103">
        <f>VLOOKUP(D49,Lookup!$J$5:$K$19,2,FALSE)</f>
        <v>2</v>
      </c>
      <c r="I49" s="103">
        <f ca="1">IFERROR(VLOOKUP(G49,OFFSET(Lookup!$J$21,1,H49-1,5,1),1,1),0)</f>
        <v>78</v>
      </c>
    </row>
    <row r="50" spans="1:9" x14ac:dyDescent="0.25">
      <c r="B50" s="96">
        <v>92</v>
      </c>
      <c r="C50" s="1">
        <v>12.999999999941792</v>
      </c>
      <c r="D50" s="103" t="str">
        <f t="shared" si="3"/>
        <v>BR2</v>
      </c>
      <c r="E50" s="103">
        <f t="shared" si="4"/>
        <v>92</v>
      </c>
      <c r="F50" s="117">
        <f t="shared" si="5"/>
        <v>12.999999999941792</v>
      </c>
      <c r="G50" s="103">
        <f>VLOOKUP(D50,Lookup!$J$5:$M$19,4,FALSE)-E50</f>
        <v>76</v>
      </c>
      <c r="H50" s="103">
        <f>VLOOKUP(D50,Lookup!$J$5:$K$19,2,FALSE)</f>
        <v>2</v>
      </c>
      <c r="I50" s="103">
        <f ca="1">IFERROR(VLOOKUP(G50,OFFSET(Lookup!$J$21,1,H50-1,5,1),1,1),0)</f>
        <v>64</v>
      </c>
    </row>
    <row r="51" spans="1:9" x14ac:dyDescent="0.25">
      <c r="B51" s="96">
        <v>112</v>
      </c>
      <c r="C51" s="1">
        <v>1.783333333209157</v>
      </c>
      <c r="D51" s="103" t="str">
        <f t="shared" si="3"/>
        <v>BR2</v>
      </c>
      <c r="E51" s="103">
        <f t="shared" si="4"/>
        <v>112</v>
      </c>
      <c r="F51" s="117">
        <f t="shared" si="5"/>
        <v>1.783333333209157</v>
      </c>
      <c r="G51" s="103">
        <f>VLOOKUP(D51,Lookup!$J$5:$M$19,4,FALSE)-E51</f>
        <v>56</v>
      </c>
      <c r="H51" s="103">
        <f>VLOOKUP(D51,Lookup!$J$5:$K$19,2,FALSE)</f>
        <v>2</v>
      </c>
      <c r="I51" s="103">
        <f ca="1">IFERROR(VLOOKUP(G51,OFFSET(Lookup!$J$21,1,H51-1,5,1),1,1),0)</f>
        <v>0</v>
      </c>
    </row>
    <row r="52" spans="1:9" x14ac:dyDescent="0.25">
      <c r="B52" s="96">
        <v>153</v>
      </c>
      <c r="C52" s="1">
        <v>1.966666666790843</v>
      </c>
      <c r="D52" s="103" t="str">
        <f t="shared" si="3"/>
        <v>BR2</v>
      </c>
      <c r="E52" s="103">
        <f t="shared" si="4"/>
        <v>153</v>
      </c>
      <c r="F52" s="117">
        <f t="shared" si="5"/>
        <v>1.966666666790843</v>
      </c>
      <c r="G52" s="103">
        <f>VLOOKUP(D52,Lookup!$J$5:$M$19,4,FALSE)-E52</f>
        <v>15</v>
      </c>
      <c r="H52" s="103">
        <f>VLOOKUP(D52,Lookup!$J$5:$K$19,2,FALSE)</f>
        <v>2</v>
      </c>
      <c r="I52" s="103">
        <f ca="1">IFERROR(VLOOKUP(G52,OFFSET(Lookup!$J$21,1,H52-1,5,1),1,1),0)</f>
        <v>0</v>
      </c>
    </row>
    <row r="53" spans="1:9" x14ac:dyDescent="0.25">
      <c r="B53" s="96">
        <v>158</v>
      </c>
      <c r="C53" s="1">
        <v>8.3999999997904524</v>
      </c>
      <c r="D53" s="103" t="str">
        <f t="shared" si="3"/>
        <v>BR2</v>
      </c>
      <c r="E53" s="103">
        <f t="shared" si="4"/>
        <v>158</v>
      </c>
      <c r="F53" s="117">
        <f t="shared" si="5"/>
        <v>8.3999999997904524</v>
      </c>
      <c r="G53" s="103">
        <f>VLOOKUP(D53,Lookup!$J$5:$M$19,4,FALSE)-E53</f>
        <v>10</v>
      </c>
      <c r="H53" s="103">
        <f>VLOOKUP(D53,Lookup!$J$5:$K$19,2,FALSE)</f>
        <v>2</v>
      </c>
      <c r="I53" s="103">
        <f ca="1">IFERROR(VLOOKUP(G53,OFFSET(Lookup!$J$21,1,H53-1,5,1),1,1),0)</f>
        <v>0</v>
      </c>
    </row>
    <row r="54" spans="1:9" x14ac:dyDescent="0.25">
      <c r="A54" s="103" t="s">
        <v>28</v>
      </c>
      <c r="B54" s="96">
        <v>14</v>
      </c>
      <c r="C54" s="1">
        <v>382.68333333323244</v>
      </c>
      <c r="D54" s="103" t="str">
        <f t="shared" si="3"/>
        <v>BR3</v>
      </c>
      <c r="E54" s="103">
        <f t="shared" si="4"/>
        <v>14</v>
      </c>
      <c r="F54" s="117">
        <f t="shared" si="5"/>
        <v>382.68333333323244</v>
      </c>
      <c r="G54" s="103">
        <f>VLOOKUP(D54,Lookup!$J$5:$M$19,4,FALSE)-E54</f>
        <v>399</v>
      </c>
      <c r="H54" s="103">
        <f>VLOOKUP(D54,Lookup!$J$5:$K$19,2,FALSE)</f>
        <v>3</v>
      </c>
      <c r="I54" s="103">
        <f ca="1">IFERROR(VLOOKUP(G54,OFFSET(Lookup!$J$21,1,H54-1,5,1),1,1),0)</f>
        <v>373</v>
      </c>
    </row>
    <row r="55" spans="1:9" x14ac:dyDescent="0.25">
      <c r="B55" s="96">
        <v>19</v>
      </c>
      <c r="C55" s="1">
        <v>254.18333333329065</v>
      </c>
      <c r="D55" s="103" t="str">
        <f t="shared" si="3"/>
        <v>BR3</v>
      </c>
      <c r="E55" s="103">
        <f t="shared" si="4"/>
        <v>19</v>
      </c>
      <c r="F55" s="117">
        <f t="shared" si="5"/>
        <v>254.18333333329065</v>
      </c>
      <c r="G55" s="103">
        <f>VLOOKUP(D55,Lookup!$J$5:$M$19,4,FALSE)-E55</f>
        <v>394</v>
      </c>
      <c r="H55" s="103">
        <f>VLOOKUP(D55,Lookup!$J$5:$K$19,2,FALSE)</f>
        <v>3</v>
      </c>
      <c r="I55" s="103">
        <f ca="1">IFERROR(VLOOKUP(G55,OFFSET(Lookup!$J$21,1,H55-1,5,1),1,1),0)</f>
        <v>373</v>
      </c>
    </row>
    <row r="56" spans="1:9" x14ac:dyDescent="0.25">
      <c r="B56" s="96">
        <v>23</v>
      </c>
      <c r="C56" s="1">
        <v>171.86666666669771</v>
      </c>
      <c r="D56" s="103" t="str">
        <f t="shared" si="3"/>
        <v>BR3</v>
      </c>
      <c r="E56" s="103">
        <f t="shared" si="4"/>
        <v>23</v>
      </c>
      <c r="F56" s="117">
        <f t="shared" si="5"/>
        <v>171.86666666669771</v>
      </c>
      <c r="G56" s="103">
        <f>VLOOKUP(D56,Lookup!$J$5:$M$19,4,FALSE)-E56</f>
        <v>390</v>
      </c>
      <c r="H56" s="103">
        <f>VLOOKUP(D56,Lookup!$J$5:$K$19,2,FALSE)</f>
        <v>3</v>
      </c>
      <c r="I56" s="103">
        <f ca="1">IFERROR(VLOOKUP(G56,OFFSET(Lookup!$J$21,1,H56-1,5,1),1,1),0)</f>
        <v>373</v>
      </c>
    </row>
    <row r="57" spans="1:9" x14ac:dyDescent="0.25">
      <c r="B57" s="96">
        <v>25</v>
      </c>
      <c r="C57" s="1">
        <v>0.28333333320915699</v>
      </c>
      <c r="D57" s="103" t="str">
        <f t="shared" si="3"/>
        <v>BR3</v>
      </c>
      <c r="E57" s="103">
        <f t="shared" si="4"/>
        <v>25</v>
      </c>
      <c r="F57" s="117">
        <f t="shared" si="5"/>
        <v>0.28333333320915699</v>
      </c>
      <c r="G57" s="103">
        <f>VLOOKUP(D57,Lookup!$J$5:$M$19,4,FALSE)-E57</f>
        <v>388</v>
      </c>
      <c r="H57" s="103">
        <f>VLOOKUP(D57,Lookup!$J$5:$K$19,2,FALSE)</f>
        <v>3</v>
      </c>
      <c r="I57" s="103">
        <f ca="1">IFERROR(VLOOKUP(G57,OFFSET(Lookup!$J$21,1,H57-1,5,1),1,1),0)</f>
        <v>373</v>
      </c>
    </row>
    <row r="58" spans="1:9" x14ac:dyDescent="0.25">
      <c r="B58" s="96">
        <v>28</v>
      </c>
      <c r="C58" s="1">
        <v>486.45000000006985</v>
      </c>
      <c r="D58" s="103" t="str">
        <f t="shared" si="3"/>
        <v>BR3</v>
      </c>
      <c r="E58" s="103">
        <f t="shared" si="4"/>
        <v>28</v>
      </c>
      <c r="F58" s="117">
        <f t="shared" si="5"/>
        <v>486.45000000006985</v>
      </c>
      <c r="G58" s="103">
        <f>VLOOKUP(D58,Lookup!$J$5:$M$19,4,FALSE)-E58</f>
        <v>385</v>
      </c>
      <c r="H58" s="103">
        <f>VLOOKUP(D58,Lookup!$J$5:$K$19,2,FALSE)</f>
        <v>3</v>
      </c>
      <c r="I58" s="103">
        <f ca="1">IFERROR(VLOOKUP(G58,OFFSET(Lookup!$J$21,1,H58-1,5,1),1,1),0)</f>
        <v>373</v>
      </c>
    </row>
    <row r="59" spans="1:9" x14ac:dyDescent="0.25">
      <c r="B59" s="96">
        <v>32</v>
      </c>
      <c r="C59" s="1">
        <v>184.59999999997672</v>
      </c>
      <c r="D59" s="103" t="str">
        <f t="shared" si="3"/>
        <v>BR3</v>
      </c>
      <c r="E59" s="103">
        <f t="shared" si="4"/>
        <v>32</v>
      </c>
      <c r="F59" s="117">
        <f t="shared" si="5"/>
        <v>184.59999999997672</v>
      </c>
      <c r="G59" s="103">
        <f>VLOOKUP(D59,Lookup!$J$5:$M$19,4,FALSE)-E59</f>
        <v>381</v>
      </c>
      <c r="H59" s="103">
        <f>VLOOKUP(D59,Lookup!$J$5:$K$19,2,FALSE)</f>
        <v>3</v>
      </c>
      <c r="I59" s="103">
        <f ca="1">IFERROR(VLOOKUP(G59,OFFSET(Lookup!$J$21,1,H59-1,5,1),1,1),0)</f>
        <v>373</v>
      </c>
    </row>
    <row r="60" spans="1:9" x14ac:dyDescent="0.25">
      <c r="B60" s="96">
        <v>34</v>
      </c>
      <c r="C60" s="1">
        <v>0.18333333340706304</v>
      </c>
      <c r="D60" s="103" t="str">
        <f t="shared" si="3"/>
        <v>BR3</v>
      </c>
      <c r="E60" s="103">
        <f t="shared" si="4"/>
        <v>34</v>
      </c>
      <c r="F60" s="117">
        <f t="shared" si="5"/>
        <v>0.18333333340706304</v>
      </c>
      <c r="G60" s="103">
        <f>VLOOKUP(D60,Lookup!$J$5:$M$19,4,FALSE)-E60</f>
        <v>379</v>
      </c>
      <c r="H60" s="103">
        <f>VLOOKUP(D60,Lookup!$J$5:$K$19,2,FALSE)</f>
        <v>3</v>
      </c>
      <c r="I60" s="103">
        <f ca="1">IFERROR(VLOOKUP(G60,OFFSET(Lookup!$J$21,1,H60-1,5,1),1,1),0)</f>
        <v>373</v>
      </c>
    </row>
    <row r="61" spans="1:9" x14ac:dyDescent="0.25">
      <c r="B61" s="96">
        <v>43</v>
      </c>
      <c r="C61" s="1">
        <v>0.43333333334885538</v>
      </c>
      <c r="D61" s="103" t="str">
        <f t="shared" si="3"/>
        <v>BR3</v>
      </c>
      <c r="E61" s="103">
        <f t="shared" si="4"/>
        <v>43</v>
      </c>
      <c r="F61" s="117">
        <f t="shared" si="5"/>
        <v>0.43333333334885538</v>
      </c>
      <c r="G61" s="103">
        <f>VLOOKUP(D61,Lookup!$J$5:$M$19,4,FALSE)-E61</f>
        <v>370</v>
      </c>
      <c r="H61" s="103">
        <f>VLOOKUP(D61,Lookup!$J$5:$K$19,2,FALSE)</f>
        <v>3</v>
      </c>
      <c r="I61" s="103">
        <f ca="1">IFERROR(VLOOKUP(G61,OFFSET(Lookup!$J$21,1,H61-1,5,1),1,1),0)</f>
        <v>333</v>
      </c>
    </row>
    <row r="62" spans="1:9" x14ac:dyDescent="0.25">
      <c r="B62" s="96">
        <v>46</v>
      </c>
      <c r="C62" s="1">
        <v>1.4000000000232831</v>
      </c>
      <c r="D62" s="103" t="str">
        <f t="shared" si="3"/>
        <v>BR3</v>
      </c>
      <c r="E62" s="103">
        <f t="shared" si="4"/>
        <v>46</v>
      </c>
      <c r="F62" s="117">
        <f t="shared" si="5"/>
        <v>1.4000000000232831</v>
      </c>
      <c r="G62" s="103">
        <f>VLOOKUP(D62,Lookup!$J$5:$M$19,4,FALSE)-E62</f>
        <v>367</v>
      </c>
      <c r="H62" s="103">
        <f>VLOOKUP(D62,Lookup!$J$5:$K$19,2,FALSE)</f>
        <v>3</v>
      </c>
      <c r="I62" s="103">
        <f ca="1">IFERROR(VLOOKUP(G62,OFFSET(Lookup!$J$21,1,H62-1,5,1),1,1),0)</f>
        <v>333</v>
      </c>
    </row>
    <row r="63" spans="1:9" x14ac:dyDescent="0.25">
      <c r="B63" s="96">
        <v>50</v>
      </c>
      <c r="C63" s="1">
        <v>26.083333333313931</v>
      </c>
      <c r="D63" s="103" t="str">
        <f t="shared" si="3"/>
        <v>BR3</v>
      </c>
      <c r="E63" s="103">
        <f t="shared" si="4"/>
        <v>50</v>
      </c>
      <c r="F63" s="117">
        <f t="shared" si="5"/>
        <v>26.083333333313931</v>
      </c>
      <c r="G63" s="103">
        <f>VLOOKUP(D63,Lookup!$J$5:$M$19,4,FALSE)-E63</f>
        <v>363</v>
      </c>
      <c r="H63" s="103">
        <f>VLOOKUP(D63,Lookup!$J$5:$K$19,2,FALSE)</f>
        <v>3</v>
      </c>
      <c r="I63" s="103">
        <f ca="1">IFERROR(VLOOKUP(G63,OFFSET(Lookup!$J$21,1,H63-1,5,1),1,1),0)</f>
        <v>333</v>
      </c>
    </row>
    <row r="64" spans="1:9" x14ac:dyDescent="0.25">
      <c r="B64" s="96">
        <v>59</v>
      </c>
      <c r="C64" s="1">
        <v>5.4666666664998047</v>
      </c>
      <c r="D64" s="103" t="str">
        <f t="shared" si="3"/>
        <v>BR3</v>
      </c>
      <c r="E64" s="103">
        <f t="shared" si="4"/>
        <v>59</v>
      </c>
      <c r="F64" s="117">
        <f t="shared" si="5"/>
        <v>5.4666666664998047</v>
      </c>
      <c r="G64" s="103">
        <f>VLOOKUP(D64,Lookup!$J$5:$M$19,4,FALSE)-E64</f>
        <v>354</v>
      </c>
      <c r="H64" s="103">
        <f>VLOOKUP(D64,Lookup!$J$5:$K$19,2,FALSE)</f>
        <v>3</v>
      </c>
      <c r="I64" s="103">
        <f ca="1">IFERROR(VLOOKUP(G64,OFFSET(Lookup!$J$21,1,H64-1,5,1),1,1),0)</f>
        <v>333</v>
      </c>
    </row>
    <row r="65" spans="2:9" x14ac:dyDescent="0.25">
      <c r="B65" s="96">
        <v>60</v>
      </c>
      <c r="C65" s="1">
        <v>3.8166666667093523</v>
      </c>
      <c r="D65" s="103" t="str">
        <f t="shared" si="3"/>
        <v>BR3</v>
      </c>
      <c r="E65" s="103">
        <f t="shared" si="4"/>
        <v>60</v>
      </c>
      <c r="F65" s="117">
        <f t="shared" si="5"/>
        <v>3.8166666667093523</v>
      </c>
      <c r="G65" s="103">
        <f>VLOOKUP(D65,Lookup!$J$5:$M$19,4,FALSE)-E65</f>
        <v>353</v>
      </c>
      <c r="H65" s="103">
        <f>VLOOKUP(D65,Lookup!$J$5:$K$19,2,FALSE)</f>
        <v>3</v>
      </c>
      <c r="I65" s="103">
        <f ca="1">IFERROR(VLOOKUP(G65,OFFSET(Lookup!$J$21,1,H65-1,5,1),1,1),0)</f>
        <v>333</v>
      </c>
    </row>
    <row r="66" spans="2:9" x14ac:dyDescent="0.25">
      <c r="B66" s="96">
        <v>69</v>
      </c>
      <c r="C66" s="1">
        <v>1.3833333334769122</v>
      </c>
      <c r="D66" s="103" t="str">
        <f t="shared" si="3"/>
        <v>BR3</v>
      </c>
      <c r="E66" s="103">
        <f t="shared" si="4"/>
        <v>69</v>
      </c>
      <c r="F66" s="117">
        <f t="shared" si="5"/>
        <v>1.3833333334769122</v>
      </c>
      <c r="G66" s="103">
        <f>VLOOKUP(D66,Lookup!$J$5:$M$19,4,FALSE)-E66</f>
        <v>344</v>
      </c>
      <c r="H66" s="103">
        <f>VLOOKUP(D66,Lookup!$J$5:$K$19,2,FALSE)</f>
        <v>3</v>
      </c>
      <c r="I66" s="103">
        <f ca="1">IFERROR(VLOOKUP(G66,OFFSET(Lookup!$J$21,1,H66-1,5,1),1,1),0)</f>
        <v>333</v>
      </c>
    </row>
    <row r="67" spans="2:9" x14ac:dyDescent="0.25">
      <c r="B67" s="96">
        <v>73</v>
      </c>
      <c r="C67" s="1">
        <v>788.33333333343035</v>
      </c>
      <c r="D67" s="103" t="str">
        <f t="shared" si="3"/>
        <v>BR3</v>
      </c>
      <c r="E67" s="103">
        <f t="shared" si="4"/>
        <v>73</v>
      </c>
      <c r="F67" s="117">
        <f t="shared" si="5"/>
        <v>788.33333333343035</v>
      </c>
      <c r="G67" s="103">
        <f>VLOOKUP(D67,Lookup!$J$5:$M$19,4,FALSE)-E67</f>
        <v>340</v>
      </c>
      <c r="H67" s="103">
        <f>VLOOKUP(D67,Lookup!$J$5:$K$19,2,FALSE)</f>
        <v>3</v>
      </c>
      <c r="I67" s="103">
        <f ca="1">IFERROR(VLOOKUP(G67,OFFSET(Lookup!$J$21,1,H67-1,5,1),1,1),0)</f>
        <v>333</v>
      </c>
    </row>
    <row r="68" spans="2:9" x14ac:dyDescent="0.25">
      <c r="B68" s="96">
        <v>78</v>
      </c>
      <c r="C68" s="1">
        <v>23.250000000174623</v>
      </c>
      <c r="D68" s="103" t="str">
        <f t="shared" si="3"/>
        <v>BR3</v>
      </c>
      <c r="E68" s="103">
        <f t="shared" si="4"/>
        <v>78</v>
      </c>
      <c r="F68" s="117">
        <f t="shared" si="5"/>
        <v>23.250000000174623</v>
      </c>
      <c r="G68" s="103">
        <f>VLOOKUP(D68,Lookup!$J$5:$M$19,4,FALSE)-E68</f>
        <v>335</v>
      </c>
      <c r="H68" s="103">
        <f>VLOOKUP(D68,Lookup!$J$5:$K$19,2,FALSE)</f>
        <v>3</v>
      </c>
      <c r="I68" s="103">
        <f ca="1">IFERROR(VLOOKUP(G68,OFFSET(Lookup!$J$21,1,H68-1,5,1),1,1),0)</f>
        <v>333</v>
      </c>
    </row>
    <row r="69" spans="2:9" x14ac:dyDescent="0.25">
      <c r="B69" s="96">
        <v>82</v>
      </c>
      <c r="C69" s="1">
        <v>19.266666666953824</v>
      </c>
      <c r="D69" s="103" t="str">
        <f t="shared" si="3"/>
        <v>BR3</v>
      </c>
      <c r="E69" s="103">
        <f t="shared" si="4"/>
        <v>82</v>
      </c>
      <c r="F69" s="117">
        <f t="shared" si="5"/>
        <v>19.266666666953824</v>
      </c>
      <c r="G69" s="103">
        <f>VLOOKUP(D69,Lookup!$J$5:$M$19,4,FALSE)-E69</f>
        <v>331</v>
      </c>
      <c r="H69" s="103">
        <f>VLOOKUP(D69,Lookup!$J$5:$K$19,2,FALSE)</f>
        <v>3</v>
      </c>
      <c r="I69" s="103">
        <f ca="1">IFERROR(VLOOKUP(G69,OFFSET(Lookup!$J$21,1,H69-1,5,1),1,1),0)</f>
        <v>253</v>
      </c>
    </row>
    <row r="70" spans="2:9" x14ac:dyDescent="0.25">
      <c r="B70" s="96">
        <v>87</v>
      </c>
      <c r="C70" s="1">
        <v>418.29999999969732</v>
      </c>
      <c r="D70" s="103" t="str">
        <f t="shared" si="3"/>
        <v>BR3</v>
      </c>
      <c r="E70" s="103">
        <f t="shared" si="4"/>
        <v>87</v>
      </c>
      <c r="F70" s="117">
        <f t="shared" si="5"/>
        <v>418.29999999969732</v>
      </c>
      <c r="G70" s="103">
        <f>VLOOKUP(D70,Lookup!$J$5:$M$19,4,FALSE)-E70</f>
        <v>326</v>
      </c>
      <c r="H70" s="103">
        <f>VLOOKUP(D70,Lookup!$J$5:$K$19,2,FALSE)</f>
        <v>3</v>
      </c>
      <c r="I70" s="103">
        <f ca="1">IFERROR(VLOOKUP(G70,OFFSET(Lookup!$J$21,1,H70-1,5,1),1,1),0)</f>
        <v>253</v>
      </c>
    </row>
    <row r="71" spans="2:9" x14ac:dyDescent="0.25">
      <c r="B71" s="96">
        <v>91</v>
      </c>
      <c r="C71" s="1">
        <v>55.249999999883585</v>
      </c>
      <c r="D71" s="103" t="str">
        <f t="shared" si="3"/>
        <v>BR3</v>
      </c>
      <c r="E71" s="103">
        <f t="shared" si="4"/>
        <v>91</v>
      </c>
      <c r="F71" s="117">
        <f t="shared" si="5"/>
        <v>55.249999999883585</v>
      </c>
      <c r="G71" s="103">
        <f>VLOOKUP(D71,Lookup!$J$5:$M$19,4,FALSE)-E71</f>
        <v>322</v>
      </c>
      <c r="H71" s="103">
        <f>VLOOKUP(D71,Lookup!$J$5:$K$19,2,FALSE)</f>
        <v>3</v>
      </c>
      <c r="I71" s="103">
        <f ca="1">IFERROR(VLOOKUP(G71,OFFSET(Lookup!$J$21,1,H71-1,5,1),1,1),0)</f>
        <v>253</v>
      </c>
    </row>
    <row r="72" spans="2:9" x14ac:dyDescent="0.25">
      <c r="B72" s="96">
        <v>96</v>
      </c>
      <c r="C72" s="1">
        <v>217.13333333458286</v>
      </c>
      <c r="D72" s="103" t="str">
        <f t="shared" si="3"/>
        <v>BR3</v>
      </c>
      <c r="E72" s="103">
        <f t="shared" si="4"/>
        <v>96</v>
      </c>
      <c r="F72" s="117">
        <f t="shared" si="5"/>
        <v>217.13333333458286</v>
      </c>
      <c r="G72" s="103">
        <f>VLOOKUP(D72,Lookup!$J$5:$M$19,4,FALSE)-E72</f>
        <v>317</v>
      </c>
      <c r="H72" s="103">
        <f>VLOOKUP(D72,Lookup!$J$5:$K$19,2,FALSE)</f>
        <v>3</v>
      </c>
      <c r="I72" s="103">
        <f ca="1">IFERROR(VLOOKUP(G72,OFFSET(Lookup!$J$21,1,H72-1,5,1),1,1),0)</f>
        <v>253</v>
      </c>
    </row>
    <row r="73" spans="2:9" x14ac:dyDescent="0.25">
      <c r="B73" s="96">
        <v>100</v>
      </c>
      <c r="C73" s="1">
        <v>1.0999999999185093</v>
      </c>
      <c r="D73" s="103" t="str">
        <f t="shared" ref="D73:D136" si="6">IF(A73="",D72,A73)</f>
        <v>BR3</v>
      </c>
      <c r="E73" s="103">
        <f t="shared" ref="E73:E136" si="7">IF(B73="",E72,B73)</f>
        <v>100</v>
      </c>
      <c r="F73" s="117">
        <f t="shared" ref="F73:F136" si="8">IF(C73="",F72,C73)</f>
        <v>1.0999999999185093</v>
      </c>
      <c r="G73" s="103">
        <f>VLOOKUP(D73,Lookup!$J$5:$M$19,4,FALSE)-E73</f>
        <v>313</v>
      </c>
      <c r="H73" s="103">
        <f>VLOOKUP(D73,Lookup!$J$5:$K$19,2,FALSE)</f>
        <v>3</v>
      </c>
      <c r="I73" s="103">
        <f ca="1">IFERROR(VLOOKUP(G73,OFFSET(Lookup!$J$21,1,H73-1,5,1),1,1),0)</f>
        <v>253</v>
      </c>
    </row>
    <row r="74" spans="2:9" x14ac:dyDescent="0.25">
      <c r="B74" s="96">
        <v>105</v>
      </c>
      <c r="C74" s="1">
        <v>24.716666666732635</v>
      </c>
      <c r="D74" s="103" t="str">
        <f t="shared" si="6"/>
        <v>BR3</v>
      </c>
      <c r="E74" s="103">
        <f t="shared" si="7"/>
        <v>105</v>
      </c>
      <c r="F74" s="117">
        <f t="shared" si="8"/>
        <v>24.716666666732635</v>
      </c>
      <c r="G74" s="103">
        <f>VLOOKUP(D74,Lookup!$J$5:$M$19,4,FALSE)-E74</f>
        <v>308</v>
      </c>
      <c r="H74" s="103">
        <f>VLOOKUP(D74,Lookup!$J$5:$K$19,2,FALSE)</f>
        <v>3</v>
      </c>
      <c r="I74" s="103">
        <f ca="1">IFERROR(VLOOKUP(G74,OFFSET(Lookup!$J$21,1,H74-1,5,1),1,1),0)</f>
        <v>253</v>
      </c>
    </row>
    <row r="75" spans="2:9" x14ac:dyDescent="0.25">
      <c r="B75" s="96">
        <v>109</v>
      </c>
      <c r="C75" s="1">
        <v>4.1500000000814907</v>
      </c>
      <c r="D75" s="103" t="str">
        <f t="shared" si="6"/>
        <v>BR3</v>
      </c>
      <c r="E75" s="103">
        <f t="shared" si="7"/>
        <v>109</v>
      </c>
      <c r="F75" s="117">
        <f t="shared" si="8"/>
        <v>4.1500000000814907</v>
      </c>
      <c r="G75" s="103">
        <f>VLOOKUP(D75,Lookup!$J$5:$M$19,4,FALSE)-E75</f>
        <v>304</v>
      </c>
      <c r="H75" s="103">
        <f>VLOOKUP(D75,Lookup!$J$5:$K$19,2,FALSE)</f>
        <v>3</v>
      </c>
      <c r="I75" s="103">
        <f ca="1">IFERROR(VLOOKUP(G75,OFFSET(Lookup!$J$21,1,H75-1,5,1),1,1),0)</f>
        <v>253</v>
      </c>
    </row>
    <row r="76" spans="2:9" x14ac:dyDescent="0.25">
      <c r="B76" s="96">
        <v>114</v>
      </c>
      <c r="C76" s="1">
        <v>9.7000000000116415</v>
      </c>
      <c r="D76" s="103" t="str">
        <f t="shared" si="6"/>
        <v>BR3</v>
      </c>
      <c r="E76" s="103">
        <f t="shared" si="7"/>
        <v>114</v>
      </c>
      <c r="F76" s="117">
        <f t="shared" si="8"/>
        <v>9.7000000000116415</v>
      </c>
      <c r="G76" s="103">
        <f>VLOOKUP(D76,Lookup!$J$5:$M$19,4,FALSE)-E76</f>
        <v>299</v>
      </c>
      <c r="H76" s="103">
        <f>VLOOKUP(D76,Lookup!$J$5:$K$19,2,FALSE)</f>
        <v>3</v>
      </c>
      <c r="I76" s="103">
        <f ca="1">IFERROR(VLOOKUP(G76,OFFSET(Lookup!$J$21,1,H76-1,5,1),1,1),0)</f>
        <v>253</v>
      </c>
    </row>
    <row r="77" spans="2:9" x14ac:dyDescent="0.25">
      <c r="B77" s="96">
        <v>118</v>
      </c>
      <c r="C77" s="1">
        <v>208.09999999974389</v>
      </c>
      <c r="D77" s="103" t="str">
        <f t="shared" si="6"/>
        <v>BR3</v>
      </c>
      <c r="E77" s="103">
        <f t="shared" si="7"/>
        <v>118</v>
      </c>
      <c r="F77" s="117">
        <f t="shared" si="8"/>
        <v>208.09999999974389</v>
      </c>
      <c r="G77" s="103">
        <f>VLOOKUP(D77,Lookup!$J$5:$M$19,4,FALSE)-E77</f>
        <v>295</v>
      </c>
      <c r="H77" s="103">
        <f>VLOOKUP(D77,Lookup!$J$5:$K$19,2,FALSE)</f>
        <v>3</v>
      </c>
      <c r="I77" s="103">
        <f ca="1">IFERROR(VLOOKUP(G77,OFFSET(Lookup!$J$21,1,H77-1,5,1),1,1),0)</f>
        <v>253</v>
      </c>
    </row>
    <row r="78" spans="2:9" x14ac:dyDescent="0.25">
      <c r="B78" s="96">
        <v>123</v>
      </c>
      <c r="C78" s="1">
        <v>689.79999999969732</v>
      </c>
      <c r="D78" s="103" t="str">
        <f t="shared" si="6"/>
        <v>BR3</v>
      </c>
      <c r="E78" s="103">
        <f t="shared" si="7"/>
        <v>123</v>
      </c>
      <c r="F78" s="117">
        <f t="shared" si="8"/>
        <v>689.79999999969732</v>
      </c>
      <c r="G78" s="103">
        <f>VLOOKUP(D78,Lookup!$J$5:$M$19,4,FALSE)-E78</f>
        <v>290</v>
      </c>
      <c r="H78" s="103">
        <f>VLOOKUP(D78,Lookup!$J$5:$K$19,2,FALSE)</f>
        <v>3</v>
      </c>
      <c r="I78" s="103">
        <f ca="1">IFERROR(VLOOKUP(G78,OFFSET(Lookup!$J$21,1,H78-1,5,1),1,1),0)</f>
        <v>253</v>
      </c>
    </row>
    <row r="79" spans="2:9" x14ac:dyDescent="0.25">
      <c r="B79" s="96">
        <v>127</v>
      </c>
      <c r="C79" s="1">
        <v>9.3500000002677552</v>
      </c>
      <c r="D79" s="103" t="str">
        <f t="shared" si="6"/>
        <v>BR3</v>
      </c>
      <c r="E79" s="103">
        <f t="shared" si="7"/>
        <v>127</v>
      </c>
      <c r="F79" s="117">
        <f t="shared" si="8"/>
        <v>9.3500000002677552</v>
      </c>
      <c r="G79" s="103">
        <f>VLOOKUP(D79,Lookup!$J$5:$M$19,4,FALSE)-E79</f>
        <v>286</v>
      </c>
      <c r="H79" s="103">
        <f>VLOOKUP(D79,Lookup!$J$5:$K$19,2,FALSE)</f>
        <v>3</v>
      </c>
      <c r="I79" s="103">
        <f ca="1">IFERROR(VLOOKUP(G79,OFFSET(Lookup!$J$21,1,H79-1,5,1),1,1),0)</f>
        <v>253</v>
      </c>
    </row>
    <row r="80" spans="2:9" x14ac:dyDescent="0.25">
      <c r="B80" s="96">
        <v>130</v>
      </c>
      <c r="C80" s="1">
        <v>61.083333333372138</v>
      </c>
      <c r="D80" s="103" t="str">
        <f t="shared" si="6"/>
        <v>BR3</v>
      </c>
      <c r="E80" s="103">
        <f t="shared" si="7"/>
        <v>130</v>
      </c>
      <c r="F80" s="117">
        <f t="shared" si="8"/>
        <v>61.083333333372138</v>
      </c>
      <c r="G80" s="103">
        <f>VLOOKUP(D80,Lookup!$J$5:$M$19,4,FALSE)-E80</f>
        <v>283</v>
      </c>
      <c r="H80" s="103">
        <f>VLOOKUP(D80,Lookup!$J$5:$K$19,2,FALSE)</f>
        <v>3</v>
      </c>
      <c r="I80" s="103">
        <f ca="1">IFERROR(VLOOKUP(G80,OFFSET(Lookup!$J$21,1,H80-1,5,1),1,1),0)</f>
        <v>253</v>
      </c>
    </row>
    <row r="81" spans="2:9" x14ac:dyDescent="0.25">
      <c r="B81" s="96">
        <v>132</v>
      </c>
      <c r="C81" s="1">
        <v>889.15000000025611</v>
      </c>
      <c r="D81" s="103" t="str">
        <f t="shared" si="6"/>
        <v>BR3</v>
      </c>
      <c r="E81" s="103">
        <f t="shared" si="7"/>
        <v>132</v>
      </c>
      <c r="F81" s="117">
        <f t="shared" si="8"/>
        <v>889.15000000025611</v>
      </c>
      <c r="G81" s="103">
        <f>VLOOKUP(D81,Lookup!$J$5:$M$19,4,FALSE)-E81</f>
        <v>281</v>
      </c>
      <c r="H81" s="103">
        <f>VLOOKUP(D81,Lookup!$J$5:$K$19,2,FALSE)</f>
        <v>3</v>
      </c>
      <c r="I81" s="103">
        <f ca="1">IFERROR(VLOOKUP(G81,OFFSET(Lookup!$J$21,1,H81-1,5,1),1,1),0)</f>
        <v>253</v>
      </c>
    </row>
    <row r="82" spans="2:9" x14ac:dyDescent="0.25">
      <c r="B82" s="96">
        <v>136</v>
      </c>
      <c r="C82" s="1">
        <v>29.799999999871943</v>
      </c>
      <c r="D82" s="103" t="str">
        <f t="shared" si="6"/>
        <v>BR3</v>
      </c>
      <c r="E82" s="103">
        <f t="shared" si="7"/>
        <v>136</v>
      </c>
      <c r="F82" s="117">
        <f t="shared" si="8"/>
        <v>29.799999999871943</v>
      </c>
      <c r="G82" s="103">
        <f>VLOOKUP(D82,Lookup!$J$5:$M$19,4,FALSE)-E82</f>
        <v>277</v>
      </c>
      <c r="H82" s="103">
        <f>VLOOKUP(D82,Lookup!$J$5:$K$19,2,FALSE)</f>
        <v>3</v>
      </c>
      <c r="I82" s="103">
        <f ca="1">IFERROR(VLOOKUP(G82,OFFSET(Lookup!$J$21,1,H82-1,5,1),1,1),0)</f>
        <v>253</v>
      </c>
    </row>
    <row r="83" spans="2:9" x14ac:dyDescent="0.25">
      <c r="B83" s="96">
        <v>141</v>
      </c>
      <c r="C83" s="1">
        <v>111.05000000016298</v>
      </c>
      <c r="D83" s="103" t="str">
        <f t="shared" si="6"/>
        <v>BR3</v>
      </c>
      <c r="E83" s="103">
        <f t="shared" si="7"/>
        <v>141</v>
      </c>
      <c r="F83" s="117">
        <f t="shared" si="8"/>
        <v>111.05000000016298</v>
      </c>
      <c r="G83" s="103">
        <f>VLOOKUP(D83,Lookup!$J$5:$M$19,4,FALSE)-E83</f>
        <v>272</v>
      </c>
      <c r="H83" s="103">
        <f>VLOOKUP(D83,Lookup!$J$5:$K$19,2,FALSE)</f>
        <v>3</v>
      </c>
      <c r="I83" s="103">
        <f ca="1">IFERROR(VLOOKUP(G83,OFFSET(Lookup!$J$21,1,H83-1,5,1),1,1),0)</f>
        <v>253</v>
      </c>
    </row>
    <row r="84" spans="2:9" x14ac:dyDescent="0.25">
      <c r="B84" s="96">
        <v>145</v>
      </c>
      <c r="C84" s="1">
        <v>0.81666666670935228</v>
      </c>
      <c r="D84" s="103" t="str">
        <f t="shared" si="6"/>
        <v>BR3</v>
      </c>
      <c r="E84" s="103">
        <f t="shared" si="7"/>
        <v>145</v>
      </c>
      <c r="F84" s="117">
        <f t="shared" si="8"/>
        <v>0.81666666670935228</v>
      </c>
      <c r="G84" s="103">
        <f>VLOOKUP(D84,Lookup!$J$5:$M$19,4,FALSE)-E84</f>
        <v>268</v>
      </c>
      <c r="H84" s="103">
        <f>VLOOKUP(D84,Lookup!$J$5:$K$19,2,FALSE)</f>
        <v>3</v>
      </c>
      <c r="I84" s="103">
        <f ca="1">IFERROR(VLOOKUP(G84,OFFSET(Lookup!$J$21,1,H84-1,5,1),1,1),0)</f>
        <v>253</v>
      </c>
    </row>
    <row r="85" spans="2:9" x14ac:dyDescent="0.25">
      <c r="B85" s="96">
        <v>148</v>
      </c>
      <c r="C85" s="1">
        <v>0.10000000015133992</v>
      </c>
      <c r="D85" s="103" t="str">
        <f t="shared" si="6"/>
        <v>BR3</v>
      </c>
      <c r="E85" s="103">
        <f t="shared" si="7"/>
        <v>148</v>
      </c>
      <c r="F85" s="117">
        <f t="shared" si="8"/>
        <v>0.10000000015133992</v>
      </c>
      <c r="G85" s="103">
        <f>VLOOKUP(D85,Lookup!$J$5:$M$19,4,FALSE)-E85</f>
        <v>265</v>
      </c>
      <c r="H85" s="103">
        <f>VLOOKUP(D85,Lookup!$J$5:$K$19,2,FALSE)</f>
        <v>3</v>
      </c>
      <c r="I85" s="103">
        <f ca="1">IFERROR(VLOOKUP(G85,OFFSET(Lookup!$J$21,1,H85-1,5,1),1,1),0)</f>
        <v>253</v>
      </c>
    </row>
    <row r="86" spans="2:9" x14ac:dyDescent="0.25">
      <c r="B86" s="96">
        <v>150</v>
      </c>
      <c r="C86" s="1">
        <v>112.1333333333605</v>
      </c>
      <c r="D86" s="103" t="str">
        <f t="shared" si="6"/>
        <v>BR3</v>
      </c>
      <c r="E86" s="103">
        <f t="shared" si="7"/>
        <v>150</v>
      </c>
      <c r="F86" s="117">
        <f t="shared" si="8"/>
        <v>112.1333333333605</v>
      </c>
      <c r="G86" s="103">
        <f>VLOOKUP(D86,Lookup!$J$5:$M$19,4,FALSE)-E86</f>
        <v>263</v>
      </c>
      <c r="H86" s="103">
        <f>VLOOKUP(D86,Lookup!$J$5:$K$19,2,FALSE)</f>
        <v>3</v>
      </c>
      <c r="I86" s="103">
        <f ca="1">IFERROR(VLOOKUP(G86,OFFSET(Lookup!$J$21,1,H86-1,5,1),1,1),0)</f>
        <v>253</v>
      </c>
    </row>
    <row r="87" spans="2:9" x14ac:dyDescent="0.25">
      <c r="B87" s="96">
        <v>154</v>
      </c>
      <c r="C87" s="1">
        <v>4.5166666665463708</v>
      </c>
      <c r="D87" s="103" t="str">
        <f t="shared" si="6"/>
        <v>BR3</v>
      </c>
      <c r="E87" s="103">
        <f t="shared" si="7"/>
        <v>154</v>
      </c>
      <c r="F87" s="117">
        <f t="shared" si="8"/>
        <v>4.5166666665463708</v>
      </c>
      <c r="G87" s="103">
        <f>VLOOKUP(D87,Lookup!$J$5:$M$19,4,FALSE)-E87</f>
        <v>259</v>
      </c>
      <c r="H87" s="103">
        <f>VLOOKUP(D87,Lookup!$J$5:$K$19,2,FALSE)</f>
        <v>3</v>
      </c>
      <c r="I87" s="103">
        <f ca="1">IFERROR(VLOOKUP(G87,OFFSET(Lookup!$J$21,1,H87-1,5,1),1,1),0)</f>
        <v>253</v>
      </c>
    </row>
    <row r="88" spans="2:9" x14ac:dyDescent="0.25">
      <c r="B88" s="96">
        <v>159</v>
      </c>
      <c r="C88" s="1">
        <v>31.083333333197515</v>
      </c>
      <c r="D88" s="103" t="str">
        <f t="shared" si="6"/>
        <v>BR3</v>
      </c>
      <c r="E88" s="103">
        <f t="shared" si="7"/>
        <v>159</v>
      </c>
      <c r="F88" s="117">
        <f t="shared" si="8"/>
        <v>31.083333333197515</v>
      </c>
      <c r="G88" s="103">
        <f>VLOOKUP(D88,Lookup!$J$5:$M$19,4,FALSE)-E88</f>
        <v>254</v>
      </c>
      <c r="H88" s="103">
        <f>VLOOKUP(D88,Lookup!$J$5:$K$19,2,FALSE)</f>
        <v>3</v>
      </c>
      <c r="I88" s="103">
        <f ca="1">IFERROR(VLOOKUP(G88,OFFSET(Lookup!$J$21,1,H88-1,5,1),1,1),0)</f>
        <v>253</v>
      </c>
    </row>
    <row r="89" spans="2:9" x14ac:dyDescent="0.25">
      <c r="B89" s="96">
        <v>163</v>
      </c>
      <c r="C89" s="1">
        <v>3.0999999999767169</v>
      </c>
      <c r="D89" s="103" t="str">
        <f t="shared" si="6"/>
        <v>BR3</v>
      </c>
      <c r="E89" s="103">
        <f t="shared" si="7"/>
        <v>163</v>
      </c>
      <c r="F89" s="117">
        <f t="shared" si="8"/>
        <v>3.0999999999767169</v>
      </c>
      <c r="G89" s="103">
        <f>VLOOKUP(D89,Lookup!$J$5:$M$19,4,FALSE)-E89</f>
        <v>250</v>
      </c>
      <c r="H89" s="103">
        <f>VLOOKUP(D89,Lookup!$J$5:$K$19,2,FALSE)</f>
        <v>3</v>
      </c>
      <c r="I89" s="103">
        <f ca="1">IFERROR(VLOOKUP(G89,OFFSET(Lookup!$J$21,1,H89-1,5,1),1,1),0)</f>
        <v>223</v>
      </c>
    </row>
    <row r="90" spans="2:9" x14ac:dyDescent="0.25">
      <c r="B90" s="96">
        <v>168</v>
      </c>
      <c r="C90" s="1">
        <v>0.81666666670935228</v>
      </c>
      <c r="D90" s="103" t="str">
        <f t="shared" si="6"/>
        <v>BR3</v>
      </c>
      <c r="E90" s="103">
        <f t="shared" si="7"/>
        <v>168</v>
      </c>
      <c r="F90" s="117">
        <f t="shared" si="8"/>
        <v>0.81666666670935228</v>
      </c>
      <c r="G90" s="103">
        <f>VLOOKUP(D90,Lookup!$J$5:$M$19,4,FALSE)-E90</f>
        <v>245</v>
      </c>
      <c r="H90" s="103">
        <f>VLOOKUP(D90,Lookup!$J$5:$K$19,2,FALSE)</f>
        <v>3</v>
      </c>
      <c r="I90" s="103">
        <f ca="1">IFERROR(VLOOKUP(G90,OFFSET(Lookup!$J$21,1,H90-1,5,1),1,1),0)</f>
        <v>223</v>
      </c>
    </row>
    <row r="91" spans="2:9" x14ac:dyDescent="0.25">
      <c r="B91" s="96">
        <v>177</v>
      </c>
      <c r="C91" s="1">
        <v>1.5499999999883585</v>
      </c>
      <c r="D91" s="103" t="str">
        <f t="shared" si="6"/>
        <v>BR3</v>
      </c>
      <c r="E91" s="103">
        <f t="shared" si="7"/>
        <v>177</v>
      </c>
      <c r="F91" s="117">
        <f t="shared" si="8"/>
        <v>1.5499999999883585</v>
      </c>
      <c r="G91" s="103">
        <f>VLOOKUP(D91,Lookup!$J$5:$M$19,4,FALSE)-E91</f>
        <v>236</v>
      </c>
      <c r="H91" s="103">
        <f>VLOOKUP(D91,Lookup!$J$5:$K$19,2,FALSE)</f>
        <v>3</v>
      </c>
      <c r="I91" s="103">
        <f ca="1">IFERROR(VLOOKUP(G91,OFFSET(Lookup!$J$21,1,H91-1,5,1),1,1),0)</f>
        <v>223</v>
      </c>
    </row>
    <row r="92" spans="2:9" x14ac:dyDescent="0.25">
      <c r="B92" s="96">
        <v>186</v>
      </c>
      <c r="C92" s="1">
        <v>21.166666666686069</v>
      </c>
      <c r="D92" s="103" t="str">
        <f t="shared" si="6"/>
        <v>BR3</v>
      </c>
      <c r="E92" s="103">
        <f t="shared" si="7"/>
        <v>186</v>
      </c>
      <c r="F92" s="117">
        <f t="shared" si="8"/>
        <v>21.166666666686069</v>
      </c>
      <c r="G92" s="103">
        <f>VLOOKUP(D92,Lookup!$J$5:$M$19,4,FALSE)-E92</f>
        <v>227</v>
      </c>
      <c r="H92" s="103">
        <f>VLOOKUP(D92,Lookup!$J$5:$K$19,2,FALSE)</f>
        <v>3</v>
      </c>
      <c r="I92" s="103">
        <f ca="1">IFERROR(VLOOKUP(G92,OFFSET(Lookup!$J$21,1,H92-1,5,1),1,1),0)</f>
        <v>223</v>
      </c>
    </row>
    <row r="93" spans="2:9" x14ac:dyDescent="0.25">
      <c r="B93" s="96">
        <v>190</v>
      </c>
      <c r="C93" s="1">
        <v>0.6000000000349246</v>
      </c>
      <c r="D93" s="103" t="str">
        <f t="shared" si="6"/>
        <v>BR3</v>
      </c>
      <c r="E93" s="103">
        <f t="shared" si="7"/>
        <v>190</v>
      </c>
      <c r="F93" s="117">
        <f t="shared" si="8"/>
        <v>0.6000000000349246</v>
      </c>
      <c r="G93" s="103">
        <f>VLOOKUP(D93,Lookup!$J$5:$M$19,4,FALSE)-E93</f>
        <v>223</v>
      </c>
      <c r="H93" s="103">
        <f>VLOOKUP(D93,Lookup!$J$5:$K$19,2,FALSE)</f>
        <v>3</v>
      </c>
      <c r="I93" s="103">
        <f ca="1">IFERROR(VLOOKUP(G93,OFFSET(Lookup!$J$21,1,H93-1,5,1),1,1),0)</f>
        <v>223</v>
      </c>
    </row>
    <row r="94" spans="2:9" x14ac:dyDescent="0.25">
      <c r="B94" s="96">
        <v>195</v>
      </c>
      <c r="C94" s="1">
        <v>8.0500000000465661</v>
      </c>
      <c r="D94" s="103" t="str">
        <f t="shared" si="6"/>
        <v>BR3</v>
      </c>
      <c r="E94" s="103">
        <f t="shared" si="7"/>
        <v>195</v>
      </c>
      <c r="F94" s="117">
        <f t="shared" si="8"/>
        <v>8.0500000000465661</v>
      </c>
      <c r="G94" s="103">
        <f>VLOOKUP(D94,Lookup!$J$5:$M$19,4,FALSE)-E94</f>
        <v>218</v>
      </c>
      <c r="H94" s="103">
        <f>VLOOKUP(D94,Lookup!$J$5:$K$19,2,FALSE)</f>
        <v>3</v>
      </c>
      <c r="I94" s="103">
        <f ca="1">IFERROR(VLOOKUP(G94,OFFSET(Lookup!$J$21,1,H94-1,5,1),1,1),0)</f>
        <v>140</v>
      </c>
    </row>
    <row r="95" spans="2:9" x14ac:dyDescent="0.25">
      <c r="B95" s="96">
        <v>208</v>
      </c>
      <c r="C95" s="1">
        <v>3.6666666665696539</v>
      </c>
      <c r="D95" s="103" t="str">
        <f t="shared" si="6"/>
        <v>BR3</v>
      </c>
      <c r="E95" s="103">
        <f t="shared" si="7"/>
        <v>208</v>
      </c>
      <c r="F95" s="117">
        <f t="shared" si="8"/>
        <v>3.6666666665696539</v>
      </c>
      <c r="G95" s="103">
        <f>VLOOKUP(D95,Lookup!$J$5:$M$19,4,FALSE)-E95</f>
        <v>205</v>
      </c>
      <c r="H95" s="103">
        <f>VLOOKUP(D95,Lookup!$J$5:$K$19,2,FALSE)</f>
        <v>3</v>
      </c>
      <c r="I95" s="103">
        <f ca="1">IFERROR(VLOOKUP(G95,OFFSET(Lookup!$J$21,1,H95-1,5,1),1,1),0)</f>
        <v>140</v>
      </c>
    </row>
    <row r="96" spans="2:9" x14ac:dyDescent="0.25">
      <c r="B96" s="96">
        <v>231</v>
      </c>
      <c r="C96" s="1">
        <v>0.73333333327900618</v>
      </c>
      <c r="D96" s="103" t="str">
        <f t="shared" si="6"/>
        <v>BR3</v>
      </c>
      <c r="E96" s="103">
        <f t="shared" si="7"/>
        <v>231</v>
      </c>
      <c r="F96" s="117">
        <f t="shared" si="8"/>
        <v>0.73333333327900618</v>
      </c>
      <c r="G96" s="103">
        <f>VLOOKUP(D96,Lookup!$J$5:$M$19,4,FALSE)-E96</f>
        <v>182</v>
      </c>
      <c r="H96" s="103">
        <f>VLOOKUP(D96,Lookup!$J$5:$K$19,2,FALSE)</f>
        <v>3</v>
      </c>
      <c r="I96" s="103">
        <f ca="1">IFERROR(VLOOKUP(G96,OFFSET(Lookup!$J$21,1,H96-1,5,1),1,1),0)</f>
        <v>140</v>
      </c>
    </row>
    <row r="97" spans="1:9" x14ac:dyDescent="0.25">
      <c r="B97" s="96">
        <v>249</v>
      </c>
      <c r="C97" s="1">
        <v>44.599999999918509</v>
      </c>
      <c r="D97" s="103" t="str">
        <f t="shared" si="6"/>
        <v>BR3</v>
      </c>
      <c r="E97" s="103">
        <f t="shared" si="7"/>
        <v>249</v>
      </c>
      <c r="F97" s="117">
        <f t="shared" si="8"/>
        <v>44.599999999918509</v>
      </c>
      <c r="G97" s="103">
        <f>VLOOKUP(D97,Lookup!$J$5:$M$19,4,FALSE)-E97</f>
        <v>164</v>
      </c>
      <c r="H97" s="103">
        <f>VLOOKUP(D97,Lookup!$J$5:$K$19,2,FALSE)</f>
        <v>3</v>
      </c>
      <c r="I97" s="103">
        <f ca="1">IFERROR(VLOOKUP(G97,OFFSET(Lookup!$J$21,1,H97-1,5,1),1,1),0)</f>
        <v>140</v>
      </c>
    </row>
    <row r="98" spans="1:9" x14ac:dyDescent="0.25">
      <c r="B98" s="96">
        <v>267</v>
      </c>
      <c r="C98" s="1">
        <v>2.1333333334769122</v>
      </c>
      <c r="D98" s="103" t="str">
        <f t="shared" si="6"/>
        <v>BR3</v>
      </c>
      <c r="E98" s="103">
        <f t="shared" si="7"/>
        <v>267</v>
      </c>
      <c r="F98" s="117">
        <f t="shared" si="8"/>
        <v>2.1333333334769122</v>
      </c>
      <c r="G98" s="103">
        <f>VLOOKUP(D98,Lookup!$J$5:$M$19,4,FALSE)-E98</f>
        <v>146</v>
      </c>
      <c r="H98" s="103">
        <f>VLOOKUP(D98,Lookup!$J$5:$K$19,2,FALSE)</f>
        <v>3</v>
      </c>
      <c r="I98" s="103">
        <f ca="1">IFERROR(VLOOKUP(G98,OFFSET(Lookup!$J$21,1,H98-1,5,1),1,1),0)</f>
        <v>140</v>
      </c>
    </row>
    <row r="99" spans="1:9" x14ac:dyDescent="0.25">
      <c r="B99" s="96">
        <v>280</v>
      </c>
      <c r="C99" s="1">
        <v>0.66666666674427688</v>
      </c>
      <c r="D99" s="103" t="str">
        <f t="shared" si="6"/>
        <v>BR3</v>
      </c>
      <c r="E99" s="103">
        <f t="shared" si="7"/>
        <v>280</v>
      </c>
      <c r="F99" s="117">
        <f t="shared" si="8"/>
        <v>0.66666666674427688</v>
      </c>
      <c r="G99" s="103">
        <f>VLOOKUP(D99,Lookup!$J$5:$M$19,4,FALSE)-E99</f>
        <v>133</v>
      </c>
      <c r="H99" s="103">
        <f>VLOOKUP(D99,Lookup!$J$5:$K$19,2,FALSE)</f>
        <v>3</v>
      </c>
      <c r="I99" s="103">
        <f ca="1">IFERROR(VLOOKUP(G99,OFFSET(Lookup!$J$21,1,H99-1,5,1),1,1),0)</f>
        <v>0</v>
      </c>
    </row>
    <row r="100" spans="1:9" x14ac:dyDescent="0.25">
      <c r="B100" s="96">
        <v>285</v>
      </c>
      <c r="C100" s="1">
        <v>3.2666666666627862</v>
      </c>
      <c r="D100" s="103" t="str">
        <f t="shared" si="6"/>
        <v>BR3</v>
      </c>
      <c r="E100" s="103">
        <f t="shared" si="7"/>
        <v>285</v>
      </c>
      <c r="F100" s="117">
        <f t="shared" si="8"/>
        <v>3.2666666666627862</v>
      </c>
      <c r="G100" s="103">
        <f>VLOOKUP(D100,Lookup!$J$5:$M$19,4,FALSE)-E100</f>
        <v>128</v>
      </c>
      <c r="H100" s="103">
        <f>VLOOKUP(D100,Lookup!$J$5:$K$19,2,FALSE)</f>
        <v>3</v>
      </c>
      <c r="I100" s="103">
        <f ca="1">IFERROR(VLOOKUP(G100,OFFSET(Lookup!$J$21,1,H100-1,5,1),1,1),0)</f>
        <v>0</v>
      </c>
    </row>
    <row r="101" spans="1:9" x14ac:dyDescent="0.25">
      <c r="B101" s="96">
        <v>316</v>
      </c>
      <c r="C101" s="1">
        <v>0.73333333345362917</v>
      </c>
      <c r="D101" s="103" t="str">
        <f t="shared" si="6"/>
        <v>BR3</v>
      </c>
      <c r="E101" s="103">
        <f t="shared" si="7"/>
        <v>316</v>
      </c>
      <c r="F101" s="117">
        <f t="shared" si="8"/>
        <v>0.73333333345362917</v>
      </c>
      <c r="G101" s="103">
        <f>VLOOKUP(D101,Lookup!$J$5:$M$19,4,FALSE)-E101</f>
        <v>97</v>
      </c>
      <c r="H101" s="103">
        <f>VLOOKUP(D101,Lookup!$J$5:$K$19,2,FALSE)</f>
        <v>3</v>
      </c>
      <c r="I101" s="103">
        <f ca="1">IFERROR(VLOOKUP(G101,OFFSET(Lookup!$J$21,1,H101-1,5,1),1,1),0)</f>
        <v>0</v>
      </c>
    </row>
    <row r="102" spans="1:9" x14ac:dyDescent="0.25">
      <c r="B102" s="96">
        <v>325</v>
      </c>
      <c r="C102" s="1">
        <v>0.46666666679084301</v>
      </c>
      <c r="D102" s="103" t="str">
        <f t="shared" si="6"/>
        <v>BR3</v>
      </c>
      <c r="E102" s="103">
        <f t="shared" si="7"/>
        <v>325</v>
      </c>
      <c r="F102" s="117">
        <f t="shared" si="8"/>
        <v>0.46666666679084301</v>
      </c>
      <c r="G102" s="103">
        <f>VLOOKUP(D102,Lookup!$J$5:$M$19,4,FALSE)-E102</f>
        <v>88</v>
      </c>
      <c r="H102" s="103">
        <f>VLOOKUP(D102,Lookup!$J$5:$K$19,2,FALSE)</f>
        <v>3</v>
      </c>
      <c r="I102" s="103">
        <f ca="1">IFERROR(VLOOKUP(G102,OFFSET(Lookup!$J$21,1,H102-1,5,1),1,1),0)</f>
        <v>0</v>
      </c>
    </row>
    <row r="103" spans="1:9" x14ac:dyDescent="0.25">
      <c r="B103" s="96">
        <v>336</v>
      </c>
      <c r="C103" s="1">
        <v>5.3666666666977108</v>
      </c>
      <c r="D103" s="103" t="str">
        <f t="shared" si="6"/>
        <v>BR3</v>
      </c>
      <c r="E103" s="103">
        <f t="shared" si="7"/>
        <v>336</v>
      </c>
      <c r="F103" s="117">
        <f t="shared" si="8"/>
        <v>5.3666666666977108</v>
      </c>
      <c r="G103" s="103">
        <f>VLOOKUP(D103,Lookup!$J$5:$M$19,4,FALSE)-E103</f>
        <v>77</v>
      </c>
      <c r="H103" s="103">
        <f>VLOOKUP(D103,Lookup!$J$5:$K$19,2,FALSE)</f>
        <v>3</v>
      </c>
      <c r="I103" s="103">
        <f ca="1">IFERROR(VLOOKUP(G103,OFFSET(Lookup!$J$21,1,H103-1,5,1),1,1),0)</f>
        <v>0</v>
      </c>
    </row>
    <row r="104" spans="1:9" x14ac:dyDescent="0.25">
      <c r="B104" s="96">
        <v>351</v>
      </c>
      <c r="C104" s="1">
        <v>4.5333333334419876</v>
      </c>
      <c r="D104" s="103" t="str">
        <f t="shared" si="6"/>
        <v>BR3</v>
      </c>
      <c r="E104" s="103">
        <f t="shared" si="7"/>
        <v>351</v>
      </c>
      <c r="F104" s="117">
        <f t="shared" si="8"/>
        <v>4.5333333334419876</v>
      </c>
      <c r="G104" s="103">
        <f>VLOOKUP(D104,Lookup!$J$5:$M$19,4,FALSE)-E104</f>
        <v>62</v>
      </c>
      <c r="H104" s="103">
        <f>VLOOKUP(D104,Lookup!$J$5:$K$19,2,FALSE)</f>
        <v>3</v>
      </c>
      <c r="I104" s="103">
        <f ca="1">IFERROR(VLOOKUP(G104,OFFSET(Lookup!$J$21,1,H104-1,5,1),1,1),0)</f>
        <v>0</v>
      </c>
    </row>
    <row r="105" spans="1:9" x14ac:dyDescent="0.25">
      <c r="B105" s="96">
        <v>357</v>
      </c>
      <c r="C105" s="1">
        <v>0.49999999988358468</v>
      </c>
      <c r="D105" s="103" t="str">
        <f t="shared" si="6"/>
        <v>BR3</v>
      </c>
      <c r="E105" s="103">
        <f t="shared" si="7"/>
        <v>357</v>
      </c>
      <c r="F105" s="117">
        <f t="shared" si="8"/>
        <v>0.49999999988358468</v>
      </c>
      <c r="G105" s="103">
        <f>VLOOKUP(D105,Lookup!$J$5:$M$19,4,FALSE)-E105</f>
        <v>56</v>
      </c>
      <c r="H105" s="103">
        <f>VLOOKUP(D105,Lookup!$J$5:$K$19,2,FALSE)</f>
        <v>3</v>
      </c>
      <c r="I105" s="103">
        <f ca="1">IFERROR(VLOOKUP(G105,OFFSET(Lookup!$J$21,1,H105-1,5,1),1,1),0)</f>
        <v>0</v>
      </c>
    </row>
    <row r="106" spans="1:9" x14ac:dyDescent="0.25">
      <c r="B106" s="96">
        <v>360</v>
      </c>
      <c r="C106" s="1">
        <v>3.28333333338378</v>
      </c>
      <c r="D106" s="103" t="str">
        <f t="shared" si="6"/>
        <v>BR3</v>
      </c>
      <c r="E106" s="103">
        <f t="shared" si="7"/>
        <v>360</v>
      </c>
      <c r="F106" s="117">
        <f t="shared" si="8"/>
        <v>3.28333333338378</v>
      </c>
      <c r="G106" s="103">
        <f>VLOOKUP(D106,Lookup!$J$5:$M$19,4,FALSE)-E106</f>
        <v>53</v>
      </c>
      <c r="H106" s="103">
        <f>VLOOKUP(D106,Lookup!$J$5:$K$19,2,FALSE)</f>
        <v>3</v>
      </c>
      <c r="I106" s="103">
        <f ca="1">IFERROR(VLOOKUP(G106,OFFSET(Lookup!$J$21,1,H106-1,5,1),1,1),0)</f>
        <v>0</v>
      </c>
    </row>
    <row r="107" spans="1:9" x14ac:dyDescent="0.25">
      <c r="B107" s="96">
        <v>361</v>
      </c>
      <c r="C107" s="1">
        <v>5.3999999999650754</v>
      </c>
      <c r="D107" s="103" t="str">
        <f t="shared" si="6"/>
        <v>BR3</v>
      </c>
      <c r="E107" s="103">
        <f t="shared" si="7"/>
        <v>361</v>
      </c>
      <c r="F107" s="117">
        <f t="shared" si="8"/>
        <v>5.3999999999650754</v>
      </c>
      <c r="G107" s="103">
        <f>VLOOKUP(D107,Lookup!$J$5:$M$19,4,FALSE)-E107</f>
        <v>52</v>
      </c>
      <c r="H107" s="103">
        <f>VLOOKUP(D107,Lookup!$J$5:$K$19,2,FALSE)</f>
        <v>3</v>
      </c>
      <c r="I107" s="103">
        <f ca="1">IFERROR(VLOOKUP(G107,OFFSET(Lookup!$J$21,1,H107-1,5,1),1,1),0)</f>
        <v>0</v>
      </c>
    </row>
    <row r="108" spans="1:9" x14ac:dyDescent="0.25">
      <c r="B108" s="96">
        <v>369</v>
      </c>
      <c r="C108" s="1">
        <v>4.6500000001396984</v>
      </c>
      <c r="D108" s="103" t="str">
        <f t="shared" si="6"/>
        <v>BR3</v>
      </c>
      <c r="E108" s="103">
        <f t="shared" si="7"/>
        <v>369</v>
      </c>
      <c r="F108" s="117">
        <f t="shared" si="8"/>
        <v>4.6500000001396984</v>
      </c>
      <c r="G108" s="103">
        <f>VLOOKUP(D108,Lookup!$J$5:$M$19,4,FALSE)-E108</f>
        <v>44</v>
      </c>
      <c r="H108" s="103">
        <f>VLOOKUP(D108,Lookup!$J$5:$K$19,2,FALSE)</f>
        <v>3</v>
      </c>
      <c r="I108" s="103">
        <f ca="1">IFERROR(VLOOKUP(G108,OFFSET(Lookup!$J$21,1,H108-1,5,1),1,1),0)</f>
        <v>0</v>
      </c>
    </row>
    <row r="109" spans="1:9" x14ac:dyDescent="0.25">
      <c r="B109" s="96">
        <v>388</v>
      </c>
      <c r="C109" s="1">
        <v>1.8833333333604969</v>
      </c>
      <c r="D109" s="103" t="str">
        <f t="shared" si="6"/>
        <v>BR3</v>
      </c>
      <c r="E109" s="103">
        <f t="shared" si="7"/>
        <v>388</v>
      </c>
      <c r="F109" s="117">
        <f t="shared" si="8"/>
        <v>1.8833333333604969</v>
      </c>
      <c r="G109" s="103">
        <f>VLOOKUP(D109,Lookup!$J$5:$M$19,4,FALSE)-E109</f>
        <v>25</v>
      </c>
      <c r="H109" s="103">
        <f>VLOOKUP(D109,Lookup!$J$5:$K$19,2,FALSE)</f>
        <v>3</v>
      </c>
      <c r="I109" s="103">
        <f ca="1">IFERROR(VLOOKUP(G109,OFFSET(Lookup!$J$21,1,H109-1,5,1),1,1),0)</f>
        <v>0</v>
      </c>
    </row>
    <row r="110" spans="1:9" x14ac:dyDescent="0.25">
      <c r="A110" s="103" t="s">
        <v>26</v>
      </c>
      <c r="B110" s="96">
        <v>9</v>
      </c>
      <c r="C110" s="1">
        <v>924.19999999995343</v>
      </c>
      <c r="D110" s="103" t="str">
        <f t="shared" si="6"/>
        <v>GH1</v>
      </c>
      <c r="E110" s="103">
        <f t="shared" si="7"/>
        <v>9</v>
      </c>
      <c r="F110" s="117">
        <f t="shared" si="8"/>
        <v>924.19999999995343</v>
      </c>
      <c r="G110" s="103">
        <f>VLOOKUP(D110,Lookup!$J$5:$M$19,4,FALSE)-E110</f>
        <v>470</v>
      </c>
      <c r="H110" s="103">
        <f>VLOOKUP(D110,Lookup!$J$5:$K$19,2,FALSE)</f>
        <v>4</v>
      </c>
      <c r="I110" s="103">
        <f ca="1">IFERROR(VLOOKUP(G110,OFFSET(Lookup!$J$21,1,H110-1,5,1),1,1),0)</f>
        <v>439</v>
      </c>
    </row>
    <row r="111" spans="1:9" x14ac:dyDescent="0.25">
      <c r="B111" s="96">
        <v>13</v>
      </c>
      <c r="C111" s="1">
        <v>3.4000000000814907</v>
      </c>
      <c r="D111" s="103" t="str">
        <f t="shared" si="6"/>
        <v>GH1</v>
      </c>
      <c r="E111" s="103">
        <f t="shared" si="7"/>
        <v>13</v>
      </c>
      <c r="F111" s="117">
        <f t="shared" si="8"/>
        <v>3.4000000000814907</v>
      </c>
      <c r="G111" s="103">
        <f>VLOOKUP(D111,Lookup!$J$5:$M$19,4,FALSE)-E111</f>
        <v>466</v>
      </c>
      <c r="H111" s="103">
        <f>VLOOKUP(D111,Lookup!$J$5:$K$19,2,FALSE)</f>
        <v>4</v>
      </c>
      <c r="I111" s="103">
        <f ca="1">IFERROR(VLOOKUP(G111,OFFSET(Lookup!$J$21,1,H111-1,5,1),1,1),0)</f>
        <v>439</v>
      </c>
    </row>
    <row r="112" spans="1:9" x14ac:dyDescent="0.25">
      <c r="B112" s="96">
        <v>18</v>
      </c>
      <c r="C112" s="1">
        <v>339.18333333358169</v>
      </c>
      <c r="D112" s="103" t="str">
        <f t="shared" si="6"/>
        <v>GH1</v>
      </c>
      <c r="E112" s="103">
        <f t="shared" si="7"/>
        <v>18</v>
      </c>
      <c r="F112" s="117">
        <f t="shared" si="8"/>
        <v>339.18333333358169</v>
      </c>
      <c r="G112" s="103">
        <f>VLOOKUP(D112,Lookup!$J$5:$M$19,4,FALSE)-E112</f>
        <v>461</v>
      </c>
      <c r="H112" s="103">
        <f>VLOOKUP(D112,Lookup!$J$5:$K$19,2,FALSE)</f>
        <v>4</v>
      </c>
      <c r="I112" s="103">
        <f ca="1">IFERROR(VLOOKUP(G112,OFFSET(Lookup!$J$21,1,H112-1,5,1),1,1),0)</f>
        <v>439</v>
      </c>
    </row>
    <row r="113" spans="2:9" x14ac:dyDescent="0.25">
      <c r="B113" s="96">
        <v>24</v>
      </c>
      <c r="C113" s="1">
        <v>2.7333333333372138</v>
      </c>
      <c r="D113" s="103" t="str">
        <f t="shared" si="6"/>
        <v>GH1</v>
      </c>
      <c r="E113" s="103">
        <f t="shared" si="7"/>
        <v>24</v>
      </c>
      <c r="F113" s="117">
        <f t="shared" si="8"/>
        <v>2.7333333333372138</v>
      </c>
      <c r="G113" s="103">
        <f>VLOOKUP(D113,Lookup!$J$5:$M$19,4,FALSE)-E113</f>
        <v>455</v>
      </c>
      <c r="H113" s="103">
        <f>VLOOKUP(D113,Lookup!$J$5:$K$19,2,FALSE)</f>
        <v>4</v>
      </c>
      <c r="I113" s="103">
        <f ca="1">IFERROR(VLOOKUP(G113,OFFSET(Lookup!$J$21,1,H113-1,5,1),1,1),0)</f>
        <v>439</v>
      </c>
    </row>
    <row r="114" spans="2:9" x14ac:dyDescent="0.25">
      <c r="B114" s="96">
        <v>28</v>
      </c>
      <c r="C114" s="1">
        <v>24.249999999941792</v>
      </c>
      <c r="D114" s="103" t="str">
        <f t="shared" si="6"/>
        <v>GH1</v>
      </c>
      <c r="E114" s="103">
        <f t="shared" si="7"/>
        <v>28</v>
      </c>
      <c r="F114" s="117">
        <f t="shared" si="8"/>
        <v>24.249999999941792</v>
      </c>
      <c r="G114" s="103">
        <f>VLOOKUP(D114,Lookup!$J$5:$M$19,4,FALSE)-E114</f>
        <v>451</v>
      </c>
      <c r="H114" s="103">
        <f>VLOOKUP(D114,Lookup!$J$5:$K$19,2,FALSE)</f>
        <v>4</v>
      </c>
      <c r="I114" s="103">
        <f ca="1">IFERROR(VLOOKUP(G114,OFFSET(Lookup!$J$21,1,H114-1,5,1),1,1),0)</f>
        <v>439</v>
      </c>
    </row>
    <row r="115" spans="2:9" x14ac:dyDescent="0.25">
      <c r="B115" s="96">
        <v>32</v>
      </c>
      <c r="C115" s="1">
        <v>3.3666666668141261</v>
      </c>
      <c r="D115" s="103" t="str">
        <f t="shared" si="6"/>
        <v>GH1</v>
      </c>
      <c r="E115" s="103">
        <f t="shared" si="7"/>
        <v>32</v>
      </c>
      <c r="F115" s="117">
        <f t="shared" si="8"/>
        <v>3.3666666668141261</v>
      </c>
      <c r="G115" s="103">
        <f>VLOOKUP(D115,Lookup!$J$5:$M$19,4,FALSE)-E115</f>
        <v>447</v>
      </c>
      <c r="H115" s="103">
        <f>VLOOKUP(D115,Lookup!$J$5:$K$19,2,FALSE)</f>
        <v>4</v>
      </c>
      <c r="I115" s="103">
        <f ca="1">IFERROR(VLOOKUP(G115,OFFSET(Lookup!$J$21,1,H115-1,5,1),1,1),0)</f>
        <v>439</v>
      </c>
    </row>
    <row r="116" spans="2:9" x14ac:dyDescent="0.25">
      <c r="B116" s="96">
        <v>37</v>
      </c>
      <c r="C116" s="1">
        <v>33.166666666336823</v>
      </c>
      <c r="D116" s="103" t="str">
        <f t="shared" si="6"/>
        <v>GH1</v>
      </c>
      <c r="E116" s="103">
        <f t="shared" si="7"/>
        <v>37</v>
      </c>
      <c r="F116" s="117">
        <f t="shared" si="8"/>
        <v>33.166666666336823</v>
      </c>
      <c r="G116" s="103">
        <f>VLOOKUP(D116,Lookup!$J$5:$M$19,4,FALSE)-E116</f>
        <v>442</v>
      </c>
      <c r="H116" s="103">
        <f>VLOOKUP(D116,Lookup!$J$5:$K$19,2,FALSE)</f>
        <v>4</v>
      </c>
      <c r="I116" s="103">
        <f ca="1">IFERROR(VLOOKUP(G116,OFFSET(Lookup!$J$21,1,H116-1,5,1),1,1),0)</f>
        <v>439</v>
      </c>
    </row>
    <row r="117" spans="2:9" x14ac:dyDescent="0.25">
      <c r="B117" s="96">
        <v>38</v>
      </c>
      <c r="C117" s="1">
        <v>4.9333333333488554</v>
      </c>
      <c r="D117" s="103" t="str">
        <f t="shared" si="6"/>
        <v>GH1</v>
      </c>
      <c r="E117" s="103">
        <f t="shared" si="7"/>
        <v>38</v>
      </c>
      <c r="F117" s="117">
        <f t="shared" si="8"/>
        <v>4.9333333333488554</v>
      </c>
      <c r="G117" s="103">
        <f>VLOOKUP(D117,Lookup!$J$5:$M$19,4,FALSE)-E117</f>
        <v>441</v>
      </c>
      <c r="H117" s="103">
        <f>VLOOKUP(D117,Lookup!$J$5:$K$19,2,FALSE)</f>
        <v>4</v>
      </c>
      <c r="I117" s="103">
        <f ca="1">IFERROR(VLOOKUP(G117,OFFSET(Lookup!$J$21,1,H117-1,5,1),1,1),0)</f>
        <v>439</v>
      </c>
    </row>
    <row r="118" spans="2:9" x14ac:dyDescent="0.25">
      <c r="B118" s="96">
        <v>39</v>
      </c>
      <c r="C118" s="1">
        <v>1.4000000000232831</v>
      </c>
      <c r="D118" s="103" t="str">
        <f t="shared" si="6"/>
        <v>GH1</v>
      </c>
      <c r="E118" s="103">
        <f t="shared" si="7"/>
        <v>39</v>
      </c>
      <c r="F118" s="117">
        <f t="shared" si="8"/>
        <v>1.4000000000232831</v>
      </c>
      <c r="G118" s="103">
        <f>VLOOKUP(D118,Lookup!$J$5:$M$19,4,FALSE)-E118</f>
        <v>440</v>
      </c>
      <c r="H118" s="103">
        <f>VLOOKUP(D118,Lookup!$J$5:$K$19,2,FALSE)</f>
        <v>4</v>
      </c>
      <c r="I118" s="103">
        <f ca="1">IFERROR(VLOOKUP(G118,OFFSET(Lookup!$J$21,1,H118-1,5,1),1,1),0)</f>
        <v>439</v>
      </c>
    </row>
    <row r="119" spans="2:9" x14ac:dyDescent="0.25">
      <c r="B119" s="96">
        <v>41</v>
      </c>
      <c r="C119" s="1">
        <v>15.099999999976717</v>
      </c>
      <c r="D119" s="103" t="str">
        <f t="shared" si="6"/>
        <v>GH1</v>
      </c>
      <c r="E119" s="103">
        <f t="shared" si="7"/>
        <v>41</v>
      </c>
      <c r="F119" s="117">
        <f t="shared" si="8"/>
        <v>15.099999999976717</v>
      </c>
      <c r="G119" s="103">
        <f>VLOOKUP(D119,Lookup!$J$5:$M$19,4,FALSE)-E119</f>
        <v>438</v>
      </c>
      <c r="H119" s="103">
        <f>VLOOKUP(D119,Lookup!$J$5:$K$19,2,FALSE)</f>
        <v>4</v>
      </c>
      <c r="I119" s="103">
        <f ca="1">IFERROR(VLOOKUP(G119,OFFSET(Lookup!$J$21,1,H119-1,5,1),1,1),0)</f>
        <v>399</v>
      </c>
    </row>
    <row r="120" spans="2:9" x14ac:dyDescent="0.25">
      <c r="B120" s="96">
        <v>46</v>
      </c>
      <c r="C120" s="1">
        <v>44.466666666499805</v>
      </c>
      <c r="D120" s="103" t="str">
        <f t="shared" si="6"/>
        <v>GH1</v>
      </c>
      <c r="E120" s="103">
        <f t="shared" si="7"/>
        <v>46</v>
      </c>
      <c r="F120" s="117">
        <f t="shared" si="8"/>
        <v>44.466666666499805</v>
      </c>
      <c r="G120" s="103">
        <f>VLOOKUP(D120,Lookup!$J$5:$M$19,4,FALSE)-E120</f>
        <v>433</v>
      </c>
      <c r="H120" s="103">
        <f>VLOOKUP(D120,Lookup!$J$5:$K$19,2,FALSE)</f>
        <v>4</v>
      </c>
      <c r="I120" s="103">
        <f ca="1">IFERROR(VLOOKUP(G120,OFFSET(Lookup!$J$21,1,H120-1,5,1),1,1),0)</f>
        <v>399</v>
      </c>
    </row>
    <row r="121" spans="2:9" x14ac:dyDescent="0.25">
      <c r="B121" s="96">
        <v>50</v>
      </c>
      <c r="C121" s="1">
        <v>3.6833333332906477</v>
      </c>
      <c r="D121" s="103" t="str">
        <f t="shared" si="6"/>
        <v>GH1</v>
      </c>
      <c r="E121" s="103">
        <f t="shared" si="7"/>
        <v>50</v>
      </c>
      <c r="F121" s="117">
        <f t="shared" si="8"/>
        <v>3.6833333332906477</v>
      </c>
      <c r="G121" s="103">
        <f>VLOOKUP(D121,Lookup!$J$5:$M$19,4,FALSE)-E121</f>
        <v>429</v>
      </c>
      <c r="H121" s="103">
        <f>VLOOKUP(D121,Lookup!$J$5:$K$19,2,FALSE)</f>
        <v>4</v>
      </c>
      <c r="I121" s="103">
        <f ca="1">IFERROR(VLOOKUP(G121,OFFSET(Lookup!$J$21,1,H121-1,5,1),1,1),0)</f>
        <v>399</v>
      </c>
    </row>
    <row r="122" spans="2:9" x14ac:dyDescent="0.25">
      <c r="B122" s="96">
        <v>55</v>
      </c>
      <c r="C122" s="1">
        <v>875.966666667955</v>
      </c>
      <c r="D122" s="103" t="str">
        <f t="shared" si="6"/>
        <v>GH1</v>
      </c>
      <c r="E122" s="103">
        <f t="shared" si="7"/>
        <v>55</v>
      </c>
      <c r="F122" s="117">
        <f t="shared" si="8"/>
        <v>875.966666667955</v>
      </c>
      <c r="G122" s="103">
        <f>VLOOKUP(D122,Lookup!$J$5:$M$19,4,FALSE)-E122</f>
        <v>424</v>
      </c>
      <c r="H122" s="103">
        <f>VLOOKUP(D122,Lookup!$J$5:$K$19,2,FALSE)</f>
        <v>4</v>
      </c>
      <c r="I122" s="103">
        <f ca="1">IFERROR(VLOOKUP(G122,OFFSET(Lookup!$J$21,1,H122-1,5,1),1,1),0)</f>
        <v>399</v>
      </c>
    </row>
    <row r="123" spans="2:9" x14ac:dyDescent="0.25">
      <c r="B123" s="96">
        <v>60</v>
      </c>
      <c r="C123" s="1">
        <v>1.4333333334652707</v>
      </c>
      <c r="D123" s="103" t="str">
        <f t="shared" si="6"/>
        <v>GH1</v>
      </c>
      <c r="E123" s="103">
        <f t="shared" si="7"/>
        <v>60</v>
      </c>
      <c r="F123" s="117">
        <f t="shared" si="8"/>
        <v>1.4333333334652707</v>
      </c>
      <c r="G123" s="103">
        <f>VLOOKUP(D123,Lookup!$J$5:$M$19,4,FALSE)-E123</f>
        <v>419</v>
      </c>
      <c r="H123" s="103">
        <f>VLOOKUP(D123,Lookup!$J$5:$K$19,2,FALSE)</f>
        <v>4</v>
      </c>
      <c r="I123" s="103">
        <f ca="1">IFERROR(VLOOKUP(G123,OFFSET(Lookup!$J$21,1,H123-1,5,1),1,1),0)</f>
        <v>399</v>
      </c>
    </row>
    <row r="124" spans="2:9" x14ac:dyDescent="0.25">
      <c r="B124" s="96">
        <v>64</v>
      </c>
      <c r="C124" s="1">
        <v>1354.5666666670586</v>
      </c>
      <c r="D124" s="103" t="str">
        <f t="shared" si="6"/>
        <v>GH1</v>
      </c>
      <c r="E124" s="103">
        <f t="shared" si="7"/>
        <v>64</v>
      </c>
      <c r="F124" s="117">
        <f t="shared" si="8"/>
        <v>1354.5666666670586</v>
      </c>
      <c r="G124" s="103">
        <f>VLOOKUP(D124,Lookup!$J$5:$M$19,4,FALSE)-E124</f>
        <v>415</v>
      </c>
      <c r="H124" s="103">
        <f>VLOOKUP(D124,Lookup!$J$5:$K$19,2,FALSE)</f>
        <v>4</v>
      </c>
      <c r="I124" s="103">
        <f ca="1">IFERROR(VLOOKUP(G124,OFFSET(Lookup!$J$21,1,H124-1,5,1),1,1),0)</f>
        <v>399</v>
      </c>
    </row>
    <row r="125" spans="2:9" x14ac:dyDescent="0.25">
      <c r="B125" s="96">
        <v>67</v>
      </c>
      <c r="C125" s="1">
        <v>11.266666666720994</v>
      </c>
      <c r="D125" s="103" t="str">
        <f t="shared" si="6"/>
        <v>GH1</v>
      </c>
      <c r="E125" s="103">
        <f t="shared" si="7"/>
        <v>67</v>
      </c>
      <c r="F125" s="117">
        <f t="shared" si="8"/>
        <v>11.266666666720994</v>
      </c>
      <c r="G125" s="103">
        <f>VLOOKUP(D125,Lookup!$J$5:$M$19,4,FALSE)-E125</f>
        <v>412</v>
      </c>
      <c r="H125" s="103">
        <f>VLOOKUP(D125,Lookup!$J$5:$K$19,2,FALSE)</f>
        <v>4</v>
      </c>
      <c r="I125" s="103">
        <f ca="1">IFERROR(VLOOKUP(G125,OFFSET(Lookup!$J$21,1,H125-1,5,1),1,1),0)</f>
        <v>399</v>
      </c>
    </row>
    <row r="126" spans="2:9" x14ac:dyDescent="0.25">
      <c r="B126" s="96">
        <v>73</v>
      </c>
      <c r="C126" s="1">
        <v>47.35000000015134</v>
      </c>
      <c r="D126" s="103" t="str">
        <f t="shared" si="6"/>
        <v>GH1</v>
      </c>
      <c r="E126" s="103">
        <f t="shared" si="7"/>
        <v>73</v>
      </c>
      <c r="F126" s="117">
        <f t="shared" si="8"/>
        <v>47.35000000015134</v>
      </c>
      <c r="G126" s="103">
        <f>VLOOKUP(D126,Lookup!$J$5:$M$19,4,FALSE)-E126</f>
        <v>406</v>
      </c>
      <c r="H126" s="103">
        <f>VLOOKUP(D126,Lookup!$J$5:$K$19,2,FALSE)</f>
        <v>4</v>
      </c>
      <c r="I126" s="103">
        <f ca="1">IFERROR(VLOOKUP(G126,OFFSET(Lookup!$J$21,1,H126-1,5,1),1,1),0)</f>
        <v>399</v>
      </c>
    </row>
    <row r="127" spans="2:9" x14ac:dyDescent="0.25">
      <c r="B127" s="96">
        <v>78</v>
      </c>
      <c r="C127" s="1">
        <v>2.5833333331975155</v>
      </c>
      <c r="D127" s="103" t="str">
        <f t="shared" si="6"/>
        <v>GH1</v>
      </c>
      <c r="E127" s="103">
        <f t="shared" si="7"/>
        <v>78</v>
      </c>
      <c r="F127" s="117">
        <f t="shared" si="8"/>
        <v>2.5833333331975155</v>
      </c>
      <c r="G127" s="103">
        <f>VLOOKUP(D127,Lookup!$J$5:$M$19,4,FALSE)-E127</f>
        <v>401</v>
      </c>
      <c r="H127" s="103">
        <f>VLOOKUP(D127,Lookup!$J$5:$K$19,2,FALSE)</f>
        <v>4</v>
      </c>
      <c r="I127" s="103">
        <f ca="1">IFERROR(VLOOKUP(G127,OFFSET(Lookup!$J$21,1,H127-1,5,1),1,1),0)</f>
        <v>399</v>
      </c>
    </row>
    <row r="128" spans="2:9" x14ac:dyDescent="0.25">
      <c r="B128" s="96">
        <v>83</v>
      </c>
      <c r="C128" s="1">
        <v>52.166666666453239</v>
      </c>
      <c r="D128" s="103" t="str">
        <f t="shared" si="6"/>
        <v>GH1</v>
      </c>
      <c r="E128" s="103">
        <f t="shared" si="7"/>
        <v>83</v>
      </c>
      <c r="F128" s="117">
        <f t="shared" si="8"/>
        <v>52.166666666453239</v>
      </c>
      <c r="G128" s="103">
        <f>VLOOKUP(D128,Lookup!$J$5:$M$19,4,FALSE)-E128</f>
        <v>396</v>
      </c>
      <c r="H128" s="103">
        <f>VLOOKUP(D128,Lookup!$J$5:$K$19,2,FALSE)</f>
        <v>4</v>
      </c>
      <c r="I128" s="103">
        <f ca="1">IFERROR(VLOOKUP(G128,OFFSET(Lookup!$J$21,1,H128-1,5,1),1,1),0)</f>
        <v>319</v>
      </c>
    </row>
    <row r="129" spans="2:9" x14ac:dyDescent="0.25">
      <c r="B129" s="96">
        <v>87</v>
      </c>
      <c r="C129" s="1">
        <v>8.2999999998137355</v>
      </c>
      <c r="D129" s="103" t="str">
        <f t="shared" si="6"/>
        <v>GH1</v>
      </c>
      <c r="E129" s="103">
        <f t="shared" si="7"/>
        <v>87</v>
      </c>
      <c r="F129" s="117">
        <f t="shared" si="8"/>
        <v>8.2999999998137355</v>
      </c>
      <c r="G129" s="103">
        <f>VLOOKUP(D129,Lookup!$J$5:$M$19,4,FALSE)-E129</f>
        <v>392</v>
      </c>
      <c r="H129" s="103">
        <f>VLOOKUP(D129,Lookup!$J$5:$K$19,2,FALSE)</f>
        <v>4</v>
      </c>
      <c r="I129" s="103">
        <f ca="1">IFERROR(VLOOKUP(G129,OFFSET(Lookup!$J$21,1,H129-1,5,1),1,1),0)</f>
        <v>319</v>
      </c>
    </row>
    <row r="130" spans="2:9" x14ac:dyDescent="0.25">
      <c r="B130" s="96">
        <v>92</v>
      </c>
      <c r="C130" s="1">
        <v>4.3000000000465661</v>
      </c>
      <c r="D130" s="103" t="str">
        <f t="shared" si="6"/>
        <v>GH1</v>
      </c>
      <c r="E130" s="103">
        <f t="shared" si="7"/>
        <v>92</v>
      </c>
      <c r="F130" s="117">
        <f t="shared" si="8"/>
        <v>4.3000000000465661</v>
      </c>
      <c r="G130" s="103">
        <f>VLOOKUP(D130,Lookup!$J$5:$M$19,4,FALSE)-E130</f>
        <v>387</v>
      </c>
      <c r="H130" s="103">
        <f>VLOOKUP(D130,Lookup!$J$5:$K$19,2,FALSE)</f>
        <v>4</v>
      </c>
      <c r="I130" s="103">
        <f ca="1">IFERROR(VLOOKUP(G130,OFFSET(Lookup!$J$21,1,H130-1,5,1),1,1),0)</f>
        <v>319</v>
      </c>
    </row>
    <row r="131" spans="2:9" x14ac:dyDescent="0.25">
      <c r="B131" s="96">
        <v>96</v>
      </c>
      <c r="C131" s="1">
        <v>3.1833333332324401</v>
      </c>
      <c r="D131" s="103" t="str">
        <f t="shared" si="6"/>
        <v>GH1</v>
      </c>
      <c r="E131" s="103">
        <f t="shared" si="7"/>
        <v>96</v>
      </c>
      <c r="F131" s="117">
        <f t="shared" si="8"/>
        <v>3.1833333332324401</v>
      </c>
      <c r="G131" s="103">
        <f>VLOOKUP(D131,Lookup!$J$5:$M$19,4,FALSE)-E131</f>
        <v>383</v>
      </c>
      <c r="H131" s="103">
        <f>VLOOKUP(D131,Lookup!$J$5:$K$19,2,FALSE)</f>
        <v>4</v>
      </c>
      <c r="I131" s="103">
        <f ca="1">IFERROR(VLOOKUP(G131,OFFSET(Lookup!$J$21,1,H131-1,5,1),1,1),0)</f>
        <v>319</v>
      </c>
    </row>
    <row r="132" spans="2:9" x14ac:dyDescent="0.25">
      <c r="B132" s="96">
        <v>100</v>
      </c>
      <c r="C132" s="1">
        <v>3.183333333407063</v>
      </c>
      <c r="D132" s="103" t="str">
        <f t="shared" si="6"/>
        <v>GH1</v>
      </c>
      <c r="E132" s="103">
        <f t="shared" si="7"/>
        <v>100</v>
      </c>
      <c r="F132" s="117">
        <f t="shared" si="8"/>
        <v>3.183333333407063</v>
      </c>
      <c r="G132" s="103">
        <f>VLOOKUP(D132,Lookup!$J$5:$M$19,4,FALSE)-E132</f>
        <v>379</v>
      </c>
      <c r="H132" s="103">
        <f>VLOOKUP(D132,Lookup!$J$5:$K$19,2,FALSE)</f>
        <v>4</v>
      </c>
      <c r="I132" s="103">
        <f ca="1">IFERROR(VLOOKUP(G132,OFFSET(Lookup!$J$21,1,H132-1,5,1),1,1),0)</f>
        <v>319</v>
      </c>
    </row>
    <row r="133" spans="2:9" x14ac:dyDescent="0.25">
      <c r="B133" s="96">
        <v>101</v>
      </c>
      <c r="C133" s="1">
        <v>5.3166666667093523</v>
      </c>
      <c r="D133" s="103" t="str">
        <f t="shared" si="6"/>
        <v>GH1</v>
      </c>
      <c r="E133" s="103">
        <f t="shared" si="7"/>
        <v>101</v>
      </c>
      <c r="F133" s="117">
        <f t="shared" si="8"/>
        <v>5.3166666667093523</v>
      </c>
      <c r="G133" s="103">
        <f>VLOOKUP(D133,Lookup!$J$5:$M$19,4,FALSE)-E133</f>
        <v>378</v>
      </c>
      <c r="H133" s="103">
        <f>VLOOKUP(D133,Lookup!$J$5:$K$19,2,FALSE)</f>
        <v>4</v>
      </c>
      <c r="I133" s="103">
        <f ca="1">IFERROR(VLOOKUP(G133,OFFSET(Lookup!$J$21,1,H133-1,5,1),1,1),0)</f>
        <v>319</v>
      </c>
    </row>
    <row r="134" spans="2:9" x14ac:dyDescent="0.25">
      <c r="B134" s="96">
        <v>105</v>
      </c>
      <c r="C134" s="1">
        <v>2.7666666666045785</v>
      </c>
      <c r="D134" s="103" t="str">
        <f t="shared" si="6"/>
        <v>GH1</v>
      </c>
      <c r="E134" s="103">
        <f t="shared" si="7"/>
        <v>105</v>
      </c>
      <c r="F134" s="117">
        <f t="shared" si="8"/>
        <v>2.7666666666045785</v>
      </c>
      <c r="G134" s="103">
        <f>VLOOKUP(D134,Lookup!$J$5:$M$19,4,FALSE)-E134</f>
        <v>374</v>
      </c>
      <c r="H134" s="103">
        <f>VLOOKUP(D134,Lookup!$J$5:$K$19,2,FALSE)</f>
        <v>4</v>
      </c>
      <c r="I134" s="103">
        <f ca="1">IFERROR(VLOOKUP(G134,OFFSET(Lookup!$J$21,1,H134-1,5,1),1,1),0)</f>
        <v>319</v>
      </c>
    </row>
    <row r="135" spans="2:9" x14ac:dyDescent="0.25">
      <c r="B135" s="96">
        <v>110</v>
      </c>
      <c r="C135" s="1">
        <v>26.950000000186265</v>
      </c>
      <c r="D135" s="103" t="str">
        <f t="shared" si="6"/>
        <v>GH1</v>
      </c>
      <c r="E135" s="103">
        <f t="shared" si="7"/>
        <v>110</v>
      </c>
      <c r="F135" s="117">
        <f t="shared" si="8"/>
        <v>26.950000000186265</v>
      </c>
      <c r="G135" s="103">
        <f>VLOOKUP(D135,Lookup!$J$5:$M$19,4,FALSE)-E135</f>
        <v>369</v>
      </c>
      <c r="H135" s="103">
        <f>VLOOKUP(D135,Lookup!$J$5:$K$19,2,FALSE)</f>
        <v>4</v>
      </c>
      <c r="I135" s="103">
        <f ca="1">IFERROR(VLOOKUP(G135,OFFSET(Lookup!$J$21,1,H135-1,5,1),1,1),0)</f>
        <v>319</v>
      </c>
    </row>
    <row r="136" spans="2:9" x14ac:dyDescent="0.25">
      <c r="B136" s="96">
        <v>119</v>
      </c>
      <c r="C136" s="1">
        <v>46.383333333302289</v>
      </c>
      <c r="D136" s="103" t="str">
        <f t="shared" si="6"/>
        <v>GH1</v>
      </c>
      <c r="E136" s="103">
        <f t="shared" si="7"/>
        <v>119</v>
      </c>
      <c r="F136" s="117">
        <f t="shared" si="8"/>
        <v>46.383333333302289</v>
      </c>
      <c r="G136" s="103">
        <f>VLOOKUP(D136,Lookup!$J$5:$M$19,4,FALSE)-E136</f>
        <v>360</v>
      </c>
      <c r="H136" s="103">
        <f>VLOOKUP(D136,Lookup!$J$5:$K$19,2,FALSE)</f>
        <v>4</v>
      </c>
      <c r="I136" s="103">
        <f ca="1">IFERROR(VLOOKUP(G136,OFFSET(Lookup!$J$21,1,H136-1,5,1),1,1),0)</f>
        <v>319</v>
      </c>
    </row>
    <row r="137" spans="2:9" x14ac:dyDescent="0.25">
      <c r="B137" s="96">
        <v>133</v>
      </c>
      <c r="C137" s="1">
        <v>11.366666666697711</v>
      </c>
      <c r="D137" s="103" t="str">
        <f t="shared" ref="D137:D200" si="9">IF(A137="",D136,A137)</f>
        <v>GH1</v>
      </c>
      <c r="E137" s="103">
        <f t="shared" ref="E137:E200" si="10">IF(B137="",E136,B137)</f>
        <v>133</v>
      </c>
      <c r="F137" s="117">
        <f t="shared" ref="F137:F200" si="11">IF(C137="",F136,C137)</f>
        <v>11.366666666697711</v>
      </c>
      <c r="G137" s="103">
        <f>VLOOKUP(D137,Lookup!$J$5:$M$19,4,FALSE)-E137</f>
        <v>346</v>
      </c>
      <c r="H137" s="103">
        <f>VLOOKUP(D137,Lookup!$J$5:$K$19,2,FALSE)</f>
        <v>4</v>
      </c>
      <c r="I137" s="103">
        <f ca="1">IFERROR(VLOOKUP(G137,OFFSET(Lookup!$J$21,1,H137-1,5,1),1,1),0)</f>
        <v>319</v>
      </c>
    </row>
    <row r="138" spans="2:9" x14ac:dyDescent="0.25">
      <c r="B138" s="96">
        <v>138</v>
      </c>
      <c r="C138" s="1">
        <v>0.53333333332557231</v>
      </c>
      <c r="D138" s="103" t="str">
        <f t="shared" si="9"/>
        <v>GH1</v>
      </c>
      <c r="E138" s="103">
        <f t="shared" si="10"/>
        <v>138</v>
      </c>
      <c r="F138" s="117">
        <f t="shared" si="11"/>
        <v>0.53333333332557231</v>
      </c>
      <c r="G138" s="103">
        <f>VLOOKUP(D138,Lookup!$J$5:$M$19,4,FALSE)-E138</f>
        <v>341</v>
      </c>
      <c r="H138" s="103">
        <f>VLOOKUP(D138,Lookup!$J$5:$K$19,2,FALSE)</f>
        <v>4</v>
      </c>
      <c r="I138" s="103">
        <f ca="1">IFERROR(VLOOKUP(G138,OFFSET(Lookup!$J$21,1,H138-1,5,1),1,1),0)</f>
        <v>319</v>
      </c>
    </row>
    <row r="139" spans="2:9" x14ac:dyDescent="0.25">
      <c r="B139" s="96">
        <v>142</v>
      </c>
      <c r="C139" s="1">
        <v>0.84999999997671694</v>
      </c>
      <c r="D139" s="103" t="str">
        <f t="shared" si="9"/>
        <v>GH1</v>
      </c>
      <c r="E139" s="103">
        <f t="shared" si="10"/>
        <v>142</v>
      </c>
      <c r="F139" s="117">
        <f t="shared" si="11"/>
        <v>0.84999999997671694</v>
      </c>
      <c r="G139" s="103">
        <f>VLOOKUP(D139,Lookup!$J$5:$M$19,4,FALSE)-E139</f>
        <v>337</v>
      </c>
      <c r="H139" s="103">
        <f>VLOOKUP(D139,Lookup!$J$5:$K$19,2,FALSE)</f>
        <v>4</v>
      </c>
      <c r="I139" s="103">
        <f ca="1">IFERROR(VLOOKUP(G139,OFFSET(Lookup!$J$21,1,H139-1,5,1),1,1),0)</f>
        <v>319</v>
      </c>
    </row>
    <row r="140" spans="2:9" x14ac:dyDescent="0.25">
      <c r="B140" s="96">
        <v>156</v>
      </c>
      <c r="C140" s="1">
        <v>31.500000000174623</v>
      </c>
      <c r="D140" s="103" t="str">
        <f t="shared" si="9"/>
        <v>GH1</v>
      </c>
      <c r="E140" s="103">
        <f t="shared" si="10"/>
        <v>156</v>
      </c>
      <c r="F140" s="117">
        <f t="shared" si="11"/>
        <v>31.500000000174623</v>
      </c>
      <c r="G140" s="103">
        <f>VLOOKUP(D140,Lookup!$J$5:$M$19,4,FALSE)-E140</f>
        <v>323</v>
      </c>
      <c r="H140" s="103">
        <f>VLOOKUP(D140,Lookup!$J$5:$K$19,2,FALSE)</f>
        <v>4</v>
      </c>
      <c r="I140" s="103">
        <f ca="1">IFERROR(VLOOKUP(G140,OFFSET(Lookup!$J$21,1,H140-1,5,1),1,1),0)</f>
        <v>319</v>
      </c>
    </row>
    <row r="141" spans="2:9" x14ac:dyDescent="0.25">
      <c r="B141" s="96">
        <v>165</v>
      </c>
      <c r="C141" s="1">
        <v>0.56666666676755995</v>
      </c>
      <c r="D141" s="103" t="str">
        <f t="shared" si="9"/>
        <v>GH1</v>
      </c>
      <c r="E141" s="103">
        <f t="shared" si="10"/>
        <v>165</v>
      </c>
      <c r="F141" s="117">
        <f t="shared" si="11"/>
        <v>0.56666666676755995</v>
      </c>
      <c r="G141" s="103">
        <f>VLOOKUP(D141,Lookup!$J$5:$M$19,4,FALSE)-E141</f>
        <v>314</v>
      </c>
      <c r="H141" s="103">
        <f>VLOOKUP(D141,Lookup!$J$5:$K$19,2,FALSE)</f>
        <v>4</v>
      </c>
      <c r="I141" s="103">
        <f ca="1">IFERROR(VLOOKUP(G141,OFFSET(Lookup!$J$21,1,H141-1,5,1),1,1),0)</f>
        <v>289</v>
      </c>
    </row>
    <row r="142" spans="2:9" x14ac:dyDescent="0.25">
      <c r="B142" s="96">
        <v>167</v>
      </c>
      <c r="C142" s="1">
        <v>48.266666666662786</v>
      </c>
      <c r="D142" s="103" t="str">
        <f t="shared" si="9"/>
        <v>GH1</v>
      </c>
      <c r="E142" s="103">
        <f t="shared" si="10"/>
        <v>167</v>
      </c>
      <c r="F142" s="117">
        <f t="shared" si="11"/>
        <v>48.266666666662786</v>
      </c>
      <c r="G142" s="103">
        <f>VLOOKUP(D142,Lookup!$J$5:$M$19,4,FALSE)-E142</f>
        <v>312</v>
      </c>
      <c r="H142" s="103">
        <f>VLOOKUP(D142,Lookup!$J$5:$K$19,2,FALSE)</f>
        <v>4</v>
      </c>
      <c r="I142" s="103">
        <f ca="1">IFERROR(VLOOKUP(G142,OFFSET(Lookup!$J$21,1,H142-1,5,1),1,1),0)</f>
        <v>289</v>
      </c>
    </row>
    <row r="143" spans="2:9" x14ac:dyDescent="0.25">
      <c r="B143" s="96">
        <v>174</v>
      </c>
      <c r="C143" s="1">
        <v>17.783333333500195</v>
      </c>
      <c r="D143" s="103" t="str">
        <f t="shared" si="9"/>
        <v>GH1</v>
      </c>
      <c r="E143" s="103">
        <f t="shared" si="10"/>
        <v>174</v>
      </c>
      <c r="F143" s="117">
        <f t="shared" si="11"/>
        <v>17.783333333500195</v>
      </c>
      <c r="G143" s="103">
        <f>VLOOKUP(D143,Lookup!$J$5:$M$19,4,FALSE)-E143</f>
        <v>305</v>
      </c>
      <c r="H143" s="103">
        <f>VLOOKUP(D143,Lookup!$J$5:$K$19,2,FALSE)</f>
        <v>4</v>
      </c>
      <c r="I143" s="103">
        <f ca="1">IFERROR(VLOOKUP(G143,OFFSET(Lookup!$J$21,1,H143-1,5,1),1,1),0)</f>
        <v>289</v>
      </c>
    </row>
    <row r="144" spans="2:9" x14ac:dyDescent="0.25">
      <c r="B144" s="96">
        <v>179</v>
      </c>
      <c r="C144" s="1">
        <v>1.7666666668374091</v>
      </c>
      <c r="D144" s="103" t="str">
        <f t="shared" si="9"/>
        <v>GH1</v>
      </c>
      <c r="E144" s="103">
        <f t="shared" si="10"/>
        <v>179</v>
      </c>
      <c r="F144" s="117">
        <f t="shared" si="11"/>
        <v>1.7666666668374091</v>
      </c>
      <c r="G144" s="103">
        <f>VLOOKUP(D144,Lookup!$J$5:$M$19,4,FALSE)-E144</f>
        <v>300</v>
      </c>
      <c r="H144" s="103">
        <f>VLOOKUP(D144,Lookup!$J$5:$K$19,2,FALSE)</f>
        <v>4</v>
      </c>
      <c r="I144" s="103">
        <f ca="1">IFERROR(VLOOKUP(G144,OFFSET(Lookup!$J$21,1,H144-1,5,1),1,1),0)</f>
        <v>289</v>
      </c>
    </row>
    <row r="145" spans="1:9" x14ac:dyDescent="0.25">
      <c r="B145" s="96">
        <v>183</v>
      </c>
      <c r="C145" s="1">
        <v>2.3166666667093523</v>
      </c>
      <c r="D145" s="103" t="str">
        <f t="shared" si="9"/>
        <v>GH1</v>
      </c>
      <c r="E145" s="103">
        <f t="shared" si="10"/>
        <v>183</v>
      </c>
      <c r="F145" s="117">
        <f t="shared" si="11"/>
        <v>2.3166666667093523</v>
      </c>
      <c r="G145" s="103">
        <f>VLOOKUP(D145,Lookup!$J$5:$M$19,4,FALSE)-E145</f>
        <v>296</v>
      </c>
      <c r="H145" s="103">
        <f>VLOOKUP(D145,Lookup!$J$5:$K$19,2,FALSE)</f>
        <v>4</v>
      </c>
      <c r="I145" s="103">
        <f ca="1">IFERROR(VLOOKUP(G145,OFFSET(Lookup!$J$21,1,H145-1,5,1),1,1),0)</f>
        <v>289</v>
      </c>
    </row>
    <row r="146" spans="1:9" x14ac:dyDescent="0.25">
      <c r="B146" s="96">
        <v>186</v>
      </c>
      <c r="C146" s="1">
        <v>187.16666666662786</v>
      </c>
      <c r="D146" s="103" t="str">
        <f t="shared" si="9"/>
        <v>GH1</v>
      </c>
      <c r="E146" s="103">
        <f t="shared" si="10"/>
        <v>186</v>
      </c>
      <c r="F146" s="117">
        <f t="shared" si="11"/>
        <v>187.16666666662786</v>
      </c>
      <c r="G146" s="103">
        <f>VLOOKUP(D146,Lookup!$J$5:$M$19,4,FALSE)-E146</f>
        <v>293</v>
      </c>
      <c r="H146" s="103">
        <f>VLOOKUP(D146,Lookup!$J$5:$K$19,2,FALSE)</f>
        <v>4</v>
      </c>
      <c r="I146" s="103">
        <f ca="1">IFERROR(VLOOKUP(G146,OFFSET(Lookup!$J$21,1,H146-1,5,1),1,1),0)</f>
        <v>289</v>
      </c>
    </row>
    <row r="147" spans="1:9" x14ac:dyDescent="0.25">
      <c r="B147" s="96">
        <v>188</v>
      </c>
      <c r="C147" s="1">
        <v>0.61666666675591841</v>
      </c>
      <c r="D147" s="103" t="str">
        <f t="shared" si="9"/>
        <v>GH1</v>
      </c>
      <c r="E147" s="103">
        <f t="shared" si="10"/>
        <v>188</v>
      </c>
      <c r="F147" s="117">
        <f t="shared" si="11"/>
        <v>0.61666666675591841</v>
      </c>
      <c r="G147" s="103">
        <f>VLOOKUP(D147,Lookup!$J$5:$M$19,4,FALSE)-E147</f>
        <v>291</v>
      </c>
      <c r="H147" s="103">
        <f>VLOOKUP(D147,Lookup!$J$5:$K$19,2,FALSE)</f>
        <v>4</v>
      </c>
      <c r="I147" s="103">
        <f ca="1">IFERROR(VLOOKUP(G147,OFFSET(Lookup!$J$21,1,H147-1,5,1),1,1),0)</f>
        <v>289</v>
      </c>
    </row>
    <row r="148" spans="1:9" x14ac:dyDescent="0.25">
      <c r="B148" s="96">
        <v>202</v>
      </c>
      <c r="C148" s="1">
        <v>3.9666666668490507</v>
      </c>
      <c r="D148" s="103" t="str">
        <f t="shared" si="9"/>
        <v>GH1</v>
      </c>
      <c r="E148" s="103">
        <f t="shared" si="10"/>
        <v>202</v>
      </c>
      <c r="F148" s="117">
        <f t="shared" si="11"/>
        <v>3.9666666668490507</v>
      </c>
      <c r="G148" s="103">
        <f>VLOOKUP(D148,Lookup!$J$5:$M$19,4,FALSE)-E148</f>
        <v>277</v>
      </c>
      <c r="H148" s="103">
        <f>VLOOKUP(D148,Lookup!$J$5:$K$19,2,FALSE)</f>
        <v>4</v>
      </c>
      <c r="I148" s="103">
        <f ca="1">IFERROR(VLOOKUP(G148,OFFSET(Lookup!$J$21,1,H148-1,5,1),1,1),0)</f>
        <v>218</v>
      </c>
    </row>
    <row r="149" spans="1:9" x14ac:dyDescent="0.25">
      <c r="B149" s="96">
        <v>204</v>
      </c>
      <c r="C149" s="1">
        <v>79.949999999895226</v>
      </c>
      <c r="D149" s="103" t="str">
        <f t="shared" si="9"/>
        <v>GH1</v>
      </c>
      <c r="E149" s="103">
        <f t="shared" si="10"/>
        <v>204</v>
      </c>
      <c r="F149" s="117">
        <f t="shared" si="11"/>
        <v>79.949999999895226</v>
      </c>
      <c r="G149" s="103">
        <f>VLOOKUP(D149,Lookup!$J$5:$M$19,4,FALSE)-E149</f>
        <v>275</v>
      </c>
      <c r="H149" s="103">
        <f>VLOOKUP(D149,Lookup!$J$5:$K$19,2,FALSE)</f>
        <v>4</v>
      </c>
      <c r="I149" s="103">
        <f ca="1">IFERROR(VLOOKUP(G149,OFFSET(Lookup!$J$21,1,H149-1,5,1),1,1),0)</f>
        <v>218</v>
      </c>
    </row>
    <row r="150" spans="1:9" x14ac:dyDescent="0.25">
      <c r="B150" s="96">
        <v>257</v>
      </c>
      <c r="C150" s="1">
        <v>36.46666666661622</v>
      </c>
      <c r="D150" s="103" t="str">
        <f t="shared" si="9"/>
        <v>GH1</v>
      </c>
      <c r="E150" s="103">
        <f t="shared" si="10"/>
        <v>257</v>
      </c>
      <c r="F150" s="117">
        <f t="shared" si="11"/>
        <v>36.46666666661622</v>
      </c>
      <c r="G150" s="103">
        <f>VLOOKUP(D150,Lookup!$J$5:$M$19,4,FALSE)-E150</f>
        <v>222</v>
      </c>
      <c r="H150" s="103">
        <f>VLOOKUP(D150,Lookup!$J$5:$K$19,2,FALSE)</f>
        <v>4</v>
      </c>
      <c r="I150" s="103">
        <f ca="1">IFERROR(VLOOKUP(G150,OFFSET(Lookup!$J$21,1,H150-1,5,1),1,1),0)</f>
        <v>218</v>
      </c>
    </row>
    <row r="151" spans="1:9" x14ac:dyDescent="0.25">
      <c r="B151" s="96">
        <v>271</v>
      </c>
      <c r="C151" s="1">
        <v>4.3333333333139308</v>
      </c>
      <c r="D151" s="103" t="str">
        <f t="shared" si="9"/>
        <v>GH1</v>
      </c>
      <c r="E151" s="103">
        <f t="shared" si="10"/>
        <v>271</v>
      </c>
      <c r="F151" s="117">
        <f t="shared" si="11"/>
        <v>4.3333333333139308</v>
      </c>
      <c r="G151" s="103">
        <f>VLOOKUP(D151,Lookup!$J$5:$M$19,4,FALSE)-E151</f>
        <v>208</v>
      </c>
      <c r="H151" s="103">
        <f>VLOOKUP(D151,Lookup!$J$5:$K$19,2,FALSE)</f>
        <v>4</v>
      </c>
      <c r="I151" s="103">
        <f ca="1">IFERROR(VLOOKUP(G151,OFFSET(Lookup!$J$21,1,H151-1,5,1),1,1),0)</f>
        <v>0</v>
      </c>
    </row>
    <row r="152" spans="1:9" x14ac:dyDescent="0.25">
      <c r="B152" s="96">
        <v>275</v>
      </c>
      <c r="C152" s="1">
        <v>14.433333333407063</v>
      </c>
      <c r="D152" s="103" t="str">
        <f t="shared" si="9"/>
        <v>GH1</v>
      </c>
      <c r="E152" s="103">
        <f t="shared" si="10"/>
        <v>275</v>
      </c>
      <c r="F152" s="117">
        <f t="shared" si="11"/>
        <v>14.433333333407063</v>
      </c>
      <c r="G152" s="103">
        <f>VLOOKUP(D152,Lookup!$J$5:$M$19,4,FALSE)-E152</f>
        <v>204</v>
      </c>
      <c r="H152" s="103">
        <f>VLOOKUP(D152,Lookup!$J$5:$K$19,2,FALSE)</f>
        <v>4</v>
      </c>
      <c r="I152" s="103">
        <f ca="1">IFERROR(VLOOKUP(G152,OFFSET(Lookup!$J$21,1,H152-1,5,1),1,1),0)</f>
        <v>0</v>
      </c>
    </row>
    <row r="153" spans="1:9" x14ac:dyDescent="0.25">
      <c r="B153" s="96">
        <v>280</v>
      </c>
      <c r="C153" s="1">
        <v>11.183333333465271</v>
      </c>
      <c r="D153" s="103" t="str">
        <f t="shared" si="9"/>
        <v>GH1</v>
      </c>
      <c r="E153" s="103">
        <f t="shared" si="10"/>
        <v>280</v>
      </c>
      <c r="F153" s="117">
        <f t="shared" si="11"/>
        <v>11.183333333465271</v>
      </c>
      <c r="G153" s="103">
        <f>VLOOKUP(D153,Lookup!$J$5:$M$19,4,FALSE)-E153</f>
        <v>199</v>
      </c>
      <c r="H153" s="103">
        <f>VLOOKUP(D153,Lookup!$J$5:$K$19,2,FALSE)</f>
        <v>4</v>
      </c>
      <c r="I153" s="103">
        <f ca="1">IFERROR(VLOOKUP(G153,OFFSET(Lookup!$J$21,1,H153-1,5,1),1,1),0)</f>
        <v>0</v>
      </c>
    </row>
    <row r="154" spans="1:9" x14ac:dyDescent="0.25">
      <c r="B154" s="96">
        <v>294</v>
      </c>
      <c r="C154" s="1">
        <v>112.09999999991851</v>
      </c>
      <c r="D154" s="103" t="str">
        <f t="shared" si="9"/>
        <v>GH1</v>
      </c>
      <c r="E154" s="103">
        <f t="shared" si="10"/>
        <v>294</v>
      </c>
      <c r="F154" s="117">
        <f t="shared" si="11"/>
        <v>112.09999999991851</v>
      </c>
      <c r="G154" s="103">
        <f>VLOOKUP(D154,Lookup!$J$5:$M$19,4,FALSE)-E154</f>
        <v>185</v>
      </c>
      <c r="H154" s="103">
        <f>VLOOKUP(D154,Lookup!$J$5:$K$19,2,FALSE)</f>
        <v>4</v>
      </c>
      <c r="I154" s="103">
        <f ca="1">IFERROR(VLOOKUP(G154,OFFSET(Lookup!$J$21,1,H154-1,5,1),1,1),0)</f>
        <v>0</v>
      </c>
    </row>
    <row r="155" spans="1:9" x14ac:dyDescent="0.25">
      <c r="B155" s="96">
        <v>303</v>
      </c>
      <c r="C155" s="1">
        <v>8.999999999825377</v>
      </c>
      <c r="D155" s="103" t="str">
        <f t="shared" si="9"/>
        <v>GH1</v>
      </c>
      <c r="E155" s="103">
        <f t="shared" si="10"/>
        <v>303</v>
      </c>
      <c r="F155" s="117">
        <f t="shared" si="11"/>
        <v>8.999999999825377</v>
      </c>
      <c r="G155" s="103">
        <f>VLOOKUP(D155,Lookup!$J$5:$M$19,4,FALSE)-E155</f>
        <v>176</v>
      </c>
      <c r="H155" s="103">
        <f>VLOOKUP(D155,Lookup!$J$5:$K$19,2,FALSE)</f>
        <v>4</v>
      </c>
      <c r="I155" s="103">
        <f ca="1">IFERROR(VLOOKUP(G155,OFFSET(Lookup!$J$21,1,H155-1,5,1),1,1),0)</f>
        <v>0</v>
      </c>
    </row>
    <row r="156" spans="1:9" x14ac:dyDescent="0.25">
      <c r="B156" s="96">
        <v>312</v>
      </c>
      <c r="C156" s="1">
        <v>4.316666666592937</v>
      </c>
      <c r="D156" s="103" t="str">
        <f t="shared" si="9"/>
        <v>GH1</v>
      </c>
      <c r="E156" s="103">
        <f t="shared" si="10"/>
        <v>312</v>
      </c>
      <c r="F156" s="117">
        <f t="shared" si="11"/>
        <v>4.316666666592937</v>
      </c>
      <c r="G156" s="103">
        <f>VLOOKUP(D156,Lookup!$J$5:$M$19,4,FALSE)-E156</f>
        <v>167</v>
      </c>
      <c r="H156" s="103">
        <f>VLOOKUP(D156,Lookup!$J$5:$K$19,2,FALSE)</f>
        <v>4</v>
      </c>
      <c r="I156" s="103">
        <f ca="1">IFERROR(VLOOKUP(G156,OFFSET(Lookup!$J$21,1,H156-1,5,1),1,1),0)</f>
        <v>0</v>
      </c>
    </row>
    <row r="157" spans="1:9" x14ac:dyDescent="0.25">
      <c r="B157" s="96">
        <v>385</v>
      </c>
      <c r="C157" s="1">
        <v>1.3333333334885538</v>
      </c>
      <c r="D157" s="103" t="str">
        <f t="shared" si="9"/>
        <v>GH1</v>
      </c>
      <c r="E157" s="103">
        <f t="shared" si="10"/>
        <v>385</v>
      </c>
      <c r="F157" s="117">
        <f t="shared" si="11"/>
        <v>1.3333333334885538</v>
      </c>
      <c r="G157" s="103">
        <f>VLOOKUP(D157,Lookup!$J$5:$M$19,4,FALSE)-E157</f>
        <v>94</v>
      </c>
      <c r="H157" s="103">
        <f>VLOOKUP(D157,Lookup!$J$5:$K$19,2,FALSE)</f>
        <v>4</v>
      </c>
      <c r="I157" s="103">
        <f ca="1">IFERROR(VLOOKUP(G157,OFFSET(Lookup!$J$21,1,H157-1,5,1),1,1),0)</f>
        <v>0</v>
      </c>
    </row>
    <row r="158" spans="1:9" x14ac:dyDescent="0.25">
      <c r="B158" s="96">
        <v>444</v>
      </c>
      <c r="C158" s="1">
        <v>0.5166666666045785</v>
      </c>
      <c r="D158" s="103" t="str">
        <f t="shared" si="9"/>
        <v>GH1</v>
      </c>
      <c r="E158" s="103">
        <f t="shared" si="10"/>
        <v>444</v>
      </c>
      <c r="F158" s="117">
        <f t="shared" si="11"/>
        <v>0.5166666666045785</v>
      </c>
      <c r="G158" s="103">
        <f>VLOOKUP(D158,Lookup!$J$5:$M$19,4,FALSE)-E158</f>
        <v>35</v>
      </c>
      <c r="H158" s="103">
        <f>VLOOKUP(D158,Lookup!$J$5:$K$19,2,FALSE)</f>
        <v>4</v>
      </c>
      <c r="I158" s="103">
        <f ca="1">IFERROR(VLOOKUP(G158,OFFSET(Lookup!$J$21,1,H158-1,5,1),1,1),0)</f>
        <v>0</v>
      </c>
    </row>
    <row r="159" spans="1:9" x14ac:dyDescent="0.25">
      <c r="A159" s="103" t="s">
        <v>27</v>
      </c>
      <c r="B159" s="96">
        <v>0</v>
      </c>
      <c r="C159" s="1">
        <v>521.90000000002328</v>
      </c>
      <c r="D159" s="103" t="str">
        <f t="shared" si="9"/>
        <v>GH2</v>
      </c>
      <c r="E159" s="103">
        <f t="shared" si="10"/>
        <v>0</v>
      </c>
      <c r="F159" s="117">
        <f t="shared" si="11"/>
        <v>521.90000000002328</v>
      </c>
      <c r="G159" s="103">
        <f>VLOOKUP(D159,Lookup!$J$5:$M$19,4,FALSE)-E159</f>
        <v>486</v>
      </c>
      <c r="H159" s="103">
        <f>VLOOKUP(D159,Lookup!$J$5:$K$19,2,FALSE)</f>
        <v>5</v>
      </c>
      <c r="I159" s="103">
        <f ca="1">IFERROR(VLOOKUP(G159,OFFSET(Lookup!$J$21,1,H159-1,5,1),1,1),0)</f>
        <v>446</v>
      </c>
    </row>
    <row r="160" spans="1:9" x14ac:dyDescent="0.25">
      <c r="B160" s="96">
        <v>6</v>
      </c>
      <c r="C160" s="1">
        <v>7.6999999999534339</v>
      </c>
      <c r="D160" s="103" t="str">
        <f t="shared" si="9"/>
        <v>GH2</v>
      </c>
      <c r="E160" s="103">
        <f t="shared" si="10"/>
        <v>6</v>
      </c>
      <c r="F160" s="117">
        <f t="shared" si="11"/>
        <v>7.6999999999534339</v>
      </c>
      <c r="G160" s="103">
        <f>VLOOKUP(D160,Lookup!$J$5:$M$19,4,FALSE)-E160</f>
        <v>480</v>
      </c>
      <c r="H160" s="103">
        <f>VLOOKUP(D160,Lookup!$J$5:$K$19,2,FALSE)</f>
        <v>5</v>
      </c>
      <c r="I160" s="103">
        <f ca="1">IFERROR(VLOOKUP(G160,OFFSET(Lookup!$J$21,1,H160-1,5,1),1,1),0)</f>
        <v>446</v>
      </c>
    </row>
    <row r="161" spans="2:9" x14ac:dyDescent="0.25">
      <c r="B161" s="96">
        <v>8</v>
      </c>
      <c r="C161" s="1">
        <v>0.70000000001164153</v>
      </c>
      <c r="D161" s="103" t="str">
        <f t="shared" si="9"/>
        <v>GH2</v>
      </c>
      <c r="E161" s="103">
        <f t="shared" si="10"/>
        <v>8</v>
      </c>
      <c r="F161" s="117">
        <f t="shared" si="11"/>
        <v>0.70000000001164153</v>
      </c>
      <c r="G161" s="103">
        <f>VLOOKUP(D161,Lookup!$J$5:$M$19,4,FALSE)-E161</f>
        <v>478</v>
      </c>
      <c r="H161" s="103">
        <f>VLOOKUP(D161,Lookup!$J$5:$K$19,2,FALSE)</f>
        <v>5</v>
      </c>
      <c r="I161" s="103">
        <f ca="1">IFERROR(VLOOKUP(G161,OFFSET(Lookup!$J$21,1,H161-1,5,1),1,1),0)</f>
        <v>446</v>
      </c>
    </row>
    <row r="162" spans="2:9" x14ac:dyDescent="0.25">
      <c r="B162" s="96">
        <v>9</v>
      </c>
      <c r="C162" s="1">
        <v>77.966666666732635</v>
      </c>
      <c r="D162" s="103" t="str">
        <f t="shared" si="9"/>
        <v>GH2</v>
      </c>
      <c r="E162" s="103">
        <f t="shared" si="10"/>
        <v>9</v>
      </c>
      <c r="F162" s="117">
        <f t="shared" si="11"/>
        <v>77.966666666732635</v>
      </c>
      <c r="G162" s="103">
        <f>VLOOKUP(D162,Lookup!$J$5:$M$19,4,FALSE)-E162</f>
        <v>477</v>
      </c>
      <c r="H162" s="103">
        <f>VLOOKUP(D162,Lookup!$J$5:$K$19,2,FALSE)</f>
        <v>5</v>
      </c>
      <c r="I162" s="103">
        <f ca="1">IFERROR(VLOOKUP(G162,OFFSET(Lookup!$J$21,1,H162-1,5,1),1,1),0)</f>
        <v>446</v>
      </c>
    </row>
    <row r="163" spans="2:9" x14ac:dyDescent="0.25">
      <c r="B163" s="96">
        <v>12</v>
      </c>
      <c r="C163" s="1">
        <v>1.2666666667792015</v>
      </c>
      <c r="D163" s="103" t="str">
        <f t="shared" si="9"/>
        <v>GH2</v>
      </c>
      <c r="E163" s="103">
        <f t="shared" si="10"/>
        <v>12</v>
      </c>
      <c r="F163" s="117">
        <f t="shared" si="11"/>
        <v>1.2666666667792015</v>
      </c>
      <c r="G163" s="103">
        <f>VLOOKUP(D163,Lookup!$J$5:$M$19,4,FALSE)-E163</f>
        <v>474</v>
      </c>
      <c r="H163" s="103">
        <f>VLOOKUP(D163,Lookup!$J$5:$K$19,2,FALSE)</f>
        <v>5</v>
      </c>
      <c r="I163" s="103">
        <f ca="1">IFERROR(VLOOKUP(G163,OFFSET(Lookup!$J$21,1,H163-1,5,1),1,1),0)</f>
        <v>446</v>
      </c>
    </row>
    <row r="164" spans="2:9" x14ac:dyDescent="0.25">
      <c r="B164" s="96">
        <v>14</v>
      </c>
      <c r="C164" s="1">
        <v>309.33333333337214</v>
      </c>
      <c r="D164" s="103" t="str">
        <f t="shared" si="9"/>
        <v>GH2</v>
      </c>
      <c r="E164" s="103">
        <f t="shared" si="10"/>
        <v>14</v>
      </c>
      <c r="F164" s="117">
        <f t="shared" si="11"/>
        <v>309.33333333337214</v>
      </c>
      <c r="G164" s="103">
        <f>VLOOKUP(D164,Lookup!$J$5:$M$19,4,FALSE)-E164</f>
        <v>472</v>
      </c>
      <c r="H164" s="103">
        <f>VLOOKUP(D164,Lookup!$J$5:$K$19,2,FALSE)</f>
        <v>5</v>
      </c>
      <c r="I164" s="103">
        <f ca="1">IFERROR(VLOOKUP(G164,OFFSET(Lookup!$J$21,1,H164-1,5,1),1,1),0)</f>
        <v>446</v>
      </c>
    </row>
    <row r="165" spans="2:9" x14ac:dyDescent="0.25">
      <c r="B165" s="96">
        <v>19</v>
      </c>
      <c r="C165" s="1">
        <v>2.5833333333721384</v>
      </c>
      <c r="D165" s="103" t="str">
        <f t="shared" si="9"/>
        <v>GH2</v>
      </c>
      <c r="E165" s="103">
        <f t="shared" si="10"/>
        <v>19</v>
      </c>
      <c r="F165" s="117">
        <f t="shared" si="11"/>
        <v>2.5833333333721384</v>
      </c>
      <c r="G165" s="103">
        <f>VLOOKUP(D165,Lookup!$J$5:$M$19,4,FALSE)-E165</f>
        <v>467</v>
      </c>
      <c r="H165" s="103">
        <f>VLOOKUP(D165,Lookup!$J$5:$K$19,2,FALSE)</f>
        <v>5</v>
      </c>
      <c r="I165" s="103">
        <f ca="1">IFERROR(VLOOKUP(G165,OFFSET(Lookup!$J$21,1,H165-1,5,1),1,1),0)</f>
        <v>446</v>
      </c>
    </row>
    <row r="166" spans="2:9" x14ac:dyDescent="0.25">
      <c r="B166" s="96">
        <v>23</v>
      </c>
      <c r="C166" s="1">
        <v>4.5</v>
      </c>
      <c r="D166" s="103" t="str">
        <f t="shared" si="9"/>
        <v>GH2</v>
      </c>
      <c r="E166" s="103">
        <f t="shared" si="10"/>
        <v>23</v>
      </c>
      <c r="F166" s="117">
        <f t="shared" si="11"/>
        <v>4.5</v>
      </c>
      <c r="G166" s="103">
        <f>VLOOKUP(D166,Lookup!$J$5:$M$19,4,FALSE)-E166</f>
        <v>463</v>
      </c>
      <c r="H166" s="103">
        <f>VLOOKUP(D166,Lookup!$J$5:$K$19,2,FALSE)</f>
        <v>5</v>
      </c>
      <c r="I166" s="103">
        <f ca="1">IFERROR(VLOOKUP(G166,OFFSET(Lookup!$J$21,1,H166-1,5,1),1,1),0)</f>
        <v>446</v>
      </c>
    </row>
    <row r="167" spans="2:9" x14ac:dyDescent="0.25">
      <c r="B167" s="96">
        <v>28</v>
      </c>
      <c r="C167" s="1">
        <v>28.699999999778811</v>
      </c>
      <c r="D167" s="103" t="str">
        <f t="shared" si="9"/>
        <v>GH2</v>
      </c>
      <c r="E167" s="103">
        <f t="shared" si="10"/>
        <v>28</v>
      </c>
      <c r="F167" s="117">
        <f t="shared" si="11"/>
        <v>28.699999999778811</v>
      </c>
      <c r="G167" s="103">
        <f>VLOOKUP(D167,Lookup!$J$5:$M$19,4,FALSE)-E167</f>
        <v>458</v>
      </c>
      <c r="H167" s="103">
        <f>VLOOKUP(D167,Lookup!$J$5:$K$19,2,FALSE)</f>
        <v>5</v>
      </c>
      <c r="I167" s="103">
        <f ca="1">IFERROR(VLOOKUP(G167,OFFSET(Lookup!$J$21,1,H167-1,5,1),1,1),0)</f>
        <v>446</v>
      </c>
    </row>
    <row r="168" spans="2:9" x14ac:dyDescent="0.25">
      <c r="B168" s="96">
        <v>33</v>
      </c>
      <c r="C168" s="1">
        <v>17.566666666651145</v>
      </c>
      <c r="D168" s="103" t="str">
        <f t="shared" si="9"/>
        <v>GH2</v>
      </c>
      <c r="E168" s="103">
        <f t="shared" si="10"/>
        <v>33</v>
      </c>
      <c r="F168" s="117">
        <f t="shared" si="11"/>
        <v>17.566666666651145</v>
      </c>
      <c r="G168" s="103">
        <f>VLOOKUP(D168,Lookup!$J$5:$M$19,4,FALSE)-E168</f>
        <v>453</v>
      </c>
      <c r="H168" s="103">
        <f>VLOOKUP(D168,Lookup!$J$5:$K$19,2,FALSE)</f>
        <v>5</v>
      </c>
      <c r="I168" s="103">
        <f ca="1">IFERROR(VLOOKUP(G168,OFFSET(Lookup!$J$21,1,H168-1,5,1),1,1),0)</f>
        <v>446</v>
      </c>
    </row>
    <row r="169" spans="2:9" x14ac:dyDescent="0.25">
      <c r="B169" s="96">
        <v>35</v>
      </c>
      <c r="C169" s="1">
        <v>305.65000000008149</v>
      </c>
      <c r="D169" s="103" t="str">
        <f t="shared" si="9"/>
        <v>GH2</v>
      </c>
      <c r="E169" s="103">
        <f t="shared" si="10"/>
        <v>35</v>
      </c>
      <c r="F169" s="117">
        <f t="shared" si="11"/>
        <v>305.65000000008149</v>
      </c>
      <c r="G169" s="103">
        <f>VLOOKUP(D169,Lookup!$J$5:$M$19,4,FALSE)-E169</f>
        <v>451</v>
      </c>
      <c r="H169" s="103">
        <f>VLOOKUP(D169,Lookup!$J$5:$K$19,2,FALSE)</f>
        <v>5</v>
      </c>
      <c r="I169" s="103">
        <f ca="1">IFERROR(VLOOKUP(G169,OFFSET(Lookup!$J$21,1,H169-1,5,1),1,1),0)</f>
        <v>446</v>
      </c>
    </row>
    <row r="170" spans="2:9" x14ac:dyDescent="0.25">
      <c r="B170" s="96">
        <v>37</v>
      </c>
      <c r="C170" s="1">
        <v>59.949999999487773</v>
      </c>
      <c r="D170" s="103" t="str">
        <f t="shared" si="9"/>
        <v>GH2</v>
      </c>
      <c r="E170" s="103">
        <f t="shared" si="10"/>
        <v>37</v>
      </c>
      <c r="F170" s="117">
        <f t="shared" si="11"/>
        <v>59.949999999487773</v>
      </c>
      <c r="G170" s="103">
        <f>VLOOKUP(D170,Lookup!$J$5:$M$19,4,FALSE)-E170</f>
        <v>449</v>
      </c>
      <c r="H170" s="103">
        <f>VLOOKUP(D170,Lookup!$J$5:$K$19,2,FALSE)</f>
        <v>5</v>
      </c>
      <c r="I170" s="103">
        <f ca="1">IFERROR(VLOOKUP(G170,OFFSET(Lookup!$J$21,1,H170-1,5,1),1,1),0)</f>
        <v>446</v>
      </c>
    </row>
    <row r="171" spans="2:9" x14ac:dyDescent="0.25">
      <c r="B171" s="96">
        <v>40</v>
      </c>
      <c r="C171" s="1">
        <v>3.0999999999767169</v>
      </c>
      <c r="D171" s="103" t="str">
        <f t="shared" si="9"/>
        <v>GH2</v>
      </c>
      <c r="E171" s="103">
        <f t="shared" si="10"/>
        <v>40</v>
      </c>
      <c r="F171" s="117">
        <f t="shared" si="11"/>
        <v>3.0999999999767169</v>
      </c>
      <c r="G171" s="103">
        <f>VLOOKUP(D171,Lookup!$J$5:$M$19,4,FALSE)-E171</f>
        <v>446</v>
      </c>
      <c r="H171" s="103">
        <f>VLOOKUP(D171,Lookup!$J$5:$K$19,2,FALSE)</f>
        <v>5</v>
      </c>
      <c r="I171" s="103">
        <f ca="1">IFERROR(VLOOKUP(G171,OFFSET(Lookup!$J$21,1,H171-1,5,1),1,1),0)</f>
        <v>446</v>
      </c>
    </row>
    <row r="172" spans="2:9" x14ac:dyDescent="0.25">
      <c r="B172" s="96">
        <v>42</v>
      </c>
      <c r="C172" s="1">
        <v>9.2166666666744277</v>
      </c>
      <c r="D172" s="103" t="str">
        <f t="shared" si="9"/>
        <v>GH2</v>
      </c>
      <c r="E172" s="103">
        <f t="shared" si="10"/>
        <v>42</v>
      </c>
      <c r="F172" s="117">
        <f t="shared" si="11"/>
        <v>9.2166666666744277</v>
      </c>
      <c r="G172" s="103">
        <f>VLOOKUP(D172,Lookup!$J$5:$M$19,4,FALSE)-E172</f>
        <v>444</v>
      </c>
      <c r="H172" s="103">
        <f>VLOOKUP(D172,Lookup!$J$5:$K$19,2,FALSE)</f>
        <v>5</v>
      </c>
      <c r="I172" s="103">
        <f ca="1">IFERROR(VLOOKUP(G172,OFFSET(Lookup!$J$21,1,H172-1,5,1),1,1),0)</f>
        <v>406</v>
      </c>
    </row>
    <row r="173" spans="2:9" x14ac:dyDescent="0.25">
      <c r="B173" s="96">
        <v>47</v>
      </c>
      <c r="C173" s="1">
        <v>16.899999999732245</v>
      </c>
      <c r="D173" s="103" t="str">
        <f t="shared" si="9"/>
        <v>GH2</v>
      </c>
      <c r="E173" s="103">
        <f t="shared" si="10"/>
        <v>47</v>
      </c>
      <c r="F173" s="117">
        <f t="shared" si="11"/>
        <v>16.899999999732245</v>
      </c>
      <c r="G173" s="103">
        <f>VLOOKUP(D173,Lookup!$J$5:$M$19,4,FALSE)-E173</f>
        <v>439</v>
      </c>
      <c r="H173" s="103">
        <f>VLOOKUP(D173,Lookup!$J$5:$K$19,2,FALSE)</f>
        <v>5</v>
      </c>
      <c r="I173" s="103">
        <f ca="1">IFERROR(VLOOKUP(G173,OFFSET(Lookup!$J$21,1,H173-1,5,1),1,1),0)</f>
        <v>406</v>
      </c>
    </row>
    <row r="174" spans="2:9" x14ac:dyDescent="0.25">
      <c r="B174" s="96">
        <v>51</v>
      </c>
      <c r="C174" s="1">
        <v>17.683333333348855</v>
      </c>
      <c r="D174" s="103" t="str">
        <f t="shared" si="9"/>
        <v>GH2</v>
      </c>
      <c r="E174" s="103">
        <f t="shared" si="10"/>
        <v>51</v>
      </c>
      <c r="F174" s="117">
        <f t="shared" si="11"/>
        <v>17.683333333348855</v>
      </c>
      <c r="G174" s="103">
        <f>VLOOKUP(D174,Lookup!$J$5:$M$19,4,FALSE)-E174</f>
        <v>435</v>
      </c>
      <c r="H174" s="103">
        <f>VLOOKUP(D174,Lookup!$J$5:$K$19,2,FALSE)</f>
        <v>5</v>
      </c>
      <c r="I174" s="103">
        <f ca="1">IFERROR(VLOOKUP(G174,OFFSET(Lookup!$J$21,1,H174-1,5,1),1,1),0)</f>
        <v>406</v>
      </c>
    </row>
    <row r="175" spans="2:9" x14ac:dyDescent="0.25">
      <c r="B175" s="96">
        <v>54</v>
      </c>
      <c r="C175" s="1">
        <v>1.8500000000931323</v>
      </c>
      <c r="D175" s="103" t="str">
        <f t="shared" si="9"/>
        <v>GH2</v>
      </c>
      <c r="E175" s="103">
        <f t="shared" si="10"/>
        <v>54</v>
      </c>
      <c r="F175" s="117">
        <f t="shared" si="11"/>
        <v>1.8500000000931323</v>
      </c>
      <c r="G175" s="103">
        <f>VLOOKUP(D175,Lookup!$J$5:$M$19,4,FALSE)-E175</f>
        <v>432</v>
      </c>
      <c r="H175" s="103">
        <f>VLOOKUP(D175,Lookup!$J$5:$K$19,2,FALSE)</f>
        <v>5</v>
      </c>
      <c r="I175" s="103">
        <f ca="1">IFERROR(VLOOKUP(G175,OFFSET(Lookup!$J$21,1,H175-1,5,1),1,1),0)</f>
        <v>406</v>
      </c>
    </row>
    <row r="176" spans="2:9" x14ac:dyDescent="0.25">
      <c r="B176" s="96">
        <v>56</v>
      </c>
      <c r="C176" s="1">
        <v>1593.6833333320683</v>
      </c>
      <c r="D176" s="103" t="str">
        <f t="shared" si="9"/>
        <v>GH2</v>
      </c>
      <c r="E176" s="103">
        <f t="shared" si="10"/>
        <v>56</v>
      </c>
      <c r="F176" s="117">
        <f t="shared" si="11"/>
        <v>1593.6833333320683</v>
      </c>
      <c r="G176" s="103">
        <f>VLOOKUP(D176,Lookup!$J$5:$M$19,4,FALSE)-E176</f>
        <v>430</v>
      </c>
      <c r="H176" s="103">
        <f>VLOOKUP(D176,Lookup!$J$5:$K$19,2,FALSE)</f>
        <v>5</v>
      </c>
      <c r="I176" s="103">
        <f ca="1">IFERROR(VLOOKUP(G176,OFFSET(Lookup!$J$21,1,H176-1,5,1),1,1),0)</f>
        <v>406</v>
      </c>
    </row>
    <row r="177" spans="2:9" x14ac:dyDescent="0.25">
      <c r="B177" s="96">
        <v>60</v>
      </c>
      <c r="C177" s="1">
        <v>1.9999999998835847</v>
      </c>
      <c r="D177" s="103" t="str">
        <f t="shared" si="9"/>
        <v>GH2</v>
      </c>
      <c r="E177" s="103">
        <f t="shared" si="10"/>
        <v>60</v>
      </c>
      <c r="F177" s="117">
        <f t="shared" si="11"/>
        <v>1.9999999998835847</v>
      </c>
      <c r="G177" s="103">
        <f>VLOOKUP(D177,Lookup!$J$5:$M$19,4,FALSE)-E177</f>
        <v>426</v>
      </c>
      <c r="H177" s="103">
        <f>VLOOKUP(D177,Lookup!$J$5:$K$19,2,FALSE)</f>
        <v>5</v>
      </c>
      <c r="I177" s="103">
        <f ca="1">IFERROR(VLOOKUP(G177,OFFSET(Lookup!$J$21,1,H177-1,5,1),1,1),0)</f>
        <v>406</v>
      </c>
    </row>
    <row r="178" spans="2:9" x14ac:dyDescent="0.25">
      <c r="B178" s="96">
        <v>61</v>
      </c>
      <c r="C178" s="1">
        <v>12.116666666523088</v>
      </c>
      <c r="D178" s="103" t="str">
        <f t="shared" si="9"/>
        <v>GH2</v>
      </c>
      <c r="E178" s="103">
        <f t="shared" si="10"/>
        <v>61</v>
      </c>
      <c r="F178" s="117">
        <f t="shared" si="11"/>
        <v>12.116666666523088</v>
      </c>
      <c r="G178" s="103">
        <f>VLOOKUP(D178,Lookup!$J$5:$M$19,4,FALSE)-E178</f>
        <v>425</v>
      </c>
      <c r="H178" s="103">
        <f>VLOOKUP(D178,Lookup!$J$5:$K$19,2,FALSE)</f>
        <v>5</v>
      </c>
      <c r="I178" s="103">
        <f ca="1">IFERROR(VLOOKUP(G178,OFFSET(Lookup!$J$21,1,H178-1,5,1),1,1),0)</f>
        <v>406</v>
      </c>
    </row>
    <row r="179" spans="2:9" x14ac:dyDescent="0.25">
      <c r="B179" s="96">
        <v>65</v>
      </c>
      <c r="C179" s="1">
        <v>312.0833333330811</v>
      </c>
      <c r="D179" s="103" t="str">
        <f t="shared" si="9"/>
        <v>GH2</v>
      </c>
      <c r="E179" s="103">
        <f t="shared" si="10"/>
        <v>65</v>
      </c>
      <c r="F179" s="117">
        <f t="shared" si="11"/>
        <v>312.0833333330811</v>
      </c>
      <c r="G179" s="103">
        <f>VLOOKUP(D179,Lookup!$J$5:$M$19,4,FALSE)-E179</f>
        <v>421</v>
      </c>
      <c r="H179" s="103">
        <f>VLOOKUP(D179,Lookup!$J$5:$K$19,2,FALSE)</f>
        <v>5</v>
      </c>
      <c r="I179" s="103">
        <f ca="1">IFERROR(VLOOKUP(G179,OFFSET(Lookup!$J$21,1,H179-1,5,1),1,1),0)</f>
        <v>406</v>
      </c>
    </row>
    <row r="180" spans="2:9" x14ac:dyDescent="0.25">
      <c r="B180" s="96">
        <v>67</v>
      </c>
      <c r="C180" s="1">
        <v>3.7999999999883585</v>
      </c>
      <c r="D180" s="103" t="str">
        <f t="shared" si="9"/>
        <v>GH2</v>
      </c>
      <c r="E180" s="103">
        <f t="shared" si="10"/>
        <v>67</v>
      </c>
      <c r="F180" s="117">
        <f t="shared" si="11"/>
        <v>3.7999999999883585</v>
      </c>
      <c r="G180" s="103">
        <f>VLOOKUP(D180,Lookup!$J$5:$M$19,4,FALSE)-E180</f>
        <v>419</v>
      </c>
      <c r="H180" s="103">
        <f>VLOOKUP(D180,Lookup!$J$5:$K$19,2,FALSE)</f>
        <v>5</v>
      </c>
      <c r="I180" s="103">
        <f ca="1">IFERROR(VLOOKUP(G180,OFFSET(Lookup!$J$21,1,H180-1,5,1),1,1),0)</f>
        <v>406</v>
      </c>
    </row>
    <row r="181" spans="2:9" x14ac:dyDescent="0.25">
      <c r="B181" s="96">
        <v>75</v>
      </c>
      <c r="C181" s="1">
        <v>80.499999999592546</v>
      </c>
      <c r="D181" s="103" t="str">
        <f t="shared" si="9"/>
        <v>GH2</v>
      </c>
      <c r="E181" s="103">
        <f t="shared" si="10"/>
        <v>75</v>
      </c>
      <c r="F181" s="117">
        <f t="shared" si="11"/>
        <v>80.499999999592546</v>
      </c>
      <c r="G181" s="103">
        <f>VLOOKUP(D181,Lookup!$J$5:$M$19,4,FALSE)-E181</f>
        <v>411</v>
      </c>
      <c r="H181" s="103">
        <f>VLOOKUP(D181,Lookup!$J$5:$K$19,2,FALSE)</f>
        <v>5</v>
      </c>
      <c r="I181" s="103">
        <f ca="1">IFERROR(VLOOKUP(G181,OFFSET(Lookup!$J$21,1,H181-1,5,1),1,1),0)</f>
        <v>406</v>
      </c>
    </row>
    <row r="182" spans="2:9" x14ac:dyDescent="0.25">
      <c r="B182" s="96">
        <v>77</v>
      </c>
      <c r="C182" s="1">
        <v>31.700000000128057</v>
      </c>
      <c r="D182" s="103" t="str">
        <f t="shared" si="9"/>
        <v>GH2</v>
      </c>
      <c r="E182" s="103">
        <f t="shared" si="10"/>
        <v>77</v>
      </c>
      <c r="F182" s="117">
        <f t="shared" si="11"/>
        <v>31.700000000128057</v>
      </c>
      <c r="G182" s="103">
        <f>VLOOKUP(D182,Lookup!$J$5:$M$19,4,FALSE)-E182</f>
        <v>409</v>
      </c>
      <c r="H182" s="103">
        <f>VLOOKUP(D182,Lookup!$J$5:$K$19,2,FALSE)</f>
        <v>5</v>
      </c>
      <c r="I182" s="103">
        <f ca="1">IFERROR(VLOOKUP(G182,OFFSET(Lookup!$J$21,1,H182-1,5,1),1,1),0)</f>
        <v>406</v>
      </c>
    </row>
    <row r="183" spans="2:9" x14ac:dyDescent="0.25">
      <c r="B183" s="96">
        <v>84</v>
      </c>
      <c r="C183" s="1">
        <v>11.666666666627862</v>
      </c>
      <c r="D183" s="103" t="str">
        <f t="shared" si="9"/>
        <v>GH2</v>
      </c>
      <c r="E183" s="103">
        <f t="shared" si="10"/>
        <v>84</v>
      </c>
      <c r="F183" s="117">
        <f t="shared" si="11"/>
        <v>11.666666666627862</v>
      </c>
      <c r="G183" s="103">
        <f>VLOOKUP(D183,Lookup!$J$5:$M$19,4,FALSE)-E183</f>
        <v>402</v>
      </c>
      <c r="H183" s="103">
        <f>VLOOKUP(D183,Lookup!$J$5:$K$19,2,FALSE)</f>
        <v>5</v>
      </c>
      <c r="I183" s="103">
        <f ca="1">IFERROR(VLOOKUP(G183,OFFSET(Lookup!$J$21,1,H183-1,5,1),1,1),0)</f>
        <v>326</v>
      </c>
    </row>
    <row r="184" spans="2:9" x14ac:dyDescent="0.25">
      <c r="B184" s="96">
        <v>87</v>
      </c>
      <c r="C184" s="1">
        <v>0.79999999998835847</v>
      </c>
      <c r="D184" s="103" t="str">
        <f t="shared" si="9"/>
        <v>GH2</v>
      </c>
      <c r="E184" s="103">
        <f t="shared" si="10"/>
        <v>87</v>
      </c>
      <c r="F184" s="117">
        <f t="shared" si="11"/>
        <v>0.79999999998835847</v>
      </c>
      <c r="G184" s="103">
        <f>VLOOKUP(D184,Lookup!$J$5:$M$19,4,FALSE)-E184</f>
        <v>399</v>
      </c>
      <c r="H184" s="103">
        <f>VLOOKUP(D184,Lookup!$J$5:$K$19,2,FALSE)</f>
        <v>5</v>
      </c>
      <c r="I184" s="103">
        <f ca="1">IFERROR(VLOOKUP(G184,OFFSET(Lookup!$J$21,1,H184-1,5,1),1,1),0)</f>
        <v>326</v>
      </c>
    </row>
    <row r="185" spans="2:9" x14ac:dyDescent="0.25">
      <c r="B185" s="96">
        <v>89</v>
      </c>
      <c r="C185" s="1">
        <v>0.39999999990686774</v>
      </c>
      <c r="D185" s="103" t="str">
        <f t="shared" si="9"/>
        <v>GH2</v>
      </c>
      <c r="E185" s="103">
        <f t="shared" si="10"/>
        <v>89</v>
      </c>
      <c r="F185" s="117">
        <f t="shared" si="11"/>
        <v>0.39999999990686774</v>
      </c>
      <c r="G185" s="103">
        <f>VLOOKUP(D185,Lookup!$J$5:$M$19,4,FALSE)-E185</f>
        <v>397</v>
      </c>
      <c r="H185" s="103">
        <f>VLOOKUP(D185,Lookup!$J$5:$K$19,2,FALSE)</f>
        <v>5</v>
      </c>
      <c r="I185" s="103">
        <f ca="1">IFERROR(VLOOKUP(G185,OFFSET(Lookup!$J$21,1,H185-1,5,1),1,1),0)</f>
        <v>326</v>
      </c>
    </row>
    <row r="186" spans="2:9" x14ac:dyDescent="0.25">
      <c r="B186" s="96">
        <v>90</v>
      </c>
      <c r="C186" s="1">
        <v>28.199999999895226</v>
      </c>
      <c r="D186" s="103" t="str">
        <f t="shared" si="9"/>
        <v>GH2</v>
      </c>
      <c r="E186" s="103">
        <f t="shared" si="10"/>
        <v>90</v>
      </c>
      <c r="F186" s="117">
        <f t="shared" si="11"/>
        <v>28.199999999895226</v>
      </c>
      <c r="G186" s="103">
        <f>VLOOKUP(D186,Lookup!$J$5:$M$19,4,FALSE)-E186</f>
        <v>396</v>
      </c>
      <c r="H186" s="103">
        <f>VLOOKUP(D186,Lookup!$J$5:$K$19,2,FALSE)</f>
        <v>5</v>
      </c>
      <c r="I186" s="103">
        <f ca="1">IFERROR(VLOOKUP(G186,OFFSET(Lookup!$J$21,1,H186-1,5,1),1,1),0)</f>
        <v>326</v>
      </c>
    </row>
    <row r="187" spans="2:9" x14ac:dyDescent="0.25">
      <c r="B187" s="96">
        <v>93</v>
      </c>
      <c r="C187" s="1">
        <v>37.499999999825377</v>
      </c>
      <c r="D187" s="103" t="str">
        <f t="shared" si="9"/>
        <v>GH2</v>
      </c>
      <c r="E187" s="103">
        <f t="shared" si="10"/>
        <v>93</v>
      </c>
      <c r="F187" s="117">
        <f t="shared" si="11"/>
        <v>37.499999999825377</v>
      </c>
      <c r="G187" s="103">
        <f>VLOOKUP(D187,Lookup!$J$5:$M$19,4,FALSE)-E187</f>
        <v>393</v>
      </c>
      <c r="H187" s="103">
        <f>VLOOKUP(D187,Lookup!$J$5:$K$19,2,FALSE)</f>
        <v>5</v>
      </c>
      <c r="I187" s="103">
        <f ca="1">IFERROR(VLOOKUP(G187,OFFSET(Lookup!$J$21,1,H187-1,5,1),1,1),0)</f>
        <v>326</v>
      </c>
    </row>
    <row r="188" spans="2:9" x14ac:dyDescent="0.25">
      <c r="B188" s="96">
        <v>96</v>
      </c>
      <c r="C188" s="1">
        <v>4.7166666666744277</v>
      </c>
      <c r="D188" s="103" t="str">
        <f t="shared" si="9"/>
        <v>GH2</v>
      </c>
      <c r="E188" s="103">
        <f t="shared" si="10"/>
        <v>96</v>
      </c>
      <c r="F188" s="117">
        <f t="shared" si="11"/>
        <v>4.7166666666744277</v>
      </c>
      <c r="G188" s="103">
        <f>VLOOKUP(D188,Lookup!$J$5:$M$19,4,FALSE)-E188</f>
        <v>390</v>
      </c>
      <c r="H188" s="103">
        <f>VLOOKUP(D188,Lookup!$J$5:$K$19,2,FALSE)</f>
        <v>5</v>
      </c>
      <c r="I188" s="103">
        <f ca="1">IFERROR(VLOOKUP(G188,OFFSET(Lookup!$J$21,1,H188-1,5,1),1,1),0)</f>
        <v>326</v>
      </c>
    </row>
    <row r="189" spans="2:9" x14ac:dyDescent="0.25">
      <c r="B189" s="96">
        <v>103</v>
      </c>
      <c r="C189" s="1">
        <v>2.2166666667326353</v>
      </c>
      <c r="D189" s="103" t="str">
        <f t="shared" si="9"/>
        <v>GH2</v>
      </c>
      <c r="E189" s="103">
        <f t="shared" si="10"/>
        <v>103</v>
      </c>
      <c r="F189" s="117">
        <f t="shared" si="11"/>
        <v>2.2166666667326353</v>
      </c>
      <c r="G189" s="103">
        <f>VLOOKUP(D189,Lookup!$J$5:$M$19,4,FALSE)-E189</f>
        <v>383</v>
      </c>
      <c r="H189" s="103">
        <f>VLOOKUP(D189,Lookup!$J$5:$K$19,2,FALSE)</f>
        <v>5</v>
      </c>
      <c r="I189" s="103">
        <f ca="1">IFERROR(VLOOKUP(G189,OFFSET(Lookup!$J$21,1,H189-1,5,1),1,1),0)</f>
        <v>326</v>
      </c>
    </row>
    <row r="190" spans="2:9" x14ac:dyDescent="0.25">
      <c r="B190" s="96">
        <v>105</v>
      </c>
      <c r="C190" s="1">
        <v>1.8333333333721384</v>
      </c>
      <c r="D190" s="103" t="str">
        <f t="shared" si="9"/>
        <v>GH2</v>
      </c>
      <c r="E190" s="103">
        <f t="shared" si="10"/>
        <v>105</v>
      </c>
      <c r="F190" s="117">
        <f t="shared" si="11"/>
        <v>1.8333333333721384</v>
      </c>
      <c r="G190" s="103">
        <f>VLOOKUP(D190,Lookup!$J$5:$M$19,4,FALSE)-E190</f>
        <v>381</v>
      </c>
      <c r="H190" s="103">
        <f>VLOOKUP(D190,Lookup!$J$5:$K$19,2,FALSE)</f>
        <v>5</v>
      </c>
      <c r="I190" s="103">
        <f ca="1">IFERROR(VLOOKUP(G190,OFFSET(Lookup!$J$21,1,H190-1,5,1),1,1),0)</f>
        <v>326</v>
      </c>
    </row>
    <row r="191" spans="2:9" x14ac:dyDescent="0.25">
      <c r="B191" s="96">
        <v>107</v>
      </c>
      <c r="C191" s="1">
        <v>11.333333333430346</v>
      </c>
      <c r="D191" s="103" t="str">
        <f t="shared" si="9"/>
        <v>GH2</v>
      </c>
      <c r="E191" s="103">
        <f t="shared" si="10"/>
        <v>107</v>
      </c>
      <c r="F191" s="117">
        <f t="shared" si="11"/>
        <v>11.333333333430346</v>
      </c>
      <c r="G191" s="103">
        <f>VLOOKUP(D191,Lookup!$J$5:$M$19,4,FALSE)-E191</f>
        <v>379</v>
      </c>
      <c r="H191" s="103">
        <f>VLOOKUP(D191,Lookup!$J$5:$K$19,2,FALSE)</f>
        <v>5</v>
      </c>
      <c r="I191" s="103">
        <f ca="1">IFERROR(VLOOKUP(G191,OFFSET(Lookup!$J$21,1,H191-1,5,1),1,1),0)</f>
        <v>326</v>
      </c>
    </row>
    <row r="192" spans="2:9" x14ac:dyDescent="0.25">
      <c r="B192" s="96">
        <v>112</v>
      </c>
      <c r="C192" s="1">
        <v>11.100000000034925</v>
      </c>
      <c r="D192" s="103" t="str">
        <f t="shared" si="9"/>
        <v>GH2</v>
      </c>
      <c r="E192" s="103">
        <f t="shared" si="10"/>
        <v>112</v>
      </c>
      <c r="F192" s="117">
        <f t="shared" si="11"/>
        <v>11.100000000034925</v>
      </c>
      <c r="G192" s="103">
        <f>VLOOKUP(D192,Lookup!$J$5:$M$19,4,FALSE)-E192</f>
        <v>374</v>
      </c>
      <c r="H192" s="103">
        <f>VLOOKUP(D192,Lookup!$J$5:$K$19,2,FALSE)</f>
        <v>5</v>
      </c>
      <c r="I192" s="103">
        <f ca="1">IFERROR(VLOOKUP(G192,OFFSET(Lookup!$J$21,1,H192-1,5,1),1,1),0)</f>
        <v>326</v>
      </c>
    </row>
    <row r="193" spans="2:9" x14ac:dyDescent="0.25">
      <c r="B193" s="96">
        <v>120</v>
      </c>
      <c r="C193" s="1">
        <v>36.46666666661622</v>
      </c>
      <c r="D193" s="103" t="str">
        <f t="shared" si="9"/>
        <v>GH2</v>
      </c>
      <c r="E193" s="103">
        <f t="shared" si="10"/>
        <v>120</v>
      </c>
      <c r="F193" s="117">
        <f t="shared" si="11"/>
        <v>36.46666666661622</v>
      </c>
      <c r="G193" s="103">
        <f>VLOOKUP(D193,Lookup!$J$5:$M$19,4,FALSE)-E193</f>
        <v>366</v>
      </c>
      <c r="H193" s="103">
        <f>VLOOKUP(D193,Lookup!$J$5:$K$19,2,FALSE)</f>
        <v>5</v>
      </c>
      <c r="I193" s="103">
        <f ca="1">IFERROR(VLOOKUP(G193,OFFSET(Lookup!$J$21,1,H193-1,5,1),1,1),0)</f>
        <v>326</v>
      </c>
    </row>
    <row r="194" spans="2:9" x14ac:dyDescent="0.25">
      <c r="B194" s="96">
        <v>122</v>
      </c>
      <c r="C194" s="1">
        <v>5.4499999999534339</v>
      </c>
      <c r="D194" s="103" t="str">
        <f t="shared" si="9"/>
        <v>GH2</v>
      </c>
      <c r="E194" s="103">
        <f t="shared" si="10"/>
        <v>122</v>
      </c>
      <c r="F194" s="117">
        <f t="shared" si="11"/>
        <v>5.4499999999534339</v>
      </c>
      <c r="G194" s="103">
        <f>VLOOKUP(D194,Lookup!$J$5:$M$19,4,FALSE)-E194</f>
        <v>364</v>
      </c>
      <c r="H194" s="103">
        <f>VLOOKUP(D194,Lookup!$J$5:$K$19,2,FALSE)</f>
        <v>5</v>
      </c>
      <c r="I194" s="103">
        <f ca="1">IFERROR(VLOOKUP(G194,OFFSET(Lookup!$J$21,1,H194-1,5,1),1,1),0)</f>
        <v>326</v>
      </c>
    </row>
    <row r="195" spans="2:9" x14ac:dyDescent="0.25">
      <c r="B195" s="96">
        <v>125</v>
      </c>
      <c r="C195" s="1">
        <v>0.70000000001164153</v>
      </c>
      <c r="D195" s="103" t="str">
        <f t="shared" si="9"/>
        <v>GH2</v>
      </c>
      <c r="E195" s="103">
        <f t="shared" si="10"/>
        <v>125</v>
      </c>
      <c r="F195" s="117">
        <f t="shared" si="11"/>
        <v>0.70000000001164153</v>
      </c>
      <c r="G195" s="103">
        <f>VLOOKUP(D195,Lookup!$J$5:$M$19,4,FALSE)-E195</f>
        <v>361</v>
      </c>
      <c r="H195" s="103">
        <f>VLOOKUP(D195,Lookup!$J$5:$K$19,2,FALSE)</f>
        <v>5</v>
      </c>
      <c r="I195" s="103">
        <f ca="1">IFERROR(VLOOKUP(G195,OFFSET(Lookup!$J$21,1,H195-1,5,1),1,1),0)</f>
        <v>326</v>
      </c>
    </row>
    <row r="196" spans="2:9" x14ac:dyDescent="0.25">
      <c r="B196" s="96">
        <v>135</v>
      </c>
      <c r="C196" s="1">
        <v>5.6833333333488554</v>
      </c>
      <c r="D196" s="103" t="str">
        <f t="shared" si="9"/>
        <v>GH2</v>
      </c>
      <c r="E196" s="103">
        <f t="shared" si="10"/>
        <v>135</v>
      </c>
      <c r="F196" s="117">
        <f t="shared" si="11"/>
        <v>5.6833333333488554</v>
      </c>
      <c r="G196" s="103">
        <f>VLOOKUP(D196,Lookup!$J$5:$M$19,4,FALSE)-E196</f>
        <v>351</v>
      </c>
      <c r="H196" s="103">
        <f>VLOOKUP(D196,Lookup!$J$5:$K$19,2,FALSE)</f>
        <v>5</v>
      </c>
      <c r="I196" s="103">
        <f ca="1">IFERROR(VLOOKUP(G196,OFFSET(Lookup!$J$21,1,H196-1,5,1),1,1),0)</f>
        <v>326</v>
      </c>
    </row>
    <row r="197" spans="2:9" x14ac:dyDescent="0.25">
      <c r="B197" s="96">
        <v>136</v>
      </c>
      <c r="C197" s="1">
        <v>56.599999999918509</v>
      </c>
      <c r="D197" s="103" t="str">
        <f t="shared" si="9"/>
        <v>GH2</v>
      </c>
      <c r="E197" s="103">
        <f t="shared" si="10"/>
        <v>136</v>
      </c>
      <c r="F197" s="117">
        <f t="shared" si="11"/>
        <v>56.599999999918509</v>
      </c>
      <c r="G197" s="103">
        <f>VLOOKUP(D197,Lookup!$J$5:$M$19,4,FALSE)-E197</f>
        <v>350</v>
      </c>
      <c r="H197" s="103">
        <f>VLOOKUP(D197,Lookup!$J$5:$K$19,2,FALSE)</f>
        <v>5</v>
      </c>
      <c r="I197" s="103">
        <f ca="1">IFERROR(VLOOKUP(G197,OFFSET(Lookup!$J$21,1,H197-1,5,1),1,1),0)</f>
        <v>326</v>
      </c>
    </row>
    <row r="198" spans="2:9" x14ac:dyDescent="0.25">
      <c r="B198" s="96">
        <v>140</v>
      </c>
      <c r="C198" s="1">
        <v>6.7833333334419876</v>
      </c>
      <c r="D198" s="103" t="str">
        <f t="shared" si="9"/>
        <v>GH2</v>
      </c>
      <c r="E198" s="103">
        <f t="shared" si="10"/>
        <v>140</v>
      </c>
      <c r="F198" s="117">
        <f t="shared" si="11"/>
        <v>6.7833333334419876</v>
      </c>
      <c r="G198" s="103">
        <f>VLOOKUP(D198,Lookup!$J$5:$M$19,4,FALSE)-E198</f>
        <v>346</v>
      </c>
      <c r="H198" s="103">
        <f>VLOOKUP(D198,Lookup!$J$5:$K$19,2,FALSE)</f>
        <v>5</v>
      </c>
      <c r="I198" s="103">
        <f ca="1">IFERROR(VLOOKUP(G198,OFFSET(Lookup!$J$21,1,H198-1,5,1),1,1),0)</f>
        <v>326</v>
      </c>
    </row>
    <row r="199" spans="2:9" x14ac:dyDescent="0.25">
      <c r="B199" s="96">
        <v>150</v>
      </c>
      <c r="C199" s="1">
        <v>24.583333333313931</v>
      </c>
      <c r="D199" s="103" t="str">
        <f t="shared" si="9"/>
        <v>GH2</v>
      </c>
      <c r="E199" s="103">
        <f t="shared" si="10"/>
        <v>150</v>
      </c>
      <c r="F199" s="117">
        <f t="shared" si="11"/>
        <v>24.583333333313931</v>
      </c>
      <c r="G199" s="103">
        <f>VLOOKUP(D199,Lookup!$J$5:$M$19,4,FALSE)-E199</f>
        <v>336</v>
      </c>
      <c r="H199" s="103">
        <f>VLOOKUP(D199,Lookup!$J$5:$K$19,2,FALSE)</f>
        <v>5</v>
      </c>
      <c r="I199" s="103">
        <f ca="1">IFERROR(VLOOKUP(G199,OFFSET(Lookup!$J$21,1,H199-1,5,1),1,1),0)</f>
        <v>326</v>
      </c>
    </row>
    <row r="200" spans="2:9" x14ac:dyDescent="0.25">
      <c r="B200" s="96">
        <v>159</v>
      </c>
      <c r="C200" s="1">
        <v>24.166666666686069</v>
      </c>
      <c r="D200" s="103" t="str">
        <f t="shared" si="9"/>
        <v>GH2</v>
      </c>
      <c r="E200" s="103">
        <f t="shared" si="10"/>
        <v>159</v>
      </c>
      <c r="F200" s="117">
        <f t="shared" si="11"/>
        <v>24.166666666686069</v>
      </c>
      <c r="G200" s="103">
        <f>VLOOKUP(D200,Lookup!$J$5:$M$19,4,FALSE)-E200</f>
        <v>327</v>
      </c>
      <c r="H200" s="103">
        <f>VLOOKUP(D200,Lookup!$J$5:$K$19,2,FALSE)</f>
        <v>5</v>
      </c>
      <c r="I200" s="103">
        <f ca="1">IFERROR(VLOOKUP(G200,OFFSET(Lookup!$J$21,1,H200-1,5,1),1,1),0)</f>
        <v>326</v>
      </c>
    </row>
    <row r="201" spans="2:9" x14ac:dyDescent="0.25">
      <c r="B201" s="96">
        <v>162</v>
      </c>
      <c r="C201" s="1">
        <v>0.66666666674427688</v>
      </c>
      <c r="D201" s="103" t="str">
        <f t="shared" ref="D201:D264" si="12">IF(A201="",D200,A201)</f>
        <v>GH2</v>
      </c>
      <c r="E201" s="103">
        <f t="shared" ref="E201:E264" si="13">IF(B201="",E200,B201)</f>
        <v>162</v>
      </c>
      <c r="F201" s="117">
        <f t="shared" ref="F201:F264" si="14">IF(C201="",F200,C201)</f>
        <v>0.66666666674427688</v>
      </c>
      <c r="G201" s="103">
        <f>VLOOKUP(D201,Lookup!$J$5:$M$19,4,FALSE)-E201</f>
        <v>324</v>
      </c>
      <c r="H201" s="103">
        <f>VLOOKUP(D201,Lookup!$J$5:$K$19,2,FALSE)</f>
        <v>5</v>
      </c>
      <c r="I201" s="103">
        <f ca="1">IFERROR(VLOOKUP(G201,OFFSET(Lookup!$J$21,1,H201-1,5,1),1,1),0)</f>
        <v>296</v>
      </c>
    </row>
    <row r="202" spans="2:9" x14ac:dyDescent="0.25">
      <c r="B202" s="96">
        <v>164</v>
      </c>
      <c r="C202" s="1">
        <v>12.400000000081491</v>
      </c>
      <c r="D202" s="103" t="str">
        <f t="shared" si="12"/>
        <v>GH2</v>
      </c>
      <c r="E202" s="103">
        <f t="shared" si="13"/>
        <v>164</v>
      </c>
      <c r="F202" s="117">
        <f t="shared" si="14"/>
        <v>12.400000000081491</v>
      </c>
      <c r="G202" s="103">
        <f>VLOOKUP(D202,Lookup!$J$5:$M$19,4,FALSE)-E202</f>
        <v>322</v>
      </c>
      <c r="H202" s="103">
        <f>VLOOKUP(D202,Lookup!$J$5:$K$19,2,FALSE)</f>
        <v>5</v>
      </c>
      <c r="I202" s="103">
        <f ca="1">IFERROR(VLOOKUP(G202,OFFSET(Lookup!$J$21,1,H202-1,5,1),1,1),0)</f>
        <v>296</v>
      </c>
    </row>
    <row r="203" spans="2:9" x14ac:dyDescent="0.25">
      <c r="B203" s="96">
        <v>168</v>
      </c>
      <c r="C203" s="1">
        <v>2.6999999998952262</v>
      </c>
      <c r="D203" s="103" t="str">
        <f t="shared" si="12"/>
        <v>GH2</v>
      </c>
      <c r="E203" s="103">
        <f t="shared" si="13"/>
        <v>168</v>
      </c>
      <c r="F203" s="117">
        <f t="shared" si="14"/>
        <v>2.6999999998952262</v>
      </c>
      <c r="G203" s="103">
        <f>VLOOKUP(D203,Lookup!$J$5:$M$19,4,FALSE)-E203</f>
        <v>318</v>
      </c>
      <c r="H203" s="103">
        <f>VLOOKUP(D203,Lookup!$J$5:$K$19,2,FALSE)</f>
        <v>5</v>
      </c>
      <c r="I203" s="103">
        <f ca="1">IFERROR(VLOOKUP(G203,OFFSET(Lookup!$J$21,1,H203-1,5,1),1,1),0)</f>
        <v>296</v>
      </c>
    </row>
    <row r="204" spans="2:9" x14ac:dyDescent="0.25">
      <c r="B204" s="96">
        <v>178</v>
      </c>
      <c r="C204" s="1">
        <v>3.8833333332440816</v>
      </c>
      <c r="D204" s="103" t="str">
        <f t="shared" si="12"/>
        <v>GH2</v>
      </c>
      <c r="E204" s="103">
        <f t="shared" si="13"/>
        <v>178</v>
      </c>
      <c r="F204" s="117">
        <f t="shared" si="14"/>
        <v>3.8833333332440816</v>
      </c>
      <c r="G204" s="103">
        <f>VLOOKUP(D204,Lookup!$J$5:$M$19,4,FALSE)-E204</f>
        <v>308</v>
      </c>
      <c r="H204" s="103">
        <f>VLOOKUP(D204,Lookup!$J$5:$K$19,2,FALSE)</f>
        <v>5</v>
      </c>
      <c r="I204" s="103">
        <f ca="1">IFERROR(VLOOKUP(G204,OFFSET(Lookup!$J$21,1,H204-1,5,1),1,1),0)</f>
        <v>296</v>
      </c>
    </row>
    <row r="205" spans="2:9" x14ac:dyDescent="0.25">
      <c r="B205" s="96">
        <v>182</v>
      </c>
      <c r="C205" s="1">
        <v>4.2666666666045785</v>
      </c>
      <c r="D205" s="103" t="str">
        <f t="shared" si="12"/>
        <v>GH2</v>
      </c>
      <c r="E205" s="103">
        <f t="shared" si="13"/>
        <v>182</v>
      </c>
      <c r="F205" s="117">
        <f t="shared" si="14"/>
        <v>4.2666666666045785</v>
      </c>
      <c r="G205" s="103">
        <f>VLOOKUP(D205,Lookup!$J$5:$M$19,4,FALSE)-E205</f>
        <v>304</v>
      </c>
      <c r="H205" s="103">
        <f>VLOOKUP(D205,Lookup!$J$5:$K$19,2,FALSE)</f>
        <v>5</v>
      </c>
      <c r="I205" s="103">
        <f ca="1">IFERROR(VLOOKUP(G205,OFFSET(Lookup!$J$21,1,H205-1,5,1),1,1),0)</f>
        <v>296</v>
      </c>
    </row>
    <row r="206" spans="2:9" x14ac:dyDescent="0.25">
      <c r="B206" s="96">
        <v>187</v>
      </c>
      <c r="C206" s="1">
        <v>20.14999999984866</v>
      </c>
      <c r="D206" s="103" t="str">
        <f t="shared" si="12"/>
        <v>GH2</v>
      </c>
      <c r="E206" s="103">
        <f t="shared" si="13"/>
        <v>187</v>
      </c>
      <c r="F206" s="117">
        <f t="shared" si="14"/>
        <v>20.14999999984866</v>
      </c>
      <c r="G206" s="103">
        <f>VLOOKUP(D206,Lookup!$J$5:$M$19,4,FALSE)-E206</f>
        <v>299</v>
      </c>
      <c r="H206" s="103">
        <f>VLOOKUP(D206,Lookup!$J$5:$K$19,2,FALSE)</f>
        <v>5</v>
      </c>
      <c r="I206" s="103">
        <f ca="1">IFERROR(VLOOKUP(G206,OFFSET(Lookup!$J$21,1,H206-1,5,1),1,1),0)</f>
        <v>296</v>
      </c>
    </row>
    <row r="207" spans="2:9" x14ac:dyDescent="0.25">
      <c r="B207" s="96">
        <v>206</v>
      </c>
      <c r="C207" s="1">
        <v>15.599999999685679</v>
      </c>
      <c r="D207" s="103" t="str">
        <f t="shared" si="12"/>
        <v>GH2</v>
      </c>
      <c r="E207" s="103">
        <f t="shared" si="13"/>
        <v>206</v>
      </c>
      <c r="F207" s="117">
        <f t="shared" si="14"/>
        <v>15.599999999685679</v>
      </c>
      <c r="G207" s="103">
        <f>VLOOKUP(D207,Lookup!$J$5:$M$19,4,FALSE)-E207</f>
        <v>280</v>
      </c>
      <c r="H207" s="103">
        <f>VLOOKUP(D207,Lookup!$J$5:$K$19,2,FALSE)</f>
        <v>5</v>
      </c>
      <c r="I207" s="103">
        <f ca="1">IFERROR(VLOOKUP(G207,OFFSET(Lookup!$J$21,1,H207-1,5,1),1,1),0)</f>
        <v>225</v>
      </c>
    </row>
    <row r="208" spans="2:9" x14ac:dyDescent="0.25">
      <c r="B208" s="96">
        <v>207</v>
      </c>
      <c r="C208" s="1">
        <v>4.3000000000465661</v>
      </c>
      <c r="D208" s="103" t="str">
        <f t="shared" si="12"/>
        <v>GH2</v>
      </c>
      <c r="E208" s="103">
        <f t="shared" si="13"/>
        <v>207</v>
      </c>
      <c r="F208" s="117">
        <f t="shared" si="14"/>
        <v>4.3000000000465661</v>
      </c>
      <c r="G208" s="103">
        <f>VLOOKUP(D208,Lookup!$J$5:$M$19,4,FALSE)-E208</f>
        <v>279</v>
      </c>
      <c r="H208" s="103">
        <f>VLOOKUP(D208,Lookup!$J$5:$K$19,2,FALSE)</f>
        <v>5</v>
      </c>
      <c r="I208" s="103">
        <f ca="1">IFERROR(VLOOKUP(G208,OFFSET(Lookup!$J$21,1,H208-1,5,1),1,1),0)</f>
        <v>225</v>
      </c>
    </row>
    <row r="209" spans="2:9" x14ac:dyDescent="0.25">
      <c r="B209" s="96">
        <v>220</v>
      </c>
      <c r="C209" s="1">
        <v>0.71666666673263535</v>
      </c>
      <c r="D209" s="103" t="str">
        <f t="shared" si="12"/>
        <v>GH2</v>
      </c>
      <c r="E209" s="103">
        <f t="shared" si="13"/>
        <v>220</v>
      </c>
      <c r="F209" s="117">
        <f t="shared" si="14"/>
        <v>0.71666666673263535</v>
      </c>
      <c r="G209" s="103">
        <f>VLOOKUP(D209,Lookup!$J$5:$M$19,4,FALSE)-E209</f>
        <v>266</v>
      </c>
      <c r="H209" s="103">
        <f>VLOOKUP(D209,Lookup!$J$5:$K$19,2,FALSE)</f>
        <v>5</v>
      </c>
      <c r="I209" s="103">
        <f ca="1">IFERROR(VLOOKUP(G209,OFFSET(Lookup!$J$21,1,H209-1,5,1),1,1),0)</f>
        <v>225</v>
      </c>
    </row>
    <row r="210" spans="2:9" x14ac:dyDescent="0.25">
      <c r="B210" s="96">
        <v>224</v>
      </c>
      <c r="C210" s="1">
        <v>2.1833333332906477</v>
      </c>
      <c r="D210" s="103" t="str">
        <f t="shared" si="12"/>
        <v>GH2</v>
      </c>
      <c r="E210" s="103">
        <f t="shared" si="13"/>
        <v>224</v>
      </c>
      <c r="F210" s="117">
        <f t="shared" si="14"/>
        <v>2.1833333332906477</v>
      </c>
      <c r="G210" s="103">
        <f>VLOOKUP(D210,Lookup!$J$5:$M$19,4,FALSE)-E210</f>
        <v>262</v>
      </c>
      <c r="H210" s="103">
        <f>VLOOKUP(D210,Lookup!$J$5:$K$19,2,FALSE)</f>
        <v>5</v>
      </c>
      <c r="I210" s="103">
        <f ca="1">IFERROR(VLOOKUP(G210,OFFSET(Lookup!$J$21,1,H210-1,5,1),1,1),0)</f>
        <v>225</v>
      </c>
    </row>
    <row r="211" spans="2:9" x14ac:dyDescent="0.25">
      <c r="B211" s="96">
        <v>243</v>
      </c>
      <c r="C211" s="1">
        <v>0.94999999995343387</v>
      </c>
      <c r="D211" s="103" t="str">
        <f t="shared" si="12"/>
        <v>GH2</v>
      </c>
      <c r="E211" s="103">
        <f t="shared" si="13"/>
        <v>243</v>
      </c>
      <c r="F211" s="117">
        <f t="shared" si="14"/>
        <v>0.94999999995343387</v>
      </c>
      <c r="G211" s="103">
        <f>VLOOKUP(D211,Lookup!$J$5:$M$19,4,FALSE)-E211</f>
        <v>243</v>
      </c>
      <c r="H211" s="103">
        <f>VLOOKUP(D211,Lookup!$J$5:$K$19,2,FALSE)</f>
        <v>5</v>
      </c>
      <c r="I211" s="103">
        <f ca="1">IFERROR(VLOOKUP(G211,OFFSET(Lookup!$J$21,1,H211-1,5,1),1,1),0)</f>
        <v>225</v>
      </c>
    </row>
    <row r="212" spans="2:9" x14ac:dyDescent="0.25">
      <c r="B212" s="96">
        <v>248</v>
      </c>
      <c r="C212" s="1">
        <v>3.5333333333255723</v>
      </c>
      <c r="D212" s="103" t="str">
        <f t="shared" si="12"/>
        <v>GH2</v>
      </c>
      <c r="E212" s="103">
        <f t="shared" si="13"/>
        <v>248</v>
      </c>
      <c r="F212" s="117">
        <f t="shared" si="14"/>
        <v>3.5333333333255723</v>
      </c>
      <c r="G212" s="103">
        <f>VLOOKUP(D212,Lookup!$J$5:$M$19,4,FALSE)-E212</f>
        <v>238</v>
      </c>
      <c r="H212" s="103">
        <f>VLOOKUP(D212,Lookup!$J$5:$K$19,2,FALSE)</f>
        <v>5</v>
      </c>
      <c r="I212" s="103">
        <f ca="1">IFERROR(VLOOKUP(G212,OFFSET(Lookup!$J$21,1,H212-1,5,1),1,1),0)</f>
        <v>225</v>
      </c>
    </row>
    <row r="213" spans="2:9" x14ac:dyDescent="0.25">
      <c r="B213" s="96">
        <v>252</v>
      </c>
      <c r="C213" s="1">
        <v>24.716666666558012</v>
      </c>
      <c r="D213" s="103" t="str">
        <f t="shared" si="12"/>
        <v>GH2</v>
      </c>
      <c r="E213" s="103">
        <f t="shared" si="13"/>
        <v>252</v>
      </c>
      <c r="F213" s="117">
        <f t="shared" si="14"/>
        <v>24.716666666558012</v>
      </c>
      <c r="G213" s="103">
        <f>VLOOKUP(D213,Lookup!$J$5:$M$19,4,FALSE)-E213</f>
        <v>234</v>
      </c>
      <c r="H213" s="103">
        <f>VLOOKUP(D213,Lookup!$J$5:$K$19,2,FALSE)</f>
        <v>5</v>
      </c>
      <c r="I213" s="103">
        <f ca="1">IFERROR(VLOOKUP(G213,OFFSET(Lookup!$J$21,1,H213-1,5,1),1,1),0)</f>
        <v>225</v>
      </c>
    </row>
    <row r="214" spans="2:9" x14ac:dyDescent="0.25">
      <c r="B214" s="96">
        <v>262</v>
      </c>
      <c r="C214" s="1">
        <v>7.9500000000698492</v>
      </c>
      <c r="D214" s="103" t="str">
        <f t="shared" si="12"/>
        <v>GH2</v>
      </c>
      <c r="E214" s="103">
        <f t="shared" si="13"/>
        <v>262</v>
      </c>
      <c r="F214" s="117">
        <f t="shared" si="14"/>
        <v>7.9500000000698492</v>
      </c>
      <c r="G214" s="103">
        <f>VLOOKUP(D214,Lookup!$J$5:$M$19,4,FALSE)-E214</f>
        <v>224</v>
      </c>
      <c r="H214" s="103">
        <f>VLOOKUP(D214,Lookup!$J$5:$K$19,2,FALSE)</f>
        <v>5</v>
      </c>
      <c r="I214" s="103">
        <f ca="1">IFERROR(VLOOKUP(G214,OFFSET(Lookup!$J$21,1,H214-1,5,1),1,1),0)</f>
        <v>0</v>
      </c>
    </row>
    <row r="215" spans="2:9" x14ac:dyDescent="0.25">
      <c r="B215" s="96">
        <v>273</v>
      </c>
      <c r="C215" s="1">
        <v>1.2999999998719431</v>
      </c>
      <c r="D215" s="103" t="str">
        <f t="shared" si="12"/>
        <v>GH2</v>
      </c>
      <c r="E215" s="103">
        <f t="shared" si="13"/>
        <v>273</v>
      </c>
      <c r="F215" s="117">
        <f t="shared" si="14"/>
        <v>1.2999999998719431</v>
      </c>
      <c r="G215" s="103">
        <f>VLOOKUP(D215,Lookup!$J$5:$M$19,4,FALSE)-E215</f>
        <v>213</v>
      </c>
      <c r="H215" s="103">
        <f>VLOOKUP(D215,Lookup!$J$5:$K$19,2,FALSE)</f>
        <v>5</v>
      </c>
      <c r="I215" s="103">
        <f ca="1">IFERROR(VLOOKUP(G215,OFFSET(Lookup!$J$21,1,H215-1,5,1),1,1),0)</f>
        <v>0</v>
      </c>
    </row>
    <row r="216" spans="2:9" x14ac:dyDescent="0.25">
      <c r="B216" s="96">
        <v>276</v>
      </c>
      <c r="C216" s="1">
        <v>1.1333333333604969</v>
      </c>
      <c r="D216" s="103" t="str">
        <f t="shared" si="12"/>
        <v>GH2</v>
      </c>
      <c r="E216" s="103">
        <f t="shared" si="13"/>
        <v>276</v>
      </c>
      <c r="F216" s="117">
        <f t="shared" si="14"/>
        <v>1.1333333333604969</v>
      </c>
      <c r="G216" s="103">
        <f>VLOOKUP(D216,Lookup!$J$5:$M$19,4,FALSE)-E216</f>
        <v>210</v>
      </c>
      <c r="H216" s="103">
        <f>VLOOKUP(D216,Lookup!$J$5:$K$19,2,FALSE)</f>
        <v>5</v>
      </c>
      <c r="I216" s="103">
        <f ca="1">IFERROR(VLOOKUP(G216,OFFSET(Lookup!$J$21,1,H216-1,5,1),1,1),0)</f>
        <v>0</v>
      </c>
    </row>
    <row r="217" spans="2:9" x14ac:dyDescent="0.25">
      <c r="B217" s="96">
        <v>280</v>
      </c>
      <c r="C217" s="1">
        <v>0.88333333341870457</v>
      </c>
      <c r="D217" s="103" t="str">
        <f t="shared" si="12"/>
        <v>GH2</v>
      </c>
      <c r="E217" s="103">
        <f t="shared" si="13"/>
        <v>280</v>
      </c>
      <c r="F217" s="117">
        <f t="shared" si="14"/>
        <v>0.88333333341870457</v>
      </c>
      <c r="G217" s="103">
        <f>VLOOKUP(D217,Lookup!$J$5:$M$19,4,FALSE)-E217</f>
        <v>206</v>
      </c>
      <c r="H217" s="103">
        <f>VLOOKUP(D217,Lookup!$J$5:$K$19,2,FALSE)</f>
        <v>5</v>
      </c>
      <c r="I217" s="103">
        <f ca="1">IFERROR(VLOOKUP(G217,OFFSET(Lookup!$J$21,1,H217-1,5,1),1,1),0)</f>
        <v>0</v>
      </c>
    </row>
    <row r="218" spans="2:9" x14ac:dyDescent="0.25">
      <c r="B218" s="96">
        <v>281</v>
      </c>
      <c r="C218" s="1">
        <v>7.9833333333372138</v>
      </c>
      <c r="D218" s="103" t="str">
        <f t="shared" si="12"/>
        <v>GH2</v>
      </c>
      <c r="E218" s="103">
        <f t="shared" si="13"/>
        <v>281</v>
      </c>
      <c r="F218" s="117">
        <f t="shared" si="14"/>
        <v>7.9833333333372138</v>
      </c>
      <c r="G218" s="103">
        <f>VLOOKUP(D218,Lookup!$J$5:$M$19,4,FALSE)-E218</f>
        <v>205</v>
      </c>
      <c r="H218" s="103">
        <f>VLOOKUP(D218,Lookup!$J$5:$K$19,2,FALSE)</f>
        <v>5</v>
      </c>
      <c r="I218" s="103">
        <f ca="1">IFERROR(VLOOKUP(G218,OFFSET(Lookup!$J$21,1,H218-1,5,1),1,1),0)</f>
        <v>0</v>
      </c>
    </row>
    <row r="219" spans="2:9" x14ac:dyDescent="0.25">
      <c r="B219" s="96">
        <v>290</v>
      </c>
      <c r="C219" s="1">
        <v>4.9999999998835847</v>
      </c>
      <c r="D219" s="103" t="str">
        <f t="shared" si="12"/>
        <v>GH2</v>
      </c>
      <c r="E219" s="103">
        <f t="shared" si="13"/>
        <v>290</v>
      </c>
      <c r="F219" s="117">
        <f t="shared" si="14"/>
        <v>4.9999999998835847</v>
      </c>
      <c r="G219" s="103">
        <f>VLOOKUP(D219,Lookup!$J$5:$M$19,4,FALSE)-E219</f>
        <v>196</v>
      </c>
      <c r="H219" s="103">
        <f>VLOOKUP(D219,Lookup!$J$5:$K$19,2,FALSE)</f>
        <v>5</v>
      </c>
      <c r="I219" s="103">
        <f ca="1">IFERROR(VLOOKUP(G219,OFFSET(Lookup!$J$21,1,H219-1,5,1),1,1),0)</f>
        <v>0</v>
      </c>
    </row>
    <row r="220" spans="2:9" x14ac:dyDescent="0.25">
      <c r="B220" s="96">
        <v>299</v>
      </c>
      <c r="C220" s="1">
        <v>45.199999999778811</v>
      </c>
      <c r="D220" s="103" t="str">
        <f t="shared" si="12"/>
        <v>GH2</v>
      </c>
      <c r="E220" s="103">
        <f t="shared" si="13"/>
        <v>299</v>
      </c>
      <c r="F220" s="117">
        <f t="shared" si="14"/>
        <v>45.199999999778811</v>
      </c>
      <c r="G220" s="103">
        <f>VLOOKUP(D220,Lookup!$J$5:$M$19,4,FALSE)-E220</f>
        <v>187</v>
      </c>
      <c r="H220" s="103">
        <f>VLOOKUP(D220,Lookup!$J$5:$K$19,2,FALSE)</f>
        <v>5</v>
      </c>
      <c r="I220" s="103">
        <f ca="1">IFERROR(VLOOKUP(G220,OFFSET(Lookup!$J$21,1,H220-1,5,1),1,1),0)</f>
        <v>0</v>
      </c>
    </row>
    <row r="221" spans="2:9" x14ac:dyDescent="0.25">
      <c r="B221" s="96">
        <v>308</v>
      </c>
      <c r="C221" s="1">
        <v>2.1666666667442769</v>
      </c>
      <c r="D221" s="103" t="str">
        <f t="shared" si="12"/>
        <v>GH2</v>
      </c>
      <c r="E221" s="103">
        <f t="shared" si="13"/>
        <v>308</v>
      </c>
      <c r="F221" s="117">
        <f t="shared" si="14"/>
        <v>2.1666666667442769</v>
      </c>
      <c r="G221" s="103">
        <f>VLOOKUP(D221,Lookup!$J$5:$M$19,4,FALSE)-E221</f>
        <v>178</v>
      </c>
      <c r="H221" s="103">
        <f>VLOOKUP(D221,Lookup!$J$5:$K$19,2,FALSE)</f>
        <v>5</v>
      </c>
      <c r="I221" s="103">
        <f ca="1">IFERROR(VLOOKUP(G221,OFFSET(Lookup!$J$21,1,H221-1,5,1),1,1),0)</f>
        <v>0</v>
      </c>
    </row>
    <row r="222" spans="2:9" x14ac:dyDescent="0.25">
      <c r="B222" s="96">
        <v>318</v>
      </c>
      <c r="C222" s="1">
        <v>0.33333333337213844</v>
      </c>
      <c r="D222" s="103" t="str">
        <f t="shared" si="12"/>
        <v>GH2</v>
      </c>
      <c r="E222" s="103">
        <f t="shared" si="13"/>
        <v>318</v>
      </c>
      <c r="F222" s="117">
        <f t="shared" si="14"/>
        <v>0.33333333337213844</v>
      </c>
      <c r="G222" s="103">
        <f>VLOOKUP(D222,Lookup!$J$5:$M$19,4,FALSE)-E222</f>
        <v>168</v>
      </c>
      <c r="H222" s="103">
        <f>VLOOKUP(D222,Lookup!$J$5:$K$19,2,FALSE)</f>
        <v>5</v>
      </c>
      <c r="I222" s="103">
        <f ca="1">IFERROR(VLOOKUP(G222,OFFSET(Lookup!$J$21,1,H222-1,5,1),1,1),0)</f>
        <v>0</v>
      </c>
    </row>
    <row r="223" spans="2:9" x14ac:dyDescent="0.25">
      <c r="B223" s="96">
        <v>377</v>
      </c>
      <c r="C223" s="1">
        <v>6.1833333332324401</v>
      </c>
      <c r="D223" s="103" t="str">
        <f t="shared" si="12"/>
        <v>GH2</v>
      </c>
      <c r="E223" s="103">
        <f t="shared" si="13"/>
        <v>377</v>
      </c>
      <c r="F223" s="117">
        <f t="shared" si="14"/>
        <v>6.1833333332324401</v>
      </c>
      <c r="G223" s="103">
        <f>VLOOKUP(D223,Lookup!$J$5:$M$19,4,FALSE)-E223</f>
        <v>109</v>
      </c>
      <c r="H223" s="103">
        <f>VLOOKUP(D223,Lookup!$J$5:$K$19,2,FALSE)</f>
        <v>5</v>
      </c>
      <c r="I223" s="103">
        <f ca="1">IFERROR(VLOOKUP(G223,OFFSET(Lookup!$J$21,1,H223-1,5,1),1,1),0)</f>
        <v>0</v>
      </c>
    </row>
    <row r="224" spans="2:9" x14ac:dyDescent="0.25">
      <c r="B224" s="96">
        <v>412</v>
      </c>
      <c r="C224" s="1">
        <v>2.9166666667442769</v>
      </c>
      <c r="D224" s="103" t="str">
        <f t="shared" si="12"/>
        <v>GH2</v>
      </c>
      <c r="E224" s="103">
        <f t="shared" si="13"/>
        <v>412</v>
      </c>
      <c r="F224" s="117">
        <f t="shared" si="14"/>
        <v>2.9166666667442769</v>
      </c>
      <c r="G224" s="103">
        <f>VLOOKUP(D224,Lookup!$J$5:$M$19,4,FALSE)-E224</f>
        <v>74</v>
      </c>
      <c r="H224" s="103">
        <f>VLOOKUP(D224,Lookup!$J$5:$K$19,2,FALSE)</f>
        <v>5</v>
      </c>
      <c r="I224" s="103">
        <f ca="1">IFERROR(VLOOKUP(G224,OFFSET(Lookup!$J$21,1,H224-1,5,1),1,1),0)</f>
        <v>0</v>
      </c>
    </row>
    <row r="225" spans="1:9" x14ac:dyDescent="0.25">
      <c r="B225" s="96">
        <v>422</v>
      </c>
      <c r="C225" s="1">
        <v>4.1999999998952262</v>
      </c>
      <c r="D225" s="103" t="str">
        <f t="shared" si="12"/>
        <v>GH2</v>
      </c>
      <c r="E225" s="103">
        <f t="shared" si="13"/>
        <v>422</v>
      </c>
      <c r="F225" s="117">
        <f t="shared" si="14"/>
        <v>4.1999999998952262</v>
      </c>
      <c r="G225" s="103">
        <f>VLOOKUP(D225,Lookup!$J$5:$M$19,4,FALSE)-E225</f>
        <v>64</v>
      </c>
      <c r="H225" s="103">
        <f>VLOOKUP(D225,Lookup!$J$5:$K$19,2,FALSE)</f>
        <v>5</v>
      </c>
      <c r="I225" s="103">
        <f ca="1">IFERROR(VLOOKUP(G225,OFFSET(Lookup!$J$21,1,H225-1,5,1),1,1),0)</f>
        <v>0</v>
      </c>
    </row>
    <row r="226" spans="1:9" x14ac:dyDescent="0.25">
      <c r="B226" s="96">
        <v>463</v>
      </c>
      <c r="C226" s="1">
        <v>4.3666666667559184</v>
      </c>
      <c r="D226" s="103" t="str">
        <f t="shared" si="12"/>
        <v>GH2</v>
      </c>
      <c r="E226" s="103">
        <f t="shared" si="13"/>
        <v>463</v>
      </c>
      <c r="F226" s="117">
        <f t="shared" si="14"/>
        <v>4.3666666667559184</v>
      </c>
      <c r="G226" s="103">
        <f>VLOOKUP(D226,Lookup!$J$5:$M$19,4,FALSE)-E226</f>
        <v>23</v>
      </c>
      <c r="H226" s="103">
        <f>VLOOKUP(D226,Lookup!$J$5:$K$19,2,FALSE)</f>
        <v>5</v>
      </c>
      <c r="I226" s="103">
        <f ca="1">IFERROR(VLOOKUP(G226,OFFSET(Lookup!$J$21,1,H226-1,5,1),1,1),0)</f>
        <v>0</v>
      </c>
    </row>
    <row r="227" spans="1:9" x14ac:dyDescent="0.25">
      <c r="A227" s="103" t="s">
        <v>30</v>
      </c>
      <c r="B227" s="96">
        <v>0</v>
      </c>
      <c r="C227" s="1">
        <v>181.68333333305782</v>
      </c>
      <c r="D227" s="103" t="str">
        <f t="shared" si="12"/>
        <v>GH3</v>
      </c>
      <c r="E227" s="103">
        <f t="shared" si="13"/>
        <v>0</v>
      </c>
      <c r="F227" s="117">
        <f t="shared" si="14"/>
        <v>181.68333333305782</v>
      </c>
      <c r="G227" s="103">
        <f>VLOOKUP(D227,Lookup!$J$5:$M$19,4,FALSE)-E227</f>
        <v>481</v>
      </c>
      <c r="H227" s="103">
        <f>VLOOKUP(D227,Lookup!$J$5:$K$19,2,FALSE)</f>
        <v>6</v>
      </c>
      <c r="I227" s="103">
        <f ca="1">IFERROR(VLOOKUP(G227,OFFSET(Lookup!$J$21,1,H227-1,5,1),1,1),0)</f>
        <v>441</v>
      </c>
    </row>
    <row r="228" spans="1:9" x14ac:dyDescent="0.25">
      <c r="B228" s="96">
        <v>2</v>
      </c>
      <c r="C228" s="1">
        <v>42.600000000034925</v>
      </c>
      <c r="D228" s="103" t="str">
        <f t="shared" si="12"/>
        <v>GH3</v>
      </c>
      <c r="E228" s="103">
        <f t="shared" si="13"/>
        <v>2</v>
      </c>
      <c r="F228" s="117">
        <f t="shared" si="14"/>
        <v>42.600000000034925</v>
      </c>
      <c r="G228" s="103">
        <f>VLOOKUP(D228,Lookup!$J$5:$M$19,4,FALSE)-E228</f>
        <v>479</v>
      </c>
      <c r="H228" s="103">
        <f>VLOOKUP(D228,Lookup!$J$5:$K$19,2,FALSE)</f>
        <v>6</v>
      </c>
      <c r="I228" s="103">
        <f ca="1">IFERROR(VLOOKUP(G228,OFFSET(Lookup!$J$21,1,H228-1,5,1),1,1),0)</f>
        <v>441</v>
      </c>
    </row>
    <row r="229" spans="1:9" x14ac:dyDescent="0.25">
      <c r="B229" s="96">
        <v>3</v>
      </c>
      <c r="C229" s="1">
        <v>348.26666666666279</v>
      </c>
      <c r="D229" s="103" t="str">
        <f t="shared" si="12"/>
        <v>GH3</v>
      </c>
      <c r="E229" s="103">
        <f t="shared" si="13"/>
        <v>3</v>
      </c>
      <c r="F229" s="117">
        <f t="shared" si="14"/>
        <v>348.26666666666279</v>
      </c>
      <c r="G229" s="103">
        <f>VLOOKUP(D229,Lookup!$J$5:$M$19,4,FALSE)-E229</f>
        <v>478</v>
      </c>
      <c r="H229" s="103">
        <f>VLOOKUP(D229,Lookup!$J$5:$K$19,2,FALSE)</f>
        <v>6</v>
      </c>
      <c r="I229" s="103">
        <f ca="1">IFERROR(VLOOKUP(G229,OFFSET(Lookup!$J$21,1,H229-1,5,1),1,1),0)</f>
        <v>441</v>
      </c>
    </row>
    <row r="230" spans="1:9" x14ac:dyDescent="0.25">
      <c r="B230" s="96">
        <v>5</v>
      </c>
      <c r="C230" s="1">
        <v>407.41666666668607</v>
      </c>
      <c r="D230" s="103" t="str">
        <f t="shared" si="12"/>
        <v>GH3</v>
      </c>
      <c r="E230" s="103">
        <f t="shared" si="13"/>
        <v>5</v>
      </c>
      <c r="F230" s="117">
        <f t="shared" si="14"/>
        <v>407.41666666668607</v>
      </c>
      <c r="G230" s="103">
        <f>VLOOKUP(D230,Lookup!$J$5:$M$19,4,FALSE)-E230</f>
        <v>476</v>
      </c>
      <c r="H230" s="103">
        <f>VLOOKUP(D230,Lookup!$J$5:$K$19,2,FALSE)</f>
        <v>6</v>
      </c>
      <c r="I230" s="103">
        <f ca="1">IFERROR(VLOOKUP(G230,OFFSET(Lookup!$J$21,1,H230-1,5,1),1,1),0)</f>
        <v>441</v>
      </c>
    </row>
    <row r="231" spans="1:9" x14ac:dyDescent="0.25">
      <c r="B231" s="96">
        <v>7</v>
      </c>
      <c r="C231" s="1">
        <v>2139.1833333334071</v>
      </c>
      <c r="D231" s="103" t="str">
        <f t="shared" si="12"/>
        <v>GH3</v>
      </c>
      <c r="E231" s="103">
        <f t="shared" si="13"/>
        <v>7</v>
      </c>
      <c r="F231" s="117">
        <f t="shared" si="14"/>
        <v>2139.1833333334071</v>
      </c>
      <c r="G231" s="103">
        <f>VLOOKUP(D231,Lookup!$J$5:$M$19,4,FALSE)-E231</f>
        <v>474</v>
      </c>
      <c r="H231" s="103">
        <f>VLOOKUP(D231,Lookup!$J$5:$K$19,2,FALSE)</f>
        <v>6</v>
      </c>
      <c r="I231" s="103">
        <f ca="1">IFERROR(VLOOKUP(G231,OFFSET(Lookup!$J$21,1,H231-1,5,1),1,1),0)</f>
        <v>441</v>
      </c>
    </row>
    <row r="232" spans="1:9" x14ac:dyDescent="0.25">
      <c r="B232" s="96">
        <v>9</v>
      </c>
      <c r="C232" s="1">
        <v>48.633333333476912</v>
      </c>
      <c r="D232" s="103" t="str">
        <f t="shared" si="12"/>
        <v>GH3</v>
      </c>
      <c r="E232" s="103">
        <f t="shared" si="13"/>
        <v>9</v>
      </c>
      <c r="F232" s="117">
        <f t="shared" si="14"/>
        <v>48.633333333476912</v>
      </c>
      <c r="G232" s="103">
        <f>VLOOKUP(D232,Lookup!$J$5:$M$19,4,FALSE)-E232</f>
        <v>472</v>
      </c>
      <c r="H232" s="103">
        <f>VLOOKUP(D232,Lookup!$J$5:$K$19,2,FALSE)</f>
        <v>6</v>
      </c>
      <c r="I232" s="103">
        <f ca="1">IFERROR(VLOOKUP(G232,OFFSET(Lookup!$J$21,1,H232-1,5,1),1,1),0)</f>
        <v>441</v>
      </c>
    </row>
    <row r="233" spans="1:9" x14ac:dyDescent="0.25">
      <c r="B233" s="96">
        <v>10</v>
      </c>
      <c r="C233" s="1">
        <v>3.6833333334652707</v>
      </c>
      <c r="D233" s="103" t="str">
        <f t="shared" si="12"/>
        <v>GH3</v>
      </c>
      <c r="E233" s="103">
        <f t="shared" si="13"/>
        <v>10</v>
      </c>
      <c r="F233" s="117">
        <f t="shared" si="14"/>
        <v>3.6833333334652707</v>
      </c>
      <c r="G233" s="103">
        <f>VLOOKUP(D233,Lookup!$J$5:$M$19,4,FALSE)-E233</f>
        <v>471</v>
      </c>
      <c r="H233" s="103">
        <f>VLOOKUP(D233,Lookup!$J$5:$K$19,2,FALSE)</f>
        <v>6</v>
      </c>
      <c r="I233" s="103">
        <f ca="1">IFERROR(VLOOKUP(G233,OFFSET(Lookup!$J$21,1,H233-1,5,1),1,1),0)</f>
        <v>441</v>
      </c>
    </row>
    <row r="234" spans="1:9" x14ac:dyDescent="0.25">
      <c r="B234" s="96">
        <v>11</v>
      </c>
      <c r="C234" s="1">
        <v>507.10000000015134</v>
      </c>
      <c r="D234" s="103" t="str">
        <f t="shared" si="12"/>
        <v>GH3</v>
      </c>
      <c r="E234" s="103">
        <f t="shared" si="13"/>
        <v>11</v>
      </c>
      <c r="F234" s="117">
        <f t="shared" si="14"/>
        <v>507.10000000015134</v>
      </c>
      <c r="G234" s="103">
        <f>VLOOKUP(D234,Lookup!$J$5:$M$19,4,FALSE)-E234</f>
        <v>470</v>
      </c>
      <c r="H234" s="103">
        <f>VLOOKUP(D234,Lookup!$J$5:$K$19,2,FALSE)</f>
        <v>6</v>
      </c>
      <c r="I234" s="103">
        <f ca="1">IFERROR(VLOOKUP(G234,OFFSET(Lookup!$J$21,1,H234-1,5,1),1,1),0)</f>
        <v>441</v>
      </c>
    </row>
    <row r="235" spans="1:9" x14ac:dyDescent="0.25">
      <c r="B235" s="96">
        <v>12</v>
      </c>
      <c r="C235" s="1">
        <v>2075.1833333334653</v>
      </c>
      <c r="D235" s="103" t="str">
        <f t="shared" si="12"/>
        <v>GH3</v>
      </c>
      <c r="E235" s="103">
        <f t="shared" si="13"/>
        <v>12</v>
      </c>
      <c r="F235" s="117">
        <f t="shared" si="14"/>
        <v>2075.1833333334653</v>
      </c>
      <c r="G235" s="103">
        <f>VLOOKUP(D235,Lookup!$J$5:$M$19,4,FALSE)-E235</f>
        <v>469</v>
      </c>
      <c r="H235" s="103">
        <f>VLOOKUP(D235,Lookup!$J$5:$K$19,2,FALSE)</f>
        <v>6</v>
      </c>
      <c r="I235" s="103">
        <f ca="1">IFERROR(VLOOKUP(G235,OFFSET(Lookup!$J$21,1,H235-1,5,1),1,1),0)</f>
        <v>441</v>
      </c>
    </row>
    <row r="236" spans="1:9" x14ac:dyDescent="0.25">
      <c r="B236" s="96">
        <v>13</v>
      </c>
      <c r="C236" s="1">
        <v>82.116666666814126</v>
      </c>
      <c r="D236" s="103" t="str">
        <f t="shared" si="12"/>
        <v>GH3</v>
      </c>
      <c r="E236" s="103">
        <f t="shared" si="13"/>
        <v>13</v>
      </c>
      <c r="F236" s="117">
        <f t="shared" si="14"/>
        <v>82.116666666814126</v>
      </c>
      <c r="G236" s="103">
        <f>VLOOKUP(D236,Lookup!$J$5:$M$19,4,FALSE)-E236</f>
        <v>468</v>
      </c>
      <c r="H236" s="103">
        <f>VLOOKUP(D236,Lookup!$J$5:$K$19,2,FALSE)</f>
        <v>6</v>
      </c>
      <c r="I236" s="103">
        <f ca="1">IFERROR(VLOOKUP(G236,OFFSET(Lookup!$J$21,1,H236-1,5,1),1,1),0)</f>
        <v>441</v>
      </c>
    </row>
    <row r="237" spans="1:9" x14ac:dyDescent="0.25">
      <c r="B237" s="96">
        <v>15</v>
      </c>
      <c r="C237" s="1">
        <v>142.70000000012806</v>
      </c>
      <c r="D237" s="103" t="str">
        <f t="shared" si="12"/>
        <v>GH3</v>
      </c>
      <c r="E237" s="103">
        <f t="shared" si="13"/>
        <v>15</v>
      </c>
      <c r="F237" s="117">
        <f t="shared" si="14"/>
        <v>142.70000000012806</v>
      </c>
      <c r="G237" s="103">
        <f>VLOOKUP(D237,Lookup!$J$5:$M$19,4,FALSE)-E237</f>
        <v>466</v>
      </c>
      <c r="H237" s="103">
        <f>VLOOKUP(D237,Lookup!$J$5:$K$19,2,FALSE)</f>
        <v>6</v>
      </c>
      <c r="I237" s="103">
        <f ca="1">IFERROR(VLOOKUP(G237,OFFSET(Lookup!$J$21,1,H237-1,5,1),1,1),0)</f>
        <v>441</v>
      </c>
    </row>
    <row r="238" spans="1:9" x14ac:dyDescent="0.25">
      <c r="B238" s="96">
        <v>16</v>
      </c>
      <c r="C238" s="1">
        <v>160.0666666663019</v>
      </c>
      <c r="D238" s="103" t="str">
        <f t="shared" si="12"/>
        <v>GH3</v>
      </c>
      <c r="E238" s="103">
        <f t="shared" si="13"/>
        <v>16</v>
      </c>
      <c r="F238" s="117">
        <f t="shared" si="14"/>
        <v>160.0666666663019</v>
      </c>
      <c r="G238" s="103">
        <f>VLOOKUP(D238,Lookup!$J$5:$M$19,4,FALSE)-E238</f>
        <v>465</v>
      </c>
      <c r="H238" s="103">
        <f>VLOOKUP(D238,Lookup!$J$5:$K$19,2,FALSE)</f>
        <v>6</v>
      </c>
      <c r="I238" s="103">
        <f ca="1">IFERROR(VLOOKUP(G238,OFFSET(Lookup!$J$21,1,H238-1,5,1),1,1),0)</f>
        <v>441</v>
      </c>
    </row>
    <row r="239" spans="1:9" x14ac:dyDescent="0.25">
      <c r="B239" s="96">
        <v>18</v>
      </c>
      <c r="C239" s="1">
        <v>76.450000000011642</v>
      </c>
      <c r="D239" s="103" t="str">
        <f t="shared" si="12"/>
        <v>GH3</v>
      </c>
      <c r="E239" s="103">
        <f t="shared" si="13"/>
        <v>18</v>
      </c>
      <c r="F239" s="117">
        <f t="shared" si="14"/>
        <v>76.450000000011642</v>
      </c>
      <c r="G239" s="103">
        <f>VLOOKUP(D239,Lookup!$J$5:$M$19,4,FALSE)-E239</f>
        <v>463</v>
      </c>
      <c r="H239" s="103">
        <f>VLOOKUP(D239,Lookup!$J$5:$K$19,2,FALSE)</f>
        <v>6</v>
      </c>
      <c r="I239" s="103">
        <f ca="1">IFERROR(VLOOKUP(G239,OFFSET(Lookup!$J$21,1,H239-1,5,1),1,1),0)</f>
        <v>441</v>
      </c>
    </row>
    <row r="240" spans="1:9" x14ac:dyDescent="0.25">
      <c r="B240" s="96">
        <v>21</v>
      </c>
      <c r="C240" s="1">
        <v>469.38333333347691</v>
      </c>
      <c r="D240" s="103" t="str">
        <f t="shared" si="12"/>
        <v>GH3</v>
      </c>
      <c r="E240" s="103">
        <f t="shared" si="13"/>
        <v>21</v>
      </c>
      <c r="F240" s="117">
        <f t="shared" si="14"/>
        <v>469.38333333347691</v>
      </c>
      <c r="G240" s="103">
        <f>VLOOKUP(D240,Lookup!$J$5:$M$19,4,FALSE)-E240</f>
        <v>460</v>
      </c>
      <c r="H240" s="103">
        <f>VLOOKUP(D240,Lookup!$J$5:$K$19,2,FALSE)</f>
        <v>6</v>
      </c>
      <c r="I240" s="103">
        <f ca="1">IFERROR(VLOOKUP(G240,OFFSET(Lookup!$J$21,1,H240-1,5,1),1,1),0)</f>
        <v>441</v>
      </c>
    </row>
    <row r="241" spans="2:9" x14ac:dyDescent="0.25">
      <c r="B241" s="96">
        <v>22</v>
      </c>
      <c r="C241" s="1">
        <v>161.56666666665114</v>
      </c>
      <c r="D241" s="103" t="str">
        <f t="shared" si="12"/>
        <v>GH3</v>
      </c>
      <c r="E241" s="103">
        <f t="shared" si="13"/>
        <v>22</v>
      </c>
      <c r="F241" s="117">
        <f t="shared" si="14"/>
        <v>161.56666666665114</v>
      </c>
      <c r="G241" s="103">
        <f>VLOOKUP(D241,Lookup!$J$5:$M$19,4,FALSE)-E241</f>
        <v>459</v>
      </c>
      <c r="H241" s="103">
        <f>VLOOKUP(D241,Lookup!$J$5:$K$19,2,FALSE)</f>
        <v>6</v>
      </c>
      <c r="I241" s="103">
        <f ca="1">IFERROR(VLOOKUP(G241,OFFSET(Lookup!$J$21,1,H241-1,5,1),1,1),0)</f>
        <v>441</v>
      </c>
    </row>
    <row r="242" spans="2:9" x14ac:dyDescent="0.25">
      <c r="B242" s="96">
        <v>24</v>
      </c>
      <c r="C242" s="1">
        <v>0.91666666668606922</v>
      </c>
      <c r="D242" s="103" t="str">
        <f t="shared" si="12"/>
        <v>GH3</v>
      </c>
      <c r="E242" s="103">
        <f t="shared" si="13"/>
        <v>24</v>
      </c>
      <c r="F242" s="117">
        <f t="shared" si="14"/>
        <v>0.91666666668606922</v>
      </c>
      <c r="G242" s="103">
        <f>VLOOKUP(D242,Lookup!$J$5:$M$19,4,FALSE)-E242</f>
        <v>457</v>
      </c>
      <c r="H242" s="103">
        <f>VLOOKUP(D242,Lookup!$J$5:$K$19,2,FALSE)</f>
        <v>6</v>
      </c>
      <c r="I242" s="103">
        <f ca="1">IFERROR(VLOOKUP(G242,OFFSET(Lookup!$J$21,1,H242-1,5,1),1,1),0)</f>
        <v>441</v>
      </c>
    </row>
    <row r="243" spans="2:9" x14ac:dyDescent="0.25">
      <c r="B243" s="96">
        <v>25</v>
      </c>
      <c r="C243" s="1">
        <v>61.116666666639503</v>
      </c>
      <c r="D243" s="103" t="str">
        <f t="shared" si="12"/>
        <v>GH3</v>
      </c>
      <c r="E243" s="103">
        <f t="shared" si="13"/>
        <v>25</v>
      </c>
      <c r="F243" s="117">
        <f t="shared" si="14"/>
        <v>61.116666666639503</v>
      </c>
      <c r="G243" s="103">
        <f>VLOOKUP(D243,Lookup!$J$5:$M$19,4,FALSE)-E243</f>
        <v>456</v>
      </c>
      <c r="H243" s="103">
        <f>VLOOKUP(D243,Lookup!$J$5:$K$19,2,FALSE)</f>
        <v>6</v>
      </c>
      <c r="I243" s="103">
        <f ca="1">IFERROR(VLOOKUP(G243,OFFSET(Lookup!$J$21,1,H243-1,5,1),1,1),0)</f>
        <v>441</v>
      </c>
    </row>
    <row r="244" spans="2:9" x14ac:dyDescent="0.25">
      <c r="B244" s="96">
        <v>33</v>
      </c>
      <c r="C244" s="1">
        <v>20.850000000034925</v>
      </c>
      <c r="D244" s="103" t="str">
        <f t="shared" si="12"/>
        <v>GH3</v>
      </c>
      <c r="E244" s="103">
        <f t="shared" si="13"/>
        <v>33</v>
      </c>
      <c r="F244" s="117">
        <f t="shared" si="14"/>
        <v>20.850000000034925</v>
      </c>
      <c r="G244" s="103">
        <f>VLOOKUP(D244,Lookup!$J$5:$M$19,4,FALSE)-E244</f>
        <v>448</v>
      </c>
      <c r="H244" s="103">
        <f>VLOOKUP(D244,Lookup!$J$5:$K$19,2,FALSE)</f>
        <v>6</v>
      </c>
      <c r="I244" s="103">
        <f ca="1">IFERROR(VLOOKUP(G244,OFFSET(Lookup!$J$21,1,H244-1,5,1),1,1),0)</f>
        <v>441</v>
      </c>
    </row>
    <row r="245" spans="2:9" x14ac:dyDescent="0.25">
      <c r="B245" s="96">
        <v>34</v>
      </c>
      <c r="C245" s="1">
        <v>126.55000000004657</v>
      </c>
      <c r="D245" s="103" t="str">
        <f t="shared" si="12"/>
        <v>GH3</v>
      </c>
      <c r="E245" s="103">
        <f t="shared" si="13"/>
        <v>34</v>
      </c>
      <c r="F245" s="117">
        <f t="shared" si="14"/>
        <v>126.55000000004657</v>
      </c>
      <c r="G245" s="103">
        <f>VLOOKUP(D245,Lookup!$J$5:$M$19,4,FALSE)-E245</f>
        <v>447</v>
      </c>
      <c r="H245" s="103">
        <f>VLOOKUP(D245,Lookup!$J$5:$K$19,2,FALSE)</f>
        <v>6</v>
      </c>
      <c r="I245" s="103">
        <f ca="1">IFERROR(VLOOKUP(G245,OFFSET(Lookup!$J$21,1,H245-1,5,1),1,1),0)</f>
        <v>441</v>
      </c>
    </row>
    <row r="246" spans="2:9" x14ac:dyDescent="0.25">
      <c r="B246" s="96">
        <v>36</v>
      </c>
      <c r="C246" s="1">
        <v>30.016666666720994</v>
      </c>
      <c r="D246" s="103" t="str">
        <f t="shared" si="12"/>
        <v>GH3</v>
      </c>
      <c r="E246" s="103">
        <f t="shared" si="13"/>
        <v>36</v>
      </c>
      <c r="F246" s="117">
        <f t="shared" si="14"/>
        <v>30.016666666720994</v>
      </c>
      <c r="G246" s="103">
        <f>VLOOKUP(D246,Lookup!$J$5:$M$19,4,FALSE)-E246</f>
        <v>445</v>
      </c>
      <c r="H246" s="103">
        <f>VLOOKUP(D246,Lookup!$J$5:$K$19,2,FALSE)</f>
        <v>6</v>
      </c>
      <c r="I246" s="103">
        <f ca="1">IFERROR(VLOOKUP(G246,OFFSET(Lookup!$J$21,1,H246-1,5,1),1,1),0)</f>
        <v>441</v>
      </c>
    </row>
    <row r="247" spans="2:9" x14ac:dyDescent="0.25">
      <c r="B247" s="96">
        <v>39</v>
      </c>
      <c r="C247" s="1">
        <v>2.6000000000931323</v>
      </c>
      <c r="D247" s="103" t="str">
        <f t="shared" si="12"/>
        <v>GH3</v>
      </c>
      <c r="E247" s="103">
        <f t="shared" si="13"/>
        <v>39</v>
      </c>
      <c r="F247" s="117">
        <f t="shared" si="14"/>
        <v>2.6000000000931323</v>
      </c>
      <c r="G247" s="103">
        <f>VLOOKUP(D247,Lookup!$J$5:$M$19,4,FALSE)-E247</f>
        <v>442</v>
      </c>
      <c r="H247" s="103">
        <f>VLOOKUP(D247,Lookup!$J$5:$K$19,2,FALSE)</f>
        <v>6</v>
      </c>
      <c r="I247" s="103">
        <f ca="1">IFERROR(VLOOKUP(G247,OFFSET(Lookup!$J$21,1,H247-1,5,1),1,1),0)</f>
        <v>441</v>
      </c>
    </row>
    <row r="248" spans="2:9" x14ac:dyDescent="0.25">
      <c r="B248" s="96">
        <v>41</v>
      </c>
      <c r="C248" s="1">
        <v>12.933333333407063</v>
      </c>
      <c r="D248" s="103" t="str">
        <f t="shared" si="12"/>
        <v>GH3</v>
      </c>
      <c r="E248" s="103">
        <f t="shared" si="13"/>
        <v>41</v>
      </c>
      <c r="F248" s="117">
        <f t="shared" si="14"/>
        <v>12.933333333407063</v>
      </c>
      <c r="G248" s="103">
        <f>VLOOKUP(D248,Lookup!$J$5:$M$19,4,FALSE)-E248</f>
        <v>440</v>
      </c>
      <c r="H248" s="103">
        <f>VLOOKUP(D248,Lookup!$J$5:$K$19,2,FALSE)</f>
        <v>6</v>
      </c>
      <c r="I248" s="103">
        <f ca="1">IFERROR(VLOOKUP(G248,OFFSET(Lookup!$J$21,1,H248-1,5,1),1,1),0)</f>
        <v>401</v>
      </c>
    </row>
    <row r="249" spans="2:9" x14ac:dyDescent="0.25">
      <c r="B249" s="96">
        <v>42</v>
      </c>
      <c r="C249" s="1">
        <v>1.9000000000814907</v>
      </c>
      <c r="D249" s="103" t="str">
        <f t="shared" si="12"/>
        <v>GH3</v>
      </c>
      <c r="E249" s="103">
        <f t="shared" si="13"/>
        <v>42</v>
      </c>
      <c r="F249" s="117">
        <f t="shared" si="14"/>
        <v>1.9000000000814907</v>
      </c>
      <c r="G249" s="103">
        <f>VLOOKUP(D249,Lookup!$J$5:$M$19,4,FALSE)-E249</f>
        <v>439</v>
      </c>
      <c r="H249" s="103">
        <f>VLOOKUP(D249,Lookup!$J$5:$K$19,2,FALSE)</f>
        <v>6</v>
      </c>
      <c r="I249" s="103">
        <f ca="1">IFERROR(VLOOKUP(G249,OFFSET(Lookup!$J$21,1,H249-1,5,1),1,1),0)</f>
        <v>401</v>
      </c>
    </row>
    <row r="250" spans="2:9" x14ac:dyDescent="0.25">
      <c r="B250" s="96">
        <v>44</v>
      </c>
      <c r="C250" s="1">
        <v>20.716666666790843</v>
      </c>
      <c r="D250" s="103" t="str">
        <f t="shared" si="12"/>
        <v>GH3</v>
      </c>
      <c r="E250" s="103">
        <f t="shared" si="13"/>
        <v>44</v>
      </c>
      <c r="F250" s="117">
        <f t="shared" si="14"/>
        <v>20.716666666790843</v>
      </c>
      <c r="G250" s="103">
        <f>VLOOKUP(D250,Lookup!$J$5:$M$19,4,FALSE)-E250</f>
        <v>437</v>
      </c>
      <c r="H250" s="103">
        <f>VLOOKUP(D250,Lookup!$J$5:$K$19,2,FALSE)</f>
        <v>6</v>
      </c>
      <c r="I250" s="103">
        <f ca="1">IFERROR(VLOOKUP(G250,OFFSET(Lookup!$J$21,1,H250-1,5,1),1,1),0)</f>
        <v>401</v>
      </c>
    </row>
    <row r="251" spans="2:9" x14ac:dyDescent="0.25">
      <c r="B251" s="96">
        <v>48</v>
      </c>
      <c r="C251" s="1">
        <v>5.1833333332906477</v>
      </c>
      <c r="D251" s="103" t="str">
        <f t="shared" si="12"/>
        <v>GH3</v>
      </c>
      <c r="E251" s="103">
        <f t="shared" si="13"/>
        <v>48</v>
      </c>
      <c r="F251" s="117">
        <f t="shared" si="14"/>
        <v>5.1833333332906477</v>
      </c>
      <c r="G251" s="103">
        <f>VLOOKUP(D251,Lookup!$J$5:$M$19,4,FALSE)-E251</f>
        <v>433</v>
      </c>
      <c r="H251" s="103">
        <f>VLOOKUP(D251,Lookup!$J$5:$K$19,2,FALSE)</f>
        <v>6</v>
      </c>
      <c r="I251" s="103">
        <f ca="1">IFERROR(VLOOKUP(G251,OFFSET(Lookup!$J$21,1,H251-1,5,1),1,1),0)</f>
        <v>401</v>
      </c>
    </row>
    <row r="252" spans="2:9" x14ac:dyDescent="0.25">
      <c r="B252" s="96">
        <v>50</v>
      </c>
      <c r="C252" s="1">
        <v>14.983333333453629</v>
      </c>
      <c r="D252" s="103" t="str">
        <f t="shared" si="12"/>
        <v>GH3</v>
      </c>
      <c r="E252" s="103">
        <f t="shared" si="13"/>
        <v>50</v>
      </c>
      <c r="F252" s="117">
        <f t="shared" si="14"/>
        <v>14.983333333453629</v>
      </c>
      <c r="G252" s="103">
        <f>VLOOKUP(D252,Lookup!$J$5:$M$19,4,FALSE)-E252</f>
        <v>431</v>
      </c>
      <c r="H252" s="103">
        <f>VLOOKUP(D252,Lookup!$J$5:$K$19,2,FALSE)</f>
        <v>6</v>
      </c>
      <c r="I252" s="103">
        <f ca="1">IFERROR(VLOOKUP(G252,OFFSET(Lookup!$J$21,1,H252-1,5,1),1,1),0)</f>
        <v>401</v>
      </c>
    </row>
    <row r="253" spans="2:9" x14ac:dyDescent="0.25">
      <c r="B253" s="96">
        <v>53</v>
      </c>
      <c r="C253" s="1">
        <v>22.766666666662786</v>
      </c>
      <c r="D253" s="103" t="str">
        <f t="shared" si="12"/>
        <v>GH3</v>
      </c>
      <c r="E253" s="103">
        <f t="shared" si="13"/>
        <v>53</v>
      </c>
      <c r="F253" s="117">
        <f t="shared" si="14"/>
        <v>22.766666666662786</v>
      </c>
      <c r="G253" s="103">
        <f>VLOOKUP(D253,Lookup!$J$5:$M$19,4,FALSE)-E253</f>
        <v>428</v>
      </c>
      <c r="H253" s="103">
        <f>VLOOKUP(D253,Lookup!$J$5:$K$19,2,FALSE)</f>
        <v>6</v>
      </c>
      <c r="I253" s="103">
        <f ca="1">IFERROR(VLOOKUP(G253,OFFSET(Lookup!$J$21,1,H253-1,5,1),1,1),0)</f>
        <v>401</v>
      </c>
    </row>
    <row r="254" spans="2:9" x14ac:dyDescent="0.25">
      <c r="B254" s="96">
        <v>57</v>
      </c>
      <c r="C254" s="1">
        <v>7.5833333334303461</v>
      </c>
      <c r="D254" s="103" t="str">
        <f t="shared" si="12"/>
        <v>GH3</v>
      </c>
      <c r="E254" s="103">
        <f t="shared" si="13"/>
        <v>57</v>
      </c>
      <c r="F254" s="117">
        <f t="shared" si="14"/>
        <v>7.5833333334303461</v>
      </c>
      <c r="G254" s="103">
        <f>VLOOKUP(D254,Lookup!$J$5:$M$19,4,FALSE)-E254</f>
        <v>424</v>
      </c>
      <c r="H254" s="103">
        <f>VLOOKUP(D254,Lookup!$J$5:$K$19,2,FALSE)</f>
        <v>6</v>
      </c>
      <c r="I254" s="103">
        <f ca="1">IFERROR(VLOOKUP(G254,OFFSET(Lookup!$J$21,1,H254-1,5,1),1,1),0)</f>
        <v>401</v>
      </c>
    </row>
    <row r="255" spans="2:9" x14ac:dyDescent="0.25">
      <c r="B255" s="96">
        <v>62</v>
      </c>
      <c r="C255" s="1">
        <v>4.0500000001047738</v>
      </c>
      <c r="D255" s="103" t="str">
        <f t="shared" si="12"/>
        <v>GH3</v>
      </c>
      <c r="E255" s="103">
        <f t="shared" si="13"/>
        <v>62</v>
      </c>
      <c r="F255" s="117">
        <f t="shared" si="14"/>
        <v>4.0500000001047738</v>
      </c>
      <c r="G255" s="103">
        <f>VLOOKUP(D255,Lookup!$J$5:$M$19,4,FALSE)-E255</f>
        <v>419</v>
      </c>
      <c r="H255" s="103">
        <f>VLOOKUP(D255,Lookup!$J$5:$K$19,2,FALSE)</f>
        <v>6</v>
      </c>
      <c r="I255" s="103">
        <f ca="1">IFERROR(VLOOKUP(G255,OFFSET(Lookup!$J$21,1,H255-1,5,1),1,1),0)</f>
        <v>401</v>
      </c>
    </row>
    <row r="256" spans="2:9" x14ac:dyDescent="0.25">
      <c r="B256" s="96">
        <v>63</v>
      </c>
      <c r="C256" s="1">
        <v>31.116666666639503</v>
      </c>
      <c r="D256" s="103" t="str">
        <f t="shared" si="12"/>
        <v>GH3</v>
      </c>
      <c r="E256" s="103">
        <f t="shared" si="13"/>
        <v>63</v>
      </c>
      <c r="F256" s="117">
        <f t="shared" si="14"/>
        <v>31.116666666639503</v>
      </c>
      <c r="G256" s="103">
        <f>VLOOKUP(D256,Lookup!$J$5:$M$19,4,FALSE)-E256</f>
        <v>418</v>
      </c>
      <c r="H256" s="103">
        <f>VLOOKUP(D256,Lookup!$J$5:$K$19,2,FALSE)</f>
        <v>6</v>
      </c>
      <c r="I256" s="103">
        <f ca="1">IFERROR(VLOOKUP(G256,OFFSET(Lookup!$J$21,1,H256-1,5,1),1,1),0)</f>
        <v>401</v>
      </c>
    </row>
    <row r="257" spans="2:9" x14ac:dyDescent="0.25">
      <c r="B257" s="96">
        <v>64</v>
      </c>
      <c r="C257" s="1">
        <v>5.0333333333255723</v>
      </c>
      <c r="D257" s="103" t="str">
        <f t="shared" si="12"/>
        <v>GH3</v>
      </c>
      <c r="E257" s="103">
        <f t="shared" si="13"/>
        <v>64</v>
      </c>
      <c r="F257" s="117">
        <f t="shared" si="14"/>
        <v>5.0333333333255723</v>
      </c>
      <c r="G257" s="103">
        <f>VLOOKUP(D257,Lookup!$J$5:$M$19,4,FALSE)-E257</f>
        <v>417</v>
      </c>
      <c r="H257" s="103">
        <f>VLOOKUP(D257,Lookup!$J$5:$K$19,2,FALSE)</f>
        <v>6</v>
      </c>
      <c r="I257" s="103">
        <f ca="1">IFERROR(VLOOKUP(G257,OFFSET(Lookup!$J$21,1,H257-1,5,1),1,1),0)</f>
        <v>401</v>
      </c>
    </row>
    <row r="258" spans="2:9" x14ac:dyDescent="0.25">
      <c r="B258" s="96">
        <v>67</v>
      </c>
      <c r="C258" s="1">
        <v>16.816666666651145</v>
      </c>
      <c r="D258" s="103" t="str">
        <f t="shared" si="12"/>
        <v>GH3</v>
      </c>
      <c r="E258" s="103">
        <f t="shared" si="13"/>
        <v>67</v>
      </c>
      <c r="F258" s="117">
        <f t="shared" si="14"/>
        <v>16.816666666651145</v>
      </c>
      <c r="G258" s="103">
        <f>VLOOKUP(D258,Lookup!$J$5:$M$19,4,FALSE)-E258</f>
        <v>414</v>
      </c>
      <c r="H258" s="103">
        <f>VLOOKUP(D258,Lookup!$J$5:$K$19,2,FALSE)</f>
        <v>6</v>
      </c>
      <c r="I258" s="103">
        <f ca="1">IFERROR(VLOOKUP(G258,OFFSET(Lookup!$J$21,1,H258-1,5,1),1,1),0)</f>
        <v>401</v>
      </c>
    </row>
    <row r="259" spans="2:9" x14ac:dyDescent="0.25">
      <c r="B259" s="96">
        <v>71</v>
      </c>
      <c r="C259" s="1">
        <v>38.216666666732635</v>
      </c>
      <c r="D259" s="103" t="str">
        <f t="shared" si="12"/>
        <v>GH3</v>
      </c>
      <c r="E259" s="103">
        <f t="shared" si="13"/>
        <v>71</v>
      </c>
      <c r="F259" s="117">
        <f t="shared" si="14"/>
        <v>38.216666666732635</v>
      </c>
      <c r="G259" s="103">
        <f>VLOOKUP(D259,Lookup!$J$5:$M$19,4,FALSE)-E259</f>
        <v>410</v>
      </c>
      <c r="H259" s="103">
        <f>VLOOKUP(D259,Lookup!$J$5:$K$19,2,FALSE)</f>
        <v>6</v>
      </c>
      <c r="I259" s="103">
        <f ca="1">IFERROR(VLOOKUP(G259,OFFSET(Lookup!$J$21,1,H259-1,5,1),1,1),0)</f>
        <v>401</v>
      </c>
    </row>
    <row r="260" spans="2:9" x14ac:dyDescent="0.25">
      <c r="B260" s="96">
        <v>75</v>
      </c>
      <c r="C260" s="1">
        <v>7.4000000000232831</v>
      </c>
      <c r="D260" s="103" t="str">
        <f t="shared" si="12"/>
        <v>GH3</v>
      </c>
      <c r="E260" s="103">
        <f t="shared" si="13"/>
        <v>75</v>
      </c>
      <c r="F260" s="117">
        <f t="shared" si="14"/>
        <v>7.4000000000232831</v>
      </c>
      <c r="G260" s="103">
        <f>VLOOKUP(D260,Lookup!$J$5:$M$19,4,FALSE)-E260</f>
        <v>406</v>
      </c>
      <c r="H260" s="103">
        <f>VLOOKUP(D260,Lookup!$J$5:$K$19,2,FALSE)</f>
        <v>6</v>
      </c>
      <c r="I260" s="103">
        <f ca="1">IFERROR(VLOOKUP(G260,OFFSET(Lookup!$J$21,1,H260-1,5,1),1,1),0)</f>
        <v>401</v>
      </c>
    </row>
    <row r="261" spans="2:9" x14ac:dyDescent="0.25">
      <c r="B261" s="96">
        <v>80</v>
      </c>
      <c r="C261" s="1">
        <v>2.1000000000349246</v>
      </c>
      <c r="D261" s="103" t="str">
        <f t="shared" si="12"/>
        <v>GH3</v>
      </c>
      <c r="E261" s="103">
        <f t="shared" si="13"/>
        <v>80</v>
      </c>
      <c r="F261" s="117">
        <f t="shared" si="14"/>
        <v>2.1000000000349246</v>
      </c>
      <c r="G261" s="103">
        <f>VLOOKUP(D261,Lookup!$J$5:$M$19,4,FALSE)-E261</f>
        <v>401</v>
      </c>
      <c r="H261" s="103">
        <f>VLOOKUP(D261,Lookup!$J$5:$K$19,2,FALSE)</f>
        <v>6</v>
      </c>
      <c r="I261" s="103">
        <f ca="1">IFERROR(VLOOKUP(G261,OFFSET(Lookup!$J$21,1,H261-1,5,1),1,1),0)</f>
        <v>401</v>
      </c>
    </row>
    <row r="262" spans="2:9" x14ac:dyDescent="0.25">
      <c r="B262" s="96">
        <v>84</v>
      </c>
      <c r="C262" s="1">
        <v>4.3499999998603016</v>
      </c>
      <c r="D262" s="103" t="str">
        <f t="shared" si="12"/>
        <v>GH3</v>
      </c>
      <c r="E262" s="103">
        <f t="shared" si="13"/>
        <v>84</v>
      </c>
      <c r="F262" s="117">
        <f t="shared" si="14"/>
        <v>4.3499999998603016</v>
      </c>
      <c r="G262" s="103">
        <f>VLOOKUP(D262,Lookup!$J$5:$M$19,4,FALSE)-E262</f>
        <v>397</v>
      </c>
      <c r="H262" s="103">
        <f>VLOOKUP(D262,Lookup!$J$5:$K$19,2,FALSE)</f>
        <v>6</v>
      </c>
      <c r="I262" s="103">
        <f ca="1">IFERROR(VLOOKUP(G262,OFFSET(Lookup!$J$21,1,H262-1,5,1),1,1),0)</f>
        <v>321</v>
      </c>
    </row>
    <row r="263" spans="2:9" x14ac:dyDescent="0.25">
      <c r="B263" s="96">
        <v>85</v>
      </c>
      <c r="C263" s="1">
        <v>0.83333333325572312</v>
      </c>
      <c r="D263" s="103" t="str">
        <f t="shared" si="12"/>
        <v>GH3</v>
      </c>
      <c r="E263" s="103">
        <f t="shared" si="13"/>
        <v>85</v>
      </c>
      <c r="F263" s="117">
        <f t="shared" si="14"/>
        <v>0.83333333325572312</v>
      </c>
      <c r="G263" s="103">
        <f>VLOOKUP(D263,Lookup!$J$5:$M$19,4,FALSE)-E263</f>
        <v>396</v>
      </c>
      <c r="H263" s="103">
        <f>VLOOKUP(D263,Lookup!$J$5:$K$19,2,FALSE)</f>
        <v>6</v>
      </c>
      <c r="I263" s="103">
        <f ca="1">IFERROR(VLOOKUP(G263,OFFSET(Lookup!$J$21,1,H263-1,5,1),1,1),0)</f>
        <v>321</v>
      </c>
    </row>
    <row r="264" spans="2:9" x14ac:dyDescent="0.25">
      <c r="B264" s="96">
        <v>86</v>
      </c>
      <c r="C264" s="1">
        <v>4.1166666666395031</v>
      </c>
      <c r="D264" s="103" t="str">
        <f t="shared" si="12"/>
        <v>GH3</v>
      </c>
      <c r="E264" s="103">
        <f t="shared" si="13"/>
        <v>86</v>
      </c>
      <c r="F264" s="117">
        <f t="shared" si="14"/>
        <v>4.1166666666395031</v>
      </c>
      <c r="G264" s="103">
        <f>VLOOKUP(D264,Lookup!$J$5:$M$19,4,FALSE)-E264</f>
        <v>395</v>
      </c>
      <c r="H264" s="103">
        <f>VLOOKUP(D264,Lookup!$J$5:$K$19,2,FALSE)</f>
        <v>6</v>
      </c>
      <c r="I264" s="103">
        <f ca="1">IFERROR(VLOOKUP(G264,OFFSET(Lookup!$J$21,1,H264-1,5,1),1,1),0)</f>
        <v>321</v>
      </c>
    </row>
    <row r="265" spans="2:9" x14ac:dyDescent="0.25">
      <c r="B265" s="96">
        <v>89</v>
      </c>
      <c r="C265" s="1">
        <v>2.0000000000582077</v>
      </c>
      <c r="D265" s="103" t="str">
        <f t="shared" ref="D265:D328" si="15">IF(A265="",D264,A265)</f>
        <v>GH3</v>
      </c>
      <c r="E265" s="103">
        <f t="shared" ref="E265:E328" si="16">IF(B265="",E264,B265)</f>
        <v>89</v>
      </c>
      <c r="F265" s="117">
        <f t="shared" ref="F265:F328" si="17">IF(C265="",F264,C265)</f>
        <v>2.0000000000582077</v>
      </c>
      <c r="G265" s="103">
        <f>VLOOKUP(D265,Lookup!$J$5:$M$19,4,FALSE)-E265</f>
        <v>392</v>
      </c>
      <c r="H265" s="103">
        <f>VLOOKUP(D265,Lookup!$J$5:$K$19,2,FALSE)</f>
        <v>6</v>
      </c>
      <c r="I265" s="103">
        <f ca="1">IFERROR(VLOOKUP(G265,OFFSET(Lookup!$J$21,1,H265-1,5,1),1,1),0)</f>
        <v>321</v>
      </c>
    </row>
    <row r="266" spans="2:9" x14ac:dyDescent="0.25">
      <c r="B266" s="96">
        <v>93</v>
      </c>
      <c r="C266" s="1">
        <v>174.68333333329065</v>
      </c>
      <c r="D266" s="103" t="str">
        <f t="shared" si="15"/>
        <v>GH3</v>
      </c>
      <c r="E266" s="103">
        <f t="shared" si="16"/>
        <v>93</v>
      </c>
      <c r="F266" s="117">
        <f t="shared" si="17"/>
        <v>174.68333333329065</v>
      </c>
      <c r="G266" s="103">
        <f>VLOOKUP(D266,Lookup!$J$5:$M$19,4,FALSE)-E266</f>
        <v>388</v>
      </c>
      <c r="H266" s="103">
        <f>VLOOKUP(D266,Lookup!$J$5:$K$19,2,FALSE)</f>
        <v>6</v>
      </c>
      <c r="I266" s="103">
        <f ca="1">IFERROR(VLOOKUP(G266,OFFSET(Lookup!$J$21,1,H266-1,5,1),1,1),0)</f>
        <v>321</v>
      </c>
    </row>
    <row r="267" spans="2:9" x14ac:dyDescent="0.25">
      <c r="B267" s="96">
        <v>94</v>
      </c>
      <c r="C267" s="1">
        <v>0.66666666674427688</v>
      </c>
      <c r="D267" s="103" t="str">
        <f t="shared" si="15"/>
        <v>GH3</v>
      </c>
      <c r="E267" s="103">
        <f t="shared" si="16"/>
        <v>94</v>
      </c>
      <c r="F267" s="117">
        <f t="shared" si="17"/>
        <v>0.66666666674427688</v>
      </c>
      <c r="G267" s="103">
        <f>VLOOKUP(D267,Lookup!$J$5:$M$19,4,FALSE)-E267</f>
        <v>387</v>
      </c>
      <c r="H267" s="103">
        <f>VLOOKUP(D267,Lookup!$J$5:$K$19,2,FALSE)</f>
        <v>6</v>
      </c>
      <c r="I267" s="103">
        <f ca="1">IFERROR(VLOOKUP(G267,OFFSET(Lookup!$J$21,1,H267-1,5,1),1,1),0)</f>
        <v>321</v>
      </c>
    </row>
    <row r="268" spans="2:9" x14ac:dyDescent="0.25">
      <c r="B268" s="96">
        <v>98</v>
      </c>
      <c r="C268" s="1">
        <v>25.833333333896007</v>
      </c>
      <c r="D268" s="103" t="str">
        <f t="shared" si="15"/>
        <v>GH3</v>
      </c>
      <c r="E268" s="103">
        <f t="shared" si="16"/>
        <v>98</v>
      </c>
      <c r="F268" s="117">
        <f t="shared" si="17"/>
        <v>25.833333333896007</v>
      </c>
      <c r="G268" s="103">
        <f>VLOOKUP(D268,Lookup!$J$5:$M$19,4,FALSE)-E268</f>
        <v>383</v>
      </c>
      <c r="H268" s="103">
        <f>VLOOKUP(D268,Lookup!$J$5:$K$19,2,FALSE)</f>
        <v>6</v>
      </c>
      <c r="I268" s="103">
        <f ca="1">IFERROR(VLOOKUP(G268,OFFSET(Lookup!$J$21,1,H268-1,5,1),1,1),0)</f>
        <v>321</v>
      </c>
    </row>
    <row r="269" spans="2:9" x14ac:dyDescent="0.25">
      <c r="B269" s="96">
        <v>103</v>
      </c>
      <c r="C269" s="1">
        <v>0.44999999989522621</v>
      </c>
      <c r="D269" s="103" t="str">
        <f t="shared" si="15"/>
        <v>GH3</v>
      </c>
      <c r="E269" s="103">
        <f t="shared" si="16"/>
        <v>103</v>
      </c>
      <c r="F269" s="117">
        <f t="shared" si="17"/>
        <v>0.44999999989522621</v>
      </c>
      <c r="G269" s="103">
        <f>VLOOKUP(D269,Lookup!$J$5:$M$19,4,FALSE)-E269</f>
        <v>378</v>
      </c>
      <c r="H269" s="103">
        <f>VLOOKUP(D269,Lookup!$J$5:$K$19,2,FALSE)</f>
        <v>6</v>
      </c>
      <c r="I269" s="103">
        <f ca="1">IFERROR(VLOOKUP(G269,OFFSET(Lookup!$J$21,1,H269-1,5,1),1,1),0)</f>
        <v>321</v>
      </c>
    </row>
    <row r="270" spans="2:9" x14ac:dyDescent="0.25">
      <c r="B270" s="96">
        <v>107</v>
      </c>
      <c r="C270" s="1">
        <v>2.9333333332906477</v>
      </c>
      <c r="D270" s="103" t="str">
        <f t="shared" si="15"/>
        <v>GH3</v>
      </c>
      <c r="E270" s="103">
        <f t="shared" si="16"/>
        <v>107</v>
      </c>
      <c r="F270" s="117">
        <f t="shared" si="17"/>
        <v>2.9333333332906477</v>
      </c>
      <c r="G270" s="103">
        <f>VLOOKUP(D270,Lookup!$J$5:$M$19,4,FALSE)-E270</f>
        <v>374</v>
      </c>
      <c r="H270" s="103">
        <f>VLOOKUP(D270,Lookup!$J$5:$K$19,2,FALSE)</f>
        <v>6</v>
      </c>
      <c r="I270" s="103">
        <f ca="1">IFERROR(VLOOKUP(G270,OFFSET(Lookup!$J$21,1,H270-1,5,1),1,1),0)</f>
        <v>321</v>
      </c>
    </row>
    <row r="271" spans="2:9" x14ac:dyDescent="0.25">
      <c r="B271" s="96">
        <v>116</v>
      </c>
      <c r="C271" s="1">
        <v>11.233333333104383</v>
      </c>
      <c r="D271" s="103" t="str">
        <f t="shared" si="15"/>
        <v>GH3</v>
      </c>
      <c r="E271" s="103">
        <f t="shared" si="16"/>
        <v>116</v>
      </c>
      <c r="F271" s="117">
        <f t="shared" si="17"/>
        <v>11.233333333104383</v>
      </c>
      <c r="G271" s="103">
        <f>VLOOKUP(D271,Lookup!$J$5:$M$19,4,FALSE)-E271</f>
        <v>365</v>
      </c>
      <c r="H271" s="103">
        <f>VLOOKUP(D271,Lookup!$J$5:$K$19,2,FALSE)</f>
        <v>6</v>
      </c>
      <c r="I271" s="103">
        <f ca="1">IFERROR(VLOOKUP(G271,OFFSET(Lookup!$J$21,1,H271-1,5,1),1,1),0)</f>
        <v>321</v>
      </c>
    </row>
    <row r="272" spans="2:9" x14ac:dyDescent="0.25">
      <c r="B272" s="96">
        <v>118</v>
      </c>
      <c r="C272" s="1">
        <v>0.91666666668606922</v>
      </c>
      <c r="D272" s="103" t="str">
        <f t="shared" si="15"/>
        <v>GH3</v>
      </c>
      <c r="E272" s="103">
        <f t="shared" si="16"/>
        <v>118</v>
      </c>
      <c r="F272" s="117">
        <f t="shared" si="17"/>
        <v>0.91666666668606922</v>
      </c>
      <c r="G272" s="103">
        <f>VLOOKUP(D272,Lookup!$J$5:$M$19,4,FALSE)-E272</f>
        <v>363</v>
      </c>
      <c r="H272" s="103">
        <f>VLOOKUP(D272,Lookup!$J$5:$K$19,2,FALSE)</f>
        <v>6</v>
      </c>
      <c r="I272" s="103">
        <f ca="1">IFERROR(VLOOKUP(G272,OFFSET(Lookup!$J$21,1,H272-1,5,1),1,1),0)</f>
        <v>321</v>
      </c>
    </row>
    <row r="273" spans="2:9" x14ac:dyDescent="0.25">
      <c r="B273" s="96">
        <v>125</v>
      </c>
      <c r="C273" s="1">
        <v>0.96666666667442769</v>
      </c>
      <c r="D273" s="103" t="str">
        <f t="shared" si="15"/>
        <v>GH3</v>
      </c>
      <c r="E273" s="103">
        <f t="shared" si="16"/>
        <v>125</v>
      </c>
      <c r="F273" s="117">
        <f t="shared" si="17"/>
        <v>0.96666666667442769</v>
      </c>
      <c r="G273" s="103">
        <f>VLOOKUP(D273,Lookup!$J$5:$M$19,4,FALSE)-E273</f>
        <v>356</v>
      </c>
      <c r="H273" s="103">
        <f>VLOOKUP(D273,Lookup!$J$5:$K$19,2,FALSE)</f>
        <v>6</v>
      </c>
      <c r="I273" s="103">
        <f ca="1">IFERROR(VLOOKUP(G273,OFFSET(Lookup!$J$21,1,H273-1,5,1),1,1),0)</f>
        <v>321</v>
      </c>
    </row>
    <row r="274" spans="2:9" x14ac:dyDescent="0.25">
      <c r="B274" s="96">
        <v>134</v>
      </c>
      <c r="C274" s="1">
        <v>1.3333333333139308</v>
      </c>
      <c r="D274" s="103" t="str">
        <f t="shared" si="15"/>
        <v>GH3</v>
      </c>
      <c r="E274" s="103">
        <f t="shared" si="16"/>
        <v>134</v>
      </c>
      <c r="F274" s="117">
        <f t="shared" si="17"/>
        <v>1.3333333333139308</v>
      </c>
      <c r="G274" s="103">
        <f>VLOOKUP(D274,Lookup!$J$5:$M$19,4,FALSE)-E274</f>
        <v>347</v>
      </c>
      <c r="H274" s="103">
        <f>VLOOKUP(D274,Lookup!$J$5:$K$19,2,FALSE)</f>
        <v>6</v>
      </c>
      <c r="I274" s="103">
        <f ca="1">IFERROR(VLOOKUP(G274,OFFSET(Lookup!$J$21,1,H274-1,5,1),1,1),0)</f>
        <v>321</v>
      </c>
    </row>
    <row r="275" spans="2:9" x14ac:dyDescent="0.25">
      <c r="B275" s="96">
        <v>136</v>
      </c>
      <c r="C275" s="1">
        <v>11.516666666662786</v>
      </c>
      <c r="D275" s="103" t="str">
        <f t="shared" si="15"/>
        <v>GH3</v>
      </c>
      <c r="E275" s="103">
        <f t="shared" si="16"/>
        <v>136</v>
      </c>
      <c r="F275" s="117">
        <f t="shared" si="17"/>
        <v>11.516666666662786</v>
      </c>
      <c r="G275" s="103">
        <f>VLOOKUP(D275,Lookup!$J$5:$M$19,4,FALSE)-E275</f>
        <v>345</v>
      </c>
      <c r="H275" s="103">
        <f>VLOOKUP(D275,Lookup!$J$5:$K$19,2,FALSE)</f>
        <v>6</v>
      </c>
      <c r="I275" s="103">
        <f ca="1">IFERROR(VLOOKUP(G275,OFFSET(Lookup!$J$21,1,H275-1,5,1),1,1),0)</f>
        <v>321</v>
      </c>
    </row>
    <row r="276" spans="2:9" x14ac:dyDescent="0.25">
      <c r="B276" s="96">
        <v>139</v>
      </c>
      <c r="C276" s="1">
        <v>2.3333333334303461</v>
      </c>
      <c r="D276" s="103" t="str">
        <f t="shared" si="15"/>
        <v>GH3</v>
      </c>
      <c r="E276" s="103">
        <f t="shared" si="16"/>
        <v>139</v>
      </c>
      <c r="F276" s="117">
        <f t="shared" si="17"/>
        <v>2.3333333334303461</v>
      </c>
      <c r="G276" s="103">
        <f>VLOOKUP(D276,Lookup!$J$5:$M$19,4,FALSE)-E276</f>
        <v>342</v>
      </c>
      <c r="H276" s="103">
        <f>VLOOKUP(D276,Lookup!$J$5:$K$19,2,FALSE)</f>
        <v>6</v>
      </c>
      <c r="I276" s="103">
        <f ca="1">IFERROR(VLOOKUP(G276,OFFSET(Lookup!$J$21,1,H276-1,5,1),1,1),0)</f>
        <v>321</v>
      </c>
    </row>
    <row r="277" spans="2:9" x14ac:dyDescent="0.25">
      <c r="B277" s="96">
        <v>161</v>
      </c>
      <c r="C277" s="1">
        <v>3.5833333333139308</v>
      </c>
      <c r="D277" s="103" t="str">
        <f t="shared" si="15"/>
        <v>GH3</v>
      </c>
      <c r="E277" s="103">
        <f t="shared" si="16"/>
        <v>161</v>
      </c>
      <c r="F277" s="117">
        <f t="shared" si="17"/>
        <v>3.5833333333139308</v>
      </c>
      <c r="G277" s="103">
        <f>VLOOKUP(D277,Lookup!$J$5:$M$19,4,FALSE)-E277</f>
        <v>320</v>
      </c>
      <c r="H277" s="103">
        <f>VLOOKUP(D277,Lookup!$J$5:$K$19,2,FALSE)</f>
        <v>6</v>
      </c>
      <c r="I277" s="103">
        <f ca="1">IFERROR(VLOOKUP(G277,OFFSET(Lookup!$J$21,1,H277-1,5,1),1,1),0)</f>
        <v>291</v>
      </c>
    </row>
    <row r="278" spans="2:9" x14ac:dyDescent="0.25">
      <c r="B278" s="96">
        <v>171</v>
      </c>
      <c r="C278" s="1">
        <v>0.81666666670935228</v>
      </c>
      <c r="D278" s="103" t="str">
        <f t="shared" si="15"/>
        <v>GH3</v>
      </c>
      <c r="E278" s="103">
        <f t="shared" si="16"/>
        <v>171</v>
      </c>
      <c r="F278" s="117">
        <f t="shared" si="17"/>
        <v>0.81666666670935228</v>
      </c>
      <c r="G278" s="103">
        <f>VLOOKUP(D278,Lookup!$J$5:$M$19,4,FALSE)-E278</f>
        <v>310</v>
      </c>
      <c r="H278" s="103">
        <f>VLOOKUP(D278,Lookup!$J$5:$K$19,2,FALSE)</f>
        <v>6</v>
      </c>
      <c r="I278" s="103">
        <f ca="1">IFERROR(VLOOKUP(G278,OFFSET(Lookup!$J$21,1,H278-1,5,1),1,1),0)</f>
        <v>291</v>
      </c>
    </row>
    <row r="279" spans="2:9" x14ac:dyDescent="0.25">
      <c r="B279" s="96">
        <v>184</v>
      </c>
      <c r="C279" s="1">
        <v>22.983333333337214</v>
      </c>
      <c r="D279" s="103" t="str">
        <f t="shared" si="15"/>
        <v>GH3</v>
      </c>
      <c r="E279" s="103">
        <f t="shared" si="16"/>
        <v>184</v>
      </c>
      <c r="F279" s="117">
        <f t="shared" si="17"/>
        <v>22.983333333337214</v>
      </c>
      <c r="G279" s="103">
        <f>VLOOKUP(D279,Lookup!$J$5:$M$19,4,FALSE)-E279</f>
        <v>297</v>
      </c>
      <c r="H279" s="103">
        <f>VLOOKUP(D279,Lookup!$J$5:$K$19,2,FALSE)</f>
        <v>6</v>
      </c>
      <c r="I279" s="103">
        <f ca="1">IFERROR(VLOOKUP(G279,OFFSET(Lookup!$J$21,1,H279-1,5,1),1,1),0)</f>
        <v>291</v>
      </c>
    </row>
    <row r="280" spans="2:9" x14ac:dyDescent="0.25">
      <c r="B280" s="96">
        <v>189</v>
      </c>
      <c r="C280" s="1">
        <v>1.4000000000232831</v>
      </c>
      <c r="D280" s="103" t="str">
        <f t="shared" si="15"/>
        <v>GH3</v>
      </c>
      <c r="E280" s="103">
        <f t="shared" si="16"/>
        <v>189</v>
      </c>
      <c r="F280" s="117">
        <f t="shared" si="17"/>
        <v>1.4000000000232831</v>
      </c>
      <c r="G280" s="103">
        <f>VLOOKUP(D280,Lookup!$J$5:$M$19,4,FALSE)-E280</f>
        <v>292</v>
      </c>
      <c r="H280" s="103">
        <f>VLOOKUP(D280,Lookup!$J$5:$K$19,2,FALSE)</f>
        <v>6</v>
      </c>
      <c r="I280" s="103">
        <f ca="1">IFERROR(VLOOKUP(G280,OFFSET(Lookup!$J$21,1,H280-1,5,1),1,1),0)</f>
        <v>291</v>
      </c>
    </row>
    <row r="281" spans="2:9" x14ac:dyDescent="0.25">
      <c r="B281" s="96">
        <v>202</v>
      </c>
      <c r="C281" s="1">
        <v>10.583333333430346</v>
      </c>
      <c r="D281" s="103" t="str">
        <f t="shared" si="15"/>
        <v>GH3</v>
      </c>
      <c r="E281" s="103">
        <f t="shared" si="16"/>
        <v>202</v>
      </c>
      <c r="F281" s="117">
        <f t="shared" si="17"/>
        <v>10.583333333430346</v>
      </c>
      <c r="G281" s="103">
        <f>VLOOKUP(D281,Lookup!$J$5:$M$19,4,FALSE)-E281</f>
        <v>279</v>
      </c>
      <c r="H281" s="103">
        <f>VLOOKUP(D281,Lookup!$J$5:$K$19,2,FALSE)</f>
        <v>6</v>
      </c>
      <c r="I281" s="103">
        <f ca="1">IFERROR(VLOOKUP(G281,OFFSET(Lookup!$J$21,1,H281-1,5,1),1,1),0)</f>
        <v>210</v>
      </c>
    </row>
    <row r="282" spans="2:9" x14ac:dyDescent="0.25">
      <c r="B282" s="96">
        <v>207</v>
      </c>
      <c r="C282" s="1">
        <v>10.616666666523088</v>
      </c>
      <c r="D282" s="103" t="str">
        <f t="shared" si="15"/>
        <v>GH3</v>
      </c>
      <c r="E282" s="103">
        <f t="shared" si="16"/>
        <v>207</v>
      </c>
      <c r="F282" s="117">
        <f t="shared" si="17"/>
        <v>10.616666666523088</v>
      </c>
      <c r="G282" s="103">
        <f>VLOOKUP(D282,Lookup!$J$5:$M$19,4,FALSE)-E282</f>
        <v>274</v>
      </c>
      <c r="H282" s="103">
        <f>VLOOKUP(D282,Lookup!$J$5:$K$19,2,FALSE)</f>
        <v>6</v>
      </c>
      <c r="I282" s="103">
        <f ca="1">IFERROR(VLOOKUP(G282,OFFSET(Lookup!$J$21,1,H282-1,5,1),1,1),0)</f>
        <v>210</v>
      </c>
    </row>
    <row r="283" spans="2:9" x14ac:dyDescent="0.25">
      <c r="B283" s="96">
        <v>216</v>
      </c>
      <c r="C283" s="1">
        <v>11.333333333430346</v>
      </c>
      <c r="D283" s="103" t="str">
        <f t="shared" si="15"/>
        <v>GH3</v>
      </c>
      <c r="E283" s="103">
        <f t="shared" si="16"/>
        <v>216</v>
      </c>
      <c r="F283" s="117">
        <f t="shared" si="17"/>
        <v>11.333333333430346</v>
      </c>
      <c r="G283" s="103">
        <f>VLOOKUP(D283,Lookup!$J$5:$M$19,4,FALSE)-E283</f>
        <v>265</v>
      </c>
      <c r="H283" s="103">
        <f>VLOOKUP(D283,Lookup!$J$5:$K$19,2,FALSE)</f>
        <v>6</v>
      </c>
      <c r="I283" s="103">
        <f ca="1">IFERROR(VLOOKUP(G283,OFFSET(Lookup!$J$21,1,H283-1,5,1),1,1),0)</f>
        <v>210</v>
      </c>
    </row>
    <row r="284" spans="2:9" x14ac:dyDescent="0.25">
      <c r="B284" s="96">
        <v>220</v>
      </c>
      <c r="C284" s="1">
        <v>1.5666666667093523</v>
      </c>
      <c r="D284" s="103" t="str">
        <f t="shared" si="15"/>
        <v>GH3</v>
      </c>
      <c r="E284" s="103">
        <f t="shared" si="16"/>
        <v>220</v>
      </c>
      <c r="F284" s="117">
        <f t="shared" si="17"/>
        <v>1.5666666667093523</v>
      </c>
      <c r="G284" s="103">
        <f>VLOOKUP(D284,Lookup!$J$5:$M$19,4,FALSE)-E284</f>
        <v>261</v>
      </c>
      <c r="H284" s="103">
        <f>VLOOKUP(D284,Lookup!$J$5:$K$19,2,FALSE)</f>
        <v>6</v>
      </c>
      <c r="I284" s="103">
        <f ca="1">IFERROR(VLOOKUP(G284,OFFSET(Lookup!$J$21,1,H284-1,5,1),1,1),0)</f>
        <v>210</v>
      </c>
    </row>
    <row r="285" spans="2:9" x14ac:dyDescent="0.25">
      <c r="B285" s="96">
        <v>230</v>
      </c>
      <c r="C285" s="1">
        <v>1.4000000000232831</v>
      </c>
      <c r="D285" s="103" t="str">
        <f t="shared" si="15"/>
        <v>GH3</v>
      </c>
      <c r="E285" s="103">
        <f t="shared" si="16"/>
        <v>230</v>
      </c>
      <c r="F285" s="117">
        <f t="shared" si="17"/>
        <v>1.4000000000232831</v>
      </c>
      <c r="G285" s="103">
        <f>VLOOKUP(D285,Lookup!$J$5:$M$19,4,FALSE)-E285</f>
        <v>251</v>
      </c>
      <c r="H285" s="103">
        <f>VLOOKUP(D285,Lookup!$J$5:$K$19,2,FALSE)</f>
        <v>6</v>
      </c>
      <c r="I285" s="103">
        <f ca="1">IFERROR(VLOOKUP(G285,OFFSET(Lookup!$J$21,1,H285-1,5,1),1,1),0)</f>
        <v>210</v>
      </c>
    </row>
    <row r="286" spans="2:9" x14ac:dyDescent="0.25">
      <c r="B286" s="96">
        <v>243</v>
      </c>
      <c r="C286" s="1">
        <v>0.41666666662786156</v>
      </c>
      <c r="D286" s="103" t="str">
        <f t="shared" si="15"/>
        <v>GH3</v>
      </c>
      <c r="E286" s="103">
        <f t="shared" si="16"/>
        <v>243</v>
      </c>
      <c r="F286" s="117">
        <f t="shared" si="17"/>
        <v>0.41666666662786156</v>
      </c>
      <c r="G286" s="103">
        <f>VLOOKUP(D286,Lookup!$J$5:$M$19,4,FALSE)-E286</f>
        <v>238</v>
      </c>
      <c r="H286" s="103">
        <f>VLOOKUP(D286,Lookup!$J$5:$K$19,2,FALSE)</f>
        <v>6</v>
      </c>
      <c r="I286" s="103">
        <f ca="1">IFERROR(VLOOKUP(G286,OFFSET(Lookup!$J$21,1,H286-1,5,1),1,1),0)</f>
        <v>210</v>
      </c>
    </row>
    <row r="287" spans="2:9" x14ac:dyDescent="0.25">
      <c r="B287" s="96">
        <v>252</v>
      </c>
      <c r="C287" s="1">
        <v>66.983333333395422</v>
      </c>
      <c r="D287" s="103" t="str">
        <f t="shared" si="15"/>
        <v>GH3</v>
      </c>
      <c r="E287" s="103">
        <f t="shared" si="16"/>
        <v>252</v>
      </c>
      <c r="F287" s="117">
        <f t="shared" si="17"/>
        <v>66.983333333395422</v>
      </c>
      <c r="G287" s="103">
        <f>VLOOKUP(D287,Lookup!$J$5:$M$19,4,FALSE)-E287</f>
        <v>229</v>
      </c>
      <c r="H287" s="103">
        <f>VLOOKUP(D287,Lookup!$J$5:$K$19,2,FALSE)</f>
        <v>6</v>
      </c>
      <c r="I287" s="103">
        <f ca="1">IFERROR(VLOOKUP(G287,OFFSET(Lookup!$J$21,1,H287-1,5,1),1,1),0)</f>
        <v>210</v>
      </c>
    </row>
    <row r="288" spans="2:9" x14ac:dyDescent="0.25">
      <c r="B288" s="96">
        <v>261</v>
      </c>
      <c r="C288" s="1">
        <v>2.5833333333721384</v>
      </c>
      <c r="D288" s="103" t="str">
        <f t="shared" si="15"/>
        <v>GH3</v>
      </c>
      <c r="E288" s="103">
        <f t="shared" si="16"/>
        <v>261</v>
      </c>
      <c r="F288" s="117">
        <f t="shared" si="17"/>
        <v>2.5833333333721384</v>
      </c>
      <c r="G288" s="103">
        <f>VLOOKUP(D288,Lookup!$J$5:$M$19,4,FALSE)-E288</f>
        <v>220</v>
      </c>
      <c r="H288" s="103">
        <f>VLOOKUP(D288,Lookup!$J$5:$K$19,2,FALSE)</f>
        <v>6</v>
      </c>
      <c r="I288" s="103">
        <f ca="1">IFERROR(VLOOKUP(G288,OFFSET(Lookup!$J$21,1,H288-1,5,1),1,1),0)</f>
        <v>210</v>
      </c>
    </row>
    <row r="289" spans="1:9" x14ac:dyDescent="0.25">
      <c r="B289" s="96">
        <v>270</v>
      </c>
      <c r="C289" s="1">
        <v>4.6333333334187046</v>
      </c>
      <c r="D289" s="103" t="str">
        <f t="shared" si="15"/>
        <v>GH3</v>
      </c>
      <c r="E289" s="103">
        <f t="shared" si="16"/>
        <v>270</v>
      </c>
      <c r="F289" s="117">
        <f t="shared" si="17"/>
        <v>4.6333333334187046</v>
      </c>
      <c r="G289" s="103">
        <f>VLOOKUP(D289,Lookup!$J$5:$M$19,4,FALSE)-E289</f>
        <v>211</v>
      </c>
      <c r="H289" s="103">
        <f>VLOOKUP(D289,Lookup!$J$5:$K$19,2,FALSE)</f>
        <v>6</v>
      </c>
      <c r="I289" s="103">
        <f ca="1">IFERROR(VLOOKUP(G289,OFFSET(Lookup!$J$21,1,H289-1,5,1),1,1),0)</f>
        <v>210</v>
      </c>
    </row>
    <row r="290" spans="1:9" x14ac:dyDescent="0.25">
      <c r="B290" s="96">
        <v>271</v>
      </c>
      <c r="C290" s="1">
        <v>6.466666666790843</v>
      </c>
      <c r="D290" s="103" t="str">
        <f t="shared" si="15"/>
        <v>GH3</v>
      </c>
      <c r="E290" s="103">
        <f t="shared" si="16"/>
        <v>271</v>
      </c>
      <c r="F290" s="117">
        <f t="shared" si="17"/>
        <v>6.466666666790843</v>
      </c>
      <c r="G290" s="103">
        <f>VLOOKUP(D290,Lookup!$J$5:$M$19,4,FALSE)-E290</f>
        <v>210</v>
      </c>
      <c r="H290" s="103">
        <f>VLOOKUP(D290,Lookup!$J$5:$K$19,2,FALSE)</f>
        <v>6</v>
      </c>
      <c r="I290" s="103">
        <f ca="1">IFERROR(VLOOKUP(G290,OFFSET(Lookup!$J$21,1,H290-1,5,1),1,1),0)</f>
        <v>210</v>
      </c>
    </row>
    <row r="291" spans="1:9" x14ac:dyDescent="0.25">
      <c r="B291" s="96">
        <v>279</v>
      </c>
      <c r="C291" s="1">
        <v>7.4500000000116415</v>
      </c>
      <c r="D291" s="103" t="str">
        <f t="shared" si="15"/>
        <v>GH3</v>
      </c>
      <c r="E291" s="103">
        <f t="shared" si="16"/>
        <v>279</v>
      </c>
      <c r="F291" s="117">
        <f t="shared" si="17"/>
        <v>7.4500000000116415</v>
      </c>
      <c r="G291" s="103">
        <f>VLOOKUP(D291,Lookup!$J$5:$M$19,4,FALSE)-E291</f>
        <v>202</v>
      </c>
      <c r="H291" s="103">
        <f>VLOOKUP(D291,Lookup!$J$5:$K$19,2,FALSE)</f>
        <v>6</v>
      </c>
      <c r="I291" s="103">
        <f ca="1">IFERROR(VLOOKUP(G291,OFFSET(Lookup!$J$21,1,H291-1,5,1),1,1),0)</f>
        <v>0</v>
      </c>
    </row>
    <row r="292" spans="1:9" x14ac:dyDescent="0.25">
      <c r="B292" s="96">
        <v>284</v>
      </c>
      <c r="C292" s="1">
        <v>3.4999999998835847</v>
      </c>
      <c r="D292" s="103" t="str">
        <f t="shared" si="15"/>
        <v>GH3</v>
      </c>
      <c r="E292" s="103">
        <f t="shared" si="16"/>
        <v>284</v>
      </c>
      <c r="F292" s="117">
        <f t="shared" si="17"/>
        <v>3.4999999998835847</v>
      </c>
      <c r="G292" s="103">
        <f>VLOOKUP(D292,Lookup!$J$5:$M$19,4,FALSE)-E292</f>
        <v>197</v>
      </c>
      <c r="H292" s="103">
        <f>VLOOKUP(D292,Lookup!$J$5:$K$19,2,FALSE)</f>
        <v>6</v>
      </c>
      <c r="I292" s="103">
        <f ca="1">IFERROR(VLOOKUP(G292,OFFSET(Lookup!$J$21,1,H292-1,5,1),1,1),0)</f>
        <v>0</v>
      </c>
    </row>
    <row r="293" spans="1:9" x14ac:dyDescent="0.25">
      <c r="B293" s="96">
        <v>288</v>
      </c>
      <c r="C293" s="1">
        <v>3.5833333334885538</v>
      </c>
      <c r="D293" s="103" t="str">
        <f t="shared" si="15"/>
        <v>GH3</v>
      </c>
      <c r="E293" s="103">
        <f t="shared" si="16"/>
        <v>288</v>
      </c>
      <c r="F293" s="117">
        <f t="shared" si="17"/>
        <v>3.5833333334885538</v>
      </c>
      <c r="G293" s="103">
        <f>VLOOKUP(D293,Lookup!$J$5:$M$19,4,FALSE)-E293</f>
        <v>193</v>
      </c>
      <c r="H293" s="103">
        <f>VLOOKUP(D293,Lookup!$J$5:$K$19,2,FALSE)</f>
        <v>6</v>
      </c>
      <c r="I293" s="103">
        <f ca="1">IFERROR(VLOOKUP(G293,OFFSET(Lookup!$J$21,1,H293-1,5,1),1,1),0)</f>
        <v>0</v>
      </c>
    </row>
    <row r="294" spans="1:9" x14ac:dyDescent="0.25">
      <c r="B294" s="96">
        <v>290</v>
      </c>
      <c r="C294" s="1">
        <v>4.8333333333721384</v>
      </c>
      <c r="D294" s="103" t="str">
        <f t="shared" si="15"/>
        <v>GH3</v>
      </c>
      <c r="E294" s="103">
        <f t="shared" si="16"/>
        <v>290</v>
      </c>
      <c r="F294" s="117">
        <f t="shared" si="17"/>
        <v>4.8333333333721384</v>
      </c>
      <c r="G294" s="103">
        <f>VLOOKUP(D294,Lookup!$J$5:$M$19,4,FALSE)-E294</f>
        <v>191</v>
      </c>
      <c r="H294" s="103">
        <f>VLOOKUP(D294,Lookup!$J$5:$K$19,2,FALSE)</f>
        <v>6</v>
      </c>
      <c r="I294" s="103">
        <f ca="1">IFERROR(VLOOKUP(G294,OFFSET(Lookup!$J$21,1,H294-1,5,1),1,1),0)</f>
        <v>0</v>
      </c>
    </row>
    <row r="295" spans="1:9" x14ac:dyDescent="0.25">
      <c r="B295" s="96">
        <v>293</v>
      </c>
      <c r="C295" s="1">
        <v>21.016666666720994</v>
      </c>
      <c r="D295" s="103" t="str">
        <f t="shared" si="15"/>
        <v>GH3</v>
      </c>
      <c r="E295" s="103">
        <f t="shared" si="16"/>
        <v>293</v>
      </c>
      <c r="F295" s="117">
        <f t="shared" si="17"/>
        <v>21.016666666720994</v>
      </c>
      <c r="G295" s="103">
        <f>VLOOKUP(D295,Lookup!$J$5:$M$19,4,FALSE)-E295</f>
        <v>188</v>
      </c>
      <c r="H295" s="103">
        <f>VLOOKUP(D295,Lookup!$J$5:$K$19,2,FALSE)</f>
        <v>6</v>
      </c>
      <c r="I295" s="103">
        <f ca="1">IFERROR(VLOOKUP(G295,OFFSET(Lookup!$J$21,1,H295-1,5,1),1,1),0)</f>
        <v>0</v>
      </c>
    </row>
    <row r="296" spans="1:9" x14ac:dyDescent="0.25">
      <c r="B296" s="96">
        <v>298</v>
      </c>
      <c r="C296" s="1">
        <v>84.849999999976717</v>
      </c>
      <c r="D296" s="103" t="str">
        <f t="shared" si="15"/>
        <v>GH3</v>
      </c>
      <c r="E296" s="103">
        <f t="shared" si="16"/>
        <v>298</v>
      </c>
      <c r="F296" s="117">
        <f t="shared" si="17"/>
        <v>84.849999999976717</v>
      </c>
      <c r="G296" s="103">
        <f>VLOOKUP(D296,Lookup!$J$5:$M$19,4,FALSE)-E296</f>
        <v>183</v>
      </c>
      <c r="H296" s="103">
        <f>VLOOKUP(D296,Lookup!$J$5:$K$19,2,FALSE)</f>
        <v>6</v>
      </c>
      <c r="I296" s="103">
        <f ca="1">IFERROR(VLOOKUP(G296,OFFSET(Lookup!$J$21,1,H296-1,5,1),1,1),0)</f>
        <v>0</v>
      </c>
    </row>
    <row r="297" spans="1:9" x14ac:dyDescent="0.25">
      <c r="B297" s="96">
        <v>308</v>
      </c>
      <c r="C297" s="1">
        <v>69.75</v>
      </c>
      <c r="D297" s="103" t="str">
        <f t="shared" si="15"/>
        <v>GH3</v>
      </c>
      <c r="E297" s="103">
        <f t="shared" si="16"/>
        <v>308</v>
      </c>
      <c r="F297" s="117">
        <f t="shared" si="17"/>
        <v>69.75</v>
      </c>
      <c r="G297" s="103">
        <f>VLOOKUP(D297,Lookup!$J$5:$M$19,4,FALSE)-E297</f>
        <v>173</v>
      </c>
      <c r="H297" s="103">
        <f>VLOOKUP(D297,Lookup!$J$5:$K$19,2,FALSE)</f>
        <v>6</v>
      </c>
      <c r="I297" s="103">
        <f ca="1">IFERROR(VLOOKUP(G297,OFFSET(Lookup!$J$21,1,H297-1,5,1),1,1),0)</f>
        <v>0</v>
      </c>
    </row>
    <row r="298" spans="1:9" x14ac:dyDescent="0.25">
      <c r="B298" s="96">
        <v>316</v>
      </c>
      <c r="C298" s="1">
        <v>13.516666666546371</v>
      </c>
      <c r="D298" s="103" t="str">
        <f t="shared" si="15"/>
        <v>GH3</v>
      </c>
      <c r="E298" s="103">
        <f t="shared" si="16"/>
        <v>316</v>
      </c>
      <c r="F298" s="117">
        <f t="shared" si="17"/>
        <v>13.516666666546371</v>
      </c>
      <c r="G298" s="103">
        <f>VLOOKUP(D298,Lookup!$J$5:$M$19,4,FALSE)-E298</f>
        <v>165</v>
      </c>
      <c r="H298" s="103">
        <f>VLOOKUP(D298,Lookup!$J$5:$K$19,2,FALSE)</f>
        <v>6</v>
      </c>
      <c r="I298" s="103">
        <f ca="1">IFERROR(VLOOKUP(G298,OFFSET(Lookup!$J$21,1,H298-1,5,1),1,1),0)</f>
        <v>0</v>
      </c>
    </row>
    <row r="299" spans="1:9" x14ac:dyDescent="0.25">
      <c r="B299" s="96">
        <v>338</v>
      </c>
      <c r="C299" s="1">
        <v>0.43333333334885538</v>
      </c>
      <c r="D299" s="103" t="str">
        <f t="shared" si="15"/>
        <v>GH3</v>
      </c>
      <c r="E299" s="103">
        <f t="shared" si="16"/>
        <v>338</v>
      </c>
      <c r="F299" s="117">
        <f t="shared" si="17"/>
        <v>0.43333333334885538</v>
      </c>
      <c r="G299" s="103">
        <f>VLOOKUP(D299,Lookup!$J$5:$M$19,4,FALSE)-E299</f>
        <v>143</v>
      </c>
      <c r="H299" s="103">
        <f>VLOOKUP(D299,Lookup!$J$5:$K$19,2,FALSE)</f>
        <v>6</v>
      </c>
      <c r="I299" s="103">
        <f ca="1">IFERROR(VLOOKUP(G299,OFFSET(Lookup!$J$21,1,H299-1,5,1),1,1),0)</f>
        <v>0</v>
      </c>
    </row>
    <row r="300" spans="1:9" x14ac:dyDescent="0.25">
      <c r="B300" s="96">
        <v>366</v>
      </c>
      <c r="C300" s="1">
        <v>1.8666666666395031</v>
      </c>
      <c r="D300" s="103" t="str">
        <f t="shared" si="15"/>
        <v>GH3</v>
      </c>
      <c r="E300" s="103">
        <f t="shared" si="16"/>
        <v>366</v>
      </c>
      <c r="F300" s="117">
        <f t="shared" si="17"/>
        <v>1.8666666666395031</v>
      </c>
      <c r="G300" s="103">
        <f>VLOOKUP(D300,Lookup!$J$5:$M$19,4,FALSE)-E300</f>
        <v>115</v>
      </c>
      <c r="H300" s="103">
        <f>VLOOKUP(D300,Lookup!$J$5:$K$19,2,FALSE)</f>
        <v>6</v>
      </c>
      <c r="I300" s="103">
        <f ca="1">IFERROR(VLOOKUP(G300,OFFSET(Lookup!$J$21,1,H300-1,5,1),1,1),0)</f>
        <v>0</v>
      </c>
    </row>
    <row r="301" spans="1:9" x14ac:dyDescent="0.25">
      <c r="B301" s="96">
        <v>470</v>
      </c>
      <c r="C301" s="1">
        <v>18.75</v>
      </c>
      <c r="D301" s="103" t="str">
        <f t="shared" si="15"/>
        <v>GH3</v>
      </c>
      <c r="E301" s="103">
        <f t="shared" si="16"/>
        <v>470</v>
      </c>
      <c r="F301" s="117">
        <f t="shared" si="17"/>
        <v>18.75</v>
      </c>
      <c r="G301" s="103">
        <f>VLOOKUP(D301,Lookup!$J$5:$M$19,4,FALSE)-E301</f>
        <v>11</v>
      </c>
      <c r="H301" s="103">
        <f>VLOOKUP(D301,Lookup!$J$5:$K$19,2,FALSE)</f>
        <v>6</v>
      </c>
      <c r="I301" s="103">
        <f ca="1">IFERROR(VLOOKUP(G301,OFFSET(Lookup!$J$21,1,H301-1,5,1),1,1),0)</f>
        <v>0</v>
      </c>
    </row>
    <row r="302" spans="1:9" x14ac:dyDescent="0.25">
      <c r="A302" s="103" t="s">
        <v>24</v>
      </c>
      <c r="B302" s="96">
        <v>0</v>
      </c>
      <c r="C302" s="1">
        <v>974.51666666666279</v>
      </c>
      <c r="D302" s="103" t="str">
        <f t="shared" si="15"/>
        <v>GH4</v>
      </c>
      <c r="E302" s="103">
        <f t="shared" si="16"/>
        <v>0</v>
      </c>
      <c r="F302" s="117">
        <f t="shared" si="17"/>
        <v>974.51666666666279</v>
      </c>
      <c r="G302" s="103">
        <f>VLOOKUP(D302,Lookup!$J$5:$M$19,4,FALSE)-E302</f>
        <v>478</v>
      </c>
      <c r="H302" s="103">
        <f>VLOOKUP(D302,Lookup!$J$5:$K$19,2,FALSE)</f>
        <v>7</v>
      </c>
      <c r="I302" s="103">
        <f ca="1">IFERROR(VLOOKUP(G302,OFFSET(Lookup!$J$21,1,H302-1,5,1),1,1),0)</f>
        <v>438</v>
      </c>
    </row>
    <row r="303" spans="1:9" x14ac:dyDescent="0.25">
      <c r="B303" s="96">
        <v>4</v>
      </c>
      <c r="C303" s="1">
        <v>547.06666666665114</v>
      </c>
      <c r="D303" s="103" t="str">
        <f t="shared" si="15"/>
        <v>GH4</v>
      </c>
      <c r="E303" s="103">
        <f t="shared" si="16"/>
        <v>4</v>
      </c>
      <c r="F303" s="117">
        <f t="shared" si="17"/>
        <v>547.06666666665114</v>
      </c>
      <c r="G303" s="103">
        <f>VLOOKUP(D303,Lookup!$J$5:$M$19,4,FALSE)-E303</f>
        <v>474</v>
      </c>
      <c r="H303" s="103">
        <f>VLOOKUP(D303,Lookup!$J$5:$K$19,2,FALSE)</f>
        <v>7</v>
      </c>
      <c r="I303" s="103">
        <f ca="1">IFERROR(VLOOKUP(G303,OFFSET(Lookup!$J$21,1,H303-1,5,1),1,1),0)</f>
        <v>438</v>
      </c>
    </row>
    <row r="304" spans="1:9" x14ac:dyDescent="0.25">
      <c r="B304" s="96">
        <v>5</v>
      </c>
      <c r="C304" s="1">
        <v>1.5833333332557231</v>
      </c>
      <c r="D304" s="103" t="str">
        <f t="shared" si="15"/>
        <v>GH4</v>
      </c>
      <c r="E304" s="103">
        <f t="shared" si="16"/>
        <v>5</v>
      </c>
      <c r="F304" s="117">
        <f t="shared" si="17"/>
        <v>1.5833333332557231</v>
      </c>
      <c r="G304" s="103">
        <f>VLOOKUP(D304,Lookup!$J$5:$M$19,4,FALSE)-E304</f>
        <v>473</v>
      </c>
      <c r="H304" s="103">
        <f>VLOOKUP(D304,Lookup!$J$5:$K$19,2,FALSE)</f>
        <v>7</v>
      </c>
      <c r="I304" s="103">
        <f ca="1">IFERROR(VLOOKUP(G304,OFFSET(Lookup!$J$21,1,H304-1,5,1),1,1),0)</f>
        <v>438</v>
      </c>
    </row>
    <row r="305" spans="2:9" x14ac:dyDescent="0.25">
      <c r="B305" s="96">
        <v>6</v>
      </c>
      <c r="C305" s="1">
        <v>0.16666666668606922</v>
      </c>
      <c r="D305" s="103" t="str">
        <f t="shared" si="15"/>
        <v>GH4</v>
      </c>
      <c r="E305" s="103">
        <f t="shared" si="16"/>
        <v>6</v>
      </c>
      <c r="F305" s="117">
        <f t="shared" si="17"/>
        <v>0.16666666668606922</v>
      </c>
      <c r="G305" s="103">
        <f>VLOOKUP(D305,Lookup!$J$5:$M$19,4,FALSE)-E305</f>
        <v>472</v>
      </c>
      <c r="H305" s="103">
        <f>VLOOKUP(D305,Lookup!$J$5:$K$19,2,FALSE)</f>
        <v>7</v>
      </c>
      <c r="I305" s="103">
        <f ca="1">IFERROR(VLOOKUP(G305,OFFSET(Lookup!$J$21,1,H305-1,5,1),1,1),0)</f>
        <v>438</v>
      </c>
    </row>
    <row r="306" spans="2:9" x14ac:dyDescent="0.25">
      <c r="B306" s="96">
        <v>9</v>
      </c>
      <c r="C306" s="1">
        <v>4629.3499999999185</v>
      </c>
      <c r="D306" s="103" t="str">
        <f t="shared" si="15"/>
        <v>GH4</v>
      </c>
      <c r="E306" s="103">
        <f t="shared" si="16"/>
        <v>9</v>
      </c>
      <c r="F306" s="117">
        <f t="shared" si="17"/>
        <v>4629.3499999999185</v>
      </c>
      <c r="G306" s="103">
        <f>VLOOKUP(D306,Lookup!$J$5:$M$19,4,FALSE)-E306</f>
        <v>469</v>
      </c>
      <c r="H306" s="103">
        <f>VLOOKUP(D306,Lookup!$J$5:$K$19,2,FALSE)</f>
        <v>7</v>
      </c>
      <c r="I306" s="103">
        <f ca="1">IFERROR(VLOOKUP(G306,OFFSET(Lookup!$J$21,1,H306-1,5,1),1,1),0)</f>
        <v>438</v>
      </c>
    </row>
    <row r="307" spans="2:9" x14ac:dyDescent="0.25">
      <c r="B307" s="96">
        <v>12</v>
      </c>
      <c r="C307" s="1">
        <v>58.933333333348855</v>
      </c>
      <c r="D307" s="103" t="str">
        <f t="shared" si="15"/>
        <v>GH4</v>
      </c>
      <c r="E307" s="103">
        <f t="shared" si="16"/>
        <v>12</v>
      </c>
      <c r="F307" s="117">
        <f t="shared" si="17"/>
        <v>58.933333333348855</v>
      </c>
      <c r="G307" s="103">
        <f>VLOOKUP(D307,Lookup!$J$5:$M$19,4,FALSE)-E307</f>
        <v>466</v>
      </c>
      <c r="H307" s="103">
        <f>VLOOKUP(D307,Lookup!$J$5:$K$19,2,FALSE)</f>
        <v>7</v>
      </c>
      <c r="I307" s="103">
        <f ca="1">IFERROR(VLOOKUP(G307,OFFSET(Lookup!$J$21,1,H307-1,5,1),1,1),0)</f>
        <v>438</v>
      </c>
    </row>
    <row r="308" spans="2:9" x14ac:dyDescent="0.25">
      <c r="B308" s="96">
        <v>13</v>
      </c>
      <c r="C308" s="1">
        <v>296.66666666645324</v>
      </c>
      <c r="D308" s="103" t="str">
        <f t="shared" si="15"/>
        <v>GH4</v>
      </c>
      <c r="E308" s="103">
        <f t="shared" si="16"/>
        <v>13</v>
      </c>
      <c r="F308" s="117">
        <f t="shared" si="17"/>
        <v>296.66666666645324</v>
      </c>
      <c r="G308" s="103">
        <f>VLOOKUP(D308,Lookup!$J$5:$M$19,4,FALSE)-E308</f>
        <v>465</v>
      </c>
      <c r="H308" s="103">
        <f>VLOOKUP(D308,Lookup!$J$5:$K$19,2,FALSE)</f>
        <v>7</v>
      </c>
      <c r="I308" s="103">
        <f ca="1">IFERROR(VLOOKUP(G308,OFFSET(Lookup!$J$21,1,H308-1,5,1),1,1),0)</f>
        <v>438</v>
      </c>
    </row>
    <row r="309" spans="2:9" x14ac:dyDescent="0.25">
      <c r="B309" s="96">
        <v>14</v>
      </c>
      <c r="C309" s="1">
        <v>797.23333333345363</v>
      </c>
      <c r="D309" s="103" t="str">
        <f t="shared" si="15"/>
        <v>GH4</v>
      </c>
      <c r="E309" s="103">
        <f t="shared" si="16"/>
        <v>14</v>
      </c>
      <c r="F309" s="117">
        <f t="shared" si="17"/>
        <v>797.23333333345363</v>
      </c>
      <c r="G309" s="103">
        <f>VLOOKUP(D309,Lookup!$J$5:$M$19,4,FALSE)-E309</f>
        <v>464</v>
      </c>
      <c r="H309" s="103">
        <f>VLOOKUP(D309,Lookup!$J$5:$K$19,2,FALSE)</f>
        <v>7</v>
      </c>
      <c r="I309" s="103">
        <f ca="1">IFERROR(VLOOKUP(G309,OFFSET(Lookup!$J$21,1,H309-1,5,1),1,1),0)</f>
        <v>438</v>
      </c>
    </row>
    <row r="310" spans="2:9" x14ac:dyDescent="0.25">
      <c r="B310" s="96">
        <v>15</v>
      </c>
      <c r="C310" s="1">
        <v>1.9333333333488554</v>
      </c>
      <c r="D310" s="103" t="str">
        <f t="shared" si="15"/>
        <v>GH4</v>
      </c>
      <c r="E310" s="103">
        <f t="shared" si="16"/>
        <v>15</v>
      </c>
      <c r="F310" s="117">
        <f t="shared" si="17"/>
        <v>1.9333333333488554</v>
      </c>
      <c r="G310" s="103">
        <f>VLOOKUP(D310,Lookup!$J$5:$M$19,4,FALSE)-E310</f>
        <v>463</v>
      </c>
      <c r="H310" s="103">
        <f>VLOOKUP(D310,Lookup!$J$5:$K$19,2,FALSE)</f>
        <v>7</v>
      </c>
      <c r="I310" s="103">
        <f ca="1">IFERROR(VLOOKUP(G310,OFFSET(Lookup!$J$21,1,H310-1,5,1),1,1),0)</f>
        <v>438</v>
      </c>
    </row>
    <row r="311" spans="2:9" x14ac:dyDescent="0.25">
      <c r="B311" s="96">
        <v>16</v>
      </c>
      <c r="C311" s="1">
        <v>2.1666666665696539</v>
      </c>
      <c r="D311" s="103" t="str">
        <f t="shared" si="15"/>
        <v>GH4</v>
      </c>
      <c r="E311" s="103">
        <f t="shared" si="16"/>
        <v>16</v>
      </c>
      <c r="F311" s="117">
        <f t="shared" si="17"/>
        <v>2.1666666665696539</v>
      </c>
      <c r="G311" s="103">
        <f>VLOOKUP(D311,Lookup!$J$5:$M$19,4,FALSE)-E311</f>
        <v>462</v>
      </c>
      <c r="H311" s="103">
        <f>VLOOKUP(D311,Lookup!$J$5:$K$19,2,FALSE)</f>
        <v>7</v>
      </c>
      <c r="I311" s="103">
        <f ca="1">IFERROR(VLOOKUP(G311,OFFSET(Lookup!$J$21,1,H311-1,5,1),1,1),0)</f>
        <v>438</v>
      </c>
    </row>
    <row r="312" spans="2:9" x14ac:dyDescent="0.25">
      <c r="B312" s="96">
        <v>18</v>
      </c>
      <c r="C312" s="1">
        <v>121.85000000009313</v>
      </c>
      <c r="D312" s="103" t="str">
        <f t="shared" si="15"/>
        <v>GH4</v>
      </c>
      <c r="E312" s="103">
        <f t="shared" si="16"/>
        <v>18</v>
      </c>
      <c r="F312" s="117">
        <f t="shared" si="17"/>
        <v>121.85000000009313</v>
      </c>
      <c r="G312" s="103">
        <f>VLOOKUP(D312,Lookup!$J$5:$M$19,4,FALSE)-E312</f>
        <v>460</v>
      </c>
      <c r="H312" s="103">
        <f>VLOOKUP(D312,Lookup!$J$5:$K$19,2,FALSE)</f>
        <v>7</v>
      </c>
      <c r="I312" s="103">
        <f ca="1">IFERROR(VLOOKUP(G312,OFFSET(Lookup!$J$21,1,H312-1,5,1),1,1),0)</f>
        <v>438</v>
      </c>
    </row>
    <row r="313" spans="2:9" x14ac:dyDescent="0.25">
      <c r="B313" s="96">
        <v>23</v>
      </c>
      <c r="C313" s="1">
        <v>402.31666666717501</v>
      </c>
      <c r="D313" s="103" t="str">
        <f t="shared" si="15"/>
        <v>GH4</v>
      </c>
      <c r="E313" s="103">
        <f t="shared" si="16"/>
        <v>23</v>
      </c>
      <c r="F313" s="117">
        <f t="shared" si="17"/>
        <v>402.31666666717501</v>
      </c>
      <c r="G313" s="103">
        <f>VLOOKUP(D313,Lookup!$J$5:$M$19,4,FALSE)-E313</f>
        <v>455</v>
      </c>
      <c r="H313" s="103">
        <f>VLOOKUP(D313,Lookup!$J$5:$K$19,2,FALSE)</f>
        <v>7</v>
      </c>
      <c r="I313" s="103">
        <f ca="1">IFERROR(VLOOKUP(G313,OFFSET(Lookup!$J$21,1,H313-1,5,1),1,1),0)</f>
        <v>438</v>
      </c>
    </row>
    <row r="314" spans="2:9" x14ac:dyDescent="0.25">
      <c r="B314" s="96">
        <v>27</v>
      </c>
      <c r="C314" s="1">
        <v>16.016666666662786</v>
      </c>
      <c r="D314" s="103" t="str">
        <f t="shared" si="15"/>
        <v>GH4</v>
      </c>
      <c r="E314" s="103">
        <f t="shared" si="16"/>
        <v>27</v>
      </c>
      <c r="F314" s="117">
        <f t="shared" si="17"/>
        <v>16.016666666662786</v>
      </c>
      <c r="G314" s="103">
        <f>VLOOKUP(D314,Lookup!$J$5:$M$19,4,FALSE)-E314</f>
        <v>451</v>
      </c>
      <c r="H314" s="103">
        <f>VLOOKUP(D314,Lookup!$J$5:$K$19,2,FALSE)</f>
        <v>7</v>
      </c>
      <c r="I314" s="103">
        <f ca="1">IFERROR(VLOOKUP(G314,OFFSET(Lookup!$J$21,1,H314-1,5,1),1,1),0)</f>
        <v>438</v>
      </c>
    </row>
    <row r="315" spans="2:9" x14ac:dyDescent="0.25">
      <c r="B315" s="96">
        <v>29</v>
      </c>
      <c r="C315" s="1">
        <v>21.599999999860302</v>
      </c>
      <c r="D315" s="103" t="str">
        <f t="shared" si="15"/>
        <v>GH4</v>
      </c>
      <c r="E315" s="103">
        <f t="shared" si="16"/>
        <v>29</v>
      </c>
      <c r="F315" s="117">
        <f t="shared" si="17"/>
        <v>21.599999999860302</v>
      </c>
      <c r="G315" s="103">
        <f>VLOOKUP(D315,Lookup!$J$5:$M$19,4,FALSE)-E315</f>
        <v>449</v>
      </c>
      <c r="H315" s="103">
        <f>VLOOKUP(D315,Lookup!$J$5:$K$19,2,FALSE)</f>
        <v>7</v>
      </c>
      <c r="I315" s="103">
        <f ca="1">IFERROR(VLOOKUP(G315,OFFSET(Lookup!$J$21,1,H315-1,5,1),1,1),0)</f>
        <v>438</v>
      </c>
    </row>
    <row r="316" spans="2:9" x14ac:dyDescent="0.25">
      <c r="B316" s="96">
        <v>30</v>
      </c>
      <c r="C316" s="1">
        <v>11.750000000058208</v>
      </c>
      <c r="D316" s="103" t="str">
        <f t="shared" si="15"/>
        <v>GH4</v>
      </c>
      <c r="E316" s="103">
        <f t="shared" si="16"/>
        <v>30</v>
      </c>
      <c r="F316" s="117">
        <f t="shared" si="17"/>
        <v>11.750000000058208</v>
      </c>
      <c r="G316" s="103">
        <f>VLOOKUP(D316,Lookup!$J$5:$M$19,4,FALSE)-E316</f>
        <v>448</v>
      </c>
      <c r="H316" s="103">
        <f>VLOOKUP(D316,Lookup!$J$5:$K$19,2,FALSE)</f>
        <v>7</v>
      </c>
      <c r="I316" s="103">
        <f ca="1">IFERROR(VLOOKUP(G316,OFFSET(Lookup!$J$21,1,H316-1,5,1),1,1),0)</f>
        <v>438</v>
      </c>
    </row>
    <row r="317" spans="2:9" x14ac:dyDescent="0.25">
      <c r="B317" s="96">
        <v>32</v>
      </c>
      <c r="C317" s="1">
        <v>49.583333333430346</v>
      </c>
      <c r="D317" s="103" t="str">
        <f t="shared" si="15"/>
        <v>GH4</v>
      </c>
      <c r="E317" s="103">
        <f t="shared" si="16"/>
        <v>32</v>
      </c>
      <c r="F317" s="117">
        <f t="shared" si="17"/>
        <v>49.583333333430346</v>
      </c>
      <c r="G317" s="103">
        <f>VLOOKUP(D317,Lookup!$J$5:$M$19,4,FALSE)-E317</f>
        <v>446</v>
      </c>
      <c r="H317" s="103">
        <f>VLOOKUP(D317,Lookup!$J$5:$K$19,2,FALSE)</f>
        <v>7</v>
      </c>
      <c r="I317" s="103">
        <f ca="1">IFERROR(VLOOKUP(G317,OFFSET(Lookup!$J$21,1,H317-1,5,1),1,1),0)</f>
        <v>438</v>
      </c>
    </row>
    <row r="318" spans="2:9" x14ac:dyDescent="0.25">
      <c r="B318" s="96">
        <v>36</v>
      </c>
      <c r="C318" s="1">
        <v>2.2666666667209938</v>
      </c>
      <c r="D318" s="103" t="str">
        <f t="shared" si="15"/>
        <v>GH4</v>
      </c>
      <c r="E318" s="103">
        <f t="shared" si="16"/>
        <v>36</v>
      </c>
      <c r="F318" s="117">
        <f t="shared" si="17"/>
        <v>2.2666666667209938</v>
      </c>
      <c r="G318" s="103">
        <f>VLOOKUP(D318,Lookup!$J$5:$M$19,4,FALSE)-E318</f>
        <v>442</v>
      </c>
      <c r="H318" s="103">
        <f>VLOOKUP(D318,Lookup!$J$5:$K$19,2,FALSE)</f>
        <v>7</v>
      </c>
      <c r="I318" s="103">
        <f ca="1">IFERROR(VLOOKUP(G318,OFFSET(Lookup!$J$21,1,H318-1,5,1),1,1),0)</f>
        <v>438</v>
      </c>
    </row>
    <row r="319" spans="2:9" x14ac:dyDescent="0.25">
      <c r="B319" s="96">
        <v>39</v>
      </c>
      <c r="C319" s="1">
        <v>9.9999999999417923</v>
      </c>
      <c r="D319" s="103" t="str">
        <f t="shared" si="15"/>
        <v>GH4</v>
      </c>
      <c r="E319" s="103">
        <f t="shared" si="16"/>
        <v>39</v>
      </c>
      <c r="F319" s="117">
        <f t="shared" si="17"/>
        <v>9.9999999999417923</v>
      </c>
      <c r="G319" s="103">
        <f>VLOOKUP(D319,Lookup!$J$5:$M$19,4,FALSE)-E319</f>
        <v>439</v>
      </c>
      <c r="H319" s="103">
        <f>VLOOKUP(D319,Lookup!$J$5:$K$19,2,FALSE)</f>
        <v>7</v>
      </c>
      <c r="I319" s="103">
        <f ca="1">IFERROR(VLOOKUP(G319,OFFSET(Lookup!$J$21,1,H319-1,5,1),1,1),0)</f>
        <v>438</v>
      </c>
    </row>
    <row r="320" spans="2:9" x14ac:dyDescent="0.25">
      <c r="B320" s="96">
        <v>41</v>
      </c>
      <c r="C320" s="1">
        <v>5.4833333332207985</v>
      </c>
      <c r="D320" s="103" t="str">
        <f t="shared" si="15"/>
        <v>GH4</v>
      </c>
      <c r="E320" s="103">
        <f t="shared" si="16"/>
        <v>41</v>
      </c>
      <c r="F320" s="117">
        <f t="shared" si="17"/>
        <v>5.4833333332207985</v>
      </c>
      <c r="G320" s="103">
        <f>VLOOKUP(D320,Lookup!$J$5:$M$19,4,FALSE)-E320</f>
        <v>437</v>
      </c>
      <c r="H320" s="103">
        <f>VLOOKUP(D320,Lookup!$J$5:$K$19,2,FALSE)</f>
        <v>7</v>
      </c>
      <c r="I320" s="103">
        <f ca="1">IFERROR(VLOOKUP(G320,OFFSET(Lookup!$J$21,1,H320-1,5,1),1,1),0)</f>
        <v>398</v>
      </c>
    </row>
    <row r="321" spans="2:9" x14ac:dyDescent="0.25">
      <c r="B321" s="96">
        <v>44</v>
      </c>
      <c r="C321" s="1">
        <v>19.549999999988358</v>
      </c>
      <c r="D321" s="103" t="str">
        <f t="shared" si="15"/>
        <v>GH4</v>
      </c>
      <c r="E321" s="103">
        <f t="shared" si="16"/>
        <v>44</v>
      </c>
      <c r="F321" s="117">
        <f t="shared" si="17"/>
        <v>19.549999999988358</v>
      </c>
      <c r="G321" s="103">
        <f>VLOOKUP(D321,Lookup!$J$5:$M$19,4,FALSE)-E321</f>
        <v>434</v>
      </c>
      <c r="H321" s="103">
        <f>VLOOKUP(D321,Lookup!$J$5:$K$19,2,FALSE)</f>
        <v>7</v>
      </c>
      <c r="I321" s="103">
        <f ca="1">IFERROR(VLOOKUP(G321,OFFSET(Lookup!$J$21,1,H321-1,5,1),1,1),0)</f>
        <v>398</v>
      </c>
    </row>
    <row r="322" spans="2:9" x14ac:dyDescent="0.25">
      <c r="B322" s="96">
        <v>46</v>
      </c>
      <c r="C322" s="1">
        <v>3.8333333332557231</v>
      </c>
      <c r="D322" s="103" t="str">
        <f t="shared" si="15"/>
        <v>GH4</v>
      </c>
      <c r="E322" s="103">
        <f t="shared" si="16"/>
        <v>46</v>
      </c>
      <c r="F322" s="117">
        <f t="shared" si="17"/>
        <v>3.8333333332557231</v>
      </c>
      <c r="G322" s="103">
        <f>VLOOKUP(D322,Lookup!$J$5:$M$19,4,FALSE)-E322</f>
        <v>432</v>
      </c>
      <c r="H322" s="103">
        <f>VLOOKUP(D322,Lookup!$J$5:$K$19,2,FALSE)</f>
        <v>7</v>
      </c>
      <c r="I322" s="103">
        <f ca="1">IFERROR(VLOOKUP(G322,OFFSET(Lookup!$J$21,1,H322-1,5,1),1,1),0)</f>
        <v>398</v>
      </c>
    </row>
    <row r="323" spans="2:9" x14ac:dyDescent="0.25">
      <c r="B323" s="96">
        <v>49</v>
      </c>
      <c r="C323" s="1">
        <v>6.7333333332790062</v>
      </c>
      <c r="D323" s="103" t="str">
        <f t="shared" si="15"/>
        <v>GH4</v>
      </c>
      <c r="E323" s="103">
        <f t="shared" si="16"/>
        <v>49</v>
      </c>
      <c r="F323" s="117">
        <f t="shared" si="17"/>
        <v>6.7333333332790062</v>
      </c>
      <c r="G323" s="103">
        <f>VLOOKUP(D323,Lookup!$J$5:$M$19,4,FALSE)-E323</f>
        <v>429</v>
      </c>
      <c r="H323" s="103">
        <f>VLOOKUP(D323,Lookup!$J$5:$K$19,2,FALSE)</f>
        <v>7</v>
      </c>
      <c r="I323" s="103">
        <f ca="1">IFERROR(VLOOKUP(G323,OFFSET(Lookup!$J$21,1,H323-1,5,1),1,1),0)</f>
        <v>398</v>
      </c>
    </row>
    <row r="324" spans="2:9" x14ac:dyDescent="0.25">
      <c r="B324" s="96">
        <v>50</v>
      </c>
      <c r="C324" s="1">
        <v>4.1000000000931323</v>
      </c>
      <c r="D324" s="103" t="str">
        <f t="shared" si="15"/>
        <v>GH4</v>
      </c>
      <c r="E324" s="103">
        <f t="shared" si="16"/>
        <v>50</v>
      </c>
      <c r="F324" s="117">
        <f t="shared" si="17"/>
        <v>4.1000000000931323</v>
      </c>
      <c r="G324" s="103">
        <f>VLOOKUP(D324,Lookup!$J$5:$M$19,4,FALSE)-E324</f>
        <v>428</v>
      </c>
      <c r="H324" s="103">
        <f>VLOOKUP(D324,Lookup!$J$5:$K$19,2,FALSE)</f>
        <v>7</v>
      </c>
      <c r="I324" s="103">
        <f ca="1">IFERROR(VLOOKUP(G324,OFFSET(Lookup!$J$21,1,H324-1,5,1),1,1),0)</f>
        <v>398</v>
      </c>
    </row>
    <row r="325" spans="2:9" x14ac:dyDescent="0.25">
      <c r="B325" s="96">
        <v>51</v>
      </c>
      <c r="C325" s="1">
        <v>6.5166666666045785</v>
      </c>
      <c r="D325" s="103" t="str">
        <f t="shared" si="15"/>
        <v>GH4</v>
      </c>
      <c r="E325" s="103">
        <f t="shared" si="16"/>
        <v>51</v>
      </c>
      <c r="F325" s="117">
        <f t="shared" si="17"/>
        <v>6.5166666666045785</v>
      </c>
      <c r="G325" s="103">
        <f>VLOOKUP(D325,Lookup!$J$5:$M$19,4,FALSE)-E325</f>
        <v>427</v>
      </c>
      <c r="H325" s="103">
        <f>VLOOKUP(D325,Lookup!$J$5:$K$19,2,FALSE)</f>
        <v>7</v>
      </c>
      <c r="I325" s="103">
        <f ca="1">IFERROR(VLOOKUP(G325,OFFSET(Lookup!$J$21,1,H325-1,5,1),1,1),0)</f>
        <v>398</v>
      </c>
    </row>
    <row r="326" spans="2:9" x14ac:dyDescent="0.25">
      <c r="B326" s="96">
        <v>53</v>
      </c>
      <c r="C326" s="1">
        <v>3.3333333331975155</v>
      </c>
      <c r="D326" s="103" t="str">
        <f t="shared" si="15"/>
        <v>GH4</v>
      </c>
      <c r="E326" s="103">
        <f t="shared" si="16"/>
        <v>53</v>
      </c>
      <c r="F326" s="117">
        <f t="shared" si="17"/>
        <v>3.3333333331975155</v>
      </c>
      <c r="G326" s="103">
        <f>VLOOKUP(D326,Lookup!$J$5:$M$19,4,FALSE)-E326</f>
        <v>425</v>
      </c>
      <c r="H326" s="103">
        <f>VLOOKUP(D326,Lookup!$J$5:$K$19,2,FALSE)</f>
        <v>7</v>
      </c>
      <c r="I326" s="103">
        <f ca="1">IFERROR(VLOOKUP(G326,OFFSET(Lookup!$J$21,1,H326-1,5,1),1,1),0)</f>
        <v>398</v>
      </c>
    </row>
    <row r="327" spans="2:9" x14ac:dyDescent="0.25">
      <c r="B327" s="96">
        <v>59</v>
      </c>
      <c r="C327" s="1">
        <v>5.1000000000349246</v>
      </c>
      <c r="D327" s="103" t="str">
        <f t="shared" si="15"/>
        <v>GH4</v>
      </c>
      <c r="E327" s="103">
        <f t="shared" si="16"/>
        <v>59</v>
      </c>
      <c r="F327" s="117">
        <f t="shared" si="17"/>
        <v>5.1000000000349246</v>
      </c>
      <c r="G327" s="103">
        <f>VLOOKUP(D327,Lookup!$J$5:$M$19,4,FALSE)-E327</f>
        <v>419</v>
      </c>
      <c r="H327" s="103">
        <f>VLOOKUP(D327,Lookup!$J$5:$K$19,2,FALSE)</f>
        <v>7</v>
      </c>
      <c r="I327" s="103">
        <f ca="1">IFERROR(VLOOKUP(G327,OFFSET(Lookup!$J$21,1,H327-1,5,1),1,1),0)</f>
        <v>398</v>
      </c>
    </row>
    <row r="328" spans="2:9" x14ac:dyDescent="0.25">
      <c r="B328" s="96">
        <v>68</v>
      </c>
      <c r="C328" s="1">
        <v>24.716666666732635</v>
      </c>
      <c r="D328" s="103" t="str">
        <f t="shared" si="15"/>
        <v>GH4</v>
      </c>
      <c r="E328" s="103">
        <f t="shared" si="16"/>
        <v>68</v>
      </c>
      <c r="F328" s="117">
        <f t="shared" si="17"/>
        <v>24.716666666732635</v>
      </c>
      <c r="G328" s="103">
        <f>VLOOKUP(D328,Lookup!$J$5:$M$19,4,FALSE)-E328</f>
        <v>410</v>
      </c>
      <c r="H328" s="103">
        <f>VLOOKUP(D328,Lookup!$J$5:$K$19,2,FALSE)</f>
        <v>7</v>
      </c>
      <c r="I328" s="103">
        <f ca="1">IFERROR(VLOOKUP(G328,OFFSET(Lookup!$J$21,1,H328-1,5,1),1,1),0)</f>
        <v>398</v>
      </c>
    </row>
    <row r="329" spans="2:9" x14ac:dyDescent="0.25">
      <c r="B329" s="96">
        <v>71</v>
      </c>
      <c r="C329" s="1">
        <v>10.250000000058208</v>
      </c>
      <c r="D329" s="103" t="str">
        <f t="shared" ref="D329:D392" si="18">IF(A329="",D328,A329)</f>
        <v>GH4</v>
      </c>
      <c r="E329" s="103">
        <f t="shared" ref="E329:E392" si="19">IF(B329="",E328,B329)</f>
        <v>71</v>
      </c>
      <c r="F329" s="117">
        <f t="shared" ref="F329:F392" si="20">IF(C329="",F328,C329)</f>
        <v>10.250000000058208</v>
      </c>
      <c r="G329" s="103">
        <f>VLOOKUP(D329,Lookup!$J$5:$M$19,4,FALSE)-E329</f>
        <v>407</v>
      </c>
      <c r="H329" s="103">
        <f>VLOOKUP(D329,Lookup!$J$5:$K$19,2,FALSE)</f>
        <v>7</v>
      </c>
      <c r="I329" s="103">
        <f ca="1">IFERROR(VLOOKUP(G329,OFFSET(Lookup!$J$21,1,H329-1,5,1),1,1),0)</f>
        <v>398</v>
      </c>
    </row>
    <row r="330" spans="2:9" x14ac:dyDescent="0.25">
      <c r="B330" s="96">
        <v>73</v>
      </c>
      <c r="C330" s="1">
        <v>5.2000000000116415</v>
      </c>
      <c r="D330" s="103" t="str">
        <f t="shared" si="18"/>
        <v>GH4</v>
      </c>
      <c r="E330" s="103">
        <f t="shared" si="19"/>
        <v>73</v>
      </c>
      <c r="F330" s="117">
        <f t="shared" si="20"/>
        <v>5.2000000000116415</v>
      </c>
      <c r="G330" s="103">
        <f>VLOOKUP(D330,Lookup!$J$5:$M$19,4,FALSE)-E330</f>
        <v>405</v>
      </c>
      <c r="H330" s="103">
        <f>VLOOKUP(D330,Lookup!$J$5:$K$19,2,FALSE)</f>
        <v>7</v>
      </c>
      <c r="I330" s="103">
        <f ca="1">IFERROR(VLOOKUP(G330,OFFSET(Lookup!$J$21,1,H330-1,5,1),1,1),0)</f>
        <v>398</v>
      </c>
    </row>
    <row r="331" spans="2:9" x14ac:dyDescent="0.25">
      <c r="B331" s="96">
        <v>76</v>
      </c>
      <c r="C331" s="1">
        <v>31.633333333244082</v>
      </c>
      <c r="D331" s="103" t="str">
        <f t="shared" si="18"/>
        <v>GH4</v>
      </c>
      <c r="E331" s="103">
        <f t="shared" si="19"/>
        <v>76</v>
      </c>
      <c r="F331" s="117">
        <f t="shared" si="20"/>
        <v>31.633333333244082</v>
      </c>
      <c r="G331" s="103">
        <f>VLOOKUP(D331,Lookup!$J$5:$M$19,4,FALSE)-E331</f>
        <v>402</v>
      </c>
      <c r="H331" s="103">
        <f>VLOOKUP(D331,Lookup!$J$5:$K$19,2,FALSE)</f>
        <v>7</v>
      </c>
      <c r="I331" s="103">
        <f ca="1">IFERROR(VLOOKUP(G331,OFFSET(Lookup!$J$21,1,H331-1,5,1),1,1),0)</f>
        <v>398</v>
      </c>
    </row>
    <row r="332" spans="2:9" x14ac:dyDescent="0.25">
      <c r="B332" s="96">
        <v>77</v>
      </c>
      <c r="C332" s="1">
        <v>8.6499999999068677</v>
      </c>
      <c r="D332" s="103" t="str">
        <f t="shared" si="18"/>
        <v>GH4</v>
      </c>
      <c r="E332" s="103">
        <f t="shared" si="19"/>
        <v>77</v>
      </c>
      <c r="F332" s="117">
        <f t="shared" si="20"/>
        <v>8.6499999999068677</v>
      </c>
      <c r="G332" s="103">
        <f>VLOOKUP(D332,Lookup!$J$5:$M$19,4,FALSE)-E332</f>
        <v>401</v>
      </c>
      <c r="H332" s="103">
        <f>VLOOKUP(D332,Lookup!$J$5:$K$19,2,FALSE)</f>
        <v>7</v>
      </c>
      <c r="I332" s="103">
        <f ca="1">IFERROR(VLOOKUP(G332,OFFSET(Lookup!$J$21,1,H332-1,5,1),1,1),0)</f>
        <v>398</v>
      </c>
    </row>
    <row r="333" spans="2:9" x14ac:dyDescent="0.25">
      <c r="B333" s="96">
        <v>84</v>
      </c>
      <c r="C333" s="1">
        <v>0.43333333334885538</v>
      </c>
      <c r="D333" s="103" t="str">
        <f t="shared" si="18"/>
        <v>GH4</v>
      </c>
      <c r="E333" s="103">
        <f t="shared" si="19"/>
        <v>84</v>
      </c>
      <c r="F333" s="117">
        <f t="shared" si="20"/>
        <v>0.43333333334885538</v>
      </c>
      <c r="G333" s="103">
        <f>VLOOKUP(D333,Lookup!$J$5:$M$19,4,FALSE)-E333</f>
        <v>394</v>
      </c>
      <c r="H333" s="103">
        <f>VLOOKUP(D333,Lookup!$J$5:$K$19,2,FALSE)</f>
        <v>7</v>
      </c>
      <c r="I333" s="103">
        <f ca="1">IFERROR(VLOOKUP(G333,OFFSET(Lookup!$J$21,1,H333-1,5,1),1,1),0)</f>
        <v>318</v>
      </c>
    </row>
    <row r="334" spans="2:9" x14ac:dyDescent="0.25">
      <c r="B334" s="96">
        <v>86</v>
      </c>
      <c r="C334" s="1">
        <v>3.1666666666860692</v>
      </c>
      <c r="D334" s="103" t="str">
        <f t="shared" si="18"/>
        <v>GH4</v>
      </c>
      <c r="E334" s="103">
        <f t="shared" si="19"/>
        <v>86</v>
      </c>
      <c r="F334" s="117">
        <f t="shared" si="20"/>
        <v>3.1666666666860692</v>
      </c>
      <c r="G334" s="103">
        <f>VLOOKUP(D334,Lookup!$J$5:$M$19,4,FALSE)-E334</f>
        <v>392</v>
      </c>
      <c r="H334" s="103">
        <f>VLOOKUP(D334,Lookup!$J$5:$K$19,2,FALSE)</f>
        <v>7</v>
      </c>
      <c r="I334" s="103">
        <f ca="1">IFERROR(VLOOKUP(G334,OFFSET(Lookup!$J$21,1,H334-1,5,1),1,1),0)</f>
        <v>318</v>
      </c>
    </row>
    <row r="335" spans="2:9" x14ac:dyDescent="0.25">
      <c r="B335" s="96">
        <v>91</v>
      </c>
      <c r="C335" s="1">
        <v>25.60000000015134</v>
      </c>
      <c r="D335" s="103" t="str">
        <f t="shared" si="18"/>
        <v>GH4</v>
      </c>
      <c r="E335" s="103">
        <f t="shared" si="19"/>
        <v>91</v>
      </c>
      <c r="F335" s="117">
        <f t="shared" si="20"/>
        <v>25.60000000015134</v>
      </c>
      <c r="G335" s="103">
        <f>VLOOKUP(D335,Lookup!$J$5:$M$19,4,FALSE)-E335</f>
        <v>387</v>
      </c>
      <c r="H335" s="103">
        <f>VLOOKUP(D335,Lookup!$J$5:$K$19,2,FALSE)</f>
        <v>7</v>
      </c>
      <c r="I335" s="103">
        <f ca="1">IFERROR(VLOOKUP(G335,OFFSET(Lookup!$J$21,1,H335-1,5,1),1,1),0)</f>
        <v>318</v>
      </c>
    </row>
    <row r="336" spans="2:9" x14ac:dyDescent="0.25">
      <c r="B336" s="96">
        <v>96</v>
      </c>
      <c r="C336" s="1">
        <v>11.300000000162981</v>
      </c>
      <c r="D336" s="103" t="str">
        <f t="shared" si="18"/>
        <v>GH4</v>
      </c>
      <c r="E336" s="103">
        <f t="shared" si="19"/>
        <v>96</v>
      </c>
      <c r="F336" s="117">
        <f t="shared" si="20"/>
        <v>11.300000000162981</v>
      </c>
      <c r="G336" s="103">
        <f>VLOOKUP(D336,Lookup!$J$5:$M$19,4,FALSE)-E336</f>
        <v>382</v>
      </c>
      <c r="H336" s="103">
        <f>VLOOKUP(D336,Lookup!$J$5:$K$19,2,FALSE)</f>
        <v>7</v>
      </c>
      <c r="I336" s="103">
        <f ca="1">IFERROR(VLOOKUP(G336,OFFSET(Lookup!$J$21,1,H336-1,5,1),1,1),0)</f>
        <v>318</v>
      </c>
    </row>
    <row r="337" spans="2:9" x14ac:dyDescent="0.25">
      <c r="B337" s="96">
        <v>101</v>
      </c>
      <c r="C337" s="1">
        <v>1.5166666667209938</v>
      </c>
      <c r="D337" s="103" t="str">
        <f t="shared" si="18"/>
        <v>GH4</v>
      </c>
      <c r="E337" s="103">
        <f t="shared" si="19"/>
        <v>101</v>
      </c>
      <c r="F337" s="117">
        <f t="shared" si="20"/>
        <v>1.5166666667209938</v>
      </c>
      <c r="G337" s="103">
        <f>VLOOKUP(D337,Lookup!$J$5:$M$19,4,FALSE)-E337</f>
        <v>377</v>
      </c>
      <c r="H337" s="103">
        <f>VLOOKUP(D337,Lookup!$J$5:$K$19,2,FALSE)</f>
        <v>7</v>
      </c>
      <c r="I337" s="103">
        <f ca="1">IFERROR(VLOOKUP(G337,OFFSET(Lookup!$J$21,1,H337-1,5,1),1,1),0)</f>
        <v>318</v>
      </c>
    </row>
    <row r="338" spans="2:9" x14ac:dyDescent="0.25">
      <c r="B338" s="96">
        <v>104</v>
      </c>
      <c r="C338" s="1">
        <v>0.2333333333954215</v>
      </c>
      <c r="D338" s="103" t="str">
        <f t="shared" si="18"/>
        <v>GH4</v>
      </c>
      <c r="E338" s="103">
        <f t="shared" si="19"/>
        <v>104</v>
      </c>
      <c r="F338" s="117">
        <f t="shared" si="20"/>
        <v>0.2333333333954215</v>
      </c>
      <c r="G338" s="103">
        <f>VLOOKUP(D338,Lookup!$J$5:$M$19,4,FALSE)-E338</f>
        <v>374</v>
      </c>
      <c r="H338" s="103">
        <f>VLOOKUP(D338,Lookup!$J$5:$K$19,2,FALSE)</f>
        <v>7</v>
      </c>
      <c r="I338" s="103">
        <f ca="1">IFERROR(VLOOKUP(G338,OFFSET(Lookup!$J$21,1,H338-1,5,1),1,1),0)</f>
        <v>318</v>
      </c>
    </row>
    <row r="339" spans="2:9" x14ac:dyDescent="0.25">
      <c r="B339" s="96">
        <v>105</v>
      </c>
      <c r="C339" s="1">
        <v>2.6500000000814907</v>
      </c>
      <c r="D339" s="103" t="str">
        <f t="shared" si="18"/>
        <v>GH4</v>
      </c>
      <c r="E339" s="103">
        <f t="shared" si="19"/>
        <v>105</v>
      </c>
      <c r="F339" s="117">
        <f t="shared" si="20"/>
        <v>2.6500000000814907</v>
      </c>
      <c r="G339" s="103">
        <f>VLOOKUP(D339,Lookup!$J$5:$M$19,4,FALSE)-E339</f>
        <v>373</v>
      </c>
      <c r="H339" s="103">
        <f>VLOOKUP(D339,Lookup!$J$5:$K$19,2,FALSE)</f>
        <v>7</v>
      </c>
      <c r="I339" s="103">
        <f ca="1">IFERROR(VLOOKUP(G339,OFFSET(Lookup!$J$21,1,H339-1,5,1),1,1),0)</f>
        <v>318</v>
      </c>
    </row>
    <row r="340" spans="2:9" x14ac:dyDescent="0.25">
      <c r="B340" s="96">
        <v>106</v>
      </c>
      <c r="C340" s="1">
        <v>4.0000000001164153</v>
      </c>
      <c r="D340" s="103" t="str">
        <f t="shared" si="18"/>
        <v>GH4</v>
      </c>
      <c r="E340" s="103">
        <f t="shared" si="19"/>
        <v>106</v>
      </c>
      <c r="F340" s="117">
        <f t="shared" si="20"/>
        <v>4.0000000001164153</v>
      </c>
      <c r="G340" s="103">
        <f>VLOOKUP(D340,Lookup!$J$5:$M$19,4,FALSE)-E340</f>
        <v>372</v>
      </c>
      <c r="H340" s="103">
        <f>VLOOKUP(D340,Lookup!$J$5:$K$19,2,FALSE)</f>
        <v>7</v>
      </c>
      <c r="I340" s="103">
        <f ca="1">IFERROR(VLOOKUP(G340,OFFSET(Lookup!$J$21,1,H340-1,5,1),1,1),0)</f>
        <v>318</v>
      </c>
    </row>
    <row r="341" spans="2:9" x14ac:dyDescent="0.25">
      <c r="B341" s="96">
        <v>109</v>
      </c>
      <c r="C341" s="1">
        <v>1.7333333333954215</v>
      </c>
      <c r="D341" s="103" t="str">
        <f t="shared" si="18"/>
        <v>GH4</v>
      </c>
      <c r="E341" s="103">
        <f t="shared" si="19"/>
        <v>109</v>
      </c>
      <c r="F341" s="117">
        <f t="shared" si="20"/>
        <v>1.7333333333954215</v>
      </c>
      <c r="G341" s="103">
        <f>VLOOKUP(D341,Lookup!$J$5:$M$19,4,FALSE)-E341</f>
        <v>369</v>
      </c>
      <c r="H341" s="103">
        <f>VLOOKUP(D341,Lookup!$J$5:$K$19,2,FALSE)</f>
        <v>7</v>
      </c>
      <c r="I341" s="103">
        <f ca="1">IFERROR(VLOOKUP(G341,OFFSET(Lookup!$J$21,1,H341-1,5,1),1,1),0)</f>
        <v>318</v>
      </c>
    </row>
    <row r="342" spans="2:9" x14ac:dyDescent="0.25">
      <c r="B342" s="96">
        <v>111</v>
      </c>
      <c r="C342" s="1">
        <v>1.0666666666511446</v>
      </c>
      <c r="D342" s="103" t="str">
        <f t="shared" si="18"/>
        <v>GH4</v>
      </c>
      <c r="E342" s="103">
        <f t="shared" si="19"/>
        <v>111</v>
      </c>
      <c r="F342" s="117">
        <f t="shared" si="20"/>
        <v>1.0666666666511446</v>
      </c>
      <c r="G342" s="103">
        <f>VLOOKUP(D342,Lookup!$J$5:$M$19,4,FALSE)-E342</f>
        <v>367</v>
      </c>
      <c r="H342" s="103">
        <f>VLOOKUP(D342,Lookup!$J$5:$K$19,2,FALSE)</f>
        <v>7</v>
      </c>
      <c r="I342" s="103">
        <f ca="1">IFERROR(VLOOKUP(G342,OFFSET(Lookup!$J$21,1,H342-1,5,1),1,1),0)</f>
        <v>318</v>
      </c>
    </row>
    <row r="343" spans="2:9" x14ac:dyDescent="0.25">
      <c r="B343" s="96">
        <v>114</v>
      </c>
      <c r="C343" s="1">
        <v>7.4499999998370185</v>
      </c>
      <c r="D343" s="103" t="str">
        <f t="shared" si="18"/>
        <v>GH4</v>
      </c>
      <c r="E343" s="103">
        <f t="shared" si="19"/>
        <v>114</v>
      </c>
      <c r="F343" s="117">
        <f t="shared" si="20"/>
        <v>7.4499999998370185</v>
      </c>
      <c r="G343" s="103">
        <f>VLOOKUP(D343,Lookup!$J$5:$M$19,4,FALSE)-E343</f>
        <v>364</v>
      </c>
      <c r="H343" s="103">
        <f>VLOOKUP(D343,Lookup!$J$5:$K$19,2,FALSE)</f>
        <v>7</v>
      </c>
      <c r="I343" s="103">
        <f ca="1">IFERROR(VLOOKUP(G343,OFFSET(Lookup!$J$21,1,H343-1,5,1),1,1),0)</f>
        <v>318</v>
      </c>
    </row>
    <row r="344" spans="2:9" x14ac:dyDescent="0.25">
      <c r="B344" s="96">
        <v>123</v>
      </c>
      <c r="C344" s="1">
        <v>0.75</v>
      </c>
      <c r="D344" s="103" t="str">
        <f t="shared" si="18"/>
        <v>GH4</v>
      </c>
      <c r="E344" s="103">
        <f t="shared" si="19"/>
        <v>123</v>
      </c>
      <c r="F344" s="117">
        <f t="shared" si="20"/>
        <v>0.75</v>
      </c>
      <c r="G344" s="103">
        <f>VLOOKUP(D344,Lookup!$J$5:$M$19,4,FALSE)-E344</f>
        <v>355</v>
      </c>
      <c r="H344" s="103">
        <f>VLOOKUP(D344,Lookup!$J$5:$K$19,2,FALSE)</f>
        <v>7</v>
      </c>
      <c r="I344" s="103">
        <f ca="1">IFERROR(VLOOKUP(G344,OFFSET(Lookup!$J$21,1,H344-1,5,1),1,1),0)</f>
        <v>318</v>
      </c>
    </row>
    <row r="345" spans="2:9" x14ac:dyDescent="0.25">
      <c r="B345" s="96">
        <v>137</v>
      </c>
      <c r="C345" s="1">
        <v>3.75</v>
      </c>
      <c r="D345" s="103" t="str">
        <f t="shared" si="18"/>
        <v>GH4</v>
      </c>
      <c r="E345" s="103">
        <f t="shared" si="19"/>
        <v>137</v>
      </c>
      <c r="F345" s="117">
        <f t="shared" si="20"/>
        <v>3.75</v>
      </c>
      <c r="G345" s="103">
        <f>VLOOKUP(D345,Lookup!$J$5:$M$19,4,FALSE)-E345</f>
        <v>341</v>
      </c>
      <c r="H345" s="103">
        <f>VLOOKUP(D345,Lookup!$J$5:$K$19,2,FALSE)</f>
        <v>7</v>
      </c>
      <c r="I345" s="103">
        <f ca="1">IFERROR(VLOOKUP(G345,OFFSET(Lookup!$J$21,1,H345-1,5,1),1,1),0)</f>
        <v>318</v>
      </c>
    </row>
    <row r="346" spans="2:9" x14ac:dyDescent="0.25">
      <c r="B346" s="96">
        <v>141</v>
      </c>
      <c r="C346" s="1">
        <v>2.4500000001280569</v>
      </c>
      <c r="D346" s="103" t="str">
        <f t="shared" si="18"/>
        <v>GH4</v>
      </c>
      <c r="E346" s="103">
        <f t="shared" si="19"/>
        <v>141</v>
      </c>
      <c r="F346" s="117">
        <f t="shared" si="20"/>
        <v>2.4500000001280569</v>
      </c>
      <c r="G346" s="103">
        <f>VLOOKUP(D346,Lookup!$J$5:$M$19,4,FALSE)-E346</f>
        <v>337</v>
      </c>
      <c r="H346" s="103">
        <f>VLOOKUP(D346,Lookup!$J$5:$K$19,2,FALSE)</f>
        <v>7</v>
      </c>
      <c r="I346" s="103">
        <f ca="1">IFERROR(VLOOKUP(G346,OFFSET(Lookup!$J$21,1,H346-1,5,1),1,1),0)</f>
        <v>318</v>
      </c>
    </row>
    <row r="347" spans="2:9" x14ac:dyDescent="0.25">
      <c r="B347" s="96">
        <v>143</v>
      </c>
      <c r="C347" s="1">
        <v>63.333333333197515</v>
      </c>
      <c r="D347" s="103" t="str">
        <f t="shared" si="18"/>
        <v>GH4</v>
      </c>
      <c r="E347" s="103">
        <f t="shared" si="19"/>
        <v>143</v>
      </c>
      <c r="F347" s="117">
        <f t="shared" si="20"/>
        <v>63.333333333197515</v>
      </c>
      <c r="G347" s="103">
        <f>VLOOKUP(D347,Lookup!$J$5:$M$19,4,FALSE)-E347</f>
        <v>335</v>
      </c>
      <c r="H347" s="103">
        <f>VLOOKUP(D347,Lookup!$J$5:$K$19,2,FALSE)</f>
        <v>7</v>
      </c>
      <c r="I347" s="103">
        <f ca="1">IFERROR(VLOOKUP(G347,OFFSET(Lookup!$J$21,1,H347-1,5,1),1,1),0)</f>
        <v>318</v>
      </c>
    </row>
    <row r="348" spans="2:9" x14ac:dyDescent="0.25">
      <c r="B348" s="96">
        <v>150</v>
      </c>
      <c r="C348" s="1">
        <v>1.03333333338378</v>
      </c>
      <c r="D348" s="103" t="str">
        <f t="shared" si="18"/>
        <v>GH4</v>
      </c>
      <c r="E348" s="103">
        <f t="shared" si="19"/>
        <v>150</v>
      </c>
      <c r="F348" s="117">
        <f t="shared" si="20"/>
        <v>1.03333333338378</v>
      </c>
      <c r="G348" s="103">
        <f>VLOOKUP(D348,Lookup!$J$5:$M$19,4,FALSE)-E348</f>
        <v>328</v>
      </c>
      <c r="H348" s="103">
        <f>VLOOKUP(D348,Lookup!$J$5:$K$19,2,FALSE)</f>
        <v>7</v>
      </c>
      <c r="I348" s="103">
        <f ca="1">IFERROR(VLOOKUP(G348,OFFSET(Lookup!$J$21,1,H348-1,5,1),1,1),0)</f>
        <v>318</v>
      </c>
    </row>
    <row r="349" spans="2:9" x14ac:dyDescent="0.25">
      <c r="B349" s="96">
        <v>159</v>
      </c>
      <c r="C349" s="1">
        <v>7.2833333333255723</v>
      </c>
      <c r="D349" s="103" t="str">
        <f t="shared" si="18"/>
        <v>GH4</v>
      </c>
      <c r="E349" s="103">
        <f t="shared" si="19"/>
        <v>159</v>
      </c>
      <c r="F349" s="117">
        <f t="shared" si="20"/>
        <v>7.2833333333255723</v>
      </c>
      <c r="G349" s="103">
        <f>VLOOKUP(D349,Lookup!$J$5:$M$19,4,FALSE)-E349</f>
        <v>319</v>
      </c>
      <c r="H349" s="103">
        <f>VLOOKUP(D349,Lookup!$J$5:$K$19,2,FALSE)</f>
        <v>7</v>
      </c>
      <c r="I349" s="103">
        <f ca="1">IFERROR(VLOOKUP(G349,OFFSET(Lookup!$J$21,1,H349-1,5,1),1,1),0)</f>
        <v>318</v>
      </c>
    </row>
    <row r="350" spans="2:9" x14ac:dyDescent="0.25">
      <c r="B350" s="96">
        <v>165</v>
      </c>
      <c r="C350" s="1">
        <v>3.4333333333488554</v>
      </c>
      <c r="D350" s="103" t="str">
        <f t="shared" si="18"/>
        <v>GH4</v>
      </c>
      <c r="E350" s="103">
        <f t="shared" si="19"/>
        <v>165</v>
      </c>
      <c r="F350" s="117">
        <f t="shared" si="20"/>
        <v>3.4333333333488554</v>
      </c>
      <c r="G350" s="103">
        <f>VLOOKUP(D350,Lookup!$J$5:$M$19,4,FALSE)-E350</f>
        <v>313</v>
      </c>
      <c r="H350" s="103">
        <f>VLOOKUP(D350,Lookup!$J$5:$K$19,2,FALSE)</f>
        <v>7</v>
      </c>
      <c r="I350" s="103">
        <f ca="1">IFERROR(VLOOKUP(G350,OFFSET(Lookup!$J$21,1,H350-1,5,1),1,1),0)</f>
        <v>288</v>
      </c>
    </row>
    <row r="351" spans="2:9" x14ac:dyDescent="0.25">
      <c r="B351" s="96">
        <v>168</v>
      </c>
      <c r="C351" s="1">
        <v>0.81666666670935228</v>
      </c>
      <c r="D351" s="103" t="str">
        <f t="shared" si="18"/>
        <v>GH4</v>
      </c>
      <c r="E351" s="103">
        <f t="shared" si="19"/>
        <v>168</v>
      </c>
      <c r="F351" s="117">
        <f t="shared" si="20"/>
        <v>0.81666666670935228</v>
      </c>
      <c r="G351" s="103">
        <f>VLOOKUP(D351,Lookup!$J$5:$M$19,4,FALSE)-E351</f>
        <v>310</v>
      </c>
      <c r="H351" s="103">
        <f>VLOOKUP(D351,Lookup!$J$5:$K$19,2,FALSE)</f>
        <v>7</v>
      </c>
      <c r="I351" s="103">
        <f ca="1">IFERROR(VLOOKUP(G351,OFFSET(Lookup!$J$21,1,H351-1,5,1),1,1),0)</f>
        <v>288</v>
      </c>
    </row>
    <row r="352" spans="2:9" x14ac:dyDescent="0.25">
      <c r="B352" s="96">
        <v>175</v>
      </c>
      <c r="C352" s="1">
        <v>11.733333333337214</v>
      </c>
      <c r="D352" s="103" t="str">
        <f t="shared" si="18"/>
        <v>GH4</v>
      </c>
      <c r="E352" s="103">
        <f t="shared" si="19"/>
        <v>175</v>
      </c>
      <c r="F352" s="117">
        <f t="shared" si="20"/>
        <v>11.733333333337214</v>
      </c>
      <c r="G352" s="103">
        <f>VLOOKUP(D352,Lookup!$J$5:$M$19,4,FALSE)-E352</f>
        <v>303</v>
      </c>
      <c r="H352" s="103">
        <f>VLOOKUP(D352,Lookup!$J$5:$K$19,2,FALSE)</f>
        <v>7</v>
      </c>
      <c r="I352" s="103">
        <f ca="1">IFERROR(VLOOKUP(G352,OFFSET(Lookup!$J$21,1,H352-1,5,1),1,1),0)</f>
        <v>288</v>
      </c>
    </row>
    <row r="353" spans="2:9" x14ac:dyDescent="0.25">
      <c r="B353" s="96">
        <v>178</v>
      </c>
      <c r="C353" s="1">
        <v>1.0000000001164153</v>
      </c>
      <c r="D353" s="103" t="str">
        <f t="shared" si="18"/>
        <v>GH4</v>
      </c>
      <c r="E353" s="103">
        <f t="shared" si="19"/>
        <v>178</v>
      </c>
      <c r="F353" s="117">
        <f t="shared" si="20"/>
        <v>1.0000000001164153</v>
      </c>
      <c r="G353" s="103">
        <f>VLOOKUP(D353,Lookup!$J$5:$M$19,4,FALSE)-E353</f>
        <v>300</v>
      </c>
      <c r="H353" s="103">
        <f>VLOOKUP(D353,Lookup!$J$5:$K$19,2,FALSE)</f>
        <v>7</v>
      </c>
      <c r="I353" s="103">
        <f ca="1">IFERROR(VLOOKUP(G353,OFFSET(Lookup!$J$21,1,H353-1,5,1),1,1),0)</f>
        <v>288</v>
      </c>
    </row>
    <row r="354" spans="2:9" x14ac:dyDescent="0.25">
      <c r="B354" s="96">
        <v>196</v>
      </c>
      <c r="C354" s="1">
        <v>7.0666666666511446</v>
      </c>
      <c r="D354" s="103" t="str">
        <f t="shared" si="18"/>
        <v>GH4</v>
      </c>
      <c r="E354" s="103">
        <f t="shared" si="19"/>
        <v>196</v>
      </c>
      <c r="F354" s="117">
        <f t="shared" si="20"/>
        <v>7.0666666666511446</v>
      </c>
      <c r="G354" s="103">
        <f>VLOOKUP(D354,Lookup!$J$5:$M$19,4,FALSE)-E354</f>
        <v>282</v>
      </c>
      <c r="H354" s="103">
        <f>VLOOKUP(D354,Lookup!$J$5:$K$19,2,FALSE)</f>
        <v>7</v>
      </c>
      <c r="I354" s="103">
        <f ca="1">IFERROR(VLOOKUP(G354,OFFSET(Lookup!$J$21,1,H354-1,5,1),1,1),0)</f>
        <v>215</v>
      </c>
    </row>
    <row r="355" spans="2:9" x14ac:dyDescent="0.25">
      <c r="B355" s="96">
        <v>200</v>
      </c>
      <c r="C355" s="1">
        <v>0.29999999993015081</v>
      </c>
      <c r="D355" s="103" t="str">
        <f t="shared" si="18"/>
        <v>GH4</v>
      </c>
      <c r="E355" s="103">
        <f t="shared" si="19"/>
        <v>200</v>
      </c>
      <c r="F355" s="117">
        <f t="shared" si="20"/>
        <v>0.29999999993015081</v>
      </c>
      <c r="G355" s="103">
        <f>VLOOKUP(D355,Lookup!$J$5:$M$19,4,FALSE)-E355</f>
        <v>278</v>
      </c>
      <c r="H355" s="103">
        <f>VLOOKUP(D355,Lookup!$J$5:$K$19,2,FALSE)</f>
        <v>7</v>
      </c>
      <c r="I355" s="103">
        <f ca="1">IFERROR(VLOOKUP(G355,OFFSET(Lookup!$J$21,1,H355-1,5,1),1,1),0)</f>
        <v>215</v>
      </c>
    </row>
    <row r="356" spans="2:9" x14ac:dyDescent="0.25">
      <c r="B356" s="96">
        <v>205</v>
      </c>
      <c r="C356" s="1">
        <v>8.1499999998486601</v>
      </c>
      <c r="D356" s="103" t="str">
        <f t="shared" si="18"/>
        <v>GH4</v>
      </c>
      <c r="E356" s="103">
        <f t="shared" si="19"/>
        <v>205</v>
      </c>
      <c r="F356" s="117">
        <f t="shared" si="20"/>
        <v>8.1499999998486601</v>
      </c>
      <c r="G356" s="103">
        <f>VLOOKUP(D356,Lookup!$J$5:$M$19,4,FALSE)-E356</f>
        <v>273</v>
      </c>
      <c r="H356" s="103">
        <f>VLOOKUP(D356,Lookup!$J$5:$K$19,2,FALSE)</f>
        <v>7</v>
      </c>
      <c r="I356" s="103">
        <f ca="1">IFERROR(VLOOKUP(G356,OFFSET(Lookup!$J$21,1,H356-1,5,1),1,1),0)</f>
        <v>215</v>
      </c>
    </row>
    <row r="357" spans="2:9" x14ac:dyDescent="0.25">
      <c r="B357" s="96">
        <v>214</v>
      </c>
      <c r="C357" s="1">
        <v>6.7833333332673647</v>
      </c>
      <c r="D357" s="103" t="str">
        <f t="shared" si="18"/>
        <v>GH4</v>
      </c>
      <c r="E357" s="103">
        <f t="shared" si="19"/>
        <v>214</v>
      </c>
      <c r="F357" s="117">
        <f t="shared" si="20"/>
        <v>6.7833333332673647</v>
      </c>
      <c r="G357" s="103">
        <f>VLOOKUP(D357,Lookup!$J$5:$M$19,4,FALSE)-E357</f>
        <v>264</v>
      </c>
      <c r="H357" s="103">
        <f>VLOOKUP(D357,Lookup!$J$5:$K$19,2,FALSE)</f>
        <v>7</v>
      </c>
      <c r="I357" s="103">
        <f ca="1">IFERROR(VLOOKUP(G357,OFFSET(Lookup!$J$21,1,H357-1,5,1),1,1),0)</f>
        <v>215</v>
      </c>
    </row>
    <row r="358" spans="2:9" x14ac:dyDescent="0.25">
      <c r="B358" s="96">
        <v>223</v>
      </c>
      <c r="C358" s="1">
        <v>2.5166666666627862</v>
      </c>
      <c r="D358" s="103" t="str">
        <f t="shared" si="18"/>
        <v>GH4</v>
      </c>
      <c r="E358" s="103">
        <f t="shared" si="19"/>
        <v>223</v>
      </c>
      <c r="F358" s="117">
        <f t="shared" si="20"/>
        <v>2.5166666666627862</v>
      </c>
      <c r="G358" s="103">
        <f>VLOOKUP(D358,Lookup!$J$5:$M$19,4,FALSE)-E358</f>
        <v>255</v>
      </c>
      <c r="H358" s="103">
        <f>VLOOKUP(D358,Lookup!$J$5:$K$19,2,FALSE)</f>
        <v>7</v>
      </c>
      <c r="I358" s="103">
        <f ca="1">IFERROR(VLOOKUP(G358,OFFSET(Lookup!$J$21,1,H358-1,5,1),1,1),0)</f>
        <v>215</v>
      </c>
    </row>
    <row r="359" spans="2:9" x14ac:dyDescent="0.25">
      <c r="B359" s="96">
        <v>224</v>
      </c>
      <c r="C359" s="1">
        <v>3.5166666666045785</v>
      </c>
      <c r="D359" s="103" t="str">
        <f t="shared" si="18"/>
        <v>GH4</v>
      </c>
      <c r="E359" s="103">
        <f t="shared" si="19"/>
        <v>224</v>
      </c>
      <c r="F359" s="117">
        <f t="shared" si="20"/>
        <v>3.5166666666045785</v>
      </c>
      <c r="G359" s="103">
        <f>VLOOKUP(D359,Lookup!$J$5:$M$19,4,FALSE)-E359</f>
        <v>254</v>
      </c>
      <c r="H359" s="103">
        <f>VLOOKUP(D359,Lookup!$J$5:$K$19,2,FALSE)</f>
        <v>7</v>
      </c>
      <c r="I359" s="103">
        <f ca="1">IFERROR(VLOOKUP(G359,OFFSET(Lookup!$J$21,1,H359-1,5,1),1,1),0)</f>
        <v>215</v>
      </c>
    </row>
    <row r="360" spans="2:9" x14ac:dyDescent="0.25">
      <c r="B360" s="96">
        <v>232</v>
      </c>
      <c r="C360" s="1">
        <v>3.4000000000814907</v>
      </c>
      <c r="D360" s="103" t="str">
        <f t="shared" si="18"/>
        <v>GH4</v>
      </c>
      <c r="E360" s="103">
        <f t="shared" si="19"/>
        <v>232</v>
      </c>
      <c r="F360" s="117">
        <f t="shared" si="20"/>
        <v>3.4000000000814907</v>
      </c>
      <c r="G360" s="103">
        <f>VLOOKUP(D360,Lookup!$J$5:$M$19,4,FALSE)-E360</f>
        <v>246</v>
      </c>
      <c r="H360" s="103">
        <f>VLOOKUP(D360,Lookup!$J$5:$K$19,2,FALSE)</f>
        <v>7</v>
      </c>
      <c r="I360" s="103">
        <f ca="1">IFERROR(VLOOKUP(G360,OFFSET(Lookup!$J$21,1,H360-1,5,1),1,1),0)</f>
        <v>215</v>
      </c>
    </row>
    <row r="361" spans="2:9" x14ac:dyDescent="0.25">
      <c r="B361" s="96">
        <v>259</v>
      </c>
      <c r="C361" s="1">
        <v>5.3166666667093523</v>
      </c>
      <c r="D361" s="103" t="str">
        <f t="shared" si="18"/>
        <v>GH4</v>
      </c>
      <c r="E361" s="103">
        <f t="shared" si="19"/>
        <v>259</v>
      </c>
      <c r="F361" s="117">
        <f t="shared" si="20"/>
        <v>5.3166666667093523</v>
      </c>
      <c r="G361" s="103">
        <f>VLOOKUP(D361,Lookup!$J$5:$M$19,4,FALSE)-E361</f>
        <v>219</v>
      </c>
      <c r="H361" s="103">
        <f>VLOOKUP(D361,Lookup!$J$5:$K$19,2,FALSE)</f>
        <v>7</v>
      </c>
      <c r="I361" s="103">
        <f ca="1">IFERROR(VLOOKUP(G361,OFFSET(Lookup!$J$21,1,H361-1,5,1),1,1),0)</f>
        <v>215</v>
      </c>
    </row>
    <row r="362" spans="2:9" x14ac:dyDescent="0.25">
      <c r="B362" s="96">
        <v>269</v>
      </c>
      <c r="C362" s="1">
        <v>3.7166666667326353</v>
      </c>
      <c r="D362" s="103" t="str">
        <f t="shared" si="18"/>
        <v>GH4</v>
      </c>
      <c r="E362" s="103">
        <f t="shared" si="19"/>
        <v>269</v>
      </c>
      <c r="F362" s="117">
        <f t="shared" si="20"/>
        <v>3.7166666667326353</v>
      </c>
      <c r="G362" s="103">
        <f>VLOOKUP(D362,Lookup!$J$5:$M$19,4,FALSE)-E362</f>
        <v>209</v>
      </c>
      <c r="H362" s="103">
        <f>VLOOKUP(D362,Lookup!$J$5:$K$19,2,FALSE)</f>
        <v>7</v>
      </c>
      <c r="I362" s="103">
        <f ca="1">IFERROR(VLOOKUP(G362,OFFSET(Lookup!$J$21,1,H362-1,5,1),1,1),0)</f>
        <v>0</v>
      </c>
    </row>
    <row r="363" spans="2:9" x14ac:dyDescent="0.25">
      <c r="B363" s="96">
        <v>273</v>
      </c>
      <c r="C363" s="1">
        <v>1.5333333332673647</v>
      </c>
      <c r="D363" s="103" t="str">
        <f t="shared" si="18"/>
        <v>GH4</v>
      </c>
      <c r="E363" s="103">
        <f t="shared" si="19"/>
        <v>273</v>
      </c>
      <c r="F363" s="117">
        <f t="shared" si="20"/>
        <v>1.5333333332673647</v>
      </c>
      <c r="G363" s="103">
        <f>VLOOKUP(D363,Lookup!$J$5:$M$19,4,FALSE)-E363</f>
        <v>205</v>
      </c>
      <c r="H363" s="103">
        <f>VLOOKUP(D363,Lookup!$J$5:$K$19,2,FALSE)</f>
        <v>7</v>
      </c>
      <c r="I363" s="103">
        <f ca="1">IFERROR(VLOOKUP(G363,OFFSET(Lookup!$J$21,1,H363-1,5,1),1,1),0)</f>
        <v>0</v>
      </c>
    </row>
    <row r="364" spans="2:9" x14ac:dyDescent="0.25">
      <c r="B364" s="96">
        <v>278</v>
      </c>
      <c r="C364" s="1">
        <v>4.9999999998835847</v>
      </c>
      <c r="D364" s="103" t="str">
        <f t="shared" si="18"/>
        <v>GH4</v>
      </c>
      <c r="E364" s="103">
        <f t="shared" si="19"/>
        <v>278</v>
      </c>
      <c r="F364" s="117">
        <f t="shared" si="20"/>
        <v>4.9999999998835847</v>
      </c>
      <c r="G364" s="103">
        <f>VLOOKUP(D364,Lookup!$J$5:$M$19,4,FALSE)-E364</f>
        <v>200</v>
      </c>
      <c r="H364" s="103">
        <f>VLOOKUP(D364,Lookup!$J$5:$K$19,2,FALSE)</f>
        <v>7</v>
      </c>
      <c r="I364" s="103">
        <f ca="1">IFERROR(VLOOKUP(G364,OFFSET(Lookup!$J$21,1,H364-1,5,1),1,1),0)</f>
        <v>0</v>
      </c>
    </row>
    <row r="365" spans="2:9" x14ac:dyDescent="0.25">
      <c r="B365" s="96">
        <v>282</v>
      </c>
      <c r="C365" s="1">
        <v>4.7166666666744277</v>
      </c>
      <c r="D365" s="103" t="str">
        <f t="shared" si="18"/>
        <v>GH4</v>
      </c>
      <c r="E365" s="103">
        <f t="shared" si="19"/>
        <v>282</v>
      </c>
      <c r="F365" s="117">
        <f t="shared" si="20"/>
        <v>4.7166666666744277</v>
      </c>
      <c r="G365" s="103">
        <f>VLOOKUP(D365,Lookup!$J$5:$M$19,4,FALSE)-E365</f>
        <v>196</v>
      </c>
      <c r="H365" s="103">
        <f>VLOOKUP(D365,Lookup!$J$5:$K$19,2,FALSE)</f>
        <v>7</v>
      </c>
      <c r="I365" s="103">
        <f ca="1">IFERROR(VLOOKUP(G365,OFFSET(Lookup!$J$21,1,H365-1,5,1),1,1),0)</f>
        <v>0</v>
      </c>
    </row>
    <row r="366" spans="2:9" x14ac:dyDescent="0.25">
      <c r="B366" s="96">
        <v>287</v>
      </c>
      <c r="C366" s="1">
        <v>15.966666666849051</v>
      </c>
      <c r="D366" s="103" t="str">
        <f t="shared" si="18"/>
        <v>GH4</v>
      </c>
      <c r="E366" s="103">
        <f t="shared" si="19"/>
        <v>287</v>
      </c>
      <c r="F366" s="117">
        <f t="shared" si="20"/>
        <v>15.966666666849051</v>
      </c>
      <c r="G366" s="103">
        <f>VLOOKUP(D366,Lookup!$J$5:$M$19,4,FALSE)-E366</f>
        <v>191</v>
      </c>
      <c r="H366" s="103">
        <f>VLOOKUP(D366,Lookup!$J$5:$K$19,2,FALSE)</f>
        <v>7</v>
      </c>
      <c r="I366" s="103">
        <f ca="1">IFERROR(VLOOKUP(G366,OFFSET(Lookup!$J$21,1,H366-1,5,1),1,1),0)</f>
        <v>0</v>
      </c>
    </row>
    <row r="367" spans="2:9" x14ac:dyDescent="0.25">
      <c r="B367" s="96">
        <v>296</v>
      </c>
      <c r="C367" s="1">
        <v>150.13333333289484</v>
      </c>
      <c r="D367" s="103" t="str">
        <f t="shared" si="18"/>
        <v>GH4</v>
      </c>
      <c r="E367" s="103">
        <f t="shared" si="19"/>
        <v>296</v>
      </c>
      <c r="F367" s="117">
        <f t="shared" si="20"/>
        <v>150.13333333289484</v>
      </c>
      <c r="G367" s="103">
        <f>VLOOKUP(D367,Lookup!$J$5:$M$19,4,FALSE)-E367</f>
        <v>182</v>
      </c>
      <c r="H367" s="103">
        <f>VLOOKUP(D367,Lookup!$J$5:$K$19,2,FALSE)</f>
        <v>7</v>
      </c>
      <c r="I367" s="103">
        <f ca="1">IFERROR(VLOOKUP(G367,OFFSET(Lookup!$J$21,1,H367-1,5,1),1,1),0)</f>
        <v>0</v>
      </c>
    </row>
    <row r="368" spans="2:9" x14ac:dyDescent="0.25">
      <c r="B368" s="96">
        <v>305</v>
      </c>
      <c r="C368" s="1">
        <v>134.23333333327901</v>
      </c>
      <c r="D368" s="103" t="str">
        <f t="shared" si="18"/>
        <v>GH4</v>
      </c>
      <c r="E368" s="103">
        <f t="shared" si="19"/>
        <v>305</v>
      </c>
      <c r="F368" s="117">
        <f t="shared" si="20"/>
        <v>134.23333333327901</v>
      </c>
      <c r="G368" s="103">
        <f>VLOOKUP(D368,Lookup!$J$5:$M$19,4,FALSE)-E368</f>
        <v>173</v>
      </c>
      <c r="H368" s="103">
        <f>VLOOKUP(D368,Lookup!$J$5:$K$19,2,FALSE)</f>
        <v>7</v>
      </c>
      <c r="I368" s="103">
        <f ca="1">IFERROR(VLOOKUP(G368,OFFSET(Lookup!$J$21,1,H368-1,5,1),1,1),0)</f>
        <v>0</v>
      </c>
    </row>
    <row r="369" spans="1:9" x14ac:dyDescent="0.25">
      <c r="B369" s="96">
        <v>314</v>
      </c>
      <c r="C369" s="1">
        <v>0.86666666669771075</v>
      </c>
      <c r="D369" s="103" t="str">
        <f t="shared" si="18"/>
        <v>GH4</v>
      </c>
      <c r="E369" s="103">
        <f t="shared" si="19"/>
        <v>314</v>
      </c>
      <c r="F369" s="117">
        <f t="shared" si="20"/>
        <v>0.86666666669771075</v>
      </c>
      <c r="G369" s="103">
        <f>VLOOKUP(D369,Lookup!$J$5:$M$19,4,FALSE)-E369</f>
        <v>164</v>
      </c>
      <c r="H369" s="103">
        <f>VLOOKUP(D369,Lookup!$J$5:$K$19,2,FALSE)</f>
        <v>7</v>
      </c>
      <c r="I369" s="103">
        <f ca="1">IFERROR(VLOOKUP(G369,OFFSET(Lookup!$J$21,1,H369-1,5,1),1,1),0)</f>
        <v>0</v>
      </c>
    </row>
    <row r="370" spans="1:9" x14ac:dyDescent="0.25">
      <c r="B370" s="96">
        <v>332</v>
      </c>
      <c r="C370" s="1">
        <v>6.5000000000582077</v>
      </c>
      <c r="D370" s="103" t="str">
        <f t="shared" si="18"/>
        <v>GH4</v>
      </c>
      <c r="E370" s="103">
        <f t="shared" si="19"/>
        <v>332</v>
      </c>
      <c r="F370" s="117">
        <f t="shared" si="20"/>
        <v>6.5000000000582077</v>
      </c>
      <c r="G370" s="103">
        <f>VLOOKUP(D370,Lookup!$J$5:$M$19,4,FALSE)-E370</f>
        <v>146</v>
      </c>
      <c r="H370" s="103">
        <f>VLOOKUP(D370,Lookup!$J$5:$K$19,2,FALSE)</f>
        <v>7</v>
      </c>
      <c r="I370" s="103">
        <f ca="1">IFERROR(VLOOKUP(G370,OFFSET(Lookup!$J$21,1,H370-1,5,1),1,1),0)</f>
        <v>0</v>
      </c>
    </row>
    <row r="371" spans="1:9" x14ac:dyDescent="0.25">
      <c r="B371" s="96">
        <v>375</v>
      </c>
      <c r="C371" s="1">
        <v>1.8000000001047738</v>
      </c>
      <c r="D371" s="103" t="str">
        <f t="shared" si="18"/>
        <v>GH4</v>
      </c>
      <c r="E371" s="103">
        <f t="shared" si="19"/>
        <v>375</v>
      </c>
      <c r="F371" s="117">
        <f t="shared" si="20"/>
        <v>1.8000000001047738</v>
      </c>
      <c r="G371" s="103">
        <f>VLOOKUP(D371,Lookup!$J$5:$M$19,4,FALSE)-E371</f>
        <v>103</v>
      </c>
      <c r="H371" s="103">
        <f>VLOOKUP(D371,Lookup!$J$5:$K$19,2,FALSE)</f>
        <v>7</v>
      </c>
      <c r="I371" s="103">
        <f ca="1">IFERROR(VLOOKUP(G371,OFFSET(Lookup!$J$21,1,H371-1,5,1),1,1),0)</f>
        <v>0</v>
      </c>
    </row>
    <row r="372" spans="1:9" x14ac:dyDescent="0.25">
      <c r="A372" s="103" t="s">
        <v>23</v>
      </c>
      <c r="B372" s="96">
        <v>5</v>
      </c>
      <c r="C372" s="1">
        <v>65.06666666676756</v>
      </c>
      <c r="D372" s="103" t="str">
        <f t="shared" si="18"/>
        <v>MC1</v>
      </c>
      <c r="E372" s="103">
        <f t="shared" si="19"/>
        <v>5</v>
      </c>
      <c r="F372" s="117">
        <f t="shared" si="20"/>
        <v>65.06666666676756</v>
      </c>
      <c r="G372" s="103">
        <f>VLOOKUP(D372,Lookup!$J$5:$M$19,4,FALSE)-E372</f>
        <v>295</v>
      </c>
      <c r="H372" s="103">
        <f>VLOOKUP(D372,Lookup!$J$5:$K$19,2,FALSE)</f>
        <v>10</v>
      </c>
      <c r="I372" s="103">
        <f ca="1">IFERROR(VLOOKUP(G372,OFFSET(Lookup!$J$21,1,H372-1,5,1),1,1),0)</f>
        <v>280</v>
      </c>
    </row>
    <row r="373" spans="1:9" x14ac:dyDescent="0.25">
      <c r="B373" s="96">
        <v>6</v>
      </c>
      <c r="C373" s="1">
        <v>7.3333333333139308</v>
      </c>
      <c r="D373" s="103" t="str">
        <f t="shared" si="18"/>
        <v>MC1</v>
      </c>
      <c r="E373" s="103">
        <f t="shared" si="19"/>
        <v>6</v>
      </c>
      <c r="F373" s="117">
        <f t="shared" si="20"/>
        <v>7.3333333333139308</v>
      </c>
      <c r="G373" s="103">
        <f>VLOOKUP(D373,Lookup!$J$5:$M$19,4,FALSE)-E373</f>
        <v>294</v>
      </c>
      <c r="H373" s="103">
        <f>VLOOKUP(D373,Lookup!$J$5:$K$19,2,FALSE)</f>
        <v>10</v>
      </c>
      <c r="I373" s="103">
        <f ca="1">IFERROR(VLOOKUP(G373,OFFSET(Lookup!$J$21,1,H373-1,5,1),1,1),0)</f>
        <v>280</v>
      </c>
    </row>
    <row r="374" spans="1:9" x14ac:dyDescent="0.25">
      <c r="B374" s="96">
        <v>9</v>
      </c>
      <c r="C374" s="1">
        <v>74.266666666371748</v>
      </c>
      <c r="D374" s="103" t="str">
        <f t="shared" si="18"/>
        <v>MC1</v>
      </c>
      <c r="E374" s="103">
        <f t="shared" si="19"/>
        <v>9</v>
      </c>
      <c r="F374" s="117">
        <f t="shared" si="20"/>
        <v>74.266666666371748</v>
      </c>
      <c r="G374" s="103">
        <f>VLOOKUP(D374,Lookup!$J$5:$M$19,4,FALSE)-E374</f>
        <v>291</v>
      </c>
      <c r="H374" s="103">
        <f>VLOOKUP(D374,Lookup!$J$5:$K$19,2,FALSE)</f>
        <v>10</v>
      </c>
      <c r="I374" s="103">
        <f ca="1">IFERROR(VLOOKUP(G374,OFFSET(Lookup!$J$21,1,H374-1,5,1),1,1),0)</f>
        <v>280</v>
      </c>
    </row>
    <row r="375" spans="1:9" x14ac:dyDescent="0.25">
      <c r="B375" s="96">
        <v>11</v>
      </c>
      <c r="C375" s="1">
        <v>0.91666666651144624</v>
      </c>
      <c r="D375" s="103" t="str">
        <f t="shared" si="18"/>
        <v>MC1</v>
      </c>
      <c r="E375" s="103">
        <f t="shared" si="19"/>
        <v>11</v>
      </c>
      <c r="F375" s="117">
        <f t="shared" si="20"/>
        <v>0.91666666651144624</v>
      </c>
      <c r="G375" s="103">
        <f>VLOOKUP(D375,Lookup!$J$5:$M$19,4,FALSE)-E375</f>
        <v>289</v>
      </c>
      <c r="H375" s="103">
        <f>VLOOKUP(D375,Lookup!$J$5:$K$19,2,FALSE)</f>
        <v>10</v>
      </c>
      <c r="I375" s="103">
        <f ca="1">IFERROR(VLOOKUP(G375,OFFSET(Lookup!$J$21,1,H375-1,5,1),1,1),0)</f>
        <v>280</v>
      </c>
    </row>
    <row r="376" spans="1:9" x14ac:dyDescent="0.25">
      <c r="B376" s="96">
        <v>12</v>
      </c>
      <c r="C376" s="1">
        <v>2.6666666668024845</v>
      </c>
      <c r="D376" s="103" t="str">
        <f t="shared" si="18"/>
        <v>MC1</v>
      </c>
      <c r="E376" s="103">
        <f t="shared" si="19"/>
        <v>12</v>
      </c>
      <c r="F376" s="117">
        <f t="shared" si="20"/>
        <v>2.6666666668024845</v>
      </c>
      <c r="G376" s="103">
        <f>VLOOKUP(D376,Lookup!$J$5:$M$19,4,FALSE)-E376</f>
        <v>288</v>
      </c>
      <c r="H376" s="103">
        <f>VLOOKUP(D376,Lookup!$J$5:$K$19,2,FALSE)</f>
        <v>10</v>
      </c>
      <c r="I376" s="103">
        <f ca="1">IFERROR(VLOOKUP(G376,OFFSET(Lookup!$J$21,1,H376-1,5,1),1,1),0)</f>
        <v>280</v>
      </c>
    </row>
    <row r="377" spans="1:9" x14ac:dyDescent="0.25">
      <c r="B377" s="96">
        <v>14</v>
      </c>
      <c r="C377" s="1">
        <v>87.883333333244082</v>
      </c>
      <c r="D377" s="103" t="str">
        <f t="shared" si="18"/>
        <v>MC1</v>
      </c>
      <c r="E377" s="103">
        <f t="shared" si="19"/>
        <v>14</v>
      </c>
      <c r="F377" s="117">
        <f t="shared" si="20"/>
        <v>87.883333333244082</v>
      </c>
      <c r="G377" s="103">
        <f>VLOOKUP(D377,Lookup!$J$5:$M$19,4,FALSE)-E377</f>
        <v>286</v>
      </c>
      <c r="H377" s="103">
        <f>VLOOKUP(D377,Lookup!$J$5:$K$19,2,FALSE)</f>
        <v>10</v>
      </c>
      <c r="I377" s="103">
        <f ca="1">IFERROR(VLOOKUP(G377,OFFSET(Lookup!$J$21,1,H377-1,5,1),1,1),0)</f>
        <v>280</v>
      </c>
    </row>
    <row r="378" spans="1:9" x14ac:dyDescent="0.25">
      <c r="B378" s="96">
        <v>18</v>
      </c>
      <c r="C378" s="1">
        <v>195.45000000024447</v>
      </c>
      <c r="D378" s="103" t="str">
        <f t="shared" si="18"/>
        <v>MC1</v>
      </c>
      <c r="E378" s="103">
        <f t="shared" si="19"/>
        <v>18</v>
      </c>
      <c r="F378" s="117">
        <f t="shared" si="20"/>
        <v>195.45000000024447</v>
      </c>
      <c r="G378" s="103">
        <f>VLOOKUP(D378,Lookup!$J$5:$M$19,4,FALSE)-E378</f>
        <v>282</v>
      </c>
      <c r="H378" s="103">
        <f>VLOOKUP(D378,Lookup!$J$5:$K$19,2,FALSE)</f>
        <v>10</v>
      </c>
      <c r="I378" s="103">
        <f ca="1">IFERROR(VLOOKUP(G378,OFFSET(Lookup!$J$21,1,H378-1,5,1),1,1),0)</f>
        <v>280</v>
      </c>
    </row>
    <row r="379" spans="1:9" x14ac:dyDescent="0.25">
      <c r="B379" s="96">
        <v>19</v>
      </c>
      <c r="C379" s="1">
        <v>7.3000000000465661</v>
      </c>
      <c r="D379" s="103" t="str">
        <f t="shared" si="18"/>
        <v>MC1</v>
      </c>
      <c r="E379" s="103">
        <f t="shared" si="19"/>
        <v>19</v>
      </c>
      <c r="F379" s="117">
        <f t="shared" si="20"/>
        <v>7.3000000000465661</v>
      </c>
      <c r="G379" s="103">
        <f>VLOOKUP(D379,Lookup!$J$5:$M$19,4,FALSE)-E379</f>
        <v>281</v>
      </c>
      <c r="H379" s="103">
        <f>VLOOKUP(D379,Lookup!$J$5:$K$19,2,FALSE)</f>
        <v>10</v>
      </c>
      <c r="I379" s="103">
        <f ca="1">IFERROR(VLOOKUP(G379,OFFSET(Lookup!$J$21,1,H379-1,5,1),1,1),0)</f>
        <v>280</v>
      </c>
    </row>
    <row r="380" spans="1:9" x14ac:dyDescent="0.25">
      <c r="B380" s="96">
        <v>23</v>
      </c>
      <c r="C380" s="1">
        <v>18.93333333323244</v>
      </c>
      <c r="D380" s="103" t="str">
        <f t="shared" si="18"/>
        <v>MC1</v>
      </c>
      <c r="E380" s="103">
        <f t="shared" si="19"/>
        <v>23</v>
      </c>
      <c r="F380" s="117">
        <f t="shared" si="20"/>
        <v>18.93333333323244</v>
      </c>
      <c r="G380" s="103">
        <f>VLOOKUP(D380,Lookup!$J$5:$M$19,4,FALSE)-E380</f>
        <v>277</v>
      </c>
      <c r="H380" s="103">
        <f>VLOOKUP(D380,Lookup!$J$5:$K$19,2,FALSE)</f>
        <v>10</v>
      </c>
      <c r="I380" s="103">
        <f ca="1">IFERROR(VLOOKUP(G380,OFFSET(Lookup!$J$21,1,H380-1,5,1),1,1),0)</f>
        <v>260</v>
      </c>
    </row>
    <row r="381" spans="1:9" x14ac:dyDescent="0.25">
      <c r="B381" s="96">
        <v>24</v>
      </c>
      <c r="C381" s="1">
        <v>6.4500000000698492</v>
      </c>
      <c r="D381" s="103" t="str">
        <f t="shared" si="18"/>
        <v>MC1</v>
      </c>
      <c r="E381" s="103">
        <f t="shared" si="19"/>
        <v>24</v>
      </c>
      <c r="F381" s="117">
        <f t="shared" si="20"/>
        <v>6.4500000000698492</v>
      </c>
      <c r="G381" s="103">
        <f>VLOOKUP(D381,Lookup!$J$5:$M$19,4,FALSE)-E381</f>
        <v>276</v>
      </c>
      <c r="H381" s="103">
        <f>VLOOKUP(D381,Lookup!$J$5:$K$19,2,FALSE)</f>
        <v>10</v>
      </c>
      <c r="I381" s="103">
        <f ca="1">IFERROR(VLOOKUP(G381,OFFSET(Lookup!$J$21,1,H381-1,5,1),1,1),0)</f>
        <v>260</v>
      </c>
    </row>
    <row r="382" spans="1:9" x14ac:dyDescent="0.25">
      <c r="B382" s="96">
        <v>25</v>
      </c>
      <c r="C382" s="1">
        <v>6.0666666667093523</v>
      </c>
      <c r="D382" s="103" t="str">
        <f t="shared" si="18"/>
        <v>MC1</v>
      </c>
      <c r="E382" s="103">
        <f t="shared" si="19"/>
        <v>25</v>
      </c>
      <c r="F382" s="117">
        <f t="shared" si="20"/>
        <v>6.0666666667093523</v>
      </c>
      <c r="G382" s="103">
        <f>VLOOKUP(D382,Lookup!$J$5:$M$19,4,FALSE)-E382</f>
        <v>275</v>
      </c>
      <c r="H382" s="103">
        <f>VLOOKUP(D382,Lookup!$J$5:$K$19,2,FALSE)</f>
        <v>10</v>
      </c>
      <c r="I382" s="103">
        <f ca="1">IFERROR(VLOOKUP(G382,OFFSET(Lookup!$J$21,1,H382-1,5,1),1,1),0)</f>
        <v>260</v>
      </c>
    </row>
    <row r="383" spans="1:9" x14ac:dyDescent="0.25">
      <c r="B383" s="96">
        <v>27</v>
      </c>
      <c r="C383" s="1">
        <v>119.66666666627862</v>
      </c>
      <c r="D383" s="103" t="str">
        <f t="shared" si="18"/>
        <v>MC1</v>
      </c>
      <c r="E383" s="103">
        <f t="shared" si="19"/>
        <v>27</v>
      </c>
      <c r="F383" s="117">
        <f t="shared" si="20"/>
        <v>119.66666666627862</v>
      </c>
      <c r="G383" s="103">
        <f>VLOOKUP(D383,Lookup!$J$5:$M$19,4,FALSE)-E383</f>
        <v>273</v>
      </c>
      <c r="H383" s="103">
        <f>VLOOKUP(D383,Lookup!$J$5:$K$19,2,FALSE)</f>
        <v>10</v>
      </c>
      <c r="I383" s="103">
        <f ca="1">IFERROR(VLOOKUP(G383,OFFSET(Lookup!$J$21,1,H383-1,5,1),1,1),0)</f>
        <v>260</v>
      </c>
    </row>
    <row r="384" spans="1:9" x14ac:dyDescent="0.25">
      <c r="B384" s="96">
        <v>29</v>
      </c>
      <c r="C384" s="1">
        <v>8.0833333333139308</v>
      </c>
      <c r="D384" s="103" t="str">
        <f t="shared" si="18"/>
        <v>MC1</v>
      </c>
      <c r="E384" s="103">
        <f t="shared" si="19"/>
        <v>29</v>
      </c>
      <c r="F384" s="117">
        <f t="shared" si="20"/>
        <v>8.0833333333139308</v>
      </c>
      <c r="G384" s="103">
        <f>VLOOKUP(D384,Lookup!$J$5:$M$19,4,FALSE)-E384</f>
        <v>271</v>
      </c>
      <c r="H384" s="103">
        <f>VLOOKUP(D384,Lookup!$J$5:$K$19,2,FALSE)</f>
        <v>10</v>
      </c>
      <c r="I384" s="103">
        <f ca="1">IFERROR(VLOOKUP(G384,OFFSET(Lookup!$J$21,1,H384-1,5,1),1,1),0)</f>
        <v>260</v>
      </c>
    </row>
    <row r="385" spans="2:9" x14ac:dyDescent="0.25">
      <c r="B385" s="96">
        <v>32</v>
      </c>
      <c r="C385" s="1">
        <v>14.283333333267365</v>
      </c>
      <c r="D385" s="103" t="str">
        <f t="shared" si="18"/>
        <v>MC1</v>
      </c>
      <c r="E385" s="103">
        <f t="shared" si="19"/>
        <v>32</v>
      </c>
      <c r="F385" s="117">
        <f t="shared" si="20"/>
        <v>14.283333333267365</v>
      </c>
      <c r="G385" s="103">
        <f>VLOOKUP(D385,Lookup!$J$5:$M$19,4,FALSE)-E385</f>
        <v>268</v>
      </c>
      <c r="H385" s="103">
        <f>VLOOKUP(D385,Lookup!$J$5:$K$19,2,FALSE)</f>
        <v>10</v>
      </c>
      <c r="I385" s="103">
        <f ca="1">IFERROR(VLOOKUP(G385,OFFSET(Lookup!$J$21,1,H385-1,5,1),1,1),0)</f>
        <v>260</v>
      </c>
    </row>
    <row r="386" spans="2:9" x14ac:dyDescent="0.25">
      <c r="B386" s="96">
        <v>35</v>
      </c>
      <c r="C386" s="1">
        <v>26.116666666581295</v>
      </c>
      <c r="D386" s="103" t="str">
        <f t="shared" si="18"/>
        <v>MC1</v>
      </c>
      <c r="E386" s="103">
        <f t="shared" si="19"/>
        <v>35</v>
      </c>
      <c r="F386" s="117">
        <f t="shared" si="20"/>
        <v>26.116666666581295</v>
      </c>
      <c r="G386" s="103">
        <f>VLOOKUP(D386,Lookup!$J$5:$M$19,4,FALSE)-E386</f>
        <v>265</v>
      </c>
      <c r="H386" s="103">
        <f>VLOOKUP(D386,Lookup!$J$5:$K$19,2,FALSE)</f>
        <v>10</v>
      </c>
      <c r="I386" s="103">
        <f ca="1">IFERROR(VLOOKUP(G386,OFFSET(Lookup!$J$21,1,H386-1,5,1),1,1),0)</f>
        <v>260</v>
      </c>
    </row>
    <row r="387" spans="2:9" x14ac:dyDescent="0.25">
      <c r="B387" s="96">
        <v>36</v>
      </c>
      <c r="C387" s="1">
        <v>41.700000000244472</v>
      </c>
      <c r="D387" s="103" t="str">
        <f t="shared" si="18"/>
        <v>MC1</v>
      </c>
      <c r="E387" s="103">
        <f t="shared" si="19"/>
        <v>36</v>
      </c>
      <c r="F387" s="117">
        <f t="shared" si="20"/>
        <v>41.700000000244472</v>
      </c>
      <c r="G387" s="103">
        <f>VLOOKUP(D387,Lookup!$J$5:$M$19,4,FALSE)-E387</f>
        <v>264</v>
      </c>
      <c r="H387" s="103">
        <f>VLOOKUP(D387,Lookup!$J$5:$K$19,2,FALSE)</f>
        <v>10</v>
      </c>
      <c r="I387" s="103">
        <f ca="1">IFERROR(VLOOKUP(G387,OFFSET(Lookup!$J$21,1,H387-1,5,1),1,1),0)</f>
        <v>260</v>
      </c>
    </row>
    <row r="388" spans="2:9" x14ac:dyDescent="0.25">
      <c r="B388" s="96">
        <v>40</v>
      </c>
      <c r="C388" s="1">
        <v>1.4166666665696539</v>
      </c>
      <c r="D388" s="103" t="str">
        <f t="shared" si="18"/>
        <v>MC1</v>
      </c>
      <c r="E388" s="103">
        <f t="shared" si="19"/>
        <v>40</v>
      </c>
      <c r="F388" s="117">
        <f t="shared" si="20"/>
        <v>1.4166666665696539</v>
      </c>
      <c r="G388" s="103">
        <f>VLOOKUP(D388,Lookup!$J$5:$M$19,4,FALSE)-E388</f>
        <v>260</v>
      </c>
      <c r="H388" s="103">
        <f>VLOOKUP(D388,Lookup!$J$5:$K$19,2,FALSE)</f>
        <v>10</v>
      </c>
      <c r="I388" s="103">
        <f ca="1">IFERROR(VLOOKUP(G388,OFFSET(Lookup!$J$21,1,H388-1,5,1),1,1),0)</f>
        <v>260</v>
      </c>
    </row>
    <row r="389" spans="2:9" x14ac:dyDescent="0.25">
      <c r="B389" s="96">
        <v>41</v>
      </c>
      <c r="C389" s="1">
        <v>13.083333333197515</v>
      </c>
      <c r="D389" s="103" t="str">
        <f t="shared" si="18"/>
        <v>MC1</v>
      </c>
      <c r="E389" s="103">
        <f t="shared" si="19"/>
        <v>41</v>
      </c>
      <c r="F389" s="117">
        <f t="shared" si="20"/>
        <v>13.083333333197515</v>
      </c>
      <c r="G389" s="103">
        <f>VLOOKUP(D389,Lookup!$J$5:$M$19,4,FALSE)-E389</f>
        <v>259</v>
      </c>
      <c r="H389" s="103">
        <f>VLOOKUP(D389,Lookup!$J$5:$K$19,2,FALSE)</f>
        <v>10</v>
      </c>
      <c r="I389" s="103">
        <f ca="1">IFERROR(VLOOKUP(G389,OFFSET(Lookup!$J$21,1,H389-1,5,1),1,1),0)</f>
        <v>220</v>
      </c>
    </row>
    <row r="390" spans="2:9" x14ac:dyDescent="0.25">
      <c r="B390" s="96">
        <v>45</v>
      </c>
      <c r="C390" s="1">
        <v>95.850000000384171</v>
      </c>
      <c r="D390" s="103" t="str">
        <f t="shared" si="18"/>
        <v>MC1</v>
      </c>
      <c r="E390" s="103">
        <f t="shared" si="19"/>
        <v>45</v>
      </c>
      <c r="F390" s="117">
        <f t="shared" si="20"/>
        <v>95.850000000384171</v>
      </c>
      <c r="G390" s="103">
        <f>VLOOKUP(D390,Lookup!$J$5:$M$19,4,FALSE)-E390</f>
        <v>255</v>
      </c>
      <c r="H390" s="103">
        <f>VLOOKUP(D390,Lookup!$J$5:$K$19,2,FALSE)</f>
        <v>10</v>
      </c>
      <c r="I390" s="103">
        <f ca="1">IFERROR(VLOOKUP(G390,OFFSET(Lookup!$J$21,1,H390-1,5,1),1,1),0)</f>
        <v>220</v>
      </c>
    </row>
    <row r="391" spans="2:9" x14ac:dyDescent="0.25">
      <c r="B391" s="96">
        <v>47</v>
      </c>
      <c r="C391" s="1">
        <v>4.2833333333255723</v>
      </c>
      <c r="D391" s="103" t="str">
        <f t="shared" si="18"/>
        <v>MC1</v>
      </c>
      <c r="E391" s="103">
        <f t="shared" si="19"/>
        <v>47</v>
      </c>
      <c r="F391" s="117">
        <f t="shared" si="20"/>
        <v>4.2833333333255723</v>
      </c>
      <c r="G391" s="103">
        <f>VLOOKUP(D391,Lookup!$J$5:$M$19,4,FALSE)-E391</f>
        <v>253</v>
      </c>
      <c r="H391" s="103">
        <f>VLOOKUP(D391,Lookup!$J$5:$K$19,2,FALSE)</f>
        <v>10</v>
      </c>
      <c r="I391" s="103">
        <f ca="1">IFERROR(VLOOKUP(G391,OFFSET(Lookup!$J$21,1,H391-1,5,1),1,1),0)</f>
        <v>220</v>
      </c>
    </row>
    <row r="392" spans="2:9" x14ac:dyDescent="0.25">
      <c r="B392" s="96">
        <v>48</v>
      </c>
      <c r="C392" s="1">
        <v>2.9666666667326353</v>
      </c>
      <c r="D392" s="103" t="str">
        <f t="shared" si="18"/>
        <v>MC1</v>
      </c>
      <c r="E392" s="103">
        <f t="shared" si="19"/>
        <v>48</v>
      </c>
      <c r="F392" s="117">
        <f t="shared" si="20"/>
        <v>2.9666666667326353</v>
      </c>
      <c r="G392" s="103">
        <f>VLOOKUP(D392,Lookup!$J$5:$M$19,4,FALSE)-E392</f>
        <v>252</v>
      </c>
      <c r="H392" s="103">
        <f>VLOOKUP(D392,Lookup!$J$5:$K$19,2,FALSE)</f>
        <v>10</v>
      </c>
      <c r="I392" s="103">
        <f ca="1">IFERROR(VLOOKUP(G392,OFFSET(Lookup!$J$21,1,H392-1,5,1),1,1),0)</f>
        <v>220</v>
      </c>
    </row>
    <row r="393" spans="2:9" x14ac:dyDescent="0.25">
      <c r="B393" s="96">
        <v>50</v>
      </c>
      <c r="C393" s="1">
        <v>64.200000000069849</v>
      </c>
      <c r="D393" s="103" t="str">
        <f t="shared" ref="D393:D456" si="21">IF(A393="",D392,A393)</f>
        <v>MC1</v>
      </c>
      <c r="E393" s="103">
        <f t="shared" ref="E393:E456" si="22">IF(B393="",E392,B393)</f>
        <v>50</v>
      </c>
      <c r="F393" s="117">
        <f t="shared" ref="F393:F456" si="23">IF(C393="",F392,C393)</f>
        <v>64.200000000069849</v>
      </c>
      <c r="G393" s="103">
        <f>VLOOKUP(D393,Lookup!$J$5:$M$19,4,FALSE)-E393</f>
        <v>250</v>
      </c>
      <c r="H393" s="103">
        <f>VLOOKUP(D393,Lookup!$J$5:$K$19,2,FALSE)</f>
        <v>10</v>
      </c>
      <c r="I393" s="103">
        <f ca="1">IFERROR(VLOOKUP(G393,OFFSET(Lookup!$J$21,1,H393-1,5,1),1,1),0)</f>
        <v>220</v>
      </c>
    </row>
    <row r="394" spans="2:9" x14ac:dyDescent="0.25">
      <c r="B394" s="96">
        <v>55</v>
      </c>
      <c r="C394" s="1">
        <v>342.03333333309274</v>
      </c>
      <c r="D394" s="103" t="str">
        <f t="shared" si="21"/>
        <v>MC1</v>
      </c>
      <c r="E394" s="103">
        <f t="shared" si="22"/>
        <v>55</v>
      </c>
      <c r="F394" s="117">
        <f t="shared" si="23"/>
        <v>342.03333333309274</v>
      </c>
      <c r="G394" s="103">
        <f>VLOOKUP(D394,Lookup!$J$5:$M$19,4,FALSE)-E394</f>
        <v>245</v>
      </c>
      <c r="H394" s="103">
        <f>VLOOKUP(D394,Lookup!$J$5:$K$19,2,FALSE)</f>
        <v>10</v>
      </c>
      <c r="I394" s="103">
        <f ca="1">IFERROR(VLOOKUP(G394,OFFSET(Lookup!$J$21,1,H394-1,5,1),1,1),0)</f>
        <v>220</v>
      </c>
    </row>
    <row r="395" spans="2:9" x14ac:dyDescent="0.25">
      <c r="B395" s="96">
        <v>56</v>
      </c>
      <c r="C395" s="1">
        <v>9.4833333335118368</v>
      </c>
      <c r="D395" s="103" t="str">
        <f t="shared" si="21"/>
        <v>MC1</v>
      </c>
      <c r="E395" s="103">
        <f t="shared" si="22"/>
        <v>56</v>
      </c>
      <c r="F395" s="117">
        <f t="shared" si="23"/>
        <v>9.4833333335118368</v>
      </c>
      <c r="G395" s="103">
        <f>VLOOKUP(D395,Lookup!$J$5:$M$19,4,FALSE)-E395</f>
        <v>244</v>
      </c>
      <c r="H395" s="103">
        <f>VLOOKUP(D395,Lookup!$J$5:$K$19,2,FALSE)</f>
        <v>10</v>
      </c>
      <c r="I395" s="103">
        <f ca="1">IFERROR(VLOOKUP(G395,OFFSET(Lookup!$J$21,1,H395-1,5,1),1,1),0)</f>
        <v>220</v>
      </c>
    </row>
    <row r="396" spans="2:9" x14ac:dyDescent="0.25">
      <c r="B396" s="96">
        <v>58</v>
      </c>
      <c r="C396" s="1">
        <v>5.71666666661622</v>
      </c>
      <c r="D396" s="103" t="str">
        <f t="shared" si="21"/>
        <v>MC1</v>
      </c>
      <c r="E396" s="103">
        <f t="shared" si="22"/>
        <v>58</v>
      </c>
      <c r="F396" s="117">
        <f t="shared" si="23"/>
        <v>5.71666666661622</v>
      </c>
      <c r="G396" s="103">
        <f>VLOOKUP(D396,Lookup!$J$5:$M$19,4,FALSE)-E396</f>
        <v>242</v>
      </c>
      <c r="H396" s="103">
        <f>VLOOKUP(D396,Lookup!$J$5:$K$19,2,FALSE)</f>
        <v>10</v>
      </c>
      <c r="I396" s="103">
        <f ca="1">IFERROR(VLOOKUP(G396,OFFSET(Lookup!$J$21,1,H396-1,5,1),1,1),0)</f>
        <v>220</v>
      </c>
    </row>
    <row r="397" spans="2:9" x14ac:dyDescent="0.25">
      <c r="B397" s="96">
        <v>59</v>
      </c>
      <c r="C397" s="1">
        <v>18.849999999976717</v>
      </c>
      <c r="D397" s="103" t="str">
        <f t="shared" si="21"/>
        <v>MC1</v>
      </c>
      <c r="E397" s="103">
        <f t="shared" si="22"/>
        <v>59</v>
      </c>
      <c r="F397" s="117">
        <f t="shared" si="23"/>
        <v>18.849999999976717</v>
      </c>
      <c r="G397" s="103">
        <f>VLOOKUP(D397,Lookup!$J$5:$M$19,4,FALSE)-E397</f>
        <v>241</v>
      </c>
      <c r="H397" s="103">
        <f>VLOOKUP(D397,Lookup!$J$5:$K$19,2,FALSE)</f>
        <v>10</v>
      </c>
      <c r="I397" s="103">
        <f ca="1">IFERROR(VLOOKUP(G397,OFFSET(Lookup!$J$21,1,H397-1,5,1),1,1),0)</f>
        <v>220</v>
      </c>
    </row>
    <row r="398" spans="2:9" x14ac:dyDescent="0.25">
      <c r="B398" s="96">
        <v>60</v>
      </c>
      <c r="C398" s="1">
        <v>0.43333333334885538</v>
      </c>
      <c r="D398" s="103" t="str">
        <f t="shared" si="21"/>
        <v>MC1</v>
      </c>
      <c r="E398" s="103">
        <f t="shared" si="22"/>
        <v>60</v>
      </c>
      <c r="F398" s="117">
        <f t="shared" si="23"/>
        <v>0.43333333334885538</v>
      </c>
      <c r="G398" s="103">
        <f>VLOOKUP(D398,Lookup!$J$5:$M$19,4,FALSE)-E398</f>
        <v>240</v>
      </c>
      <c r="H398" s="103">
        <f>VLOOKUP(D398,Lookup!$J$5:$K$19,2,FALSE)</f>
        <v>10</v>
      </c>
      <c r="I398" s="103">
        <f ca="1">IFERROR(VLOOKUP(G398,OFFSET(Lookup!$J$21,1,H398-1,5,1),1,1),0)</f>
        <v>220</v>
      </c>
    </row>
    <row r="399" spans="2:9" x14ac:dyDescent="0.25">
      <c r="B399" s="96">
        <v>61</v>
      </c>
      <c r="C399" s="1">
        <v>12.18333333323244</v>
      </c>
      <c r="D399" s="103" t="str">
        <f t="shared" si="21"/>
        <v>MC1</v>
      </c>
      <c r="E399" s="103">
        <f t="shared" si="22"/>
        <v>61</v>
      </c>
      <c r="F399" s="117">
        <f t="shared" si="23"/>
        <v>12.18333333323244</v>
      </c>
      <c r="G399" s="103">
        <f>VLOOKUP(D399,Lookup!$J$5:$M$19,4,FALSE)-E399</f>
        <v>239</v>
      </c>
      <c r="H399" s="103">
        <f>VLOOKUP(D399,Lookup!$J$5:$K$19,2,FALSE)</f>
        <v>10</v>
      </c>
      <c r="I399" s="103">
        <f ca="1">IFERROR(VLOOKUP(G399,OFFSET(Lookup!$J$21,1,H399-1,5,1),1,1),0)</f>
        <v>220</v>
      </c>
    </row>
    <row r="400" spans="2:9" x14ac:dyDescent="0.25">
      <c r="B400" s="96">
        <v>63</v>
      </c>
      <c r="C400" s="1">
        <v>0.33333333337213844</v>
      </c>
      <c r="D400" s="103" t="str">
        <f t="shared" si="21"/>
        <v>MC1</v>
      </c>
      <c r="E400" s="103">
        <f t="shared" si="22"/>
        <v>63</v>
      </c>
      <c r="F400" s="117">
        <f t="shared" si="23"/>
        <v>0.33333333337213844</v>
      </c>
      <c r="G400" s="103">
        <f>VLOOKUP(D400,Lookup!$J$5:$M$19,4,FALSE)-E400</f>
        <v>237</v>
      </c>
      <c r="H400" s="103">
        <f>VLOOKUP(D400,Lookup!$J$5:$K$19,2,FALSE)</f>
        <v>10</v>
      </c>
      <c r="I400" s="103">
        <f ca="1">IFERROR(VLOOKUP(G400,OFFSET(Lookup!$J$21,1,H400-1,5,1),1,1),0)</f>
        <v>220</v>
      </c>
    </row>
    <row r="401" spans="2:9" x14ac:dyDescent="0.25">
      <c r="B401" s="96">
        <v>64</v>
      </c>
      <c r="C401" s="1">
        <v>74.399999999965075</v>
      </c>
      <c r="D401" s="103" t="str">
        <f t="shared" si="21"/>
        <v>MC1</v>
      </c>
      <c r="E401" s="103">
        <f t="shared" si="22"/>
        <v>64</v>
      </c>
      <c r="F401" s="117">
        <f t="shared" si="23"/>
        <v>74.399999999965075</v>
      </c>
      <c r="G401" s="103">
        <f>VLOOKUP(D401,Lookup!$J$5:$M$19,4,FALSE)-E401</f>
        <v>236</v>
      </c>
      <c r="H401" s="103">
        <f>VLOOKUP(D401,Lookup!$J$5:$K$19,2,FALSE)</f>
        <v>10</v>
      </c>
      <c r="I401" s="103">
        <f ca="1">IFERROR(VLOOKUP(G401,OFFSET(Lookup!$J$21,1,H401-1,5,1),1,1),0)</f>
        <v>220</v>
      </c>
    </row>
    <row r="402" spans="2:9" x14ac:dyDescent="0.25">
      <c r="B402" s="96">
        <v>68</v>
      </c>
      <c r="C402" s="1">
        <v>31.083333333022892</v>
      </c>
      <c r="D402" s="103" t="str">
        <f t="shared" si="21"/>
        <v>MC1</v>
      </c>
      <c r="E402" s="103">
        <f t="shared" si="22"/>
        <v>68</v>
      </c>
      <c r="F402" s="117">
        <f t="shared" si="23"/>
        <v>31.083333333022892</v>
      </c>
      <c r="G402" s="103">
        <f>VLOOKUP(D402,Lookup!$J$5:$M$19,4,FALSE)-E402</f>
        <v>232</v>
      </c>
      <c r="H402" s="103">
        <f>VLOOKUP(D402,Lookup!$J$5:$K$19,2,FALSE)</f>
        <v>10</v>
      </c>
      <c r="I402" s="103">
        <f ca="1">IFERROR(VLOOKUP(G402,OFFSET(Lookup!$J$21,1,H402-1,5,1),1,1),0)</f>
        <v>220</v>
      </c>
    </row>
    <row r="403" spans="2:9" x14ac:dyDescent="0.25">
      <c r="B403" s="96">
        <v>69</v>
      </c>
      <c r="C403" s="1">
        <v>0.53333333332557231</v>
      </c>
      <c r="D403" s="103" t="str">
        <f t="shared" si="21"/>
        <v>MC1</v>
      </c>
      <c r="E403" s="103">
        <f t="shared" si="22"/>
        <v>69</v>
      </c>
      <c r="F403" s="117">
        <f t="shared" si="23"/>
        <v>0.53333333332557231</v>
      </c>
      <c r="G403" s="103">
        <f>VLOOKUP(D403,Lookup!$J$5:$M$19,4,FALSE)-E403</f>
        <v>231</v>
      </c>
      <c r="H403" s="103">
        <f>VLOOKUP(D403,Lookup!$J$5:$K$19,2,FALSE)</f>
        <v>10</v>
      </c>
      <c r="I403" s="103">
        <f ca="1">IFERROR(VLOOKUP(G403,OFFSET(Lookup!$J$21,1,H403-1,5,1),1,1),0)</f>
        <v>220</v>
      </c>
    </row>
    <row r="404" spans="2:9" x14ac:dyDescent="0.25">
      <c r="B404" s="96">
        <v>71</v>
      </c>
      <c r="C404" s="1">
        <v>1.1166666668141261</v>
      </c>
      <c r="D404" s="103" t="str">
        <f t="shared" si="21"/>
        <v>MC1</v>
      </c>
      <c r="E404" s="103">
        <f t="shared" si="22"/>
        <v>71</v>
      </c>
      <c r="F404" s="117">
        <f t="shared" si="23"/>
        <v>1.1166666668141261</v>
      </c>
      <c r="G404" s="103">
        <f>VLOOKUP(D404,Lookup!$J$5:$M$19,4,FALSE)-E404</f>
        <v>229</v>
      </c>
      <c r="H404" s="103">
        <f>VLOOKUP(D404,Lookup!$J$5:$K$19,2,FALSE)</f>
        <v>10</v>
      </c>
      <c r="I404" s="103">
        <f ca="1">IFERROR(VLOOKUP(G404,OFFSET(Lookup!$J$21,1,H404-1,5,1),1,1),0)</f>
        <v>220</v>
      </c>
    </row>
    <row r="405" spans="2:9" x14ac:dyDescent="0.25">
      <c r="B405" s="96">
        <v>73</v>
      </c>
      <c r="C405" s="1">
        <v>474.66666666674428</v>
      </c>
      <c r="D405" s="103" t="str">
        <f t="shared" si="21"/>
        <v>MC1</v>
      </c>
      <c r="E405" s="103">
        <f t="shared" si="22"/>
        <v>73</v>
      </c>
      <c r="F405" s="117">
        <f t="shared" si="23"/>
        <v>474.66666666674428</v>
      </c>
      <c r="G405" s="103">
        <f>VLOOKUP(D405,Lookup!$J$5:$M$19,4,FALSE)-E405</f>
        <v>227</v>
      </c>
      <c r="H405" s="103">
        <f>VLOOKUP(D405,Lookup!$J$5:$K$19,2,FALSE)</f>
        <v>10</v>
      </c>
      <c r="I405" s="103">
        <f ca="1">IFERROR(VLOOKUP(G405,OFFSET(Lookup!$J$21,1,H405-1,5,1),1,1),0)</f>
        <v>220</v>
      </c>
    </row>
    <row r="406" spans="2:9" x14ac:dyDescent="0.25">
      <c r="B406" s="96">
        <v>75</v>
      </c>
      <c r="C406" s="1">
        <v>2.4166666665114462</v>
      </c>
      <c r="D406" s="103" t="str">
        <f t="shared" si="21"/>
        <v>MC1</v>
      </c>
      <c r="E406" s="103">
        <f t="shared" si="22"/>
        <v>75</v>
      </c>
      <c r="F406" s="117">
        <f t="shared" si="23"/>
        <v>2.4166666665114462</v>
      </c>
      <c r="G406" s="103">
        <f>VLOOKUP(D406,Lookup!$J$5:$M$19,4,FALSE)-E406</f>
        <v>225</v>
      </c>
      <c r="H406" s="103">
        <f>VLOOKUP(D406,Lookup!$J$5:$K$19,2,FALSE)</f>
        <v>10</v>
      </c>
      <c r="I406" s="103">
        <f ca="1">IFERROR(VLOOKUP(G406,OFFSET(Lookup!$J$21,1,H406-1,5,1),1,1),0)</f>
        <v>220</v>
      </c>
    </row>
    <row r="407" spans="2:9" x14ac:dyDescent="0.25">
      <c r="B407" s="96">
        <v>77</v>
      </c>
      <c r="C407" s="1">
        <v>277.4166666669189</v>
      </c>
      <c r="D407" s="103" t="str">
        <f t="shared" si="21"/>
        <v>MC1</v>
      </c>
      <c r="E407" s="103">
        <f t="shared" si="22"/>
        <v>77</v>
      </c>
      <c r="F407" s="117">
        <f t="shared" si="23"/>
        <v>277.4166666669189</v>
      </c>
      <c r="G407" s="103">
        <f>VLOOKUP(D407,Lookup!$J$5:$M$19,4,FALSE)-E407</f>
        <v>223</v>
      </c>
      <c r="H407" s="103">
        <f>VLOOKUP(D407,Lookup!$J$5:$K$19,2,FALSE)</f>
        <v>10</v>
      </c>
      <c r="I407" s="103">
        <f ca="1">IFERROR(VLOOKUP(G407,OFFSET(Lookup!$J$21,1,H407-1,5,1),1,1),0)</f>
        <v>220</v>
      </c>
    </row>
    <row r="408" spans="2:9" x14ac:dyDescent="0.25">
      <c r="B408" s="96">
        <v>82</v>
      </c>
      <c r="C408" s="1">
        <v>591.79999999841675</v>
      </c>
      <c r="D408" s="103" t="str">
        <f t="shared" si="21"/>
        <v>MC1</v>
      </c>
      <c r="E408" s="103">
        <f t="shared" si="22"/>
        <v>82</v>
      </c>
      <c r="F408" s="117">
        <f t="shared" si="23"/>
        <v>591.79999999841675</v>
      </c>
      <c r="G408" s="103">
        <f>VLOOKUP(D408,Lookup!$J$5:$M$19,4,FALSE)-E408</f>
        <v>218</v>
      </c>
      <c r="H408" s="103">
        <f>VLOOKUP(D408,Lookup!$J$5:$K$19,2,FALSE)</f>
        <v>10</v>
      </c>
      <c r="I408" s="103">
        <f ca="1">IFERROR(VLOOKUP(G408,OFFSET(Lookup!$J$21,1,H408-1,5,1),1,1),0)</f>
        <v>210</v>
      </c>
    </row>
    <row r="409" spans="2:9" x14ac:dyDescent="0.25">
      <c r="B409" s="96">
        <v>83</v>
      </c>
      <c r="C409" s="1">
        <v>2.4166666666860692</v>
      </c>
      <c r="D409" s="103" t="str">
        <f t="shared" si="21"/>
        <v>MC1</v>
      </c>
      <c r="E409" s="103">
        <f t="shared" si="22"/>
        <v>83</v>
      </c>
      <c r="F409" s="117">
        <f t="shared" si="23"/>
        <v>2.4166666666860692</v>
      </c>
      <c r="G409" s="103">
        <f>VLOOKUP(D409,Lookup!$J$5:$M$19,4,FALSE)-E409</f>
        <v>217</v>
      </c>
      <c r="H409" s="103">
        <f>VLOOKUP(D409,Lookup!$J$5:$K$19,2,FALSE)</f>
        <v>10</v>
      </c>
      <c r="I409" s="103">
        <f ca="1">IFERROR(VLOOKUP(G409,OFFSET(Lookup!$J$21,1,H409-1,5,1),1,1),0)</f>
        <v>210</v>
      </c>
    </row>
    <row r="410" spans="2:9" x14ac:dyDescent="0.25">
      <c r="B410" s="96">
        <v>85</v>
      </c>
      <c r="C410" s="1">
        <v>59.399999999965075</v>
      </c>
      <c r="D410" s="103" t="str">
        <f t="shared" si="21"/>
        <v>MC1</v>
      </c>
      <c r="E410" s="103">
        <f t="shared" si="22"/>
        <v>85</v>
      </c>
      <c r="F410" s="117">
        <f t="shared" si="23"/>
        <v>59.399999999965075</v>
      </c>
      <c r="G410" s="103">
        <f>VLOOKUP(D410,Lookup!$J$5:$M$19,4,FALSE)-E410</f>
        <v>215</v>
      </c>
      <c r="H410" s="103">
        <f>VLOOKUP(D410,Lookup!$J$5:$K$19,2,FALSE)</f>
        <v>10</v>
      </c>
      <c r="I410" s="103">
        <f ca="1">IFERROR(VLOOKUP(G410,OFFSET(Lookup!$J$21,1,H410-1,5,1),1,1),0)</f>
        <v>210</v>
      </c>
    </row>
    <row r="411" spans="2:9" x14ac:dyDescent="0.25">
      <c r="B411" s="96">
        <v>86</v>
      </c>
      <c r="C411" s="1">
        <v>27.966666666849051</v>
      </c>
      <c r="D411" s="103" t="str">
        <f t="shared" si="21"/>
        <v>MC1</v>
      </c>
      <c r="E411" s="103">
        <f t="shared" si="22"/>
        <v>86</v>
      </c>
      <c r="F411" s="117">
        <f t="shared" si="23"/>
        <v>27.966666666849051</v>
      </c>
      <c r="G411" s="103">
        <f>VLOOKUP(D411,Lookup!$J$5:$M$19,4,FALSE)-E411</f>
        <v>214</v>
      </c>
      <c r="H411" s="103">
        <f>VLOOKUP(D411,Lookup!$J$5:$K$19,2,FALSE)</f>
        <v>10</v>
      </c>
      <c r="I411" s="103">
        <f ca="1">IFERROR(VLOOKUP(G411,OFFSET(Lookup!$J$21,1,H411-1,5,1),1,1),0)</f>
        <v>210</v>
      </c>
    </row>
    <row r="412" spans="2:9" x14ac:dyDescent="0.25">
      <c r="B412" s="96">
        <v>87</v>
      </c>
      <c r="C412" s="1">
        <v>2.2333333332790062</v>
      </c>
      <c r="D412" s="103" t="str">
        <f t="shared" si="21"/>
        <v>MC1</v>
      </c>
      <c r="E412" s="103">
        <f t="shared" si="22"/>
        <v>87</v>
      </c>
      <c r="F412" s="117">
        <f t="shared" si="23"/>
        <v>2.2333333332790062</v>
      </c>
      <c r="G412" s="103">
        <f>VLOOKUP(D412,Lookup!$J$5:$M$19,4,FALSE)-E412</f>
        <v>213</v>
      </c>
      <c r="H412" s="103">
        <f>VLOOKUP(D412,Lookup!$J$5:$K$19,2,FALSE)</f>
        <v>10</v>
      </c>
      <c r="I412" s="103">
        <f ca="1">IFERROR(VLOOKUP(G412,OFFSET(Lookup!$J$21,1,H412-1,5,1),1,1),0)</f>
        <v>210</v>
      </c>
    </row>
    <row r="413" spans="2:9" x14ac:dyDescent="0.25">
      <c r="B413" s="96">
        <v>89</v>
      </c>
      <c r="C413" s="1">
        <v>1.2000000000698492</v>
      </c>
      <c r="D413" s="103" t="str">
        <f t="shared" si="21"/>
        <v>MC1</v>
      </c>
      <c r="E413" s="103">
        <f t="shared" si="22"/>
        <v>89</v>
      </c>
      <c r="F413" s="117">
        <f t="shared" si="23"/>
        <v>1.2000000000698492</v>
      </c>
      <c r="G413" s="103">
        <f>VLOOKUP(D413,Lookup!$J$5:$M$19,4,FALSE)-E413</f>
        <v>211</v>
      </c>
      <c r="H413" s="103">
        <f>VLOOKUP(D413,Lookup!$J$5:$K$19,2,FALSE)</f>
        <v>10</v>
      </c>
      <c r="I413" s="103">
        <f ca="1">IFERROR(VLOOKUP(G413,OFFSET(Lookup!$J$21,1,H413-1,5,1),1,1),0)</f>
        <v>210</v>
      </c>
    </row>
    <row r="414" spans="2:9" x14ac:dyDescent="0.25">
      <c r="B414" s="96">
        <v>91</v>
      </c>
      <c r="C414" s="1">
        <v>168.56666666711681</v>
      </c>
      <c r="D414" s="103" t="str">
        <f t="shared" si="21"/>
        <v>MC1</v>
      </c>
      <c r="E414" s="103">
        <f t="shared" si="22"/>
        <v>91</v>
      </c>
      <c r="F414" s="117">
        <f t="shared" si="23"/>
        <v>168.56666666711681</v>
      </c>
      <c r="G414" s="103">
        <f>VLOOKUP(D414,Lookup!$J$5:$M$19,4,FALSE)-E414</f>
        <v>209</v>
      </c>
      <c r="H414" s="103">
        <f>VLOOKUP(D414,Lookup!$J$5:$K$19,2,FALSE)</f>
        <v>10</v>
      </c>
      <c r="I414" s="103">
        <f ca="1">IFERROR(VLOOKUP(G414,OFFSET(Lookup!$J$21,1,H414-1,5,1),1,1),0)</f>
        <v>150</v>
      </c>
    </row>
    <row r="415" spans="2:9" x14ac:dyDescent="0.25">
      <c r="B415" s="96">
        <v>95</v>
      </c>
      <c r="C415" s="1">
        <v>14.083333333313931</v>
      </c>
      <c r="D415" s="103" t="str">
        <f t="shared" si="21"/>
        <v>MC1</v>
      </c>
      <c r="E415" s="103">
        <f t="shared" si="22"/>
        <v>95</v>
      </c>
      <c r="F415" s="117">
        <f t="shared" si="23"/>
        <v>14.083333333313931</v>
      </c>
      <c r="G415" s="103">
        <f>VLOOKUP(D415,Lookup!$J$5:$M$19,4,FALSE)-E415</f>
        <v>205</v>
      </c>
      <c r="H415" s="103">
        <f>VLOOKUP(D415,Lookup!$J$5:$K$19,2,FALSE)</f>
        <v>10</v>
      </c>
      <c r="I415" s="103">
        <f ca="1">IFERROR(VLOOKUP(G415,OFFSET(Lookup!$J$21,1,H415-1,5,1),1,1),0)</f>
        <v>150</v>
      </c>
    </row>
    <row r="416" spans="2:9" x14ac:dyDescent="0.25">
      <c r="B416" s="96">
        <v>96</v>
      </c>
      <c r="C416" s="1">
        <v>1.5</v>
      </c>
      <c r="D416" s="103" t="str">
        <f t="shared" si="21"/>
        <v>MC1</v>
      </c>
      <c r="E416" s="103">
        <f t="shared" si="22"/>
        <v>96</v>
      </c>
      <c r="F416" s="117">
        <f t="shared" si="23"/>
        <v>1.5</v>
      </c>
      <c r="G416" s="103">
        <f>VLOOKUP(D416,Lookup!$J$5:$M$19,4,FALSE)-E416</f>
        <v>204</v>
      </c>
      <c r="H416" s="103">
        <f>VLOOKUP(D416,Lookup!$J$5:$K$19,2,FALSE)</f>
        <v>10</v>
      </c>
      <c r="I416" s="103">
        <f ca="1">IFERROR(VLOOKUP(G416,OFFSET(Lookup!$J$21,1,H416-1,5,1),1,1),0)</f>
        <v>150</v>
      </c>
    </row>
    <row r="417" spans="2:9" x14ac:dyDescent="0.25">
      <c r="B417" s="96">
        <v>100</v>
      </c>
      <c r="C417" s="1">
        <v>24.966666666674428</v>
      </c>
      <c r="D417" s="103" t="str">
        <f t="shared" si="21"/>
        <v>MC1</v>
      </c>
      <c r="E417" s="103">
        <f t="shared" si="22"/>
        <v>100</v>
      </c>
      <c r="F417" s="117">
        <f t="shared" si="23"/>
        <v>24.966666666674428</v>
      </c>
      <c r="G417" s="103">
        <f>VLOOKUP(D417,Lookup!$J$5:$M$19,4,FALSE)-E417</f>
        <v>200</v>
      </c>
      <c r="H417" s="103">
        <f>VLOOKUP(D417,Lookup!$J$5:$K$19,2,FALSE)</f>
        <v>10</v>
      </c>
      <c r="I417" s="103">
        <f ca="1">IFERROR(VLOOKUP(G417,OFFSET(Lookup!$J$21,1,H417-1,5,1),1,1),0)</f>
        <v>150</v>
      </c>
    </row>
    <row r="418" spans="2:9" x14ac:dyDescent="0.25">
      <c r="B418" s="96">
        <v>105</v>
      </c>
      <c r="C418" s="1">
        <v>3.2499999999417923</v>
      </c>
      <c r="D418" s="103" t="str">
        <f t="shared" si="21"/>
        <v>MC1</v>
      </c>
      <c r="E418" s="103">
        <f t="shared" si="22"/>
        <v>105</v>
      </c>
      <c r="F418" s="117">
        <f t="shared" si="23"/>
        <v>3.2499999999417923</v>
      </c>
      <c r="G418" s="103">
        <f>VLOOKUP(D418,Lookup!$J$5:$M$19,4,FALSE)-E418</f>
        <v>195</v>
      </c>
      <c r="H418" s="103">
        <f>VLOOKUP(D418,Lookup!$J$5:$K$19,2,FALSE)</f>
        <v>10</v>
      </c>
      <c r="I418" s="103">
        <f ca="1">IFERROR(VLOOKUP(G418,OFFSET(Lookup!$J$21,1,H418-1,5,1),1,1),0)</f>
        <v>150</v>
      </c>
    </row>
    <row r="419" spans="2:9" x14ac:dyDescent="0.25">
      <c r="B419" s="96">
        <v>106</v>
      </c>
      <c r="C419" s="1">
        <v>9.1499999999650754</v>
      </c>
      <c r="D419" s="103" t="str">
        <f t="shared" si="21"/>
        <v>MC1</v>
      </c>
      <c r="E419" s="103">
        <f t="shared" si="22"/>
        <v>106</v>
      </c>
      <c r="F419" s="117">
        <f t="shared" si="23"/>
        <v>9.1499999999650754</v>
      </c>
      <c r="G419" s="103">
        <f>VLOOKUP(D419,Lookup!$J$5:$M$19,4,FALSE)-E419</f>
        <v>194</v>
      </c>
      <c r="H419" s="103">
        <f>VLOOKUP(D419,Lookup!$J$5:$K$19,2,FALSE)</f>
        <v>10</v>
      </c>
      <c r="I419" s="103">
        <f ca="1">IFERROR(VLOOKUP(G419,OFFSET(Lookup!$J$21,1,H419-1,5,1),1,1),0)</f>
        <v>150</v>
      </c>
    </row>
    <row r="420" spans="2:9" x14ac:dyDescent="0.25">
      <c r="B420" s="96">
        <v>107</v>
      </c>
      <c r="C420" s="1">
        <v>3.283333333209157</v>
      </c>
      <c r="D420" s="103" t="str">
        <f t="shared" si="21"/>
        <v>MC1</v>
      </c>
      <c r="E420" s="103">
        <f t="shared" si="22"/>
        <v>107</v>
      </c>
      <c r="F420" s="117">
        <f t="shared" si="23"/>
        <v>3.283333333209157</v>
      </c>
      <c r="G420" s="103">
        <f>VLOOKUP(D420,Lookup!$J$5:$M$19,4,FALSE)-E420</f>
        <v>193</v>
      </c>
      <c r="H420" s="103">
        <f>VLOOKUP(D420,Lookup!$J$5:$K$19,2,FALSE)</f>
        <v>10</v>
      </c>
      <c r="I420" s="103">
        <f ca="1">IFERROR(VLOOKUP(G420,OFFSET(Lookup!$J$21,1,H420-1,5,1),1,1),0)</f>
        <v>150</v>
      </c>
    </row>
    <row r="421" spans="2:9" x14ac:dyDescent="0.25">
      <c r="B421" s="96">
        <v>109</v>
      </c>
      <c r="C421" s="1">
        <v>1.4166666667442769</v>
      </c>
      <c r="D421" s="103" t="str">
        <f t="shared" si="21"/>
        <v>MC1</v>
      </c>
      <c r="E421" s="103">
        <f t="shared" si="22"/>
        <v>109</v>
      </c>
      <c r="F421" s="117">
        <f t="shared" si="23"/>
        <v>1.4166666667442769</v>
      </c>
      <c r="G421" s="103">
        <f>VLOOKUP(D421,Lookup!$J$5:$M$19,4,FALSE)-E421</f>
        <v>191</v>
      </c>
      <c r="H421" s="103">
        <f>VLOOKUP(D421,Lookup!$J$5:$K$19,2,FALSE)</f>
        <v>10</v>
      </c>
      <c r="I421" s="103">
        <f ca="1">IFERROR(VLOOKUP(G421,OFFSET(Lookup!$J$21,1,H421-1,5,1),1,1),0)</f>
        <v>150</v>
      </c>
    </row>
    <row r="422" spans="2:9" x14ac:dyDescent="0.25">
      <c r="B422" s="96">
        <v>114</v>
      </c>
      <c r="C422" s="1">
        <v>2.9166666665696539</v>
      </c>
      <c r="D422" s="103" t="str">
        <f t="shared" si="21"/>
        <v>MC1</v>
      </c>
      <c r="E422" s="103">
        <f t="shared" si="22"/>
        <v>114</v>
      </c>
      <c r="F422" s="117">
        <f t="shared" si="23"/>
        <v>2.9166666665696539</v>
      </c>
      <c r="G422" s="103">
        <f>VLOOKUP(D422,Lookup!$J$5:$M$19,4,FALSE)-E422</f>
        <v>186</v>
      </c>
      <c r="H422" s="103">
        <f>VLOOKUP(D422,Lookup!$J$5:$K$19,2,FALSE)</f>
        <v>10</v>
      </c>
      <c r="I422" s="103">
        <f ca="1">IFERROR(VLOOKUP(G422,OFFSET(Lookup!$J$21,1,H422-1,5,1),1,1),0)</f>
        <v>150</v>
      </c>
    </row>
    <row r="423" spans="2:9" x14ac:dyDescent="0.25">
      <c r="B423" s="96">
        <v>118</v>
      </c>
      <c r="C423" s="1">
        <v>20.916666666395031</v>
      </c>
      <c r="D423" s="103" t="str">
        <f t="shared" si="21"/>
        <v>MC1</v>
      </c>
      <c r="E423" s="103">
        <f t="shared" si="22"/>
        <v>118</v>
      </c>
      <c r="F423" s="117">
        <f t="shared" si="23"/>
        <v>20.916666666395031</v>
      </c>
      <c r="G423" s="103">
        <f>VLOOKUP(D423,Lookup!$J$5:$M$19,4,FALSE)-E423</f>
        <v>182</v>
      </c>
      <c r="H423" s="103">
        <f>VLOOKUP(D423,Lookup!$J$5:$K$19,2,FALSE)</f>
        <v>10</v>
      </c>
      <c r="I423" s="103">
        <f ca="1">IFERROR(VLOOKUP(G423,OFFSET(Lookup!$J$21,1,H423-1,5,1),1,1),0)</f>
        <v>150</v>
      </c>
    </row>
    <row r="424" spans="2:9" x14ac:dyDescent="0.25">
      <c r="B424" s="96">
        <v>123</v>
      </c>
      <c r="C424" s="1">
        <v>8.5666666668257676</v>
      </c>
      <c r="D424" s="103" t="str">
        <f t="shared" si="21"/>
        <v>MC1</v>
      </c>
      <c r="E424" s="103">
        <f t="shared" si="22"/>
        <v>123</v>
      </c>
      <c r="F424" s="117">
        <f t="shared" si="23"/>
        <v>8.5666666668257676</v>
      </c>
      <c r="G424" s="103">
        <f>VLOOKUP(D424,Lookup!$J$5:$M$19,4,FALSE)-E424</f>
        <v>177</v>
      </c>
      <c r="H424" s="103">
        <f>VLOOKUP(D424,Lookup!$J$5:$K$19,2,FALSE)</f>
        <v>10</v>
      </c>
      <c r="I424" s="103">
        <f ca="1">IFERROR(VLOOKUP(G424,OFFSET(Lookup!$J$21,1,H424-1,5,1),1,1),0)</f>
        <v>150</v>
      </c>
    </row>
    <row r="425" spans="2:9" x14ac:dyDescent="0.25">
      <c r="B425" s="96">
        <v>124</v>
      </c>
      <c r="C425" s="1">
        <v>1.8666666666395031</v>
      </c>
      <c r="D425" s="103" t="str">
        <f t="shared" si="21"/>
        <v>MC1</v>
      </c>
      <c r="E425" s="103">
        <f t="shared" si="22"/>
        <v>124</v>
      </c>
      <c r="F425" s="117">
        <f t="shared" si="23"/>
        <v>1.8666666666395031</v>
      </c>
      <c r="G425" s="103">
        <f>VLOOKUP(D425,Lookup!$J$5:$M$19,4,FALSE)-E425</f>
        <v>176</v>
      </c>
      <c r="H425" s="103">
        <f>VLOOKUP(D425,Lookup!$J$5:$K$19,2,FALSE)</f>
        <v>10</v>
      </c>
      <c r="I425" s="103">
        <f ca="1">IFERROR(VLOOKUP(G425,OFFSET(Lookup!$J$21,1,H425-1,5,1),1,1),0)</f>
        <v>150</v>
      </c>
    </row>
    <row r="426" spans="2:9" x14ac:dyDescent="0.25">
      <c r="B426" s="96">
        <v>127</v>
      </c>
      <c r="C426" s="1">
        <v>6.0500000001629815</v>
      </c>
      <c r="D426" s="103" t="str">
        <f t="shared" si="21"/>
        <v>MC1</v>
      </c>
      <c r="E426" s="103">
        <f t="shared" si="22"/>
        <v>127</v>
      </c>
      <c r="F426" s="117">
        <f t="shared" si="23"/>
        <v>6.0500000001629815</v>
      </c>
      <c r="G426" s="103">
        <f>VLOOKUP(D426,Lookup!$J$5:$M$19,4,FALSE)-E426</f>
        <v>173</v>
      </c>
      <c r="H426" s="103">
        <f>VLOOKUP(D426,Lookup!$J$5:$K$19,2,FALSE)</f>
        <v>10</v>
      </c>
      <c r="I426" s="103">
        <f ca="1">IFERROR(VLOOKUP(G426,OFFSET(Lookup!$J$21,1,H426-1,5,1),1,1),0)</f>
        <v>150</v>
      </c>
    </row>
    <row r="427" spans="2:9" x14ac:dyDescent="0.25">
      <c r="B427" s="96">
        <v>132</v>
      </c>
      <c r="C427" s="1">
        <v>4.5333333332673647</v>
      </c>
      <c r="D427" s="103" t="str">
        <f t="shared" si="21"/>
        <v>MC1</v>
      </c>
      <c r="E427" s="103">
        <f t="shared" si="22"/>
        <v>132</v>
      </c>
      <c r="F427" s="117">
        <f t="shared" si="23"/>
        <v>4.5333333332673647</v>
      </c>
      <c r="G427" s="103">
        <f>VLOOKUP(D427,Lookup!$J$5:$M$19,4,FALSE)-E427</f>
        <v>168</v>
      </c>
      <c r="H427" s="103">
        <f>VLOOKUP(D427,Lookup!$J$5:$K$19,2,FALSE)</f>
        <v>10</v>
      </c>
      <c r="I427" s="103">
        <f ca="1">IFERROR(VLOOKUP(G427,OFFSET(Lookup!$J$21,1,H427-1,5,1),1,1),0)</f>
        <v>150</v>
      </c>
    </row>
    <row r="428" spans="2:9" x14ac:dyDescent="0.25">
      <c r="B428" s="96">
        <v>136</v>
      </c>
      <c r="C428" s="1">
        <v>5.7999999998719431</v>
      </c>
      <c r="D428" s="103" t="str">
        <f t="shared" si="21"/>
        <v>MC1</v>
      </c>
      <c r="E428" s="103">
        <f t="shared" si="22"/>
        <v>136</v>
      </c>
      <c r="F428" s="117">
        <f t="shared" si="23"/>
        <v>5.7999999998719431</v>
      </c>
      <c r="G428" s="103">
        <f>VLOOKUP(D428,Lookup!$J$5:$M$19,4,FALSE)-E428</f>
        <v>164</v>
      </c>
      <c r="H428" s="103">
        <f>VLOOKUP(D428,Lookup!$J$5:$K$19,2,FALSE)</f>
        <v>10</v>
      </c>
      <c r="I428" s="103">
        <f ca="1">IFERROR(VLOOKUP(G428,OFFSET(Lookup!$J$21,1,H428-1,5,1),1,1),0)</f>
        <v>150</v>
      </c>
    </row>
    <row r="429" spans="2:9" x14ac:dyDescent="0.25">
      <c r="B429" s="96">
        <v>140</v>
      </c>
      <c r="C429" s="1">
        <v>0.8999999999650754</v>
      </c>
      <c r="D429" s="103" t="str">
        <f t="shared" si="21"/>
        <v>MC1</v>
      </c>
      <c r="E429" s="103">
        <f t="shared" si="22"/>
        <v>140</v>
      </c>
      <c r="F429" s="117">
        <f t="shared" si="23"/>
        <v>0.8999999999650754</v>
      </c>
      <c r="G429" s="103">
        <f>VLOOKUP(D429,Lookup!$J$5:$M$19,4,FALSE)-E429</f>
        <v>160</v>
      </c>
      <c r="H429" s="103">
        <f>VLOOKUP(D429,Lookup!$J$5:$K$19,2,FALSE)</f>
        <v>10</v>
      </c>
      <c r="I429" s="103">
        <f ca="1">IFERROR(VLOOKUP(G429,OFFSET(Lookup!$J$21,1,H429-1,5,1),1,1),0)</f>
        <v>150</v>
      </c>
    </row>
    <row r="430" spans="2:9" x14ac:dyDescent="0.25">
      <c r="B430" s="96">
        <v>141</v>
      </c>
      <c r="C430" s="1">
        <v>10.733333333220799</v>
      </c>
      <c r="D430" s="103" t="str">
        <f t="shared" si="21"/>
        <v>MC1</v>
      </c>
      <c r="E430" s="103">
        <f t="shared" si="22"/>
        <v>141</v>
      </c>
      <c r="F430" s="117">
        <f t="shared" si="23"/>
        <v>10.733333333220799</v>
      </c>
      <c r="G430" s="103">
        <f>VLOOKUP(D430,Lookup!$J$5:$M$19,4,FALSE)-E430</f>
        <v>159</v>
      </c>
      <c r="H430" s="103">
        <f>VLOOKUP(D430,Lookup!$J$5:$K$19,2,FALSE)</f>
        <v>10</v>
      </c>
      <c r="I430" s="103">
        <f ca="1">IFERROR(VLOOKUP(G430,OFFSET(Lookup!$J$21,1,H430-1,5,1),1,1),0)</f>
        <v>150</v>
      </c>
    </row>
    <row r="431" spans="2:9" x14ac:dyDescent="0.25">
      <c r="B431" s="96">
        <v>150</v>
      </c>
      <c r="C431" s="1">
        <v>5.25</v>
      </c>
      <c r="D431" s="103" t="str">
        <f t="shared" si="21"/>
        <v>MC1</v>
      </c>
      <c r="E431" s="103">
        <f t="shared" si="22"/>
        <v>150</v>
      </c>
      <c r="F431" s="117">
        <f t="shared" si="23"/>
        <v>5.25</v>
      </c>
      <c r="G431" s="103">
        <f>VLOOKUP(D431,Lookup!$J$5:$M$19,4,FALSE)-E431</f>
        <v>150</v>
      </c>
      <c r="H431" s="103">
        <f>VLOOKUP(D431,Lookup!$J$5:$K$19,2,FALSE)</f>
        <v>10</v>
      </c>
      <c r="I431" s="103">
        <f ca="1">IFERROR(VLOOKUP(G431,OFFSET(Lookup!$J$21,1,H431-1,5,1),1,1),0)</f>
        <v>150</v>
      </c>
    </row>
    <row r="432" spans="2:9" x14ac:dyDescent="0.25">
      <c r="B432" s="96">
        <v>155</v>
      </c>
      <c r="C432" s="1">
        <v>6.4000000000814907</v>
      </c>
      <c r="D432" s="103" t="str">
        <f t="shared" si="21"/>
        <v>MC1</v>
      </c>
      <c r="E432" s="103">
        <f t="shared" si="22"/>
        <v>155</v>
      </c>
      <c r="F432" s="117">
        <f t="shared" si="23"/>
        <v>6.4000000000814907</v>
      </c>
      <c r="G432" s="103">
        <f>VLOOKUP(D432,Lookup!$J$5:$M$19,4,FALSE)-E432</f>
        <v>145</v>
      </c>
      <c r="H432" s="103">
        <f>VLOOKUP(D432,Lookup!$J$5:$K$19,2,FALSE)</f>
        <v>10</v>
      </c>
      <c r="I432" s="103">
        <f ca="1">IFERROR(VLOOKUP(G432,OFFSET(Lookup!$J$21,1,H432-1,5,1),1,1),0)</f>
        <v>0</v>
      </c>
    </row>
    <row r="433" spans="2:9" x14ac:dyDescent="0.25">
      <c r="B433" s="96">
        <v>156</v>
      </c>
      <c r="C433" s="1">
        <v>3.4833333333372138</v>
      </c>
      <c r="D433" s="103" t="str">
        <f t="shared" si="21"/>
        <v>MC1</v>
      </c>
      <c r="E433" s="103">
        <f t="shared" si="22"/>
        <v>156</v>
      </c>
      <c r="F433" s="117">
        <f t="shared" si="23"/>
        <v>3.4833333333372138</v>
      </c>
      <c r="G433" s="103">
        <f>VLOOKUP(D433,Lookup!$J$5:$M$19,4,FALSE)-E433</f>
        <v>144</v>
      </c>
      <c r="H433" s="103">
        <f>VLOOKUP(D433,Lookup!$J$5:$K$19,2,FALSE)</f>
        <v>10</v>
      </c>
      <c r="I433" s="103">
        <f ca="1">IFERROR(VLOOKUP(G433,OFFSET(Lookup!$J$21,1,H433-1,5,1),1,1),0)</f>
        <v>0</v>
      </c>
    </row>
    <row r="434" spans="2:9" x14ac:dyDescent="0.25">
      <c r="B434" s="96">
        <v>159</v>
      </c>
      <c r="C434" s="1">
        <v>2.8000000000465661</v>
      </c>
      <c r="D434" s="103" t="str">
        <f t="shared" si="21"/>
        <v>MC1</v>
      </c>
      <c r="E434" s="103">
        <f t="shared" si="22"/>
        <v>159</v>
      </c>
      <c r="F434" s="117">
        <f t="shared" si="23"/>
        <v>2.8000000000465661</v>
      </c>
      <c r="G434" s="103">
        <f>VLOOKUP(D434,Lookup!$J$5:$M$19,4,FALSE)-E434</f>
        <v>141</v>
      </c>
      <c r="H434" s="103">
        <f>VLOOKUP(D434,Lookup!$J$5:$K$19,2,FALSE)</f>
        <v>10</v>
      </c>
      <c r="I434" s="103">
        <f ca="1">IFERROR(VLOOKUP(G434,OFFSET(Lookup!$J$21,1,H434-1,5,1),1,1),0)</f>
        <v>0</v>
      </c>
    </row>
    <row r="435" spans="2:9" x14ac:dyDescent="0.25">
      <c r="B435" s="96">
        <v>164</v>
      </c>
      <c r="C435" s="1">
        <v>26.533333333558403</v>
      </c>
      <c r="D435" s="103" t="str">
        <f t="shared" si="21"/>
        <v>MC1</v>
      </c>
      <c r="E435" s="103">
        <f t="shared" si="22"/>
        <v>164</v>
      </c>
      <c r="F435" s="117">
        <f t="shared" si="23"/>
        <v>26.533333333558403</v>
      </c>
      <c r="G435" s="103">
        <f>VLOOKUP(D435,Lookup!$J$5:$M$19,4,FALSE)-E435</f>
        <v>136</v>
      </c>
      <c r="H435" s="103">
        <f>VLOOKUP(D435,Lookup!$J$5:$K$19,2,FALSE)</f>
        <v>10</v>
      </c>
      <c r="I435" s="103">
        <f ca="1">IFERROR(VLOOKUP(G435,OFFSET(Lookup!$J$21,1,H435-1,5,1),1,1),0)</f>
        <v>0</v>
      </c>
    </row>
    <row r="436" spans="2:9" x14ac:dyDescent="0.25">
      <c r="B436" s="96">
        <v>165</v>
      </c>
      <c r="C436" s="1">
        <v>3.2000000001280569</v>
      </c>
      <c r="D436" s="103" t="str">
        <f t="shared" si="21"/>
        <v>MC1</v>
      </c>
      <c r="E436" s="103">
        <f t="shared" si="22"/>
        <v>165</v>
      </c>
      <c r="F436" s="117">
        <f t="shared" si="23"/>
        <v>3.2000000001280569</v>
      </c>
      <c r="G436" s="103">
        <f>VLOOKUP(D436,Lookup!$J$5:$M$19,4,FALSE)-E436</f>
        <v>135</v>
      </c>
      <c r="H436" s="103">
        <f>VLOOKUP(D436,Lookup!$J$5:$K$19,2,FALSE)</f>
        <v>10</v>
      </c>
      <c r="I436" s="103">
        <f ca="1">IFERROR(VLOOKUP(G436,OFFSET(Lookup!$J$21,1,H436-1,5,1),1,1),0)</f>
        <v>0</v>
      </c>
    </row>
    <row r="437" spans="2:9" x14ac:dyDescent="0.25">
      <c r="B437" s="96">
        <v>167</v>
      </c>
      <c r="C437" s="1">
        <v>9.3833333333604969</v>
      </c>
      <c r="D437" s="103" t="str">
        <f t="shared" si="21"/>
        <v>MC1</v>
      </c>
      <c r="E437" s="103">
        <f t="shared" si="22"/>
        <v>167</v>
      </c>
      <c r="F437" s="117">
        <f t="shared" si="23"/>
        <v>9.3833333333604969</v>
      </c>
      <c r="G437" s="103">
        <f>VLOOKUP(D437,Lookup!$J$5:$M$19,4,FALSE)-E437</f>
        <v>133</v>
      </c>
      <c r="H437" s="103">
        <f>VLOOKUP(D437,Lookup!$J$5:$K$19,2,FALSE)</f>
        <v>10</v>
      </c>
      <c r="I437" s="103">
        <f ca="1">IFERROR(VLOOKUP(G437,OFFSET(Lookup!$J$21,1,H437-1,5,1),1,1),0)</f>
        <v>0</v>
      </c>
    </row>
    <row r="438" spans="2:9" x14ac:dyDescent="0.25">
      <c r="B438" s="96">
        <v>168</v>
      </c>
      <c r="C438" s="1">
        <v>6.9166666666860692</v>
      </c>
      <c r="D438" s="103" t="str">
        <f t="shared" si="21"/>
        <v>MC1</v>
      </c>
      <c r="E438" s="103">
        <f t="shared" si="22"/>
        <v>168</v>
      </c>
      <c r="F438" s="117">
        <f t="shared" si="23"/>
        <v>6.9166666666860692</v>
      </c>
      <c r="G438" s="103">
        <f>VLOOKUP(D438,Lookup!$J$5:$M$19,4,FALSE)-E438</f>
        <v>132</v>
      </c>
      <c r="H438" s="103">
        <f>VLOOKUP(D438,Lookup!$J$5:$K$19,2,FALSE)</f>
        <v>10</v>
      </c>
      <c r="I438" s="103">
        <f ca="1">IFERROR(VLOOKUP(G438,OFFSET(Lookup!$J$21,1,H438-1,5,1),1,1),0)</f>
        <v>0</v>
      </c>
    </row>
    <row r="439" spans="2:9" x14ac:dyDescent="0.25">
      <c r="B439" s="96">
        <v>173</v>
      </c>
      <c r="C439" s="1">
        <v>7.4166666667442769</v>
      </c>
      <c r="D439" s="103" t="str">
        <f t="shared" si="21"/>
        <v>MC1</v>
      </c>
      <c r="E439" s="103">
        <f t="shared" si="22"/>
        <v>173</v>
      </c>
      <c r="F439" s="117">
        <f t="shared" si="23"/>
        <v>7.4166666667442769</v>
      </c>
      <c r="G439" s="103">
        <f>VLOOKUP(D439,Lookup!$J$5:$M$19,4,FALSE)-E439</f>
        <v>127</v>
      </c>
      <c r="H439" s="103">
        <f>VLOOKUP(D439,Lookup!$J$5:$K$19,2,FALSE)</f>
        <v>10</v>
      </c>
      <c r="I439" s="103">
        <f ca="1">IFERROR(VLOOKUP(G439,OFFSET(Lookup!$J$21,1,H439-1,5,1),1,1),0)</f>
        <v>0</v>
      </c>
    </row>
    <row r="440" spans="2:9" x14ac:dyDescent="0.25">
      <c r="B440" s="96">
        <v>177</v>
      </c>
      <c r="C440" s="1">
        <v>11.299999999988358</v>
      </c>
      <c r="D440" s="103" t="str">
        <f t="shared" si="21"/>
        <v>MC1</v>
      </c>
      <c r="E440" s="103">
        <f t="shared" si="22"/>
        <v>177</v>
      </c>
      <c r="F440" s="117">
        <f t="shared" si="23"/>
        <v>11.299999999988358</v>
      </c>
      <c r="G440" s="103">
        <f>VLOOKUP(D440,Lookup!$J$5:$M$19,4,FALSE)-E440</f>
        <v>123</v>
      </c>
      <c r="H440" s="103">
        <f>VLOOKUP(D440,Lookup!$J$5:$K$19,2,FALSE)</f>
        <v>10</v>
      </c>
      <c r="I440" s="103">
        <f ca="1">IFERROR(VLOOKUP(G440,OFFSET(Lookup!$J$21,1,H440-1,5,1),1,1),0)</f>
        <v>0</v>
      </c>
    </row>
    <row r="441" spans="2:9" x14ac:dyDescent="0.25">
      <c r="B441" s="96">
        <v>180</v>
      </c>
      <c r="C441" s="1">
        <v>3.2499999999417923</v>
      </c>
      <c r="D441" s="103" t="str">
        <f t="shared" si="21"/>
        <v>MC1</v>
      </c>
      <c r="E441" s="103">
        <f t="shared" si="22"/>
        <v>180</v>
      </c>
      <c r="F441" s="117">
        <f t="shared" si="23"/>
        <v>3.2499999999417923</v>
      </c>
      <c r="G441" s="103">
        <f>VLOOKUP(D441,Lookup!$J$5:$M$19,4,FALSE)-E441</f>
        <v>120</v>
      </c>
      <c r="H441" s="103">
        <f>VLOOKUP(D441,Lookup!$J$5:$K$19,2,FALSE)</f>
        <v>10</v>
      </c>
      <c r="I441" s="103">
        <f ca="1">IFERROR(VLOOKUP(G441,OFFSET(Lookup!$J$21,1,H441-1,5,1),1,1),0)</f>
        <v>0</v>
      </c>
    </row>
    <row r="442" spans="2:9" x14ac:dyDescent="0.25">
      <c r="B442" s="96">
        <v>182</v>
      </c>
      <c r="C442" s="1">
        <v>19.449999999837019</v>
      </c>
      <c r="D442" s="103" t="str">
        <f t="shared" si="21"/>
        <v>MC1</v>
      </c>
      <c r="E442" s="103">
        <f t="shared" si="22"/>
        <v>182</v>
      </c>
      <c r="F442" s="117">
        <f t="shared" si="23"/>
        <v>19.449999999837019</v>
      </c>
      <c r="G442" s="103">
        <f>VLOOKUP(D442,Lookup!$J$5:$M$19,4,FALSE)-E442</f>
        <v>118</v>
      </c>
      <c r="H442" s="103">
        <f>VLOOKUP(D442,Lookup!$J$5:$K$19,2,FALSE)</f>
        <v>10</v>
      </c>
      <c r="I442" s="103">
        <f ca="1">IFERROR(VLOOKUP(G442,OFFSET(Lookup!$J$21,1,H442-1,5,1),1,1),0)</f>
        <v>0</v>
      </c>
    </row>
    <row r="443" spans="2:9" x14ac:dyDescent="0.25">
      <c r="B443" s="96">
        <v>186</v>
      </c>
      <c r="C443" s="1">
        <v>12.866666666697711</v>
      </c>
      <c r="D443" s="103" t="str">
        <f t="shared" si="21"/>
        <v>MC1</v>
      </c>
      <c r="E443" s="103">
        <f t="shared" si="22"/>
        <v>186</v>
      </c>
      <c r="F443" s="117">
        <f t="shared" si="23"/>
        <v>12.866666666697711</v>
      </c>
      <c r="G443" s="103">
        <f>VLOOKUP(D443,Lookup!$J$5:$M$19,4,FALSE)-E443</f>
        <v>114</v>
      </c>
      <c r="H443" s="103">
        <f>VLOOKUP(D443,Lookup!$J$5:$K$19,2,FALSE)</f>
        <v>10</v>
      </c>
      <c r="I443" s="103">
        <f ca="1">IFERROR(VLOOKUP(G443,OFFSET(Lookup!$J$21,1,H443-1,5,1),1,1),0)</f>
        <v>0</v>
      </c>
    </row>
    <row r="444" spans="2:9" x14ac:dyDescent="0.25">
      <c r="B444" s="96">
        <v>191</v>
      </c>
      <c r="C444" s="1">
        <v>22.266666666604578</v>
      </c>
      <c r="D444" s="103" t="str">
        <f t="shared" si="21"/>
        <v>MC1</v>
      </c>
      <c r="E444" s="103">
        <f t="shared" si="22"/>
        <v>191</v>
      </c>
      <c r="F444" s="117">
        <f t="shared" si="23"/>
        <v>22.266666666604578</v>
      </c>
      <c r="G444" s="103">
        <f>VLOOKUP(D444,Lookup!$J$5:$M$19,4,FALSE)-E444</f>
        <v>109</v>
      </c>
      <c r="H444" s="103">
        <f>VLOOKUP(D444,Lookup!$J$5:$K$19,2,FALSE)</f>
        <v>10</v>
      </c>
      <c r="I444" s="103">
        <f ca="1">IFERROR(VLOOKUP(G444,OFFSET(Lookup!$J$21,1,H444-1,5,1),1,1),0)</f>
        <v>0</v>
      </c>
    </row>
    <row r="445" spans="2:9" x14ac:dyDescent="0.25">
      <c r="B445" s="96">
        <v>209</v>
      </c>
      <c r="C445" s="1">
        <v>6.9999999999417923</v>
      </c>
      <c r="D445" s="103" t="str">
        <f t="shared" si="21"/>
        <v>MC1</v>
      </c>
      <c r="E445" s="103">
        <f t="shared" si="22"/>
        <v>209</v>
      </c>
      <c r="F445" s="117">
        <f t="shared" si="23"/>
        <v>6.9999999999417923</v>
      </c>
      <c r="G445" s="103">
        <f>VLOOKUP(D445,Lookup!$J$5:$M$19,4,FALSE)-E445</f>
        <v>91</v>
      </c>
      <c r="H445" s="103">
        <f>VLOOKUP(D445,Lookup!$J$5:$K$19,2,FALSE)</f>
        <v>10</v>
      </c>
      <c r="I445" s="103">
        <f ca="1">IFERROR(VLOOKUP(G445,OFFSET(Lookup!$J$21,1,H445-1,5,1),1,1),0)</f>
        <v>0</v>
      </c>
    </row>
    <row r="446" spans="2:9" x14ac:dyDescent="0.25">
      <c r="B446" s="96">
        <v>227</v>
      </c>
      <c r="C446" s="1">
        <v>1.1666666666278616</v>
      </c>
      <c r="D446" s="103" t="str">
        <f t="shared" si="21"/>
        <v>MC1</v>
      </c>
      <c r="E446" s="103">
        <f t="shared" si="22"/>
        <v>227</v>
      </c>
      <c r="F446" s="117">
        <f t="shared" si="23"/>
        <v>1.1666666666278616</v>
      </c>
      <c r="G446" s="103">
        <f>VLOOKUP(D446,Lookup!$J$5:$M$19,4,FALSE)-E446</f>
        <v>73</v>
      </c>
      <c r="H446" s="103">
        <f>VLOOKUP(D446,Lookup!$J$5:$K$19,2,FALSE)</f>
        <v>10</v>
      </c>
      <c r="I446" s="103">
        <f ca="1">IFERROR(VLOOKUP(G446,OFFSET(Lookup!$J$21,1,H446-1,5,1),1,1),0)</f>
        <v>0</v>
      </c>
    </row>
    <row r="447" spans="2:9" x14ac:dyDescent="0.25">
      <c r="B447" s="96">
        <v>241</v>
      </c>
      <c r="C447" s="1">
        <v>0.8166666665347293</v>
      </c>
      <c r="D447" s="103" t="str">
        <f t="shared" si="21"/>
        <v>MC1</v>
      </c>
      <c r="E447" s="103">
        <f t="shared" si="22"/>
        <v>241</v>
      </c>
      <c r="F447" s="117">
        <f t="shared" si="23"/>
        <v>0.8166666665347293</v>
      </c>
      <c r="G447" s="103">
        <f>VLOOKUP(D447,Lookup!$J$5:$M$19,4,FALSE)-E447</f>
        <v>59</v>
      </c>
      <c r="H447" s="103">
        <f>VLOOKUP(D447,Lookup!$J$5:$K$19,2,FALSE)</f>
        <v>10</v>
      </c>
      <c r="I447" s="103">
        <f ca="1">IFERROR(VLOOKUP(G447,OFFSET(Lookup!$J$21,1,H447-1,5,1),1,1),0)</f>
        <v>0</v>
      </c>
    </row>
    <row r="448" spans="2:9" x14ac:dyDescent="0.25">
      <c r="B448" s="96">
        <v>255</v>
      </c>
      <c r="C448" s="1">
        <v>1.9499999998952262</v>
      </c>
      <c r="D448" s="103" t="str">
        <f t="shared" si="21"/>
        <v>MC1</v>
      </c>
      <c r="E448" s="103">
        <f t="shared" si="22"/>
        <v>255</v>
      </c>
      <c r="F448" s="117">
        <f t="shared" si="23"/>
        <v>1.9499999998952262</v>
      </c>
      <c r="G448" s="103">
        <f>VLOOKUP(D448,Lookup!$J$5:$M$19,4,FALSE)-E448</f>
        <v>45</v>
      </c>
      <c r="H448" s="103">
        <f>VLOOKUP(D448,Lookup!$J$5:$K$19,2,FALSE)</f>
        <v>10</v>
      </c>
      <c r="I448" s="103">
        <f ca="1">IFERROR(VLOOKUP(G448,OFFSET(Lookup!$J$21,1,H448-1,5,1),1,1),0)</f>
        <v>0</v>
      </c>
    </row>
    <row r="449" spans="1:9" x14ac:dyDescent="0.25">
      <c r="A449" s="103" t="s">
        <v>35</v>
      </c>
      <c r="B449" s="96">
        <v>4</v>
      </c>
      <c r="C449" s="1">
        <v>4.2333333331625909</v>
      </c>
      <c r="D449" s="103" t="str">
        <f t="shared" si="21"/>
        <v>MC2</v>
      </c>
      <c r="E449" s="103">
        <f t="shared" si="22"/>
        <v>4</v>
      </c>
      <c r="F449" s="117">
        <f t="shared" si="23"/>
        <v>4.2333333331625909</v>
      </c>
      <c r="G449" s="103">
        <f>VLOOKUP(D449,Lookup!$J$5:$M$19,4,FALSE)-E449</f>
        <v>293</v>
      </c>
      <c r="H449" s="103">
        <f>VLOOKUP(D449,Lookup!$J$5:$K$19,2,FALSE)</f>
        <v>11</v>
      </c>
      <c r="I449" s="103">
        <f ca="1">IFERROR(VLOOKUP(G449,OFFSET(Lookup!$J$21,1,H449-1,5,1),1,1),0)</f>
        <v>277</v>
      </c>
    </row>
    <row r="450" spans="1:9" x14ac:dyDescent="0.25">
      <c r="B450" s="96">
        <v>5</v>
      </c>
      <c r="C450" s="1">
        <v>980.80000000022119</v>
      </c>
      <c r="D450" s="103" t="str">
        <f t="shared" si="21"/>
        <v>MC2</v>
      </c>
      <c r="E450" s="103">
        <f t="shared" si="22"/>
        <v>5</v>
      </c>
      <c r="F450" s="117">
        <f t="shared" si="23"/>
        <v>980.80000000022119</v>
      </c>
      <c r="G450" s="103">
        <f>VLOOKUP(D450,Lookup!$J$5:$M$19,4,FALSE)-E450</f>
        <v>292</v>
      </c>
      <c r="H450" s="103">
        <f>VLOOKUP(D450,Lookup!$J$5:$K$19,2,FALSE)</f>
        <v>11</v>
      </c>
      <c r="I450" s="103">
        <f ca="1">IFERROR(VLOOKUP(G450,OFFSET(Lookup!$J$21,1,H450-1,5,1),1,1),0)</f>
        <v>277</v>
      </c>
    </row>
    <row r="451" spans="1:9" x14ac:dyDescent="0.25">
      <c r="B451" s="96">
        <v>6</v>
      </c>
      <c r="C451" s="1">
        <v>8.9166666665696539</v>
      </c>
      <c r="D451" s="103" t="str">
        <f t="shared" si="21"/>
        <v>MC2</v>
      </c>
      <c r="E451" s="103">
        <f t="shared" si="22"/>
        <v>6</v>
      </c>
      <c r="F451" s="117">
        <f t="shared" si="23"/>
        <v>8.9166666665696539</v>
      </c>
      <c r="G451" s="103">
        <f>VLOOKUP(D451,Lookup!$J$5:$M$19,4,FALSE)-E451</f>
        <v>291</v>
      </c>
      <c r="H451" s="103">
        <f>VLOOKUP(D451,Lookup!$J$5:$K$19,2,FALSE)</f>
        <v>11</v>
      </c>
      <c r="I451" s="103">
        <f ca="1">IFERROR(VLOOKUP(G451,OFFSET(Lookup!$J$21,1,H451-1,5,1),1,1),0)</f>
        <v>277</v>
      </c>
    </row>
    <row r="452" spans="1:9" x14ac:dyDescent="0.25">
      <c r="B452" s="96">
        <v>7</v>
      </c>
      <c r="C452" s="1">
        <v>22.316666666592937</v>
      </c>
      <c r="D452" s="103" t="str">
        <f t="shared" si="21"/>
        <v>MC2</v>
      </c>
      <c r="E452" s="103">
        <f t="shared" si="22"/>
        <v>7</v>
      </c>
      <c r="F452" s="117">
        <f t="shared" si="23"/>
        <v>22.316666666592937</v>
      </c>
      <c r="G452" s="103">
        <f>VLOOKUP(D452,Lookup!$J$5:$M$19,4,FALSE)-E452</f>
        <v>290</v>
      </c>
      <c r="H452" s="103">
        <f>VLOOKUP(D452,Lookup!$J$5:$K$19,2,FALSE)</f>
        <v>11</v>
      </c>
      <c r="I452" s="103">
        <f ca="1">IFERROR(VLOOKUP(G452,OFFSET(Lookup!$J$21,1,H452-1,5,1),1,1),0)</f>
        <v>277</v>
      </c>
    </row>
    <row r="453" spans="1:9" x14ac:dyDescent="0.25">
      <c r="B453" s="96">
        <v>8</v>
      </c>
      <c r="C453" s="1">
        <v>13.249999999883585</v>
      </c>
      <c r="D453" s="103" t="str">
        <f t="shared" si="21"/>
        <v>MC2</v>
      </c>
      <c r="E453" s="103">
        <f t="shared" si="22"/>
        <v>8</v>
      </c>
      <c r="F453" s="117">
        <f t="shared" si="23"/>
        <v>13.249999999883585</v>
      </c>
      <c r="G453" s="103">
        <f>VLOOKUP(D453,Lookup!$J$5:$M$19,4,FALSE)-E453</f>
        <v>289</v>
      </c>
      <c r="H453" s="103">
        <f>VLOOKUP(D453,Lookup!$J$5:$K$19,2,FALSE)</f>
        <v>11</v>
      </c>
      <c r="I453" s="103">
        <f ca="1">IFERROR(VLOOKUP(G453,OFFSET(Lookup!$J$21,1,H453-1,5,1),1,1),0)</f>
        <v>277</v>
      </c>
    </row>
    <row r="454" spans="1:9" x14ac:dyDescent="0.25">
      <c r="B454" s="96">
        <v>9</v>
      </c>
      <c r="C454" s="1">
        <v>1056.1333333330695</v>
      </c>
      <c r="D454" s="103" t="str">
        <f t="shared" si="21"/>
        <v>MC2</v>
      </c>
      <c r="E454" s="103">
        <f t="shared" si="22"/>
        <v>9</v>
      </c>
      <c r="F454" s="117">
        <f t="shared" si="23"/>
        <v>1056.1333333330695</v>
      </c>
      <c r="G454" s="103">
        <f>VLOOKUP(D454,Lookup!$J$5:$M$19,4,FALSE)-E454</f>
        <v>288</v>
      </c>
      <c r="H454" s="103">
        <f>VLOOKUP(D454,Lookup!$J$5:$K$19,2,FALSE)</f>
        <v>11</v>
      </c>
      <c r="I454" s="103">
        <f ca="1">IFERROR(VLOOKUP(G454,OFFSET(Lookup!$J$21,1,H454-1,5,1),1,1),0)</f>
        <v>277</v>
      </c>
    </row>
    <row r="455" spans="1:9" x14ac:dyDescent="0.25">
      <c r="B455" s="96">
        <v>10</v>
      </c>
      <c r="C455" s="1">
        <v>1937.5166666664882</v>
      </c>
      <c r="D455" s="103" t="str">
        <f t="shared" si="21"/>
        <v>MC2</v>
      </c>
      <c r="E455" s="103">
        <f t="shared" si="22"/>
        <v>10</v>
      </c>
      <c r="F455" s="117">
        <f t="shared" si="23"/>
        <v>1937.5166666664882</v>
      </c>
      <c r="G455" s="103">
        <f>VLOOKUP(D455,Lookup!$J$5:$M$19,4,FALSE)-E455</f>
        <v>287</v>
      </c>
      <c r="H455" s="103">
        <f>VLOOKUP(D455,Lookup!$J$5:$K$19,2,FALSE)</f>
        <v>11</v>
      </c>
      <c r="I455" s="103">
        <f ca="1">IFERROR(VLOOKUP(G455,OFFSET(Lookup!$J$21,1,H455-1,5,1),1,1),0)</f>
        <v>277</v>
      </c>
    </row>
    <row r="456" spans="1:9" x14ac:dyDescent="0.25">
      <c r="B456" s="96">
        <v>11</v>
      </c>
      <c r="C456" s="1">
        <v>2110.6833333334071</v>
      </c>
      <c r="D456" s="103" t="str">
        <f t="shared" si="21"/>
        <v>MC2</v>
      </c>
      <c r="E456" s="103">
        <f t="shared" si="22"/>
        <v>11</v>
      </c>
      <c r="F456" s="117">
        <f t="shared" si="23"/>
        <v>2110.6833333334071</v>
      </c>
      <c r="G456" s="103">
        <f>VLOOKUP(D456,Lookup!$J$5:$M$19,4,FALSE)-E456</f>
        <v>286</v>
      </c>
      <c r="H456" s="103">
        <f>VLOOKUP(D456,Lookup!$J$5:$K$19,2,FALSE)</f>
        <v>11</v>
      </c>
      <c r="I456" s="103">
        <f ca="1">IFERROR(VLOOKUP(G456,OFFSET(Lookup!$J$21,1,H456-1,5,1),1,1),0)</f>
        <v>277</v>
      </c>
    </row>
    <row r="457" spans="1:9" x14ac:dyDescent="0.25">
      <c r="B457" s="96">
        <v>12</v>
      </c>
      <c r="C457" s="1">
        <v>23.016666666779201</v>
      </c>
      <c r="D457" s="103" t="str">
        <f t="shared" ref="D457:D520" si="24">IF(A457="",D456,A457)</f>
        <v>MC2</v>
      </c>
      <c r="E457" s="103">
        <f t="shared" ref="E457:E520" si="25">IF(B457="",E456,B457)</f>
        <v>12</v>
      </c>
      <c r="F457" s="117">
        <f t="shared" ref="F457:F520" si="26">IF(C457="",F456,C457)</f>
        <v>23.016666666779201</v>
      </c>
      <c r="G457" s="103">
        <f>VLOOKUP(D457,Lookup!$J$5:$M$19,4,FALSE)-E457</f>
        <v>285</v>
      </c>
      <c r="H457" s="103">
        <f>VLOOKUP(D457,Lookup!$J$5:$K$19,2,FALSE)</f>
        <v>11</v>
      </c>
      <c r="I457" s="103">
        <f ca="1">IFERROR(VLOOKUP(G457,OFFSET(Lookup!$J$21,1,H457-1,5,1),1,1),0)</f>
        <v>277</v>
      </c>
    </row>
    <row r="458" spans="1:9" x14ac:dyDescent="0.25">
      <c r="B458" s="96">
        <v>13</v>
      </c>
      <c r="C458" s="1">
        <v>152.18333333363989</v>
      </c>
      <c r="D458" s="103" t="str">
        <f t="shared" si="24"/>
        <v>MC2</v>
      </c>
      <c r="E458" s="103">
        <f t="shared" si="25"/>
        <v>13</v>
      </c>
      <c r="F458" s="117">
        <f t="shared" si="26"/>
        <v>152.18333333363989</v>
      </c>
      <c r="G458" s="103">
        <f>VLOOKUP(D458,Lookup!$J$5:$M$19,4,FALSE)-E458</f>
        <v>284</v>
      </c>
      <c r="H458" s="103">
        <f>VLOOKUP(D458,Lookup!$J$5:$K$19,2,FALSE)</f>
        <v>11</v>
      </c>
      <c r="I458" s="103">
        <f ca="1">IFERROR(VLOOKUP(G458,OFFSET(Lookup!$J$21,1,H458-1,5,1),1,1),0)</f>
        <v>277</v>
      </c>
    </row>
    <row r="459" spans="1:9" x14ac:dyDescent="0.25">
      <c r="B459" s="96">
        <v>14</v>
      </c>
      <c r="C459" s="1">
        <v>3.7000000000116415</v>
      </c>
      <c r="D459" s="103" t="str">
        <f t="shared" si="24"/>
        <v>MC2</v>
      </c>
      <c r="E459" s="103">
        <f t="shared" si="25"/>
        <v>14</v>
      </c>
      <c r="F459" s="117">
        <f t="shared" si="26"/>
        <v>3.7000000000116415</v>
      </c>
      <c r="G459" s="103">
        <f>VLOOKUP(D459,Lookup!$J$5:$M$19,4,FALSE)-E459</f>
        <v>283</v>
      </c>
      <c r="H459" s="103">
        <f>VLOOKUP(D459,Lookup!$J$5:$K$19,2,FALSE)</f>
        <v>11</v>
      </c>
      <c r="I459" s="103">
        <f ca="1">IFERROR(VLOOKUP(G459,OFFSET(Lookup!$J$21,1,H459-1,5,1),1,1),0)</f>
        <v>277</v>
      </c>
    </row>
    <row r="460" spans="1:9" x14ac:dyDescent="0.25">
      <c r="B460" s="96">
        <v>15</v>
      </c>
      <c r="C460" s="1">
        <v>5.5499999999301508</v>
      </c>
      <c r="D460" s="103" t="str">
        <f t="shared" si="24"/>
        <v>MC2</v>
      </c>
      <c r="E460" s="103">
        <f t="shared" si="25"/>
        <v>15</v>
      </c>
      <c r="F460" s="117">
        <f t="shared" si="26"/>
        <v>5.5499999999301508</v>
      </c>
      <c r="G460" s="103">
        <f>VLOOKUP(D460,Lookup!$J$5:$M$19,4,FALSE)-E460</f>
        <v>282</v>
      </c>
      <c r="H460" s="103">
        <f>VLOOKUP(D460,Lookup!$J$5:$K$19,2,FALSE)</f>
        <v>11</v>
      </c>
      <c r="I460" s="103">
        <f ca="1">IFERROR(VLOOKUP(G460,OFFSET(Lookup!$J$21,1,H460-1,5,1),1,1),0)</f>
        <v>277</v>
      </c>
    </row>
    <row r="461" spans="1:9" x14ac:dyDescent="0.25">
      <c r="B461" s="96">
        <v>16</v>
      </c>
      <c r="C461" s="1">
        <v>1.6333333332440816</v>
      </c>
      <c r="D461" s="103" t="str">
        <f t="shared" si="24"/>
        <v>MC2</v>
      </c>
      <c r="E461" s="103">
        <f t="shared" si="25"/>
        <v>16</v>
      </c>
      <c r="F461" s="117">
        <f t="shared" si="26"/>
        <v>1.6333333332440816</v>
      </c>
      <c r="G461" s="103">
        <f>VLOOKUP(D461,Lookup!$J$5:$M$19,4,FALSE)-E461</f>
        <v>281</v>
      </c>
      <c r="H461" s="103">
        <f>VLOOKUP(D461,Lookup!$J$5:$K$19,2,FALSE)</f>
        <v>11</v>
      </c>
      <c r="I461" s="103">
        <f ca="1">IFERROR(VLOOKUP(G461,OFFSET(Lookup!$J$21,1,H461-1,5,1),1,1),0)</f>
        <v>277</v>
      </c>
    </row>
    <row r="462" spans="1:9" x14ac:dyDescent="0.25">
      <c r="B462" s="96">
        <v>18</v>
      </c>
      <c r="C462" s="1">
        <v>421.85000000026776</v>
      </c>
      <c r="D462" s="103" t="str">
        <f t="shared" si="24"/>
        <v>MC2</v>
      </c>
      <c r="E462" s="103">
        <f t="shared" si="25"/>
        <v>18</v>
      </c>
      <c r="F462" s="117">
        <f t="shared" si="26"/>
        <v>421.85000000026776</v>
      </c>
      <c r="G462" s="103">
        <f>VLOOKUP(D462,Lookup!$J$5:$M$19,4,FALSE)-E462</f>
        <v>279</v>
      </c>
      <c r="H462" s="103">
        <f>VLOOKUP(D462,Lookup!$J$5:$K$19,2,FALSE)</f>
        <v>11</v>
      </c>
      <c r="I462" s="103">
        <f ca="1">IFERROR(VLOOKUP(G462,OFFSET(Lookup!$J$21,1,H462-1,5,1),1,1),0)</f>
        <v>277</v>
      </c>
    </row>
    <row r="463" spans="1:9" x14ac:dyDescent="0.25">
      <c r="B463" s="96">
        <v>20</v>
      </c>
      <c r="C463" s="1">
        <v>65.233333333279006</v>
      </c>
      <c r="D463" s="103" t="str">
        <f t="shared" si="24"/>
        <v>MC2</v>
      </c>
      <c r="E463" s="103">
        <f t="shared" si="25"/>
        <v>20</v>
      </c>
      <c r="F463" s="117">
        <f t="shared" si="26"/>
        <v>65.233333333279006</v>
      </c>
      <c r="G463" s="103">
        <f>VLOOKUP(D463,Lookup!$J$5:$M$19,4,FALSE)-E463</f>
        <v>277</v>
      </c>
      <c r="H463" s="103">
        <f>VLOOKUP(D463,Lookup!$J$5:$K$19,2,FALSE)</f>
        <v>11</v>
      </c>
      <c r="I463" s="103">
        <f ca="1">IFERROR(VLOOKUP(G463,OFFSET(Lookup!$J$21,1,H463-1,5,1),1,1),0)</f>
        <v>277</v>
      </c>
    </row>
    <row r="464" spans="1:9" x14ac:dyDescent="0.25">
      <c r="B464" s="96">
        <v>22</v>
      </c>
      <c r="C464" s="1">
        <v>6.2000000001280569</v>
      </c>
      <c r="D464" s="103" t="str">
        <f t="shared" si="24"/>
        <v>MC2</v>
      </c>
      <c r="E464" s="103">
        <f t="shared" si="25"/>
        <v>22</v>
      </c>
      <c r="F464" s="117">
        <f t="shared" si="26"/>
        <v>6.2000000001280569</v>
      </c>
      <c r="G464" s="103">
        <f>VLOOKUP(D464,Lookup!$J$5:$M$19,4,FALSE)-E464</f>
        <v>275</v>
      </c>
      <c r="H464" s="103">
        <f>VLOOKUP(D464,Lookup!$J$5:$K$19,2,FALSE)</f>
        <v>11</v>
      </c>
      <c r="I464" s="103">
        <f ca="1">IFERROR(VLOOKUP(G464,OFFSET(Lookup!$J$21,1,H464-1,5,1),1,1),0)</f>
        <v>257</v>
      </c>
    </row>
    <row r="465" spans="2:9" x14ac:dyDescent="0.25">
      <c r="B465" s="96">
        <v>26</v>
      </c>
      <c r="C465" s="1">
        <v>1.5499999999883585</v>
      </c>
      <c r="D465" s="103" t="str">
        <f t="shared" si="24"/>
        <v>MC2</v>
      </c>
      <c r="E465" s="103">
        <f t="shared" si="25"/>
        <v>26</v>
      </c>
      <c r="F465" s="117">
        <f t="shared" si="26"/>
        <v>1.5499999999883585</v>
      </c>
      <c r="G465" s="103">
        <f>VLOOKUP(D465,Lookup!$J$5:$M$19,4,FALSE)-E465</f>
        <v>271</v>
      </c>
      <c r="H465" s="103">
        <f>VLOOKUP(D465,Lookup!$J$5:$K$19,2,FALSE)</f>
        <v>11</v>
      </c>
      <c r="I465" s="103">
        <f ca="1">IFERROR(VLOOKUP(G465,OFFSET(Lookup!$J$21,1,H465-1,5,1),1,1),0)</f>
        <v>257</v>
      </c>
    </row>
    <row r="466" spans="2:9" x14ac:dyDescent="0.25">
      <c r="B466" s="96">
        <v>27</v>
      </c>
      <c r="C466" s="1">
        <v>63.350000000442378</v>
      </c>
      <c r="D466" s="103" t="str">
        <f t="shared" si="24"/>
        <v>MC2</v>
      </c>
      <c r="E466" s="103">
        <f t="shared" si="25"/>
        <v>27</v>
      </c>
      <c r="F466" s="117">
        <f t="shared" si="26"/>
        <v>63.350000000442378</v>
      </c>
      <c r="G466" s="103">
        <f>VLOOKUP(D466,Lookup!$J$5:$M$19,4,FALSE)-E466</f>
        <v>270</v>
      </c>
      <c r="H466" s="103">
        <f>VLOOKUP(D466,Lookup!$J$5:$K$19,2,FALSE)</f>
        <v>11</v>
      </c>
      <c r="I466" s="103">
        <f ca="1">IFERROR(VLOOKUP(G466,OFFSET(Lookup!$J$21,1,H466-1,5,1),1,1),0)</f>
        <v>257</v>
      </c>
    </row>
    <row r="467" spans="2:9" x14ac:dyDescent="0.25">
      <c r="B467" s="96">
        <v>30</v>
      </c>
      <c r="C467" s="1">
        <v>15.533333333325572</v>
      </c>
      <c r="D467" s="103" t="str">
        <f t="shared" si="24"/>
        <v>MC2</v>
      </c>
      <c r="E467" s="103">
        <f t="shared" si="25"/>
        <v>30</v>
      </c>
      <c r="F467" s="117">
        <f t="shared" si="26"/>
        <v>15.533333333325572</v>
      </c>
      <c r="G467" s="103">
        <f>VLOOKUP(D467,Lookup!$J$5:$M$19,4,FALSE)-E467</f>
        <v>267</v>
      </c>
      <c r="H467" s="103">
        <f>VLOOKUP(D467,Lookup!$J$5:$K$19,2,FALSE)</f>
        <v>11</v>
      </c>
      <c r="I467" s="103">
        <f ca="1">IFERROR(VLOOKUP(G467,OFFSET(Lookup!$J$21,1,H467-1,5,1),1,1),0)</f>
        <v>257</v>
      </c>
    </row>
    <row r="468" spans="2:9" x14ac:dyDescent="0.25">
      <c r="B468" s="96">
        <v>31</v>
      </c>
      <c r="C468" s="1">
        <v>25.183333333523478</v>
      </c>
      <c r="D468" s="103" t="str">
        <f t="shared" si="24"/>
        <v>MC2</v>
      </c>
      <c r="E468" s="103">
        <f t="shared" si="25"/>
        <v>31</v>
      </c>
      <c r="F468" s="117">
        <f t="shared" si="26"/>
        <v>25.183333333523478</v>
      </c>
      <c r="G468" s="103">
        <f>VLOOKUP(D468,Lookup!$J$5:$M$19,4,FALSE)-E468</f>
        <v>266</v>
      </c>
      <c r="H468" s="103">
        <f>VLOOKUP(D468,Lookup!$J$5:$K$19,2,FALSE)</f>
        <v>11</v>
      </c>
      <c r="I468" s="103">
        <f ca="1">IFERROR(VLOOKUP(G468,OFFSET(Lookup!$J$21,1,H468-1,5,1),1,1),0)</f>
        <v>257</v>
      </c>
    </row>
    <row r="469" spans="2:9" x14ac:dyDescent="0.25">
      <c r="B469" s="96">
        <v>33</v>
      </c>
      <c r="C469" s="1">
        <v>4.1333333333604969</v>
      </c>
      <c r="D469" s="103" t="str">
        <f t="shared" si="24"/>
        <v>MC2</v>
      </c>
      <c r="E469" s="103">
        <f t="shared" si="25"/>
        <v>33</v>
      </c>
      <c r="F469" s="117">
        <f t="shared" si="26"/>
        <v>4.1333333333604969</v>
      </c>
      <c r="G469" s="103">
        <f>VLOOKUP(D469,Lookup!$J$5:$M$19,4,FALSE)-E469</f>
        <v>264</v>
      </c>
      <c r="H469" s="103">
        <f>VLOOKUP(D469,Lookup!$J$5:$K$19,2,FALSE)</f>
        <v>11</v>
      </c>
      <c r="I469" s="103">
        <f ca="1">IFERROR(VLOOKUP(G469,OFFSET(Lookup!$J$21,1,H469-1,5,1),1,1),0)</f>
        <v>257</v>
      </c>
    </row>
    <row r="470" spans="2:9" x14ac:dyDescent="0.25">
      <c r="B470" s="96">
        <v>36</v>
      </c>
      <c r="C470" s="1">
        <v>119.33333333325572</v>
      </c>
      <c r="D470" s="103" t="str">
        <f t="shared" si="24"/>
        <v>MC2</v>
      </c>
      <c r="E470" s="103">
        <f t="shared" si="25"/>
        <v>36</v>
      </c>
      <c r="F470" s="117">
        <f t="shared" si="26"/>
        <v>119.33333333325572</v>
      </c>
      <c r="G470" s="103">
        <f>VLOOKUP(D470,Lookup!$J$5:$M$19,4,FALSE)-E470</f>
        <v>261</v>
      </c>
      <c r="H470" s="103">
        <f>VLOOKUP(D470,Lookup!$J$5:$K$19,2,FALSE)</f>
        <v>11</v>
      </c>
      <c r="I470" s="103">
        <f ca="1">IFERROR(VLOOKUP(G470,OFFSET(Lookup!$J$21,1,H470-1,5,1),1,1),0)</f>
        <v>257</v>
      </c>
    </row>
    <row r="471" spans="2:9" x14ac:dyDescent="0.25">
      <c r="B471" s="96">
        <v>40</v>
      </c>
      <c r="C471" s="1">
        <v>56.033333333325572</v>
      </c>
      <c r="D471" s="103" t="str">
        <f t="shared" si="24"/>
        <v>MC2</v>
      </c>
      <c r="E471" s="103">
        <f t="shared" si="25"/>
        <v>40</v>
      </c>
      <c r="F471" s="117">
        <f t="shared" si="26"/>
        <v>56.033333333325572</v>
      </c>
      <c r="G471" s="103">
        <f>VLOOKUP(D471,Lookup!$J$5:$M$19,4,FALSE)-E471</f>
        <v>257</v>
      </c>
      <c r="H471" s="103">
        <f>VLOOKUP(D471,Lookup!$J$5:$K$19,2,FALSE)</f>
        <v>11</v>
      </c>
      <c r="I471" s="103">
        <f ca="1">IFERROR(VLOOKUP(G471,OFFSET(Lookup!$J$21,1,H471-1,5,1),1,1),0)</f>
        <v>257</v>
      </c>
    </row>
    <row r="472" spans="2:9" x14ac:dyDescent="0.25">
      <c r="B472" s="96">
        <v>41</v>
      </c>
      <c r="C472" s="1">
        <v>4.5666666667093523</v>
      </c>
      <c r="D472" s="103" t="str">
        <f t="shared" si="24"/>
        <v>MC2</v>
      </c>
      <c r="E472" s="103">
        <f t="shared" si="25"/>
        <v>41</v>
      </c>
      <c r="F472" s="117">
        <f t="shared" si="26"/>
        <v>4.5666666667093523</v>
      </c>
      <c r="G472" s="103">
        <f>VLOOKUP(D472,Lookup!$J$5:$M$19,4,FALSE)-E472</f>
        <v>256</v>
      </c>
      <c r="H472" s="103">
        <f>VLOOKUP(D472,Lookup!$J$5:$K$19,2,FALSE)</f>
        <v>11</v>
      </c>
      <c r="I472" s="103">
        <f ca="1">IFERROR(VLOOKUP(G472,OFFSET(Lookup!$J$21,1,H472-1,5,1),1,1),0)</f>
        <v>217</v>
      </c>
    </row>
    <row r="473" spans="2:9" x14ac:dyDescent="0.25">
      <c r="B473" s="96">
        <v>45</v>
      </c>
      <c r="C473" s="1">
        <v>138.41666666662786</v>
      </c>
      <c r="D473" s="103" t="str">
        <f t="shared" si="24"/>
        <v>MC2</v>
      </c>
      <c r="E473" s="103">
        <f t="shared" si="25"/>
        <v>45</v>
      </c>
      <c r="F473" s="117">
        <f t="shared" si="26"/>
        <v>138.41666666662786</v>
      </c>
      <c r="G473" s="103">
        <f>VLOOKUP(D473,Lookup!$J$5:$M$19,4,FALSE)-E473</f>
        <v>252</v>
      </c>
      <c r="H473" s="103">
        <f>VLOOKUP(D473,Lookup!$J$5:$K$19,2,FALSE)</f>
        <v>11</v>
      </c>
      <c r="I473" s="103">
        <f ca="1">IFERROR(VLOOKUP(G473,OFFSET(Lookup!$J$21,1,H473-1,5,1),1,1),0)</f>
        <v>217</v>
      </c>
    </row>
    <row r="474" spans="2:9" x14ac:dyDescent="0.25">
      <c r="B474" s="96">
        <v>48</v>
      </c>
      <c r="C474" s="1">
        <v>13.883333333360497</v>
      </c>
      <c r="D474" s="103" t="str">
        <f t="shared" si="24"/>
        <v>MC2</v>
      </c>
      <c r="E474" s="103">
        <f t="shared" si="25"/>
        <v>48</v>
      </c>
      <c r="F474" s="117">
        <f t="shared" si="26"/>
        <v>13.883333333360497</v>
      </c>
      <c r="G474" s="103">
        <f>VLOOKUP(D474,Lookup!$J$5:$M$19,4,FALSE)-E474</f>
        <v>249</v>
      </c>
      <c r="H474" s="103">
        <f>VLOOKUP(D474,Lookup!$J$5:$K$19,2,FALSE)</f>
        <v>11</v>
      </c>
      <c r="I474" s="103">
        <f ca="1">IFERROR(VLOOKUP(G474,OFFSET(Lookup!$J$21,1,H474-1,5,1),1,1),0)</f>
        <v>217</v>
      </c>
    </row>
    <row r="475" spans="2:9" x14ac:dyDescent="0.25">
      <c r="B475" s="96">
        <v>49</v>
      </c>
      <c r="C475" s="1">
        <v>34.866666666639503</v>
      </c>
      <c r="D475" s="103" t="str">
        <f t="shared" si="24"/>
        <v>MC2</v>
      </c>
      <c r="E475" s="103">
        <f t="shared" si="25"/>
        <v>49</v>
      </c>
      <c r="F475" s="117">
        <f t="shared" si="26"/>
        <v>34.866666666639503</v>
      </c>
      <c r="G475" s="103">
        <f>VLOOKUP(D475,Lookup!$J$5:$M$19,4,FALSE)-E475</f>
        <v>248</v>
      </c>
      <c r="H475" s="103">
        <f>VLOOKUP(D475,Lookup!$J$5:$K$19,2,FALSE)</f>
        <v>11</v>
      </c>
      <c r="I475" s="103">
        <f ca="1">IFERROR(VLOOKUP(G475,OFFSET(Lookup!$J$21,1,H475-1,5,1),1,1),0)</f>
        <v>217</v>
      </c>
    </row>
    <row r="476" spans="2:9" x14ac:dyDescent="0.25">
      <c r="B476" s="96">
        <v>51</v>
      </c>
      <c r="C476" s="1">
        <v>10.416666666569654</v>
      </c>
      <c r="D476" s="103" t="str">
        <f t="shared" si="24"/>
        <v>MC2</v>
      </c>
      <c r="E476" s="103">
        <f t="shared" si="25"/>
        <v>51</v>
      </c>
      <c r="F476" s="117">
        <f t="shared" si="26"/>
        <v>10.416666666569654</v>
      </c>
      <c r="G476" s="103">
        <f>VLOOKUP(D476,Lookup!$J$5:$M$19,4,FALSE)-E476</f>
        <v>246</v>
      </c>
      <c r="H476" s="103">
        <f>VLOOKUP(D476,Lookup!$J$5:$K$19,2,FALSE)</f>
        <v>11</v>
      </c>
      <c r="I476" s="103">
        <f ca="1">IFERROR(VLOOKUP(G476,OFFSET(Lookup!$J$21,1,H476-1,5,1),1,1),0)</f>
        <v>217</v>
      </c>
    </row>
    <row r="477" spans="2:9" x14ac:dyDescent="0.25">
      <c r="B477" s="96">
        <v>52</v>
      </c>
      <c r="C477" s="1">
        <v>18.433333333348855</v>
      </c>
      <c r="D477" s="103" t="str">
        <f t="shared" si="24"/>
        <v>MC2</v>
      </c>
      <c r="E477" s="103">
        <f t="shared" si="25"/>
        <v>52</v>
      </c>
      <c r="F477" s="117">
        <f t="shared" si="26"/>
        <v>18.433333333348855</v>
      </c>
      <c r="G477" s="103">
        <f>VLOOKUP(D477,Lookup!$J$5:$M$19,4,FALSE)-E477</f>
        <v>245</v>
      </c>
      <c r="H477" s="103">
        <f>VLOOKUP(D477,Lookup!$J$5:$K$19,2,FALSE)</f>
        <v>11</v>
      </c>
      <c r="I477" s="103">
        <f ca="1">IFERROR(VLOOKUP(G477,OFFSET(Lookup!$J$21,1,H477-1,5,1),1,1),0)</f>
        <v>217</v>
      </c>
    </row>
    <row r="478" spans="2:9" x14ac:dyDescent="0.25">
      <c r="B478" s="96">
        <v>54</v>
      </c>
      <c r="C478" s="1">
        <v>115.2666666667792</v>
      </c>
      <c r="D478" s="103" t="str">
        <f t="shared" si="24"/>
        <v>MC2</v>
      </c>
      <c r="E478" s="103">
        <f t="shared" si="25"/>
        <v>54</v>
      </c>
      <c r="F478" s="117">
        <f t="shared" si="26"/>
        <v>115.2666666667792</v>
      </c>
      <c r="G478" s="103">
        <f>VLOOKUP(D478,Lookup!$J$5:$M$19,4,FALSE)-E478</f>
        <v>243</v>
      </c>
      <c r="H478" s="103">
        <f>VLOOKUP(D478,Lookup!$J$5:$K$19,2,FALSE)</f>
        <v>11</v>
      </c>
      <c r="I478" s="103">
        <f ca="1">IFERROR(VLOOKUP(G478,OFFSET(Lookup!$J$21,1,H478-1,5,1),1,1),0)</f>
        <v>217</v>
      </c>
    </row>
    <row r="479" spans="2:9" x14ac:dyDescent="0.25">
      <c r="B479" s="96">
        <v>55</v>
      </c>
      <c r="C479" s="1">
        <v>8.9333333332906477</v>
      </c>
      <c r="D479" s="103" t="str">
        <f t="shared" si="24"/>
        <v>MC2</v>
      </c>
      <c r="E479" s="103">
        <f t="shared" si="25"/>
        <v>55</v>
      </c>
      <c r="F479" s="117">
        <f t="shared" si="26"/>
        <v>8.9333333332906477</v>
      </c>
      <c r="G479" s="103">
        <f>VLOOKUP(D479,Lookup!$J$5:$M$19,4,FALSE)-E479</f>
        <v>242</v>
      </c>
      <c r="H479" s="103">
        <f>VLOOKUP(D479,Lookup!$J$5:$K$19,2,FALSE)</f>
        <v>11</v>
      </c>
      <c r="I479" s="103">
        <f ca="1">IFERROR(VLOOKUP(G479,OFFSET(Lookup!$J$21,1,H479-1,5,1),1,1),0)</f>
        <v>217</v>
      </c>
    </row>
    <row r="480" spans="2:9" x14ac:dyDescent="0.25">
      <c r="B480" s="96">
        <v>56</v>
      </c>
      <c r="C480" s="1">
        <v>9.933333333407063</v>
      </c>
      <c r="D480" s="103" t="str">
        <f t="shared" si="24"/>
        <v>MC2</v>
      </c>
      <c r="E480" s="103">
        <f t="shared" si="25"/>
        <v>56</v>
      </c>
      <c r="F480" s="117">
        <f t="shared" si="26"/>
        <v>9.933333333407063</v>
      </c>
      <c r="G480" s="103">
        <f>VLOOKUP(D480,Lookup!$J$5:$M$19,4,FALSE)-E480</f>
        <v>241</v>
      </c>
      <c r="H480" s="103">
        <f>VLOOKUP(D480,Lookup!$J$5:$K$19,2,FALSE)</f>
        <v>11</v>
      </c>
      <c r="I480" s="103">
        <f ca="1">IFERROR(VLOOKUP(G480,OFFSET(Lookup!$J$21,1,H480-1,5,1),1,1),0)</f>
        <v>217</v>
      </c>
    </row>
    <row r="481" spans="2:9" x14ac:dyDescent="0.25">
      <c r="B481" s="96">
        <v>57</v>
      </c>
      <c r="C481" s="1">
        <v>1.1333333333604969</v>
      </c>
      <c r="D481" s="103" t="str">
        <f t="shared" si="24"/>
        <v>MC2</v>
      </c>
      <c r="E481" s="103">
        <f t="shared" si="25"/>
        <v>57</v>
      </c>
      <c r="F481" s="117">
        <f t="shared" si="26"/>
        <v>1.1333333333604969</v>
      </c>
      <c r="G481" s="103">
        <f>VLOOKUP(D481,Lookup!$J$5:$M$19,4,FALSE)-E481</f>
        <v>240</v>
      </c>
      <c r="H481" s="103">
        <f>VLOOKUP(D481,Lookup!$J$5:$K$19,2,FALSE)</f>
        <v>11</v>
      </c>
      <c r="I481" s="103">
        <f ca="1">IFERROR(VLOOKUP(G481,OFFSET(Lookup!$J$21,1,H481-1,5,1),1,1),0)</f>
        <v>217</v>
      </c>
    </row>
    <row r="482" spans="2:9" x14ac:dyDescent="0.25">
      <c r="B482" s="96">
        <v>58</v>
      </c>
      <c r="C482" s="1">
        <v>59.116666666406672</v>
      </c>
      <c r="D482" s="103" t="str">
        <f t="shared" si="24"/>
        <v>MC2</v>
      </c>
      <c r="E482" s="103">
        <f t="shared" si="25"/>
        <v>58</v>
      </c>
      <c r="F482" s="117">
        <f t="shared" si="26"/>
        <v>59.116666666406672</v>
      </c>
      <c r="G482" s="103">
        <f>VLOOKUP(D482,Lookup!$J$5:$M$19,4,FALSE)-E482</f>
        <v>239</v>
      </c>
      <c r="H482" s="103">
        <f>VLOOKUP(D482,Lookup!$J$5:$K$19,2,FALSE)</f>
        <v>11</v>
      </c>
      <c r="I482" s="103">
        <f ca="1">IFERROR(VLOOKUP(G482,OFFSET(Lookup!$J$21,1,H482-1,5,1),1,1),0)</f>
        <v>217</v>
      </c>
    </row>
    <row r="483" spans="2:9" x14ac:dyDescent="0.25">
      <c r="B483" s="96">
        <v>59</v>
      </c>
      <c r="C483" s="1">
        <v>7.7000000001280569</v>
      </c>
      <c r="D483" s="103" t="str">
        <f t="shared" si="24"/>
        <v>MC2</v>
      </c>
      <c r="E483" s="103">
        <f t="shared" si="25"/>
        <v>59</v>
      </c>
      <c r="F483" s="117">
        <f t="shared" si="26"/>
        <v>7.7000000001280569</v>
      </c>
      <c r="G483" s="103">
        <f>VLOOKUP(D483,Lookup!$J$5:$M$19,4,FALSE)-E483</f>
        <v>238</v>
      </c>
      <c r="H483" s="103">
        <f>VLOOKUP(D483,Lookup!$J$5:$K$19,2,FALSE)</f>
        <v>11</v>
      </c>
      <c r="I483" s="103">
        <f ca="1">IFERROR(VLOOKUP(G483,OFFSET(Lookup!$J$21,1,H483-1,5,1),1,1),0)</f>
        <v>217</v>
      </c>
    </row>
    <row r="484" spans="2:9" x14ac:dyDescent="0.25">
      <c r="B484" s="96">
        <v>60</v>
      </c>
      <c r="C484" s="1">
        <v>5.5499999999301508</v>
      </c>
      <c r="D484" s="103" t="str">
        <f t="shared" si="24"/>
        <v>MC2</v>
      </c>
      <c r="E484" s="103">
        <f t="shared" si="25"/>
        <v>60</v>
      </c>
      <c r="F484" s="117">
        <f t="shared" si="26"/>
        <v>5.5499999999301508</v>
      </c>
      <c r="G484" s="103">
        <f>VLOOKUP(D484,Lookup!$J$5:$M$19,4,FALSE)-E484</f>
        <v>237</v>
      </c>
      <c r="H484" s="103">
        <f>VLOOKUP(D484,Lookup!$J$5:$K$19,2,FALSE)</f>
        <v>11</v>
      </c>
      <c r="I484" s="103">
        <f ca="1">IFERROR(VLOOKUP(G484,OFFSET(Lookup!$J$21,1,H484-1,5,1),1,1),0)</f>
        <v>217</v>
      </c>
    </row>
    <row r="485" spans="2:9" x14ac:dyDescent="0.25">
      <c r="B485" s="96">
        <v>61</v>
      </c>
      <c r="C485" s="1">
        <v>13.799999999930151</v>
      </c>
      <c r="D485" s="103" t="str">
        <f t="shared" si="24"/>
        <v>MC2</v>
      </c>
      <c r="E485" s="103">
        <f t="shared" si="25"/>
        <v>61</v>
      </c>
      <c r="F485" s="117">
        <f t="shared" si="26"/>
        <v>13.799999999930151</v>
      </c>
      <c r="G485" s="103">
        <f>VLOOKUP(D485,Lookup!$J$5:$M$19,4,FALSE)-E485</f>
        <v>236</v>
      </c>
      <c r="H485" s="103">
        <f>VLOOKUP(D485,Lookup!$J$5:$K$19,2,FALSE)</f>
        <v>11</v>
      </c>
      <c r="I485" s="103">
        <f ca="1">IFERROR(VLOOKUP(G485,OFFSET(Lookup!$J$21,1,H485-1,5,1),1,1),0)</f>
        <v>217</v>
      </c>
    </row>
    <row r="486" spans="2:9" x14ac:dyDescent="0.25">
      <c r="B486" s="96">
        <v>63</v>
      </c>
      <c r="C486" s="1">
        <v>109.13333333318587</v>
      </c>
      <c r="D486" s="103" t="str">
        <f t="shared" si="24"/>
        <v>MC2</v>
      </c>
      <c r="E486" s="103">
        <f t="shared" si="25"/>
        <v>63</v>
      </c>
      <c r="F486" s="117">
        <f t="shared" si="26"/>
        <v>109.13333333318587</v>
      </c>
      <c r="G486" s="103">
        <f>VLOOKUP(D486,Lookup!$J$5:$M$19,4,FALSE)-E486</f>
        <v>234</v>
      </c>
      <c r="H486" s="103">
        <f>VLOOKUP(D486,Lookup!$J$5:$K$19,2,FALSE)</f>
        <v>11</v>
      </c>
      <c r="I486" s="103">
        <f ca="1">IFERROR(VLOOKUP(G486,OFFSET(Lookup!$J$21,1,H486-1,5,1),1,1),0)</f>
        <v>217</v>
      </c>
    </row>
    <row r="487" spans="2:9" x14ac:dyDescent="0.25">
      <c r="B487" s="96">
        <v>65</v>
      </c>
      <c r="C487" s="1">
        <v>36.650000000023283</v>
      </c>
      <c r="D487" s="103" t="str">
        <f t="shared" si="24"/>
        <v>MC2</v>
      </c>
      <c r="E487" s="103">
        <f t="shared" si="25"/>
        <v>65</v>
      </c>
      <c r="F487" s="117">
        <f t="shared" si="26"/>
        <v>36.650000000023283</v>
      </c>
      <c r="G487" s="103">
        <f>VLOOKUP(D487,Lookup!$J$5:$M$19,4,FALSE)-E487</f>
        <v>232</v>
      </c>
      <c r="H487" s="103">
        <f>VLOOKUP(D487,Lookup!$J$5:$K$19,2,FALSE)</f>
        <v>11</v>
      </c>
      <c r="I487" s="103">
        <f ca="1">IFERROR(VLOOKUP(G487,OFFSET(Lookup!$J$21,1,H487-1,5,1),1,1),0)</f>
        <v>217</v>
      </c>
    </row>
    <row r="488" spans="2:9" x14ac:dyDescent="0.25">
      <c r="B488" s="96">
        <v>66</v>
      </c>
      <c r="C488" s="1">
        <v>17.800000000046566</v>
      </c>
      <c r="D488" s="103" t="str">
        <f t="shared" si="24"/>
        <v>MC2</v>
      </c>
      <c r="E488" s="103">
        <f t="shared" si="25"/>
        <v>66</v>
      </c>
      <c r="F488" s="117">
        <f t="shared" si="26"/>
        <v>17.800000000046566</v>
      </c>
      <c r="G488" s="103">
        <f>VLOOKUP(D488,Lookup!$J$5:$M$19,4,FALSE)-E488</f>
        <v>231</v>
      </c>
      <c r="H488" s="103">
        <f>VLOOKUP(D488,Lookup!$J$5:$K$19,2,FALSE)</f>
        <v>11</v>
      </c>
      <c r="I488" s="103">
        <f ca="1">IFERROR(VLOOKUP(G488,OFFSET(Lookup!$J$21,1,H488-1,5,1),1,1),0)</f>
        <v>217</v>
      </c>
    </row>
    <row r="489" spans="2:9" x14ac:dyDescent="0.25">
      <c r="B489" s="96">
        <v>67</v>
      </c>
      <c r="C489" s="1">
        <v>33.216666666849051</v>
      </c>
      <c r="D489" s="103" t="str">
        <f t="shared" si="24"/>
        <v>MC2</v>
      </c>
      <c r="E489" s="103">
        <f t="shared" si="25"/>
        <v>67</v>
      </c>
      <c r="F489" s="117">
        <f t="shared" si="26"/>
        <v>33.216666666849051</v>
      </c>
      <c r="G489" s="103">
        <f>VLOOKUP(D489,Lookup!$J$5:$M$19,4,FALSE)-E489</f>
        <v>230</v>
      </c>
      <c r="H489" s="103">
        <f>VLOOKUP(D489,Lookup!$J$5:$K$19,2,FALSE)</f>
        <v>11</v>
      </c>
      <c r="I489" s="103">
        <f ca="1">IFERROR(VLOOKUP(G489,OFFSET(Lookup!$J$21,1,H489-1,5,1),1,1),0)</f>
        <v>217</v>
      </c>
    </row>
    <row r="490" spans="2:9" x14ac:dyDescent="0.25">
      <c r="B490" s="96">
        <v>68</v>
      </c>
      <c r="C490" s="1">
        <v>14.266666666720994</v>
      </c>
      <c r="D490" s="103" t="str">
        <f t="shared" si="24"/>
        <v>MC2</v>
      </c>
      <c r="E490" s="103">
        <f t="shared" si="25"/>
        <v>68</v>
      </c>
      <c r="F490" s="117">
        <f t="shared" si="26"/>
        <v>14.266666666720994</v>
      </c>
      <c r="G490" s="103">
        <f>VLOOKUP(D490,Lookup!$J$5:$M$19,4,FALSE)-E490</f>
        <v>229</v>
      </c>
      <c r="H490" s="103">
        <f>VLOOKUP(D490,Lookup!$J$5:$K$19,2,FALSE)</f>
        <v>11</v>
      </c>
      <c r="I490" s="103">
        <f ca="1">IFERROR(VLOOKUP(G490,OFFSET(Lookup!$J$21,1,H490-1,5,1),1,1),0)</f>
        <v>217</v>
      </c>
    </row>
    <row r="491" spans="2:9" x14ac:dyDescent="0.25">
      <c r="B491" s="96">
        <v>71</v>
      </c>
      <c r="C491" s="1">
        <v>21.866666666697711</v>
      </c>
      <c r="D491" s="103" t="str">
        <f t="shared" si="24"/>
        <v>MC2</v>
      </c>
      <c r="E491" s="103">
        <f t="shared" si="25"/>
        <v>71</v>
      </c>
      <c r="F491" s="117">
        <f t="shared" si="26"/>
        <v>21.866666666697711</v>
      </c>
      <c r="G491" s="103">
        <f>VLOOKUP(D491,Lookup!$J$5:$M$19,4,FALSE)-E491</f>
        <v>226</v>
      </c>
      <c r="H491" s="103">
        <f>VLOOKUP(D491,Lookup!$J$5:$K$19,2,FALSE)</f>
        <v>11</v>
      </c>
      <c r="I491" s="103">
        <f ca="1">IFERROR(VLOOKUP(G491,OFFSET(Lookup!$J$21,1,H491-1,5,1),1,1),0)</f>
        <v>217</v>
      </c>
    </row>
    <row r="492" spans="2:9" x14ac:dyDescent="0.25">
      <c r="B492" s="96">
        <v>72</v>
      </c>
      <c r="C492" s="1">
        <v>273.56666666676756</v>
      </c>
      <c r="D492" s="103" t="str">
        <f t="shared" si="24"/>
        <v>MC2</v>
      </c>
      <c r="E492" s="103">
        <f t="shared" si="25"/>
        <v>72</v>
      </c>
      <c r="F492" s="117">
        <f t="shared" si="26"/>
        <v>273.56666666676756</v>
      </c>
      <c r="G492" s="103">
        <f>VLOOKUP(D492,Lookup!$J$5:$M$19,4,FALSE)-E492</f>
        <v>225</v>
      </c>
      <c r="H492" s="103">
        <f>VLOOKUP(D492,Lookup!$J$5:$K$19,2,FALSE)</f>
        <v>11</v>
      </c>
      <c r="I492" s="103">
        <f ca="1">IFERROR(VLOOKUP(G492,OFFSET(Lookup!$J$21,1,H492-1,5,1),1,1),0)</f>
        <v>217</v>
      </c>
    </row>
    <row r="493" spans="2:9" x14ac:dyDescent="0.25">
      <c r="B493" s="96">
        <v>74</v>
      </c>
      <c r="C493" s="1">
        <v>26.766666666604578</v>
      </c>
      <c r="D493" s="103" t="str">
        <f t="shared" si="24"/>
        <v>MC2</v>
      </c>
      <c r="E493" s="103">
        <f t="shared" si="25"/>
        <v>74</v>
      </c>
      <c r="F493" s="117">
        <f t="shared" si="26"/>
        <v>26.766666666604578</v>
      </c>
      <c r="G493" s="103">
        <f>VLOOKUP(D493,Lookup!$J$5:$M$19,4,FALSE)-E493</f>
        <v>223</v>
      </c>
      <c r="H493" s="103">
        <f>VLOOKUP(D493,Lookup!$J$5:$K$19,2,FALSE)</f>
        <v>11</v>
      </c>
      <c r="I493" s="103">
        <f ca="1">IFERROR(VLOOKUP(G493,OFFSET(Lookup!$J$21,1,H493-1,5,1),1,1),0)</f>
        <v>217</v>
      </c>
    </row>
    <row r="494" spans="2:9" x14ac:dyDescent="0.25">
      <c r="B494" s="96">
        <v>76</v>
      </c>
      <c r="C494" s="1">
        <v>67.083333333896007</v>
      </c>
      <c r="D494" s="103" t="str">
        <f t="shared" si="24"/>
        <v>MC2</v>
      </c>
      <c r="E494" s="103">
        <f t="shared" si="25"/>
        <v>76</v>
      </c>
      <c r="F494" s="117">
        <f t="shared" si="26"/>
        <v>67.083333333896007</v>
      </c>
      <c r="G494" s="103">
        <f>VLOOKUP(D494,Lookup!$J$5:$M$19,4,FALSE)-E494</f>
        <v>221</v>
      </c>
      <c r="H494" s="103">
        <f>VLOOKUP(D494,Lookup!$J$5:$K$19,2,FALSE)</f>
        <v>11</v>
      </c>
      <c r="I494" s="103">
        <f ca="1">IFERROR(VLOOKUP(G494,OFFSET(Lookup!$J$21,1,H494-1,5,1),1,1),0)</f>
        <v>217</v>
      </c>
    </row>
    <row r="495" spans="2:9" x14ac:dyDescent="0.25">
      <c r="B495" s="96">
        <v>81</v>
      </c>
      <c r="C495" s="1">
        <v>841.61666666634846</v>
      </c>
      <c r="D495" s="103" t="str">
        <f t="shared" si="24"/>
        <v>MC2</v>
      </c>
      <c r="E495" s="103">
        <f t="shared" si="25"/>
        <v>81</v>
      </c>
      <c r="F495" s="117">
        <f t="shared" si="26"/>
        <v>841.61666666634846</v>
      </c>
      <c r="G495" s="103">
        <f>VLOOKUP(D495,Lookup!$J$5:$M$19,4,FALSE)-E495</f>
        <v>216</v>
      </c>
      <c r="H495" s="103">
        <f>VLOOKUP(D495,Lookup!$J$5:$K$19,2,FALSE)</f>
        <v>11</v>
      </c>
      <c r="I495" s="103">
        <f ca="1">IFERROR(VLOOKUP(G495,OFFSET(Lookup!$J$21,1,H495-1,5,1),1,1),0)</f>
        <v>207</v>
      </c>
    </row>
    <row r="496" spans="2:9" x14ac:dyDescent="0.25">
      <c r="B496" s="96">
        <v>84</v>
      </c>
      <c r="C496" s="1">
        <v>18.199999999953434</v>
      </c>
      <c r="D496" s="103" t="str">
        <f t="shared" si="24"/>
        <v>MC2</v>
      </c>
      <c r="E496" s="103">
        <f t="shared" si="25"/>
        <v>84</v>
      </c>
      <c r="F496" s="117">
        <f t="shared" si="26"/>
        <v>18.199999999953434</v>
      </c>
      <c r="G496" s="103">
        <f>VLOOKUP(D496,Lookup!$J$5:$M$19,4,FALSE)-E496</f>
        <v>213</v>
      </c>
      <c r="H496" s="103">
        <f>VLOOKUP(D496,Lookup!$J$5:$K$19,2,FALSE)</f>
        <v>11</v>
      </c>
      <c r="I496" s="103">
        <f ca="1">IFERROR(VLOOKUP(G496,OFFSET(Lookup!$J$21,1,H496-1,5,1),1,1),0)</f>
        <v>207</v>
      </c>
    </row>
    <row r="497" spans="2:9" x14ac:dyDescent="0.25">
      <c r="B497" s="96">
        <v>85</v>
      </c>
      <c r="C497" s="1">
        <v>53.900000000197906</v>
      </c>
      <c r="D497" s="103" t="str">
        <f t="shared" si="24"/>
        <v>MC2</v>
      </c>
      <c r="E497" s="103">
        <f t="shared" si="25"/>
        <v>85</v>
      </c>
      <c r="F497" s="117">
        <f t="shared" si="26"/>
        <v>53.900000000197906</v>
      </c>
      <c r="G497" s="103">
        <f>VLOOKUP(D497,Lookup!$J$5:$M$19,4,FALSE)-E497</f>
        <v>212</v>
      </c>
      <c r="H497" s="103">
        <f>VLOOKUP(D497,Lookup!$J$5:$K$19,2,FALSE)</f>
        <v>11</v>
      </c>
      <c r="I497" s="103">
        <f ca="1">IFERROR(VLOOKUP(G497,OFFSET(Lookup!$J$21,1,H497-1,5,1),1,1),0)</f>
        <v>207</v>
      </c>
    </row>
    <row r="498" spans="2:9" x14ac:dyDescent="0.25">
      <c r="B498" s="96">
        <v>86</v>
      </c>
      <c r="C498" s="1">
        <v>0.65000000002328306</v>
      </c>
      <c r="D498" s="103" t="str">
        <f t="shared" si="24"/>
        <v>MC2</v>
      </c>
      <c r="E498" s="103">
        <f t="shared" si="25"/>
        <v>86</v>
      </c>
      <c r="F498" s="117">
        <f t="shared" si="26"/>
        <v>0.65000000002328306</v>
      </c>
      <c r="G498" s="103">
        <f>VLOOKUP(D498,Lookup!$J$5:$M$19,4,FALSE)-E498</f>
        <v>211</v>
      </c>
      <c r="H498" s="103">
        <f>VLOOKUP(D498,Lookup!$J$5:$K$19,2,FALSE)</f>
        <v>11</v>
      </c>
      <c r="I498" s="103">
        <f ca="1">IFERROR(VLOOKUP(G498,OFFSET(Lookup!$J$21,1,H498-1,5,1),1,1),0)</f>
        <v>207</v>
      </c>
    </row>
    <row r="499" spans="2:9" x14ac:dyDescent="0.25">
      <c r="B499" s="96">
        <v>87</v>
      </c>
      <c r="C499" s="1">
        <v>2.0000000000582077</v>
      </c>
      <c r="D499" s="103" t="str">
        <f t="shared" si="24"/>
        <v>MC2</v>
      </c>
      <c r="E499" s="103">
        <f t="shared" si="25"/>
        <v>87</v>
      </c>
      <c r="F499" s="117">
        <f t="shared" si="26"/>
        <v>2.0000000000582077</v>
      </c>
      <c r="G499" s="103">
        <f>VLOOKUP(D499,Lookup!$J$5:$M$19,4,FALSE)-E499</f>
        <v>210</v>
      </c>
      <c r="H499" s="103">
        <f>VLOOKUP(D499,Lookup!$J$5:$K$19,2,FALSE)</f>
        <v>11</v>
      </c>
      <c r="I499" s="103">
        <f ca="1">IFERROR(VLOOKUP(G499,OFFSET(Lookup!$J$21,1,H499-1,5,1),1,1),0)</f>
        <v>207</v>
      </c>
    </row>
    <row r="500" spans="2:9" x14ac:dyDescent="0.25">
      <c r="B500" s="96">
        <v>90</v>
      </c>
      <c r="C500" s="1">
        <v>130.68333333305782</v>
      </c>
      <c r="D500" s="103" t="str">
        <f t="shared" si="24"/>
        <v>MC2</v>
      </c>
      <c r="E500" s="103">
        <f t="shared" si="25"/>
        <v>90</v>
      </c>
      <c r="F500" s="117">
        <f t="shared" si="26"/>
        <v>130.68333333305782</v>
      </c>
      <c r="G500" s="103">
        <f>VLOOKUP(D500,Lookup!$J$5:$M$19,4,FALSE)-E500</f>
        <v>207</v>
      </c>
      <c r="H500" s="103">
        <f>VLOOKUP(D500,Lookup!$J$5:$K$19,2,FALSE)</f>
        <v>11</v>
      </c>
      <c r="I500" s="103">
        <f ca="1">IFERROR(VLOOKUP(G500,OFFSET(Lookup!$J$21,1,H500-1,5,1),1,1),0)</f>
        <v>207</v>
      </c>
    </row>
    <row r="501" spans="2:9" x14ac:dyDescent="0.25">
      <c r="B501" s="96">
        <v>93</v>
      </c>
      <c r="C501" s="1">
        <v>28.21666666661622</v>
      </c>
      <c r="D501" s="103" t="str">
        <f t="shared" si="24"/>
        <v>MC2</v>
      </c>
      <c r="E501" s="103">
        <f t="shared" si="25"/>
        <v>93</v>
      </c>
      <c r="F501" s="117">
        <f t="shared" si="26"/>
        <v>28.21666666661622</v>
      </c>
      <c r="G501" s="103">
        <f>VLOOKUP(D501,Lookup!$J$5:$M$19,4,FALSE)-E501</f>
        <v>204</v>
      </c>
      <c r="H501" s="103">
        <f>VLOOKUP(D501,Lookup!$J$5:$K$19,2,FALSE)</f>
        <v>11</v>
      </c>
      <c r="I501" s="103">
        <f ca="1">IFERROR(VLOOKUP(G501,OFFSET(Lookup!$J$21,1,H501-1,5,1),1,1),0)</f>
        <v>147</v>
      </c>
    </row>
    <row r="502" spans="2:9" x14ac:dyDescent="0.25">
      <c r="B502" s="96">
        <v>94</v>
      </c>
      <c r="C502" s="1">
        <v>16.650000000139698</v>
      </c>
      <c r="D502" s="103" t="str">
        <f t="shared" si="24"/>
        <v>MC2</v>
      </c>
      <c r="E502" s="103">
        <f t="shared" si="25"/>
        <v>94</v>
      </c>
      <c r="F502" s="117">
        <f t="shared" si="26"/>
        <v>16.650000000139698</v>
      </c>
      <c r="G502" s="103">
        <f>VLOOKUP(D502,Lookup!$J$5:$M$19,4,FALSE)-E502</f>
        <v>203</v>
      </c>
      <c r="H502" s="103">
        <f>VLOOKUP(D502,Lookup!$J$5:$K$19,2,FALSE)</f>
        <v>11</v>
      </c>
      <c r="I502" s="103">
        <f ca="1">IFERROR(VLOOKUP(G502,OFFSET(Lookup!$J$21,1,H502-1,5,1),1,1),0)</f>
        <v>147</v>
      </c>
    </row>
    <row r="503" spans="2:9" x14ac:dyDescent="0.25">
      <c r="B503" s="96">
        <v>95</v>
      </c>
      <c r="C503" s="1">
        <v>6.8999999999650754</v>
      </c>
      <c r="D503" s="103" t="str">
        <f t="shared" si="24"/>
        <v>MC2</v>
      </c>
      <c r="E503" s="103">
        <f t="shared" si="25"/>
        <v>95</v>
      </c>
      <c r="F503" s="117">
        <f t="shared" si="26"/>
        <v>6.8999999999650754</v>
      </c>
      <c r="G503" s="103">
        <f>VLOOKUP(D503,Lookup!$J$5:$M$19,4,FALSE)-E503</f>
        <v>202</v>
      </c>
      <c r="H503" s="103">
        <f>VLOOKUP(D503,Lookup!$J$5:$K$19,2,FALSE)</f>
        <v>11</v>
      </c>
      <c r="I503" s="103">
        <f ca="1">IFERROR(VLOOKUP(G503,OFFSET(Lookup!$J$21,1,H503-1,5,1),1,1),0)</f>
        <v>147</v>
      </c>
    </row>
    <row r="504" spans="2:9" x14ac:dyDescent="0.25">
      <c r="B504" s="96">
        <v>97</v>
      </c>
      <c r="C504" s="1">
        <v>20.083333333313931</v>
      </c>
      <c r="D504" s="103" t="str">
        <f t="shared" si="24"/>
        <v>MC2</v>
      </c>
      <c r="E504" s="103">
        <f t="shared" si="25"/>
        <v>97</v>
      </c>
      <c r="F504" s="117">
        <f t="shared" si="26"/>
        <v>20.083333333313931</v>
      </c>
      <c r="G504" s="103">
        <f>VLOOKUP(D504,Lookup!$J$5:$M$19,4,FALSE)-E504</f>
        <v>200</v>
      </c>
      <c r="H504" s="103">
        <f>VLOOKUP(D504,Lookup!$J$5:$K$19,2,FALSE)</f>
        <v>11</v>
      </c>
      <c r="I504" s="103">
        <f ca="1">IFERROR(VLOOKUP(G504,OFFSET(Lookup!$J$21,1,H504-1,5,1),1,1),0)</f>
        <v>147</v>
      </c>
    </row>
    <row r="505" spans="2:9" x14ac:dyDescent="0.25">
      <c r="B505" s="96">
        <v>98</v>
      </c>
      <c r="C505" s="1">
        <v>3.1166666666977108</v>
      </c>
      <c r="D505" s="103" t="str">
        <f t="shared" si="24"/>
        <v>MC2</v>
      </c>
      <c r="E505" s="103">
        <f t="shared" si="25"/>
        <v>98</v>
      </c>
      <c r="F505" s="117">
        <f t="shared" si="26"/>
        <v>3.1166666666977108</v>
      </c>
      <c r="G505" s="103">
        <f>VLOOKUP(D505,Lookup!$J$5:$M$19,4,FALSE)-E505</f>
        <v>199</v>
      </c>
      <c r="H505" s="103">
        <f>VLOOKUP(D505,Lookup!$J$5:$K$19,2,FALSE)</f>
        <v>11</v>
      </c>
      <c r="I505" s="103">
        <f ca="1">IFERROR(VLOOKUP(G505,OFFSET(Lookup!$J$21,1,H505-1,5,1),1,1),0)</f>
        <v>147</v>
      </c>
    </row>
    <row r="506" spans="2:9" x14ac:dyDescent="0.25">
      <c r="B506" s="96">
        <v>99</v>
      </c>
      <c r="C506" s="1">
        <v>17.149999999674037</v>
      </c>
      <c r="D506" s="103" t="str">
        <f t="shared" si="24"/>
        <v>MC2</v>
      </c>
      <c r="E506" s="103">
        <f t="shared" si="25"/>
        <v>99</v>
      </c>
      <c r="F506" s="117">
        <f t="shared" si="26"/>
        <v>17.149999999674037</v>
      </c>
      <c r="G506" s="103">
        <f>VLOOKUP(D506,Lookup!$J$5:$M$19,4,FALSE)-E506</f>
        <v>198</v>
      </c>
      <c r="H506" s="103">
        <f>VLOOKUP(D506,Lookup!$J$5:$K$19,2,FALSE)</f>
        <v>11</v>
      </c>
      <c r="I506" s="103">
        <f ca="1">IFERROR(VLOOKUP(G506,OFFSET(Lookup!$J$21,1,H506-1,5,1),1,1),0)</f>
        <v>147</v>
      </c>
    </row>
    <row r="507" spans="2:9" x14ac:dyDescent="0.25">
      <c r="B507" s="96">
        <v>100</v>
      </c>
      <c r="C507" s="1">
        <v>9</v>
      </c>
      <c r="D507" s="103" t="str">
        <f t="shared" si="24"/>
        <v>MC2</v>
      </c>
      <c r="E507" s="103">
        <f t="shared" si="25"/>
        <v>100</v>
      </c>
      <c r="F507" s="117">
        <f t="shared" si="26"/>
        <v>9</v>
      </c>
      <c r="G507" s="103">
        <f>VLOOKUP(D507,Lookup!$J$5:$M$19,4,FALSE)-E507</f>
        <v>197</v>
      </c>
      <c r="H507" s="103">
        <f>VLOOKUP(D507,Lookup!$J$5:$K$19,2,FALSE)</f>
        <v>11</v>
      </c>
      <c r="I507" s="103">
        <f ca="1">IFERROR(VLOOKUP(G507,OFFSET(Lookup!$J$21,1,H507-1,5,1),1,1),0)</f>
        <v>147</v>
      </c>
    </row>
    <row r="508" spans="2:9" x14ac:dyDescent="0.25">
      <c r="B508" s="96">
        <v>103</v>
      </c>
      <c r="C508" s="1">
        <v>2.5166666666627862</v>
      </c>
      <c r="D508" s="103" t="str">
        <f t="shared" si="24"/>
        <v>MC2</v>
      </c>
      <c r="E508" s="103">
        <f t="shared" si="25"/>
        <v>103</v>
      </c>
      <c r="F508" s="117">
        <f t="shared" si="26"/>
        <v>2.5166666666627862</v>
      </c>
      <c r="G508" s="103">
        <f>VLOOKUP(D508,Lookup!$J$5:$M$19,4,FALSE)-E508</f>
        <v>194</v>
      </c>
      <c r="H508" s="103">
        <f>VLOOKUP(D508,Lookup!$J$5:$K$19,2,FALSE)</f>
        <v>11</v>
      </c>
      <c r="I508" s="103">
        <f ca="1">IFERROR(VLOOKUP(G508,OFFSET(Lookup!$J$21,1,H508-1,5,1),1,1),0)</f>
        <v>147</v>
      </c>
    </row>
    <row r="509" spans="2:9" x14ac:dyDescent="0.25">
      <c r="B509" s="96">
        <v>104</v>
      </c>
      <c r="C509" s="1">
        <v>29.983333333279006</v>
      </c>
      <c r="D509" s="103" t="str">
        <f t="shared" si="24"/>
        <v>MC2</v>
      </c>
      <c r="E509" s="103">
        <f t="shared" si="25"/>
        <v>104</v>
      </c>
      <c r="F509" s="117">
        <f t="shared" si="26"/>
        <v>29.983333333279006</v>
      </c>
      <c r="G509" s="103">
        <f>VLOOKUP(D509,Lookup!$J$5:$M$19,4,FALSE)-E509</f>
        <v>193</v>
      </c>
      <c r="H509" s="103">
        <f>VLOOKUP(D509,Lookup!$J$5:$K$19,2,FALSE)</f>
        <v>11</v>
      </c>
      <c r="I509" s="103">
        <f ca="1">IFERROR(VLOOKUP(G509,OFFSET(Lookup!$J$21,1,H509-1,5,1),1,1),0)</f>
        <v>147</v>
      </c>
    </row>
    <row r="510" spans="2:9" x14ac:dyDescent="0.25">
      <c r="B510" s="96">
        <v>105</v>
      </c>
      <c r="C510" s="1">
        <v>8.0166666666045785</v>
      </c>
      <c r="D510" s="103" t="str">
        <f t="shared" si="24"/>
        <v>MC2</v>
      </c>
      <c r="E510" s="103">
        <f t="shared" si="25"/>
        <v>105</v>
      </c>
      <c r="F510" s="117">
        <f t="shared" si="26"/>
        <v>8.0166666666045785</v>
      </c>
      <c r="G510" s="103">
        <f>VLOOKUP(D510,Lookup!$J$5:$M$19,4,FALSE)-E510</f>
        <v>192</v>
      </c>
      <c r="H510" s="103">
        <f>VLOOKUP(D510,Lookup!$J$5:$K$19,2,FALSE)</f>
        <v>11</v>
      </c>
      <c r="I510" s="103">
        <f ca="1">IFERROR(VLOOKUP(G510,OFFSET(Lookup!$J$21,1,H510-1,5,1),1,1),0)</f>
        <v>147</v>
      </c>
    </row>
    <row r="511" spans="2:9" x14ac:dyDescent="0.25">
      <c r="B511" s="96">
        <v>108</v>
      </c>
      <c r="C511" s="1">
        <v>4.0166666666627862</v>
      </c>
      <c r="D511" s="103" t="str">
        <f t="shared" si="24"/>
        <v>MC2</v>
      </c>
      <c r="E511" s="103">
        <f t="shared" si="25"/>
        <v>108</v>
      </c>
      <c r="F511" s="117">
        <f t="shared" si="26"/>
        <v>4.0166666666627862</v>
      </c>
      <c r="G511" s="103">
        <f>VLOOKUP(D511,Lookup!$J$5:$M$19,4,FALSE)-E511</f>
        <v>189</v>
      </c>
      <c r="H511" s="103">
        <f>VLOOKUP(D511,Lookup!$J$5:$K$19,2,FALSE)</f>
        <v>11</v>
      </c>
      <c r="I511" s="103">
        <f ca="1">IFERROR(VLOOKUP(G511,OFFSET(Lookup!$J$21,1,H511-1,5,1),1,1),0)</f>
        <v>147</v>
      </c>
    </row>
    <row r="512" spans="2:9" x14ac:dyDescent="0.25">
      <c r="B512" s="96">
        <v>111</v>
      </c>
      <c r="C512" s="1">
        <v>1.1499999999068677</v>
      </c>
      <c r="D512" s="103" t="str">
        <f t="shared" si="24"/>
        <v>MC2</v>
      </c>
      <c r="E512" s="103">
        <f t="shared" si="25"/>
        <v>111</v>
      </c>
      <c r="F512" s="117">
        <f t="shared" si="26"/>
        <v>1.1499999999068677</v>
      </c>
      <c r="G512" s="103">
        <f>VLOOKUP(D512,Lookup!$J$5:$M$19,4,FALSE)-E512</f>
        <v>186</v>
      </c>
      <c r="H512" s="103">
        <f>VLOOKUP(D512,Lookup!$J$5:$K$19,2,FALSE)</f>
        <v>11</v>
      </c>
      <c r="I512" s="103">
        <f ca="1">IFERROR(VLOOKUP(G512,OFFSET(Lookup!$J$21,1,H512-1,5,1),1,1),0)</f>
        <v>147</v>
      </c>
    </row>
    <row r="513" spans="2:9" x14ac:dyDescent="0.25">
      <c r="B513" s="96">
        <v>112</v>
      </c>
      <c r="C513" s="1">
        <v>36.64999999984866</v>
      </c>
      <c r="D513" s="103" t="str">
        <f t="shared" si="24"/>
        <v>MC2</v>
      </c>
      <c r="E513" s="103">
        <f t="shared" si="25"/>
        <v>112</v>
      </c>
      <c r="F513" s="117">
        <f t="shared" si="26"/>
        <v>36.64999999984866</v>
      </c>
      <c r="G513" s="103">
        <f>VLOOKUP(D513,Lookup!$J$5:$M$19,4,FALSE)-E513</f>
        <v>185</v>
      </c>
      <c r="H513" s="103">
        <f>VLOOKUP(D513,Lookup!$J$5:$K$19,2,FALSE)</f>
        <v>11</v>
      </c>
      <c r="I513" s="103">
        <f ca="1">IFERROR(VLOOKUP(G513,OFFSET(Lookup!$J$21,1,H513-1,5,1),1,1),0)</f>
        <v>147</v>
      </c>
    </row>
    <row r="514" spans="2:9" x14ac:dyDescent="0.25">
      <c r="B514" s="96">
        <v>113</v>
      </c>
      <c r="C514" s="1">
        <v>4.5666666665347293</v>
      </c>
      <c r="D514" s="103" t="str">
        <f t="shared" si="24"/>
        <v>MC2</v>
      </c>
      <c r="E514" s="103">
        <f t="shared" si="25"/>
        <v>113</v>
      </c>
      <c r="F514" s="117">
        <f t="shared" si="26"/>
        <v>4.5666666665347293</v>
      </c>
      <c r="G514" s="103">
        <f>VLOOKUP(D514,Lookup!$J$5:$M$19,4,FALSE)-E514</f>
        <v>184</v>
      </c>
      <c r="H514" s="103">
        <f>VLOOKUP(D514,Lookup!$J$5:$K$19,2,FALSE)</f>
        <v>11</v>
      </c>
      <c r="I514" s="103">
        <f ca="1">IFERROR(VLOOKUP(G514,OFFSET(Lookup!$J$21,1,H514-1,5,1),1,1),0)</f>
        <v>147</v>
      </c>
    </row>
    <row r="515" spans="2:9" x14ac:dyDescent="0.25">
      <c r="B515" s="96">
        <v>117</v>
      </c>
      <c r="C515" s="1">
        <v>19.300000000046566</v>
      </c>
      <c r="D515" s="103" t="str">
        <f t="shared" si="24"/>
        <v>MC2</v>
      </c>
      <c r="E515" s="103">
        <f t="shared" si="25"/>
        <v>117</v>
      </c>
      <c r="F515" s="117">
        <f t="shared" si="26"/>
        <v>19.300000000046566</v>
      </c>
      <c r="G515" s="103">
        <f>VLOOKUP(D515,Lookup!$J$5:$M$19,4,FALSE)-E515</f>
        <v>180</v>
      </c>
      <c r="H515" s="103">
        <f>VLOOKUP(D515,Lookup!$J$5:$K$19,2,FALSE)</f>
        <v>11</v>
      </c>
      <c r="I515" s="103">
        <f ca="1">IFERROR(VLOOKUP(G515,OFFSET(Lookup!$J$21,1,H515-1,5,1),1,1),0)</f>
        <v>147</v>
      </c>
    </row>
    <row r="516" spans="2:9" x14ac:dyDescent="0.25">
      <c r="B516" s="96">
        <v>126</v>
      </c>
      <c r="C516" s="1">
        <v>75.066666666534729</v>
      </c>
      <c r="D516" s="103" t="str">
        <f t="shared" si="24"/>
        <v>MC2</v>
      </c>
      <c r="E516" s="103">
        <f t="shared" si="25"/>
        <v>126</v>
      </c>
      <c r="F516" s="117">
        <f t="shared" si="26"/>
        <v>75.066666666534729</v>
      </c>
      <c r="G516" s="103">
        <f>VLOOKUP(D516,Lookup!$J$5:$M$19,4,FALSE)-E516</f>
        <v>171</v>
      </c>
      <c r="H516" s="103">
        <f>VLOOKUP(D516,Lookup!$J$5:$K$19,2,FALSE)</f>
        <v>11</v>
      </c>
      <c r="I516" s="103">
        <f ca="1">IFERROR(VLOOKUP(G516,OFFSET(Lookup!$J$21,1,H516-1,5,1),1,1),0)</f>
        <v>147</v>
      </c>
    </row>
    <row r="517" spans="2:9" x14ac:dyDescent="0.25">
      <c r="B517" s="96">
        <v>130</v>
      </c>
      <c r="C517" s="1">
        <v>8.8333333333139308</v>
      </c>
      <c r="D517" s="103" t="str">
        <f t="shared" si="24"/>
        <v>MC2</v>
      </c>
      <c r="E517" s="103">
        <f t="shared" si="25"/>
        <v>130</v>
      </c>
      <c r="F517" s="117">
        <f t="shared" si="26"/>
        <v>8.8333333333139308</v>
      </c>
      <c r="G517" s="103">
        <f>VLOOKUP(D517,Lookup!$J$5:$M$19,4,FALSE)-E517</f>
        <v>167</v>
      </c>
      <c r="H517" s="103">
        <f>VLOOKUP(D517,Lookup!$J$5:$K$19,2,FALSE)</f>
        <v>11</v>
      </c>
      <c r="I517" s="103">
        <f ca="1">IFERROR(VLOOKUP(G517,OFFSET(Lookup!$J$21,1,H517-1,5,1),1,1),0)</f>
        <v>147</v>
      </c>
    </row>
    <row r="518" spans="2:9" x14ac:dyDescent="0.25">
      <c r="B518" s="96">
        <v>131</v>
      </c>
      <c r="C518" s="1">
        <v>39.516666666779201</v>
      </c>
      <c r="D518" s="103" t="str">
        <f t="shared" si="24"/>
        <v>MC2</v>
      </c>
      <c r="E518" s="103">
        <f t="shared" si="25"/>
        <v>131</v>
      </c>
      <c r="F518" s="117">
        <f t="shared" si="26"/>
        <v>39.516666666779201</v>
      </c>
      <c r="G518" s="103">
        <f>VLOOKUP(D518,Lookup!$J$5:$M$19,4,FALSE)-E518</f>
        <v>166</v>
      </c>
      <c r="H518" s="103">
        <f>VLOOKUP(D518,Lookup!$J$5:$K$19,2,FALSE)</f>
        <v>11</v>
      </c>
      <c r="I518" s="103">
        <f ca="1">IFERROR(VLOOKUP(G518,OFFSET(Lookup!$J$21,1,H518-1,5,1),1,1),0)</f>
        <v>147</v>
      </c>
    </row>
    <row r="519" spans="2:9" x14ac:dyDescent="0.25">
      <c r="B519" s="96">
        <v>135</v>
      </c>
      <c r="C519" s="1">
        <v>3.3999999999068677</v>
      </c>
      <c r="D519" s="103" t="str">
        <f t="shared" si="24"/>
        <v>MC2</v>
      </c>
      <c r="E519" s="103">
        <f t="shared" si="25"/>
        <v>135</v>
      </c>
      <c r="F519" s="117">
        <f t="shared" si="26"/>
        <v>3.3999999999068677</v>
      </c>
      <c r="G519" s="103">
        <f>VLOOKUP(D519,Lookup!$J$5:$M$19,4,FALSE)-E519</f>
        <v>162</v>
      </c>
      <c r="H519" s="103">
        <f>VLOOKUP(D519,Lookup!$J$5:$K$19,2,FALSE)</f>
        <v>11</v>
      </c>
      <c r="I519" s="103">
        <f ca="1">IFERROR(VLOOKUP(G519,OFFSET(Lookup!$J$21,1,H519-1,5,1),1,1),0)</f>
        <v>147</v>
      </c>
    </row>
    <row r="520" spans="2:9" x14ac:dyDescent="0.25">
      <c r="B520" s="96">
        <v>139</v>
      </c>
      <c r="C520" s="1">
        <v>62.749999999883585</v>
      </c>
      <c r="D520" s="103" t="str">
        <f t="shared" si="24"/>
        <v>MC2</v>
      </c>
      <c r="E520" s="103">
        <f t="shared" si="25"/>
        <v>139</v>
      </c>
      <c r="F520" s="117">
        <f t="shared" si="26"/>
        <v>62.749999999883585</v>
      </c>
      <c r="G520" s="103">
        <f>VLOOKUP(D520,Lookup!$J$5:$M$19,4,FALSE)-E520</f>
        <v>158</v>
      </c>
      <c r="H520" s="103">
        <f>VLOOKUP(D520,Lookup!$J$5:$K$19,2,FALSE)</f>
        <v>11</v>
      </c>
      <c r="I520" s="103">
        <f ca="1">IFERROR(VLOOKUP(G520,OFFSET(Lookup!$J$21,1,H520-1,5,1),1,1),0)</f>
        <v>147</v>
      </c>
    </row>
    <row r="521" spans="2:9" x14ac:dyDescent="0.25">
      <c r="B521" s="96">
        <v>144</v>
      </c>
      <c r="C521" s="1">
        <v>32.633333333360497</v>
      </c>
      <c r="D521" s="103" t="str">
        <f t="shared" ref="D521:D584" si="27">IF(A521="",D520,A521)</f>
        <v>MC2</v>
      </c>
      <c r="E521" s="103">
        <f t="shared" ref="E521:E584" si="28">IF(B521="",E520,B521)</f>
        <v>144</v>
      </c>
      <c r="F521" s="117">
        <f t="shared" ref="F521:F584" si="29">IF(C521="",F520,C521)</f>
        <v>32.633333333360497</v>
      </c>
      <c r="G521" s="103">
        <f>VLOOKUP(D521,Lookup!$J$5:$M$19,4,FALSE)-E521</f>
        <v>153</v>
      </c>
      <c r="H521" s="103">
        <f>VLOOKUP(D521,Lookup!$J$5:$K$19,2,FALSE)</f>
        <v>11</v>
      </c>
      <c r="I521" s="103">
        <f ca="1">IFERROR(VLOOKUP(G521,OFFSET(Lookup!$J$21,1,H521-1,5,1),1,1),0)</f>
        <v>147</v>
      </c>
    </row>
    <row r="522" spans="2:9" x14ac:dyDescent="0.25">
      <c r="B522" s="96">
        <v>147</v>
      </c>
      <c r="C522" s="1">
        <v>5.5499999999301508</v>
      </c>
      <c r="D522" s="103" t="str">
        <f t="shared" si="27"/>
        <v>MC2</v>
      </c>
      <c r="E522" s="103">
        <f t="shared" si="28"/>
        <v>147</v>
      </c>
      <c r="F522" s="117">
        <f t="shared" si="29"/>
        <v>5.5499999999301508</v>
      </c>
      <c r="G522" s="103">
        <f>VLOOKUP(D522,Lookup!$J$5:$M$19,4,FALSE)-E522</f>
        <v>150</v>
      </c>
      <c r="H522" s="103">
        <f>VLOOKUP(D522,Lookup!$J$5:$K$19,2,FALSE)</f>
        <v>11</v>
      </c>
      <c r="I522" s="103">
        <f ca="1">IFERROR(VLOOKUP(G522,OFFSET(Lookup!$J$21,1,H522-1,5,1),1,1),0)</f>
        <v>147</v>
      </c>
    </row>
    <row r="523" spans="2:9" x14ac:dyDescent="0.25">
      <c r="B523" s="96">
        <v>148</v>
      </c>
      <c r="C523" s="1">
        <v>19.799999999930151</v>
      </c>
      <c r="D523" s="103" t="str">
        <f t="shared" si="27"/>
        <v>MC2</v>
      </c>
      <c r="E523" s="103">
        <f t="shared" si="28"/>
        <v>148</v>
      </c>
      <c r="F523" s="117">
        <f t="shared" si="29"/>
        <v>19.799999999930151</v>
      </c>
      <c r="G523" s="103">
        <f>VLOOKUP(D523,Lookup!$J$5:$M$19,4,FALSE)-E523</f>
        <v>149</v>
      </c>
      <c r="H523" s="103">
        <f>VLOOKUP(D523,Lookup!$J$5:$K$19,2,FALSE)</f>
        <v>11</v>
      </c>
      <c r="I523" s="103">
        <f ca="1">IFERROR(VLOOKUP(G523,OFFSET(Lookup!$J$21,1,H523-1,5,1),1,1),0)</f>
        <v>147</v>
      </c>
    </row>
    <row r="524" spans="2:9" x14ac:dyDescent="0.25">
      <c r="B524" s="96">
        <v>152</v>
      </c>
      <c r="C524" s="1">
        <v>35.099999999860302</v>
      </c>
      <c r="D524" s="103" t="str">
        <f t="shared" si="27"/>
        <v>MC2</v>
      </c>
      <c r="E524" s="103">
        <f t="shared" si="28"/>
        <v>152</v>
      </c>
      <c r="F524" s="117">
        <f t="shared" si="29"/>
        <v>35.099999999860302</v>
      </c>
      <c r="G524" s="103">
        <f>VLOOKUP(D524,Lookup!$J$5:$M$19,4,FALSE)-E524</f>
        <v>145</v>
      </c>
      <c r="H524" s="103">
        <f>VLOOKUP(D524,Lookup!$J$5:$K$19,2,FALSE)</f>
        <v>11</v>
      </c>
      <c r="I524" s="103">
        <f ca="1">IFERROR(VLOOKUP(G524,OFFSET(Lookup!$J$21,1,H524-1,5,1),1,1),0)</f>
        <v>0</v>
      </c>
    </row>
    <row r="525" spans="2:9" x14ac:dyDescent="0.25">
      <c r="B525" s="96">
        <v>157</v>
      </c>
      <c r="C525" s="1">
        <v>31.333333333313931</v>
      </c>
      <c r="D525" s="103" t="str">
        <f t="shared" si="27"/>
        <v>MC2</v>
      </c>
      <c r="E525" s="103">
        <f t="shared" si="28"/>
        <v>157</v>
      </c>
      <c r="F525" s="117">
        <f t="shared" si="29"/>
        <v>31.333333333313931</v>
      </c>
      <c r="G525" s="103">
        <f>VLOOKUP(D525,Lookup!$J$5:$M$19,4,FALSE)-E525</f>
        <v>140</v>
      </c>
      <c r="H525" s="103">
        <f>VLOOKUP(D525,Lookup!$J$5:$K$19,2,FALSE)</f>
        <v>11</v>
      </c>
      <c r="I525" s="103">
        <f ca="1">IFERROR(VLOOKUP(G525,OFFSET(Lookup!$J$21,1,H525-1,5,1),1,1),0)</f>
        <v>0</v>
      </c>
    </row>
    <row r="526" spans="2:9" x14ac:dyDescent="0.25">
      <c r="B526" s="96">
        <v>161</v>
      </c>
      <c r="C526" s="1">
        <v>44.383333333244082</v>
      </c>
      <c r="D526" s="103" t="str">
        <f t="shared" si="27"/>
        <v>MC2</v>
      </c>
      <c r="E526" s="103">
        <f t="shared" si="28"/>
        <v>161</v>
      </c>
      <c r="F526" s="117">
        <f t="shared" si="29"/>
        <v>44.383333333244082</v>
      </c>
      <c r="G526" s="103">
        <f>VLOOKUP(D526,Lookup!$J$5:$M$19,4,FALSE)-E526</f>
        <v>136</v>
      </c>
      <c r="H526" s="103">
        <f>VLOOKUP(D526,Lookup!$J$5:$K$19,2,FALSE)</f>
        <v>11</v>
      </c>
      <c r="I526" s="103">
        <f ca="1">IFERROR(VLOOKUP(G526,OFFSET(Lookup!$J$21,1,H526-1,5,1),1,1),0)</f>
        <v>0</v>
      </c>
    </row>
    <row r="527" spans="2:9" x14ac:dyDescent="0.25">
      <c r="B527" s="96">
        <v>163</v>
      </c>
      <c r="C527" s="1">
        <v>6.5000000000582077</v>
      </c>
      <c r="D527" s="103" t="str">
        <f t="shared" si="27"/>
        <v>MC2</v>
      </c>
      <c r="E527" s="103">
        <f t="shared" si="28"/>
        <v>163</v>
      </c>
      <c r="F527" s="117">
        <f t="shared" si="29"/>
        <v>6.5000000000582077</v>
      </c>
      <c r="G527" s="103">
        <f>VLOOKUP(D527,Lookup!$J$5:$M$19,4,FALSE)-E527</f>
        <v>134</v>
      </c>
      <c r="H527" s="103">
        <f>VLOOKUP(D527,Lookup!$J$5:$K$19,2,FALSE)</f>
        <v>11</v>
      </c>
      <c r="I527" s="103">
        <f ca="1">IFERROR(VLOOKUP(G527,OFFSET(Lookup!$J$21,1,H527-1,5,1),1,1),0)</f>
        <v>0</v>
      </c>
    </row>
    <row r="528" spans="2:9" x14ac:dyDescent="0.25">
      <c r="B528" s="96">
        <v>166</v>
      </c>
      <c r="C528" s="1">
        <v>5.1500000000232831</v>
      </c>
      <c r="D528" s="103" t="str">
        <f t="shared" si="27"/>
        <v>MC2</v>
      </c>
      <c r="E528" s="103">
        <f t="shared" si="28"/>
        <v>166</v>
      </c>
      <c r="F528" s="117">
        <f t="shared" si="29"/>
        <v>5.1500000000232831</v>
      </c>
      <c r="G528" s="103">
        <f>VLOOKUP(D528,Lookup!$J$5:$M$19,4,FALSE)-E528</f>
        <v>131</v>
      </c>
      <c r="H528" s="103">
        <f>VLOOKUP(D528,Lookup!$J$5:$K$19,2,FALSE)</f>
        <v>11</v>
      </c>
      <c r="I528" s="103">
        <f ca="1">IFERROR(VLOOKUP(G528,OFFSET(Lookup!$J$21,1,H528-1,5,1),1,1),0)</f>
        <v>0</v>
      </c>
    </row>
    <row r="529" spans="1:9" x14ac:dyDescent="0.25">
      <c r="B529" s="96">
        <v>170</v>
      </c>
      <c r="C529" s="1">
        <v>34.999999999883585</v>
      </c>
      <c r="D529" s="103" t="str">
        <f t="shared" si="27"/>
        <v>MC2</v>
      </c>
      <c r="E529" s="103">
        <f t="shared" si="28"/>
        <v>170</v>
      </c>
      <c r="F529" s="117">
        <f t="shared" si="29"/>
        <v>34.999999999883585</v>
      </c>
      <c r="G529" s="103">
        <f>VLOOKUP(D529,Lookup!$J$5:$M$19,4,FALSE)-E529</f>
        <v>127</v>
      </c>
      <c r="H529" s="103">
        <f>VLOOKUP(D529,Lookup!$J$5:$K$19,2,FALSE)</f>
        <v>11</v>
      </c>
      <c r="I529" s="103">
        <f ca="1">IFERROR(VLOOKUP(G529,OFFSET(Lookup!$J$21,1,H529-1,5,1),1,1),0)</f>
        <v>0</v>
      </c>
    </row>
    <row r="530" spans="1:9" x14ac:dyDescent="0.25">
      <c r="B530" s="96">
        <v>184</v>
      </c>
      <c r="C530" s="1">
        <v>6.8999999999650754</v>
      </c>
      <c r="D530" s="103" t="str">
        <f t="shared" si="27"/>
        <v>MC2</v>
      </c>
      <c r="E530" s="103">
        <f t="shared" si="28"/>
        <v>184</v>
      </c>
      <c r="F530" s="117">
        <f t="shared" si="29"/>
        <v>6.8999999999650754</v>
      </c>
      <c r="G530" s="103">
        <f>VLOOKUP(D530,Lookup!$J$5:$M$19,4,FALSE)-E530</f>
        <v>113</v>
      </c>
      <c r="H530" s="103">
        <f>VLOOKUP(D530,Lookup!$J$5:$K$19,2,FALSE)</f>
        <v>11</v>
      </c>
      <c r="I530" s="103">
        <f ca="1">IFERROR(VLOOKUP(G530,OFFSET(Lookup!$J$21,1,H530-1,5,1),1,1),0)</f>
        <v>0</v>
      </c>
    </row>
    <row r="531" spans="1:9" x14ac:dyDescent="0.25">
      <c r="B531" s="96">
        <v>188</v>
      </c>
      <c r="C531" s="1">
        <v>3.0166666667209938</v>
      </c>
      <c r="D531" s="103" t="str">
        <f t="shared" si="27"/>
        <v>MC2</v>
      </c>
      <c r="E531" s="103">
        <f t="shared" si="28"/>
        <v>188</v>
      </c>
      <c r="F531" s="117">
        <f t="shared" si="29"/>
        <v>3.0166666667209938</v>
      </c>
      <c r="G531" s="103">
        <f>VLOOKUP(D531,Lookup!$J$5:$M$19,4,FALSE)-E531</f>
        <v>109</v>
      </c>
      <c r="H531" s="103">
        <f>VLOOKUP(D531,Lookup!$J$5:$K$19,2,FALSE)</f>
        <v>11</v>
      </c>
      <c r="I531" s="103">
        <f ca="1">IFERROR(VLOOKUP(G531,OFFSET(Lookup!$J$21,1,H531-1,5,1),1,1),0)</f>
        <v>0</v>
      </c>
    </row>
    <row r="532" spans="1:9" x14ac:dyDescent="0.25">
      <c r="B532" s="96">
        <v>194</v>
      </c>
      <c r="C532" s="1">
        <v>7.9833333335118368</v>
      </c>
      <c r="D532" s="103" t="str">
        <f t="shared" si="27"/>
        <v>MC2</v>
      </c>
      <c r="E532" s="103">
        <f t="shared" si="28"/>
        <v>194</v>
      </c>
      <c r="F532" s="117">
        <f t="shared" si="29"/>
        <v>7.9833333335118368</v>
      </c>
      <c r="G532" s="103">
        <f>VLOOKUP(D532,Lookup!$J$5:$M$19,4,FALSE)-E532</f>
        <v>103</v>
      </c>
      <c r="H532" s="103">
        <f>VLOOKUP(D532,Lookup!$J$5:$K$19,2,FALSE)</f>
        <v>11</v>
      </c>
      <c r="I532" s="103">
        <f ca="1">IFERROR(VLOOKUP(G532,OFFSET(Lookup!$J$21,1,H532-1,5,1),1,1),0)</f>
        <v>0</v>
      </c>
    </row>
    <row r="533" spans="1:9" x14ac:dyDescent="0.25">
      <c r="B533" s="96">
        <v>206</v>
      </c>
      <c r="C533" s="1">
        <v>4.4666666667326353</v>
      </c>
      <c r="D533" s="103" t="str">
        <f t="shared" si="27"/>
        <v>MC2</v>
      </c>
      <c r="E533" s="103">
        <f t="shared" si="28"/>
        <v>206</v>
      </c>
      <c r="F533" s="117">
        <f t="shared" si="29"/>
        <v>4.4666666667326353</v>
      </c>
      <c r="G533" s="103">
        <f>VLOOKUP(D533,Lookup!$J$5:$M$19,4,FALSE)-E533</f>
        <v>91</v>
      </c>
      <c r="H533" s="103">
        <f>VLOOKUP(D533,Lookup!$J$5:$K$19,2,FALSE)</f>
        <v>11</v>
      </c>
      <c r="I533" s="103">
        <f ca="1">IFERROR(VLOOKUP(G533,OFFSET(Lookup!$J$21,1,H533-1,5,1),1,1),0)</f>
        <v>0</v>
      </c>
    </row>
    <row r="534" spans="1:9" x14ac:dyDescent="0.25">
      <c r="B534" s="96">
        <v>224</v>
      </c>
      <c r="C534" s="1">
        <v>1.3333333333139308</v>
      </c>
      <c r="D534" s="103" t="str">
        <f t="shared" si="27"/>
        <v>MC2</v>
      </c>
      <c r="E534" s="103">
        <f t="shared" si="28"/>
        <v>224</v>
      </c>
      <c r="F534" s="117">
        <f t="shared" si="29"/>
        <v>1.3333333333139308</v>
      </c>
      <c r="G534" s="103">
        <f>VLOOKUP(D534,Lookup!$J$5:$M$19,4,FALSE)-E534</f>
        <v>73</v>
      </c>
      <c r="H534" s="103">
        <f>VLOOKUP(D534,Lookup!$J$5:$K$19,2,FALSE)</f>
        <v>11</v>
      </c>
      <c r="I534" s="103">
        <f ca="1">IFERROR(VLOOKUP(G534,OFFSET(Lookup!$J$21,1,H534-1,5,1),1,1),0)</f>
        <v>0</v>
      </c>
    </row>
    <row r="535" spans="1:9" x14ac:dyDescent="0.25">
      <c r="B535" s="96">
        <v>238</v>
      </c>
      <c r="C535" s="1">
        <v>1.0499999999301508</v>
      </c>
      <c r="D535" s="103" t="str">
        <f t="shared" si="27"/>
        <v>MC2</v>
      </c>
      <c r="E535" s="103">
        <f t="shared" si="28"/>
        <v>238</v>
      </c>
      <c r="F535" s="117">
        <f t="shared" si="29"/>
        <v>1.0499999999301508</v>
      </c>
      <c r="G535" s="103">
        <f>VLOOKUP(D535,Lookup!$J$5:$M$19,4,FALSE)-E535</f>
        <v>59</v>
      </c>
      <c r="H535" s="103">
        <f>VLOOKUP(D535,Lookup!$J$5:$K$19,2,FALSE)</f>
        <v>11</v>
      </c>
      <c r="I535" s="103">
        <f ca="1">IFERROR(VLOOKUP(G535,OFFSET(Lookup!$J$21,1,H535-1,5,1),1,1),0)</f>
        <v>0</v>
      </c>
    </row>
    <row r="536" spans="1:9" x14ac:dyDescent="0.25">
      <c r="A536" s="103" t="s">
        <v>29</v>
      </c>
      <c r="B536" s="96">
        <v>5</v>
      </c>
      <c r="C536" s="1">
        <v>3.4999999998835847</v>
      </c>
      <c r="D536" s="103" t="str">
        <f t="shared" si="27"/>
        <v>MC3</v>
      </c>
      <c r="E536" s="103">
        <f t="shared" si="28"/>
        <v>5</v>
      </c>
      <c r="F536" s="117">
        <f t="shared" si="29"/>
        <v>3.4999999998835847</v>
      </c>
      <c r="G536" s="103">
        <f>VLOOKUP(D536,Lookup!$J$5:$M$19,4,FALSE)-E536</f>
        <v>389</v>
      </c>
      <c r="H536" s="103">
        <f>VLOOKUP(D536,Lookup!$J$5:$K$19,2,FALSE)</f>
        <v>12</v>
      </c>
      <c r="I536" s="103">
        <f ca="1">IFERROR(VLOOKUP(G536,OFFSET(Lookup!$J$21,1,H536-1,5,1),1,1),0)</f>
        <v>354</v>
      </c>
    </row>
    <row r="537" spans="1:9" x14ac:dyDescent="0.25">
      <c r="B537" s="96">
        <v>6</v>
      </c>
      <c r="C537" s="1">
        <v>1.8666666666395031</v>
      </c>
      <c r="D537" s="103" t="str">
        <f t="shared" si="27"/>
        <v>MC3</v>
      </c>
      <c r="E537" s="103">
        <f t="shared" si="28"/>
        <v>6</v>
      </c>
      <c r="F537" s="117">
        <f t="shared" si="29"/>
        <v>1.8666666666395031</v>
      </c>
      <c r="G537" s="103">
        <f>VLOOKUP(D537,Lookup!$J$5:$M$19,4,FALSE)-E537</f>
        <v>388</v>
      </c>
      <c r="H537" s="103">
        <f>VLOOKUP(D537,Lookup!$J$5:$K$19,2,FALSE)</f>
        <v>12</v>
      </c>
      <c r="I537" s="103">
        <f ca="1">IFERROR(VLOOKUP(G537,OFFSET(Lookup!$J$21,1,H537-1,5,1),1,1),0)</f>
        <v>354</v>
      </c>
    </row>
    <row r="538" spans="1:9" x14ac:dyDescent="0.25">
      <c r="B538" s="96">
        <v>7</v>
      </c>
      <c r="C538" s="1">
        <v>19.766666666837409</v>
      </c>
      <c r="D538" s="103" t="str">
        <f t="shared" si="27"/>
        <v>MC3</v>
      </c>
      <c r="E538" s="103">
        <f t="shared" si="28"/>
        <v>7</v>
      </c>
      <c r="F538" s="117">
        <f t="shared" si="29"/>
        <v>19.766666666837409</v>
      </c>
      <c r="G538" s="103">
        <f>VLOOKUP(D538,Lookup!$J$5:$M$19,4,FALSE)-E538</f>
        <v>387</v>
      </c>
      <c r="H538" s="103">
        <f>VLOOKUP(D538,Lookup!$J$5:$K$19,2,FALSE)</f>
        <v>12</v>
      </c>
      <c r="I538" s="103">
        <f ca="1">IFERROR(VLOOKUP(G538,OFFSET(Lookup!$J$21,1,H538-1,5,1),1,1),0)</f>
        <v>354</v>
      </c>
    </row>
    <row r="539" spans="1:9" x14ac:dyDescent="0.25">
      <c r="B539" s="96">
        <v>10</v>
      </c>
      <c r="C539" s="1">
        <v>1.4666666667326353</v>
      </c>
      <c r="D539" s="103" t="str">
        <f t="shared" si="27"/>
        <v>MC3</v>
      </c>
      <c r="E539" s="103">
        <f t="shared" si="28"/>
        <v>10</v>
      </c>
      <c r="F539" s="117">
        <f t="shared" si="29"/>
        <v>1.4666666667326353</v>
      </c>
      <c r="G539" s="103">
        <f>VLOOKUP(D539,Lookup!$J$5:$M$19,4,FALSE)-E539</f>
        <v>384</v>
      </c>
      <c r="H539" s="103">
        <f>VLOOKUP(D539,Lookup!$J$5:$K$19,2,FALSE)</f>
        <v>12</v>
      </c>
      <c r="I539" s="103">
        <f ca="1">IFERROR(VLOOKUP(G539,OFFSET(Lookup!$J$21,1,H539-1,5,1),1,1),0)</f>
        <v>354</v>
      </c>
    </row>
    <row r="540" spans="1:9" x14ac:dyDescent="0.25">
      <c r="B540" s="96">
        <v>12</v>
      </c>
      <c r="C540" s="1">
        <v>42.633333333476912</v>
      </c>
      <c r="D540" s="103" t="str">
        <f t="shared" si="27"/>
        <v>MC3</v>
      </c>
      <c r="E540" s="103">
        <f t="shared" si="28"/>
        <v>12</v>
      </c>
      <c r="F540" s="117">
        <f t="shared" si="29"/>
        <v>42.633333333476912</v>
      </c>
      <c r="G540" s="103">
        <f>VLOOKUP(D540,Lookup!$J$5:$M$19,4,FALSE)-E540</f>
        <v>382</v>
      </c>
      <c r="H540" s="103">
        <f>VLOOKUP(D540,Lookup!$J$5:$K$19,2,FALSE)</f>
        <v>12</v>
      </c>
      <c r="I540" s="103">
        <f ca="1">IFERROR(VLOOKUP(G540,OFFSET(Lookup!$J$21,1,H540-1,5,1),1,1),0)</f>
        <v>354</v>
      </c>
    </row>
    <row r="541" spans="1:9" x14ac:dyDescent="0.25">
      <c r="B541" s="96">
        <v>14</v>
      </c>
      <c r="C541" s="1">
        <v>1.9166666666278616</v>
      </c>
      <c r="D541" s="103" t="str">
        <f t="shared" si="27"/>
        <v>MC3</v>
      </c>
      <c r="E541" s="103">
        <f t="shared" si="28"/>
        <v>14</v>
      </c>
      <c r="F541" s="117">
        <f t="shared" si="29"/>
        <v>1.9166666666278616</v>
      </c>
      <c r="G541" s="103">
        <f>VLOOKUP(D541,Lookup!$J$5:$M$19,4,FALSE)-E541</f>
        <v>380</v>
      </c>
      <c r="H541" s="103">
        <f>VLOOKUP(D541,Lookup!$J$5:$K$19,2,FALSE)</f>
        <v>12</v>
      </c>
      <c r="I541" s="103">
        <f ca="1">IFERROR(VLOOKUP(G541,OFFSET(Lookup!$J$21,1,H541-1,5,1),1,1),0)</f>
        <v>354</v>
      </c>
    </row>
    <row r="542" spans="1:9" x14ac:dyDescent="0.25">
      <c r="B542" s="96">
        <v>15</v>
      </c>
      <c r="C542" s="1">
        <v>6.4333333333488554</v>
      </c>
      <c r="D542" s="103" t="str">
        <f t="shared" si="27"/>
        <v>MC3</v>
      </c>
      <c r="E542" s="103">
        <f t="shared" si="28"/>
        <v>15</v>
      </c>
      <c r="F542" s="117">
        <f t="shared" si="29"/>
        <v>6.4333333333488554</v>
      </c>
      <c r="G542" s="103">
        <f>VLOOKUP(D542,Lookup!$J$5:$M$19,4,FALSE)-E542</f>
        <v>379</v>
      </c>
      <c r="H542" s="103">
        <f>VLOOKUP(D542,Lookup!$J$5:$K$19,2,FALSE)</f>
        <v>12</v>
      </c>
      <c r="I542" s="103">
        <f ca="1">IFERROR(VLOOKUP(G542,OFFSET(Lookup!$J$21,1,H542-1,5,1),1,1),0)</f>
        <v>354</v>
      </c>
    </row>
    <row r="543" spans="1:9" x14ac:dyDescent="0.25">
      <c r="B543" s="96">
        <v>16</v>
      </c>
      <c r="C543" s="1">
        <v>143.74999999988358</v>
      </c>
      <c r="D543" s="103" t="str">
        <f t="shared" si="27"/>
        <v>MC3</v>
      </c>
      <c r="E543" s="103">
        <f t="shared" si="28"/>
        <v>16</v>
      </c>
      <c r="F543" s="117">
        <f t="shared" si="29"/>
        <v>143.74999999988358</v>
      </c>
      <c r="G543" s="103">
        <f>VLOOKUP(D543,Lookup!$J$5:$M$19,4,FALSE)-E543</f>
        <v>378</v>
      </c>
      <c r="H543" s="103">
        <f>VLOOKUP(D543,Lookup!$J$5:$K$19,2,FALSE)</f>
        <v>12</v>
      </c>
      <c r="I543" s="103">
        <f ca="1">IFERROR(VLOOKUP(G543,OFFSET(Lookup!$J$21,1,H543-1,5,1),1,1),0)</f>
        <v>354</v>
      </c>
    </row>
    <row r="544" spans="1:9" x14ac:dyDescent="0.25">
      <c r="B544" s="96">
        <v>17</v>
      </c>
      <c r="C544" s="1">
        <v>173.99999999965075</v>
      </c>
      <c r="D544" s="103" t="str">
        <f t="shared" si="27"/>
        <v>MC3</v>
      </c>
      <c r="E544" s="103">
        <f t="shared" si="28"/>
        <v>17</v>
      </c>
      <c r="F544" s="117">
        <f t="shared" si="29"/>
        <v>173.99999999965075</v>
      </c>
      <c r="G544" s="103">
        <f>VLOOKUP(D544,Lookup!$J$5:$M$19,4,FALSE)-E544</f>
        <v>377</v>
      </c>
      <c r="H544" s="103">
        <f>VLOOKUP(D544,Lookup!$J$5:$K$19,2,FALSE)</f>
        <v>12</v>
      </c>
      <c r="I544" s="103">
        <f ca="1">IFERROR(VLOOKUP(G544,OFFSET(Lookup!$J$21,1,H544-1,5,1),1,1),0)</f>
        <v>354</v>
      </c>
    </row>
    <row r="545" spans="2:9" x14ac:dyDescent="0.25">
      <c r="B545" s="96">
        <v>18</v>
      </c>
      <c r="C545" s="1">
        <v>28.916666666627862</v>
      </c>
      <c r="D545" s="103" t="str">
        <f t="shared" si="27"/>
        <v>MC3</v>
      </c>
      <c r="E545" s="103">
        <f t="shared" si="28"/>
        <v>18</v>
      </c>
      <c r="F545" s="117">
        <f t="shared" si="29"/>
        <v>28.916666666627862</v>
      </c>
      <c r="G545" s="103">
        <f>VLOOKUP(D545,Lookup!$J$5:$M$19,4,FALSE)-E545</f>
        <v>376</v>
      </c>
      <c r="H545" s="103">
        <f>VLOOKUP(D545,Lookup!$J$5:$K$19,2,FALSE)</f>
        <v>12</v>
      </c>
      <c r="I545" s="103">
        <f ca="1">IFERROR(VLOOKUP(G545,OFFSET(Lookup!$J$21,1,H545-1,5,1),1,1),0)</f>
        <v>354</v>
      </c>
    </row>
    <row r="546" spans="2:9" x14ac:dyDescent="0.25">
      <c r="B546" s="96">
        <v>19</v>
      </c>
      <c r="C546" s="1">
        <v>7.6166666666977108</v>
      </c>
      <c r="D546" s="103" t="str">
        <f t="shared" si="27"/>
        <v>MC3</v>
      </c>
      <c r="E546" s="103">
        <f t="shared" si="28"/>
        <v>19</v>
      </c>
      <c r="F546" s="117">
        <f t="shared" si="29"/>
        <v>7.6166666666977108</v>
      </c>
      <c r="G546" s="103">
        <f>VLOOKUP(D546,Lookup!$J$5:$M$19,4,FALSE)-E546</f>
        <v>375</v>
      </c>
      <c r="H546" s="103">
        <f>VLOOKUP(D546,Lookup!$J$5:$K$19,2,FALSE)</f>
        <v>12</v>
      </c>
      <c r="I546" s="103">
        <f ca="1">IFERROR(VLOOKUP(G546,OFFSET(Lookup!$J$21,1,H546-1,5,1),1,1),0)</f>
        <v>354</v>
      </c>
    </row>
    <row r="547" spans="2:9" x14ac:dyDescent="0.25">
      <c r="B547" s="96">
        <v>20</v>
      </c>
      <c r="C547" s="1">
        <v>1.03333333338378</v>
      </c>
      <c r="D547" s="103" t="str">
        <f t="shared" si="27"/>
        <v>MC3</v>
      </c>
      <c r="E547" s="103">
        <f t="shared" si="28"/>
        <v>20</v>
      </c>
      <c r="F547" s="117">
        <f t="shared" si="29"/>
        <v>1.03333333338378</v>
      </c>
      <c r="G547" s="103">
        <f>VLOOKUP(D547,Lookup!$J$5:$M$19,4,FALSE)-E547</f>
        <v>374</v>
      </c>
      <c r="H547" s="103">
        <f>VLOOKUP(D547,Lookup!$J$5:$K$19,2,FALSE)</f>
        <v>12</v>
      </c>
      <c r="I547" s="103">
        <f ca="1">IFERROR(VLOOKUP(G547,OFFSET(Lookup!$J$21,1,H547-1,5,1),1,1),0)</f>
        <v>354</v>
      </c>
    </row>
    <row r="548" spans="2:9" x14ac:dyDescent="0.25">
      <c r="B548" s="96">
        <v>21</v>
      </c>
      <c r="C548" s="1">
        <v>178.45000000036089</v>
      </c>
      <c r="D548" s="103" t="str">
        <f t="shared" si="27"/>
        <v>MC3</v>
      </c>
      <c r="E548" s="103">
        <f t="shared" si="28"/>
        <v>21</v>
      </c>
      <c r="F548" s="117">
        <f t="shared" si="29"/>
        <v>178.45000000036089</v>
      </c>
      <c r="G548" s="103">
        <f>VLOOKUP(D548,Lookup!$J$5:$M$19,4,FALSE)-E548</f>
        <v>373</v>
      </c>
      <c r="H548" s="103">
        <f>VLOOKUP(D548,Lookup!$J$5:$K$19,2,FALSE)</f>
        <v>12</v>
      </c>
      <c r="I548" s="103">
        <f ca="1">IFERROR(VLOOKUP(G548,OFFSET(Lookup!$J$21,1,H548-1,5,1),1,1),0)</f>
        <v>354</v>
      </c>
    </row>
    <row r="549" spans="2:9" x14ac:dyDescent="0.25">
      <c r="B549" s="96">
        <v>22</v>
      </c>
      <c r="C549" s="1">
        <v>7.9166666666278616</v>
      </c>
      <c r="D549" s="103" t="str">
        <f t="shared" si="27"/>
        <v>MC3</v>
      </c>
      <c r="E549" s="103">
        <f t="shared" si="28"/>
        <v>22</v>
      </c>
      <c r="F549" s="117">
        <f t="shared" si="29"/>
        <v>7.9166666666278616</v>
      </c>
      <c r="G549" s="103">
        <f>VLOOKUP(D549,Lookup!$J$5:$M$19,4,FALSE)-E549</f>
        <v>372</v>
      </c>
      <c r="H549" s="103">
        <f>VLOOKUP(D549,Lookup!$J$5:$K$19,2,FALSE)</f>
        <v>12</v>
      </c>
      <c r="I549" s="103">
        <f ca="1">IFERROR(VLOOKUP(G549,OFFSET(Lookup!$J$21,1,H549-1,5,1),1,1),0)</f>
        <v>354</v>
      </c>
    </row>
    <row r="550" spans="2:9" x14ac:dyDescent="0.25">
      <c r="B550" s="96">
        <v>25</v>
      </c>
      <c r="C550" s="1">
        <v>4.3166666667675599</v>
      </c>
      <c r="D550" s="103" t="str">
        <f t="shared" si="27"/>
        <v>MC3</v>
      </c>
      <c r="E550" s="103">
        <f t="shared" si="28"/>
        <v>25</v>
      </c>
      <c r="F550" s="117">
        <f t="shared" si="29"/>
        <v>4.3166666667675599</v>
      </c>
      <c r="G550" s="103">
        <f>VLOOKUP(D550,Lookup!$J$5:$M$19,4,FALSE)-E550</f>
        <v>369</v>
      </c>
      <c r="H550" s="103">
        <f>VLOOKUP(D550,Lookup!$J$5:$K$19,2,FALSE)</f>
        <v>12</v>
      </c>
      <c r="I550" s="103">
        <f ca="1">IFERROR(VLOOKUP(G550,OFFSET(Lookup!$J$21,1,H550-1,5,1),1,1),0)</f>
        <v>354</v>
      </c>
    </row>
    <row r="551" spans="2:9" x14ac:dyDescent="0.25">
      <c r="B551" s="96">
        <v>26</v>
      </c>
      <c r="C551" s="1">
        <v>48.416666666453239</v>
      </c>
      <c r="D551" s="103" t="str">
        <f t="shared" si="27"/>
        <v>MC3</v>
      </c>
      <c r="E551" s="103">
        <f t="shared" si="28"/>
        <v>26</v>
      </c>
      <c r="F551" s="117">
        <f t="shared" si="29"/>
        <v>48.416666666453239</v>
      </c>
      <c r="G551" s="103">
        <f>VLOOKUP(D551,Lookup!$J$5:$M$19,4,FALSE)-E551</f>
        <v>368</v>
      </c>
      <c r="H551" s="103">
        <f>VLOOKUP(D551,Lookup!$J$5:$K$19,2,FALSE)</f>
        <v>12</v>
      </c>
      <c r="I551" s="103">
        <f ca="1">IFERROR(VLOOKUP(G551,OFFSET(Lookup!$J$21,1,H551-1,5,1),1,1),0)</f>
        <v>354</v>
      </c>
    </row>
    <row r="552" spans="2:9" x14ac:dyDescent="0.25">
      <c r="B552" s="96">
        <v>28</v>
      </c>
      <c r="C552" s="1">
        <v>12.583333333488554</v>
      </c>
      <c r="D552" s="103" t="str">
        <f t="shared" si="27"/>
        <v>MC3</v>
      </c>
      <c r="E552" s="103">
        <f t="shared" si="28"/>
        <v>28</v>
      </c>
      <c r="F552" s="117">
        <f t="shared" si="29"/>
        <v>12.583333333488554</v>
      </c>
      <c r="G552" s="103">
        <f>VLOOKUP(D552,Lookup!$J$5:$M$19,4,FALSE)-E552</f>
        <v>366</v>
      </c>
      <c r="H552" s="103">
        <f>VLOOKUP(D552,Lookup!$J$5:$K$19,2,FALSE)</f>
        <v>12</v>
      </c>
      <c r="I552" s="103">
        <f ca="1">IFERROR(VLOOKUP(G552,OFFSET(Lookup!$J$21,1,H552-1,5,1),1,1),0)</f>
        <v>354</v>
      </c>
    </row>
    <row r="553" spans="2:9" x14ac:dyDescent="0.25">
      <c r="B553" s="96">
        <v>31</v>
      </c>
      <c r="C553" s="1">
        <v>49.949999999895226</v>
      </c>
      <c r="D553" s="103" t="str">
        <f t="shared" si="27"/>
        <v>MC3</v>
      </c>
      <c r="E553" s="103">
        <f t="shared" si="28"/>
        <v>31</v>
      </c>
      <c r="F553" s="117">
        <f t="shared" si="29"/>
        <v>49.949999999895226</v>
      </c>
      <c r="G553" s="103">
        <f>VLOOKUP(D553,Lookup!$J$5:$M$19,4,FALSE)-E553</f>
        <v>363</v>
      </c>
      <c r="H553" s="103">
        <f>VLOOKUP(D553,Lookup!$J$5:$K$19,2,FALSE)</f>
        <v>12</v>
      </c>
      <c r="I553" s="103">
        <f ca="1">IFERROR(VLOOKUP(G553,OFFSET(Lookup!$J$21,1,H553-1,5,1),1,1),0)</f>
        <v>354</v>
      </c>
    </row>
    <row r="554" spans="2:9" x14ac:dyDescent="0.25">
      <c r="B554" s="96">
        <v>33</v>
      </c>
      <c r="C554" s="1">
        <v>8.7666666667792015</v>
      </c>
      <c r="D554" s="103" t="str">
        <f t="shared" si="27"/>
        <v>MC3</v>
      </c>
      <c r="E554" s="103">
        <f t="shared" si="28"/>
        <v>33</v>
      </c>
      <c r="F554" s="117">
        <f t="shared" si="29"/>
        <v>8.7666666667792015</v>
      </c>
      <c r="G554" s="103">
        <f>VLOOKUP(D554,Lookup!$J$5:$M$19,4,FALSE)-E554</f>
        <v>361</v>
      </c>
      <c r="H554" s="103">
        <f>VLOOKUP(D554,Lookup!$J$5:$K$19,2,FALSE)</f>
        <v>12</v>
      </c>
      <c r="I554" s="103">
        <f ca="1">IFERROR(VLOOKUP(G554,OFFSET(Lookup!$J$21,1,H554-1,5,1),1,1),0)</f>
        <v>354</v>
      </c>
    </row>
    <row r="555" spans="2:9" x14ac:dyDescent="0.25">
      <c r="B555" s="96">
        <v>35</v>
      </c>
      <c r="C555" s="1">
        <v>21.566666666592937</v>
      </c>
      <c r="D555" s="103" t="str">
        <f t="shared" si="27"/>
        <v>MC3</v>
      </c>
      <c r="E555" s="103">
        <f t="shared" si="28"/>
        <v>35</v>
      </c>
      <c r="F555" s="117">
        <f t="shared" si="29"/>
        <v>21.566666666592937</v>
      </c>
      <c r="G555" s="103">
        <f>VLOOKUP(D555,Lookup!$J$5:$M$19,4,FALSE)-E555</f>
        <v>359</v>
      </c>
      <c r="H555" s="103">
        <f>VLOOKUP(D555,Lookup!$J$5:$K$19,2,FALSE)</f>
        <v>12</v>
      </c>
      <c r="I555" s="103">
        <f ca="1">IFERROR(VLOOKUP(G555,OFFSET(Lookup!$J$21,1,H555-1,5,1),1,1),0)</f>
        <v>354</v>
      </c>
    </row>
    <row r="556" spans="2:9" x14ac:dyDescent="0.25">
      <c r="B556" s="96">
        <v>38</v>
      </c>
      <c r="C556" s="1">
        <v>14.71666666661622</v>
      </c>
      <c r="D556" s="103" t="str">
        <f t="shared" si="27"/>
        <v>MC3</v>
      </c>
      <c r="E556" s="103">
        <f t="shared" si="28"/>
        <v>38</v>
      </c>
      <c r="F556" s="117">
        <f t="shared" si="29"/>
        <v>14.71666666661622</v>
      </c>
      <c r="G556" s="103">
        <f>VLOOKUP(D556,Lookup!$J$5:$M$19,4,FALSE)-E556</f>
        <v>356</v>
      </c>
      <c r="H556" s="103">
        <f>VLOOKUP(D556,Lookup!$J$5:$K$19,2,FALSE)</f>
        <v>12</v>
      </c>
      <c r="I556" s="103">
        <f ca="1">IFERROR(VLOOKUP(G556,OFFSET(Lookup!$J$21,1,H556-1,5,1),1,1),0)</f>
        <v>354</v>
      </c>
    </row>
    <row r="557" spans="2:9" x14ac:dyDescent="0.25">
      <c r="B557" s="96">
        <v>40</v>
      </c>
      <c r="C557" s="1">
        <v>13.766666666662786</v>
      </c>
      <c r="D557" s="103" t="str">
        <f t="shared" si="27"/>
        <v>MC3</v>
      </c>
      <c r="E557" s="103">
        <f t="shared" si="28"/>
        <v>40</v>
      </c>
      <c r="F557" s="117">
        <f t="shared" si="29"/>
        <v>13.766666666662786</v>
      </c>
      <c r="G557" s="103">
        <f>VLOOKUP(D557,Lookup!$J$5:$M$19,4,FALSE)-E557</f>
        <v>354</v>
      </c>
      <c r="H557" s="103">
        <f>VLOOKUP(D557,Lookup!$J$5:$K$19,2,FALSE)</f>
        <v>12</v>
      </c>
      <c r="I557" s="103">
        <f ca="1">IFERROR(VLOOKUP(G557,OFFSET(Lookup!$J$21,1,H557-1,5,1),1,1),0)</f>
        <v>354</v>
      </c>
    </row>
    <row r="558" spans="2:9" x14ac:dyDescent="0.25">
      <c r="B558" s="96">
        <v>42</v>
      </c>
      <c r="C558" s="1">
        <v>10.149999999906868</v>
      </c>
      <c r="D558" s="103" t="str">
        <f t="shared" si="27"/>
        <v>MC3</v>
      </c>
      <c r="E558" s="103">
        <f t="shared" si="28"/>
        <v>42</v>
      </c>
      <c r="F558" s="117">
        <f t="shared" si="29"/>
        <v>10.149999999906868</v>
      </c>
      <c r="G558" s="103">
        <f>VLOOKUP(D558,Lookup!$J$5:$M$19,4,FALSE)-E558</f>
        <v>352</v>
      </c>
      <c r="H558" s="103">
        <f>VLOOKUP(D558,Lookup!$J$5:$K$19,2,FALSE)</f>
        <v>12</v>
      </c>
      <c r="I558" s="103">
        <f ca="1">IFERROR(VLOOKUP(G558,OFFSET(Lookup!$J$21,1,H558-1,5,1),1,1),0)</f>
        <v>314</v>
      </c>
    </row>
    <row r="559" spans="2:9" x14ac:dyDescent="0.25">
      <c r="B559" s="96">
        <v>45</v>
      </c>
      <c r="C559" s="1">
        <v>42.800000000162981</v>
      </c>
      <c r="D559" s="103" t="str">
        <f t="shared" si="27"/>
        <v>MC3</v>
      </c>
      <c r="E559" s="103">
        <f t="shared" si="28"/>
        <v>45</v>
      </c>
      <c r="F559" s="117">
        <f t="shared" si="29"/>
        <v>42.800000000162981</v>
      </c>
      <c r="G559" s="103">
        <f>VLOOKUP(D559,Lookup!$J$5:$M$19,4,FALSE)-E559</f>
        <v>349</v>
      </c>
      <c r="H559" s="103">
        <f>VLOOKUP(D559,Lookup!$J$5:$K$19,2,FALSE)</f>
        <v>12</v>
      </c>
      <c r="I559" s="103">
        <f ca="1">IFERROR(VLOOKUP(G559,OFFSET(Lookup!$J$21,1,H559-1,5,1),1,1),0)</f>
        <v>314</v>
      </c>
    </row>
    <row r="560" spans="2:9" x14ac:dyDescent="0.25">
      <c r="B560" s="96">
        <v>46</v>
      </c>
      <c r="C560" s="1">
        <v>0.36666666663950309</v>
      </c>
      <c r="D560" s="103" t="str">
        <f t="shared" si="27"/>
        <v>MC3</v>
      </c>
      <c r="E560" s="103">
        <f t="shared" si="28"/>
        <v>46</v>
      </c>
      <c r="F560" s="117">
        <f t="shared" si="29"/>
        <v>0.36666666663950309</v>
      </c>
      <c r="G560" s="103">
        <f>VLOOKUP(D560,Lookup!$J$5:$M$19,4,FALSE)-E560</f>
        <v>348</v>
      </c>
      <c r="H560" s="103">
        <f>VLOOKUP(D560,Lookup!$J$5:$K$19,2,FALSE)</f>
        <v>12</v>
      </c>
      <c r="I560" s="103">
        <f ca="1">IFERROR(VLOOKUP(G560,OFFSET(Lookup!$J$21,1,H560-1,5,1),1,1),0)</f>
        <v>314</v>
      </c>
    </row>
    <row r="561" spans="2:9" x14ac:dyDescent="0.25">
      <c r="B561" s="96">
        <v>47</v>
      </c>
      <c r="C561" s="1">
        <v>1.4833333332790062</v>
      </c>
      <c r="D561" s="103" t="str">
        <f t="shared" si="27"/>
        <v>MC3</v>
      </c>
      <c r="E561" s="103">
        <f t="shared" si="28"/>
        <v>47</v>
      </c>
      <c r="F561" s="117">
        <f t="shared" si="29"/>
        <v>1.4833333332790062</v>
      </c>
      <c r="G561" s="103">
        <f>VLOOKUP(D561,Lookup!$J$5:$M$19,4,FALSE)-E561</f>
        <v>347</v>
      </c>
      <c r="H561" s="103">
        <f>VLOOKUP(D561,Lookup!$J$5:$K$19,2,FALSE)</f>
        <v>12</v>
      </c>
      <c r="I561" s="103">
        <f ca="1">IFERROR(VLOOKUP(G561,OFFSET(Lookup!$J$21,1,H561-1,5,1),1,1),0)</f>
        <v>314</v>
      </c>
    </row>
    <row r="562" spans="2:9" x14ac:dyDescent="0.25">
      <c r="B562" s="96">
        <v>49</v>
      </c>
      <c r="C562" s="1">
        <v>35.700000000244472</v>
      </c>
      <c r="D562" s="103" t="str">
        <f t="shared" si="27"/>
        <v>MC3</v>
      </c>
      <c r="E562" s="103">
        <f t="shared" si="28"/>
        <v>49</v>
      </c>
      <c r="F562" s="117">
        <f t="shared" si="29"/>
        <v>35.700000000244472</v>
      </c>
      <c r="G562" s="103">
        <f>VLOOKUP(D562,Lookup!$J$5:$M$19,4,FALSE)-E562</f>
        <v>345</v>
      </c>
      <c r="H562" s="103">
        <f>VLOOKUP(D562,Lookup!$J$5:$K$19,2,FALSE)</f>
        <v>12</v>
      </c>
      <c r="I562" s="103">
        <f ca="1">IFERROR(VLOOKUP(G562,OFFSET(Lookup!$J$21,1,H562-1,5,1),1,1),0)</f>
        <v>314</v>
      </c>
    </row>
    <row r="563" spans="2:9" x14ac:dyDescent="0.25">
      <c r="B563" s="96">
        <v>52</v>
      </c>
      <c r="C563" s="1">
        <v>1.3500000000349246</v>
      </c>
      <c r="D563" s="103" t="str">
        <f t="shared" si="27"/>
        <v>MC3</v>
      </c>
      <c r="E563" s="103">
        <f t="shared" si="28"/>
        <v>52</v>
      </c>
      <c r="F563" s="117">
        <f t="shared" si="29"/>
        <v>1.3500000000349246</v>
      </c>
      <c r="G563" s="103">
        <f>VLOOKUP(D563,Lookup!$J$5:$M$19,4,FALSE)-E563</f>
        <v>342</v>
      </c>
      <c r="H563" s="103">
        <f>VLOOKUP(D563,Lookup!$J$5:$K$19,2,FALSE)</f>
        <v>12</v>
      </c>
      <c r="I563" s="103">
        <f ca="1">IFERROR(VLOOKUP(G563,OFFSET(Lookup!$J$21,1,H563-1,5,1),1,1),0)</f>
        <v>314</v>
      </c>
    </row>
    <row r="564" spans="2:9" x14ac:dyDescent="0.25">
      <c r="B564" s="96">
        <v>53</v>
      </c>
      <c r="C564" s="1">
        <v>9.6500000000232831</v>
      </c>
      <c r="D564" s="103" t="str">
        <f t="shared" si="27"/>
        <v>MC3</v>
      </c>
      <c r="E564" s="103">
        <f t="shared" si="28"/>
        <v>53</v>
      </c>
      <c r="F564" s="117">
        <f t="shared" si="29"/>
        <v>9.6500000000232831</v>
      </c>
      <c r="G564" s="103">
        <f>VLOOKUP(D564,Lookup!$J$5:$M$19,4,FALSE)-E564</f>
        <v>341</v>
      </c>
      <c r="H564" s="103">
        <f>VLOOKUP(D564,Lookup!$J$5:$K$19,2,FALSE)</f>
        <v>12</v>
      </c>
      <c r="I564" s="103">
        <f ca="1">IFERROR(VLOOKUP(G564,OFFSET(Lookup!$J$21,1,H564-1,5,1),1,1),0)</f>
        <v>314</v>
      </c>
    </row>
    <row r="565" spans="2:9" x14ac:dyDescent="0.25">
      <c r="B565" s="96">
        <v>54</v>
      </c>
      <c r="C565" s="1">
        <v>12.650000000197906</v>
      </c>
      <c r="D565" s="103" t="str">
        <f t="shared" si="27"/>
        <v>MC3</v>
      </c>
      <c r="E565" s="103">
        <f t="shared" si="28"/>
        <v>54</v>
      </c>
      <c r="F565" s="117">
        <f t="shared" si="29"/>
        <v>12.650000000197906</v>
      </c>
      <c r="G565" s="103">
        <f>VLOOKUP(D565,Lookup!$J$5:$M$19,4,FALSE)-E565</f>
        <v>340</v>
      </c>
      <c r="H565" s="103">
        <f>VLOOKUP(D565,Lookup!$J$5:$K$19,2,FALSE)</f>
        <v>12</v>
      </c>
      <c r="I565" s="103">
        <f ca="1">IFERROR(VLOOKUP(G565,OFFSET(Lookup!$J$21,1,H565-1,5,1),1,1),0)</f>
        <v>314</v>
      </c>
    </row>
    <row r="566" spans="2:9" x14ac:dyDescent="0.25">
      <c r="B566" s="96">
        <v>57</v>
      </c>
      <c r="C566" s="1">
        <v>7.6666666666860692</v>
      </c>
      <c r="D566" s="103" t="str">
        <f t="shared" si="27"/>
        <v>MC3</v>
      </c>
      <c r="E566" s="103">
        <f t="shared" si="28"/>
        <v>57</v>
      </c>
      <c r="F566" s="117">
        <f t="shared" si="29"/>
        <v>7.6666666666860692</v>
      </c>
      <c r="G566" s="103">
        <f>VLOOKUP(D566,Lookup!$J$5:$M$19,4,FALSE)-E566</f>
        <v>337</v>
      </c>
      <c r="H566" s="103">
        <f>VLOOKUP(D566,Lookup!$J$5:$K$19,2,FALSE)</f>
        <v>12</v>
      </c>
      <c r="I566" s="103">
        <f ca="1">IFERROR(VLOOKUP(G566,OFFSET(Lookup!$J$21,1,H566-1,5,1),1,1),0)</f>
        <v>314</v>
      </c>
    </row>
    <row r="567" spans="2:9" x14ac:dyDescent="0.25">
      <c r="B567" s="96">
        <v>59</v>
      </c>
      <c r="C567" s="1">
        <v>62.966666666732635</v>
      </c>
      <c r="D567" s="103" t="str">
        <f t="shared" si="27"/>
        <v>MC3</v>
      </c>
      <c r="E567" s="103">
        <f t="shared" si="28"/>
        <v>59</v>
      </c>
      <c r="F567" s="117">
        <f t="shared" si="29"/>
        <v>62.966666666732635</v>
      </c>
      <c r="G567" s="103">
        <f>VLOOKUP(D567,Lookup!$J$5:$M$19,4,FALSE)-E567</f>
        <v>335</v>
      </c>
      <c r="H567" s="103">
        <f>VLOOKUP(D567,Lookup!$J$5:$K$19,2,FALSE)</f>
        <v>12</v>
      </c>
      <c r="I567" s="103">
        <f ca="1">IFERROR(VLOOKUP(G567,OFFSET(Lookup!$J$21,1,H567-1,5,1),1,1),0)</f>
        <v>314</v>
      </c>
    </row>
    <row r="568" spans="2:9" x14ac:dyDescent="0.25">
      <c r="B568" s="96">
        <v>63</v>
      </c>
      <c r="C568" s="1">
        <v>26.766666666255333</v>
      </c>
      <c r="D568" s="103" t="str">
        <f t="shared" si="27"/>
        <v>MC3</v>
      </c>
      <c r="E568" s="103">
        <f t="shared" si="28"/>
        <v>63</v>
      </c>
      <c r="F568" s="117">
        <f t="shared" si="29"/>
        <v>26.766666666255333</v>
      </c>
      <c r="G568" s="103">
        <f>VLOOKUP(D568,Lookup!$J$5:$M$19,4,FALSE)-E568</f>
        <v>331</v>
      </c>
      <c r="H568" s="103">
        <f>VLOOKUP(D568,Lookup!$J$5:$K$19,2,FALSE)</f>
        <v>12</v>
      </c>
      <c r="I568" s="103">
        <f ca="1">IFERROR(VLOOKUP(G568,OFFSET(Lookup!$J$21,1,H568-1,5,1),1,1),0)</f>
        <v>314</v>
      </c>
    </row>
    <row r="569" spans="2:9" x14ac:dyDescent="0.25">
      <c r="B569" s="96">
        <v>65</v>
      </c>
      <c r="C569" s="1">
        <v>11.700000000069849</v>
      </c>
      <c r="D569" s="103" t="str">
        <f t="shared" si="27"/>
        <v>MC3</v>
      </c>
      <c r="E569" s="103">
        <f t="shared" si="28"/>
        <v>65</v>
      </c>
      <c r="F569" s="117">
        <f t="shared" si="29"/>
        <v>11.700000000069849</v>
      </c>
      <c r="G569" s="103">
        <f>VLOOKUP(D569,Lookup!$J$5:$M$19,4,FALSE)-E569</f>
        <v>329</v>
      </c>
      <c r="H569" s="103">
        <f>VLOOKUP(D569,Lookup!$J$5:$K$19,2,FALSE)</f>
        <v>12</v>
      </c>
      <c r="I569" s="103">
        <f ca="1">IFERROR(VLOOKUP(G569,OFFSET(Lookup!$J$21,1,H569-1,5,1),1,1),0)</f>
        <v>314</v>
      </c>
    </row>
    <row r="570" spans="2:9" x14ac:dyDescent="0.25">
      <c r="B570" s="96">
        <v>68</v>
      </c>
      <c r="C570" s="1">
        <v>416.10000000073342</v>
      </c>
      <c r="D570" s="103" t="str">
        <f t="shared" si="27"/>
        <v>MC3</v>
      </c>
      <c r="E570" s="103">
        <f t="shared" si="28"/>
        <v>68</v>
      </c>
      <c r="F570" s="117">
        <f t="shared" si="29"/>
        <v>416.10000000073342</v>
      </c>
      <c r="G570" s="103">
        <f>VLOOKUP(D570,Lookup!$J$5:$M$19,4,FALSE)-E570</f>
        <v>326</v>
      </c>
      <c r="H570" s="103">
        <f>VLOOKUP(D570,Lookup!$J$5:$K$19,2,FALSE)</f>
        <v>12</v>
      </c>
      <c r="I570" s="103">
        <f ca="1">IFERROR(VLOOKUP(G570,OFFSET(Lookup!$J$21,1,H570-1,5,1),1,1),0)</f>
        <v>314</v>
      </c>
    </row>
    <row r="571" spans="2:9" x14ac:dyDescent="0.25">
      <c r="B571" s="96">
        <v>71</v>
      </c>
      <c r="C571" s="1">
        <v>7.2500000000582077</v>
      </c>
      <c r="D571" s="103" t="str">
        <f t="shared" si="27"/>
        <v>MC3</v>
      </c>
      <c r="E571" s="103">
        <f t="shared" si="28"/>
        <v>71</v>
      </c>
      <c r="F571" s="117">
        <f t="shared" si="29"/>
        <v>7.2500000000582077</v>
      </c>
      <c r="G571" s="103">
        <f>VLOOKUP(D571,Lookup!$J$5:$M$19,4,FALSE)-E571</f>
        <v>323</v>
      </c>
      <c r="H571" s="103">
        <f>VLOOKUP(D571,Lookup!$J$5:$K$19,2,FALSE)</f>
        <v>12</v>
      </c>
      <c r="I571" s="103">
        <f ca="1">IFERROR(VLOOKUP(G571,OFFSET(Lookup!$J$21,1,H571-1,5,1),1,1),0)</f>
        <v>314</v>
      </c>
    </row>
    <row r="572" spans="2:9" x14ac:dyDescent="0.25">
      <c r="B572" s="96">
        <v>72</v>
      </c>
      <c r="C572" s="1">
        <v>27.766666666720994</v>
      </c>
      <c r="D572" s="103" t="str">
        <f t="shared" si="27"/>
        <v>MC3</v>
      </c>
      <c r="E572" s="103">
        <f t="shared" si="28"/>
        <v>72</v>
      </c>
      <c r="F572" s="117">
        <f t="shared" si="29"/>
        <v>27.766666666720994</v>
      </c>
      <c r="G572" s="103">
        <f>VLOOKUP(D572,Lookup!$J$5:$M$19,4,FALSE)-E572</f>
        <v>322</v>
      </c>
      <c r="H572" s="103">
        <f>VLOOKUP(D572,Lookup!$J$5:$K$19,2,FALSE)</f>
        <v>12</v>
      </c>
      <c r="I572" s="103">
        <f ca="1">IFERROR(VLOOKUP(G572,OFFSET(Lookup!$J$21,1,H572-1,5,1),1,1),0)</f>
        <v>314</v>
      </c>
    </row>
    <row r="573" spans="2:9" x14ac:dyDescent="0.25">
      <c r="B573" s="96">
        <v>73</v>
      </c>
      <c r="C573" s="1">
        <v>20.166666666395031</v>
      </c>
      <c r="D573" s="103" t="str">
        <f t="shared" si="27"/>
        <v>MC3</v>
      </c>
      <c r="E573" s="103">
        <f t="shared" si="28"/>
        <v>73</v>
      </c>
      <c r="F573" s="117">
        <f t="shared" si="29"/>
        <v>20.166666666395031</v>
      </c>
      <c r="G573" s="103">
        <f>VLOOKUP(D573,Lookup!$J$5:$M$19,4,FALSE)-E573</f>
        <v>321</v>
      </c>
      <c r="H573" s="103">
        <f>VLOOKUP(D573,Lookup!$J$5:$K$19,2,FALSE)</f>
        <v>12</v>
      </c>
      <c r="I573" s="103">
        <f ca="1">IFERROR(VLOOKUP(G573,OFFSET(Lookup!$J$21,1,H573-1,5,1),1,1),0)</f>
        <v>314</v>
      </c>
    </row>
    <row r="574" spans="2:9" x14ac:dyDescent="0.25">
      <c r="B574" s="96">
        <v>74</v>
      </c>
      <c r="C574" s="1">
        <v>14.700000000069849</v>
      </c>
      <c r="D574" s="103" t="str">
        <f t="shared" si="27"/>
        <v>MC3</v>
      </c>
      <c r="E574" s="103">
        <f t="shared" si="28"/>
        <v>74</v>
      </c>
      <c r="F574" s="117">
        <f t="shared" si="29"/>
        <v>14.700000000069849</v>
      </c>
      <c r="G574" s="103">
        <f>VLOOKUP(D574,Lookup!$J$5:$M$19,4,FALSE)-E574</f>
        <v>320</v>
      </c>
      <c r="H574" s="103">
        <f>VLOOKUP(D574,Lookup!$J$5:$K$19,2,FALSE)</f>
        <v>12</v>
      </c>
      <c r="I574" s="103">
        <f ca="1">IFERROR(VLOOKUP(G574,OFFSET(Lookup!$J$21,1,H574-1,5,1),1,1),0)</f>
        <v>314</v>
      </c>
    </row>
    <row r="575" spans="2:9" x14ac:dyDescent="0.25">
      <c r="B575" s="96">
        <v>77</v>
      </c>
      <c r="C575" s="1">
        <v>232.48333333345363</v>
      </c>
      <c r="D575" s="103" t="str">
        <f t="shared" si="27"/>
        <v>MC3</v>
      </c>
      <c r="E575" s="103">
        <f t="shared" si="28"/>
        <v>77</v>
      </c>
      <c r="F575" s="117">
        <f t="shared" si="29"/>
        <v>232.48333333345363</v>
      </c>
      <c r="G575" s="103">
        <f>VLOOKUP(D575,Lookup!$J$5:$M$19,4,FALSE)-E575</f>
        <v>317</v>
      </c>
      <c r="H575" s="103">
        <f>VLOOKUP(D575,Lookup!$J$5:$K$19,2,FALSE)</f>
        <v>12</v>
      </c>
      <c r="I575" s="103">
        <f ca="1">IFERROR(VLOOKUP(G575,OFFSET(Lookup!$J$21,1,H575-1,5,1),1,1),0)</f>
        <v>314</v>
      </c>
    </row>
    <row r="576" spans="2:9" x14ac:dyDescent="0.25">
      <c r="B576" s="96">
        <v>80</v>
      </c>
      <c r="C576" s="1">
        <v>4.2500000000582077</v>
      </c>
      <c r="D576" s="103" t="str">
        <f t="shared" si="27"/>
        <v>MC3</v>
      </c>
      <c r="E576" s="103">
        <f t="shared" si="28"/>
        <v>80</v>
      </c>
      <c r="F576" s="117">
        <f t="shared" si="29"/>
        <v>4.2500000000582077</v>
      </c>
      <c r="G576" s="103">
        <f>VLOOKUP(D576,Lookup!$J$5:$M$19,4,FALSE)-E576</f>
        <v>314</v>
      </c>
      <c r="H576" s="103">
        <f>VLOOKUP(D576,Lookup!$J$5:$K$19,2,FALSE)</f>
        <v>12</v>
      </c>
      <c r="I576" s="103">
        <f ca="1">IFERROR(VLOOKUP(G576,OFFSET(Lookup!$J$21,1,H576-1,5,1),1,1),0)</f>
        <v>314</v>
      </c>
    </row>
    <row r="577" spans="2:9" x14ac:dyDescent="0.25">
      <c r="B577" s="96">
        <v>81</v>
      </c>
      <c r="C577" s="1">
        <v>3.0999999999767169</v>
      </c>
      <c r="D577" s="103" t="str">
        <f t="shared" si="27"/>
        <v>MC3</v>
      </c>
      <c r="E577" s="103">
        <f t="shared" si="28"/>
        <v>81</v>
      </c>
      <c r="F577" s="117">
        <f t="shared" si="29"/>
        <v>3.0999999999767169</v>
      </c>
      <c r="G577" s="103">
        <f>VLOOKUP(D577,Lookup!$J$5:$M$19,4,FALSE)-E577</f>
        <v>313</v>
      </c>
      <c r="H577" s="103">
        <f>VLOOKUP(D577,Lookup!$J$5:$K$19,2,FALSE)</f>
        <v>12</v>
      </c>
      <c r="I577" s="103">
        <f ca="1">IFERROR(VLOOKUP(G577,OFFSET(Lookup!$J$21,1,H577-1,5,1),1,1),0)</f>
        <v>234</v>
      </c>
    </row>
    <row r="578" spans="2:9" x14ac:dyDescent="0.25">
      <c r="B578" s="96">
        <v>82</v>
      </c>
      <c r="C578" s="1">
        <v>128.10000000020955</v>
      </c>
      <c r="D578" s="103" t="str">
        <f t="shared" si="27"/>
        <v>MC3</v>
      </c>
      <c r="E578" s="103">
        <f t="shared" si="28"/>
        <v>82</v>
      </c>
      <c r="F578" s="117">
        <f t="shared" si="29"/>
        <v>128.10000000020955</v>
      </c>
      <c r="G578" s="103">
        <f>VLOOKUP(D578,Lookup!$J$5:$M$19,4,FALSE)-E578</f>
        <v>312</v>
      </c>
      <c r="H578" s="103">
        <f>VLOOKUP(D578,Lookup!$J$5:$K$19,2,FALSE)</f>
        <v>12</v>
      </c>
      <c r="I578" s="103">
        <f ca="1">IFERROR(VLOOKUP(G578,OFFSET(Lookup!$J$21,1,H578-1,5,1),1,1),0)</f>
        <v>234</v>
      </c>
    </row>
    <row r="579" spans="2:9" x14ac:dyDescent="0.25">
      <c r="B579" s="96">
        <v>84</v>
      </c>
      <c r="C579" s="1">
        <v>5.3999999999650754</v>
      </c>
      <c r="D579" s="103" t="str">
        <f t="shared" si="27"/>
        <v>MC3</v>
      </c>
      <c r="E579" s="103">
        <f t="shared" si="28"/>
        <v>84</v>
      </c>
      <c r="F579" s="117">
        <f t="shared" si="29"/>
        <v>5.3999999999650754</v>
      </c>
      <c r="G579" s="103">
        <f>VLOOKUP(D579,Lookup!$J$5:$M$19,4,FALSE)-E579</f>
        <v>310</v>
      </c>
      <c r="H579" s="103">
        <f>VLOOKUP(D579,Lookup!$J$5:$K$19,2,FALSE)</f>
        <v>12</v>
      </c>
      <c r="I579" s="103">
        <f ca="1">IFERROR(VLOOKUP(G579,OFFSET(Lookup!$J$21,1,H579-1,5,1),1,1),0)</f>
        <v>234</v>
      </c>
    </row>
    <row r="580" spans="2:9" x14ac:dyDescent="0.25">
      <c r="B580" s="96">
        <v>85</v>
      </c>
      <c r="C580" s="1">
        <v>0.86666666652308777</v>
      </c>
      <c r="D580" s="103" t="str">
        <f t="shared" si="27"/>
        <v>MC3</v>
      </c>
      <c r="E580" s="103">
        <f t="shared" si="28"/>
        <v>85</v>
      </c>
      <c r="F580" s="117">
        <f t="shared" si="29"/>
        <v>0.86666666652308777</v>
      </c>
      <c r="G580" s="103">
        <f>VLOOKUP(D580,Lookup!$J$5:$M$19,4,FALSE)-E580</f>
        <v>309</v>
      </c>
      <c r="H580" s="103">
        <f>VLOOKUP(D580,Lookup!$J$5:$K$19,2,FALSE)</f>
        <v>12</v>
      </c>
      <c r="I580" s="103">
        <f ca="1">IFERROR(VLOOKUP(G580,OFFSET(Lookup!$J$21,1,H580-1,5,1),1,1),0)</f>
        <v>234</v>
      </c>
    </row>
    <row r="581" spans="2:9" x14ac:dyDescent="0.25">
      <c r="B581" s="96">
        <v>86</v>
      </c>
      <c r="C581" s="1">
        <v>468.76666666619712</v>
      </c>
      <c r="D581" s="103" t="str">
        <f t="shared" si="27"/>
        <v>MC3</v>
      </c>
      <c r="E581" s="103">
        <f t="shared" si="28"/>
        <v>86</v>
      </c>
      <c r="F581" s="117">
        <f t="shared" si="29"/>
        <v>468.76666666619712</v>
      </c>
      <c r="G581" s="103">
        <f>VLOOKUP(D581,Lookup!$J$5:$M$19,4,FALSE)-E581</f>
        <v>308</v>
      </c>
      <c r="H581" s="103">
        <f>VLOOKUP(D581,Lookup!$J$5:$K$19,2,FALSE)</f>
        <v>12</v>
      </c>
      <c r="I581" s="103">
        <f ca="1">IFERROR(VLOOKUP(G581,OFFSET(Lookup!$J$21,1,H581-1,5,1),1,1),0)</f>
        <v>234</v>
      </c>
    </row>
    <row r="582" spans="2:9" x14ac:dyDescent="0.25">
      <c r="B582" s="96">
        <v>87</v>
      </c>
      <c r="C582" s="1">
        <v>6.5166666667792015</v>
      </c>
      <c r="D582" s="103" t="str">
        <f t="shared" si="27"/>
        <v>MC3</v>
      </c>
      <c r="E582" s="103">
        <f t="shared" si="28"/>
        <v>87</v>
      </c>
      <c r="F582" s="117">
        <f t="shared" si="29"/>
        <v>6.5166666667792015</v>
      </c>
      <c r="G582" s="103">
        <f>VLOOKUP(D582,Lookup!$J$5:$M$19,4,FALSE)-E582</f>
        <v>307</v>
      </c>
      <c r="H582" s="103">
        <f>VLOOKUP(D582,Lookup!$J$5:$K$19,2,FALSE)</f>
        <v>12</v>
      </c>
      <c r="I582" s="103">
        <f ca="1">IFERROR(VLOOKUP(G582,OFFSET(Lookup!$J$21,1,H582-1,5,1),1,1),0)</f>
        <v>234</v>
      </c>
    </row>
    <row r="583" spans="2:9" x14ac:dyDescent="0.25">
      <c r="B583" s="96">
        <v>88</v>
      </c>
      <c r="C583" s="1">
        <v>15.600000000034925</v>
      </c>
      <c r="D583" s="103" t="str">
        <f t="shared" si="27"/>
        <v>MC3</v>
      </c>
      <c r="E583" s="103">
        <f t="shared" si="28"/>
        <v>88</v>
      </c>
      <c r="F583" s="117">
        <f t="shared" si="29"/>
        <v>15.600000000034925</v>
      </c>
      <c r="G583" s="103">
        <f>VLOOKUP(D583,Lookup!$J$5:$M$19,4,FALSE)-E583</f>
        <v>306</v>
      </c>
      <c r="H583" s="103">
        <f>VLOOKUP(D583,Lookup!$J$5:$K$19,2,FALSE)</f>
        <v>12</v>
      </c>
      <c r="I583" s="103">
        <f ca="1">IFERROR(VLOOKUP(G583,OFFSET(Lookup!$J$21,1,H583-1,5,1),1,1),0)</f>
        <v>234</v>
      </c>
    </row>
    <row r="584" spans="2:9" x14ac:dyDescent="0.25">
      <c r="B584" s="96">
        <v>90</v>
      </c>
      <c r="C584" s="1">
        <v>7.7666666666627862</v>
      </c>
      <c r="D584" s="103" t="str">
        <f t="shared" si="27"/>
        <v>MC3</v>
      </c>
      <c r="E584" s="103">
        <f t="shared" si="28"/>
        <v>90</v>
      </c>
      <c r="F584" s="117">
        <f t="shared" si="29"/>
        <v>7.7666666666627862</v>
      </c>
      <c r="G584" s="103">
        <f>VLOOKUP(D584,Lookup!$J$5:$M$19,4,FALSE)-E584</f>
        <v>304</v>
      </c>
      <c r="H584" s="103">
        <f>VLOOKUP(D584,Lookup!$J$5:$K$19,2,FALSE)</f>
        <v>12</v>
      </c>
      <c r="I584" s="103">
        <f ca="1">IFERROR(VLOOKUP(G584,OFFSET(Lookup!$J$21,1,H584-1,5,1),1,1),0)</f>
        <v>234</v>
      </c>
    </row>
    <row r="585" spans="2:9" x14ac:dyDescent="0.25">
      <c r="B585" s="96">
        <v>91</v>
      </c>
      <c r="C585" s="1">
        <v>272.80000000022119</v>
      </c>
      <c r="D585" s="103" t="str">
        <f t="shared" ref="D585:D648" si="30">IF(A585="",D584,A585)</f>
        <v>MC3</v>
      </c>
      <c r="E585" s="103">
        <f t="shared" ref="E585:E648" si="31">IF(B585="",E584,B585)</f>
        <v>91</v>
      </c>
      <c r="F585" s="117">
        <f t="shared" ref="F585:F648" si="32">IF(C585="",F584,C585)</f>
        <v>272.80000000022119</v>
      </c>
      <c r="G585" s="103">
        <f>VLOOKUP(D585,Lookup!$J$5:$M$19,4,FALSE)-E585</f>
        <v>303</v>
      </c>
      <c r="H585" s="103">
        <f>VLOOKUP(D585,Lookup!$J$5:$K$19,2,FALSE)</f>
        <v>12</v>
      </c>
      <c r="I585" s="103">
        <f ca="1">IFERROR(VLOOKUP(G585,OFFSET(Lookup!$J$21,1,H585-1,5,1),1,1),0)</f>
        <v>234</v>
      </c>
    </row>
    <row r="586" spans="2:9" x14ac:dyDescent="0.25">
      <c r="B586" s="96">
        <v>92</v>
      </c>
      <c r="C586" s="1">
        <v>7.316666666592937</v>
      </c>
      <c r="D586" s="103" t="str">
        <f t="shared" si="30"/>
        <v>MC3</v>
      </c>
      <c r="E586" s="103">
        <f t="shared" si="31"/>
        <v>92</v>
      </c>
      <c r="F586" s="117">
        <f t="shared" si="32"/>
        <v>7.316666666592937</v>
      </c>
      <c r="G586" s="103">
        <f>VLOOKUP(D586,Lookup!$J$5:$M$19,4,FALSE)-E586</f>
        <v>302</v>
      </c>
      <c r="H586" s="103">
        <f>VLOOKUP(D586,Lookup!$J$5:$K$19,2,FALSE)</f>
        <v>12</v>
      </c>
      <c r="I586" s="103">
        <f ca="1">IFERROR(VLOOKUP(G586,OFFSET(Lookup!$J$21,1,H586-1,5,1),1,1),0)</f>
        <v>234</v>
      </c>
    </row>
    <row r="587" spans="2:9" x14ac:dyDescent="0.25">
      <c r="B587" s="96">
        <v>93</v>
      </c>
      <c r="C587" s="1">
        <v>0.61666666658129543</v>
      </c>
      <c r="D587" s="103" t="str">
        <f t="shared" si="30"/>
        <v>MC3</v>
      </c>
      <c r="E587" s="103">
        <f t="shared" si="31"/>
        <v>93</v>
      </c>
      <c r="F587" s="117">
        <f t="shared" si="32"/>
        <v>0.61666666658129543</v>
      </c>
      <c r="G587" s="103">
        <f>VLOOKUP(D587,Lookup!$J$5:$M$19,4,FALSE)-E587</f>
        <v>301</v>
      </c>
      <c r="H587" s="103">
        <f>VLOOKUP(D587,Lookup!$J$5:$K$19,2,FALSE)</f>
        <v>12</v>
      </c>
      <c r="I587" s="103">
        <f ca="1">IFERROR(VLOOKUP(G587,OFFSET(Lookup!$J$21,1,H587-1,5,1),1,1),0)</f>
        <v>234</v>
      </c>
    </row>
    <row r="588" spans="2:9" x14ac:dyDescent="0.25">
      <c r="B588" s="96">
        <v>96</v>
      </c>
      <c r="C588" s="1">
        <v>336.3000000002794</v>
      </c>
      <c r="D588" s="103" t="str">
        <f t="shared" si="30"/>
        <v>MC3</v>
      </c>
      <c r="E588" s="103">
        <f t="shared" si="31"/>
        <v>96</v>
      </c>
      <c r="F588" s="117">
        <f t="shared" si="32"/>
        <v>336.3000000002794</v>
      </c>
      <c r="G588" s="103">
        <f>VLOOKUP(D588,Lookup!$J$5:$M$19,4,FALSE)-E588</f>
        <v>298</v>
      </c>
      <c r="H588" s="103">
        <f>VLOOKUP(D588,Lookup!$J$5:$K$19,2,FALSE)</f>
        <v>12</v>
      </c>
      <c r="I588" s="103">
        <f ca="1">IFERROR(VLOOKUP(G588,OFFSET(Lookup!$J$21,1,H588-1,5,1),1,1),0)</f>
        <v>234</v>
      </c>
    </row>
    <row r="589" spans="2:9" x14ac:dyDescent="0.25">
      <c r="B589" s="96">
        <v>97</v>
      </c>
      <c r="C589" s="1">
        <v>37.450000000011642</v>
      </c>
      <c r="D589" s="103" t="str">
        <f t="shared" si="30"/>
        <v>MC3</v>
      </c>
      <c r="E589" s="103">
        <f t="shared" si="31"/>
        <v>97</v>
      </c>
      <c r="F589" s="117">
        <f t="shared" si="32"/>
        <v>37.450000000011642</v>
      </c>
      <c r="G589" s="103">
        <f>VLOOKUP(D589,Lookup!$J$5:$M$19,4,FALSE)-E589</f>
        <v>297</v>
      </c>
      <c r="H589" s="103">
        <f>VLOOKUP(D589,Lookup!$J$5:$K$19,2,FALSE)</f>
        <v>12</v>
      </c>
      <c r="I589" s="103">
        <f ca="1">IFERROR(VLOOKUP(G589,OFFSET(Lookup!$J$21,1,H589-1,5,1),1,1),0)</f>
        <v>234</v>
      </c>
    </row>
    <row r="590" spans="2:9" x14ac:dyDescent="0.25">
      <c r="B590" s="96">
        <v>100</v>
      </c>
      <c r="C590" s="1">
        <v>31.916666666802485</v>
      </c>
      <c r="D590" s="103" t="str">
        <f t="shared" si="30"/>
        <v>MC3</v>
      </c>
      <c r="E590" s="103">
        <f t="shared" si="31"/>
        <v>100</v>
      </c>
      <c r="F590" s="117">
        <f t="shared" si="32"/>
        <v>31.916666666802485</v>
      </c>
      <c r="G590" s="103">
        <f>VLOOKUP(D590,Lookup!$J$5:$M$19,4,FALSE)-E590</f>
        <v>294</v>
      </c>
      <c r="H590" s="103">
        <f>VLOOKUP(D590,Lookup!$J$5:$K$19,2,FALSE)</f>
        <v>12</v>
      </c>
      <c r="I590" s="103">
        <f ca="1">IFERROR(VLOOKUP(G590,OFFSET(Lookup!$J$21,1,H590-1,5,1),1,1),0)</f>
        <v>234</v>
      </c>
    </row>
    <row r="591" spans="2:9" x14ac:dyDescent="0.25">
      <c r="B591" s="96">
        <v>102</v>
      </c>
      <c r="C591" s="1">
        <v>5.0500000000465661</v>
      </c>
      <c r="D591" s="103" t="str">
        <f t="shared" si="30"/>
        <v>MC3</v>
      </c>
      <c r="E591" s="103">
        <f t="shared" si="31"/>
        <v>102</v>
      </c>
      <c r="F591" s="117">
        <f t="shared" si="32"/>
        <v>5.0500000000465661</v>
      </c>
      <c r="G591" s="103">
        <f>VLOOKUP(D591,Lookup!$J$5:$M$19,4,FALSE)-E591</f>
        <v>292</v>
      </c>
      <c r="H591" s="103">
        <f>VLOOKUP(D591,Lookup!$J$5:$K$19,2,FALSE)</f>
        <v>12</v>
      </c>
      <c r="I591" s="103">
        <f ca="1">IFERROR(VLOOKUP(G591,OFFSET(Lookup!$J$21,1,H591-1,5,1),1,1),0)</f>
        <v>234</v>
      </c>
    </row>
    <row r="592" spans="2:9" x14ac:dyDescent="0.25">
      <c r="B592" s="96">
        <v>103</v>
      </c>
      <c r="C592" s="1">
        <v>8.9333333332906477</v>
      </c>
      <c r="D592" s="103" t="str">
        <f t="shared" si="30"/>
        <v>MC3</v>
      </c>
      <c r="E592" s="103">
        <f t="shared" si="31"/>
        <v>103</v>
      </c>
      <c r="F592" s="117">
        <f t="shared" si="32"/>
        <v>8.9333333332906477</v>
      </c>
      <c r="G592" s="103">
        <f>VLOOKUP(D592,Lookup!$J$5:$M$19,4,FALSE)-E592</f>
        <v>291</v>
      </c>
      <c r="H592" s="103">
        <f>VLOOKUP(D592,Lookup!$J$5:$K$19,2,FALSE)</f>
        <v>12</v>
      </c>
      <c r="I592" s="103">
        <f ca="1">IFERROR(VLOOKUP(G592,OFFSET(Lookup!$J$21,1,H592-1,5,1),1,1),0)</f>
        <v>234</v>
      </c>
    </row>
    <row r="593" spans="2:9" x14ac:dyDescent="0.25">
      <c r="B593" s="96">
        <v>105</v>
      </c>
      <c r="C593" s="1">
        <v>23.150000000023283</v>
      </c>
      <c r="D593" s="103" t="str">
        <f t="shared" si="30"/>
        <v>MC3</v>
      </c>
      <c r="E593" s="103">
        <f t="shared" si="31"/>
        <v>105</v>
      </c>
      <c r="F593" s="117">
        <f t="shared" si="32"/>
        <v>23.150000000023283</v>
      </c>
      <c r="G593" s="103">
        <f>VLOOKUP(D593,Lookup!$J$5:$M$19,4,FALSE)-E593</f>
        <v>289</v>
      </c>
      <c r="H593" s="103">
        <f>VLOOKUP(D593,Lookup!$J$5:$K$19,2,FALSE)</f>
        <v>12</v>
      </c>
      <c r="I593" s="103">
        <f ca="1">IFERROR(VLOOKUP(G593,OFFSET(Lookup!$J$21,1,H593-1,5,1),1,1),0)</f>
        <v>234</v>
      </c>
    </row>
    <row r="594" spans="2:9" x14ac:dyDescent="0.25">
      <c r="B594" s="96">
        <v>110</v>
      </c>
      <c r="C594" s="1">
        <v>6.3333333333721384</v>
      </c>
      <c r="D594" s="103" t="str">
        <f t="shared" si="30"/>
        <v>MC3</v>
      </c>
      <c r="E594" s="103">
        <f t="shared" si="31"/>
        <v>110</v>
      </c>
      <c r="F594" s="117">
        <f t="shared" si="32"/>
        <v>6.3333333333721384</v>
      </c>
      <c r="G594" s="103">
        <f>VLOOKUP(D594,Lookup!$J$5:$M$19,4,FALSE)-E594</f>
        <v>284</v>
      </c>
      <c r="H594" s="103">
        <f>VLOOKUP(D594,Lookup!$J$5:$K$19,2,FALSE)</f>
        <v>12</v>
      </c>
      <c r="I594" s="103">
        <f ca="1">IFERROR(VLOOKUP(G594,OFFSET(Lookup!$J$21,1,H594-1,5,1),1,1),0)</f>
        <v>234</v>
      </c>
    </row>
    <row r="595" spans="2:9" x14ac:dyDescent="0.25">
      <c r="B595" s="96">
        <v>111</v>
      </c>
      <c r="C595" s="1">
        <v>12.099999999976717</v>
      </c>
      <c r="D595" s="103" t="str">
        <f t="shared" si="30"/>
        <v>MC3</v>
      </c>
      <c r="E595" s="103">
        <f t="shared" si="31"/>
        <v>111</v>
      </c>
      <c r="F595" s="117">
        <f t="shared" si="32"/>
        <v>12.099999999976717</v>
      </c>
      <c r="G595" s="103">
        <f>VLOOKUP(D595,Lookup!$J$5:$M$19,4,FALSE)-E595</f>
        <v>283</v>
      </c>
      <c r="H595" s="103">
        <f>VLOOKUP(D595,Lookup!$J$5:$K$19,2,FALSE)</f>
        <v>12</v>
      </c>
      <c r="I595" s="103">
        <f ca="1">IFERROR(VLOOKUP(G595,OFFSET(Lookup!$J$21,1,H595-1,5,1),1,1),0)</f>
        <v>234</v>
      </c>
    </row>
    <row r="596" spans="2:9" x14ac:dyDescent="0.25">
      <c r="B596" s="96">
        <v>114</v>
      </c>
      <c r="C596" s="1">
        <v>80.366666666173842</v>
      </c>
      <c r="D596" s="103" t="str">
        <f t="shared" si="30"/>
        <v>MC3</v>
      </c>
      <c r="E596" s="103">
        <f t="shared" si="31"/>
        <v>114</v>
      </c>
      <c r="F596" s="117">
        <f t="shared" si="32"/>
        <v>80.366666666173842</v>
      </c>
      <c r="G596" s="103">
        <f>VLOOKUP(D596,Lookup!$J$5:$M$19,4,FALSE)-E596</f>
        <v>280</v>
      </c>
      <c r="H596" s="103">
        <f>VLOOKUP(D596,Lookup!$J$5:$K$19,2,FALSE)</f>
        <v>12</v>
      </c>
      <c r="I596" s="103">
        <f ca="1">IFERROR(VLOOKUP(G596,OFFSET(Lookup!$J$21,1,H596-1,5,1),1,1),0)</f>
        <v>234</v>
      </c>
    </row>
    <row r="597" spans="2:9" x14ac:dyDescent="0.25">
      <c r="B597" s="96">
        <v>116</v>
      </c>
      <c r="C597" s="1">
        <v>23.883333333302289</v>
      </c>
      <c r="D597" s="103" t="str">
        <f t="shared" si="30"/>
        <v>MC3</v>
      </c>
      <c r="E597" s="103">
        <f t="shared" si="31"/>
        <v>116</v>
      </c>
      <c r="F597" s="117">
        <f t="shared" si="32"/>
        <v>23.883333333302289</v>
      </c>
      <c r="G597" s="103">
        <f>VLOOKUP(D597,Lookup!$J$5:$M$19,4,FALSE)-E597</f>
        <v>278</v>
      </c>
      <c r="H597" s="103">
        <f>VLOOKUP(D597,Lookup!$J$5:$K$19,2,FALSE)</f>
        <v>12</v>
      </c>
      <c r="I597" s="103">
        <f ca="1">IFERROR(VLOOKUP(G597,OFFSET(Lookup!$J$21,1,H597-1,5,1),1,1),0)</f>
        <v>234</v>
      </c>
    </row>
    <row r="598" spans="2:9" x14ac:dyDescent="0.25">
      <c r="B598" s="96">
        <v>118</v>
      </c>
      <c r="C598" s="1">
        <v>4.3166666667675599</v>
      </c>
      <c r="D598" s="103" t="str">
        <f t="shared" si="30"/>
        <v>MC3</v>
      </c>
      <c r="E598" s="103">
        <f t="shared" si="31"/>
        <v>118</v>
      </c>
      <c r="F598" s="117">
        <f t="shared" si="32"/>
        <v>4.3166666667675599</v>
      </c>
      <c r="G598" s="103">
        <f>VLOOKUP(D598,Lookup!$J$5:$M$19,4,FALSE)-E598</f>
        <v>276</v>
      </c>
      <c r="H598" s="103">
        <f>VLOOKUP(D598,Lookup!$J$5:$K$19,2,FALSE)</f>
        <v>12</v>
      </c>
      <c r="I598" s="103">
        <f ca="1">IFERROR(VLOOKUP(G598,OFFSET(Lookup!$J$21,1,H598-1,5,1),1,1),0)</f>
        <v>234</v>
      </c>
    </row>
    <row r="599" spans="2:9" x14ac:dyDescent="0.25">
      <c r="B599" s="96">
        <v>119</v>
      </c>
      <c r="C599" s="1">
        <v>11.650000000081491</v>
      </c>
      <c r="D599" s="103" t="str">
        <f t="shared" si="30"/>
        <v>MC3</v>
      </c>
      <c r="E599" s="103">
        <f t="shared" si="31"/>
        <v>119</v>
      </c>
      <c r="F599" s="117">
        <f t="shared" si="32"/>
        <v>11.650000000081491</v>
      </c>
      <c r="G599" s="103">
        <f>VLOOKUP(D599,Lookup!$J$5:$M$19,4,FALSE)-E599</f>
        <v>275</v>
      </c>
      <c r="H599" s="103">
        <f>VLOOKUP(D599,Lookup!$J$5:$K$19,2,FALSE)</f>
        <v>12</v>
      </c>
      <c r="I599" s="103">
        <f ca="1">IFERROR(VLOOKUP(G599,OFFSET(Lookup!$J$21,1,H599-1,5,1),1,1),0)</f>
        <v>234</v>
      </c>
    </row>
    <row r="600" spans="2:9" x14ac:dyDescent="0.25">
      <c r="B600" s="96">
        <v>122</v>
      </c>
      <c r="C600" s="1">
        <v>1.3000000000465661</v>
      </c>
      <c r="D600" s="103" t="str">
        <f t="shared" si="30"/>
        <v>MC3</v>
      </c>
      <c r="E600" s="103">
        <f t="shared" si="31"/>
        <v>122</v>
      </c>
      <c r="F600" s="117">
        <f t="shared" si="32"/>
        <v>1.3000000000465661</v>
      </c>
      <c r="G600" s="103">
        <f>VLOOKUP(D600,Lookup!$J$5:$M$19,4,FALSE)-E600</f>
        <v>272</v>
      </c>
      <c r="H600" s="103">
        <f>VLOOKUP(D600,Lookup!$J$5:$K$19,2,FALSE)</f>
        <v>12</v>
      </c>
      <c r="I600" s="103">
        <f ca="1">IFERROR(VLOOKUP(G600,OFFSET(Lookup!$J$21,1,H600-1,5,1),1,1),0)</f>
        <v>234</v>
      </c>
    </row>
    <row r="601" spans="2:9" x14ac:dyDescent="0.25">
      <c r="B601" s="96">
        <v>123</v>
      </c>
      <c r="C601" s="1">
        <v>0.91666666668606922</v>
      </c>
      <c r="D601" s="103" t="str">
        <f t="shared" si="30"/>
        <v>MC3</v>
      </c>
      <c r="E601" s="103">
        <f t="shared" si="31"/>
        <v>123</v>
      </c>
      <c r="F601" s="117">
        <f t="shared" si="32"/>
        <v>0.91666666668606922</v>
      </c>
      <c r="G601" s="103">
        <f>VLOOKUP(D601,Lookup!$J$5:$M$19,4,FALSE)-E601</f>
        <v>271</v>
      </c>
      <c r="H601" s="103">
        <f>VLOOKUP(D601,Lookup!$J$5:$K$19,2,FALSE)</f>
        <v>12</v>
      </c>
      <c r="I601" s="103">
        <f ca="1">IFERROR(VLOOKUP(G601,OFFSET(Lookup!$J$21,1,H601-1,5,1),1,1),0)</f>
        <v>234</v>
      </c>
    </row>
    <row r="602" spans="2:9" x14ac:dyDescent="0.25">
      <c r="B602" s="96">
        <v>124</v>
      </c>
      <c r="C602" s="1">
        <v>13.416666666569654</v>
      </c>
      <c r="D602" s="103" t="str">
        <f t="shared" si="30"/>
        <v>MC3</v>
      </c>
      <c r="E602" s="103">
        <f t="shared" si="31"/>
        <v>124</v>
      </c>
      <c r="F602" s="117">
        <f t="shared" si="32"/>
        <v>13.416666666569654</v>
      </c>
      <c r="G602" s="103">
        <f>VLOOKUP(D602,Lookup!$J$5:$M$19,4,FALSE)-E602</f>
        <v>270</v>
      </c>
      <c r="H602" s="103">
        <f>VLOOKUP(D602,Lookup!$J$5:$K$19,2,FALSE)</f>
        <v>12</v>
      </c>
      <c r="I602" s="103">
        <f ca="1">IFERROR(VLOOKUP(G602,OFFSET(Lookup!$J$21,1,H602-1,5,1),1,1),0)</f>
        <v>234</v>
      </c>
    </row>
    <row r="603" spans="2:9" x14ac:dyDescent="0.25">
      <c r="B603" s="96">
        <v>128</v>
      </c>
      <c r="C603" s="1">
        <v>7.5666666668839753</v>
      </c>
      <c r="D603" s="103" t="str">
        <f t="shared" si="30"/>
        <v>MC3</v>
      </c>
      <c r="E603" s="103">
        <f t="shared" si="31"/>
        <v>128</v>
      </c>
      <c r="F603" s="117">
        <f t="shared" si="32"/>
        <v>7.5666666668839753</v>
      </c>
      <c r="G603" s="103">
        <f>VLOOKUP(D603,Lookup!$J$5:$M$19,4,FALSE)-E603</f>
        <v>266</v>
      </c>
      <c r="H603" s="103">
        <f>VLOOKUP(D603,Lookup!$J$5:$K$19,2,FALSE)</f>
        <v>12</v>
      </c>
      <c r="I603" s="103">
        <f ca="1">IFERROR(VLOOKUP(G603,OFFSET(Lookup!$J$21,1,H603-1,5,1),1,1),0)</f>
        <v>234</v>
      </c>
    </row>
    <row r="604" spans="2:9" x14ac:dyDescent="0.25">
      <c r="B604" s="96">
        <v>133</v>
      </c>
      <c r="C604" s="1">
        <v>81.616666666755918</v>
      </c>
      <c r="D604" s="103" t="str">
        <f t="shared" si="30"/>
        <v>MC3</v>
      </c>
      <c r="E604" s="103">
        <f t="shared" si="31"/>
        <v>133</v>
      </c>
      <c r="F604" s="117">
        <f t="shared" si="32"/>
        <v>81.616666666755918</v>
      </c>
      <c r="G604" s="103">
        <f>VLOOKUP(D604,Lookup!$J$5:$M$19,4,FALSE)-E604</f>
        <v>261</v>
      </c>
      <c r="H604" s="103">
        <f>VLOOKUP(D604,Lookup!$J$5:$K$19,2,FALSE)</f>
        <v>12</v>
      </c>
      <c r="I604" s="103">
        <f ca="1">IFERROR(VLOOKUP(G604,OFFSET(Lookup!$J$21,1,H604-1,5,1),1,1),0)</f>
        <v>234</v>
      </c>
    </row>
    <row r="605" spans="2:9" x14ac:dyDescent="0.25">
      <c r="B605" s="96">
        <v>138</v>
      </c>
      <c r="C605" s="1">
        <v>2.1166666667559184</v>
      </c>
      <c r="D605" s="103" t="str">
        <f t="shared" si="30"/>
        <v>MC3</v>
      </c>
      <c r="E605" s="103">
        <f t="shared" si="31"/>
        <v>138</v>
      </c>
      <c r="F605" s="117">
        <f t="shared" si="32"/>
        <v>2.1166666667559184</v>
      </c>
      <c r="G605" s="103">
        <f>VLOOKUP(D605,Lookup!$J$5:$M$19,4,FALSE)-E605</f>
        <v>256</v>
      </c>
      <c r="H605" s="103">
        <f>VLOOKUP(D605,Lookup!$J$5:$K$19,2,FALSE)</f>
        <v>12</v>
      </c>
      <c r="I605" s="103">
        <f ca="1">IFERROR(VLOOKUP(G605,OFFSET(Lookup!$J$21,1,H605-1,5,1),1,1),0)</f>
        <v>234</v>
      </c>
    </row>
    <row r="606" spans="2:9" x14ac:dyDescent="0.25">
      <c r="B606" s="96">
        <v>142</v>
      </c>
      <c r="C606" s="1">
        <v>8.5833333333721384</v>
      </c>
      <c r="D606" s="103" t="str">
        <f t="shared" si="30"/>
        <v>MC3</v>
      </c>
      <c r="E606" s="103">
        <f t="shared" si="31"/>
        <v>142</v>
      </c>
      <c r="F606" s="117">
        <f t="shared" si="32"/>
        <v>8.5833333333721384</v>
      </c>
      <c r="G606" s="103">
        <f>VLOOKUP(D606,Lookup!$J$5:$M$19,4,FALSE)-E606</f>
        <v>252</v>
      </c>
      <c r="H606" s="103">
        <f>VLOOKUP(D606,Lookup!$J$5:$K$19,2,FALSE)</f>
        <v>12</v>
      </c>
      <c r="I606" s="103">
        <f ca="1">IFERROR(VLOOKUP(G606,OFFSET(Lookup!$J$21,1,H606-1,5,1),1,1),0)</f>
        <v>234</v>
      </c>
    </row>
    <row r="607" spans="2:9" x14ac:dyDescent="0.25">
      <c r="B607" s="96">
        <v>147</v>
      </c>
      <c r="C607" s="1">
        <v>0.75</v>
      </c>
      <c r="D607" s="103" t="str">
        <f t="shared" si="30"/>
        <v>MC3</v>
      </c>
      <c r="E607" s="103">
        <f t="shared" si="31"/>
        <v>147</v>
      </c>
      <c r="F607" s="117">
        <f t="shared" si="32"/>
        <v>0.75</v>
      </c>
      <c r="G607" s="103">
        <f>VLOOKUP(D607,Lookup!$J$5:$M$19,4,FALSE)-E607</f>
        <v>247</v>
      </c>
      <c r="H607" s="103">
        <f>VLOOKUP(D607,Lookup!$J$5:$K$19,2,FALSE)</f>
        <v>12</v>
      </c>
      <c r="I607" s="103">
        <f ca="1">IFERROR(VLOOKUP(G607,OFFSET(Lookup!$J$21,1,H607-1,5,1),1,1),0)</f>
        <v>234</v>
      </c>
    </row>
    <row r="608" spans="2:9" x14ac:dyDescent="0.25">
      <c r="B608" s="96">
        <v>151</v>
      </c>
      <c r="C608" s="1">
        <v>10.21666666661622</v>
      </c>
      <c r="D608" s="103" t="str">
        <f t="shared" si="30"/>
        <v>MC3</v>
      </c>
      <c r="E608" s="103">
        <f t="shared" si="31"/>
        <v>151</v>
      </c>
      <c r="F608" s="117">
        <f t="shared" si="32"/>
        <v>10.21666666661622</v>
      </c>
      <c r="G608" s="103">
        <f>VLOOKUP(D608,Lookup!$J$5:$M$19,4,FALSE)-E608</f>
        <v>243</v>
      </c>
      <c r="H608" s="103">
        <f>VLOOKUP(D608,Lookup!$J$5:$K$19,2,FALSE)</f>
        <v>12</v>
      </c>
      <c r="I608" s="103">
        <f ca="1">IFERROR(VLOOKUP(G608,OFFSET(Lookup!$J$21,1,H608-1,5,1),1,1),0)</f>
        <v>234</v>
      </c>
    </row>
    <row r="609" spans="2:9" x14ac:dyDescent="0.25">
      <c r="B609" s="96">
        <v>161</v>
      </c>
      <c r="C609" s="1">
        <v>28.949999999895226</v>
      </c>
      <c r="D609" s="103" t="str">
        <f t="shared" si="30"/>
        <v>MC3</v>
      </c>
      <c r="E609" s="103">
        <f t="shared" si="31"/>
        <v>161</v>
      </c>
      <c r="F609" s="117">
        <f t="shared" si="32"/>
        <v>28.949999999895226</v>
      </c>
      <c r="G609" s="103">
        <f>VLOOKUP(D609,Lookup!$J$5:$M$19,4,FALSE)-E609</f>
        <v>233</v>
      </c>
      <c r="H609" s="103">
        <f>VLOOKUP(D609,Lookup!$J$5:$K$19,2,FALSE)</f>
        <v>12</v>
      </c>
      <c r="I609" s="103">
        <f ca="1">IFERROR(VLOOKUP(G609,OFFSET(Lookup!$J$21,1,H609-1,5,1),1,1),0)</f>
        <v>204</v>
      </c>
    </row>
    <row r="610" spans="2:9" x14ac:dyDescent="0.25">
      <c r="B610" s="96">
        <v>167</v>
      </c>
      <c r="C610" s="1">
        <v>4.5666666667093523</v>
      </c>
      <c r="D610" s="103" t="str">
        <f t="shared" si="30"/>
        <v>MC3</v>
      </c>
      <c r="E610" s="103">
        <f t="shared" si="31"/>
        <v>167</v>
      </c>
      <c r="F610" s="117">
        <f t="shared" si="32"/>
        <v>4.5666666667093523</v>
      </c>
      <c r="G610" s="103">
        <f>VLOOKUP(D610,Lookup!$J$5:$M$19,4,FALSE)-E610</f>
        <v>227</v>
      </c>
      <c r="H610" s="103">
        <f>VLOOKUP(D610,Lookup!$J$5:$K$19,2,FALSE)</f>
        <v>12</v>
      </c>
      <c r="I610" s="103">
        <f ca="1">IFERROR(VLOOKUP(G610,OFFSET(Lookup!$J$21,1,H610-1,5,1),1,1),0)</f>
        <v>204</v>
      </c>
    </row>
    <row r="611" spans="2:9" x14ac:dyDescent="0.25">
      <c r="B611" s="96">
        <v>170</v>
      </c>
      <c r="C611" s="1">
        <v>7.1500000002561137</v>
      </c>
      <c r="D611" s="103" t="str">
        <f t="shared" si="30"/>
        <v>MC3</v>
      </c>
      <c r="E611" s="103">
        <f t="shared" si="31"/>
        <v>170</v>
      </c>
      <c r="F611" s="117">
        <f t="shared" si="32"/>
        <v>7.1500000002561137</v>
      </c>
      <c r="G611" s="103">
        <f>VLOOKUP(D611,Lookup!$J$5:$M$19,4,FALSE)-E611</f>
        <v>224</v>
      </c>
      <c r="H611" s="103">
        <f>VLOOKUP(D611,Lookup!$J$5:$K$19,2,FALSE)</f>
        <v>12</v>
      </c>
      <c r="I611" s="103">
        <f ca="1">IFERROR(VLOOKUP(G611,OFFSET(Lookup!$J$21,1,H611-1,5,1),1,1),0)</f>
        <v>204</v>
      </c>
    </row>
    <row r="612" spans="2:9" x14ac:dyDescent="0.25">
      <c r="B612" s="96">
        <v>175</v>
      </c>
      <c r="C612" s="1">
        <v>0.13333333324408159</v>
      </c>
      <c r="D612" s="103" t="str">
        <f t="shared" si="30"/>
        <v>MC3</v>
      </c>
      <c r="E612" s="103">
        <f t="shared" si="31"/>
        <v>175</v>
      </c>
      <c r="F612" s="117">
        <f t="shared" si="32"/>
        <v>0.13333333324408159</v>
      </c>
      <c r="G612" s="103">
        <f>VLOOKUP(D612,Lookup!$J$5:$M$19,4,FALSE)-E612</f>
        <v>219</v>
      </c>
      <c r="H612" s="103">
        <f>VLOOKUP(D612,Lookup!$J$5:$K$19,2,FALSE)</f>
        <v>12</v>
      </c>
      <c r="I612" s="103">
        <f ca="1">IFERROR(VLOOKUP(G612,OFFSET(Lookup!$J$21,1,H612-1,5,1),1,1),0)</f>
        <v>204</v>
      </c>
    </row>
    <row r="613" spans="2:9" x14ac:dyDescent="0.25">
      <c r="B613" s="96">
        <v>179</v>
      </c>
      <c r="C613" s="1">
        <v>19.533333333441988</v>
      </c>
      <c r="D613" s="103" t="str">
        <f t="shared" si="30"/>
        <v>MC3</v>
      </c>
      <c r="E613" s="103">
        <f t="shared" si="31"/>
        <v>179</v>
      </c>
      <c r="F613" s="117">
        <f t="shared" si="32"/>
        <v>19.533333333441988</v>
      </c>
      <c r="G613" s="103">
        <f>VLOOKUP(D613,Lookup!$J$5:$M$19,4,FALSE)-E613</f>
        <v>215</v>
      </c>
      <c r="H613" s="103">
        <f>VLOOKUP(D613,Lookup!$J$5:$K$19,2,FALSE)</f>
        <v>12</v>
      </c>
      <c r="I613" s="103">
        <f ca="1">IFERROR(VLOOKUP(G613,OFFSET(Lookup!$J$21,1,H613-1,5,1),1,1),0)</f>
        <v>204</v>
      </c>
    </row>
    <row r="614" spans="2:9" x14ac:dyDescent="0.25">
      <c r="B614" s="96">
        <v>181</v>
      </c>
      <c r="C614" s="1">
        <v>4.9000000000814907</v>
      </c>
      <c r="D614" s="103" t="str">
        <f t="shared" si="30"/>
        <v>MC3</v>
      </c>
      <c r="E614" s="103">
        <f t="shared" si="31"/>
        <v>181</v>
      </c>
      <c r="F614" s="117">
        <f t="shared" si="32"/>
        <v>4.9000000000814907</v>
      </c>
      <c r="G614" s="103">
        <f>VLOOKUP(D614,Lookup!$J$5:$M$19,4,FALSE)-E614</f>
        <v>213</v>
      </c>
      <c r="H614" s="103">
        <f>VLOOKUP(D614,Lookup!$J$5:$K$19,2,FALSE)</f>
        <v>12</v>
      </c>
      <c r="I614" s="103">
        <f ca="1">IFERROR(VLOOKUP(G614,OFFSET(Lookup!$J$21,1,H614-1,5,1),1,1),0)</f>
        <v>204</v>
      </c>
    </row>
    <row r="615" spans="2:9" x14ac:dyDescent="0.25">
      <c r="B615" s="96">
        <v>184</v>
      </c>
      <c r="C615" s="1">
        <v>7.3000000000465661</v>
      </c>
      <c r="D615" s="103" t="str">
        <f t="shared" si="30"/>
        <v>MC3</v>
      </c>
      <c r="E615" s="103">
        <f t="shared" si="31"/>
        <v>184</v>
      </c>
      <c r="F615" s="117">
        <f t="shared" si="32"/>
        <v>7.3000000000465661</v>
      </c>
      <c r="G615" s="103">
        <f>VLOOKUP(D615,Lookup!$J$5:$M$19,4,FALSE)-E615</f>
        <v>210</v>
      </c>
      <c r="H615" s="103">
        <f>VLOOKUP(D615,Lookup!$J$5:$K$19,2,FALSE)</f>
        <v>12</v>
      </c>
      <c r="I615" s="103">
        <f ca="1">IFERROR(VLOOKUP(G615,OFFSET(Lookup!$J$21,1,H615-1,5,1),1,1),0)</f>
        <v>204</v>
      </c>
    </row>
    <row r="616" spans="2:9" x14ac:dyDescent="0.25">
      <c r="B616" s="96">
        <v>189</v>
      </c>
      <c r="C616" s="1">
        <v>1.5</v>
      </c>
      <c r="D616" s="103" t="str">
        <f t="shared" si="30"/>
        <v>MC3</v>
      </c>
      <c r="E616" s="103">
        <f t="shared" si="31"/>
        <v>189</v>
      </c>
      <c r="F616" s="117">
        <f t="shared" si="32"/>
        <v>1.5</v>
      </c>
      <c r="G616" s="103">
        <f>VLOOKUP(D616,Lookup!$J$5:$M$19,4,FALSE)-E616</f>
        <v>205</v>
      </c>
      <c r="H616" s="103">
        <f>VLOOKUP(D616,Lookup!$J$5:$K$19,2,FALSE)</f>
        <v>12</v>
      </c>
      <c r="I616" s="103">
        <f ca="1">IFERROR(VLOOKUP(G616,OFFSET(Lookup!$J$21,1,H616-1,5,1),1,1),0)</f>
        <v>204</v>
      </c>
    </row>
    <row r="617" spans="2:9" x14ac:dyDescent="0.25">
      <c r="B617" s="96">
        <v>193</v>
      </c>
      <c r="C617" s="1">
        <v>9.0499999999883585</v>
      </c>
      <c r="D617" s="103" t="str">
        <f t="shared" si="30"/>
        <v>MC3</v>
      </c>
      <c r="E617" s="103">
        <f t="shared" si="31"/>
        <v>193</v>
      </c>
      <c r="F617" s="117">
        <f t="shared" si="32"/>
        <v>9.0499999999883585</v>
      </c>
      <c r="G617" s="103">
        <f>VLOOKUP(D617,Lookup!$J$5:$M$19,4,FALSE)-E617</f>
        <v>201</v>
      </c>
      <c r="H617" s="103">
        <f>VLOOKUP(D617,Lookup!$J$5:$K$19,2,FALSE)</f>
        <v>12</v>
      </c>
      <c r="I617" s="103">
        <f ca="1">IFERROR(VLOOKUP(G617,OFFSET(Lookup!$J$21,1,H617-1,5,1),1,1),0)</f>
        <v>170</v>
      </c>
    </row>
    <row r="618" spans="2:9" x14ac:dyDescent="0.25">
      <c r="B618" s="96">
        <v>198</v>
      </c>
      <c r="C618" s="1">
        <v>56.033333333325572</v>
      </c>
      <c r="D618" s="103" t="str">
        <f t="shared" si="30"/>
        <v>MC3</v>
      </c>
      <c r="E618" s="103">
        <f t="shared" si="31"/>
        <v>198</v>
      </c>
      <c r="F618" s="117">
        <f t="shared" si="32"/>
        <v>56.033333333325572</v>
      </c>
      <c r="G618" s="103">
        <f>VLOOKUP(D618,Lookup!$J$5:$M$19,4,FALSE)-E618</f>
        <v>196</v>
      </c>
      <c r="H618" s="103">
        <f>VLOOKUP(D618,Lookup!$J$5:$K$19,2,FALSE)</f>
        <v>12</v>
      </c>
      <c r="I618" s="103">
        <f ca="1">IFERROR(VLOOKUP(G618,OFFSET(Lookup!$J$21,1,H618-1,5,1),1,1),0)</f>
        <v>170</v>
      </c>
    </row>
    <row r="619" spans="2:9" x14ac:dyDescent="0.25">
      <c r="B619" s="96">
        <v>207</v>
      </c>
      <c r="C619" s="1">
        <v>27.300000000279397</v>
      </c>
      <c r="D619" s="103" t="str">
        <f t="shared" si="30"/>
        <v>MC3</v>
      </c>
      <c r="E619" s="103">
        <f t="shared" si="31"/>
        <v>207</v>
      </c>
      <c r="F619" s="117">
        <f t="shared" si="32"/>
        <v>27.300000000279397</v>
      </c>
      <c r="G619" s="103">
        <f>VLOOKUP(D619,Lookup!$J$5:$M$19,4,FALSE)-E619</f>
        <v>187</v>
      </c>
      <c r="H619" s="103">
        <f>VLOOKUP(D619,Lookup!$J$5:$K$19,2,FALSE)</f>
        <v>12</v>
      </c>
      <c r="I619" s="103">
        <f ca="1">IFERROR(VLOOKUP(G619,OFFSET(Lookup!$J$21,1,H619-1,5,1),1,1),0)</f>
        <v>170</v>
      </c>
    </row>
    <row r="620" spans="2:9" x14ac:dyDescent="0.25">
      <c r="B620" s="96">
        <v>216</v>
      </c>
      <c r="C620" s="1">
        <v>3.5000000000582077</v>
      </c>
      <c r="D620" s="103" t="str">
        <f t="shared" si="30"/>
        <v>MC3</v>
      </c>
      <c r="E620" s="103">
        <f t="shared" si="31"/>
        <v>216</v>
      </c>
      <c r="F620" s="117">
        <f t="shared" si="32"/>
        <v>3.5000000000582077</v>
      </c>
      <c r="G620" s="103">
        <f>VLOOKUP(D620,Lookup!$J$5:$M$19,4,FALSE)-E620</f>
        <v>178</v>
      </c>
      <c r="H620" s="103">
        <f>VLOOKUP(D620,Lookup!$J$5:$K$19,2,FALSE)</f>
        <v>12</v>
      </c>
      <c r="I620" s="103">
        <f ca="1">IFERROR(VLOOKUP(G620,OFFSET(Lookup!$J$21,1,H620-1,5,1),1,1),0)</f>
        <v>170</v>
      </c>
    </row>
    <row r="621" spans="2:9" x14ac:dyDescent="0.25">
      <c r="B621" s="96">
        <v>226</v>
      </c>
      <c r="C621" s="1">
        <v>8.1833333332906477</v>
      </c>
      <c r="D621" s="103" t="str">
        <f t="shared" si="30"/>
        <v>MC3</v>
      </c>
      <c r="E621" s="103">
        <f t="shared" si="31"/>
        <v>226</v>
      </c>
      <c r="F621" s="117">
        <f t="shared" si="32"/>
        <v>8.1833333332906477</v>
      </c>
      <c r="G621" s="103">
        <f>VLOOKUP(D621,Lookup!$J$5:$M$19,4,FALSE)-E621</f>
        <v>168</v>
      </c>
      <c r="H621" s="103">
        <f>VLOOKUP(D621,Lookup!$J$5:$K$19,2,FALSE)</f>
        <v>12</v>
      </c>
      <c r="I621" s="103">
        <f ca="1">IFERROR(VLOOKUP(G621,OFFSET(Lookup!$J$21,1,H621-1,5,1),1,1),0)</f>
        <v>0</v>
      </c>
    </row>
    <row r="622" spans="2:9" x14ac:dyDescent="0.25">
      <c r="B622" s="96">
        <v>228</v>
      </c>
      <c r="C622" s="1">
        <v>45.966666666674428</v>
      </c>
      <c r="D622" s="103" t="str">
        <f t="shared" si="30"/>
        <v>MC3</v>
      </c>
      <c r="E622" s="103">
        <f t="shared" si="31"/>
        <v>228</v>
      </c>
      <c r="F622" s="117">
        <f t="shared" si="32"/>
        <v>45.966666666674428</v>
      </c>
      <c r="G622" s="103">
        <f>VLOOKUP(D622,Lookup!$J$5:$M$19,4,FALSE)-E622</f>
        <v>166</v>
      </c>
      <c r="H622" s="103">
        <f>VLOOKUP(D622,Lookup!$J$5:$K$19,2,FALSE)</f>
        <v>12</v>
      </c>
      <c r="I622" s="103">
        <f ca="1">IFERROR(VLOOKUP(G622,OFFSET(Lookup!$J$21,1,H622-1,5,1),1,1),0)</f>
        <v>0</v>
      </c>
    </row>
    <row r="623" spans="2:9" x14ac:dyDescent="0.25">
      <c r="B623" s="96">
        <v>230</v>
      </c>
      <c r="C623" s="1">
        <v>11.016666666604578</v>
      </c>
      <c r="D623" s="103" t="str">
        <f t="shared" si="30"/>
        <v>MC3</v>
      </c>
      <c r="E623" s="103">
        <f t="shared" si="31"/>
        <v>230</v>
      </c>
      <c r="F623" s="117">
        <f t="shared" si="32"/>
        <v>11.016666666604578</v>
      </c>
      <c r="G623" s="103">
        <f>VLOOKUP(D623,Lookup!$J$5:$M$19,4,FALSE)-E623</f>
        <v>164</v>
      </c>
      <c r="H623" s="103">
        <f>VLOOKUP(D623,Lookup!$J$5:$K$19,2,FALSE)</f>
        <v>12</v>
      </c>
      <c r="I623" s="103">
        <f ca="1">IFERROR(VLOOKUP(G623,OFFSET(Lookup!$J$21,1,H623-1,5,1),1,1),0)</f>
        <v>0</v>
      </c>
    </row>
    <row r="624" spans="2:9" x14ac:dyDescent="0.25">
      <c r="B624" s="96">
        <v>235</v>
      </c>
      <c r="C624" s="1">
        <v>2.4666666666744277</v>
      </c>
      <c r="D624" s="103" t="str">
        <f t="shared" si="30"/>
        <v>MC3</v>
      </c>
      <c r="E624" s="103">
        <f t="shared" si="31"/>
        <v>235</v>
      </c>
      <c r="F624" s="117">
        <f t="shared" si="32"/>
        <v>2.4666666666744277</v>
      </c>
      <c r="G624" s="103">
        <f>VLOOKUP(D624,Lookup!$J$5:$M$19,4,FALSE)-E624</f>
        <v>159</v>
      </c>
      <c r="H624" s="103">
        <f>VLOOKUP(D624,Lookup!$J$5:$K$19,2,FALSE)</f>
        <v>12</v>
      </c>
      <c r="I624" s="103">
        <f ca="1">IFERROR(VLOOKUP(G624,OFFSET(Lookup!$J$21,1,H624-1,5,1),1,1),0)</f>
        <v>0</v>
      </c>
    </row>
    <row r="625" spans="1:9" x14ac:dyDescent="0.25">
      <c r="B625" s="96">
        <v>237</v>
      </c>
      <c r="C625" s="1">
        <v>48.083333333255723</v>
      </c>
      <c r="D625" s="103" t="str">
        <f t="shared" si="30"/>
        <v>MC3</v>
      </c>
      <c r="E625" s="103">
        <f t="shared" si="31"/>
        <v>237</v>
      </c>
      <c r="F625" s="117">
        <f t="shared" si="32"/>
        <v>48.083333333255723</v>
      </c>
      <c r="G625" s="103">
        <f>VLOOKUP(D625,Lookup!$J$5:$M$19,4,FALSE)-E625</f>
        <v>157</v>
      </c>
      <c r="H625" s="103">
        <f>VLOOKUP(D625,Lookup!$J$5:$K$19,2,FALSE)</f>
        <v>12</v>
      </c>
      <c r="I625" s="103">
        <f ca="1">IFERROR(VLOOKUP(G625,OFFSET(Lookup!$J$21,1,H625-1,5,1),1,1),0)</f>
        <v>0</v>
      </c>
    </row>
    <row r="626" spans="1:9" x14ac:dyDescent="0.25">
      <c r="B626" s="96">
        <v>244</v>
      </c>
      <c r="C626" s="1">
        <v>43.333333333313931</v>
      </c>
      <c r="D626" s="103" t="str">
        <f t="shared" si="30"/>
        <v>MC3</v>
      </c>
      <c r="E626" s="103">
        <f t="shared" si="31"/>
        <v>244</v>
      </c>
      <c r="F626" s="117">
        <f t="shared" si="32"/>
        <v>43.333333333313931</v>
      </c>
      <c r="G626" s="103">
        <f>VLOOKUP(D626,Lookup!$J$5:$M$19,4,FALSE)-E626</f>
        <v>150</v>
      </c>
      <c r="H626" s="103">
        <f>VLOOKUP(D626,Lookup!$J$5:$K$19,2,FALSE)</f>
        <v>12</v>
      </c>
      <c r="I626" s="103">
        <f ca="1">IFERROR(VLOOKUP(G626,OFFSET(Lookup!$J$21,1,H626-1,5,1),1,1),0)</f>
        <v>0</v>
      </c>
    </row>
    <row r="627" spans="1:9" x14ac:dyDescent="0.25">
      <c r="B627" s="96">
        <v>249</v>
      </c>
      <c r="C627" s="1">
        <v>4.5166666667209938</v>
      </c>
      <c r="D627" s="103" t="str">
        <f t="shared" si="30"/>
        <v>MC3</v>
      </c>
      <c r="E627" s="103">
        <f t="shared" si="31"/>
        <v>249</v>
      </c>
      <c r="F627" s="117">
        <f t="shared" si="32"/>
        <v>4.5166666667209938</v>
      </c>
      <c r="G627" s="103">
        <f>VLOOKUP(D627,Lookup!$J$5:$M$19,4,FALSE)-E627</f>
        <v>145</v>
      </c>
      <c r="H627" s="103">
        <f>VLOOKUP(D627,Lookup!$J$5:$K$19,2,FALSE)</f>
        <v>12</v>
      </c>
      <c r="I627" s="103">
        <f ca="1">IFERROR(VLOOKUP(G627,OFFSET(Lookup!$J$21,1,H627-1,5,1),1,1),0)</f>
        <v>0</v>
      </c>
    </row>
    <row r="628" spans="1:9" x14ac:dyDescent="0.25">
      <c r="B628" s="96">
        <v>263</v>
      </c>
      <c r="C628" s="1">
        <v>3.5833333333139308</v>
      </c>
      <c r="D628" s="103" t="str">
        <f t="shared" si="30"/>
        <v>MC3</v>
      </c>
      <c r="E628" s="103">
        <f t="shared" si="31"/>
        <v>263</v>
      </c>
      <c r="F628" s="117">
        <f t="shared" si="32"/>
        <v>3.5833333333139308</v>
      </c>
      <c r="G628" s="103">
        <f>VLOOKUP(D628,Lookup!$J$5:$M$19,4,FALSE)-E628</f>
        <v>131</v>
      </c>
      <c r="H628" s="103">
        <f>VLOOKUP(D628,Lookup!$J$5:$K$19,2,FALSE)</f>
        <v>12</v>
      </c>
      <c r="I628" s="103">
        <f ca="1">IFERROR(VLOOKUP(G628,OFFSET(Lookup!$J$21,1,H628-1,5,1),1,1),0)</f>
        <v>0</v>
      </c>
    </row>
    <row r="629" spans="1:9" x14ac:dyDescent="0.25">
      <c r="B629" s="96">
        <v>272</v>
      </c>
      <c r="C629" s="1">
        <v>7.8666666666395031</v>
      </c>
      <c r="D629" s="103" t="str">
        <f t="shared" si="30"/>
        <v>MC3</v>
      </c>
      <c r="E629" s="103">
        <f t="shared" si="31"/>
        <v>272</v>
      </c>
      <c r="F629" s="117">
        <f t="shared" si="32"/>
        <v>7.8666666666395031</v>
      </c>
      <c r="G629" s="103">
        <f>VLOOKUP(D629,Lookup!$J$5:$M$19,4,FALSE)-E629</f>
        <v>122</v>
      </c>
      <c r="H629" s="103">
        <f>VLOOKUP(D629,Lookup!$J$5:$K$19,2,FALSE)</f>
        <v>12</v>
      </c>
      <c r="I629" s="103">
        <f ca="1">IFERROR(VLOOKUP(G629,OFFSET(Lookup!$J$21,1,H629-1,5,1),1,1),0)</f>
        <v>0</v>
      </c>
    </row>
    <row r="630" spans="1:9" x14ac:dyDescent="0.25">
      <c r="B630" s="96">
        <v>277</v>
      </c>
      <c r="C630" s="1">
        <v>16.816666666651145</v>
      </c>
      <c r="D630" s="103" t="str">
        <f t="shared" si="30"/>
        <v>MC3</v>
      </c>
      <c r="E630" s="103">
        <f t="shared" si="31"/>
        <v>277</v>
      </c>
      <c r="F630" s="117">
        <f t="shared" si="32"/>
        <v>16.816666666651145</v>
      </c>
      <c r="G630" s="103">
        <f>VLOOKUP(D630,Lookup!$J$5:$M$19,4,FALSE)-E630</f>
        <v>117</v>
      </c>
      <c r="H630" s="103">
        <f>VLOOKUP(D630,Lookup!$J$5:$K$19,2,FALSE)</f>
        <v>12</v>
      </c>
      <c r="I630" s="103">
        <f ca="1">IFERROR(VLOOKUP(G630,OFFSET(Lookup!$J$21,1,H630-1,5,1),1,1),0)</f>
        <v>0</v>
      </c>
    </row>
    <row r="631" spans="1:9" x14ac:dyDescent="0.25">
      <c r="B631" s="96">
        <v>280</v>
      </c>
      <c r="C631" s="1">
        <v>1.5166666665463708</v>
      </c>
      <c r="D631" s="103" t="str">
        <f t="shared" si="30"/>
        <v>MC3</v>
      </c>
      <c r="E631" s="103">
        <f t="shared" si="31"/>
        <v>280</v>
      </c>
      <c r="F631" s="117">
        <f t="shared" si="32"/>
        <v>1.5166666665463708</v>
      </c>
      <c r="G631" s="103">
        <f>VLOOKUP(D631,Lookup!$J$5:$M$19,4,FALSE)-E631</f>
        <v>114</v>
      </c>
      <c r="H631" s="103">
        <f>VLOOKUP(D631,Lookup!$J$5:$K$19,2,FALSE)</f>
        <v>12</v>
      </c>
      <c r="I631" s="103">
        <f ca="1">IFERROR(VLOOKUP(G631,OFFSET(Lookup!$J$21,1,H631-1,5,1),1,1),0)</f>
        <v>0</v>
      </c>
    </row>
    <row r="632" spans="1:9" x14ac:dyDescent="0.25">
      <c r="B632" s="96">
        <v>285</v>
      </c>
      <c r="C632" s="1">
        <v>12.499999999883585</v>
      </c>
      <c r="D632" s="103" t="str">
        <f t="shared" si="30"/>
        <v>MC3</v>
      </c>
      <c r="E632" s="103">
        <f t="shared" si="31"/>
        <v>285</v>
      </c>
      <c r="F632" s="117">
        <f t="shared" si="32"/>
        <v>12.499999999883585</v>
      </c>
      <c r="G632" s="103">
        <f>VLOOKUP(D632,Lookup!$J$5:$M$19,4,FALSE)-E632</f>
        <v>109</v>
      </c>
      <c r="H632" s="103">
        <f>VLOOKUP(D632,Lookup!$J$5:$K$19,2,FALSE)</f>
        <v>12</v>
      </c>
      <c r="I632" s="103">
        <f ca="1">IFERROR(VLOOKUP(G632,OFFSET(Lookup!$J$21,1,H632-1,5,1),1,1),0)</f>
        <v>0</v>
      </c>
    </row>
    <row r="633" spans="1:9" x14ac:dyDescent="0.25">
      <c r="A633" s="103" t="s">
        <v>25</v>
      </c>
      <c r="B633" s="96">
        <v>0</v>
      </c>
      <c r="C633" s="1">
        <v>781.25000000023283</v>
      </c>
      <c r="D633" s="103" t="str">
        <f t="shared" si="30"/>
        <v>MC4</v>
      </c>
      <c r="E633" s="103">
        <f t="shared" si="31"/>
        <v>0</v>
      </c>
      <c r="F633" s="117">
        <f t="shared" si="32"/>
        <v>781.25000000023283</v>
      </c>
      <c r="G633" s="103">
        <f>VLOOKUP(D633,Lookup!$J$5:$M$19,4,FALSE)-E633</f>
        <v>486</v>
      </c>
      <c r="H633" s="103">
        <f>VLOOKUP(D633,Lookup!$J$5:$K$19,2,FALSE)</f>
        <v>13</v>
      </c>
      <c r="I633" s="103">
        <f ca="1">IFERROR(VLOOKUP(G633,OFFSET(Lookup!$J$21,1,H633-1,5,1),1,1),0)</f>
        <v>446</v>
      </c>
    </row>
    <row r="634" spans="1:9" x14ac:dyDescent="0.25">
      <c r="B634" s="96">
        <v>1</v>
      </c>
      <c r="C634" s="1">
        <v>169.99999999988358</v>
      </c>
      <c r="D634" s="103" t="str">
        <f t="shared" si="30"/>
        <v>MC4</v>
      </c>
      <c r="E634" s="103">
        <f t="shared" si="31"/>
        <v>1</v>
      </c>
      <c r="F634" s="117">
        <f t="shared" si="32"/>
        <v>169.99999999988358</v>
      </c>
      <c r="G634" s="103">
        <f>VLOOKUP(D634,Lookup!$J$5:$M$19,4,FALSE)-E634</f>
        <v>485</v>
      </c>
      <c r="H634" s="103">
        <f>VLOOKUP(D634,Lookup!$J$5:$K$19,2,FALSE)</f>
        <v>13</v>
      </c>
      <c r="I634" s="103">
        <f ca="1">IFERROR(VLOOKUP(G634,OFFSET(Lookup!$J$21,1,H634-1,5,1),1,1),0)</f>
        <v>446</v>
      </c>
    </row>
    <row r="635" spans="1:9" x14ac:dyDescent="0.25">
      <c r="B635" s="96">
        <v>3</v>
      </c>
      <c r="C635" s="1">
        <v>436.23333333333721</v>
      </c>
      <c r="D635" s="103" t="str">
        <f t="shared" si="30"/>
        <v>MC4</v>
      </c>
      <c r="E635" s="103">
        <f t="shared" si="31"/>
        <v>3</v>
      </c>
      <c r="F635" s="117">
        <f t="shared" si="32"/>
        <v>436.23333333333721</v>
      </c>
      <c r="G635" s="103">
        <f>VLOOKUP(D635,Lookup!$J$5:$M$19,4,FALSE)-E635</f>
        <v>483</v>
      </c>
      <c r="H635" s="103">
        <f>VLOOKUP(D635,Lookup!$J$5:$K$19,2,FALSE)</f>
        <v>13</v>
      </c>
      <c r="I635" s="103">
        <f ca="1">IFERROR(VLOOKUP(G635,OFFSET(Lookup!$J$21,1,H635-1,5,1),1,1),0)</f>
        <v>446</v>
      </c>
    </row>
    <row r="636" spans="1:9" x14ac:dyDescent="0.25">
      <c r="B636" s="96">
        <v>4</v>
      </c>
      <c r="C636" s="1">
        <v>27.616666666406672</v>
      </c>
      <c r="D636" s="103" t="str">
        <f t="shared" si="30"/>
        <v>MC4</v>
      </c>
      <c r="E636" s="103">
        <f t="shared" si="31"/>
        <v>4</v>
      </c>
      <c r="F636" s="117">
        <f t="shared" si="32"/>
        <v>27.616666666406672</v>
      </c>
      <c r="G636" s="103">
        <f>VLOOKUP(D636,Lookup!$J$5:$M$19,4,FALSE)-E636</f>
        <v>482</v>
      </c>
      <c r="H636" s="103">
        <f>VLOOKUP(D636,Lookup!$J$5:$K$19,2,FALSE)</f>
        <v>13</v>
      </c>
      <c r="I636" s="103">
        <f ca="1">IFERROR(VLOOKUP(G636,OFFSET(Lookup!$J$21,1,H636-1,5,1),1,1),0)</f>
        <v>446</v>
      </c>
    </row>
    <row r="637" spans="1:9" x14ac:dyDescent="0.25">
      <c r="B637" s="96">
        <v>5</v>
      </c>
      <c r="C637" s="1">
        <v>15.699999999837019</v>
      </c>
      <c r="D637" s="103" t="str">
        <f t="shared" si="30"/>
        <v>MC4</v>
      </c>
      <c r="E637" s="103">
        <f t="shared" si="31"/>
        <v>5</v>
      </c>
      <c r="F637" s="117">
        <f t="shared" si="32"/>
        <v>15.699999999837019</v>
      </c>
      <c r="G637" s="103">
        <f>VLOOKUP(D637,Lookup!$J$5:$M$19,4,FALSE)-E637</f>
        <v>481</v>
      </c>
      <c r="H637" s="103">
        <f>VLOOKUP(D637,Lookup!$J$5:$K$19,2,FALSE)</f>
        <v>13</v>
      </c>
      <c r="I637" s="103">
        <f ca="1">IFERROR(VLOOKUP(G637,OFFSET(Lookup!$J$21,1,H637-1,5,1),1,1),0)</f>
        <v>446</v>
      </c>
    </row>
    <row r="638" spans="1:9" x14ac:dyDescent="0.25">
      <c r="B638" s="96">
        <v>6</v>
      </c>
      <c r="C638" s="1">
        <v>222.8833333334187</v>
      </c>
      <c r="D638" s="103" t="str">
        <f t="shared" si="30"/>
        <v>MC4</v>
      </c>
      <c r="E638" s="103">
        <f t="shared" si="31"/>
        <v>6</v>
      </c>
      <c r="F638" s="117">
        <f t="shared" si="32"/>
        <v>222.8833333334187</v>
      </c>
      <c r="G638" s="103">
        <f>VLOOKUP(D638,Lookup!$J$5:$M$19,4,FALSE)-E638</f>
        <v>480</v>
      </c>
      <c r="H638" s="103">
        <f>VLOOKUP(D638,Lookup!$J$5:$K$19,2,FALSE)</f>
        <v>13</v>
      </c>
      <c r="I638" s="103">
        <f ca="1">IFERROR(VLOOKUP(G638,OFFSET(Lookup!$J$21,1,H638-1,5,1),1,1),0)</f>
        <v>446</v>
      </c>
    </row>
    <row r="639" spans="1:9" x14ac:dyDescent="0.25">
      <c r="B639" s="96">
        <v>7</v>
      </c>
      <c r="C639" s="1">
        <v>97.200000000069849</v>
      </c>
      <c r="D639" s="103" t="str">
        <f t="shared" si="30"/>
        <v>MC4</v>
      </c>
      <c r="E639" s="103">
        <f t="shared" si="31"/>
        <v>7</v>
      </c>
      <c r="F639" s="117">
        <f t="shared" si="32"/>
        <v>97.200000000069849</v>
      </c>
      <c r="G639" s="103">
        <f>VLOOKUP(D639,Lookup!$J$5:$M$19,4,FALSE)-E639</f>
        <v>479</v>
      </c>
      <c r="H639" s="103">
        <f>VLOOKUP(D639,Lookup!$J$5:$K$19,2,FALSE)</f>
        <v>13</v>
      </c>
      <c r="I639" s="103">
        <f ca="1">IFERROR(VLOOKUP(G639,OFFSET(Lookup!$J$21,1,H639-1,5,1),1,1),0)</f>
        <v>446</v>
      </c>
    </row>
    <row r="640" spans="1:9" x14ac:dyDescent="0.25">
      <c r="B640" s="96">
        <v>8</v>
      </c>
      <c r="C640" s="1">
        <v>239.20000000001164</v>
      </c>
      <c r="D640" s="103" t="str">
        <f t="shared" si="30"/>
        <v>MC4</v>
      </c>
      <c r="E640" s="103">
        <f t="shared" si="31"/>
        <v>8</v>
      </c>
      <c r="F640" s="117">
        <f t="shared" si="32"/>
        <v>239.20000000001164</v>
      </c>
      <c r="G640" s="103">
        <f>VLOOKUP(D640,Lookup!$J$5:$M$19,4,FALSE)-E640</f>
        <v>478</v>
      </c>
      <c r="H640" s="103">
        <f>VLOOKUP(D640,Lookup!$J$5:$K$19,2,FALSE)</f>
        <v>13</v>
      </c>
      <c r="I640" s="103">
        <f ca="1">IFERROR(VLOOKUP(G640,OFFSET(Lookup!$J$21,1,H640-1,5,1),1,1),0)</f>
        <v>446</v>
      </c>
    </row>
    <row r="641" spans="2:9" x14ac:dyDescent="0.25">
      <c r="B641" s="96">
        <v>9</v>
      </c>
      <c r="C641" s="1">
        <v>96.899999999965075</v>
      </c>
      <c r="D641" s="103" t="str">
        <f t="shared" si="30"/>
        <v>MC4</v>
      </c>
      <c r="E641" s="103">
        <f t="shared" si="31"/>
        <v>9</v>
      </c>
      <c r="F641" s="117">
        <f t="shared" si="32"/>
        <v>96.899999999965075</v>
      </c>
      <c r="G641" s="103">
        <f>VLOOKUP(D641,Lookup!$J$5:$M$19,4,FALSE)-E641</f>
        <v>477</v>
      </c>
      <c r="H641" s="103">
        <f>VLOOKUP(D641,Lookup!$J$5:$K$19,2,FALSE)</f>
        <v>13</v>
      </c>
      <c r="I641" s="103">
        <f ca="1">IFERROR(VLOOKUP(G641,OFFSET(Lookup!$J$21,1,H641-1,5,1),1,1),0)</f>
        <v>446</v>
      </c>
    </row>
    <row r="642" spans="2:9" x14ac:dyDescent="0.25">
      <c r="B642" s="96">
        <v>10</v>
      </c>
      <c r="C642" s="1">
        <v>376.86666666629026</v>
      </c>
      <c r="D642" s="103" t="str">
        <f t="shared" si="30"/>
        <v>MC4</v>
      </c>
      <c r="E642" s="103">
        <f t="shared" si="31"/>
        <v>10</v>
      </c>
      <c r="F642" s="117">
        <f t="shared" si="32"/>
        <v>376.86666666629026</v>
      </c>
      <c r="G642" s="103">
        <f>VLOOKUP(D642,Lookup!$J$5:$M$19,4,FALSE)-E642</f>
        <v>476</v>
      </c>
      <c r="H642" s="103">
        <f>VLOOKUP(D642,Lookup!$J$5:$K$19,2,FALSE)</f>
        <v>13</v>
      </c>
      <c r="I642" s="103">
        <f ca="1">IFERROR(VLOOKUP(G642,OFFSET(Lookup!$J$21,1,H642-1,5,1),1,1),0)</f>
        <v>446</v>
      </c>
    </row>
    <row r="643" spans="2:9" x14ac:dyDescent="0.25">
      <c r="B643" s="96">
        <v>11</v>
      </c>
      <c r="C643" s="1">
        <v>23.500000000116415</v>
      </c>
      <c r="D643" s="103" t="str">
        <f t="shared" si="30"/>
        <v>MC4</v>
      </c>
      <c r="E643" s="103">
        <f t="shared" si="31"/>
        <v>11</v>
      </c>
      <c r="F643" s="117">
        <f t="shared" si="32"/>
        <v>23.500000000116415</v>
      </c>
      <c r="G643" s="103">
        <f>VLOOKUP(D643,Lookup!$J$5:$M$19,4,FALSE)-E643</f>
        <v>475</v>
      </c>
      <c r="H643" s="103">
        <f>VLOOKUP(D643,Lookup!$J$5:$K$19,2,FALSE)</f>
        <v>13</v>
      </c>
      <c r="I643" s="103">
        <f ca="1">IFERROR(VLOOKUP(G643,OFFSET(Lookup!$J$21,1,H643-1,5,1),1,1),0)</f>
        <v>446</v>
      </c>
    </row>
    <row r="644" spans="2:9" x14ac:dyDescent="0.25">
      <c r="B644" s="96">
        <v>12</v>
      </c>
      <c r="C644" s="1">
        <v>66.133333333244082</v>
      </c>
      <c r="D644" s="103" t="str">
        <f t="shared" si="30"/>
        <v>MC4</v>
      </c>
      <c r="E644" s="103">
        <f t="shared" si="31"/>
        <v>12</v>
      </c>
      <c r="F644" s="117">
        <f t="shared" si="32"/>
        <v>66.133333333244082</v>
      </c>
      <c r="G644" s="103">
        <f>VLOOKUP(D644,Lookup!$J$5:$M$19,4,FALSE)-E644</f>
        <v>474</v>
      </c>
      <c r="H644" s="103">
        <f>VLOOKUP(D644,Lookup!$J$5:$K$19,2,FALSE)</f>
        <v>13</v>
      </c>
      <c r="I644" s="103">
        <f ca="1">IFERROR(VLOOKUP(G644,OFFSET(Lookup!$J$21,1,H644-1,5,1),1,1),0)</f>
        <v>446</v>
      </c>
    </row>
    <row r="645" spans="2:9" x14ac:dyDescent="0.25">
      <c r="B645" s="96">
        <v>13</v>
      </c>
      <c r="C645" s="1">
        <v>6.1499999999650754</v>
      </c>
      <c r="D645" s="103" t="str">
        <f t="shared" si="30"/>
        <v>MC4</v>
      </c>
      <c r="E645" s="103">
        <f t="shared" si="31"/>
        <v>13</v>
      </c>
      <c r="F645" s="117">
        <f t="shared" si="32"/>
        <v>6.1499999999650754</v>
      </c>
      <c r="G645" s="103">
        <f>VLOOKUP(D645,Lookup!$J$5:$M$19,4,FALSE)-E645</f>
        <v>473</v>
      </c>
      <c r="H645" s="103">
        <f>VLOOKUP(D645,Lookup!$J$5:$K$19,2,FALSE)</f>
        <v>13</v>
      </c>
      <c r="I645" s="103">
        <f ca="1">IFERROR(VLOOKUP(G645,OFFSET(Lookup!$J$21,1,H645-1,5,1),1,1),0)</f>
        <v>446</v>
      </c>
    </row>
    <row r="646" spans="2:9" x14ac:dyDescent="0.25">
      <c r="B646" s="96">
        <v>14</v>
      </c>
      <c r="C646" s="1">
        <v>25.983333333337214</v>
      </c>
      <c r="D646" s="103" t="str">
        <f t="shared" si="30"/>
        <v>MC4</v>
      </c>
      <c r="E646" s="103">
        <f t="shared" si="31"/>
        <v>14</v>
      </c>
      <c r="F646" s="117">
        <f t="shared" si="32"/>
        <v>25.983333333337214</v>
      </c>
      <c r="G646" s="103">
        <f>VLOOKUP(D646,Lookup!$J$5:$M$19,4,FALSE)-E646</f>
        <v>472</v>
      </c>
      <c r="H646" s="103">
        <f>VLOOKUP(D646,Lookup!$J$5:$K$19,2,FALSE)</f>
        <v>13</v>
      </c>
      <c r="I646" s="103">
        <f ca="1">IFERROR(VLOOKUP(G646,OFFSET(Lookup!$J$21,1,H646-1,5,1),1,1),0)</f>
        <v>446</v>
      </c>
    </row>
    <row r="647" spans="2:9" x14ac:dyDescent="0.25">
      <c r="B647" s="96">
        <v>15</v>
      </c>
      <c r="C647" s="1">
        <v>520.79999999975553</v>
      </c>
      <c r="D647" s="103" t="str">
        <f t="shared" si="30"/>
        <v>MC4</v>
      </c>
      <c r="E647" s="103">
        <f t="shared" si="31"/>
        <v>15</v>
      </c>
      <c r="F647" s="117">
        <f t="shared" si="32"/>
        <v>520.79999999975553</v>
      </c>
      <c r="G647" s="103">
        <f>VLOOKUP(D647,Lookup!$J$5:$M$19,4,FALSE)-E647</f>
        <v>471</v>
      </c>
      <c r="H647" s="103">
        <f>VLOOKUP(D647,Lookup!$J$5:$K$19,2,FALSE)</f>
        <v>13</v>
      </c>
      <c r="I647" s="103">
        <f ca="1">IFERROR(VLOOKUP(G647,OFFSET(Lookup!$J$21,1,H647-1,5,1),1,1),0)</f>
        <v>446</v>
      </c>
    </row>
    <row r="648" spans="2:9" x14ac:dyDescent="0.25">
      <c r="B648" s="96">
        <v>16</v>
      </c>
      <c r="C648" s="1">
        <v>76.266666666604578</v>
      </c>
      <c r="D648" s="103" t="str">
        <f t="shared" si="30"/>
        <v>MC4</v>
      </c>
      <c r="E648" s="103">
        <f t="shared" si="31"/>
        <v>16</v>
      </c>
      <c r="F648" s="117">
        <f t="shared" si="32"/>
        <v>76.266666666604578</v>
      </c>
      <c r="G648" s="103">
        <f>VLOOKUP(D648,Lookup!$J$5:$M$19,4,FALSE)-E648</f>
        <v>470</v>
      </c>
      <c r="H648" s="103">
        <f>VLOOKUP(D648,Lookup!$J$5:$K$19,2,FALSE)</f>
        <v>13</v>
      </c>
      <c r="I648" s="103">
        <f ca="1">IFERROR(VLOOKUP(G648,OFFSET(Lookup!$J$21,1,H648-1,5,1),1,1),0)</f>
        <v>446</v>
      </c>
    </row>
    <row r="649" spans="2:9" x14ac:dyDescent="0.25">
      <c r="B649" s="96">
        <v>17</v>
      </c>
      <c r="C649" s="1">
        <v>1.1666666666278616</v>
      </c>
      <c r="D649" s="103" t="str">
        <f t="shared" ref="D649:D712" si="33">IF(A649="",D648,A649)</f>
        <v>MC4</v>
      </c>
      <c r="E649" s="103">
        <f t="shared" ref="E649:E712" si="34">IF(B649="",E648,B649)</f>
        <v>17</v>
      </c>
      <c r="F649" s="117">
        <f t="shared" ref="F649:F712" si="35">IF(C649="",F648,C649)</f>
        <v>1.1666666666278616</v>
      </c>
      <c r="G649" s="103">
        <f>VLOOKUP(D649,Lookup!$J$5:$M$19,4,FALSE)-E649</f>
        <v>469</v>
      </c>
      <c r="H649" s="103">
        <f>VLOOKUP(D649,Lookup!$J$5:$K$19,2,FALSE)</f>
        <v>13</v>
      </c>
      <c r="I649" s="103">
        <f ca="1">IFERROR(VLOOKUP(G649,OFFSET(Lookup!$J$21,1,H649-1,5,1),1,1),0)</f>
        <v>446</v>
      </c>
    </row>
    <row r="650" spans="2:9" x14ac:dyDescent="0.25">
      <c r="B650" s="96">
        <v>18</v>
      </c>
      <c r="C650" s="1">
        <v>152.0166666667792</v>
      </c>
      <c r="D650" s="103" t="str">
        <f t="shared" si="33"/>
        <v>MC4</v>
      </c>
      <c r="E650" s="103">
        <f t="shared" si="34"/>
        <v>18</v>
      </c>
      <c r="F650" s="117">
        <f t="shared" si="35"/>
        <v>152.0166666667792</v>
      </c>
      <c r="G650" s="103">
        <f>VLOOKUP(D650,Lookup!$J$5:$M$19,4,FALSE)-E650</f>
        <v>468</v>
      </c>
      <c r="H650" s="103">
        <f>VLOOKUP(D650,Lookup!$J$5:$K$19,2,FALSE)</f>
        <v>13</v>
      </c>
      <c r="I650" s="103">
        <f ca="1">IFERROR(VLOOKUP(G650,OFFSET(Lookup!$J$21,1,H650-1,5,1),1,1),0)</f>
        <v>446</v>
      </c>
    </row>
    <row r="651" spans="2:9" x14ac:dyDescent="0.25">
      <c r="B651" s="96">
        <v>19</v>
      </c>
      <c r="C651" s="1">
        <v>758.98333333310438</v>
      </c>
      <c r="D651" s="103" t="str">
        <f t="shared" si="33"/>
        <v>MC4</v>
      </c>
      <c r="E651" s="103">
        <f t="shared" si="34"/>
        <v>19</v>
      </c>
      <c r="F651" s="117">
        <f t="shared" si="35"/>
        <v>758.98333333310438</v>
      </c>
      <c r="G651" s="103">
        <f>VLOOKUP(D651,Lookup!$J$5:$M$19,4,FALSE)-E651</f>
        <v>467</v>
      </c>
      <c r="H651" s="103">
        <f>VLOOKUP(D651,Lookup!$J$5:$K$19,2,FALSE)</f>
        <v>13</v>
      </c>
      <c r="I651" s="103">
        <f ca="1">IFERROR(VLOOKUP(G651,OFFSET(Lookup!$J$21,1,H651-1,5,1),1,1),0)</f>
        <v>446</v>
      </c>
    </row>
    <row r="652" spans="2:9" x14ac:dyDescent="0.25">
      <c r="B652" s="96">
        <v>20</v>
      </c>
      <c r="C652" s="1">
        <v>10.283333333325572</v>
      </c>
      <c r="D652" s="103" t="str">
        <f t="shared" si="33"/>
        <v>MC4</v>
      </c>
      <c r="E652" s="103">
        <f t="shared" si="34"/>
        <v>20</v>
      </c>
      <c r="F652" s="117">
        <f t="shared" si="35"/>
        <v>10.283333333325572</v>
      </c>
      <c r="G652" s="103">
        <f>VLOOKUP(D652,Lookup!$J$5:$M$19,4,FALSE)-E652</f>
        <v>466</v>
      </c>
      <c r="H652" s="103">
        <f>VLOOKUP(D652,Lookup!$J$5:$K$19,2,FALSE)</f>
        <v>13</v>
      </c>
      <c r="I652" s="103">
        <f ca="1">IFERROR(VLOOKUP(G652,OFFSET(Lookup!$J$21,1,H652-1,5,1),1,1),0)</f>
        <v>446</v>
      </c>
    </row>
    <row r="653" spans="2:9" x14ac:dyDescent="0.25">
      <c r="B653" s="96">
        <v>21</v>
      </c>
      <c r="C653" s="1">
        <v>27.249999999941792</v>
      </c>
      <c r="D653" s="103" t="str">
        <f t="shared" si="33"/>
        <v>MC4</v>
      </c>
      <c r="E653" s="103">
        <f t="shared" si="34"/>
        <v>21</v>
      </c>
      <c r="F653" s="117">
        <f t="shared" si="35"/>
        <v>27.249999999941792</v>
      </c>
      <c r="G653" s="103">
        <f>VLOOKUP(D653,Lookup!$J$5:$M$19,4,FALSE)-E653</f>
        <v>465</v>
      </c>
      <c r="H653" s="103">
        <f>VLOOKUP(D653,Lookup!$J$5:$K$19,2,FALSE)</f>
        <v>13</v>
      </c>
      <c r="I653" s="103">
        <f ca="1">IFERROR(VLOOKUP(G653,OFFSET(Lookup!$J$21,1,H653-1,5,1),1,1),0)</f>
        <v>446</v>
      </c>
    </row>
    <row r="654" spans="2:9" x14ac:dyDescent="0.25">
      <c r="B654" s="96">
        <v>23</v>
      </c>
      <c r="C654" s="1">
        <v>1078.4166666665697</v>
      </c>
      <c r="D654" s="103" t="str">
        <f t="shared" si="33"/>
        <v>MC4</v>
      </c>
      <c r="E654" s="103">
        <f t="shared" si="34"/>
        <v>23</v>
      </c>
      <c r="F654" s="117">
        <f t="shared" si="35"/>
        <v>1078.4166666665697</v>
      </c>
      <c r="G654" s="103">
        <f>VLOOKUP(D654,Lookup!$J$5:$M$19,4,FALSE)-E654</f>
        <v>463</v>
      </c>
      <c r="H654" s="103">
        <f>VLOOKUP(D654,Lookup!$J$5:$K$19,2,FALSE)</f>
        <v>13</v>
      </c>
      <c r="I654" s="103">
        <f ca="1">IFERROR(VLOOKUP(G654,OFFSET(Lookup!$J$21,1,H654-1,5,1),1,1),0)</f>
        <v>446</v>
      </c>
    </row>
    <row r="655" spans="2:9" x14ac:dyDescent="0.25">
      <c r="B655" s="96">
        <v>24</v>
      </c>
      <c r="C655" s="1">
        <v>120.46666666661622</v>
      </c>
      <c r="D655" s="103" t="str">
        <f t="shared" si="33"/>
        <v>MC4</v>
      </c>
      <c r="E655" s="103">
        <f t="shared" si="34"/>
        <v>24</v>
      </c>
      <c r="F655" s="117">
        <f t="shared" si="35"/>
        <v>120.46666666661622</v>
      </c>
      <c r="G655" s="103">
        <f>VLOOKUP(D655,Lookup!$J$5:$M$19,4,FALSE)-E655</f>
        <v>462</v>
      </c>
      <c r="H655" s="103">
        <f>VLOOKUP(D655,Lookup!$J$5:$K$19,2,FALSE)</f>
        <v>13</v>
      </c>
      <c r="I655" s="103">
        <f ca="1">IFERROR(VLOOKUP(G655,OFFSET(Lookup!$J$21,1,H655-1,5,1),1,1),0)</f>
        <v>446</v>
      </c>
    </row>
    <row r="656" spans="2:9" x14ac:dyDescent="0.25">
      <c r="B656" s="96">
        <v>26</v>
      </c>
      <c r="C656" s="1">
        <v>0.75</v>
      </c>
      <c r="D656" s="103" t="str">
        <f t="shared" si="33"/>
        <v>MC4</v>
      </c>
      <c r="E656" s="103">
        <f t="shared" si="34"/>
        <v>26</v>
      </c>
      <c r="F656" s="117">
        <f t="shared" si="35"/>
        <v>0.75</v>
      </c>
      <c r="G656" s="103">
        <f>VLOOKUP(D656,Lookup!$J$5:$M$19,4,FALSE)-E656</f>
        <v>460</v>
      </c>
      <c r="H656" s="103">
        <f>VLOOKUP(D656,Lookup!$J$5:$K$19,2,FALSE)</f>
        <v>13</v>
      </c>
      <c r="I656" s="103">
        <f ca="1">IFERROR(VLOOKUP(G656,OFFSET(Lookup!$J$21,1,H656-1,5,1),1,1),0)</f>
        <v>446</v>
      </c>
    </row>
    <row r="657" spans="2:9" x14ac:dyDescent="0.25">
      <c r="B657" s="96">
        <v>27</v>
      </c>
      <c r="C657" s="1">
        <v>27.366666666639503</v>
      </c>
      <c r="D657" s="103" t="str">
        <f t="shared" si="33"/>
        <v>MC4</v>
      </c>
      <c r="E657" s="103">
        <f t="shared" si="34"/>
        <v>27</v>
      </c>
      <c r="F657" s="117">
        <f t="shared" si="35"/>
        <v>27.366666666639503</v>
      </c>
      <c r="G657" s="103">
        <f>VLOOKUP(D657,Lookup!$J$5:$M$19,4,FALSE)-E657</f>
        <v>459</v>
      </c>
      <c r="H657" s="103">
        <f>VLOOKUP(D657,Lookup!$J$5:$K$19,2,FALSE)</f>
        <v>13</v>
      </c>
      <c r="I657" s="103">
        <f ca="1">IFERROR(VLOOKUP(G657,OFFSET(Lookup!$J$21,1,H657-1,5,1),1,1),0)</f>
        <v>446</v>
      </c>
    </row>
    <row r="658" spans="2:9" x14ac:dyDescent="0.25">
      <c r="B658" s="96">
        <v>29</v>
      </c>
      <c r="C658" s="1">
        <v>25.650000000139698</v>
      </c>
      <c r="D658" s="103" t="str">
        <f t="shared" si="33"/>
        <v>MC4</v>
      </c>
      <c r="E658" s="103">
        <f t="shared" si="34"/>
        <v>29</v>
      </c>
      <c r="F658" s="117">
        <f t="shared" si="35"/>
        <v>25.650000000139698</v>
      </c>
      <c r="G658" s="103">
        <f>VLOOKUP(D658,Lookup!$J$5:$M$19,4,FALSE)-E658</f>
        <v>457</v>
      </c>
      <c r="H658" s="103">
        <f>VLOOKUP(D658,Lookup!$J$5:$K$19,2,FALSE)</f>
        <v>13</v>
      </c>
      <c r="I658" s="103">
        <f ca="1">IFERROR(VLOOKUP(G658,OFFSET(Lookup!$J$21,1,H658-1,5,1),1,1),0)</f>
        <v>446</v>
      </c>
    </row>
    <row r="659" spans="2:9" x14ac:dyDescent="0.25">
      <c r="B659" s="96">
        <v>33</v>
      </c>
      <c r="C659" s="1">
        <v>117.11666666704696</v>
      </c>
      <c r="D659" s="103" t="str">
        <f t="shared" si="33"/>
        <v>MC4</v>
      </c>
      <c r="E659" s="103">
        <f t="shared" si="34"/>
        <v>33</v>
      </c>
      <c r="F659" s="117">
        <f t="shared" si="35"/>
        <v>117.11666666704696</v>
      </c>
      <c r="G659" s="103">
        <f>VLOOKUP(D659,Lookup!$J$5:$M$19,4,FALSE)-E659</f>
        <v>453</v>
      </c>
      <c r="H659" s="103">
        <f>VLOOKUP(D659,Lookup!$J$5:$K$19,2,FALSE)</f>
        <v>13</v>
      </c>
      <c r="I659" s="103">
        <f ca="1">IFERROR(VLOOKUP(G659,OFFSET(Lookup!$J$21,1,H659-1,5,1),1,1),0)</f>
        <v>446</v>
      </c>
    </row>
    <row r="660" spans="2:9" x14ac:dyDescent="0.25">
      <c r="B660" s="96">
        <v>34</v>
      </c>
      <c r="C660" s="1">
        <v>0.6000000000349246</v>
      </c>
      <c r="D660" s="103" t="str">
        <f t="shared" si="33"/>
        <v>MC4</v>
      </c>
      <c r="E660" s="103">
        <f t="shared" si="34"/>
        <v>34</v>
      </c>
      <c r="F660" s="117">
        <f t="shared" si="35"/>
        <v>0.6000000000349246</v>
      </c>
      <c r="G660" s="103">
        <f>VLOOKUP(D660,Lookup!$J$5:$M$19,4,FALSE)-E660</f>
        <v>452</v>
      </c>
      <c r="H660" s="103">
        <f>VLOOKUP(D660,Lookup!$J$5:$K$19,2,FALSE)</f>
        <v>13</v>
      </c>
      <c r="I660" s="103">
        <f ca="1">IFERROR(VLOOKUP(G660,OFFSET(Lookup!$J$21,1,H660-1,5,1),1,1),0)</f>
        <v>446</v>
      </c>
    </row>
    <row r="661" spans="2:9" x14ac:dyDescent="0.25">
      <c r="B661" s="96">
        <v>35</v>
      </c>
      <c r="C661" s="1">
        <v>0.26666666666278616</v>
      </c>
      <c r="D661" s="103" t="str">
        <f t="shared" si="33"/>
        <v>MC4</v>
      </c>
      <c r="E661" s="103">
        <f t="shared" si="34"/>
        <v>35</v>
      </c>
      <c r="F661" s="117">
        <f t="shared" si="35"/>
        <v>0.26666666666278616</v>
      </c>
      <c r="G661" s="103">
        <f>VLOOKUP(D661,Lookup!$J$5:$M$19,4,FALSE)-E661</f>
        <v>451</v>
      </c>
      <c r="H661" s="103">
        <f>VLOOKUP(D661,Lookup!$J$5:$K$19,2,FALSE)</f>
        <v>13</v>
      </c>
      <c r="I661" s="103">
        <f ca="1">IFERROR(VLOOKUP(G661,OFFSET(Lookup!$J$21,1,H661-1,5,1),1,1),0)</f>
        <v>446</v>
      </c>
    </row>
    <row r="662" spans="2:9" x14ac:dyDescent="0.25">
      <c r="B662" s="96">
        <v>36</v>
      </c>
      <c r="C662" s="1">
        <v>5.3166666667093523</v>
      </c>
      <c r="D662" s="103" t="str">
        <f t="shared" si="33"/>
        <v>MC4</v>
      </c>
      <c r="E662" s="103">
        <f t="shared" si="34"/>
        <v>36</v>
      </c>
      <c r="F662" s="117">
        <f t="shared" si="35"/>
        <v>5.3166666667093523</v>
      </c>
      <c r="G662" s="103">
        <f>VLOOKUP(D662,Lookup!$J$5:$M$19,4,FALSE)-E662</f>
        <v>450</v>
      </c>
      <c r="H662" s="103">
        <f>VLOOKUP(D662,Lookup!$J$5:$K$19,2,FALSE)</f>
        <v>13</v>
      </c>
      <c r="I662" s="103">
        <f ca="1">IFERROR(VLOOKUP(G662,OFFSET(Lookup!$J$21,1,H662-1,5,1),1,1),0)</f>
        <v>446</v>
      </c>
    </row>
    <row r="663" spans="2:9" x14ac:dyDescent="0.25">
      <c r="B663" s="96">
        <v>38</v>
      </c>
      <c r="C663" s="1">
        <v>47.733333333162591</v>
      </c>
      <c r="D663" s="103" t="str">
        <f t="shared" si="33"/>
        <v>MC4</v>
      </c>
      <c r="E663" s="103">
        <f t="shared" si="34"/>
        <v>38</v>
      </c>
      <c r="F663" s="117">
        <f t="shared" si="35"/>
        <v>47.733333333162591</v>
      </c>
      <c r="G663" s="103">
        <f>VLOOKUP(D663,Lookup!$J$5:$M$19,4,FALSE)-E663</f>
        <v>448</v>
      </c>
      <c r="H663" s="103">
        <f>VLOOKUP(D663,Lookup!$J$5:$K$19,2,FALSE)</f>
        <v>13</v>
      </c>
      <c r="I663" s="103">
        <f ca="1">IFERROR(VLOOKUP(G663,OFFSET(Lookup!$J$21,1,H663-1,5,1),1,1),0)</f>
        <v>446</v>
      </c>
    </row>
    <row r="664" spans="2:9" x14ac:dyDescent="0.25">
      <c r="B664" s="96">
        <v>43</v>
      </c>
      <c r="C664" s="1">
        <v>25.949999999895226</v>
      </c>
      <c r="D664" s="103" t="str">
        <f t="shared" si="33"/>
        <v>MC4</v>
      </c>
      <c r="E664" s="103">
        <f t="shared" si="34"/>
        <v>43</v>
      </c>
      <c r="F664" s="117">
        <f t="shared" si="35"/>
        <v>25.949999999895226</v>
      </c>
      <c r="G664" s="103">
        <f>VLOOKUP(D664,Lookup!$J$5:$M$19,4,FALSE)-E664</f>
        <v>443</v>
      </c>
      <c r="H664" s="103">
        <f>VLOOKUP(D664,Lookup!$J$5:$K$19,2,FALSE)</f>
        <v>13</v>
      </c>
      <c r="I664" s="103">
        <f ca="1">IFERROR(VLOOKUP(G664,OFFSET(Lookup!$J$21,1,H664-1,5,1),1,1),0)</f>
        <v>406</v>
      </c>
    </row>
    <row r="665" spans="2:9" x14ac:dyDescent="0.25">
      <c r="B665" s="96">
        <v>44</v>
      </c>
      <c r="C665" s="1">
        <v>15.716666666732635</v>
      </c>
      <c r="D665" s="103" t="str">
        <f t="shared" si="33"/>
        <v>MC4</v>
      </c>
      <c r="E665" s="103">
        <f t="shared" si="34"/>
        <v>44</v>
      </c>
      <c r="F665" s="117">
        <f t="shared" si="35"/>
        <v>15.716666666732635</v>
      </c>
      <c r="G665" s="103">
        <f>VLOOKUP(D665,Lookup!$J$5:$M$19,4,FALSE)-E665</f>
        <v>442</v>
      </c>
      <c r="H665" s="103">
        <f>VLOOKUP(D665,Lookup!$J$5:$K$19,2,FALSE)</f>
        <v>13</v>
      </c>
      <c r="I665" s="103">
        <f ca="1">IFERROR(VLOOKUP(G665,OFFSET(Lookup!$J$21,1,H665-1,5,1),1,1),0)</f>
        <v>406</v>
      </c>
    </row>
    <row r="666" spans="2:9" x14ac:dyDescent="0.25">
      <c r="B666" s="96">
        <v>45</v>
      </c>
      <c r="C666" s="1">
        <v>14.466666666674428</v>
      </c>
      <c r="D666" s="103" t="str">
        <f t="shared" si="33"/>
        <v>MC4</v>
      </c>
      <c r="E666" s="103">
        <f t="shared" si="34"/>
        <v>45</v>
      </c>
      <c r="F666" s="117">
        <f t="shared" si="35"/>
        <v>14.466666666674428</v>
      </c>
      <c r="G666" s="103">
        <f>VLOOKUP(D666,Lookup!$J$5:$M$19,4,FALSE)-E666</f>
        <v>441</v>
      </c>
      <c r="H666" s="103">
        <f>VLOOKUP(D666,Lookup!$J$5:$K$19,2,FALSE)</f>
        <v>13</v>
      </c>
      <c r="I666" s="103">
        <f ca="1">IFERROR(VLOOKUP(G666,OFFSET(Lookup!$J$21,1,H666-1,5,1),1,1),0)</f>
        <v>406</v>
      </c>
    </row>
    <row r="667" spans="2:9" x14ac:dyDescent="0.25">
      <c r="B667" s="96">
        <v>47</v>
      </c>
      <c r="C667" s="1">
        <v>40.199999999895226</v>
      </c>
      <c r="D667" s="103" t="str">
        <f t="shared" si="33"/>
        <v>MC4</v>
      </c>
      <c r="E667" s="103">
        <f t="shared" si="34"/>
        <v>47</v>
      </c>
      <c r="F667" s="117">
        <f t="shared" si="35"/>
        <v>40.199999999895226</v>
      </c>
      <c r="G667" s="103">
        <f>VLOOKUP(D667,Lookup!$J$5:$M$19,4,FALSE)-E667</f>
        <v>439</v>
      </c>
      <c r="H667" s="103">
        <f>VLOOKUP(D667,Lookup!$J$5:$K$19,2,FALSE)</f>
        <v>13</v>
      </c>
      <c r="I667" s="103">
        <f ca="1">IFERROR(VLOOKUP(G667,OFFSET(Lookup!$J$21,1,H667-1,5,1),1,1),0)</f>
        <v>406</v>
      </c>
    </row>
    <row r="668" spans="2:9" x14ac:dyDescent="0.25">
      <c r="B668" s="96">
        <v>52</v>
      </c>
      <c r="C668" s="1">
        <v>49.066666666476522</v>
      </c>
      <c r="D668" s="103" t="str">
        <f t="shared" si="33"/>
        <v>MC4</v>
      </c>
      <c r="E668" s="103">
        <f t="shared" si="34"/>
        <v>52</v>
      </c>
      <c r="F668" s="117">
        <f t="shared" si="35"/>
        <v>49.066666666476522</v>
      </c>
      <c r="G668" s="103">
        <f>VLOOKUP(D668,Lookup!$J$5:$M$19,4,FALSE)-E668</f>
        <v>434</v>
      </c>
      <c r="H668" s="103">
        <f>VLOOKUP(D668,Lookup!$J$5:$K$19,2,FALSE)</f>
        <v>13</v>
      </c>
      <c r="I668" s="103">
        <f ca="1">IFERROR(VLOOKUP(G668,OFFSET(Lookup!$J$21,1,H668-1,5,1),1,1),0)</f>
        <v>406</v>
      </c>
    </row>
    <row r="669" spans="2:9" x14ac:dyDescent="0.25">
      <c r="B669" s="96">
        <v>54</v>
      </c>
      <c r="C669" s="1">
        <v>5.6000000000931323</v>
      </c>
      <c r="D669" s="103" t="str">
        <f t="shared" si="33"/>
        <v>MC4</v>
      </c>
      <c r="E669" s="103">
        <f t="shared" si="34"/>
        <v>54</v>
      </c>
      <c r="F669" s="117">
        <f t="shared" si="35"/>
        <v>5.6000000000931323</v>
      </c>
      <c r="G669" s="103">
        <f>VLOOKUP(D669,Lookup!$J$5:$M$19,4,FALSE)-E669</f>
        <v>432</v>
      </c>
      <c r="H669" s="103">
        <f>VLOOKUP(D669,Lookup!$J$5:$K$19,2,FALSE)</f>
        <v>13</v>
      </c>
      <c r="I669" s="103">
        <f ca="1">IFERROR(VLOOKUP(G669,OFFSET(Lookup!$J$21,1,H669-1,5,1),1,1),0)</f>
        <v>406</v>
      </c>
    </row>
    <row r="670" spans="2:9" x14ac:dyDescent="0.25">
      <c r="B670" s="96">
        <v>56</v>
      </c>
      <c r="C670" s="1">
        <v>25.250000000407454</v>
      </c>
      <c r="D670" s="103" t="str">
        <f t="shared" si="33"/>
        <v>MC4</v>
      </c>
      <c r="E670" s="103">
        <f t="shared" si="34"/>
        <v>56</v>
      </c>
      <c r="F670" s="117">
        <f t="shared" si="35"/>
        <v>25.250000000407454</v>
      </c>
      <c r="G670" s="103">
        <f>VLOOKUP(D670,Lookup!$J$5:$M$19,4,FALSE)-E670</f>
        <v>430</v>
      </c>
      <c r="H670" s="103">
        <f>VLOOKUP(D670,Lookup!$J$5:$K$19,2,FALSE)</f>
        <v>13</v>
      </c>
      <c r="I670" s="103">
        <f ca="1">IFERROR(VLOOKUP(G670,OFFSET(Lookup!$J$21,1,H670-1,5,1),1,1),0)</f>
        <v>406</v>
      </c>
    </row>
    <row r="671" spans="2:9" x14ac:dyDescent="0.25">
      <c r="B671" s="96">
        <v>57</v>
      </c>
      <c r="C671" s="1">
        <v>17.616666666639503</v>
      </c>
      <c r="D671" s="103" t="str">
        <f t="shared" si="33"/>
        <v>MC4</v>
      </c>
      <c r="E671" s="103">
        <f t="shared" si="34"/>
        <v>57</v>
      </c>
      <c r="F671" s="117">
        <f t="shared" si="35"/>
        <v>17.616666666639503</v>
      </c>
      <c r="G671" s="103">
        <f>VLOOKUP(D671,Lookup!$J$5:$M$19,4,FALSE)-E671</f>
        <v>429</v>
      </c>
      <c r="H671" s="103">
        <f>VLOOKUP(D671,Lookup!$J$5:$K$19,2,FALSE)</f>
        <v>13</v>
      </c>
      <c r="I671" s="103">
        <f ca="1">IFERROR(VLOOKUP(G671,OFFSET(Lookup!$J$21,1,H671-1,5,1),1,1),0)</f>
        <v>406</v>
      </c>
    </row>
    <row r="672" spans="2:9" x14ac:dyDescent="0.25">
      <c r="B672" s="96">
        <v>61</v>
      </c>
      <c r="C672" s="1">
        <v>63.783333333267365</v>
      </c>
      <c r="D672" s="103" t="str">
        <f t="shared" si="33"/>
        <v>MC4</v>
      </c>
      <c r="E672" s="103">
        <f t="shared" si="34"/>
        <v>61</v>
      </c>
      <c r="F672" s="117">
        <f t="shared" si="35"/>
        <v>63.783333333267365</v>
      </c>
      <c r="G672" s="103">
        <f>VLOOKUP(D672,Lookup!$J$5:$M$19,4,FALSE)-E672</f>
        <v>425</v>
      </c>
      <c r="H672" s="103">
        <f>VLOOKUP(D672,Lookup!$J$5:$K$19,2,FALSE)</f>
        <v>13</v>
      </c>
      <c r="I672" s="103">
        <f ca="1">IFERROR(VLOOKUP(G672,OFFSET(Lookup!$J$21,1,H672-1,5,1),1,1),0)</f>
        <v>406</v>
      </c>
    </row>
    <row r="673" spans="2:9" x14ac:dyDescent="0.25">
      <c r="B673" s="96">
        <v>66</v>
      </c>
      <c r="C673" s="1">
        <v>34.200000000419095</v>
      </c>
      <c r="D673" s="103" t="str">
        <f t="shared" si="33"/>
        <v>MC4</v>
      </c>
      <c r="E673" s="103">
        <f t="shared" si="34"/>
        <v>66</v>
      </c>
      <c r="F673" s="117">
        <f t="shared" si="35"/>
        <v>34.200000000419095</v>
      </c>
      <c r="G673" s="103">
        <f>VLOOKUP(D673,Lookup!$J$5:$M$19,4,FALSE)-E673</f>
        <v>420</v>
      </c>
      <c r="H673" s="103">
        <f>VLOOKUP(D673,Lookup!$J$5:$K$19,2,FALSE)</f>
        <v>13</v>
      </c>
      <c r="I673" s="103">
        <f ca="1">IFERROR(VLOOKUP(G673,OFFSET(Lookup!$J$21,1,H673-1,5,1),1,1),0)</f>
        <v>406</v>
      </c>
    </row>
    <row r="674" spans="2:9" x14ac:dyDescent="0.25">
      <c r="B674" s="96">
        <v>68</v>
      </c>
      <c r="C674" s="1">
        <v>14.666666666627862</v>
      </c>
      <c r="D674" s="103" t="str">
        <f t="shared" si="33"/>
        <v>MC4</v>
      </c>
      <c r="E674" s="103">
        <f t="shared" si="34"/>
        <v>68</v>
      </c>
      <c r="F674" s="117">
        <f t="shared" si="35"/>
        <v>14.666666666627862</v>
      </c>
      <c r="G674" s="103">
        <f>VLOOKUP(D674,Lookup!$J$5:$M$19,4,FALSE)-E674</f>
        <v>418</v>
      </c>
      <c r="H674" s="103">
        <f>VLOOKUP(D674,Lookup!$J$5:$K$19,2,FALSE)</f>
        <v>13</v>
      </c>
      <c r="I674" s="103">
        <f ca="1">IFERROR(VLOOKUP(G674,OFFSET(Lookup!$J$21,1,H674-1,5,1),1,1),0)</f>
        <v>406</v>
      </c>
    </row>
    <row r="675" spans="2:9" x14ac:dyDescent="0.25">
      <c r="B675" s="96">
        <v>70</v>
      </c>
      <c r="C675" s="1">
        <v>4.7166666666744277</v>
      </c>
      <c r="D675" s="103" t="str">
        <f t="shared" si="33"/>
        <v>MC4</v>
      </c>
      <c r="E675" s="103">
        <f t="shared" si="34"/>
        <v>70</v>
      </c>
      <c r="F675" s="117">
        <f t="shared" si="35"/>
        <v>4.7166666666744277</v>
      </c>
      <c r="G675" s="103">
        <f>VLOOKUP(D675,Lookup!$J$5:$M$19,4,FALSE)-E675</f>
        <v>416</v>
      </c>
      <c r="H675" s="103">
        <f>VLOOKUP(D675,Lookup!$J$5:$K$19,2,FALSE)</f>
        <v>13</v>
      </c>
      <c r="I675" s="103">
        <f ca="1">IFERROR(VLOOKUP(G675,OFFSET(Lookup!$J$21,1,H675-1,5,1),1,1),0)</f>
        <v>406</v>
      </c>
    </row>
    <row r="676" spans="2:9" x14ac:dyDescent="0.25">
      <c r="B676" s="96">
        <v>74</v>
      </c>
      <c r="C676" s="1">
        <v>2.2833333332673647</v>
      </c>
      <c r="D676" s="103" t="str">
        <f t="shared" si="33"/>
        <v>MC4</v>
      </c>
      <c r="E676" s="103">
        <f t="shared" si="34"/>
        <v>74</v>
      </c>
      <c r="F676" s="117">
        <f t="shared" si="35"/>
        <v>2.2833333332673647</v>
      </c>
      <c r="G676" s="103">
        <f>VLOOKUP(D676,Lookup!$J$5:$M$19,4,FALSE)-E676</f>
        <v>412</v>
      </c>
      <c r="H676" s="103">
        <f>VLOOKUP(D676,Lookup!$J$5:$K$19,2,FALSE)</f>
        <v>13</v>
      </c>
      <c r="I676" s="103">
        <f ca="1">IFERROR(VLOOKUP(G676,OFFSET(Lookup!$J$21,1,H676-1,5,1),1,1),0)</f>
        <v>406</v>
      </c>
    </row>
    <row r="677" spans="2:9" x14ac:dyDescent="0.25">
      <c r="B677" s="96">
        <v>75</v>
      </c>
      <c r="C677" s="1">
        <v>25.549999999988358</v>
      </c>
      <c r="D677" s="103" t="str">
        <f t="shared" si="33"/>
        <v>MC4</v>
      </c>
      <c r="E677" s="103">
        <f t="shared" si="34"/>
        <v>75</v>
      </c>
      <c r="F677" s="117">
        <f t="shared" si="35"/>
        <v>25.549999999988358</v>
      </c>
      <c r="G677" s="103">
        <f>VLOOKUP(D677,Lookup!$J$5:$M$19,4,FALSE)-E677</f>
        <v>411</v>
      </c>
      <c r="H677" s="103">
        <f>VLOOKUP(D677,Lookup!$J$5:$K$19,2,FALSE)</f>
        <v>13</v>
      </c>
      <c r="I677" s="103">
        <f ca="1">IFERROR(VLOOKUP(G677,OFFSET(Lookup!$J$21,1,H677-1,5,1),1,1),0)</f>
        <v>406</v>
      </c>
    </row>
    <row r="678" spans="2:9" x14ac:dyDescent="0.25">
      <c r="B678" s="96">
        <v>78</v>
      </c>
      <c r="C678" s="1">
        <v>9.6333333334769122</v>
      </c>
      <c r="D678" s="103" t="str">
        <f t="shared" si="33"/>
        <v>MC4</v>
      </c>
      <c r="E678" s="103">
        <f t="shared" si="34"/>
        <v>78</v>
      </c>
      <c r="F678" s="117">
        <f t="shared" si="35"/>
        <v>9.6333333334769122</v>
      </c>
      <c r="G678" s="103">
        <f>VLOOKUP(D678,Lookup!$J$5:$M$19,4,FALSE)-E678</f>
        <v>408</v>
      </c>
      <c r="H678" s="103">
        <f>VLOOKUP(D678,Lookup!$J$5:$K$19,2,FALSE)</f>
        <v>13</v>
      </c>
      <c r="I678" s="103">
        <f ca="1">IFERROR(VLOOKUP(G678,OFFSET(Lookup!$J$21,1,H678-1,5,1),1,1),0)</f>
        <v>406</v>
      </c>
    </row>
    <row r="679" spans="2:9" x14ac:dyDescent="0.25">
      <c r="B679" s="96">
        <v>80</v>
      </c>
      <c r="C679" s="1">
        <v>10.933333333348855</v>
      </c>
      <c r="D679" s="103" t="str">
        <f t="shared" si="33"/>
        <v>MC4</v>
      </c>
      <c r="E679" s="103">
        <f t="shared" si="34"/>
        <v>80</v>
      </c>
      <c r="F679" s="117">
        <f t="shared" si="35"/>
        <v>10.933333333348855</v>
      </c>
      <c r="G679" s="103">
        <f>VLOOKUP(D679,Lookup!$J$5:$M$19,4,FALSE)-E679</f>
        <v>406</v>
      </c>
      <c r="H679" s="103">
        <f>VLOOKUP(D679,Lookup!$J$5:$K$19,2,FALSE)</f>
        <v>13</v>
      </c>
      <c r="I679" s="103">
        <f ca="1">IFERROR(VLOOKUP(G679,OFFSET(Lookup!$J$21,1,H679-1,5,1),1,1),0)</f>
        <v>406</v>
      </c>
    </row>
    <row r="680" spans="2:9" x14ac:dyDescent="0.25">
      <c r="B680" s="96">
        <v>84</v>
      </c>
      <c r="C680" s="1">
        <v>159.81666666636011</v>
      </c>
      <c r="D680" s="103" t="str">
        <f t="shared" si="33"/>
        <v>MC4</v>
      </c>
      <c r="E680" s="103">
        <f t="shared" si="34"/>
        <v>84</v>
      </c>
      <c r="F680" s="117">
        <f t="shared" si="35"/>
        <v>159.81666666636011</v>
      </c>
      <c r="G680" s="103">
        <f>VLOOKUP(D680,Lookup!$J$5:$M$19,4,FALSE)-E680</f>
        <v>402</v>
      </c>
      <c r="H680" s="103">
        <f>VLOOKUP(D680,Lookup!$J$5:$K$19,2,FALSE)</f>
        <v>13</v>
      </c>
      <c r="I680" s="103">
        <f ca="1">IFERROR(VLOOKUP(G680,OFFSET(Lookup!$J$21,1,H680-1,5,1),1,1),0)</f>
        <v>326</v>
      </c>
    </row>
    <row r="681" spans="2:9" x14ac:dyDescent="0.25">
      <c r="B681" s="96">
        <v>89</v>
      </c>
      <c r="C681" s="1">
        <v>124.7999999995809</v>
      </c>
      <c r="D681" s="103" t="str">
        <f t="shared" si="33"/>
        <v>MC4</v>
      </c>
      <c r="E681" s="103">
        <f t="shared" si="34"/>
        <v>89</v>
      </c>
      <c r="F681" s="117">
        <f t="shared" si="35"/>
        <v>124.7999999995809</v>
      </c>
      <c r="G681" s="103">
        <f>VLOOKUP(D681,Lookup!$J$5:$M$19,4,FALSE)-E681</f>
        <v>397</v>
      </c>
      <c r="H681" s="103">
        <f>VLOOKUP(D681,Lookup!$J$5:$K$19,2,FALSE)</f>
        <v>13</v>
      </c>
      <c r="I681" s="103">
        <f ca="1">IFERROR(VLOOKUP(G681,OFFSET(Lookup!$J$21,1,H681-1,5,1),1,1),0)</f>
        <v>326</v>
      </c>
    </row>
    <row r="682" spans="2:9" x14ac:dyDescent="0.25">
      <c r="B682" s="96">
        <v>93</v>
      </c>
      <c r="C682" s="1">
        <v>132.13333333324408</v>
      </c>
      <c r="D682" s="103" t="str">
        <f t="shared" si="33"/>
        <v>MC4</v>
      </c>
      <c r="E682" s="103">
        <f t="shared" si="34"/>
        <v>93</v>
      </c>
      <c r="F682" s="117">
        <f t="shared" si="35"/>
        <v>132.13333333324408</v>
      </c>
      <c r="G682" s="103">
        <f>VLOOKUP(D682,Lookup!$J$5:$M$19,4,FALSE)-E682</f>
        <v>393</v>
      </c>
      <c r="H682" s="103">
        <f>VLOOKUP(D682,Lookup!$J$5:$K$19,2,FALSE)</f>
        <v>13</v>
      </c>
      <c r="I682" s="103">
        <f ca="1">IFERROR(VLOOKUP(G682,OFFSET(Lookup!$J$21,1,H682-1,5,1),1,1),0)</f>
        <v>326</v>
      </c>
    </row>
    <row r="683" spans="2:9" x14ac:dyDescent="0.25">
      <c r="B683" s="96">
        <v>95</v>
      </c>
      <c r="C683" s="1">
        <v>5.066666666592937</v>
      </c>
      <c r="D683" s="103" t="str">
        <f t="shared" si="33"/>
        <v>MC4</v>
      </c>
      <c r="E683" s="103">
        <f t="shared" si="34"/>
        <v>95</v>
      </c>
      <c r="F683" s="117">
        <f t="shared" si="35"/>
        <v>5.066666666592937</v>
      </c>
      <c r="G683" s="103">
        <f>VLOOKUP(D683,Lookup!$J$5:$M$19,4,FALSE)-E683</f>
        <v>391</v>
      </c>
      <c r="H683" s="103">
        <f>VLOOKUP(D683,Lookup!$J$5:$K$19,2,FALSE)</f>
        <v>13</v>
      </c>
      <c r="I683" s="103">
        <f ca="1">IFERROR(VLOOKUP(G683,OFFSET(Lookup!$J$21,1,H683-1,5,1),1,1),0)</f>
        <v>326</v>
      </c>
    </row>
    <row r="684" spans="2:9" x14ac:dyDescent="0.25">
      <c r="B684" s="96">
        <v>98</v>
      </c>
      <c r="C684" s="1">
        <v>1.7999999999301508</v>
      </c>
      <c r="D684" s="103" t="str">
        <f t="shared" si="33"/>
        <v>MC4</v>
      </c>
      <c r="E684" s="103">
        <f t="shared" si="34"/>
        <v>98</v>
      </c>
      <c r="F684" s="117">
        <f t="shared" si="35"/>
        <v>1.7999999999301508</v>
      </c>
      <c r="G684" s="103">
        <f>VLOOKUP(D684,Lookup!$J$5:$M$19,4,FALSE)-E684</f>
        <v>388</v>
      </c>
      <c r="H684" s="103">
        <f>VLOOKUP(D684,Lookup!$J$5:$K$19,2,FALSE)</f>
        <v>13</v>
      </c>
      <c r="I684" s="103">
        <f ca="1">IFERROR(VLOOKUP(G684,OFFSET(Lookup!$J$21,1,H684-1,5,1),1,1),0)</f>
        <v>326</v>
      </c>
    </row>
    <row r="685" spans="2:9" x14ac:dyDescent="0.25">
      <c r="B685" s="96">
        <v>103</v>
      </c>
      <c r="C685" s="1">
        <v>28.083333333372138</v>
      </c>
      <c r="D685" s="103" t="str">
        <f t="shared" si="33"/>
        <v>MC4</v>
      </c>
      <c r="E685" s="103">
        <f t="shared" si="34"/>
        <v>103</v>
      </c>
      <c r="F685" s="117">
        <f t="shared" si="35"/>
        <v>28.083333333372138</v>
      </c>
      <c r="G685" s="103">
        <f>VLOOKUP(D685,Lookup!$J$5:$M$19,4,FALSE)-E685</f>
        <v>383</v>
      </c>
      <c r="H685" s="103">
        <f>VLOOKUP(D685,Lookup!$J$5:$K$19,2,FALSE)</f>
        <v>13</v>
      </c>
      <c r="I685" s="103">
        <f ca="1">IFERROR(VLOOKUP(G685,OFFSET(Lookup!$J$21,1,H685-1,5,1),1,1),0)</f>
        <v>326</v>
      </c>
    </row>
    <row r="686" spans="2:9" x14ac:dyDescent="0.25">
      <c r="B686" s="96">
        <v>105</v>
      </c>
      <c r="C686" s="1">
        <v>7.316666666592937</v>
      </c>
      <c r="D686" s="103" t="str">
        <f t="shared" si="33"/>
        <v>MC4</v>
      </c>
      <c r="E686" s="103">
        <f t="shared" si="34"/>
        <v>105</v>
      </c>
      <c r="F686" s="117">
        <f t="shared" si="35"/>
        <v>7.316666666592937</v>
      </c>
      <c r="G686" s="103">
        <f>VLOOKUP(D686,Lookup!$J$5:$M$19,4,FALSE)-E686</f>
        <v>381</v>
      </c>
      <c r="H686" s="103">
        <f>VLOOKUP(D686,Lookup!$J$5:$K$19,2,FALSE)</f>
        <v>13</v>
      </c>
      <c r="I686" s="103">
        <f ca="1">IFERROR(VLOOKUP(G686,OFFSET(Lookup!$J$21,1,H686-1,5,1),1,1),0)</f>
        <v>326</v>
      </c>
    </row>
    <row r="687" spans="2:9" x14ac:dyDescent="0.25">
      <c r="B687" s="96">
        <v>106</v>
      </c>
      <c r="C687" s="1">
        <v>0.63333333330228925</v>
      </c>
      <c r="D687" s="103" t="str">
        <f t="shared" si="33"/>
        <v>MC4</v>
      </c>
      <c r="E687" s="103">
        <f t="shared" si="34"/>
        <v>106</v>
      </c>
      <c r="F687" s="117">
        <f t="shared" si="35"/>
        <v>0.63333333330228925</v>
      </c>
      <c r="G687" s="103">
        <f>VLOOKUP(D687,Lookup!$J$5:$M$19,4,FALSE)-E687</f>
        <v>380</v>
      </c>
      <c r="H687" s="103">
        <f>VLOOKUP(D687,Lookup!$J$5:$K$19,2,FALSE)</f>
        <v>13</v>
      </c>
      <c r="I687" s="103">
        <f ca="1">IFERROR(VLOOKUP(G687,OFFSET(Lookup!$J$21,1,H687-1,5,1),1,1),0)</f>
        <v>326</v>
      </c>
    </row>
    <row r="688" spans="2:9" x14ac:dyDescent="0.25">
      <c r="B688" s="96">
        <v>107</v>
      </c>
      <c r="C688" s="1">
        <v>10.349999999860302</v>
      </c>
      <c r="D688" s="103" t="str">
        <f t="shared" si="33"/>
        <v>MC4</v>
      </c>
      <c r="E688" s="103">
        <f t="shared" si="34"/>
        <v>107</v>
      </c>
      <c r="F688" s="117">
        <f t="shared" si="35"/>
        <v>10.349999999860302</v>
      </c>
      <c r="G688" s="103">
        <f>VLOOKUP(D688,Lookup!$J$5:$M$19,4,FALSE)-E688</f>
        <v>379</v>
      </c>
      <c r="H688" s="103">
        <f>VLOOKUP(D688,Lookup!$J$5:$K$19,2,FALSE)</f>
        <v>13</v>
      </c>
      <c r="I688" s="103">
        <f ca="1">IFERROR(VLOOKUP(G688,OFFSET(Lookup!$J$21,1,H688-1,5,1),1,1),0)</f>
        <v>326</v>
      </c>
    </row>
    <row r="689" spans="2:9" x14ac:dyDescent="0.25">
      <c r="B689" s="96">
        <v>110</v>
      </c>
      <c r="C689" s="1">
        <v>2.9833333334536292</v>
      </c>
      <c r="D689" s="103" t="str">
        <f t="shared" si="33"/>
        <v>MC4</v>
      </c>
      <c r="E689" s="103">
        <f t="shared" si="34"/>
        <v>110</v>
      </c>
      <c r="F689" s="117">
        <f t="shared" si="35"/>
        <v>2.9833333334536292</v>
      </c>
      <c r="G689" s="103">
        <f>VLOOKUP(D689,Lookup!$J$5:$M$19,4,FALSE)-E689</f>
        <v>376</v>
      </c>
      <c r="H689" s="103">
        <f>VLOOKUP(D689,Lookup!$J$5:$K$19,2,FALSE)</f>
        <v>13</v>
      </c>
      <c r="I689" s="103">
        <f ca="1">IFERROR(VLOOKUP(G689,OFFSET(Lookup!$J$21,1,H689-1,5,1),1,1),0)</f>
        <v>326</v>
      </c>
    </row>
    <row r="690" spans="2:9" x14ac:dyDescent="0.25">
      <c r="B690" s="96">
        <v>112</v>
      </c>
      <c r="C690" s="1">
        <v>47.133333333476912</v>
      </c>
      <c r="D690" s="103" t="str">
        <f t="shared" si="33"/>
        <v>MC4</v>
      </c>
      <c r="E690" s="103">
        <f t="shared" si="34"/>
        <v>112</v>
      </c>
      <c r="F690" s="117">
        <f t="shared" si="35"/>
        <v>47.133333333476912</v>
      </c>
      <c r="G690" s="103">
        <f>VLOOKUP(D690,Lookup!$J$5:$M$19,4,FALSE)-E690</f>
        <v>374</v>
      </c>
      <c r="H690" s="103">
        <f>VLOOKUP(D690,Lookup!$J$5:$K$19,2,FALSE)</f>
        <v>13</v>
      </c>
      <c r="I690" s="103">
        <f ca="1">IFERROR(VLOOKUP(G690,OFFSET(Lookup!$J$21,1,H690-1,5,1),1,1),0)</f>
        <v>326</v>
      </c>
    </row>
    <row r="691" spans="2:9" x14ac:dyDescent="0.25">
      <c r="B691" s="96">
        <v>117</v>
      </c>
      <c r="C691" s="1">
        <v>9.566666666592937</v>
      </c>
      <c r="D691" s="103" t="str">
        <f t="shared" si="33"/>
        <v>MC4</v>
      </c>
      <c r="E691" s="103">
        <f t="shared" si="34"/>
        <v>117</v>
      </c>
      <c r="F691" s="117">
        <f t="shared" si="35"/>
        <v>9.566666666592937</v>
      </c>
      <c r="G691" s="103">
        <f>VLOOKUP(D691,Lookup!$J$5:$M$19,4,FALSE)-E691</f>
        <v>369</v>
      </c>
      <c r="H691" s="103">
        <f>VLOOKUP(D691,Lookup!$J$5:$K$19,2,FALSE)</f>
        <v>13</v>
      </c>
      <c r="I691" s="103">
        <f ca="1">IFERROR(VLOOKUP(G691,OFFSET(Lookup!$J$21,1,H691-1,5,1),1,1),0)</f>
        <v>326</v>
      </c>
    </row>
    <row r="692" spans="2:9" x14ac:dyDescent="0.25">
      <c r="B692" s="96">
        <v>119</v>
      </c>
      <c r="C692" s="1">
        <v>8.4166666666860692</v>
      </c>
      <c r="D692" s="103" t="str">
        <f t="shared" si="33"/>
        <v>MC4</v>
      </c>
      <c r="E692" s="103">
        <f t="shared" si="34"/>
        <v>119</v>
      </c>
      <c r="F692" s="117">
        <f t="shared" si="35"/>
        <v>8.4166666666860692</v>
      </c>
      <c r="G692" s="103">
        <f>VLOOKUP(D692,Lookup!$J$5:$M$19,4,FALSE)-E692</f>
        <v>367</v>
      </c>
      <c r="H692" s="103">
        <f>VLOOKUP(D692,Lookup!$J$5:$K$19,2,FALSE)</f>
        <v>13</v>
      </c>
      <c r="I692" s="103">
        <f ca="1">IFERROR(VLOOKUP(G692,OFFSET(Lookup!$J$21,1,H692-1,5,1),1,1),0)</f>
        <v>326</v>
      </c>
    </row>
    <row r="693" spans="2:9" x14ac:dyDescent="0.25">
      <c r="B693" s="96">
        <v>120</v>
      </c>
      <c r="C693" s="1">
        <v>6.0999999999767169</v>
      </c>
      <c r="D693" s="103" t="str">
        <f t="shared" si="33"/>
        <v>MC4</v>
      </c>
      <c r="E693" s="103">
        <f t="shared" si="34"/>
        <v>120</v>
      </c>
      <c r="F693" s="117">
        <f t="shared" si="35"/>
        <v>6.0999999999767169</v>
      </c>
      <c r="G693" s="103">
        <f>VLOOKUP(D693,Lookup!$J$5:$M$19,4,FALSE)-E693</f>
        <v>366</v>
      </c>
      <c r="H693" s="103">
        <f>VLOOKUP(D693,Lookup!$J$5:$K$19,2,FALSE)</f>
        <v>13</v>
      </c>
      <c r="I693" s="103">
        <f ca="1">IFERROR(VLOOKUP(G693,OFFSET(Lookup!$J$21,1,H693-1,5,1),1,1),0)</f>
        <v>326</v>
      </c>
    </row>
    <row r="694" spans="2:9" x14ac:dyDescent="0.25">
      <c r="B694" s="96">
        <v>121</v>
      </c>
      <c r="C694" s="1">
        <v>46.116666666639503</v>
      </c>
      <c r="D694" s="103" t="str">
        <f t="shared" si="33"/>
        <v>MC4</v>
      </c>
      <c r="E694" s="103">
        <f t="shared" si="34"/>
        <v>121</v>
      </c>
      <c r="F694" s="117">
        <f t="shared" si="35"/>
        <v>46.116666666639503</v>
      </c>
      <c r="G694" s="103">
        <f>VLOOKUP(D694,Lookup!$J$5:$M$19,4,FALSE)-E694</f>
        <v>365</v>
      </c>
      <c r="H694" s="103">
        <f>VLOOKUP(D694,Lookup!$J$5:$K$19,2,FALSE)</f>
        <v>13</v>
      </c>
      <c r="I694" s="103">
        <f ca="1">IFERROR(VLOOKUP(G694,OFFSET(Lookup!$J$21,1,H694-1,5,1),1,1),0)</f>
        <v>326</v>
      </c>
    </row>
    <row r="695" spans="2:9" x14ac:dyDescent="0.25">
      <c r="B695" s="96">
        <v>126</v>
      </c>
      <c r="C695" s="1">
        <v>12.483333333337214</v>
      </c>
      <c r="D695" s="103" t="str">
        <f t="shared" si="33"/>
        <v>MC4</v>
      </c>
      <c r="E695" s="103">
        <f t="shared" si="34"/>
        <v>126</v>
      </c>
      <c r="F695" s="117">
        <f t="shared" si="35"/>
        <v>12.483333333337214</v>
      </c>
      <c r="G695" s="103">
        <f>VLOOKUP(D695,Lookup!$J$5:$M$19,4,FALSE)-E695</f>
        <v>360</v>
      </c>
      <c r="H695" s="103">
        <f>VLOOKUP(D695,Lookup!$J$5:$K$19,2,FALSE)</f>
        <v>13</v>
      </c>
      <c r="I695" s="103">
        <f ca="1">IFERROR(VLOOKUP(G695,OFFSET(Lookup!$J$21,1,H695-1,5,1),1,1),0)</f>
        <v>326</v>
      </c>
    </row>
    <row r="696" spans="2:9" x14ac:dyDescent="0.25">
      <c r="B696" s="96">
        <v>129</v>
      </c>
      <c r="C696" s="1">
        <v>6.5000000002328306</v>
      </c>
      <c r="D696" s="103" t="str">
        <f t="shared" si="33"/>
        <v>MC4</v>
      </c>
      <c r="E696" s="103">
        <f t="shared" si="34"/>
        <v>129</v>
      </c>
      <c r="F696" s="117">
        <f t="shared" si="35"/>
        <v>6.5000000002328306</v>
      </c>
      <c r="G696" s="103">
        <f>VLOOKUP(D696,Lookup!$J$5:$M$19,4,FALSE)-E696</f>
        <v>357</v>
      </c>
      <c r="H696" s="103">
        <f>VLOOKUP(D696,Lookup!$J$5:$K$19,2,FALSE)</f>
        <v>13</v>
      </c>
      <c r="I696" s="103">
        <f ca="1">IFERROR(VLOOKUP(G696,OFFSET(Lookup!$J$21,1,H696-1,5,1),1,1),0)</f>
        <v>326</v>
      </c>
    </row>
    <row r="697" spans="2:9" x14ac:dyDescent="0.25">
      <c r="B697" s="96">
        <v>130</v>
      </c>
      <c r="C697" s="1">
        <v>19.366666666755918</v>
      </c>
      <c r="D697" s="103" t="str">
        <f t="shared" si="33"/>
        <v>MC4</v>
      </c>
      <c r="E697" s="103">
        <f t="shared" si="34"/>
        <v>130</v>
      </c>
      <c r="F697" s="117">
        <f t="shared" si="35"/>
        <v>19.366666666755918</v>
      </c>
      <c r="G697" s="103">
        <f>VLOOKUP(D697,Lookup!$J$5:$M$19,4,FALSE)-E697</f>
        <v>356</v>
      </c>
      <c r="H697" s="103">
        <f>VLOOKUP(D697,Lookup!$J$5:$K$19,2,FALSE)</f>
        <v>13</v>
      </c>
      <c r="I697" s="103">
        <f ca="1">IFERROR(VLOOKUP(G697,OFFSET(Lookup!$J$21,1,H697-1,5,1),1,1),0)</f>
        <v>326</v>
      </c>
    </row>
    <row r="698" spans="2:9" x14ac:dyDescent="0.25">
      <c r="B698" s="96">
        <v>131</v>
      </c>
      <c r="C698" s="1">
        <v>10.333333333313931</v>
      </c>
      <c r="D698" s="103" t="str">
        <f t="shared" si="33"/>
        <v>MC4</v>
      </c>
      <c r="E698" s="103">
        <f t="shared" si="34"/>
        <v>131</v>
      </c>
      <c r="F698" s="117">
        <f t="shared" si="35"/>
        <v>10.333333333313931</v>
      </c>
      <c r="G698" s="103">
        <f>VLOOKUP(D698,Lookup!$J$5:$M$19,4,FALSE)-E698</f>
        <v>355</v>
      </c>
      <c r="H698" s="103">
        <f>VLOOKUP(D698,Lookup!$J$5:$K$19,2,FALSE)</f>
        <v>13</v>
      </c>
      <c r="I698" s="103">
        <f ca="1">IFERROR(VLOOKUP(G698,OFFSET(Lookup!$J$21,1,H698-1,5,1),1,1),0)</f>
        <v>326</v>
      </c>
    </row>
    <row r="699" spans="2:9" x14ac:dyDescent="0.25">
      <c r="B699" s="96">
        <v>135</v>
      </c>
      <c r="C699" s="1">
        <v>4.500000000174623</v>
      </c>
      <c r="D699" s="103" t="str">
        <f t="shared" si="33"/>
        <v>MC4</v>
      </c>
      <c r="E699" s="103">
        <f t="shared" si="34"/>
        <v>135</v>
      </c>
      <c r="F699" s="117">
        <f t="shared" si="35"/>
        <v>4.500000000174623</v>
      </c>
      <c r="G699" s="103">
        <f>VLOOKUP(D699,Lookup!$J$5:$M$19,4,FALSE)-E699</f>
        <v>351</v>
      </c>
      <c r="H699" s="103">
        <f>VLOOKUP(D699,Lookup!$J$5:$K$19,2,FALSE)</f>
        <v>13</v>
      </c>
      <c r="I699" s="103">
        <f ca="1">IFERROR(VLOOKUP(G699,OFFSET(Lookup!$J$21,1,H699-1,5,1),1,1),0)</f>
        <v>326</v>
      </c>
    </row>
    <row r="700" spans="2:9" x14ac:dyDescent="0.25">
      <c r="B700" s="96">
        <v>140</v>
      </c>
      <c r="C700" s="1">
        <v>54.36666666646488</v>
      </c>
      <c r="D700" s="103" t="str">
        <f t="shared" si="33"/>
        <v>MC4</v>
      </c>
      <c r="E700" s="103">
        <f t="shared" si="34"/>
        <v>140</v>
      </c>
      <c r="F700" s="117">
        <f t="shared" si="35"/>
        <v>54.36666666646488</v>
      </c>
      <c r="G700" s="103">
        <f>VLOOKUP(D700,Lookup!$J$5:$M$19,4,FALSE)-E700</f>
        <v>346</v>
      </c>
      <c r="H700" s="103">
        <f>VLOOKUP(D700,Lookup!$J$5:$K$19,2,FALSE)</f>
        <v>13</v>
      </c>
      <c r="I700" s="103">
        <f ca="1">IFERROR(VLOOKUP(G700,OFFSET(Lookup!$J$21,1,H700-1,5,1),1,1),0)</f>
        <v>326</v>
      </c>
    </row>
    <row r="701" spans="2:9" x14ac:dyDescent="0.25">
      <c r="B701" s="96">
        <v>144</v>
      </c>
      <c r="C701" s="1">
        <v>26.866666666581295</v>
      </c>
      <c r="D701" s="103" t="str">
        <f t="shared" si="33"/>
        <v>MC4</v>
      </c>
      <c r="E701" s="103">
        <f t="shared" si="34"/>
        <v>144</v>
      </c>
      <c r="F701" s="117">
        <f t="shared" si="35"/>
        <v>26.866666666581295</v>
      </c>
      <c r="G701" s="103">
        <f>VLOOKUP(D701,Lookup!$J$5:$M$19,4,FALSE)-E701</f>
        <v>342</v>
      </c>
      <c r="H701" s="103">
        <f>VLOOKUP(D701,Lookup!$J$5:$K$19,2,FALSE)</f>
        <v>13</v>
      </c>
      <c r="I701" s="103">
        <f ca="1">IFERROR(VLOOKUP(G701,OFFSET(Lookup!$J$21,1,H701-1,5,1),1,1),0)</f>
        <v>326</v>
      </c>
    </row>
    <row r="702" spans="2:9" x14ac:dyDescent="0.25">
      <c r="B702" s="96">
        <v>149</v>
      </c>
      <c r="C702" s="1">
        <v>27.616666666930541</v>
      </c>
      <c r="D702" s="103" t="str">
        <f t="shared" si="33"/>
        <v>MC4</v>
      </c>
      <c r="E702" s="103">
        <f t="shared" si="34"/>
        <v>149</v>
      </c>
      <c r="F702" s="117">
        <f t="shared" si="35"/>
        <v>27.616666666930541</v>
      </c>
      <c r="G702" s="103">
        <f>VLOOKUP(D702,Lookup!$J$5:$M$19,4,FALSE)-E702</f>
        <v>337</v>
      </c>
      <c r="H702" s="103">
        <f>VLOOKUP(D702,Lookup!$J$5:$K$19,2,FALSE)</f>
        <v>13</v>
      </c>
      <c r="I702" s="103">
        <f ca="1">IFERROR(VLOOKUP(G702,OFFSET(Lookup!$J$21,1,H702-1,5,1),1,1),0)</f>
        <v>326</v>
      </c>
    </row>
    <row r="703" spans="2:9" x14ac:dyDescent="0.25">
      <c r="B703" s="96">
        <v>153</v>
      </c>
      <c r="C703" s="1">
        <v>0.1499999999650754</v>
      </c>
      <c r="D703" s="103" t="str">
        <f t="shared" si="33"/>
        <v>MC4</v>
      </c>
      <c r="E703" s="103">
        <f t="shared" si="34"/>
        <v>153</v>
      </c>
      <c r="F703" s="117">
        <f t="shared" si="35"/>
        <v>0.1499999999650754</v>
      </c>
      <c r="G703" s="103">
        <f>VLOOKUP(D703,Lookup!$J$5:$M$19,4,FALSE)-E703</f>
        <v>333</v>
      </c>
      <c r="H703" s="103">
        <f>VLOOKUP(D703,Lookup!$J$5:$K$19,2,FALSE)</f>
        <v>13</v>
      </c>
      <c r="I703" s="103">
        <f ca="1">IFERROR(VLOOKUP(G703,OFFSET(Lookup!$J$21,1,H703-1,5,1),1,1),0)</f>
        <v>326</v>
      </c>
    </row>
    <row r="704" spans="2:9" x14ac:dyDescent="0.25">
      <c r="B704" s="96">
        <v>154</v>
      </c>
      <c r="C704" s="1">
        <v>4.8333333333721384</v>
      </c>
      <c r="D704" s="103" t="str">
        <f t="shared" si="33"/>
        <v>MC4</v>
      </c>
      <c r="E704" s="103">
        <f t="shared" si="34"/>
        <v>154</v>
      </c>
      <c r="F704" s="117">
        <f t="shared" si="35"/>
        <v>4.8333333333721384</v>
      </c>
      <c r="G704" s="103">
        <f>VLOOKUP(D704,Lookup!$J$5:$M$19,4,FALSE)-E704</f>
        <v>332</v>
      </c>
      <c r="H704" s="103">
        <f>VLOOKUP(D704,Lookup!$J$5:$K$19,2,FALSE)</f>
        <v>13</v>
      </c>
      <c r="I704" s="103">
        <f ca="1">IFERROR(VLOOKUP(G704,OFFSET(Lookup!$J$21,1,H704-1,5,1),1,1),0)</f>
        <v>326</v>
      </c>
    </row>
    <row r="705" spans="2:9" x14ac:dyDescent="0.25">
      <c r="B705" s="96">
        <v>158</v>
      </c>
      <c r="C705" s="1">
        <v>34.699999999778811</v>
      </c>
      <c r="D705" s="103" t="str">
        <f t="shared" si="33"/>
        <v>MC4</v>
      </c>
      <c r="E705" s="103">
        <f t="shared" si="34"/>
        <v>158</v>
      </c>
      <c r="F705" s="117">
        <f t="shared" si="35"/>
        <v>34.699999999778811</v>
      </c>
      <c r="G705" s="103">
        <f>VLOOKUP(D705,Lookup!$J$5:$M$19,4,FALSE)-E705</f>
        <v>328</v>
      </c>
      <c r="H705" s="103">
        <f>VLOOKUP(D705,Lookup!$J$5:$K$19,2,FALSE)</f>
        <v>13</v>
      </c>
      <c r="I705" s="103">
        <f ca="1">IFERROR(VLOOKUP(G705,OFFSET(Lookup!$J$21,1,H705-1,5,1),1,1),0)</f>
        <v>326</v>
      </c>
    </row>
    <row r="706" spans="2:9" x14ac:dyDescent="0.25">
      <c r="B706" s="96">
        <v>163</v>
      </c>
      <c r="C706" s="1">
        <v>4.6499999999650754</v>
      </c>
      <c r="D706" s="103" t="str">
        <f t="shared" si="33"/>
        <v>MC4</v>
      </c>
      <c r="E706" s="103">
        <f t="shared" si="34"/>
        <v>163</v>
      </c>
      <c r="F706" s="117">
        <f t="shared" si="35"/>
        <v>4.6499999999650754</v>
      </c>
      <c r="G706" s="103">
        <f>VLOOKUP(D706,Lookup!$J$5:$M$19,4,FALSE)-E706</f>
        <v>323</v>
      </c>
      <c r="H706" s="103">
        <f>VLOOKUP(D706,Lookup!$J$5:$K$19,2,FALSE)</f>
        <v>13</v>
      </c>
      <c r="I706" s="103">
        <f ca="1">IFERROR(VLOOKUP(G706,OFFSET(Lookup!$J$21,1,H706-1,5,1),1,1),0)</f>
        <v>296</v>
      </c>
    </row>
    <row r="707" spans="2:9" x14ac:dyDescent="0.25">
      <c r="B707" s="96">
        <v>167</v>
      </c>
      <c r="C707" s="1">
        <v>21.350000000093132</v>
      </c>
      <c r="D707" s="103" t="str">
        <f t="shared" si="33"/>
        <v>MC4</v>
      </c>
      <c r="E707" s="103">
        <f t="shared" si="34"/>
        <v>167</v>
      </c>
      <c r="F707" s="117">
        <f t="shared" si="35"/>
        <v>21.350000000093132</v>
      </c>
      <c r="G707" s="103">
        <f>VLOOKUP(D707,Lookup!$J$5:$M$19,4,FALSE)-E707</f>
        <v>319</v>
      </c>
      <c r="H707" s="103">
        <f>VLOOKUP(D707,Lookup!$J$5:$K$19,2,FALSE)</f>
        <v>13</v>
      </c>
      <c r="I707" s="103">
        <f ca="1">IFERROR(VLOOKUP(G707,OFFSET(Lookup!$J$21,1,H707-1,5,1),1,1),0)</f>
        <v>296</v>
      </c>
    </row>
    <row r="708" spans="2:9" x14ac:dyDescent="0.25">
      <c r="B708" s="96">
        <v>172</v>
      </c>
      <c r="C708" s="1">
        <v>9.7000000000116415</v>
      </c>
      <c r="D708" s="103" t="str">
        <f t="shared" si="33"/>
        <v>MC4</v>
      </c>
      <c r="E708" s="103">
        <f t="shared" si="34"/>
        <v>172</v>
      </c>
      <c r="F708" s="117">
        <f t="shared" si="35"/>
        <v>9.7000000000116415</v>
      </c>
      <c r="G708" s="103">
        <f>VLOOKUP(D708,Lookup!$J$5:$M$19,4,FALSE)-E708</f>
        <v>314</v>
      </c>
      <c r="H708" s="103">
        <f>VLOOKUP(D708,Lookup!$J$5:$K$19,2,FALSE)</f>
        <v>13</v>
      </c>
      <c r="I708" s="103">
        <f ca="1">IFERROR(VLOOKUP(G708,OFFSET(Lookup!$J$21,1,H708-1,5,1),1,1),0)</f>
        <v>296</v>
      </c>
    </row>
    <row r="709" spans="2:9" x14ac:dyDescent="0.25">
      <c r="B709" s="96">
        <v>175</v>
      </c>
      <c r="C709" s="1">
        <v>14.333333333430346</v>
      </c>
      <c r="D709" s="103" t="str">
        <f t="shared" si="33"/>
        <v>MC4</v>
      </c>
      <c r="E709" s="103">
        <f t="shared" si="34"/>
        <v>175</v>
      </c>
      <c r="F709" s="117">
        <f t="shared" si="35"/>
        <v>14.333333333430346</v>
      </c>
      <c r="G709" s="103">
        <f>VLOOKUP(D709,Lookup!$J$5:$M$19,4,FALSE)-E709</f>
        <v>311</v>
      </c>
      <c r="H709" s="103">
        <f>VLOOKUP(D709,Lookup!$J$5:$K$19,2,FALSE)</f>
        <v>13</v>
      </c>
      <c r="I709" s="103">
        <f ca="1">IFERROR(VLOOKUP(G709,OFFSET(Lookup!$J$21,1,H709-1,5,1),1,1),0)</f>
        <v>296</v>
      </c>
    </row>
    <row r="710" spans="2:9" x14ac:dyDescent="0.25">
      <c r="B710" s="96">
        <v>177</v>
      </c>
      <c r="C710" s="1">
        <v>50.63333333353512</v>
      </c>
      <c r="D710" s="103" t="str">
        <f t="shared" si="33"/>
        <v>MC4</v>
      </c>
      <c r="E710" s="103">
        <f t="shared" si="34"/>
        <v>177</v>
      </c>
      <c r="F710" s="117">
        <f t="shared" si="35"/>
        <v>50.63333333353512</v>
      </c>
      <c r="G710" s="103">
        <f>VLOOKUP(D710,Lookup!$J$5:$M$19,4,FALSE)-E710</f>
        <v>309</v>
      </c>
      <c r="H710" s="103">
        <f>VLOOKUP(D710,Lookup!$J$5:$K$19,2,FALSE)</f>
        <v>13</v>
      </c>
      <c r="I710" s="103">
        <f ca="1">IFERROR(VLOOKUP(G710,OFFSET(Lookup!$J$21,1,H710-1,5,1),1,1),0)</f>
        <v>296</v>
      </c>
    </row>
    <row r="711" spans="2:9" x14ac:dyDescent="0.25">
      <c r="B711" s="96">
        <v>181</v>
      </c>
      <c r="C711" s="1">
        <v>9.3499999999185093</v>
      </c>
      <c r="D711" s="103" t="str">
        <f t="shared" si="33"/>
        <v>MC4</v>
      </c>
      <c r="E711" s="103">
        <f t="shared" si="34"/>
        <v>181</v>
      </c>
      <c r="F711" s="117">
        <f t="shared" si="35"/>
        <v>9.3499999999185093</v>
      </c>
      <c r="G711" s="103">
        <f>VLOOKUP(D711,Lookup!$J$5:$M$19,4,FALSE)-E711</f>
        <v>305</v>
      </c>
      <c r="H711" s="103">
        <f>VLOOKUP(D711,Lookup!$J$5:$K$19,2,FALSE)</f>
        <v>13</v>
      </c>
      <c r="I711" s="103">
        <f ca="1">IFERROR(VLOOKUP(G711,OFFSET(Lookup!$J$21,1,H711-1,5,1),1,1),0)</f>
        <v>296</v>
      </c>
    </row>
    <row r="712" spans="2:9" x14ac:dyDescent="0.25">
      <c r="B712" s="96">
        <v>186</v>
      </c>
      <c r="C712" s="1">
        <v>9.6666666667442769</v>
      </c>
      <c r="D712" s="103" t="str">
        <f t="shared" si="33"/>
        <v>MC4</v>
      </c>
      <c r="E712" s="103">
        <f t="shared" si="34"/>
        <v>186</v>
      </c>
      <c r="F712" s="117">
        <f t="shared" si="35"/>
        <v>9.6666666667442769</v>
      </c>
      <c r="G712" s="103">
        <f>VLOOKUP(D712,Lookup!$J$5:$M$19,4,FALSE)-E712</f>
        <v>300</v>
      </c>
      <c r="H712" s="103">
        <f>VLOOKUP(D712,Lookup!$J$5:$K$19,2,FALSE)</f>
        <v>13</v>
      </c>
      <c r="I712" s="103">
        <f ca="1">IFERROR(VLOOKUP(G712,OFFSET(Lookup!$J$21,1,H712-1,5,1),1,1),0)</f>
        <v>296</v>
      </c>
    </row>
    <row r="713" spans="2:9" x14ac:dyDescent="0.25">
      <c r="B713" s="96">
        <v>195</v>
      </c>
      <c r="C713" s="1">
        <v>3.1999999999534339</v>
      </c>
      <c r="D713" s="103" t="str">
        <f t="shared" ref="D713:D776" si="36">IF(A713="",D712,A713)</f>
        <v>MC4</v>
      </c>
      <c r="E713" s="103">
        <f t="shared" ref="E713:E776" si="37">IF(B713="",E712,B713)</f>
        <v>195</v>
      </c>
      <c r="F713" s="117">
        <f t="shared" ref="F713:F776" si="38">IF(C713="",F712,C713)</f>
        <v>3.1999999999534339</v>
      </c>
      <c r="G713" s="103">
        <f>VLOOKUP(D713,Lookup!$J$5:$M$19,4,FALSE)-E713</f>
        <v>291</v>
      </c>
      <c r="H713" s="103">
        <f>VLOOKUP(D713,Lookup!$J$5:$K$19,2,FALSE)</f>
        <v>13</v>
      </c>
      <c r="I713" s="103">
        <f ca="1">IFERROR(VLOOKUP(G713,OFFSET(Lookup!$J$21,1,H713-1,5,1),1,1),0)</f>
        <v>175</v>
      </c>
    </row>
    <row r="714" spans="2:9" x14ac:dyDescent="0.25">
      <c r="B714" s="96">
        <v>198</v>
      </c>
      <c r="C714" s="1">
        <v>0.23333333322079852</v>
      </c>
      <c r="D714" s="103" t="str">
        <f t="shared" si="36"/>
        <v>MC4</v>
      </c>
      <c r="E714" s="103">
        <f t="shared" si="37"/>
        <v>198</v>
      </c>
      <c r="F714" s="117">
        <f t="shared" si="38"/>
        <v>0.23333333322079852</v>
      </c>
      <c r="G714" s="103">
        <f>VLOOKUP(D714,Lookup!$J$5:$M$19,4,FALSE)-E714</f>
        <v>288</v>
      </c>
      <c r="H714" s="103">
        <f>VLOOKUP(D714,Lookup!$J$5:$K$19,2,FALSE)</f>
        <v>13</v>
      </c>
      <c r="I714" s="103">
        <f ca="1">IFERROR(VLOOKUP(G714,OFFSET(Lookup!$J$21,1,H714-1,5,1),1,1),0)</f>
        <v>175</v>
      </c>
    </row>
    <row r="715" spans="2:9" x14ac:dyDescent="0.25">
      <c r="B715" s="96">
        <v>200</v>
      </c>
      <c r="C715" s="1">
        <v>2.1000000000349246</v>
      </c>
      <c r="D715" s="103" t="str">
        <f t="shared" si="36"/>
        <v>MC4</v>
      </c>
      <c r="E715" s="103">
        <f t="shared" si="37"/>
        <v>200</v>
      </c>
      <c r="F715" s="117">
        <f t="shared" si="38"/>
        <v>2.1000000000349246</v>
      </c>
      <c r="G715" s="103">
        <f>VLOOKUP(D715,Lookup!$J$5:$M$19,4,FALSE)-E715</f>
        <v>286</v>
      </c>
      <c r="H715" s="103">
        <f>VLOOKUP(D715,Lookup!$J$5:$K$19,2,FALSE)</f>
        <v>13</v>
      </c>
      <c r="I715" s="103">
        <f ca="1">IFERROR(VLOOKUP(G715,OFFSET(Lookup!$J$21,1,H715-1,5,1),1,1),0)</f>
        <v>175</v>
      </c>
    </row>
    <row r="716" spans="2:9" x14ac:dyDescent="0.25">
      <c r="B716" s="96">
        <v>204</v>
      </c>
      <c r="C716" s="1">
        <v>63.866666666872334</v>
      </c>
      <c r="D716" s="103" t="str">
        <f t="shared" si="36"/>
        <v>MC4</v>
      </c>
      <c r="E716" s="103">
        <f t="shared" si="37"/>
        <v>204</v>
      </c>
      <c r="F716" s="117">
        <f t="shared" si="38"/>
        <v>63.866666666872334</v>
      </c>
      <c r="G716" s="103">
        <f>VLOOKUP(D716,Lookup!$J$5:$M$19,4,FALSE)-E716</f>
        <v>282</v>
      </c>
      <c r="H716" s="103">
        <f>VLOOKUP(D716,Lookup!$J$5:$K$19,2,FALSE)</f>
        <v>13</v>
      </c>
      <c r="I716" s="103">
        <f ca="1">IFERROR(VLOOKUP(G716,OFFSET(Lookup!$J$21,1,H716-1,5,1),1,1),0)</f>
        <v>175</v>
      </c>
    </row>
    <row r="717" spans="2:9" x14ac:dyDescent="0.25">
      <c r="B717" s="96">
        <v>214</v>
      </c>
      <c r="C717" s="1">
        <v>10.583333333430346</v>
      </c>
      <c r="D717" s="103" t="str">
        <f t="shared" si="36"/>
        <v>MC4</v>
      </c>
      <c r="E717" s="103">
        <f t="shared" si="37"/>
        <v>214</v>
      </c>
      <c r="F717" s="117">
        <f t="shared" si="38"/>
        <v>10.583333333430346</v>
      </c>
      <c r="G717" s="103">
        <f>VLOOKUP(D717,Lookup!$J$5:$M$19,4,FALSE)-E717</f>
        <v>272</v>
      </c>
      <c r="H717" s="103">
        <f>VLOOKUP(D717,Lookup!$J$5:$K$19,2,FALSE)</f>
        <v>13</v>
      </c>
      <c r="I717" s="103">
        <f ca="1">IFERROR(VLOOKUP(G717,OFFSET(Lookup!$J$21,1,H717-1,5,1),1,1),0)</f>
        <v>175</v>
      </c>
    </row>
    <row r="718" spans="2:9" x14ac:dyDescent="0.25">
      <c r="B718" s="96">
        <v>218</v>
      </c>
      <c r="C718" s="1">
        <v>12.833333333255723</v>
      </c>
      <c r="D718" s="103" t="str">
        <f t="shared" si="36"/>
        <v>MC4</v>
      </c>
      <c r="E718" s="103">
        <f t="shared" si="37"/>
        <v>218</v>
      </c>
      <c r="F718" s="117">
        <f t="shared" si="38"/>
        <v>12.833333333255723</v>
      </c>
      <c r="G718" s="103">
        <f>VLOOKUP(D718,Lookup!$J$5:$M$19,4,FALSE)-E718</f>
        <v>268</v>
      </c>
      <c r="H718" s="103">
        <f>VLOOKUP(D718,Lookup!$J$5:$K$19,2,FALSE)</f>
        <v>13</v>
      </c>
      <c r="I718" s="103">
        <f ca="1">IFERROR(VLOOKUP(G718,OFFSET(Lookup!$J$21,1,H718-1,5,1),1,1),0)</f>
        <v>175</v>
      </c>
    </row>
    <row r="719" spans="2:9" x14ac:dyDescent="0.25">
      <c r="B719" s="96">
        <v>223</v>
      </c>
      <c r="C719" s="1">
        <v>10.466666666732635</v>
      </c>
      <c r="D719" s="103" t="str">
        <f t="shared" si="36"/>
        <v>MC4</v>
      </c>
      <c r="E719" s="103">
        <f t="shared" si="37"/>
        <v>223</v>
      </c>
      <c r="F719" s="117">
        <f t="shared" si="38"/>
        <v>10.466666666732635</v>
      </c>
      <c r="G719" s="103">
        <f>VLOOKUP(D719,Lookup!$J$5:$M$19,4,FALSE)-E719</f>
        <v>263</v>
      </c>
      <c r="H719" s="103">
        <f>VLOOKUP(D719,Lookup!$J$5:$K$19,2,FALSE)</f>
        <v>13</v>
      </c>
      <c r="I719" s="103">
        <f ca="1">IFERROR(VLOOKUP(G719,OFFSET(Lookup!$J$21,1,H719-1,5,1),1,1),0)</f>
        <v>175</v>
      </c>
    </row>
    <row r="720" spans="2:9" x14ac:dyDescent="0.25">
      <c r="B720" s="96">
        <v>228</v>
      </c>
      <c r="C720" s="1">
        <v>21.049999999988358</v>
      </c>
      <c r="D720" s="103" t="str">
        <f t="shared" si="36"/>
        <v>MC4</v>
      </c>
      <c r="E720" s="103">
        <f t="shared" si="37"/>
        <v>228</v>
      </c>
      <c r="F720" s="117">
        <f t="shared" si="38"/>
        <v>21.049999999988358</v>
      </c>
      <c r="G720" s="103">
        <f>VLOOKUP(D720,Lookup!$J$5:$M$19,4,FALSE)-E720</f>
        <v>258</v>
      </c>
      <c r="H720" s="103">
        <f>VLOOKUP(D720,Lookup!$J$5:$K$19,2,FALSE)</f>
        <v>13</v>
      </c>
      <c r="I720" s="103">
        <f ca="1">IFERROR(VLOOKUP(G720,OFFSET(Lookup!$J$21,1,H720-1,5,1),1,1),0)</f>
        <v>175</v>
      </c>
    </row>
    <row r="721" spans="2:9" x14ac:dyDescent="0.25">
      <c r="B721" s="96">
        <v>232</v>
      </c>
      <c r="C721" s="1">
        <v>1.4666666667326353</v>
      </c>
      <c r="D721" s="103" t="str">
        <f t="shared" si="36"/>
        <v>MC4</v>
      </c>
      <c r="E721" s="103">
        <f t="shared" si="37"/>
        <v>232</v>
      </c>
      <c r="F721" s="117">
        <f t="shared" si="38"/>
        <v>1.4666666667326353</v>
      </c>
      <c r="G721" s="103">
        <f>VLOOKUP(D721,Lookup!$J$5:$M$19,4,FALSE)-E721</f>
        <v>254</v>
      </c>
      <c r="H721" s="103">
        <f>VLOOKUP(D721,Lookup!$J$5:$K$19,2,FALSE)</f>
        <v>13</v>
      </c>
      <c r="I721" s="103">
        <f ca="1">IFERROR(VLOOKUP(G721,OFFSET(Lookup!$J$21,1,H721-1,5,1),1,1),0)</f>
        <v>175</v>
      </c>
    </row>
    <row r="722" spans="2:9" x14ac:dyDescent="0.25">
      <c r="B722" s="96">
        <v>246</v>
      </c>
      <c r="C722" s="1">
        <v>0.13333333341870457</v>
      </c>
      <c r="D722" s="103" t="str">
        <f t="shared" si="36"/>
        <v>MC4</v>
      </c>
      <c r="E722" s="103">
        <f t="shared" si="37"/>
        <v>246</v>
      </c>
      <c r="F722" s="117">
        <f t="shared" si="38"/>
        <v>0.13333333341870457</v>
      </c>
      <c r="G722" s="103">
        <f>VLOOKUP(D722,Lookup!$J$5:$M$19,4,FALSE)-E722</f>
        <v>240</v>
      </c>
      <c r="H722" s="103">
        <f>VLOOKUP(D722,Lookup!$J$5:$K$19,2,FALSE)</f>
        <v>13</v>
      </c>
      <c r="I722" s="103">
        <f ca="1">IFERROR(VLOOKUP(G722,OFFSET(Lookup!$J$21,1,H722-1,5,1),1,1),0)</f>
        <v>175</v>
      </c>
    </row>
    <row r="723" spans="2:9" x14ac:dyDescent="0.25">
      <c r="B723" s="96">
        <v>251</v>
      </c>
      <c r="C723" s="1">
        <v>0.64999999984866008</v>
      </c>
      <c r="D723" s="103" t="str">
        <f t="shared" si="36"/>
        <v>MC4</v>
      </c>
      <c r="E723" s="103">
        <f t="shared" si="37"/>
        <v>251</v>
      </c>
      <c r="F723" s="117">
        <f t="shared" si="38"/>
        <v>0.64999999984866008</v>
      </c>
      <c r="G723" s="103">
        <f>VLOOKUP(D723,Lookup!$J$5:$M$19,4,FALSE)-E723</f>
        <v>235</v>
      </c>
      <c r="H723" s="103">
        <f>VLOOKUP(D723,Lookup!$J$5:$K$19,2,FALSE)</f>
        <v>13</v>
      </c>
      <c r="I723" s="103">
        <f ca="1">IFERROR(VLOOKUP(G723,OFFSET(Lookup!$J$21,1,H723-1,5,1),1,1),0)</f>
        <v>175</v>
      </c>
    </row>
    <row r="724" spans="2:9" x14ac:dyDescent="0.25">
      <c r="B724" s="96">
        <v>260</v>
      </c>
      <c r="C724" s="1">
        <v>3</v>
      </c>
      <c r="D724" s="103" t="str">
        <f t="shared" si="36"/>
        <v>MC4</v>
      </c>
      <c r="E724" s="103">
        <f t="shared" si="37"/>
        <v>260</v>
      </c>
      <c r="F724" s="117">
        <f t="shared" si="38"/>
        <v>3</v>
      </c>
      <c r="G724" s="103">
        <f>VLOOKUP(D724,Lookup!$J$5:$M$19,4,FALSE)-E724</f>
        <v>226</v>
      </c>
      <c r="H724" s="103">
        <f>VLOOKUP(D724,Lookup!$J$5:$K$19,2,FALSE)</f>
        <v>13</v>
      </c>
      <c r="I724" s="103">
        <f ca="1">IFERROR(VLOOKUP(G724,OFFSET(Lookup!$J$21,1,H724-1,5,1),1,1),0)</f>
        <v>175</v>
      </c>
    </row>
    <row r="725" spans="2:9" x14ac:dyDescent="0.25">
      <c r="B725" s="96">
        <v>265</v>
      </c>
      <c r="C725" s="1">
        <v>5.066666666592937</v>
      </c>
      <c r="D725" s="103" t="str">
        <f t="shared" si="36"/>
        <v>MC4</v>
      </c>
      <c r="E725" s="103">
        <f t="shared" si="37"/>
        <v>265</v>
      </c>
      <c r="F725" s="117">
        <f t="shared" si="38"/>
        <v>5.066666666592937</v>
      </c>
      <c r="G725" s="103">
        <f>VLOOKUP(D725,Lookup!$J$5:$M$19,4,FALSE)-E725</f>
        <v>221</v>
      </c>
      <c r="H725" s="103">
        <f>VLOOKUP(D725,Lookup!$J$5:$K$19,2,FALSE)</f>
        <v>13</v>
      </c>
      <c r="I725" s="103">
        <f ca="1">IFERROR(VLOOKUP(G725,OFFSET(Lookup!$J$21,1,H725-1,5,1),1,1),0)</f>
        <v>175</v>
      </c>
    </row>
    <row r="726" spans="2:9" x14ac:dyDescent="0.25">
      <c r="B726" s="96">
        <v>278</v>
      </c>
      <c r="C726" s="1">
        <v>2.9166666667442769</v>
      </c>
      <c r="D726" s="103" t="str">
        <f t="shared" si="36"/>
        <v>MC4</v>
      </c>
      <c r="E726" s="103">
        <f t="shared" si="37"/>
        <v>278</v>
      </c>
      <c r="F726" s="117">
        <f t="shared" si="38"/>
        <v>2.9166666667442769</v>
      </c>
      <c r="G726" s="103">
        <f>VLOOKUP(D726,Lookup!$J$5:$M$19,4,FALSE)-E726</f>
        <v>208</v>
      </c>
      <c r="H726" s="103">
        <f>VLOOKUP(D726,Lookup!$J$5:$K$19,2,FALSE)</f>
        <v>13</v>
      </c>
      <c r="I726" s="103">
        <f ca="1">IFERROR(VLOOKUP(G726,OFFSET(Lookup!$J$21,1,H726-1,5,1),1,1),0)</f>
        <v>175</v>
      </c>
    </row>
    <row r="727" spans="2:9" x14ac:dyDescent="0.25">
      <c r="B727" s="96">
        <v>292</v>
      </c>
      <c r="C727" s="1">
        <v>0.83333333325572312</v>
      </c>
      <c r="D727" s="103" t="str">
        <f t="shared" si="36"/>
        <v>MC4</v>
      </c>
      <c r="E727" s="103">
        <f t="shared" si="37"/>
        <v>292</v>
      </c>
      <c r="F727" s="117">
        <f t="shared" si="38"/>
        <v>0.83333333325572312</v>
      </c>
      <c r="G727" s="103">
        <f>VLOOKUP(D727,Lookup!$J$5:$M$19,4,FALSE)-E727</f>
        <v>194</v>
      </c>
      <c r="H727" s="103">
        <f>VLOOKUP(D727,Lookup!$J$5:$K$19,2,FALSE)</f>
        <v>13</v>
      </c>
      <c r="I727" s="103">
        <f ca="1">IFERROR(VLOOKUP(G727,OFFSET(Lookup!$J$21,1,H727-1,5,1),1,1),0)</f>
        <v>175</v>
      </c>
    </row>
    <row r="728" spans="2:9" x14ac:dyDescent="0.25">
      <c r="B728" s="96">
        <v>297</v>
      </c>
      <c r="C728" s="1">
        <v>13.78333333338378</v>
      </c>
      <c r="D728" s="103" t="str">
        <f t="shared" si="36"/>
        <v>MC4</v>
      </c>
      <c r="E728" s="103">
        <f t="shared" si="37"/>
        <v>297</v>
      </c>
      <c r="F728" s="117">
        <f t="shared" si="38"/>
        <v>13.78333333338378</v>
      </c>
      <c r="G728" s="103">
        <f>VLOOKUP(D728,Lookup!$J$5:$M$19,4,FALSE)-E728</f>
        <v>189</v>
      </c>
      <c r="H728" s="103">
        <f>VLOOKUP(D728,Lookup!$J$5:$K$19,2,FALSE)</f>
        <v>13</v>
      </c>
      <c r="I728" s="103">
        <f ca="1">IFERROR(VLOOKUP(G728,OFFSET(Lookup!$J$21,1,H728-1,5,1),1,1),0)</f>
        <v>175</v>
      </c>
    </row>
    <row r="729" spans="2:9" x14ac:dyDescent="0.25">
      <c r="B729" s="96">
        <v>306</v>
      </c>
      <c r="C729" s="1">
        <v>0.35000000009313226</v>
      </c>
      <c r="D729" s="103" t="str">
        <f t="shared" si="36"/>
        <v>MC4</v>
      </c>
      <c r="E729" s="103">
        <f t="shared" si="37"/>
        <v>306</v>
      </c>
      <c r="F729" s="117">
        <f t="shared" si="38"/>
        <v>0.35000000009313226</v>
      </c>
      <c r="G729" s="103">
        <f>VLOOKUP(D729,Lookup!$J$5:$M$19,4,FALSE)-E729</f>
        <v>180</v>
      </c>
      <c r="H729" s="103">
        <f>VLOOKUP(D729,Lookup!$J$5:$K$19,2,FALSE)</f>
        <v>13</v>
      </c>
      <c r="I729" s="103">
        <f ca="1">IFERROR(VLOOKUP(G729,OFFSET(Lookup!$J$21,1,H729-1,5,1),1,1),0)</f>
        <v>175</v>
      </c>
    </row>
    <row r="730" spans="2:9" x14ac:dyDescent="0.25">
      <c r="B730" s="96">
        <v>315</v>
      </c>
      <c r="C730" s="1">
        <v>8.1166666667559184</v>
      </c>
      <c r="D730" s="103" t="str">
        <f t="shared" si="36"/>
        <v>MC4</v>
      </c>
      <c r="E730" s="103">
        <f t="shared" si="37"/>
        <v>315</v>
      </c>
      <c r="F730" s="117">
        <f t="shared" si="38"/>
        <v>8.1166666667559184</v>
      </c>
      <c r="G730" s="103">
        <f>VLOOKUP(D730,Lookup!$J$5:$M$19,4,FALSE)-E730</f>
        <v>171</v>
      </c>
      <c r="H730" s="103">
        <f>VLOOKUP(D730,Lookup!$J$5:$K$19,2,FALSE)</f>
        <v>13</v>
      </c>
      <c r="I730" s="103">
        <f ca="1">IFERROR(VLOOKUP(G730,OFFSET(Lookup!$J$21,1,H730-1,5,1),1,1),0)</f>
        <v>0</v>
      </c>
    </row>
    <row r="731" spans="2:9" x14ac:dyDescent="0.25">
      <c r="B731" s="96">
        <v>325</v>
      </c>
      <c r="C731" s="1">
        <v>0.19999999995343387</v>
      </c>
      <c r="D731" s="103" t="str">
        <f t="shared" si="36"/>
        <v>MC4</v>
      </c>
      <c r="E731" s="103">
        <f t="shared" si="37"/>
        <v>325</v>
      </c>
      <c r="F731" s="117">
        <f t="shared" si="38"/>
        <v>0.19999999995343387</v>
      </c>
      <c r="G731" s="103">
        <f>VLOOKUP(D731,Lookup!$J$5:$M$19,4,FALSE)-E731</f>
        <v>161</v>
      </c>
      <c r="H731" s="103">
        <f>VLOOKUP(D731,Lookup!$J$5:$K$19,2,FALSE)</f>
        <v>13</v>
      </c>
      <c r="I731" s="103">
        <f ca="1">IFERROR(VLOOKUP(G731,OFFSET(Lookup!$J$21,1,H731-1,5,1),1,1),0)</f>
        <v>0</v>
      </c>
    </row>
    <row r="732" spans="2:9" x14ac:dyDescent="0.25">
      <c r="B732" s="96">
        <v>338</v>
      </c>
      <c r="C732" s="1">
        <v>2.4499999999534339</v>
      </c>
      <c r="D732" s="103" t="str">
        <f t="shared" si="36"/>
        <v>MC4</v>
      </c>
      <c r="E732" s="103">
        <f t="shared" si="37"/>
        <v>338</v>
      </c>
      <c r="F732" s="117">
        <f t="shared" si="38"/>
        <v>2.4499999999534339</v>
      </c>
      <c r="G732" s="103">
        <f>VLOOKUP(D732,Lookup!$J$5:$M$19,4,FALSE)-E732</f>
        <v>148</v>
      </c>
      <c r="H732" s="103">
        <f>VLOOKUP(D732,Lookup!$J$5:$K$19,2,FALSE)</f>
        <v>13</v>
      </c>
      <c r="I732" s="103">
        <f ca="1">IFERROR(VLOOKUP(G732,OFFSET(Lookup!$J$21,1,H732-1,5,1),1,1),0)</f>
        <v>0</v>
      </c>
    </row>
    <row r="733" spans="2:9" x14ac:dyDescent="0.25">
      <c r="B733" s="96">
        <v>339</v>
      </c>
      <c r="C733" s="1">
        <v>0.38333333336049691</v>
      </c>
      <c r="D733" s="103" t="str">
        <f t="shared" si="36"/>
        <v>MC4</v>
      </c>
      <c r="E733" s="103">
        <f t="shared" si="37"/>
        <v>339</v>
      </c>
      <c r="F733" s="117">
        <f t="shared" si="38"/>
        <v>0.38333333336049691</v>
      </c>
      <c r="G733" s="103">
        <f>VLOOKUP(D733,Lookup!$J$5:$M$19,4,FALSE)-E733</f>
        <v>147</v>
      </c>
      <c r="H733" s="103">
        <f>VLOOKUP(D733,Lookup!$J$5:$K$19,2,FALSE)</f>
        <v>13</v>
      </c>
      <c r="I733" s="103">
        <f ca="1">IFERROR(VLOOKUP(G733,OFFSET(Lookup!$J$21,1,H733-1,5,1),1,1),0)</f>
        <v>0</v>
      </c>
    </row>
    <row r="734" spans="2:9" x14ac:dyDescent="0.25">
      <c r="B734" s="96">
        <v>343</v>
      </c>
      <c r="C734" s="1">
        <v>2.1333333333022892</v>
      </c>
      <c r="D734" s="103" t="str">
        <f t="shared" si="36"/>
        <v>MC4</v>
      </c>
      <c r="E734" s="103">
        <f t="shared" si="37"/>
        <v>343</v>
      </c>
      <c r="F734" s="117">
        <f t="shared" si="38"/>
        <v>2.1333333333022892</v>
      </c>
      <c r="G734" s="103">
        <f>VLOOKUP(D734,Lookup!$J$5:$M$19,4,FALSE)-E734</f>
        <v>143</v>
      </c>
      <c r="H734" s="103">
        <f>VLOOKUP(D734,Lookup!$J$5:$K$19,2,FALSE)</f>
        <v>13</v>
      </c>
      <c r="I734" s="103">
        <f ca="1">IFERROR(VLOOKUP(G734,OFFSET(Lookup!$J$21,1,H734-1,5,1),1,1),0)</f>
        <v>0</v>
      </c>
    </row>
    <row r="735" spans="2:9" x14ac:dyDescent="0.25">
      <c r="B735" s="96">
        <v>352</v>
      </c>
      <c r="C735" s="1">
        <v>11.316666666534729</v>
      </c>
      <c r="D735" s="103" t="str">
        <f t="shared" si="36"/>
        <v>MC4</v>
      </c>
      <c r="E735" s="103">
        <f t="shared" si="37"/>
        <v>352</v>
      </c>
      <c r="F735" s="117">
        <f t="shared" si="38"/>
        <v>11.316666666534729</v>
      </c>
      <c r="G735" s="103">
        <f>VLOOKUP(D735,Lookup!$J$5:$M$19,4,FALSE)-E735</f>
        <v>134</v>
      </c>
      <c r="H735" s="103">
        <f>VLOOKUP(D735,Lookup!$J$5:$K$19,2,FALSE)</f>
        <v>13</v>
      </c>
      <c r="I735" s="103">
        <f ca="1">IFERROR(VLOOKUP(G735,OFFSET(Lookup!$J$21,1,H735-1,5,1),1,1),0)</f>
        <v>0</v>
      </c>
    </row>
    <row r="736" spans="2:9" x14ac:dyDescent="0.25">
      <c r="B736" s="96">
        <v>362</v>
      </c>
      <c r="C736" s="1">
        <v>0.86666666669771075</v>
      </c>
      <c r="D736" s="103" t="str">
        <f t="shared" si="36"/>
        <v>MC4</v>
      </c>
      <c r="E736" s="103">
        <f t="shared" si="37"/>
        <v>362</v>
      </c>
      <c r="F736" s="117">
        <f t="shared" si="38"/>
        <v>0.86666666669771075</v>
      </c>
      <c r="G736" s="103">
        <f>VLOOKUP(D736,Lookup!$J$5:$M$19,4,FALSE)-E736</f>
        <v>124</v>
      </c>
      <c r="H736" s="103">
        <f>VLOOKUP(D736,Lookup!$J$5:$K$19,2,FALSE)</f>
        <v>13</v>
      </c>
      <c r="I736" s="103">
        <f ca="1">IFERROR(VLOOKUP(G736,OFFSET(Lookup!$J$21,1,H736-1,5,1),1,1),0)</f>
        <v>0</v>
      </c>
    </row>
    <row r="737" spans="1:9" x14ac:dyDescent="0.25">
      <c r="B737" s="96">
        <v>366</v>
      </c>
      <c r="C737" s="1">
        <v>7.78333333338378</v>
      </c>
      <c r="D737" s="103" t="str">
        <f t="shared" si="36"/>
        <v>MC4</v>
      </c>
      <c r="E737" s="103">
        <f t="shared" si="37"/>
        <v>366</v>
      </c>
      <c r="F737" s="117">
        <f t="shared" si="38"/>
        <v>7.78333333338378</v>
      </c>
      <c r="G737" s="103">
        <f>VLOOKUP(D737,Lookup!$J$5:$M$19,4,FALSE)-E737</f>
        <v>120</v>
      </c>
      <c r="H737" s="103">
        <f>VLOOKUP(D737,Lookup!$J$5:$K$19,2,FALSE)</f>
        <v>13</v>
      </c>
      <c r="I737" s="103">
        <f ca="1">IFERROR(VLOOKUP(G737,OFFSET(Lookup!$J$21,1,H737-1,5,1),1,1),0)</f>
        <v>0</v>
      </c>
    </row>
    <row r="738" spans="1:9" x14ac:dyDescent="0.25">
      <c r="B738" s="96">
        <v>389</v>
      </c>
      <c r="C738" s="1">
        <v>11.666666666802485</v>
      </c>
      <c r="D738" s="103" t="str">
        <f t="shared" si="36"/>
        <v>MC4</v>
      </c>
      <c r="E738" s="103">
        <f t="shared" si="37"/>
        <v>389</v>
      </c>
      <c r="F738" s="117">
        <f t="shared" si="38"/>
        <v>11.666666666802485</v>
      </c>
      <c r="G738" s="103">
        <f>VLOOKUP(D738,Lookup!$J$5:$M$19,4,FALSE)-E738</f>
        <v>97</v>
      </c>
      <c r="H738" s="103">
        <f>VLOOKUP(D738,Lookup!$J$5:$K$19,2,FALSE)</f>
        <v>13</v>
      </c>
      <c r="I738" s="103">
        <f ca="1">IFERROR(VLOOKUP(G738,OFFSET(Lookup!$J$21,1,H738-1,5,1),1,1),0)</f>
        <v>0</v>
      </c>
    </row>
    <row r="739" spans="1:9" x14ac:dyDescent="0.25">
      <c r="A739" s="103" t="s">
        <v>19</v>
      </c>
      <c r="B739" s="96">
        <v>0</v>
      </c>
      <c r="C739" s="1">
        <v>1196.699999999546</v>
      </c>
      <c r="D739" s="103" t="str">
        <f t="shared" si="36"/>
        <v>TC1</v>
      </c>
      <c r="E739" s="103">
        <f t="shared" si="37"/>
        <v>0</v>
      </c>
      <c r="F739" s="117">
        <f t="shared" si="38"/>
        <v>1196.699999999546</v>
      </c>
      <c r="G739" s="103">
        <f>VLOOKUP(D739,Lookup!$J$5:$M$19,4,FALSE)-E739</f>
        <v>493</v>
      </c>
      <c r="H739" s="103">
        <f>VLOOKUP(D739,Lookup!$J$5:$K$19,2,FALSE)</f>
        <v>14</v>
      </c>
      <c r="I739" s="103">
        <f ca="1">IFERROR(VLOOKUP(G739,OFFSET(Lookup!$J$21,1,H739-1,5,1),1,1),0)</f>
        <v>453</v>
      </c>
    </row>
    <row r="740" spans="1:9" x14ac:dyDescent="0.25">
      <c r="B740" s="96">
        <v>3</v>
      </c>
      <c r="C740" s="1">
        <v>9.9999999976716936E-2</v>
      </c>
      <c r="D740" s="103" t="str">
        <f t="shared" si="36"/>
        <v>TC1</v>
      </c>
      <c r="E740" s="103">
        <f t="shared" si="37"/>
        <v>3</v>
      </c>
      <c r="F740" s="117">
        <f t="shared" si="38"/>
        <v>9.9999999976716936E-2</v>
      </c>
      <c r="G740" s="103">
        <f>VLOOKUP(D740,Lookup!$J$5:$M$19,4,FALSE)-E740</f>
        <v>490</v>
      </c>
      <c r="H740" s="103">
        <f>VLOOKUP(D740,Lookup!$J$5:$K$19,2,FALSE)</f>
        <v>14</v>
      </c>
      <c r="I740" s="103">
        <f ca="1">IFERROR(VLOOKUP(G740,OFFSET(Lookup!$J$21,1,H740-1,5,1),1,1),0)</f>
        <v>453</v>
      </c>
    </row>
    <row r="741" spans="1:9" x14ac:dyDescent="0.25">
      <c r="B741" s="96">
        <v>5</v>
      </c>
      <c r="C741" s="1">
        <v>1204.5166666656733</v>
      </c>
      <c r="D741" s="103" t="str">
        <f t="shared" si="36"/>
        <v>TC1</v>
      </c>
      <c r="E741" s="103">
        <f t="shared" si="37"/>
        <v>5</v>
      </c>
      <c r="F741" s="117">
        <f t="shared" si="38"/>
        <v>1204.5166666656733</v>
      </c>
      <c r="G741" s="103">
        <f>VLOOKUP(D741,Lookup!$J$5:$M$19,4,FALSE)-E741</f>
        <v>488</v>
      </c>
      <c r="H741" s="103">
        <f>VLOOKUP(D741,Lookup!$J$5:$K$19,2,FALSE)</f>
        <v>14</v>
      </c>
      <c r="I741" s="103">
        <f ca="1">IFERROR(VLOOKUP(G741,OFFSET(Lookup!$J$21,1,H741-1,5,1),1,1),0)</f>
        <v>453</v>
      </c>
    </row>
    <row r="742" spans="1:9" x14ac:dyDescent="0.25">
      <c r="B742" s="96">
        <v>9</v>
      </c>
      <c r="C742" s="1">
        <v>121.63333333324408</v>
      </c>
      <c r="D742" s="103" t="str">
        <f t="shared" si="36"/>
        <v>TC1</v>
      </c>
      <c r="E742" s="103">
        <f t="shared" si="37"/>
        <v>9</v>
      </c>
      <c r="F742" s="117">
        <f t="shared" si="38"/>
        <v>121.63333333324408</v>
      </c>
      <c r="G742" s="103">
        <f>VLOOKUP(D742,Lookup!$J$5:$M$19,4,FALSE)-E742</f>
        <v>484</v>
      </c>
      <c r="H742" s="103">
        <f>VLOOKUP(D742,Lookup!$J$5:$K$19,2,FALSE)</f>
        <v>14</v>
      </c>
      <c r="I742" s="103">
        <f ca="1">IFERROR(VLOOKUP(G742,OFFSET(Lookup!$J$21,1,H742-1,5,1),1,1),0)</f>
        <v>453</v>
      </c>
    </row>
    <row r="743" spans="1:9" x14ac:dyDescent="0.25">
      <c r="B743" s="96">
        <v>12</v>
      </c>
      <c r="C743" s="1">
        <v>0.61666666675591841</v>
      </c>
      <c r="D743" s="103" t="str">
        <f t="shared" si="36"/>
        <v>TC1</v>
      </c>
      <c r="E743" s="103">
        <f t="shared" si="37"/>
        <v>12</v>
      </c>
      <c r="F743" s="117">
        <f t="shared" si="38"/>
        <v>0.61666666675591841</v>
      </c>
      <c r="G743" s="103">
        <f>VLOOKUP(D743,Lookup!$J$5:$M$19,4,FALSE)-E743</f>
        <v>481</v>
      </c>
      <c r="H743" s="103">
        <f>VLOOKUP(D743,Lookup!$J$5:$K$19,2,FALSE)</f>
        <v>14</v>
      </c>
      <c r="I743" s="103">
        <f ca="1">IFERROR(VLOOKUP(G743,OFFSET(Lookup!$J$21,1,H743-1,5,1),1,1),0)</f>
        <v>453</v>
      </c>
    </row>
    <row r="744" spans="1:9" x14ac:dyDescent="0.25">
      <c r="B744" s="96">
        <v>14</v>
      </c>
      <c r="C744" s="1">
        <v>137.83333333331393</v>
      </c>
      <c r="D744" s="103" t="str">
        <f t="shared" si="36"/>
        <v>TC1</v>
      </c>
      <c r="E744" s="103">
        <f t="shared" si="37"/>
        <v>14</v>
      </c>
      <c r="F744" s="117">
        <f t="shared" si="38"/>
        <v>137.83333333331393</v>
      </c>
      <c r="G744" s="103">
        <f>VLOOKUP(D744,Lookup!$J$5:$M$19,4,FALSE)-E744</f>
        <v>479</v>
      </c>
      <c r="H744" s="103">
        <f>VLOOKUP(D744,Lookup!$J$5:$K$19,2,FALSE)</f>
        <v>14</v>
      </c>
      <c r="I744" s="103">
        <f ca="1">IFERROR(VLOOKUP(G744,OFFSET(Lookup!$J$21,1,H744-1,5,1),1,1),0)</f>
        <v>453</v>
      </c>
    </row>
    <row r="745" spans="1:9" x14ac:dyDescent="0.25">
      <c r="B745" s="96">
        <v>18</v>
      </c>
      <c r="C745" s="1">
        <v>1.6666666666860692</v>
      </c>
      <c r="D745" s="103" t="str">
        <f t="shared" si="36"/>
        <v>TC1</v>
      </c>
      <c r="E745" s="103">
        <f t="shared" si="37"/>
        <v>18</v>
      </c>
      <c r="F745" s="117">
        <f t="shared" si="38"/>
        <v>1.6666666666860692</v>
      </c>
      <c r="G745" s="103">
        <f>VLOOKUP(D745,Lookup!$J$5:$M$19,4,FALSE)-E745</f>
        <v>475</v>
      </c>
      <c r="H745" s="103">
        <f>VLOOKUP(D745,Lookup!$J$5:$K$19,2,FALSE)</f>
        <v>14</v>
      </c>
      <c r="I745" s="103">
        <f ca="1">IFERROR(VLOOKUP(G745,OFFSET(Lookup!$J$21,1,H745-1,5,1),1,1),0)</f>
        <v>453</v>
      </c>
    </row>
    <row r="746" spans="1:9" x14ac:dyDescent="0.25">
      <c r="B746" s="96">
        <v>19</v>
      </c>
      <c r="C746" s="1">
        <v>174.56666666676756</v>
      </c>
      <c r="D746" s="103" t="str">
        <f t="shared" si="36"/>
        <v>TC1</v>
      </c>
      <c r="E746" s="103">
        <f t="shared" si="37"/>
        <v>19</v>
      </c>
      <c r="F746" s="117">
        <f t="shared" si="38"/>
        <v>174.56666666676756</v>
      </c>
      <c r="G746" s="103">
        <f>VLOOKUP(D746,Lookup!$J$5:$M$19,4,FALSE)-E746</f>
        <v>474</v>
      </c>
      <c r="H746" s="103">
        <f>VLOOKUP(D746,Lookup!$J$5:$K$19,2,FALSE)</f>
        <v>14</v>
      </c>
      <c r="I746" s="103">
        <f ca="1">IFERROR(VLOOKUP(G746,OFFSET(Lookup!$J$21,1,H746-1,5,1),1,1),0)</f>
        <v>453</v>
      </c>
    </row>
    <row r="747" spans="1:9" x14ac:dyDescent="0.25">
      <c r="B747" s="96">
        <v>21</v>
      </c>
      <c r="C747" s="1">
        <v>19.816666666651145</v>
      </c>
      <c r="D747" s="103" t="str">
        <f t="shared" si="36"/>
        <v>TC1</v>
      </c>
      <c r="E747" s="103">
        <f t="shared" si="37"/>
        <v>21</v>
      </c>
      <c r="F747" s="117">
        <f t="shared" si="38"/>
        <v>19.816666666651145</v>
      </c>
      <c r="G747" s="103">
        <f>VLOOKUP(D747,Lookup!$J$5:$M$19,4,FALSE)-E747</f>
        <v>472</v>
      </c>
      <c r="H747" s="103">
        <f>VLOOKUP(D747,Lookup!$J$5:$K$19,2,FALSE)</f>
        <v>14</v>
      </c>
      <c r="I747" s="103">
        <f ca="1">IFERROR(VLOOKUP(G747,OFFSET(Lookup!$J$21,1,H747-1,5,1),1,1),0)</f>
        <v>453</v>
      </c>
    </row>
    <row r="748" spans="1:9" x14ac:dyDescent="0.25">
      <c r="B748" s="96">
        <v>23</v>
      </c>
      <c r="C748" s="1">
        <v>29.916666666395031</v>
      </c>
      <c r="D748" s="103" t="str">
        <f t="shared" si="36"/>
        <v>TC1</v>
      </c>
      <c r="E748" s="103">
        <f t="shared" si="37"/>
        <v>23</v>
      </c>
      <c r="F748" s="117">
        <f t="shared" si="38"/>
        <v>29.916666666395031</v>
      </c>
      <c r="G748" s="103">
        <f>VLOOKUP(D748,Lookup!$J$5:$M$19,4,FALSE)-E748</f>
        <v>470</v>
      </c>
      <c r="H748" s="103">
        <f>VLOOKUP(D748,Lookup!$J$5:$K$19,2,FALSE)</f>
        <v>14</v>
      </c>
      <c r="I748" s="103">
        <f ca="1">IFERROR(VLOOKUP(G748,OFFSET(Lookup!$J$21,1,H748-1,5,1),1,1),0)</f>
        <v>453</v>
      </c>
    </row>
    <row r="749" spans="1:9" x14ac:dyDescent="0.25">
      <c r="B749" s="96">
        <v>25</v>
      </c>
      <c r="C749" s="1">
        <v>0.99999999994179234</v>
      </c>
      <c r="D749" s="103" t="str">
        <f t="shared" si="36"/>
        <v>TC1</v>
      </c>
      <c r="E749" s="103">
        <f t="shared" si="37"/>
        <v>25</v>
      </c>
      <c r="F749" s="117">
        <f t="shared" si="38"/>
        <v>0.99999999994179234</v>
      </c>
      <c r="G749" s="103">
        <f>VLOOKUP(D749,Lookup!$J$5:$M$19,4,FALSE)-E749</f>
        <v>468</v>
      </c>
      <c r="H749" s="103">
        <f>VLOOKUP(D749,Lookup!$J$5:$K$19,2,FALSE)</f>
        <v>14</v>
      </c>
      <c r="I749" s="103">
        <f ca="1">IFERROR(VLOOKUP(G749,OFFSET(Lookup!$J$21,1,H749-1,5,1),1,1),0)</f>
        <v>453</v>
      </c>
    </row>
    <row r="750" spans="1:9" x14ac:dyDescent="0.25">
      <c r="B750" s="96">
        <v>28</v>
      </c>
      <c r="C750" s="1">
        <v>100.50000000034925</v>
      </c>
      <c r="D750" s="103" t="str">
        <f t="shared" si="36"/>
        <v>TC1</v>
      </c>
      <c r="E750" s="103">
        <f t="shared" si="37"/>
        <v>28</v>
      </c>
      <c r="F750" s="117">
        <f t="shared" si="38"/>
        <v>100.50000000034925</v>
      </c>
      <c r="G750" s="103">
        <f>VLOOKUP(D750,Lookup!$J$5:$M$19,4,FALSE)-E750</f>
        <v>465</v>
      </c>
      <c r="H750" s="103">
        <f>VLOOKUP(D750,Lookup!$J$5:$K$19,2,FALSE)</f>
        <v>14</v>
      </c>
      <c r="I750" s="103">
        <f ca="1">IFERROR(VLOOKUP(G750,OFFSET(Lookup!$J$21,1,H750-1,5,1),1,1),0)</f>
        <v>453</v>
      </c>
    </row>
    <row r="751" spans="1:9" x14ac:dyDescent="0.25">
      <c r="B751" s="96">
        <v>32</v>
      </c>
      <c r="C751" s="1">
        <v>0.33333333337213844</v>
      </c>
      <c r="D751" s="103" t="str">
        <f t="shared" si="36"/>
        <v>TC1</v>
      </c>
      <c r="E751" s="103">
        <f t="shared" si="37"/>
        <v>32</v>
      </c>
      <c r="F751" s="117">
        <f t="shared" si="38"/>
        <v>0.33333333337213844</v>
      </c>
      <c r="G751" s="103">
        <f>VLOOKUP(D751,Lookup!$J$5:$M$19,4,FALSE)-E751</f>
        <v>461</v>
      </c>
      <c r="H751" s="103">
        <f>VLOOKUP(D751,Lookup!$J$5:$K$19,2,FALSE)</f>
        <v>14</v>
      </c>
      <c r="I751" s="103">
        <f ca="1">IFERROR(VLOOKUP(G751,OFFSET(Lookup!$J$21,1,H751-1,5,1),1,1),0)</f>
        <v>453</v>
      </c>
    </row>
    <row r="752" spans="1:9" x14ac:dyDescent="0.25">
      <c r="B752" s="96">
        <v>33</v>
      </c>
      <c r="C752" s="1">
        <v>2.4666666664998047</v>
      </c>
      <c r="D752" s="103" t="str">
        <f t="shared" si="36"/>
        <v>TC1</v>
      </c>
      <c r="E752" s="103">
        <f t="shared" si="37"/>
        <v>33</v>
      </c>
      <c r="F752" s="117">
        <f t="shared" si="38"/>
        <v>2.4666666664998047</v>
      </c>
      <c r="G752" s="103">
        <f>VLOOKUP(D752,Lookup!$J$5:$M$19,4,FALSE)-E752</f>
        <v>460</v>
      </c>
      <c r="H752" s="103">
        <f>VLOOKUP(D752,Lookup!$J$5:$K$19,2,FALSE)</f>
        <v>14</v>
      </c>
      <c r="I752" s="103">
        <f ca="1">IFERROR(VLOOKUP(G752,OFFSET(Lookup!$J$21,1,H752-1,5,1),1,1),0)</f>
        <v>453</v>
      </c>
    </row>
    <row r="753" spans="2:9" x14ac:dyDescent="0.25">
      <c r="B753" s="96">
        <v>34</v>
      </c>
      <c r="C753" s="1">
        <v>7.2500000000582077</v>
      </c>
      <c r="D753" s="103" t="str">
        <f t="shared" si="36"/>
        <v>TC1</v>
      </c>
      <c r="E753" s="103">
        <f t="shared" si="37"/>
        <v>34</v>
      </c>
      <c r="F753" s="117">
        <f t="shared" si="38"/>
        <v>7.2500000000582077</v>
      </c>
      <c r="G753" s="103">
        <f>VLOOKUP(D753,Lookup!$J$5:$M$19,4,FALSE)-E753</f>
        <v>459</v>
      </c>
      <c r="H753" s="103">
        <f>VLOOKUP(D753,Lookup!$J$5:$K$19,2,FALSE)</f>
        <v>14</v>
      </c>
      <c r="I753" s="103">
        <f ca="1">IFERROR(VLOOKUP(G753,OFFSET(Lookup!$J$21,1,H753-1,5,1),1,1),0)</f>
        <v>453</v>
      </c>
    </row>
    <row r="754" spans="2:9" x14ac:dyDescent="0.25">
      <c r="B754" s="96">
        <v>37</v>
      </c>
      <c r="C754" s="1">
        <v>59.716666666790843</v>
      </c>
      <c r="D754" s="103" t="str">
        <f t="shared" si="36"/>
        <v>TC1</v>
      </c>
      <c r="E754" s="103">
        <f t="shared" si="37"/>
        <v>37</v>
      </c>
      <c r="F754" s="117">
        <f t="shared" si="38"/>
        <v>59.716666666790843</v>
      </c>
      <c r="G754" s="103">
        <f>VLOOKUP(D754,Lookup!$J$5:$M$19,4,FALSE)-E754</f>
        <v>456</v>
      </c>
      <c r="H754" s="103">
        <f>VLOOKUP(D754,Lookup!$J$5:$K$19,2,FALSE)</f>
        <v>14</v>
      </c>
      <c r="I754" s="103">
        <f ca="1">IFERROR(VLOOKUP(G754,OFFSET(Lookup!$J$21,1,H754-1,5,1),1,1),0)</f>
        <v>453</v>
      </c>
    </row>
    <row r="755" spans="2:9" x14ac:dyDescent="0.25">
      <c r="B755" s="96">
        <v>38</v>
      </c>
      <c r="C755" s="1">
        <v>3.1499999999650754</v>
      </c>
      <c r="D755" s="103" t="str">
        <f t="shared" si="36"/>
        <v>TC1</v>
      </c>
      <c r="E755" s="103">
        <f t="shared" si="37"/>
        <v>38</v>
      </c>
      <c r="F755" s="117">
        <f t="shared" si="38"/>
        <v>3.1499999999650754</v>
      </c>
      <c r="G755" s="103">
        <f>VLOOKUP(D755,Lookup!$J$5:$M$19,4,FALSE)-E755</f>
        <v>455</v>
      </c>
      <c r="H755" s="103">
        <f>VLOOKUP(D755,Lookup!$J$5:$K$19,2,FALSE)</f>
        <v>14</v>
      </c>
      <c r="I755" s="103">
        <f ca="1">IFERROR(VLOOKUP(G755,OFFSET(Lookup!$J$21,1,H755-1,5,1),1,1),0)</f>
        <v>453</v>
      </c>
    </row>
    <row r="756" spans="2:9" x14ac:dyDescent="0.25">
      <c r="B756" s="96">
        <v>39</v>
      </c>
      <c r="C756" s="1">
        <v>0.46666666661622003</v>
      </c>
      <c r="D756" s="103" t="str">
        <f t="shared" si="36"/>
        <v>TC1</v>
      </c>
      <c r="E756" s="103">
        <f t="shared" si="37"/>
        <v>39</v>
      </c>
      <c r="F756" s="117">
        <f t="shared" si="38"/>
        <v>0.46666666661622003</v>
      </c>
      <c r="G756" s="103">
        <f>VLOOKUP(D756,Lookup!$J$5:$M$19,4,FALSE)-E756</f>
        <v>454</v>
      </c>
      <c r="H756" s="103">
        <f>VLOOKUP(D756,Lookup!$J$5:$K$19,2,FALSE)</f>
        <v>14</v>
      </c>
      <c r="I756" s="103">
        <f ca="1">IFERROR(VLOOKUP(G756,OFFSET(Lookup!$J$21,1,H756-1,5,1),1,1),0)</f>
        <v>453</v>
      </c>
    </row>
    <row r="757" spans="2:9" x14ac:dyDescent="0.25">
      <c r="B757" s="96">
        <v>42</v>
      </c>
      <c r="C757" s="1">
        <v>8.7666666666045785</v>
      </c>
      <c r="D757" s="103" t="str">
        <f t="shared" si="36"/>
        <v>TC1</v>
      </c>
      <c r="E757" s="103">
        <f t="shared" si="37"/>
        <v>42</v>
      </c>
      <c r="F757" s="117">
        <f t="shared" si="38"/>
        <v>8.7666666666045785</v>
      </c>
      <c r="G757" s="103">
        <f>VLOOKUP(D757,Lookup!$J$5:$M$19,4,FALSE)-E757</f>
        <v>451</v>
      </c>
      <c r="H757" s="103">
        <f>VLOOKUP(D757,Lookup!$J$5:$K$19,2,FALSE)</f>
        <v>14</v>
      </c>
      <c r="I757" s="103">
        <f ca="1">IFERROR(VLOOKUP(G757,OFFSET(Lookup!$J$21,1,H757-1,5,1),1,1),0)</f>
        <v>413</v>
      </c>
    </row>
    <row r="758" spans="2:9" x14ac:dyDescent="0.25">
      <c r="B758" s="96">
        <v>47</v>
      </c>
      <c r="C758" s="1">
        <v>11.616666666639503</v>
      </c>
      <c r="D758" s="103" t="str">
        <f t="shared" si="36"/>
        <v>TC1</v>
      </c>
      <c r="E758" s="103">
        <f t="shared" si="37"/>
        <v>47</v>
      </c>
      <c r="F758" s="117">
        <f t="shared" si="38"/>
        <v>11.616666666639503</v>
      </c>
      <c r="G758" s="103">
        <f>VLOOKUP(D758,Lookup!$J$5:$M$19,4,FALSE)-E758</f>
        <v>446</v>
      </c>
      <c r="H758" s="103">
        <f>VLOOKUP(D758,Lookup!$J$5:$K$19,2,FALSE)</f>
        <v>14</v>
      </c>
      <c r="I758" s="103">
        <f ca="1">IFERROR(VLOOKUP(G758,OFFSET(Lookup!$J$21,1,H758-1,5,1),1,1),0)</f>
        <v>413</v>
      </c>
    </row>
    <row r="759" spans="2:9" x14ac:dyDescent="0.25">
      <c r="B759" s="96">
        <v>49</v>
      </c>
      <c r="C759" s="1">
        <v>0.99999999994179234</v>
      </c>
      <c r="D759" s="103" t="str">
        <f t="shared" si="36"/>
        <v>TC1</v>
      </c>
      <c r="E759" s="103">
        <f t="shared" si="37"/>
        <v>49</v>
      </c>
      <c r="F759" s="117">
        <f t="shared" si="38"/>
        <v>0.99999999994179234</v>
      </c>
      <c r="G759" s="103">
        <f>VLOOKUP(D759,Lookup!$J$5:$M$19,4,FALSE)-E759</f>
        <v>444</v>
      </c>
      <c r="H759" s="103">
        <f>VLOOKUP(D759,Lookup!$J$5:$K$19,2,FALSE)</f>
        <v>14</v>
      </c>
      <c r="I759" s="103">
        <f ca="1">IFERROR(VLOOKUP(G759,OFFSET(Lookup!$J$21,1,H759-1,5,1),1,1),0)</f>
        <v>413</v>
      </c>
    </row>
    <row r="760" spans="2:9" x14ac:dyDescent="0.25">
      <c r="B760" s="96">
        <v>50</v>
      </c>
      <c r="C760" s="1">
        <v>5.8500000000349246</v>
      </c>
      <c r="D760" s="103" t="str">
        <f t="shared" si="36"/>
        <v>TC1</v>
      </c>
      <c r="E760" s="103">
        <f t="shared" si="37"/>
        <v>50</v>
      </c>
      <c r="F760" s="117">
        <f t="shared" si="38"/>
        <v>5.8500000000349246</v>
      </c>
      <c r="G760" s="103">
        <f>VLOOKUP(D760,Lookup!$J$5:$M$19,4,FALSE)-E760</f>
        <v>443</v>
      </c>
      <c r="H760" s="103">
        <f>VLOOKUP(D760,Lookup!$J$5:$K$19,2,FALSE)</f>
        <v>14</v>
      </c>
      <c r="I760" s="103">
        <f ca="1">IFERROR(VLOOKUP(G760,OFFSET(Lookup!$J$21,1,H760-1,5,1),1,1),0)</f>
        <v>413</v>
      </c>
    </row>
    <row r="761" spans="2:9" x14ac:dyDescent="0.25">
      <c r="B761" s="96">
        <v>51</v>
      </c>
      <c r="C761" s="1">
        <v>45.416666666453239</v>
      </c>
      <c r="D761" s="103" t="str">
        <f t="shared" si="36"/>
        <v>TC1</v>
      </c>
      <c r="E761" s="103">
        <f t="shared" si="37"/>
        <v>51</v>
      </c>
      <c r="F761" s="117">
        <f t="shared" si="38"/>
        <v>45.416666666453239</v>
      </c>
      <c r="G761" s="103">
        <f>VLOOKUP(D761,Lookup!$J$5:$M$19,4,FALSE)-E761</f>
        <v>442</v>
      </c>
      <c r="H761" s="103">
        <f>VLOOKUP(D761,Lookup!$J$5:$K$19,2,FALSE)</f>
        <v>14</v>
      </c>
      <c r="I761" s="103">
        <f ca="1">IFERROR(VLOOKUP(G761,OFFSET(Lookup!$J$21,1,H761-1,5,1),1,1),0)</f>
        <v>413</v>
      </c>
    </row>
    <row r="762" spans="2:9" x14ac:dyDescent="0.25">
      <c r="B762" s="96">
        <v>56</v>
      </c>
      <c r="C762" s="1">
        <v>5.9166666667442769</v>
      </c>
      <c r="D762" s="103" t="str">
        <f t="shared" si="36"/>
        <v>TC1</v>
      </c>
      <c r="E762" s="103">
        <f t="shared" si="37"/>
        <v>56</v>
      </c>
      <c r="F762" s="117">
        <f t="shared" si="38"/>
        <v>5.9166666667442769</v>
      </c>
      <c r="G762" s="103">
        <f>VLOOKUP(D762,Lookup!$J$5:$M$19,4,FALSE)-E762</f>
        <v>437</v>
      </c>
      <c r="H762" s="103">
        <f>VLOOKUP(D762,Lookup!$J$5:$K$19,2,FALSE)</f>
        <v>14</v>
      </c>
      <c r="I762" s="103">
        <f ca="1">IFERROR(VLOOKUP(G762,OFFSET(Lookup!$J$21,1,H762-1,5,1),1,1),0)</f>
        <v>413</v>
      </c>
    </row>
    <row r="763" spans="2:9" x14ac:dyDescent="0.25">
      <c r="B763" s="96">
        <v>60</v>
      </c>
      <c r="C763" s="1">
        <v>4.1166666666395031</v>
      </c>
      <c r="D763" s="103" t="str">
        <f t="shared" si="36"/>
        <v>TC1</v>
      </c>
      <c r="E763" s="103">
        <f t="shared" si="37"/>
        <v>60</v>
      </c>
      <c r="F763" s="117">
        <f t="shared" si="38"/>
        <v>4.1166666666395031</v>
      </c>
      <c r="G763" s="103">
        <f>VLOOKUP(D763,Lookup!$J$5:$M$19,4,FALSE)-E763</f>
        <v>433</v>
      </c>
      <c r="H763" s="103">
        <f>VLOOKUP(D763,Lookup!$J$5:$K$19,2,FALSE)</f>
        <v>14</v>
      </c>
      <c r="I763" s="103">
        <f ca="1">IFERROR(VLOOKUP(G763,OFFSET(Lookup!$J$21,1,H763-1,5,1),1,1),0)</f>
        <v>413</v>
      </c>
    </row>
    <row r="764" spans="2:9" x14ac:dyDescent="0.25">
      <c r="B764" s="96">
        <v>63</v>
      </c>
      <c r="C764" s="1">
        <v>2.0833333333139308</v>
      </c>
      <c r="D764" s="103" t="str">
        <f t="shared" si="36"/>
        <v>TC1</v>
      </c>
      <c r="E764" s="103">
        <f t="shared" si="37"/>
        <v>63</v>
      </c>
      <c r="F764" s="117">
        <f t="shared" si="38"/>
        <v>2.0833333333139308</v>
      </c>
      <c r="G764" s="103">
        <f>VLOOKUP(D764,Lookup!$J$5:$M$19,4,FALSE)-E764</f>
        <v>430</v>
      </c>
      <c r="H764" s="103">
        <f>VLOOKUP(D764,Lookup!$J$5:$K$19,2,FALSE)</f>
        <v>14</v>
      </c>
      <c r="I764" s="103">
        <f ca="1">IFERROR(VLOOKUP(G764,OFFSET(Lookup!$J$21,1,H764-1,5,1),1,1),0)</f>
        <v>413</v>
      </c>
    </row>
    <row r="765" spans="2:9" x14ac:dyDescent="0.25">
      <c r="B765" s="96">
        <v>65</v>
      </c>
      <c r="C765" s="1">
        <v>65.549999999930151</v>
      </c>
      <c r="D765" s="103" t="str">
        <f t="shared" si="36"/>
        <v>TC1</v>
      </c>
      <c r="E765" s="103">
        <f t="shared" si="37"/>
        <v>65</v>
      </c>
      <c r="F765" s="117">
        <f t="shared" si="38"/>
        <v>65.549999999930151</v>
      </c>
      <c r="G765" s="103">
        <f>VLOOKUP(D765,Lookup!$J$5:$M$19,4,FALSE)-E765</f>
        <v>428</v>
      </c>
      <c r="H765" s="103">
        <f>VLOOKUP(D765,Lookup!$J$5:$K$19,2,FALSE)</f>
        <v>14</v>
      </c>
      <c r="I765" s="103">
        <f ca="1">IFERROR(VLOOKUP(G765,OFFSET(Lookup!$J$21,1,H765-1,5,1),1,1),0)</f>
        <v>413</v>
      </c>
    </row>
    <row r="766" spans="2:9" x14ac:dyDescent="0.25">
      <c r="B766" s="96">
        <v>69</v>
      </c>
      <c r="C766" s="1">
        <v>0.6000000000349246</v>
      </c>
      <c r="D766" s="103" t="str">
        <f t="shared" si="36"/>
        <v>TC1</v>
      </c>
      <c r="E766" s="103">
        <f t="shared" si="37"/>
        <v>69</v>
      </c>
      <c r="F766" s="117">
        <f t="shared" si="38"/>
        <v>0.6000000000349246</v>
      </c>
      <c r="G766" s="103">
        <f>VLOOKUP(D766,Lookup!$J$5:$M$19,4,FALSE)-E766</f>
        <v>424</v>
      </c>
      <c r="H766" s="103">
        <f>VLOOKUP(D766,Lookup!$J$5:$K$19,2,FALSE)</f>
        <v>14</v>
      </c>
      <c r="I766" s="103">
        <f ca="1">IFERROR(VLOOKUP(G766,OFFSET(Lookup!$J$21,1,H766-1,5,1),1,1),0)</f>
        <v>413</v>
      </c>
    </row>
    <row r="767" spans="2:9" x14ac:dyDescent="0.25">
      <c r="B767" s="96">
        <v>73</v>
      </c>
      <c r="C767" s="1">
        <v>1.3333333333139308</v>
      </c>
      <c r="D767" s="103" t="str">
        <f t="shared" si="36"/>
        <v>TC1</v>
      </c>
      <c r="E767" s="103">
        <f t="shared" si="37"/>
        <v>73</v>
      </c>
      <c r="F767" s="117">
        <f t="shared" si="38"/>
        <v>1.3333333333139308</v>
      </c>
      <c r="G767" s="103">
        <f>VLOOKUP(D767,Lookup!$J$5:$M$19,4,FALSE)-E767</f>
        <v>420</v>
      </c>
      <c r="H767" s="103">
        <f>VLOOKUP(D767,Lookup!$J$5:$K$19,2,FALSE)</f>
        <v>14</v>
      </c>
      <c r="I767" s="103">
        <f ca="1">IFERROR(VLOOKUP(G767,OFFSET(Lookup!$J$21,1,H767-1,5,1),1,1),0)</f>
        <v>413</v>
      </c>
    </row>
    <row r="768" spans="2:9" x14ac:dyDescent="0.25">
      <c r="B768" s="96">
        <v>74</v>
      </c>
      <c r="C768" s="1">
        <v>130.76666666648816</v>
      </c>
      <c r="D768" s="103" t="str">
        <f t="shared" si="36"/>
        <v>TC1</v>
      </c>
      <c r="E768" s="103">
        <f t="shared" si="37"/>
        <v>74</v>
      </c>
      <c r="F768" s="117">
        <f t="shared" si="38"/>
        <v>130.76666666648816</v>
      </c>
      <c r="G768" s="103">
        <f>VLOOKUP(D768,Lookup!$J$5:$M$19,4,FALSE)-E768</f>
        <v>419</v>
      </c>
      <c r="H768" s="103">
        <f>VLOOKUP(D768,Lookup!$J$5:$K$19,2,FALSE)</f>
        <v>14</v>
      </c>
      <c r="I768" s="103">
        <f ca="1">IFERROR(VLOOKUP(G768,OFFSET(Lookup!$J$21,1,H768-1,5,1),1,1),0)</f>
        <v>413</v>
      </c>
    </row>
    <row r="769" spans="2:9" x14ac:dyDescent="0.25">
      <c r="B769" s="96">
        <v>75</v>
      </c>
      <c r="C769" s="1">
        <v>0.48333333333721384</v>
      </c>
      <c r="D769" s="103" t="str">
        <f t="shared" si="36"/>
        <v>TC1</v>
      </c>
      <c r="E769" s="103">
        <f t="shared" si="37"/>
        <v>75</v>
      </c>
      <c r="F769" s="117">
        <f t="shared" si="38"/>
        <v>0.48333333333721384</v>
      </c>
      <c r="G769" s="103">
        <f>VLOOKUP(D769,Lookup!$J$5:$M$19,4,FALSE)-E769</f>
        <v>418</v>
      </c>
      <c r="H769" s="103">
        <f>VLOOKUP(D769,Lookup!$J$5:$K$19,2,FALSE)</f>
        <v>14</v>
      </c>
      <c r="I769" s="103">
        <f ca="1">IFERROR(VLOOKUP(G769,OFFSET(Lookup!$J$21,1,H769-1,5,1),1,1),0)</f>
        <v>413</v>
      </c>
    </row>
    <row r="770" spans="2:9" x14ac:dyDescent="0.25">
      <c r="B770" s="96">
        <v>76</v>
      </c>
      <c r="C770" s="1">
        <v>6.6666666665696539</v>
      </c>
      <c r="D770" s="103" t="str">
        <f t="shared" si="36"/>
        <v>TC1</v>
      </c>
      <c r="E770" s="103">
        <f t="shared" si="37"/>
        <v>76</v>
      </c>
      <c r="F770" s="117">
        <f t="shared" si="38"/>
        <v>6.6666666665696539</v>
      </c>
      <c r="G770" s="103">
        <f>VLOOKUP(D770,Lookup!$J$5:$M$19,4,FALSE)-E770</f>
        <v>417</v>
      </c>
      <c r="H770" s="103">
        <f>VLOOKUP(D770,Lookup!$J$5:$K$19,2,FALSE)</f>
        <v>14</v>
      </c>
      <c r="I770" s="103">
        <f ca="1">IFERROR(VLOOKUP(G770,OFFSET(Lookup!$J$21,1,H770-1,5,1),1,1),0)</f>
        <v>413</v>
      </c>
    </row>
    <row r="771" spans="2:9" x14ac:dyDescent="0.25">
      <c r="B771" s="96">
        <v>78</v>
      </c>
      <c r="C771" s="1">
        <v>1.2333333333372138</v>
      </c>
      <c r="D771" s="103" t="str">
        <f t="shared" si="36"/>
        <v>TC1</v>
      </c>
      <c r="E771" s="103">
        <f t="shared" si="37"/>
        <v>78</v>
      </c>
      <c r="F771" s="117">
        <f t="shared" si="38"/>
        <v>1.2333333333372138</v>
      </c>
      <c r="G771" s="103">
        <f>VLOOKUP(D771,Lookup!$J$5:$M$19,4,FALSE)-E771</f>
        <v>415</v>
      </c>
      <c r="H771" s="103">
        <f>VLOOKUP(D771,Lookup!$J$5:$K$19,2,FALSE)</f>
        <v>14</v>
      </c>
      <c r="I771" s="103">
        <f ca="1">IFERROR(VLOOKUP(G771,OFFSET(Lookup!$J$21,1,H771-1,5,1),1,1),0)</f>
        <v>413</v>
      </c>
    </row>
    <row r="772" spans="2:9" x14ac:dyDescent="0.25">
      <c r="B772" s="96">
        <v>79</v>
      </c>
      <c r="C772" s="1">
        <v>0.99999999994179234</v>
      </c>
      <c r="D772" s="103" t="str">
        <f t="shared" si="36"/>
        <v>TC1</v>
      </c>
      <c r="E772" s="103">
        <f t="shared" si="37"/>
        <v>79</v>
      </c>
      <c r="F772" s="117">
        <f t="shared" si="38"/>
        <v>0.99999999994179234</v>
      </c>
      <c r="G772" s="103">
        <f>VLOOKUP(D772,Lookup!$J$5:$M$19,4,FALSE)-E772</f>
        <v>414</v>
      </c>
      <c r="H772" s="103">
        <f>VLOOKUP(D772,Lookup!$J$5:$K$19,2,FALSE)</f>
        <v>14</v>
      </c>
      <c r="I772" s="103">
        <f ca="1">IFERROR(VLOOKUP(G772,OFFSET(Lookup!$J$21,1,H772-1,5,1),1,1),0)</f>
        <v>413</v>
      </c>
    </row>
    <row r="773" spans="2:9" x14ac:dyDescent="0.25">
      <c r="B773" s="96">
        <v>84</v>
      </c>
      <c r="C773" s="1">
        <v>7.0499999999301508</v>
      </c>
      <c r="D773" s="103" t="str">
        <f t="shared" si="36"/>
        <v>TC1</v>
      </c>
      <c r="E773" s="103">
        <f t="shared" si="37"/>
        <v>84</v>
      </c>
      <c r="F773" s="117">
        <f t="shared" si="38"/>
        <v>7.0499999999301508</v>
      </c>
      <c r="G773" s="103">
        <f>VLOOKUP(D773,Lookup!$J$5:$M$19,4,FALSE)-E773</f>
        <v>409</v>
      </c>
      <c r="H773" s="103">
        <f>VLOOKUP(D773,Lookup!$J$5:$K$19,2,FALSE)</f>
        <v>14</v>
      </c>
      <c r="I773" s="103">
        <f ca="1">IFERROR(VLOOKUP(G773,OFFSET(Lookup!$J$21,1,H773-1,5,1),1,1),0)</f>
        <v>333</v>
      </c>
    </row>
    <row r="774" spans="2:9" x14ac:dyDescent="0.25">
      <c r="B774" s="96">
        <v>86</v>
      </c>
      <c r="C774" s="1">
        <v>7.3499999998603016</v>
      </c>
      <c r="D774" s="103" t="str">
        <f t="shared" si="36"/>
        <v>TC1</v>
      </c>
      <c r="E774" s="103">
        <f t="shared" si="37"/>
        <v>86</v>
      </c>
      <c r="F774" s="117">
        <f t="shared" si="38"/>
        <v>7.3499999998603016</v>
      </c>
      <c r="G774" s="103">
        <f>VLOOKUP(D774,Lookup!$J$5:$M$19,4,FALSE)-E774</f>
        <v>407</v>
      </c>
      <c r="H774" s="103">
        <f>VLOOKUP(D774,Lookup!$J$5:$K$19,2,FALSE)</f>
        <v>14</v>
      </c>
      <c r="I774" s="103">
        <f ca="1">IFERROR(VLOOKUP(G774,OFFSET(Lookup!$J$21,1,H774-1,5,1),1,1),0)</f>
        <v>333</v>
      </c>
    </row>
    <row r="775" spans="2:9" x14ac:dyDescent="0.25">
      <c r="B775" s="96">
        <v>88</v>
      </c>
      <c r="C775" s="1">
        <v>7.9000000000814907</v>
      </c>
      <c r="D775" s="103" t="str">
        <f t="shared" si="36"/>
        <v>TC1</v>
      </c>
      <c r="E775" s="103">
        <f t="shared" si="37"/>
        <v>88</v>
      </c>
      <c r="F775" s="117">
        <f t="shared" si="38"/>
        <v>7.9000000000814907</v>
      </c>
      <c r="G775" s="103">
        <f>VLOOKUP(D775,Lookup!$J$5:$M$19,4,FALSE)-E775</f>
        <v>405</v>
      </c>
      <c r="H775" s="103">
        <f>VLOOKUP(D775,Lookup!$J$5:$K$19,2,FALSE)</f>
        <v>14</v>
      </c>
      <c r="I775" s="103">
        <f ca="1">IFERROR(VLOOKUP(G775,OFFSET(Lookup!$J$21,1,H775-1,5,1),1,1),0)</f>
        <v>333</v>
      </c>
    </row>
    <row r="776" spans="2:9" x14ac:dyDescent="0.25">
      <c r="B776" s="96">
        <v>91</v>
      </c>
      <c r="C776" s="1">
        <v>15.533333333325572</v>
      </c>
      <c r="D776" s="103" t="str">
        <f t="shared" si="36"/>
        <v>TC1</v>
      </c>
      <c r="E776" s="103">
        <f t="shared" si="37"/>
        <v>91</v>
      </c>
      <c r="F776" s="117">
        <f t="shared" si="38"/>
        <v>15.533333333325572</v>
      </c>
      <c r="G776" s="103">
        <f>VLOOKUP(D776,Lookup!$J$5:$M$19,4,FALSE)-E776</f>
        <v>402</v>
      </c>
      <c r="H776" s="103">
        <f>VLOOKUP(D776,Lookup!$J$5:$K$19,2,FALSE)</f>
        <v>14</v>
      </c>
      <c r="I776" s="103">
        <f ca="1">IFERROR(VLOOKUP(G776,OFFSET(Lookup!$J$21,1,H776-1,5,1),1,1),0)</f>
        <v>333</v>
      </c>
    </row>
    <row r="777" spans="2:9" x14ac:dyDescent="0.25">
      <c r="B777" s="96">
        <v>93</v>
      </c>
      <c r="C777" s="1">
        <v>13.033333333558403</v>
      </c>
      <c r="D777" s="103" t="str">
        <f t="shared" ref="D777:D840" si="39">IF(A777="",D776,A777)</f>
        <v>TC1</v>
      </c>
      <c r="E777" s="103">
        <f t="shared" ref="E777:E840" si="40">IF(B777="",E776,B777)</f>
        <v>93</v>
      </c>
      <c r="F777" s="117">
        <f t="shared" ref="F777:F840" si="41">IF(C777="",F776,C777)</f>
        <v>13.033333333558403</v>
      </c>
      <c r="G777" s="103">
        <f>VLOOKUP(D777,Lookup!$J$5:$M$19,4,FALSE)-E777</f>
        <v>400</v>
      </c>
      <c r="H777" s="103">
        <f>VLOOKUP(D777,Lookup!$J$5:$K$19,2,FALSE)</f>
        <v>14</v>
      </c>
      <c r="I777" s="103">
        <f ca="1">IFERROR(VLOOKUP(G777,OFFSET(Lookup!$J$21,1,H777-1,5,1),1,1),0)</f>
        <v>333</v>
      </c>
    </row>
    <row r="778" spans="2:9" x14ac:dyDescent="0.25">
      <c r="B778" s="96">
        <v>102</v>
      </c>
      <c r="C778" s="1">
        <v>21.716666666732635</v>
      </c>
      <c r="D778" s="103" t="str">
        <f t="shared" si="39"/>
        <v>TC1</v>
      </c>
      <c r="E778" s="103">
        <f t="shared" si="40"/>
        <v>102</v>
      </c>
      <c r="F778" s="117">
        <f t="shared" si="41"/>
        <v>21.716666666732635</v>
      </c>
      <c r="G778" s="103">
        <f>VLOOKUP(D778,Lookup!$J$5:$M$19,4,FALSE)-E778</f>
        <v>391</v>
      </c>
      <c r="H778" s="103">
        <f>VLOOKUP(D778,Lookup!$J$5:$K$19,2,FALSE)</f>
        <v>14</v>
      </c>
      <c r="I778" s="103">
        <f ca="1">IFERROR(VLOOKUP(G778,OFFSET(Lookup!$J$21,1,H778-1,5,1),1,1),0)</f>
        <v>333</v>
      </c>
    </row>
    <row r="779" spans="2:9" x14ac:dyDescent="0.25">
      <c r="B779" s="96">
        <v>104</v>
      </c>
      <c r="C779" s="1">
        <v>0.78333333344198763</v>
      </c>
      <c r="D779" s="103" t="str">
        <f t="shared" si="39"/>
        <v>TC1</v>
      </c>
      <c r="E779" s="103">
        <f t="shared" si="40"/>
        <v>104</v>
      </c>
      <c r="F779" s="117">
        <f t="shared" si="41"/>
        <v>0.78333333344198763</v>
      </c>
      <c r="G779" s="103">
        <f>VLOOKUP(D779,Lookup!$J$5:$M$19,4,FALSE)-E779</f>
        <v>389</v>
      </c>
      <c r="H779" s="103">
        <f>VLOOKUP(D779,Lookup!$J$5:$K$19,2,FALSE)</f>
        <v>14</v>
      </c>
      <c r="I779" s="103">
        <f ca="1">IFERROR(VLOOKUP(G779,OFFSET(Lookup!$J$21,1,H779-1,5,1),1,1),0)</f>
        <v>333</v>
      </c>
    </row>
    <row r="780" spans="2:9" x14ac:dyDescent="0.25">
      <c r="B780" s="96">
        <v>107</v>
      </c>
      <c r="C780" s="1">
        <v>10.200000000244472</v>
      </c>
      <c r="D780" s="103" t="str">
        <f t="shared" si="39"/>
        <v>TC1</v>
      </c>
      <c r="E780" s="103">
        <f t="shared" si="40"/>
        <v>107</v>
      </c>
      <c r="F780" s="117">
        <f t="shared" si="41"/>
        <v>10.200000000244472</v>
      </c>
      <c r="G780" s="103">
        <f>VLOOKUP(D780,Lookup!$J$5:$M$19,4,FALSE)-E780</f>
        <v>386</v>
      </c>
      <c r="H780" s="103">
        <f>VLOOKUP(D780,Lookup!$J$5:$K$19,2,FALSE)</f>
        <v>14</v>
      </c>
      <c r="I780" s="103">
        <f ca="1">IFERROR(VLOOKUP(G780,OFFSET(Lookup!$J$21,1,H780-1,5,1),1,1),0)</f>
        <v>333</v>
      </c>
    </row>
    <row r="781" spans="2:9" x14ac:dyDescent="0.25">
      <c r="B781" s="96">
        <v>110</v>
      </c>
      <c r="C781" s="1">
        <v>1.7500000001164153</v>
      </c>
      <c r="D781" s="103" t="str">
        <f t="shared" si="39"/>
        <v>TC1</v>
      </c>
      <c r="E781" s="103">
        <f t="shared" si="40"/>
        <v>110</v>
      </c>
      <c r="F781" s="117">
        <f t="shared" si="41"/>
        <v>1.7500000001164153</v>
      </c>
      <c r="G781" s="103">
        <f>VLOOKUP(D781,Lookup!$J$5:$M$19,4,FALSE)-E781</f>
        <v>383</v>
      </c>
      <c r="H781" s="103">
        <f>VLOOKUP(D781,Lookup!$J$5:$K$19,2,FALSE)</f>
        <v>14</v>
      </c>
      <c r="I781" s="103">
        <f ca="1">IFERROR(VLOOKUP(G781,OFFSET(Lookup!$J$21,1,H781-1,5,1),1,1),0)</f>
        <v>333</v>
      </c>
    </row>
    <row r="782" spans="2:9" x14ac:dyDescent="0.25">
      <c r="B782" s="96">
        <v>112</v>
      </c>
      <c r="C782" s="1">
        <v>0.66666666674427688</v>
      </c>
      <c r="D782" s="103" t="str">
        <f t="shared" si="39"/>
        <v>TC1</v>
      </c>
      <c r="E782" s="103">
        <f t="shared" si="40"/>
        <v>112</v>
      </c>
      <c r="F782" s="117">
        <f t="shared" si="41"/>
        <v>0.66666666674427688</v>
      </c>
      <c r="G782" s="103">
        <f>VLOOKUP(D782,Lookup!$J$5:$M$19,4,FALSE)-E782</f>
        <v>381</v>
      </c>
      <c r="H782" s="103">
        <f>VLOOKUP(D782,Lookup!$J$5:$K$19,2,FALSE)</f>
        <v>14</v>
      </c>
      <c r="I782" s="103">
        <f ca="1">IFERROR(VLOOKUP(G782,OFFSET(Lookup!$J$21,1,H782-1,5,1),1,1),0)</f>
        <v>333</v>
      </c>
    </row>
    <row r="783" spans="2:9" x14ac:dyDescent="0.25">
      <c r="B783" s="96">
        <v>116</v>
      </c>
      <c r="C783" s="1">
        <v>2.0000000000582077</v>
      </c>
      <c r="D783" s="103" t="str">
        <f t="shared" si="39"/>
        <v>TC1</v>
      </c>
      <c r="E783" s="103">
        <f t="shared" si="40"/>
        <v>116</v>
      </c>
      <c r="F783" s="117">
        <f t="shared" si="41"/>
        <v>2.0000000000582077</v>
      </c>
      <c r="G783" s="103">
        <f>VLOOKUP(D783,Lookup!$J$5:$M$19,4,FALSE)-E783</f>
        <v>377</v>
      </c>
      <c r="H783" s="103">
        <f>VLOOKUP(D783,Lookup!$J$5:$K$19,2,FALSE)</f>
        <v>14</v>
      </c>
      <c r="I783" s="103">
        <f ca="1">IFERROR(VLOOKUP(G783,OFFSET(Lookup!$J$21,1,H783-1,5,1),1,1),0)</f>
        <v>333</v>
      </c>
    </row>
    <row r="784" spans="2:9" x14ac:dyDescent="0.25">
      <c r="B784" s="96">
        <v>119</v>
      </c>
      <c r="C784" s="1">
        <v>0.48333333333721384</v>
      </c>
      <c r="D784" s="103" t="str">
        <f t="shared" si="39"/>
        <v>TC1</v>
      </c>
      <c r="E784" s="103">
        <f t="shared" si="40"/>
        <v>119</v>
      </c>
      <c r="F784" s="117">
        <f t="shared" si="41"/>
        <v>0.48333333333721384</v>
      </c>
      <c r="G784" s="103">
        <f>VLOOKUP(D784,Lookup!$J$5:$M$19,4,FALSE)-E784</f>
        <v>374</v>
      </c>
      <c r="H784" s="103">
        <f>VLOOKUP(D784,Lookup!$J$5:$K$19,2,FALSE)</f>
        <v>14</v>
      </c>
      <c r="I784" s="103">
        <f ca="1">IFERROR(VLOOKUP(G784,OFFSET(Lookup!$J$21,1,H784-1,5,1),1,1),0)</f>
        <v>333</v>
      </c>
    </row>
    <row r="785" spans="2:9" x14ac:dyDescent="0.25">
      <c r="B785" s="96">
        <v>121</v>
      </c>
      <c r="C785" s="1">
        <v>36.666666666220408</v>
      </c>
      <c r="D785" s="103" t="str">
        <f t="shared" si="39"/>
        <v>TC1</v>
      </c>
      <c r="E785" s="103">
        <f t="shared" si="40"/>
        <v>121</v>
      </c>
      <c r="F785" s="117">
        <f t="shared" si="41"/>
        <v>36.666666666220408</v>
      </c>
      <c r="G785" s="103">
        <f>VLOOKUP(D785,Lookup!$J$5:$M$19,4,FALSE)-E785</f>
        <v>372</v>
      </c>
      <c r="H785" s="103">
        <f>VLOOKUP(D785,Lookup!$J$5:$K$19,2,FALSE)</f>
        <v>14</v>
      </c>
      <c r="I785" s="103">
        <f ca="1">IFERROR(VLOOKUP(G785,OFFSET(Lookup!$J$21,1,H785-1,5,1),1,1),0)</f>
        <v>333</v>
      </c>
    </row>
    <row r="786" spans="2:9" x14ac:dyDescent="0.25">
      <c r="B786" s="96">
        <v>124</v>
      </c>
      <c r="C786" s="1">
        <v>0.39999999990686774</v>
      </c>
      <c r="D786" s="103" t="str">
        <f t="shared" si="39"/>
        <v>TC1</v>
      </c>
      <c r="E786" s="103">
        <f t="shared" si="40"/>
        <v>124</v>
      </c>
      <c r="F786" s="117">
        <f t="shared" si="41"/>
        <v>0.39999999990686774</v>
      </c>
      <c r="G786" s="103">
        <f>VLOOKUP(D786,Lookup!$J$5:$M$19,4,FALSE)-E786</f>
        <v>369</v>
      </c>
      <c r="H786" s="103">
        <f>VLOOKUP(D786,Lookup!$J$5:$K$19,2,FALSE)</f>
        <v>14</v>
      </c>
      <c r="I786" s="103">
        <f ca="1">IFERROR(VLOOKUP(G786,OFFSET(Lookup!$J$21,1,H786-1,5,1),1,1),0)</f>
        <v>333</v>
      </c>
    </row>
    <row r="787" spans="2:9" x14ac:dyDescent="0.25">
      <c r="B787" s="96">
        <v>126</v>
      </c>
      <c r="C787" s="1">
        <v>2.1666666667442769</v>
      </c>
      <c r="D787" s="103" t="str">
        <f t="shared" si="39"/>
        <v>TC1</v>
      </c>
      <c r="E787" s="103">
        <f t="shared" si="40"/>
        <v>126</v>
      </c>
      <c r="F787" s="117">
        <f t="shared" si="41"/>
        <v>2.1666666667442769</v>
      </c>
      <c r="G787" s="103">
        <f>VLOOKUP(D787,Lookup!$J$5:$M$19,4,FALSE)-E787</f>
        <v>367</v>
      </c>
      <c r="H787" s="103">
        <f>VLOOKUP(D787,Lookup!$J$5:$K$19,2,FALSE)</f>
        <v>14</v>
      </c>
      <c r="I787" s="103">
        <f ca="1">IFERROR(VLOOKUP(G787,OFFSET(Lookup!$J$21,1,H787-1,5,1),1,1),0)</f>
        <v>333</v>
      </c>
    </row>
    <row r="788" spans="2:9" x14ac:dyDescent="0.25">
      <c r="B788" s="96">
        <v>128</v>
      </c>
      <c r="C788" s="1">
        <v>9.2666666666627862</v>
      </c>
      <c r="D788" s="103" t="str">
        <f t="shared" si="39"/>
        <v>TC1</v>
      </c>
      <c r="E788" s="103">
        <f t="shared" si="40"/>
        <v>128</v>
      </c>
      <c r="F788" s="117">
        <f t="shared" si="41"/>
        <v>9.2666666666627862</v>
      </c>
      <c r="G788" s="103">
        <f>VLOOKUP(D788,Lookup!$J$5:$M$19,4,FALSE)-E788</f>
        <v>365</v>
      </c>
      <c r="H788" s="103">
        <f>VLOOKUP(D788,Lookup!$J$5:$K$19,2,FALSE)</f>
        <v>14</v>
      </c>
      <c r="I788" s="103">
        <f ca="1">IFERROR(VLOOKUP(G788,OFFSET(Lookup!$J$21,1,H788-1,5,1),1,1),0)</f>
        <v>333</v>
      </c>
    </row>
    <row r="789" spans="2:9" x14ac:dyDescent="0.25">
      <c r="B789" s="96">
        <v>130</v>
      </c>
      <c r="C789" s="1">
        <v>16.516666666720994</v>
      </c>
      <c r="D789" s="103" t="str">
        <f t="shared" si="39"/>
        <v>TC1</v>
      </c>
      <c r="E789" s="103">
        <f t="shared" si="40"/>
        <v>130</v>
      </c>
      <c r="F789" s="117">
        <f t="shared" si="41"/>
        <v>16.516666666720994</v>
      </c>
      <c r="G789" s="103">
        <f>VLOOKUP(D789,Lookup!$J$5:$M$19,4,FALSE)-E789</f>
        <v>363</v>
      </c>
      <c r="H789" s="103">
        <f>VLOOKUP(D789,Lookup!$J$5:$K$19,2,FALSE)</f>
        <v>14</v>
      </c>
      <c r="I789" s="103">
        <f ca="1">IFERROR(VLOOKUP(G789,OFFSET(Lookup!$J$21,1,H789-1,5,1),1,1),0)</f>
        <v>333</v>
      </c>
    </row>
    <row r="790" spans="2:9" x14ac:dyDescent="0.25">
      <c r="B790" s="96">
        <v>134</v>
      </c>
      <c r="C790" s="1">
        <v>0.36666666663950309</v>
      </c>
      <c r="D790" s="103" t="str">
        <f t="shared" si="39"/>
        <v>TC1</v>
      </c>
      <c r="E790" s="103">
        <f t="shared" si="40"/>
        <v>134</v>
      </c>
      <c r="F790" s="117">
        <f t="shared" si="41"/>
        <v>0.36666666663950309</v>
      </c>
      <c r="G790" s="103">
        <f>VLOOKUP(D790,Lookup!$J$5:$M$19,4,FALSE)-E790</f>
        <v>359</v>
      </c>
      <c r="H790" s="103">
        <f>VLOOKUP(D790,Lookup!$J$5:$K$19,2,FALSE)</f>
        <v>14</v>
      </c>
      <c r="I790" s="103">
        <f ca="1">IFERROR(VLOOKUP(G790,OFFSET(Lookup!$J$21,1,H790-1,5,1),1,1),0)</f>
        <v>333</v>
      </c>
    </row>
    <row r="791" spans="2:9" x14ac:dyDescent="0.25">
      <c r="B791" s="96">
        <v>135</v>
      </c>
      <c r="C791" s="1">
        <v>6.2666666668374091</v>
      </c>
      <c r="D791" s="103" t="str">
        <f t="shared" si="39"/>
        <v>TC1</v>
      </c>
      <c r="E791" s="103">
        <f t="shared" si="40"/>
        <v>135</v>
      </c>
      <c r="F791" s="117">
        <f t="shared" si="41"/>
        <v>6.2666666668374091</v>
      </c>
      <c r="G791" s="103">
        <f>VLOOKUP(D791,Lookup!$J$5:$M$19,4,FALSE)-E791</f>
        <v>358</v>
      </c>
      <c r="H791" s="103">
        <f>VLOOKUP(D791,Lookup!$J$5:$K$19,2,FALSE)</f>
        <v>14</v>
      </c>
      <c r="I791" s="103">
        <f ca="1">IFERROR(VLOOKUP(G791,OFFSET(Lookup!$J$21,1,H791-1,5,1),1,1),0)</f>
        <v>333</v>
      </c>
    </row>
    <row r="792" spans="2:9" x14ac:dyDescent="0.25">
      <c r="B792" s="96">
        <v>140</v>
      </c>
      <c r="C792" s="1">
        <v>49.366666666930541</v>
      </c>
      <c r="D792" s="103" t="str">
        <f t="shared" si="39"/>
        <v>TC1</v>
      </c>
      <c r="E792" s="103">
        <f t="shared" si="40"/>
        <v>140</v>
      </c>
      <c r="F792" s="117">
        <f t="shared" si="41"/>
        <v>49.366666666930541</v>
      </c>
      <c r="G792" s="103">
        <f>VLOOKUP(D792,Lookup!$J$5:$M$19,4,FALSE)-E792</f>
        <v>353</v>
      </c>
      <c r="H792" s="103">
        <f>VLOOKUP(D792,Lookup!$J$5:$K$19,2,FALSE)</f>
        <v>14</v>
      </c>
      <c r="I792" s="103">
        <f ca="1">IFERROR(VLOOKUP(G792,OFFSET(Lookup!$J$21,1,H792-1,5,1),1,1),0)</f>
        <v>333</v>
      </c>
    </row>
    <row r="793" spans="2:9" x14ac:dyDescent="0.25">
      <c r="B793" s="96">
        <v>142</v>
      </c>
      <c r="C793" s="1">
        <v>1.0000000001164153</v>
      </c>
      <c r="D793" s="103" t="str">
        <f t="shared" si="39"/>
        <v>TC1</v>
      </c>
      <c r="E793" s="103">
        <f t="shared" si="40"/>
        <v>142</v>
      </c>
      <c r="F793" s="117">
        <f t="shared" si="41"/>
        <v>1.0000000001164153</v>
      </c>
      <c r="G793" s="103">
        <f>VLOOKUP(D793,Lookup!$J$5:$M$19,4,FALSE)-E793</f>
        <v>351</v>
      </c>
      <c r="H793" s="103">
        <f>VLOOKUP(D793,Lookup!$J$5:$K$19,2,FALSE)</f>
        <v>14</v>
      </c>
      <c r="I793" s="103">
        <f ca="1">IFERROR(VLOOKUP(G793,OFFSET(Lookup!$J$21,1,H793-1,5,1),1,1),0)</f>
        <v>333</v>
      </c>
    </row>
    <row r="794" spans="2:9" x14ac:dyDescent="0.25">
      <c r="B794" s="96">
        <v>144</v>
      </c>
      <c r="C794" s="1">
        <v>75.116666666348465</v>
      </c>
      <c r="D794" s="103" t="str">
        <f t="shared" si="39"/>
        <v>TC1</v>
      </c>
      <c r="E794" s="103">
        <f t="shared" si="40"/>
        <v>144</v>
      </c>
      <c r="F794" s="117">
        <f t="shared" si="41"/>
        <v>75.116666666348465</v>
      </c>
      <c r="G794" s="103">
        <f>VLOOKUP(D794,Lookup!$J$5:$M$19,4,FALSE)-E794</f>
        <v>349</v>
      </c>
      <c r="H794" s="103">
        <f>VLOOKUP(D794,Lookup!$J$5:$K$19,2,FALSE)</f>
        <v>14</v>
      </c>
      <c r="I794" s="103">
        <f ca="1">IFERROR(VLOOKUP(G794,OFFSET(Lookup!$J$21,1,H794-1,5,1),1,1),0)</f>
        <v>333</v>
      </c>
    </row>
    <row r="795" spans="2:9" x14ac:dyDescent="0.25">
      <c r="B795" s="96">
        <v>145</v>
      </c>
      <c r="C795" s="1">
        <v>1.4500000000116415</v>
      </c>
      <c r="D795" s="103" t="str">
        <f t="shared" si="39"/>
        <v>TC1</v>
      </c>
      <c r="E795" s="103">
        <f t="shared" si="40"/>
        <v>145</v>
      </c>
      <c r="F795" s="117">
        <f t="shared" si="41"/>
        <v>1.4500000000116415</v>
      </c>
      <c r="G795" s="103">
        <f>VLOOKUP(D795,Lookup!$J$5:$M$19,4,FALSE)-E795</f>
        <v>348</v>
      </c>
      <c r="H795" s="103">
        <f>VLOOKUP(D795,Lookup!$J$5:$K$19,2,FALSE)</f>
        <v>14</v>
      </c>
      <c r="I795" s="103">
        <f ca="1">IFERROR(VLOOKUP(G795,OFFSET(Lookup!$J$21,1,H795-1,5,1),1,1),0)</f>
        <v>333</v>
      </c>
    </row>
    <row r="796" spans="2:9" x14ac:dyDescent="0.25">
      <c r="B796" s="96">
        <v>149</v>
      </c>
      <c r="C796" s="1">
        <v>4.5333333334419876</v>
      </c>
      <c r="D796" s="103" t="str">
        <f t="shared" si="39"/>
        <v>TC1</v>
      </c>
      <c r="E796" s="103">
        <f t="shared" si="40"/>
        <v>149</v>
      </c>
      <c r="F796" s="117">
        <f t="shared" si="41"/>
        <v>4.5333333334419876</v>
      </c>
      <c r="G796" s="103">
        <f>VLOOKUP(D796,Lookup!$J$5:$M$19,4,FALSE)-E796</f>
        <v>344</v>
      </c>
      <c r="H796" s="103">
        <f>VLOOKUP(D796,Lookup!$J$5:$K$19,2,FALSE)</f>
        <v>14</v>
      </c>
      <c r="I796" s="103">
        <f ca="1">IFERROR(VLOOKUP(G796,OFFSET(Lookup!$J$21,1,H796-1,5,1),1,1),0)</f>
        <v>333</v>
      </c>
    </row>
    <row r="797" spans="2:9" x14ac:dyDescent="0.25">
      <c r="B797" s="96">
        <v>153</v>
      </c>
      <c r="C797" s="1">
        <v>1.2499999997089617</v>
      </c>
      <c r="D797" s="103" t="str">
        <f t="shared" si="39"/>
        <v>TC1</v>
      </c>
      <c r="E797" s="103">
        <f t="shared" si="40"/>
        <v>153</v>
      </c>
      <c r="F797" s="117">
        <f t="shared" si="41"/>
        <v>1.2499999997089617</v>
      </c>
      <c r="G797" s="103">
        <f>VLOOKUP(D797,Lookup!$J$5:$M$19,4,FALSE)-E797</f>
        <v>340</v>
      </c>
      <c r="H797" s="103">
        <f>VLOOKUP(D797,Lookup!$J$5:$K$19,2,FALSE)</f>
        <v>14</v>
      </c>
      <c r="I797" s="103">
        <f ca="1">IFERROR(VLOOKUP(G797,OFFSET(Lookup!$J$21,1,H797-1,5,1),1,1),0)</f>
        <v>333</v>
      </c>
    </row>
    <row r="798" spans="2:9" x14ac:dyDescent="0.25">
      <c r="B798" s="96">
        <v>156</v>
      </c>
      <c r="C798" s="1">
        <v>2.0000000002328306</v>
      </c>
      <c r="D798" s="103" t="str">
        <f t="shared" si="39"/>
        <v>TC1</v>
      </c>
      <c r="E798" s="103">
        <f t="shared" si="40"/>
        <v>156</v>
      </c>
      <c r="F798" s="117">
        <f t="shared" si="41"/>
        <v>2.0000000002328306</v>
      </c>
      <c r="G798" s="103">
        <f>VLOOKUP(D798,Lookup!$J$5:$M$19,4,FALSE)-E798</f>
        <v>337</v>
      </c>
      <c r="H798" s="103">
        <f>VLOOKUP(D798,Lookup!$J$5:$K$19,2,FALSE)</f>
        <v>14</v>
      </c>
      <c r="I798" s="103">
        <f ca="1">IFERROR(VLOOKUP(G798,OFFSET(Lookup!$J$21,1,H798-1,5,1),1,1),0)</f>
        <v>333</v>
      </c>
    </row>
    <row r="799" spans="2:9" x14ac:dyDescent="0.25">
      <c r="B799" s="96">
        <v>158</v>
      </c>
      <c r="C799" s="1">
        <v>17.516666666488163</v>
      </c>
      <c r="D799" s="103" t="str">
        <f t="shared" si="39"/>
        <v>TC1</v>
      </c>
      <c r="E799" s="103">
        <f t="shared" si="40"/>
        <v>158</v>
      </c>
      <c r="F799" s="117">
        <f t="shared" si="41"/>
        <v>17.516666666488163</v>
      </c>
      <c r="G799" s="103">
        <f>VLOOKUP(D799,Lookup!$J$5:$M$19,4,FALSE)-E799</f>
        <v>335</v>
      </c>
      <c r="H799" s="103">
        <f>VLOOKUP(D799,Lookup!$J$5:$K$19,2,FALSE)</f>
        <v>14</v>
      </c>
      <c r="I799" s="103">
        <f ca="1">IFERROR(VLOOKUP(G799,OFFSET(Lookup!$J$21,1,H799-1,5,1),1,1),0)</f>
        <v>333</v>
      </c>
    </row>
    <row r="800" spans="2:9" x14ac:dyDescent="0.25">
      <c r="B800" s="96">
        <v>163</v>
      </c>
      <c r="C800" s="1">
        <v>0.41666666662786156</v>
      </c>
      <c r="D800" s="103" t="str">
        <f t="shared" si="39"/>
        <v>TC1</v>
      </c>
      <c r="E800" s="103">
        <f t="shared" si="40"/>
        <v>163</v>
      </c>
      <c r="F800" s="117">
        <f t="shared" si="41"/>
        <v>0.41666666662786156</v>
      </c>
      <c r="G800" s="103">
        <f>VLOOKUP(D800,Lookup!$J$5:$M$19,4,FALSE)-E800</f>
        <v>330</v>
      </c>
      <c r="H800" s="103">
        <f>VLOOKUP(D800,Lookup!$J$5:$K$19,2,FALSE)</f>
        <v>14</v>
      </c>
      <c r="I800" s="103">
        <f ca="1">IFERROR(VLOOKUP(G800,OFFSET(Lookup!$J$21,1,H800-1,5,1),1,1),0)</f>
        <v>303</v>
      </c>
    </row>
    <row r="801" spans="2:9" x14ac:dyDescent="0.25">
      <c r="B801" s="96">
        <v>166</v>
      </c>
      <c r="C801" s="1">
        <v>0.99999999994179234</v>
      </c>
      <c r="D801" s="103" t="str">
        <f t="shared" si="39"/>
        <v>TC1</v>
      </c>
      <c r="E801" s="103">
        <f t="shared" si="40"/>
        <v>166</v>
      </c>
      <c r="F801" s="117">
        <f t="shared" si="41"/>
        <v>0.99999999994179234</v>
      </c>
      <c r="G801" s="103">
        <f>VLOOKUP(D801,Lookup!$J$5:$M$19,4,FALSE)-E801</f>
        <v>327</v>
      </c>
      <c r="H801" s="103">
        <f>VLOOKUP(D801,Lookup!$J$5:$K$19,2,FALSE)</f>
        <v>14</v>
      </c>
      <c r="I801" s="103">
        <f ca="1">IFERROR(VLOOKUP(G801,OFFSET(Lookup!$J$21,1,H801-1,5,1),1,1),0)</f>
        <v>303</v>
      </c>
    </row>
    <row r="802" spans="2:9" x14ac:dyDescent="0.25">
      <c r="B802" s="96">
        <v>167</v>
      </c>
      <c r="C802" s="1">
        <v>6.749999999825377</v>
      </c>
      <c r="D802" s="103" t="str">
        <f t="shared" si="39"/>
        <v>TC1</v>
      </c>
      <c r="E802" s="103">
        <f t="shared" si="40"/>
        <v>167</v>
      </c>
      <c r="F802" s="117">
        <f t="shared" si="41"/>
        <v>6.749999999825377</v>
      </c>
      <c r="G802" s="103">
        <f>VLOOKUP(D802,Lookup!$J$5:$M$19,4,FALSE)-E802</f>
        <v>326</v>
      </c>
      <c r="H802" s="103">
        <f>VLOOKUP(D802,Lookup!$J$5:$K$19,2,FALSE)</f>
        <v>14</v>
      </c>
      <c r="I802" s="103">
        <f ca="1">IFERROR(VLOOKUP(G802,OFFSET(Lookup!$J$21,1,H802-1,5,1),1,1),0)</f>
        <v>303</v>
      </c>
    </row>
    <row r="803" spans="2:9" x14ac:dyDescent="0.25">
      <c r="B803" s="96">
        <v>170</v>
      </c>
      <c r="C803" s="1">
        <v>0.99999999994179234</v>
      </c>
      <c r="D803" s="103" t="str">
        <f t="shared" si="39"/>
        <v>TC1</v>
      </c>
      <c r="E803" s="103">
        <f t="shared" si="40"/>
        <v>170</v>
      </c>
      <c r="F803" s="117">
        <f t="shared" si="41"/>
        <v>0.99999999994179234</v>
      </c>
      <c r="G803" s="103">
        <f>VLOOKUP(D803,Lookup!$J$5:$M$19,4,FALSE)-E803</f>
        <v>323</v>
      </c>
      <c r="H803" s="103">
        <f>VLOOKUP(D803,Lookup!$J$5:$K$19,2,FALSE)</f>
        <v>14</v>
      </c>
      <c r="I803" s="103">
        <f ca="1">IFERROR(VLOOKUP(G803,OFFSET(Lookup!$J$21,1,H803-1,5,1),1,1),0)</f>
        <v>303</v>
      </c>
    </row>
    <row r="804" spans="2:9" x14ac:dyDescent="0.25">
      <c r="B804" s="96">
        <v>172</v>
      </c>
      <c r="C804" s="1">
        <v>0.63333333330228925</v>
      </c>
      <c r="D804" s="103" t="str">
        <f t="shared" si="39"/>
        <v>TC1</v>
      </c>
      <c r="E804" s="103">
        <f t="shared" si="40"/>
        <v>172</v>
      </c>
      <c r="F804" s="117">
        <f t="shared" si="41"/>
        <v>0.63333333330228925</v>
      </c>
      <c r="G804" s="103">
        <f>VLOOKUP(D804,Lookup!$J$5:$M$19,4,FALSE)-E804</f>
        <v>321</v>
      </c>
      <c r="H804" s="103">
        <f>VLOOKUP(D804,Lookup!$J$5:$K$19,2,FALSE)</f>
        <v>14</v>
      </c>
      <c r="I804" s="103">
        <f ca="1">IFERROR(VLOOKUP(G804,OFFSET(Lookup!$J$21,1,H804-1,5,1),1,1),0)</f>
        <v>303</v>
      </c>
    </row>
    <row r="805" spans="2:9" x14ac:dyDescent="0.25">
      <c r="B805" s="96">
        <v>177</v>
      </c>
      <c r="C805" s="1">
        <v>2.25</v>
      </c>
      <c r="D805" s="103" t="str">
        <f t="shared" si="39"/>
        <v>TC1</v>
      </c>
      <c r="E805" s="103">
        <f t="shared" si="40"/>
        <v>177</v>
      </c>
      <c r="F805" s="117">
        <f t="shared" si="41"/>
        <v>2.25</v>
      </c>
      <c r="G805" s="103">
        <f>VLOOKUP(D805,Lookup!$J$5:$M$19,4,FALSE)-E805</f>
        <v>316</v>
      </c>
      <c r="H805" s="103">
        <f>VLOOKUP(D805,Lookup!$J$5:$K$19,2,FALSE)</f>
        <v>14</v>
      </c>
      <c r="I805" s="103">
        <f ca="1">IFERROR(VLOOKUP(G805,OFFSET(Lookup!$J$21,1,H805-1,5,1),1,1),0)</f>
        <v>303</v>
      </c>
    </row>
    <row r="806" spans="2:9" x14ac:dyDescent="0.25">
      <c r="B806" s="96">
        <v>191</v>
      </c>
      <c r="C806" s="1">
        <v>1.3000000000465661</v>
      </c>
      <c r="D806" s="103" t="str">
        <f t="shared" si="39"/>
        <v>TC1</v>
      </c>
      <c r="E806" s="103">
        <f t="shared" si="40"/>
        <v>191</v>
      </c>
      <c r="F806" s="117">
        <f t="shared" si="41"/>
        <v>1.3000000000465661</v>
      </c>
      <c r="G806" s="103">
        <f>VLOOKUP(D806,Lookup!$J$5:$M$19,4,FALSE)-E806</f>
        <v>302</v>
      </c>
      <c r="H806" s="103">
        <f>VLOOKUP(D806,Lookup!$J$5:$K$19,2,FALSE)</f>
        <v>14</v>
      </c>
      <c r="I806" s="103">
        <f ca="1">IFERROR(VLOOKUP(G806,OFFSET(Lookup!$J$21,1,H806-1,5,1),1,1),0)</f>
        <v>188</v>
      </c>
    </row>
    <row r="807" spans="2:9" x14ac:dyDescent="0.25">
      <c r="B807" s="96">
        <v>198</v>
      </c>
      <c r="C807" s="1">
        <v>0.99999999994179234</v>
      </c>
      <c r="D807" s="103" t="str">
        <f t="shared" si="39"/>
        <v>TC1</v>
      </c>
      <c r="E807" s="103">
        <f t="shared" si="40"/>
        <v>198</v>
      </c>
      <c r="F807" s="117">
        <f t="shared" si="41"/>
        <v>0.99999999994179234</v>
      </c>
      <c r="G807" s="103">
        <f>VLOOKUP(D807,Lookup!$J$5:$M$19,4,FALSE)-E807</f>
        <v>295</v>
      </c>
      <c r="H807" s="103">
        <f>VLOOKUP(D807,Lookup!$J$5:$K$19,2,FALSE)</f>
        <v>14</v>
      </c>
      <c r="I807" s="103">
        <f ca="1">IFERROR(VLOOKUP(G807,OFFSET(Lookup!$J$21,1,H807-1,5,1),1,1),0)</f>
        <v>188</v>
      </c>
    </row>
    <row r="808" spans="2:9" x14ac:dyDescent="0.25">
      <c r="B808" s="96">
        <v>203</v>
      </c>
      <c r="C808" s="1">
        <v>0.99999999994179234</v>
      </c>
      <c r="D808" s="103" t="str">
        <f t="shared" si="39"/>
        <v>TC1</v>
      </c>
      <c r="E808" s="103">
        <f t="shared" si="40"/>
        <v>203</v>
      </c>
      <c r="F808" s="117">
        <f t="shared" si="41"/>
        <v>0.99999999994179234</v>
      </c>
      <c r="G808" s="103">
        <f>VLOOKUP(D808,Lookup!$J$5:$M$19,4,FALSE)-E808</f>
        <v>290</v>
      </c>
      <c r="H808" s="103">
        <f>VLOOKUP(D808,Lookup!$J$5:$K$19,2,FALSE)</f>
        <v>14</v>
      </c>
      <c r="I808" s="103">
        <f ca="1">IFERROR(VLOOKUP(G808,OFFSET(Lookup!$J$21,1,H808-1,5,1),1,1),0)</f>
        <v>188</v>
      </c>
    </row>
    <row r="809" spans="2:9" x14ac:dyDescent="0.25">
      <c r="B809" s="96">
        <v>209</v>
      </c>
      <c r="C809" s="1">
        <v>5.0999999998603016</v>
      </c>
      <c r="D809" s="103" t="str">
        <f t="shared" si="39"/>
        <v>TC1</v>
      </c>
      <c r="E809" s="103">
        <f t="shared" si="40"/>
        <v>209</v>
      </c>
      <c r="F809" s="117">
        <f t="shared" si="41"/>
        <v>5.0999999998603016</v>
      </c>
      <c r="G809" s="103">
        <f>VLOOKUP(D809,Lookup!$J$5:$M$19,4,FALSE)-E809</f>
        <v>284</v>
      </c>
      <c r="H809" s="103">
        <f>VLOOKUP(D809,Lookup!$J$5:$K$19,2,FALSE)</f>
        <v>14</v>
      </c>
      <c r="I809" s="103">
        <f ca="1">IFERROR(VLOOKUP(G809,OFFSET(Lookup!$J$21,1,H809-1,5,1),1,1),0)</f>
        <v>188</v>
      </c>
    </row>
    <row r="810" spans="2:9" x14ac:dyDescent="0.25">
      <c r="B810" s="96">
        <v>214</v>
      </c>
      <c r="C810" s="1">
        <v>51.799999999813735</v>
      </c>
      <c r="D810" s="103" t="str">
        <f t="shared" si="39"/>
        <v>TC1</v>
      </c>
      <c r="E810" s="103">
        <f t="shared" si="40"/>
        <v>214</v>
      </c>
      <c r="F810" s="117">
        <f t="shared" si="41"/>
        <v>51.799999999813735</v>
      </c>
      <c r="G810" s="103">
        <f>VLOOKUP(D810,Lookup!$J$5:$M$19,4,FALSE)-E810</f>
        <v>279</v>
      </c>
      <c r="H810" s="103">
        <f>VLOOKUP(D810,Lookup!$J$5:$K$19,2,FALSE)</f>
        <v>14</v>
      </c>
      <c r="I810" s="103">
        <f ca="1">IFERROR(VLOOKUP(G810,OFFSET(Lookup!$J$21,1,H810-1,5,1),1,1),0)</f>
        <v>188</v>
      </c>
    </row>
    <row r="811" spans="2:9" x14ac:dyDescent="0.25">
      <c r="B811" s="96">
        <v>235</v>
      </c>
      <c r="C811" s="1">
        <v>0.99999999994179234</v>
      </c>
      <c r="D811" s="103" t="str">
        <f t="shared" si="39"/>
        <v>TC1</v>
      </c>
      <c r="E811" s="103">
        <f t="shared" si="40"/>
        <v>235</v>
      </c>
      <c r="F811" s="117">
        <f t="shared" si="41"/>
        <v>0.99999999994179234</v>
      </c>
      <c r="G811" s="103">
        <f>VLOOKUP(D811,Lookup!$J$5:$M$19,4,FALSE)-E811</f>
        <v>258</v>
      </c>
      <c r="H811" s="103">
        <f>VLOOKUP(D811,Lookup!$J$5:$K$19,2,FALSE)</f>
        <v>14</v>
      </c>
      <c r="I811" s="103">
        <f ca="1">IFERROR(VLOOKUP(G811,OFFSET(Lookup!$J$21,1,H811-1,5,1),1,1),0)</f>
        <v>188</v>
      </c>
    </row>
    <row r="812" spans="2:9" x14ac:dyDescent="0.25">
      <c r="B812" s="96">
        <v>237</v>
      </c>
      <c r="C812" s="1">
        <v>9.75</v>
      </c>
      <c r="D812" s="103" t="str">
        <f t="shared" si="39"/>
        <v>TC1</v>
      </c>
      <c r="E812" s="103">
        <f t="shared" si="40"/>
        <v>237</v>
      </c>
      <c r="F812" s="117">
        <f t="shared" si="41"/>
        <v>9.75</v>
      </c>
      <c r="G812" s="103">
        <f>VLOOKUP(D812,Lookup!$J$5:$M$19,4,FALSE)-E812</f>
        <v>256</v>
      </c>
      <c r="H812" s="103">
        <f>VLOOKUP(D812,Lookup!$J$5:$K$19,2,FALSE)</f>
        <v>14</v>
      </c>
      <c r="I812" s="103">
        <f ca="1">IFERROR(VLOOKUP(G812,OFFSET(Lookup!$J$21,1,H812-1,5,1),1,1),0)</f>
        <v>188</v>
      </c>
    </row>
    <row r="813" spans="2:9" x14ac:dyDescent="0.25">
      <c r="B813" s="96">
        <v>256</v>
      </c>
      <c r="C813" s="1">
        <v>0.33333333319751546</v>
      </c>
      <c r="D813" s="103" t="str">
        <f t="shared" si="39"/>
        <v>TC1</v>
      </c>
      <c r="E813" s="103">
        <f t="shared" si="40"/>
        <v>256</v>
      </c>
      <c r="F813" s="117">
        <f t="shared" si="41"/>
        <v>0.33333333319751546</v>
      </c>
      <c r="G813" s="103">
        <f>VLOOKUP(D813,Lookup!$J$5:$M$19,4,FALSE)-E813</f>
        <v>237</v>
      </c>
      <c r="H813" s="103">
        <f>VLOOKUP(D813,Lookup!$J$5:$K$19,2,FALSE)</f>
        <v>14</v>
      </c>
      <c r="I813" s="103">
        <f ca="1">IFERROR(VLOOKUP(G813,OFFSET(Lookup!$J$21,1,H813-1,5,1),1,1),0)</f>
        <v>188</v>
      </c>
    </row>
    <row r="814" spans="2:9" x14ac:dyDescent="0.25">
      <c r="B814" s="96">
        <v>260</v>
      </c>
      <c r="C814" s="1">
        <v>3.7166666667326353</v>
      </c>
      <c r="D814" s="103" t="str">
        <f t="shared" si="39"/>
        <v>TC1</v>
      </c>
      <c r="E814" s="103">
        <f t="shared" si="40"/>
        <v>260</v>
      </c>
      <c r="F814" s="117">
        <f t="shared" si="41"/>
        <v>3.7166666667326353</v>
      </c>
      <c r="G814" s="103">
        <f>VLOOKUP(D814,Lookup!$J$5:$M$19,4,FALSE)-E814</f>
        <v>233</v>
      </c>
      <c r="H814" s="103">
        <f>VLOOKUP(D814,Lookup!$J$5:$K$19,2,FALSE)</f>
        <v>14</v>
      </c>
      <c r="I814" s="103">
        <f ca="1">IFERROR(VLOOKUP(G814,OFFSET(Lookup!$J$21,1,H814-1,5,1),1,1),0)</f>
        <v>188</v>
      </c>
    </row>
    <row r="815" spans="2:9" x14ac:dyDescent="0.25">
      <c r="B815" s="96">
        <v>262</v>
      </c>
      <c r="C815" s="1">
        <v>1.0000000001164153</v>
      </c>
      <c r="D815" s="103" t="str">
        <f t="shared" si="39"/>
        <v>TC1</v>
      </c>
      <c r="E815" s="103">
        <f t="shared" si="40"/>
        <v>262</v>
      </c>
      <c r="F815" s="117">
        <f t="shared" si="41"/>
        <v>1.0000000001164153</v>
      </c>
      <c r="G815" s="103">
        <f>VLOOKUP(D815,Lookup!$J$5:$M$19,4,FALSE)-E815</f>
        <v>231</v>
      </c>
      <c r="H815" s="103">
        <f>VLOOKUP(D815,Lookup!$J$5:$K$19,2,FALSE)</f>
        <v>14</v>
      </c>
      <c r="I815" s="103">
        <f ca="1">IFERROR(VLOOKUP(G815,OFFSET(Lookup!$J$21,1,H815-1,5,1),1,1),0)</f>
        <v>188</v>
      </c>
    </row>
    <row r="816" spans="2:9" x14ac:dyDescent="0.25">
      <c r="B816" s="96">
        <v>273</v>
      </c>
      <c r="C816" s="1">
        <v>1.0000000001164153</v>
      </c>
      <c r="D816" s="103" t="str">
        <f t="shared" si="39"/>
        <v>TC1</v>
      </c>
      <c r="E816" s="103">
        <f t="shared" si="40"/>
        <v>273</v>
      </c>
      <c r="F816" s="117">
        <f t="shared" si="41"/>
        <v>1.0000000001164153</v>
      </c>
      <c r="G816" s="103">
        <f>VLOOKUP(D816,Lookup!$J$5:$M$19,4,FALSE)-E816</f>
        <v>220</v>
      </c>
      <c r="H816" s="103">
        <f>VLOOKUP(D816,Lookup!$J$5:$K$19,2,FALSE)</f>
        <v>14</v>
      </c>
      <c r="I816" s="103">
        <f ca="1">IFERROR(VLOOKUP(G816,OFFSET(Lookup!$J$21,1,H816-1,5,1),1,1),0)</f>
        <v>188</v>
      </c>
    </row>
    <row r="817" spans="1:9" x14ac:dyDescent="0.25">
      <c r="B817" s="96">
        <v>279</v>
      </c>
      <c r="C817" s="1">
        <v>8.3166666667093523</v>
      </c>
      <c r="D817" s="103" t="str">
        <f t="shared" si="39"/>
        <v>TC1</v>
      </c>
      <c r="E817" s="103">
        <f t="shared" si="40"/>
        <v>279</v>
      </c>
      <c r="F817" s="117">
        <f t="shared" si="41"/>
        <v>8.3166666667093523</v>
      </c>
      <c r="G817" s="103">
        <f>VLOOKUP(D817,Lookup!$J$5:$M$19,4,FALSE)-E817</f>
        <v>214</v>
      </c>
      <c r="H817" s="103">
        <f>VLOOKUP(D817,Lookup!$J$5:$K$19,2,FALSE)</f>
        <v>14</v>
      </c>
      <c r="I817" s="103">
        <f ca="1">IFERROR(VLOOKUP(G817,OFFSET(Lookup!$J$21,1,H817-1,5,1),1,1),0)</f>
        <v>188</v>
      </c>
    </row>
    <row r="818" spans="1:9" x14ac:dyDescent="0.25">
      <c r="B818" s="96">
        <v>293</v>
      </c>
      <c r="C818" s="1">
        <v>1.0000000001164153</v>
      </c>
      <c r="D818" s="103" t="str">
        <f t="shared" si="39"/>
        <v>TC1</v>
      </c>
      <c r="E818" s="103">
        <f t="shared" si="40"/>
        <v>293</v>
      </c>
      <c r="F818" s="117">
        <f t="shared" si="41"/>
        <v>1.0000000001164153</v>
      </c>
      <c r="G818" s="103">
        <f>VLOOKUP(D818,Lookup!$J$5:$M$19,4,FALSE)-E818</f>
        <v>200</v>
      </c>
      <c r="H818" s="103">
        <f>VLOOKUP(D818,Lookup!$J$5:$K$19,2,FALSE)</f>
        <v>14</v>
      </c>
      <c r="I818" s="103">
        <f ca="1">IFERROR(VLOOKUP(G818,OFFSET(Lookup!$J$21,1,H818-1,5,1),1,1),0)</f>
        <v>188</v>
      </c>
    </row>
    <row r="819" spans="1:9" x14ac:dyDescent="0.25">
      <c r="B819" s="96">
        <v>300</v>
      </c>
      <c r="C819" s="1">
        <v>0.99999999994179234</v>
      </c>
      <c r="D819" s="103" t="str">
        <f t="shared" si="39"/>
        <v>TC1</v>
      </c>
      <c r="E819" s="103">
        <f t="shared" si="40"/>
        <v>300</v>
      </c>
      <c r="F819" s="117">
        <f t="shared" si="41"/>
        <v>0.99999999994179234</v>
      </c>
      <c r="G819" s="103">
        <f>VLOOKUP(D819,Lookup!$J$5:$M$19,4,FALSE)-E819</f>
        <v>193</v>
      </c>
      <c r="H819" s="103">
        <f>VLOOKUP(D819,Lookup!$J$5:$K$19,2,FALSE)</f>
        <v>14</v>
      </c>
      <c r="I819" s="103">
        <f ca="1">IFERROR(VLOOKUP(G819,OFFSET(Lookup!$J$21,1,H819-1,5,1),1,1),0)</f>
        <v>188</v>
      </c>
    </row>
    <row r="820" spans="1:9" x14ac:dyDescent="0.25">
      <c r="B820" s="96">
        <v>302</v>
      </c>
      <c r="C820" s="1">
        <v>0.99999999994179234</v>
      </c>
      <c r="D820" s="103" t="str">
        <f t="shared" si="39"/>
        <v>TC1</v>
      </c>
      <c r="E820" s="103">
        <f t="shared" si="40"/>
        <v>302</v>
      </c>
      <c r="F820" s="117">
        <f t="shared" si="41"/>
        <v>0.99999999994179234</v>
      </c>
      <c r="G820" s="103">
        <f>VLOOKUP(D820,Lookup!$J$5:$M$19,4,FALSE)-E820</f>
        <v>191</v>
      </c>
      <c r="H820" s="103">
        <f>VLOOKUP(D820,Lookup!$J$5:$K$19,2,FALSE)</f>
        <v>14</v>
      </c>
      <c r="I820" s="103">
        <f ca="1">IFERROR(VLOOKUP(G820,OFFSET(Lookup!$J$21,1,H820-1,5,1),1,1),0)</f>
        <v>188</v>
      </c>
    </row>
    <row r="821" spans="1:9" x14ac:dyDescent="0.25">
      <c r="B821" s="96">
        <v>307</v>
      </c>
      <c r="C821" s="1">
        <v>1.0499999999301508</v>
      </c>
      <c r="D821" s="103" t="str">
        <f t="shared" si="39"/>
        <v>TC1</v>
      </c>
      <c r="E821" s="103">
        <f t="shared" si="40"/>
        <v>307</v>
      </c>
      <c r="F821" s="117">
        <f t="shared" si="41"/>
        <v>1.0499999999301508</v>
      </c>
      <c r="G821" s="103">
        <f>VLOOKUP(D821,Lookup!$J$5:$M$19,4,FALSE)-E821</f>
        <v>186</v>
      </c>
      <c r="H821" s="103">
        <f>VLOOKUP(D821,Lookup!$J$5:$K$19,2,FALSE)</f>
        <v>14</v>
      </c>
      <c r="I821" s="103">
        <f ca="1">IFERROR(VLOOKUP(G821,OFFSET(Lookup!$J$21,1,H821-1,5,1),1,1),0)</f>
        <v>0</v>
      </c>
    </row>
    <row r="822" spans="1:9" x14ac:dyDescent="0.25">
      <c r="A822" s="103" t="s">
        <v>69</v>
      </c>
      <c r="B822" s="96">
        <v>0</v>
      </c>
      <c r="C822" s="1">
        <v>806.35000000067521</v>
      </c>
      <c r="D822" s="103" t="str">
        <f t="shared" si="39"/>
        <v>TC2</v>
      </c>
      <c r="E822" s="103">
        <f t="shared" si="40"/>
        <v>0</v>
      </c>
      <c r="F822" s="117">
        <f t="shared" si="41"/>
        <v>806.35000000067521</v>
      </c>
      <c r="G822" s="103">
        <f>VLOOKUP(D822,Lookup!$J$5:$M$19,4,FALSE)-E822</f>
        <v>760</v>
      </c>
      <c r="H822" s="103">
        <f>VLOOKUP(D822,Lookup!$J$5:$K$19,2,FALSE)</f>
        <v>15</v>
      </c>
      <c r="I822" s="103">
        <f ca="1">IFERROR(VLOOKUP(G822,OFFSET(Lookup!$J$21,1,H822-1,5,1),1,1),0)</f>
        <v>720</v>
      </c>
    </row>
    <row r="823" spans="1:9" x14ac:dyDescent="0.25">
      <c r="B823" s="96">
        <v>1</v>
      </c>
      <c r="C823" s="1">
        <v>688.01666666683741</v>
      </c>
      <c r="D823" s="103" t="str">
        <f t="shared" si="39"/>
        <v>TC2</v>
      </c>
      <c r="E823" s="103">
        <f t="shared" si="40"/>
        <v>1</v>
      </c>
      <c r="F823" s="117">
        <f t="shared" si="41"/>
        <v>688.01666666683741</v>
      </c>
      <c r="G823" s="103">
        <f>VLOOKUP(D823,Lookup!$J$5:$M$19,4,FALSE)-E823</f>
        <v>759</v>
      </c>
      <c r="H823" s="103">
        <f>VLOOKUP(D823,Lookup!$J$5:$K$19,2,FALSE)</f>
        <v>15</v>
      </c>
      <c r="I823" s="103">
        <f ca="1">IFERROR(VLOOKUP(G823,OFFSET(Lookup!$J$21,1,H823-1,5,1),1,1),0)</f>
        <v>720</v>
      </c>
    </row>
    <row r="824" spans="1:9" x14ac:dyDescent="0.25">
      <c r="B824" s="96">
        <v>3</v>
      </c>
      <c r="C824" s="1">
        <v>19.500000000174623</v>
      </c>
      <c r="D824" s="103" t="str">
        <f t="shared" si="39"/>
        <v>TC2</v>
      </c>
      <c r="E824" s="103">
        <f t="shared" si="40"/>
        <v>3</v>
      </c>
      <c r="F824" s="117">
        <f t="shared" si="41"/>
        <v>19.500000000174623</v>
      </c>
      <c r="G824" s="103">
        <f>VLOOKUP(D824,Lookup!$J$5:$M$19,4,FALSE)-E824</f>
        <v>757</v>
      </c>
      <c r="H824" s="103">
        <f>VLOOKUP(D824,Lookup!$J$5:$K$19,2,FALSE)</f>
        <v>15</v>
      </c>
      <c r="I824" s="103">
        <f ca="1">IFERROR(VLOOKUP(G824,OFFSET(Lookup!$J$21,1,H824-1,5,1),1,1),0)</f>
        <v>720</v>
      </c>
    </row>
    <row r="825" spans="1:9" x14ac:dyDescent="0.25">
      <c r="B825" s="96">
        <v>5</v>
      </c>
      <c r="C825" s="1">
        <v>11.316666666534729</v>
      </c>
      <c r="D825" s="103" t="str">
        <f t="shared" si="39"/>
        <v>TC2</v>
      </c>
      <c r="E825" s="103">
        <f t="shared" si="40"/>
        <v>5</v>
      </c>
      <c r="F825" s="117">
        <f t="shared" si="41"/>
        <v>11.316666666534729</v>
      </c>
      <c r="G825" s="103">
        <f>VLOOKUP(D825,Lookup!$J$5:$M$19,4,FALSE)-E825</f>
        <v>755</v>
      </c>
      <c r="H825" s="103">
        <f>VLOOKUP(D825,Lookup!$J$5:$K$19,2,FALSE)</f>
        <v>15</v>
      </c>
      <c r="I825" s="103">
        <f ca="1">IFERROR(VLOOKUP(G825,OFFSET(Lookup!$J$21,1,H825-1,5,1),1,1),0)</f>
        <v>720</v>
      </c>
    </row>
    <row r="826" spans="1:9" x14ac:dyDescent="0.25">
      <c r="B826" s="96">
        <v>6</v>
      </c>
      <c r="C826" s="1">
        <v>1301.6333333331859</v>
      </c>
      <c r="D826" s="103" t="str">
        <f t="shared" si="39"/>
        <v>TC2</v>
      </c>
      <c r="E826" s="103">
        <f t="shared" si="40"/>
        <v>6</v>
      </c>
      <c r="F826" s="117">
        <f t="shared" si="41"/>
        <v>1301.6333333331859</v>
      </c>
      <c r="G826" s="103">
        <f>VLOOKUP(D826,Lookup!$J$5:$M$19,4,FALSE)-E826</f>
        <v>754</v>
      </c>
      <c r="H826" s="103">
        <f>VLOOKUP(D826,Lookup!$J$5:$K$19,2,FALSE)</f>
        <v>15</v>
      </c>
      <c r="I826" s="103">
        <f ca="1">IFERROR(VLOOKUP(G826,OFFSET(Lookup!$J$21,1,H826-1,5,1),1,1),0)</f>
        <v>720</v>
      </c>
    </row>
    <row r="827" spans="1:9" x14ac:dyDescent="0.25">
      <c r="B827" s="96">
        <v>8</v>
      </c>
      <c r="C827" s="1">
        <v>2.4999999999417923</v>
      </c>
      <c r="D827" s="103" t="str">
        <f t="shared" si="39"/>
        <v>TC2</v>
      </c>
      <c r="E827" s="103">
        <f t="shared" si="40"/>
        <v>8</v>
      </c>
      <c r="F827" s="117">
        <f t="shared" si="41"/>
        <v>2.4999999999417923</v>
      </c>
      <c r="G827" s="103">
        <f>VLOOKUP(D827,Lookup!$J$5:$M$19,4,FALSE)-E827</f>
        <v>752</v>
      </c>
      <c r="H827" s="103">
        <f>VLOOKUP(D827,Lookup!$J$5:$K$19,2,FALSE)</f>
        <v>15</v>
      </c>
      <c r="I827" s="103">
        <f ca="1">IFERROR(VLOOKUP(G827,OFFSET(Lookup!$J$21,1,H827-1,5,1),1,1),0)</f>
        <v>720</v>
      </c>
    </row>
    <row r="828" spans="1:9" x14ac:dyDescent="0.25">
      <c r="B828" s="96">
        <v>9</v>
      </c>
      <c r="C828" s="1">
        <v>1.9166666668024845</v>
      </c>
      <c r="D828" s="103" t="str">
        <f t="shared" si="39"/>
        <v>TC2</v>
      </c>
      <c r="E828" s="103">
        <f t="shared" si="40"/>
        <v>9</v>
      </c>
      <c r="F828" s="117">
        <f t="shared" si="41"/>
        <v>1.9166666668024845</v>
      </c>
      <c r="G828" s="103">
        <f>VLOOKUP(D828,Lookup!$J$5:$M$19,4,FALSE)-E828</f>
        <v>751</v>
      </c>
      <c r="H828" s="103">
        <f>VLOOKUP(D828,Lookup!$J$5:$K$19,2,FALSE)</f>
        <v>15</v>
      </c>
      <c r="I828" s="103">
        <f ca="1">IFERROR(VLOOKUP(G828,OFFSET(Lookup!$J$21,1,H828-1,5,1),1,1),0)</f>
        <v>720</v>
      </c>
    </row>
    <row r="829" spans="1:9" x14ac:dyDescent="0.25">
      <c r="B829" s="96">
        <v>10</v>
      </c>
      <c r="C829" s="1">
        <v>8.5499999999301508</v>
      </c>
      <c r="D829" s="103" t="str">
        <f t="shared" si="39"/>
        <v>TC2</v>
      </c>
      <c r="E829" s="103">
        <f t="shared" si="40"/>
        <v>10</v>
      </c>
      <c r="F829" s="117">
        <f t="shared" si="41"/>
        <v>8.5499999999301508</v>
      </c>
      <c r="G829" s="103">
        <f>VLOOKUP(D829,Lookup!$J$5:$M$19,4,FALSE)-E829</f>
        <v>750</v>
      </c>
      <c r="H829" s="103">
        <f>VLOOKUP(D829,Lookup!$J$5:$K$19,2,FALSE)</f>
        <v>15</v>
      </c>
      <c r="I829" s="103">
        <f ca="1">IFERROR(VLOOKUP(G829,OFFSET(Lookup!$J$21,1,H829-1,5,1),1,1),0)</f>
        <v>720</v>
      </c>
    </row>
    <row r="830" spans="1:9" x14ac:dyDescent="0.25">
      <c r="B830" s="96">
        <v>13</v>
      </c>
      <c r="C830" s="1">
        <v>151.15000000008149</v>
      </c>
      <c r="D830" s="103" t="str">
        <f t="shared" si="39"/>
        <v>TC2</v>
      </c>
      <c r="E830" s="103">
        <f t="shared" si="40"/>
        <v>13</v>
      </c>
      <c r="F830" s="117">
        <f t="shared" si="41"/>
        <v>151.15000000008149</v>
      </c>
      <c r="G830" s="103">
        <f>VLOOKUP(D830,Lookup!$J$5:$M$19,4,FALSE)-E830</f>
        <v>747</v>
      </c>
      <c r="H830" s="103">
        <f>VLOOKUP(D830,Lookup!$J$5:$K$19,2,FALSE)</f>
        <v>15</v>
      </c>
      <c r="I830" s="103">
        <f ca="1">IFERROR(VLOOKUP(G830,OFFSET(Lookup!$J$21,1,H830-1,5,1),1,1),0)</f>
        <v>720</v>
      </c>
    </row>
    <row r="831" spans="1:9" x14ac:dyDescent="0.25">
      <c r="B831" s="96">
        <v>14</v>
      </c>
      <c r="C831" s="1">
        <v>25.433333333465271</v>
      </c>
      <c r="D831" s="103" t="str">
        <f t="shared" si="39"/>
        <v>TC2</v>
      </c>
      <c r="E831" s="103">
        <f t="shared" si="40"/>
        <v>14</v>
      </c>
      <c r="F831" s="117">
        <f t="shared" si="41"/>
        <v>25.433333333465271</v>
      </c>
      <c r="G831" s="103">
        <f>VLOOKUP(D831,Lookup!$J$5:$M$19,4,FALSE)-E831</f>
        <v>746</v>
      </c>
      <c r="H831" s="103">
        <f>VLOOKUP(D831,Lookup!$J$5:$K$19,2,FALSE)</f>
        <v>15</v>
      </c>
      <c r="I831" s="103">
        <f ca="1">IFERROR(VLOOKUP(G831,OFFSET(Lookup!$J$21,1,H831-1,5,1),1,1),0)</f>
        <v>720</v>
      </c>
    </row>
    <row r="832" spans="1:9" x14ac:dyDescent="0.25">
      <c r="B832" s="96">
        <v>15</v>
      </c>
      <c r="C832" s="1">
        <v>14.166666666569654</v>
      </c>
      <c r="D832" s="103" t="str">
        <f t="shared" si="39"/>
        <v>TC2</v>
      </c>
      <c r="E832" s="103">
        <f t="shared" si="40"/>
        <v>15</v>
      </c>
      <c r="F832" s="117">
        <f t="shared" si="41"/>
        <v>14.166666666569654</v>
      </c>
      <c r="G832" s="103">
        <f>VLOOKUP(D832,Lookup!$J$5:$M$19,4,FALSE)-E832</f>
        <v>745</v>
      </c>
      <c r="H832" s="103">
        <f>VLOOKUP(D832,Lookup!$J$5:$K$19,2,FALSE)</f>
        <v>15</v>
      </c>
      <c r="I832" s="103">
        <f ca="1">IFERROR(VLOOKUP(G832,OFFSET(Lookup!$J$21,1,H832-1,5,1),1,1),0)</f>
        <v>720</v>
      </c>
    </row>
    <row r="833" spans="2:9" x14ac:dyDescent="0.25">
      <c r="B833" s="96">
        <v>16</v>
      </c>
      <c r="C833" s="1">
        <v>461.68333333352348</v>
      </c>
      <c r="D833" s="103" t="str">
        <f t="shared" si="39"/>
        <v>TC2</v>
      </c>
      <c r="E833" s="103">
        <f t="shared" si="40"/>
        <v>16</v>
      </c>
      <c r="F833" s="117">
        <f t="shared" si="41"/>
        <v>461.68333333352348</v>
      </c>
      <c r="G833" s="103">
        <f>VLOOKUP(D833,Lookup!$J$5:$M$19,4,FALSE)-E833</f>
        <v>744</v>
      </c>
      <c r="H833" s="103">
        <f>VLOOKUP(D833,Lookup!$J$5:$K$19,2,FALSE)</f>
        <v>15</v>
      </c>
      <c r="I833" s="103">
        <f ca="1">IFERROR(VLOOKUP(G833,OFFSET(Lookup!$J$21,1,H833-1,5,1),1,1),0)</f>
        <v>720</v>
      </c>
    </row>
    <row r="834" spans="2:9" x14ac:dyDescent="0.25">
      <c r="B834" s="96">
        <v>17</v>
      </c>
      <c r="C834" s="1">
        <v>576.56666666694218</v>
      </c>
      <c r="D834" s="103" t="str">
        <f t="shared" si="39"/>
        <v>TC2</v>
      </c>
      <c r="E834" s="103">
        <f t="shared" si="40"/>
        <v>17</v>
      </c>
      <c r="F834" s="117">
        <f t="shared" si="41"/>
        <v>576.56666666694218</v>
      </c>
      <c r="G834" s="103">
        <f>VLOOKUP(D834,Lookup!$J$5:$M$19,4,FALSE)-E834</f>
        <v>743</v>
      </c>
      <c r="H834" s="103">
        <f>VLOOKUP(D834,Lookup!$J$5:$K$19,2,FALSE)</f>
        <v>15</v>
      </c>
      <c r="I834" s="103">
        <f ca="1">IFERROR(VLOOKUP(G834,OFFSET(Lookup!$J$21,1,H834-1,5,1),1,1),0)</f>
        <v>720</v>
      </c>
    </row>
    <row r="835" spans="2:9" x14ac:dyDescent="0.25">
      <c r="B835" s="96">
        <v>19</v>
      </c>
      <c r="C835" s="1">
        <v>18.533333333325572</v>
      </c>
      <c r="D835" s="103" t="str">
        <f t="shared" si="39"/>
        <v>TC2</v>
      </c>
      <c r="E835" s="103">
        <f t="shared" si="40"/>
        <v>19</v>
      </c>
      <c r="F835" s="117">
        <f t="shared" si="41"/>
        <v>18.533333333325572</v>
      </c>
      <c r="G835" s="103">
        <f>VLOOKUP(D835,Lookup!$J$5:$M$19,4,FALSE)-E835</f>
        <v>741</v>
      </c>
      <c r="H835" s="103">
        <f>VLOOKUP(D835,Lookup!$J$5:$K$19,2,FALSE)</f>
        <v>15</v>
      </c>
      <c r="I835" s="103">
        <f ca="1">IFERROR(VLOOKUP(G835,OFFSET(Lookup!$J$21,1,H835-1,5,1),1,1),0)</f>
        <v>720</v>
      </c>
    </row>
    <row r="836" spans="2:9" x14ac:dyDescent="0.25">
      <c r="B836" s="96">
        <v>20</v>
      </c>
      <c r="C836" s="1">
        <v>19.699999999778811</v>
      </c>
      <c r="D836" s="103" t="str">
        <f t="shared" si="39"/>
        <v>TC2</v>
      </c>
      <c r="E836" s="103">
        <f t="shared" si="40"/>
        <v>20</v>
      </c>
      <c r="F836" s="117">
        <f t="shared" si="41"/>
        <v>19.699999999778811</v>
      </c>
      <c r="G836" s="103">
        <f>VLOOKUP(D836,Lookup!$J$5:$M$19,4,FALSE)-E836</f>
        <v>740</v>
      </c>
      <c r="H836" s="103">
        <f>VLOOKUP(D836,Lookup!$J$5:$K$19,2,FALSE)</f>
        <v>15</v>
      </c>
      <c r="I836" s="103">
        <f ca="1">IFERROR(VLOOKUP(G836,OFFSET(Lookup!$J$21,1,H836-1,5,1),1,1),0)</f>
        <v>720</v>
      </c>
    </row>
    <row r="837" spans="2:9" x14ac:dyDescent="0.25">
      <c r="B837" s="96">
        <v>23</v>
      </c>
      <c r="C837" s="1">
        <v>21.016666666546371</v>
      </c>
      <c r="D837" s="103" t="str">
        <f t="shared" si="39"/>
        <v>TC2</v>
      </c>
      <c r="E837" s="103">
        <f t="shared" si="40"/>
        <v>23</v>
      </c>
      <c r="F837" s="117">
        <f t="shared" si="41"/>
        <v>21.016666666546371</v>
      </c>
      <c r="G837" s="103">
        <f>VLOOKUP(D837,Lookup!$J$5:$M$19,4,FALSE)-E837</f>
        <v>737</v>
      </c>
      <c r="H837" s="103">
        <f>VLOOKUP(D837,Lookup!$J$5:$K$19,2,FALSE)</f>
        <v>15</v>
      </c>
      <c r="I837" s="103">
        <f ca="1">IFERROR(VLOOKUP(G837,OFFSET(Lookup!$J$21,1,H837-1,5,1),1,1),0)</f>
        <v>720</v>
      </c>
    </row>
    <row r="838" spans="2:9" x14ac:dyDescent="0.25">
      <c r="B838" s="96">
        <v>24</v>
      </c>
      <c r="C838" s="1">
        <v>3.2499999999417923</v>
      </c>
      <c r="D838" s="103" t="str">
        <f t="shared" si="39"/>
        <v>TC2</v>
      </c>
      <c r="E838" s="103">
        <f t="shared" si="40"/>
        <v>24</v>
      </c>
      <c r="F838" s="117">
        <f t="shared" si="41"/>
        <v>3.2499999999417923</v>
      </c>
      <c r="G838" s="103">
        <f>VLOOKUP(D838,Lookup!$J$5:$M$19,4,FALSE)-E838</f>
        <v>736</v>
      </c>
      <c r="H838" s="103">
        <f>VLOOKUP(D838,Lookup!$J$5:$K$19,2,FALSE)</f>
        <v>15</v>
      </c>
      <c r="I838" s="103">
        <f ca="1">IFERROR(VLOOKUP(G838,OFFSET(Lookup!$J$21,1,H838-1,5,1),1,1),0)</f>
        <v>720</v>
      </c>
    </row>
    <row r="839" spans="2:9" x14ac:dyDescent="0.25">
      <c r="B839" s="96">
        <v>28</v>
      </c>
      <c r="C839" s="1">
        <v>22.350000000034925</v>
      </c>
      <c r="D839" s="103" t="str">
        <f t="shared" si="39"/>
        <v>TC2</v>
      </c>
      <c r="E839" s="103">
        <f t="shared" si="40"/>
        <v>28</v>
      </c>
      <c r="F839" s="117">
        <f t="shared" si="41"/>
        <v>22.350000000034925</v>
      </c>
      <c r="G839" s="103">
        <f>VLOOKUP(D839,Lookup!$J$5:$M$19,4,FALSE)-E839</f>
        <v>732</v>
      </c>
      <c r="H839" s="103">
        <f>VLOOKUP(D839,Lookup!$J$5:$K$19,2,FALSE)</f>
        <v>15</v>
      </c>
      <c r="I839" s="103">
        <f ca="1">IFERROR(VLOOKUP(G839,OFFSET(Lookup!$J$21,1,H839-1,5,1),1,1),0)</f>
        <v>720</v>
      </c>
    </row>
    <row r="840" spans="2:9" x14ac:dyDescent="0.25">
      <c r="B840" s="96">
        <v>29</v>
      </c>
      <c r="C840" s="1">
        <v>80.299999999639113</v>
      </c>
      <c r="D840" s="103" t="str">
        <f t="shared" si="39"/>
        <v>TC2</v>
      </c>
      <c r="E840" s="103">
        <f t="shared" si="40"/>
        <v>29</v>
      </c>
      <c r="F840" s="117">
        <f t="shared" si="41"/>
        <v>80.299999999639113</v>
      </c>
      <c r="G840" s="103">
        <f>VLOOKUP(D840,Lookup!$J$5:$M$19,4,FALSE)-E840</f>
        <v>731</v>
      </c>
      <c r="H840" s="103">
        <f>VLOOKUP(D840,Lookup!$J$5:$K$19,2,FALSE)</f>
        <v>15</v>
      </c>
      <c r="I840" s="103">
        <f ca="1">IFERROR(VLOOKUP(G840,OFFSET(Lookup!$J$21,1,H840-1,5,1),1,1),0)</f>
        <v>720</v>
      </c>
    </row>
    <row r="841" spans="2:9" x14ac:dyDescent="0.25">
      <c r="B841" s="96">
        <v>31</v>
      </c>
      <c r="C841" s="1">
        <v>2.0000000000582077</v>
      </c>
      <c r="D841" s="103" t="str">
        <f t="shared" ref="D841:D904" si="42">IF(A841="",D840,A841)</f>
        <v>TC2</v>
      </c>
      <c r="E841" s="103">
        <f t="shared" ref="E841:E904" si="43">IF(B841="",E840,B841)</f>
        <v>31</v>
      </c>
      <c r="F841" s="117">
        <f t="shared" ref="F841:F904" si="44">IF(C841="",F840,C841)</f>
        <v>2.0000000000582077</v>
      </c>
      <c r="G841" s="103">
        <f>VLOOKUP(D841,Lookup!$J$5:$M$19,4,FALSE)-E841</f>
        <v>729</v>
      </c>
      <c r="H841" s="103">
        <f>VLOOKUP(D841,Lookup!$J$5:$K$19,2,FALSE)</f>
        <v>15</v>
      </c>
      <c r="I841" s="103">
        <f ca="1">IFERROR(VLOOKUP(G841,OFFSET(Lookup!$J$21,1,H841-1,5,1),1,1),0)</f>
        <v>720</v>
      </c>
    </row>
    <row r="842" spans="2:9" x14ac:dyDescent="0.25">
      <c r="B842" s="96">
        <v>32</v>
      </c>
      <c r="C842" s="1">
        <v>2.1666666665696539</v>
      </c>
      <c r="D842" s="103" t="str">
        <f t="shared" si="42"/>
        <v>TC2</v>
      </c>
      <c r="E842" s="103">
        <f t="shared" si="43"/>
        <v>32</v>
      </c>
      <c r="F842" s="117">
        <f t="shared" si="44"/>
        <v>2.1666666665696539</v>
      </c>
      <c r="G842" s="103">
        <f>VLOOKUP(D842,Lookup!$J$5:$M$19,4,FALSE)-E842</f>
        <v>728</v>
      </c>
      <c r="H842" s="103">
        <f>VLOOKUP(D842,Lookup!$J$5:$K$19,2,FALSE)</f>
        <v>15</v>
      </c>
      <c r="I842" s="103">
        <f ca="1">IFERROR(VLOOKUP(G842,OFFSET(Lookup!$J$21,1,H842-1,5,1),1,1),0)</f>
        <v>720</v>
      </c>
    </row>
    <row r="843" spans="2:9" x14ac:dyDescent="0.25">
      <c r="B843" s="96">
        <v>33</v>
      </c>
      <c r="C843" s="1">
        <v>104.64999999990687</v>
      </c>
      <c r="D843" s="103" t="str">
        <f t="shared" si="42"/>
        <v>TC2</v>
      </c>
      <c r="E843" s="103">
        <f t="shared" si="43"/>
        <v>33</v>
      </c>
      <c r="F843" s="117">
        <f t="shared" si="44"/>
        <v>104.64999999990687</v>
      </c>
      <c r="G843" s="103">
        <f>VLOOKUP(D843,Lookup!$J$5:$M$19,4,FALSE)-E843</f>
        <v>727</v>
      </c>
      <c r="H843" s="103">
        <f>VLOOKUP(D843,Lookup!$J$5:$K$19,2,FALSE)</f>
        <v>15</v>
      </c>
      <c r="I843" s="103">
        <f ca="1">IFERROR(VLOOKUP(G843,OFFSET(Lookup!$J$21,1,H843-1,5,1),1,1),0)</f>
        <v>720</v>
      </c>
    </row>
    <row r="844" spans="2:9" x14ac:dyDescent="0.25">
      <c r="B844" s="96">
        <v>34</v>
      </c>
      <c r="C844" s="1">
        <v>199.68333333358169</v>
      </c>
      <c r="D844" s="103" t="str">
        <f t="shared" si="42"/>
        <v>TC2</v>
      </c>
      <c r="E844" s="103">
        <f t="shared" si="43"/>
        <v>34</v>
      </c>
      <c r="F844" s="117">
        <f t="shared" si="44"/>
        <v>199.68333333358169</v>
      </c>
      <c r="G844" s="103">
        <f>VLOOKUP(D844,Lookup!$J$5:$M$19,4,FALSE)-E844</f>
        <v>726</v>
      </c>
      <c r="H844" s="103">
        <f>VLOOKUP(D844,Lookup!$J$5:$K$19,2,FALSE)</f>
        <v>15</v>
      </c>
      <c r="I844" s="103">
        <f ca="1">IFERROR(VLOOKUP(G844,OFFSET(Lookup!$J$21,1,H844-1,5,1),1,1),0)</f>
        <v>720</v>
      </c>
    </row>
    <row r="845" spans="2:9" x14ac:dyDescent="0.25">
      <c r="B845" s="96">
        <v>35</v>
      </c>
      <c r="C845" s="1">
        <v>7.9999999998835847</v>
      </c>
      <c r="D845" s="103" t="str">
        <f t="shared" si="42"/>
        <v>TC2</v>
      </c>
      <c r="E845" s="103">
        <f t="shared" si="43"/>
        <v>35</v>
      </c>
      <c r="F845" s="117">
        <f t="shared" si="44"/>
        <v>7.9999999998835847</v>
      </c>
      <c r="G845" s="103">
        <f>VLOOKUP(D845,Lookup!$J$5:$M$19,4,FALSE)-E845</f>
        <v>725</v>
      </c>
      <c r="H845" s="103">
        <f>VLOOKUP(D845,Lookup!$J$5:$K$19,2,FALSE)</f>
        <v>15</v>
      </c>
      <c r="I845" s="103">
        <f ca="1">IFERROR(VLOOKUP(G845,OFFSET(Lookup!$J$21,1,H845-1,5,1),1,1),0)</f>
        <v>720</v>
      </c>
    </row>
    <row r="846" spans="2:9" x14ac:dyDescent="0.25">
      <c r="B846" s="96">
        <v>37</v>
      </c>
      <c r="C846" s="1">
        <v>1.0000000001164153</v>
      </c>
      <c r="D846" s="103" t="str">
        <f t="shared" si="42"/>
        <v>TC2</v>
      </c>
      <c r="E846" s="103">
        <f t="shared" si="43"/>
        <v>37</v>
      </c>
      <c r="F846" s="117">
        <f t="shared" si="44"/>
        <v>1.0000000001164153</v>
      </c>
      <c r="G846" s="103">
        <f>VLOOKUP(D846,Lookup!$J$5:$M$19,4,FALSE)-E846</f>
        <v>723</v>
      </c>
      <c r="H846" s="103">
        <f>VLOOKUP(D846,Lookup!$J$5:$K$19,2,FALSE)</f>
        <v>15</v>
      </c>
      <c r="I846" s="103">
        <f ca="1">IFERROR(VLOOKUP(G846,OFFSET(Lookup!$J$21,1,H846-1,5,1),1,1),0)</f>
        <v>720</v>
      </c>
    </row>
    <row r="847" spans="2:9" x14ac:dyDescent="0.25">
      <c r="B847" s="96">
        <v>38</v>
      </c>
      <c r="C847" s="1">
        <v>203.75000000005821</v>
      </c>
      <c r="D847" s="103" t="str">
        <f t="shared" si="42"/>
        <v>TC2</v>
      </c>
      <c r="E847" s="103">
        <f t="shared" si="43"/>
        <v>38</v>
      </c>
      <c r="F847" s="117">
        <f t="shared" si="44"/>
        <v>203.75000000005821</v>
      </c>
      <c r="G847" s="103">
        <f>VLOOKUP(D847,Lookup!$J$5:$M$19,4,FALSE)-E847</f>
        <v>722</v>
      </c>
      <c r="H847" s="103">
        <f>VLOOKUP(D847,Lookup!$J$5:$K$19,2,FALSE)</f>
        <v>15</v>
      </c>
      <c r="I847" s="103">
        <f ca="1">IFERROR(VLOOKUP(G847,OFFSET(Lookup!$J$21,1,H847-1,5,1),1,1),0)</f>
        <v>720</v>
      </c>
    </row>
    <row r="848" spans="2:9" x14ac:dyDescent="0.25">
      <c r="B848" s="96">
        <v>39</v>
      </c>
      <c r="C848" s="1">
        <v>104.51666666666279</v>
      </c>
      <c r="D848" s="103" t="str">
        <f t="shared" si="42"/>
        <v>TC2</v>
      </c>
      <c r="E848" s="103">
        <f t="shared" si="43"/>
        <v>39</v>
      </c>
      <c r="F848" s="117">
        <f t="shared" si="44"/>
        <v>104.51666666666279</v>
      </c>
      <c r="G848" s="103">
        <f>VLOOKUP(D848,Lookup!$J$5:$M$19,4,FALSE)-E848</f>
        <v>721</v>
      </c>
      <c r="H848" s="103">
        <f>VLOOKUP(D848,Lookup!$J$5:$K$19,2,FALSE)</f>
        <v>15</v>
      </c>
      <c r="I848" s="103">
        <f ca="1">IFERROR(VLOOKUP(G848,OFFSET(Lookup!$J$21,1,H848-1,5,1),1,1),0)</f>
        <v>720</v>
      </c>
    </row>
    <row r="849" spans="2:9" x14ac:dyDescent="0.25">
      <c r="B849" s="96">
        <v>40</v>
      </c>
      <c r="C849" s="1">
        <v>94.5</v>
      </c>
      <c r="D849" s="103" t="str">
        <f t="shared" si="42"/>
        <v>TC2</v>
      </c>
      <c r="E849" s="103">
        <f t="shared" si="43"/>
        <v>40</v>
      </c>
      <c r="F849" s="117">
        <f t="shared" si="44"/>
        <v>94.5</v>
      </c>
      <c r="G849" s="103">
        <f>VLOOKUP(D849,Lookup!$J$5:$M$19,4,FALSE)-E849</f>
        <v>720</v>
      </c>
      <c r="H849" s="103">
        <f>VLOOKUP(D849,Lookup!$J$5:$K$19,2,FALSE)</f>
        <v>15</v>
      </c>
      <c r="I849" s="103">
        <f ca="1">IFERROR(VLOOKUP(G849,OFFSET(Lookup!$J$21,1,H849-1,5,1),1,1),0)</f>
        <v>720</v>
      </c>
    </row>
    <row r="850" spans="2:9" x14ac:dyDescent="0.25">
      <c r="B850" s="96">
        <v>42</v>
      </c>
      <c r="C850" s="1">
        <v>1333.5999999999767</v>
      </c>
      <c r="D850" s="103" t="str">
        <f t="shared" si="42"/>
        <v>TC2</v>
      </c>
      <c r="E850" s="103">
        <f t="shared" si="43"/>
        <v>42</v>
      </c>
      <c r="F850" s="117">
        <f t="shared" si="44"/>
        <v>1333.5999999999767</v>
      </c>
      <c r="G850" s="103">
        <f>VLOOKUP(D850,Lookup!$J$5:$M$19,4,FALSE)-E850</f>
        <v>718</v>
      </c>
      <c r="H850" s="103">
        <f>VLOOKUP(D850,Lookup!$J$5:$K$19,2,FALSE)</f>
        <v>15</v>
      </c>
      <c r="I850" s="103">
        <f ca="1">IFERROR(VLOOKUP(G850,OFFSET(Lookup!$J$21,1,H850-1,5,1),1,1),0)</f>
        <v>680</v>
      </c>
    </row>
    <row r="851" spans="2:9" x14ac:dyDescent="0.25">
      <c r="B851" s="96">
        <v>43</v>
      </c>
      <c r="C851" s="1">
        <v>30.183333333407063</v>
      </c>
      <c r="D851" s="103" t="str">
        <f t="shared" si="42"/>
        <v>TC2</v>
      </c>
      <c r="E851" s="103">
        <f t="shared" si="43"/>
        <v>43</v>
      </c>
      <c r="F851" s="117">
        <f t="shared" si="44"/>
        <v>30.183333333407063</v>
      </c>
      <c r="G851" s="103">
        <f>VLOOKUP(D851,Lookup!$J$5:$M$19,4,FALSE)-E851</f>
        <v>717</v>
      </c>
      <c r="H851" s="103">
        <f>VLOOKUP(D851,Lookup!$J$5:$K$19,2,FALSE)</f>
        <v>15</v>
      </c>
      <c r="I851" s="103">
        <f ca="1">IFERROR(VLOOKUP(G851,OFFSET(Lookup!$J$21,1,H851-1,5,1),1,1),0)</f>
        <v>680</v>
      </c>
    </row>
    <row r="852" spans="2:9" x14ac:dyDescent="0.25">
      <c r="B852" s="96">
        <v>44</v>
      </c>
      <c r="C852" s="1">
        <v>41.833333333313931</v>
      </c>
      <c r="D852" s="103" t="str">
        <f t="shared" si="42"/>
        <v>TC2</v>
      </c>
      <c r="E852" s="103">
        <f t="shared" si="43"/>
        <v>44</v>
      </c>
      <c r="F852" s="117">
        <f t="shared" si="44"/>
        <v>41.833333333313931</v>
      </c>
      <c r="G852" s="103">
        <f>VLOOKUP(D852,Lookup!$J$5:$M$19,4,FALSE)-E852</f>
        <v>716</v>
      </c>
      <c r="H852" s="103">
        <f>VLOOKUP(D852,Lookup!$J$5:$K$19,2,FALSE)</f>
        <v>15</v>
      </c>
      <c r="I852" s="103">
        <f ca="1">IFERROR(VLOOKUP(G852,OFFSET(Lookup!$J$21,1,H852-1,5,1),1,1),0)</f>
        <v>680</v>
      </c>
    </row>
    <row r="853" spans="2:9" x14ac:dyDescent="0.25">
      <c r="B853" s="96">
        <v>49</v>
      </c>
      <c r="C853" s="1">
        <v>1.6666666666860692</v>
      </c>
      <c r="D853" s="103" t="str">
        <f t="shared" si="42"/>
        <v>TC2</v>
      </c>
      <c r="E853" s="103">
        <f t="shared" si="43"/>
        <v>49</v>
      </c>
      <c r="F853" s="117">
        <f t="shared" si="44"/>
        <v>1.6666666666860692</v>
      </c>
      <c r="G853" s="103">
        <f>VLOOKUP(D853,Lookup!$J$5:$M$19,4,FALSE)-E853</f>
        <v>711</v>
      </c>
      <c r="H853" s="103">
        <f>VLOOKUP(D853,Lookup!$J$5:$K$19,2,FALSE)</f>
        <v>15</v>
      </c>
      <c r="I853" s="103">
        <f ca="1">IFERROR(VLOOKUP(G853,OFFSET(Lookup!$J$21,1,H853-1,5,1),1,1),0)</f>
        <v>680</v>
      </c>
    </row>
    <row r="854" spans="2:9" x14ac:dyDescent="0.25">
      <c r="B854" s="96">
        <v>52</v>
      </c>
      <c r="C854" s="1">
        <v>7.7499999999417923</v>
      </c>
      <c r="D854" s="103" t="str">
        <f t="shared" si="42"/>
        <v>TC2</v>
      </c>
      <c r="E854" s="103">
        <f t="shared" si="43"/>
        <v>52</v>
      </c>
      <c r="F854" s="117">
        <f t="shared" si="44"/>
        <v>7.7499999999417923</v>
      </c>
      <c r="G854" s="103">
        <f>VLOOKUP(D854,Lookup!$J$5:$M$19,4,FALSE)-E854</f>
        <v>708</v>
      </c>
      <c r="H854" s="103">
        <f>VLOOKUP(D854,Lookup!$J$5:$K$19,2,FALSE)</f>
        <v>15</v>
      </c>
      <c r="I854" s="103">
        <f ca="1">IFERROR(VLOOKUP(G854,OFFSET(Lookup!$J$21,1,H854-1,5,1),1,1),0)</f>
        <v>680</v>
      </c>
    </row>
    <row r="855" spans="2:9" x14ac:dyDescent="0.25">
      <c r="B855" s="96">
        <v>53</v>
      </c>
      <c r="C855" s="1">
        <v>6.5000000000582077</v>
      </c>
      <c r="D855" s="103" t="str">
        <f t="shared" si="42"/>
        <v>TC2</v>
      </c>
      <c r="E855" s="103">
        <f t="shared" si="43"/>
        <v>53</v>
      </c>
      <c r="F855" s="117">
        <f t="shared" si="44"/>
        <v>6.5000000000582077</v>
      </c>
      <c r="G855" s="103">
        <f>VLOOKUP(D855,Lookup!$J$5:$M$19,4,FALSE)-E855</f>
        <v>707</v>
      </c>
      <c r="H855" s="103">
        <f>VLOOKUP(D855,Lookup!$J$5:$K$19,2,FALSE)</f>
        <v>15</v>
      </c>
      <c r="I855" s="103">
        <f ca="1">IFERROR(VLOOKUP(G855,OFFSET(Lookup!$J$21,1,H855-1,5,1),1,1),0)</f>
        <v>680</v>
      </c>
    </row>
    <row r="856" spans="2:9" x14ac:dyDescent="0.25">
      <c r="B856" s="96">
        <v>54</v>
      </c>
      <c r="C856" s="1">
        <v>2.0000000000582077</v>
      </c>
      <c r="D856" s="103" t="str">
        <f t="shared" si="42"/>
        <v>TC2</v>
      </c>
      <c r="E856" s="103">
        <f t="shared" si="43"/>
        <v>54</v>
      </c>
      <c r="F856" s="117">
        <f t="shared" si="44"/>
        <v>2.0000000000582077</v>
      </c>
      <c r="G856" s="103">
        <f>VLOOKUP(D856,Lookup!$J$5:$M$19,4,FALSE)-E856</f>
        <v>706</v>
      </c>
      <c r="H856" s="103">
        <f>VLOOKUP(D856,Lookup!$J$5:$K$19,2,FALSE)</f>
        <v>15</v>
      </c>
      <c r="I856" s="103">
        <f ca="1">IFERROR(VLOOKUP(G856,OFFSET(Lookup!$J$21,1,H856-1,5,1),1,1),0)</f>
        <v>680</v>
      </c>
    </row>
    <row r="857" spans="2:9" x14ac:dyDescent="0.25">
      <c r="B857" s="96">
        <v>57</v>
      </c>
      <c r="C857" s="1">
        <v>1.4166666667442769</v>
      </c>
      <c r="D857" s="103" t="str">
        <f t="shared" si="42"/>
        <v>TC2</v>
      </c>
      <c r="E857" s="103">
        <f t="shared" si="43"/>
        <v>57</v>
      </c>
      <c r="F857" s="117">
        <f t="shared" si="44"/>
        <v>1.4166666667442769</v>
      </c>
      <c r="G857" s="103">
        <f>VLOOKUP(D857,Lookup!$J$5:$M$19,4,FALSE)-E857</f>
        <v>703</v>
      </c>
      <c r="H857" s="103">
        <f>VLOOKUP(D857,Lookup!$J$5:$K$19,2,FALSE)</f>
        <v>15</v>
      </c>
      <c r="I857" s="103">
        <f ca="1">IFERROR(VLOOKUP(G857,OFFSET(Lookup!$J$21,1,H857-1,5,1),1,1),0)</f>
        <v>680</v>
      </c>
    </row>
    <row r="858" spans="2:9" x14ac:dyDescent="0.25">
      <c r="B858" s="96">
        <v>59</v>
      </c>
      <c r="C858" s="1">
        <v>0.39999999990686774</v>
      </c>
      <c r="D858" s="103" t="str">
        <f t="shared" si="42"/>
        <v>TC2</v>
      </c>
      <c r="E858" s="103">
        <f t="shared" si="43"/>
        <v>59</v>
      </c>
      <c r="F858" s="117">
        <f t="shared" si="44"/>
        <v>0.39999999990686774</v>
      </c>
      <c r="G858" s="103">
        <f>VLOOKUP(D858,Lookup!$J$5:$M$19,4,FALSE)-E858</f>
        <v>701</v>
      </c>
      <c r="H858" s="103">
        <f>VLOOKUP(D858,Lookup!$J$5:$K$19,2,FALSE)</f>
        <v>15</v>
      </c>
      <c r="I858" s="103">
        <f ca="1">IFERROR(VLOOKUP(G858,OFFSET(Lookup!$J$21,1,H858-1,5,1),1,1),0)</f>
        <v>680</v>
      </c>
    </row>
    <row r="859" spans="2:9" x14ac:dyDescent="0.25">
      <c r="B859" s="96">
        <v>60</v>
      </c>
      <c r="C859" s="1">
        <v>0.41666666662786156</v>
      </c>
      <c r="D859" s="103" t="str">
        <f t="shared" si="42"/>
        <v>TC2</v>
      </c>
      <c r="E859" s="103">
        <f t="shared" si="43"/>
        <v>60</v>
      </c>
      <c r="F859" s="117">
        <f t="shared" si="44"/>
        <v>0.41666666662786156</v>
      </c>
      <c r="G859" s="103">
        <f>VLOOKUP(D859,Lookup!$J$5:$M$19,4,FALSE)-E859</f>
        <v>700</v>
      </c>
      <c r="H859" s="103">
        <f>VLOOKUP(D859,Lookup!$J$5:$K$19,2,FALSE)</f>
        <v>15</v>
      </c>
      <c r="I859" s="103">
        <f ca="1">IFERROR(VLOOKUP(G859,OFFSET(Lookup!$J$21,1,H859-1,5,1),1,1),0)</f>
        <v>680</v>
      </c>
    </row>
    <row r="860" spans="2:9" x14ac:dyDescent="0.25">
      <c r="B860" s="96">
        <v>61</v>
      </c>
      <c r="C860" s="1">
        <v>3.3333333331975155</v>
      </c>
      <c r="D860" s="103" t="str">
        <f t="shared" si="42"/>
        <v>TC2</v>
      </c>
      <c r="E860" s="103">
        <f t="shared" si="43"/>
        <v>61</v>
      </c>
      <c r="F860" s="117">
        <f t="shared" si="44"/>
        <v>3.3333333331975155</v>
      </c>
      <c r="G860" s="103">
        <f>VLOOKUP(D860,Lookup!$J$5:$M$19,4,FALSE)-E860</f>
        <v>699</v>
      </c>
      <c r="H860" s="103">
        <f>VLOOKUP(D860,Lookup!$J$5:$K$19,2,FALSE)</f>
        <v>15</v>
      </c>
      <c r="I860" s="103">
        <f ca="1">IFERROR(VLOOKUP(G860,OFFSET(Lookup!$J$21,1,H860-1,5,1),1,1),0)</f>
        <v>680</v>
      </c>
    </row>
    <row r="861" spans="2:9" x14ac:dyDescent="0.25">
      <c r="B861" s="96">
        <v>62</v>
      </c>
      <c r="C861" s="1">
        <v>8.1666666667442769</v>
      </c>
      <c r="D861" s="103" t="str">
        <f t="shared" si="42"/>
        <v>TC2</v>
      </c>
      <c r="E861" s="103">
        <f t="shared" si="43"/>
        <v>62</v>
      </c>
      <c r="F861" s="117">
        <f t="shared" si="44"/>
        <v>8.1666666667442769</v>
      </c>
      <c r="G861" s="103">
        <f>VLOOKUP(D861,Lookup!$J$5:$M$19,4,FALSE)-E861</f>
        <v>698</v>
      </c>
      <c r="H861" s="103">
        <f>VLOOKUP(D861,Lookup!$J$5:$K$19,2,FALSE)</f>
        <v>15</v>
      </c>
      <c r="I861" s="103">
        <f ca="1">IFERROR(VLOOKUP(G861,OFFSET(Lookup!$J$21,1,H861-1,5,1),1,1),0)</f>
        <v>680</v>
      </c>
    </row>
    <row r="862" spans="2:9" x14ac:dyDescent="0.25">
      <c r="B862" s="96">
        <v>66</v>
      </c>
      <c r="C862" s="1">
        <v>2.9166666665696539</v>
      </c>
      <c r="D862" s="103" t="str">
        <f t="shared" si="42"/>
        <v>TC2</v>
      </c>
      <c r="E862" s="103">
        <f t="shared" si="43"/>
        <v>66</v>
      </c>
      <c r="F862" s="117">
        <f t="shared" si="44"/>
        <v>2.9166666665696539</v>
      </c>
      <c r="G862" s="103">
        <f>VLOOKUP(D862,Lookup!$J$5:$M$19,4,FALSE)-E862</f>
        <v>694</v>
      </c>
      <c r="H862" s="103">
        <f>VLOOKUP(D862,Lookup!$J$5:$K$19,2,FALSE)</f>
        <v>15</v>
      </c>
      <c r="I862" s="103">
        <f ca="1">IFERROR(VLOOKUP(G862,OFFSET(Lookup!$J$21,1,H862-1,5,1),1,1),0)</f>
        <v>680</v>
      </c>
    </row>
    <row r="863" spans="2:9" x14ac:dyDescent="0.25">
      <c r="B863" s="96">
        <v>67</v>
      </c>
      <c r="C863" s="1">
        <v>2.2333333332790062</v>
      </c>
      <c r="D863" s="103" t="str">
        <f t="shared" si="42"/>
        <v>TC2</v>
      </c>
      <c r="E863" s="103">
        <f t="shared" si="43"/>
        <v>67</v>
      </c>
      <c r="F863" s="117">
        <f t="shared" si="44"/>
        <v>2.2333333332790062</v>
      </c>
      <c r="G863" s="103">
        <f>VLOOKUP(D863,Lookup!$J$5:$M$19,4,FALSE)-E863</f>
        <v>693</v>
      </c>
      <c r="H863" s="103">
        <f>VLOOKUP(D863,Lookup!$J$5:$K$19,2,FALSE)</f>
        <v>15</v>
      </c>
      <c r="I863" s="103">
        <f ca="1">IFERROR(VLOOKUP(G863,OFFSET(Lookup!$J$21,1,H863-1,5,1),1,1),0)</f>
        <v>680</v>
      </c>
    </row>
    <row r="864" spans="2:9" x14ac:dyDescent="0.25">
      <c r="B864" s="96">
        <v>70</v>
      </c>
      <c r="C864" s="1">
        <v>59.033333333500195</v>
      </c>
      <c r="D864" s="103" t="str">
        <f t="shared" si="42"/>
        <v>TC2</v>
      </c>
      <c r="E864" s="103">
        <f t="shared" si="43"/>
        <v>70</v>
      </c>
      <c r="F864" s="117">
        <f t="shared" si="44"/>
        <v>59.033333333500195</v>
      </c>
      <c r="G864" s="103">
        <f>VLOOKUP(D864,Lookup!$J$5:$M$19,4,FALSE)-E864</f>
        <v>690</v>
      </c>
      <c r="H864" s="103">
        <f>VLOOKUP(D864,Lookup!$J$5:$K$19,2,FALSE)</f>
        <v>15</v>
      </c>
      <c r="I864" s="103">
        <f ca="1">IFERROR(VLOOKUP(G864,OFFSET(Lookup!$J$21,1,H864-1,5,1),1,1),0)</f>
        <v>680</v>
      </c>
    </row>
    <row r="865" spans="2:9" x14ac:dyDescent="0.25">
      <c r="B865" s="96">
        <v>71</v>
      </c>
      <c r="C865" s="1">
        <v>18.883333333418705</v>
      </c>
      <c r="D865" s="103" t="str">
        <f t="shared" si="42"/>
        <v>TC2</v>
      </c>
      <c r="E865" s="103">
        <f t="shared" si="43"/>
        <v>71</v>
      </c>
      <c r="F865" s="117">
        <f t="shared" si="44"/>
        <v>18.883333333418705</v>
      </c>
      <c r="G865" s="103">
        <f>VLOOKUP(D865,Lookup!$J$5:$M$19,4,FALSE)-E865</f>
        <v>689</v>
      </c>
      <c r="H865" s="103">
        <f>VLOOKUP(D865,Lookup!$J$5:$K$19,2,FALSE)</f>
        <v>15</v>
      </c>
      <c r="I865" s="103">
        <f ca="1">IFERROR(VLOOKUP(G865,OFFSET(Lookup!$J$21,1,H865-1,5,1),1,1),0)</f>
        <v>680</v>
      </c>
    </row>
    <row r="866" spans="2:9" x14ac:dyDescent="0.25">
      <c r="B866" s="96">
        <v>73</v>
      </c>
      <c r="C866" s="1">
        <v>2.8333333333139308</v>
      </c>
      <c r="D866" s="103" t="str">
        <f t="shared" si="42"/>
        <v>TC2</v>
      </c>
      <c r="E866" s="103">
        <f t="shared" si="43"/>
        <v>73</v>
      </c>
      <c r="F866" s="117">
        <f t="shared" si="44"/>
        <v>2.8333333333139308</v>
      </c>
      <c r="G866" s="103">
        <f>VLOOKUP(D866,Lookup!$J$5:$M$19,4,FALSE)-E866</f>
        <v>687</v>
      </c>
      <c r="H866" s="103">
        <f>VLOOKUP(D866,Lookup!$J$5:$K$19,2,FALSE)</f>
        <v>15</v>
      </c>
      <c r="I866" s="103">
        <f ca="1">IFERROR(VLOOKUP(G866,OFFSET(Lookup!$J$21,1,H866-1,5,1),1,1),0)</f>
        <v>680</v>
      </c>
    </row>
    <row r="867" spans="2:9" x14ac:dyDescent="0.25">
      <c r="B867" s="96">
        <v>75</v>
      </c>
      <c r="C867" s="1">
        <v>131.83333333331393</v>
      </c>
      <c r="D867" s="103" t="str">
        <f t="shared" si="42"/>
        <v>TC2</v>
      </c>
      <c r="E867" s="103">
        <f t="shared" si="43"/>
        <v>75</v>
      </c>
      <c r="F867" s="117">
        <f t="shared" si="44"/>
        <v>131.83333333331393</v>
      </c>
      <c r="G867" s="103">
        <f>VLOOKUP(D867,Lookup!$J$5:$M$19,4,FALSE)-E867</f>
        <v>685</v>
      </c>
      <c r="H867" s="103">
        <f>VLOOKUP(D867,Lookup!$J$5:$K$19,2,FALSE)</f>
        <v>15</v>
      </c>
      <c r="I867" s="103">
        <f ca="1">IFERROR(VLOOKUP(G867,OFFSET(Lookup!$J$21,1,H867-1,5,1),1,1),0)</f>
        <v>680</v>
      </c>
    </row>
    <row r="868" spans="2:9" x14ac:dyDescent="0.25">
      <c r="B868" s="96">
        <v>80</v>
      </c>
      <c r="C868" s="1">
        <v>4.9166666666278616</v>
      </c>
      <c r="D868" s="103" t="str">
        <f t="shared" si="42"/>
        <v>TC2</v>
      </c>
      <c r="E868" s="103">
        <f t="shared" si="43"/>
        <v>80</v>
      </c>
      <c r="F868" s="117">
        <f t="shared" si="44"/>
        <v>4.9166666666278616</v>
      </c>
      <c r="G868" s="103">
        <f>VLOOKUP(D868,Lookup!$J$5:$M$19,4,FALSE)-E868</f>
        <v>680</v>
      </c>
      <c r="H868" s="103">
        <f>VLOOKUP(D868,Lookup!$J$5:$K$19,2,FALSE)</f>
        <v>15</v>
      </c>
      <c r="I868" s="103">
        <f ca="1">IFERROR(VLOOKUP(G868,OFFSET(Lookup!$J$21,1,H868-1,5,1),1,1),0)</f>
        <v>680</v>
      </c>
    </row>
    <row r="869" spans="2:9" x14ac:dyDescent="0.25">
      <c r="B869" s="96">
        <v>81</v>
      </c>
      <c r="C869" s="1">
        <v>422.55000000010477</v>
      </c>
      <c r="D869" s="103" t="str">
        <f t="shared" si="42"/>
        <v>TC2</v>
      </c>
      <c r="E869" s="103">
        <f t="shared" si="43"/>
        <v>81</v>
      </c>
      <c r="F869" s="117">
        <f t="shared" si="44"/>
        <v>422.55000000010477</v>
      </c>
      <c r="G869" s="103">
        <f>VLOOKUP(D869,Lookup!$J$5:$M$19,4,FALSE)-E869</f>
        <v>679</v>
      </c>
      <c r="H869" s="103">
        <f>VLOOKUP(D869,Lookup!$J$5:$K$19,2,FALSE)</f>
        <v>15</v>
      </c>
      <c r="I869" s="103">
        <f ca="1">IFERROR(VLOOKUP(G869,OFFSET(Lookup!$J$21,1,H869-1,5,1),1,1),0)</f>
        <v>600</v>
      </c>
    </row>
    <row r="870" spans="2:9" x14ac:dyDescent="0.25">
      <c r="B870" s="96">
        <v>82</v>
      </c>
      <c r="C870" s="1">
        <v>2.0000000000582077</v>
      </c>
      <c r="D870" s="103" t="str">
        <f t="shared" si="42"/>
        <v>TC2</v>
      </c>
      <c r="E870" s="103">
        <f t="shared" si="43"/>
        <v>82</v>
      </c>
      <c r="F870" s="117">
        <f t="shared" si="44"/>
        <v>2.0000000000582077</v>
      </c>
      <c r="G870" s="103">
        <f>VLOOKUP(D870,Lookup!$J$5:$M$19,4,FALSE)-E870</f>
        <v>678</v>
      </c>
      <c r="H870" s="103">
        <f>VLOOKUP(D870,Lookup!$J$5:$K$19,2,FALSE)</f>
        <v>15</v>
      </c>
      <c r="I870" s="103">
        <f ca="1">IFERROR(VLOOKUP(G870,OFFSET(Lookup!$J$21,1,H870-1,5,1),1,1),0)</f>
        <v>600</v>
      </c>
    </row>
    <row r="871" spans="2:9" x14ac:dyDescent="0.25">
      <c r="B871" s="96">
        <v>85</v>
      </c>
      <c r="C871" s="1">
        <v>9.75</v>
      </c>
      <c r="D871" s="103" t="str">
        <f t="shared" si="42"/>
        <v>TC2</v>
      </c>
      <c r="E871" s="103">
        <f t="shared" si="43"/>
        <v>85</v>
      </c>
      <c r="F871" s="117">
        <f t="shared" si="44"/>
        <v>9.75</v>
      </c>
      <c r="G871" s="103">
        <f>VLOOKUP(D871,Lookup!$J$5:$M$19,4,FALSE)-E871</f>
        <v>675</v>
      </c>
      <c r="H871" s="103">
        <f>VLOOKUP(D871,Lookup!$J$5:$K$19,2,FALSE)</f>
        <v>15</v>
      </c>
      <c r="I871" s="103">
        <f ca="1">IFERROR(VLOOKUP(G871,OFFSET(Lookup!$J$21,1,H871-1,5,1),1,1),0)</f>
        <v>600</v>
      </c>
    </row>
    <row r="872" spans="2:9" x14ac:dyDescent="0.25">
      <c r="B872" s="96">
        <v>86</v>
      </c>
      <c r="C872" s="1">
        <v>4.5333333332673647</v>
      </c>
      <c r="D872" s="103" t="str">
        <f t="shared" si="42"/>
        <v>TC2</v>
      </c>
      <c r="E872" s="103">
        <f t="shared" si="43"/>
        <v>86</v>
      </c>
      <c r="F872" s="117">
        <f t="shared" si="44"/>
        <v>4.5333333332673647</v>
      </c>
      <c r="G872" s="103">
        <f>VLOOKUP(D872,Lookup!$J$5:$M$19,4,FALSE)-E872</f>
        <v>674</v>
      </c>
      <c r="H872" s="103">
        <f>VLOOKUP(D872,Lookup!$J$5:$K$19,2,FALSE)</f>
        <v>15</v>
      </c>
      <c r="I872" s="103">
        <f ca="1">IFERROR(VLOOKUP(G872,OFFSET(Lookup!$J$21,1,H872-1,5,1),1,1),0)</f>
        <v>600</v>
      </c>
    </row>
    <row r="873" spans="2:9" x14ac:dyDescent="0.25">
      <c r="B873" s="96">
        <v>89</v>
      </c>
      <c r="C873" s="1">
        <v>39.166666666336823</v>
      </c>
      <c r="D873" s="103" t="str">
        <f t="shared" si="42"/>
        <v>TC2</v>
      </c>
      <c r="E873" s="103">
        <f t="shared" si="43"/>
        <v>89</v>
      </c>
      <c r="F873" s="117">
        <f t="shared" si="44"/>
        <v>39.166666666336823</v>
      </c>
      <c r="G873" s="103">
        <f>VLOOKUP(D873,Lookup!$J$5:$M$19,4,FALSE)-E873</f>
        <v>671</v>
      </c>
      <c r="H873" s="103">
        <f>VLOOKUP(D873,Lookup!$J$5:$K$19,2,FALSE)</f>
        <v>15</v>
      </c>
      <c r="I873" s="103">
        <f ca="1">IFERROR(VLOOKUP(G873,OFFSET(Lookup!$J$21,1,H873-1,5,1),1,1),0)</f>
        <v>600</v>
      </c>
    </row>
    <row r="874" spans="2:9" x14ac:dyDescent="0.25">
      <c r="B874" s="96">
        <v>90</v>
      </c>
      <c r="C874" s="1">
        <v>8.7666666664299555</v>
      </c>
      <c r="D874" s="103" t="str">
        <f t="shared" si="42"/>
        <v>TC2</v>
      </c>
      <c r="E874" s="103">
        <f t="shared" si="43"/>
        <v>90</v>
      </c>
      <c r="F874" s="117">
        <f t="shared" si="44"/>
        <v>8.7666666664299555</v>
      </c>
      <c r="G874" s="103">
        <f>VLOOKUP(D874,Lookup!$J$5:$M$19,4,FALSE)-E874</f>
        <v>670</v>
      </c>
      <c r="H874" s="103">
        <f>VLOOKUP(D874,Lookup!$J$5:$K$19,2,FALSE)</f>
        <v>15</v>
      </c>
      <c r="I874" s="103">
        <f ca="1">IFERROR(VLOOKUP(G874,OFFSET(Lookup!$J$21,1,H874-1,5,1),1,1),0)</f>
        <v>600</v>
      </c>
    </row>
    <row r="875" spans="2:9" x14ac:dyDescent="0.25">
      <c r="B875" s="96">
        <v>91</v>
      </c>
      <c r="C875" s="1">
        <v>6.7333333334536292</v>
      </c>
      <c r="D875" s="103" t="str">
        <f t="shared" si="42"/>
        <v>TC2</v>
      </c>
      <c r="E875" s="103">
        <f t="shared" si="43"/>
        <v>91</v>
      </c>
      <c r="F875" s="117">
        <f t="shared" si="44"/>
        <v>6.7333333334536292</v>
      </c>
      <c r="G875" s="103">
        <f>VLOOKUP(D875,Lookup!$J$5:$M$19,4,FALSE)-E875</f>
        <v>669</v>
      </c>
      <c r="H875" s="103">
        <f>VLOOKUP(D875,Lookup!$J$5:$K$19,2,FALSE)</f>
        <v>15</v>
      </c>
      <c r="I875" s="103">
        <f ca="1">IFERROR(VLOOKUP(G875,OFFSET(Lookup!$J$21,1,H875-1,5,1),1,1),0)</f>
        <v>600</v>
      </c>
    </row>
    <row r="876" spans="2:9" x14ac:dyDescent="0.25">
      <c r="B876" s="96">
        <v>94</v>
      </c>
      <c r="C876" s="1">
        <v>7.4333333334652707</v>
      </c>
      <c r="D876" s="103" t="str">
        <f t="shared" si="42"/>
        <v>TC2</v>
      </c>
      <c r="E876" s="103">
        <f t="shared" si="43"/>
        <v>94</v>
      </c>
      <c r="F876" s="117">
        <f t="shared" si="44"/>
        <v>7.4333333334652707</v>
      </c>
      <c r="G876" s="103">
        <f>VLOOKUP(D876,Lookup!$J$5:$M$19,4,FALSE)-E876</f>
        <v>666</v>
      </c>
      <c r="H876" s="103">
        <f>VLOOKUP(D876,Lookup!$J$5:$K$19,2,FALSE)</f>
        <v>15</v>
      </c>
      <c r="I876" s="103">
        <f ca="1">IFERROR(VLOOKUP(G876,OFFSET(Lookup!$J$21,1,H876-1,5,1),1,1),0)</f>
        <v>600</v>
      </c>
    </row>
    <row r="877" spans="2:9" x14ac:dyDescent="0.25">
      <c r="B877" s="96">
        <v>95</v>
      </c>
      <c r="C877" s="1">
        <v>2.5000000001164153</v>
      </c>
      <c r="D877" s="103" t="str">
        <f t="shared" si="42"/>
        <v>TC2</v>
      </c>
      <c r="E877" s="103">
        <f t="shared" si="43"/>
        <v>95</v>
      </c>
      <c r="F877" s="117">
        <f t="shared" si="44"/>
        <v>2.5000000001164153</v>
      </c>
      <c r="G877" s="103">
        <f>VLOOKUP(D877,Lookup!$J$5:$M$19,4,FALSE)-E877</f>
        <v>665</v>
      </c>
      <c r="H877" s="103">
        <f>VLOOKUP(D877,Lookup!$J$5:$K$19,2,FALSE)</f>
        <v>15</v>
      </c>
      <c r="I877" s="103">
        <f ca="1">IFERROR(VLOOKUP(G877,OFFSET(Lookup!$J$21,1,H877-1,5,1),1,1),0)</f>
        <v>600</v>
      </c>
    </row>
    <row r="878" spans="2:9" x14ac:dyDescent="0.25">
      <c r="B878" s="96">
        <v>99</v>
      </c>
      <c r="C878" s="1">
        <v>8.3333333336049691</v>
      </c>
      <c r="D878" s="103" t="str">
        <f t="shared" si="42"/>
        <v>TC2</v>
      </c>
      <c r="E878" s="103">
        <f t="shared" si="43"/>
        <v>99</v>
      </c>
      <c r="F878" s="117">
        <f t="shared" si="44"/>
        <v>8.3333333336049691</v>
      </c>
      <c r="G878" s="103">
        <f>VLOOKUP(D878,Lookup!$J$5:$M$19,4,FALSE)-E878</f>
        <v>661</v>
      </c>
      <c r="H878" s="103">
        <f>VLOOKUP(D878,Lookup!$J$5:$K$19,2,FALSE)</f>
        <v>15</v>
      </c>
      <c r="I878" s="103">
        <f ca="1">IFERROR(VLOOKUP(G878,OFFSET(Lookup!$J$21,1,H878-1,5,1),1,1),0)</f>
        <v>600</v>
      </c>
    </row>
    <row r="879" spans="2:9" x14ac:dyDescent="0.25">
      <c r="B879" s="96">
        <v>100</v>
      </c>
      <c r="C879" s="1">
        <v>1.9999999998835847</v>
      </c>
      <c r="D879" s="103" t="str">
        <f t="shared" si="42"/>
        <v>TC2</v>
      </c>
      <c r="E879" s="103">
        <f t="shared" si="43"/>
        <v>100</v>
      </c>
      <c r="F879" s="117">
        <f t="shared" si="44"/>
        <v>1.9999999998835847</v>
      </c>
      <c r="G879" s="103">
        <f>VLOOKUP(D879,Lookup!$J$5:$M$19,4,FALSE)-E879</f>
        <v>660</v>
      </c>
      <c r="H879" s="103">
        <f>VLOOKUP(D879,Lookup!$J$5:$K$19,2,FALSE)</f>
        <v>15</v>
      </c>
      <c r="I879" s="103">
        <f ca="1">IFERROR(VLOOKUP(G879,OFFSET(Lookup!$J$21,1,H879-1,5,1),1,1),0)</f>
        <v>600</v>
      </c>
    </row>
    <row r="880" spans="2:9" x14ac:dyDescent="0.25">
      <c r="B880" s="96">
        <v>102</v>
      </c>
      <c r="C880" s="1">
        <v>0.99999999994179234</v>
      </c>
      <c r="D880" s="103" t="str">
        <f t="shared" si="42"/>
        <v>TC2</v>
      </c>
      <c r="E880" s="103">
        <f t="shared" si="43"/>
        <v>102</v>
      </c>
      <c r="F880" s="117">
        <f t="shared" si="44"/>
        <v>0.99999999994179234</v>
      </c>
      <c r="G880" s="103">
        <f>VLOOKUP(D880,Lookup!$J$5:$M$19,4,FALSE)-E880</f>
        <v>658</v>
      </c>
      <c r="H880" s="103">
        <f>VLOOKUP(D880,Lookup!$J$5:$K$19,2,FALSE)</f>
        <v>15</v>
      </c>
      <c r="I880" s="103">
        <f ca="1">IFERROR(VLOOKUP(G880,OFFSET(Lookup!$J$21,1,H880-1,5,1),1,1),0)</f>
        <v>600</v>
      </c>
    </row>
    <row r="881" spans="2:9" x14ac:dyDescent="0.25">
      <c r="B881" s="96">
        <v>103</v>
      </c>
      <c r="C881" s="1">
        <v>17.550000000104774</v>
      </c>
      <c r="D881" s="103" t="str">
        <f t="shared" si="42"/>
        <v>TC2</v>
      </c>
      <c r="E881" s="103">
        <f t="shared" si="43"/>
        <v>103</v>
      </c>
      <c r="F881" s="117">
        <f t="shared" si="44"/>
        <v>17.550000000104774</v>
      </c>
      <c r="G881" s="103">
        <f>VLOOKUP(D881,Lookup!$J$5:$M$19,4,FALSE)-E881</f>
        <v>657</v>
      </c>
      <c r="H881" s="103">
        <f>VLOOKUP(D881,Lookup!$J$5:$K$19,2,FALSE)</f>
        <v>15</v>
      </c>
      <c r="I881" s="103">
        <f ca="1">IFERROR(VLOOKUP(G881,OFFSET(Lookup!$J$21,1,H881-1,5,1),1,1),0)</f>
        <v>600</v>
      </c>
    </row>
    <row r="882" spans="2:9" x14ac:dyDescent="0.25">
      <c r="B882" s="96">
        <v>107</v>
      </c>
      <c r="C882" s="1">
        <v>68.8333333338378</v>
      </c>
      <c r="D882" s="103" t="str">
        <f t="shared" si="42"/>
        <v>TC2</v>
      </c>
      <c r="E882" s="103">
        <f t="shared" si="43"/>
        <v>107</v>
      </c>
      <c r="F882" s="117">
        <f t="shared" si="44"/>
        <v>68.8333333338378</v>
      </c>
      <c r="G882" s="103">
        <f>VLOOKUP(D882,Lookup!$J$5:$M$19,4,FALSE)-E882</f>
        <v>653</v>
      </c>
      <c r="H882" s="103">
        <f>VLOOKUP(D882,Lookup!$J$5:$K$19,2,FALSE)</f>
        <v>15</v>
      </c>
      <c r="I882" s="103">
        <f ca="1">IFERROR(VLOOKUP(G882,OFFSET(Lookup!$J$21,1,H882-1,5,1),1,1),0)</f>
        <v>600</v>
      </c>
    </row>
    <row r="883" spans="2:9" x14ac:dyDescent="0.25">
      <c r="B883" s="96">
        <v>108</v>
      </c>
      <c r="C883" s="1">
        <v>20.550000000104774</v>
      </c>
      <c r="D883" s="103" t="str">
        <f t="shared" si="42"/>
        <v>TC2</v>
      </c>
      <c r="E883" s="103">
        <f t="shared" si="43"/>
        <v>108</v>
      </c>
      <c r="F883" s="117">
        <f t="shared" si="44"/>
        <v>20.550000000104774</v>
      </c>
      <c r="G883" s="103">
        <f>VLOOKUP(D883,Lookup!$J$5:$M$19,4,FALSE)-E883</f>
        <v>652</v>
      </c>
      <c r="H883" s="103">
        <f>VLOOKUP(D883,Lookup!$J$5:$K$19,2,FALSE)</f>
        <v>15</v>
      </c>
      <c r="I883" s="103">
        <f ca="1">IFERROR(VLOOKUP(G883,OFFSET(Lookup!$J$21,1,H883-1,5,1),1,1),0)</f>
        <v>600</v>
      </c>
    </row>
    <row r="884" spans="2:9" x14ac:dyDescent="0.25">
      <c r="B884" s="96">
        <v>109</v>
      </c>
      <c r="C884" s="1">
        <v>2.4999999999417923</v>
      </c>
      <c r="D884" s="103" t="str">
        <f t="shared" si="42"/>
        <v>TC2</v>
      </c>
      <c r="E884" s="103">
        <f t="shared" si="43"/>
        <v>109</v>
      </c>
      <c r="F884" s="117">
        <f t="shared" si="44"/>
        <v>2.4999999999417923</v>
      </c>
      <c r="G884" s="103">
        <f>VLOOKUP(D884,Lookup!$J$5:$M$19,4,FALSE)-E884</f>
        <v>651</v>
      </c>
      <c r="H884" s="103">
        <f>VLOOKUP(D884,Lookup!$J$5:$K$19,2,FALSE)</f>
        <v>15</v>
      </c>
      <c r="I884" s="103">
        <f ca="1">IFERROR(VLOOKUP(G884,OFFSET(Lookup!$J$21,1,H884-1,5,1),1,1),0)</f>
        <v>600</v>
      </c>
    </row>
    <row r="885" spans="2:9" x14ac:dyDescent="0.25">
      <c r="B885" s="96">
        <v>112</v>
      </c>
      <c r="C885" s="1">
        <v>1.316666666592937</v>
      </c>
      <c r="D885" s="103" t="str">
        <f t="shared" si="42"/>
        <v>TC2</v>
      </c>
      <c r="E885" s="103">
        <f t="shared" si="43"/>
        <v>112</v>
      </c>
      <c r="F885" s="117">
        <f t="shared" si="44"/>
        <v>1.316666666592937</v>
      </c>
      <c r="G885" s="103">
        <f>VLOOKUP(D885,Lookup!$J$5:$M$19,4,FALSE)-E885</f>
        <v>648</v>
      </c>
      <c r="H885" s="103">
        <f>VLOOKUP(D885,Lookup!$J$5:$K$19,2,FALSE)</f>
        <v>15</v>
      </c>
      <c r="I885" s="103">
        <f ca="1">IFERROR(VLOOKUP(G885,OFFSET(Lookup!$J$21,1,H885-1,5,1),1,1),0)</f>
        <v>600</v>
      </c>
    </row>
    <row r="886" spans="2:9" x14ac:dyDescent="0.25">
      <c r="B886" s="96">
        <v>114</v>
      </c>
      <c r="C886" s="1">
        <v>1.6166666666977108</v>
      </c>
      <c r="D886" s="103" t="str">
        <f t="shared" si="42"/>
        <v>TC2</v>
      </c>
      <c r="E886" s="103">
        <f t="shared" si="43"/>
        <v>114</v>
      </c>
      <c r="F886" s="117">
        <f t="shared" si="44"/>
        <v>1.6166666666977108</v>
      </c>
      <c r="G886" s="103">
        <f>VLOOKUP(D886,Lookup!$J$5:$M$19,4,FALSE)-E886</f>
        <v>646</v>
      </c>
      <c r="H886" s="103">
        <f>VLOOKUP(D886,Lookup!$J$5:$K$19,2,FALSE)</f>
        <v>15</v>
      </c>
      <c r="I886" s="103">
        <f ca="1">IFERROR(VLOOKUP(G886,OFFSET(Lookup!$J$21,1,H886-1,5,1),1,1),0)</f>
        <v>600</v>
      </c>
    </row>
    <row r="887" spans="2:9" x14ac:dyDescent="0.25">
      <c r="B887" s="96">
        <v>117</v>
      </c>
      <c r="C887" s="1">
        <v>9.3833333331858739</v>
      </c>
      <c r="D887" s="103" t="str">
        <f t="shared" si="42"/>
        <v>TC2</v>
      </c>
      <c r="E887" s="103">
        <f t="shared" si="43"/>
        <v>117</v>
      </c>
      <c r="F887" s="117">
        <f t="shared" si="44"/>
        <v>9.3833333331858739</v>
      </c>
      <c r="G887" s="103">
        <f>VLOOKUP(D887,Lookup!$J$5:$M$19,4,FALSE)-E887</f>
        <v>643</v>
      </c>
      <c r="H887" s="103">
        <f>VLOOKUP(D887,Lookup!$J$5:$K$19,2,FALSE)</f>
        <v>15</v>
      </c>
      <c r="I887" s="103">
        <f ca="1">IFERROR(VLOOKUP(G887,OFFSET(Lookup!$J$21,1,H887-1,5,1),1,1),0)</f>
        <v>600</v>
      </c>
    </row>
    <row r="888" spans="2:9" x14ac:dyDescent="0.25">
      <c r="B888" s="96">
        <v>118</v>
      </c>
      <c r="C888" s="1">
        <v>20.533333333209157</v>
      </c>
      <c r="D888" s="103" t="str">
        <f t="shared" si="42"/>
        <v>TC2</v>
      </c>
      <c r="E888" s="103">
        <f t="shared" si="43"/>
        <v>118</v>
      </c>
      <c r="F888" s="117">
        <f t="shared" si="44"/>
        <v>20.533333333209157</v>
      </c>
      <c r="G888" s="103">
        <f>VLOOKUP(D888,Lookup!$J$5:$M$19,4,FALSE)-E888</f>
        <v>642</v>
      </c>
      <c r="H888" s="103">
        <f>VLOOKUP(D888,Lookup!$J$5:$K$19,2,FALSE)</f>
        <v>15</v>
      </c>
      <c r="I888" s="103">
        <f ca="1">IFERROR(VLOOKUP(G888,OFFSET(Lookup!$J$21,1,H888-1,5,1),1,1),0)</f>
        <v>600</v>
      </c>
    </row>
    <row r="889" spans="2:9" x14ac:dyDescent="0.25">
      <c r="B889" s="96">
        <v>119</v>
      </c>
      <c r="C889" s="1">
        <v>54.75</v>
      </c>
      <c r="D889" s="103" t="str">
        <f t="shared" si="42"/>
        <v>TC2</v>
      </c>
      <c r="E889" s="103">
        <f t="shared" si="43"/>
        <v>119</v>
      </c>
      <c r="F889" s="117">
        <f t="shared" si="44"/>
        <v>54.75</v>
      </c>
      <c r="G889" s="103">
        <f>VLOOKUP(D889,Lookup!$J$5:$M$19,4,FALSE)-E889</f>
        <v>641</v>
      </c>
      <c r="H889" s="103">
        <f>VLOOKUP(D889,Lookup!$J$5:$K$19,2,FALSE)</f>
        <v>15</v>
      </c>
      <c r="I889" s="103">
        <f ca="1">IFERROR(VLOOKUP(G889,OFFSET(Lookup!$J$21,1,H889-1,5,1),1,1),0)</f>
        <v>600</v>
      </c>
    </row>
    <row r="890" spans="2:9" x14ac:dyDescent="0.25">
      <c r="B890" s="96">
        <v>122</v>
      </c>
      <c r="C890" s="1">
        <v>0.81666666670935228</v>
      </c>
      <c r="D890" s="103" t="str">
        <f t="shared" si="42"/>
        <v>TC2</v>
      </c>
      <c r="E890" s="103">
        <f t="shared" si="43"/>
        <v>122</v>
      </c>
      <c r="F890" s="117">
        <f t="shared" si="44"/>
        <v>0.81666666670935228</v>
      </c>
      <c r="G890" s="103">
        <f>VLOOKUP(D890,Lookup!$J$5:$M$19,4,FALSE)-E890</f>
        <v>638</v>
      </c>
      <c r="H890" s="103">
        <f>VLOOKUP(D890,Lookup!$J$5:$K$19,2,FALSE)</f>
        <v>15</v>
      </c>
      <c r="I890" s="103">
        <f ca="1">IFERROR(VLOOKUP(G890,OFFSET(Lookup!$J$21,1,H890-1,5,1),1,1),0)</f>
        <v>600</v>
      </c>
    </row>
    <row r="891" spans="2:9" x14ac:dyDescent="0.25">
      <c r="B891" s="96">
        <v>127</v>
      </c>
      <c r="C891" s="1">
        <v>17.133333333302289</v>
      </c>
      <c r="D891" s="103" t="str">
        <f t="shared" si="42"/>
        <v>TC2</v>
      </c>
      <c r="E891" s="103">
        <f t="shared" si="43"/>
        <v>127</v>
      </c>
      <c r="F891" s="117">
        <f t="shared" si="44"/>
        <v>17.133333333302289</v>
      </c>
      <c r="G891" s="103">
        <f>VLOOKUP(D891,Lookup!$J$5:$M$19,4,FALSE)-E891</f>
        <v>633</v>
      </c>
      <c r="H891" s="103">
        <f>VLOOKUP(D891,Lookup!$J$5:$K$19,2,FALSE)</f>
        <v>15</v>
      </c>
      <c r="I891" s="103">
        <f ca="1">IFERROR(VLOOKUP(G891,OFFSET(Lookup!$J$21,1,H891-1,5,1),1,1),0)</f>
        <v>600</v>
      </c>
    </row>
    <row r="892" spans="2:9" x14ac:dyDescent="0.25">
      <c r="B892" s="96">
        <v>128</v>
      </c>
      <c r="C892" s="1">
        <v>31.599999999976717</v>
      </c>
      <c r="D892" s="103" t="str">
        <f t="shared" si="42"/>
        <v>TC2</v>
      </c>
      <c r="E892" s="103">
        <f t="shared" si="43"/>
        <v>128</v>
      </c>
      <c r="F892" s="117">
        <f t="shared" si="44"/>
        <v>31.599999999976717</v>
      </c>
      <c r="G892" s="103">
        <f>VLOOKUP(D892,Lookup!$J$5:$M$19,4,FALSE)-E892</f>
        <v>632</v>
      </c>
      <c r="H892" s="103">
        <f>VLOOKUP(D892,Lookup!$J$5:$K$19,2,FALSE)</f>
        <v>15</v>
      </c>
      <c r="I892" s="103">
        <f ca="1">IFERROR(VLOOKUP(G892,OFFSET(Lookup!$J$21,1,H892-1,5,1),1,1),0)</f>
        <v>600</v>
      </c>
    </row>
    <row r="893" spans="2:9" x14ac:dyDescent="0.25">
      <c r="B893" s="96">
        <v>129</v>
      </c>
      <c r="C893" s="1">
        <v>11.250000000174623</v>
      </c>
      <c r="D893" s="103" t="str">
        <f t="shared" si="42"/>
        <v>TC2</v>
      </c>
      <c r="E893" s="103">
        <f t="shared" si="43"/>
        <v>129</v>
      </c>
      <c r="F893" s="117">
        <f t="shared" si="44"/>
        <v>11.250000000174623</v>
      </c>
      <c r="G893" s="103">
        <f>VLOOKUP(D893,Lookup!$J$5:$M$19,4,FALSE)-E893</f>
        <v>631</v>
      </c>
      <c r="H893" s="103">
        <f>VLOOKUP(D893,Lookup!$J$5:$K$19,2,FALSE)</f>
        <v>15</v>
      </c>
      <c r="I893" s="103">
        <f ca="1">IFERROR(VLOOKUP(G893,OFFSET(Lookup!$J$21,1,H893-1,5,1),1,1),0)</f>
        <v>600</v>
      </c>
    </row>
    <row r="894" spans="2:9" x14ac:dyDescent="0.25">
      <c r="B894" s="96">
        <v>130</v>
      </c>
      <c r="C894" s="1">
        <v>4.7500000001164153</v>
      </c>
      <c r="D894" s="103" t="str">
        <f t="shared" si="42"/>
        <v>TC2</v>
      </c>
      <c r="E894" s="103">
        <f t="shared" si="43"/>
        <v>130</v>
      </c>
      <c r="F894" s="117">
        <f t="shared" si="44"/>
        <v>4.7500000001164153</v>
      </c>
      <c r="G894" s="103">
        <f>VLOOKUP(D894,Lookup!$J$5:$M$19,4,FALSE)-E894</f>
        <v>630</v>
      </c>
      <c r="H894" s="103">
        <f>VLOOKUP(D894,Lookup!$J$5:$K$19,2,FALSE)</f>
        <v>15</v>
      </c>
      <c r="I894" s="103">
        <f ca="1">IFERROR(VLOOKUP(G894,OFFSET(Lookup!$J$21,1,H894-1,5,1),1,1),0)</f>
        <v>600</v>
      </c>
    </row>
    <row r="895" spans="2:9" x14ac:dyDescent="0.25">
      <c r="B895" s="96">
        <v>131</v>
      </c>
      <c r="C895" s="1">
        <v>2.0000000000582077</v>
      </c>
      <c r="D895" s="103" t="str">
        <f t="shared" si="42"/>
        <v>TC2</v>
      </c>
      <c r="E895" s="103">
        <f t="shared" si="43"/>
        <v>131</v>
      </c>
      <c r="F895" s="117">
        <f t="shared" si="44"/>
        <v>2.0000000000582077</v>
      </c>
      <c r="G895" s="103">
        <f>VLOOKUP(D895,Lookup!$J$5:$M$19,4,FALSE)-E895</f>
        <v>629</v>
      </c>
      <c r="H895" s="103">
        <f>VLOOKUP(D895,Lookup!$J$5:$K$19,2,FALSE)</f>
        <v>15</v>
      </c>
      <c r="I895" s="103">
        <f ca="1">IFERROR(VLOOKUP(G895,OFFSET(Lookup!$J$21,1,H895-1,5,1),1,1),0)</f>
        <v>600</v>
      </c>
    </row>
    <row r="896" spans="2:9" x14ac:dyDescent="0.25">
      <c r="B896" s="96">
        <v>132</v>
      </c>
      <c r="C896" s="1">
        <v>3</v>
      </c>
      <c r="D896" s="103" t="str">
        <f t="shared" si="42"/>
        <v>TC2</v>
      </c>
      <c r="E896" s="103">
        <f t="shared" si="43"/>
        <v>132</v>
      </c>
      <c r="F896" s="117">
        <f t="shared" si="44"/>
        <v>3</v>
      </c>
      <c r="G896" s="103">
        <f>VLOOKUP(D896,Lookup!$J$5:$M$19,4,FALSE)-E896</f>
        <v>628</v>
      </c>
      <c r="H896" s="103">
        <f>VLOOKUP(D896,Lookup!$J$5:$K$19,2,FALSE)</f>
        <v>15</v>
      </c>
      <c r="I896" s="103">
        <f ca="1">IFERROR(VLOOKUP(G896,OFFSET(Lookup!$J$21,1,H896-1,5,1),1,1),0)</f>
        <v>600</v>
      </c>
    </row>
    <row r="897" spans="2:9" x14ac:dyDescent="0.25">
      <c r="B897" s="96">
        <v>136</v>
      </c>
      <c r="C897" s="1">
        <v>54.366666666290257</v>
      </c>
      <c r="D897" s="103" t="str">
        <f t="shared" si="42"/>
        <v>TC2</v>
      </c>
      <c r="E897" s="103">
        <f t="shared" si="43"/>
        <v>136</v>
      </c>
      <c r="F897" s="117">
        <f t="shared" si="44"/>
        <v>54.366666666290257</v>
      </c>
      <c r="G897" s="103">
        <f>VLOOKUP(D897,Lookup!$J$5:$M$19,4,FALSE)-E897</f>
        <v>624</v>
      </c>
      <c r="H897" s="103">
        <f>VLOOKUP(D897,Lookup!$J$5:$K$19,2,FALSE)</f>
        <v>15</v>
      </c>
      <c r="I897" s="103">
        <f ca="1">IFERROR(VLOOKUP(G897,OFFSET(Lookup!$J$21,1,H897-1,5,1),1,1),0)</f>
        <v>600</v>
      </c>
    </row>
    <row r="898" spans="2:9" x14ac:dyDescent="0.25">
      <c r="B898" s="96">
        <v>137</v>
      </c>
      <c r="C898" s="1">
        <v>26.049999999871943</v>
      </c>
      <c r="D898" s="103" t="str">
        <f t="shared" si="42"/>
        <v>TC2</v>
      </c>
      <c r="E898" s="103">
        <f t="shared" si="43"/>
        <v>137</v>
      </c>
      <c r="F898" s="117">
        <f t="shared" si="44"/>
        <v>26.049999999871943</v>
      </c>
      <c r="G898" s="103">
        <f>VLOOKUP(D898,Lookup!$J$5:$M$19,4,FALSE)-E898</f>
        <v>623</v>
      </c>
      <c r="H898" s="103">
        <f>VLOOKUP(D898,Lookup!$J$5:$K$19,2,FALSE)</f>
        <v>15</v>
      </c>
      <c r="I898" s="103">
        <f ca="1">IFERROR(VLOOKUP(G898,OFFSET(Lookup!$J$21,1,H898-1,5,1),1,1),0)</f>
        <v>600</v>
      </c>
    </row>
    <row r="899" spans="2:9" x14ac:dyDescent="0.25">
      <c r="B899" s="96">
        <v>138</v>
      </c>
      <c r="C899" s="1">
        <v>3.9999999999417923</v>
      </c>
      <c r="D899" s="103" t="str">
        <f t="shared" si="42"/>
        <v>TC2</v>
      </c>
      <c r="E899" s="103">
        <f t="shared" si="43"/>
        <v>138</v>
      </c>
      <c r="F899" s="117">
        <f t="shared" si="44"/>
        <v>3.9999999999417923</v>
      </c>
      <c r="G899" s="103">
        <f>VLOOKUP(D899,Lookup!$J$5:$M$19,4,FALSE)-E899</f>
        <v>622</v>
      </c>
      <c r="H899" s="103">
        <f>VLOOKUP(D899,Lookup!$J$5:$K$19,2,FALSE)</f>
        <v>15</v>
      </c>
      <c r="I899" s="103">
        <f ca="1">IFERROR(VLOOKUP(G899,OFFSET(Lookup!$J$21,1,H899-1,5,1),1,1),0)</f>
        <v>600</v>
      </c>
    </row>
    <row r="900" spans="2:9" x14ac:dyDescent="0.25">
      <c r="B900" s="96">
        <v>139</v>
      </c>
      <c r="C900" s="1">
        <v>9.4999999998835847</v>
      </c>
      <c r="D900" s="103" t="str">
        <f t="shared" si="42"/>
        <v>TC2</v>
      </c>
      <c r="E900" s="103">
        <f t="shared" si="43"/>
        <v>139</v>
      </c>
      <c r="F900" s="117">
        <f t="shared" si="44"/>
        <v>9.4999999998835847</v>
      </c>
      <c r="G900" s="103">
        <f>VLOOKUP(D900,Lookup!$J$5:$M$19,4,FALSE)-E900</f>
        <v>621</v>
      </c>
      <c r="H900" s="103">
        <f>VLOOKUP(D900,Lookup!$J$5:$K$19,2,FALSE)</f>
        <v>15</v>
      </c>
      <c r="I900" s="103">
        <f ca="1">IFERROR(VLOOKUP(G900,OFFSET(Lookup!$J$21,1,H900-1,5,1),1,1),0)</f>
        <v>600</v>
      </c>
    </row>
    <row r="901" spans="2:9" x14ac:dyDescent="0.25">
      <c r="B901" s="96">
        <v>155</v>
      </c>
      <c r="C901" s="1">
        <v>4.9499999998952262</v>
      </c>
      <c r="D901" s="103" t="str">
        <f t="shared" si="42"/>
        <v>TC2</v>
      </c>
      <c r="E901" s="103">
        <f t="shared" si="43"/>
        <v>155</v>
      </c>
      <c r="F901" s="117">
        <f t="shared" si="44"/>
        <v>4.9499999998952262</v>
      </c>
      <c r="G901" s="103">
        <f>VLOOKUP(D901,Lookup!$J$5:$M$19,4,FALSE)-E901</f>
        <v>605</v>
      </c>
      <c r="H901" s="103">
        <f>VLOOKUP(D901,Lookup!$J$5:$K$19,2,FALSE)</f>
        <v>15</v>
      </c>
      <c r="I901" s="103">
        <f ca="1">IFERROR(VLOOKUP(G901,OFFSET(Lookup!$J$21,1,H901-1,5,1),1,1),0)</f>
        <v>600</v>
      </c>
    </row>
    <row r="902" spans="2:9" x14ac:dyDescent="0.25">
      <c r="B902" s="96">
        <v>159</v>
      </c>
      <c r="C902" s="1">
        <v>2.25</v>
      </c>
      <c r="D902" s="103" t="str">
        <f t="shared" si="42"/>
        <v>TC2</v>
      </c>
      <c r="E902" s="103">
        <f t="shared" si="43"/>
        <v>159</v>
      </c>
      <c r="F902" s="117">
        <f t="shared" si="44"/>
        <v>2.25</v>
      </c>
      <c r="G902" s="103">
        <f>VLOOKUP(D902,Lookup!$J$5:$M$19,4,FALSE)-E902</f>
        <v>601</v>
      </c>
      <c r="H902" s="103">
        <f>VLOOKUP(D902,Lookup!$J$5:$K$19,2,FALSE)</f>
        <v>15</v>
      </c>
      <c r="I902" s="103">
        <f ca="1">IFERROR(VLOOKUP(G902,OFFSET(Lookup!$J$21,1,H902-1,5,1),1,1),0)</f>
        <v>600</v>
      </c>
    </row>
    <row r="903" spans="2:9" x14ac:dyDescent="0.25">
      <c r="B903" s="96">
        <v>160</v>
      </c>
      <c r="C903" s="1">
        <v>13.583333333255723</v>
      </c>
      <c r="D903" s="103" t="str">
        <f t="shared" si="42"/>
        <v>TC2</v>
      </c>
      <c r="E903" s="103">
        <f t="shared" si="43"/>
        <v>160</v>
      </c>
      <c r="F903" s="117">
        <f t="shared" si="44"/>
        <v>13.583333333255723</v>
      </c>
      <c r="G903" s="103">
        <f>VLOOKUP(D903,Lookup!$J$5:$M$19,4,FALSE)-E903</f>
        <v>600</v>
      </c>
      <c r="H903" s="103">
        <f>VLOOKUP(D903,Lookup!$J$5:$K$19,2,FALSE)</f>
        <v>15</v>
      </c>
      <c r="I903" s="103">
        <f ca="1">IFERROR(VLOOKUP(G903,OFFSET(Lookup!$J$21,1,H903-1,5,1),1,1),0)</f>
        <v>600</v>
      </c>
    </row>
    <row r="904" spans="2:9" x14ac:dyDescent="0.25">
      <c r="B904" s="96">
        <v>162</v>
      </c>
      <c r="C904" s="1">
        <v>0.49999999988358468</v>
      </c>
      <c r="D904" s="103" t="str">
        <f t="shared" si="42"/>
        <v>TC2</v>
      </c>
      <c r="E904" s="103">
        <f t="shared" si="43"/>
        <v>162</v>
      </c>
      <c r="F904" s="117">
        <f t="shared" si="44"/>
        <v>0.49999999988358468</v>
      </c>
      <c r="G904" s="103">
        <f>VLOOKUP(D904,Lookup!$J$5:$M$19,4,FALSE)-E904</f>
        <v>598</v>
      </c>
      <c r="H904" s="103">
        <f>VLOOKUP(D904,Lookup!$J$5:$K$19,2,FALSE)</f>
        <v>15</v>
      </c>
      <c r="I904" s="103">
        <f ca="1">IFERROR(VLOOKUP(G904,OFFSET(Lookup!$J$21,1,H904-1,5,1),1,1),0)</f>
        <v>570</v>
      </c>
    </row>
    <row r="905" spans="2:9" x14ac:dyDescent="0.25">
      <c r="B905" s="96">
        <v>164</v>
      </c>
      <c r="C905" s="1">
        <v>28.033333333209157</v>
      </c>
      <c r="D905" s="103" t="str">
        <f t="shared" ref="D905:D960" si="45">IF(A905="",D904,A905)</f>
        <v>TC2</v>
      </c>
      <c r="E905" s="103">
        <f t="shared" ref="E905:E960" si="46">IF(B905="",E904,B905)</f>
        <v>164</v>
      </c>
      <c r="F905" s="117">
        <f t="shared" ref="F905:F960" si="47">IF(C905="",F904,C905)</f>
        <v>28.033333333209157</v>
      </c>
      <c r="G905" s="103">
        <f>VLOOKUP(D905,Lookup!$J$5:$M$19,4,FALSE)-E905</f>
        <v>596</v>
      </c>
      <c r="H905" s="103">
        <f>VLOOKUP(D905,Lookup!$J$5:$K$19,2,FALSE)</f>
        <v>15</v>
      </c>
      <c r="I905" s="103">
        <f ca="1">IFERROR(VLOOKUP(G905,OFFSET(Lookup!$J$21,1,H905-1,5,1),1,1),0)</f>
        <v>570</v>
      </c>
    </row>
    <row r="906" spans="2:9" x14ac:dyDescent="0.25">
      <c r="B906" s="96">
        <v>165</v>
      </c>
      <c r="C906" s="1">
        <v>5.4166666665114462</v>
      </c>
      <c r="D906" s="103" t="str">
        <f t="shared" si="45"/>
        <v>TC2</v>
      </c>
      <c r="E906" s="103">
        <f t="shared" si="46"/>
        <v>165</v>
      </c>
      <c r="F906" s="117">
        <f t="shared" si="47"/>
        <v>5.4166666665114462</v>
      </c>
      <c r="G906" s="103">
        <f>VLOOKUP(D906,Lookup!$J$5:$M$19,4,FALSE)-E906</f>
        <v>595</v>
      </c>
      <c r="H906" s="103">
        <f>VLOOKUP(D906,Lookup!$J$5:$K$19,2,FALSE)</f>
        <v>15</v>
      </c>
      <c r="I906" s="103">
        <f ca="1">IFERROR(VLOOKUP(G906,OFFSET(Lookup!$J$21,1,H906-1,5,1),1,1),0)</f>
        <v>570</v>
      </c>
    </row>
    <row r="907" spans="2:9" x14ac:dyDescent="0.25">
      <c r="B907" s="96">
        <v>169</v>
      </c>
      <c r="C907" s="1">
        <v>0.68333333329064772</v>
      </c>
      <c r="D907" s="103" t="str">
        <f t="shared" si="45"/>
        <v>TC2</v>
      </c>
      <c r="E907" s="103">
        <f t="shared" si="46"/>
        <v>169</v>
      </c>
      <c r="F907" s="117">
        <f t="shared" si="47"/>
        <v>0.68333333329064772</v>
      </c>
      <c r="G907" s="103">
        <f>VLOOKUP(D907,Lookup!$J$5:$M$19,4,FALSE)-E907</f>
        <v>591</v>
      </c>
      <c r="H907" s="103">
        <f>VLOOKUP(D907,Lookup!$J$5:$K$19,2,FALSE)</f>
        <v>15</v>
      </c>
      <c r="I907" s="103">
        <f ca="1">IFERROR(VLOOKUP(G907,OFFSET(Lookup!$J$21,1,H907-1,5,1),1,1),0)</f>
        <v>570</v>
      </c>
    </row>
    <row r="908" spans="2:9" x14ac:dyDescent="0.25">
      <c r="B908" s="96">
        <v>174</v>
      </c>
      <c r="C908" s="1">
        <v>13.766666666662786</v>
      </c>
      <c r="D908" s="103" t="str">
        <f t="shared" si="45"/>
        <v>TC2</v>
      </c>
      <c r="E908" s="103">
        <f t="shared" si="46"/>
        <v>174</v>
      </c>
      <c r="F908" s="117">
        <f t="shared" si="47"/>
        <v>13.766666666662786</v>
      </c>
      <c r="G908" s="103">
        <f>VLOOKUP(D908,Lookup!$J$5:$M$19,4,FALSE)-E908</f>
        <v>586</v>
      </c>
      <c r="H908" s="103">
        <f>VLOOKUP(D908,Lookup!$J$5:$K$19,2,FALSE)</f>
        <v>15</v>
      </c>
      <c r="I908" s="103">
        <f ca="1">IFERROR(VLOOKUP(G908,OFFSET(Lookup!$J$21,1,H908-1,5,1),1,1),0)</f>
        <v>570</v>
      </c>
    </row>
    <row r="909" spans="2:9" x14ac:dyDescent="0.25">
      <c r="B909" s="96">
        <v>179</v>
      </c>
      <c r="C909" s="1">
        <v>12</v>
      </c>
      <c r="D909" s="103" t="str">
        <f t="shared" si="45"/>
        <v>TC2</v>
      </c>
      <c r="E909" s="103">
        <f t="shared" si="46"/>
        <v>179</v>
      </c>
      <c r="F909" s="117">
        <f t="shared" si="47"/>
        <v>12</v>
      </c>
      <c r="G909" s="103">
        <f>VLOOKUP(D909,Lookup!$J$5:$M$19,4,FALSE)-E909</f>
        <v>581</v>
      </c>
      <c r="H909" s="103">
        <f>VLOOKUP(D909,Lookup!$J$5:$K$19,2,FALSE)</f>
        <v>15</v>
      </c>
      <c r="I909" s="103">
        <f ca="1">IFERROR(VLOOKUP(G909,OFFSET(Lookup!$J$21,1,H909-1,5,1),1,1),0)</f>
        <v>570</v>
      </c>
    </row>
    <row r="910" spans="2:9" x14ac:dyDescent="0.25">
      <c r="B910" s="96">
        <v>183</v>
      </c>
      <c r="C910" s="1">
        <v>1.2333333333372138</v>
      </c>
      <c r="D910" s="103" t="str">
        <f t="shared" si="45"/>
        <v>TC2</v>
      </c>
      <c r="E910" s="103">
        <f t="shared" si="46"/>
        <v>183</v>
      </c>
      <c r="F910" s="117">
        <f t="shared" si="47"/>
        <v>1.2333333333372138</v>
      </c>
      <c r="G910" s="103">
        <f>VLOOKUP(D910,Lookup!$J$5:$M$19,4,FALSE)-E910</f>
        <v>577</v>
      </c>
      <c r="H910" s="103">
        <f>VLOOKUP(D910,Lookup!$J$5:$K$19,2,FALSE)</f>
        <v>15</v>
      </c>
      <c r="I910" s="103">
        <f ca="1">IFERROR(VLOOKUP(G910,OFFSET(Lookup!$J$21,1,H910-1,5,1),1,1),0)</f>
        <v>570</v>
      </c>
    </row>
    <row r="911" spans="2:9" x14ac:dyDescent="0.25">
      <c r="B911" s="96">
        <v>188</v>
      </c>
      <c r="C911" s="1">
        <v>8.7499999998835847</v>
      </c>
      <c r="D911" s="103" t="str">
        <f t="shared" si="45"/>
        <v>TC2</v>
      </c>
      <c r="E911" s="103">
        <f t="shared" si="46"/>
        <v>188</v>
      </c>
      <c r="F911" s="117">
        <f t="shared" si="47"/>
        <v>8.7499999998835847</v>
      </c>
      <c r="G911" s="103">
        <f>VLOOKUP(D911,Lookup!$J$5:$M$19,4,FALSE)-E911</f>
        <v>572</v>
      </c>
      <c r="H911" s="103">
        <f>VLOOKUP(D911,Lookup!$J$5:$K$19,2,FALSE)</f>
        <v>15</v>
      </c>
      <c r="I911" s="103">
        <f ca="1">IFERROR(VLOOKUP(G911,OFFSET(Lookup!$J$21,1,H911-1,5,1),1,1),0)</f>
        <v>570</v>
      </c>
    </row>
    <row r="912" spans="2:9" x14ac:dyDescent="0.25">
      <c r="B912" s="96">
        <v>190</v>
      </c>
      <c r="C912" s="1">
        <v>7.0000000001164153</v>
      </c>
      <c r="D912" s="103" t="str">
        <f t="shared" si="45"/>
        <v>TC2</v>
      </c>
      <c r="E912" s="103">
        <f t="shared" si="46"/>
        <v>190</v>
      </c>
      <c r="F912" s="117">
        <f t="shared" si="47"/>
        <v>7.0000000001164153</v>
      </c>
      <c r="G912" s="103">
        <f>VLOOKUP(D912,Lookup!$J$5:$M$19,4,FALSE)-E912</f>
        <v>570</v>
      </c>
      <c r="H912" s="103">
        <f>VLOOKUP(D912,Lookup!$J$5:$K$19,2,FALSE)</f>
        <v>15</v>
      </c>
      <c r="I912" s="103">
        <f ca="1">IFERROR(VLOOKUP(G912,OFFSET(Lookup!$J$21,1,H912-1,5,1),1,1),0)</f>
        <v>570</v>
      </c>
    </row>
    <row r="913" spans="2:9" x14ac:dyDescent="0.25">
      <c r="B913" s="96">
        <v>197</v>
      </c>
      <c r="C913" s="1">
        <v>6.1999999999534339</v>
      </c>
      <c r="D913" s="103" t="str">
        <f t="shared" si="45"/>
        <v>TC2</v>
      </c>
      <c r="E913" s="103">
        <f t="shared" si="46"/>
        <v>197</v>
      </c>
      <c r="F913" s="117">
        <f t="shared" si="47"/>
        <v>6.1999999999534339</v>
      </c>
      <c r="G913" s="103">
        <f>VLOOKUP(D913,Lookup!$J$5:$M$19,4,FALSE)-E913</f>
        <v>563</v>
      </c>
      <c r="H913" s="103">
        <f>VLOOKUP(D913,Lookup!$J$5:$K$19,2,FALSE)</f>
        <v>15</v>
      </c>
      <c r="I913" s="103">
        <f ca="1">IFERROR(VLOOKUP(G913,OFFSET(Lookup!$J$21,1,H913-1,5,1),1,1),0)</f>
        <v>440</v>
      </c>
    </row>
    <row r="914" spans="2:9" x14ac:dyDescent="0.25">
      <c r="B914" s="96">
        <v>202</v>
      </c>
      <c r="C914" s="1">
        <v>9.1333333334187046</v>
      </c>
      <c r="D914" s="103" t="str">
        <f t="shared" si="45"/>
        <v>TC2</v>
      </c>
      <c r="E914" s="103">
        <f t="shared" si="46"/>
        <v>202</v>
      </c>
      <c r="F914" s="117">
        <f t="shared" si="47"/>
        <v>9.1333333334187046</v>
      </c>
      <c r="G914" s="103">
        <f>VLOOKUP(D914,Lookup!$J$5:$M$19,4,FALSE)-E914</f>
        <v>558</v>
      </c>
      <c r="H914" s="103">
        <f>VLOOKUP(D914,Lookup!$J$5:$K$19,2,FALSE)</f>
        <v>15</v>
      </c>
      <c r="I914" s="103">
        <f ca="1">IFERROR(VLOOKUP(G914,OFFSET(Lookup!$J$21,1,H914-1,5,1),1,1),0)</f>
        <v>440</v>
      </c>
    </row>
    <row r="915" spans="2:9" x14ac:dyDescent="0.25">
      <c r="B915" s="96">
        <v>207</v>
      </c>
      <c r="C915" s="1">
        <v>6</v>
      </c>
      <c r="D915" s="103" t="str">
        <f t="shared" si="45"/>
        <v>TC2</v>
      </c>
      <c r="E915" s="103">
        <f t="shared" si="46"/>
        <v>207</v>
      </c>
      <c r="F915" s="117">
        <f t="shared" si="47"/>
        <v>6</v>
      </c>
      <c r="G915" s="103">
        <f>VLOOKUP(D915,Lookup!$J$5:$M$19,4,FALSE)-E915</f>
        <v>553</v>
      </c>
      <c r="H915" s="103">
        <f>VLOOKUP(D915,Lookup!$J$5:$K$19,2,FALSE)</f>
        <v>15</v>
      </c>
      <c r="I915" s="103">
        <f ca="1">IFERROR(VLOOKUP(G915,OFFSET(Lookup!$J$21,1,H915-1,5,1),1,1),0)</f>
        <v>440</v>
      </c>
    </row>
    <row r="916" spans="2:9" x14ac:dyDescent="0.25">
      <c r="B916" s="96">
        <v>212</v>
      </c>
      <c r="C916" s="1">
        <v>0.99999999994179234</v>
      </c>
      <c r="D916" s="103" t="str">
        <f t="shared" si="45"/>
        <v>TC2</v>
      </c>
      <c r="E916" s="103">
        <f t="shared" si="46"/>
        <v>212</v>
      </c>
      <c r="F916" s="117">
        <f t="shared" si="47"/>
        <v>0.99999999994179234</v>
      </c>
      <c r="G916" s="103">
        <f>VLOOKUP(D916,Lookup!$J$5:$M$19,4,FALSE)-E916</f>
        <v>548</v>
      </c>
      <c r="H916" s="103">
        <f>VLOOKUP(D916,Lookup!$J$5:$K$19,2,FALSE)</f>
        <v>15</v>
      </c>
      <c r="I916" s="103">
        <f ca="1">IFERROR(VLOOKUP(G916,OFFSET(Lookup!$J$21,1,H916-1,5,1),1,1),0)</f>
        <v>440</v>
      </c>
    </row>
    <row r="917" spans="2:9" x14ac:dyDescent="0.25">
      <c r="B917" s="96">
        <v>220</v>
      </c>
      <c r="C917" s="1">
        <v>0.11666666669771075</v>
      </c>
      <c r="D917" s="103" t="str">
        <f t="shared" si="45"/>
        <v>TC2</v>
      </c>
      <c r="E917" s="103">
        <f t="shared" si="46"/>
        <v>220</v>
      </c>
      <c r="F917" s="117">
        <f t="shared" si="47"/>
        <v>0.11666666669771075</v>
      </c>
      <c r="G917" s="103">
        <f>VLOOKUP(D917,Lookup!$J$5:$M$19,4,FALSE)-E917</f>
        <v>540</v>
      </c>
      <c r="H917" s="103">
        <f>VLOOKUP(D917,Lookup!$J$5:$K$19,2,FALSE)</f>
        <v>15</v>
      </c>
      <c r="I917" s="103">
        <f ca="1">IFERROR(VLOOKUP(G917,OFFSET(Lookup!$J$21,1,H917-1,5,1),1,1),0)</f>
        <v>440</v>
      </c>
    </row>
    <row r="918" spans="2:9" x14ac:dyDescent="0.25">
      <c r="B918" s="96">
        <v>221</v>
      </c>
      <c r="C918" s="1">
        <v>1.7666666666627862</v>
      </c>
      <c r="D918" s="103" t="str">
        <f t="shared" si="45"/>
        <v>TC2</v>
      </c>
      <c r="E918" s="103">
        <f t="shared" si="46"/>
        <v>221</v>
      </c>
      <c r="F918" s="117">
        <f t="shared" si="47"/>
        <v>1.7666666666627862</v>
      </c>
      <c r="G918" s="103">
        <f>VLOOKUP(D918,Lookup!$J$5:$M$19,4,FALSE)-E918</f>
        <v>539</v>
      </c>
      <c r="H918" s="103">
        <f>VLOOKUP(D918,Lookup!$J$5:$K$19,2,FALSE)</f>
        <v>15</v>
      </c>
      <c r="I918" s="103">
        <f ca="1">IFERROR(VLOOKUP(G918,OFFSET(Lookup!$J$21,1,H918-1,5,1),1,1),0)</f>
        <v>440</v>
      </c>
    </row>
    <row r="919" spans="2:9" x14ac:dyDescent="0.25">
      <c r="B919" s="96">
        <v>230</v>
      </c>
      <c r="C919" s="1">
        <v>11.000000000058208</v>
      </c>
      <c r="D919" s="103" t="str">
        <f t="shared" si="45"/>
        <v>TC2</v>
      </c>
      <c r="E919" s="103">
        <f t="shared" si="46"/>
        <v>230</v>
      </c>
      <c r="F919" s="117">
        <f t="shared" si="47"/>
        <v>11.000000000058208</v>
      </c>
      <c r="G919" s="103">
        <f>VLOOKUP(D919,Lookup!$J$5:$M$19,4,FALSE)-E919</f>
        <v>530</v>
      </c>
      <c r="H919" s="103">
        <f>VLOOKUP(D919,Lookup!$J$5:$K$19,2,FALSE)</f>
        <v>15</v>
      </c>
      <c r="I919" s="103">
        <f ca="1">IFERROR(VLOOKUP(G919,OFFSET(Lookup!$J$21,1,H919-1,5,1),1,1),0)</f>
        <v>440</v>
      </c>
    </row>
    <row r="920" spans="2:9" x14ac:dyDescent="0.25">
      <c r="B920" s="96">
        <v>231</v>
      </c>
      <c r="C920" s="1">
        <v>16.499999999825377</v>
      </c>
      <c r="D920" s="103" t="str">
        <f t="shared" si="45"/>
        <v>TC2</v>
      </c>
      <c r="E920" s="103">
        <f t="shared" si="46"/>
        <v>231</v>
      </c>
      <c r="F920" s="117">
        <f t="shared" si="47"/>
        <v>16.499999999825377</v>
      </c>
      <c r="G920" s="103">
        <f>VLOOKUP(D920,Lookup!$J$5:$M$19,4,FALSE)-E920</f>
        <v>529</v>
      </c>
      <c r="H920" s="103">
        <f>VLOOKUP(D920,Lookup!$J$5:$K$19,2,FALSE)</f>
        <v>15</v>
      </c>
      <c r="I920" s="103">
        <f ca="1">IFERROR(VLOOKUP(G920,OFFSET(Lookup!$J$21,1,H920-1,5,1),1,1),0)</f>
        <v>440</v>
      </c>
    </row>
    <row r="921" spans="2:9" x14ac:dyDescent="0.25">
      <c r="B921" s="96">
        <v>235</v>
      </c>
      <c r="C921" s="1">
        <v>5.0000000000582077</v>
      </c>
      <c r="D921" s="103" t="str">
        <f t="shared" si="45"/>
        <v>TC2</v>
      </c>
      <c r="E921" s="103">
        <f t="shared" si="46"/>
        <v>235</v>
      </c>
      <c r="F921" s="117">
        <f t="shared" si="47"/>
        <v>5.0000000000582077</v>
      </c>
      <c r="G921" s="103">
        <f>VLOOKUP(D921,Lookup!$J$5:$M$19,4,FALSE)-E921</f>
        <v>525</v>
      </c>
      <c r="H921" s="103">
        <f>VLOOKUP(D921,Lookup!$J$5:$K$19,2,FALSE)</f>
        <v>15</v>
      </c>
      <c r="I921" s="103">
        <f ca="1">IFERROR(VLOOKUP(G921,OFFSET(Lookup!$J$21,1,H921-1,5,1),1,1),0)</f>
        <v>440</v>
      </c>
    </row>
    <row r="922" spans="2:9" x14ac:dyDescent="0.25">
      <c r="B922" s="96">
        <v>238</v>
      </c>
      <c r="C922" s="1">
        <v>4.316666666592937</v>
      </c>
      <c r="D922" s="103" t="str">
        <f t="shared" si="45"/>
        <v>TC2</v>
      </c>
      <c r="E922" s="103">
        <f t="shared" si="46"/>
        <v>238</v>
      </c>
      <c r="F922" s="117">
        <f t="shared" si="47"/>
        <v>4.316666666592937</v>
      </c>
      <c r="G922" s="103">
        <f>VLOOKUP(D922,Lookup!$J$5:$M$19,4,FALSE)-E922</f>
        <v>522</v>
      </c>
      <c r="H922" s="103">
        <f>VLOOKUP(D922,Lookup!$J$5:$K$19,2,FALSE)</f>
        <v>15</v>
      </c>
      <c r="I922" s="103">
        <f ca="1">IFERROR(VLOOKUP(G922,OFFSET(Lookup!$J$21,1,H922-1,5,1),1,1),0)</f>
        <v>440</v>
      </c>
    </row>
    <row r="923" spans="2:9" x14ac:dyDescent="0.25">
      <c r="B923" s="96">
        <v>257</v>
      </c>
      <c r="C923" s="1">
        <v>8.5499999999301508</v>
      </c>
      <c r="D923" s="103" t="str">
        <f t="shared" si="45"/>
        <v>TC2</v>
      </c>
      <c r="E923" s="103">
        <f t="shared" si="46"/>
        <v>257</v>
      </c>
      <c r="F923" s="117">
        <f t="shared" si="47"/>
        <v>8.5499999999301508</v>
      </c>
      <c r="G923" s="103">
        <f>VLOOKUP(D923,Lookup!$J$5:$M$19,4,FALSE)-E923</f>
        <v>503</v>
      </c>
      <c r="H923" s="103">
        <f>VLOOKUP(D923,Lookup!$J$5:$K$19,2,FALSE)</f>
        <v>15</v>
      </c>
      <c r="I923" s="103">
        <f ca="1">IFERROR(VLOOKUP(G923,OFFSET(Lookup!$J$21,1,H923-1,5,1),1,1),0)</f>
        <v>440</v>
      </c>
    </row>
    <row r="924" spans="2:9" x14ac:dyDescent="0.25">
      <c r="B924" s="96">
        <v>269</v>
      </c>
      <c r="C924" s="1">
        <v>4.5</v>
      </c>
      <c r="D924" s="103" t="str">
        <f t="shared" si="45"/>
        <v>TC2</v>
      </c>
      <c r="E924" s="103">
        <f t="shared" si="46"/>
        <v>269</v>
      </c>
      <c r="F924" s="117">
        <f t="shared" si="47"/>
        <v>4.5</v>
      </c>
      <c r="G924" s="103">
        <f>VLOOKUP(D924,Lookup!$J$5:$M$19,4,FALSE)-E924</f>
        <v>491</v>
      </c>
      <c r="H924" s="103">
        <f>VLOOKUP(D924,Lookup!$J$5:$K$19,2,FALSE)</f>
        <v>15</v>
      </c>
      <c r="I924" s="103">
        <f ca="1">IFERROR(VLOOKUP(G924,OFFSET(Lookup!$J$21,1,H924-1,5,1),1,1),0)</f>
        <v>440</v>
      </c>
    </row>
    <row r="925" spans="2:9" x14ac:dyDescent="0.25">
      <c r="B925" s="96">
        <v>272</v>
      </c>
      <c r="C925" s="1">
        <v>0.54999999987194315</v>
      </c>
      <c r="D925" s="103" t="str">
        <f t="shared" si="45"/>
        <v>TC2</v>
      </c>
      <c r="E925" s="103">
        <f t="shared" si="46"/>
        <v>272</v>
      </c>
      <c r="F925" s="117">
        <f t="shared" si="47"/>
        <v>0.54999999987194315</v>
      </c>
      <c r="G925" s="103">
        <f>VLOOKUP(D925,Lookup!$J$5:$M$19,4,FALSE)-E925</f>
        <v>488</v>
      </c>
      <c r="H925" s="103">
        <f>VLOOKUP(D925,Lookup!$J$5:$K$19,2,FALSE)</f>
        <v>15</v>
      </c>
      <c r="I925" s="103">
        <f ca="1">IFERROR(VLOOKUP(G925,OFFSET(Lookup!$J$21,1,H925-1,5,1),1,1),0)</f>
        <v>440</v>
      </c>
    </row>
    <row r="926" spans="2:9" x14ac:dyDescent="0.25">
      <c r="B926" s="96">
        <v>277</v>
      </c>
      <c r="C926" s="1">
        <v>100.46666666673264</v>
      </c>
      <c r="D926" s="103" t="str">
        <f t="shared" si="45"/>
        <v>TC2</v>
      </c>
      <c r="E926" s="103">
        <f t="shared" si="46"/>
        <v>277</v>
      </c>
      <c r="F926" s="117">
        <f t="shared" si="47"/>
        <v>100.46666666673264</v>
      </c>
      <c r="G926" s="103">
        <f>VLOOKUP(D926,Lookup!$J$5:$M$19,4,FALSE)-E926</f>
        <v>483</v>
      </c>
      <c r="H926" s="103">
        <f>VLOOKUP(D926,Lookup!$J$5:$K$19,2,FALSE)</f>
        <v>15</v>
      </c>
      <c r="I926" s="103">
        <f ca="1">IFERROR(VLOOKUP(G926,OFFSET(Lookup!$J$21,1,H926-1,5,1),1,1),0)</f>
        <v>440</v>
      </c>
    </row>
    <row r="927" spans="2:9" x14ac:dyDescent="0.25">
      <c r="B927" s="96">
        <v>278</v>
      </c>
      <c r="C927" s="1">
        <v>6.000000000174623</v>
      </c>
      <c r="D927" s="103" t="str">
        <f t="shared" si="45"/>
        <v>TC2</v>
      </c>
      <c r="E927" s="103">
        <f t="shared" si="46"/>
        <v>278</v>
      </c>
      <c r="F927" s="117">
        <f t="shared" si="47"/>
        <v>6.000000000174623</v>
      </c>
      <c r="G927" s="103">
        <f>VLOOKUP(D927,Lookup!$J$5:$M$19,4,FALSE)-E927</f>
        <v>482</v>
      </c>
      <c r="H927" s="103">
        <f>VLOOKUP(D927,Lookup!$J$5:$K$19,2,FALSE)</f>
        <v>15</v>
      </c>
      <c r="I927" s="103">
        <f ca="1">IFERROR(VLOOKUP(G927,OFFSET(Lookup!$J$21,1,H927-1,5,1),1,1),0)</f>
        <v>440</v>
      </c>
    </row>
    <row r="928" spans="2:9" x14ac:dyDescent="0.25">
      <c r="B928" s="96">
        <v>279</v>
      </c>
      <c r="C928" s="1">
        <v>7.2500000000582077</v>
      </c>
      <c r="D928" s="103" t="str">
        <f t="shared" si="45"/>
        <v>TC2</v>
      </c>
      <c r="E928" s="103">
        <f t="shared" si="46"/>
        <v>279</v>
      </c>
      <c r="F928" s="117">
        <f t="shared" si="47"/>
        <v>7.2500000000582077</v>
      </c>
      <c r="G928" s="103">
        <f>VLOOKUP(D928,Lookup!$J$5:$M$19,4,FALSE)-E928</f>
        <v>481</v>
      </c>
      <c r="H928" s="103">
        <f>VLOOKUP(D928,Lookup!$J$5:$K$19,2,FALSE)</f>
        <v>15</v>
      </c>
      <c r="I928" s="103">
        <f ca="1">IFERROR(VLOOKUP(G928,OFFSET(Lookup!$J$21,1,H928-1,5,1),1,1),0)</f>
        <v>440</v>
      </c>
    </row>
    <row r="929" spans="2:9" x14ac:dyDescent="0.25">
      <c r="B929" s="96">
        <v>284</v>
      </c>
      <c r="C929" s="1">
        <v>7.033333333209157</v>
      </c>
      <c r="D929" s="103" t="str">
        <f t="shared" si="45"/>
        <v>TC2</v>
      </c>
      <c r="E929" s="103">
        <f t="shared" si="46"/>
        <v>284</v>
      </c>
      <c r="F929" s="117">
        <f t="shared" si="47"/>
        <v>7.033333333209157</v>
      </c>
      <c r="G929" s="103">
        <f>VLOOKUP(D929,Lookup!$J$5:$M$19,4,FALSE)-E929</f>
        <v>476</v>
      </c>
      <c r="H929" s="103">
        <f>VLOOKUP(D929,Lookup!$J$5:$K$19,2,FALSE)</f>
        <v>15</v>
      </c>
      <c r="I929" s="103">
        <f ca="1">IFERROR(VLOOKUP(G929,OFFSET(Lookup!$J$21,1,H929-1,5,1),1,1),0)</f>
        <v>440</v>
      </c>
    </row>
    <row r="930" spans="2:9" x14ac:dyDescent="0.25">
      <c r="B930" s="96">
        <v>288</v>
      </c>
      <c r="C930" s="1">
        <v>4.8333333333721384</v>
      </c>
      <c r="D930" s="103" t="str">
        <f t="shared" si="45"/>
        <v>TC2</v>
      </c>
      <c r="E930" s="103">
        <f t="shared" si="46"/>
        <v>288</v>
      </c>
      <c r="F930" s="117">
        <f t="shared" si="47"/>
        <v>4.8333333333721384</v>
      </c>
      <c r="G930" s="103">
        <f>VLOOKUP(D930,Lookup!$J$5:$M$19,4,FALSE)-E930</f>
        <v>472</v>
      </c>
      <c r="H930" s="103">
        <f>VLOOKUP(D930,Lookup!$J$5:$K$19,2,FALSE)</f>
        <v>15</v>
      </c>
      <c r="I930" s="103">
        <f ca="1">IFERROR(VLOOKUP(G930,OFFSET(Lookup!$J$21,1,H930-1,5,1),1,1),0)</f>
        <v>440</v>
      </c>
    </row>
    <row r="931" spans="2:9" x14ac:dyDescent="0.25">
      <c r="B931" s="96">
        <v>291</v>
      </c>
      <c r="C931" s="1">
        <v>5.5000000001164153</v>
      </c>
      <c r="D931" s="103" t="str">
        <f t="shared" si="45"/>
        <v>TC2</v>
      </c>
      <c r="E931" s="103">
        <f t="shared" si="46"/>
        <v>291</v>
      </c>
      <c r="F931" s="117">
        <f t="shared" si="47"/>
        <v>5.5000000001164153</v>
      </c>
      <c r="G931" s="103">
        <f>VLOOKUP(D931,Lookup!$J$5:$M$19,4,FALSE)-E931</f>
        <v>469</v>
      </c>
      <c r="H931" s="103">
        <f>VLOOKUP(D931,Lookup!$J$5:$K$19,2,FALSE)</f>
        <v>15</v>
      </c>
      <c r="I931" s="103">
        <f ca="1">IFERROR(VLOOKUP(G931,OFFSET(Lookup!$J$21,1,H931-1,5,1),1,1),0)</f>
        <v>440</v>
      </c>
    </row>
    <row r="932" spans="2:9" x14ac:dyDescent="0.25">
      <c r="B932" s="96">
        <v>296</v>
      </c>
      <c r="C932" s="1">
        <v>20.550000000104774</v>
      </c>
      <c r="D932" s="103" t="str">
        <f t="shared" si="45"/>
        <v>TC2</v>
      </c>
      <c r="E932" s="103">
        <f t="shared" si="46"/>
        <v>296</v>
      </c>
      <c r="F932" s="117">
        <f t="shared" si="47"/>
        <v>20.550000000104774</v>
      </c>
      <c r="G932" s="103">
        <f>VLOOKUP(D932,Lookup!$J$5:$M$19,4,FALSE)-E932</f>
        <v>464</v>
      </c>
      <c r="H932" s="103">
        <f>VLOOKUP(D932,Lookup!$J$5:$K$19,2,FALSE)</f>
        <v>15</v>
      </c>
      <c r="I932" s="103">
        <f ca="1">IFERROR(VLOOKUP(G932,OFFSET(Lookup!$J$21,1,H932-1,5,1),1,1),0)</f>
        <v>440</v>
      </c>
    </row>
    <row r="933" spans="2:9" x14ac:dyDescent="0.25">
      <c r="B933" s="96">
        <v>298</v>
      </c>
      <c r="C933" s="1">
        <v>0.36666666663950309</v>
      </c>
      <c r="D933" s="103" t="str">
        <f t="shared" si="45"/>
        <v>TC2</v>
      </c>
      <c r="E933" s="103">
        <f t="shared" si="46"/>
        <v>298</v>
      </c>
      <c r="F933" s="117">
        <f t="shared" si="47"/>
        <v>0.36666666663950309</v>
      </c>
      <c r="G933" s="103">
        <f>VLOOKUP(D933,Lookup!$J$5:$M$19,4,FALSE)-E933</f>
        <v>462</v>
      </c>
      <c r="H933" s="103">
        <f>VLOOKUP(D933,Lookup!$J$5:$K$19,2,FALSE)</f>
        <v>15</v>
      </c>
      <c r="I933" s="103">
        <f ca="1">IFERROR(VLOOKUP(G933,OFFSET(Lookup!$J$21,1,H933-1,5,1),1,1),0)</f>
        <v>440</v>
      </c>
    </row>
    <row r="934" spans="2:9" x14ac:dyDescent="0.25">
      <c r="B934" s="96">
        <v>301</v>
      </c>
      <c r="C934" s="1">
        <v>16.250000000058208</v>
      </c>
      <c r="D934" s="103" t="str">
        <f t="shared" si="45"/>
        <v>TC2</v>
      </c>
      <c r="E934" s="103">
        <f t="shared" si="46"/>
        <v>301</v>
      </c>
      <c r="F934" s="117">
        <f t="shared" si="47"/>
        <v>16.250000000058208</v>
      </c>
      <c r="G934" s="103">
        <f>VLOOKUP(D934,Lookup!$J$5:$M$19,4,FALSE)-E934</f>
        <v>459</v>
      </c>
      <c r="H934" s="103">
        <f>VLOOKUP(D934,Lookup!$J$5:$K$19,2,FALSE)</f>
        <v>15</v>
      </c>
      <c r="I934" s="103">
        <f ca="1">IFERROR(VLOOKUP(G934,OFFSET(Lookup!$J$21,1,H934-1,5,1),1,1),0)</f>
        <v>440</v>
      </c>
    </row>
    <row r="935" spans="2:9" x14ac:dyDescent="0.25">
      <c r="B935" s="96">
        <v>305</v>
      </c>
      <c r="C935" s="1">
        <v>3</v>
      </c>
      <c r="D935" s="103" t="str">
        <f t="shared" si="45"/>
        <v>TC2</v>
      </c>
      <c r="E935" s="103">
        <f t="shared" si="46"/>
        <v>305</v>
      </c>
      <c r="F935" s="117">
        <f t="shared" si="47"/>
        <v>3</v>
      </c>
      <c r="G935" s="103">
        <f>VLOOKUP(D935,Lookup!$J$5:$M$19,4,FALSE)-E935</f>
        <v>455</v>
      </c>
      <c r="H935" s="103">
        <f>VLOOKUP(D935,Lookup!$J$5:$K$19,2,FALSE)</f>
        <v>15</v>
      </c>
      <c r="I935" s="103">
        <f ca="1">IFERROR(VLOOKUP(G935,OFFSET(Lookup!$J$21,1,H935-1,5,1),1,1),0)</f>
        <v>440</v>
      </c>
    </row>
    <row r="936" spans="2:9" x14ac:dyDescent="0.25">
      <c r="B936" s="96">
        <v>306</v>
      </c>
      <c r="C936" s="1">
        <v>29.000000000058208</v>
      </c>
      <c r="D936" s="103" t="str">
        <f t="shared" si="45"/>
        <v>TC2</v>
      </c>
      <c r="E936" s="103">
        <f t="shared" si="46"/>
        <v>306</v>
      </c>
      <c r="F936" s="117">
        <f t="shared" si="47"/>
        <v>29.000000000058208</v>
      </c>
      <c r="G936" s="103">
        <f>VLOOKUP(D936,Lookup!$J$5:$M$19,4,FALSE)-E936</f>
        <v>454</v>
      </c>
      <c r="H936" s="103">
        <f>VLOOKUP(D936,Lookup!$J$5:$K$19,2,FALSE)</f>
        <v>15</v>
      </c>
      <c r="I936" s="103">
        <f ca="1">IFERROR(VLOOKUP(G936,OFFSET(Lookup!$J$21,1,H936-1,5,1),1,1),0)</f>
        <v>440</v>
      </c>
    </row>
    <row r="937" spans="2:9" x14ac:dyDescent="0.25">
      <c r="B937" s="96">
        <v>324</v>
      </c>
      <c r="C937" s="1">
        <v>18.999999999941792</v>
      </c>
      <c r="D937" s="103" t="str">
        <f t="shared" si="45"/>
        <v>TC2</v>
      </c>
      <c r="E937" s="103">
        <f t="shared" si="46"/>
        <v>324</v>
      </c>
      <c r="F937" s="117">
        <f t="shared" si="47"/>
        <v>18.999999999941792</v>
      </c>
      <c r="G937" s="103">
        <f>VLOOKUP(D937,Lookup!$J$5:$M$19,4,FALSE)-E937</f>
        <v>436</v>
      </c>
      <c r="H937" s="103">
        <f>VLOOKUP(D937,Lookup!$J$5:$K$19,2,FALSE)</f>
        <v>15</v>
      </c>
      <c r="I937" s="103">
        <f ca="1">IFERROR(VLOOKUP(G937,OFFSET(Lookup!$J$21,1,H937-1,5,1),1,1),0)</f>
        <v>0</v>
      </c>
    </row>
    <row r="938" spans="2:9" x14ac:dyDescent="0.25">
      <c r="B938" s="96">
        <v>325</v>
      </c>
      <c r="C938" s="1">
        <v>262.61666666634846</v>
      </c>
      <c r="D938" s="103" t="str">
        <f t="shared" si="45"/>
        <v>TC2</v>
      </c>
      <c r="E938" s="103">
        <f t="shared" si="46"/>
        <v>325</v>
      </c>
      <c r="F938" s="117">
        <f t="shared" si="47"/>
        <v>262.61666666634846</v>
      </c>
      <c r="G938" s="103">
        <f>VLOOKUP(D938,Lookup!$J$5:$M$19,4,FALSE)-E938</f>
        <v>435</v>
      </c>
      <c r="H938" s="103">
        <f>VLOOKUP(D938,Lookup!$J$5:$K$19,2,FALSE)</f>
        <v>15</v>
      </c>
      <c r="I938" s="103">
        <f ca="1">IFERROR(VLOOKUP(G938,OFFSET(Lookup!$J$21,1,H938-1,5,1),1,1),0)</f>
        <v>0</v>
      </c>
    </row>
    <row r="939" spans="2:9" x14ac:dyDescent="0.25">
      <c r="B939" s="96">
        <v>326</v>
      </c>
      <c r="C939" s="1">
        <v>231.96666666615056</v>
      </c>
      <c r="D939" s="103" t="str">
        <f t="shared" si="45"/>
        <v>TC2</v>
      </c>
      <c r="E939" s="103">
        <f t="shared" si="46"/>
        <v>326</v>
      </c>
      <c r="F939" s="117">
        <f t="shared" si="47"/>
        <v>231.96666666615056</v>
      </c>
      <c r="G939" s="103">
        <f>VLOOKUP(D939,Lookup!$J$5:$M$19,4,FALSE)-E939</f>
        <v>434</v>
      </c>
      <c r="H939" s="103">
        <f>VLOOKUP(D939,Lookup!$J$5:$K$19,2,FALSE)</f>
        <v>15</v>
      </c>
      <c r="I939" s="103">
        <f ca="1">IFERROR(VLOOKUP(G939,OFFSET(Lookup!$J$21,1,H939-1,5,1),1,1),0)</f>
        <v>0</v>
      </c>
    </row>
    <row r="940" spans="2:9" x14ac:dyDescent="0.25">
      <c r="B940" s="96">
        <v>329</v>
      </c>
      <c r="C940" s="1">
        <v>6.0833333334303461</v>
      </c>
      <c r="D940" s="103" t="str">
        <f t="shared" si="45"/>
        <v>TC2</v>
      </c>
      <c r="E940" s="103">
        <f t="shared" si="46"/>
        <v>329</v>
      </c>
      <c r="F940" s="117">
        <f t="shared" si="47"/>
        <v>6.0833333334303461</v>
      </c>
      <c r="G940" s="103">
        <f>VLOOKUP(D940,Lookup!$J$5:$M$19,4,FALSE)-E940</f>
        <v>431</v>
      </c>
      <c r="H940" s="103">
        <f>VLOOKUP(D940,Lookup!$J$5:$K$19,2,FALSE)</f>
        <v>15</v>
      </c>
      <c r="I940" s="103">
        <f ca="1">IFERROR(VLOOKUP(G940,OFFSET(Lookup!$J$21,1,H940-1,5,1),1,1),0)</f>
        <v>0</v>
      </c>
    </row>
    <row r="941" spans="2:9" x14ac:dyDescent="0.25">
      <c r="B941" s="96">
        <v>334</v>
      </c>
      <c r="C941" s="1">
        <v>38.499999999941792</v>
      </c>
      <c r="D941" s="103" t="str">
        <f t="shared" si="45"/>
        <v>TC2</v>
      </c>
      <c r="E941" s="103">
        <f t="shared" si="46"/>
        <v>334</v>
      </c>
      <c r="F941" s="117">
        <f t="shared" si="47"/>
        <v>38.499999999941792</v>
      </c>
      <c r="G941" s="103">
        <f>VLOOKUP(D941,Lookup!$J$5:$M$19,4,FALSE)-E941</f>
        <v>426</v>
      </c>
      <c r="H941" s="103">
        <f>VLOOKUP(D941,Lookup!$J$5:$K$19,2,FALSE)</f>
        <v>15</v>
      </c>
      <c r="I941" s="103">
        <f ca="1">IFERROR(VLOOKUP(G941,OFFSET(Lookup!$J$21,1,H941-1,5,1),1,1),0)</f>
        <v>0</v>
      </c>
    </row>
    <row r="942" spans="2:9" x14ac:dyDescent="0.25">
      <c r="B942" s="96">
        <v>335</v>
      </c>
      <c r="C942" s="1">
        <v>9.9999999999417923</v>
      </c>
      <c r="D942" s="103" t="str">
        <f t="shared" si="45"/>
        <v>TC2</v>
      </c>
      <c r="E942" s="103">
        <f t="shared" si="46"/>
        <v>335</v>
      </c>
      <c r="F942" s="117">
        <f t="shared" si="47"/>
        <v>9.9999999999417923</v>
      </c>
      <c r="G942" s="103">
        <f>VLOOKUP(D942,Lookup!$J$5:$M$19,4,FALSE)-E942</f>
        <v>425</v>
      </c>
      <c r="H942" s="103">
        <f>VLOOKUP(D942,Lookup!$J$5:$K$19,2,FALSE)</f>
        <v>15</v>
      </c>
      <c r="I942" s="103">
        <f ca="1">IFERROR(VLOOKUP(G942,OFFSET(Lookup!$J$21,1,H942-1,5,1),1,1),0)</f>
        <v>0</v>
      </c>
    </row>
    <row r="943" spans="2:9" x14ac:dyDescent="0.25">
      <c r="B943" s="96">
        <v>338</v>
      </c>
      <c r="C943" s="1">
        <v>59.899999999674037</v>
      </c>
      <c r="D943" s="103" t="str">
        <f t="shared" si="45"/>
        <v>TC2</v>
      </c>
      <c r="E943" s="103">
        <f t="shared" si="46"/>
        <v>338</v>
      </c>
      <c r="F943" s="117">
        <f t="shared" si="47"/>
        <v>59.899999999674037</v>
      </c>
      <c r="G943" s="103">
        <f>VLOOKUP(D943,Lookup!$J$5:$M$19,4,FALSE)-E943</f>
        <v>422</v>
      </c>
      <c r="H943" s="103">
        <f>VLOOKUP(D943,Lookup!$J$5:$K$19,2,FALSE)</f>
        <v>15</v>
      </c>
      <c r="I943" s="103">
        <f ca="1">IFERROR(VLOOKUP(G943,OFFSET(Lookup!$J$21,1,H943-1,5,1),1,1),0)</f>
        <v>0</v>
      </c>
    </row>
    <row r="944" spans="2:9" x14ac:dyDescent="0.25">
      <c r="B944" s="96">
        <v>339</v>
      </c>
      <c r="C944" s="1">
        <v>7.0166666666627862</v>
      </c>
      <c r="D944" s="103" t="str">
        <f t="shared" si="45"/>
        <v>TC2</v>
      </c>
      <c r="E944" s="103">
        <f t="shared" si="46"/>
        <v>339</v>
      </c>
      <c r="F944" s="117">
        <f t="shared" si="47"/>
        <v>7.0166666666627862</v>
      </c>
      <c r="G944" s="103">
        <f>VLOOKUP(D944,Lookup!$J$5:$M$19,4,FALSE)-E944</f>
        <v>421</v>
      </c>
      <c r="H944" s="103">
        <f>VLOOKUP(D944,Lookup!$J$5:$K$19,2,FALSE)</f>
        <v>15</v>
      </c>
      <c r="I944" s="103">
        <f ca="1">IFERROR(VLOOKUP(G944,OFFSET(Lookup!$J$21,1,H944-1,5,1),1,1),0)</f>
        <v>0</v>
      </c>
    </row>
    <row r="945" spans="2:9" x14ac:dyDescent="0.25">
      <c r="B945" s="96">
        <v>343</v>
      </c>
      <c r="C945" s="1">
        <v>92.89999999984866</v>
      </c>
      <c r="D945" s="103" t="str">
        <f t="shared" si="45"/>
        <v>TC2</v>
      </c>
      <c r="E945" s="103">
        <f t="shared" si="46"/>
        <v>343</v>
      </c>
      <c r="F945" s="117">
        <f t="shared" si="47"/>
        <v>92.89999999984866</v>
      </c>
      <c r="G945" s="103">
        <f>VLOOKUP(D945,Lookup!$J$5:$M$19,4,FALSE)-E945</f>
        <v>417</v>
      </c>
      <c r="H945" s="103">
        <f>VLOOKUP(D945,Lookup!$J$5:$K$19,2,FALSE)</f>
        <v>15</v>
      </c>
      <c r="I945" s="103">
        <f ca="1">IFERROR(VLOOKUP(G945,OFFSET(Lookup!$J$21,1,H945-1,5,1),1,1),0)</f>
        <v>0</v>
      </c>
    </row>
    <row r="946" spans="2:9" x14ac:dyDescent="0.25">
      <c r="B946" s="96">
        <v>348</v>
      </c>
      <c r="C946" s="1">
        <v>2.25</v>
      </c>
      <c r="D946" s="103" t="str">
        <f t="shared" si="45"/>
        <v>TC2</v>
      </c>
      <c r="E946" s="103">
        <f t="shared" si="46"/>
        <v>348</v>
      </c>
      <c r="F946" s="117">
        <f t="shared" si="47"/>
        <v>2.25</v>
      </c>
      <c r="G946" s="103">
        <f>VLOOKUP(D946,Lookup!$J$5:$M$19,4,FALSE)-E946</f>
        <v>412</v>
      </c>
      <c r="H946" s="103">
        <f>VLOOKUP(D946,Lookup!$J$5:$K$19,2,FALSE)</f>
        <v>15</v>
      </c>
      <c r="I946" s="103">
        <f ca="1">IFERROR(VLOOKUP(G946,OFFSET(Lookup!$J$21,1,H946-1,5,1),1,1),0)</f>
        <v>0</v>
      </c>
    </row>
    <row r="947" spans="2:9" x14ac:dyDescent="0.25">
      <c r="B947" s="96">
        <v>363</v>
      </c>
      <c r="C947" s="1">
        <v>21.666666666744277</v>
      </c>
      <c r="D947" s="103" t="str">
        <f t="shared" si="45"/>
        <v>TC2</v>
      </c>
      <c r="E947" s="103">
        <f t="shared" si="46"/>
        <v>363</v>
      </c>
      <c r="F947" s="117">
        <f t="shared" si="47"/>
        <v>21.666666666744277</v>
      </c>
      <c r="G947" s="103">
        <f>VLOOKUP(D947,Lookup!$J$5:$M$19,4,FALSE)-E947</f>
        <v>397</v>
      </c>
      <c r="H947" s="103">
        <f>VLOOKUP(D947,Lookup!$J$5:$K$19,2,FALSE)</f>
        <v>15</v>
      </c>
      <c r="I947" s="103">
        <f ca="1">IFERROR(VLOOKUP(G947,OFFSET(Lookup!$J$21,1,H947-1,5,1),1,1),0)</f>
        <v>0</v>
      </c>
    </row>
    <row r="948" spans="2:9" x14ac:dyDescent="0.25">
      <c r="B948" s="96">
        <v>371</v>
      </c>
      <c r="C948" s="1">
        <v>306.2833333335584</v>
      </c>
      <c r="D948" s="103" t="str">
        <f t="shared" si="45"/>
        <v>TC2</v>
      </c>
      <c r="E948" s="103">
        <f t="shared" si="46"/>
        <v>371</v>
      </c>
      <c r="F948" s="117">
        <f t="shared" si="47"/>
        <v>306.2833333335584</v>
      </c>
      <c r="G948" s="103">
        <f>VLOOKUP(D948,Lookup!$J$5:$M$19,4,FALSE)-E948</f>
        <v>389</v>
      </c>
      <c r="H948" s="103">
        <f>VLOOKUP(D948,Lookup!$J$5:$K$19,2,FALSE)</f>
        <v>15</v>
      </c>
      <c r="I948" s="103">
        <f ca="1">IFERROR(VLOOKUP(G948,OFFSET(Lookup!$J$21,1,H948-1,5,1),1,1),0)</f>
        <v>0</v>
      </c>
    </row>
    <row r="949" spans="2:9" x14ac:dyDescent="0.25">
      <c r="B949" s="96">
        <v>372</v>
      </c>
      <c r="C949" s="1">
        <v>10.999999999883585</v>
      </c>
      <c r="D949" s="103" t="str">
        <f t="shared" si="45"/>
        <v>TC2</v>
      </c>
      <c r="E949" s="103">
        <f t="shared" si="46"/>
        <v>372</v>
      </c>
      <c r="F949" s="117">
        <f t="shared" si="47"/>
        <v>10.999999999883585</v>
      </c>
      <c r="G949" s="103">
        <f>VLOOKUP(D949,Lookup!$J$5:$M$19,4,FALSE)-E949</f>
        <v>388</v>
      </c>
      <c r="H949" s="103">
        <f>VLOOKUP(D949,Lookup!$J$5:$K$19,2,FALSE)</f>
        <v>15</v>
      </c>
      <c r="I949" s="103">
        <f ca="1">IFERROR(VLOOKUP(G949,OFFSET(Lookup!$J$21,1,H949-1,5,1),1,1),0)</f>
        <v>0</v>
      </c>
    </row>
    <row r="950" spans="2:9" x14ac:dyDescent="0.25">
      <c r="B950" s="96">
        <v>381</v>
      </c>
      <c r="C950" s="1">
        <v>17.416666666686069</v>
      </c>
      <c r="D950" s="103" t="str">
        <f t="shared" si="45"/>
        <v>TC2</v>
      </c>
      <c r="E950" s="103">
        <f t="shared" si="46"/>
        <v>381</v>
      </c>
      <c r="F950" s="117">
        <f t="shared" si="47"/>
        <v>17.416666666686069</v>
      </c>
      <c r="G950" s="103">
        <f>VLOOKUP(D950,Lookup!$J$5:$M$19,4,FALSE)-E950</f>
        <v>379</v>
      </c>
      <c r="H950" s="103">
        <f>VLOOKUP(D950,Lookup!$J$5:$K$19,2,FALSE)</f>
        <v>15</v>
      </c>
      <c r="I950" s="103">
        <f ca="1">IFERROR(VLOOKUP(G950,OFFSET(Lookup!$J$21,1,H950-1,5,1),1,1),0)</f>
        <v>0</v>
      </c>
    </row>
    <row r="951" spans="2:9" x14ac:dyDescent="0.25">
      <c r="B951" s="96">
        <v>382</v>
      </c>
      <c r="C951" s="1">
        <v>6.0499999999883585</v>
      </c>
      <c r="D951" s="103" t="str">
        <f t="shared" si="45"/>
        <v>TC2</v>
      </c>
      <c r="E951" s="103">
        <f t="shared" si="46"/>
        <v>382</v>
      </c>
      <c r="F951" s="117">
        <f t="shared" si="47"/>
        <v>6.0499999999883585</v>
      </c>
      <c r="G951" s="103">
        <f>VLOOKUP(D951,Lookup!$J$5:$M$19,4,FALSE)-E951</f>
        <v>378</v>
      </c>
      <c r="H951" s="103">
        <f>VLOOKUP(D951,Lookup!$J$5:$K$19,2,FALSE)</f>
        <v>15</v>
      </c>
      <c r="I951" s="103">
        <f ca="1">IFERROR(VLOOKUP(G951,OFFSET(Lookup!$J$21,1,H951-1,5,1),1,1),0)</f>
        <v>0</v>
      </c>
    </row>
    <row r="952" spans="2:9" x14ac:dyDescent="0.25">
      <c r="B952" s="96">
        <v>395</v>
      </c>
      <c r="C952" s="1">
        <v>2.4999999999417923</v>
      </c>
      <c r="D952" s="103" t="str">
        <f t="shared" si="45"/>
        <v>TC2</v>
      </c>
      <c r="E952" s="103">
        <f t="shared" si="46"/>
        <v>395</v>
      </c>
      <c r="F952" s="117">
        <f t="shared" si="47"/>
        <v>2.4999999999417923</v>
      </c>
      <c r="G952" s="103">
        <f>VLOOKUP(D952,Lookup!$J$5:$M$19,4,FALSE)-E952</f>
        <v>365</v>
      </c>
      <c r="H952" s="103">
        <f>VLOOKUP(D952,Lookup!$J$5:$K$19,2,FALSE)</f>
        <v>15</v>
      </c>
      <c r="I952" s="103">
        <f ca="1">IFERROR(VLOOKUP(G952,OFFSET(Lookup!$J$21,1,H952-1,5,1),1,1),0)</f>
        <v>0</v>
      </c>
    </row>
    <row r="953" spans="2:9" x14ac:dyDescent="0.25">
      <c r="B953" s="96">
        <v>409</v>
      </c>
      <c r="C953" s="1">
        <v>5.3333333332557231</v>
      </c>
      <c r="D953" s="103" t="str">
        <f t="shared" si="45"/>
        <v>TC2</v>
      </c>
      <c r="E953" s="103">
        <f t="shared" si="46"/>
        <v>409</v>
      </c>
      <c r="F953" s="117">
        <f t="shared" si="47"/>
        <v>5.3333333332557231</v>
      </c>
      <c r="G953" s="103">
        <f>VLOOKUP(D953,Lookup!$J$5:$M$19,4,FALSE)-E953</f>
        <v>351</v>
      </c>
      <c r="H953" s="103">
        <f>VLOOKUP(D953,Lookup!$J$5:$K$19,2,FALSE)</f>
        <v>15</v>
      </c>
      <c r="I953" s="103">
        <f ca="1">IFERROR(VLOOKUP(G953,OFFSET(Lookup!$J$21,1,H953-1,5,1),1,1),0)</f>
        <v>0</v>
      </c>
    </row>
    <row r="954" spans="2:9" x14ac:dyDescent="0.25">
      <c r="B954" s="96">
        <v>418</v>
      </c>
      <c r="C954" s="1">
        <v>0.99999999994179234</v>
      </c>
      <c r="D954" s="103" t="str">
        <f t="shared" si="45"/>
        <v>TC2</v>
      </c>
      <c r="E954" s="103">
        <f t="shared" si="46"/>
        <v>418</v>
      </c>
      <c r="F954" s="117">
        <f t="shared" si="47"/>
        <v>0.99999999994179234</v>
      </c>
      <c r="G954" s="103">
        <f>VLOOKUP(D954,Lookup!$J$5:$M$19,4,FALSE)-E954</f>
        <v>342</v>
      </c>
      <c r="H954" s="103">
        <f>VLOOKUP(D954,Lookup!$J$5:$K$19,2,FALSE)</f>
        <v>15</v>
      </c>
      <c r="I954" s="103">
        <f ca="1">IFERROR(VLOOKUP(G954,OFFSET(Lookup!$J$21,1,H954-1,5,1),1,1),0)</f>
        <v>0</v>
      </c>
    </row>
    <row r="955" spans="2:9" x14ac:dyDescent="0.25">
      <c r="B955" s="96">
        <v>428</v>
      </c>
      <c r="C955" s="1">
        <v>6.4999999998835847</v>
      </c>
      <c r="D955" s="103" t="str">
        <f t="shared" si="45"/>
        <v>TC2</v>
      </c>
      <c r="E955" s="103">
        <f t="shared" si="46"/>
        <v>428</v>
      </c>
      <c r="F955" s="117">
        <f t="shared" si="47"/>
        <v>6.4999999998835847</v>
      </c>
      <c r="G955" s="103">
        <f>VLOOKUP(D955,Lookup!$J$5:$M$19,4,FALSE)-E955</f>
        <v>332</v>
      </c>
      <c r="H955" s="103">
        <f>VLOOKUP(D955,Lookup!$J$5:$K$19,2,FALSE)</f>
        <v>15</v>
      </c>
      <c r="I955" s="103">
        <f ca="1">IFERROR(VLOOKUP(G955,OFFSET(Lookup!$J$21,1,H955-1,5,1),1,1),0)</f>
        <v>0</v>
      </c>
    </row>
    <row r="956" spans="2:9" x14ac:dyDescent="0.25">
      <c r="B956" s="96">
        <v>473</v>
      </c>
      <c r="C956" s="1">
        <v>0.6000000000349246</v>
      </c>
      <c r="D956" s="103" t="str">
        <f t="shared" si="45"/>
        <v>TC2</v>
      </c>
      <c r="E956" s="103">
        <f t="shared" si="46"/>
        <v>473</v>
      </c>
      <c r="F956" s="117">
        <f t="shared" si="47"/>
        <v>0.6000000000349246</v>
      </c>
      <c r="G956" s="103">
        <f>VLOOKUP(D956,Lookup!$J$5:$M$19,4,FALSE)-E956</f>
        <v>287</v>
      </c>
      <c r="H956" s="103">
        <f>VLOOKUP(D956,Lookup!$J$5:$K$19,2,FALSE)</f>
        <v>15</v>
      </c>
      <c r="I956" s="103">
        <f ca="1">IFERROR(VLOOKUP(G956,OFFSET(Lookup!$J$21,1,H956-1,5,1),1,1),0)</f>
        <v>0</v>
      </c>
    </row>
    <row r="957" spans="2:9" x14ac:dyDescent="0.25">
      <c r="B957" s="96">
        <v>475</v>
      </c>
      <c r="C957" s="1">
        <v>1.9333333333488554</v>
      </c>
      <c r="D957" s="103" t="str">
        <f t="shared" si="45"/>
        <v>TC2</v>
      </c>
      <c r="E957" s="103">
        <f t="shared" si="46"/>
        <v>475</v>
      </c>
      <c r="F957" s="117">
        <f t="shared" si="47"/>
        <v>1.9333333333488554</v>
      </c>
      <c r="G957" s="103">
        <f>VLOOKUP(D957,Lookup!$J$5:$M$19,4,FALSE)-E957</f>
        <v>285</v>
      </c>
      <c r="H957" s="103">
        <f>VLOOKUP(D957,Lookup!$J$5:$K$19,2,FALSE)</f>
        <v>15</v>
      </c>
      <c r="I957" s="103">
        <f ca="1">IFERROR(VLOOKUP(G957,OFFSET(Lookup!$J$21,1,H957-1,5,1),1,1),0)</f>
        <v>0</v>
      </c>
    </row>
    <row r="958" spans="2:9" x14ac:dyDescent="0.25">
      <c r="B958" s="96">
        <v>489</v>
      </c>
      <c r="C958" s="1">
        <v>1.2333333333372138</v>
      </c>
      <c r="D958" s="103" t="str">
        <f t="shared" si="45"/>
        <v>TC2</v>
      </c>
      <c r="E958" s="103">
        <f t="shared" si="46"/>
        <v>489</v>
      </c>
      <c r="F958" s="117">
        <f t="shared" si="47"/>
        <v>1.2333333333372138</v>
      </c>
      <c r="G958" s="103">
        <f>VLOOKUP(D958,Lookup!$J$5:$M$19,4,FALSE)-E958</f>
        <v>271</v>
      </c>
      <c r="H958" s="103">
        <f>VLOOKUP(D958,Lookup!$J$5:$K$19,2,FALSE)</f>
        <v>15</v>
      </c>
      <c r="I958" s="103">
        <f ca="1">IFERROR(VLOOKUP(G958,OFFSET(Lookup!$J$21,1,H958-1,5,1),1,1),0)</f>
        <v>0</v>
      </c>
    </row>
    <row r="959" spans="2:9" x14ac:dyDescent="0.25">
      <c r="B959" s="96">
        <v>493</v>
      </c>
      <c r="C959" s="1">
        <v>4.8333333333721384</v>
      </c>
      <c r="D959" s="103" t="str">
        <f t="shared" si="45"/>
        <v>TC2</v>
      </c>
      <c r="E959" s="103">
        <f t="shared" si="46"/>
        <v>493</v>
      </c>
      <c r="F959" s="117">
        <f t="shared" si="47"/>
        <v>4.8333333333721384</v>
      </c>
      <c r="G959" s="103">
        <f>VLOOKUP(D959,Lookup!$J$5:$M$19,4,FALSE)-E959</f>
        <v>267</v>
      </c>
      <c r="H959" s="103">
        <f>VLOOKUP(D959,Lookup!$J$5:$K$19,2,FALSE)</f>
        <v>15</v>
      </c>
      <c r="I959" s="103">
        <f ca="1">IFERROR(VLOOKUP(G959,OFFSET(Lookup!$J$21,1,H959-1,5,1),1,1),0)</f>
        <v>0</v>
      </c>
    </row>
    <row r="960" spans="2:9" x14ac:dyDescent="0.25">
      <c r="B960" s="96">
        <v>498</v>
      </c>
      <c r="C960" s="1">
        <v>6.9999999999417923</v>
      </c>
      <c r="D960" s="103" t="str">
        <f t="shared" si="45"/>
        <v>TC2</v>
      </c>
      <c r="E960" s="103">
        <f t="shared" si="46"/>
        <v>498</v>
      </c>
      <c r="F960" s="117">
        <f t="shared" si="47"/>
        <v>6.9999999999417923</v>
      </c>
      <c r="G960" s="103">
        <f>VLOOKUP(D960,Lookup!$J$5:$M$19,4,FALSE)-E960</f>
        <v>262</v>
      </c>
      <c r="H960" s="103">
        <f>VLOOKUP(D960,Lookup!$J$5:$K$19,2,FALSE)</f>
        <v>15</v>
      </c>
      <c r="I960" s="103">
        <f ca="1">IFERROR(VLOOKUP(G960,OFFSET(Lookup!$J$21,1,H960-1,5,1),1,1),0)</f>
        <v>0</v>
      </c>
    </row>
    <row r="961" spans="1:9" x14ac:dyDescent="0.25">
      <c r="A961" s="103" t="s">
        <v>74</v>
      </c>
      <c r="C961" s="1">
        <v>69122.449999996636</v>
      </c>
      <c r="D961" s="103"/>
      <c r="E961" s="103"/>
      <c r="F961" s="117"/>
      <c r="G961" s="103"/>
      <c r="H961" s="103"/>
      <c r="I961" s="103"/>
    </row>
    <row r="962" spans="1:9" x14ac:dyDescent="0.25">
      <c r="D962" s="103"/>
      <c r="E962" s="103"/>
      <c r="F962" s="117"/>
      <c r="G962" s="103"/>
      <c r="H962" s="103"/>
      <c r="I962" s="103"/>
    </row>
    <row r="963" spans="1:9" x14ac:dyDescent="0.25">
      <c r="D963" s="103"/>
      <c r="E963" s="103"/>
      <c r="F963" s="117"/>
      <c r="G963" s="103"/>
      <c r="H963" s="103"/>
      <c r="I963" s="103"/>
    </row>
    <row r="964" spans="1:9" x14ac:dyDescent="0.25">
      <c r="D964" s="103"/>
      <c r="E964" s="103"/>
      <c r="F964" s="117"/>
      <c r="G964" s="103"/>
      <c r="H964" s="103"/>
      <c r="I964" s="103"/>
    </row>
    <row r="965" spans="1:9" x14ac:dyDescent="0.25">
      <c r="D965" s="103"/>
      <c r="E965" s="103"/>
      <c r="F965" s="117"/>
      <c r="G965" s="103"/>
      <c r="H965" s="103"/>
      <c r="I965" s="103"/>
    </row>
    <row r="966" spans="1:9" x14ac:dyDescent="0.25">
      <c r="D966" s="103"/>
      <c r="E966" s="103"/>
      <c r="F966" s="117"/>
      <c r="G966" s="103"/>
      <c r="H966" s="103"/>
      <c r="I966" s="103"/>
    </row>
    <row r="967" spans="1:9" x14ac:dyDescent="0.25">
      <c r="D967" s="103"/>
      <c r="E967" s="103"/>
      <c r="F967" s="117"/>
      <c r="G967" s="103"/>
      <c r="H967" s="103"/>
      <c r="I967" s="103"/>
    </row>
    <row r="968" spans="1:9" x14ac:dyDescent="0.25">
      <c r="D968" s="103"/>
      <c r="E968" s="103"/>
      <c r="F968" s="117"/>
      <c r="G968" s="103"/>
      <c r="H968" s="103"/>
      <c r="I968" s="103"/>
    </row>
    <row r="969" spans="1:9" x14ac:dyDescent="0.25">
      <c r="D969" s="103"/>
      <c r="E969" s="103"/>
      <c r="F969" s="117"/>
      <c r="G969" s="103"/>
      <c r="H969" s="103"/>
      <c r="I969" s="103"/>
    </row>
    <row r="970" spans="1:9" x14ac:dyDescent="0.25">
      <c r="D970" s="103"/>
      <c r="E970" s="103"/>
      <c r="F970" s="117"/>
      <c r="G970" s="103"/>
      <c r="H970" s="103"/>
      <c r="I970" s="103"/>
    </row>
    <row r="971" spans="1:9" x14ac:dyDescent="0.25">
      <c r="D971" s="103"/>
      <c r="E971" s="103"/>
      <c r="F971" s="117"/>
      <c r="G971" s="103"/>
      <c r="H971" s="103"/>
      <c r="I971" s="103"/>
    </row>
    <row r="972" spans="1:9" x14ac:dyDescent="0.25">
      <c r="D972" s="103"/>
      <c r="E972" s="103"/>
      <c r="F972" s="117"/>
      <c r="G972" s="103"/>
      <c r="H972" s="103"/>
      <c r="I972" s="103"/>
    </row>
    <row r="973" spans="1:9" x14ac:dyDescent="0.25">
      <c r="D973" s="103"/>
      <c r="E973" s="103"/>
      <c r="F973" s="117"/>
      <c r="G973" s="103"/>
      <c r="H973" s="103"/>
      <c r="I973" s="103"/>
    </row>
    <row r="974" spans="1:9" x14ac:dyDescent="0.25">
      <c r="D974" s="103"/>
      <c r="E974" s="103"/>
      <c r="F974" s="117"/>
      <c r="G974" s="103"/>
      <c r="H974" s="103"/>
      <c r="I974" s="103"/>
    </row>
    <row r="975" spans="1:9" x14ac:dyDescent="0.25">
      <c r="D975" s="103"/>
      <c r="E975" s="103"/>
      <c r="F975" s="117"/>
      <c r="G975" s="103"/>
      <c r="H975" s="103"/>
      <c r="I975" s="103"/>
    </row>
    <row r="976" spans="1:9" x14ac:dyDescent="0.25">
      <c r="D976" s="103"/>
      <c r="E976" s="103"/>
      <c r="F976" s="117"/>
      <c r="G976" s="103"/>
      <c r="H976" s="103"/>
      <c r="I976" s="103"/>
    </row>
    <row r="977" spans="4:9" x14ac:dyDescent="0.25">
      <c r="D977" s="103"/>
      <c r="E977" s="103"/>
      <c r="F977" s="117"/>
      <c r="G977" s="103"/>
      <c r="H977" s="103"/>
      <c r="I977" s="103"/>
    </row>
    <row r="978" spans="4:9" x14ac:dyDescent="0.25">
      <c r="D978" s="103"/>
      <c r="E978" s="103"/>
      <c r="F978" s="117"/>
      <c r="G978" s="103"/>
      <c r="H978" s="103"/>
      <c r="I978" s="103"/>
    </row>
    <row r="979" spans="4:9" x14ac:dyDescent="0.25">
      <c r="D979" s="103"/>
      <c r="E979" s="103"/>
      <c r="F979" s="117"/>
      <c r="G979" s="103"/>
      <c r="H979" s="103"/>
      <c r="I979" s="103"/>
    </row>
    <row r="980" spans="4:9" x14ac:dyDescent="0.25">
      <c r="D980" s="103"/>
      <c r="E980" s="103"/>
      <c r="F980" s="117"/>
      <c r="G980" s="103"/>
      <c r="H980" s="103"/>
      <c r="I980" s="103"/>
    </row>
    <row r="981" spans="4:9" x14ac:dyDescent="0.25">
      <c r="D981" s="103"/>
      <c r="E981" s="103"/>
      <c r="F981" s="117"/>
      <c r="G981" s="103"/>
      <c r="H981" s="103"/>
      <c r="I981" s="103"/>
    </row>
    <row r="982" spans="4:9" x14ac:dyDescent="0.25">
      <c r="D982" s="103"/>
      <c r="E982" s="103"/>
      <c r="F982" s="117"/>
      <c r="G982" s="103"/>
      <c r="H982" s="103"/>
      <c r="I982" s="103"/>
    </row>
    <row r="983" spans="4:9" x14ac:dyDescent="0.25">
      <c r="D983" s="103"/>
      <c r="E983" s="103"/>
      <c r="F983" s="117"/>
      <c r="G983" s="103"/>
      <c r="H983" s="103"/>
      <c r="I983" s="103"/>
    </row>
    <row r="984" spans="4:9" x14ac:dyDescent="0.25">
      <c r="D984" s="103"/>
      <c r="E984" s="103"/>
      <c r="F984" s="117"/>
      <c r="G984" s="103"/>
      <c r="H984" s="103"/>
      <c r="I984" s="103"/>
    </row>
    <row r="985" spans="4:9" x14ac:dyDescent="0.25">
      <c r="D985" s="103"/>
      <c r="E985" s="103"/>
      <c r="F985" s="117"/>
      <c r="G985" s="103"/>
      <c r="H985" s="103"/>
      <c r="I985" s="103"/>
    </row>
    <row r="986" spans="4:9" x14ac:dyDescent="0.25">
      <c r="D986" s="103"/>
      <c r="E986" s="103"/>
      <c r="F986" s="117"/>
      <c r="G986" s="103"/>
      <c r="H986" s="103"/>
      <c r="I986" s="103"/>
    </row>
    <row r="987" spans="4:9" x14ac:dyDescent="0.25">
      <c r="D987" s="103"/>
      <c r="E987" s="103"/>
      <c r="F987" s="117"/>
      <c r="G987" s="103"/>
      <c r="H987" s="103"/>
      <c r="I987" s="103"/>
    </row>
    <row r="988" spans="4:9" x14ac:dyDescent="0.25">
      <c r="D988" s="103"/>
      <c r="E988" s="103"/>
      <c r="F988" s="117"/>
      <c r="G988" s="103"/>
      <c r="H988" s="103"/>
      <c r="I988" s="103"/>
    </row>
    <row r="989" spans="4:9" x14ac:dyDescent="0.25">
      <c r="D989" s="103"/>
      <c r="E989" s="103"/>
      <c r="F989" s="117"/>
      <c r="G989" s="103"/>
      <c r="H989" s="103"/>
      <c r="I989" s="103"/>
    </row>
    <row r="990" spans="4:9" x14ac:dyDescent="0.25">
      <c r="D990" s="103"/>
      <c r="E990" s="103"/>
      <c r="F990" s="117"/>
      <c r="G990" s="103"/>
      <c r="H990" s="103"/>
      <c r="I990" s="103"/>
    </row>
    <row r="991" spans="4:9" x14ac:dyDescent="0.25">
      <c r="D991" s="103"/>
      <c r="E991" s="103"/>
      <c r="F991" s="117"/>
      <c r="G991" s="103"/>
      <c r="H991" s="103"/>
      <c r="I991" s="103"/>
    </row>
    <row r="992" spans="4:9" x14ac:dyDescent="0.25">
      <c r="D992" s="103"/>
      <c r="E992" s="103"/>
      <c r="F992" s="117"/>
      <c r="G992" s="103"/>
      <c r="H992" s="103"/>
      <c r="I992" s="103"/>
    </row>
    <row r="993" spans="4:9" x14ac:dyDescent="0.25">
      <c r="D993" s="103"/>
      <c r="E993" s="103"/>
      <c r="F993" s="117"/>
      <c r="G993" s="103"/>
      <c r="H993" s="103"/>
      <c r="I993" s="103"/>
    </row>
    <row r="994" spans="4:9" x14ac:dyDescent="0.25">
      <c r="D994" s="103"/>
      <c r="E994" s="103"/>
      <c r="F994" s="117"/>
      <c r="G994" s="103"/>
      <c r="H994" s="103"/>
      <c r="I994" s="103"/>
    </row>
    <row r="995" spans="4:9" x14ac:dyDescent="0.25">
      <c r="D995" s="103"/>
      <c r="E995" s="103"/>
      <c r="F995" s="117"/>
      <c r="G995" s="103"/>
      <c r="H995" s="103"/>
      <c r="I995" s="103"/>
    </row>
    <row r="996" spans="4:9" x14ac:dyDescent="0.25">
      <c r="D996" s="103"/>
      <c r="E996" s="103"/>
      <c r="F996" s="117"/>
      <c r="G996" s="103"/>
      <c r="H996" s="103"/>
      <c r="I996" s="103"/>
    </row>
    <row r="997" spans="4:9" x14ac:dyDescent="0.25">
      <c r="D997" s="103"/>
      <c r="E997" s="103"/>
      <c r="F997" s="117"/>
      <c r="G997" s="103"/>
      <c r="H997" s="103"/>
      <c r="I997" s="103"/>
    </row>
    <row r="998" spans="4:9" x14ac:dyDescent="0.25">
      <c r="D998" s="103"/>
      <c r="E998" s="103"/>
      <c r="F998" s="117"/>
      <c r="G998" s="103"/>
      <c r="H998" s="103"/>
      <c r="I998" s="103"/>
    </row>
    <row r="999" spans="4:9" x14ac:dyDescent="0.25">
      <c r="D999" s="103"/>
      <c r="E999" s="103"/>
      <c r="F999" s="117"/>
      <c r="G999" s="103"/>
      <c r="H999" s="103"/>
      <c r="I999" s="103"/>
    </row>
    <row r="1000" spans="4:9" x14ac:dyDescent="0.25">
      <c r="D1000" s="103"/>
      <c r="E1000" s="103"/>
      <c r="F1000" s="117"/>
      <c r="G1000" s="103"/>
      <c r="H1000" s="103"/>
      <c r="I1000" s="103"/>
    </row>
    <row r="1001" spans="4:9" x14ac:dyDescent="0.25">
      <c r="D1001" s="103"/>
      <c r="E1001" s="103"/>
      <c r="F1001" s="117"/>
      <c r="G1001" s="103"/>
      <c r="H1001" s="103"/>
      <c r="I1001" s="103"/>
    </row>
    <row r="1002" spans="4:9" x14ac:dyDescent="0.25">
      <c r="D1002" s="103"/>
      <c r="E1002" s="103"/>
      <c r="F1002" s="117"/>
      <c r="G1002" s="103"/>
      <c r="H1002" s="103"/>
      <c r="I1002" s="103"/>
    </row>
    <row r="1003" spans="4:9" x14ac:dyDescent="0.25">
      <c r="D1003" s="103"/>
      <c r="E1003" s="103"/>
      <c r="F1003" s="117"/>
      <c r="G1003" s="103"/>
      <c r="H1003" s="103"/>
      <c r="I1003" s="103"/>
    </row>
    <row r="1004" spans="4:9" x14ac:dyDescent="0.25">
      <c r="D1004" s="103"/>
      <c r="E1004" s="103"/>
      <c r="F1004" s="117"/>
      <c r="G1004" s="103"/>
      <c r="H1004" s="103"/>
      <c r="I1004" s="103"/>
    </row>
    <row r="1005" spans="4:9" x14ac:dyDescent="0.25">
      <c r="D1005" s="103"/>
      <c r="E1005" s="103"/>
      <c r="F1005" s="117"/>
      <c r="G1005" s="103"/>
      <c r="H1005" s="103"/>
      <c r="I1005" s="103"/>
    </row>
    <row r="1006" spans="4:9" x14ac:dyDescent="0.25">
      <c r="D1006" s="103"/>
      <c r="E1006" s="103"/>
      <c r="F1006" s="117"/>
      <c r="G1006" s="103"/>
      <c r="H1006" s="103"/>
      <c r="I1006" s="103"/>
    </row>
    <row r="1007" spans="4:9" x14ac:dyDescent="0.25">
      <c r="D1007" s="103"/>
      <c r="E1007" s="103"/>
      <c r="F1007" s="117"/>
      <c r="G1007" s="103"/>
      <c r="H1007" s="103"/>
      <c r="I1007" s="103"/>
    </row>
    <row r="1008" spans="4:9" x14ac:dyDescent="0.25">
      <c r="D1008" s="103"/>
      <c r="E1008" s="103"/>
      <c r="F1008" s="117"/>
      <c r="G1008" s="103"/>
      <c r="H1008" s="103"/>
      <c r="I1008" s="103"/>
    </row>
    <row r="1009" spans="4:9" x14ac:dyDescent="0.25">
      <c r="D1009" s="103"/>
      <c r="E1009" s="103"/>
      <c r="F1009" s="117"/>
      <c r="G1009" s="103"/>
      <c r="H1009" s="103"/>
      <c r="I1009" s="103"/>
    </row>
    <row r="1010" spans="4:9" x14ac:dyDescent="0.25">
      <c r="D1010" s="103"/>
      <c r="E1010" s="103"/>
      <c r="F1010" s="117"/>
      <c r="G1010" s="103"/>
      <c r="H1010" s="103"/>
      <c r="I1010" s="103"/>
    </row>
    <row r="1011" spans="4:9" x14ac:dyDescent="0.25">
      <c r="D1011" s="103"/>
      <c r="E1011" s="103"/>
      <c r="F1011" s="117"/>
      <c r="G1011" s="103"/>
      <c r="H1011" s="103"/>
      <c r="I1011" s="103"/>
    </row>
    <row r="1012" spans="4:9" x14ac:dyDescent="0.25">
      <c r="D1012" s="103"/>
      <c r="E1012" s="103"/>
      <c r="F1012" s="117"/>
      <c r="G1012" s="103"/>
      <c r="H1012" s="103"/>
      <c r="I1012" s="103"/>
    </row>
    <row r="1013" spans="4:9" x14ac:dyDescent="0.25">
      <c r="D1013" s="103"/>
      <c r="E1013" s="103"/>
      <c r="F1013" s="117"/>
      <c r="G1013" s="103"/>
      <c r="H1013" s="103"/>
      <c r="I1013" s="103"/>
    </row>
    <row r="1014" spans="4:9" x14ac:dyDescent="0.25">
      <c r="D1014" s="103"/>
      <c r="E1014" s="103"/>
      <c r="F1014" s="117"/>
      <c r="G1014" s="103"/>
      <c r="H1014" s="103"/>
      <c r="I1014" s="103"/>
    </row>
    <row r="1015" spans="4:9" x14ac:dyDescent="0.25">
      <c r="D1015" s="103"/>
      <c r="E1015" s="103"/>
      <c r="F1015" s="117"/>
      <c r="G1015" s="103"/>
      <c r="H1015" s="103"/>
      <c r="I1015" s="103"/>
    </row>
    <row r="1016" spans="4:9" x14ac:dyDescent="0.25">
      <c r="D1016" s="103"/>
      <c r="E1016" s="103"/>
      <c r="F1016" s="117"/>
      <c r="G1016" s="103"/>
      <c r="H1016" s="103"/>
      <c r="I1016" s="103"/>
    </row>
    <row r="1017" spans="4:9" x14ac:dyDescent="0.25">
      <c r="D1017" s="103"/>
      <c r="E1017" s="103"/>
      <c r="F1017" s="117"/>
      <c r="G1017" s="103"/>
      <c r="H1017" s="103"/>
      <c r="I1017" s="103"/>
    </row>
    <row r="1018" spans="4:9" x14ac:dyDescent="0.25">
      <c r="D1018" s="103"/>
      <c r="E1018" s="103"/>
      <c r="F1018" s="117"/>
      <c r="G1018" s="103"/>
      <c r="H1018" s="103"/>
      <c r="I1018" s="103"/>
    </row>
    <row r="1019" spans="4:9" x14ac:dyDescent="0.25">
      <c r="D1019" s="103"/>
      <c r="E1019" s="103"/>
      <c r="F1019" s="117"/>
      <c r="G1019" s="103"/>
      <c r="H1019" s="103"/>
      <c r="I1019" s="103"/>
    </row>
    <row r="1020" spans="4:9" x14ac:dyDescent="0.25">
      <c r="D1020" s="103"/>
      <c r="E1020" s="103"/>
      <c r="F1020" s="117"/>
      <c r="G1020" s="103"/>
      <c r="H1020" s="103"/>
      <c r="I1020" s="103"/>
    </row>
    <row r="1021" spans="4:9" x14ac:dyDescent="0.25">
      <c r="D1021" s="103"/>
      <c r="E1021" s="103"/>
      <c r="F1021" s="117"/>
      <c r="G1021" s="103"/>
      <c r="H1021" s="103"/>
      <c r="I1021" s="103"/>
    </row>
    <row r="1022" spans="4:9" x14ac:dyDescent="0.25">
      <c r="D1022" s="103"/>
      <c r="E1022" s="103"/>
      <c r="F1022" s="117"/>
      <c r="G1022" s="103"/>
      <c r="H1022" s="103"/>
      <c r="I1022" s="103"/>
    </row>
    <row r="1023" spans="4:9" x14ac:dyDescent="0.25">
      <c r="D1023" s="103"/>
      <c r="E1023" s="103"/>
      <c r="F1023" s="117"/>
      <c r="G1023" s="103"/>
      <c r="H1023" s="103"/>
      <c r="I1023" s="103"/>
    </row>
    <row r="1024" spans="4:9" x14ac:dyDescent="0.25">
      <c r="D1024" s="103"/>
      <c r="E1024" s="103"/>
      <c r="F1024" s="117"/>
      <c r="G1024" s="103"/>
      <c r="H1024" s="103"/>
      <c r="I1024" s="103"/>
    </row>
    <row r="1025" spans="4:9" x14ac:dyDescent="0.25">
      <c r="D1025" s="103"/>
      <c r="E1025" s="103"/>
      <c r="F1025" s="117"/>
      <c r="G1025" s="103"/>
      <c r="H1025" s="103"/>
      <c r="I1025" s="103"/>
    </row>
    <row r="1026" spans="4:9" x14ac:dyDescent="0.25">
      <c r="D1026" s="103"/>
      <c r="E1026" s="103"/>
      <c r="F1026" s="117"/>
      <c r="G1026" s="103"/>
      <c r="H1026" s="103"/>
      <c r="I1026" s="103"/>
    </row>
    <row r="1027" spans="4:9" x14ac:dyDescent="0.25">
      <c r="D1027" s="103"/>
      <c r="E1027" s="103"/>
      <c r="F1027" s="117"/>
      <c r="G1027" s="103"/>
      <c r="H1027" s="103"/>
      <c r="I1027" s="103"/>
    </row>
    <row r="1028" spans="4:9" x14ac:dyDescent="0.25">
      <c r="D1028" s="103"/>
      <c r="E1028" s="103"/>
      <c r="F1028" s="117"/>
      <c r="G1028" s="103"/>
      <c r="H1028" s="103"/>
      <c r="I1028" s="103"/>
    </row>
    <row r="1029" spans="4:9" x14ac:dyDescent="0.25">
      <c r="D1029" s="103"/>
      <c r="E1029" s="103"/>
      <c r="F1029" s="117"/>
      <c r="G1029" s="103"/>
      <c r="H1029" s="103"/>
      <c r="I1029" s="103"/>
    </row>
    <row r="1030" spans="4:9" x14ac:dyDescent="0.25">
      <c r="D1030" s="103"/>
      <c r="E1030" s="103"/>
      <c r="F1030" s="117"/>
      <c r="G1030" s="103"/>
      <c r="H1030" s="103"/>
      <c r="I1030" s="103"/>
    </row>
    <row r="1031" spans="4:9" x14ac:dyDescent="0.25">
      <c r="D1031" s="103"/>
      <c r="E1031" s="103"/>
      <c r="F1031" s="117"/>
      <c r="G1031" s="103"/>
      <c r="H1031" s="103"/>
      <c r="I1031" s="103"/>
    </row>
    <row r="1032" spans="4:9" x14ac:dyDescent="0.25">
      <c r="D1032" s="103"/>
      <c r="E1032" s="103"/>
      <c r="F1032" s="117"/>
      <c r="G1032" s="103"/>
      <c r="H1032" s="103"/>
      <c r="I1032" s="103"/>
    </row>
    <row r="1033" spans="4:9" x14ac:dyDescent="0.25">
      <c r="D1033" s="103"/>
      <c r="E1033" s="103"/>
      <c r="F1033" s="117"/>
      <c r="G1033" s="103"/>
      <c r="H1033" s="103"/>
      <c r="I1033" s="103"/>
    </row>
    <row r="1034" spans="4:9" x14ac:dyDescent="0.25">
      <c r="D1034" s="103"/>
      <c r="E1034" s="103"/>
      <c r="F1034" s="117"/>
      <c r="G1034" s="103"/>
      <c r="H1034" s="103"/>
      <c r="I1034" s="103"/>
    </row>
    <row r="1035" spans="4:9" x14ac:dyDescent="0.25">
      <c r="D1035" s="103"/>
      <c r="E1035" s="103"/>
      <c r="F1035" s="117"/>
      <c r="G1035" s="103"/>
      <c r="H1035" s="103"/>
      <c r="I1035" s="103"/>
    </row>
    <row r="1036" spans="4:9" x14ac:dyDescent="0.25">
      <c r="D1036" s="103"/>
      <c r="E1036" s="103"/>
      <c r="F1036" s="117"/>
      <c r="G1036" s="103"/>
      <c r="H1036" s="103"/>
      <c r="I1036" s="103"/>
    </row>
    <row r="1037" spans="4:9" x14ac:dyDescent="0.25">
      <c r="D1037" s="103"/>
      <c r="E1037" s="103"/>
      <c r="F1037" s="117"/>
      <c r="G1037" s="103"/>
      <c r="H1037" s="103"/>
      <c r="I1037" s="103"/>
    </row>
    <row r="1038" spans="4:9" x14ac:dyDescent="0.25">
      <c r="D1038" s="103"/>
      <c r="E1038" s="103"/>
      <c r="F1038" s="117"/>
      <c r="G1038" s="103"/>
      <c r="H1038" s="103"/>
      <c r="I1038" s="103"/>
    </row>
    <row r="1039" spans="4:9" x14ac:dyDescent="0.25">
      <c r="D1039" s="103"/>
      <c r="E1039" s="103"/>
      <c r="F1039" s="117"/>
      <c r="G1039" s="103"/>
      <c r="H1039" s="103"/>
      <c r="I1039" s="103"/>
    </row>
    <row r="1040" spans="4:9" x14ac:dyDescent="0.25">
      <c r="D1040" s="103"/>
      <c r="E1040" s="103"/>
      <c r="F1040" s="117"/>
      <c r="G1040" s="103"/>
      <c r="H1040" s="103"/>
      <c r="I1040" s="103"/>
    </row>
    <row r="1041" spans="4:9" x14ac:dyDescent="0.25">
      <c r="D1041" s="103"/>
      <c r="E1041" s="103"/>
      <c r="F1041" s="117"/>
      <c r="G1041" s="103"/>
      <c r="H1041" s="103"/>
      <c r="I1041" s="103"/>
    </row>
    <row r="1042" spans="4:9" x14ac:dyDescent="0.25">
      <c r="D1042" s="103"/>
      <c r="E1042" s="103"/>
      <c r="F1042" s="117"/>
      <c r="G1042" s="103"/>
      <c r="H1042" s="103"/>
      <c r="I1042" s="103"/>
    </row>
    <row r="1043" spans="4:9" x14ac:dyDescent="0.25">
      <c r="D1043" s="103"/>
      <c r="E1043" s="103"/>
      <c r="F1043" s="117"/>
      <c r="G1043" s="103"/>
      <c r="H1043" s="103"/>
      <c r="I1043" s="103"/>
    </row>
    <row r="1044" spans="4:9" x14ac:dyDescent="0.25">
      <c r="D1044" s="103"/>
      <c r="E1044" s="103"/>
      <c r="F1044" s="117"/>
      <c r="G1044" s="103"/>
      <c r="H1044" s="103"/>
      <c r="I1044" s="103"/>
    </row>
    <row r="1045" spans="4:9" x14ac:dyDescent="0.25">
      <c r="D1045" s="103"/>
      <c r="E1045" s="103"/>
      <c r="F1045" s="117"/>
      <c r="G1045" s="103"/>
      <c r="H1045" s="103"/>
      <c r="I1045" s="103"/>
    </row>
    <row r="1046" spans="4:9" x14ac:dyDescent="0.25">
      <c r="D1046" s="103"/>
      <c r="E1046" s="103"/>
      <c r="F1046" s="117"/>
      <c r="G1046" s="103"/>
      <c r="H1046" s="103"/>
      <c r="I1046" s="103"/>
    </row>
    <row r="1047" spans="4:9" x14ac:dyDescent="0.25">
      <c r="D1047" s="103"/>
      <c r="E1047" s="103"/>
      <c r="F1047" s="117"/>
      <c r="G1047" s="103"/>
      <c r="H1047" s="103"/>
      <c r="I1047" s="103"/>
    </row>
    <row r="1048" spans="4:9" x14ac:dyDescent="0.25">
      <c r="D1048" s="103"/>
      <c r="E1048" s="103"/>
      <c r="F1048" s="117"/>
      <c r="G1048" s="103"/>
      <c r="H1048" s="103"/>
      <c r="I1048" s="103"/>
    </row>
    <row r="1049" spans="4:9" x14ac:dyDescent="0.25">
      <c r="D1049" s="103"/>
      <c r="E1049" s="103"/>
      <c r="F1049" s="117"/>
      <c r="G1049" s="103"/>
      <c r="H1049" s="103"/>
      <c r="I1049" s="103"/>
    </row>
    <row r="1050" spans="4:9" x14ac:dyDescent="0.25">
      <c r="D1050" s="103"/>
      <c r="E1050" s="103"/>
      <c r="F1050" s="117"/>
      <c r="G1050" s="103"/>
      <c r="H1050" s="103"/>
      <c r="I1050" s="103"/>
    </row>
    <row r="1051" spans="4:9" x14ac:dyDescent="0.25">
      <c r="D1051" s="103"/>
      <c r="E1051" s="103"/>
      <c r="F1051" s="117"/>
      <c r="G1051" s="103"/>
      <c r="H1051" s="103"/>
      <c r="I1051" s="103"/>
    </row>
    <row r="1052" spans="4:9" x14ac:dyDescent="0.25">
      <c r="D1052" s="103"/>
      <c r="E1052" s="103"/>
      <c r="F1052" s="117"/>
      <c r="G1052" s="103"/>
      <c r="H1052" s="103"/>
      <c r="I1052" s="103"/>
    </row>
    <row r="1053" spans="4:9" x14ac:dyDescent="0.25">
      <c r="D1053" s="103"/>
      <c r="E1053" s="103"/>
      <c r="F1053" s="117"/>
      <c r="G1053" s="103"/>
      <c r="H1053" s="103"/>
      <c r="I1053" s="103"/>
    </row>
    <row r="1054" spans="4:9" x14ac:dyDescent="0.25">
      <c r="D1054" s="103"/>
      <c r="E1054" s="103"/>
      <c r="F1054" s="117"/>
      <c r="G1054" s="103"/>
      <c r="H1054" s="103"/>
      <c r="I1054" s="103"/>
    </row>
    <row r="1055" spans="4:9" x14ac:dyDescent="0.25">
      <c r="D1055" s="103"/>
      <c r="E1055" s="103"/>
      <c r="F1055" s="117"/>
      <c r="G1055" s="103"/>
      <c r="H1055" s="103"/>
      <c r="I1055" s="103"/>
    </row>
    <row r="1056" spans="4:9" x14ac:dyDescent="0.25">
      <c r="D1056" s="103"/>
      <c r="E1056" s="103"/>
      <c r="F1056" s="117"/>
      <c r="G1056" s="103"/>
      <c r="H1056" s="103"/>
      <c r="I1056" s="103"/>
    </row>
    <row r="1057" spans="4:9" x14ac:dyDescent="0.25">
      <c r="D1057" s="103"/>
      <c r="E1057" s="103"/>
      <c r="F1057" s="117"/>
      <c r="G1057" s="103"/>
      <c r="H1057" s="103"/>
      <c r="I1057" s="103"/>
    </row>
    <row r="1058" spans="4:9" x14ac:dyDescent="0.25">
      <c r="D1058" s="103"/>
      <c r="E1058" s="103"/>
      <c r="F1058" s="117"/>
      <c r="G1058" s="103"/>
      <c r="H1058" s="103"/>
      <c r="I1058" s="103"/>
    </row>
    <row r="1059" spans="4:9" x14ac:dyDescent="0.25">
      <c r="D1059" s="103"/>
      <c r="E1059" s="103"/>
      <c r="F1059" s="117"/>
      <c r="G1059" s="103"/>
      <c r="H1059" s="103"/>
      <c r="I1059" s="103"/>
    </row>
    <row r="1060" spans="4:9" x14ac:dyDescent="0.25">
      <c r="D1060" s="103"/>
      <c r="E1060" s="103"/>
      <c r="F1060" s="117"/>
      <c r="G1060" s="103"/>
      <c r="H1060" s="103"/>
      <c r="I1060" s="103"/>
    </row>
    <row r="1061" spans="4:9" x14ac:dyDescent="0.25">
      <c r="D1061" s="103"/>
      <c r="E1061" s="103"/>
      <c r="F1061" s="117"/>
      <c r="G1061" s="103"/>
      <c r="H1061" s="103"/>
      <c r="I1061" s="103"/>
    </row>
    <row r="1062" spans="4:9" x14ac:dyDescent="0.25">
      <c r="D1062" s="103"/>
      <c r="E1062" s="103"/>
      <c r="F1062" s="117"/>
      <c r="G1062" s="103"/>
      <c r="H1062" s="103"/>
      <c r="I1062" s="103"/>
    </row>
    <row r="1063" spans="4:9" x14ac:dyDescent="0.25">
      <c r="D1063" s="103"/>
      <c r="E1063" s="103"/>
      <c r="F1063" s="117"/>
      <c r="G1063" s="103"/>
      <c r="H1063" s="103"/>
      <c r="I1063" s="103"/>
    </row>
    <row r="1064" spans="4:9" x14ac:dyDescent="0.25">
      <c r="D1064" s="103"/>
      <c r="E1064" s="103"/>
      <c r="F1064" s="117"/>
      <c r="G1064" s="103"/>
      <c r="H1064" s="103"/>
      <c r="I1064" s="103"/>
    </row>
    <row r="1065" spans="4:9" x14ac:dyDescent="0.25">
      <c r="D1065" s="103"/>
      <c r="E1065" s="103"/>
      <c r="F1065" s="117"/>
      <c r="G1065" s="103"/>
      <c r="H1065" s="103"/>
      <c r="I1065" s="103"/>
    </row>
    <row r="1066" spans="4:9" x14ac:dyDescent="0.25">
      <c r="D1066" s="103"/>
      <c r="E1066" s="103"/>
      <c r="F1066" s="117"/>
      <c r="G1066" s="103"/>
      <c r="H1066" s="103"/>
      <c r="I1066" s="103"/>
    </row>
    <row r="1067" spans="4:9" x14ac:dyDescent="0.25">
      <c r="D1067" s="103"/>
      <c r="E1067" s="103"/>
      <c r="F1067" s="117"/>
      <c r="G1067" s="103"/>
      <c r="H1067" s="103"/>
      <c r="I1067" s="103"/>
    </row>
    <row r="1068" spans="4:9" x14ac:dyDescent="0.25">
      <c r="D1068" s="103"/>
      <c r="E1068" s="103"/>
      <c r="F1068" s="117"/>
      <c r="G1068" s="103"/>
      <c r="H1068" s="103"/>
      <c r="I1068" s="103"/>
    </row>
    <row r="1069" spans="4:9" x14ac:dyDescent="0.25">
      <c r="D1069" s="103"/>
      <c r="E1069" s="103"/>
      <c r="F1069" s="117"/>
      <c r="G1069" s="103"/>
      <c r="H1069" s="103"/>
      <c r="I1069" s="103"/>
    </row>
    <row r="1070" spans="4:9" x14ac:dyDescent="0.25">
      <c r="D1070" s="103"/>
      <c r="E1070" s="103"/>
      <c r="F1070" s="117"/>
      <c r="G1070" s="103"/>
      <c r="H1070" s="103"/>
      <c r="I1070" s="103"/>
    </row>
    <row r="1071" spans="4:9" x14ac:dyDescent="0.25">
      <c r="D1071" s="103"/>
      <c r="E1071" s="103"/>
      <c r="F1071" s="117"/>
      <c r="G1071" s="103"/>
      <c r="H1071" s="103"/>
      <c r="I1071" s="103"/>
    </row>
    <row r="1072" spans="4:9" x14ac:dyDescent="0.25">
      <c r="D1072" s="103"/>
      <c r="E1072" s="103"/>
      <c r="F1072" s="117"/>
      <c r="G1072" s="103"/>
      <c r="H1072" s="103"/>
      <c r="I1072" s="103"/>
    </row>
    <row r="1073" spans="4:9" x14ac:dyDescent="0.25">
      <c r="D1073" s="103"/>
      <c r="E1073" s="103"/>
      <c r="F1073" s="117"/>
      <c r="G1073" s="103"/>
      <c r="H1073" s="103"/>
      <c r="I1073" s="103"/>
    </row>
    <row r="1074" spans="4:9" x14ac:dyDescent="0.25">
      <c r="D1074" s="103"/>
      <c r="E1074" s="103"/>
      <c r="F1074" s="117"/>
      <c r="G1074" s="103"/>
      <c r="H1074" s="103"/>
      <c r="I1074" s="103"/>
    </row>
    <row r="1075" spans="4:9" x14ac:dyDescent="0.25">
      <c r="D1075" s="103"/>
      <c r="E1075" s="103"/>
      <c r="F1075" s="117"/>
      <c r="G1075" s="103"/>
      <c r="H1075" s="103"/>
      <c r="I1075" s="103"/>
    </row>
    <row r="1076" spans="4:9" x14ac:dyDescent="0.25">
      <c r="D1076" s="103"/>
      <c r="E1076" s="103"/>
      <c r="F1076" s="117"/>
      <c r="G1076" s="103"/>
      <c r="H1076" s="103"/>
      <c r="I1076" s="103"/>
    </row>
    <row r="1077" spans="4:9" x14ac:dyDescent="0.25">
      <c r="D1077" s="103"/>
      <c r="E1077" s="103"/>
      <c r="F1077" s="117"/>
      <c r="G1077" s="103"/>
      <c r="H1077" s="103"/>
      <c r="I1077" s="103"/>
    </row>
    <row r="1078" spans="4:9" x14ac:dyDescent="0.25">
      <c r="D1078" s="103"/>
      <c r="E1078" s="103"/>
      <c r="F1078" s="117"/>
      <c r="G1078" s="103"/>
      <c r="H1078" s="103"/>
      <c r="I1078" s="103"/>
    </row>
    <row r="1079" spans="4:9" x14ac:dyDescent="0.25">
      <c r="D1079" s="103"/>
      <c r="E1079" s="103"/>
      <c r="F1079" s="117"/>
      <c r="G1079" s="103"/>
      <c r="H1079" s="103"/>
      <c r="I1079" s="103"/>
    </row>
    <row r="1080" spans="4:9" x14ac:dyDescent="0.25">
      <c r="D1080" s="103"/>
      <c r="E1080" s="103"/>
      <c r="F1080" s="117"/>
      <c r="G1080" s="103"/>
      <c r="H1080" s="103"/>
      <c r="I1080" s="103"/>
    </row>
    <row r="1081" spans="4:9" x14ac:dyDescent="0.25">
      <c r="D1081" s="103"/>
      <c r="E1081" s="103"/>
      <c r="F1081" s="117"/>
      <c r="G1081" s="103"/>
      <c r="H1081" s="103"/>
      <c r="I1081" s="103"/>
    </row>
    <row r="1082" spans="4:9" x14ac:dyDescent="0.25">
      <c r="D1082" s="103"/>
      <c r="E1082" s="103"/>
      <c r="F1082" s="117"/>
      <c r="G1082" s="103"/>
      <c r="H1082" s="103"/>
      <c r="I1082" s="103"/>
    </row>
    <row r="1083" spans="4:9" x14ac:dyDescent="0.25">
      <c r="D1083" s="103"/>
      <c r="E1083" s="103"/>
      <c r="F1083" s="117"/>
      <c r="G1083" s="103"/>
      <c r="H1083" s="103"/>
      <c r="I1083" s="103"/>
    </row>
    <row r="1084" spans="4:9" x14ac:dyDescent="0.25">
      <c r="D1084" s="103"/>
      <c r="E1084" s="103"/>
      <c r="F1084" s="117"/>
      <c r="G1084" s="103"/>
      <c r="H1084" s="103"/>
      <c r="I1084" s="103"/>
    </row>
    <row r="1085" spans="4:9" x14ac:dyDescent="0.25">
      <c r="D1085" s="103"/>
      <c r="E1085" s="103"/>
      <c r="F1085" s="117"/>
      <c r="G1085" s="103"/>
      <c r="H1085" s="103"/>
      <c r="I1085" s="103"/>
    </row>
    <row r="1086" spans="4:9" x14ac:dyDescent="0.25">
      <c r="D1086" s="103"/>
      <c r="E1086" s="103"/>
      <c r="F1086" s="117"/>
      <c r="G1086" s="103"/>
      <c r="H1086" s="103"/>
      <c r="I1086" s="103"/>
    </row>
    <row r="1087" spans="4:9" x14ac:dyDescent="0.25">
      <c r="D1087" s="103"/>
      <c r="E1087" s="103"/>
      <c r="F1087" s="117"/>
      <c r="G1087" s="103"/>
      <c r="H1087" s="103"/>
      <c r="I1087" s="103"/>
    </row>
    <row r="1088" spans="4:9" x14ac:dyDescent="0.25">
      <c r="D1088" s="103"/>
      <c r="E1088" s="103"/>
      <c r="F1088" s="117"/>
      <c r="G1088" s="103"/>
      <c r="H1088" s="103"/>
      <c r="I1088" s="103"/>
    </row>
    <row r="1089" spans="4:9" x14ac:dyDescent="0.25">
      <c r="D1089" s="103"/>
      <c r="E1089" s="103"/>
      <c r="F1089" s="117"/>
      <c r="G1089" s="103"/>
      <c r="H1089" s="103"/>
      <c r="I1089" s="103"/>
    </row>
    <row r="1090" spans="4:9" x14ac:dyDescent="0.25">
      <c r="D1090" s="103"/>
      <c r="E1090" s="103"/>
      <c r="F1090" s="117"/>
      <c r="G1090" s="103"/>
      <c r="H1090" s="103"/>
      <c r="I1090" s="103"/>
    </row>
    <row r="1091" spans="4:9" x14ac:dyDescent="0.25">
      <c r="D1091" s="103"/>
      <c r="E1091" s="103"/>
      <c r="F1091" s="117"/>
      <c r="G1091" s="103"/>
      <c r="H1091" s="103"/>
      <c r="I1091" s="103"/>
    </row>
    <row r="1092" spans="4:9" x14ac:dyDescent="0.25">
      <c r="D1092" s="103"/>
      <c r="E1092" s="103"/>
      <c r="F1092" s="117"/>
      <c r="G1092" s="103"/>
      <c r="H1092" s="103"/>
      <c r="I1092" s="103"/>
    </row>
    <row r="1093" spans="4:9" x14ac:dyDescent="0.25">
      <c r="D1093" s="103"/>
      <c r="E1093" s="103"/>
      <c r="F1093" s="117"/>
      <c r="G1093" s="103"/>
      <c r="H1093" s="103"/>
      <c r="I1093" s="103"/>
    </row>
    <row r="1094" spans="4:9" x14ac:dyDescent="0.25">
      <c r="D1094" s="103"/>
      <c r="E1094" s="103"/>
      <c r="F1094" s="117"/>
      <c r="G1094" s="103"/>
      <c r="H1094" s="103"/>
      <c r="I1094" s="103"/>
    </row>
    <row r="1095" spans="4:9" x14ac:dyDescent="0.25">
      <c r="D1095" s="103"/>
      <c r="E1095" s="103"/>
      <c r="F1095" s="117"/>
      <c r="G1095" s="103"/>
      <c r="H1095" s="103"/>
      <c r="I1095" s="103"/>
    </row>
    <row r="1096" spans="4:9" x14ac:dyDescent="0.25">
      <c r="D1096" s="103"/>
      <c r="E1096" s="103"/>
      <c r="F1096" s="117"/>
      <c r="G1096" s="103"/>
      <c r="H1096" s="103"/>
      <c r="I1096" s="103"/>
    </row>
    <row r="1097" spans="4:9" x14ac:dyDescent="0.25">
      <c r="D1097" s="103"/>
      <c r="E1097" s="103"/>
      <c r="F1097" s="117"/>
      <c r="G1097" s="103"/>
      <c r="H1097" s="103"/>
      <c r="I1097" s="103"/>
    </row>
    <row r="1098" spans="4:9" x14ac:dyDescent="0.25">
      <c r="D1098" s="103"/>
      <c r="E1098" s="103"/>
      <c r="F1098" s="117"/>
      <c r="G1098" s="103"/>
      <c r="H1098" s="103"/>
      <c r="I1098" s="103"/>
    </row>
    <row r="1099" spans="4:9" x14ac:dyDescent="0.25">
      <c r="D1099" s="103"/>
      <c r="E1099" s="103"/>
      <c r="F1099" s="117"/>
      <c r="G1099" s="103"/>
      <c r="H1099" s="103"/>
      <c r="I1099" s="103"/>
    </row>
    <row r="1100" spans="4:9" x14ac:dyDescent="0.25">
      <c r="D1100" s="103"/>
      <c r="E1100" s="103"/>
      <c r="F1100" s="117"/>
      <c r="G1100" s="103"/>
      <c r="H1100" s="103"/>
      <c r="I1100" s="103"/>
    </row>
    <row r="1101" spans="4:9" x14ac:dyDescent="0.25">
      <c r="D1101" s="103"/>
      <c r="E1101" s="103"/>
      <c r="F1101" s="117"/>
      <c r="G1101" s="103"/>
      <c r="H1101" s="103"/>
      <c r="I1101" s="103"/>
    </row>
    <row r="1102" spans="4:9" x14ac:dyDescent="0.25">
      <c r="D1102" s="103"/>
      <c r="E1102" s="103"/>
      <c r="F1102" s="117"/>
      <c r="G1102" s="103"/>
      <c r="H1102" s="103"/>
      <c r="I1102" s="103"/>
    </row>
    <row r="1103" spans="4:9" x14ac:dyDescent="0.25">
      <c r="D1103" s="103"/>
      <c r="E1103" s="103"/>
      <c r="F1103" s="117"/>
      <c r="G1103" s="103"/>
      <c r="H1103" s="103"/>
      <c r="I1103" s="103"/>
    </row>
    <row r="1104" spans="4:9" x14ac:dyDescent="0.25">
      <c r="D1104" s="103"/>
      <c r="E1104" s="103"/>
      <c r="F1104" s="117"/>
      <c r="G1104" s="103"/>
      <c r="H1104" s="103"/>
      <c r="I1104" s="103"/>
    </row>
    <row r="1105" spans="4:9" x14ac:dyDescent="0.25">
      <c r="D1105" s="103"/>
      <c r="E1105" s="103"/>
      <c r="F1105" s="117"/>
      <c r="G1105" s="103"/>
      <c r="H1105" s="103"/>
      <c r="I1105" s="103"/>
    </row>
    <row r="1106" spans="4:9" x14ac:dyDescent="0.25">
      <c r="D1106" s="103"/>
      <c r="E1106" s="103"/>
      <c r="F1106" s="117"/>
      <c r="G1106" s="103"/>
      <c r="H1106" s="103"/>
      <c r="I1106" s="103"/>
    </row>
    <row r="1107" spans="4:9" x14ac:dyDescent="0.25">
      <c r="D1107" s="103"/>
      <c r="E1107" s="103"/>
      <c r="F1107" s="117"/>
      <c r="G1107" s="103"/>
      <c r="H1107" s="103"/>
      <c r="I1107" s="103"/>
    </row>
    <row r="1108" spans="4:9" x14ac:dyDescent="0.25">
      <c r="D1108" s="103"/>
      <c r="E1108" s="103"/>
      <c r="F1108" s="117"/>
      <c r="G1108" s="103"/>
      <c r="H1108" s="103"/>
      <c r="I1108" s="103"/>
    </row>
    <row r="1109" spans="4:9" x14ac:dyDescent="0.25">
      <c r="D1109" s="103"/>
      <c r="E1109" s="103"/>
      <c r="F1109" s="117"/>
      <c r="G1109" s="103"/>
      <c r="H1109" s="103"/>
      <c r="I1109" s="103"/>
    </row>
    <row r="1110" spans="4:9" x14ac:dyDescent="0.25">
      <c r="D1110" s="103"/>
      <c r="E1110" s="103"/>
      <c r="F1110" s="117"/>
      <c r="G1110" s="103"/>
      <c r="H1110" s="103"/>
      <c r="I1110" s="103"/>
    </row>
    <row r="1111" spans="4:9" x14ac:dyDescent="0.25">
      <c r="D1111" s="103"/>
      <c r="E1111" s="103"/>
      <c r="F1111" s="117"/>
      <c r="G1111" s="103"/>
      <c r="H1111" s="103"/>
      <c r="I1111" s="103"/>
    </row>
    <row r="1112" spans="4:9" x14ac:dyDescent="0.25">
      <c r="D1112" s="103"/>
      <c r="E1112" s="103"/>
      <c r="F1112" s="117"/>
      <c r="G1112" s="103"/>
      <c r="H1112" s="103"/>
      <c r="I1112" s="103"/>
    </row>
    <row r="1113" spans="4:9" x14ac:dyDescent="0.25">
      <c r="D1113" s="103"/>
      <c r="E1113" s="103"/>
      <c r="F1113" s="117"/>
      <c r="G1113" s="103"/>
      <c r="H1113" s="103"/>
      <c r="I1113" s="103"/>
    </row>
    <row r="1114" spans="4:9" x14ac:dyDescent="0.25">
      <c r="D1114" s="103"/>
      <c r="E1114" s="103"/>
      <c r="F1114" s="117"/>
      <c r="G1114" s="103"/>
      <c r="H1114" s="103"/>
      <c r="I1114" s="103"/>
    </row>
    <row r="1115" spans="4:9" x14ac:dyDescent="0.25">
      <c r="D1115" s="103"/>
      <c r="E1115" s="103"/>
      <c r="F1115" s="117"/>
      <c r="G1115" s="103"/>
      <c r="H1115" s="103"/>
      <c r="I1115" s="103"/>
    </row>
    <row r="1116" spans="4:9" x14ac:dyDescent="0.25">
      <c r="D1116" s="103"/>
      <c r="E1116" s="103"/>
      <c r="F1116" s="117"/>
      <c r="G1116" s="103"/>
      <c r="H1116" s="103"/>
      <c r="I1116" s="103"/>
    </row>
    <row r="1117" spans="4:9" x14ac:dyDescent="0.25">
      <c r="D1117" s="103"/>
      <c r="E1117" s="103"/>
      <c r="F1117" s="117"/>
      <c r="G1117" s="103"/>
      <c r="H1117" s="103"/>
      <c r="I1117" s="103"/>
    </row>
    <row r="1118" spans="4:9" x14ac:dyDescent="0.25">
      <c r="D1118" s="103"/>
      <c r="E1118" s="103"/>
      <c r="F1118" s="117"/>
      <c r="G1118" s="103"/>
      <c r="H1118" s="103"/>
      <c r="I1118" s="103"/>
    </row>
    <row r="1119" spans="4:9" x14ac:dyDescent="0.25">
      <c r="D1119" s="103"/>
      <c r="E1119" s="103"/>
      <c r="F1119" s="117"/>
      <c r="G1119" s="103"/>
      <c r="H1119" s="103"/>
      <c r="I1119" s="103"/>
    </row>
    <row r="1120" spans="4:9" x14ac:dyDescent="0.25">
      <c r="D1120" s="103"/>
      <c r="E1120" s="103"/>
      <c r="F1120" s="117"/>
      <c r="G1120" s="103"/>
      <c r="H1120" s="103"/>
      <c r="I1120" s="103"/>
    </row>
    <row r="1121" spans="4:9" x14ac:dyDescent="0.25">
      <c r="D1121" s="103"/>
      <c r="E1121" s="103"/>
      <c r="F1121" s="117"/>
      <c r="G1121" s="103"/>
      <c r="H1121" s="103"/>
      <c r="I1121" s="103"/>
    </row>
    <row r="1122" spans="4:9" x14ac:dyDescent="0.25">
      <c r="D1122" s="103"/>
      <c r="E1122" s="103"/>
      <c r="F1122" s="117"/>
      <c r="G1122" s="103"/>
      <c r="H1122" s="103"/>
      <c r="I1122" s="103"/>
    </row>
    <row r="1123" spans="4:9" x14ac:dyDescent="0.25">
      <c r="D1123" s="103"/>
      <c r="E1123" s="103"/>
      <c r="F1123" s="117"/>
      <c r="G1123" s="103"/>
      <c r="H1123" s="103"/>
      <c r="I1123" s="103"/>
    </row>
    <row r="1124" spans="4:9" x14ac:dyDescent="0.25">
      <c r="D1124" s="103"/>
      <c r="E1124" s="103"/>
      <c r="F1124" s="117"/>
      <c r="G1124" s="103"/>
      <c r="H1124" s="103"/>
      <c r="I1124" s="103"/>
    </row>
    <row r="1125" spans="4:9" x14ac:dyDescent="0.25">
      <c r="D1125" s="103"/>
      <c r="E1125" s="103"/>
      <c r="F1125" s="117"/>
      <c r="G1125" s="103"/>
      <c r="H1125" s="103"/>
      <c r="I1125" s="103"/>
    </row>
    <row r="1126" spans="4:9" x14ac:dyDescent="0.25">
      <c r="D1126" s="103"/>
      <c r="E1126" s="103"/>
      <c r="F1126" s="117"/>
      <c r="G1126" s="103"/>
      <c r="H1126" s="103"/>
      <c r="I1126" s="103"/>
    </row>
    <row r="1127" spans="4:9" x14ac:dyDescent="0.25">
      <c r="D1127" s="103"/>
      <c r="E1127" s="103"/>
      <c r="F1127" s="117"/>
      <c r="G1127" s="103"/>
      <c r="H1127" s="103"/>
      <c r="I1127" s="103"/>
    </row>
    <row r="1128" spans="4:9" x14ac:dyDescent="0.25">
      <c r="D1128" s="103"/>
      <c r="E1128" s="103"/>
      <c r="F1128" s="117"/>
      <c r="G1128" s="103"/>
      <c r="H1128" s="103"/>
      <c r="I1128" s="103"/>
    </row>
    <row r="1129" spans="4:9" x14ac:dyDescent="0.25">
      <c r="D1129" s="103"/>
      <c r="E1129" s="103"/>
      <c r="F1129" s="117"/>
      <c r="G1129" s="103"/>
      <c r="H1129" s="103"/>
      <c r="I1129" s="103"/>
    </row>
    <row r="1130" spans="4:9" x14ac:dyDescent="0.25">
      <c r="D1130" s="103"/>
      <c r="E1130" s="103"/>
      <c r="F1130" s="117"/>
      <c r="G1130" s="103"/>
      <c r="H1130" s="103"/>
      <c r="I1130" s="103"/>
    </row>
    <row r="1131" spans="4:9" x14ac:dyDescent="0.25">
      <c r="D1131" s="103"/>
      <c r="E1131" s="103"/>
      <c r="F1131" s="117"/>
      <c r="G1131" s="103"/>
      <c r="H1131" s="103"/>
      <c r="I1131" s="103"/>
    </row>
    <row r="1132" spans="4:9" x14ac:dyDescent="0.25">
      <c r="D1132" s="103"/>
      <c r="E1132" s="103"/>
      <c r="F1132" s="117"/>
      <c r="G1132" s="103"/>
      <c r="H1132" s="103"/>
      <c r="I1132" s="103"/>
    </row>
    <row r="1133" spans="4:9" x14ac:dyDescent="0.25">
      <c r="D1133" s="103"/>
      <c r="E1133" s="103"/>
      <c r="F1133" s="117"/>
      <c r="G1133" s="103"/>
      <c r="H1133" s="103"/>
      <c r="I1133" s="103"/>
    </row>
    <row r="1134" spans="4:9" x14ac:dyDescent="0.25">
      <c r="D1134" s="103"/>
      <c r="E1134" s="103"/>
      <c r="F1134" s="117"/>
      <c r="G1134" s="103"/>
      <c r="H1134" s="103"/>
      <c r="I1134" s="103"/>
    </row>
    <row r="1135" spans="4:9" x14ac:dyDescent="0.25">
      <c r="D1135" s="103"/>
      <c r="E1135" s="103"/>
      <c r="F1135" s="117"/>
      <c r="G1135" s="103"/>
      <c r="H1135" s="103"/>
      <c r="I1135" s="103"/>
    </row>
    <row r="1136" spans="4:9" x14ac:dyDescent="0.25">
      <c r="D1136" s="103"/>
      <c r="E1136" s="103"/>
      <c r="F1136" s="117"/>
      <c r="G1136" s="103"/>
      <c r="H1136" s="103"/>
      <c r="I1136" s="103"/>
    </row>
    <row r="1137" spans="4:9" x14ac:dyDescent="0.25">
      <c r="D1137" s="103"/>
      <c r="E1137" s="103"/>
      <c r="F1137" s="117"/>
      <c r="G1137" s="103"/>
      <c r="H1137" s="103"/>
      <c r="I1137" s="103"/>
    </row>
    <row r="1138" spans="4:9" x14ac:dyDescent="0.25">
      <c r="D1138" s="103"/>
      <c r="E1138" s="103"/>
      <c r="F1138" s="117"/>
      <c r="G1138" s="103"/>
      <c r="H1138" s="103"/>
      <c r="I1138" s="103"/>
    </row>
    <row r="1139" spans="4:9" x14ac:dyDescent="0.25">
      <c r="D1139" s="103"/>
      <c r="E1139" s="103"/>
      <c r="F1139" s="117"/>
      <c r="G1139" s="103"/>
      <c r="H1139" s="103"/>
      <c r="I1139" s="103"/>
    </row>
    <row r="1140" spans="4:9" x14ac:dyDescent="0.25">
      <c r="D1140" s="103"/>
      <c r="E1140" s="103"/>
      <c r="F1140" s="117"/>
      <c r="G1140" s="103"/>
      <c r="H1140" s="103"/>
      <c r="I1140" s="103"/>
    </row>
    <row r="1141" spans="4:9" x14ac:dyDescent="0.25">
      <c r="D1141" s="103"/>
      <c r="E1141" s="103"/>
      <c r="F1141" s="117"/>
      <c r="G1141" s="103"/>
      <c r="H1141" s="103"/>
      <c r="I1141" s="103"/>
    </row>
    <row r="1142" spans="4:9" x14ac:dyDescent="0.25">
      <c r="D1142" s="103"/>
      <c r="E1142" s="103"/>
      <c r="F1142" s="117"/>
      <c r="G1142" s="103"/>
      <c r="H1142" s="103"/>
      <c r="I1142" s="103"/>
    </row>
    <row r="1143" spans="4:9" x14ac:dyDescent="0.25">
      <c r="D1143" s="103"/>
      <c r="E1143" s="103"/>
      <c r="F1143" s="117"/>
      <c r="G1143" s="103"/>
      <c r="H1143" s="103"/>
      <c r="I1143" s="103"/>
    </row>
    <row r="1144" spans="4:9" x14ac:dyDescent="0.25">
      <c r="D1144" s="103"/>
      <c r="E1144" s="103"/>
      <c r="F1144" s="117"/>
      <c r="G1144" s="103"/>
      <c r="H1144" s="103"/>
      <c r="I1144" s="103"/>
    </row>
    <row r="1145" spans="4:9" x14ac:dyDescent="0.25">
      <c r="D1145" s="103"/>
      <c r="E1145" s="103"/>
      <c r="F1145" s="117"/>
      <c r="G1145" s="103"/>
      <c r="H1145" s="103"/>
      <c r="I1145" s="103"/>
    </row>
    <row r="1146" spans="4:9" x14ac:dyDescent="0.25">
      <c r="D1146" s="103"/>
      <c r="E1146" s="103"/>
      <c r="F1146" s="117"/>
      <c r="G1146" s="103"/>
      <c r="H1146" s="103"/>
      <c r="I1146" s="103"/>
    </row>
    <row r="1147" spans="4:9" x14ac:dyDescent="0.25">
      <c r="D1147" s="103"/>
      <c r="E1147" s="103"/>
      <c r="F1147" s="117"/>
      <c r="G1147" s="103"/>
      <c r="H1147" s="103"/>
      <c r="I1147" s="103"/>
    </row>
    <row r="1148" spans="4:9" x14ac:dyDescent="0.25">
      <c r="D1148" s="103"/>
      <c r="E1148" s="103"/>
      <c r="F1148" s="117"/>
      <c r="G1148" s="103"/>
      <c r="H1148" s="103"/>
      <c r="I1148" s="103"/>
    </row>
    <row r="1149" spans="4:9" x14ac:dyDescent="0.25">
      <c r="D1149" s="103"/>
      <c r="E1149" s="103"/>
      <c r="F1149" s="117"/>
      <c r="G1149" s="103"/>
      <c r="H1149" s="103"/>
      <c r="I1149" s="103"/>
    </row>
    <row r="1150" spans="4:9" x14ac:dyDescent="0.25">
      <c r="D1150" s="103"/>
      <c r="E1150" s="103"/>
      <c r="F1150" s="117"/>
      <c r="G1150" s="103"/>
      <c r="H1150" s="103"/>
      <c r="I1150" s="103"/>
    </row>
    <row r="1151" spans="4:9" x14ac:dyDescent="0.25">
      <c r="D1151" s="103"/>
      <c r="E1151" s="103"/>
      <c r="F1151" s="117"/>
      <c r="G1151" s="103"/>
      <c r="H1151" s="103"/>
      <c r="I1151" s="103"/>
    </row>
    <row r="1152" spans="4:9" x14ac:dyDescent="0.25">
      <c r="D1152" s="103"/>
      <c r="E1152" s="103"/>
      <c r="F1152" s="117"/>
      <c r="G1152" s="103"/>
      <c r="H1152" s="103"/>
      <c r="I1152" s="103"/>
    </row>
    <row r="1153" spans="4:9" x14ac:dyDescent="0.25">
      <c r="D1153" s="103"/>
      <c r="E1153" s="103"/>
      <c r="F1153" s="117"/>
      <c r="G1153" s="103"/>
      <c r="H1153" s="103"/>
      <c r="I1153" s="103"/>
    </row>
    <row r="1154" spans="4:9" x14ac:dyDescent="0.25">
      <c r="D1154" s="103"/>
      <c r="E1154" s="103"/>
      <c r="F1154" s="117"/>
      <c r="G1154" s="103"/>
      <c r="H1154" s="103"/>
      <c r="I1154" s="103"/>
    </row>
    <row r="1155" spans="4:9" x14ac:dyDescent="0.25">
      <c r="D1155" s="103"/>
      <c r="E1155" s="103"/>
      <c r="F1155" s="117"/>
      <c r="G1155" s="103"/>
      <c r="H1155" s="103"/>
      <c r="I1155" s="103"/>
    </row>
    <row r="1156" spans="4:9" x14ac:dyDescent="0.25">
      <c r="D1156" s="103"/>
      <c r="E1156" s="103"/>
      <c r="F1156" s="117"/>
      <c r="G1156" s="103"/>
      <c r="H1156" s="103"/>
      <c r="I1156" s="103"/>
    </row>
    <row r="1157" spans="4:9" x14ac:dyDescent="0.25">
      <c r="D1157" s="103"/>
      <c r="E1157" s="103"/>
      <c r="F1157" s="117"/>
      <c r="G1157" s="103"/>
      <c r="H1157" s="103"/>
      <c r="I1157" s="103"/>
    </row>
    <row r="1158" spans="4:9" x14ac:dyDescent="0.25">
      <c r="D1158" s="103"/>
      <c r="E1158" s="103"/>
      <c r="F1158" s="117"/>
      <c r="G1158" s="103"/>
      <c r="H1158" s="103"/>
      <c r="I1158" s="103"/>
    </row>
    <row r="1159" spans="4:9" x14ac:dyDescent="0.25">
      <c r="D1159" s="103"/>
      <c r="E1159" s="103"/>
      <c r="F1159" s="117"/>
      <c r="G1159" s="103"/>
      <c r="H1159" s="103"/>
      <c r="I1159" s="103"/>
    </row>
    <row r="1160" spans="4:9" x14ac:dyDescent="0.25">
      <c r="D1160" s="103"/>
      <c r="E1160" s="103"/>
      <c r="F1160" s="117"/>
      <c r="G1160" s="103"/>
      <c r="H1160" s="103"/>
      <c r="I1160" s="103"/>
    </row>
    <row r="1161" spans="4:9" x14ac:dyDescent="0.25">
      <c r="D1161" s="103"/>
      <c r="E1161" s="103"/>
      <c r="F1161" s="117"/>
      <c r="G1161" s="103"/>
      <c r="H1161" s="103"/>
      <c r="I1161" s="103"/>
    </row>
    <row r="1162" spans="4:9" x14ac:dyDescent="0.25">
      <c r="D1162" s="103"/>
      <c r="E1162" s="103"/>
      <c r="F1162" s="117"/>
      <c r="G1162" s="103"/>
      <c r="H1162" s="103"/>
      <c r="I1162" s="103"/>
    </row>
    <row r="1163" spans="4:9" x14ac:dyDescent="0.25">
      <c r="D1163" s="103"/>
      <c r="E1163" s="103"/>
      <c r="F1163" s="117"/>
      <c r="G1163" s="103"/>
      <c r="H1163" s="103"/>
      <c r="I1163" s="103"/>
    </row>
    <row r="1164" spans="4:9" x14ac:dyDescent="0.25">
      <c r="D1164" s="103"/>
      <c r="E1164" s="103"/>
      <c r="F1164" s="117"/>
      <c r="G1164" s="103"/>
      <c r="H1164" s="103"/>
      <c r="I1164" s="103"/>
    </row>
    <row r="1165" spans="4:9" x14ac:dyDescent="0.25">
      <c r="D1165" s="103"/>
      <c r="E1165" s="103"/>
      <c r="F1165" s="117"/>
      <c r="G1165" s="103"/>
      <c r="H1165" s="103"/>
      <c r="I1165" s="103"/>
    </row>
    <row r="1166" spans="4:9" x14ac:dyDescent="0.25">
      <c r="D1166" s="103"/>
      <c r="E1166" s="103"/>
      <c r="F1166" s="117"/>
      <c r="G1166" s="103"/>
      <c r="H1166" s="103"/>
      <c r="I1166" s="103"/>
    </row>
    <row r="1167" spans="4:9" x14ac:dyDescent="0.25">
      <c r="D1167" s="103"/>
      <c r="E1167" s="103"/>
      <c r="F1167" s="117"/>
      <c r="G1167" s="103"/>
      <c r="H1167" s="103"/>
      <c r="I1167" s="103"/>
    </row>
    <row r="1168" spans="4:9" x14ac:dyDescent="0.25">
      <c r="D1168" s="103"/>
      <c r="E1168" s="103"/>
      <c r="F1168" s="117"/>
      <c r="G1168" s="103"/>
      <c r="H1168" s="103"/>
      <c r="I1168" s="103"/>
    </row>
    <row r="1169" spans="4:9" x14ac:dyDescent="0.25">
      <c r="D1169" s="103"/>
      <c r="E1169" s="103"/>
      <c r="F1169" s="117"/>
      <c r="G1169" s="103"/>
      <c r="H1169" s="103"/>
      <c r="I1169" s="103"/>
    </row>
    <row r="1170" spans="4:9" x14ac:dyDescent="0.25">
      <c r="D1170" s="103"/>
      <c r="E1170" s="103"/>
      <c r="F1170" s="117"/>
      <c r="G1170" s="103"/>
      <c r="H1170" s="103"/>
      <c r="I1170" s="103"/>
    </row>
    <row r="1171" spans="4:9" x14ac:dyDescent="0.25">
      <c r="D1171" s="103"/>
      <c r="E1171" s="103"/>
      <c r="F1171" s="117"/>
      <c r="G1171" s="103"/>
      <c r="H1171" s="103"/>
      <c r="I1171" s="103"/>
    </row>
    <row r="1172" spans="4:9" x14ac:dyDescent="0.25">
      <c r="D1172" s="103"/>
      <c r="E1172" s="103"/>
      <c r="F1172" s="117"/>
      <c r="G1172" s="103"/>
      <c r="H1172" s="103"/>
      <c r="I1172" s="103"/>
    </row>
    <row r="1173" spans="4:9" x14ac:dyDescent="0.25">
      <c r="D1173" s="103"/>
      <c r="E1173" s="103"/>
      <c r="F1173" s="117"/>
      <c r="G1173" s="103"/>
      <c r="H1173" s="103"/>
      <c r="I1173" s="103"/>
    </row>
    <row r="1174" spans="4:9" x14ac:dyDescent="0.25">
      <c r="D1174" s="103"/>
      <c r="E1174" s="103"/>
      <c r="F1174" s="117"/>
      <c r="G1174" s="103"/>
      <c r="H1174" s="103"/>
      <c r="I1174" s="103"/>
    </row>
    <row r="1175" spans="4:9" x14ac:dyDescent="0.25">
      <c r="D1175" s="103"/>
      <c r="E1175" s="103"/>
      <c r="F1175" s="117"/>
      <c r="G1175" s="103"/>
      <c r="H1175" s="103"/>
      <c r="I1175" s="103"/>
    </row>
    <row r="1176" spans="4:9" x14ac:dyDescent="0.25">
      <c r="D1176" s="103"/>
      <c r="E1176" s="103"/>
      <c r="F1176" s="117"/>
      <c r="G1176" s="103"/>
      <c r="H1176" s="103"/>
      <c r="I1176" s="103"/>
    </row>
    <row r="1177" spans="4:9" x14ac:dyDescent="0.25">
      <c r="D1177" s="103"/>
      <c r="E1177" s="103"/>
      <c r="F1177" s="117"/>
      <c r="G1177" s="103"/>
      <c r="H1177" s="103"/>
      <c r="I1177" s="103"/>
    </row>
    <row r="1178" spans="4:9" x14ac:dyDescent="0.25">
      <c r="D1178" s="103"/>
      <c r="E1178" s="103"/>
      <c r="F1178" s="117"/>
      <c r="G1178" s="103"/>
      <c r="H1178" s="103"/>
      <c r="I1178" s="103"/>
    </row>
    <row r="1179" spans="4:9" x14ac:dyDescent="0.25">
      <c r="D1179" s="103"/>
      <c r="E1179" s="103"/>
      <c r="F1179" s="117"/>
      <c r="G1179" s="103"/>
      <c r="H1179" s="103"/>
      <c r="I1179" s="103"/>
    </row>
    <row r="1180" spans="4:9" x14ac:dyDescent="0.25">
      <c r="D1180" s="103"/>
      <c r="E1180" s="103"/>
      <c r="F1180" s="117"/>
      <c r="G1180" s="103"/>
      <c r="H1180" s="103"/>
      <c r="I1180" s="103"/>
    </row>
    <row r="1181" spans="4:9" x14ac:dyDescent="0.25">
      <c r="D1181" s="103"/>
      <c r="E1181" s="103"/>
      <c r="F1181" s="117"/>
      <c r="G1181" s="103"/>
      <c r="H1181" s="103"/>
      <c r="I1181" s="103"/>
    </row>
    <row r="1182" spans="4:9" x14ac:dyDescent="0.25">
      <c r="D1182" s="103"/>
      <c r="E1182" s="103"/>
      <c r="F1182" s="117"/>
      <c r="G1182" s="103"/>
      <c r="H1182" s="103"/>
      <c r="I1182" s="103"/>
    </row>
    <row r="1183" spans="4:9" x14ac:dyDescent="0.25">
      <c r="D1183" s="103"/>
      <c r="E1183" s="103"/>
      <c r="F1183" s="117"/>
      <c r="G1183" s="103"/>
      <c r="H1183" s="103"/>
      <c r="I1183" s="103"/>
    </row>
    <row r="1184" spans="4:9" x14ac:dyDescent="0.25">
      <c r="D1184" s="103"/>
      <c r="E1184" s="103"/>
      <c r="F1184" s="117"/>
      <c r="G1184" s="103"/>
      <c r="H1184" s="103"/>
      <c r="I1184" s="103"/>
    </row>
    <row r="1185" spans="4:9" x14ac:dyDescent="0.25">
      <c r="D1185" s="103"/>
      <c r="E1185" s="103"/>
      <c r="F1185" s="117"/>
      <c r="G1185" s="103"/>
      <c r="H1185" s="103"/>
      <c r="I1185" s="103"/>
    </row>
    <row r="1186" spans="4:9" x14ac:dyDescent="0.25">
      <c r="D1186" s="103"/>
      <c r="E1186" s="103"/>
      <c r="F1186" s="117"/>
      <c r="G1186" s="103"/>
      <c r="H1186" s="103"/>
      <c r="I1186" s="103"/>
    </row>
    <row r="1187" spans="4:9" x14ac:dyDescent="0.25">
      <c r="D1187" s="103"/>
      <c r="E1187" s="103"/>
      <c r="F1187" s="117"/>
      <c r="G1187" s="103"/>
      <c r="H1187" s="103"/>
      <c r="I1187" s="103"/>
    </row>
    <row r="1188" spans="4:9" x14ac:dyDescent="0.25">
      <c r="D1188" s="103"/>
      <c r="E1188" s="103"/>
      <c r="F1188" s="117"/>
      <c r="G1188" s="103"/>
      <c r="H1188" s="103"/>
      <c r="I1188" s="103"/>
    </row>
    <row r="1189" spans="4:9" x14ac:dyDescent="0.25">
      <c r="D1189" s="103"/>
      <c r="E1189" s="103"/>
      <c r="F1189" s="117"/>
      <c r="G1189" s="103"/>
      <c r="H1189" s="103"/>
      <c r="I1189" s="103"/>
    </row>
    <row r="1190" spans="4:9" x14ac:dyDescent="0.25">
      <c r="D1190" s="103"/>
      <c r="E1190" s="103"/>
      <c r="F1190" s="117"/>
      <c r="G1190" s="103"/>
      <c r="H1190" s="103"/>
      <c r="I1190" s="103"/>
    </row>
    <row r="1191" spans="4:9" x14ac:dyDescent="0.25">
      <c r="D1191" s="103"/>
      <c r="E1191" s="103"/>
      <c r="F1191" s="117"/>
      <c r="G1191" s="103"/>
      <c r="H1191" s="103"/>
      <c r="I1191" s="103"/>
    </row>
    <row r="1192" spans="4:9" x14ac:dyDescent="0.25">
      <c r="D1192" s="103"/>
      <c r="E1192" s="103"/>
      <c r="F1192" s="117"/>
      <c r="G1192" s="103"/>
      <c r="H1192" s="103"/>
      <c r="I1192" s="103"/>
    </row>
    <row r="1193" spans="4:9" x14ac:dyDescent="0.25">
      <c r="D1193" s="103"/>
      <c r="E1193" s="103"/>
      <c r="F1193" s="117"/>
      <c r="G1193" s="103"/>
      <c r="H1193" s="103"/>
      <c r="I1193" s="103"/>
    </row>
    <row r="1194" spans="4:9" x14ac:dyDescent="0.25">
      <c r="D1194" s="103"/>
      <c r="E1194" s="103"/>
      <c r="F1194" s="117"/>
      <c r="G1194" s="103"/>
      <c r="H1194" s="103"/>
      <c r="I1194" s="103"/>
    </row>
    <row r="1195" spans="4:9" x14ac:dyDescent="0.25">
      <c r="D1195" s="103"/>
      <c r="E1195" s="103"/>
      <c r="F1195" s="117"/>
      <c r="G1195" s="103"/>
      <c r="H1195" s="103"/>
      <c r="I1195" s="103"/>
    </row>
    <row r="1196" spans="4:9" x14ac:dyDescent="0.25">
      <c r="D1196" s="103"/>
      <c r="E1196" s="103"/>
      <c r="F1196" s="117"/>
      <c r="G1196" s="103"/>
      <c r="H1196" s="103"/>
      <c r="I1196" s="103"/>
    </row>
    <row r="1197" spans="4:9" x14ac:dyDescent="0.25">
      <c r="D1197" s="103"/>
      <c r="E1197" s="103"/>
      <c r="F1197" s="117"/>
      <c r="G1197" s="103"/>
      <c r="H1197" s="103"/>
      <c r="I1197" s="103"/>
    </row>
    <row r="1198" spans="4:9" x14ac:dyDescent="0.25">
      <c r="D1198" s="103"/>
      <c r="E1198" s="103"/>
      <c r="F1198" s="117"/>
      <c r="G1198" s="103"/>
      <c r="H1198" s="103"/>
      <c r="I1198" s="103"/>
    </row>
    <row r="1199" spans="4:9" x14ac:dyDescent="0.25">
      <c r="D1199" s="103"/>
      <c r="E1199" s="103"/>
      <c r="F1199" s="117"/>
      <c r="G1199" s="103"/>
      <c r="H1199" s="103"/>
      <c r="I1199" s="103"/>
    </row>
    <row r="1200" spans="4:9" x14ac:dyDescent="0.25">
      <c r="D1200" s="103"/>
      <c r="E1200" s="103"/>
      <c r="F1200" s="117"/>
      <c r="G1200" s="103"/>
      <c r="H1200" s="103"/>
      <c r="I1200" s="103"/>
    </row>
    <row r="1201" spans="4:9" x14ac:dyDescent="0.25">
      <c r="D1201" s="103"/>
      <c r="E1201" s="103"/>
      <c r="F1201" s="117"/>
      <c r="G1201" s="103"/>
      <c r="H1201" s="103"/>
      <c r="I1201" s="103"/>
    </row>
    <row r="1202" spans="4:9" x14ac:dyDescent="0.25">
      <c r="D1202" s="103"/>
      <c r="E1202" s="103"/>
      <c r="F1202" s="117"/>
      <c r="G1202" s="103"/>
      <c r="H1202" s="103"/>
      <c r="I1202" s="103"/>
    </row>
    <row r="1203" spans="4:9" x14ac:dyDescent="0.25">
      <c r="D1203" s="103"/>
      <c r="E1203" s="103"/>
      <c r="F1203" s="117"/>
      <c r="G1203" s="103"/>
      <c r="H1203" s="103"/>
      <c r="I1203" s="103"/>
    </row>
    <row r="1204" spans="4:9" x14ac:dyDescent="0.25">
      <c r="D1204" s="103"/>
      <c r="E1204" s="103"/>
      <c r="F1204" s="117"/>
      <c r="G1204" s="103"/>
      <c r="H1204" s="103"/>
      <c r="I1204" s="103"/>
    </row>
    <row r="1205" spans="4:9" x14ac:dyDescent="0.25">
      <c r="D1205" s="103"/>
      <c r="E1205" s="103"/>
      <c r="F1205" s="117"/>
      <c r="G1205" s="103"/>
      <c r="H1205" s="103"/>
      <c r="I1205" s="103"/>
    </row>
    <row r="1206" spans="4:9" x14ac:dyDescent="0.25">
      <c r="D1206" s="103"/>
      <c r="E1206" s="103"/>
      <c r="F1206" s="117"/>
      <c r="G1206" s="103"/>
      <c r="H1206" s="103"/>
      <c r="I1206" s="103"/>
    </row>
    <row r="1207" spans="4:9" x14ac:dyDescent="0.25">
      <c r="D1207" s="103"/>
      <c r="E1207" s="103"/>
      <c r="F1207" s="117"/>
      <c r="G1207" s="103"/>
      <c r="H1207" s="103"/>
      <c r="I1207" s="103"/>
    </row>
    <row r="1208" spans="4:9" x14ac:dyDescent="0.25">
      <c r="D1208" s="103"/>
      <c r="E1208" s="103"/>
      <c r="F1208" s="117"/>
      <c r="G1208" s="103"/>
      <c r="H1208" s="103"/>
      <c r="I1208" s="103"/>
    </row>
    <row r="1209" spans="4:9" x14ac:dyDescent="0.25">
      <c r="D1209" s="103"/>
      <c r="E1209" s="103"/>
      <c r="F1209" s="117"/>
      <c r="G1209" s="103"/>
      <c r="H1209" s="103"/>
      <c r="I1209" s="103"/>
    </row>
    <row r="1210" spans="4:9" x14ac:dyDescent="0.25">
      <c r="D1210" s="103"/>
      <c r="E1210" s="103"/>
      <c r="F1210" s="117"/>
      <c r="G1210" s="103"/>
      <c r="H1210" s="103"/>
      <c r="I1210" s="103"/>
    </row>
    <row r="1211" spans="4:9" x14ac:dyDescent="0.25">
      <c r="D1211" s="103"/>
      <c r="E1211" s="103"/>
      <c r="F1211" s="117"/>
      <c r="G1211" s="103"/>
      <c r="H1211" s="103"/>
      <c r="I1211" s="103"/>
    </row>
    <row r="1212" spans="4:9" x14ac:dyDescent="0.25">
      <c r="D1212" s="103"/>
      <c r="E1212" s="103"/>
      <c r="F1212" s="117"/>
      <c r="G1212" s="103"/>
      <c r="H1212" s="103"/>
      <c r="I1212" s="103"/>
    </row>
    <row r="1213" spans="4:9" x14ac:dyDescent="0.25">
      <c r="D1213" s="103"/>
      <c r="E1213" s="103"/>
      <c r="F1213" s="117"/>
      <c r="G1213" s="103"/>
      <c r="H1213" s="103"/>
      <c r="I1213" s="103"/>
    </row>
    <row r="1214" spans="4:9" x14ac:dyDescent="0.25">
      <c r="D1214" s="103"/>
      <c r="E1214" s="103"/>
      <c r="F1214" s="117"/>
      <c r="G1214" s="103"/>
      <c r="H1214" s="103"/>
      <c r="I1214" s="103"/>
    </row>
    <row r="1215" spans="4:9" x14ac:dyDescent="0.25">
      <c r="D1215" s="103"/>
      <c r="E1215" s="103"/>
      <c r="F1215" s="117"/>
      <c r="G1215" s="103"/>
      <c r="H1215" s="103"/>
      <c r="I1215" s="103"/>
    </row>
    <row r="1216" spans="4:9" x14ac:dyDescent="0.25">
      <c r="D1216" s="103"/>
      <c r="E1216" s="103"/>
      <c r="F1216" s="117"/>
      <c r="G1216" s="103"/>
      <c r="H1216" s="103"/>
      <c r="I1216" s="103"/>
    </row>
    <row r="1217" spans="4:9" x14ac:dyDescent="0.25">
      <c r="D1217" s="103"/>
      <c r="E1217" s="103"/>
      <c r="F1217" s="117"/>
      <c r="G1217" s="103"/>
      <c r="H1217" s="103"/>
      <c r="I1217" s="103"/>
    </row>
    <row r="1218" spans="4:9" x14ac:dyDescent="0.25">
      <c r="D1218" s="103"/>
      <c r="E1218" s="103"/>
      <c r="F1218" s="117"/>
      <c r="G1218" s="103"/>
      <c r="H1218" s="103"/>
      <c r="I1218" s="103"/>
    </row>
    <row r="1219" spans="4:9" x14ac:dyDescent="0.25">
      <c r="D1219" s="103"/>
      <c r="E1219" s="103"/>
      <c r="F1219" s="117"/>
      <c r="G1219" s="103"/>
      <c r="H1219" s="103"/>
      <c r="I1219" s="103"/>
    </row>
    <row r="1220" spans="4:9" x14ac:dyDescent="0.25">
      <c r="D1220" s="103"/>
      <c r="E1220" s="103"/>
      <c r="F1220" s="117"/>
      <c r="G1220" s="103"/>
      <c r="H1220" s="103"/>
      <c r="I1220" s="103"/>
    </row>
    <row r="1221" spans="4:9" x14ac:dyDescent="0.25">
      <c r="D1221" s="103"/>
      <c r="E1221" s="103"/>
      <c r="F1221" s="117"/>
      <c r="G1221" s="103"/>
      <c r="H1221" s="103"/>
      <c r="I1221" s="103"/>
    </row>
    <row r="1222" spans="4:9" x14ac:dyDescent="0.25">
      <c r="D1222" s="103"/>
      <c r="E1222" s="103"/>
      <c r="F1222" s="117"/>
      <c r="G1222" s="103"/>
      <c r="H1222" s="103"/>
      <c r="I1222" s="103"/>
    </row>
    <row r="1223" spans="4:9" x14ac:dyDescent="0.25">
      <c r="D1223" s="103"/>
      <c r="E1223" s="103"/>
      <c r="F1223" s="117"/>
      <c r="G1223" s="103"/>
      <c r="H1223" s="103"/>
      <c r="I1223" s="103"/>
    </row>
    <row r="1224" spans="4:9" x14ac:dyDescent="0.25">
      <c r="D1224" s="103"/>
      <c r="E1224" s="103"/>
      <c r="F1224" s="117"/>
      <c r="G1224" s="103"/>
      <c r="H1224" s="103"/>
      <c r="I1224" s="103"/>
    </row>
    <row r="1225" spans="4:9" x14ac:dyDescent="0.25">
      <c r="D1225" s="103"/>
      <c r="E1225" s="103"/>
      <c r="F1225" s="117"/>
      <c r="G1225" s="103"/>
      <c r="H1225" s="103"/>
      <c r="I1225" s="103"/>
    </row>
    <row r="1226" spans="4:9" x14ac:dyDescent="0.25">
      <c r="D1226" s="103"/>
      <c r="E1226" s="103"/>
      <c r="F1226" s="117"/>
      <c r="G1226" s="103"/>
      <c r="H1226" s="103"/>
      <c r="I1226" s="103"/>
    </row>
    <row r="1227" spans="4:9" x14ac:dyDescent="0.25">
      <c r="D1227" s="103"/>
      <c r="E1227" s="103"/>
      <c r="F1227" s="117"/>
      <c r="G1227" s="103"/>
      <c r="H1227" s="103"/>
      <c r="I1227" s="103"/>
    </row>
    <row r="1228" spans="4:9" x14ac:dyDescent="0.25">
      <c r="D1228" s="103"/>
      <c r="E1228" s="103"/>
      <c r="F1228" s="117"/>
      <c r="G1228" s="103"/>
      <c r="H1228" s="103"/>
      <c r="I1228" s="103"/>
    </row>
    <row r="1229" spans="4:9" x14ac:dyDescent="0.25">
      <c r="D1229" s="103"/>
      <c r="E1229" s="103"/>
      <c r="F1229" s="117"/>
      <c r="G1229" s="103"/>
      <c r="H1229" s="103"/>
      <c r="I1229" s="103"/>
    </row>
    <row r="1230" spans="4:9" x14ac:dyDescent="0.25">
      <c r="D1230" s="103"/>
      <c r="E1230" s="103"/>
      <c r="F1230" s="117"/>
      <c r="G1230" s="103"/>
      <c r="H1230" s="103"/>
      <c r="I1230" s="103"/>
    </row>
    <row r="1231" spans="4:9" x14ac:dyDescent="0.25">
      <c r="D1231" s="103"/>
      <c r="E1231" s="103"/>
      <c r="F1231" s="117"/>
      <c r="G1231" s="103"/>
      <c r="H1231" s="103"/>
      <c r="I1231" s="103"/>
    </row>
    <row r="1232" spans="4:9" x14ac:dyDescent="0.25">
      <c r="D1232" s="103"/>
      <c r="E1232" s="103"/>
      <c r="F1232" s="117"/>
      <c r="G1232" s="103"/>
      <c r="H1232" s="103"/>
      <c r="I1232" s="103"/>
    </row>
    <row r="1233" spans="4:9" x14ac:dyDescent="0.25">
      <c r="D1233" s="103"/>
      <c r="E1233" s="103"/>
      <c r="F1233" s="117"/>
      <c r="G1233" s="103"/>
      <c r="H1233" s="103"/>
      <c r="I1233" s="103"/>
    </row>
    <row r="1234" spans="4:9" x14ac:dyDescent="0.25">
      <c r="D1234" s="103"/>
      <c r="E1234" s="103"/>
      <c r="F1234" s="117"/>
      <c r="G1234" s="103"/>
      <c r="H1234" s="103"/>
      <c r="I1234" s="103"/>
    </row>
    <row r="1235" spans="4:9" x14ac:dyDescent="0.25">
      <c r="D1235" s="103"/>
      <c r="E1235" s="103"/>
      <c r="F1235" s="117"/>
      <c r="G1235" s="103"/>
      <c r="H1235" s="103"/>
      <c r="I1235" s="103"/>
    </row>
    <row r="1236" spans="4:9" x14ac:dyDescent="0.25">
      <c r="D1236" s="103"/>
      <c r="E1236" s="103"/>
      <c r="F1236" s="117"/>
      <c r="G1236" s="103"/>
      <c r="H1236" s="103"/>
      <c r="I1236" s="103"/>
    </row>
    <row r="1237" spans="4:9" x14ac:dyDescent="0.25">
      <c r="D1237" s="103"/>
      <c r="E1237" s="103"/>
      <c r="F1237" s="117"/>
      <c r="G1237" s="103"/>
      <c r="H1237" s="103"/>
      <c r="I1237" s="103"/>
    </row>
    <row r="1238" spans="4:9" x14ac:dyDescent="0.25">
      <c r="D1238" s="103"/>
      <c r="E1238" s="103"/>
      <c r="F1238" s="117"/>
      <c r="G1238" s="103"/>
      <c r="H1238" s="103"/>
      <c r="I1238" s="103"/>
    </row>
    <row r="1239" spans="4:9" x14ac:dyDescent="0.25">
      <c r="D1239" s="103"/>
      <c r="E1239" s="103"/>
      <c r="F1239" s="117"/>
      <c r="G1239" s="103"/>
      <c r="H1239" s="103"/>
      <c r="I1239" s="103"/>
    </row>
    <row r="1240" spans="4:9" x14ac:dyDescent="0.25">
      <c r="D1240" s="103"/>
      <c r="E1240" s="103"/>
      <c r="F1240" s="117"/>
      <c r="G1240" s="103"/>
      <c r="H1240" s="103"/>
      <c r="I1240" s="103"/>
    </row>
    <row r="1241" spans="4:9" x14ac:dyDescent="0.25">
      <c r="D1241" s="103"/>
      <c r="E1241" s="103"/>
      <c r="F1241" s="117"/>
      <c r="G1241" s="103"/>
      <c r="H1241" s="103"/>
      <c r="I1241" s="103"/>
    </row>
    <row r="1242" spans="4:9" x14ac:dyDescent="0.25">
      <c r="D1242" s="103"/>
      <c r="E1242" s="103"/>
      <c r="F1242" s="117"/>
      <c r="G1242" s="103"/>
      <c r="H1242" s="103"/>
      <c r="I1242" s="103"/>
    </row>
    <row r="1243" spans="4:9" x14ac:dyDescent="0.25">
      <c r="D1243" s="103"/>
      <c r="E1243" s="103"/>
      <c r="F1243" s="117"/>
      <c r="G1243" s="103"/>
      <c r="H1243" s="103"/>
      <c r="I1243" s="103"/>
    </row>
    <row r="1244" spans="4:9" x14ac:dyDescent="0.25">
      <c r="D1244" s="103"/>
      <c r="E1244" s="103"/>
      <c r="F1244" s="117"/>
      <c r="G1244" s="103"/>
      <c r="H1244" s="103"/>
      <c r="I1244" s="103"/>
    </row>
    <row r="1245" spans="4:9" x14ac:dyDescent="0.25">
      <c r="D1245" s="103"/>
      <c r="E1245" s="103"/>
      <c r="F1245" s="117"/>
      <c r="G1245" s="103"/>
      <c r="H1245" s="103"/>
      <c r="I1245" s="103"/>
    </row>
    <row r="1246" spans="4:9" x14ac:dyDescent="0.25">
      <c r="D1246" s="103"/>
      <c r="E1246" s="103"/>
      <c r="F1246" s="117"/>
      <c r="G1246" s="103"/>
      <c r="H1246" s="103"/>
      <c r="I1246" s="103"/>
    </row>
    <row r="1247" spans="4:9" x14ac:dyDescent="0.25">
      <c r="D1247" s="103"/>
      <c r="E1247" s="103"/>
      <c r="F1247" s="117"/>
      <c r="G1247" s="103"/>
      <c r="H1247" s="103"/>
      <c r="I1247" s="103"/>
    </row>
    <row r="1248" spans="4:9" x14ac:dyDescent="0.25">
      <c r="D1248" s="103"/>
      <c r="E1248" s="103"/>
      <c r="F1248" s="117"/>
      <c r="G1248" s="103"/>
      <c r="H1248" s="103"/>
      <c r="I1248" s="103"/>
    </row>
    <row r="1249" spans="4:9" x14ac:dyDescent="0.25">
      <c r="D1249" s="103"/>
      <c r="E1249" s="103"/>
      <c r="F1249" s="117"/>
      <c r="G1249" s="103"/>
      <c r="H1249" s="103"/>
      <c r="I1249" s="103"/>
    </row>
    <row r="1250" spans="4:9" x14ac:dyDescent="0.25">
      <c r="D1250" s="103"/>
      <c r="E1250" s="103"/>
      <c r="F1250" s="117"/>
      <c r="G1250" s="103"/>
      <c r="H1250" s="103"/>
      <c r="I1250" s="103"/>
    </row>
    <row r="1251" spans="4:9" x14ac:dyDescent="0.25">
      <c r="D1251" s="103"/>
      <c r="E1251" s="103"/>
      <c r="F1251" s="117"/>
      <c r="G1251" s="103"/>
      <c r="H1251" s="103"/>
      <c r="I1251" s="103"/>
    </row>
    <row r="1252" spans="4:9" x14ac:dyDescent="0.25">
      <c r="D1252" s="103"/>
      <c r="E1252" s="103"/>
      <c r="F1252" s="117"/>
      <c r="G1252" s="103"/>
      <c r="H1252" s="103"/>
      <c r="I1252" s="103"/>
    </row>
    <row r="1253" spans="4:9" x14ac:dyDescent="0.25">
      <c r="D1253" s="103"/>
      <c r="E1253" s="103"/>
      <c r="F1253" s="117"/>
      <c r="G1253" s="103"/>
      <c r="H1253" s="103"/>
      <c r="I1253" s="103"/>
    </row>
    <row r="1254" spans="4:9" x14ac:dyDescent="0.25">
      <c r="D1254" s="103"/>
      <c r="E1254" s="103"/>
      <c r="F1254" s="117"/>
      <c r="G1254" s="103"/>
      <c r="H1254" s="103"/>
      <c r="I1254" s="103"/>
    </row>
    <row r="1255" spans="4:9" x14ac:dyDescent="0.25">
      <c r="D1255" s="103"/>
      <c r="E1255" s="103"/>
      <c r="F1255" s="117"/>
      <c r="G1255" s="103"/>
      <c r="H1255" s="103"/>
      <c r="I1255" s="103"/>
    </row>
    <row r="1256" spans="4:9" x14ac:dyDescent="0.25">
      <c r="D1256" s="103"/>
      <c r="E1256" s="103"/>
      <c r="F1256" s="117"/>
      <c r="G1256" s="103"/>
      <c r="H1256" s="103"/>
      <c r="I1256" s="103"/>
    </row>
    <row r="1257" spans="4:9" x14ac:dyDescent="0.25">
      <c r="D1257" s="103"/>
      <c r="E1257" s="103"/>
      <c r="F1257" s="117"/>
      <c r="G1257" s="103"/>
      <c r="H1257" s="103"/>
      <c r="I1257" s="103"/>
    </row>
    <row r="1258" spans="4:9" x14ac:dyDescent="0.25">
      <c r="D1258" s="103"/>
      <c r="E1258" s="103"/>
      <c r="F1258" s="117"/>
      <c r="G1258" s="103"/>
      <c r="H1258" s="103"/>
      <c r="I1258" s="103"/>
    </row>
    <row r="1259" spans="4:9" x14ac:dyDescent="0.25">
      <c r="D1259" s="103"/>
      <c r="E1259" s="103"/>
      <c r="F1259" s="117"/>
      <c r="G1259" s="103"/>
      <c r="H1259" s="103"/>
      <c r="I1259" s="103"/>
    </row>
    <row r="1260" spans="4:9" x14ac:dyDescent="0.25">
      <c r="D1260" s="103"/>
      <c r="E1260" s="103"/>
      <c r="F1260" s="117"/>
      <c r="G1260" s="103"/>
      <c r="H1260" s="103"/>
      <c r="I1260" s="103"/>
    </row>
    <row r="1261" spans="4:9" x14ac:dyDescent="0.25">
      <c r="D1261" s="103"/>
      <c r="E1261" s="103"/>
      <c r="F1261" s="117"/>
      <c r="G1261" s="103"/>
      <c r="H1261" s="103"/>
      <c r="I1261" s="103"/>
    </row>
    <row r="1262" spans="4:9" x14ac:dyDescent="0.25">
      <c r="D1262" s="103"/>
      <c r="E1262" s="103"/>
      <c r="F1262" s="117"/>
      <c r="G1262" s="103"/>
      <c r="H1262" s="103"/>
      <c r="I1262" s="103"/>
    </row>
    <row r="1263" spans="4:9" x14ac:dyDescent="0.25">
      <c r="D1263" s="103"/>
      <c r="E1263" s="103"/>
      <c r="F1263" s="117"/>
      <c r="G1263" s="103"/>
      <c r="H1263" s="103"/>
      <c r="I1263" s="103"/>
    </row>
    <row r="1264" spans="4:9" x14ac:dyDescent="0.25">
      <c r="D1264" s="103"/>
      <c r="E1264" s="103"/>
      <c r="F1264" s="117"/>
      <c r="G1264" s="103"/>
      <c r="H1264" s="103"/>
      <c r="I1264" s="103"/>
    </row>
    <row r="1265" spans="4:9" x14ac:dyDescent="0.25">
      <c r="D1265" s="103"/>
      <c r="E1265" s="103"/>
      <c r="F1265" s="117"/>
      <c r="G1265" s="103"/>
      <c r="H1265" s="103"/>
      <c r="I1265" s="103"/>
    </row>
    <row r="1266" spans="4:9" x14ac:dyDescent="0.25">
      <c r="D1266" s="103"/>
      <c r="E1266" s="103"/>
      <c r="F1266" s="117"/>
      <c r="G1266" s="103"/>
      <c r="H1266" s="103"/>
      <c r="I1266" s="103"/>
    </row>
    <row r="1267" spans="4:9" x14ac:dyDescent="0.25">
      <c r="D1267" s="103"/>
      <c r="E1267" s="103"/>
      <c r="F1267" s="117"/>
      <c r="G1267" s="103"/>
      <c r="H1267" s="103"/>
      <c r="I1267" s="103"/>
    </row>
    <row r="1268" spans="4:9" x14ac:dyDescent="0.25">
      <c r="D1268" s="103"/>
      <c r="E1268" s="103"/>
      <c r="F1268" s="117"/>
      <c r="G1268" s="103"/>
      <c r="H1268" s="103"/>
      <c r="I1268" s="103"/>
    </row>
    <row r="1269" spans="4:9" x14ac:dyDescent="0.25">
      <c r="D1269" s="103"/>
      <c r="E1269" s="103"/>
      <c r="F1269" s="117"/>
      <c r="G1269" s="103"/>
      <c r="H1269" s="103"/>
      <c r="I1269" s="103"/>
    </row>
    <row r="1270" spans="4:9" x14ac:dyDescent="0.25">
      <c r="D1270" s="103"/>
      <c r="E1270" s="103"/>
      <c r="F1270" s="117"/>
      <c r="G1270" s="103"/>
      <c r="H1270" s="103"/>
      <c r="I1270" s="103"/>
    </row>
    <row r="1271" spans="4:9" x14ac:dyDescent="0.25">
      <c r="D1271" s="103"/>
      <c r="E1271" s="103"/>
      <c r="F1271" s="117"/>
      <c r="G1271" s="103"/>
      <c r="H1271" s="103"/>
      <c r="I1271" s="103"/>
    </row>
    <row r="1272" spans="4:9" x14ac:dyDescent="0.25">
      <c r="D1272" s="103"/>
      <c r="E1272" s="103"/>
      <c r="F1272" s="117"/>
      <c r="G1272" s="103"/>
      <c r="H1272" s="103"/>
      <c r="I1272" s="103"/>
    </row>
    <row r="1273" spans="4:9" x14ac:dyDescent="0.25">
      <c r="D1273" s="103"/>
      <c r="E1273" s="103"/>
      <c r="F1273" s="117"/>
      <c r="G1273" s="103"/>
      <c r="H1273" s="103"/>
      <c r="I1273" s="103"/>
    </row>
    <row r="1274" spans="4:9" x14ac:dyDescent="0.25">
      <c r="D1274" s="103"/>
      <c r="E1274" s="103"/>
      <c r="F1274" s="117"/>
      <c r="G1274" s="103"/>
      <c r="H1274" s="103"/>
      <c r="I1274" s="103"/>
    </row>
    <row r="1275" spans="4:9" x14ac:dyDescent="0.25">
      <c r="D1275" s="103"/>
      <c r="E1275" s="103"/>
      <c r="F1275" s="117"/>
      <c r="G1275" s="103"/>
      <c r="H1275" s="103"/>
      <c r="I1275" s="103"/>
    </row>
    <row r="1276" spans="4:9" x14ac:dyDescent="0.25">
      <c r="D1276" s="103"/>
      <c r="E1276" s="103"/>
      <c r="F1276" s="117"/>
      <c r="G1276" s="103"/>
      <c r="H1276" s="103"/>
      <c r="I1276" s="103"/>
    </row>
    <row r="1277" spans="4:9" x14ac:dyDescent="0.25">
      <c r="D1277" s="103"/>
      <c r="E1277" s="103"/>
      <c r="F1277" s="117"/>
      <c r="G1277" s="103"/>
      <c r="H1277" s="103"/>
      <c r="I1277" s="103"/>
    </row>
    <row r="1278" spans="4:9" x14ac:dyDescent="0.25">
      <c r="D1278" s="103"/>
      <c r="E1278" s="103"/>
      <c r="F1278" s="117"/>
      <c r="G1278" s="103"/>
      <c r="H1278" s="103"/>
      <c r="I1278" s="103"/>
    </row>
    <row r="1279" spans="4:9" x14ac:dyDescent="0.25">
      <c r="D1279" s="103"/>
      <c r="E1279" s="103"/>
      <c r="F1279" s="117"/>
      <c r="G1279" s="103"/>
      <c r="H1279" s="103"/>
      <c r="I1279" s="103"/>
    </row>
    <row r="1280" spans="4:9" x14ac:dyDescent="0.25">
      <c r="D1280" s="103"/>
      <c r="E1280" s="103"/>
      <c r="F1280" s="117"/>
      <c r="G1280" s="103"/>
      <c r="H1280" s="103"/>
      <c r="I1280" s="103"/>
    </row>
    <row r="1281" spans="4:9" x14ac:dyDescent="0.25">
      <c r="D1281" s="103"/>
      <c r="E1281" s="103"/>
      <c r="F1281" s="117"/>
      <c r="G1281" s="103"/>
      <c r="H1281" s="103"/>
      <c r="I1281" s="103"/>
    </row>
    <row r="1282" spans="4:9" x14ac:dyDescent="0.25">
      <c r="D1282" s="103"/>
      <c r="E1282" s="103"/>
      <c r="F1282" s="117"/>
      <c r="G1282" s="103"/>
      <c r="H1282" s="103"/>
      <c r="I1282" s="103"/>
    </row>
    <row r="1283" spans="4:9" x14ac:dyDescent="0.25">
      <c r="D1283" s="103"/>
      <c r="E1283" s="103"/>
      <c r="F1283" s="117"/>
      <c r="G1283" s="103"/>
      <c r="H1283" s="103"/>
      <c r="I1283" s="103"/>
    </row>
    <row r="1284" spans="4:9" x14ac:dyDescent="0.25">
      <c r="D1284" s="103"/>
      <c r="E1284" s="103"/>
      <c r="F1284" s="117"/>
      <c r="G1284" s="103"/>
      <c r="H1284" s="103"/>
      <c r="I1284" s="103"/>
    </row>
    <row r="1285" spans="4:9" x14ac:dyDescent="0.25">
      <c r="D1285" s="103"/>
      <c r="E1285" s="103"/>
      <c r="F1285" s="117"/>
      <c r="G1285" s="103"/>
      <c r="H1285" s="103"/>
      <c r="I1285" s="103"/>
    </row>
    <row r="1286" spans="4:9" x14ac:dyDescent="0.25">
      <c r="D1286" s="103"/>
      <c r="E1286" s="103"/>
      <c r="F1286" s="117"/>
      <c r="G1286" s="103"/>
      <c r="H1286" s="103"/>
      <c r="I1286" s="103"/>
    </row>
    <row r="1287" spans="4:9" x14ac:dyDescent="0.25">
      <c r="D1287" s="103"/>
      <c r="E1287" s="103"/>
      <c r="F1287" s="117"/>
      <c r="G1287" s="103"/>
      <c r="H1287" s="103"/>
      <c r="I1287" s="103"/>
    </row>
    <row r="1288" spans="4:9" x14ac:dyDescent="0.25">
      <c r="D1288" s="103"/>
      <c r="E1288" s="103"/>
      <c r="F1288" s="117"/>
      <c r="G1288" s="103"/>
      <c r="H1288" s="103"/>
      <c r="I1288" s="103"/>
    </row>
    <row r="1289" spans="4:9" x14ac:dyDescent="0.25">
      <c r="D1289" s="103"/>
      <c r="E1289" s="103"/>
      <c r="F1289" s="117"/>
      <c r="G1289" s="103"/>
      <c r="H1289" s="103"/>
      <c r="I1289" s="103"/>
    </row>
    <row r="1290" spans="4:9" x14ac:dyDescent="0.25">
      <c r="D1290" s="103"/>
      <c r="E1290" s="103"/>
      <c r="F1290" s="117"/>
      <c r="G1290" s="103"/>
      <c r="H1290" s="103"/>
      <c r="I1290" s="103"/>
    </row>
    <row r="1291" spans="4:9" x14ac:dyDescent="0.25">
      <c r="D1291" s="103"/>
      <c r="E1291" s="103"/>
      <c r="F1291" s="117"/>
      <c r="G1291" s="103"/>
      <c r="H1291" s="103"/>
      <c r="I1291" s="103"/>
    </row>
    <row r="1292" spans="4:9" x14ac:dyDescent="0.25">
      <c r="D1292" s="103"/>
      <c r="E1292" s="103"/>
      <c r="F1292" s="117"/>
      <c r="G1292" s="103"/>
      <c r="H1292" s="103"/>
      <c r="I1292" s="103"/>
    </row>
    <row r="1293" spans="4:9" x14ac:dyDescent="0.25">
      <c r="D1293" s="103"/>
      <c r="E1293" s="103"/>
      <c r="F1293" s="117"/>
      <c r="G1293" s="103"/>
      <c r="H1293" s="103"/>
      <c r="I1293" s="103"/>
    </row>
    <row r="1294" spans="4:9" x14ac:dyDescent="0.25">
      <c r="D1294" s="103"/>
      <c r="E1294" s="103"/>
      <c r="F1294" s="117"/>
      <c r="G1294" s="103"/>
      <c r="H1294" s="103"/>
      <c r="I1294" s="103"/>
    </row>
    <row r="1295" spans="4:9" x14ac:dyDescent="0.25">
      <c r="D1295" s="103"/>
      <c r="E1295" s="103"/>
      <c r="F1295" s="117"/>
      <c r="G1295" s="103"/>
      <c r="H1295" s="103"/>
      <c r="I1295" s="103"/>
    </row>
    <row r="1296" spans="4:9" x14ac:dyDescent="0.25">
      <c r="D1296" s="103"/>
      <c r="E1296" s="103"/>
      <c r="F1296" s="117"/>
      <c r="G1296" s="103"/>
      <c r="H1296" s="103"/>
      <c r="I1296" s="103"/>
    </row>
    <row r="1297" spans="4:9" x14ac:dyDescent="0.25">
      <c r="D1297" s="103"/>
      <c r="E1297" s="103"/>
      <c r="F1297" s="117"/>
      <c r="G1297" s="103"/>
      <c r="H1297" s="103"/>
      <c r="I1297" s="103"/>
    </row>
    <row r="1298" spans="4:9" x14ac:dyDescent="0.25">
      <c r="D1298" s="103"/>
      <c r="E1298" s="103"/>
      <c r="F1298" s="117"/>
      <c r="G1298" s="103"/>
      <c r="H1298" s="103"/>
      <c r="I1298" s="103"/>
    </row>
    <row r="1299" spans="4:9" x14ac:dyDescent="0.25">
      <c r="D1299" s="103"/>
      <c r="E1299" s="103"/>
      <c r="F1299" s="117"/>
      <c r="G1299" s="103"/>
      <c r="H1299" s="103"/>
      <c r="I1299" s="103"/>
    </row>
    <row r="1300" spans="4:9" x14ac:dyDescent="0.25">
      <c r="D1300" s="103"/>
      <c r="E1300" s="103"/>
      <c r="F1300" s="117"/>
      <c r="G1300" s="103"/>
      <c r="H1300" s="103"/>
      <c r="I1300" s="103"/>
    </row>
    <row r="1301" spans="4:9" x14ac:dyDescent="0.25">
      <c r="D1301" s="103"/>
      <c r="E1301" s="103"/>
      <c r="F1301" s="117"/>
      <c r="G1301" s="103"/>
      <c r="H1301" s="103"/>
      <c r="I1301" s="103"/>
    </row>
    <row r="1302" spans="4:9" x14ac:dyDescent="0.25">
      <c r="D1302" s="103"/>
      <c r="E1302" s="103"/>
      <c r="F1302" s="117"/>
      <c r="G1302" s="103"/>
      <c r="H1302" s="103"/>
      <c r="I1302" s="103"/>
    </row>
    <row r="1303" spans="4:9" x14ac:dyDescent="0.25">
      <c r="D1303" s="103"/>
      <c r="E1303" s="103"/>
      <c r="F1303" s="117"/>
      <c r="G1303" s="103"/>
      <c r="H1303" s="103"/>
      <c r="I1303" s="103"/>
    </row>
    <row r="1304" spans="4:9" x14ac:dyDescent="0.25">
      <c r="D1304" s="103"/>
      <c r="E1304" s="103"/>
      <c r="F1304" s="117"/>
      <c r="G1304" s="103"/>
      <c r="H1304" s="103"/>
      <c r="I1304" s="103"/>
    </row>
    <row r="1305" spans="4:9" x14ac:dyDescent="0.25">
      <c r="D1305" s="103"/>
      <c r="E1305" s="103"/>
      <c r="F1305" s="117"/>
      <c r="G1305" s="103"/>
      <c r="H1305" s="103"/>
      <c r="I1305" s="103"/>
    </row>
    <row r="1306" spans="4:9" x14ac:dyDescent="0.25">
      <c r="D1306" s="103"/>
      <c r="E1306" s="103"/>
      <c r="F1306" s="117"/>
      <c r="G1306" s="103"/>
      <c r="H1306" s="103"/>
      <c r="I1306" s="103"/>
    </row>
    <row r="1307" spans="4:9" x14ac:dyDescent="0.25">
      <c r="D1307" s="103"/>
      <c r="E1307" s="103"/>
      <c r="F1307" s="117"/>
      <c r="G1307" s="103"/>
      <c r="H1307" s="103"/>
      <c r="I1307" s="103"/>
    </row>
    <row r="1308" spans="4:9" x14ac:dyDescent="0.25">
      <c r="D1308" s="103"/>
      <c r="E1308" s="103"/>
      <c r="F1308" s="117"/>
      <c r="G1308" s="103"/>
      <c r="H1308" s="103"/>
      <c r="I1308" s="103"/>
    </row>
    <row r="1309" spans="4:9" x14ac:dyDescent="0.25">
      <c r="D1309" s="103"/>
      <c r="E1309" s="103"/>
      <c r="F1309" s="117"/>
      <c r="G1309" s="103"/>
      <c r="H1309" s="103"/>
      <c r="I1309" s="103"/>
    </row>
    <row r="1310" spans="4:9" x14ac:dyDescent="0.25">
      <c r="D1310" s="103"/>
      <c r="E1310" s="103"/>
      <c r="F1310" s="117"/>
      <c r="G1310" s="103"/>
      <c r="H1310" s="103"/>
      <c r="I1310" s="103"/>
    </row>
    <row r="1311" spans="4:9" x14ac:dyDescent="0.25">
      <c r="D1311" s="103"/>
      <c r="E1311" s="103"/>
      <c r="F1311" s="117"/>
      <c r="G1311" s="103"/>
      <c r="H1311" s="103"/>
      <c r="I1311" s="103"/>
    </row>
    <row r="1312" spans="4:9" x14ac:dyDescent="0.25">
      <c r="D1312" s="103"/>
      <c r="E1312" s="103"/>
      <c r="F1312" s="117"/>
      <c r="G1312" s="103"/>
      <c r="H1312" s="103"/>
      <c r="I1312" s="103"/>
    </row>
    <row r="1313" spans="4:9" x14ac:dyDescent="0.25">
      <c r="D1313" s="103"/>
      <c r="E1313" s="103"/>
      <c r="F1313" s="117"/>
      <c r="G1313" s="103"/>
      <c r="H1313" s="103"/>
      <c r="I1313" s="103"/>
    </row>
    <row r="1314" spans="4:9" x14ac:dyDescent="0.25">
      <c r="D1314" s="103"/>
      <c r="E1314" s="103"/>
      <c r="F1314" s="117"/>
      <c r="G1314" s="103"/>
      <c r="H1314" s="103"/>
      <c r="I1314" s="103"/>
    </row>
    <row r="1315" spans="4:9" x14ac:dyDescent="0.25">
      <c r="D1315" s="103"/>
      <c r="E1315" s="103"/>
      <c r="F1315" s="117"/>
      <c r="G1315" s="103"/>
      <c r="H1315" s="103"/>
      <c r="I1315" s="103"/>
    </row>
    <row r="1316" spans="4:9" x14ac:dyDescent="0.25">
      <c r="D1316" s="103"/>
      <c r="E1316" s="103"/>
      <c r="F1316" s="117"/>
      <c r="G1316" s="103"/>
      <c r="H1316" s="103"/>
      <c r="I1316" s="103"/>
    </row>
    <row r="1317" spans="4:9" x14ac:dyDescent="0.25">
      <c r="D1317" s="103"/>
      <c r="E1317" s="103"/>
      <c r="F1317" s="117"/>
      <c r="G1317" s="103"/>
      <c r="H1317" s="103"/>
      <c r="I1317" s="103"/>
    </row>
    <row r="1318" spans="4:9" x14ac:dyDescent="0.25">
      <c r="D1318" s="103"/>
      <c r="E1318" s="103"/>
      <c r="F1318" s="117"/>
      <c r="G1318" s="103"/>
      <c r="H1318" s="103"/>
      <c r="I1318" s="103"/>
    </row>
    <row r="1319" spans="4:9" x14ac:dyDescent="0.25">
      <c r="D1319" s="103"/>
      <c r="E1319" s="103"/>
      <c r="F1319" s="117"/>
      <c r="G1319" s="103"/>
      <c r="H1319" s="103"/>
      <c r="I1319" s="103"/>
    </row>
    <row r="1320" spans="4:9" x14ac:dyDescent="0.25">
      <c r="D1320" s="103"/>
      <c r="E1320" s="103"/>
      <c r="F1320" s="117"/>
      <c r="G1320" s="103"/>
      <c r="H1320" s="103"/>
      <c r="I1320" s="103"/>
    </row>
    <row r="1321" spans="4:9" x14ac:dyDescent="0.25">
      <c r="D1321" s="103"/>
      <c r="E1321" s="103"/>
      <c r="F1321" s="117"/>
      <c r="G1321" s="103"/>
      <c r="H1321" s="103"/>
      <c r="I1321" s="103"/>
    </row>
    <row r="1322" spans="4:9" x14ac:dyDescent="0.25">
      <c r="D1322" s="103"/>
      <c r="E1322" s="103"/>
      <c r="F1322" s="117"/>
      <c r="G1322" s="103"/>
      <c r="H1322" s="103"/>
      <c r="I1322" s="103"/>
    </row>
    <row r="1323" spans="4:9" x14ac:dyDescent="0.25">
      <c r="D1323" s="103"/>
      <c r="E1323" s="103"/>
      <c r="F1323" s="117"/>
      <c r="G1323" s="103"/>
      <c r="H1323" s="103"/>
      <c r="I1323" s="103"/>
    </row>
    <row r="1324" spans="4:9" x14ac:dyDescent="0.25">
      <c r="D1324" s="103"/>
      <c r="E1324" s="103"/>
      <c r="F1324" s="117"/>
      <c r="G1324" s="103"/>
      <c r="H1324" s="103"/>
      <c r="I1324" s="103"/>
    </row>
    <row r="1325" spans="4:9" x14ac:dyDescent="0.25">
      <c r="D1325" s="103"/>
      <c r="E1325" s="103"/>
      <c r="F1325" s="117"/>
      <c r="G1325" s="103"/>
      <c r="H1325" s="103"/>
      <c r="I1325" s="103"/>
    </row>
    <row r="1326" spans="4:9" x14ac:dyDescent="0.25">
      <c r="D1326" s="103"/>
      <c r="E1326" s="103"/>
      <c r="F1326" s="117"/>
      <c r="G1326" s="103"/>
      <c r="H1326" s="103"/>
      <c r="I1326" s="103"/>
    </row>
    <row r="1327" spans="4:9" x14ac:dyDescent="0.25">
      <c r="D1327" s="103"/>
      <c r="E1327" s="103"/>
      <c r="F1327" s="117"/>
      <c r="G1327" s="103"/>
      <c r="H1327" s="103"/>
      <c r="I1327" s="103"/>
    </row>
    <row r="1328" spans="4:9" x14ac:dyDescent="0.25">
      <c r="D1328" s="103"/>
      <c r="E1328" s="103"/>
      <c r="F1328" s="117"/>
      <c r="G1328" s="103"/>
      <c r="H1328" s="103"/>
      <c r="I1328" s="103"/>
    </row>
    <row r="1329" spans="4:9" x14ac:dyDescent="0.25">
      <c r="D1329" s="103"/>
      <c r="E1329" s="103"/>
      <c r="F1329" s="117"/>
      <c r="G1329" s="103"/>
      <c r="H1329" s="103"/>
      <c r="I1329" s="103"/>
    </row>
    <row r="1330" spans="4:9" x14ac:dyDescent="0.25">
      <c r="D1330" s="103"/>
      <c r="E1330" s="103"/>
      <c r="F1330" s="117"/>
      <c r="G1330" s="103"/>
      <c r="H1330" s="103"/>
      <c r="I1330" s="103"/>
    </row>
    <row r="1331" spans="4:9" x14ac:dyDescent="0.25">
      <c r="D1331" s="103"/>
      <c r="E1331" s="103"/>
      <c r="F1331" s="117"/>
      <c r="G1331" s="103"/>
      <c r="H1331" s="103"/>
      <c r="I1331" s="103"/>
    </row>
    <row r="1332" spans="4:9" x14ac:dyDescent="0.25">
      <c r="D1332" s="103"/>
      <c r="E1332" s="103"/>
      <c r="F1332" s="117"/>
      <c r="G1332" s="103"/>
      <c r="H1332" s="103"/>
      <c r="I1332" s="103"/>
    </row>
    <row r="1333" spans="4:9" x14ac:dyDescent="0.25">
      <c r="D1333" s="103"/>
      <c r="E1333" s="103"/>
      <c r="F1333" s="117"/>
      <c r="G1333" s="103"/>
      <c r="H1333" s="103"/>
      <c r="I1333" s="103"/>
    </row>
    <row r="1334" spans="4:9" x14ac:dyDescent="0.25">
      <c r="D1334" s="103"/>
      <c r="E1334" s="103"/>
      <c r="F1334" s="117"/>
      <c r="G1334" s="103"/>
      <c r="H1334" s="103"/>
      <c r="I1334" s="103"/>
    </row>
    <row r="1335" spans="4:9" x14ac:dyDescent="0.25">
      <c r="D1335" s="103"/>
      <c r="E1335" s="103"/>
      <c r="F1335" s="117"/>
      <c r="G1335" s="103"/>
      <c r="H1335" s="103"/>
      <c r="I1335" s="103"/>
    </row>
    <row r="1336" spans="4:9" x14ac:dyDescent="0.25">
      <c r="D1336" s="103"/>
      <c r="E1336" s="103"/>
      <c r="F1336" s="117"/>
      <c r="G1336" s="103"/>
      <c r="H1336" s="103"/>
      <c r="I1336" s="103"/>
    </row>
    <row r="1337" spans="4:9" x14ac:dyDescent="0.25">
      <c r="D1337" s="103"/>
      <c r="E1337" s="103"/>
      <c r="F1337" s="117"/>
      <c r="G1337" s="103"/>
      <c r="H1337" s="103"/>
      <c r="I1337" s="103"/>
    </row>
    <row r="1338" spans="4:9" x14ac:dyDescent="0.25">
      <c r="D1338" s="103"/>
      <c r="E1338" s="103"/>
      <c r="F1338" s="117"/>
      <c r="G1338" s="103"/>
      <c r="H1338" s="103"/>
      <c r="I1338" s="103"/>
    </row>
    <row r="1339" spans="4:9" x14ac:dyDescent="0.25">
      <c r="D1339" s="103"/>
      <c r="E1339" s="103"/>
      <c r="F1339" s="117"/>
      <c r="G1339" s="103"/>
      <c r="H1339" s="103"/>
      <c r="I1339" s="103"/>
    </row>
    <row r="1340" spans="4:9" x14ac:dyDescent="0.25">
      <c r="D1340" s="103"/>
      <c r="E1340" s="103"/>
      <c r="F1340" s="117"/>
      <c r="G1340" s="103"/>
      <c r="H1340" s="103"/>
      <c r="I1340" s="103"/>
    </row>
    <row r="1341" spans="4:9" x14ac:dyDescent="0.25">
      <c r="D1341" s="103"/>
      <c r="E1341" s="103"/>
      <c r="F1341" s="117"/>
      <c r="G1341" s="103"/>
      <c r="H1341" s="103"/>
      <c r="I1341" s="103"/>
    </row>
    <row r="1342" spans="4:9" x14ac:dyDescent="0.25">
      <c r="D1342" s="103"/>
      <c r="E1342" s="103"/>
      <c r="F1342" s="117"/>
      <c r="G1342" s="103"/>
      <c r="H1342" s="103"/>
      <c r="I1342" s="103"/>
    </row>
    <row r="1343" spans="4:9" x14ac:dyDescent="0.25">
      <c r="D1343" s="103"/>
      <c r="E1343" s="103"/>
      <c r="F1343" s="117"/>
      <c r="G1343" s="103"/>
      <c r="H1343" s="103"/>
      <c r="I1343" s="103"/>
    </row>
    <row r="1344" spans="4:9" x14ac:dyDescent="0.25">
      <c r="D1344" s="103"/>
      <c r="E1344" s="103"/>
      <c r="F1344" s="117"/>
      <c r="G1344" s="103"/>
      <c r="H1344" s="103"/>
      <c r="I1344" s="103"/>
    </row>
    <row r="1345" spans="4:9" x14ac:dyDescent="0.25">
      <c r="D1345" s="103"/>
      <c r="E1345" s="103"/>
      <c r="F1345" s="117"/>
      <c r="G1345" s="103"/>
      <c r="H1345" s="103"/>
      <c r="I1345" s="103"/>
    </row>
    <row r="1346" spans="4:9" x14ac:dyDescent="0.25">
      <c r="D1346" s="103"/>
      <c r="E1346" s="103"/>
      <c r="F1346" s="117"/>
      <c r="G1346" s="103"/>
      <c r="H1346" s="103"/>
      <c r="I1346" s="103"/>
    </row>
    <row r="1347" spans="4:9" x14ac:dyDescent="0.25">
      <c r="D1347" s="103"/>
      <c r="E1347" s="103"/>
      <c r="F1347" s="117"/>
      <c r="G1347" s="103"/>
      <c r="H1347" s="103"/>
      <c r="I1347" s="103"/>
    </row>
    <row r="1348" spans="4:9" x14ac:dyDescent="0.25">
      <c r="D1348" s="103"/>
      <c r="E1348" s="103"/>
      <c r="F1348" s="117"/>
      <c r="G1348" s="103"/>
      <c r="H1348" s="103"/>
      <c r="I1348" s="103"/>
    </row>
    <row r="1349" spans="4:9" x14ac:dyDescent="0.25">
      <c r="D1349" s="103"/>
      <c r="E1349" s="103"/>
      <c r="F1349" s="117"/>
      <c r="G1349" s="103"/>
      <c r="H1349" s="103"/>
      <c r="I1349" s="103"/>
    </row>
    <row r="1350" spans="4:9" x14ac:dyDescent="0.25">
      <c r="D1350" s="103"/>
      <c r="E1350" s="103"/>
      <c r="F1350" s="117"/>
      <c r="G1350" s="103"/>
      <c r="H1350" s="103"/>
      <c r="I1350" s="103"/>
    </row>
    <row r="1351" spans="4:9" x14ac:dyDescent="0.25">
      <c r="D1351" s="103"/>
      <c r="E1351" s="103"/>
      <c r="F1351" s="117"/>
      <c r="G1351" s="103"/>
      <c r="H1351" s="103"/>
      <c r="I1351" s="103"/>
    </row>
    <row r="1352" spans="4:9" x14ac:dyDescent="0.25">
      <c r="D1352" s="103"/>
      <c r="E1352" s="103"/>
      <c r="F1352" s="117"/>
      <c r="G1352" s="103"/>
      <c r="H1352" s="103"/>
      <c r="I1352" s="103"/>
    </row>
    <row r="1353" spans="4:9" x14ac:dyDescent="0.25">
      <c r="D1353" s="103"/>
      <c r="E1353" s="103"/>
      <c r="F1353" s="117"/>
      <c r="G1353" s="103"/>
      <c r="H1353" s="103"/>
      <c r="I1353" s="103"/>
    </row>
    <row r="1354" spans="4:9" x14ac:dyDescent="0.25">
      <c r="D1354" s="103"/>
      <c r="E1354" s="103"/>
      <c r="F1354" s="117"/>
      <c r="G1354" s="103"/>
      <c r="H1354" s="103"/>
      <c r="I1354" s="103"/>
    </row>
    <row r="1355" spans="4:9" x14ac:dyDescent="0.25">
      <c r="D1355" s="103"/>
      <c r="E1355" s="103"/>
      <c r="F1355" s="117"/>
      <c r="G1355" s="103"/>
      <c r="H1355" s="103"/>
      <c r="I1355" s="103"/>
    </row>
    <row r="1356" spans="4:9" x14ac:dyDescent="0.25">
      <c r="D1356" s="103"/>
      <c r="E1356" s="103"/>
      <c r="F1356" s="117"/>
      <c r="G1356" s="103"/>
      <c r="H1356" s="103"/>
      <c r="I1356" s="103"/>
    </row>
    <row r="1357" spans="4:9" x14ac:dyDescent="0.25">
      <c r="D1357" s="103"/>
      <c r="E1357" s="103"/>
      <c r="F1357" s="117"/>
      <c r="G1357" s="103"/>
      <c r="H1357" s="103"/>
      <c r="I1357" s="103"/>
    </row>
    <row r="1358" spans="4:9" x14ac:dyDescent="0.25">
      <c r="D1358" s="103"/>
      <c r="E1358" s="103"/>
      <c r="F1358" s="117"/>
      <c r="G1358" s="103"/>
      <c r="H1358" s="103"/>
      <c r="I1358" s="103"/>
    </row>
    <row r="1359" spans="4:9" x14ac:dyDescent="0.25">
      <c r="D1359" s="103"/>
      <c r="E1359" s="103"/>
      <c r="F1359" s="117"/>
      <c r="G1359" s="103"/>
      <c r="H1359" s="103"/>
      <c r="I1359" s="103"/>
    </row>
    <row r="1360" spans="4:9" x14ac:dyDescent="0.25">
      <c r="D1360" s="103"/>
      <c r="E1360" s="103"/>
      <c r="F1360" s="117"/>
      <c r="G1360" s="103"/>
      <c r="H1360" s="103"/>
      <c r="I1360" s="103"/>
    </row>
    <row r="1361" spans="4:9" x14ac:dyDescent="0.25">
      <c r="D1361" s="103"/>
      <c r="E1361" s="103"/>
      <c r="F1361" s="117"/>
      <c r="G1361" s="103"/>
      <c r="H1361" s="103"/>
      <c r="I1361" s="103"/>
    </row>
    <row r="1362" spans="4:9" x14ac:dyDescent="0.25">
      <c r="D1362" s="103"/>
      <c r="E1362" s="103"/>
      <c r="F1362" s="117"/>
      <c r="G1362" s="103"/>
      <c r="H1362" s="103"/>
      <c r="I1362" s="103"/>
    </row>
    <row r="1363" spans="4:9" x14ac:dyDescent="0.25">
      <c r="D1363" s="103"/>
      <c r="E1363" s="103"/>
      <c r="F1363" s="117"/>
      <c r="G1363" s="103"/>
      <c r="H1363" s="103"/>
      <c r="I1363" s="103"/>
    </row>
    <row r="1364" spans="4:9" x14ac:dyDescent="0.25">
      <c r="D1364" s="103"/>
      <c r="E1364" s="103"/>
      <c r="F1364" s="117"/>
      <c r="G1364" s="103"/>
      <c r="H1364" s="103"/>
      <c r="I1364" s="103"/>
    </row>
    <row r="1365" spans="4:9" x14ac:dyDescent="0.25">
      <c r="D1365" s="103"/>
      <c r="E1365" s="103"/>
      <c r="F1365" s="117"/>
      <c r="G1365" s="103"/>
      <c r="H1365" s="103"/>
      <c r="I1365" s="103"/>
    </row>
    <row r="1366" spans="4:9" x14ac:dyDescent="0.25">
      <c r="D1366" s="103"/>
      <c r="E1366" s="103"/>
      <c r="F1366" s="117"/>
      <c r="G1366" s="103"/>
      <c r="H1366" s="103"/>
      <c r="I1366" s="103"/>
    </row>
    <row r="1367" spans="4:9" x14ac:dyDescent="0.25">
      <c r="D1367" s="103"/>
      <c r="E1367" s="103"/>
      <c r="F1367" s="117"/>
      <c r="G1367" s="103"/>
      <c r="H1367" s="103"/>
      <c r="I1367" s="103"/>
    </row>
    <row r="1368" spans="4:9" x14ac:dyDescent="0.25">
      <c r="D1368" s="103"/>
      <c r="E1368" s="103"/>
      <c r="F1368" s="117"/>
      <c r="G1368" s="103"/>
      <c r="H1368" s="103"/>
      <c r="I1368" s="103"/>
    </row>
    <row r="1369" spans="4:9" x14ac:dyDescent="0.25">
      <c r="D1369" s="103"/>
      <c r="E1369" s="103"/>
      <c r="F1369" s="117"/>
      <c r="G1369" s="103"/>
      <c r="H1369" s="103"/>
      <c r="I1369" s="103"/>
    </row>
    <row r="1370" spans="4:9" x14ac:dyDescent="0.25">
      <c r="D1370" s="103"/>
      <c r="E1370" s="103"/>
      <c r="F1370" s="117"/>
      <c r="G1370" s="103"/>
      <c r="H1370" s="103"/>
      <c r="I1370" s="103"/>
    </row>
    <row r="1371" spans="4:9" x14ac:dyDescent="0.25">
      <c r="D1371" s="103"/>
      <c r="E1371" s="103"/>
      <c r="F1371" s="117"/>
      <c r="G1371" s="103"/>
      <c r="H1371" s="103"/>
      <c r="I1371" s="103"/>
    </row>
    <row r="1372" spans="4:9" x14ac:dyDescent="0.25">
      <c r="D1372" s="103"/>
      <c r="E1372" s="103"/>
      <c r="F1372" s="117"/>
      <c r="G1372" s="103"/>
      <c r="H1372" s="103"/>
      <c r="I1372" s="103"/>
    </row>
    <row r="1373" spans="4:9" x14ac:dyDescent="0.25">
      <c r="D1373" s="103"/>
      <c r="E1373" s="103"/>
      <c r="F1373" s="117"/>
      <c r="G1373" s="103"/>
      <c r="H1373" s="103"/>
      <c r="I1373" s="103"/>
    </row>
    <row r="1374" spans="4:9" x14ac:dyDescent="0.25">
      <c r="D1374" s="103"/>
      <c r="E1374" s="103"/>
      <c r="F1374" s="117"/>
      <c r="G1374" s="103"/>
      <c r="H1374" s="103"/>
      <c r="I1374" s="103"/>
    </row>
    <row r="1375" spans="4:9" x14ac:dyDescent="0.25">
      <c r="D1375" s="103"/>
      <c r="E1375" s="103"/>
      <c r="F1375" s="117"/>
      <c r="G1375" s="103"/>
      <c r="H1375" s="103"/>
      <c r="I1375" s="103"/>
    </row>
    <row r="1376" spans="4:9" x14ac:dyDescent="0.25">
      <c r="D1376" s="103"/>
      <c r="E1376" s="103"/>
      <c r="F1376" s="117"/>
      <c r="G1376" s="103"/>
      <c r="H1376" s="103"/>
      <c r="I1376" s="103"/>
    </row>
    <row r="1377" spans="4:9" x14ac:dyDescent="0.25">
      <c r="D1377" s="103"/>
      <c r="E1377" s="103"/>
      <c r="F1377" s="117"/>
      <c r="G1377" s="103"/>
      <c r="H1377" s="103"/>
      <c r="I1377" s="103"/>
    </row>
    <row r="1378" spans="4:9" x14ac:dyDescent="0.25">
      <c r="D1378" s="103"/>
      <c r="E1378" s="103"/>
      <c r="F1378" s="117"/>
      <c r="G1378" s="103"/>
      <c r="H1378" s="103"/>
      <c r="I1378" s="103"/>
    </row>
    <row r="1379" spans="4:9" x14ac:dyDescent="0.25">
      <c r="D1379" s="103"/>
      <c r="E1379" s="103"/>
      <c r="F1379" s="117"/>
      <c r="G1379" s="103"/>
      <c r="H1379" s="103"/>
      <c r="I1379" s="103"/>
    </row>
    <row r="1380" spans="4:9" x14ac:dyDescent="0.25">
      <c r="D1380" s="103"/>
      <c r="E1380" s="103"/>
      <c r="F1380" s="117"/>
      <c r="G1380" s="103"/>
      <c r="H1380" s="103"/>
      <c r="I1380" s="103"/>
    </row>
    <row r="1381" spans="4:9" x14ac:dyDescent="0.25">
      <c r="D1381" s="103"/>
      <c r="E1381" s="103"/>
      <c r="F1381" s="117"/>
      <c r="G1381" s="103"/>
      <c r="H1381" s="103"/>
      <c r="I1381" s="103"/>
    </row>
    <row r="1382" spans="4:9" x14ac:dyDescent="0.25">
      <c r="D1382" s="103"/>
      <c r="E1382" s="103"/>
      <c r="F1382" s="117"/>
      <c r="G1382" s="103"/>
      <c r="H1382" s="103"/>
      <c r="I1382" s="103"/>
    </row>
    <row r="1383" spans="4:9" x14ac:dyDescent="0.25">
      <c r="D1383" s="103"/>
      <c r="E1383" s="103"/>
      <c r="F1383" s="117"/>
      <c r="G1383" s="103"/>
      <c r="H1383" s="103"/>
      <c r="I1383" s="103"/>
    </row>
    <row r="1384" spans="4:9" x14ac:dyDescent="0.25">
      <c r="D1384" s="103"/>
      <c r="E1384" s="103"/>
      <c r="F1384" s="117"/>
      <c r="G1384" s="103"/>
      <c r="H1384" s="103"/>
      <c r="I1384" s="103"/>
    </row>
    <row r="1385" spans="4:9" x14ac:dyDescent="0.25">
      <c r="D1385" s="103"/>
      <c r="E1385" s="103"/>
      <c r="F1385" s="117"/>
      <c r="G1385" s="103"/>
      <c r="H1385" s="103"/>
      <c r="I1385" s="103"/>
    </row>
    <row r="1386" spans="4:9" x14ac:dyDescent="0.25">
      <c r="D1386" s="103"/>
      <c r="E1386" s="103"/>
      <c r="F1386" s="117"/>
      <c r="G1386" s="103"/>
      <c r="H1386" s="103"/>
      <c r="I1386" s="103"/>
    </row>
    <row r="1387" spans="4:9" x14ac:dyDescent="0.25">
      <c r="D1387" s="103"/>
      <c r="E1387" s="103"/>
      <c r="F1387" s="117"/>
      <c r="G1387" s="103"/>
      <c r="H1387" s="103"/>
      <c r="I1387" s="103"/>
    </row>
    <row r="1388" spans="4:9" x14ac:dyDescent="0.25">
      <c r="D1388" s="103"/>
      <c r="E1388" s="103"/>
      <c r="F1388" s="117"/>
      <c r="G1388" s="103"/>
      <c r="H1388" s="103"/>
      <c r="I1388" s="103"/>
    </row>
    <row r="1389" spans="4:9" x14ac:dyDescent="0.25">
      <c r="D1389" s="103"/>
      <c r="E1389" s="103"/>
      <c r="F1389" s="117"/>
      <c r="G1389" s="103"/>
      <c r="H1389" s="103"/>
      <c r="I1389" s="103"/>
    </row>
    <row r="1390" spans="4:9" x14ac:dyDescent="0.25">
      <c r="D1390" s="103"/>
      <c r="E1390" s="103"/>
      <c r="F1390" s="117"/>
      <c r="G1390" s="103"/>
      <c r="H1390" s="103"/>
      <c r="I1390" s="103"/>
    </row>
    <row r="1391" spans="4:9" x14ac:dyDescent="0.25">
      <c r="D1391" s="103"/>
      <c r="E1391" s="103"/>
      <c r="F1391" s="117"/>
      <c r="G1391" s="103"/>
      <c r="H1391" s="103"/>
      <c r="I1391" s="103"/>
    </row>
    <row r="1392" spans="4:9" x14ac:dyDescent="0.25">
      <c r="D1392" s="103"/>
      <c r="E1392" s="103"/>
      <c r="F1392" s="117"/>
      <c r="G1392" s="103"/>
      <c r="H1392" s="103"/>
      <c r="I1392" s="103"/>
    </row>
    <row r="1393" spans="4:9" x14ac:dyDescent="0.25">
      <c r="D1393" s="103"/>
      <c r="E1393" s="103"/>
      <c r="F1393" s="117"/>
      <c r="G1393" s="103"/>
      <c r="H1393" s="103"/>
      <c r="I1393" s="103"/>
    </row>
    <row r="1394" spans="4:9" x14ac:dyDescent="0.25">
      <c r="D1394" s="103"/>
      <c r="E1394" s="103"/>
      <c r="F1394" s="117"/>
      <c r="G1394" s="103"/>
      <c r="H1394" s="103"/>
      <c r="I1394" s="103"/>
    </row>
    <row r="1395" spans="4:9" x14ac:dyDescent="0.25">
      <c r="D1395" s="103"/>
      <c r="E1395" s="103"/>
      <c r="F1395" s="117"/>
      <c r="G1395" s="103"/>
      <c r="H1395" s="103"/>
      <c r="I1395" s="103"/>
    </row>
    <row r="1396" spans="4:9" x14ac:dyDescent="0.25">
      <c r="D1396" s="103"/>
      <c r="E1396" s="103"/>
      <c r="F1396" s="117"/>
      <c r="G1396" s="103"/>
      <c r="H1396" s="103"/>
      <c r="I1396" s="103"/>
    </row>
    <row r="1397" spans="4:9" x14ac:dyDescent="0.25">
      <c r="D1397" s="103"/>
      <c r="E1397" s="103"/>
      <c r="F1397" s="117"/>
      <c r="G1397" s="103"/>
      <c r="H1397" s="103"/>
      <c r="I1397" s="103"/>
    </row>
    <row r="1398" spans="4:9" x14ac:dyDescent="0.25">
      <c r="D1398" s="103"/>
      <c r="E1398" s="103"/>
      <c r="F1398" s="117"/>
      <c r="G1398" s="103"/>
      <c r="H1398" s="103"/>
      <c r="I1398" s="103"/>
    </row>
    <row r="1399" spans="4:9" x14ac:dyDescent="0.25">
      <c r="D1399" s="103"/>
      <c r="E1399" s="103"/>
      <c r="F1399" s="117"/>
      <c r="G1399" s="103"/>
      <c r="H1399" s="103"/>
      <c r="I1399" s="103"/>
    </row>
    <row r="1400" spans="4:9" x14ac:dyDescent="0.25">
      <c r="D1400" s="103"/>
      <c r="E1400" s="103"/>
      <c r="F1400" s="117"/>
      <c r="G1400" s="103"/>
      <c r="H1400" s="103"/>
      <c r="I1400" s="103"/>
    </row>
    <row r="1401" spans="4:9" x14ac:dyDescent="0.25">
      <c r="D1401" s="103"/>
      <c r="E1401" s="103"/>
      <c r="F1401" s="117"/>
      <c r="G1401" s="103"/>
      <c r="H1401" s="103"/>
      <c r="I1401" s="103"/>
    </row>
    <row r="1402" spans="4:9" x14ac:dyDescent="0.25">
      <c r="D1402" s="103"/>
      <c r="E1402" s="103"/>
      <c r="F1402" s="117"/>
      <c r="G1402" s="103"/>
      <c r="H1402" s="103"/>
      <c r="I1402" s="103"/>
    </row>
    <row r="1403" spans="4:9" x14ac:dyDescent="0.25">
      <c r="D1403" s="103"/>
      <c r="E1403" s="103"/>
      <c r="F1403" s="117"/>
      <c r="G1403" s="103"/>
      <c r="H1403" s="103"/>
      <c r="I1403" s="103"/>
    </row>
    <row r="1404" spans="4:9" x14ac:dyDescent="0.25">
      <c r="D1404" s="103"/>
      <c r="E1404" s="103"/>
      <c r="F1404" s="117"/>
      <c r="G1404" s="103"/>
      <c r="H1404" s="103"/>
      <c r="I1404" s="103"/>
    </row>
    <row r="1405" spans="4:9" x14ac:dyDescent="0.25">
      <c r="D1405" s="103"/>
      <c r="E1405" s="103"/>
      <c r="F1405" s="117"/>
      <c r="G1405" s="103"/>
      <c r="H1405" s="103"/>
      <c r="I1405" s="103"/>
    </row>
    <row r="1406" spans="4:9" x14ac:dyDescent="0.25">
      <c r="D1406" s="103"/>
      <c r="E1406" s="103"/>
      <c r="F1406" s="117"/>
      <c r="G1406" s="103"/>
      <c r="H1406" s="103"/>
      <c r="I1406" s="103"/>
    </row>
    <row r="1407" spans="4:9" x14ac:dyDescent="0.25">
      <c r="D1407" s="103"/>
      <c r="E1407" s="103"/>
      <c r="F1407" s="117"/>
      <c r="G1407" s="103"/>
      <c r="H1407" s="103"/>
      <c r="I1407" s="103"/>
    </row>
    <row r="1408" spans="4:9" x14ac:dyDescent="0.25">
      <c r="D1408" s="103"/>
      <c r="E1408" s="103"/>
      <c r="F1408" s="117"/>
      <c r="G1408" s="103"/>
      <c r="H1408" s="103"/>
      <c r="I1408" s="103"/>
    </row>
    <row r="1409" spans="4:9" x14ac:dyDescent="0.25">
      <c r="D1409" s="103"/>
      <c r="E1409" s="103"/>
      <c r="F1409" s="117"/>
      <c r="G1409" s="103"/>
      <c r="H1409" s="103"/>
      <c r="I1409" s="103"/>
    </row>
    <row r="1410" spans="4:9" x14ac:dyDescent="0.25">
      <c r="D1410" s="103"/>
      <c r="E1410" s="103"/>
      <c r="F1410" s="117"/>
      <c r="G1410" s="103"/>
      <c r="H1410" s="103"/>
      <c r="I1410" s="103"/>
    </row>
    <row r="1411" spans="4:9" x14ac:dyDescent="0.25">
      <c r="D1411" s="103"/>
      <c r="E1411" s="103"/>
      <c r="F1411" s="117"/>
      <c r="G1411" s="103"/>
      <c r="H1411" s="103"/>
      <c r="I1411" s="103"/>
    </row>
    <row r="1412" spans="4:9" x14ac:dyDescent="0.25">
      <c r="D1412" s="103"/>
      <c r="E1412" s="103"/>
      <c r="F1412" s="117"/>
      <c r="G1412" s="103"/>
      <c r="H1412" s="103"/>
      <c r="I1412" s="103"/>
    </row>
    <row r="1413" spans="4:9" x14ac:dyDescent="0.25">
      <c r="D1413" s="103"/>
      <c r="E1413" s="103"/>
      <c r="F1413" s="117"/>
      <c r="G1413" s="103"/>
      <c r="H1413" s="103"/>
      <c r="I1413" s="103"/>
    </row>
    <row r="1414" spans="4:9" x14ac:dyDescent="0.25">
      <c r="D1414" s="103"/>
      <c r="E1414" s="103"/>
      <c r="F1414" s="117"/>
      <c r="G1414" s="103"/>
      <c r="H1414" s="103"/>
      <c r="I1414" s="103"/>
    </row>
    <row r="1415" spans="4:9" x14ac:dyDescent="0.25">
      <c r="D1415" s="103"/>
      <c r="E1415" s="103"/>
      <c r="F1415" s="117"/>
      <c r="G1415" s="103"/>
      <c r="H1415" s="103"/>
      <c r="I1415" s="103"/>
    </row>
    <row r="1416" spans="4:9" x14ac:dyDescent="0.25">
      <c r="D1416" s="103"/>
      <c r="E1416" s="103"/>
      <c r="F1416" s="117"/>
      <c r="G1416" s="103"/>
      <c r="H1416" s="103"/>
      <c r="I1416" s="103"/>
    </row>
    <row r="1417" spans="4:9" x14ac:dyDescent="0.25">
      <c r="D1417" s="103"/>
      <c r="E1417" s="103"/>
      <c r="F1417" s="117"/>
      <c r="G1417" s="103"/>
      <c r="H1417" s="103"/>
      <c r="I1417" s="103"/>
    </row>
    <row r="1418" spans="4:9" x14ac:dyDescent="0.25">
      <c r="D1418" s="103"/>
      <c r="E1418" s="103"/>
      <c r="F1418" s="117"/>
      <c r="G1418" s="103"/>
      <c r="H1418" s="103"/>
      <c r="I1418" s="103"/>
    </row>
    <row r="1419" spans="4:9" x14ac:dyDescent="0.25">
      <c r="D1419" s="103"/>
      <c r="E1419" s="103"/>
      <c r="F1419" s="117"/>
      <c r="G1419" s="103"/>
      <c r="H1419" s="103"/>
      <c r="I1419" s="103"/>
    </row>
    <row r="1420" spans="4:9" x14ac:dyDescent="0.25">
      <c r="D1420" s="103"/>
      <c r="E1420" s="103"/>
      <c r="F1420" s="117"/>
      <c r="G1420" s="103"/>
      <c r="H1420" s="103"/>
      <c r="I1420" s="103"/>
    </row>
    <row r="1421" spans="4:9" x14ac:dyDescent="0.25">
      <c r="D1421" s="103"/>
      <c r="E1421" s="103"/>
      <c r="F1421" s="117"/>
      <c r="G1421" s="103"/>
      <c r="H1421" s="103"/>
      <c r="I1421" s="103"/>
    </row>
    <row r="1422" spans="4:9" x14ac:dyDescent="0.25">
      <c r="D1422" s="103"/>
      <c r="E1422" s="103"/>
      <c r="F1422" s="117"/>
      <c r="G1422" s="103"/>
      <c r="H1422" s="103"/>
      <c r="I1422" s="103"/>
    </row>
    <row r="1423" spans="4:9" x14ac:dyDescent="0.25">
      <c r="D1423" s="103"/>
      <c r="E1423" s="103"/>
      <c r="F1423" s="117"/>
      <c r="G1423" s="103"/>
      <c r="H1423" s="103"/>
      <c r="I1423" s="103"/>
    </row>
    <row r="1424" spans="4:9" x14ac:dyDescent="0.25">
      <c r="D1424" s="103"/>
      <c r="E1424" s="103"/>
      <c r="F1424" s="117"/>
      <c r="G1424" s="103"/>
      <c r="H1424" s="103"/>
      <c r="I1424" s="103"/>
    </row>
    <row r="1425" spans="4:9" x14ac:dyDescent="0.25">
      <c r="D1425" s="103"/>
      <c r="E1425" s="103"/>
      <c r="F1425" s="117"/>
      <c r="G1425" s="103"/>
      <c r="H1425" s="103"/>
      <c r="I1425" s="103"/>
    </row>
    <row r="1426" spans="4:9" x14ac:dyDescent="0.25">
      <c r="D1426" s="103"/>
      <c r="E1426" s="103"/>
      <c r="F1426" s="117"/>
      <c r="G1426" s="103"/>
      <c r="H1426" s="103"/>
      <c r="I1426" s="103"/>
    </row>
    <row r="1427" spans="4:9" x14ac:dyDescent="0.25">
      <c r="D1427" s="103"/>
      <c r="E1427" s="103"/>
      <c r="F1427" s="117"/>
      <c r="G1427" s="103"/>
      <c r="H1427" s="103"/>
      <c r="I1427" s="103"/>
    </row>
    <row r="1428" spans="4:9" x14ac:dyDescent="0.25">
      <c r="D1428" s="103"/>
      <c r="E1428" s="103"/>
      <c r="F1428" s="117"/>
      <c r="G1428" s="103"/>
      <c r="H1428" s="103"/>
      <c r="I1428" s="103"/>
    </row>
    <row r="1429" spans="4:9" x14ac:dyDescent="0.25">
      <c r="D1429" s="103"/>
      <c r="E1429" s="103"/>
      <c r="F1429" s="117"/>
      <c r="G1429" s="103"/>
      <c r="H1429" s="103"/>
      <c r="I1429" s="103"/>
    </row>
    <row r="1430" spans="4:9" x14ac:dyDescent="0.25">
      <c r="D1430" s="103"/>
      <c r="E1430" s="103"/>
      <c r="F1430" s="117"/>
      <c r="G1430" s="103"/>
      <c r="H1430" s="103"/>
      <c r="I1430" s="103"/>
    </row>
    <row r="1431" spans="4:9" x14ac:dyDescent="0.25">
      <c r="D1431" s="103"/>
      <c r="E1431" s="103"/>
      <c r="F1431" s="117"/>
      <c r="G1431" s="103"/>
      <c r="H1431" s="103"/>
      <c r="I1431" s="103"/>
    </row>
    <row r="1432" spans="4:9" x14ac:dyDescent="0.25">
      <c r="D1432" s="103"/>
      <c r="E1432" s="103"/>
      <c r="F1432" s="117"/>
      <c r="G1432" s="103"/>
      <c r="H1432" s="103"/>
      <c r="I1432" s="103"/>
    </row>
    <row r="1433" spans="4:9" x14ac:dyDescent="0.25">
      <c r="D1433" s="103"/>
      <c r="E1433" s="103"/>
      <c r="F1433" s="117"/>
      <c r="G1433" s="103"/>
      <c r="H1433" s="103"/>
      <c r="I1433" s="103"/>
    </row>
    <row r="1434" spans="4:9" x14ac:dyDescent="0.25">
      <c r="D1434" s="103"/>
      <c r="E1434" s="103"/>
      <c r="F1434" s="117"/>
      <c r="G1434" s="103"/>
      <c r="H1434" s="103"/>
      <c r="I1434" s="103"/>
    </row>
    <row r="1435" spans="4:9" x14ac:dyDescent="0.25">
      <c r="D1435" s="103"/>
      <c r="E1435" s="103"/>
      <c r="F1435" s="117"/>
      <c r="G1435" s="103"/>
      <c r="H1435" s="103"/>
      <c r="I1435" s="103"/>
    </row>
    <row r="1436" spans="4:9" x14ac:dyDescent="0.25">
      <c r="D1436" s="103"/>
      <c r="E1436" s="103"/>
      <c r="F1436" s="117"/>
      <c r="G1436" s="103"/>
      <c r="H1436" s="103"/>
      <c r="I1436" s="103"/>
    </row>
    <row r="1437" spans="4:9" x14ac:dyDescent="0.25">
      <c r="D1437" s="103"/>
      <c r="E1437" s="103"/>
      <c r="F1437" s="117"/>
      <c r="G1437" s="103"/>
      <c r="H1437" s="103"/>
      <c r="I1437" s="103"/>
    </row>
    <row r="1438" spans="4:9" x14ac:dyDescent="0.25">
      <c r="D1438" s="103"/>
      <c r="E1438" s="103"/>
      <c r="F1438" s="117"/>
      <c r="G1438" s="103"/>
      <c r="H1438" s="103"/>
      <c r="I1438" s="103"/>
    </row>
    <row r="1439" spans="4:9" x14ac:dyDescent="0.25">
      <c r="D1439" s="103"/>
      <c r="E1439" s="103"/>
      <c r="F1439" s="117"/>
      <c r="G1439" s="103"/>
      <c r="H1439" s="103"/>
      <c r="I1439" s="103"/>
    </row>
    <row r="1440" spans="4:9" x14ac:dyDescent="0.25">
      <c r="D1440" s="103"/>
      <c r="E1440" s="103"/>
      <c r="F1440" s="117"/>
      <c r="G1440" s="103"/>
      <c r="H1440" s="103"/>
      <c r="I1440" s="103"/>
    </row>
    <row r="1441" spans="4:9" x14ac:dyDescent="0.25">
      <c r="D1441" s="103"/>
      <c r="E1441" s="103"/>
      <c r="F1441" s="117"/>
      <c r="G1441" s="103"/>
      <c r="H1441" s="103"/>
      <c r="I1441" s="103"/>
    </row>
    <row r="1442" spans="4:9" x14ac:dyDescent="0.25">
      <c r="D1442" s="103"/>
      <c r="E1442" s="103"/>
      <c r="F1442" s="117"/>
      <c r="G1442" s="103"/>
      <c r="H1442" s="103"/>
      <c r="I1442" s="103"/>
    </row>
    <row r="1443" spans="4:9" x14ac:dyDescent="0.25">
      <c r="D1443" s="103"/>
      <c r="E1443" s="103"/>
      <c r="F1443" s="117"/>
      <c r="G1443" s="103"/>
      <c r="H1443" s="103"/>
      <c r="I1443" s="103"/>
    </row>
    <row r="1444" spans="4:9" x14ac:dyDescent="0.25">
      <c r="D1444" s="103"/>
      <c r="E1444" s="103"/>
      <c r="F1444" s="117"/>
      <c r="G1444" s="103"/>
      <c r="H1444" s="103"/>
      <c r="I1444" s="103"/>
    </row>
    <row r="1445" spans="4:9" x14ac:dyDescent="0.25">
      <c r="D1445" s="103"/>
      <c r="E1445" s="103"/>
      <c r="F1445" s="117"/>
      <c r="G1445" s="103"/>
      <c r="H1445" s="103"/>
      <c r="I1445" s="103"/>
    </row>
    <row r="1446" spans="4:9" x14ac:dyDescent="0.25">
      <c r="D1446" s="103"/>
      <c r="E1446" s="103"/>
      <c r="F1446" s="117"/>
      <c r="G1446" s="103"/>
      <c r="H1446" s="103"/>
      <c r="I1446" s="103"/>
    </row>
    <row r="1447" spans="4:9" x14ac:dyDescent="0.25">
      <c r="D1447" s="103"/>
      <c r="E1447" s="103"/>
      <c r="F1447" s="117"/>
      <c r="G1447" s="103"/>
      <c r="H1447" s="103"/>
      <c r="I1447" s="103"/>
    </row>
    <row r="1448" spans="4:9" x14ac:dyDescent="0.25">
      <c r="D1448" s="103"/>
      <c r="E1448" s="103"/>
      <c r="F1448" s="117"/>
      <c r="G1448" s="103"/>
      <c r="H1448" s="103"/>
      <c r="I1448" s="103"/>
    </row>
    <row r="1449" spans="4:9" x14ac:dyDescent="0.25">
      <c r="D1449" s="103"/>
      <c r="E1449" s="103"/>
      <c r="F1449" s="117"/>
      <c r="G1449" s="103"/>
      <c r="H1449" s="103"/>
      <c r="I1449" s="103"/>
    </row>
    <row r="1450" spans="4:9" x14ac:dyDescent="0.25">
      <c r="D1450" s="103"/>
      <c r="E1450" s="103"/>
      <c r="F1450" s="117"/>
      <c r="G1450" s="103"/>
      <c r="H1450" s="103"/>
      <c r="I1450" s="103"/>
    </row>
    <row r="1451" spans="4:9" x14ac:dyDescent="0.25">
      <c r="D1451" s="103"/>
      <c r="E1451" s="103"/>
      <c r="F1451" s="117"/>
      <c r="G1451" s="103"/>
      <c r="H1451" s="103"/>
      <c r="I1451" s="103"/>
    </row>
    <row r="1452" spans="4:9" x14ac:dyDescent="0.25">
      <c r="D1452" s="103"/>
      <c r="E1452" s="103"/>
      <c r="F1452" s="117"/>
      <c r="G1452" s="103"/>
      <c r="H1452" s="103"/>
      <c r="I1452" s="103"/>
    </row>
    <row r="1453" spans="4:9" x14ac:dyDescent="0.25">
      <c r="D1453" s="103"/>
      <c r="E1453" s="103"/>
      <c r="F1453" s="117"/>
      <c r="G1453" s="103"/>
      <c r="H1453" s="103"/>
      <c r="I1453" s="103"/>
    </row>
    <row r="1454" spans="4:9" x14ac:dyDescent="0.25">
      <c r="D1454" s="103"/>
      <c r="E1454" s="103"/>
      <c r="F1454" s="117"/>
      <c r="G1454" s="103"/>
      <c r="H1454" s="103"/>
      <c r="I1454" s="103"/>
    </row>
    <row r="1455" spans="4:9" x14ac:dyDescent="0.25">
      <c r="D1455" s="103"/>
      <c r="E1455" s="103"/>
      <c r="F1455" s="117"/>
      <c r="G1455" s="103"/>
      <c r="H1455" s="103"/>
      <c r="I1455" s="103"/>
    </row>
    <row r="1456" spans="4:9" x14ac:dyDescent="0.25">
      <c r="D1456" s="103"/>
      <c r="E1456" s="103"/>
      <c r="F1456" s="117"/>
      <c r="G1456" s="103"/>
      <c r="H1456" s="103"/>
      <c r="I1456" s="103"/>
    </row>
    <row r="1457" spans="4:9" x14ac:dyDescent="0.25">
      <c r="D1457" s="103"/>
      <c r="E1457" s="103"/>
      <c r="F1457" s="117"/>
      <c r="G1457" s="103"/>
      <c r="H1457" s="103"/>
      <c r="I1457" s="103"/>
    </row>
    <row r="1458" spans="4:9" x14ac:dyDescent="0.25">
      <c r="D1458" s="103"/>
      <c r="E1458" s="103"/>
      <c r="F1458" s="117"/>
      <c r="G1458" s="103"/>
      <c r="H1458" s="103"/>
      <c r="I1458" s="103"/>
    </row>
    <row r="1459" spans="4:9" x14ac:dyDescent="0.25">
      <c r="D1459" s="103"/>
      <c r="E1459" s="103"/>
      <c r="F1459" s="117"/>
      <c r="G1459" s="103"/>
      <c r="H1459" s="103"/>
      <c r="I1459" s="103"/>
    </row>
    <row r="1460" spans="4:9" x14ac:dyDescent="0.25">
      <c r="D1460" s="103"/>
      <c r="E1460" s="103"/>
      <c r="F1460" s="117"/>
      <c r="G1460" s="103"/>
      <c r="H1460" s="103"/>
      <c r="I1460" s="103"/>
    </row>
    <row r="1461" spans="4:9" x14ac:dyDescent="0.25">
      <c r="D1461" s="103"/>
      <c r="E1461" s="103"/>
      <c r="F1461" s="117"/>
      <c r="G1461" s="103"/>
      <c r="H1461" s="103"/>
      <c r="I1461" s="103"/>
    </row>
    <row r="1462" spans="4:9" x14ac:dyDescent="0.25">
      <c r="D1462" s="103"/>
      <c r="E1462" s="103"/>
      <c r="F1462" s="117"/>
      <c r="G1462" s="103"/>
      <c r="H1462" s="103"/>
      <c r="I1462" s="103"/>
    </row>
    <row r="1463" spans="4:9" x14ac:dyDescent="0.25">
      <c r="D1463" s="103"/>
      <c r="E1463" s="103"/>
      <c r="F1463" s="117"/>
      <c r="G1463" s="103"/>
      <c r="H1463" s="103"/>
      <c r="I1463" s="103"/>
    </row>
    <row r="1464" spans="4:9" x14ac:dyDescent="0.25">
      <c r="D1464" s="103"/>
      <c r="E1464" s="103"/>
      <c r="F1464" s="117"/>
      <c r="G1464" s="103"/>
      <c r="H1464" s="103"/>
      <c r="I1464" s="103"/>
    </row>
    <row r="1465" spans="4:9" x14ac:dyDescent="0.25">
      <c r="D1465" s="103"/>
      <c r="E1465" s="103"/>
      <c r="F1465" s="117"/>
      <c r="G1465" s="103"/>
      <c r="H1465" s="103"/>
      <c r="I1465" s="103"/>
    </row>
    <row r="1466" spans="4:9" x14ac:dyDescent="0.25">
      <c r="D1466" s="103"/>
      <c r="E1466" s="103"/>
      <c r="F1466" s="117"/>
      <c r="G1466" s="103"/>
      <c r="H1466" s="103"/>
      <c r="I1466" s="103"/>
    </row>
    <row r="1467" spans="4:9" x14ac:dyDescent="0.25">
      <c r="D1467" s="103"/>
      <c r="E1467" s="103"/>
      <c r="F1467" s="117"/>
      <c r="G1467" s="103"/>
      <c r="H1467" s="103"/>
      <c r="I1467" s="103"/>
    </row>
    <row r="1468" spans="4:9" x14ac:dyDescent="0.25">
      <c r="D1468" s="103"/>
      <c r="E1468" s="103"/>
      <c r="F1468" s="117"/>
      <c r="G1468" s="103"/>
      <c r="H1468" s="103"/>
      <c r="I1468" s="103"/>
    </row>
    <row r="1469" spans="4:9" x14ac:dyDescent="0.25">
      <c r="D1469" s="103"/>
      <c r="E1469" s="103"/>
      <c r="F1469" s="117"/>
      <c r="G1469" s="103"/>
      <c r="H1469" s="103"/>
      <c r="I1469" s="103"/>
    </row>
    <row r="1470" spans="4:9" x14ac:dyDescent="0.25">
      <c r="D1470" s="103"/>
      <c r="E1470" s="103"/>
      <c r="F1470" s="117"/>
      <c r="G1470" s="103"/>
      <c r="H1470" s="103"/>
      <c r="I1470" s="103"/>
    </row>
    <row r="1471" spans="4:9" x14ac:dyDescent="0.25">
      <c r="D1471" s="103"/>
      <c r="E1471" s="103"/>
      <c r="F1471" s="117"/>
      <c r="G1471" s="103"/>
      <c r="H1471" s="103"/>
      <c r="I1471" s="103"/>
    </row>
    <row r="1472" spans="4:9" x14ac:dyDescent="0.25">
      <c r="D1472" s="103"/>
      <c r="E1472" s="103"/>
      <c r="F1472" s="117"/>
      <c r="G1472" s="103"/>
      <c r="H1472" s="103"/>
      <c r="I1472" s="103"/>
    </row>
    <row r="1473" spans="4:9" x14ac:dyDescent="0.25">
      <c r="D1473" s="103"/>
      <c r="E1473" s="103"/>
      <c r="F1473" s="117"/>
      <c r="G1473" s="103"/>
      <c r="H1473" s="103"/>
      <c r="I1473" s="103"/>
    </row>
    <row r="1474" spans="4:9" x14ac:dyDescent="0.25">
      <c r="D1474" s="103"/>
      <c r="E1474" s="103"/>
      <c r="F1474" s="117"/>
      <c r="G1474" s="103"/>
      <c r="H1474" s="103"/>
      <c r="I1474" s="103"/>
    </row>
    <row r="1475" spans="4:9" x14ac:dyDescent="0.25">
      <c r="D1475" s="103"/>
      <c r="E1475" s="103"/>
      <c r="F1475" s="117"/>
      <c r="G1475" s="103"/>
      <c r="H1475" s="103"/>
      <c r="I1475" s="103"/>
    </row>
    <row r="1476" spans="4:9" x14ac:dyDescent="0.25">
      <c r="D1476" s="103"/>
      <c r="E1476" s="103"/>
      <c r="F1476" s="117"/>
      <c r="G1476" s="103"/>
      <c r="H1476" s="103"/>
      <c r="I1476" s="103"/>
    </row>
    <row r="1477" spans="4:9" x14ac:dyDescent="0.25">
      <c r="D1477" s="103"/>
      <c r="E1477" s="103"/>
      <c r="F1477" s="117"/>
      <c r="G1477" s="103"/>
      <c r="H1477" s="103"/>
      <c r="I1477" s="103"/>
    </row>
    <row r="1478" spans="4:9" x14ac:dyDescent="0.25">
      <c r="D1478" s="103"/>
      <c r="E1478" s="103"/>
      <c r="F1478" s="117"/>
      <c r="G1478" s="103"/>
      <c r="H1478" s="103"/>
      <c r="I1478" s="103"/>
    </row>
    <row r="1479" spans="4:9" x14ac:dyDescent="0.25">
      <c r="D1479" s="103"/>
      <c r="E1479" s="103"/>
      <c r="F1479" s="117"/>
      <c r="G1479" s="103"/>
      <c r="H1479" s="103"/>
      <c r="I1479" s="103"/>
    </row>
    <row r="1480" spans="4:9" x14ac:dyDescent="0.25">
      <c r="D1480" s="103"/>
      <c r="E1480" s="103"/>
      <c r="F1480" s="117"/>
      <c r="G1480" s="103"/>
      <c r="H1480" s="103"/>
      <c r="I1480" s="103"/>
    </row>
    <row r="1481" spans="4:9" x14ac:dyDescent="0.25">
      <c r="D1481" s="103"/>
      <c r="E1481" s="103"/>
      <c r="F1481" s="117"/>
      <c r="G1481" s="103"/>
      <c r="H1481" s="103"/>
      <c r="I1481" s="103"/>
    </row>
    <row r="1482" spans="4:9" x14ac:dyDescent="0.25">
      <c r="D1482" s="103"/>
      <c r="E1482" s="103"/>
      <c r="F1482" s="117"/>
      <c r="G1482" s="103"/>
      <c r="H1482" s="103"/>
      <c r="I1482" s="103"/>
    </row>
    <row r="1483" spans="4:9" x14ac:dyDescent="0.25">
      <c r="D1483" s="103"/>
      <c r="E1483" s="103"/>
      <c r="F1483" s="117"/>
      <c r="G1483" s="103"/>
      <c r="H1483" s="103"/>
      <c r="I1483" s="103"/>
    </row>
    <row r="1484" spans="4:9" x14ac:dyDescent="0.25">
      <c r="D1484" s="103"/>
      <c r="E1484" s="103"/>
      <c r="F1484" s="117"/>
      <c r="G1484" s="103"/>
      <c r="H1484" s="103"/>
      <c r="I1484" s="103"/>
    </row>
    <row r="1485" spans="4:9" x14ac:dyDescent="0.25">
      <c r="D1485" s="103"/>
      <c r="E1485" s="103"/>
      <c r="F1485" s="117"/>
      <c r="G1485" s="103"/>
      <c r="H1485" s="103"/>
      <c r="I1485" s="103"/>
    </row>
    <row r="1486" spans="4:9" x14ac:dyDescent="0.25">
      <c r="D1486" s="103"/>
      <c r="E1486" s="103"/>
      <c r="F1486" s="117"/>
      <c r="G1486" s="103"/>
      <c r="H1486" s="103"/>
      <c r="I1486" s="103"/>
    </row>
    <row r="1487" spans="4:9" x14ac:dyDescent="0.25">
      <c r="D1487" s="103"/>
      <c r="E1487" s="103"/>
      <c r="F1487" s="117"/>
      <c r="G1487" s="103"/>
      <c r="H1487" s="103"/>
      <c r="I1487" s="103"/>
    </row>
    <row r="1488" spans="4:9" x14ac:dyDescent="0.25">
      <c r="D1488" s="103"/>
      <c r="E1488" s="103"/>
      <c r="F1488" s="117"/>
      <c r="G1488" s="103"/>
      <c r="H1488" s="103"/>
      <c r="I1488" s="103"/>
    </row>
    <row r="1489" spans="4:9" x14ac:dyDescent="0.25">
      <c r="D1489" s="103"/>
      <c r="E1489" s="103"/>
      <c r="F1489" s="117"/>
      <c r="G1489" s="103"/>
      <c r="H1489" s="103"/>
      <c r="I1489" s="103"/>
    </row>
    <row r="1490" spans="4:9" x14ac:dyDescent="0.25">
      <c r="D1490" s="103"/>
      <c r="E1490" s="103"/>
      <c r="F1490" s="117"/>
      <c r="G1490" s="103"/>
      <c r="H1490" s="103"/>
      <c r="I1490" s="103"/>
    </row>
    <row r="1491" spans="4:9" x14ac:dyDescent="0.25">
      <c r="D1491" s="103"/>
      <c r="E1491" s="103"/>
      <c r="F1491" s="117"/>
      <c r="G1491" s="103"/>
      <c r="H1491" s="103"/>
      <c r="I1491" s="103"/>
    </row>
    <row r="1492" spans="4:9" x14ac:dyDescent="0.25">
      <c r="D1492" s="103"/>
      <c r="E1492" s="103"/>
      <c r="F1492" s="117"/>
      <c r="G1492" s="103"/>
      <c r="H1492" s="103"/>
      <c r="I1492" s="103"/>
    </row>
    <row r="1493" spans="4:9" x14ac:dyDescent="0.25">
      <c r="D1493" s="103"/>
      <c r="E1493" s="103"/>
      <c r="F1493" s="117"/>
      <c r="G1493" s="103"/>
      <c r="H1493" s="103"/>
      <c r="I1493" s="103"/>
    </row>
    <row r="1494" spans="4:9" x14ac:dyDescent="0.25">
      <c r="D1494" s="103"/>
      <c r="E1494" s="103"/>
      <c r="F1494" s="117"/>
      <c r="G1494" s="103"/>
      <c r="H1494" s="103"/>
      <c r="I1494" s="103"/>
    </row>
    <row r="1495" spans="4:9" x14ac:dyDescent="0.25">
      <c r="D1495" s="103"/>
      <c r="E1495" s="103"/>
      <c r="F1495" s="117"/>
      <c r="G1495" s="103"/>
      <c r="H1495" s="103"/>
      <c r="I1495" s="103"/>
    </row>
    <row r="1496" spans="4:9" x14ac:dyDescent="0.25">
      <c r="D1496" s="103"/>
      <c r="E1496" s="103"/>
      <c r="F1496" s="117"/>
      <c r="G1496" s="103"/>
      <c r="H1496" s="103"/>
      <c r="I1496" s="103"/>
    </row>
    <row r="1497" spans="4:9" x14ac:dyDescent="0.25">
      <c r="D1497" s="103"/>
      <c r="E1497" s="103"/>
      <c r="F1497" s="117"/>
      <c r="G1497" s="103"/>
      <c r="H1497" s="103"/>
      <c r="I1497" s="103"/>
    </row>
    <row r="1498" spans="4:9" x14ac:dyDescent="0.25">
      <c r="D1498" s="103"/>
      <c r="E1498" s="103"/>
      <c r="F1498" s="117"/>
      <c r="G1498" s="103"/>
      <c r="H1498" s="103"/>
      <c r="I1498" s="103"/>
    </row>
    <row r="1499" spans="4:9" x14ac:dyDescent="0.25">
      <c r="D1499" s="103"/>
      <c r="E1499" s="103"/>
      <c r="F1499" s="117"/>
      <c r="G1499" s="103"/>
      <c r="H1499" s="103"/>
      <c r="I1499" s="103"/>
    </row>
    <row r="1500" spans="4:9" x14ac:dyDescent="0.25">
      <c r="D1500" s="103"/>
      <c r="E1500" s="103"/>
      <c r="F1500" s="117"/>
      <c r="G1500" s="103"/>
      <c r="H1500" s="103"/>
      <c r="I1500" s="103"/>
    </row>
    <row r="1501" spans="4:9" x14ac:dyDescent="0.25">
      <c r="D1501" s="103"/>
      <c r="E1501" s="103"/>
      <c r="F1501" s="117"/>
      <c r="G1501" s="103"/>
      <c r="H1501" s="103"/>
      <c r="I1501" s="103"/>
    </row>
    <row r="1502" spans="4:9" x14ac:dyDescent="0.25">
      <c r="D1502" s="103"/>
      <c r="E1502" s="103"/>
      <c r="F1502" s="117"/>
      <c r="G1502" s="103"/>
      <c r="H1502" s="103"/>
      <c r="I1502" s="103"/>
    </row>
    <row r="1503" spans="4:9" x14ac:dyDescent="0.25">
      <c r="D1503" s="103"/>
      <c r="E1503" s="103"/>
      <c r="F1503" s="117"/>
      <c r="G1503" s="103"/>
      <c r="H1503" s="103"/>
      <c r="I1503" s="103"/>
    </row>
    <row r="1504" spans="4:9" x14ac:dyDescent="0.25">
      <c r="D1504" s="103"/>
      <c r="E1504" s="103"/>
      <c r="F1504" s="117"/>
      <c r="G1504" s="103"/>
      <c r="H1504" s="103"/>
      <c r="I1504" s="103"/>
    </row>
    <row r="1505" spans="4:9" x14ac:dyDescent="0.25">
      <c r="D1505" s="103"/>
      <c r="E1505" s="103"/>
      <c r="F1505" s="117"/>
      <c r="G1505" s="103"/>
      <c r="H1505" s="103"/>
      <c r="I1505" s="103"/>
    </row>
    <row r="1506" spans="4:9" x14ac:dyDescent="0.25">
      <c r="D1506" s="103"/>
      <c r="E1506" s="103"/>
      <c r="F1506" s="117"/>
      <c r="G1506" s="103"/>
      <c r="H1506" s="103"/>
      <c r="I1506" s="103"/>
    </row>
    <row r="1507" spans="4:9" x14ac:dyDescent="0.25">
      <c r="D1507" s="103"/>
      <c r="E1507" s="103"/>
      <c r="F1507" s="117"/>
      <c r="G1507" s="103"/>
      <c r="H1507" s="103"/>
      <c r="I1507" s="103"/>
    </row>
    <row r="1508" spans="4:9" x14ac:dyDescent="0.25">
      <c r="D1508" s="103"/>
      <c r="E1508" s="103"/>
      <c r="F1508" s="117"/>
      <c r="G1508" s="103"/>
      <c r="H1508" s="103"/>
      <c r="I1508" s="103"/>
    </row>
    <row r="1509" spans="4:9" x14ac:dyDescent="0.25">
      <c r="D1509" s="103"/>
      <c r="E1509" s="103"/>
      <c r="F1509" s="117"/>
      <c r="G1509" s="103"/>
      <c r="H1509" s="103"/>
      <c r="I1509" s="103"/>
    </row>
    <row r="1510" spans="4:9" x14ac:dyDescent="0.25">
      <c r="D1510" s="103"/>
      <c r="E1510" s="103"/>
      <c r="F1510" s="117"/>
      <c r="G1510" s="103"/>
      <c r="H1510" s="103"/>
      <c r="I1510" s="103"/>
    </row>
    <row r="1511" spans="4:9" x14ac:dyDescent="0.25">
      <c r="D1511" s="103"/>
      <c r="E1511" s="103"/>
      <c r="F1511" s="117"/>
      <c r="G1511" s="103"/>
      <c r="H1511" s="103"/>
      <c r="I1511" s="103"/>
    </row>
    <row r="1512" spans="4:9" x14ac:dyDescent="0.25">
      <c r="D1512" s="103"/>
      <c r="E1512" s="103"/>
      <c r="F1512" s="117"/>
      <c r="G1512" s="103"/>
      <c r="H1512" s="103"/>
      <c r="I1512" s="103"/>
    </row>
    <row r="1513" spans="4:9" x14ac:dyDescent="0.25">
      <c r="D1513" s="103"/>
      <c r="E1513" s="103"/>
      <c r="F1513" s="117"/>
      <c r="G1513" s="103"/>
      <c r="H1513" s="103"/>
      <c r="I1513" s="103"/>
    </row>
    <row r="1514" spans="4:9" x14ac:dyDescent="0.25">
      <c r="D1514" s="103"/>
      <c r="E1514" s="103"/>
      <c r="F1514" s="117"/>
      <c r="G1514" s="103"/>
      <c r="H1514" s="103"/>
      <c r="I1514" s="103"/>
    </row>
    <row r="1515" spans="4:9" x14ac:dyDescent="0.25">
      <c r="D1515" s="103"/>
      <c r="E1515" s="103"/>
      <c r="F1515" s="117"/>
      <c r="G1515" s="103"/>
      <c r="H1515" s="103"/>
      <c r="I1515" s="103"/>
    </row>
    <row r="1516" spans="4:9" x14ac:dyDescent="0.25">
      <c r="D1516" s="103"/>
      <c r="E1516" s="103"/>
      <c r="F1516" s="117"/>
      <c r="G1516" s="103"/>
      <c r="H1516" s="103"/>
      <c r="I1516" s="103"/>
    </row>
    <row r="1517" spans="4:9" x14ac:dyDescent="0.25">
      <c r="D1517" s="103"/>
      <c r="E1517" s="103"/>
      <c r="F1517" s="117"/>
      <c r="G1517" s="103"/>
      <c r="H1517" s="103"/>
      <c r="I1517" s="103"/>
    </row>
    <row r="1518" spans="4:9" x14ac:dyDescent="0.25">
      <c r="D1518" s="103"/>
      <c r="E1518" s="103"/>
      <c r="F1518" s="117"/>
      <c r="G1518" s="103"/>
      <c r="H1518" s="103"/>
      <c r="I1518" s="103"/>
    </row>
    <row r="1519" spans="4:9" x14ac:dyDescent="0.25">
      <c r="D1519" s="103"/>
      <c r="E1519" s="103"/>
      <c r="F1519" s="117"/>
      <c r="G1519" s="103"/>
      <c r="H1519" s="103"/>
      <c r="I1519" s="103"/>
    </row>
    <row r="1520" spans="4:9" x14ac:dyDescent="0.25">
      <c r="D1520" s="103"/>
      <c r="E1520" s="103"/>
      <c r="F1520" s="117"/>
      <c r="G1520" s="103"/>
      <c r="H1520" s="103"/>
      <c r="I1520" s="103"/>
    </row>
    <row r="1521" spans="4:9" x14ac:dyDescent="0.25">
      <c r="D1521" s="103"/>
      <c r="E1521" s="103"/>
      <c r="F1521" s="117"/>
      <c r="G1521" s="103"/>
      <c r="H1521" s="103"/>
      <c r="I1521" s="103"/>
    </row>
    <row r="1522" spans="4:9" x14ac:dyDescent="0.25">
      <c r="D1522" s="103"/>
      <c r="E1522" s="103"/>
      <c r="F1522" s="117"/>
      <c r="G1522" s="103"/>
      <c r="H1522" s="103"/>
      <c r="I1522" s="103"/>
    </row>
    <row r="1523" spans="4:9" x14ac:dyDescent="0.25">
      <c r="D1523" s="103"/>
      <c r="E1523" s="103"/>
      <c r="F1523" s="117"/>
      <c r="G1523" s="103"/>
      <c r="H1523" s="103"/>
      <c r="I1523" s="103"/>
    </row>
    <row r="1524" spans="4:9" x14ac:dyDescent="0.25">
      <c r="D1524" s="103"/>
      <c r="E1524" s="103"/>
      <c r="F1524" s="117"/>
      <c r="G1524" s="103"/>
      <c r="H1524" s="103"/>
      <c r="I1524" s="103"/>
    </row>
    <row r="1525" spans="4:9" x14ac:dyDescent="0.25">
      <c r="D1525" s="103"/>
      <c r="E1525" s="103"/>
      <c r="F1525" s="117"/>
      <c r="G1525" s="103"/>
      <c r="H1525" s="103"/>
      <c r="I1525" s="103"/>
    </row>
    <row r="1526" spans="4:9" x14ac:dyDescent="0.25">
      <c r="D1526" s="103"/>
      <c r="E1526" s="103"/>
      <c r="F1526" s="117"/>
      <c r="G1526" s="103"/>
      <c r="H1526" s="103"/>
      <c r="I1526" s="103"/>
    </row>
    <row r="1527" spans="4:9" x14ac:dyDescent="0.25">
      <c r="D1527" s="103"/>
      <c r="E1527" s="103"/>
      <c r="F1527" s="117"/>
      <c r="G1527" s="103"/>
      <c r="H1527" s="103"/>
      <c r="I1527" s="103"/>
    </row>
    <row r="1528" spans="4:9" x14ac:dyDescent="0.25">
      <c r="D1528" s="103"/>
      <c r="E1528" s="103"/>
      <c r="F1528" s="117"/>
      <c r="G1528" s="103"/>
      <c r="H1528" s="103"/>
      <c r="I1528" s="103"/>
    </row>
    <row r="1529" spans="4:9" x14ac:dyDescent="0.25">
      <c r="D1529" s="103"/>
      <c r="E1529" s="103"/>
      <c r="F1529" s="117"/>
      <c r="G1529" s="103"/>
      <c r="H1529" s="103"/>
      <c r="I1529" s="103"/>
    </row>
    <row r="1530" spans="4:9" x14ac:dyDescent="0.25">
      <c r="D1530" s="103"/>
      <c r="E1530" s="103"/>
      <c r="F1530" s="117"/>
      <c r="G1530" s="103"/>
      <c r="H1530" s="103"/>
      <c r="I1530" s="103"/>
    </row>
    <row r="1531" spans="4:9" x14ac:dyDescent="0.25">
      <c r="D1531" s="103"/>
      <c r="E1531" s="103"/>
      <c r="F1531" s="117"/>
      <c r="G1531" s="103"/>
      <c r="H1531" s="103"/>
      <c r="I1531" s="103"/>
    </row>
    <row r="1532" spans="4:9" x14ac:dyDescent="0.25">
      <c r="D1532" s="103"/>
      <c r="E1532" s="103"/>
      <c r="F1532" s="117"/>
      <c r="G1532" s="103"/>
      <c r="H1532" s="103"/>
      <c r="I1532" s="103"/>
    </row>
    <row r="1533" spans="4:9" x14ac:dyDescent="0.25">
      <c r="D1533" s="103"/>
      <c r="E1533" s="103"/>
      <c r="F1533" s="117"/>
      <c r="G1533" s="103"/>
      <c r="H1533" s="103"/>
      <c r="I1533" s="103"/>
    </row>
    <row r="1534" spans="4:9" x14ac:dyDescent="0.25">
      <c r="D1534" s="103"/>
      <c r="E1534" s="103"/>
      <c r="F1534" s="117"/>
      <c r="G1534" s="103"/>
      <c r="H1534" s="103"/>
      <c r="I1534" s="103"/>
    </row>
    <row r="1535" spans="4:9" x14ac:dyDescent="0.25">
      <c r="D1535" s="103"/>
      <c r="E1535" s="103"/>
      <c r="F1535" s="117"/>
      <c r="G1535" s="103"/>
      <c r="H1535" s="103"/>
      <c r="I1535" s="103"/>
    </row>
    <row r="1536" spans="4:9" x14ac:dyDescent="0.25">
      <c r="D1536" s="103"/>
      <c r="E1536" s="103"/>
      <c r="F1536" s="117"/>
      <c r="G1536" s="103"/>
      <c r="H1536" s="103"/>
      <c r="I1536" s="103"/>
    </row>
    <row r="1537" spans="4:9" x14ac:dyDescent="0.25">
      <c r="D1537" s="103"/>
      <c r="E1537" s="103"/>
      <c r="F1537" s="117"/>
      <c r="G1537" s="103"/>
      <c r="H1537" s="103"/>
      <c r="I1537" s="103"/>
    </row>
    <row r="1538" spans="4:9" x14ac:dyDescent="0.25">
      <c r="D1538" s="103"/>
      <c r="E1538" s="103"/>
      <c r="F1538" s="117"/>
      <c r="G1538" s="103"/>
      <c r="H1538" s="103"/>
      <c r="I1538" s="103"/>
    </row>
    <row r="1539" spans="4:9" x14ac:dyDescent="0.25">
      <c r="D1539" s="103"/>
      <c r="E1539" s="103"/>
      <c r="F1539" s="117"/>
      <c r="G1539" s="103"/>
      <c r="H1539" s="103"/>
      <c r="I1539" s="103"/>
    </row>
    <row r="1540" spans="4:9" x14ac:dyDescent="0.25">
      <c r="D1540" s="103"/>
      <c r="E1540" s="103"/>
      <c r="F1540" s="117"/>
      <c r="G1540" s="103"/>
      <c r="H1540" s="103"/>
      <c r="I1540" s="103"/>
    </row>
    <row r="1541" spans="4:9" x14ac:dyDescent="0.25">
      <c r="D1541" s="103"/>
      <c r="E1541" s="103"/>
      <c r="F1541" s="117"/>
      <c r="G1541" s="103"/>
      <c r="H1541" s="103"/>
      <c r="I1541" s="103"/>
    </row>
    <row r="1542" spans="4:9" x14ac:dyDescent="0.25">
      <c r="D1542" s="103"/>
      <c r="E1542" s="103"/>
      <c r="F1542" s="117"/>
      <c r="G1542" s="103"/>
      <c r="H1542" s="103"/>
      <c r="I1542" s="103"/>
    </row>
    <row r="1543" spans="4:9" x14ac:dyDescent="0.25">
      <c r="D1543" s="103"/>
      <c r="E1543" s="103"/>
      <c r="F1543" s="117"/>
      <c r="G1543" s="103"/>
      <c r="H1543" s="103"/>
      <c r="I1543" s="103"/>
    </row>
    <row r="1544" spans="4:9" x14ac:dyDescent="0.25">
      <c r="D1544" s="103"/>
      <c r="E1544" s="103"/>
      <c r="F1544" s="117"/>
      <c r="G1544" s="103"/>
      <c r="H1544" s="103"/>
      <c r="I1544" s="103"/>
    </row>
    <row r="1545" spans="4:9" x14ac:dyDescent="0.25">
      <c r="D1545" s="103"/>
      <c r="E1545" s="103"/>
      <c r="F1545" s="117"/>
      <c r="G1545" s="103"/>
      <c r="H1545" s="103"/>
      <c r="I1545" s="103"/>
    </row>
    <row r="1546" spans="4:9" x14ac:dyDescent="0.25">
      <c r="D1546" s="103"/>
      <c r="E1546" s="103"/>
      <c r="F1546" s="117"/>
      <c r="G1546" s="103"/>
      <c r="H1546" s="103"/>
      <c r="I1546" s="103"/>
    </row>
    <row r="1547" spans="4:9" x14ac:dyDescent="0.25">
      <c r="D1547" s="103"/>
      <c r="E1547" s="103"/>
      <c r="F1547" s="117"/>
      <c r="G1547" s="103"/>
      <c r="H1547" s="103"/>
      <c r="I1547" s="103"/>
    </row>
    <row r="1548" spans="4:9" x14ac:dyDescent="0.25">
      <c r="D1548" s="103"/>
      <c r="E1548" s="103"/>
      <c r="F1548" s="117"/>
      <c r="G1548" s="103"/>
      <c r="H1548" s="103"/>
      <c r="I1548" s="103"/>
    </row>
    <row r="1549" spans="4:9" x14ac:dyDescent="0.25">
      <c r="D1549" s="103"/>
      <c r="E1549" s="103"/>
      <c r="F1549" s="117"/>
      <c r="G1549" s="103"/>
      <c r="H1549" s="103"/>
      <c r="I1549" s="103"/>
    </row>
    <row r="1550" spans="4:9" x14ac:dyDescent="0.25">
      <c r="D1550" s="103"/>
      <c r="E1550" s="103"/>
      <c r="F1550" s="117"/>
      <c r="G1550" s="103"/>
      <c r="H1550" s="103"/>
      <c r="I1550" s="103"/>
    </row>
    <row r="1551" spans="4:9" x14ac:dyDescent="0.25">
      <c r="D1551" s="103"/>
      <c r="E1551" s="103"/>
      <c r="F1551" s="117"/>
      <c r="G1551" s="103"/>
      <c r="H1551" s="103"/>
      <c r="I1551" s="103"/>
    </row>
    <row r="1552" spans="4:9" x14ac:dyDescent="0.25">
      <c r="D1552" s="103"/>
      <c r="E1552" s="103"/>
      <c r="F1552" s="117"/>
      <c r="G1552" s="103"/>
      <c r="H1552" s="103"/>
      <c r="I1552" s="103"/>
    </row>
    <row r="1553" spans="4:9" x14ac:dyDescent="0.25">
      <c r="D1553" s="103"/>
      <c r="E1553" s="103"/>
      <c r="F1553" s="117"/>
      <c r="G1553" s="103"/>
      <c r="H1553" s="103"/>
      <c r="I1553" s="103"/>
    </row>
    <row r="1554" spans="4:9" x14ac:dyDescent="0.25">
      <c r="D1554" s="103"/>
      <c r="E1554" s="103"/>
      <c r="F1554" s="117"/>
      <c r="G1554" s="103"/>
      <c r="H1554" s="103"/>
      <c r="I1554" s="103"/>
    </row>
    <row r="1555" spans="4:9" x14ac:dyDescent="0.25">
      <c r="D1555" s="103"/>
      <c r="E1555" s="103"/>
      <c r="F1555" s="117"/>
      <c r="G1555" s="103"/>
      <c r="H1555" s="103"/>
      <c r="I1555" s="103"/>
    </row>
    <row r="1556" spans="4:9" x14ac:dyDescent="0.25">
      <c r="D1556" s="103"/>
      <c r="E1556" s="103"/>
      <c r="F1556" s="117"/>
      <c r="G1556" s="103"/>
      <c r="H1556" s="103"/>
      <c r="I1556" s="103"/>
    </row>
    <row r="1557" spans="4:9" x14ac:dyDescent="0.25">
      <c r="D1557" s="103"/>
      <c r="E1557" s="103"/>
      <c r="F1557" s="117"/>
      <c r="G1557" s="103"/>
      <c r="H1557" s="103"/>
      <c r="I1557" s="103"/>
    </row>
    <row r="1558" spans="4:9" x14ac:dyDescent="0.25">
      <c r="D1558" s="103"/>
      <c r="E1558" s="103"/>
      <c r="F1558" s="117"/>
      <c r="G1558" s="103"/>
      <c r="H1558" s="103"/>
      <c r="I1558" s="103"/>
    </row>
    <row r="1559" spans="4:9" x14ac:dyDescent="0.25">
      <c r="D1559" s="103"/>
      <c r="E1559" s="103"/>
      <c r="F1559" s="117"/>
      <c r="G1559" s="103"/>
      <c r="H1559" s="103"/>
      <c r="I1559" s="103"/>
    </row>
    <row r="1560" spans="4:9" x14ac:dyDescent="0.25">
      <c r="D1560" s="103"/>
      <c r="E1560" s="103"/>
      <c r="F1560" s="117"/>
      <c r="G1560" s="103"/>
      <c r="H1560" s="103"/>
      <c r="I1560" s="103"/>
    </row>
    <row r="1561" spans="4:9" x14ac:dyDescent="0.25">
      <c r="D1561" s="103"/>
      <c r="E1561" s="103"/>
      <c r="F1561" s="117"/>
      <c r="G1561" s="103"/>
      <c r="H1561" s="103"/>
      <c r="I1561" s="103"/>
    </row>
    <row r="1562" spans="4:9" x14ac:dyDescent="0.25">
      <c r="D1562" s="103"/>
      <c r="E1562" s="103"/>
      <c r="F1562" s="117"/>
      <c r="G1562" s="103"/>
      <c r="H1562" s="103"/>
      <c r="I1562" s="103"/>
    </row>
    <row r="1563" spans="4:9" x14ac:dyDescent="0.25">
      <c r="D1563" s="103"/>
      <c r="E1563" s="103"/>
      <c r="F1563" s="117"/>
      <c r="G1563" s="103"/>
      <c r="H1563" s="103"/>
      <c r="I1563" s="103"/>
    </row>
    <row r="1564" spans="4:9" x14ac:dyDescent="0.25">
      <c r="D1564" s="103"/>
      <c r="E1564" s="103"/>
      <c r="F1564" s="117"/>
      <c r="G1564" s="103"/>
      <c r="H1564" s="103"/>
      <c r="I1564" s="103"/>
    </row>
    <row r="1565" spans="4:9" x14ac:dyDescent="0.25">
      <c r="D1565" s="103"/>
      <c r="E1565" s="103"/>
      <c r="F1565" s="117"/>
      <c r="G1565" s="103"/>
      <c r="H1565" s="103"/>
      <c r="I1565" s="103"/>
    </row>
    <row r="1566" spans="4:9" x14ac:dyDescent="0.25">
      <c r="D1566" s="103"/>
      <c r="E1566" s="103"/>
      <c r="F1566" s="117"/>
      <c r="G1566" s="103"/>
      <c r="H1566" s="103"/>
      <c r="I1566" s="103"/>
    </row>
    <row r="1567" spans="4:9" x14ac:dyDescent="0.25">
      <c r="D1567" s="103"/>
      <c r="E1567" s="103"/>
      <c r="F1567" s="117"/>
      <c r="G1567" s="103"/>
      <c r="H1567" s="103"/>
      <c r="I1567" s="103"/>
    </row>
    <row r="1568" spans="4:9" x14ac:dyDescent="0.25">
      <c r="D1568" s="103"/>
      <c r="E1568" s="103"/>
      <c r="F1568" s="117"/>
      <c r="G1568" s="103"/>
      <c r="H1568" s="103"/>
      <c r="I1568" s="103"/>
    </row>
    <row r="1569" spans="4:9" x14ac:dyDescent="0.25">
      <c r="D1569" s="103"/>
      <c r="E1569" s="103"/>
      <c r="F1569" s="117"/>
      <c r="G1569" s="103"/>
      <c r="H1569" s="103"/>
      <c r="I1569" s="103"/>
    </row>
    <row r="1570" spans="4:9" x14ac:dyDescent="0.25">
      <c r="D1570" s="103"/>
      <c r="E1570" s="103"/>
      <c r="F1570" s="117"/>
      <c r="G1570" s="103"/>
      <c r="H1570" s="103"/>
      <c r="I1570" s="103"/>
    </row>
    <row r="1571" spans="4:9" x14ac:dyDescent="0.25">
      <c r="D1571" s="103"/>
      <c r="E1571" s="103"/>
      <c r="F1571" s="117"/>
      <c r="G1571" s="103"/>
      <c r="H1571" s="103"/>
      <c r="I1571" s="103"/>
    </row>
    <row r="1572" spans="4:9" x14ac:dyDescent="0.25">
      <c r="D1572" s="103"/>
      <c r="E1572" s="103"/>
      <c r="F1572" s="117"/>
      <c r="G1572" s="103"/>
      <c r="H1572" s="103"/>
      <c r="I1572" s="103"/>
    </row>
    <row r="1573" spans="4:9" x14ac:dyDescent="0.25">
      <c r="D1573" s="103"/>
      <c r="E1573" s="103"/>
      <c r="F1573" s="117"/>
      <c r="G1573" s="103"/>
      <c r="H1573" s="103"/>
      <c r="I1573" s="103"/>
    </row>
    <row r="1574" spans="4:9" x14ac:dyDescent="0.25">
      <c r="D1574" s="103"/>
      <c r="E1574" s="103"/>
      <c r="F1574" s="117"/>
      <c r="G1574" s="103"/>
      <c r="H1574" s="103"/>
      <c r="I1574" s="103"/>
    </row>
    <row r="1575" spans="4:9" x14ac:dyDescent="0.25">
      <c r="D1575" s="103"/>
      <c r="E1575" s="103"/>
      <c r="F1575" s="117"/>
      <c r="G1575" s="103"/>
      <c r="H1575" s="103"/>
      <c r="I1575" s="103"/>
    </row>
    <row r="1576" spans="4:9" x14ac:dyDescent="0.25">
      <c r="D1576" s="103"/>
      <c r="E1576" s="103"/>
      <c r="F1576" s="117"/>
      <c r="G1576" s="103"/>
      <c r="H1576" s="103"/>
      <c r="I1576" s="103"/>
    </row>
    <row r="1577" spans="4:9" x14ac:dyDescent="0.25">
      <c r="D1577" s="103"/>
      <c r="E1577" s="103"/>
      <c r="F1577" s="117"/>
      <c r="G1577" s="103"/>
      <c r="H1577" s="103"/>
      <c r="I1577" s="103"/>
    </row>
    <row r="1578" spans="4:9" x14ac:dyDescent="0.25">
      <c r="D1578" s="103"/>
      <c r="E1578" s="103"/>
      <c r="F1578" s="117"/>
      <c r="G1578" s="103"/>
      <c r="H1578" s="103"/>
      <c r="I1578" s="103"/>
    </row>
    <row r="1579" spans="4:9" x14ac:dyDescent="0.25">
      <c r="D1579" s="103"/>
      <c r="E1579" s="103"/>
      <c r="F1579" s="117"/>
      <c r="G1579" s="103"/>
      <c r="H1579" s="103"/>
      <c r="I1579" s="103"/>
    </row>
    <row r="1580" spans="4:9" x14ac:dyDescent="0.25">
      <c r="D1580" s="103"/>
      <c r="E1580" s="103"/>
      <c r="F1580" s="117"/>
      <c r="G1580" s="103"/>
      <c r="H1580" s="103"/>
      <c r="I1580" s="103"/>
    </row>
    <row r="1581" spans="4:9" x14ac:dyDescent="0.25">
      <c r="D1581" s="103"/>
      <c r="E1581" s="103"/>
      <c r="F1581" s="117"/>
      <c r="G1581" s="103"/>
      <c r="H1581" s="103"/>
      <c r="I1581" s="103"/>
    </row>
    <row r="1582" spans="4:9" x14ac:dyDescent="0.25">
      <c r="D1582" s="103"/>
      <c r="E1582" s="103"/>
      <c r="F1582" s="117"/>
      <c r="G1582" s="103"/>
      <c r="H1582" s="103"/>
      <c r="I1582" s="103"/>
    </row>
    <row r="1583" spans="4:9" x14ac:dyDescent="0.25">
      <c r="D1583" s="103"/>
      <c r="E1583" s="103"/>
      <c r="F1583" s="117"/>
      <c r="G1583" s="103"/>
      <c r="H1583" s="103"/>
      <c r="I1583" s="103"/>
    </row>
    <row r="1584" spans="4:9" x14ac:dyDescent="0.25">
      <c r="D1584" s="103"/>
      <c r="E1584" s="103"/>
      <c r="F1584" s="117"/>
      <c r="G1584" s="103"/>
      <c r="H1584" s="103"/>
      <c r="I1584" s="103"/>
    </row>
    <row r="1585" spans="4:9" x14ac:dyDescent="0.25">
      <c r="D1585" s="103"/>
      <c r="E1585" s="103"/>
      <c r="F1585" s="117"/>
      <c r="G1585" s="103"/>
      <c r="H1585" s="103"/>
      <c r="I1585" s="103"/>
    </row>
    <row r="1586" spans="4:9" x14ac:dyDescent="0.25">
      <c r="D1586" s="103"/>
      <c r="E1586" s="103"/>
      <c r="F1586" s="117"/>
      <c r="G1586" s="103"/>
      <c r="H1586" s="103"/>
      <c r="I1586" s="103"/>
    </row>
    <row r="1587" spans="4:9" x14ac:dyDescent="0.25">
      <c r="D1587" s="103"/>
      <c r="E1587" s="103"/>
      <c r="F1587" s="117"/>
      <c r="G1587" s="103"/>
      <c r="H1587" s="103"/>
      <c r="I1587" s="103"/>
    </row>
    <row r="1588" spans="4:9" x14ac:dyDescent="0.25">
      <c r="D1588" s="103"/>
      <c r="E1588" s="103"/>
      <c r="F1588" s="117"/>
      <c r="G1588" s="103"/>
      <c r="H1588" s="103"/>
      <c r="I1588" s="103"/>
    </row>
    <row r="1589" spans="4:9" x14ac:dyDescent="0.25">
      <c r="D1589" s="103"/>
      <c r="E1589" s="103"/>
      <c r="F1589" s="117"/>
      <c r="G1589" s="103"/>
      <c r="H1589" s="103"/>
      <c r="I1589" s="103"/>
    </row>
    <row r="1590" spans="4:9" x14ac:dyDescent="0.25">
      <c r="D1590" s="103"/>
      <c r="E1590" s="103"/>
      <c r="F1590" s="117"/>
      <c r="G1590" s="103"/>
      <c r="H1590" s="103"/>
      <c r="I1590" s="103"/>
    </row>
    <row r="1591" spans="4:9" x14ac:dyDescent="0.25">
      <c r="D1591" s="103"/>
      <c r="E1591" s="103"/>
      <c r="F1591" s="117"/>
      <c r="G1591" s="103"/>
      <c r="H1591" s="103"/>
      <c r="I1591" s="103"/>
    </row>
    <row r="1592" spans="4:9" x14ac:dyDescent="0.25">
      <c r="D1592" s="103"/>
      <c r="E1592" s="103"/>
      <c r="F1592" s="117"/>
      <c r="G1592" s="103"/>
      <c r="H1592" s="103"/>
      <c r="I1592" s="103"/>
    </row>
    <row r="1593" spans="4:9" x14ac:dyDescent="0.25">
      <c r="D1593" s="103"/>
      <c r="E1593" s="103"/>
      <c r="F1593" s="117"/>
      <c r="G1593" s="103"/>
      <c r="H1593" s="103"/>
      <c r="I1593" s="103"/>
    </row>
    <row r="1594" spans="4:9" x14ac:dyDescent="0.25">
      <c r="D1594" s="103"/>
      <c r="E1594" s="103"/>
      <c r="F1594" s="117"/>
      <c r="G1594" s="103"/>
      <c r="H1594" s="103"/>
      <c r="I1594" s="103"/>
    </row>
    <row r="1595" spans="4:9" x14ac:dyDescent="0.25">
      <c r="D1595" s="103"/>
      <c r="E1595" s="103"/>
      <c r="F1595" s="117"/>
      <c r="G1595" s="103"/>
      <c r="H1595" s="103"/>
      <c r="I1595" s="103"/>
    </row>
    <row r="1596" spans="4:9" x14ac:dyDescent="0.25">
      <c r="D1596" s="103"/>
      <c r="E1596" s="103"/>
      <c r="F1596" s="117"/>
      <c r="G1596" s="103"/>
      <c r="H1596" s="103"/>
      <c r="I1596" s="103"/>
    </row>
    <row r="1597" spans="4:9" x14ac:dyDescent="0.25">
      <c r="D1597" s="103"/>
      <c r="E1597" s="103"/>
      <c r="F1597" s="117"/>
      <c r="G1597" s="103"/>
      <c r="H1597" s="103"/>
      <c r="I1597" s="103"/>
    </row>
    <row r="1598" spans="4:9" x14ac:dyDescent="0.25">
      <c r="D1598" s="103"/>
      <c r="E1598" s="103"/>
      <c r="F1598" s="117"/>
      <c r="G1598" s="103"/>
      <c r="H1598" s="103"/>
      <c r="I1598" s="103"/>
    </row>
    <row r="1599" spans="4:9" x14ac:dyDescent="0.25">
      <c r="D1599" s="103"/>
      <c r="E1599" s="103"/>
      <c r="F1599" s="117"/>
      <c r="G1599" s="103"/>
      <c r="H1599" s="103"/>
      <c r="I1599" s="103"/>
    </row>
    <row r="1600" spans="4:9" x14ac:dyDescent="0.25">
      <c r="D1600" s="103"/>
      <c r="E1600" s="103"/>
      <c r="F1600" s="117"/>
      <c r="G1600" s="103"/>
      <c r="H1600" s="103"/>
      <c r="I1600" s="103"/>
    </row>
    <row r="1601" spans="4:9" x14ac:dyDescent="0.25">
      <c r="D1601" s="103"/>
      <c r="E1601" s="103"/>
      <c r="F1601" s="117"/>
      <c r="G1601" s="103"/>
      <c r="H1601" s="103"/>
      <c r="I1601" s="103"/>
    </row>
    <row r="1602" spans="4:9" x14ac:dyDescent="0.25">
      <c r="D1602" s="103"/>
      <c r="E1602" s="103"/>
      <c r="F1602" s="117"/>
      <c r="G1602" s="103"/>
      <c r="H1602" s="103"/>
      <c r="I1602" s="103"/>
    </row>
    <row r="1603" spans="4:9" x14ac:dyDescent="0.25">
      <c r="D1603" s="103"/>
      <c r="E1603" s="103"/>
      <c r="F1603" s="117"/>
      <c r="G1603" s="103"/>
      <c r="H1603" s="103"/>
      <c r="I1603" s="103"/>
    </row>
    <row r="1604" spans="4:9" x14ac:dyDescent="0.25">
      <c r="D1604" s="103"/>
      <c r="E1604" s="103"/>
      <c r="F1604" s="117"/>
      <c r="G1604" s="103"/>
      <c r="H1604" s="103"/>
      <c r="I1604" s="103"/>
    </row>
    <row r="1605" spans="4:9" x14ac:dyDescent="0.25">
      <c r="D1605" s="103"/>
      <c r="E1605" s="103"/>
      <c r="F1605" s="117"/>
      <c r="G1605" s="103"/>
      <c r="H1605" s="103"/>
      <c r="I1605" s="103"/>
    </row>
    <row r="1606" spans="4:9" x14ac:dyDescent="0.25">
      <c r="D1606" s="103"/>
      <c r="E1606" s="103"/>
      <c r="F1606" s="117"/>
      <c r="G1606" s="103"/>
      <c r="H1606" s="103"/>
      <c r="I1606" s="103"/>
    </row>
    <row r="1607" spans="4:9" x14ac:dyDescent="0.25">
      <c r="D1607" s="103"/>
      <c r="E1607" s="103"/>
      <c r="F1607" s="117"/>
      <c r="G1607" s="103"/>
      <c r="H1607" s="103"/>
      <c r="I1607" s="103"/>
    </row>
    <row r="1608" spans="4:9" x14ac:dyDescent="0.25">
      <c r="D1608" s="103"/>
      <c r="E1608" s="103"/>
      <c r="F1608" s="117"/>
      <c r="G1608" s="103"/>
      <c r="H1608" s="103"/>
      <c r="I1608" s="103"/>
    </row>
    <row r="1609" spans="4:9" x14ac:dyDescent="0.25">
      <c r="D1609" s="103"/>
      <c r="E1609" s="103"/>
      <c r="F1609" s="117"/>
      <c r="G1609" s="103"/>
      <c r="H1609" s="103"/>
      <c r="I1609" s="103"/>
    </row>
    <row r="1610" spans="4:9" x14ac:dyDescent="0.25">
      <c r="D1610" s="103"/>
      <c r="E1610" s="103"/>
      <c r="F1610" s="117"/>
      <c r="G1610" s="103"/>
      <c r="H1610" s="103"/>
      <c r="I1610" s="103"/>
    </row>
    <row r="1611" spans="4:9" x14ac:dyDescent="0.25">
      <c r="D1611" s="103"/>
      <c r="E1611" s="103"/>
      <c r="F1611" s="117"/>
      <c r="G1611" s="103"/>
      <c r="H1611" s="103"/>
      <c r="I1611" s="103"/>
    </row>
    <row r="1612" spans="4:9" x14ac:dyDescent="0.25">
      <c r="D1612" s="103"/>
      <c r="E1612" s="103"/>
      <c r="F1612" s="117"/>
      <c r="G1612" s="103"/>
      <c r="H1612" s="103"/>
      <c r="I1612" s="103"/>
    </row>
    <row r="1613" spans="4:9" x14ac:dyDescent="0.25">
      <c r="D1613" s="103"/>
      <c r="E1613" s="103"/>
      <c r="F1613" s="117"/>
      <c r="G1613" s="103"/>
      <c r="H1613" s="103"/>
      <c r="I1613" s="103"/>
    </row>
    <row r="1614" spans="4:9" x14ac:dyDescent="0.25">
      <c r="D1614" s="103"/>
      <c r="E1614" s="103"/>
      <c r="F1614" s="117"/>
      <c r="G1614" s="103"/>
      <c r="H1614" s="103"/>
      <c r="I1614" s="103"/>
    </row>
    <row r="1615" spans="4:9" x14ac:dyDescent="0.25">
      <c r="D1615" s="103"/>
      <c r="E1615" s="103"/>
      <c r="F1615" s="117"/>
      <c r="G1615" s="103"/>
      <c r="H1615" s="103"/>
      <c r="I1615" s="103"/>
    </row>
    <row r="1616" spans="4:9" x14ac:dyDescent="0.25">
      <c r="D1616" s="103"/>
      <c r="E1616" s="103"/>
      <c r="F1616" s="117"/>
      <c r="G1616" s="103"/>
      <c r="H1616" s="103"/>
      <c r="I1616" s="103"/>
    </row>
    <row r="1617" spans="4:9" x14ac:dyDescent="0.25">
      <c r="D1617" s="103"/>
      <c r="E1617" s="103"/>
      <c r="F1617" s="117"/>
      <c r="G1617" s="103"/>
      <c r="H1617" s="103"/>
      <c r="I1617" s="103"/>
    </row>
    <row r="1618" spans="4:9" x14ac:dyDescent="0.25">
      <c r="D1618" s="103"/>
      <c r="E1618" s="103"/>
      <c r="F1618" s="117"/>
      <c r="G1618" s="103"/>
      <c r="H1618" s="103"/>
      <c r="I1618" s="103"/>
    </row>
    <row r="1619" spans="4:9" x14ac:dyDescent="0.25">
      <c r="D1619" s="103"/>
      <c r="E1619" s="103"/>
      <c r="F1619" s="117"/>
      <c r="G1619" s="103"/>
      <c r="H1619" s="103"/>
      <c r="I1619" s="103"/>
    </row>
    <row r="1620" spans="4:9" x14ac:dyDescent="0.25">
      <c r="D1620" s="103"/>
      <c r="E1620" s="103"/>
      <c r="F1620" s="117"/>
      <c r="G1620" s="103"/>
      <c r="H1620" s="103"/>
      <c r="I1620" s="103"/>
    </row>
    <row r="1621" spans="4:9" x14ac:dyDescent="0.25">
      <c r="D1621" s="103"/>
      <c r="E1621" s="103"/>
      <c r="F1621" s="117"/>
      <c r="G1621" s="103"/>
      <c r="H1621" s="103"/>
      <c r="I1621" s="103"/>
    </row>
    <row r="1622" spans="4:9" x14ac:dyDescent="0.25">
      <c r="D1622" s="103"/>
      <c r="E1622" s="103"/>
      <c r="F1622" s="117"/>
      <c r="G1622" s="103"/>
      <c r="H1622" s="103"/>
      <c r="I1622" s="103"/>
    </row>
    <row r="1623" spans="4:9" x14ac:dyDescent="0.25">
      <c r="D1623" s="103"/>
      <c r="E1623" s="103"/>
      <c r="F1623" s="117"/>
      <c r="G1623" s="103"/>
      <c r="H1623" s="103"/>
      <c r="I1623" s="103"/>
    </row>
    <row r="1624" spans="4:9" x14ac:dyDescent="0.25">
      <c r="D1624" s="103"/>
      <c r="E1624" s="103"/>
      <c r="F1624" s="117"/>
      <c r="G1624" s="103"/>
      <c r="H1624" s="103"/>
      <c r="I1624" s="103"/>
    </row>
    <row r="1625" spans="4:9" x14ac:dyDescent="0.25">
      <c r="D1625" s="103"/>
      <c r="E1625" s="103"/>
      <c r="F1625" s="117"/>
      <c r="G1625" s="103"/>
      <c r="H1625" s="103"/>
      <c r="I1625" s="103"/>
    </row>
    <row r="1626" spans="4:9" x14ac:dyDescent="0.25">
      <c r="D1626" s="103"/>
      <c r="E1626" s="103"/>
      <c r="F1626" s="117"/>
      <c r="G1626" s="103"/>
      <c r="H1626" s="103"/>
      <c r="I1626" s="103"/>
    </row>
    <row r="1627" spans="4:9" x14ac:dyDescent="0.25">
      <c r="D1627" s="103"/>
      <c r="E1627" s="103"/>
      <c r="F1627" s="117"/>
      <c r="G1627" s="103"/>
      <c r="H1627" s="103"/>
      <c r="I1627" s="103"/>
    </row>
    <row r="1628" spans="4:9" x14ac:dyDescent="0.25">
      <c r="D1628" s="103"/>
      <c r="E1628" s="103"/>
      <c r="F1628" s="117"/>
      <c r="G1628" s="103"/>
      <c r="H1628" s="103"/>
      <c r="I1628" s="103"/>
    </row>
    <row r="1629" spans="4:9" x14ac:dyDescent="0.25">
      <c r="D1629" s="103"/>
      <c r="E1629" s="103"/>
      <c r="F1629" s="117"/>
      <c r="G1629" s="103"/>
      <c r="H1629" s="103"/>
      <c r="I1629" s="103"/>
    </row>
    <row r="1630" spans="4:9" x14ac:dyDescent="0.25">
      <c r="D1630" s="103"/>
      <c r="E1630" s="103"/>
      <c r="F1630" s="117"/>
      <c r="G1630" s="103"/>
      <c r="H1630" s="103"/>
      <c r="I1630" s="103"/>
    </row>
    <row r="1631" spans="4:9" x14ac:dyDescent="0.25">
      <c r="D1631" s="103"/>
      <c r="E1631" s="103"/>
      <c r="F1631" s="117"/>
      <c r="G1631" s="103"/>
      <c r="H1631" s="103"/>
      <c r="I1631" s="103"/>
    </row>
    <row r="1632" spans="4:9" x14ac:dyDescent="0.25">
      <c r="D1632" s="103"/>
      <c r="E1632" s="103"/>
      <c r="F1632" s="117"/>
      <c r="G1632" s="103"/>
      <c r="H1632" s="103"/>
      <c r="I1632" s="103"/>
    </row>
    <row r="1633" spans="4:9" x14ac:dyDescent="0.25">
      <c r="D1633" s="103"/>
      <c r="E1633" s="103"/>
      <c r="F1633" s="117"/>
      <c r="G1633" s="103"/>
      <c r="H1633" s="103"/>
      <c r="I1633" s="103"/>
    </row>
    <row r="1634" spans="4:9" x14ac:dyDescent="0.25">
      <c r="D1634" s="103"/>
      <c r="E1634" s="103"/>
      <c r="F1634" s="117"/>
      <c r="G1634" s="103"/>
      <c r="H1634" s="103"/>
      <c r="I1634" s="103"/>
    </row>
    <row r="1635" spans="4:9" x14ac:dyDescent="0.25">
      <c r="D1635" s="103"/>
      <c r="E1635" s="103"/>
      <c r="F1635" s="117"/>
      <c r="G1635" s="103"/>
      <c r="H1635" s="103"/>
      <c r="I1635" s="103"/>
    </row>
    <row r="1636" spans="4:9" x14ac:dyDescent="0.25">
      <c r="D1636" s="103"/>
      <c r="E1636" s="103"/>
      <c r="F1636" s="117"/>
      <c r="G1636" s="103"/>
      <c r="H1636" s="103"/>
      <c r="I1636" s="103"/>
    </row>
    <row r="1637" spans="4:9" x14ac:dyDescent="0.25">
      <c r="D1637" s="103"/>
      <c r="E1637" s="103"/>
      <c r="F1637" s="117"/>
      <c r="G1637" s="103"/>
      <c r="H1637" s="103"/>
      <c r="I1637" s="103"/>
    </row>
    <row r="1638" spans="4:9" x14ac:dyDescent="0.25">
      <c r="D1638" s="103"/>
      <c r="E1638" s="103"/>
      <c r="F1638" s="117"/>
      <c r="G1638" s="103"/>
      <c r="H1638" s="103"/>
      <c r="I1638" s="103"/>
    </row>
    <row r="1639" spans="4:9" x14ac:dyDescent="0.25">
      <c r="D1639" s="103"/>
      <c r="E1639" s="103"/>
      <c r="F1639" s="117"/>
      <c r="G1639" s="103"/>
      <c r="H1639" s="103"/>
      <c r="I1639" s="103"/>
    </row>
    <row r="1640" spans="4:9" x14ac:dyDescent="0.25">
      <c r="D1640" s="103"/>
      <c r="E1640" s="103"/>
      <c r="F1640" s="117"/>
      <c r="G1640" s="103"/>
      <c r="H1640" s="103"/>
      <c r="I1640" s="103"/>
    </row>
    <row r="1641" spans="4:9" x14ac:dyDescent="0.25">
      <c r="D1641" s="103"/>
      <c r="E1641" s="103"/>
      <c r="F1641" s="117"/>
      <c r="G1641" s="103"/>
      <c r="H1641" s="103"/>
      <c r="I1641" s="103"/>
    </row>
    <row r="1642" spans="4:9" x14ac:dyDescent="0.25">
      <c r="D1642" s="103"/>
      <c r="E1642" s="103"/>
      <c r="F1642" s="117"/>
      <c r="G1642" s="103"/>
      <c r="H1642" s="103"/>
      <c r="I1642" s="103"/>
    </row>
    <row r="1643" spans="4:9" x14ac:dyDescent="0.25">
      <c r="D1643" s="103"/>
      <c r="E1643" s="103"/>
      <c r="F1643" s="117"/>
      <c r="G1643" s="103"/>
      <c r="H1643" s="103"/>
      <c r="I1643" s="103"/>
    </row>
    <row r="1644" spans="4:9" x14ac:dyDescent="0.25">
      <c r="D1644" s="103"/>
      <c r="E1644" s="103"/>
      <c r="F1644" s="117"/>
      <c r="G1644" s="103"/>
      <c r="H1644" s="103"/>
      <c r="I1644" s="103"/>
    </row>
    <row r="1645" spans="4:9" x14ac:dyDescent="0.25">
      <c r="D1645" s="103"/>
      <c r="E1645" s="103"/>
      <c r="F1645" s="117"/>
      <c r="G1645" s="103"/>
      <c r="H1645" s="103"/>
      <c r="I1645" s="103"/>
    </row>
    <row r="1646" spans="4:9" x14ac:dyDescent="0.25">
      <c r="D1646" s="103"/>
      <c r="E1646" s="103"/>
      <c r="F1646" s="117"/>
      <c r="G1646" s="103"/>
      <c r="H1646" s="103"/>
      <c r="I1646" s="103"/>
    </row>
    <row r="1647" spans="4:9" x14ac:dyDescent="0.25">
      <c r="D1647" s="103"/>
      <c r="E1647" s="103"/>
      <c r="F1647" s="117"/>
      <c r="G1647" s="103"/>
      <c r="H1647" s="103"/>
      <c r="I1647" s="103"/>
    </row>
    <row r="1648" spans="4:9" x14ac:dyDescent="0.25">
      <c r="D1648" s="103"/>
      <c r="E1648" s="103"/>
      <c r="F1648" s="117"/>
      <c r="G1648" s="103"/>
      <c r="H1648" s="103"/>
      <c r="I1648" s="103"/>
    </row>
    <row r="1649" spans="4:9" x14ac:dyDescent="0.25">
      <c r="D1649" s="103"/>
      <c r="E1649" s="103"/>
      <c r="F1649" s="117"/>
      <c r="G1649" s="103"/>
      <c r="H1649" s="103"/>
      <c r="I1649" s="103"/>
    </row>
    <row r="1650" spans="4:9" x14ac:dyDescent="0.25">
      <c r="D1650" s="103"/>
      <c r="E1650" s="103"/>
      <c r="F1650" s="117"/>
      <c r="G1650" s="103"/>
      <c r="H1650" s="103"/>
      <c r="I1650" s="103"/>
    </row>
    <row r="1651" spans="4:9" x14ac:dyDescent="0.25">
      <c r="D1651" s="103"/>
      <c r="E1651" s="103"/>
      <c r="F1651" s="117"/>
      <c r="G1651" s="103"/>
      <c r="H1651" s="103"/>
      <c r="I1651" s="103"/>
    </row>
    <row r="1652" spans="4:9" x14ac:dyDescent="0.25">
      <c r="D1652" s="103"/>
      <c r="E1652" s="103"/>
      <c r="F1652" s="117"/>
      <c r="G1652" s="103"/>
      <c r="H1652" s="103"/>
      <c r="I1652" s="103"/>
    </row>
    <row r="1653" spans="4:9" x14ac:dyDescent="0.25">
      <c r="D1653" s="103"/>
      <c r="E1653" s="103"/>
      <c r="F1653" s="117"/>
      <c r="G1653" s="103"/>
      <c r="H1653" s="103"/>
      <c r="I1653" s="103"/>
    </row>
    <row r="1654" spans="4:9" x14ac:dyDescent="0.25">
      <c r="D1654" s="103"/>
      <c r="E1654" s="103"/>
      <c r="F1654" s="117"/>
      <c r="G1654" s="103"/>
      <c r="H1654" s="103"/>
      <c r="I1654" s="103"/>
    </row>
    <row r="1655" spans="4:9" x14ac:dyDescent="0.25">
      <c r="D1655" s="103"/>
      <c r="E1655" s="103"/>
      <c r="F1655" s="117"/>
      <c r="G1655" s="103"/>
      <c r="H1655" s="103"/>
      <c r="I1655" s="103"/>
    </row>
    <row r="1656" spans="4:9" x14ac:dyDescent="0.25">
      <c r="D1656" s="103"/>
      <c r="E1656" s="103"/>
      <c r="F1656" s="117"/>
      <c r="G1656" s="103"/>
      <c r="H1656" s="103"/>
      <c r="I1656" s="103"/>
    </row>
    <row r="1657" spans="4:9" x14ac:dyDescent="0.25">
      <c r="D1657" s="103"/>
      <c r="E1657" s="103"/>
      <c r="F1657" s="117"/>
      <c r="G1657" s="103"/>
      <c r="H1657" s="103"/>
      <c r="I1657" s="103"/>
    </row>
    <row r="1658" spans="4:9" x14ac:dyDescent="0.25">
      <c r="D1658" s="103"/>
      <c r="E1658" s="103"/>
      <c r="F1658" s="117"/>
      <c r="G1658" s="103"/>
      <c r="H1658" s="103"/>
      <c r="I1658" s="103"/>
    </row>
    <row r="1659" spans="4:9" x14ac:dyDescent="0.25">
      <c r="D1659" s="103"/>
      <c r="E1659" s="103"/>
      <c r="F1659" s="117"/>
      <c r="G1659" s="103"/>
      <c r="H1659" s="103"/>
      <c r="I1659" s="103"/>
    </row>
    <row r="1660" spans="4:9" x14ac:dyDescent="0.25">
      <c r="D1660" s="103"/>
      <c r="E1660" s="103"/>
      <c r="F1660" s="117"/>
      <c r="G1660" s="103"/>
      <c r="H1660" s="103"/>
      <c r="I1660" s="103"/>
    </row>
    <row r="1661" spans="4:9" x14ac:dyDescent="0.25">
      <c r="D1661" s="103"/>
      <c r="E1661" s="103"/>
      <c r="F1661" s="117"/>
      <c r="G1661" s="103"/>
      <c r="H1661" s="103"/>
      <c r="I1661" s="103"/>
    </row>
    <row r="1662" spans="4:9" x14ac:dyDescent="0.25">
      <c r="D1662" s="103"/>
      <c r="E1662" s="103"/>
      <c r="F1662" s="117"/>
      <c r="G1662" s="103"/>
      <c r="H1662" s="103"/>
      <c r="I1662" s="103"/>
    </row>
    <row r="1663" spans="4:9" x14ac:dyDescent="0.25">
      <c r="D1663" s="103"/>
      <c r="E1663" s="103"/>
      <c r="F1663" s="117"/>
      <c r="G1663" s="103"/>
      <c r="H1663" s="103"/>
      <c r="I1663" s="103"/>
    </row>
    <row r="1664" spans="4:9" x14ac:dyDescent="0.25">
      <c r="D1664" s="103"/>
      <c r="E1664" s="103"/>
      <c r="F1664" s="117"/>
      <c r="G1664" s="103"/>
      <c r="H1664" s="103"/>
      <c r="I1664" s="103"/>
    </row>
    <row r="1665" spans="4:9" x14ac:dyDescent="0.25">
      <c r="D1665" s="103"/>
      <c r="E1665" s="103"/>
      <c r="F1665" s="117"/>
      <c r="G1665" s="103"/>
      <c r="H1665" s="103"/>
      <c r="I1665" s="103"/>
    </row>
    <row r="1666" spans="4:9" x14ac:dyDescent="0.25">
      <c r="D1666" s="103"/>
      <c r="E1666" s="103"/>
      <c r="F1666" s="117"/>
      <c r="G1666" s="103"/>
      <c r="H1666" s="103"/>
      <c r="I1666" s="103"/>
    </row>
    <row r="1667" spans="4:9" x14ac:dyDescent="0.25">
      <c r="D1667" s="103"/>
      <c r="E1667" s="103"/>
      <c r="F1667" s="117"/>
      <c r="G1667" s="103"/>
      <c r="H1667" s="103"/>
      <c r="I1667" s="103"/>
    </row>
    <row r="1668" spans="4:9" x14ac:dyDescent="0.25">
      <c r="D1668" s="103"/>
      <c r="E1668" s="103"/>
      <c r="F1668" s="117"/>
      <c r="G1668" s="103"/>
      <c r="H1668" s="103"/>
      <c r="I1668" s="103"/>
    </row>
    <row r="1669" spans="4:9" x14ac:dyDescent="0.25">
      <c r="D1669" s="103"/>
      <c r="E1669" s="103"/>
      <c r="F1669" s="117"/>
      <c r="G1669" s="103"/>
      <c r="H1669" s="103"/>
      <c r="I1669" s="103"/>
    </row>
    <row r="1670" spans="4:9" x14ac:dyDescent="0.25">
      <c r="D1670" s="103"/>
      <c r="E1670" s="103"/>
      <c r="F1670" s="117"/>
      <c r="G1670" s="103"/>
      <c r="H1670" s="103"/>
      <c r="I1670" s="103"/>
    </row>
    <row r="1671" spans="4:9" x14ac:dyDescent="0.25">
      <c r="D1671" s="103"/>
      <c r="E1671" s="103"/>
      <c r="F1671" s="117"/>
      <c r="G1671" s="103"/>
      <c r="H1671" s="103"/>
      <c r="I1671" s="103"/>
    </row>
    <row r="1672" spans="4:9" x14ac:dyDescent="0.25">
      <c r="D1672" s="103"/>
      <c r="E1672" s="103"/>
      <c r="F1672" s="117"/>
      <c r="G1672" s="103"/>
      <c r="H1672" s="103"/>
      <c r="I1672" s="103"/>
    </row>
    <row r="1673" spans="4:9" x14ac:dyDescent="0.25">
      <c r="D1673" s="103"/>
      <c r="E1673" s="103"/>
      <c r="F1673" s="117"/>
      <c r="G1673" s="103"/>
      <c r="H1673" s="103"/>
      <c r="I1673" s="103"/>
    </row>
    <row r="1674" spans="4:9" x14ac:dyDescent="0.25">
      <c r="D1674" s="103"/>
      <c r="E1674" s="103"/>
      <c r="F1674" s="117"/>
      <c r="G1674" s="103"/>
      <c r="H1674" s="103"/>
      <c r="I1674" s="103"/>
    </row>
    <row r="1675" spans="4:9" x14ac:dyDescent="0.25">
      <c r="D1675" s="103"/>
      <c r="E1675" s="103"/>
      <c r="F1675" s="117"/>
      <c r="G1675" s="103"/>
      <c r="H1675" s="103"/>
      <c r="I1675" s="103"/>
    </row>
    <row r="1676" spans="4:9" x14ac:dyDescent="0.25">
      <c r="D1676" s="103"/>
      <c r="E1676" s="103"/>
      <c r="F1676" s="117"/>
      <c r="G1676" s="103"/>
      <c r="H1676" s="103"/>
      <c r="I1676" s="103"/>
    </row>
    <row r="1677" spans="4:9" x14ac:dyDescent="0.25">
      <c r="D1677" s="103"/>
      <c r="E1677" s="103"/>
      <c r="F1677" s="117"/>
      <c r="G1677" s="103"/>
      <c r="H1677" s="103"/>
      <c r="I1677" s="103"/>
    </row>
    <row r="1678" spans="4:9" x14ac:dyDescent="0.25">
      <c r="D1678" s="103"/>
      <c r="E1678" s="103"/>
      <c r="F1678" s="117"/>
      <c r="G1678" s="103"/>
      <c r="H1678" s="103"/>
      <c r="I1678" s="103"/>
    </row>
    <row r="1679" spans="4:9" x14ac:dyDescent="0.25">
      <c r="D1679" s="103"/>
      <c r="E1679" s="103"/>
      <c r="F1679" s="117"/>
      <c r="G1679" s="103"/>
      <c r="H1679" s="103"/>
      <c r="I1679" s="103"/>
    </row>
    <row r="1680" spans="4:9" x14ac:dyDescent="0.25">
      <c r="D1680" s="103"/>
      <c r="E1680" s="103"/>
      <c r="F1680" s="117"/>
      <c r="G1680" s="103"/>
      <c r="H1680" s="103"/>
      <c r="I1680" s="103"/>
    </row>
    <row r="1681" spans="4:9" x14ac:dyDescent="0.25">
      <c r="D1681" s="103"/>
      <c r="E1681" s="103"/>
      <c r="F1681" s="117"/>
      <c r="G1681" s="103"/>
      <c r="H1681" s="103"/>
      <c r="I1681" s="103"/>
    </row>
    <row r="1682" spans="4:9" x14ac:dyDescent="0.25">
      <c r="D1682" s="103"/>
      <c r="E1682" s="103"/>
      <c r="F1682" s="117"/>
      <c r="G1682" s="103"/>
      <c r="H1682" s="103"/>
      <c r="I1682" s="103"/>
    </row>
    <row r="1683" spans="4:9" x14ac:dyDescent="0.25">
      <c r="D1683" s="103"/>
      <c r="E1683" s="103"/>
      <c r="F1683" s="117"/>
      <c r="G1683" s="103"/>
      <c r="H1683" s="103"/>
      <c r="I1683" s="103"/>
    </row>
    <row r="1684" spans="4:9" x14ac:dyDescent="0.25">
      <c r="D1684" s="103"/>
      <c r="E1684" s="103"/>
      <c r="F1684" s="117"/>
      <c r="G1684" s="103"/>
      <c r="H1684" s="103"/>
      <c r="I1684" s="103"/>
    </row>
    <row r="1685" spans="4:9" x14ac:dyDescent="0.25">
      <c r="D1685" s="103"/>
      <c r="E1685" s="103"/>
      <c r="F1685" s="117"/>
      <c r="G1685" s="103"/>
      <c r="H1685" s="103"/>
      <c r="I1685" s="103"/>
    </row>
    <row r="1686" spans="4:9" x14ac:dyDescent="0.25">
      <c r="D1686" s="103"/>
      <c r="E1686" s="103"/>
      <c r="F1686" s="117"/>
      <c r="G1686" s="103"/>
      <c r="H1686" s="103"/>
      <c r="I1686" s="103"/>
    </row>
    <row r="1687" spans="4:9" x14ac:dyDescent="0.25">
      <c r="D1687" s="103"/>
      <c r="E1687" s="103"/>
      <c r="F1687" s="117"/>
      <c r="G1687" s="103"/>
      <c r="H1687" s="103"/>
      <c r="I1687" s="103"/>
    </row>
    <row r="1688" spans="4:9" x14ac:dyDescent="0.25">
      <c r="D1688" s="103"/>
      <c r="E1688" s="103"/>
      <c r="F1688" s="117"/>
      <c r="G1688" s="103"/>
      <c r="H1688" s="103"/>
      <c r="I1688" s="103"/>
    </row>
    <row r="1689" spans="4:9" x14ac:dyDescent="0.25">
      <c r="D1689" s="103"/>
      <c r="E1689" s="103"/>
      <c r="F1689" s="117"/>
      <c r="G1689" s="103"/>
      <c r="H1689" s="103"/>
      <c r="I1689" s="103"/>
    </row>
    <row r="1690" spans="4:9" x14ac:dyDescent="0.25">
      <c r="D1690" s="103"/>
      <c r="E1690" s="103"/>
      <c r="F1690" s="117"/>
      <c r="G1690" s="103"/>
      <c r="H1690" s="103"/>
      <c r="I1690" s="103"/>
    </row>
    <row r="1691" spans="4:9" x14ac:dyDescent="0.25">
      <c r="D1691" s="103"/>
      <c r="E1691" s="103"/>
      <c r="F1691" s="117"/>
      <c r="G1691" s="103"/>
      <c r="H1691" s="103"/>
      <c r="I1691" s="103"/>
    </row>
    <row r="1692" spans="4:9" x14ac:dyDescent="0.25">
      <c r="D1692" s="103"/>
      <c r="E1692" s="103"/>
      <c r="F1692" s="117"/>
      <c r="G1692" s="103"/>
      <c r="H1692" s="103"/>
      <c r="I1692" s="103"/>
    </row>
    <row r="1693" spans="4:9" x14ac:dyDescent="0.25">
      <c r="D1693" s="103"/>
      <c r="E1693" s="103"/>
      <c r="F1693" s="117"/>
      <c r="G1693" s="103"/>
      <c r="H1693" s="103"/>
      <c r="I1693" s="103"/>
    </row>
    <row r="1694" spans="4:9" x14ac:dyDescent="0.25">
      <c r="D1694" s="103"/>
      <c r="E1694" s="103"/>
      <c r="F1694" s="117"/>
      <c r="G1694" s="103"/>
      <c r="H1694" s="103"/>
      <c r="I1694" s="103"/>
    </row>
    <row r="1695" spans="4:9" x14ac:dyDescent="0.25">
      <c r="D1695" s="103"/>
      <c r="E1695" s="103"/>
      <c r="F1695" s="117"/>
      <c r="G1695" s="103"/>
      <c r="H1695" s="103"/>
      <c r="I1695" s="103"/>
    </row>
    <row r="1696" spans="4:9" x14ac:dyDescent="0.25">
      <c r="D1696" s="103"/>
      <c r="E1696" s="103"/>
      <c r="F1696" s="117"/>
      <c r="G1696" s="103"/>
      <c r="H1696" s="103"/>
      <c r="I1696" s="103"/>
    </row>
    <row r="1697" spans="4:9" x14ac:dyDescent="0.25">
      <c r="D1697" s="103"/>
      <c r="E1697" s="103"/>
      <c r="F1697" s="117"/>
      <c r="G1697" s="103"/>
      <c r="H1697" s="103"/>
      <c r="I1697" s="103"/>
    </row>
    <row r="1698" spans="4:9" x14ac:dyDescent="0.25">
      <c r="D1698" s="103"/>
      <c r="E1698" s="103"/>
      <c r="F1698" s="117"/>
      <c r="G1698" s="103"/>
      <c r="H1698" s="103"/>
      <c r="I1698" s="103"/>
    </row>
    <row r="1699" spans="4:9" x14ac:dyDescent="0.25">
      <c r="D1699" s="103"/>
      <c r="E1699" s="103"/>
      <c r="F1699" s="117"/>
      <c r="G1699" s="103"/>
      <c r="H1699" s="103"/>
      <c r="I1699" s="103"/>
    </row>
    <row r="1700" spans="4:9" x14ac:dyDescent="0.25">
      <c r="D1700" s="103"/>
      <c r="E1700" s="103"/>
      <c r="F1700" s="117"/>
      <c r="G1700" s="103"/>
      <c r="H1700" s="103"/>
      <c r="I1700" s="103"/>
    </row>
    <row r="1701" spans="4:9" x14ac:dyDescent="0.25">
      <c r="D1701" s="103"/>
      <c r="E1701" s="103"/>
      <c r="F1701" s="117"/>
      <c r="G1701" s="103"/>
      <c r="H1701" s="103"/>
      <c r="I1701" s="103"/>
    </row>
    <row r="1702" spans="4:9" x14ac:dyDescent="0.25">
      <c r="D1702" s="103"/>
      <c r="E1702" s="103"/>
      <c r="F1702" s="117"/>
      <c r="G1702" s="103"/>
      <c r="H1702" s="103"/>
      <c r="I1702" s="103"/>
    </row>
    <row r="1703" spans="4:9" x14ac:dyDescent="0.25">
      <c r="D1703" s="103"/>
      <c r="E1703" s="103"/>
      <c r="F1703" s="117"/>
      <c r="G1703" s="103"/>
      <c r="H1703" s="103"/>
      <c r="I1703" s="103"/>
    </row>
    <row r="1704" spans="4:9" x14ac:dyDescent="0.25">
      <c r="D1704" s="103"/>
      <c r="E1704" s="103"/>
      <c r="F1704" s="117"/>
      <c r="G1704" s="103"/>
      <c r="H1704" s="103"/>
      <c r="I1704" s="103"/>
    </row>
    <row r="1705" spans="4:9" x14ac:dyDescent="0.25">
      <c r="D1705" s="103"/>
      <c r="E1705" s="103"/>
      <c r="F1705" s="117"/>
      <c r="G1705" s="103"/>
      <c r="H1705" s="103"/>
      <c r="I1705" s="103"/>
    </row>
    <row r="1706" spans="4:9" x14ac:dyDescent="0.25">
      <c r="D1706" s="103"/>
      <c r="E1706" s="103"/>
      <c r="F1706" s="117"/>
      <c r="G1706" s="103"/>
      <c r="H1706" s="103"/>
      <c r="I1706" s="103"/>
    </row>
    <row r="1707" spans="4:9" x14ac:dyDescent="0.25">
      <c r="D1707" s="103"/>
      <c r="E1707" s="103"/>
      <c r="F1707" s="117"/>
      <c r="G1707" s="103"/>
      <c r="H1707" s="103"/>
      <c r="I1707" s="103"/>
    </row>
    <row r="1708" spans="4:9" x14ac:dyDescent="0.25">
      <c r="D1708" s="103"/>
      <c r="E1708" s="103"/>
      <c r="F1708" s="117"/>
      <c r="G1708" s="103"/>
      <c r="H1708" s="103"/>
      <c r="I1708" s="103"/>
    </row>
    <row r="1709" spans="4:9" x14ac:dyDescent="0.25">
      <c r="D1709" s="103"/>
      <c r="E1709" s="103"/>
      <c r="F1709" s="117"/>
      <c r="G1709" s="103"/>
      <c r="H1709" s="103"/>
      <c r="I1709" s="103"/>
    </row>
    <row r="1710" spans="4:9" x14ac:dyDescent="0.25">
      <c r="D1710" s="103"/>
      <c r="E1710" s="103"/>
      <c r="F1710" s="117"/>
      <c r="G1710" s="103"/>
      <c r="H1710" s="103"/>
      <c r="I1710" s="103"/>
    </row>
    <row r="1711" spans="4:9" x14ac:dyDescent="0.25">
      <c r="D1711" s="103"/>
      <c r="E1711" s="103"/>
      <c r="F1711" s="117"/>
      <c r="G1711" s="103"/>
      <c r="H1711" s="103"/>
      <c r="I1711" s="103"/>
    </row>
    <row r="1712" spans="4:9" x14ac:dyDescent="0.25">
      <c r="D1712" s="103"/>
      <c r="E1712" s="103"/>
      <c r="F1712" s="117"/>
      <c r="G1712" s="103"/>
      <c r="H1712" s="103"/>
      <c r="I1712" s="103"/>
    </row>
    <row r="1713" spans="4:9" x14ac:dyDescent="0.25">
      <c r="D1713" s="103"/>
      <c r="E1713" s="103"/>
      <c r="F1713" s="117"/>
      <c r="G1713" s="103"/>
      <c r="H1713" s="103"/>
      <c r="I1713" s="103"/>
    </row>
    <row r="1714" spans="4:9" x14ac:dyDescent="0.25">
      <c r="D1714" s="103"/>
      <c r="E1714" s="103"/>
      <c r="F1714" s="117"/>
      <c r="G1714" s="103"/>
      <c r="H1714" s="103"/>
      <c r="I1714" s="103"/>
    </row>
    <row r="1715" spans="4:9" x14ac:dyDescent="0.25">
      <c r="D1715" s="103"/>
      <c r="E1715" s="103"/>
      <c r="F1715" s="117"/>
      <c r="G1715" s="103"/>
      <c r="H1715" s="103"/>
      <c r="I1715" s="103"/>
    </row>
    <row r="1716" spans="4:9" x14ac:dyDescent="0.25">
      <c r="D1716" s="103"/>
      <c r="E1716" s="103"/>
      <c r="F1716" s="117"/>
      <c r="G1716" s="103"/>
      <c r="H1716" s="103"/>
      <c r="I1716" s="103"/>
    </row>
    <row r="1717" spans="4:9" x14ac:dyDescent="0.25">
      <c r="D1717" s="103"/>
      <c r="E1717" s="103"/>
      <c r="F1717" s="117"/>
      <c r="G1717" s="103"/>
      <c r="H1717" s="103"/>
      <c r="I1717" s="103"/>
    </row>
    <row r="1718" spans="4:9" x14ac:dyDescent="0.25">
      <c r="D1718" s="103"/>
      <c r="E1718" s="103"/>
      <c r="F1718" s="117"/>
      <c r="G1718" s="103"/>
      <c r="H1718" s="103"/>
      <c r="I1718" s="103"/>
    </row>
    <row r="1719" spans="4:9" x14ac:dyDescent="0.25">
      <c r="D1719" s="103"/>
      <c r="E1719" s="103"/>
      <c r="F1719" s="117"/>
      <c r="G1719" s="103"/>
      <c r="H1719" s="103"/>
      <c r="I1719" s="103"/>
    </row>
    <row r="1720" spans="4:9" x14ac:dyDescent="0.25">
      <c r="D1720" s="103"/>
      <c r="E1720" s="103"/>
      <c r="F1720" s="117"/>
      <c r="G1720" s="103"/>
      <c r="H1720" s="103"/>
      <c r="I1720" s="103"/>
    </row>
    <row r="1721" spans="4:9" x14ac:dyDescent="0.25">
      <c r="D1721" s="103"/>
      <c r="E1721" s="103"/>
      <c r="F1721" s="117"/>
      <c r="G1721" s="103"/>
      <c r="H1721" s="103"/>
      <c r="I1721" s="103"/>
    </row>
    <row r="1722" spans="4:9" x14ac:dyDescent="0.25">
      <c r="D1722" s="103"/>
      <c r="E1722" s="103"/>
      <c r="F1722" s="117"/>
      <c r="G1722" s="103"/>
      <c r="H1722" s="103"/>
      <c r="I1722" s="103"/>
    </row>
    <row r="1723" spans="4:9" x14ac:dyDescent="0.25">
      <c r="D1723" s="103"/>
      <c r="E1723" s="103"/>
      <c r="F1723" s="117"/>
      <c r="G1723" s="103"/>
      <c r="H1723" s="103"/>
      <c r="I1723" s="103"/>
    </row>
    <row r="1724" spans="4:9" x14ac:dyDescent="0.25">
      <c r="D1724" s="103"/>
      <c r="E1724" s="103"/>
      <c r="F1724" s="117"/>
      <c r="G1724" s="103"/>
      <c r="H1724" s="103"/>
      <c r="I1724" s="103"/>
    </row>
    <row r="1725" spans="4:9" x14ac:dyDescent="0.25">
      <c r="D1725" s="103"/>
      <c r="E1725" s="103"/>
      <c r="F1725" s="117"/>
      <c r="G1725" s="103"/>
      <c r="H1725" s="103"/>
      <c r="I1725" s="103"/>
    </row>
    <row r="1726" spans="4:9" x14ac:dyDescent="0.25">
      <c r="D1726" s="103"/>
      <c r="E1726" s="103"/>
      <c r="F1726" s="117"/>
      <c r="G1726" s="103"/>
      <c r="H1726" s="103"/>
      <c r="I1726" s="103"/>
    </row>
    <row r="1727" spans="4:9" x14ac:dyDescent="0.25">
      <c r="D1727" s="103"/>
      <c r="E1727" s="103"/>
      <c r="F1727" s="117"/>
      <c r="G1727" s="103"/>
      <c r="H1727" s="103"/>
      <c r="I1727" s="103"/>
    </row>
    <row r="1728" spans="4:9" x14ac:dyDescent="0.25">
      <c r="D1728" s="103"/>
      <c r="E1728" s="103"/>
      <c r="F1728" s="117"/>
      <c r="G1728" s="103"/>
      <c r="H1728" s="103"/>
      <c r="I1728" s="103"/>
    </row>
    <row r="1729" spans="4:9" x14ac:dyDescent="0.25">
      <c r="D1729" s="103"/>
      <c r="E1729" s="103"/>
      <c r="F1729" s="117"/>
      <c r="G1729" s="103"/>
      <c r="H1729" s="103"/>
      <c r="I1729" s="103"/>
    </row>
    <row r="1730" spans="4:9" x14ac:dyDescent="0.25">
      <c r="D1730" s="103"/>
      <c r="E1730" s="103"/>
      <c r="F1730" s="117"/>
      <c r="G1730" s="103"/>
      <c r="H1730" s="103"/>
      <c r="I1730" s="103"/>
    </row>
    <row r="1731" spans="4:9" x14ac:dyDescent="0.25">
      <c r="D1731" s="103"/>
      <c r="E1731" s="103"/>
      <c r="F1731" s="117"/>
      <c r="G1731" s="103"/>
      <c r="H1731" s="103"/>
      <c r="I1731" s="103"/>
    </row>
    <row r="1732" spans="4:9" x14ac:dyDescent="0.25">
      <c r="D1732" s="103"/>
      <c r="E1732" s="103"/>
      <c r="F1732" s="117"/>
      <c r="G1732" s="103"/>
      <c r="H1732" s="103"/>
      <c r="I1732" s="103"/>
    </row>
    <row r="1733" spans="4:9" x14ac:dyDescent="0.25">
      <c r="D1733" s="103"/>
      <c r="E1733" s="103"/>
      <c r="F1733" s="117"/>
      <c r="G1733" s="103"/>
      <c r="H1733" s="103"/>
      <c r="I1733" s="103"/>
    </row>
    <row r="1734" spans="4:9" x14ac:dyDescent="0.25">
      <c r="D1734" s="103"/>
      <c r="E1734" s="103"/>
      <c r="F1734" s="117"/>
      <c r="G1734" s="103"/>
      <c r="H1734" s="103"/>
      <c r="I1734" s="103"/>
    </row>
    <row r="1735" spans="4:9" x14ac:dyDescent="0.25">
      <c r="D1735" s="103"/>
      <c r="E1735" s="103"/>
      <c r="F1735" s="117"/>
      <c r="G1735" s="103"/>
      <c r="H1735" s="103"/>
      <c r="I1735" s="103"/>
    </row>
    <row r="1736" spans="4:9" x14ac:dyDescent="0.25">
      <c r="D1736" s="103"/>
      <c r="E1736" s="103"/>
      <c r="F1736" s="117"/>
      <c r="G1736" s="103"/>
      <c r="H1736" s="103"/>
      <c r="I1736" s="103"/>
    </row>
    <row r="1737" spans="4:9" x14ac:dyDescent="0.25">
      <c r="D1737" s="103"/>
      <c r="E1737" s="103"/>
      <c r="F1737" s="117"/>
      <c r="G1737" s="103"/>
      <c r="H1737" s="103"/>
      <c r="I1737" s="103"/>
    </row>
    <row r="1738" spans="4:9" x14ac:dyDescent="0.25">
      <c r="D1738" s="103"/>
      <c r="E1738" s="103"/>
      <c r="F1738" s="117"/>
      <c r="G1738" s="103"/>
      <c r="H1738" s="103"/>
      <c r="I1738" s="103"/>
    </row>
    <row r="1739" spans="4:9" x14ac:dyDescent="0.25">
      <c r="D1739" s="103"/>
      <c r="E1739" s="103"/>
      <c r="F1739" s="117"/>
      <c r="G1739" s="103"/>
      <c r="H1739" s="103"/>
      <c r="I1739" s="103"/>
    </row>
    <row r="1740" spans="4:9" x14ac:dyDescent="0.25">
      <c r="D1740" s="103"/>
      <c r="E1740" s="103"/>
      <c r="F1740" s="117"/>
      <c r="G1740" s="103"/>
      <c r="H1740" s="103"/>
      <c r="I1740" s="103"/>
    </row>
    <row r="1741" spans="4:9" x14ac:dyDescent="0.25">
      <c r="D1741" s="103"/>
      <c r="E1741" s="103"/>
      <c r="F1741" s="117"/>
      <c r="G1741" s="103"/>
      <c r="H1741" s="103"/>
      <c r="I1741" s="103"/>
    </row>
    <row r="1742" spans="4:9" x14ac:dyDescent="0.25">
      <c r="D1742" s="103"/>
      <c r="E1742" s="103"/>
      <c r="F1742" s="117"/>
      <c r="G1742" s="103"/>
      <c r="H1742" s="103"/>
      <c r="I1742" s="103"/>
    </row>
    <row r="1743" spans="4:9" x14ac:dyDescent="0.25">
      <c r="D1743" s="103"/>
      <c r="E1743" s="103"/>
      <c r="F1743" s="117"/>
      <c r="G1743" s="103"/>
      <c r="H1743" s="103"/>
      <c r="I1743" s="103"/>
    </row>
    <row r="1744" spans="4:9" x14ac:dyDescent="0.25">
      <c r="D1744" s="103"/>
      <c r="E1744" s="103"/>
      <c r="F1744" s="117"/>
      <c r="G1744" s="103"/>
      <c r="H1744" s="103"/>
      <c r="I1744" s="103"/>
    </row>
    <row r="1745" spans="4:9" x14ac:dyDescent="0.25">
      <c r="D1745" s="103"/>
      <c r="E1745" s="103"/>
      <c r="F1745" s="117"/>
      <c r="G1745" s="103"/>
      <c r="H1745" s="103"/>
      <c r="I1745" s="103"/>
    </row>
    <row r="1746" spans="4:9" x14ac:dyDescent="0.25">
      <c r="D1746" s="103"/>
      <c r="E1746" s="103"/>
      <c r="F1746" s="117"/>
      <c r="G1746" s="103"/>
      <c r="H1746" s="103"/>
      <c r="I1746" s="103"/>
    </row>
    <row r="1747" spans="4:9" x14ac:dyDescent="0.25">
      <c r="D1747" s="103"/>
      <c r="E1747" s="103"/>
      <c r="F1747" s="117"/>
      <c r="G1747" s="103"/>
      <c r="H1747" s="103"/>
      <c r="I1747" s="103"/>
    </row>
    <row r="1748" spans="4:9" x14ac:dyDescent="0.25">
      <c r="D1748" s="103"/>
      <c r="E1748" s="103"/>
      <c r="F1748" s="117"/>
      <c r="G1748" s="103"/>
      <c r="H1748" s="103"/>
      <c r="I1748" s="103"/>
    </row>
    <row r="1749" spans="4:9" x14ac:dyDescent="0.25">
      <c r="D1749" s="103"/>
      <c r="E1749" s="103"/>
      <c r="F1749" s="117"/>
      <c r="G1749" s="103"/>
      <c r="H1749" s="103"/>
      <c r="I1749" s="103"/>
    </row>
    <row r="1750" spans="4:9" x14ac:dyDescent="0.25">
      <c r="D1750" s="103"/>
      <c r="E1750" s="103"/>
      <c r="F1750" s="117"/>
      <c r="G1750" s="103"/>
      <c r="H1750" s="103"/>
      <c r="I1750" s="103"/>
    </row>
    <row r="1751" spans="4:9" x14ac:dyDescent="0.25">
      <c r="D1751" s="103"/>
      <c r="E1751" s="103"/>
      <c r="F1751" s="117"/>
      <c r="G1751" s="103"/>
      <c r="H1751" s="103"/>
      <c r="I1751" s="103"/>
    </row>
    <row r="1752" spans="4:9" x14ac:dyDescent="0.25">
      <c r="D1752" s="103"/>
      <c r="E1752" s="103"/>
      <c r="F1752" s="117"/>
      <c r="G1752" s="103"/>
      <c r="H1752" s="103"/>
      <c r="I1752" s="103"/>
    </row>
    <row r="1753" spans="4:9" x14ac:dyDescent="0.25">
      <c r="D1753" s="103"/>
      <c r="E1753" s="103"/>
      <c r="F1753" s="117"/>
      <c r="G1753" s="103"/>
      <c r="H1753" s="103"/>
      <c r="I1753" s="103"/>
    </row>
    <row r="1754" spans="4:9" x14ac:dyDescent="0.25">
      <c r="D1754" s="103"/>
      <c r="E1754" s="103"/>
      <c r="F1754" s="117"/>
      <c r="G1754" s="103"/>
      <c r="H1754" s="103"/>
      <c r="I1754" s="103"/>
    </row>
    <row r="1755" spans="4:9" x14ac:dyDescent="0.25">
      <c r="D1755" s="103"/>
      <c r="E1755" s="103"/>
      <c r="F1755" s="117"/>
      <c r="G1755" s="103"/>
      <c r="H1755" s="103"/>
      <c r="I1755" s="103"/>
    </row>
    <row r="1756" spans="4:9" x14ac:dyDescent="0.25">
      <c r="D1756" s="103"/>
      <c r="E1756" s="103"/>
      <c r="F1756" s="117"/>
      <c r="G1756" s="103"/>
      <c r="H1756" s="103"/>
      <c r="I1756" s="103"/>
    </row>
    <row r="1757" spans="4:9" x14ac:dyDescent="0.25">
      <c r="D1757" s="103"/>
      <c r="E1757" s="103"/>
      <c r="F1757" s="117"/>
      <c r="G1757" s="103"/>
      <c r="H1757" s="103"/>
      <c r="I1757" s="103"/>
    </row>
    <row r="1758" spans="4:9" x14ac:dyDescent="0.25">
      <c r="D1758" s="103"/>
      <c r="E1758" s="103"/>
      <c r="F1758" s="117"/>
      <c r="G1758" s="103"/>
      <c r="H1758" s="103"/>
      <c r="I1758" s="103"/>
    </row>
    <row r="1759" spans="4:9" x14ac:dyDescent="0.25">
      <c r="D1759" s="103"/>
      <c r="E1759" s="103"/>
      <c r="F1759" s="117"/>
      <c r="G1759" s="103"/>
      <c r="H1759" s="103"/>
      <c r="I1759" s="103"/>
    </row>
    <row r="1760" spans="4:9" x14ac:dyDescent="0.25">
      <c r="D1760" s="103"/>
      <c r="E1760" s="103"/>
      <c r="F1760" s="117"/>
      <c r="G1760" s="103"/>
      <c r="H1760" s="103"/>
      <c r="I1760" s="103"/>
    </row>
    <row r="1761" spans="4:9" x14ac:dyDescent="0.25">
      <c r="D1761" s="103"/>
      <c r="E1761" s="103"/>
      <c r="F1761" s="117"/>
      <c r="G1761" s="103"/>
      <c r="H1761" s="103"/>
      <c r="I1761" s="103"/>
    </row>
    <row r="1762" spans="4:9" x14ac:dyDescent="0.25">
      <c r="D1762" s="103"/>
      <c r="E1762" s="103"/>
      <c r="F1762" s="117"/>
      <c r="G1762" s="103"/>
      <c r="H1762" s="103"/>
      <c r="I1762" s="103"/>
    </row>
    <row r="1763" spans="4:9" x14ac:dyDescent="0.25">
      <c r="D1763" s="103"/>
      <c r="E1763" s="103"/>
      <c r="F1763" s="117"/>
      <c r="G1763" s="103"/>
      <c r="H1763" s="103"/>
      <c r="I1763" s="103"/>
    </row>
    <row r="1764" spans="4:9" x14ac:dyDescent="0.25">
      <c r="D1764" s="103"/>
      <c r="E1764" s="103"/>
      <c r="F1764" s="117"/>
      <c r="G1764" s="103"/>
      <c r="H1764" s="103"/>
      <c r="I1764" s="103"/>
    </row>
    <row r="1765" spans="4:9" x14ac:dyDescent="0.25">
      <c r="D1765" s="103"/>
      <c r="E1765" s="103"/>
      <c r="F1765" s="117"/>
      <c r="G1765" s="103"/>
      <c r="H1765" s="103"/>
      <c r="I1765" s="103"/>
    </row>
    <row r="1766" spans="4:9" x14ac:dyDescent="0.25">
      <c r="D1766" s="103"/>
      <c r="E1766" s="103"/>
      <c r="F1766" s="117"/>
      <c r="G1766" s="103"/>
      <c r="H1766" s="103"/>
      <c r="I1766" s="103"/>
    </row>
    <row r="1767" spans="4:9" x14ac:dyDescent="0.25">
      <c r="D1767" s="103"/>
      <c r="E1767" s="103"/>
      <c r="F1767" s="117"/>
      <c r="G1767" s="103"/>
      <c r="H1767" s="103"/>
      <c r="I1767" s="103"/>
    </row>
    <row r="1768" spans="4:9" x14ac:dyDescent="0.25">
      <c r="D1768" s="103"/>
      <c r="E1768" s="103"/>
      <c r="F1768" s="117"/>
      <c r="G1768" s="103"/>
      <c r="H1768" s="103"/>
      <c r="I1768" s="103"/>
    </row>
    <row r="1769" spans="4:9" x14ac:dyDescent="0.25">
      <c r="D1769" s="103"/>
      <c r="E1769" s="103"/>
      <c r="F1769" s="117"/>
      <c r="G1769" s="103"/>
      <c r="H1769" s="103"/>
      <c r="I1769" s="103"/>
    </row>
    <row r="1770" spans="4:9" x14ac:dyDescent="0.25">
      <c r="D1770" s="103"/>
      <c r="E1770" s="103"/>
      <c r="F1770" s="117"/>
      <c r="G1770" s="103"/>
      <c r="H1770" s="103"/>
      <c r="I1770" s="103"/>
    </row>
    <row r="1771" spans="4:9" x14ac:dyDescent="0.25">
      <c r="D1771" s="103"/>
      <c r="E1771" s="103"/>
      <c r="F1771" s="117"/>
      <c r="G1771" s="103"/>
      <c r="H1771" s="103"/>
      <c r="I1771" s="103"/>
    </row>
    <row r="1772" spans="4:9" x14ac:dyDescent="0.25">
      <c r="D1772" s="103"/>
      <c r="E1772" s="103"/>
      <c r="F1772" s="117"/>
      <c r="G1772" s="103"/>
      <c r="H1772" s="103"/>
      <c r="I1772" s="103"/>
    </row>
    <row r="1773" spans="4:9" x14ac:dyDescent="0.25">
      <c r="D1773" s="103"/>
      <c r="E1773" s="103"/>
      <c r="F1773" s="117"/>
      <c r="G1773" s="103"/>
      <c r="H1773" s="103"/>
      <c r="I1773" s="103"/>
    </row>
    <row r="1774" spans="4:9" x14ac:dyDescent="0.25">
      <c r="D1774" s="103"/>
      <c r="E1774" s="103"/>
      <c r="F1774" s="117"/>
      <c r="G1774" s="103"/>
      <c r="H1774" s="103"/>
      <c r="I1774" s="103"/>
    </row>
    <row r="1775" spans="4:9" x14ac:dyDescent="0.25">
      <c r="D1775" s="103"/>
      <c r="E1775" s="103"/>
      <c r="F1775" s="117"/>
      <c r="G1775" s="103"/>
      <c r="H1775" s="103"/>
      <c r="I1775" s="103"/>
    </row>
    <row r="1776" spans="4:9" x14ac:dyDescent="0.25">
      <c r="D1776" s="103"/>
      <c r="E1776" s="103"/>
      <c r="F1776" s="117"/>
      <c r="G1776" s="103"/>
      <c r="H1776" s="103"/>
      <c r="I1776" s="103"/>
    </row>
    <row r="1777" spans="4:9" x14ac:dyDescent="0.25">
      <c r="D1777" s="103"/>
      <c r="E1777" s="103"/>
      <c r="F1777" s="117"/>
      <c r="G1777" s="103"/>
      <c r="H1777" s="103"/>
      <c r="I1777" s="103"/>
    </row>
    <row r="1778" spans="4:9" x14ac:dyDescent="0.25">
      <c r="D1778" s="103"/>
      <c r="E1778" s="103"/>
      <c r="F1778" s="117"/>
      <c r="G1778" s="103"/>
      <c r="H1778" s="103"/>
      <c r="I1778" s="103"/>
    </row>
    <row r="1779" spans="4:9" x14ac:dyDescent="0.25">
      <c r="D1779" s="103"/>
      <c r="E1779" s="103"/>
      <c r="F1779" s="117"/>
      <c r="G1779" s="103"/>
      <c r="H1779" s="103"/>
      <c r="I1779" s="103"/>
    </row>
    <row r="1780" spans="4:9" x14ac:dyDescent="0.25">
      <c r="D1780" s="103"/>
      <c r="E1780" s="103"/>
      <c r="F1780" s="117"/>
      <c r="G1780" s="103"/>
      <c r="H1780" s="103"/>
      <c r="I1780" s="103"/>
    </row>
    <row r="1781" spans="4:9" x14ac:dyDescent="0.25">
      <c r="D1781" s="103"/>
      <c r="E1781" s="103"/>
      <c r="F1781" s="117"/>
      <c r="G1781" s="103"/>
      <c r="H1781" s="103"/>
      <c r="I1781" s="103"/>
    </row>
    <row r="1782" spans="4:9" x14ac:dyDescent="0.25">
      <c r="D1782" s="103"/>
      <c r="E1782" s="103"/>
      <c r="F1782" s="117"/>
      <c r="G1782" s="103"/>
      <c r="H1782" s="103"/>
      <c r="I1782" s="103"/>
    </row>
    <row r="1783" spans="4:9" x14ac:dyDescent="0.25">
      <c r="D1783" s="103"/>
      <c r="E1783" s="103"/>
      <c r="F1783" s="117"/>
      <c r="G1783" s="103"/>
      <c r="H1783" s="103"/>
      <c r="I1783" s="103"/>
    </row>
    <row r="1784" spans="4:9" x14ac:dyDescent="0.25">
      <c r="D1784" s="103"/>
      <c r="E1784" s="103"/>
      <c r="F1784" s="117"/>
      <c r="G1784" s="103"/>
      <c r="H1784" s="103"/>
      <c r="I1784" s="103"/>
    </row>
    <row r="1785" spans="4:9" x14ac:dyDescent="0.25">
      <c r="D1785" s="103"/>
      <c r="E1785" s="103"/>
      <c r="F1785" s="117"/>
      <c r="G1785" s="103"/>
      <c r="H1785" s="103"/>
      <c r="I1785" s="103"/>
    </row>
    <row r="1786" spans="4:9" x14ac:dyDescent="0.25">
      <c r="D1786" s="103"/>
      <c r="E1786" s="103"/>
      <c r="F1786" s="117"/>
      <c r="G1786" s="103"/>
      <c r="H1786" s="103"/>
      <c r="I1786" s="103"/>
    </row>
    <row r="1787" spans="4:9" x14ac:dyDescent="0.25">
      <c r="D1787" s="103"/>
      <c r="E1787" s="103"/>
      <c r="F1787" s="117"/>
      <c r="G1787" s="103"/>
      <c r="H1787" s="103"/>
      <c r="I1787" s="103"/>
    </row>
    <row r="1788" spans="4:9" x14ac:dyDescent="0.25">
      <c r="D1788" s="103"/>
      <c r="E1788" s="103"/>
      <c r="F1788" s="117"/>
      <c r="G1788" s="103"/>
      <c r="H1788" s="103"/>
      <c r="I1788" s="103"/>
    </row>
    <row r="1789" spans="4:9" x14ac:dyDescent="0.25">
      <c r="D1789" s="103"/>
      <c r="E1789" s="103"/>
      <c r="F1789" s="117"/>
      <c r="G1789" s="103"/>
      <c r="H1789" s="103"/>
      <c r="I1789" s="103"/>
    </row>
    <row r="1790" spans="4:9" x14ac:dyDescent="0.25">
      <c r="D1790" s="103"/>
      <c r="E1790" s="103"/>
      <c r="F1790" s="117"/>
      <c r="G1790" s="103"/>
      <c r="H1790" s="103"/>
      <c r="I1790" s="103"/>
    </row>
    <row r="1791" spans="4:9" x14ac:dyDescent="0.25">
      <c r="D1791" s="103"/>
      <c r="E1791" s="103"/>
      <c r="F1791" s="117"/>
      <c r="G1791" s="103"/>
      <c r="H1791" s="103"/>
      <c r="I1791" s="103"/>
    </row>
    <row r="1792" spans="4:9" x14ac:dyDescent="0.25">
      <c r="D1792" s="103"/>
      <c r="E1792" s="103"/>
      <c r="F1792" s="117"/>
      <c r="G1792" s="103"/>
      <c r="H1792" s="103"/>
      <c r="I1792" s="103"/>
    </row>
    <row r="1793" spans="4:9" x14ac:dyDescent="0.25">
      <c r="D1793" s="103"/>
      <c r="E1793" s="103"/>
      <c r="F1793" s="117"/>
      <c r="G1793" s="103"/>
      <c r="H1793" s="103"/>
      <c r="I1793" s="103"/>
    </row>
    <row r="1794" spans="4:9" x14ac:dyDescent="0.25">
      <c r="D1794" s="103"/>
      <c r="E1794" s="103"/>
      <c r="F1794" s="117"/>
      <c r="G1794" s="103"/>
      <c r="H1794" s="103"/>
      <c r="I1794" s="103"/>
    </row>
    <row r="1795" spans="4:9" x14ac:dyDescent="0.25">
      <c r="D1795" s="103"/>
      <c r="E1795" s="103"/>
      <c r="F1795" s="117"/>
      <c r="G1795" s="103"/>
      <c r="H1795" s="103"/>
      <c r="I1795" s="103"/>
    </row>
    <row r="1796" spans="4:9" x14ac:dyDescent="0.25">
      <c r="D1796" s="103"/>
      <c r="E1796" s="103"/>
      <c r="F1796" s="117"/>
      <c r="G1796" s="103"/>
      <c r="H1796" s="103"/>
      <c r="I1796" s="103"/>
    </row>
    <row r="1797" spans="4:9" x14ac:dyDescent="0.25">
      <c r="D1797" s="103"/>
      <c r="E1797" s="103"/>
      <c r="F1797" s="117"/>
      <c r="G1797" s="103"/>
      <c r="H1797" s="103"/>
      <c r="I1797" s="103"/>
    </row>
    <row r="1798" spans="4:9" x14ac:dyDescent="0.25">
      <c r="D1798" s="103"/>
      <c r="E1798" s="103"/>
      <c r="F1798" s="117"/>
      <c r="G1798" s="103"/>
      <c r="H1798" s="103"/>
      <c r="I1798" s="103"/>
    </row>
    <row r="1799" spans="4:9" x14ac:dyDescent="0.25">
      <c r="D1799" s="103"/>
      <c r="E1799" s="103"/>
      <c r="F1799" s="117"/>
      <c r="G1799" s="103"/>
      <c r="H1799" s="103"/>
      <c r="I1799" s="103"/>
    </row>
    <row r="1800" spans="4:9" x14ac:dyDescent="0.25">
      <c r="D1800" s="103"/>
      <c r="E1800" s="103"/>
      <c r="F1800" s="117"/>
      <c r="G1800" s="103"/>
      <c r="H1800" s="103"/>
      <c r="I1800" s="103"/>
    </row>
    <row r="1801" spans="4:9" x14ac:dyDescent="0.25">
      <c r="D1801" s="103"/>
      <c r="E1801" s="103"/>
      <c r="F1801" s="117"/>
      <c r="G1801" s="103"/>
      <c r="H1801" s="103"/>
      <c r="I1801" s="103"/>
    </row>
    <row r="1802" spans="4:9" x14ac:dyDescent="0.25">
      <c r="D1802" s="103"/>
      <c r="E1802" s="103"/>
      <c r="F1802" s="117"/>
      <c r="G1802" s="103"/>
      <c r="H1802" s="103"/>
      <c r="I1802" s="103"/>
    </row>
    <row r="1803" spans="4:9" x14ac:dyDescent="0.25">
      <c r="D1803" s="103"/>
      <c r="E1803" s="103"/>
      <c r="F1803" s="117"/>
      <c r="G1803" s="103"/>
      <c r="H1803" s="103"/>
      <c r="I1803" s="103"/>
    </row>
    <row r="1804" spans="4:9" x14ac:dyDescent="0.25">
      <c r="D1804" s="103"/>
      <c r="E1804" s="103"/>
      <c r="F1804" s="117"/>
      <c r="G1804" s="103"/>
      <c r="H1804" s="103"/>
      <c r="I1804" s="103"/>
    </row>
    <row r="1805" spans="4:9" x14ac:dyDescent="0.25">
      <c r="D1805" s="103"/>
      <c r="E1805" s="103"/>
      <c r="F1805" s="117"/>
      <c r="G1805" s="103"/>
      <c r="H1805" s="103"/>
      <c r="I1805" s="103"/>
    </row>
    <row r="1806" spans="4:9" x14ac:dyDescent="0.25">
      <c r="D1806" s="103"/>
      <c r="E1806" s="103"/>
      <c r="F1806" s="117"/>
      <c r="G1806" s="103"/>
      <c r="H1806" s="103"/>
      <c r="I1806" s="103"/>
    </row>
    <row r="1807" spans="4:9" x14ac:dyDescent="0.25">
      <c r="D1807" s="103"/>
      <c r="E1807" s="103"/>
      <c r="F1807" s="117"/>
      <c r="G1807" s="103"/>
      <c r="H1807" s="103"/>
      <c r="I1807" s="103"/>
    </row>
    <row r="1808" spans="4:9" x14ac:dyDescent="0.25">
      <c r="D1808" s="103"/>
      <c r="E1808" s="103"/>
      <c r="F1808" s="117"/>
      <c r="G1808" s="103"/>
      <c r="H1808" s="103"/>
      <c r="I1808" s="103"/>
    </row>
    <row r="1809" spans="4:9" x14ac:dyDescent="0.25">
      <c r="D1809" s="103"/>
      <c r="E1809" s="103"/>
      <c r="F1809" s="117"/>
      <c r="G1809" s="103"/>
      <c r="H1809" s="103"/>
      <c r="I1809" s="103"/>
    </row>
    <row r="1810" spans="4:9" x14ac:dyDescent="0.25">
      <c r="D1810" s="103"/>
      <c r="E1810" s="103"/>
      <c r="F1810" s="117"/>
      <c r="G1810" s="103"/>
      <c r="H1810" s="103"/>
      <c r="I1810" s="103"/>
    </row>
    <row r="1811" spans="4:9" x14ac:dyDescent="0.25">
      <c r="D1811" s="103"/>
      <c r="E1811" s="103"/>
      <c r="F1811" s="117"/>
      <c r="G1811" s="103"/>
      <c r="H1811" s="103"/>
      <c r="I1811" s="103"/>
    </row>
    <row r="1812" spans="4:9" x14ac:dyDescent="0.25">
      <c r="D1812" s="103"/>
      <c r="E1812" s="103"/>
      <c r="F1812" s="117"/>
      <c r="G1812" s="103"/>
      <c r="H1812" s="103"/>
      <c r="I1812" s="103"/>
    </row>
    <row r="1813" spans="4:9" x14ac:dyDescent="0.25">
      <c r="D1813" s="103"/>
      <c r="E1813" s="103"/>
      <c r="F1813" s="117"/>
      <c r="G1813" s="103"/>
      <c r="H1813" s="103"/>
      <c r="I1813" s="103"/>
    </row>
    <row r="1814" spans="4:9" x14ac:dyDescent="0.25">
      <c r="D1814" s="103"/>
      <c r="E1814" s="103"/>
      <c r="F1814" s="117"/>
      <c r="G1814" s="103"/>
      <c r="H1814" s="103"/>
      <c r="I1814" s="103"/>
    </row>
    <row r="1815" spans="4:9" x14ac:dyDescent="0.25">
      <c r="D1815" s="103"/>
      <c r="E1815" s="103"/>
      <c r="F1815" s="117"/>
      <c r="G1815" s="103"/>
      <c r="H1815" s="103"/>
      <c r="I1815" s="103"/>
    </row>
    <row r="1816" spans="4:9" x14ac:dyDescent="0.25">
      <c r="D1816" s="103"/>
      <c r="E1816" s="103"/>
      <c r="F1816" s="117"/>
      <c r="G1816" s="103"/>
      <c r="H1816" s="103"/>
      <c r="I1816" s="103"/>
    </row>
    <row r="1817" spans="4:9" x14ac:dyDescent="0.25">
      <c r="D1817" s="103"/>
      <c r="E1817" s="103"/>
      <c r="F1817" s="103"/>
      <c r="G1817" s="103"/>
      <c r="H1817" s="103"/>
      <c r="I1817" s="103"/>
    </row>
  </sheetData>
  <pageMargins left="0.7" right="0.7" top="0.75" bottom="0.75" header="0.3" footer="0.3"/>
  <pageSetup orientation="portrait" r:id="rId2"/>
  <headerFooter>
    <oddHeader>&amp;R&amp;"Times New Roman,Bold"&amp;12Case No. 2018-00294
Attachment 2 to Response to AG-2 Question No. 5
Page &amp;P of &amp;N
Sinclair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8"/>
  <sheetViews>
    <sheetView workbookViewId="0">
      <selection activeCell="F14" sqref="F14"/>
    </sheetView>
  </sheetViews>
  <sheetFormatPr defaultRowHeight="15" x14ac:dyDescent="0.25"/>
  <cols>
    <col min="1" max="1" width="13.140625" bestFit="1" customWidth="1"/>
    <col min="2" max="2" width="17.85546875" bestFit="1" customWidth="1"/>
  </cols>
  <sheetData>
    <row r="2" spans="1:2" x14ac:dyDescent="0.25">
      <c r="A2" s="24" t="s">
        <v>1</v>
      </c>
      <c r="B2" s="103" t="s">
        <v>76</v>
      </c>
    </row>
    <row r="4" spans="1:2" x14ac:dyDescent="0.25">
      <c r="A4" s="24" t="s">
        <v>73</v>
      </c>
      <c r="B4" t="s">
        <v>75</v>
      </c>
    </row>
    <row r="5" spans="1:2" x14ac:dyDescent="0.25">
      <c r="A5" s="152" t="s">
        <v>21</v>
      </c>
      <c r="B5" s="25">
        <v>70</v>
      </c>
    </row>
    <row r="6" spans="1:2" x14ac:dyDescent="0.25">
      <c r="A6" s="152" t="s">
        <v>22</v>
      </c>
      <c r="B6" s="25">
        <v>105</v>
      </c>
    </row>
    <row r="7" spans="1:2" x14ac:dyDescent="0.25">
      <c r="A7" s="152" t="s">
        <v>28</v>
      </c>
      <c r="B7" s="25">
        <v>199</v>
      </c>
    </row>
    <row r="8" spans="1:2" x14ac:dyDescent="0.25">
      <c r="A8" s="152" t="s">
        <v>26</v>
      </c>
      <c r="B8" s="25">
        <v>184</v>
      </c>
    </row>
    <row r="9" spans="1:2" x14ac:dyDescent="0.25">
      <c r="A9" s="152" t="s">
        <v>27</v>
      </c>
      <c r="B9" s="25">
        <v>240</v>
      </c>
    </row>
    <row r="10" spans="1:2" x14ac:dyDescent="0.25">
      <c r="A10" s="152" t="s">
        <v>30</v>
      </c>
      <c r="B10" s="25">
        <v>170</v>
      </c>
    </row>
    <row r="11" spans="1:2" x14ac:dyDescent="0.25">
      <c r="A11" s="152" t="s">
        <v>24</v>
      </c>
      <c r="B11" s="25">
        <v>154</v>
      </c>
    </row>
    <row r="12" spans="1:2" x14ac:dyDescent="0.25">
      <c r="A12" s="152" t="s">
        <v>23</v>
      </c>
      <c r="B12" s="25">
        <v>538</v>
      </c>
    </row>
    <row r="13" spans="1:2" x14ac:dyDescent="0.25">
      <c r="A13" s="152" t="s">
        <v>35</v>
      </c>
      <c r="B13" s="25">
        <v>518</v>
      </c>
    </row>
    <row r="14" spans="1:2" x14ac:dyDescent="0.25">
      <c r="A14" s="152" t="s">
        <v>29</v>
      </c>
      <c r="B14" s="25">
        <v>586</v>
      </c>
    </row>
    <row r="15" spans="1:2" x14ac:dyDescent="0.25">
      <c r="A15" s="152" t="s">
        <v>25</v>
      </c>
      <c r="B15" s="25">
        <v>481</v>
      </c>
    </row>
    <row r="16" spans="1:2" x14ac:dyDescent="0.25">
      <c r="A16" s="152" t="s">
        <v>19</v>
      </c>
      <c r="B16" s="25">
        <v>432</v>
      </c>
    </row>
    <row r="17" spans="1:2" x14ac:dyDescent="0.25">
      <c r="A17" s="152" t="s">
        <v>69</v>
      </c>
      <c r="B17" s="25">
        <v>407</v>
      </c>
    </row>
    <row r="18" spans="1:2" x14ac:dyDescent="0.25">
      <c r="A18" s="152" t="s">
        <v>74</v>
      </c>
      <c r="B18" s="25">
        <v>4084</v>
      </c>
    </row>
  </sheetData>
  <pageMargins left="0.7" right="0.7" top="0.75" bottom="0.75" header="0.3" footer="0.3"/>
  <pageSetup orientation="portrait" r:id="rId2"/>
  <headerFooter>
    <oddHeader>&amp;R&amp;"Times New Roman,Bold"&amp;12Case No. 2018-00294
Attachment 2 to Response to AG-2 Question No. 5
Page &amp;P of &amp;N
Sinclair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9"/>
  <sheetViews>
    <sheetView workbookViewId="0">
      <selection activeCell="F14" sqref="F14"/>
    </sheetView>
  </sheetViews>
  <sheetFormatPr defaultRowHeight="15" x14ac:dyDescent="0.25"/>
  <cols>
    <col min="1" max="1" width="13.140625" style="98" bestFit="1" customWidth="1"/>
    <col min="2" max="2" width="6.140625" style="98" customWidth="1"/>
    <col min="3" max="3" width="6" style="98" customWidth="1"/>
    <col min="4" max="4" width="12" style="98" bestFit="1" customWidth="1"/>
    <col min="5" max="5" width="7.5703125" style="98" bestFit="1" customWidth="1"/>
    <col min="6" max="7" width="11.140625" style="98" customWidth="1"/>
    <col min="8" max="8" width="11.140625" style="99" customWidth="1"/>
    <col min="9" max="9" width="11.5703125" style="99" bestFit="1" customWidth="1"/>
    <col min="10" max="12" width="12.42578125" style="99" bestFit="1" customWidth="1"/>
    <col min="13" max="13" width="10.5703125" style="186" bestFit="1" customWidth="1"/>
    <col min="14" max="18" width="8.5703125" style="186" bestFit="1" customWidth="1"/>
    <col min="19" max="19" width="8" style="98" bestFit="1" customWidth="1"/>
    <col min="20" max="20" width="11.42578125" style="98" bestFit="1" customWidth="1"/>
    <col min="21" max="21" width="3" style="98" bestFit="1" customWidth="1"/>
    <col min="22" max="22" width="12.42578125" style="98" bestFit="1" customWidth="1"/>
    <col min="23" max="23" width="5" style="98" bestFit="1" customWidth="1"/>
    <col min="24" max="67" width="4" style="98" bestFit="1" customWidth="1"/>
    <col min="68" max="68" width="11.42578125" style="98" bestFit="1" customWidth="1"/>
    <col min="69" max="16384" width="9.140625" style="98"/>
  </cols>
  <sheetData>
    <row r="1" spans="1:21" x14ac:dyDescent="0.25">
      <c r="C1" s="98" t="s">
        <v>276</v>
      </c>
      <c r="E1" s="98">
        <f>(MAX('INPUT-GADS DATA'!$F$2:$F$7442)-MIN('INPUT-GADS DATA'!$E$2:$E$7442))*24</f>
        <v>46703.983333333279</v>
      </c>
    </row>
    <row r="3" spans="1:21" ht="18" x14ac:dyDescent="0.35">
      <c r="A3" s="187" t="s">
        <v>268</v>
      </c>
      <c r="H3" s="101">
        <v>1</v>
      </c>
      <c r="I3" s="99" t="s">
        <v>4984</v>
      </c>
      <c r="J3" s="99" t="s">
        <v>282</v>
      </c>
      <c r="K3" s="99" t="s">
        <v>283</v>
      </c>
      <c r="L3" s="99" t="s">
        <v>284</v>
      </c>
    </row>
    <row r="4" spans="1:21" x14ac:dyDescent="0.25">
      <c r="A4" s="187" t="s">
        <v>0</v>
      </c>
      <c r="B4" s="187" t="s">
        <v>266</v>
      </c>
      <c r="C4" s="98" t="s">
        <v>263</v>
      </c>
      <c r="D4" s="98" t="s">
        <v>277</v>
      </c>
      <c r="E4" s="98" t="s">
        <v>278</v>
      </c>
      <c r="H4" s="101">
        <v>1</v>
      </c>
      <c r="I4" s="101">
        <v>2</v>
      </c>
      <c r="J4" s="101">
        <v>3</v>
      </c>
      <c r="K4" s="101">
        <v>4</v>
      </c>
      <c r="L4" s="101">
        <v>5</v>
      </c>
      <c r="M4" s="188"/>
      <c r="N4" s="188"/>
      <c r="O4" s="188"/>
      <c r="P4" s="188"/>
      <c r="Q4" s="188"/>
      <c r="R4" s="188"/>
      <c r="T4" s="99"/>
      <c r="U4" s="99"/>
    </row>
    <row r="5" spans="1:21" x14ac:dyDescent="0.25">
      <c r="A5" s="98" t="s">
        <v>21</v>
      </c>
      <c r="B5" s="98">
        <v>0</v>
      </c>
      <c r="C5" s="102">
        <v>1.033333333209157</v>
      </c>
      <c r="D5" s="139">
        <f>C5/$E$1</f>
        <v>2.2125164910112766E-5</v>
      </c>
      <c r="E5" s="98">
        <f>D5/$D$5</f>
        <v>1</v>
      </c>
      <c r="G5" s="98" t="s">
        <v>21</v>
      </c>
      <c r="H5" s="99">
        <f t="shared" ref="H5:L17" si="0">INDEX($E$5:$E$94,H$4+(MATCH($G5,$G$5:$G$17,0)-1)*5,0)</f>
        <v>1</v>
      </c>
      <c r="I5" s="99">
        <f t="shared" si="0"/>
        <v>302.4354839065756</v>
      </c>
      <c r="J5" s="99">
        <f t="shared" si="0"/>
        <v>83.241935493645144</v>
      </c>
      <c r="K5" s="99">
        <f t="shared" si="0"/>
        <v>277.48387100182345</v>
      </c>
      <c r="L5" s="99">
        <f t="shared" si="0"/>
        <v>123.79032259548357</v>
      </c>
      <c r="M5" s="188"/>
      <c r="N5" s="188"/>
      <c r="O5" s="188"/>
      <c r="P5" s="188"/>
      <c r="Q5" s="188"/>
      <c r="R5" s="188"/>
      <c r="S5" s="189"/>
    </row>
    <row r="6" spans="1:21" x14ac:dyDescent="0.25">
      <c r="B6" s="98">
        <v>37</v>
      </c>
      <c r="C6" s="102">
        <v>312.51666666590609</v>
      </c>
      <c r="D6" s="139">
        <f t="shared" ref="D6:D69" si="1">C6/$E$1</f>
        <v>6.69143495610274E-3</v>
      </c>
      <c r="E6" s="98">
        <f t="shared" ref="E6:E9" si="2">D6/$D$5</f>
        <v>302.4354839065756</v>
      </c>
      <c r="G6" s="98" t="s">
        <v>22</v>
      </c>
      <c r="H6" s="99">
        <f t="shared" si="0"/>
        <v>1</v>
      </c>
      <c r="I6" s="99">
        <f t="shared" si="0"/>
        <v>3.9002728585300135E-2</v>
      </c>
      <c r="J6" s="99">
        <f t="shared" si="0"/>
        <v>4.1731314536244957E-2</v>
      </c>
      <c r="K6" s="99">
        <f t="shared" si="0"/>
        <v>2.5252795462984357E-2</v>
      </c>
      <c r="L6" s="99">
        <f t="shared" si="0"/>
        <v>2.818843293564528</v>
      </c>
      <c r="M6" s="188"/>
      <c r="N6" s="188"/>
      <c r="O6" s="188"/>
      <c r="P6" s="188"/>
      <c r="Q6" s="188"/>
      <c r="R6" s="188"/>
      <c r="S6" s="189"/>
    </row>
    <row r="7" spans="1:21" x14ac:dyDescent="0.25">
      <c r="B7" s="98">
        <v>74</v>
      </c>
      <c r="C7" s="102">
        <v>86.016666666429956</v>
      </c>
      <c r="D7" s="139">
        <f t="shared" si="1"/>
        <v>1.8417415502338678E-3</v>
      </c>
      <c r="E7" s="98">
        <f t="shared" si="2"/>
        <v>83.241935493645144</v>
      </c>
      <c r="G7" s="98" t="s">
        <v>28</v>
      </c>
      <c r="H7" s="99">
        <f t="shared" si="0"/>
        <v>1</v>
      </c>
      <c r="I7" s="99">
        <f t="shared" si="0"/>
        <v>0.2496075353217598</v>
      </c>
      <c r="J7" s="99">
        <f t="shared" si="0"/>
        <v>0.10727367870415609</v>
      </c>
      <c r="K7" s="99">
        <f t="shared" si="0"/>
        <v>0.20646549217977989</v>
      </c>
      <c r="L7" s="99">
        <f t="shared" si="0"/>
        <v>9.5005523577238196E-2</v>
      </c>
      <c r="M7" s="188"/>
      <c r="N7" s="188"/>
      <c r="O7" s="188"/>
      <c r="P7" s="188"/>
      <c r="Q7" s="188"/>
      <c r="R7" s="188"/>
      <c r="S7" s="189"/>
    </row>
    <row r="8" spans="1:21" x14ac:dyDescent="0.25">
      <c r="B8" s="98">
        <v>77</v>
      </c>
      <c r="C8" s="102">
        <v>286.73333333409391</v>
      </c>
      <c r="D8" s="139">
        <f t="shared" si="1"/>
        <v>6.139376405811801E-3</v>
      </c>
      <c r="E8" s="98">
        <f t="shared" si="2"/>
        <v>277.48387100182345</v>
      </c>
      <c r="G8" s="98" t="s">
        <v>26</v>
      </c>
      <c r="H8" s="99">
        <f t="shared" si="0"/>
        <v>1</v>
      </c>
      <c r="I8" s="99">
        <f t="shared" si="0"/>
        <v>0.29350502888442492</v>
      </c>
      <c r="J8" s="99">
        <f t="shared" si="0"/>
        <v>0.51103017330638367</v>
      </c>
      <c r="K8" s="99">
        <f t="shared" si="0"/>
        <v>5.4276277935010407E-2</v>
      </c>
      <c r="L8" s="99">
        <f t="shared" si="0"/>
        <v>4.1560220028071075E-2</v>
      </c>
      <c r="M8" s="188"/>
      <c r="N8" s="188"/>
      <c r="O8" s="188"/>
      <c r="P8" s="188"/>
      <c r="Q8" s="188"/>
      <c r="R8" s="188"/>
      <c r="S8" s="189"/>
    </row>
    <row r="9" spans="1:21" x14ac:dyDescent="0.25">
      <c r="B9" s="98">
        <v>87</v>
      </c>
      <c r="C9" s="102">
        <v>127.91666666662786</v>
      </c>
      <c r="D9" s="139">
        <f t="shared" si="1"/>
        <v>2.7388813017011327E-3</v>
      </c>
      <c r="E9" s="98">
        <f t="shared" si="2"/>
        <v>123.79032259548357</v>
      </c>
      <c r="G9" s="98" t="s">
        <v>27</v>
      </c>
      <c r="H9" s="99">
        <f t="shared" si="0"/>
        <v>1</v>
      </c>
      <c r="I9" s="99">
        <f t="shared" si="0"/>
        <v>0.76136436907419558</v>
      </c>
      <c r="J9" s="99">
        <f t="shared" si="0"/>
        <v>9.116319556374382</v>
      </c>
      <c r="K9" s="99">
        <f t="shared" si="0"/>
        <v>5.1710619640106632</v>
      </c>
      <c r="L9" s="99">
        <f t="shared" si="0"/>
        <v>0.34670191501559827</v>
      </c>
      <c r="M9" s="188"/>
      <c r="N9" s="188"/>
      <c r="O9" s="188"/>
      <c r="P9" s="188"/>
      <c r="Q9" s="188"/>
      <c r="R9" s="188"/>
      <c r="S9" s="189"/>
    </row>
    <row r="10" spans="1:21" x14ac:dyDescent="0.25">
      <c r="B10" s="98">
        <v>97</v>
      </c>
      <c r="C10" s="102">
        <v>311.51666666648816</v>
      </c>
      <c r="D10" s="139">
        <f t="shared" si="1"/>
        <v>6.6700235061996184E-3</v>
      </c>
      <c r="E10" s="98">
        <f>D10/$D$10</f>
        <v>1</v>
      </c>
      <c r="G10" s="98" t="s">
        <v>30</v>
      </c>
      <c r="H10" s="99">
        <f t="shared" si="0"/>
        <v>1</v>
      </c>
      <c r="I10" s="99">
        <f t="shared" si="0"/>
        <v>0.84743589743776171</v>
      </c>
      <c r="J10" s="99">
        <f t="shared" si="0"/>
        <v>5.1961538461903078</v>
      </c>
      <c r="K10" s="99">
        <f t="shared" si="0"/>
        <v>40.029487179758149</v>
      </c>
      <c r="L10" s="99">
        <f t="shared" si="0"/>
        <v>25.786858974552448</v>
      </c>
      <c r="M10" s="188"/>
      <c r="N10" s="188"/>
      <c r="O10" s="188"/>
      <c r="P10" s="188"/>
      <c r="Q10" s="188"/>
      <c r="R10" s="188"/>
      <c r="S10" s="189"/>
    </row>
    <row r="11" spans="1:21" x14ac:dyDescent="0.25">
      <c r="A11" s="98" t="s">
        <v>22</v>
      </c>
      <c r="B11" s="98">
        <v>0</v>
      </c>
      <c r="C11" s="102">
        <v>12.149999999790452</v>
      </c>
      <c r="D11" s="139">
        <f t="shared" si="1"/>
        <v>2.6014911646987567E-4</v>
      </c>
      <c r="E11" s="98">
        <f t="shared" ref="E11:E14" si="3">D11/$D$10</f>
        <v>3.9002728585300135E-2</v>
      </c>
      <c r="G11" s="98" t="s">
        <v>24</v>
      </c>
      <c r="H11" s="99">
        <f t="shared" si="0"/>
        <v>1</v>
      </c>
      <c r="I11" s="99">
        <f t="shared" si="0"/>
        <v>0.50787773179580609</v>
      </c>
      <c r="J11" s="99">
        <f t="shared" si="0"/>
        <v>0.12539025629878126</v>
      </c>
      <c r="K11" s="99">
        <f t="shared" si="0"/>
        <v>1.0636753067602476</v>
      </c>
      <c r="L11" s="99">
        <f t="shared" si="0"/>
        <v>0.83119146155799739</v>
      </c>
      <c r="M11" s="188"/>
      <c r="N11" s="188"/>
      <c r="O11" s="188"/>
      <c r="P11" s="188"/>
      <c r="Q11" s="188"/>
      <c r="R11" s="188"/>
      <c r="S11" s="189"/>
    </row>
    <row r="12" spans="1:21" x14ac:dyDescent="0.25">
      <c r="B12" s="98">
        <v>64</v>
      </c>
      <c r="C12" s="102">
        <v>12.999999999941792</v>
      </c>
      <c r="D12" s="139">
        <f t="shared" si="1"/>
        <v>2.7834884890136369E-4</v>
      </c>
      <c r="E12" s="98">
        <f t="shared" si="3"/>
        <v>4.1731314536244957E-2</v>
      </c>
      <c r="G12" s="98" t="s">
        <v>23</v>
      </c>
      <c r="H12" s="99">
        <f t="shared" si="0"/>
        <v>1</v>
      </c>
      <c r="I12" s="99">
        <f t="shared" si="0"/>
        <v>4.577636173385996E-2</v>
      </c>
      <c r="J12" s="99">
        <f t="shared" si="0"/>
        <v>5.2270830148844153E-3</v>
      </c>
      <c r="K12" s="99">
        <f t="shared" si="0"/>
        <v>2.396040302410413E-3</v>
      </c>
      <c r="L12" s="99">
        <f t="shared" si="0"/>
        <v>1.9434026594011385E-2</v>
      </c>
      <c r="M12" s="188"/>
      <c r="N12" s="188"/>
      <c r="O12" s="188"/>
      <c r="P12" s="188"/>
      <c r="Q12" s="188"/>
      <c r="R12" s="188"/>
      <c r="S12" s="189"/>
    </row>
    <row r="13" spans="1:21" x14ac:dyDescent="0.25">
      <c r="B13" s="98">
        <v>78</v>
      </c>
      <c r="C13" s="102">
        <v>7.8666666666395031</v>
      </c>
      <c r="D13" s="139">
        <f t="shared" si="1"/>
        <v>1.6843673933535674E-4</v>
      </c>
      <c r="E13" s="98">
        <f t="shared" si="3"/>
        <v>2.5252795462984357E-2</v>
      </c>
      <c r="G13" s="98" t="s">
        <v>35</v>
      </c>
      <c r="H13" s="99">
        <f t="shared" si="0"/>
        <v>1</v>
      </c>
      <c r="I13" s="99">
        <f t="shared" si="0"/>
        <v>58.80829015560473</v>
      </c>
      <c r="J13" s="99">
        <f t="shared" si="0"/>
        <v>1.0821613619571782</v>
      </c>
      <c r="K13" s="99">
        <f t="shared" si="0"/>
        <v>2.1743153219888498</v>
      </c>
      <c r="L13" s="99">
        <f t="shared" si="0"/>
        <v>5.0704416481654677</v>
      </c>
      <c r="M13" s="188"/>
      <c r="N13" s="188"/>
      <c r="O13" s="188"/>
      <c r="P13" s="188"/>
      <c r="Q13" s="188"/>
      <c r="R13" s="188"/>
      <c r="S13" s="189"/>
    </row>
    <row r="14" spans="1:21" x14ac:dyDescent="0.25">
      <c r="B14" s="98">
        <v>88</v>
      </c>
      <c r="C14" s="102">
        <v>878.11666666640667</v>
      </c>
      <c r="D14" s="139">
        <f t="shared" si="1"/>
        <v>1.8801751028368553E-2</v>
      </c>
      <c r="E14" s="98">
        <f t="shared" si="3"/>
        <v>2.818843293564528</v>
      </c>
      <c r="G14" s="98" t="s">
        <v>29</v>
      </c>
      <c r="H14" s="99">
        <f t="shared" si="0"/>
        <v>1</v>
      </c>
      <c r="I14" s="99">
        <f t="shared" si="0"/>
        <v>0.16960739783113052</v>
      </c>
      <c r="J14" s="99">
        <f t="shared" si="0"/>
        <v>0.3080838079265239</v>
      </c>
      <c r="K14" s="99">
        <f t="shared" si="0"/>
        <v>0.12733074781910991</v>
      </c>
      <c r="L14" s="99">
        <f t="shared" si="0"/>
        <v>0.31785518791484574</v>
      </c>
      <c r="M14" s="188"/>
      <c r="N14" s="188"/>
      <c r="O14" s="188"/>
      <c r="P14" s="188"/>
      <c r="Q14" s="188"/>
      <c r="R14" s="188"/>
      <c r="S14" s="189"/>
    </row>
    <row r="15" spans="1:21" x14ac:dyDescent="0.25">
      <c r="B15" s="98">
        <v>128</v>
      </c>
      <c r="C15" s="102">
        <v>286.64999999979045</v>
      </c>
      <c r="D15" s="139">
        <f t="shared" si="1"/>
        <v>6.1375921182980639E-3</v>
      </c>
      <c r="E15" s="98">
        <f>D15/$D$15</f>
        <v>1</v>
      </c>
      <c r="G15" s="98" t="s">
        <v>25</v>
      </c>
      <c r="H15" s="99">
        <f t="shared" si="0"/>
        <v>1</v>
      </c>
      <c r="I15" s="99">
        <f t="shared" si="0"/>
        <v>0.9955271158661374</v>
      </c>
      <c r="J15" s="99">
        <f t="shared" si="0"/>
        <v>0.27822612737448077</v>
      </c>
      <c r="K15" s="99">
        <f t="shared" si="0"/>
        <v>6.5011381182072423</v>
      </c>
      <c r="L15" s="99">
        <f t="shared" si="0"/>
        <v>0.19659997134772955</v>
      </c>
      <c r="M15" s="188"/>
      <c r="N15" s="188"/>
      <c r="O15" s="188"/>
      <c r="P15" s="188"/>
      <c r="Q15" s="188"/>
      <c r="R15" s="188"/>
      <c r="S15" s="189"/>
    </row>
    <row r="16" spans="1:21" x14ac:dyDescent="0.25">
      <c r="B16" s="98">
        <v>148</v>
      </c>
      <c r="C16" s="102">
        <v>71.549999999930151</v>
      </c>
      <c r="D16" s="139">
        <f t="shared" si="1"/>
        <v>1.5319892414586386E-3</v>
      </c>
      <c r="E16" s="98">
        <f t="shared" ref="E16:E19" si="4">D16/$D$15</f>
        <v>0.2496075353217598</v>
      </c>
      <c r="G16" s="98" t="s">
        <v>19</v>
      </c>
      <c r="H16" s="99">
        <f t="shared" si="0"/>
        <v>1</v>
      </c>
      <c r="I16" s="99">
        <f t="shared" si="0"/>
        <v>0.77211889449083049</v>
      </c>
      <c r="J16" s="99">
        <f t="shared" si="0"/>
        <v>16.945419780929949</v>
      </c>
      <c r="K16" s="99">
        <f t="shared" si="0"/>
        <v>9.8658091430340651</v>
      </c>
      <c r="L16" s="99">
        <f t="shared" si="0"/>
        <v>8.2741178515286151</v>
      </c>
      <c r="M16" s="188"/>
      <c r="N16" s="188"/>
      <c r="O16" s="188"/>
      <c r="P16" s="188"/>
      <c r="Q16" s="188"/>
      <c r="R16" s="188"/>
      <c r="S16" s="189"/>
    </row>
    <row r="17" spans="1:19" x14ac:dyDescent="0.25">
      <c r="A17" s="98" t="s">
        <v>28</v>
      </c>
      <c r="B17" s="98">
        <v>0</v>
      </c>
      <c r="C17" s="102">
        <v>30.750000000523869</v>
      </c>
      <c r="D17" s="139">
        <f t="shared" si="1"/>
        <v>6.5840208491546733E-4</v>
      </c>
      <c r="E17" s="98">
        <f t="shared" si="4"/>
        <v>0.10727367870415609</v>
      </c>
      <c r="G17" s="98" t="s">
        <v>69</v>
      </c>
      <c r="H17" s="99">
        <f t="shared" si="0"/>
        <v>1</v>
      </c>
      <c r="I17" s="99">
        <f t="shared" si="0"/>
        <v>3.3959183673460815</v>
      </c>
      <c r="J17" s="99">
        <f t="shared" si="0"/>
        <v>2.6645640074246675</v>
      </c>
      <c r="K17" s="99">
        <f t="shared" si="0"/>
        <v>17.633395176204832</v>
      </c>
      <c r="L17" s="99">
        <f t="shared" si="0"/>
        <v>8.0066790352488972</v>
      </c>
      <c r="M17" s="188"/>
      <c r="N17" s="188"/>
      <c r="O17" s="188"/>
      <c r="P17" s="188"/>
      <c r="Q17" s="188"/>
      <c r="R17" s="188"/>
      <c r="S17" s="189"/>
    </row>
    <row r="18" spans="1:19" x14ac:dyDescent="0.25">
      <c r="B18" s="98">
        <v>140</v>
      </c>
      <c r="C18" s="102">
        <v>59.183333333290648</v>
      </c>
      <c r="D18" s="139">
        <f t="shared" si="1"/>
        <v>1.2672009775031477E-3</v>
      </c>
      <c r="E18" s="98">
        <f t="shared" si="4"/>
        <v>0.20646549217977989</v>
      </c>
      <c r="H18" s="99" t="s">
        <v>269</v>
      </c>
      <c r="I18" s="99" t="s">
        <v>270</v>
      </c>
      <c r="J18" s="99" t="s">
        <v>271</v>
      </c>
      <c r="K18" s="99" t="s">
        <v>272</v>
      </c>
      <c r="L18" s="99" t="s">
        <v>273</v>
      </c>
      <c r="M18" s="186" t="s">
        <v>275</v>
      </c>
      <c r="N18" s="188"/>
      <c r="O18" s="188"/>
      <c r="P18" s="188"/>
      <c r="Q18" s="188"/>
      <c r="R18" s="188"/>
      <c r="S18" s="189"/>
    </row>
    <row r="19" spans="1:19" x14ac:dyDescent="0.25">
      <c r="B19" s="98">
        <v>223</v>
      </c>
      <c r="C19" s="102">
        <v>27.233333333395422</v>
      </c>
      <c r="D19" s="139">
        <f t="shared" si="1"/>
        <v>5.8310515270243804E-4</v>
      </c>
      <c r="E19" s="98">
        <f t="shared" si="4"/>
        <v>9.5005523577238196E-2</v>
      </c>
      <c r="G19" s="98" t="s">
        <v>0</v>
      </c>
      <c r="H19" s="101">
        <v>1</v>
      </c>
      <c r="I19" s="101">
        <v>2</v>
      </c>
      <c r="J19" s="101">
        <v>3</v>
      </c>
      <c r="K19" s="101">
        <v>4</v>
      </c>
      <c r="L19" s="101">
        <v>5</v>
      </c>
      <c r="M19" s="101">
        <v>6</v>
      </c>
      <c r="N19" s="188"/>
      <c r="O19" s="188"/>
      <c r="P19" s="188"/>
      <c r="Q19" s="188"/>
      <c r="R19" s="188"/>
      <c r="S19" s="189"/>
    </row>
    <row r="20" spans="1:19" x14ac:dyDescent="0.25">
      <c r="B20" s="98">
        <v>253</v>
      </c>
      <c r="C20" s="102">
        <v>2896.6000000011991</v>
      </c>
      <c r="D20" s="139">
        <f t="shared" si="1"/>
        <v>6.2020405825510293E-2</v>
      </c>
      <c r="E20" s="98">
        <f>D20/$D$20</f>
        <v>1</v>
      </c>
      <c r="G20" s="98" t="s">
        <v>21</v>
      </c>
      <c r="H20" s="101">
        <f>INDEX(Lookup!$R$5:$V$19,MATCH('Calc-Pivot abvals'!$G20,Lookup!$Q$5:$Q$19,0),RIGHT('Calc-Pivot abvals'!H$19))</f>
        <v>37</v>
      </c>
      <c r="I20" s="101">
        <f>INDEX(Lookup!$R$5:$V$19,MATCH('Calc-Pivot abvals'!$G20,Lookup!$Q$5:$Q$19,0),RIGHT('Calc-Pivot abvals'!I$19))</f>
        <v>74</v>
      </c>
      <c r="J20" s="101">
        <f>INDEX(Lookup!$R$5:$V$19,MATCH('Calc-Pivot abvals'!$G20,Lookup!$Q$5:$Q$19,0),RIGHT('Calc-Pivot abvals'!J$19))</f>
        <v>77</v>
      </c>
      <c r="K20" s="101">
        <f>INDEX(Lookup!$R$5:$V$19,MATCH('Calc-Pivot abvals'!$G20,Lookup!$Q$5:$Q$19,0),RIGHT('Calc-Pivot abvals'!K$19))</f>
        <v>87</v>
      </c>
      <c r="L20" s="101">
        <f>INDEX(Lookup!$R$5:$V$19,MATCH('Calc-Pivot abvals'!$G20,Lookup!$Q$5:$Q$19,0),RIGHT('Calc-Pivot abvals'!L$19))</f>
        <v>97</v>
      </c>
      <c r="M20" s="102">
        <f>INDEX('INP-Calc EFOR&amp;EUOR - 2019Plan'!$B$11:$B$34,MATCH('Calc-Pivot abvals'!G20,'INP-Calc EFOR&amp;EUOR - 2019Plan'!$A$11:$A$34,0),0)</f>
        <v>107</v>
      </c>
      <c r="O20" s="188"/>
      <c r="P20" s="188"/>
      <c r="Q20" s="188"/>
      <c r="R20" s="188"/>
      <c r="S20" s="189"/>
    </row>
    <row r="21" spans="1:19" x14ac:dyDescent="0.25">
      <c r="B21" s="98">
        <v>333</v>
      </c>
      <c r="C21" s="102">
        <v>850.16666666697711</v>
      </c>
      <c r="D21" s="139">
        <f t="shared" si="1"/>
        <v>1.8203301003240153E-2</v>
      </c>
      <c r="E21" s="98">
        <f t="shared" ref="E21:E24" si="5">D21/$D$20</f>
        <v>0.29350502888442492</v>
      </c>
      <c r="G21" s="98" t="s">
        <v>22</v>
      </c>
      <c r="H21" s="101">
        <f>INDEX(Lookup!$R$5:$V$19,MATCH('Calc-Pivot abvals'!$G21,Lookup!$Q$5:$Q$19,0),RIGHT('Calc-Pivot abvals'!H$19))</f>
        <v>64</v>
      </c>
      <c r="I21" s="101">
        <f>INDEX(Lookup!$R$5:$V$19,MATCH('Calc-Pivot abvals'!$G21,Lookup!$Q$5:$Q$19,0),RIGHT('Calc-Pivot abvals'!I$19))</f>
        <v>78</v>
      </c>
      <c r="J21" s="101">
        <f>INDEX(Lookup!$R$5:$V$19,MATCH('Calc-Pivot abvals'!$G21,Lookup!$Q$5:$Q$19,0),RIGHT('Calc-Pivot abvals'!J$19))</f>
        <v>88</v>
      </c>
      <c r="K21" s="101">
        <f>INDEX(Lookup!$R$5:$V$19,MATCH('Calc-Pivot abvals'!$G21,Lookup!$Q$5:$Q$19,0),RIGHT('Calc-Pivot abvals'!K$19))</f>
        <v>128</v>
      </c>
      <c r="L21" s="101">
        <f>INDEX(Lookup!$R$5:$V$19,MATCH('Calc-Pivot abvals'!$G21,Lookup!$Q$5:$Q$19,0),RIGHT('Calc-Pivot abvals'!L$19))</f>
        <v>148</v>
      </c>
      <c r="M21" s="102">
        <f>INDEX('INP-Calc EFOR&amp;EUOR - 2019Plan'!$B$11:$B$34,MATCH('Calc-Pivot abvals'!G21,'INP-Calc EFOR&amp;EUOR - 2019Plan'!$A$11:$A$34,0),0)</f>
        <v>168</v>
      </c>
      <c r="O21" s="188"/>
      <c r="P21" s="188"/>
      <c r="Q21" s="188"/>
      <c r="R21" s="188"/>
      <c r="S21" s="189"/>
    </row>
    <row r="22" spans="1:19" x14ac:dyDescent="0.25">
      <c r="B22" s="98">
        <v>373</v>
      </c>
      <c r="C22" s="102">
        <v>1480.2499999998836</v>
      </c>
      <c r="D22" s="139">
        <f t="shared" si="1"/>
        <v>3.1694298737542773E-2</v>
      </c>
      <c r="E22" s="98">
        <f t="shared" si="5"/>
        <v>0.51103017330638367</v>
      </c>
      <c r="G22" s="98" t="s">
        <v>28</v>
      </c>
      <c r="H22" s="101">
        <f>INDEX(Lookup!$R$5:$V$19,MATCH('Calc-Pivot abvals'!$G22,Lookup!$Q$5:$Q$19,0),RIGHT('Calc-Pivot abvals'!H$19))</f>
        <v>140</v>
      </c>
      <c r="I22" s="101">
        <f>INDEX(Lookup!$R$5:$V$19,MATCH('Calc-Pivot abvals'!$G22,Lookup!$Q$5:$Q$19,0),RIGHT('Calc-Pivot abvals'!I$19))</f>
        <v>223</v>
      </c>
      <c r="J22" s="101">
        <f>INDEX(Lookup!$R$5:$V$19,MATCH('Calc-Pivot abvals'!$G22,Lookup!$Q$5:$Q$19,0),RIGHT('Calc-Pivot abvals'!J$19))</f>
        <v>253</v>
      </c>
      <c r="K22" s="101">
        <f>INDEX(Lookup!$R$5:$V$19,MATCH('Calc-Pivot abvals'!$G22,Lookup!$Q$5:$Q$19,0),RIGHT('Calc-Pivot abvals'!K$19))</f>
        <v>333</v>
      </c>
      <c r="L22" s="101">
        <f>INDEX(Lookup!$R$5:$V$19,MATCH('Calc-Pivot abvals'!$G22,Lookup!$Q$5:$Q$19,0),RIGHT('Calc-Pivot abvals'!L$19))</f>
        <v>373</v>
      </c>
      <c r="M22" s="102">
        <f>INDEX('INP-Calc EFOR&amp;EUOR - 2019Plan'!$B$11:$B$34,MATCH('Calc-Pivot abvals'!G22,'INP-Calc EFOR&amp;EUOR - 2019Plan'!$A$11:$A$34,0),0)</f>
        <v>413</v>
      </c>
      <c r="O22" s="188"/>
      <c r="P22" s="188"/>
      <c r="Q22" s="188"/>
      <c r="R22" s="188"/>
      <c r="S22" s="189"/>
    </row>
    <row r="23" spans="1:19" x14ac:dyDescent="0.25">
      <c r="A23" s="98" t="s">
        <v>26</v>
      </c>
      <c r="B23" s="98">
        <v>0</v>
      </c>
      <c r="C23" s="102">
        <v>157.21666666661622</v>
      </c>
      <c r="D23" s="139">
        <f t="shared" si="1"/>
        <v>3.3662367842275352E-3</v>
      </c>
      <c r="E23" s="98">
        <f t="shared" si="5"/>
        <v>5.4276277935010407E-2</v>
      </c>
      <c r="G23" s="98" t="s">
        <v>26</v>
      </c>
      <c r="H23" s="101">
        <f>INDEX(Lookup!$R$5:$V$19,MATCH('Calc-Pivot abvals'!$G23,Lookup!$Q$5:$Q$19,0),RIGHT('Calc-Pivot abvals'!H$19))</f>
        <v>218</v>
      </c>
      <c r="I23" s="101">
        <f>INDEX(Lookup!$R$5:$V$19,MATCH('Calc-Pivot abvals'!$G23,Lookup!$Q$5:$Q$19,0),RIGHT('Calc-Pivot abvals'!I$19))</f>
        <v>289</v>
      </c>
      <c r="J23" s="101">
        <f>INDEX(Lookup!$R$5:$V$19,MATCH('Calc-Pivot abvals'!$G23,Lookup!$Q$5:$Q$19,0),RIGHT('Calc-Pivot abvals'!J$19))</f>
        <v>319</v>
      </c>
      <c r="K23" s="101">
        <f>INDEX(Lookup!$R$5:$V$19,MATCH('Calc-Pivot abvals'!$G23,Lookup!$Q$5:$Q$19,0),RIGHT('Calc-Pivot abvals'!K$19))</f>
        <v>399</v>
      </c>
      <c r="L23" s="101">
        <f>INDEX(Lookup!$R$5:$V$19,MATCH('Calc-Pivot abvals'!$G23,Lookup!$Q$5:$Q$19,0),RIGHT('Calc-Pivot abvals'!L$19))</f>
        <v>439</v>
      </c>
      <c r="M23" s="102">
        <f>INDEX('INP-Calc EFOR&amp;EUOR - 2019Plan'!$B$11:$B$34,MATCH('Calc-Pivot abvals'!G23,'INP-Calc EFOR&amp;EUOR - 2019Plan'!$A$11:$A$34,0),0)</f>
        <v>479</v>
      </c>
      <c r="O23" s="188"/>
      <c r="P23" s="188"/>
      <c r="Q23" s="188"/>
      <c r="R23" s="188"/>
      <c r="S23" s="189"/>
    </row>
    <row r="24" spans="1:19" x14ac:dyDescent="0.25">
      <c r="B24" s="98">
        <v>218</v>
      </c>
      <c r="C24" s="102">
        <v>120.3833333333605</v>
      </c>
      <c r="D24" s="139">
        <f t="shared" si="1"/>
        <v>2.5775817123384688E-3</v>
      </c>
      <c r="E24" s="98">
        <f t="shared" si="5"/>
        <v>4.1560220028071075E-2</v>
      </c>
      <c r="G24" s="98" t="s">
        <v>27</v>
      </c>
      <c r="H24" s="101">
        <f>INDEX(Lookup!$R$5:$V$19,MATCH('Calc-Pivot abvals'!$G24,Lookup!$Q$5:$Q$19,0),RIGHT('Calc-Pivot abvals'!H$19))</f>
        <v>225</v>
      </c>
      <c r="I24" s="101">
        <f>INDEX(Lookup!$R$5:$V$19,MATCH('Calc-Pivot abvals'!$G24,Lookup!$Q$5:$Q$19,0),RIGHT('Calc-Pivot abvals'!I$19))</f>
        <v>296</v>
      </c>
      <c r="J24" s="101">
        <f>INDEX(Lookup!$R$5:$V$19,MATCH('Calc-Pivot abvals'!$G24,Lookup!$Q$5:$Q$19,0),RIGHT('Calc-Pivot abvals'!J$19))</f>
        <v>326</v>
      </c>
      <c r="K24" s="101">
        <f>INDEX(Lookup!$R$5:$V$19,MATCH('Calc-Pivot abvals'!$G24,Lookup!$Q$5:$Q$19,0),RIGHT('Calc-Pivot abvals'!K$19))</f>
        <v>406</v>
      </c>
      <c r="L24" s="101">
        <f>INDEX(Lookup!$R$5:$V$19,MATCH('Calc-Pivot abvals'!$G24,Lookup!$Q$5:$Q$19,0),RIGHT('Calc-Pivot abvals'!L$19))</f>
        <v>446</v>
      </c>
      <c r="M24" s="102">
        <f>INDEX('INP-Calc EFOR&amp;EUOR - 2019Plan'!$B$11:$B$34,MATCH('Calc-Pivot abvals'!G24,'INP-Calc EFOR&amp;EUOR - 2019Plan'!$A$11:$A$34,0),0)</f>
        <v>486</v>
      </c>
    </row>
    <row r="25" spans="1:19" x14ac:dyDescent="0.25">
      <c r="B25" s="98">
        <v>289</v>
      </c>
      <c r="C25" s="102">
        <v>258.48333333386108</v>
      </c>
      <c r="D25" s="139">
        <f t="shared" si="1"/>
        <v>5.5345029456915287E-3</v>
      </c>
      <c r="E25" s="98">
        <f>D25/$D$25</f>
        <v>1</v>
      </c>
      <c r="G25" s="98" t="s">
        <v>30</v>
      </c>
      <c r="H25" s="101">
        <f>INDEX(Lookup!$R$5:$V$19,MATCH('Calc-Pivot abvals'!$G25,Lookup!$Q$5:$Q$19,0),RIGHT('Calc-Pivot abvals'!H$19))</f>
        <v>210</v>
      </c>
      <c r="I25" s="101">
        <f>INDEX(Lookup!$R$5:$V$19,MATCH('Calc-Pivot abvals'!$G25,Lookup!$Q$5:$Q$19,0),RIGHT('Calc-Pivot abvals'!I$19))</f>
        <v>291</v>
      </c>
      <c r="J25" s="101">
        <f>INDEX(Lookup!$R$5:$V$19,MATCH('Calc-Pivot abvals'!$G25,Lookup!$Q$5:$Q$19,0),RIGHT('Calc-Pivot abvals'!J$19))</f>
        <v>321</v>
      </c>
      <c r="K25" s="101">
        <f>INDEX(Lookup!$R$5:$V$19,MATCH('Calc-Pivot abvals'!$G25,Lookup!$Q$5:$Q$19,0),RIGHT('Calc-Pivot abvals'!K$19))</f>
        <v>401</v>
      </c>
      <c r="L25" s="101">
        <f>INDEX(Lookup!$R$5:$V$19,MATCH('Calc-Pivot abvals'!$G25,Lookup!$Q$5:$Q$19,0),RIGHT('Calc-Pivot abvals'!L$19))</f>
        <v>441</v>
      </c>
      <c r="M25" s="102">
        <f>INDEX('INP-Calc EFOR&amp;EUOR - 2019Plan'!$B$11:$B$34,MATCH('Calc-Pivot abvals'!G25,'INP-Calc EFOR&amp;EUOR - 2019Plan'!$A$11:$A$34,0),0)</f>
        <v>481</v>
      </c>
    </row>
    <row r="26" spans="1:19" x14ac:dyDescent="0.25">
      <c r="B26" s="98">
        <v>319</v>
      </c>
      <c r="C26" s="102">
        <v>196.79999999993015</v>
      </c>
      <c r="D26" s="139">
        <f t="shared" si="1"/>
        <v>4.2137733433857075E-3</v>
      </c>
      <c r="E26" s="98">
        <f t="shared" ref="E26:E29" si="6">D26/$D$25</f>
        <v>0.76136436907419558</v>
      </c>
      <c r="G26" s="98" t="s">
        <v>24</v>
      </c>
      <c r="H26" s="101">
        <f>INDEX(Lookup!$R$5:$V$19,MATCH('Calc-Pivot abvals'!$G26,Lookup!$Q$5:$Q$19,0),RIGHT('Calc-Pivot abvals'!H$19))</f>
        <v>215</v>
      </c>
      <c r="I26" s="101">
        <f>INDEX(Lookup!$R$5:$V$19,MATCH('Calc-Pivot abvals'!$G26,Lookup!$Q$5:$Q$19,0),RIGHT('Calc-Pivot abvals'!I$19))</f>
        <v>288</v>
      </c>
      <c r="J26" s="101">
        <f>INDEX(Lookup!$R$5:$V$19,MATCH('Calc-Pivot abvals'!$G26,Lookup!$Q$5:$Q$19,0),RIGHT('Calc-Pivot abvals'!J$19))</f>
        <v>318</v>
      </c>
      <c r="K26" s="101">
        <f>INDEX(Lookup!$R$5:$V$19,MATCH('Calc-Pivot abvals'!$G26,Lookup!$Q$5:$Q$19,0),RIGHT('Calc-Pivot abvals'!K$19))</f>
        <v>398</v>
      </c>
      <c r="L26" s="101">
        <f>INDEX(Lookup!$R$5:$V$19,MATCH('Calc-Pivot abvals'!$G26,Lookup!$Q$5:$Q$19,0),RIGHT('Calc-Pivot abvals'!L$19))</f>
        <v>438</v>
      </c>
      <c r="M26" s="102">
        <f>INDEX('INP-Calc EFOR&amp;EUOR - 2019Plan'!$B$11:$B$34,MATCH('Calc-Pivot abvals'!G26,'INP-Calc EFOR&amp;EUOR - 2019Plan'!$A$11:$A$34,0),0)</f>
        <v>478</v>
      </c>
    </row>
    <row r="27" spans="1:19" x14ac:dyDescent="0.25">
      <c r="B27" s="98">
        <v>399</v>
      </c>
      <c r="C27" s="102">
        <v>2356.4166666683159</v>
      </c>
      <c r="D27" s="139">
        <f t="shared" si="1"/>
        <v>5.0454297438619303E-2</v>
      </c>
      <c r="E27" s="98">
        <f t="shared" si="6"/>
        <v>9.116319556374382</v>
      </c>
      <c r="G27" s="98" t="s">
        <v>23</v>
      </c>
      <c r="H27" s="101">
        <f>INDEX(Lookup!$R$5:$V$19,MATCH('Calc-Pivot abvals'!$G27,Lookup!$Q$5:$Q$19,0),RIGHT('Calc-Pivot abvals'!H$19))</f>
        <v>150</v>
      </c>
      <c r="I27" s="101">
        <f>INDEX(Lookup!$R$5:$V$19,MATCH('Calc-Pivot abvals'!$G27,Lookup!$Q$5:$Q$19,0),RIGHT('Calc-Pivot abvals'!I$19))</f>
        <v>210</v>
      </c>
      <c r="J27" s="101">
        <f>INDEX(Lookup!$R$5:$V$19,MATCH('Calc-Pivot abvals'!$G27,Lookup!$Q$5:$Q$19,0),RIGHT('Calc-Pivot abvals'!J$19))</f>
        <v>220</v>
      </c>
      <c r="K27" s="101">
        <f>INDEX(Lookup!$R$5:$V$19,MATCH('Calc-Pivot abvals'!$G27,Lookup!$Q$5:$Q$19,0),RIGHT('Calc-Pivot abvals'!K$19))</f>
        <v>260</v>
      </c>
      <c r="L27" s="101">
        <f>INDEX(Lookup!$R$5:$V$19,MATCH('Calc-Pivot abvals'!$G27,Lookup!$Q$5:$Q$19,0),RIGHT('Calc-Pivot abvals'!L$19))</f>
        <v>280</v>
      </c>
      <c r="M27" s="102">
        <f>INDEX('INP-Calc EFOR&amp;EUOR - 2019Plan'!$B$11:$B$34,MATCH('Calc-Pivot abvals'!G27,'INP-Calc EFOR&amp;EUOR - 2019Plan'!$A$11:$A$34,0),0)</f>
        <v>300</v>
      </c>
    </row>
    <row r="28" spans="1:19" x14ac:dyDescent="0.25">
      <c r="B28" s="98">
        <v>439</v>
      </c>
      <c r="C28" s="102">
        <v>1336.6333333334187</v>
      </c>
      <c r="D28" s="139">
        <f t="shared" si="1"/>
        <v>2.8619257672170439E-2</v>
      </c>
      <c r="E28" s="98">
        <f t="shared" si="6"/>
        <v>5.1710619640106632</v>
      </c>
      <c r="G28" s="98" t="s">
        <v>35</v>
      </c>
      <c r="H28" s="101">
        <f>INDEX(Lookup!$R$5:$V$19,MATCH('Calc-Pivot abvals'!$G28,Lookup!$Q$5:$Q$19,0),RIGHT('Calc-Pivot abvals'!H$19))</f>
        <v>147</v>
      </c>
      <c r="I28" s="101">
        <f>INDEX(Lookup!$R$5:$V$19,MATCH('Calc-Pivot abvals'!$G28,Lookup!$Q$5:$Q$19,0),RIGHT('Calc-Pivot abvals'!I$19))</f>
        <v>207</v>
      </c>
      <c r="J28" s="101">
        <f>INDEX(Lookup!$R$5:$V$19,MATCH('Calc-Pivot abvals'!$G28,Lookup!$Q$5:$Q$19,0),RIGHT('Calc-Pivot abvals'!J$19))</f>
        <v>217</v>
      </c>
      <c r="K28" s="101">
        <f>INDEX(Lookup!$R$5:$V$19,MATCH('Calc-Pivot abvals'!$G28,Lookup!$Q$5:$Q$19,0),RIGHT('Calc-Pivot abvals'!K$19))</f>
        <v>257</v>
      </c>
      <c r="L28" s="101">
        <f>INDEX(Lookup!$R$5:$V$19,MATCH('Calc-Pivot abvals'!$G28,Lookup!$Q$5:$Q$19,0),RIGHT('Calc-Pivot abvals'!L$19))</f>
        <v>277</v>
      </c>
      <c r="M28" s="102">
        <f>INDEX('INP-Calc EFOR&amp;EUOR - 2019Plan'!$B$11:$B$34,MATCH('Calc-Pivot abvals'!G28,'INP-Calc EFOR&amp;EUOR - 2019Plan'!$A$11:$A$34,0),0)</f>
        <v>297</v>
      </c>
    </row>
    <row r="29" spans="1:19" x14ac:dyDescent="0.25">
      <c r="A29" s="98" t="s">
        <v>27</v>
      </c>
      <c r="B29" s="98">
        <v>0</v>
      </c>
      <c r="C29" s="102">
        <v>89.61666666646488</v>
      </c>
      <c r="D29" s="139">
        <f t="shared" si="1"/>
        <v>1.9188227699307228E-3</v>
      </c>
      <c r="E29" s="98">
        <f t="shared" si="6"/>
        <v>0.34670191501559827</v>
      </c>
      <c r="G29" s="98" t="s">
        <v>29</v>
      </c>
      <c r="H29" s="101">
        <f>INDEX(Lookup!$R$5:$V$19,MATCH('Calc-Pivot abvals'!$G29,Lookup!$Q$5:$Q$19,0),RIGHT('Calc-Pivot abvals'!H$19))</f>
        <v>170</v>
      </c>
      <c r="I29" s="101">
        <f>INDEX(Lookup!$R$5:$V$19,MATCH('Calc-Pivot abvals'!$G29,Lookup!$Q$5:$Q$19,0),RIGHT('Calc-Pivot abvals'!I$19))</f>
        <v>204</v>
      </c>
      <c r="J29" s="101">
        <f>INDEX(Lookup!$R$5:$V$19,MATCH('Calc-Pivot abvals'!$G29,Lookup!$Q$5:$Q$19,0),RIGHT('Calc-Pivot abvals'!J$19))</f>
        <v>234</v>
      </c>
      <c r="K29" s="101">
        <f>INDEX(Lookup!$R$5:$V$19,MATCH('Calc-Pivot abvals'!$G29,Lookup!$Q$5:$Q$19,0),RIGHT('Calc-Pivot abvals'!K$19))</f>
        <v>314</v>
      </c>
      <c r="L29" s="101">
        <f>INDEX(Lookup!$R$5:$V$19,MATCH('Calc-Pivot abvals'!$G29,Lookup!$Q$5:$Q$19,0),RIGHT('Calc-Pivot abvals'!L$19))</f>
        <v>354</v>
      </c>
      <c r="M29" s="102">
        <f>INDEX('INP-Calc EFOR&amp;EUOR - 2019Plan'!$B$11:$B$34,MATCH('Calc-Pivot abvals'!G29,'INP-Calc EFOR&amp;EUOR - 2019Plan'!$A$11:$A$34,0),0)</f>
        <v>394</v>
      </c>
    </row>
    <row r="30" spans="1:19" x14ac:dyDescent="0.25">
      <c r="B30" s="98">
        <v>225</v>
      </c>
      <c r="C30" s="102">
        <v>51.999999999592546</v>
      </c>
      <c r="D30" s="139">
        <f t="shared" si="1"/>
        <v>1.1133953956017158E-3</v>
      </c>
      <c r="E30" s="98">
        <f>D30/$D$30</f>
        <v>1</v>
      </c>
      <c r="G30" s="98" t="s">
        <v>25</v>
      </c>
      <c r="H30" s="101">
        <f>INDEX(Lookup!$R$5:$V$19,MATCH('Calc-Pivot abvals'!$G30,Lookup!$Q$5:$Q$19,0),RIGHT('Calc-Pivot abvals'!H$19))</f>
        <v>175</v>
      </c>
      <c r="I30" s="101">
        <f>INDEX(Lookup!$R$5:$V$19,MATCH('Calc-Pivot abvals'!$G30,Lookup!$Q$5:$Q$19,0),RIGHT('Calc-Pivot abvals'!I$19))</f>
        <v>296</v>
      </c>
      <c r="J30" s="101">
        <f>INDEX(Lookup!$R$5:$V$19,MATCH('Calc-Pivot abvals'!$G30,Lookup!$Q$5:$Q$19,0),RIGHT('Calc-Pivot abvals'!J$19))</f>
        <v>326</v>
      </c>
      <c r="K30" s="101">
        <f>INDEX(Lookup!$R$5:$V$19,MATCH('Calc-Pivot abvals'!$G30,Lookup!$Q$5:$Q$19,0),RIGHT('Calc-Pivot abvals'!K$19))</f>
        <v>406</v>
      </c>
      <c r="L30" s="101">
        <f>INDEX(Lookup!$R$5:$V$19,MATCH('Calc-Pivot abvals'!$G30,Lookup!$Q$5:$Q$19,0),RIGHT('Calc-Pivot abvals'!L$19))</f>
        <v>446</v>
      </c>
      <c r="M30" s="102">
        <f>INDEX('INP-Calc EFOR&amp;EUOR - 2019Plan'!$B$11:$B$34,MATCH('Calc-Pivot abvals'!G30,'INP-Calc EFOR&amp;EUOR - 2019Plan'!$A$11:$A$34,0),0)</f>
        <v>486</v>
      </c>
    </row>
    <row r="31" spans="1:19" x14ac:dyDescent="0.25">
      <c r="B31" s="98">
        <v>296</v>
      </c>
      <c r="C31" s="102">
        <v>44.066666666418314</v>
      </c>
      <c r="D31" s="139">
        <f t="shared" si="1"/>
        <v>9.4353122627481166E-4</v>
      </c>
      <c r="E31" s="98">
        <f t="shared" ref="E31:E34" si="7">D31/$D$30</f>
        <v>0.84743589743776171</v>
      </c>
      <c r="G31" s="98" t="s">
        <v>19</v>
      </c>
      <c r="H31" s="101">
        <f>INDEX(Lookup!$R$5:$V$19,MATCH('Calc-Pivot abvals'!$G31,Lookup!$Q$5:$Q$19,0),RIGHT('Calc-Pivot abvals'!H$19))</f>
        <v>188</v>
      </c>
      <c r="I31" s="101">
        <f>INDEX(Lookup!$R$5:$V$19,MATCH('Calc-Pivot abvals'!$G31,Lookup!$Q$5:$Q$19,0),RIGHT('Calc-Pivot abvals'!I$19))</f>
        <v>303</v>
      </c>
      <c r="J31" s="101">
        <f>INDEX(Lookup!$R$5:$V$19,MATCH('Calc-Pivot abvals'!$G31,Lookup!$Q$5:$Q$19,0),RIGHT('Calc-Pivot abvals'!J$19))</f>
        <v>333</v>
      </c>
      <c r="K31" s="101">
        <f>INDEX(Lookup!$R$5:$V$19,MATCH('Calc-Pivot abvals'!$G31,Lookup!$Q$5:$Q$19,0),RIGHT('Calc-Pivot abvals'!K$19))</f>
        <v>413</v>
      </c>
      <c r="L31" s="101">
        <f>INDEX(Lookup!$R$5:$V$19,MATCH('Calc-Pivot abvals'!$G31,Lookup!$Q$5:$Q$19,0),RIGHT('Calc-Pivot abvals'!L$19))</f>
        <v>453</v>
      </c>
      <c r="M31" s="102">
        <f>INDEX('INP-Calc EFOR&amp;EUOR - 2019Plan'!$B$11:$B$34,MATCH('Calc-Pivot abvals'!G31,'INP-Calc EFOR&amp;EUOR - 2019Plan'!$A$11:$A$34,0),0)</f>
        <v>493</v>
      </c>
    </row>
    <row r="32" spans="1:19" x14ac:dyDescent="0.25">
      <c r="B32" s="98">
        <v>326</v>
      </c>
      <c r="C32" s="102">
        <v>270.19999999977881</v>
      </c>
      <c r="D32" s="139">
        <f t="shared" si="1"/>
        <v>5.7853737671864349E-3</v>
      </c>
      <c r="E32" s="98">
        <f t="shared" si="7"/>
        <v>5.1961538461903078</v>
      </c>
      <c r="G32" s="98" t="s">
        <v>69</v>
      </c>
      <c r="H32" s="101">
        <f>INDEX(Lookup!$R$5:$V$19,MATCH('Calc-Pivot abvals'!$G32,Lookup!$Q$5:$Q$19,0),RIGHT('Calc-Pivot abvals'!H$19))</f>
        <v>440</v>
      </c>
      <c r="I32" s="101">
        <f>INDEX(Lookup!$R$5:$V$19,MATCH('Calc-Pivot abvals'!$G32,Lookup!$Q$5:$Q$19,0),RIGHT('Calc-Pivot abvals'!I$19))</f>
        <v>570</v>
      </c>
      <c r="J32" s="101">
        <f>INDEX(Lookup!$R$5:$V$19,MATCH('Calc-Pivot abvals'!$G32,Lookup!$Q$5:$Q$19,0),RIGHT('Calc-Pivot abvals'!J$19))</f>
        <v>600</v>
      </c>
      <c r="K32" s="101">
        <f>INDEX(Lookup!$R$5:$V$19,MATCH('Calc-Pivot abvals'!$G32,Lookup!$Q$5:$Q$19,0),RIGHT('Calc-Pivot abvals'!K$19))</f>
        <v>680</v>
      </c>
      <c r="L32" s="101">
        <f>INDEX(Lookup!$R$5:$V$19,MATCH('Calc-Pivot abvals'!$G32,Lookup!$Q$5:$Q$19,0),RIGHT('Calc-Pivot abvals'!L$19))</f>
        <v>720</v>
      </c>
      <c r="M32" s="102">
        <f>INDEX('INP-Calc EFOR&amp;EUOR - 2019Plan'!$B$11:$B$34,MATCH('Calc-Pivot abvals'!G32,'INP-Calc EFOR&amp;EUOR - 2019Plan'!$A$11:$A$34,0),0)</f>
        <v>760</v>
      </c>
    </row>
    <row r="33" spans="1:5" x14ac:dyDescent="0.25">
      <c r="B33" s="98">
        <v>406</v>
      </c>
      <c r="C33" s="102">
        <v>2081.5333333311137</v>
      </c>
      <c r="D33" s="139">
        <f t="shared" si="1"/>
        <v>4.4568646714240635E-2</v>
      </c>
      <c r="E33" s="98">
        <f t="shared" si="7"/>
        <v>40.029487179758149</v>
      </c>
    </row>
    <row r="34" spans="1:5" x14ac:dyDescent="0.25">
      <c r="B34" s="98">
        <v>446</v>
      </c>
      <c r="C34" s="102">
        <v>1340.9166666662204</v>
      </c>
      <c r="D34" s="139">
        <f t="shared" si="1"/>
        <v>2.8710970049297478E-2</v>
      </c>
      <c r="E34" s="98">
        <f t="shared" si="7"/>
        <v>25.786858974552448</v>
      </c>
    </row>
    <row r="35" spans="1:5" x14ac:dyDescent="0.25">
      <c r="A35" s="98" t="s">
        <v>30</v>
      </c>
      <c r="B35" s="98">
        <v>0</v>
      </c>
      <c r="C35" s="102">
        <v>229.54999999998836</v>
      </c>
      <c r="D35" s="139">
        <f t="shared" si="1"/>
        <v>4.9149983281223759E-3</v>
      </c>
      <c r="E35" s="98">
        <f>D35/$D$35</f>
        <v>1</v>
      </c>
    </row>
    <row r="36" spans="1:5" x14ac:dyDescent="0.25">
      <c r="B36" s="98">
        <v>210</v>
      </c>
      <c r="C36" s="102">
        <v>116.58333333372138</v>
      </c>
      <c r="D36" s="139">
        <f t="shared" si="1"/>
        <v>2.4962182026669714E-3</v>
      </c>
      <c r="E36" s="98">
        <f t="shared" ref="E36:E39" si="8">D36/$D$35</f>
        <v>0.50787773179580609</v>
      </c>
    </row>
    <row r="37" spans="1:5" x14ac:dyDescent="0.25">
      <c r="B37" s="98">
        <v>291</v>
      </c>
      <c r="C37" s="102">
        <v>28.78333333338378</v>
      </c>
      <c r="D37" s="139">
        <f t="shared" si="1"/>
        <v>6.1629290007134607E-4</v>
      </c>
      <c r="E37" s="98">
        <f t="shared" si="8"/>
        <v>0.12539025629878126</v>
      </c>
    </row>
    <row r="38" spans="1:5" x14ac:dyDescent="0.25">
      <c r="B38" s="98">
        <v>321</v>
      </c>
      <c r="C38" s="102">
        <v>244.16666666680248</v>
      </c>
      <c r="D38" s="139">
        <f t="shared" si="1"/>
        <v>5.2279623543916723E-3</v>
      </c>
      <c r="E38" s="98">
        <f t="shared" si="8"/>
        <v>1.0636753067602476</v>
      </c>
    </row>
    <row r="39" spans="1:5" x14ac:dyDescent="0.25">
      <c r="B39" s="98">
        <v>401</v>
      </c>
      <c r="C39" s="102">
        <v>190.80000000062864</v>
      </c>
      <c r="D39" s="139">
        <f t="shared" si="1"/>
        <v>4.0853046439071512E-3</v>
      </c>
      <c r="E39" s="98">
        <f t="shared" si="8"/>
        <v>0.83119146155799739</v>
      </c>
    </row>
    <row r="40" spans="1:5" x14ac:dyDescent="0.25">
      <c r="B40" s="98">
        <v>441</v>
      </c>
      <c r="C40" s="102">
        <v>7088.0833333340124</v>
      </c>
      <c r="D40" s="139">
        <f t="shared" si="1"/>
        <v>0.1517661412891767</v>
      </c>
      <c r="E40" s="98">
        <f>D40/$D$40</f>
        <v>1</v>
      </c>
    </row>
    <row r="41" spans="1:5" x14ac:dyDescent="0.25">
      <c r="A41" s="98" t="s">
        <v>24</v>
      </c>
      <c r="B41" s="98">
        <v>0</v>
      </c>
      <c r="C41" s="102">
        <v>324.4666666664416</v>
      </c>
      <c r="D41" s="139">
        <f t="shared" si="1"/>
        <v>6.9473017826054521E-3</v>
      </c>
      <c r="E41" s="98">
        <f t="shared" ref="E41:E44" si="9">D41/$D$40</f>
        <v>4.577636173385996E-2</v>
      </c>
    </row>
    <row r="42" spans="1:5" x14ac:dyDescent="0.25">
      <c r="B42" s="98">
        <v>215</v>
      </c>
      <c r="C42" s="102">
        <v>37.049999999755528</v>
      </c>
      <c r="D42" s="139">
        <f t="shared" si="1"/>
        <v>7.9329421936720392E-4</v>
      </c>
      <c r="E42" s="98">
        <f t="shared" si="9"/>
        <v>5.2270830148844153E-3</v>
      </c>
    </row>
    <row r="43" spans="1:5" x14ac:dyDescent="0.25">
      <c r="B43" s="98">
        <v>288</v>
      </c>
      <c r="C43" s="102">
        <v>16.983333333511837</v>
      </c>
      <c r="D43" s="139">
        <f t="shared" si="1"/>
        <v>3.6363779107018043E-4</v>
      </c>
      <c r="E43" s="98">
        <f t="shared" si="9"/>
        <v>2.396040302410413E-3</v>
      </c>
    </row>
    <row r="44" spans="1:5" x14ac:dyDescent="0.25">
      <c r="B44" s="98">
        <v>318</v>
      </c>
      <c r="C44" s="102">
        <v>137.75000000058208</v>
      </c>
      <c r="D44" s="139">
        <f t="shared" si="1"/>
        <v>2.9494272258843495E-3</v>
      </c>
      <c r="E44" s="98">
        <f t="shared" si="9"/>
        <v>1.9434026594011385E-2</v>
      </c>
    </row>
    <row r="45" spans="1:5" x14ac:dyDescent="0.25">
      <c r="B45" s="98">
        <v>398</v>
      </c>
      <c r="C45" s="102">
        <v>135.09999999962747</v>
      </c>
      <c r="D45" s="139">
        <f t="shared" si="1"/>
        <v>2.8926868835876091E-3</v>
      </c>
      <c r="E45" s="98">
        <f>D45/$D$45</f>
        <v>1</v>
      </c>
    </row>
    <row r="46" spans="1:5" x14ac:dyDescent="0.25">
      <c r="B46" s="98">
        <v>438</v>
      </c>
      <c r="C46" s="102">
        <v>7945.000000000291</v>
      </c>
      <c r="D46" s="139">
        <f t="shared" si="1"/>
        <v>0.17011396957933211</v>
      </c>
      <c r="E46" s="98">
        <f t="shared" ref="E46:E49" si="10">D46/$D$45</f>
        <v>58.80829015560473</v>
      </c>
    </row>
    <row r="47" spans="1:5" x14ac:dyDescent="0.25">
      <c r="A47" s="98" t="s">
        <v>23</v>
      </c>
      <c r="B47" s="98">
        <v>0</v>
      </c>
      <c r="C47" s="102">
        <v>146.20000000001164</v>
      </c>
      <c r="D47" s="139">
        <f t="shared" si="1"/>
        <v>3.1303539776588321E-3</v>
      </c>
      <c r="E47" s="98">
        <f t="shared" si="10"/>
        <v>1.0821613619571782</v>
      </c>
    </row>
    <row r="48" spans="1:5" x14ac:dyDescent="0.25">
      <c r="B48" s="98">
        <v>150</v>
      </c>
      <c r="C48" s="102">
        <v>293.74999999988358</v>
      </c>
      <c r="D48" s="139">
        <f t="shared" si="1"/>
        <v>6.2896134127007142E-3</v>
      </c>
      <c r="E48" s="98">
        <f t="shared" si="10"/>
        <v>2.1743153219888498</v>
      </c>
    </row>
    <row r="49" spans="1:5" x14ac:dyDescent="0.25">
      <c r="B49" s="98">
        <v>210</v>
      </c>
      <c r="C49" s="102">
        <v>685.0166666652658</v>
      </c>
      <c r="D49" s="139">
        <f t="shared" si="1"/>
        <v>1.4667200049644587E-2</v>
      </c>
      <c r="E49" s="98">
        <f t="shared" si="10"/>
        <v>5.0704416481654677</v>
      </c>
    </row>
    <row r="50" spans="1:5" x14ac:dyDescent="0.25">
      <c r="B50" s="98">
        <v>220</v>
      </c>
      <c r="C50" s="102">
        <v>1431.050000000163</v>
      </c>
      <c r="D50" s="139">
        <f t="shared" si="1"/>
        <v>3.0640855401701955E-2</v>
      </c>
      <c r="E50" s="98">
        <f>D50/$D$50</f>
        <v>1</v>
      </c>
    </row>
    <row r="51" spans="1:5" x14ac:dyDescent="0.25">
      <c r="B51" s="98">
        <v>260</v>
      </c>
      <c r="C51" s="102">
        <v>242.71666666626697</v>
      </c>
      <c r="D51" s="139">
        <f t="shared" si="1"/>
        <v>5.1969157520026076E-3</v>
      </c>
      <c r="E51" s="98">
        <f t="shared" ref="E51:E54" si="11">D51/$D$50</f>
        <v>0.16960739783113052</v>
      </c>
    </row>
    <row r="52" spans="1:5" x14ac:dyDescent="0.25">
      <c r="B52" s="98">
        <v>280</v>
      </c>
      <c r="C52" s="102">
        <v>440.88333333330229</v>
      </c>
      <c r="D52" s="139">
        <f t="shared" si="1"/>
        <v>9.4399514102823379E-3</v>
      </c>
      <c r="E52" s="98">
        <f t="shared" si="11"/>
        <v>0.3080838079265239</v>
      </c>
    </row>
    <row r="53" spans="1:5" x14ac:dyDescent="0.25">
      <c r="A53" s="98" t="s">
        <v>35</v>
      </c>
      <c r="B53" s="98">
        <v>0</v>
      </c>
      <c r="C53" s="102">
        <v>182.21666666655801</v>
      </c>
      <c r="D53" s="139">
        <f t="shared" si="1"/>
        <v>3.9015230321159237E-3</v>
      </c>
      <c r="E53" s="98">
        <f t="shared" si="11"/>
        <v>0.12733074781910991</v>
      </c>
    </row>
    <row r="54" spans="1:5" x14ac:dyDescent="0.25">
      <c r="B54" s="98">
        <v>147</v>
      </c>
      <c r="C54" s="102">
        <v>454.86666666559177</v>
      </c>
      <c r="D54" s="139">
        <f t="shared" si="1"/>
        <v>9.7393548515795902E-3</v>
      </c>
      <c r="E54" s="98">
        <f t="shared" si="11"/>
        <v>0.31785518791484574</v>
      </c>
    </row>
    <row r="55" spans="1:5" x14ac:dyDescent="0.25">
      <c r="B55" s="98">
        <v>207</v>
      </c>
      <c r="C55" s="102">
        <v>1047.0499999996391</v>
      </c>
      <c r="D55" s="139">
        <f t="shared" si="1"/>
        <v>2.2418858634105948E-2</v>
      </c>
      <c r="E55" s="98">
        <f>D55/$D$55</f>
        <v>1</v>
      </c>
    </row>
    <row r="56" spans="1:5" x14ac:dyDescent="0.25">
      <c r="B56" s="98">
        <v>217</v>
      </c>
      <c r="C56" s="102">
        <v>1042.3666666672798</v>
      </c>
      <c r="D56" s="139">
        <f t="shared" si="1"/>
        <v>2.2318581677022147E-2</v>
      </c>
      <c r="E56" s="98">
        <f t="shared" ref="E56:E59" si="12">D56/$D$55</f>
        <v>0.9955271158661374</v>
      </c>
    </row>
    <row r="57" spans="1:5" x14ac:dyDescent="0.25">
      <c r="B57" s="98">
        <v>257</v>
      </c>
      <c r="C57" s="102">
        <v>291.31666666734964</v>
      </c>
      <c r="D57" s="139">
        <f t="shared" si="1"/>
        <v>6.2375122179232391E-3</v>
      </c>
      <c r="E57" s="98">
        <f t="shared" si="12"/>
        <v>0.27822612737448077</v>
      </c>
    </row>
    <row r="58" spans="1:5" x14ac:dyDescent="0.25">
      <c r="B58" s="98">
        <v>277</v>
      </c>
      <c r="C58" s="102">
        <v>6807.0166666665464</v>
      </c>
      <c r="D58" s="139">
        <f t="shared" si="1"/>
        <v>0.14574809643288572</v>
      </c>
      <c r="E58" s="98">
        <f t="shared" si="12"/>
        <v>6.5011381182072423</v>
      </c>
    </row>
    <row r="59" spans="1:5" x14ac:dyDescent="0.25">
      <c r="A59" s="98" t="s">
        <v>29</v>
      </c>
      <c r="B59" s="98">
        <v>0</v>
      </c>
      <c r="C59" s="102">
        <v>205.84999999956926</v>
      </c>
      <c r="D59" s="139">
        <f t="shared" si="1"/>
        <v>4.4075469651140287E-3</v>
      </c>
      <c r="E59" s="98">
        <f t="shared" si="12"/>
        <v>0.19659997134772955</v>
      </c>
    </row>
    <row r="60" spans="1:5" x14ac:dyDescent="0.25">
      <c r="B60" s="98">
        <v>170</v>
      </c>
      <c r="C60" s="102">
        <v>95.883333333651535</v>
      </c>
      <c r="D60" s="139">
        <f t="shared" si="1"/>
        <v>2.0530011894128583E-3</v>
      </c>
      <c r="E60" s="98">
        <f>D60/$D$60</f>
        <v>1</v>
      </c>
    </row>
    <row r="61" spans="1:5" x14ac:dyDescent="0.25">
      <c r="B61" s="98">
        <v>204</v>
      </c>
      <c r="C61" s="102">
        <v>74.033333333674818</v>
      </c>
      <c r="D61" s="139">
        <f t="shared" si="1"/>
        <v>1.5851610087578162E-3</v>
      </c>
      <c r="E61" s="98">
        <f t="shared" ref="E61:E64" si="13">D61/$D$60</f>
        <v>0.77211889449083049</v>
      </c>
    </row>
    <row r="62" spans="1:5" x14ac:dyDescent="0.25">
      <c r="B62" s="98">
        <v>234</v>
      </c>
      <c r="C62" s="102">
        <v>1624.7833333335584</v>
      </c>
      <c r="D62" s="139">
        <f t="shared" si="1"/>
        <v>3.4788966965349361E-2</v>
      </c>
      <c r="E62" s="98">
        <f t="shared" si="13"/>
        <v>16.945419780929949</v>
      </c>
    </row>
    <row r="63" spans="1:5" x14ac:dyDescent="0.25">
      <c r="B63" s="98">
        <v>314</v>
      </c>
      <c r="C63" s="102">
        <v>945.96666666772217</v>
      </c>
      <c r="D63" s="139">
        <f t="shared" si="1"/>
        <v>2.0254517905169186E-2</v>
      </c>
      <c r="E63" s="98">
        <f t="shared" si="13"/>
        <v>9.8658091430340651</v>
      </c>
    </row>
    <row r="64" spans="1:5" x14ac:dyDescent="0.25">
      <c r="B64" s="98">
        <v>354</v>
      </c>
      <c r="C64" s="102">
        <v>793.35000000003492</v>
      </c>
      <c r="D64" s="139">
        <f t="shared" si="1"/>
        <v>1.6986773790530412E-2</v>
      </c>
      <c r="E64" s="98">
        <f t="shared" si="13"/>
        <v>8.2741178515286151</v>
      </c>
    </row>
    <row r="65" spans="1:5" x14ac:dyDescent="0.25">
      <c r="A65" s="98" t="s">
        <v>25</v>
      </c>
      <c r="B65" s="98">
        <v>0</v>
      </c>
      <c r="C65" s="102">
        <v>44.916666666744277</v>
      </c>
      <c r="D65" s="139">
        <f t="shared" si="1"/>
        <v>9.617309587100386E-4</v>
      </c>
      <c r="E65" s="98">
        <f>D65/$D$65</f>
        <v>1</v>
      </c>
    </row>
    <row r="66" spans="1:5" x14ac:dyDescent="0.25">
      <c r="B66" s="98">
        <v>175</v>
      </c>
      <c r="C66" s="102">
        <v>152.5333333335584</v>
      </c>
      <c r="D66" s="139">
        <f t="shared" si="1"/>
        <v>3.2659598271287762E-3</v>
      </c>
      <c r="E66" s="98">
        <f t="shared" ref="E66:E69" si="14">D66/$D$65</f>
        <v>3.3959183673460815</v>
      </c>
    </row>
    <row r="67" spans="1:5" x14ac:dyDescent="0.25">
      <c r="B67" s="98">
        <v>296</v>
      </c>
      <c r="C67" s="102">
        <v>119.6833333336981</v>
      </c>
      <c r="D67" s="139">
        <f t="shared" si="1"/>
        <v>2.5625936974047877E-3</v>
      </c>
      <c r="E67" s="98">
        <f t="shared" si="14"/>
        <v>2.6645640074246675</v>
      </c>
    </row>
    <row r="68" spans="1:5" x14ac:dyDescent="0.25">
      <c r="B68" s="98">
        <v>326</v>
      </c>
      <c r="C68" s="102">
        <v>792.03333333256887</v>
      </c>
      <c r="D68" s="139">
        <f t="shared" si="1"/>
        <v>1.6958582048124442E-2</v>
      </c>
      <c r="E68" s="98">
        <f t="shared" si="14"/>
        <v>17.633395176204832</v>
      </c>
    </row>
    <row r="69" spans="1:5" x14ac:dyDescent="0.25">
      <c r="B69" s="98">
        <v>406</v>
      </c>
      <c r="C69" s="102">
        <v>359.63333333388437</v>
      </c>
      <c r="D69" s="139">
        <f t="shared" si="1"/>
        <v>7.7002711046534889E-3</v>
      </c>
      <c r="E69" s="98">
        <f t="shared" si="14"/>
        <v>8.0066790352488972</v>
      </c>
    </row>
    <row r="70" spans="1:5" x14ac:dyDescent="0.25">
      <c r="B70" s="98">
        <v>446</v>
      </c>
      <c r="C70" s="102">
        <v>5556.0666666658362</v>
      </c>
      <c r="D70" s="139">
        <f t="shared" ref="D70:D83" si="15">C70/$E$1</f>
        <v>0.11896344316096898</v>
      </c>
      <c r="E70" s="98">
        <f>D70/$D$70</f>
        <v>1</v>
      </c>
    </row>
    <row r="71" spans="1:5" x14ac:dyDescent="0.25">
      <c r="A71" s="98" t="s">
        <v>19</v>
      </c>
      <c r="B71" s="98">
        <v>0</v>
      </c>
      <c r="C71" s="102">
        <v>1.0499999999301508</v>
      </c>
      <c r="D71" s="139">
        <f t="shared" si="15"/>
        <v>2.2482022409869082E-5</v>
      </c>
      <c r="E71" s="98">
        <f t="shared" ref="E71:E74" si="16">D71/$D$70</f>
        <v>1.889826135870054E-4</v>
      </c>
    </row>
    <row r="72" spans="1:5" x14ac:dyDescent="0.25">
      <c r="B72" s="98">
        <v>188</v>
      </c>
      <c r="C72" s="102">
        <v>88.316666666418314</v>
      </c>
      <c r="D72" s="139">
        <f t="shared" si="15"/>
        <v>1.8909878850394649E-3</v>
      </c>
      <c r="E72" s="98">
        <f t="shared" si="16"/>
        <v>1.5895537610497508E-2</v>
      </c>
    </row>
    <row r="73" spans="1:5" x14ac:dyDescent="0.25">
      <c r="B73" s="98">
        <v>303</v>
      </c>
      <c r="C73" s="102">
        <v>12.049999999639113</v>
      </c>
      <c r="D73" s="139">
        <f t="shared" si="15"/>
        <v>2.5800797147507675E-4</v>
      </c>
      <c r="E73" s="98">
        <f t="shared" si="16"/>
        <v>2.1688004702920976E-3</v>
      </c>
    </row>
    <row r="74" spans="1:5" x14ac:dyDescent="0.25">
      <c r="B74" s="98">
        <v>333</v>
      </c>
      <c r="C74" s="102">
        <v>312.35000000044238</v>
      </c>
      <c r="D74" s="139">
        <f t="shared" si="15"/>
        <v>6.6878663811425669E-3</v>
      </c>
      <c r="E74" s="98">
        <f t="shared" si="16"/>
        <v>5.6217827959915728E-2</v>
      </c>
    </row>
    <row r="75" spans="1:5" x14ac:dyDescent="0.25">
      <c r="B75" s="98">
        <v>413</v>
      </c>
      <c r="C75" s="102">
        <v>292.39999999932479</v>
      </c>
      <c r="D75" s="139">
        <f t="shared" si="15"/>
        <v>6.2607079553027092E-3</v>
      </c>
      <c r="E75" s="98">
        <f>D75/$D$75</f>
        <v>1</v>
      </c>
    </row>
    <row r="76" spans="1:5" x14ac:dyDescent="0.25">
      <c r="B76" s="98">
        <v>453</v>
      </c>
      <c r="C76" s="102">
        <v>3062.249999998603</v>
      </c>
      <c r="D76" s="139">
        <f t="shared" si="15"/>
        <v>6.5567212503971434E-2</v>
      </c>
      <c r="E76" s="98">
        <f t="shared" ref="E76:E82" si="17">D76/$D$75</f>
        <v>10.472811217529665</v>
      </c>
    </row>
    <row r="77" spans="1:5" x14ac:dyDescent="0.25">
      <c r="A77" s="98" t="s">
        <v>69</v>
      </c>
      <c r="B77" s="98">
        <v>0</v>
      </c>
      <c r="C77" s="102">
        <v>1123.5833333318587</v>
      </c>
      <c r="D77" s="139">
        <f t="shared" si="15"/>
        <v>2.4057548267621572E-2</v>
      </c>
      <c r="E77" s="98">
        <f t="shared" si="17"/>
        <v>3.8426242590097583</v>
      </c>
    </row>
    <row r="78" spans="1:5" x14ac:dyDescent="0.25">
      <c r="B78" s="98">
        <v>440</v>
      </c>
      <c r="C78" s="102">
        <v>274.88333333353512</v>
      </c>
      <c r="D78" s="139">
        <f t="shared" si="15"/>
        <v>5.8856507243001495E-3</v>
      </c>
      <c r="E78" s="98">
        <f t="shared" si="17"/>
        <v>0.94009347925502695</v>
      </c>
    </row>
    <row r="79" spans="1:5" x14ac:dyDescent="0.25">
      <c r="B79" s="98">
        <v>570</v>
      </c>
      <c r="C79" s="102">
        <v>77.383333332894836</v>
      </c>
      <c r="D79" s="139">
        <f t="shared" si="15"/>
        <v>1.6568893659583267E-3</v>
      </c>
      <c r="E79" s="98">
        <f t="shared" si="17"/>
        <v>0.26464888280804899</v>
      </c>
    </row>
    <row r="80" spans="1:5" x14ac:dyDescent="0.25">
      <c r="B80" s="98">
        <v>600</v>
      </c>
      <c r="C80" s="102">
        <v>897.04999999981374</v>
      </c>
      <c r="D80" s="139">
        <f t="shared" si="15"/>
        <v>1.920714114677188E-2</v>
      </c>
      <c r="E80" s="98">
        <f>D80/$D$75</f>
        <v>3.0678864569147919</v>
      </c>
    </row>
    <row r="81" spans="1:5" x14ac:dyDescent="0.25">
      <c r="B81" s="98">
        <v>680</v>
      </c>
      <c r="C81" s="102">
        <v>1659.9166666666861</v>
      </c>
      <c r="D81" s="139">
        <f t="shared" si="15"/>
        <v>3.554122257237919E-2</v>
      </c>
      <c r="E81" s="98">
        <f t="shared" si="17"/>
        <v>5.6768695850564956</v>
      </c>
    </row>
    <row r="82" spans="1:5" x14ac:dyDescent="0.25">
      <c r="B82" s="98">
        <v>720</v>
      </c>
      <c r="C82" s="102">
        <v>4954.2000000007683</v>
      </c>
      <c r="D82" s="139">
        <f t="shared" si="15"/>
        <v>0.10607660517180956</v>
      </c>
      <c r="E82" s="98">
        <f t="shared" si="17"/>
        <v>16.943228454214118</v>
      </c>
    </row>
    <row r="83" spans="1:5" x14ac:dyDescent="0.25">
      <c r="A83" s="98" t="s">
        <v>74</v>
      </c>
      <c r="C83" s="102">
        <v>69122.449999996636</v>
      </c>
      <c r="D83" s="139">
        <f t="shared" si="15"/>
        <v>1.4800118762174828</v>
      </c>
    </row>
    <row r="84" spans="1:5" x14ac:dyDescent="0.25">
      <c r="D84" s="139"/>
    </row>
    <row r="85" spans="1:5" x14ac:dyDescent="0.25">
      <c r="D85" s="139"/>
    </row>
    <row r="86" spans="1:5" x14ac:dyDescent="0.25">
      <c r="D86" s="139"/>
    </row>
    <row r="87" spans="1:5" x14ac:dyDescent="0.25">
      <c r="D87" s="139"/>
    </row>
    <row r="88" spans="1:5" x14ac:dyDescent="0.25">
      <c r="D88" s="139"/>
    </row>
    <row r="89" spans="1:5" x14ac:dyDescent="0.25">
      <c r="D89" s="139"/>
    </row>
    <row r="90" spans="1:5" x14ac:dyDescent="0.25">
      <c r="D90" s="139"/>
    </row>
    <row r="91" spans="1:5" x14ac:dyDescent="0.25">
      <c r="D91" s="139"/>
    </row>
    <row r="92" spans="1:5" x14ac:dyDescent="0.25">
      <c r="D92" s="139"/>
    </row>
    <row r="93" spans="1:5" x14ac:dyDescent="0.25">
      <c r="D93" s="139"/>
    </row>
    <row r="94" spans="1:5" x14ac:dyDescent="0.25">
      <c r="D94" s="139"/>
    </row>
    <row r="95" spans="1:5" x14ac:dyDescent="0.25">
      <c r="D95" s="139"/>
    </row>
    <row r="96" spans="1:5" x14ac:dyDescent="0.25">
      <c r="D96" s="190"/>
    </row>
    <row r="97" spans="4:4" x14ac:dyDescent="0.25">
      <c r="D97" s="190"/>
    </row>
    <row r="98" spans="4:4" x14ac:dyDescent="0.25">
      <c r="D98" s="190"/>
    </row>
    <row r="99" spans="4:4" x14ac:dyDescent="0.25">
      <c r="D99" s="190"/>
    </row>
  </sheetData>
  <pageMargins left="0.7" right="0.7" top="0.75" bottom="0.75" header="0.3" footer="0.3"/>
  <pageSetup orientation="portrait" r:id="rId2"/>
  <headerFooter>
    <oddHeader>&amp;R&amp;"Times New Roman,Bold"&amp;12Case No. 2018-00294
Attachment 2 to Response to AG-2 Question No. 5
Page &amp;P of &amp;N
Sinclair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107"/>
  <sheetViews>
    <sheetView zoomScale="80" zoomScaleNormal="80" workbookViewId="0">
      <selection activeCell="F14" sqref="F14"/>
    </sheetView>
  </sheetViews>
  <sheetFormatPr defaultColWidth="9.140625" defaultRowHeight="15" x14ac:dyDescent="0.25"/>
  <cols>
    <col min="1" max="1" width="36" style="89" bestFit="1" customWidth="1"/>
    <col min="2" max="2" width="7.42578125" style="89" customWidth="1"/>
    <col min="3" max="3" width="11.5703125" style="89" bestFit="1" customWidth="1"/>
    <col min="4" max="7" width="9.140625" style="89"/>
    <col min="8" max="8" width="10.42578125" style="89" bestFit="1" customWidth="1"/>
    <col min="9" max="9" width="9.140625" style="89"/>
    <col min="10" max="10" width="2.42578125" style="89" customWidth="1"/>
    <col min="11" max="11" width="11.5703125" style="89" bestFit="1" customWidth="1"/>
    <col min="12" max="13" width="9.140625" style="89"/>
    <col min="14" max="14" width="10.5703125" style="89" customWidth="1"/>
    <col min="15" max="17" width="9.140625" style="89"/>
    <col min="18" max="18" width="2.42578125" style="89" customWidth="1"/>
    <col min="19" max="19" width="11.5703125" style="89" bestFit="1" customWidth="1"/>
    <col min="20" max="25" width="9.140625" style="89"/>
    <col min="26" max="26" width="2.42578125" style="89" customWidth="1"/>
    <col min="27" max="27" width="11.5703125" style="89" bestFit="1" customWidth="1"/>
    <col min="28" max="33" width="9.140625" style="89"/>
    <col min="34" max="34" width="2.42578125" style="89" customWidth="1"/>
    <col min="35" max="35" width="11.5703125" style="89" bestFit="1" customWidth="1"/>
    <col min="36" max="41" width="9.140625" style="89"/>
    <col min="42" max="16384" width="9.140625" style="98"/>
  </cols>
  <sheetData>
    <row r="1" spans="1:257" ht="25.5" x14ac:dyDescent="0.35">
      <c r="A1" s="42" t="s">
        <v>180</v>
      </c>
      <c r="B1" s="42"/>
      <c r="C1" s="41"/>
      <c r="D1" s="41"/>
      <c r="E1" s="41"/>
      <c r="F1" s="41"/>
      <c r="G1" s="41"/>
      <c r="H1" s="41"/>
      <c r="I1" s="41"/>
      <c r="J1" s="41"/>
      <c r="K1" s="45"/>
      <c r="L1" s="45"/>
      <c r="M1" s="45"/>
      <c r="N1" s="45"/>
      <c r="O1" s="45"/>
      <c r="P1" s="45"/>
      <c r="Q1" s="45"/>
      <c r="R1" s="41"/>
      <c r="S1" s="45"/>
      <c r="T1" s="45"/>
      <c r="U1" s="45"/>
      <c r="V1" s="45"/>
      <c r="W1" s="45"/>
      <c r="X1" s="45"/>
      <c r="Y1" s="45"/>
      <c r="Z1" s="41"/>
      <c r="AA1" s="45"/>
      <c r="AB1" s="45"/>
      <c r="AC1" s="45"/>
      <c r="AD1" s="45"/>
      <c r="AE1" s="45"/>
      <c r="AF1" s="45"/>
      <c r="AG1" s="45"/>
      <c r="AH1" s="41"/>
      <c r="AI1" s="45"/>
      <c r="AJ1" s="45"/>
      <c r="AK1" s="45"/>
      <c r="AL1" s="45"/>
      <c r="AM1" s="45"/>
      <c r="AN1" s="45"/>
      <c r="AO1" s="45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  <c r="IW1" s="43"/>
    </row>
    <row r="2" spans="1:257" ht="25.5" x14ac:dyDescent="0.35">
      <c r="A2" s="42" t="s">
        <v>4981</v>
      </c>
      <c r="B2" s="42"/>
      <c r="C2" s="41"/>
      <c r="D2" s="41"/>
      <c r="E2" s="41"/>
      <c r="F2" s="41"/>
      <c r="G2" s="41"/>
      <c r="H2" s="41"/>
      <c r="I2" s="41"/>
      <c r="J2" s="41"/>
      <c r="K2" s="45"/>
      <c r="L2" s="45"/>
      <c r="M2" s="45"/>
      <c r="N2" s="62"/>
      <c r="O2" s="45"/>
      <c r="P2" s="45"/>
      <c r="Q2" s="45"/>
      <c r="R2" s="41"/>
      <c r="S2" s="45"/>
      <c r="T2" s="45"/>
      <c r="U2" s="45"/>
      <c r="V2" s="45"/>
      <c r="W2" s="45"/>
      <c r="X2" s="45"/>
      <c r="Y2" s="45"/>
      <c r="Z2" s="41"/>
      <c r="AA2" s="45"/>
      <c r="AB2" s="45"/>
      <c r="AC2" s="45"/>
      <c r="AD2" s="45"/>
      <c r="AE2" s="45"/>
      <c r="AF2" s="45"/>
      <c r="AG2" s="45"/>
      <c r="AH2" s="41"/>
      <c r="AI2" s="45"/>
      <c r="AJ2" s="45"/>
      <c r="AK2" s="45"/>
      <c r="AL2" s="45"/>
      <c r="AM2" s="45"/>
      <c r="AN2" s="45"/>
      <c r="AO2" s="45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</row>
    <row r="3" spans="1:257" ht="25.5" customHeight="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  <c r="IW3" s="43"/>
    </row>
    <row r="4" spans="1:257" ht="25.5" x14ac:dyDescent="0.35">
      <c r="A4" s="44"/>
      <c r="B4" s="44"/>
      <c r="C4" s="44">
        <f>'INP-Calc EFOR&amp;EUOR - 2019Plan'!C9</f>
        <v>2018</v>
      </c>
      <c r="D4" s="44"/>
      <c r="E4" s="44"/>
      <c r="F4" s="44"/>
      <c r="G4" s="44"/>
      <c r="H4" s="44"/>
      <c r="I4" s="44"/>
      <c r="J4" s="41"/>
      <c r="K4" s="44">
        <f>C4+1</f>
        <v>2019</v>
      </c>
      <c r="L4" s="44"/>
      <c r="M4" s="44"/>
      <c r="N4" s="44"/>
      <c r="O4" s="44"/>
      <c r="P4" s="44"/>
      <c r="Q4" s="44"/>
      <c r="R4" s="41"/>
      <c r="S4" s="44">
        <f>K4+1</f>
        <v>2020</v>
      </c>
      <c r="T4" s="44"/>
      <c r="U4" s="44"/>
      <c r="V4" s="44"/>
      <c r="W4" s="44"/>
      <c r="X4" s="44"/>
      <c r="Y4" s="44"/>
      <c r="Z4" s="41"/>
      <c r="AA4" s="44">
        <f>S4+1</f>
        <v>2021</v>
      </c>
      <c r="AB4" s="44"/>
      <c r="AC4" s="44"/>
      <c r="AD4" s="44"/>
      <c r="AE4" s="44"/>
      <c r="AF4" s="44"/>
      <c r="AG4" s="44"/>
      <c r="AH4" s="41"/>
      <c r="AI4" s="44">
        <f>AA4+1</f>
        <v>2022</v>
      </c>
      <c r="AJ4" s="44"/>
      <c r="AK4" s="44"/>
      <c r="AL4" s="44"/>
      <c r="AM4" s="44"/>
      <c r="AN4" s="44"/>
      <c r="AO4" s="44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spans="1:257" x14ac:dyDescent="0.25">
      <c r="A5" s="35" t="s">
        <v>77</v>
      </c>
      <c r="B5" s="73"/>
      <c r="C5" s="36" t="s">
        <v>21</v>
      </c>
      <c r="D5" s="35" t="s">
        <v>181</v>
      </c>
      <c r="E5" s="140">
        <f>VLOOKUP(C5,'INP-Calc EFOR&amp;EUOR - 2019Plan'!$A$11:$AE$36,21)</f>
        <v>3.6987512384693201E-2</v>
      </c>
      <c r="F5" s="35" t="s">
        <v>226</v>
      </c>
      <c r="G5" s="140">
        <f>VLOOKUP(C5,'INP-Calc EFOR&amp;EUOR - 2019Plan'!$A$11:$AE$36,27)</f>
        <v>2.0781129915421366E-2</v>
      </c>
      <c r="H5" s="35" t="s">
        <v>182</v>
      </c>
      <c r="I5" s="140">
        <f>VLOOKUP(C5,'INP-Calc EFOR&amp;EUOR - 2019Plan'!$A$11:$AE$36,15)</f>
        <v>2.8000000000000001E-2</v>
      </c>
      <c r="J5" s="46"/>
      <c r="K5" s="36" t="s">
        <v>21</v>
      </c>
      <c r="L5" s="35" t="s">
        <v>181</v>
      </c>
      <c r="M5" s="140">
        <f>VLOOKUP(K5,'INP-Calc EFOR&amp;EUOR - 2019Plan'!$A$11:$AE$36,22)</f>
        <v>3.6987512384693201E-2</v>
      </c>
      <c r="N5" s="35" t="s">
        <v>226</v>
      </c>
      <c r="O5" s="140">
        <f>VLOOKUP(K5,'INP-Calc EFOR&amp;EUOR - 2019Plan'!$A$11:$AE$36,28)</f>
        <v>2.0781129915421366E-2</v>
      </c>
      <c r="P5" s="35" t="s">
        <v>182</v>
      </c>
      <c r="Q5" s="140">
        <f>VLOOKUP(K5,'INP-Calc EFOR&amp;EUOR - 2019Plan'!$A$11:$AE$36,16)</f>
        <v>2.8000000000000001E-2</v>
      </c>
      <c r="R5" s="46"/>
      <c r="S5" s="36" t="s">
        <v>21</v>
      </c>
      <c r="T5" s="35" t="s">
        <v>181</v>
      </c>
      <c r="U5" s="140">
        <f>VLOOKUP(S5,'INP-Calc EFOR&amp;EUOR - 2019Plan'!$A$11:$AE$36,23)</f>
        <v>3.6987512384693201E-2</v>
      </c>
      <c r="V5" s="35" t="s">
        <v>226</v>
      </c>
      <c r="W5" s="140">
        <f>VLOOKUP(S5,'INP-Calc EFOR&amp;EUOR - 2019Plan'!$A$11:$AE$36,29)</f>
        <v>2.0781129915421366E-2</v>
      </c>
      <c r="X5" s="35" t="s">
        <v>182</v>
      </c>
      <c r="Y5" s="140">
        <f>VLOOKUP(S5,'INP-Calc EFOR&amp;EUOR - 2019Plan'!$A$11:$AE$36,17)</f>
        <v>2.8000000000000001E-2</v>
      </c>
      <c r="Z5" s="46"/>
      <c r="AA5" s="36" t="s">
        <v>21</v>
      </c>
      <c r="AB5" s="35" t="s">
        <v>181</v>
      </c>
      <c r="AC5" s="140">
        <f>VLOOKUP(AA5,'INP-Calc EFOR&amp;EUOR - 2019Plan'!$A$11:$AE$36,24)</f>
        <v>3.6987512384693201E-2</v>
      </c>
      <c r="AD5" s="35" t="s">
        <v>226</v>
      </c>
      <c r="AE5" s="140">
        <f>VLOOKUP(AA5,'INP-Calc EFOR&amp;EUOR - 2019Plan'!$A$11:$AE$36,30)</f>
        <v>2.0781129915421366E-2</v>
      </c>
      <c r="AF5" s="35" t="s">
        <v>182</v>
      </c>
      <c r="AG5" s="140">
        <f>VLOOKUP(AA5,'INP-Calc EFOR&amp;EUOR - 2019Plan'!$A$11:$AE$36,18)</f>
        <v>2.8000000000000001E-2</v>
      </c>
      <c r="AH5" s="46"/>
      <c r="AI5" s="36" t="s">
        <v>21</v>
      </c>
      <c r="AJ5" s="35" t="s">
        <v>181</v>
      </c>
      <c r="AK5" s="140">
        <f>VLOOKUP(AI5,'INP-Calc EFOR&amp;EUOR - 2019Plan'!$A$11:$AE$36,25)</f>
        <v>3.6987512384693201E-2</v>
      </c>
      <c r="AL5" s="35" t="s">
        <v>226</v>
      </c>
      <c r="AM5" s="140">
        <f>VLOOKUP(AI5,'INP-Calc EFOR&amp;EUOR - 2019Plan'!$A$11:$AE$36,31)</f>
        <v>2.0781129915421366E-2</v>
      </c>
      <c r="AN5" s="35" t="s">
        <v>182</v>
      </c>
      <c r="AO5" s="141">
        <f>VLOOKUP(AI5,'INP-Calc EFOR&amp;EUOR - 2019Plan'!$A$11:$AE$36,19)</f>
        <v>2.8000000000000001E-2</v>
      </c>
    </row>
    <row r="6" spans="1:257" x14ac:dyDescent="0.25">
      <c r="A6" s="36"/>
      <c r="B6" s="36"/>
      <c r="C6" s="36"/>
      <c r="D6" s="36"/>
      <c r="E6" s="36"/>
      <c r="F6" s="36"/>
      <c r="G6" s="37"/>
      <c r="H6" s="36"/>
      <c r="I6" s="36"/>
      <c r="J6" s="47"/>
      <c r="K6" s="36"/>
      <c r="L6" s="36"/>
      <c r="M6" s="36"/>
      <c r="N6" s="36"/>
      <c r="O6" s="37"/>
      <c r="P6" s="36"/>
      <c r="Q6" s="36"/>
      <c r="R6" s="47"/>
      <c r="S6" s="36"/>
      <c r="T6" s="36"/>
      <c r="U6" s="36"/>
      <c r="V6" s="36"/>
      <c r="W6" s="37"/>
      <c r="X6" s="36"/>
      <c r="Y6" s="36"/>
      <c r="Z6" s="47"/>
      <c r="AA6" s="36"/>
      <c r="AB6" s="36"/>
      <c r="AC6" s="36"/>
      <c r="AD6" s="36"/>
      <c r="AE6" s="37"/>
      <c r="AF6" s="36"/>
      <c r="AG6" s="36"/>
      <c r="AH6" s="47"/>
      <c r="AI6" s="36"/>
      <c r="AJ6" s="36"/>
      <c r="AK6" s="36"/>
      <c r="AL6" s="36"/>
      <c r="AM6" s="37"/>
      <c r="AN6" s="36"/>
      <c r="AO6" s="36"/>
    </row>
    <row r="7" spans="1:257" x14ac:dyDescent="0.25">
      <c r="A7" s="37" t="s">
        <v>146</v>
      </c>
      <c r="B7" s="37"/>
      <c r="C7" s="104">
        <v>1</v>
      </c>
      <c r="D7" s="38">
        <f>C7+1</f>
        <v>2</v>
      </c>
      <c r="E7" s="38">
        <f t="shared" ref="E7:H7" si="0">D7+1</f>
        <v>3</v>
      </c>
      <c r="F7" s="38">
        <f t="shared" si="0"/>
        <v>4</v>
      </c>
      <c r="G7" s="38">
        <f t="shared" si="0"/>
        <v>5</v>
      </c>
      <c r="H7" s="38">
        <f t="shared" si="0"/>
        <v>6</v>
      </c>
      <c r="I7" s="38" t="s">
        <v>147</v>
      </c>
      <c r="J7" s="47"/>
      <c r="K7" s="104">
        <v>1</v>
      </c>
      <c r="L7" s="38">
        <f>K7+1</f>
        <v>2</v>
      </c>
      <c r="M7" s="38">
        <f t="shared" ref="M7:P7" si="1">L7+1</f>
        <v>3</v>
      </c>
      <c r="N7" s="38">
        <f t="shared" si="1"/>
        <v>4</v>
      </c>
      <c r="O7" s="38">
        <f t="shared" si="1"/>
        <v>5</v>
      </c>
      <c r="P7" s="38">
        <f t="shared" si="1"/>
        <v>6</v>
      </c>
      <c r="Q7" s="38" t="s">
        <v>147</v>
      </c>
      <c r="R7" s="47"/>
      <c r="S7" s="104">
        <v>1</v>
      </c>
      <c r="T7" s="38">
        <f>S7+1</f>
        <v>2</v>
      </c>
      <c r="U7" s="38">
        <f t="shared" ref="U7:X7" si="2">T7+1</f>
        <v>3</v>
      </c>
      <c r="V7" s="38">
        <f t="shared" si="2"/>
        <v>4</v>
      </c>
      <c r="W7" s="38">
        <f t="shared" si="2"/>
        <v>5</v>
      </c>
      <c r="X7" s="38">
        <f t="shared" si="2"/>
        <v>6</v>
      </c>
      <c r="Y7" s="38" t="s">
        <v>147</v>
      </c>
      <c r="Z7" s="47"/>
      <c r="AA7" s="104">
        <v>1</v>
      </c>
      <c r="AB7" s="38">
        <f>AA7+1</f>
        <v>2</v>
      </c>
      <c r="AC7" s="38">
        <f t="shared" ref="AC7:AF7" si="3">AB7+1</f>
        <v>3</v>
      </c>
      <c r="AD7" s="38">
        <f t="shared" si="3"/>
        <v>4</v>
      </c>
      <c r="AE7" s="38">
        <f t="shared" si="3"/>
        <v>5</v>
      </c>
      <c r="AF7" s="38">
        <f t="shared" si="3"/>
        <v>6</v>
      </c>
      <c r="AG7" s="38" t="s">
        <v>147</v>
      </c>
      <c r="AH7" s="47"/>
      <c r="AI7" s="104">
        <v>1</v>
      </c>
      <c r="AJ7" s="38">
        <f>AI7+1</f>
        <v>2</v>
      </c>
      <c r="AK7" s="38">
        <f t="shared" ref="AK7:AN7" si="4">AJ7+1</f>
        <v>3</v>
      </c>
      <c r="AL7" s="38">
        <f t="shared" si="4"/>
        <v>4</v>
      </c>
      <c r="AM7" s="38">
        <f t="shared" si="4"/>
        <v>5</v>
      </c>
      <c r="AN7" s="38">
        <f t="shared" si="4"/>
        <v>6</v>
      </c>
      <c r="AO7" s="38" t="s">
        <v>147</v>
      </c>
    </row>
    <row r="8" spans="1:257" x14ac:dyDescent="0.25">
      <c r="A8" s="36" t="s">
        <v>148</v>
      </c>
      <c r="B8" s="36"/>
      <c r="C8" s="142">
        <f>INDEX('Calc-Pivot abvals'!$H$20:$M$32,MATCH($C5,'Calc-Pivot abvals'!$G$20:$G$32,0),MATCH(C$7,'Calc-Pivot abvals'!$H$19:$M$19,0))</f>
        <v>37</v>
      </c>
      <c r="D8" s="142">
        <f>INDEX('Calc-Pivot abvals'!$H$20:$M$32,MATCH($C5,'Calc-Pivot abvals'!$G$20:$G$32,0),MATCH(D$7,'Calc-Pivot abvals'!$H$19:$M$19,0))</f>
        <v>74</v>
      </c>
      <c r="E8" s="142">
        <f>INDEX('Calc-Pivot abvals'!$H$20:$M$32,MATCH($C5,'Calc-Pivot abvals'!$G$20:$G$32,0),MATCH(E$7,'Calc-Pivot abvals'!$H$19:$M$19,0))</f>
        <v>77</v>
      </c>
      <c r="F8" s="142">
        <f>INDEX('Calc-Pivot abvals'!$H$20:$M$32,MATCH($C5,'Calc-Pivot abvals'!$G$20:$G$32,0),MATCH(F$7,'Calc-Pivot abvals'!$H$19:$M$19,0))</f>
        <v>87</v>
      </c>
      <c r="G8" s="142">
        <f>INDEX('Calc-Pivot abvals'!$H$20:$M$32,MATCH($C5,'Calc-Pivot abvals'!$G$20:$G$32,0),MATCH(G$7,'Calc-Pivot abvals'!$H$19:$M$19,0))</f>
        <v>97</v>
      </c>
      <c r="H8" s="142">
        <f>INDEX('Calc-Pivot abvals'!$H$20:$M$32,MATCH($C5,'Calc-Pivot abvals'!$G$20:$G$32,0),MATCH(H$7,'Calc-Pivot abvals'!$H$19:$M$19,0))</f>
        <v>107</v>
      </c>
      <c r="I8" s="142">
        <f>VLOOKUP(A5,Lookup!$L$5:$M$19,2,FALSE)</f>
        <v>107</v>
      </c>
      <c r="J8" s="46" t="s">
        <v>149</v>
      </c>
      <c r="K8" s="142">
        <f>INDEX('Calc-Pivot abvals'!$H$20:$M$32,MATCH($K5,'Calc-Pivot abvals'!$G$20:$G$32,0),MATCH(K$7,'Calc-Pivot abvals'!$H$19:$M$19,0))</f>
        <v>37</v>
      </c>
      <c r="L8" s="142">
        <f>INDEX('Calc-Pivot abvals'!$H$20:$M$32,MATCH($K5,'Calc-Pivot abvals'!$G$20:$G$32,0),MATCH(L$7,'Calc-Pivot abvals'!$H$19:$M$19,0))</f>
        <v>74</v>
      </c>
      <c r="M8" s="142">
        <f>INDEX('Calc-Pivot abvals'!$H$20:$M$32,MATCH($K5,'Calc-Pivot abvals'!$G$20:$G$32,0),MATCH(M$7,'Calc-Pivot abvals'!$H$19:$M$19,0))</f>
        <v>77</v>
      </c>
      <c r="N8" s="142">
        <f>INDEX('Calc-Pivot abvals'!$H$20:$M$32,MATCH($K5,'Calc-Pivot abvals'!$G$20:$G$32,0),MATCH(N$7,'Calc-Pivot abvals'!$H$19:$M$19,0))</f>
        <v>87</v>
      </c>
      <c r="O8" s="142">
        <f>INDEX('Calc-Pivot abvals'!$H$20:$M$32,MATCH($K5,'Calc-Pivot abvals'!$G$20:$G$32,0),MATCH(O$7,'Calc-Pivot abvals'!$H$19:$M$19,0))</f>
        <v>97</v>
      </c>
      <c r="P8" s="142">
        <f>INDEX('Calc-Pivot abvals'!$H$20:$M$32,MATCH($K5,'Calc-Pivot abvals'!$G$20:$G$32,0),MATCH(P$7,'Calc-Pivot abvals'!$H$19:$M$19,0))</f>
        <v>107</v>
      </c>
      <c r="Q8" s="142">
        <f>VLOOKUP(A5,Lookup!$L$5:$M$19,2,FALSE)</f>
        <v>107</v>
      </c>
      <c r="R8" s="46" t="s">
        <v>149</v>
      </c>
      <c r="S8" s="142">
        <f>INDEX('Calc-Pivot abvals'!$H$20:$M$32,MATCH($S5,'Calc-Pivot abvals'!$G$20:$G$32,0),MATCH(S$7,'Calc-Pivot abvals'!$H$19:$M$19,0))</f>
        <v>37</v>
      </c>
      <c r="T8" s="142">
        <f>INDEX('Calc-Pivot abvals'!$H$20:$M$32,MATCH($S5,'Calc-Pivot abvals'!$G$20:$G$32,0),MATCH(T$7,'Calc-Pivot abvals'!$H$19:$M$19,0))</f>
        <v>74</v>
      </c>
      <c r="U8" s="142">
        <f>INDEX('Calc-Pivot abvals'!$H$20:$M$32,MATCH($S5,'Calc-Pivot abvals'!$G$20:$G$32,0),MATCH(U$7,'Calc-Pivot abvals'!$H$19:$M$19,0))</f>
        <v>77</v>
      </c>
      <c r="V8" s="142">
        <f>INDEX('Calc-Pivot abvals'!$H$20:$M$32,MATCH($S5,'Calc-Pivot abvals'!$G$20:$G$32,0),MATCH(V$7,'Calc-Pivot abvals'!$H$19:$M$19,0))</f>
        <v>87</v>
      </c>
      <c r="W8" s="142">
        <f>INDEX('Calc-Pivot abvals'!$H$20:$M$32,MATCH($S5,'Calc-Pivot abvals'!$G$20:$G$32,0),MATCH(W$7,'Calc-Pivot abvals'!$H$19:$M$19,0))</f>
        <v>97</v>
      </c>
      <c r="X8" s="142">
        <f>INDEX('Calc-Pivot abvals'!$H$20:$M$32,MATCH($S5,'Calc-Pivot abvals'!$G$20:$G$32,0),MATCH(X$7,'Calc-Pivot abvals'!$H$19:$M$19,0))</f>
        <v>107</v>
      </c>
      <c r="Y8" s="142">
        <f>VLOOKUP(A5,Lookup!$L$5:$M$19,2,FALSE)</f>
        <v>107</v>
      </c>
      <c r="Z8" s="46" t="s">
        <v>149</v>
      </c>
      <c r="AA8" s="142">
        <f>INDEX('Calc-Pivot abvals'!$H$20:$M$32,MATCH($AA5,'Calc-Pivot abvals'!$G$20:$G$32,0),MATCH(AA$7,'Calc-Pivot abvals'!$H$19:$M$19,0))</f>
        <v>37</v>
      </c>
      <c r="AB8" s="142">
        <f>INDEX('Calc-Pivot abvals'!$H$20:$M$32,MATCH($AA5,'Calc-Pivot abvals'!$G$20:$G$32,0),MATCH(AB$7,'Calc-Pivot abvals'!$H$19:$M$19,0))</f>
        <v>74</v>
      </c>
      <c r="AC8" s="142">
        <f>INDEX('Calc-Pivot abvals'!$H$20:$M$32,MATCH($AA5,'Calc-Pivot abvals'!$G$20:$G$32,0),MATCH(AC$7,'Calc-Pivot abvals'!$H$19:$M$19,0))</f>
        <v>77</v>
      </c>
      <c r="AD8" s="142">
        <f>INDEX('Calc-Pivot abvals'!$H$20:$M$32,MATCH($AA5,'Calc-Pivot abvals'!$G$20:$G$32,0),MATCH(AD$7,'Calc-Pivot abvals'!$H$19:$M$19,0))</f>
        <v>87</v>
      </c>
      <c r="AE8" s="142">
        <f>INDEX('Calc-Pivot abvals'!$H$20:$M$32,MATCH($AA5,'Calc-Pivot abvals'!$G$20:$G$32,0),MATCH(AE$7,'Calc-Pivot abvals'!$H$19:$M$19,0))</f>
        <v>97</v>
      </c>
      <c r="AF8" s="142">
        <f>INDEX('Calc-Pivot abvals'!$H$20:$M$32,MATCH($AA5,'Calc-Pivot abvals'!$G$20:$G$32,0),MATCH(AF$7,'Calc-Pivot abvals'!$H$19:$M$19,0))</f>
        <v>107</v>
      </c>
      <c r="AG8" s="142">
        <f>VLOOKUP(A5,Lookup!$L$5:$M$19,2,FALSE)</f>
        <v>107</v>
      </c>
      <c r="AH8" s="46" t="s">
        <v>149</v>
      </c>
      <c r="AI8" s="142">
        <f>INDEX('Calc-Pivot abvals'!$H$20:$M$32,MATCH($AI5,'Calc-Pivot abvals'!$G$20:$G$32,0),MATCH(AI$7,'Calc-Pivot abvals'!$H$19:$M$19,0))</f>
        <v>37</v>
      </c>
      <c r="AJ8" s="142">
        <f>INDEX('Calc-Pivot abvals'!$H$20:$M$32,MATCH($AI5,'Calc-Pivot abvals'!$G$20:$G$32,0),MATCH(AJ$7,'Calc-Pivot abvals'!$H$19:$M$19,0))</f>
        <v>74</v>
      </c>
      <c r="AK8" s="142">
        <f>INDEX('Calc-Pivot abvals'!$H$20:$M$32,MATCH($AI5,'Calc-Pivot abvals'!$G$20:$G$32,0),MATCH(AK$7,'Calc-Pivot abvals'!$H$19:$M$19,0))</f>
        <v>77</v>
      </c>
      <c r="AL8" s="142">
        <f>INDEX('Calc-Pivot abvals'!$H$20:$M$32,MATCH($AI5,'Calc-Pivot abvals'!$G$20:$G$32,0),MATCH(AL$7,'Calc-Pivot abvals'!$H$19:$M$19,0))</f>
        <v>87</v>
      </c>
      <c r="AM8" s="142">
        <f>INDEX('Calc-Pivot abvals'!$H$20:$M$32,MATCH($AI5,'Calc-Pivot abvals'!$G$20:$G$32,0),MATCH(AM$7,'Calc-Pivot abvals'!$H$19:$M$19,0))</f>
        <v>97</v>
      </c>
      <c r="AN8" s="142">
        <f>INDEX('Calc-Pivot abvals'!$H$20:$M$32,MATCH($AI5,'Calc-Pivot abvals'!$G$20:$G$32,0),MATCH(AN$7,'Calc-Pivot abvals'!$H$19:$M$19,0))</f>
        <v>107</v>
      </c>
      <c r="AO8" s="142">
        <f>VLOOKUP(A5,Lookup!$L$5:$M$19,2,FALSE)</f>
        <v>107</v>
      </c>
    </row>
    <row r="9" spans="1:257" x14ac:dyDescent="0.25">
      <c r="A9" s="35" t="s">
        <v>150</v>
      </c>
      <c r="B9" s="35"/>
      <c r="C9" s="78">
        <f ca="1">INDEX(AvailableStates!$D$3:$I$82,MATCH($C5,AvailableStates!$B$3:$B$82,0)+MATCH('Calc- Prosym Setup'!$C$4,AvailableStates!$C$3:$C$7)-1,MATCH('Calc- Prosym Setup'!C$7,AvailableStates!$D$2:$I$2,0))</f>
        <v>1.1074801930304682E-4</v>
      </c>
      <c r="D9" s="78">
        <f ca="1">INDEX(AvailableStates!$D$3:$I$82,MATCH($C5,AvailableStates!$B$3:$B$82,0)+MATCH('Calc- Prosym Setup'!$C$4,AvailableStates!$C$3:$C$7)-1,MATCH('Calc- Prosym Setup'!D$7,AvailableStates!$D$2:$I$2,0))</f>
        <v>3.3494130809611743E-2</v>
      </c>
      <c r="E9" s="78">
        <f ca="1">INDEX(AvailableStates!$D$3:$I$82,MATCH($C5,AvailableStates!$B$3:$B$82,0)+MATCH('Calc- Prosym Setup'!$C$4,AvailableStates!$C$3:$C$7)-1,MATCH('Calc- Prosym Setup'!E$7,AvailableStates!$D$2:$I$2,0))</f>
        <v>9.2188794788731904E-3</v>
      </c>
      <c r="F9" s="78">
        <f ca="1">INDEX(AvailableStates!$D$3:$I$82,MATCH($C5,AvailableStates!$B$3:$B$82,0)+MATCH('Calc- Prosym Setup'!$C$4,AvailableStates!$C$3:$C$7)-1,MATCH('Calc- Prosym Setup'!F$7,AvailableStates!$D$2:$I$2,0))</f>
        <v>3.0730789101994099E-2</v>
      </c>
      <c r="G9" s="78">
        <f ca="1">INDEX(AvailableStates!$D$3:$I$82,MATCH($C5,AvailableStates!$B$3:$B$82,0)+MATCH('Calc- Prosym Setup'!$C$4,AvailableStates!$C$3:$C$7)-1,MATCH('Calc- Prosym Setup'!G$7,AvailableStates!$D$2:$I$2,0))</f>
        <v>1.3709533036335007E-2</v>
      </c>
      <c r="H9" s="78">
        <f ca="1">INDEX(AvailableStates!$D$3:$I$82,MATCH($C5,AvailableStates!$B$3:$B$82,0)+MATCH('Calc- Prosym Setup'!$C$4,AvailableStates!$C$3:$C$7)-1,MATCH('Calc- Prosym Setup'!H$7,AvailableStates!$D$2:$I$2,0))</f>
        <v>0.84774840716918964</v>
      </c>
      <c r="I9" s="78">
        <f ca="1">SUM(C9:H9)</f>
        <v>0.93501248761530675</v>
      </c>
      <c r="J9" s="47"/>
      <c r="K9" s="78">
        <f ca="1">INDEX(AvailableStates!$D$3:$I$82,MATCH($K5,AvailableStates!$B$3:$B$82,0)+MATCH('Calc- Prosym Setup'!$K$4,AvailableStates!$C$3:$C$7)-1,MATCH('Calc- Prosym Setup'!K$7,AvailableStates!$D$2:$I$2,0))</f>
        <v>1.1074801930304682E-4</v>
      </c>
      <c r="L9" s="78">
        <f ca="1">INDEX(AvailableStates!$D$3:$I$82,MATCH($K5,AvailableStates!$B$3:$B$82,0)+MATCH('Calc- Prosym Setup'!$K$4,AvailableStates!$C$3:$C$7)-1,MATCH('Calc- Prosym Setup'!L$7,AvailableStates!$D$2:$I$2,0))</f>
        <v>3.3494130809611743E-2</v>
      </c>
      <c r="M9" s="78">
        <f ca="1">INDEX(AvailableStates!$D$3:$I$82,MATCH($K5,AvailableStates!$B$3:$B$82,0)+MATCH('Calc- Prosym Setup'!$K$4,AvailableStates!$C$3:$C$7)-1,MATCH('Calc- Prosym Setup'!M$7,AvailableStates!$D$2:$I$2,0))</f>
        <v>9.2188794788731904E-3</v>
      </c>
      <c r="N9" s="78">
        <f ca="1">INDEX(AvailableStates!$D$3:$I$82,MATCH($K5,AvailableStates!$B$3:$B$82,0)+MATCH('Calc- Prosym Setup'!$K$4,AvailableStates!$C$3:$C$7)-1,MATCH('Calc- Prosym Setup'!N$7,AvailableStates!$D$2:$I$2,0))</f>
        <v>3.0730789101994099E-2</v>
      </c>
      <c r="O9" s="78">
        <f ca="1">INDEX(AvailableStates!$D$3:$I$82,MATCH($K5,AvailableStates!$B$3:$B$82,0)+MATCH('Calc- Prosym Setup'!$K$4,AvailableStates!$C$3:$C$7)-1,MATCH('Calc- Prosym Setup'!O$7,AvailableStates!$D$2:$I$2,0))</f>
        <v>1.3709533036335007E-2</v>
      </c>
      <c r="P9" s="78">
        <f ca="1">INDEX(AvailableStates!$D$3:$I$82,MATCH($K5,AvailableStates!$B$3:$B$82,0)+MATCH('Calc- Prosym Setup'!$K$4,AvailableStates!$C$3:$C$7)-1,MATCH('Calc- Prosym Setup'!P$7,AvailableStates!$D$2:$I$2,0))</f>
        <v>0.84774840716918964</v>
      </c>
      <c r="Q9" s="78">
        <f ca="1">SUM(K9:P9)</f>
        <v>0.93501248761530675</v>
      </c>
      <c r="R9" s="47"/>
      <c r="S9" s="78">
        <f ca="1">INDEX(AvailableStates!$D$3:$I$82,MATCH($S5,AvailableStates!$B$3:$B$82,0)+MATCH('Calc- Prosym Setup'!$S$4,AvailableStates!$C$3:$C$7)-1,MATCH('Calc- Prosym Setup'!S$7,AvailableStates!$D$2:$I$2,0))</f>
        <v>1.1074801930304682E-4</v>
      </c>
      <c r="T9" s="78">
        <f ca="1">INDEX(AvailableStates!$D$3:$I$82,MATCH($S5,AvailableStates!$B$3:$B$82,0)+MATCH('Calc- Prosym Setup'!$S$4,AvailableStates!$C$3:$C$7)-1,MATCH('Calc- Prosym Setup'!T$7,AvailableStates!$D$2:$I$2,0))</f>
        <v>3.3494130809611743E-2</v>
      </c>
      <c r="U9" s="78">
        <f ca="1">INDEX(AvailableStates!$D$3:$I$82,MATCH($S5,AvailableStates!$B$3:$B$82,0)+MATCH('Calc- Prosym Setup'!$S$4,AvailableStates!$C$3:$C$7)-1,MATCH('Calc- Prosym Setup'!U$7,AvailableStates!$D$2:$I$2,0))</f>
        <v>9.2188794788731904E-3</v>
      </c>
      <c r="V9" s="78">
        <f ca="1">INDEX(AvailableStates!$D$3:$I$82,MATCH($S5,AvailableStates!$B$3:$B$82,0)+MATCH('Calc- Prosym Setup'!$S$4,AvailableStates!$C$3:$C$7)-1,MATCH('Calc- Prosym Setup'!V$7,AvailableStates!$D$2:$I$2,0))</f>
        <v>3.0730789101994099E-2</v>
      </c>
      <c r="W9" s="78">
        <f ca="1">INDEX(AvailableStates!$D$3:$I$82,MATCH($S5,AvailableStates!$B$3:$B$82,0)+MATCH('Calc- Prosym Setup'!$S$4,AvailableStates!$C$3:$C$7)-1,MATCH('Calc- Prosym Setup'!W$7,AvailableStates!$D$2:$I$2,0))</f>
        <v>1.3709533036335007E-2</v>
      </c>
      <c r="X9" s="78">
        <f ca="1">INDEX(AvailableStates!$D$3:$I$82,MATCH($S5,AvailableStates!$B$3:$B$82,0)+MATCH('Calc- Prosym Setup'!$S$4,AvailableStates!$C$3:$C$7)-1,MATCH('Calc- Prosym Setup'!X$7,AvailableStates!$D$2:$I$2,0))</f>
        <v>0.84774840716918964</v>
      </c>
      <c r="Y9" s="78">
        <f ca="1">SUM(S9:X9)</f>
        <v>0.93501248761530675</v>
      </c>
      <c r="Z9" s="47"/>
      <c r="AA9" s="78">
        <f ca="1">INDEX(AvailableStates!$D$3:$I$82,MATCH($AA5,AvailableStates!$B$3:$B$82,0)+MATCH('Calc- Prosym Setup'!$AA$4,AvailableStates!$C$3:$C$7)-1,MATCH('Calc- Prosym Setup'!AA$7,AvailableStates!$D$2:$I$2,0))</f>
        <v>1.1074801930304682E-4</v>
      </c>
      <c r="AB9" s="78">
        <f ca="1">INDEX(AvailableStates!$D$3:$I$82,MATCH($AA5,AvailableStates!$B$3:$B$82,0)+MATCH('Calc- Prosym Setup'!$AA$4,AvailableStates!$C$3:$C$7)-1,MATCH('Calc- Prosym Setup'!AB$7,AvailableStates!$D$2:$I$2,0))</f>
        <v>3.3494130809611743E-2</v>
      </c>
      <c r="AC9" s="78">
        <f ca="1">INDEX(AvailableStates!$D$3:$I$82,MATCH($AA5,AvailableStates!$B$3:$B$82,0)+MATCH('Calc- Prosym Setup'!$AA$4,AvailableStates!$C$3:$C$7)-1,MATCH('Calc- Prosym Setup'!AC$7,AvailableStates!$D$2:$I$2,0))</f>
        <v>9.2188794788731904E-3</v>
      </c>
      <c r="AD9" s="78">
        <f ca="1">INDEX(AvailableStates!$D$3:$I$82,MATCH($AA5,AvailableStates!$B$3:$B$82,0)+MATCH('Calc- Prosym Setup'!$AA$4,AvailableStates!$C$3:$C$7)-1,MATCH('Calc- Prosym Setup'!AD$7,AvailableStates!$D$2:$I$2,0))</f>
        <v>3.0730789101994099E-2</v>
      </c>
      <c r="AE9" s="78">
        <f ca="1">INDEX(AvailableStates!$D$3:$I$82,MATCH($AA5,AvailableStates!$B$3:$B$82,0)+MATCH('Calc- Prosym Setup'!$AA$4,AvailableStates!$C$3:$C$7)-1,MATCH('Calc- Prosym Setup'!AE$7,AvailableStates!$D$2:$I$2,0))</f>
        <v>1.3709533036335007E-2</v>
      </c>
      <c r="AF9" s="78">
        <f ca="1">INDEX(AvailableStates!$D$3:$I$82,MATCH($AA5,AvailableStates!$B$3:$B$82,0)+MATCH('Calc- Prosym Setup'!$AA$4,AvailableStates!$C$3:$C$7)-1,MATCH('Calc- Prosym Setup'!AF$7,AvailableStates!$D$2:$I$2,0))</f>
        <v>0.84774840716918964</v>
      </c>
      <c r="AG9" s="78">
        <f ca="1">SUM(AA9:AF9)</f>
        <v>0.93501248761530675</v>
      </c>
      <c r="AH9" s="47"/>
      <c r="AI9" s="78">
        <f ca="1">INDEX(AvailableStates!$D$3:$I$82,MATCH($AI5,AvailableStates!$B$3:$B$82,0)+MATCH('Calc- Prosym Setup'!$AI$4,AvailableStates!$C$3:$C$7)-1,MATCH('Calc- Prosym Setup'!AI$7,AvailableStates!$D$2:$I$2,0))</f>
        <v>1.1074801930304682E-4</v>
      </c>
      <c r="AJ9" s="78">
        <f ca="1">INDEX(AvailableStates!$D$3:$I$82,MATCH($AI5,AvailableStates!$B$3:$B$82,0)+MATCH('Calc- Prosym Setup'!$AI$4,AvailableStates!$C$3:$C$7)-1,MATCH('Calc- Prosym Setup'!AJ$7,AvailableStates!$D$2:$I$2,0))</f>
        <v>3.3494130809611743E-2</v>
      </c>
      <c r="AK9" s="78">
        <f ca="1">INDEX(AvailableStates!$D$3:$I$82,MATCH($AI5,AvailableStates!$B$3:$B$82,0)+MATCH('Calc- Prosym Setup'!$AI$4,AvailableStates!$C$3:$C$7)-1,MATCH('Calc- Prosym Setup'!AK$7,AvailableStates!$D$2:$I$2,0))</f>
        <v>9.2188794788731904E-3</v>
      </c>
      <c r="AL9" s="78">
        <f ca="1">INDEX(AvailableStates!$D$3:$I$82,MATCH($AI5,AvailableStates!$B$3:$B$82,0)+MATCH('Calc- Prosym Setup'!$AI$4,AvailableStates!$C$3:$C$7)-1,MATCH('Calc- Prosym Setup'!AL$7,AvailableStates!$D$2:$I$2,0))</f>
        <v>3.0730789101994099E-2</v>
      </c>
      <c r="AM9" s="78">
        <f ca="1">INDEX(AvailableStates!$D$3:$I$82,MATCH($AI5,AvailableStates!$B$3:$B$82,0)+MATCH('Calc- Prosym Setup'!$AI$4,AvailableStates!$C$3:$C$7)-1,MATCH('Calc- Prosym Setup'!AM$7,AvailableStates!$D$2:$I$2,0))</f>
        <v>1.3709533036335007E-2</v>
      </c>
      <c r="AN9" s="78">
        <f ca="1">INDEX(AvailableStates!$D$3:$I$82,MATCH($AI5,AvailableStates!$B$3:$B$82,0)+MATCH('Calc- Prosym Setup'!$AI$4,AvailableStates!$C$3:$C$7)-1,MATCH('Calc- Prosym Setup'!AN$7,AvailableStates!$D$2:$I$2,0))</f>
        <v>0.84774840716918964</v>
      </c>
      <c r="AO9" s="78">
        <f ca="1">SUM(AI9:AN9)</f>
        <v>0.93501248761530675</v>
      </c>
    </row>
    <row r="10" spans="1:257" x14ac:dyDescent="0.25">
      <c r="C10" s="143"/>
      <c r="I10" s="144"/>
      <c r="J10" s="145"/>
      <c r="R10" s="145"/>
      <c r="X10" s="78"/>
      <c r="Y10" s="78"/>
      <c r="Z10" s="145"/>
      <c r="AH10" s="145"/>
    </row>
    <row r="11" spans="1:257" x14ac:dyDescent="0.25">
      <c r="J11" s="145"/>
      <c r="R11" s="145"/>
      <c r="Z11" s="145"/>
      <c r="AH11" s="145"/>
    </row>
    <row r="12" spans="1:257" x14ac:dyDescent="0.25">
      <c r="A12" s="35" t="s">
        <v>153</v>
      </c>
      <c r="B12" s="73"/>
      <c r="C12" s="36" t="s">
        <v>22</v>
      </c>
      <c r="D12" s="35" t="s">
        <v>181</v>
      </c>
      <c r="E12" s="140">
        <f>VLOOKUP(C12,'INP-Calc EFOR&amp;EUOR - 2019Plan'!$A$11:$AE$36,21)</f>
        <v>3.6987512384693201E-2</v>
      </c>
      <c r="F12" s="35" t="s">
        <v>226</v>
      </c>
      <c r="G12" s="140">
        <f>VLOOKUP(C12,'INP-Calc EFOR&amp;EUOR - 2019Plan'!$A$11:$AE$36,27)</f>
        <v>2.0781129915421366E-2</v>
      </c>
      <c r="H12" s="35" t="s">
        <v>182</v>
      </c>
      <c r="I12" s="140">
        <f>VLOOKUP(C12,'INP-Calc EFOR&amp;EUOR - 2019Plan'!$A$11:$AE$36,15)</f>
        <v>2.8000000000000001E-2</v>
      </c>
      <c r="J12" s="145"/>
      <c r="K12" s="36" t="s">
        <v>22</v>
      </c>
      <c r="L12" s="35" t="s">
        <v>181</v>
      </c>
      <c r="M12" s="140">
        <f>VLOOKUP(K12,'INP-Calc EFOR&amp;EUOR - 2019Plan'!$A$11:$AE$36,22)</f>
        <v>3.6987512384693201E-2</v>
      </c>
      <c r="N12" s="35" t="s">
        <v>226</v>
      </c>
      <c r="O12" s="140">
        <f>VLOOKUP(K12,'INP-Calc EFOR&amp;EUOR - 2019Plan'!$A$11:$AE$36,28)</f>
        <v>2.0781129915421366E-2</v>
      </c>
      <c r="P12" s="35" t="s">
        <v>182</v>
      </c>
      <c r="Q12" s="140">
        <f>VLOOKUP(K12,'INP-Calc EFOR&amp;EUOR - 2019Plan'!$A$11:$AE$36,16)</f>
        <v>2.8000000000000001E-2</v>
      </c>
      <c r="R12" s="145"/>
      <c r="S12" s="36" t="s">
        <v>22</v>
      </c>
      <c r="T12" s="35" t="s">
        <v>181</v>
      </c>
      <c r="U12" s="140">
        <f>VLOOKUP(S12,'INP-Calc EFOR&amp;EUOR - 2019Plan'!$A$11:$AE$36,23)</f>
        <v>3.6987512384693201E-2</v>
      </c>
      <c r="V12" s="35" t="s">
        <v>226</v>
      </c>
      <c r="W12" s="140">
        <f>VLOOKUP(S12,'INP-Calc EFOR&amp;EUOR - 2019Plan'!$A$11:$AE$36,29)</f>
        <v>2.0781129915421366E-2</v>
      </c>
      <c r="X12" s="35" t="s">
        <v>182</v>
      </c>
      <c r="Y12" s="140">
        <f>VLOOKUP(S12,'INP-Calc EFOR&amp;EUOR - 2019Plan'!$A$11:$AE$36,17)</f>
        <v>2.8000000000000001E-2</v>
      </c>
      <c r="Z12" s="145"/>
      <c r="AA12" s="36" t="s">
        <v>22</v>
      </c>
      <c r="AB12" s="35" t="s">
        <v>181</v>
      </c>
      <c r="AC12" s="140">
        <f>VLOOKUP(AA12,'INP-Calc EFOR&amp;EUOR - 2019Plan'!$A$11:$AE$36,24)</f>
        <v>3.6987512384693201E-2</v>
      </c>
      <c r="AD12" s="35" t="s">
        <v>226</v>
      </c>
      <c r="AE12" s="140">
        <f>VLOOKUP(AA12,'INP-Calc EFOR&amp;EUOR - 2019Plan'!$A$11:$AE$36,30)</f>
        <v>2.0781129915421366E-2</v>
      </c>
      <c r="AF12" s="35" t="s">
        <v>182</v>
      </c>
      <c r="AG12" s="140">
        <f>VLOOKUP(AA12,'INP-Calc EFOR&amp;EUOR - 2019Plan'!$A$11:$AE$36,18)</f>
        <v>2.8000000000000001E-2</v>
      </c>
      <c r="AH12" s="145"/>
      <c r="AI12" s="36" t="s">
        <v>22</v>
      </c>
      <c r="AJ12" s="35" t="s">
        <v>181</v>
      </c>
      <c r="AK12" s="140">
        <f>VLOOKUP(AI12,'INP-Calc EFOR&amp;EUOR - 2019Plan'!$A$11:$AE$36,25)</f>
        <v>3.6987512384693201E-2</v>
      </c>
      <c r="AL12" s="35" t="s">
        <v>226</v>
      </c>
      <c r="AM12" s="140">
        <f>VLOOKUP(AI12,'INP-Calc EFOR&amp;EUOR - 2019Plan'!$A$11:$AE$36,31)</f>
        <v>2.0781129915421366E-2</v>
      </c>
      <c r="AN12" s="35" t="s">
        <v>182</v>
      </c>
      <c r="AO12" s="141">
        <f>VLOOKUP(AI12,'INP-Calc EFOR&amp;EUOR - 2019Plan'!$A$11:$AE$36,19)</f>
        <v>2.8000000000000001E-2</v>
      </c>
    </row>
    <row r="13" spans="1:257" x14ac:dyDescent="0.25">
      <c r="A13" s="36"/>
      <c r="B13" s="36"/>
      <c r="C13" s="36"/>
      <c r="D13" s="36"/>
      <c r="E13" s="36"/>
      <c r="F13" s="36"/>
      <c r="G13" s="37"/>
      <c r="H13" s="36"/>
      <c r="I13" s="36"/>
      <c r="J13" s="145"/>
      <c r="K13" s="36"/>
      <c r="L13" s="36"/>
      <c r="M13" s="36"/>
      <c r="N13" s="36"/>
      <c r="O13" s="37"/>
      <c r="P13" s="36"/>
      <c r="Q13" s="36"/>
      <c r="R13" s="145"/>
      <c r="S13" s="36"/>
      <c r="T13" s="36"/>
      <c r="U13" s="36"/>
      <c r="V13" s="36"/>
      <c r="W13" s="37"/>
      <c r="X13" s="36"/>
      <c r="Y13" s="36"/>
      <c r="Z13" s="145"/>
      <c r="AA13" s="36"/>
      <c r="AB13" s="36"/>
      <c r="AC13" s="36"/>
      <c r="AD13" s="36"/>
      <c r="AE13" s="37"/>
      <c r="AF13" s="36"/>
      <c r="AG13" s="36"/>
      <c r="AH13" s="145"/>
      <c r="AI13" s="36"/>
      <c r="AJ13" s="36"/>
      <c r="AK13" s="36"/>
      <c r="AL13" s="36"/>
      <c r="AM13" s="37"/>
      <c r="AN13" s="36"/>
      <c r="AO13" s="36"/>
    </row>
    <row r="14" spans="1:257" x14ac:dyDescent="0.25">
      <c r="A14" s="37" t="str">
        <f>A7</f>
        <v>BLOCK:</v>
      </c>
      <c r="B14" s="37"/>
      <c r="C14" s="38">
        <f>C7</f>
        <v>1</v>
      </c>
      <c r="D14" s="38">
        <f t="shared" ref="D14:I14" si="5">D7</f>
        <v>2</v>
      </c>
      <c r="E14" s="38">
        <f t="shared" si="5"/>
        <v>3</v>
      </c>
      <c r="F14" s="38">
        <f t="shared" si="5"/>
        <v>4</v>
      </c>
      <c r="G14" s="38">
        <f t="shared" si="5"/>
        <v>5</v>
      </c>
      <c r="H14" s="38">
        <f t="shared" si="5"/>
        <v>6</v>
      </c>
      <c r="I14" s="38" t="str">
        <f t="shared" si="5"/>
        <v>Tot Unit</v>
      </c>
      <c r="J14" s="145"/>
      <c r="K14" s="38">
        <f>K7</f>
        <v>1</v>
      </c>
      <c r="L14" s="38">
        <f t="shared" ref="L14:Q14" si="6">L7</f>
        <v>2</v>
      </c>
      <c r="M14" s="38">
        <f t="shared" si="6"/>
        <v>3</v>
      </c>
      <c r="N14" s="38">
        <f t="shared" si="6"/>
        <v>4</v>
      </c>
      <c r="O14" s="38">
        <f t="shared" si="6"/>
        <v>5</v>
      </c>
      <c r="P14" s="38">
        <f t="shared" si="6"/>
        <v>6</v>
      </c>
      <c r="Q14" s="38" t="str">
        <f t="shared" si="6"/>
        <v>Tot Unit</v>
      </c>
      <c r="R14" s="145"/>
      <c r="S14" s="38">
        <f>S7</f>
        <v>1</v>
      </c>
      <c r="T14" s="38">
        <f t="shared" ref="T14:Y14" si="7">T7</f>
        <v>2</v>
      </c>
      <c r="U14" s="38">
        <f t="shared" si="7"/>
        <v>3</v>
      </c>
      <c r="V14" s="38">
        <f t="shared" si="7"/>
        <v>4</v>
      </c>
      <c r="W14" s="38">
        <f t="shared" si="7"/>
        <v>5</v>
      </c>
      <c r="X14" s="38">
        <f t="shared" si="7"/>
        <v>6</v>
      </c>
      <c r="Y14" s="38" t="str">
        <f t="shared" si="7"/>
        <v>Tot Unit</v>
      </c>
      <c r="Z14" s="145"/>
      <c r="AA14" s="38">
        <f>AA7</f>
        <v>1</v>
      </c>
      <c r="AB14" s="38">
        <f t="shared" ref="AB14:AG14" si="8">AB7</f>
        <v>2</v>
      </c>
      <c r="AC14" s="38">
        <f t="shared" si="8"/>
        <v>3</v>
      </c>
      <c r="AD14" s="38">
        <f t="shared" si="8"/>
        <v>4</v>
      </c>
      <c r="AE14" s="38">
        <f t="shared" si="8"/>
        <v>5</v>
      </c>
      <c r="AF14" s="38">
        <f t="shared" si="8"/>
        <v>6</v>
      </c>
      <c r="AG14" s="38" t="str">
        <f t="shared" si="8"/>
        <v>Tot Unit</v>
      </c>
      <c r="AH14" s="145"/>
      <c r="AI14" s="38">
        <f>AI7</f>
        <v>1</v>
      </c>
      <c r="AJ14" s="38">
        <f t="shared" ref="AJ14:AO14" si="9">AJ7</f>
        <v>2</v>
      </c>
      <c r="AK14" s="38">
        <f t="shared" si="9"/>
        <v>3</v>
      </c>
      <c r="AL14" s="38">
        <f t="shared" si="9"/>
        <v>4</v>
      </c>
      <c r="AM14" s="38">
        <f t="shared" si="9"/>
        <v>5</v>
      </c>
      <c r="AN14" s="38">
        <f t="shared" si="9"/>
        <v>6</v>
      </c>
      <c r="AO14" s="38" t="str">
        <f t="shared" si="9"/>
        <v>Tot Unit</v>
      </c>
    </row>
    <row r="15" spans="1:257" x14ac:dyDescent="0.25">
      <c r="A15" s="37" t="str">
        <f t="shared" ref="A15:A16" si="10">A8</f>
        <v>State Capacity (I)</v>
      </c>
      <c r="B15" s="37"/>
      <c r="C15" s="142">
        <f>INDEX('Calc-Pivot abvals'!$H$20:$M$32,MATCH($C12,'Calc-Pivot abvals'!$G$20:$G$32,0),MATCH(C$7,'Calc-Pivot abvals'!$H$19:$M$19,0))</f>
        <v>64</v>
      </c>
      <c r="D15" s="142">
        <f>INDEX('Calc-Pivot abvals'!$H$20:$M$32,MATCH($C12,'Calc-Pivot abvals'!$G$20:$G$32,0),MATCH(D$7,'Calc-Pivot abvals'!$H$19:$M$19,0))</f>
        <v>78</v>
      </c>
      <c r="E15" s="142">
        <f>INDEX('Calc-Pivot abvals'!$H$20:$M$32,MATCH($C12,'Calc-Pivot abvals'!$G$20:$G$32,0),MATCH(E$7,'Calc-Pivot abvals'!$H$19:$M$19,0))</f>
        <v>88</v>
      </c>
      <c r="F15" s="142">
        <f>INDEX('Calc-Pivot abvals'!$H$20:$M$32,MATCH($C12,'Calc-Pivot abvals'!$G$20:$G$32,0),MATCH(F$7,'Calc-Pivot abvals'!$H$19:$M$19,0))</f>
        <v>128</v>
      </c>
      <c r="G15" s="142">
        <f>INDEX('Calc-Pivot abvals'!$H$20:$M$32,MATCH($C12,'Calc-Pivot abvals'!$G$20:$G$32,0),MATCH(G$7,'Calc-Pivot abvals'!$H$19:$M$19,0))</f>
        <v>148</v>
      </c>
      <c r="H15" s="142">
        <f>INDEX('Calc-Pivot abvals'!$H$20:$M$32,MATCH($C12,'Calc-Pivot abvals'!$G$20:$G$32,0),MATCH(H$7,'Calc-Pivot abvals'!$H$19:$M$19,0))</f>
        <v>168</v>
      </c>
      <c r="I15" s="142">
        <f>VLOOKUP(A12,Lookup!$L$5:$M$19,2,FALSE)</f>
        <v>168</v>
      </c>
      <c r="J15" s="145"/>
      <c r="K15" s="142">
        <f>INDEX('Calc-Pivot abvals'!$H$20:$M$32,MATCH($K12,'Calc-Pivot abvals'!$G$20:$G$32,0),MATCH(K$7,'Calc-Pivot abvals'!$H$19:$M$19,0))</f>
        <v>64</v>
      </c>
      <c r="L15" s="142">
        <f>INDEX('Calc-Pivot abvals'!$H$20:$M$32,MATCH($K12,'Calc-Pivot abvals'!$G$20:$G$32,0),MATCH(L$7,'Calc-Pivot abvals'!$H$19:$M$19,0))</f>
        <v>78</v>
      </c>
      <c r="M15" s="142">
        <f>INDEX('Calc-Pivot abvals'!$H$20:$M$32,MATCH($K12,'Calc-Pivot abvals'!$G$20:$G$32,0),MATCH(M$7,'Calc-Pivot abvals'!$H$19:$M$19,0))</f>
        <v>88</v>
      </c>
      <c r="N15" s="142">
        <f>INDEX('Calc-Pivot abvals'!$H$20:$M$32,MATCH($K12,'Calc-Pivot abvals'!$G$20:$G$32,0),MATCH(N$7,'Calc-Pivot abvals'!$H$19:$M$19,0))</f>
        <v>128</v>
      </c>
      <c r="O15" s="142">
        <f>INDEX('Calc-Pivot abvals'!$H$20:$M$32,MATCH($K12,'Calc-Pivot abvals'!$G$20:$G$32,0),MATCH(O$7,'Calc-Pivot abvals'!$H$19:$M$19,0))</f>
        <v>148</v>
      </c>
      <c r="P15" s="142">
        <f>INDEX('Calc-Pivot abvals'!$H$20:$M$32,MATCH($K12,'Calc-Pivot abvals'!$G$20:$G$32,0),MATCH(P$7,'Calc-Pivot abvals'!$H$19:$M$19,0))</f>
        <v>168</v>
      </c>
      <c r="Q15" s="142">
        <f>VLOOKUP(A12,Lookup!$L$5:$M$19,2,FALSE)</f>
        <v>168</v>
      </c>
      <c r="R15" s="145"/>
      <c r="S15" s="142">
        <f>INDEX('Calc-Pivot abvals'!$H$20:$M$32,MATCH($S12,'Calc-Pivot abvals'!$G$20:$G$32,0),MATCH(S$7,'Calc-Pivot abvals'!$H$19:$M$19,0))</f>
        <v>64</v>
      </c>
      <c r="T15" s="142">
        <f>INDEX('Calc-Pivot abvals'!$H$20:$M$32,MATCH($S12,'Calc-Pivot abvals'!$G$20:$G$32,0),MATCH(T$7,'Calc-Pivot abvals'!$H$19:$M$19,0))</f>
        <v>78</v>
      </c>
      <c r="U15" s="142">
        <f>INDEX('Calc-Pivot abvals'!$H$20:$M$32,MATCH($S12,'Calc-Pivot abvals'!$G$20:$G$32,0),MATCH(U$7,'Calc-Pivot abvals'!$H$19:$M$19,0))</f>
        <v>88</v>
      </c>
      <c r="V15" s="142">
        <f>INDEX('Calc-Pivot abvals'!$H$20:$M$32,MATCH($S12,'Calc-Pivot abvals'!$G$20:$G$32,0),MATCH(V$7,'Calc-Pivot abvals'!$H$19:$M$19,0))</f>
        <v>128</v>
      </c>
      <c r="W15" s="142">
        <f>INDEX('Calc-Pivot abvals'!$H$20:$M$32,MATCH($S12,'Calc-Pivot abvals'!$G$20:$G$32,0),MATCH(W$7,'Calc-Pivot abvals'!$H$19:$M$19,0))</f>
        <v>148</v>
      </c>
      <c r="X15" s="142">
        <f>INDEX('Calc-Pivot abvals'!$H$20:$M$32,MATCH($S12,'Calc-Pivot abvals'!$G$20:$G$32,0),MATCH(X$7,'Calc-Pivot abvals'!$H$19:$M$19,0))</f>
        <v>168</v>
      </c>
      <c r="Y15" s="142">
        <f>VLOOKUP(A12,Lookup!$L$5:$M$19,2,FALSE)</f>
        <v>168</v>
      </c>
      <c r="Z15" s="145"/>
      <c r="AA15" s="142">
        <f>INDEX('Calc-Pivot abvals'!$H$20:$M$32,MATCH($AA12,'Calc-Pivot abvals'!$G$20:$G$32,0),MATCH(AA$7,'Calc-Pivot abvals'!$H$19:$M$19,0))</f>
        <v>64</v>
      </c>
      <c r="AB15" s="142">
        <f>INDEX('Calc-Pivot abvals'!$H$20:$M$32,MATCH($AA12,'Calc-Pivot abvals'!$G$20:$G$32,0),MATCH(AB$7,'Calc-Pivot abvals'!$H$19:$M$19,0))</f>
        <v>78</v>
      </c>
      <c r="AC15" s="142">
        <f>INDEX('Calc-Pivot abvals'!$H$20:$M$32,MATCH($AA12,'Calc-Pivot abvals'!$G$20:$G$32,0),MATCH(AC$7,'Calc-Pivot abvals'!$H$19:$M$19,0))</f>
        <v>88</v>
      </c>
      <c r="AD15" s="142">
        <f>INDEX('Calc-Pivot abvals'!$H$20:$M$32,MATCH($AA12,'Calc-Pivot abvals'!$G$20:$G$32,0),MATCH(AD$7,'Calc-Pivot abvals'!$H$19:$M$19,0))</f>
        <v>128</v>
      </c>
      <c r="AE15" s="142">
        <f>INDEX('Calc-Pivot abvals'!$H$20:$M$32,MATCH($AA12,'Calc-Pivot abvals'!$G$20:$G$32,0),MATCH(AE$7,'Calc-Pivot abvals'!$H$19:$M$19,0))</f>
        <v>148</v>
      </c>
      <c r="AF15" s="142">
        <f>INDEX('Calc-Pivot abvals'!$H$20:$M$32,MATCH($AA12,'Calc-Pivot abvals'!$G$20:$G$32,0),MATCH(AF$7,'Calc-Pivot abvals'!$H$19:$M$19,0))</f>
        <v>168</v>
      </c>
      <c r="AG15" s="142">
        <f>VLOOKUP(A12,Lookup!$L$5:$M$19,2,FALSE)</f>
        <v>168</v>
      </c>
      <c r="AH15" s="145"/>
      <c r="AI15" s="142">
        <f>INDEX('Calc-Pivot abvals'!$H$20:$M$32,MATCH($AI12,'Calc-Pivot abvals'!$G$20:$G$32,0),MATCH(AI$7,'Calc-Pivot abvals'!$H$19:$M$19,0))</f>
        <v>64</v>
      </c>
      <c r="AJ15" s="142">
        <f>INDEX('Calc-Pivot abvals'!$H$20:$M$32,MATCH($AI12,'Calc-Pivot abvals'!$G$20:$G$32,0),MATCH(AJ$7,'Calc-Pivot abvals'!$H$19:$M$19,0))</f>
        <v>78</v>
      </c>
      <c r="AK15" s="142">
        <f>INDEX('Calc-Pivot abvals'!$H$20:$M$32,MATCH($AI12,'Calc-Pivot abvals'!$G$20:$G$32,0),MATCH(AK$7,'Calc-Pivot abvals'!$H$19:$M$19,0))</f>
        <v>88</v>
      </c>
      <c r="AL15" s="142">
        <f>INDEX('Calc-Pivot abvals'!$H$20:$M$32,MATCH($AI12,'Calc-Pivot abvals'!$G$20:$G$32,0),MATCH(AL$7,'Calc-Pivot abvals'!$H$19:$M$19,0))</f>
        <v>128</v>
      </c>
      <c r="AM15" s="142">
        <f>INDEX('Calc-Pivot abvals'!$H$20:$M$32,MATCH($AI12,'Calc-Pivot abvals'!$G$20:$G$32,0),MATCH(AM$7,'Calc-Pivot abvals'!$H$19:$M$19,0))</f>
        <v>148</v>
      </c>
      <c r="AN15" s="142">
        <f>INDEX('Calc-Pivot abvals'!$H$20:$M$32,MATCH($AI12,'Calc-Pivot abvals'!$G$20:$G$32,0),MATCH(AN$7,'Calc-Pivot abvals'!$H$19:$M$19,0))</f>
        <v>168</v>
      </c>
      <c r="AO15" s="142">
        <f>VLOOKUP(A12,Lookup!$L$5:$M$19,2,FALSE)</f>
        <v>168</v>
      </c>
    </row>
    <row r="16" spans="1:257" x14ac:dyDescent="0.25">
      <c r="A16" s="35" t="str">
        <f t="shared" si="10"/>
        <v>GADS Yr Availability: GADS only (C)</v>
      </c>
      <c r="B16" s="35"/>
      <c r="C16" s="78">
        <f ca="1">INDEX(AvailableStates!$D$3:$I$82,MATCH($C12,AvailableStates!$B$3:$B$82,0)+MATCH('Calc- Prosym Setup'!$C$4,AvailableStates!$C$3:$C$7)-1,MATCH('Calc- Prosym Setup'!C$7,AvailableStates!$D$2:$I$2,0))</f>
        <v>1.9984446531300576E-2</v>
      </c>
      <c r="D16" s="78">
        <f ca="1">INDEX(AvailableStates!$D$3:$I$82,MATCH($C12,AvailableStates!$B$3:$B$82,0)+MATCH('Calc- Prosym Setup'!$C$4,AvailableStates!$C$3:$C$7)-1,MATCH('Calc- Prosym Setup'!D$7,AvailableStates!$D$2:$I$2,0))</f>
        <v>7.7944794398775912E-4</v>
      </c>
      <c r="E16" s="78">
        <f ca="1">INDEX(AvailableStates!$D$3:$I$82,MATCH($C12,AvailableStates!$B$3:$B$82,0)+MATCH('Calc- Prosym Setup'!$C$4,AvailableStates!$C$3:$C$7)-1,MATCH('Calc- Prosym Setup'!E$7,AvailableStates!$D$2:$I$2,0))</f>
        <v>8.3397722403047382E-4</v>
      </c>
      <c r="F16" s="78">
        <f ca="1">INDEX(AvailableStates!$D$3:$I$82,MATCH($C12,AvailableStates!$B$3:$B$82,0)+MATCH('Calc- Prosym Setup'!$C$4,AvailableStates!$C$3:$C$7)-1,MATCH('Calc- Prosym Setup'!F$7,AvailableStates!$D$2:$I$2,0))</f>
        <v>5.0466314069588065E-4</v>
      </c>
      <c r="G16" s="78">
        <f ca="1">INDEX(AvailableStates!$D$3:$I$82,MATCH($C12,AvailableStates!$B$3:$B$82,0)+MATCH('Calc- Prosym Setup'!$C$4,AvailableStates!$C$3:$C$7)-1,MATCH('Calc- Prosym Setup'!G$7,AvailableStates!$D$2:$I$2,0))</f>
        <v>5.6333023080355524E-2</v>
      </c>
      <c r="H16" s="78">
        <f ca="1">INDEX(AvailableStates!$D$3:$I$82,MATCH($C12,AvailableStates!$B$3:$B$82,0)+MATCH('Calc- Prosym Setup'!$C$4,AvailableStates!$C$3:$C$7)-1,MATCH('Calc- Prosym Setup'!H$7,AvailableStates!$D$2:$I$2,0))</f>
        <v>0.8565769296949366</v>
      </c>
      <c r="I16" s="78">
        <f ca="1">SUM(C16:H16)</f>
        <v>0.93501248761530675</v>
      </c>
      <c r="J16" s="145"/>
      <c r="K16" s="78">
        <f ca="1">INDEX(AvailableStates!$D$3:$I$82,MATCH($K12,AvailableStates!$B$3:$B$82,0)+MATCH('Calc- Prosym Setup'!$K$4,AvailableStates!$C$3:$C$7)-1,MATCH('Calc- Prosym Setup'!K$7,AvailableStates!$D$2:$I$2,0))</f>
        <v>1.9984446531300576E-2</v>
      </c>
      <c r="L16" s="78">
        <f ca="1">INDEX(AvailableStates!$D$3:$I$82,MATCH($K12,AvailableStates!$B$3:$B$82,0)+MATCH('Calc- Prosym Setup'!$K$4,AvailableStates!$C$3:$C$7)-1,MATCH('Calc- Prosym Setup'!L$7,AvailableStates!$D$2:$I$2,0))</f>
        <v>7.7944794398775912E-4</v>
      </c>
      <c r="M16" s="78">
        <f ca="1">INDEX(AvailableStates!$D$3:$I$82,MATCH($K12,AvailableStates!$B$3:$B$82,0)+MATCH('Calc- Prosym Setup'!$K$4,AvailableStates!$C$3:$C$7)-1,MATCH('Calc- Prosym Setup'!M$7,AvailableStates!$D$2:$I$2,0))</f>
        <v>8.3397722403047382E-4</v>
      </c>
      <c r="N16" s="78">
        <f ca="1">INDEX(AvailableStates!$D$3:$I$82,MATCH($K12,AvailableStates!$B$3:$B$82,0)+MATCH('Calc- Prosym Setup'!$K$4,AvailableStates!$C$3:$C$7)-1,MATCH('Calc- Prosym Setup'!N$7,AvailableStates!$D$2:$I$2,0))</f>
        <v>5.0466314069588065E-4</v>
      </c>
      <c r="O16" s="78">
        <f ca="1">INDEX(AvailableStates!$D$3:$I$82,MATCH($K12,AvailableStates!$B$3:$B$82,0)+MATCH('Calc- Prosym Setup'!$K$4,AvailableStates!$C$3:$C$7)-1,MATCH('Calc- Prosym Setup'!O$7,AvailableStates!$D$2:$I$2,0))</f>
        <v>5.6333023080355524E-2</v>
      </c>
      <c r="P16" s="78">
        <f ca="1">INDEX(AvailableStates!$D$3:$I$82,MATCH($K12,AvailableStates!$B$3:$B$82,0)+MATCH('Calc- Prosym Setup'!$K$4,AvailableStates!$C$3:$C$7)-1,MATCH('Calc- Prosym Setup'!P$7,AvailableStates!$D$2:$I$2,0))</f>
        <v>0.8565769296949366</v>
      </c>
      <c r="Q16" s="78">
        <f ca="1">SUM(K16:P16)</f>
        <v>0.93501248761530675</v>
      </c>
      <c r="R16" s="145"/>
      <c r="S16" s="78">
        <f ca="1">INDEX(AvailableStates!$D$3:$I$82,MATCH($S12,AvailableStates!$B$3:$B$82,0)+MATCH('Calc- Prosym Setup'!$S$4,AvailableStates!$C$3:$C$7)-1,MATCH('Calc- Prosym Setup'!S$7,AvailableStates!$D$2:$I$2,0))</f>
        <v>1.9984446531300576E-2</v>
      </c>
      <c r="T16" s="78">
        <f ca="1">INDEX(AvailableStates!$D$3:$I$82,MATCH($S12,AvailableStates!$B$3:$B$82,0)+MATCH('Calc- Prosym Setup'!$S$4,AvailableStates!$C$3:$C$7)-1,MATCH('Calc- Prosym Setup'!T$7,AvailableStates!$D$2:$I$2,0))</f>
        <v>7.7944794398775912E-4</v>
      </c>
      <c r="U16" s="78">
        <f ca="1">INDEX(AvailableStates!$D$3:$I$82,MATCH($S12,AvailableStates!$B$3:$B$82,0)+MATCH('Calc- Prosym Setup'!$S$4,AvailableStates!$C$3:$C$7)-1,MATCH('Calc- Prosym Setup'!U$7,AvailableStates!$D$2:$I$2,0))</f>
        <v>8.3397722403047382E-4</v>
      </c>
      <c r="V16" s="78">
        <f ca="1">INDEX(AvailableStates!$D$3:$I$82,MATCH($S12,AvailableStates!$B$3:$B$82,0)+MATCH('Calc- Prosym Setup'!$S$4,AvailableStates!$C$3:$C$7)-1,MATCH('Calc- Prosym Setup'!V$7,AvailableStates!$D$2:$I$2,0))</f>
        <v>5.0466314069588065E-4</v>
      </c>
      <c r="W16" s="78">
        <f ca="1">INDEX(AvailableStates!$D$3:$I$82,MATCH($S12,AvailableStates!$B$3:$B$82,0)+MATCH('Calc- Prosym Setup'!$S$4,AvailableStates!$C$3:$C$7)-1,MATCH('Calc- Prosym Setup'!W$7,AvailableStates!$D$2:$I$2,0))</f>
        <v>5.6333023080355524E-2</v>
      </c>
      <c r="X16" s="78">
        <f ca="1">INDEX(AvailableStates!$D$3:$I$82,MATCH($S12,AvailableStates!$B$3:$B$82,0)+MATCH('Calc- Prosym Setup'!$S$4,AvailableStates!$C$3:$C$7)-1,MATCH('Calc- Prosym Setup'!X$7,AvailableStates!$D$2:$I$2,0))</f>
        <v>0.8565769296949366</v>
      </c>
      <c r="Y16" s="78">
        <f ca="1">SUM(S16:X16)</f>
        <v>0.93501248761530675</v>
      </c>
      <c r="Z16" s="145"/>
      <c r="AA16" s="78">
        <f ca="1">INDEX(AvailableStates!$D$3:$I$82,MATCH($AA12,AvailableStates!$B$3:$B$82,0)+MATCH('Calc- Prosym Setup'!$AA$4,AvailableStates!$C$3:$C$7)-1,MATCH('Calc- Prosym Setup'!AA$7,AvailableStates!$D$2:$I$2,0))</f>
        <v>1.9984446531300576E-2</v>
      </c>
      <c r="AB16" s="78">
        <f ca="1">INDEX(AvailableStates!$D$3:$I$82,MATCH($AA12,AvailableStates!$B$3:$B$82,0)+MATCH('Calc- Prosym Setup'!$AA$4,AvailableStates!$C$3:$C$7)-1,MATCH('Calc- Prosym Setup'!AB$7,AvailableStates!$D$2:$I$2,0))</f>
        <v>7.7944794398775912E-4</v>
      </c>
      <c r="AC16" s="78">
        <f ca="1">INDEX(AvailableStates!$D$3:$I$82,MATCH($AA12,AvailableStates!$B$3:$B$82,0)+MATCH('Calc- Prosym Setup'!$AA$4,AvailableStates!$C$3:$C$7)-1,MATCH('Calc- Prosym Setup'!AC$7,AvailableStates!$D$2:$I$2,0))</f>
        <v>8.3397722403047382E-4</v>
      </c>
      <c r="AD16" s="78">
        <f ca="1">INDEX(AvailableStates!$D$3:$I$82,MATCH($AA12,AvailableStates!$B$3:$B$82,0)+MATCH('Calc- Prosym Setup'!$AA$4,AvailableStates!$C$3:$C$7)-1,MATCH('Calc- Prosym Setup'!AD$7,AvailableStates!$D$2:$I$2,0))</f>
        <v>5.0466314069588065E-4</v>
      </c>
      <c r="AE16" s="78">
        <f ca="1">INDEX(AvailableStates!$D$3:$I$82,MATCH($AA12,AvailableStates!$B$3:$B$82,0)+MATCH('Calc- Prosym Setup'!$AA$4,AvailableStates!$C$3:$C$7)-1,MATCH('Calc- Prosym Setup'!AE$7,AvailableStates!$D$2:$I$2,0))</f>
        <v>5.6333023080355524E-2</v>
      </c>
      <c r="AF16" s="78">
        <f ca="1">INDEX(AvailableStates!$D$3:$I$82,MATCH($AA12,AvailableStates!$B$3:$B$82,0)+MATCH('Calc- Prosym Setup'!$AA$4,AvailableStates!$C$3:$C$7)-1,MATCH('Calc- Prosym Setup'!AF$7,AvailableStates!$D$2:$I$2,0))</f>
        <v>0.8565769296949366</v>
      </c>
      <c r="AG16" s="78">
        <f ca="1">SUM(AA16:AF16)</f>
        <v>0.93501248761530675</v>
      </c>
      <c r="AH16" s="145"/>
      <c r="AI16" s="78">
        <f ca="1">INDEX(AvailableStates!$D$3:$I$82,MATCH($AI12,AvailableStates!$B$3:$B$82,0)+MATCH('Calc- Prosym Setup'!$AI$4,AvailableStates!$C$3:$C$7)-1,MATCH('Calc- Prosym Setup'!AI$7,AvailableStates!$D$2:$I$2,0))</f>
        <v>1.9984446531300576E-2</v>
      </c>
      <c r="AJ16" s="78">
        <f ca="1">INDEX(AvailableStates!$D$3:$I$82,MATCH($AI12,AvailableStates!$B$3:$B$82,0)+MATCH('Calc- Prosym Setup'!$AI$4,AvailableStates!$C$3:$C$7)-1,MATCH('Calc- Prosym Setup'!AJ$7,AvailableStates!$D$2:$I$2,0))</f>
        <v>7.7944794398775912E-4</v>
      </c>
      <c r="AK16" s="78">
        <f ca="1">INDEX(AvailableStates!$D$3:$I$82,MATCH($AI12,AvailableStates!$B$3:$B$82,0)+MATCH('Calc- Prosym Setup'!$AI$4,AvailableStates!$C$3:$C$7)-1,MATCH('Calc- Prosym Setup'!AK$7,AvailableStates!$D$2:$I$2,0))</f>
        <v>8.3397722403047382E-4</v>
      </c>
      <c r="AL16" s="78">
        <f ca="1">INDEX(AvailableStates!$D$3:$I$82,MATCH($AI12,AvailableStates!$B$3:$B$82,0)+MATCH('Calc- Prosym Setup'!$AI$4,AvailableStates!$C$3:$C$7)-1,MATCH('Calc- Prosym Setup'!AL$7,AvailableStates!$D$2:$I$2,0))</f>
        <v>5.0466314069588065E-4</v>
      </c>
      <c r="AM16" s="78">
        <f ca="1">INDEX(AvailableStates!$D$3:$I$82,MATCH($AI12,AvailableStates!$B$3:$B$82,0)+MATCH('Calc- Prosym Setup'!$AI$4,AvailableStates!$C$3:$C$7)-1,MATCH('Calc- Prosym Setup'!AM$7,AvailableStates!$D$2:$I$2,0))</f>
        <v>5.6333023080355524E-2</v>
      </c>
      <c r="AN16" s="78">
        <f ca="1">INDEX(AvailableStates!$D$3:$I$82,MATCH($AI12,AvailableStates!$B$3:$B$82,0)+MATCH('Calc- Prosym Setup'!$AI$4,AvailableStates!$C$3:$C$7)-1,MATCH('Calc- Prosym Setup'!AN$7,AvailableStates!$D$2:$I$2,0))</f>
        <v>0.8565769296949366</v>
      </c>
      <c r="AO16" s="78">
        <f ca="1">SUM(AI16:AN16)</f>
        <v>0.93501248761530675</v>
      </c>
    </row>
    <row r="17" spans="1:41" x14ac:dyDescent="0.25">
      <c r="A17" s="35"/>
      <c r="B17" s="35"/>
      <c r="C17" s="39"/>
      <c r="D17" s="39"/>
      <c r="E17" s="39"/>
      <c r="F17" s="39"/>
      <c r="G17" s="39"/>
      <c r="H17" s="39"/>
      <c r="I17" s="39"/>
      <c r="J17" s="145"/>
      <c r="K17" s="39"/>
      <c r="L17" s="39"/>
      <c r="M17" s="39"/>
      <c r="N17" s="39"/>
      <c r="O17" s="39"/>
      <c r="P17" s="39"/>
      <c r="Q17" s="39"/>
      <c r="R17" s="145"/>
      <c r="S17" s="39"/>
      <c r="T17" s="39"/>
      <c r="U17" s="39"/>
      <c r="V17" s="39"/>
      <c r="W17" s="39"/>
      <c r="X17" s="39"/>
      <c r="Y17" s="39"/>
      <c r="Z17" s="145"/>
      <c r="AA17" s="39"/>
      <c r="AB17" s="39"/>
      <c r="AC17" s="39"/>
      <c r="AD17" s="39"/>
      <c r="AE17" s="39"/>
      <c r="AF17" s="39"/>
      <c r="AG17" s="39"/>
      <c r="AH17" s="145"/>
      <c r="AI17" s="39"/>
      <c r="AJ17" s="39"/>
      <c r="AK17" s="39"/>
      <c r="AL17" s="39"/>
      <c r="AM17" s="39"/>
      <c r="AN17" s="39"/>
      <c r="AO17" s="39"/>
    </row>
    <row r="18" spans="1:41" x14ac:dyDescent="0.25">
      <c r="J18" s="145"/>
      <c r="R18" s="145"/>
      <c r="Z18" s="145"/>
      <c r="AH18" s="145"/>
    </row>
    <row r="19" spans="1:41" x14ac:dyDescent="0.25">
      <c r="A19" s="35" t="s">
        <v>154</v>
      </c>
      <c r="B19" s="73"/>
      <c r="C19" s="36" t="s">
        <v>28</v>
      </c>
      <c r="D19" s="35" t="s">
        <v>181</v>
      </c>
      <c r="E19" s="140">
        <f>VLOOKUP(C19,'INP-Calc EFOR&amp;EUOR - 2019Plan'!$A$11:$AE$36,21)</f>
        <v>3.6987512384693201E-2</v>
      </c>
      <c r="F19" s="35" t="s">
        <v>226</v>
      </c>
      <c r="G19" s="140">
        <f>VLOOKUP(C19,'INP-Calc EFOR&amp;EUOR - 2019Plan'!$A$11:$AE$36,27)</f>
        <v>2.0781129915421366E-2</v>
      </c>
      <c r="H19" s="35" t="s">
        <v>182</v>
      </c>
      <c r="I19" s="140">
        <f>VLOOKUP(C19,'INP-Calc EFOR&amp;EUOR - 2019Plan'!$A$11:$AE$36,15)</f>
        <v>2.8000000000000001E-2</v>
      </c>
      <c r="J19" s="145"/>
      <c r="K19" s="36" t="str">
        <f>C19</f>
        <v>BR3</v>
      </c>
      <c r="L19" s="35" t="s">
        <v>181</v>
      </c>
      <c r="M19" s="140">
        <f>VLOOKUP(K19,'INP-Calc EFOR&amp;EUOR - 2019Plan'!$A$11:$AE$36,22)</f>
        <v>3.6987512384693201E-2</v>
      </c>
      <c r="N19" s="35" t="s">
        <v>226</v>
      </c>
      <c r="O19" s="140">
        <f>VLOOKUP(K19,'INP-Calc EFOR&amp;EUOR - 2019Plan'!$A$11:$AE$36,28)</f>
        <v>2.0781129915421366E-2</v>
      </c>
      <c r="P19" s="35" t="s">
        <v>182</v>
      </c>
      <c r="Q19" s="140">
        <f>VLOOKUP(K19,'INP-Calc EFOR&amp;EUOR - 2019Plan'!$A$11:$AE$36,16)</f>
        <v>2.8000000000000001E-2</v>
      </c>
      <c r="R19" s="145"/>
      <c r="S19" s="36" t="str">
        <f>K19</f>
        <v>BR3</v>
      </c>
      <c r="T19" s="35" t="s">
        <v>181</v>
      </c>
      <c r="U19" s="140">
        <f>VLOOKUP(S19,'INP-Calc EFOR&amp;EUOR - 2019Plan'!$A$11:$AE$36,23)</f>
        <v>3.6987512384693201E-2</v>
      </c>
      <c r="V19" s="35" t="s">
        <v>226</v>
      </c>
      <c r="W19" s="140">
        <f>VLOOKUP(S19,'INP-Calc EFOR&amp;EUOR - 2019Plan'!$A$11:$AE$36,29)</f>
        <v>2.0781129915421366E-2</v>
      </c>
      <c r="X19" s="35" t="s">
        <v>182</v>
      </c>
      <c r="Y19" s="140">
        <f>VLOOKUP(S19,'INP-Calc EFOR&amp;EUOR - 2019Plan'!$A$11:$AE$36,17)</f>
        <v>2.8000000000000001E-2</v>
      </c>
      <c r="Z19" s="145"/>
      <c r="AA19" s="36" t="str">
        <f>S19</f>
        <v>BR3</v>
      </c>
      <c r="AB19" s="35" t="s">
        <v>181</v>
      </c>
      <c r="AC19" s="140">
        <f>VLOOKUP(AA19,'INP-Calc EFOR&amp;EUOR - 2019Plan'!$A$11:$AE$36,24)</f>
        <v>3.6987512384693201E-2</v>
      </c>
      <c r="AD19" s="35" t="s">
        <v>226</v>
      </c>
      <c r="AE19" s="140">
        <f>VLOOKUP(AA19,'INP-Calc EFOR&amp;EUOR - 2019Plan'!$A$11:$AE$36,30)</f>
        <v>2.0781129915421366E-2</v>
      </c>
      <c r="AF19" s="35" t="s">
        <v>182</v>
      </c>
      <c r="AG19" s="140">
        <f>VLOOKUP(AA19,'INP-Calc EFOR&amp;EUOR - 2019Plan'!$A$11:$AE$36,18)</f>
        <v>2.8000000000000001E-2</v>
      </c>
      <c r="AH19" s="145"/>
      <c r="AI19" s="36" t="str">
        <f>AA19</f>
        <v>BR3</v>
      </c>
      <c r="AJ19" s="35" t="s">
        <v>181</v>
      </c>
      <c r="AK19" s="140">
        <f>VLOOKUP(AI19,'INP-Calc EFOR&amp;EUOR - 2019Plan'!$A$11:$AE$36,25)</f>
        <v>3.6987512384693201E-2</v>
      </c>
      <c r="AL19" s="35" t="s">
        <v>226</v>
      </c>
      <c r="AM19" s="140">
        <f>VLOOKUP(AI19,'INP-Calc EFOR&amp;EUOR - 2019Plan'!$A$11:$AE$36,31)</f>
        <v>2.0781129915421366E-2</v>
      </c>
      <c r="AN19" s="35" t="s">
        <v>182</v>
      </c>
      <c r="AO19" s="141">
        <f>VLOOKUP(AI19,'INP-Calc EFOR&amp;EUOR - 2019Plan'!$A$11:$AE$36,19)</f>
        <v>2.8000000000000001E-2</v>
      </c>
    </row>
    <row r="20" spans="1:41" x14ac:dyDescent="0.25">
      <c r="A20" s="36"/>
      <c r="B20" s="36"/>
      <c r="C20" s="36"/>
      <c r="D20" s="36"/>
      <c r="E20" s="36"/>
      <c r="F20" s="36"/>
      <c r="G20" s="37"/>
      <c r="H20" s="36"/>
      <c r="I20" s="36"/>
      <c r="J20" s="145"/>
      <c r="K20" s="36"/>
      <c r="L20" s="36"/>
      <c r="M20" s="36"/>
      <c r="N20" s="36"/>
      <c r="O20" s="37"/>
      <c r="P20" s="36"/>
      <c r="Q20" s="36"/>
      <c r="R20" s="145"/>
      <c r="S20" s="36"/>
      <c r="T20" s="36"/>
      <c r="U20" s="36"/>
      <c r="V20" s="36"/>
      <c r="W20" s="37"/>
      <c r="X20" s="36"/>
      <c r="Y20" s="36"/>
      <c r="Z20" s="145"/>
      <c r="AA20" s="36"/>
      <c r="AB20" s="36"/>
      <c r="AC20" s="36"/>
      <c r="AD20" s="36"/>
      <c r="AE20" s="37"/>
      <c r="AF20" s="36"/>
      <c r="AG20" s="36"/>
      <c r="AH20" s="145"/>
      <c r="AI20" s="36"/>
      <c r="AJ20" s="36"/>
      <c r="AK20" s="36"/>
      <c r="AL20" s="36"/>
      <c r="AM20" s="37"/>
      <c r="AN20" s="36"/>
      <c r="AO20" s="36"/>
    </row>
    <row r="21" spans="1:41" x14ac:dyDescent="0.25">
      <c r="A21" s="37" t="str">
        <f>A14</f>
        <v>BLOCK:</v>
      </c>
      <c r="B21" s="37"/>
      <c r="C21" s="38">
        <f>C14</f>
        <v>1</v>
      </c>
      <c r="D21" s="38">
        <f t="shared" ref="D21:I21" si="11">D14</f>
        <v>2</v>
      </c>
      <c r="E21" s="38">
        <f t="shared" si="11"/>
        <v>3</v>
      </c>
      <c r="F21" s="38">
        <f t="shared" si="11"/>
        <v>4</v>
      </c>
      <c r="G21" s="38">
        <f t="shared" si="11"/>
        <v>5</v>
      </c>
      <c r="H21" s="38">
        <f t="shared" si="11"/>
        <v>6</v>
      </c>
      <c r="I21" s="38" t="str">
        <f t="shared" si="11"/>
        <v>Tot Unit</v>
      </c>
      <c r="J21" s="145"/>
      <c r="K21" s="38">
        <f>K14</f>
        <v>1</v>
      </c>
      <c r="L21" s="38">
        <f t="shared" ref="L21:Q21" si="12">L14</f>
        <v>2</v>
      </c>
      <c r="M21" s="38">
        <f t="shared" si="12"/>
        <v>3</v>
      </c>
      <c r="N21" s="38">
        <f t="shared" si="12"/>
        <v>4</v>
      </c>
      <c r="O21" s="38">
        <f t="shared" si="12"/>
        <v>5</v>
      </c>
      <c r="P21" s="38">
        <f t="shared" si="12"/>
        <v>6</v>
      </c>
      <c r="Q21" s="38" t="str">
        <f t="shared" si="12"/>
        <v>Tot Unit</v>
      </c>
      <c r="R21" s="145"/>
      <c r="S21" s="38">
        <f>S14</f>
        <v>1</v>
      </c>
      <c r="T21" s="38">
        <f t="shared" ref="T21:Y21" si="13">T14</f>
        <v>2</v>
      </c>
      <c r="U21" s="38">
        <f t="shared" si="13"/>
        <v>3</v>
      </c>
      <c r="V21" s="38">
        <f t="shared" si="13"/>
        <v>4</v>
      </c>
      <c r="W21" s="38">
        <f t="shared" si="13"/>
        <v>5</v>
      </c>
      <c r="X21" s="38">
        <f t="shared" si="13"/>
        <v>6</v>
      </c>
      <c r="Y21" s="38" t="str">
        <f t="shared" si="13"/>
        <v>Tot Unit</v>
      </c>
      <c r="Z21" s="145"/>
      <c r="AA21" s="38">
        <f>AA14</f>
        <v>1</v>
      </c>
      <c r="AB21" s="38">
        <f t="shared" ref="AB21:AG21" si="14">AB14</f>
        <v>2</v>
      </c>
      <c r="AC21" s="38">
        <f t="shared" si="14"/>
        <v>3</v>
      </c>
      <c r="AD21" s="38">
        <f t="shared" si="14"/>
        <v>4</v>
      </c>
      <c r="AE21" s="38">
        <f t="shared" si="14"/>
        <v>5</v>
      </c>
      <c r="AF21" s="38">
        <f t="shared" si="14"/>
        <v>6</v>
      </c>
      <c r="AG21" s="38" t="str">
        <f t="shared" si="14"/>
        <v>Tot Unit</v>
      </c>
      <c r="AH21" s="145"/>
      <c r="AI21" s="38">
        <f>AI14</f>
        <v>1</v>
      </c>
      <c r="AJ21" s="38">
        <f t="shared" ref="AJ21:AO21" si="15">AJ14</f>
        <v>2</v>
      </c>
      <c r="AK21" s="38">
        <f t="shared" si="15"/>
        <v>3</v>
      </c>
      <c r="AL21" s="38">
        <f t="shared" si="15"/>
        <v>4</v>
      </c>
      <c r="AM21" s="38">
        <f t="shared" si="15"/>
        <v>5</v>
      </c>
      <c r="AN21" s="38">
        <f t="shared" si="15"/>
        <v>6</v>
      </c>
      <c r="AO21" s="38" t="str">
        <f t="shared" si="15"/>
        <v>Tot Unit</v>
      </c>
    </row>
    <row r="22" spans="1:41" x14ac:dyDescent="0.25">
      <c r="A22" s="37" t="str">
        <f t="shared" ref="A22:A23" si="16">A15</f>
        <v>State Capacity (I)</v>
      </c>
      <c r="B22" s="36"/>
      <c r="C22" s="142">
        <f>INDEX('Calc-Pivot abvals'!$H$20:$M$32,MATCH($C19,'Calc-Pivot abvals'!$G$20:$G$32,0),MATCH(C$7,'Calc-Pivot abvals'!$H$19:$M$19,0))</f>
        <v>140</v>
      </c>
      <c r="D22" s="142">
        <f>INDEX('Calc-Pivot abvals'!$H$20:$M$32,MATCH($C19,'Calc-Pivot abvals'!$G$20:$G$32,0),MATCH(D$7,'Calc-Pivot abvals'!$H$19:$M$19,0))</f>
        <v>223</v>
      </c>
      <c r="E22" s="142">
        <f>INDEX('Calc-Pivot abvals'!$H$20:$M$32,MATCH($C19,'Calc-Pivot abvals'!$G$20:$G$32,0),MATCH(E$7,'Calc-Pivot abvals'!$H$19:$M$19,0))</f>
        <v>253</v>
      </c>
      <c r="F22" s="142">
        <f>INDEX('Calc-Pivot abvals'!$H$20:$M$32,MATCH($C19,'Calc-Pivot abvals'!$G$20:$G$32,0),MATCH(F$7,'Calc-Pivot abvals'!$H$19:$M$19,0))</f>
        <v>333</v>
      </c>
      <c r="G22" s="142">
        <f>INDEX('Calc-Pivot abvals'!$H$20:$M$32,MATCH($C19,'Calc-Pivot abvals'!$G$20:$G$32,0),MATCH(G$7,'Calc-Pivot abvals'!$H$19:$M$19,0))</f>
        <v>373</v>
      </c>
      <c r="H22" s="142">
        <f>INDEX('Calc-Pivot abvals'!$H$20:$M$32,MATCH($C19,'Calc-Pivot abvals'!$G$20:$G$32,0),MATCH(H$7,'Calc-Pivot abvals'!$H$19:$M$19,0))</f>
        <v>413</v>
      </c>
      <c r="I22" s="142">
        <f>VLOOKUP(A19,Lookup!$L$5:$M$19,2,FALSE)</f>
        <v>413</v>
      </c>
      <c r="J22" s="145"/>
      <c r="K22" s="142">
        <f>INDEX('Calc-Pivot abvals'!$H$20:$M$32,MATCH($K19,'Calc-Pivot abvals'!$G$20:$G$32,0),MATCH(K$7,'Calc-Pivot abvals'!$H$19:$M$19,0))</f>
        <v>140</v>
      </c>
      <c r="L22" s="142">
        <f>INDEX('Calc-Pivot abvals'!$H$20:$M$32,MATCH($K19,'Calc-Pivot abvals'!$G$20:$G$32,0),MATCH(L$7,'Calc-Pivot abvals'!$H$19:$M$19,0))</f>
        <v>223</v>
      </c>
      <c r="M22" s="142">
        <f>INDEX('Calc-Pivot abvals'!$H$20:$M$32,MATCH($K19,'Calc-Pivot abvals'!$G$20:$G$32,0),MATCH(M$7,'Calc-Pivot abvals'!$H$19:$M$19,0))</f>
        <v>253</v>
      </c>
      <c r="N22" s="142">
        <f>INDEX('Calc-Pivot abvals'!$H$20:$M$32,MATCH($K19,'Calc-Pivot abvals'!$G$20:$G$32,0),MATCH(N$7,'Calc-Pivot abvals'!$H$19:$M$19,0))</f>
        <v>333</v>
      </c>
      <c r="O22" s="142">
        <f>INDEX('Calc-Pivot abvals'!$H$20:$M$32,MATCH($K19,'Calc-Pivot abvals'!$G$20:$G$32,0),MATCH(O$7,'Calc-Pivot abvals'!$H$19:$M$19,0))</f>
        <v>373</v>
      </c>
      <c r="P22" s="142">
        <f>INDEX('Calc-Pivot abvals'!$H$20:$M$32,MATCH($K19,'Calc-Pivot abvals'!$G$20:$G$32,0),MATCH(P$7,'Calc-Pivot abvals'!$H$19:$M$19,0))</f>
        <v>413</v>
      </c>
      <c r="Q22" s="142">
        <f>VLOOKUP(A19,Lookup!$L$5:$M$19,2,FALSE)</f>
        <v>413</v>
      </c>
      <c r="R22" s="145"/>
      <c r="S22" s="142">
        <f>INDEX('Calc-Pivot abvals'!$H$20:$M$32,MATCH($S19,'Calc-Pivot abvals'!$G$20:$G$32,0),MATCH(S$7,'Calc-Pivot abvals'!$H$19:$M$19,0))</f>
        <v>140</v>
      </c>
      <c r="T22" s="142">
        <f>INDEX('Calc-Pivot abvals'!$H$20:$M$32,MATCH($S19,'Calc-Pivot abvals'!$G$20:$G$32,0),MATCH(T$7,'Calc-Pivot abvals'!$H$19:$M$19,0))</f>
        <v>223</v>
      </c>
      <c r="U22" s="142">
        <f>INDEX('Calc-Pivot abvals'!$H$20:$M$32,MATCH($S19,'Calc-Pivot abvals'!$G$20:$G$32,0),MATCH(U$7,'Calc-Pivot abvals'!$H$19:$M$19,0))</f>
        <v>253</v>
      </c>
      <c r="V22" s="142">
        <f>INDEX('Calc-Pivot abvals'!$H$20:$M$32,MATCH($S19,'Calc-Pivot abvals'!$G$20:$G$32,0),MATCH(V$7,'Calc-Pivot abvals'!$H$19:$M$19,0))</f>
        <v>333</v>
      </c>
      <c r="W22" s="142">
        <f>INDEX('Calc-Pivot abvals'!$H$20:$M$32,MATCH($S19,'Calc-Pivot abvals'!$G$20:$G$32,0),MATCH(W$7,'Calc-Pivot abvals'!$H$19:$M$19,0))</f>
        <v>373</v>
      </c>
      <c r="X22" s="142">
        <f>INDEX('Calc-Pivot abvals'!$H$20:$M$32,MATCH($S19,'Calc-Pivot abvals'!$G$20:$G$32,0),MATCH(X$7,'Calc-Pivot abvals'!$H$19:$M$19,0))</f>
        <v>413</v>
      </c>
      <c r="Y22" s="142">
        <f>VLOOKUP($A$19,Lookup!$L$5:$M$19,2,FALSE)</f>
        <v>413</v>
      </c>
      <c r="Z22" s="145"/>
      <c r="AA22" s="142">
        <f>INDEX('Calc-Pivot abvals'!$H$20:$M$32,MATCH($AA19,'Calc-Pivot abvals'!$G$20:$G$32,0),MATCH(AA$7,'Calc-Pivot abvals'!$H$19:$M$19,0))</f>
        <v>140</v>
      </c>
      <c r="AB22" s="142">
        <f>INDEX('Calc-Pivot abvals'!$H$20:$M$32,MATCH($AA19,'Calc-Pivot abvals'!$G$20:$G$32,0),MATCH(AB$7,'Calc-Pivot abvals'!$H$19:$M$19,0))</f>
        <v>223</v>
      </c>
      <c r="AC22" s="142">
        <f>INDEX('Calc-Pivot abvals'!$H$20:$M$32,MATCH($AA19,'Calc-Pivot abvals'!$G$20:$G$32,0),MATCH(AC$7,'Calc-Pivot abvals'!$H$19:$M$19,0))</f>
        <v>253</v>
      </c>
      <c r="AD22" s="142">
        <f>INDEX('Calc-Pivot abvals'!$H$20:$M$32,MATCH($AA19,'Calc-Pivot abvals'!$G$20:$G$32,0),MATCH(AD$7,'Calc-Pivot abvals'!$H$19:$M$19,0))</f>
        <v>333</v>
      </c>
      <c r="AE22" s="142">
        <f>INDEX('Calc-Pivot abvals'!$H$20:$M$32,MATCH($AA19,'Calc-Pivot abvals'!$G$20:$G$32,0),MATCH(AE$7,'Calc-Pivot abvals'!$H$19:$M$19,0))</f>
        <v>373</v>
      </c>
      <c r="AF22" s="142">
        <f>INDEX('Calc-Pivot abvals'!$H$20:$M$32,MATCH($AA19,'Calc-Pivot abvals'!$G$20:$G$32,0),MATCH(AF$7,'Calc-Pivot abvals'!$H$19:$M$19,0))</f>
        <v>413</v>
      </c>
      <c r="AG22" s="142">
        <f>VLOOKUP($A$19,Lookup!$L$5:$M$19,2,FALSE)</f>
        <v>413</v>
      </c>
      <c r="AH22" s="145"/>
      <c r="AI22" s="142">
        <f>INDEX('Calc-Pivot abvals'!$H$20:$M$32,MATCH($AI19,'Calc-Pivot abvals'!$G$20:$G$32,0),MATCH(AI$7,'Calc-Pivot abvals'!$H$19:$M$19,0))</f>
        <v>140</v>
      </c>
      <c r="AJ22" s="142">
        <f>INDEX('Calc-Pivot abvals'!$H$20:$M$32,MATCH($AI19,'Calc-Pivot abvals'!$G$20:$G$32,0),MATCH(AJ$7,'Calc-Pivot abvals'!$H$19:$M$19,0))</f>
        <v>223</v>
      </c>
      <c r="AK22" s="142">
        <f>INDEX('Calc-Pivot abvals'!$H$20:$M$32,MATCH($AI19,'Calc-Pivot abvals'!$G$20:$G$32,0),MATCH(AK$7,'Calc-Pivot abvals'!$H$19:$M$19,0))</f>
        <v>253</v>
      </c>
      <c r="AL22" s="142">
        <f>INDEX('Calc-Pivot abvals'!$H$20:$M$32,MATCH($AI19,'Calc-Pivot abvals'!$G$20:$G$32,0),MATCH(AL$7,'Calc-Pivot abvals'!$H$19:$M$19,0))</f>
        <v>333</v>
      </c>
      <c r="AM22" s="142">
        <f>INDEX('Calc-Pivot abvals'!$H$20:$M$32,MATCH($AI19,'Calc-Pivot abvals'!$G$20:$G$32,0),MATCH(AM$7,'Calc-Pivot abvals'!$H$19:$M$19,0))</f>
        <v>373</v>
      </c>
      <c r="AN22" s="142">
        <f>INDEX('Calc-Pivot abvals'!$H$20:$M$32,MATCH($AI19,'Calc-Pivot abvals'!$G$20:$G$32,0),MATCH(AN$7,'Calc-Pivot abvals'!$H$19:$M$19,0))</f>
        <v>413</v>
      </c>
      <c r="AO22" s="142">
        <f>VLOOKUP($A$19,Lookup!$L$5:$M$19,2,FALSE)</f>
        <v>413</v>
      </c>
    </row>
    <row r="23" spans="1:41" x14ac:dyDescent="0.25">
      <c r="A23" s="35" t="str">
        <f t="shared" si="16"/>
        <v>GADS Yr Availability: GADS only (C)</v>
      </c>
      <c r="B23" s="35"/>
      <c r="C23" s="78">
        <f ca="1">INDEX(AvailableStates!$D$3:$I$82,MATCH($C19,AvailableStates!$B$3:$B$82,0)+MATCH('Calc- Prosym Setup'!$C$4,AvailableStates!$C$3:$C$7)-1,MATCH('Calc- Prosym Setup'!C$7,AvailableStates!$D$2:$I$2,0))</f>
        <v>2.3093051436689192E-2</v>
      </c>
      <c r="D23" s="78">
        <f ca="1">INDEX(AvailableStates!$D$3:$I$82,MATCH($C19,AvailableStates!$B$3:$B$82,0)+MATCH('Calc- Prosym Setup'!$C$4,AvailableStates!$C$3:$C$7)-1,MATCH('Calc- Prosym Setup'!D$7,AvailableStates!$D$2:$I$2,0))</f>
        <v>5.7641996521706138E-3</v>
      </c>
      <c r="E23" s="78">
        <f ca="1">INDEX(AvailableStates!$D$3:$I$82,MATCH($C19,AvailableStates!$B$3:$B$82,0)+MATCH('Calc- Prosym Setup'!$C$4,AvailableStates!$C$3:$C$7)-1,MATCH('Calc- Prosym Setup'!E$7,AvailableStates!$D$2:$I$2,0))</f>
        <v>2.4772765801179468E-3</v>
      </c>
      <c r="F23" s="78">
        <f ca="1">INDEX(AvailableStates!$D$3:$I$82,MATCH($C19,AvailableStates!$B$3:$B$82,0)+MATCH('Calc- Prosym Setup'!$C$4,AvailableStates!$C$3:$C$7)-1,MATCH('Calc- Prosym Setup'!F$7,AvailableStates!$D$2:$I$2,0))</f>
        <v>4.7679182308090068E-3</v>
      </c>
      <c r="G23" s="78">
        <f ca="1">INDEX(AvailableStates!$D$3:$I$82,MATCH($C19,AvailableStates!$B$3:$B$82,0)+MATCH('Calc- Prosym Setup'!$C$4,AvailableStates!$C$3:$C$7)-1,MATCH('Calc- Prosym Setup'!G$7,AvailableStates!$D$2:$I$2,0))</f>
        <v>2.1939674427387495E-3</v>
      </c>
      <c r="H23" s="78">
        <f ca="1">INDEX(AvailableStates!$D$3:$I$82,MATCH($C19,AvailableStates!$B$3:$B$82,0)+MATCH('Calc- Prosym Setup'!$C$4,AvailableStates!$C$3:$C$7)-1,MATCH('Calc- Prosym Setup'!H$7,AvailableStates!$D$2:$I$2,0))</f>
        <v>0.89671607427278122</v>
      </c>
      <c r="I23" s="78">
        <f ca="1">SUM(C23:H23)</f>
        <v>0.93501248761530675</v>
      </c>
      <c r="J23" s="145"/>
      <c r="K23" s="78">
        <f ca="1">INDEX(AvailableStates!$D$3:$I$82,MATCH($K19,AvailableStates!$B$3:$B$82,0)+MATCH('Calc- Prosym Setup'!$K$4,AvailableStates!$C$3:$C$7)-1,MATCH('Calc- Prosym Setup'!K$7,AvailableStates!$D$2:$I$2,0))</f>
        <v>2.3093051436689192E-2</v>
      </c>
      <c r="L23" s="78">
        <f ca="1">INDEX(AvailableStates!$D$3:$I$82,MATCH($K19,AvailableStates!$B$3:$B$82,0)+MATCH('Calc- Prosym Setup'!$K$4,AvailableStates!$C$3:$C$7)-1,MATCH('Calc- Prosym Setup'!L$7,AvailableStates!$D$2:$I$2,0))</f>
        <v>5.7641996521706138E-3</v>
      </c>
      <c r="M23" s="78">
        <f ca="1">INDEX(AvailableStates!$D$3:$I$82,MATCH($K19,AvailableStates!$B$3:$B$82,0)+MATCH('Calc- Prosym Setup'!$K$4,AvailableStates!$C$3:$C$7)-1,MATCH('Calc- Prosym Setup'!M$7,AvailableStates!$D$2:$I$2,0))</f>
        <v>2.4772765801179468E-3</v>
      </c>
      <c r="N23" s="78">
        <f ca="1">INDEX(AvailableStates!$D$3:$I$82,MATCH($K19,AvailableStates!$B$3:$B$82,0)+MATCH('Calc- Prosym Setup'!$K$4,AvailableStates!$C$3:$C$7)-1,MATCH('Calc- Prosym Setup'!N$7,AvailableStates!$D$2:$I$2,0))</f>
        <v>4.7679182308090068E-3</v>
      </c>
      <c r="O23" s="78">
        <f ca="1">INDEX(AvailableStates!$D$3:$I$82,MATCH($K19,AvailableStates!$B$3:$B$82,0)+MATCH('Calc- Prosym Setup'!$K$4,AvailableStates!$C$3:$C$7)-1,MATCH('Calc- Prosym Setup'!O$7,AvailableStates!$D$2:$I$2,0))</f>
        <v>2.1939674427387495E-3</v>
      </c>
      <c r="P23" s="78">
        <f ca="1">INDEX(AvailableStates!$D$3:$I$82,MATCH($K19,AvailableStates!$B$3:$B$82,0)+MATCH('Calc- Prosym Setup'!$K$4,AvailableStates!$C$3:$C$7)-1,MATCH('Calc- Prosym Setup'!P$7,AvailableStates!$D$2:$I$2,0))</f>
        <v>0.89671607427278122</v>
      </c>
      <c r="Q23" s="78">
        <f ca="1">SUM(K23:P23)</f>
        <v>0.93501248761530675</v>
      </c>
      <c r="R23" s="145"/>
      <c r="S23" s="78">
        <f ca="1">INDEX(AvailableStates!$D$3:$I$82,MATCH($S19,AvailableStates!$B$3:$B$82,0)+MATCH('Calc- Prosym Setup'!$S$4,AvailableStates!$C$3:$C$7)-1,MATCH('Calc- Prosym Setup'!S$7,AvailableStates!$D$2:$I$2,0))</f>
        <v>2.3093051436689192E-2</v>
      </c>
      <c r="T23" s="78">
        <f ca="1">INDEX(AvailableStates!$D$3:$I$82,MATCH($S19,AvailableStates!$B$3:$B$82,0)+MATCH('Calc- Prosym Setup'!$S$4,AvailableStates!$C$3:$C$7)-1,MATCH('Calc- Prosym Setup'!T$7,AvailableStates!$D$2:$I$2,0))</f>
        <v>5.7641996521706138E-3</v>
      </c>
      <c r="U23" s="78">
        <f ca="1">INDEX(AvailableStates!$D$3:$I$82,MATCH($S19,AvailableStates!$B$3:$B$82,0)+MATCH('Calc- Prosym Setup'!$S$4,AvailableStates!$C$3:$C$7)-1,MATCH('Calc- Prosym Setup'!U$7,AvailableStates!$D$2:$I$2,0))</f>
        <v>2.4772765801179468E-3</v>
      </c>
      <c r="V23" s="78">
        <f ca="1">INDEX(AvailableStates!$D$3:$I$82,MATCH($S19,AvailableStates!$B$3:$B$82,0)+MATCH('Calc- Prosym Setup'!$S$4,AvailableStates!$C$3:$C$7)-1,MATCH('Calc- Prosym Setup'!V$7,AvailableStates!$D$2:$I$2,0))</f>
        <v>4.7679182308090068E-3</v>
      </c>
      <c r="W23" s="78">
        <f ca="1">INDEX(AvailableStates!$D$3:$I$82,MATCH($S19,AvailableStates!$B$3:$B$82,0)+MATCH('Calc- Prosym Setup'!$S$4,AvailableStates!$C$3:$C$7)-1,MATCH('Calc- Prosym Setup'!W$7,AvailableStates!$D$2:$I$2,0))</f>
        <v>2.1939674427387495E-3</v>
      </c>
      <c r="X23" s="78">
        <f ca="1">INDEX(AvailableStates!$D$3:$I$82,MATCH($S19,AvailableStates!$B$3:$B$82,0)+MATCH('Calc- Prosym Setup'!$S$4,AvailableStates!$C$3:$C$7)-1,MATCH('Calc- Prosym Setup'!X$7,AvailableStates!$D$2:$I$2,0))</f>
        <v>0.89671607427278122</v>
      </c>
      <c r="Y23" s="78">
        <f ca="1">SUM(S23:X23)</f>
        <v>0.93501248761530675</v>
      </c>
      <c r="Z23" s="145"/>
      <c r="AA23" s="78">
        <f ca="1">INDEX(AvailableStates!$D$3:$I$82,MATCH($AA19,AvailableStates!$B$3:$B$82,0)+MATCH('Calc- Prosym Setup'!$AA$4,AvailableStates!$C$3:$C$7)-1,MATCH('Calc- Prosym Setup'!AA$7,AvailableStates!$D$2:$I$2,0))</f>
        <v>2.3093051436689192E-2</v>
      </c>
      <c r="AB23" s="78">
        <f ca="1">INDEX(AvailableStates!$D$3:$I$82,MATCH($AA19,AvailableStates!$B$3:$B$82,0)+MATCH('Calc- Prosym Setup'!$AA$4,AvailableStates!$C$3:$C$7)-1,MATCH('Calc- Prosym Setup'!AB$7,AvailableStates!$D$2:$I$2,0))</f>
        <v>5.7641996521706138E-3</v>
      </c>
      <c r="AC23" s="78">
        <f ca="1">INDEX(AvailableStates!$D$3:$I$82,MATCH($AA19,AvailableStates!$B$3:$B$82,0)+MATCH('Calc- Prosym Setup'!$AA$4,AvailableStates!$C$3:$C$7)-1,MATCH('Calc- Prosym Setup'!AC$7,AvailableStates!$D$2:$I$2,0))</f>
        <v>2.4772765801179468E-3</v>
      </c>
      <c r="AD23" s="78">
        <f ca="1">INDEX(AvailableStates!$D$3:$I$82,MATCH($AA19,AvailableStates!$B$3:$B$82,0)+MATCH('Calc- Prosym Setup'!$AA$4,AvailableStates!$C$3:$C$7)-1,MATCH('Calc- Prosym Setup'!AD$7,AvailableStates!$D$2:$I$2,0))</f>
        <v>4.7679182308090068E-3</v>
      </c>
      <c r="AE23" s="78">
        <f ca="1">INDEX(AvailableStates!$D$3:$I$82,MATCH($AA19,AvailableStates!$B$3:$B$82,0)+MATCH('Calc- Prosym Setup'!$AA$4,AvailableStates!$C$3:$C$7)-1,MATCH('Calc- Prosym Setup'!AE$7,AvailableStates!$D$2:$I$2,0))</f>
        <v>2.1939674427387495E-3</v>
      </c>
      <c r="AF23" s="78">
        <f ca="1">INDEX(AvailableStates!$D$3:$I$82,MATCH($AA19,AvailableStates!$B$3:$B$82,0)+MATCH('Calc- Prosym Setup'!$AA$4,AvailableStates!$C$3:$C$7)-1,MATCH('Calc- Prosym Setup'!AF$7,AvailableStates!$D$2:$I$2,0))</f>
        <v>0.89671607427278122</v>
      </c>
      <c r="AG23" s="78">
        <f ca="1">SUM(AA23:AF23)</f>
        <v>0.93501248761530675</v>
      </c>
      <c r="AH23" s="145"/>
      <c r="AI23" s="78">
        <f ca="1">INDEX(AvailableStates!$D$3:$I$82,MATCH($AI19,AvailableStates!$B$3:$B$82,0)+MATCH('Calc- Prosym Setup'!$AI$4,AvailableStates!$C$3:$C$7)-1,MATCH('Calc- Prosym Setup'!AI$7,AvailableStates!$D$2:$I$2,0))</f>
        <v>2.3093051436689192E-2</v>
      </c>
      <c r="AJ23" s="78">
        <f ca="1">INDEX(AvailableStates!$D$3:$I$82,MATCH($AI19,AvailableStates!$B$3:$B$82,0)+MATCH('Calc- Prosym Setup'!$AI$4,AvailableStates!$C$3:$C$7)-1,MATCH('Calc- Prosym Setup'!AJ$7,AvailableStates!$D$2:$I$2,0))</f>
        <v>5.7641996521706138E-3</v>
      </c>
      <c r="AK23" s="78">
        <f ca="1">INDEX(AvailableStates!$D$3:$I$82,MATCH($AI19,AvailableStates!$B$3:$B$82,0)+MATCH('Calc- Prosym Setup'!$AI$4,AvailableStates!$C$3:$C$7)-1,MATCH('Calc- Prosym Setup'!AK$7,AvailableStates!$D$2:$I$2,0))</f>
        <v>2.4772765801179468E-3</v>
      </c>
      <c r="AL23" s="78">
        <f ca="1">INDEX(AvailableStates!$D$3:$I$82,MATCH($AI19,AvailableStates!$B$3:$B$82,0)+MATCH('Calc- Prosym Setup'!$AI$4,AvailableStates!$C$3:$C$7)-1,MATCH('Calc- Prosym Setup'!AL$7,AvailableStates!$D$2:$I$2,0))</f>
        <v>4.7679182308090068E-3</v>
      </c>
      <c r="AM23" s="78">
        <f ca="1">INDEX(AvailableStates!$D$3:$I$82,MATCH($AI19,AvailableStates!$B$3:$B$82,0)+MATCH('Calc- Prosym Setup'!$AI$4,AvailableStates!$C$3:$C$7)-1,MATCH('Calc- Prosym Setup'!AM$7,AvailableStates!$D$2:$I$2,0))</f>
        <v>2.1939674427387495E-3</v>
      </c>
      <c r="AN23" s="78">
        <f ca="1">INDEX(AvailableStates!$D$3:$I$82,MATCH($AI19,AvailableStates!$B$3:$B$82,0)+MATCH('Calc- Prosym Setup'!$AI$4,AvailableStates!$C$3:$C$7)-1,MATCH('Calc- Prosym Setup'!AN$7,AvailableStates!$D$2:$I$2,0))</f>
        <v>0.89671607427278122</v>
      </c>
      <c r="AO23" s="78">
        <f ca="1">SUM(AI23:AN23)</f>
        <v>0.93501248761530675</v>
      </c>
    </row>
    <row r="24" spans="1:41" x14ac:dyDescent="0.25">
      <c r="J24" s="145"/>
      <c r="R24" s="145"/>
      <c r="Z24" s="145"/>
      <c r="AH24" s="145"/>
    </row>
    <row r="25" spans="1:41" x14ac:dyDescent="0.25">
      <c r="J25" s="145"/>
      <c r="R25" s="145"/>
      <c r="Z25" s="145"/>
      <c r="AH25" s="145"/>
    </row>
    <row r="26" spans="1:41" x14ac:dyDescent="0.25">
      <c r="A26" s="58" t="s">
        <v>155</v>
      </c>
      <c r="B26" s="73"/>
      <c r="C26" s="36" t="s">
        <v>26</v>
      </c>
      <c r="D26" s="35" t="s">
        <v>181</v>
      </c>
      <c r="E26" s="140">
        <f>VLOOKUP(C26,'INP-Calc EFOR&amp;EUOR - 2019Plan'!$A$11:$AE$36,21)</f>
        <v>3.4396199718937544E-2</v>
      </c>
      <c r="F26" s="35" t="s">
        <v>226</v>
      </c>
      <c r="G26" s="140">
        <f>VLOOKUP(C26,'INP-Calc EFOR&amp;EUOR - 2019Plan'!$A$11:$AE$36,27)</f>
        <v>1.8230873030883308E-2</v>
      </c>
      <c r="H26" s="35" t="s">
        <v>182</v>
      </c>
      <c r="I26" s="140">
        <f>VLOOKUP(C26,'INP-Calc EFOR&amp;EUOR - 2019Plan'!$A$11:$AE$36,15)</f>
        <v>2.1999999999999999E-2</v>
      </c>
      <c r="J26" s="145"/>
      <c r="K26" s="36" t="str">
        <f>C26</f>
        <v>GH1</v>
      </c>
      <c r="L26" s="35" t="s">
        <v>181</v>
      </c>
      <c r="M26" s="140">
        <f>VLOOKUP(K26,'INP-Calc EFOR&amp;EUOR - 2019Plan'!$A$11:$AE$36,22)</f>
        <v>3.4396199718937544E-2</v>
      </c>
      <c r="N26" s="35" t="s">
        <v>226</v>
      </c>
      <c r="O26" s="140">
        <f>VLOOKUP(K26,'INP-Calc EFOR&amp;EUOR - 2019Plan'!$A$11:$AE$36,28)</f>
        <v>1.8230873030883308E-2</v>
      </c>
      <c r="P26" s="35" t="s">
        <v>182</v>
      </c>
      <c r="Q26" s="140">
        <f>VLOOKUP(K26,'INP-Calc EFOR&amp;EUOR - 2019Plan'!$A$11:$AE$36,16)</f>
        <v>2.1999999999999999E-2</v>
      </c>
      <c r="R26" s="145"/>
      <c r="S26" s="36" t="str">
        <f>K26</f>
        <v>GH1</v>
      </c>
      <c r="T26" s="35" t="s">
        <v>181</v>
      </c>
      <c r="U26" s="140">
        <f>VLOOKUP(S26,'INP-Calc EFOR&amp;EUOR - 2019Plan'!$A$11:$AE$36,23)</f>
        <v>3.4396199718937544E-2</v>
      </c>
      <c r="V26" s="35" t="s">
        <v>226</v>
      </c>
      <c r="W26" s="140">
        <f>VLOOKUP(S26,'INP-Calc EFOR&amp;EUOR - 2019Plan'!$A$11:$AE$36,29)</f>
        <v>1.8230873030883308E-2</v>
      </c>
      <c r="X26" s="35" t="s">
        <v>182</v>
      </c>
      <c r="Y26" s="140">
        <f>VLOOKUP(S26,'INP-Calc EFOR&amp;EUOR - 2019Plan'!$A$11:$AE$36,17)</f>
        <v>2.1999999999999999E-2</v>
      </c>
      <c r="Z26" s="145"/>
      <c r="AA26" s="36" t="str">
        <f>S26</f>
        <v>GH1</v>
      </c>
      <c r="AB26" s="35" t="s">
        <v>181</v>
      </c>
      <c r="AC26" s="140">
        <f>VLOOKUP(AA26,'INP-Calc EFOR&amp;EUOR - 2019Plan'!$A$11:$AE$36,24)</f>
        <v>3.4396199718937544E-2</v>
      </c>
      <c r="AD26" s="35" t="s">
        <v>226</v>
      </c>
      <c r="AE26" s="140">
        <f>VLOOKUP(AA26,'INP-Calc EFOR&amp;EUOR - 2019Plan'!$A$11:$AE$36,30)</f>
        <v>1.8230873030883308E-2</v>
      </c>
      <c r="AF26" s="35" t="s">
        <v>182</v>
      </c>
      <c r="AG26" s="140">
        <f>VLOOKUP(AA26,'INP-Calc EFOR&amp;EUOR - 2019Plan'!$A$11:$AE$36,18)</f>
        <v>2.1999999999999999E-2</v>
      </c>
      <c r="AH26" s="145"/>
      <c r="AI26" s="36" t="str">
        <f>AA26</f>
        <v>GH1</v>
      </c>
      <c r="AJ26" s="35" t="s">
        <v>181</v>
      </c>
      <c r="AK26" s="140">
        <f>VLOOKUP(AI26,'INP-Calc EFOR&amp;EUOR - 2019Plan'!$A$11:$AE$36,25)</f>
        <v>3.4396199718937544E-2</v>
      </c>
      <c r="AL26" s="35" t="s">
        <v>226</v>
      </c>
      <c r="AM26" s="140">
        <f>VLOOKUP(AI26,'INP-Calc EFOR&amp;EUOR - 2019Plan'!$A$11:$AE$36,31)</f>
        <v>1.8230873030883308E-2</v>
      </c>
      <c r="AN26" s="35" t="s">
        <v>182</v>
      </c>
      <c r="AO26" s="141">
        <f>VLOOKUP(AI26,'INP-Calc EFOR&amp;EUOR - 2019Plan'!$A$11:$AE$36,19)</f>
        <v>2.1999999999999999E-2</v>
      </c>
    </row>
    <row r="27" spans="1:41" x14ac:dyDescent="0.25">
      <c r="A27" s="36"/>
      <c r="B27" s="73"/>
      <c r="C27" s="36"/>
      <c r="D27" s="36"/>
      <c r="E27" s="36"/>
      <c r="F27" s="36"/>
      <c r="G27" s="37"/>
      <c r="H27" s="36"/>
      <c r="I27" s="36"/>
      <c r="J27" s="145"/>
      <c r="K27" s="36"/>
      <c r="L27" s="36"/>
      <c r="M27" s="36"/>
      <c r="N27" s="36"/>
      <c r="O27" s="37"/>
      <c r="P27" s="36"/>
      <c r="Q27" s="36"/>
      <c r="R27" s="145"/>
      <c r="S27" s="36"/>
      <c r="T27" s="36"/>
      <c r="U27" s="36"/>
      <c r="V27" s="36"/>
      <c r="W27" s="37"/>
      <c r="X27" s="36"/>
      <c r="Y27" s="36"/>
      <c r="Z27" s="145"/>
      <c r="AA27" s="36"/>
      <c r="AB27" s="36"/>
      <c r="AC27" s="36"/>
      <c r="AD27" s="36"/>
      <c r="AE27" s="37"/>
      <c r="AF27" s="36"/>
      <c r="AG27" s="36"/>
      <c r="AH27" s="145"/>
      <c r="AI27" s="36"/>
      <c r="AJ27" s="36"/>
      <c r="AK27" s="36"/>
      <c r="AL27" s="36"/>
      <c r="AM27" s="37"/>
      <c r="AN27" s="36"/>
      <c r="AO27" s="36"/>
    </row>
    <row r="28" spans="1:41" x14ac:dyDescent="0.25">
      <c r="A28" s="37" t="str">
        <f>A21</f>
        <v>BLOCK:</v>
      </c>
      <c r="B28" s="36"/>
      <c r="C28" s="38">
        <f>C21</f>
        <v>1</v>
      </c>
      <c r="D28" s="38">
        <f t="shared" ref="D28:I28" si="17">D21</f>
        <v>2</v>
      </c>
      <c r="E28" s="38">
        <f t="shared" si="17"/>
        <v>3</v>
      </c>
      <c r="F28" s="38">
        <f t="shared" si="17"/>
        <v>4</v>
      </c>
      <c r="G28" s="38">
        <f t="shared" si="17"/>
        <v>5</v>
      </c>
      <c r="H28" s="38">
        <f t="shared" si="17"/>
        <v>6</v>
      </c>
      <c r="I28" s="38" t="str">
        <f t="shared" si="17"/>
        <v>Tot Unit</v>
      </c>
      <c r="J28" s="145"/>
      <c r="K28" s="38">
        <f>K21</f>
        <v>1</v>
      </c>
      <c r="L28" s="38">
        <f t="shared" ref="L28:Q28" si="18">L21</f>
        <v>2</v>
      </c>
      <c r="M28" s="38">
        <f t="shared" si="18"/>
        <v>3</v>
      </c>
      <c r="N28" s="38">
        <f t="shared" si="18"/>
        <v>4</v>
      </c>
      <c r="O28" s="38">
        <f t="shared" si="18"/>
        <v>5</v>
      </c>
      <c r="P28" s="38">
        <f t="shared" si="18"/>
        <v>6</v>
      </c>
      <c r="Q28" s="38" t="str">
        <f t="shared" si="18"/>
        <v>Tot Unit</v>
      </c>
      <c r="R28" s="145"/>
      <c r="S28" s="38">
        <f>S21</f>
        <v>1</v>
      </c>
      <c r="T28" s="38">
        <f t="shared" ref="T28:Y28" si="19">T21</f>
        <v>2</v>
      </c>
      <c r="U28" s="38">
        <f t="shared" si="19"/>
        <v>3</v>
      </c>
      <c r="V28" s="38">
        <f t="shared" si="19"/>
        <v>4</v>
      </c>
      <c r="W28" s="38">
        <f t="shared" si="19"/>
        <v>5</v>
      </c>
      <c r="X28" s="38">
        <f t="shared" si="19"/>
        <v>6</v>
      </c>
      <c r="Y28" s="38" t="str">
        <f t="shared" si="19"/>
        <v>Tot Unit</v>
      </c>
      <c r="Z28" s="145"/>
      <c r="AA28" s="38">
        <f>AA21</f>
        <v>1</v>
      </c>
      <c r="AB28" s="38">
        <f t="shared" ref="AB28:AG28" si="20">AB21</f>
        <v>2</v>
      </c>
      <c r="AC28" s="38">
        <f t="shared" si="20"/>
        <v>3</v>
      </c>
      <c r="AD28" s="38">
        <f t="shared" si="20"/>
        <v>4</v>
      </c>
      <c r="AE28" s="38">
        <f t="shared" si="20"/>
        <v>5</v>
      </c>
      <c r="AF28" s="38">
        <f t="shared" si="20"/>
        <v>6</v>
      </c>
      <c r="AG28" s="38" t="str">
        <f t="shared" si="20"/>
        <v>Tot Unit</v>
      </c>
      <c r="AH28" s="145"/>
      <c r="AI28" s="38">
        <f>AI21</f>
        <v>1</v>
      </c>
      <c r="AJ28" s="38">
        <f t="shared" ref="AJ28:AO28" si="21">AJ21</f>
        <v>2</v>
      </c>
      <c r="AK28" s="38">
        <f t="shared" si="21"/>
        <v>3</v>
      </c>
      <c r="AL28" s="38">
        <f t="shared" si="21"/>
        <v>4</v>
      </c>
      <c r="AM28" s="38">
        <f t="shared" si="21"/>
        <v>5</v>
      </c>
      <c r="AN28" s="38">
        <f t="shared" si="21"/>
        <v>6</v>
      </c>
      <c r="AO28" s="38" t="str">
        <f t="shared" si="21"/>
        <v>Tot Unit</v>
      </c>
    </row>
    <row r="29" spans="1:41" x14ac:dyDescent="0.25">
      <c r="A29" s="37" t="str">
        <f t="shared" ref="A29:A30" si="22">A22</f>
        <v>State Capacity (I)</v>
      </c>
      <c r="B29" s="37"/>
      <c r="C29" s="142">
        <f>INDEX('Calc-Pivot abvals'!$H$20:$M$32,MATCH($C26,'Calc-Pivot abvals'!$G$20:$G$32,0),MATCH(C$7,'Calc-Pivot abvals'!$H$19:$M$19,0))</f>
        <v>218</v>
      </c>
      <c r="D29" s="142">
        <f>INDEX('Calc-Pivot abvals'!$H$20:$M$32,MATCH($C26,'Calc-Pivot abvals'!$G$20:$G$32,0),MATCH(D$7,'Calc-Pivot abvals'!$H$19:$M$19,0))</f>
        <v>289</v>
      </c>
      <c r="E29" s="142">
        <f>INDEX('Calc-Pivot abvals'!$H$20:$M$32,MATCH($C26,'Calc-Pivot abvals'!$G$20:$G$32,0),MATCH(E$7,'Calc-Pivot abvals'!$H$19:$M$19,0))</f>
        <v>319</v>
      </c>
      <c r="F29" s="142">
        <f>INDEX('Calc-Pivot abvals'!$H$20:$M$32,MATCH($C26,'Calc-Pivot abvals'!$G$20:$G$32,0),MATCH(F$7,'Calc-Pivot abvals'!$H$19:$M$19,0))</f>
        <v>399</v>
      </c>
      <c r="G29" s="142">
        <f>INDEX('Calc-Pivot abvals'!$H$20:$M$32,MATCH($C26,'Calc-Pivot abvals'!$G$20:$G$32,0),MATCH(G$7,'Calc-Pivot abvals'!$H$19:$M$19,0))</f>
        <v>439</v>
      </c>
      <c r="H29" s="142">
        <f>INDEX('Calc-Pivot abvals'!$H$20:$M$32,MATCH($C26,'Calc-Pivot abvals'!$G$20:$G$32,0),MATCH(H$7,'Calc-Pivot abvals'!$H$19:$M$19,0))</f>
        <v>479</v>
      </c>
      <c r="I29" s="142">
        <f>VLOOKUP(A26,Lookup!$L$5:$M$19,2,FALSE)</f>
        <v>479</v>
      </c>
      <c r="J29" s="145"/>
      <c r="K29" s="142">
        <f>INDEX('Calc-Pivot abvals'!$H$20:$M$32,MATCH($K26,'Calc-Pivot abvals'!$G$20:$G$32,0),MATCH(K$7,'Calc-Pivot abvals'!$H$19:$M$19,0))</f>
        <v>218</v>
      </c>
      <c r="L29" s="142">
        <f>INDEX('Calc-Pivot abvals'!$H$20:$M$32,MATCH($K26,'Calc-Pivot abvals'!$G$20:$G$32,0),MATCH(L$7,'Calc-Pivot abvals'!$H$19:$M$19,0))</f>
        <v>289</v>
      </c>
      <c r="M29" s="142">
        <f>INDEX('Calc-Pivot abvals'!$H$20:$M$32,MATCH($K26,'Calc-Pivot abvals'!$G$20:$G$32,0),MATCH(M$7,'Calc-Pivot abvals'!$H$19:$M$19,0))</f>
        <v>319</v>
      </c>
      <c r="N29" s="142">
        <f>INDEX('Calc-Pivot abvals'!$H$20:$M$32,MATCH($K26,'Calc-Pivot abvals'!$G$20:$G$32,0),MATCH(N$7,'Calc-Pivot abvals'!$H$19:$M$19,0))</f>
        <v>399</v>
      </c>
      <c r="O29" s="142">
        <f>INDEX('Calc-Pivot abvals'!$H$20:$M$32,MATCH($K26,'Calc-Pivot abvals'!$G$20:$G$32,0),MATCH(O$7,'Calc-Pivot abvals'!$H$19:$M$19,0))</f>
        <v>439</v>
      </c>
      <c r="P29" s="142">
        <f>INDEX('Calc-Pivot abvals'!$H$20:$M$32,MATCH($K26,'Calc-Pivot abvals'!$G$20:$G$32,0),MATCH(P$7,'Calc-Pivot abvals'!$H$19:$M$19,0))</f>
        <v>479</v>
      </c>
      <c r="Q29" s="142">
        <f>VLOOKUP($A$26,Lookup!$L$5:$M$19,2,FALSE)</f>
        <v>479</v>
      </c>
      <c r="R29" s="145"/>
      <c r="S29" s="142">
        <f>INDEX('Calc-Pivot abvals'!$H$20:$M$32,MATCH($S26,'Calc-Pivot abvals'!$G$20:$G$32,0),MATCH(S$7,'Calc-Pivot abvals'!$H$19:$M$19,0))</f>
        <v>218</v>
      </c>
      <c r="T29" s="142">
        <f>INDEX('Calc-Pivot abvals'!$H$20:$M$32,MATCH($S26,'Calc-Pivot abvals'!$G$20:$G$32,0),MATCH(T$7,'Calc-Pivot abvals'!$H$19:$M$19,0))</f>
        <v>289</v>
      </c>
      <c r="U29" s="142">
        <f>INDEX('Calc-Pivot abvals'!$H$20:$M$32,MATCH($S26,'Calc-Pivot abvals'!$G$20:$G$32,0),MATCH(U$7,'Calc-Pivot abvals'!$H$19:$M$19,0))</f>
        <v>319</v>
      </c>
      <c r="V29" s="142">
        <f>INDEX('Calc-Pivot abvals'!$H$20:$M$32,MATCH($S26,'Calc-Pivot abvals'!$G$20:$G$32,0),MATCH(V$7,'Calc-Pivot abvals'!$H$19:$M$19,0))</f>
        <v>399</v>
      </c>
      <c r="W29" s="142">
        <f>INDEX('Calc-Pivot abvals'!$H$20:$M$32,MATCH($S26,'Calc-Pivot abvals'!$G$20:$G$32,0),MATCH(W$7,'Calc-Pivot abvals'!$H$19:$M$19,0))</f>
        <v>439</v>
      </c>
      <c r="X29" s="142">
        <f>INDEX('Calc-Pivot abvals'!$H$20:$M$32,MATCH($S26,'Calc-Pivot abvals'!$G$20:$G$32,0),MATCH(X$7,'Calc-Pivot abvals'!$H$19:$M$19,0))</f>
        <v>479</v>
      </c>
      <c r="Y29" s="142">
        <f>VLOOKUP($A$26,Lookup!$L$5:$M$19,2,FALSE)</f>
        <v>479</v>
      </c>
      <c r="Z29" s="145"/>
      <c r="AA29" s="142">
        <f>INDEX('Calc-Pivot abvals'!$H$20:$M$32,MATCH($AA26,'Calc-Pivot abvals'!$G$20:$G$32,0),MATCH(AA$7,'Calc-Pivot abvals'!$H$19:$M$19,0))</f>
        <v>218</v>
      </c>
      <c r="AB29" s="142">
        <f>INDEX('Calc-Pivot abvals'!$H$20:$M$32,MATCH($AA26,'Calc-Pivot abvals'!$G$20:$G$32,0),MATCH(AB$7,'Calc-Pivot abvals'!$H$19:$M$19,0))</f>
        <v>289</v>
      </c>
      <c r="AC29" s="142">
        <f>INDEX('Calc-Pivot abvals'!$H$20:$M$32,MATCH($AA26,'Calc-Pivot abvals'!$G$20:$G$32,0),MATCH(AC$7,'Calc-Pivot abvals'!$H$19:$M$19,0))</f>
        <v>319</v>
      </c>
      <c r="AD29" s="142">
        <f>INDEX('Calc-Pivot abvals'!$H$20:$M$32,MATCH($AA26,'Calc-Pivot abvals'!$G$20:$G$32,0),MATCH(AD$7,'Calc-Pivot abvals'!$H$19:$M$19,0))</f>
        <v>399</v>
      </c>
      <c r="AE29" s="142">
        <f>INDEX('Calc-Pivot abvals'!$H$20:$M$32,MATCH($AA26,'Calc-Pivot abvals'!$G$20:$G$32,0),MATCH(AE$7,'Calc-Pivot abvals'!$H$19:$M$19,0))</f>
        <v>439</v>
      </c>
      <c r="AF29" s="142">
        <f>INDEX('Calc-Pivot abvals'!$H$20:$M$32,MATCH($AA26,'Calc-Pivot abvals'!$G$20:$G$32,0),MATCH(AF$7,'Calc-Pivot abvals'!$H$19:$M$19,0))</f>
        <v>479</v>
      </c>
      <c r="AG29" s="142">
        <f>VLOOKUP($A$26,Lookup!$L$5:$M$19,2,FALSE)</f>
        <v>479</v>
      </c>
      <c r="AH29" s="145"/>
      <c r="AI29" s="142">
        <f>INDEX('Calc-Pivot abvals'!$H$20:$M$32,MATCH($AI26,'Calc-Pivot abvals'!$G$20:$G$32,0),MATCH(AI$7,'Calc-Pivot abvals'!$H$19:$M$19,0))</f>
        <v>218</v>
      </c>
      <c r="AJ29" s="142">
        <f>INDEX('Calc-Pivot abvals'!$H$20:$M$32,MATCH($AI26,'Calc-Pivot abvals'!$G$20:$G$32,0),MATCH(AJ$7,'Calc-Pivot abvals'!$H$19:$M$19,0))</f>
        <v>289</v>
      </c>
      <c r="AK29" s="142">
        <f>INDEX('Calc-Pivot abvals'!$H$20:$M$32,MATCH($AI26,'Calc-Pivot abvals'!$G$20:$G$32,0),MATCH(AK$7,'Calc-Pivot abvals'!$H$19:$M$19,0))</f>
        <v>319</v>
      </c>
      <c r="AL29" s="142">
        <f>INDEX('Calc-Pivot abvals'!$H$20:$M$32,MATCH($AI26,'Calc-Pivot abvals'!$G$20:$G$32,0),MATCH(AL$7,'Calc-Pivot abvals'!$H$19:$M$19,0))</f>
        <v>399</v>
      </c>
      <c r="AM29" s="142">
        <f>INDEX('Calc-Pivot abvals'!$H$20:$M$32,MATCH($AI26,'Calc-Pivot abvals'!$G$20:$G$32,0),MATCH(AM$7,'Calc-Pivot abvals'!$H$19:$M$19,0))</f>
        <v>439</v>
      </c>
      <c r="AN29" s="142">
        <f>INDEX('Calc-Pivot abvals'!$H$20:$M$32,MATCH($AI26,'Calc-Pivot abvals'!$G$20:$G$32,0),MATCH(AN$7,'Calc-Pivot abvals'!$H$19:$M$19,0))</f>
        <v>479</v>
      </c>
      <c r="AO29" s="142">
        <f>VLOOKUP($A$26,Lookup!$L$5:$M$19,2,FALSE)</f>
        <v>479</v>
      </c>
    </row>
    <row r="30" spans="1:41" x14ac:dyDescent="0.25">
      <c r="A30" s="35" t="str">
        <f t="shared" si="22"/>
        <v>GADS Yr Availability: GADS only (C)</v>
      </c>
      <c r="B30" s="36"/>
      <c r="C30" s="78">
        <f ca="1">INDEX(AvailableStates!$D$3:$I$82,MATCH($C26,AvailableStates!$B$3:$B$82,0)+MATCH('Calc- Prosym Setup'!$C$4,AvailableStates!$C$3:$C$7)-1,MATCH('Calc- Prosym Setup'!C$7,AvailableStates!$D$2:$I$2,0))</f>
        <v>2.0844214224125582E-2</v>
      </c>
      <c r="D30" s="78">
        <f ca="1">INDEX(AvailableStates!$D$3:$I$82,MATCH($C26,AvailableStates!$B$3:$B$82,0)+MATCH('Calc- Prosym Setup'!$C$4,AvailableStates!$C$3:$C$7)-1,MATCH('Calc- Prosym Setup'!D$7,AvailableStates!$D$2:$I$2,0))</f>
        <v>6.11788169792512E-3</v>
      </c>
      <c r="E30" s="78">
        <f ca="1">INDEX(AvailableStates!$D$3:$I$82,MATCH($C26,AvailableStates!$B$3:$B$82,0)+MATCH('Calc- Prosym Setup'!$C$4,AvailableStates!$C$3:$C$7)-1,MATCH('Calc- Prosym Setup'!E$7,AvailableStates!$D$2:$I$2,0))</f>
        <v>1.0652022407390284E-2</v>
      </c>
      <c r="F30" s="78">
        <f ca="1">INDEX(AvailableStates!$D$3:$I$82,MATCH($C26,AvailableStates!$B$3:$B$82,0)+MATCH('Calc- Prosym Setup'!$C$4,AvailableStates!$C$3:$C$7)-1,MATCH('Calc- Prosym Setup'!F$7,AvailableStates!$D$2:$I$2,0))</f>
        <v>1.1313463645655374E-3</v>
      </c>
      <c r="G30" s="78">
        <f ca="1">INDEX(AvailableStates!$D$3:$I$82,MATCH($C26,AvailableStates!$B$3:$B$82,0)+MATCH('Calc- Prosym Setup'!$C$4,AvailableStates!$C$3:$C$7)-1,MATCH('Calc- Prosym Setup'!G$7,AvailableStates!$D$2:$I$2,0))</f>
        <v>8.6629012946690803E-4</v>
      </c>
      <c r="H30" s="78">
        <f ca="1">INDEX(AvailableStates!$D$3:$I$82,MATCH($C26,AvailableStates!$B$3:$B$82,0)+MATCH('Calc- Prosym Setup'!$C$4,AvailableStates!$C$3:$C$7)-1,MATCH('Calc- Prosym Setup'!H$7,AvailableStates!$D$2:$I$2,0))</f>
        <v>0.90399204545758893</v>
      </c>
      <c r="I30" s="78">
        <f ca="1">SUM(C30:H30)</f>
        <v>0.94360380028106239</v>
      </c>
      <c r="J30" s="145"/>
      <c r="K30" s="78">
        <f ca="1">INDEX(AvailableStates!$D$3:$I$82,MATCH($K26,AvailableStates!$B$3:$B$82,0)+MATCH('Calc- Prosym Setup'!$K$4,AvailableStates!$C$3:$C$7)-1,MATCH('Calc- Prosym Setup'!K$7,AvailableStates!$D$2:$I$2,0))</f>
        <v>2.0844214224125582E-2</v>
      </c>
      <c r="L30" s="78">
        <f ca="1">INDEX(AvailableStates!$D$3:$I$82,MATCH($K26,AvailableStates!$B$3:$B$82,0)+MATCH('Calc- Prosym Setup'!$K$4,AvailableStates!$C$3:$C$7)-1,MATCH('Calc- Prosym Setup'!L$7,AvailableStates!$D$2:$I$2,0))</f>
        <v>6.11788169792512E-3</v>
      </c>
      <c r="M30" s="78">
        <f ca="1">INDEX(AvailableStates!$D$3:$I$82,MATCH($K26,AvailableStates!$B$3:$B$82,0)+MATCH('Calc- Prosym Setup'!$K$4,AvailableStates!$C$3:$C$7)-1,MATCH('Calc- Prosym Setup'!M$7,AvailableStates!$D$2:$I$2,0))</f>
        <v>1.0652022407390284E-2</v>
      </c>
      <c r="N30" s="78">
        <f ca="1">INDEX(AvailableStates!$D$3:$I$82,MATCH($K26,AvailableStates!$B$3:$B$82,0)+MATCH('Calc- Prosym Setup'!$K$4,AvailableStates!$C$3:$C$7)-1,MATCH('Calc- Prosym Setup'!N$7,AvailableStates!$D$2:$I$2,0))</f>
        <v>1.1313463645655374E-3</v>
      </c>
      <c r="O30" s="78">
        <f ca="1">INDEX(AvailableStates!$D$3:$I$82,MATCH($K26,AvailableStates!$B$3:$B$82,0)+MATCH('Calc- Prosym Setup'!$K$4,AvailableStates!$C$3:$C$7)-1,MATCH('Calc- Prosym Setup'!O$7,AvailableStates!$D$2:$I$2,0))</f>
        <v>8.6629012946690803E-4</v>
      </c>
      <c r="P30" s="78">
        <f ca="1">INDEX(AvailableStates!$D$3:$I$82,MATCH($K26,AvailableStates!$B$3:$B$82,0)+MATCH('Calc- Prosym Setup'!$K$4,AvailableStates!$C$3:$C$7)-1,MATCH('Calc- Prosym Setup'!P$7,AvailableStates!$D$2:$I$2,0))</f>
        <v>0.90399204545758893</v>
      </c>
      <c r="Q30" s="78">
        <f ca="1">SUM(K30:P30)</f>
        <v>0.94360380028106239</v>
      </c>
      <c r="R30" s="145"/>
      <c r="S30" s="78">
        <f ca="1">INDEX(AvailableStates!$D$3:$I$82,MATCH($S26,AvailableStates!$B$3:$B$82,0)+MATCH('Calc- Prosym Setup'!$S$4,AvailableStates!$C$3:$C$7)-1,MATCH('Calc- Prosym Setup'!S$7,AvailableStates!$D$2:$I$2,0))</f>
        <v>2.0844214224125582E-2</v>
      </c>
      <c r="T30" s="78">
        <f ca="1">INDEX(AvailableStates!$D$3:$I$82,MATCH($S26,AvailableStates!$B$3:$B$82,0)+MATCH('Calc- Prosym Setup'!$S$4,AvailableStates!$C$3:$C$7)-1,MATCH('Calc- Prosym Setup'!T$7,AvailableStates!$D$2:$I$2,0))</f>
        <v>6.11788169792512E-3</v>
      </c>
      <c r="U30" s="78">
        <f ca="1">INDEX(AvailableStates!$D$3:$I$82,MATCH($S26,AvailableStates!$B$3:$B$82,0)+MATCH('Calc- Prosym Setup'!$S$4,AvailableStates!$C$3:$C$7)-1,MATCH('Calc- Prosym Setup'!U$7,AvailableStates!$D$2:$I$2,0))</f>
        <v>1.0652022407390284E-2</v>
      </c>
      <c r="V30" s="78">
        <f ca="1">INDEX(AvailableStates!$D$3:$I$82,MATCH($S26,AvailableStates!$B$3:$B$82,0)+MATCH('Calc- Prosym Setup'!$S$4,AvailableStates!$C$3:$C$7)-1,MATCH('Calc- Prosym Setup'!V$7,AvailableStates!$D$2:$I$2,0))</f>
        <v>1.1313463645655374E-3</v>
      </c>
      <c r="W30" s="78">
        <f ca="1">INDEX(AvailableStates!$D$3:$I$82,MATCH($S26,AvailableStates!$B$3:$B$82,0)+MATCH('Calc- Prosym Setup'!$S$4,AvailableStates!$C$3:$C$7)-1,MATCH('Calc- Prosym Setup'!W$7,AvailableStates!$D$2:$I$2,0))</f>
        <v>8.6629012946690803E-4</v>
      </c>
      <c r="X30" s="78">
        <f ca="1">INDEX(AvailableStates!$D$3:$I$82,MATCH($S26,AvailableStates!$B$3:$B$82,0)+MATCH('Calc- Prosym Setup'!$S$4,AvailableStates!$C$3:$C$7)-1,MATCH('Calc- Prosym Setup'!X$7,AvailableStates!$D$2:$I$2,0))</f>
        <v>0.90399204545758893</v>
      </c>
      <c r="Y30" s="78">
        <f ca="1">SUM(S30:X30)</f>
        <v>0.94360380028106239</v>
      </c>
      <c r="Z30" s="145"/>
      <c r="AA30" s="78">
        <f ca="1">INDEX(AvailableStates!$D$3:$I$82,MATCH($AA26,AvailableStates!$B$3:$B$82,0)+MATCH('Calc- Prosym Setup'!$AA$4,AvailableStates!$C$3:$C$7)-1,MATCH('Calc- Prosym Setup'!AA$7,AvailableStates!$D$2:$I$2,0))</f>
        <v>2.0844214224125582E-2</v>
      </c>
      <c r="AB30" s="78">
        <f ca="1">INDEX(AvailableStates!$D$3:$I$82,MATCH($AA26,AvailableStates!$B$3:$B$82,0)+MATCH('Calc- Prosym Setup'!$AA$4,AvailableStates!$C$3:$C$7)-1,MATCH('Calc- Prosym Setup'!AB$7,AvailableStates!$D$2:$I$2,0))</f>
        <v>6.11788169792512E-3</v>
      </c>
      <c r="AC30" s="78">
        <f ca="1">INDEX(AvailableStates!$D$3:$I$82,MATCH($AA26,AvailableStates!$B$3:$B$82,0)+MATCH('Calc- Prosym Setup'!$AA$4,AvailableStates!$C$3:$C$7)-1,MATCH('Calc- Prosym Setup'!AC$7,AvailableStates!$D$2:$I$2,0))</f>
        <v>1.0652022407390284E-2</v>
      </c>
      <c r="AD30" s="78">
        <f ca="1">INDEX(AvailableStates!$D$3:$I$82,MATCH($AA26,AvailableStates!$B$3:$B$82,0)+MATCH('Calc- Prosym Setup'!$AA$4,AvailableStates!$C$3:$C$7)-1,MATCH('Calc- Prosym Setup'!AD$7,AvailableStates!$D$2:$I$2,0))</f>
        <v>1.1313463645655374E-3</v>
      </c>
      <c r="AE30" s="78">
        <f ca="1">INDEX(AvailableStates!$D$3:$I$82,MATCH($AA26,AvailableStates!$B$3:$B$82,0)+MATCH('Calc- Prosym Setup'!$AA$4,AvailableStates!$C$3:$C$7)-1,MATCH('Calc- Prosym Setup'!AE$7,AvailableStates!$D$2:$I$2,0))</f>
        <v>8.6629012946690803E-4</v>
      </c>
      <c r="AF30" s="78">
        <f ca="1">INDEX(AvailableStates!$D$3:$I$82,MATCH($AA26,AvailableStates!$B$3:$B$82,0)+MATCH('Calc- Prosym Setup'!$AA$4,AvailableStates!$C$3:$C$7)-1,MATCH('Calc- Prosym Setup'!AF$7,AvailableStates!$D$2:$I$2,0))</f>
        <v>0.90399204545758893</v>
      </c>
      <c r="AG30" s="78">
        <f ca="1">SUM(AA30:AF30)</f>
        <v>0.94360380028106239</v>
      </c>
      <c r="AH30" s="145"/>
      <c r="AI30" s="78">
        <f ca="1">INDEX(AvailableStates!$D$3:$I$82,MATCH($AI26,AvailableStates!$B$3:$B$82,0)+MATCH('Calc- Prosym Setup'!$AI$4,AvailableStates!$C$3:$C$7)-1,MATCH('Calc- Prosym Setup'!AI$7,AvailableStates!$D$2:$I$2,0))</f>
        <v>2.0844214224125582E-2</v>
      </c>
      <c r="AJ30" s="78">
        <f ca="1">INDEX(AvailableStates!$D$3:$I$82,MATCH($AI26,AvailableStates!$B$3:$B$82,0)+MATCH('Calc- Prosym Setup'!$AI$4,AvailableStates!$C$3:$C$7)-1,MATCH('Calc- Prosym Setup'!AJ$7,AvailableStates!$D$2:$I$2,0))</f>
        <v>6.11788169792512E-3</v>
      </c>
      <c r="AK30" s="78">
        <f ca="1">INDEX(AvailableStates!$D$3:$I$82,MATCH($AI26,AvailableStates!$B$3:$B$82,0)+MATCH('Calc- Prosym Setup'!$AI$4,AvailableStates!$C$3:$C$7)-1,MATCH('Calc- Prosym Setup'!AK$7,AvailableStates!$D$2:$I$2,0))</f>
        <v>1.0652022407390284E-2</v>
      </c>
      <c r="AL30" s="78">
        <f ca="1">INDEX(AvailableStates!$D$3:$I$82,MATCH($AI26,AvailableStates!$B$3:$B$82,0)+MATCH('Calc- Prosym Setup'!$AI$4,AvailableStates!$C$3:$C$7)-1,MATCH('Calc- Prosym Setup'!AL$7,AvailableStates!$D$2:$I$2,0))</f>
        <v>1.1313463645655374E-3</v>
      </c>
      <c r="AM30" s="78">
        <f ca="1">INDEX(AvailableStates!$D$3:$I$82,MATCH($AI26,AvailableStates!$B$3:$B$82,0)+MATCH('Calc- Prosym Setup'!$AI$4,AvailableStates!$C$3:$C$7)-1,MATCH('Calc- Prosym Setup'!AM$7,AvailableStates!$D$2:$I$2,0))</f>
        <v>8.6629012946690803E-4</v>
      </c>
      <c r="AN30" s="78">
        <f ca="1">INDEX(AvailableStates!$D$3:$I$82,MATCH($AI26,AvailableStates!$B$3:$B$82,0)+MATCH('Calc- Prosym Setup'!$AI$4,AvailableStates!$C$3:$C$7)-1,MATCH('Calc- Prosym Setup'!AN$7,AvailableStates!$D$2:$I$2,0))</f>
        <v>0.90399204545758893</v>
      </c>
      <c r="AO30" s="78">
        <f ca="1">SUM(AI30:AN30)</f>
        <v>0.94360380028106239</v>
      </c>
    </row>
    <row r="31" spans="1:41" x14ac:dyDescent="0.25">
      <c r="B31" s="35"/>
      <c r="J31" s="145"/>
      <c r="R31" s="145"/>
      <c r="Z31" s="145"/>
      <c r="AH31" s="145"/>
    </row>
    <row r="32" spans="1:41" x14ac:dyDescent="0.25">
      <c r="J32" s="145"/>
      <c r="R32" s="145"/>
      <c r="Z32" s="145"/>
      <c r="AH32" s="145"/>
    </row>
    <row r="33" spans="1:41" x14ac:dyDescent="0.25">
      <c r="A33" s="58" t="s">
        <v>156</v>
      </c>
      <c r="B33" s="73"/>
      <c r="C33" s="36" t="s">
        <v>27</v>
      </c>
      <c r="D33" s="35" t="s">
        <v>181</v>
      </c>
      <c r="E33" s="140">
        <f>VLOOKUP(C33,'INP-Calc EFOR&amp;EUOR - 2019Plan'!$A$11:$AE$36,21)</f>
        <v>3.4396199718937544E-2</v>
      </c>
      <c r="F33" s="35" t="s">
        <v>226</v>
      </c>
      <c r="G33" s="140">
        <f>VLOOKUP(C33,'INP-Calc EFOR&amp;EUOR - 2019Plan'!$A$11:$AE$36,27)</f>
        <v>1.8230873030883308E-2</v>
      </c>
      <c r="H33" s="35" t="s">
        <v>182</v>
      </c>
      <c r="I33" s="140">
        <f>VLOOKUP(C33,'INP-Calc EFOR&amp;EUOR - 2019Plan'!$A$11:$AE$36,15)</f>
        <v>2.1999999999999999E-2</v>
      </c>
      <c r="J33" s="145"/>
      <c r="K33" s="36" t="str">
        <f>C33</f>
        <v>GH2</v>
      </c>
      <c r="L33" s="35" t="s">
        <v>181</v>
      </c>
      <c r="M33" s="140">
        <f>VLOOKUP(K33,'INP-Calc EFOR&amp;EUOR - 2019Plan'!$A$11:$AE$36,22)</f>
        <v>3.4396199718937544E-2</v>
      </c>
      <c r="N33" s="35" t="s">
        <v>226</v>
      </c>
      <c r="O33" s="140">
        <f>VLOOKUP(K33,'INP-Calc EFOR&amp;EUOR - 2019Plan'!$A$11:$AE$36,28)</f>
        <v>1.8230873030883308E-2</v>
      </c>
      <c r="P33" s="35" t="s">
        <v>182</v>
      </c>
      <c r="Q33" s="140">
        <f>VLOOKUP(K33,'INP-Calc EFOR&amp;EUOR - 2019Plan'!$A$11:$AE$36,16)</f>
        <v>2.1999999999999999E-2</v>
      </c>
      <c r="R33" s="145"/>
      <c r="S33" s="36" t="str">
        <f>K33</f>
        <v>GH2</v>
      </c>
      <c r="T33" s="35" t="s">
        <v>181</v>
      </c>
      <c r="U33" s="140">
        <f>VLOOKUP(S33,'INP-Calc EFOR&amp;EUOR - 2019Plan'!$A$11:$AE$36,23)</f>
        <v>3.4396199718937544E-2</v>
      </c>
      <c r="V33" s="35" t="s">
        <v>226</v>
      </c>
      <c r="W33" s="140">
        <f>VLOOKUP(S33,'INP-Calc EFOR&amp;EUOR - 2019Plan'!$A$11:$AE$36,29)</f>
        <v>1.8230873030883308E-2</v>
      </c>
      <c r="X33" s="35" t="s">
        <v>182</v>
      </c>
      <c r="Y33" s="140">
        <f>VLOOKUP(S33,'INP-Calc EFOR&amp;EUOR - 2019Plan'!$A$11:$AE$36,17)</f>
        <v>2.1999999999999999E-2</v>
      </c>
      <c r="Z33" s="145"/>
      <c r="AA33" s="36" t="str">
        <f>S33</f>
        <v>GH2</v>
      </c>
      <c r="AB33" s="35" t="s">
        <v>181</v>
      </c>
      <c r="AC33" s="140">
        <f>VLOOKUP(AA33,'INP-Calc EFOR&amp;EUOR - 2019Plan'!$A$11:$AE$36,24)</f>
        <v>3.4396199718937544E-2</v>
      </c>
      <c r="AD33" s="35" t="s">
        <v>226</v>
      </c>
      <c r="AE33" s="140">
        <f>VLOOKUP(AA33,'INP-Calc EFOR&amp;EUOR - 2019Plan'!$A$11:$AE$36,30)</f>
        <v>1.8230873030883308E-2</v>
      </c>
      <c r="AF33" s="35" t="s">
        <v>182</v>
      </c>
      <c r="AG33" s="140">
        <f>VLOOKUP(AA33,'INP-Calc EFOR&amp;EUOR - 2019Plan'!$A$11:$AE$36,18)</f>
        <v>2.1999999999999999E-2</v>
      </c>
      <c r="AH33" s="145"/>
      <c r="AI33" s="36" t="str">
        <f>AA33</f>
        <v>GH2</v>
      </c>
      <c r="AJ33" s="35" t="s">
        <v>181</v>
      </c>
      <c r="AK33" s="140">
        <f>VLOOKUP(AI33,'INP-Calc EFOR&amp;EUOR - 2019Plan'!$A$11:$AE$36,25)</f>
        <v>3.4396199718937544E-2</v>
      </c>
      <c r="AL33" s="35" t="s">
        <v>226</v>
      </c>
      <c r="AM33" s="140">
        <f>VLOOKUP(AI33,'INP-Calc EFOR&amp;EUOR - 2019Plan'!$A$11:$AE$36,31)</f>
        <v>1.8230873030883308E-2</v>
      </c>
      <c r="AN33" s="35" t="s">
        <v>182</v>
      </c>
      <c r="AO33" s="141">
        <f>VLOOKUP(AI33,'INP-Calc EFOR&amp;EUOR - 2019Plan'!$A$11:$AE$36,19)</f>
        <v>2.1999999999999999E-2</v>
      </c>
    </row>
    <row r="34" spans="1:41" x14ac:dyDescent="0.25">
      <c r="A34" s="36"/>
      <c r="B34" s="36"/>
      <c r="C34" s="36"/>
      <c r="D34" s="36"/>
      <c r="E34" s="36"/>
      <c r="F34" s="36"/>
      <c r="G34" s="37"/>
      <c r="H34" s="36"/>
      <c r="I34" s="36"/>
      <c r="J34" s="145"/>
      <c r="K34" s="36"/>
      <c r="L34" s="36"/>
      <c r="M34" s="36"/>
      <c r="N34" s="36"/>
      <c r="O34" s="37"/>
      <c r="P34" s="36"/>
      <c r="Q34" s="36"/>
      <c r="R34" s="145"/>
      <c r="S34" s="36"/>
      <c r="T34" s="36"/>
      <c r="U34" s="36"/>
      <c r="V34" s="36"/>
      <c r="W34" s="37"/>
      <c r="X34" s="36"/>
      <c r="Y34" s="36"/>
      <c r="Z34" s="145"/>
      <c r="AA34" s="36"/>
      <c r="AB34" s="36"/>
      <c r="AC34" s="36"/>
      <c r="AD34" s="36"/>
      <c r="AE34" s="37"/>
      <c r="AF34" s="36"/>
      <c r="AG34" s="36"/>
      <c r="AH34" s="145"/>
      <c r="AI34" s="36"/>
      <c r="AJ34" s="36"/>
      <c r="AK34" s="36"/>
      <c r="AL34" s="36"/>
      <c r="AM34" s="37"/>
      <c r="AN34" s="36"/>
      <c r="AO34" s="36"/>
    </row>
    <row r="35" spans="1:41" x14ac:dyDescent="0.25">
      <c r="A35" s="37" t="str">
        <f>A28</f>
        <v>BLOCK:</v>
      </c>
      <c r="B35" s="37"/>
      <c r="C35" s="38">
        <f>C28</f>
        <v>1</v>
      </c>
      <c r="D35" s="38">
        <f t="shared" ref="D35:I35" si="23">D28</f>
        <v>2</v>
      </c>
      <c r="E35" s="38">
        <f t="shared" si="23"/>
        <v>3</v>
      </c>
      <c r="F35" s="38">
        <f t="shared" si="23"/>
        <v>4</v>
      </c>
      <c r="G35" s="38">
        <f t="shared" si="23"/>
        <v>5</v>
      </c>
      <c r="H35" s="38">
        <f t="shared" si="23"/>
        <v>6</v>
      </c>
      <c r="I35" s="38" t="str">
        <f t="shared" si="23"/>
        <v>Tot Unit</v>
      </c>
      <c r="J35" s="145"/>
      <c r="K35" s="38">
        <f>K28</f>
        <v>1</v>
      </c>
      <c r="L35" s="38">
        <f t="shared" ref="L35:Q35" si="24">L28</f>
        <v>2</v>
      </c>
      <c r="M35" s="38">
        <f t="shared" si="24"/>
        <v>3</v>
      </c>
      <c r="N35" s="38">
        <f t="shared" si="24"/>
        <v>4</v>
      </c>
      <c r="O35" s="38">
        <f t="shared" si="24"/>
        <v>5</v>
      </c>
      <c r="P35" s="38">
        <f t="shared" si="24"/>
        <v>6</v>
      </c>
      <c r="Q35" s="38" t="str">
        <f t="shared" si="24"/>
        <v>Tot Unit</v>
      </c>
      <c r="R35" s="145"/>
      <c r="S35" s="38">
        <f>S28</f>
        <v>1</v>
      </c>
      <c r="T35" s="38">
        <f t="shared" ref="T35:Y35" si="25">T28</f>
        <v>2</v>
      </c>
      <c r="U35" s="38">
        <f t="shared" si="25"/>
        <v>3</v>
      </c>
      <c r="V35" s="38">
        <f t="shared" si="25"/>
        <v>4</v>
      </c>
      <c r="W35" s="38">
        <f t="shared" si="25"/>
        <v>5</v>
      </c>
      <c r="X35" s="38">
        <f t="shared" si="25"/>
        <v>6</v>
      </c>
      <c r="Y35" s="38" t="str">
        <f t="shared" si="25"/>
        <v>Tot Unit</v>
      </c>
      <c r="Z35" s="145"/>
      <c r="AA35" s="38">
        <f>AA28</f>
        <v>1</v>
      </c>
      <c r="AB35" s="38">
        <f t="shared" ref="AB35:AG35" si="26">AB28</f>
        <v>2</v>
      </c>
      <c r="AC35" s="38">
        <f t="shared" si="26"/>
        <v>3</v>
      </c>
      <c r="AD35" s="38">
        <f t="shared" si="26"/>
        <v>4</v>
      </c>
      <c r="AE35" s="38">
        <f t="shared" si="26"/>
        <v>5</v>
      </c>
      <c r="AF35" s="38">
        <f t="shared" si="26"/>
        <v>6</v>
      </c>
      <c r="AG35" s="38" t="str">
        <f t="shared" si="26"/>
        <v>Tot Unit</v>
      </c>
      <c r="AH35" s="145"/>
      <c r="AI35" s="38">
        <f>AI28</f>
        <v>1</v>
      </c>
      <c r="AJ35" s="38">
        <f t="shared" ref="AJ35:AO35" si="27">AJ28</f>
        <v>2</v>
      </c>
      <c r="AK35" s="38">
        <f t="shared" si="27"/>
        <v>3</v>
      </c>
      <c r="AL35" s="38">
        <f t="shared" si="27"/>
        <v>4</v>
      </c>
      <c r="AM35" s="38">
        <f t="shared" si="27"/>
        <v>5</v>
      </c>
      <c r="AN35" s="38">
        <f t="shared" si="27"/>
        <v>6</v>
      </c>
      <c r="AO35" s="38" t="str">
        <f t="shared" si="27"/>
        <v>Tot Unit</v>
      </c>
    </row>
    <row r="36" spans="1:41" x14ac:dyDescent="0.25">
      <c r="A36" s="37" t="str">
        <f t="shared" ref="A36:A37" si="28">A29</f>
        <v>State Capacity (I)</v>
      </c>
      <c r="B36" s="36"/>
      <c r="C36" s="142">
        <f>INDEX('Calc-Pivot abvals'!$H$20:$M$32,MATCH($C33,'Calc-Pivot abvals'!$G$20:$G$32,0),MATCH(C$7,'Calc-Pivot abvals'!$H$19:$M$19,0))</f>
        <v>225</v>
      </c>
      <c r="D36" s="142">
        <f>INDEX('Calc-Pivot abvals'!$H$20:$M$32,MATCH($C33,'Calc-Pivot abvals'!$G$20:$G$32,0),MATCH(D$7,'Calc-Pivot abvals'!$H$19:$M$19,0))</f>
        <v>296</v>
      </c>
      <c r="E36" s="142">
        <f>INDEX('Calc-Pivot abvals'!$H$20:$M$32,MATCH($C33,'Calc-Pivot abvals'!$G$20:$G$32,0),MATCH(E$7,'Calc-Pivot abvals'!$H$19:$M$19,0))</f>
        <v>326</v>
      </c>
      <c r="F36" s="142">
        <f>INDEX('Calc-Pivot abvals'!$H$20:$M$32,MATCH($C33,'Calc-Pivot abvals'!$G$20:$G$32,0),MATCH(F$7,'Calc-Pivot abvals'!$H$19:$M$19,0))</f>
        <v>406</v>
      </c>
      <c r="G36" s="142">
        <f>INDEX('Calc-Pivot abvals'!$H$20:$M$32,MATCH($C33,'Calc-Pivot abvals'!$G$20:$G$32,0),MATCH(G$7,'Calc-Pivot abvals'!$H$19:$M$19,0))</f>
        <v>446</v>
      </c>
      <c r="H36" s="142">
        <f>INDEX('Calc-Pivot abvals'!$H$20:$M$32,MATCH($C33,'Calc-Pivot abvals'!$G$20:$G$32,0),MATCH(H$7,'Calc-Pivot abvals'!$H$19:$M$19,0))</f>
        <v>486</v>
      </c>
      <c r="I36" s="142">
        <f>VLOOKUP(A33,Lookup!$L$5:$M$19,2,FALSE)</f>
        <v>486</v>
      </c>
      <c r="J36" s="145"/>
      <c r="K36" s="142">
        <f>INDEX('Calc-Pivot abvals'!$H$20:$M$32,MATCH($K33,'Calc-Pivot abvals'!$G$20:$G$32,0),MATCH(K$7,'Calc-Pivot abvals'!$H$19:$M$19,0))</f>
        <v>225</v>
      </c>
      <c r="L36" s="142">
        <f>INDEX('Calc-Pivot abvals'!$H$20:$M$32,MATCH($K33,'Calc-Pivot abvals'!$G$20:$G$32,0),MATCH(L$7,'Calc-Pivot abvals'!$H$19:$M$19,0))</f>
        <v>296</v>
      </c>
      <c r="M36" s="142">
        <f>INDEX('Calc-Pivot abvals'!$H$20:$M$32,MATCH($K33,'Calc-Pivot abvals'!$G$20:$G$32,0),MATCH(M$7,'Calc-Pivot abvals'!$H$19:$M$19,0))</f>
        <v>326</v>
      </c>
      <c r="N36" s="142">
        <f>INDEX('Calc-Pivot abvals'!$H$20:$M$32,MATCH($K33,'Calc-Pivot abvals'!$G$20:$G$32,0),MATCH(N$7,'Calc-Pivot abvals'!$H$19:$M$19,0))</f>
        <v>406</v>
      </c>
      <c r="O36" s="142">
        <f>INDEX('Calc-Pivot abvals'!$H$20:$M$32,MATCH($K33,'Calc-Pivot abvals'!$G$20:$G$32,0),MATCH(O$7,'Calc-Pivot abvals'!$H$19:$M$19,0))</f>
        <v>446</v>
      </c>
      <c r="P36" s="142">
        <f>INDEX('Calc-Pivot abvals'!$H$20:$M$32,MATCH($K33,'Calc-Pivot abvals'!$G$20:$G$32,0),MATCH(P$7,'Calc-Pivot abvals'!$H$19:$M$19,0))</f>
        <v>486</v>
      </c>
      <c r="Q36" s="142">
        <f>VLOOKUP($A$33,Lookup!$L$5:$M$19,2,FALSE)</f>
        <v>486</v>
      </c>
      <c r="R36" s="145"/>
      <c r="S36" s="142">
        <f>INDEX('Calc-Pivot abvals'!$H$20:$M$32,MATCH($S33,'Calc-Pivot abvals'!$G$20:$G$32,0),MATCH(S$7,'Calc-Pivot abvals'!$H$19:$M$19,0))</f>
        <v>225</v>
      </c>
      <c r="T36" s="142">
        <f>INDEX('Calc-Pivot abvals'!$H$20:$M$32,MATCH($S33,'Calc-Pivot abvals'!$G$20:$G$32,0),MATCH(T$7,'Calc-Pivot abvals'!$H$19:$M$19,0))</f>
        <v>296</v>
      </c>
      <c r="U36" s="142">
        <f>INDEX('Calc-Pivot abvals'!$H$20:$M$32,MATCH($S33,'Calc-Pivot abvals'!$G$20:$G$32,0),MATCH(U$7,'Calc-Pivot abvals'!$H$19:$M$19,0))</f>
        <v>326</v>
      </c>
      <c r="V36" s="142">
        <f>INDEX('Calc-Pivot abvals'!$H$20:$M$32,MATCH($S33,'Calc-Pivot abvals'!$G$20:$G$32,0),MATCH(V$7,'Calc-Pivot abvals'!$H$19:$M$19,0))</f>
        <v>406</v>
      </c>
      <c r="W36" s="142">
        <f>INDEX('Calc-Pivot abvals'!$H$20:$M$32,MATCH($S33,'Calc-Pivot abvals'!$G$20:$G$32,0),MATCH(W$7,'Calc-Pivot abvals'!$H$19:$M$19,0))</f>
        <v>446</v>
      </c>
      <c r="X36" s="142">
        <f>INDEX('Calc-Pivot abvals'!$H$20:$M$32,MATCH($S33,'Calc-Pivot abvals'!$G$20:$G$32,0),MATCH(X$7,'Calc-Pivot abvals'!$H$19:$M$19,0))</f>
        <v>486</v>
      </c>
      <c r="Y36" s="142">
        <f>VLOOKUP($A$33,Lookup!$L$5:$M$19,2,FALSE)</f>
        <v>486</v>
      </c>
      <c r="Z36" s="145"/>
      <c r="AA36" s="142">
        <f>INDEX('Calc-Pivot abvals'!$H$20:$M$32,MATCH($AA33,'Calc-Pivot abvals'!$G$20:$G$32,0),MATCH(AA$7,'Calc-Pivot abvals'!$H$19:$M$19,0))</f>
        <v>225</v>
      </c>
      <c r="AB36" s="142">
        <f>INDEX('Calc-Pivot abvals'!$H$20:$M$32,MATCH($AA33,'Calc-Pivot abvals'!$G$20:$G$32,0),MATCH(AB$7,'Calc-Pivot abvals'!$H$19:$M$19,0))</f>
        <v>296</v>
      </c>
      <c r="AC36" s="142">
        <f>INDEX('Calc-Pivot abvals'!$H$20:$M$32,MATCH($AA33,'Calc-Pivot abvals'!$G$20:$G$32,0),MATCH(AC$7,'Calc-Pivot abvals'!$H$19:$M$19,0))</f>
        <v>326</v>
      </c>
      <c r="AD36" s="142">
        <f>INDEX('Calc-Pivot abvals'!$H$20:$M$32,MATCH($AA33,'Calc-Pivot abvals'!$G$20:$G$32,0),MATCH(AD$7,'Calc-Pivot abvals'!$H$19:$M$19,0))</f>
        <v>406</v>
      </c>
      <c r="AE36" s="142">
        <f>INDEX('Calc-Pivot abvals'!$H$20:$M$32,MATCH($AA33,'Calc-Pivot abvals'!$G$20:$G$32,0),MATCH(AE$7,'Calc-Pivot abvals'!$H$19:$M$19,0))</f>
        <v>446</v>
      </c>
      <c r="AF36" s="142">
        <f>INDEX('Calc-Pivot abvals'!$H$20:$M$32,MATCH($AA33,'Calc-Pivot abvals'!$G$20:$G$32,0),MATCH(AF$7,'Calc-Pivot abvals'!$H$19:$M$19,0))</f>
        <v>486</v>
      </c>
      <c r="AG36" s="142">
        <f>VLOOKUP($A$33,Lookup!$L$5:$M$19,2,FALSE)</f>
        <v>486</v>
      </c>
      <c r="AH36" s="145"/>
      <c r="AI36" s="142">
        <f>INDEX('Calc-Pivot abvals'!$H$20:$M$32,MATCH($AI33,'Calc-Pivot abvals'!$G$20:$G$32,0),MATCH(AI$7,'Calc-Pivot abvals'!$H$19:$M$19,0))</f>
        <v>225</v>
      </c>
      <c r="AJ36" s="142">
        <f>INDEX('Calc-Pivot abvals'!$H$20:$M$32,MATCH($AI33,'Calc-Pivot abvals'!$G$20:$G$32,0),MATCH(AJ$7,'Calc-Pivot abvals'!$H$19:$M$19,0))</f>
        <v>296</v>
      </c>
      <c r="AK36" s="142">
        <f>INDEX('Calc-Pivot abvals'!$H$20:$M$32,MATCH($AI33,'Calc-Pivot abvals'!$G$20:$G$32,0),MATCH(AK$7,'Calc-Pivot abvals'!$H$19:$M$19,0))</f>
        <v>326</v>
      </c>
      <c r="AL36" s="142">
        <f>INDEX('Calc-Pivot abvals'!$H$20:$M$32,MATCH($AI33,'Calc-Pivot abvals'!$G$20:$G$32,0),MATCH(AL$7,'Calc-Pivot abvals'!$H$19:$M$19,0))</f>
        <v>406</v>
      </c>
      <c r="AM36" s="142">
        <f>INDEX('Calc-Pivot abvals'!$H$20:$M$32,MATCH($AI33,'Calc-Pivot abvals'!$G$20:$G$32,0),MATCH(AM$7,'Calc-Pivot abvals'!$H$19:$M$19,0))</f>
        <v>446</v>
      </c>
      <c r="AN36" s="142">
        <f>INDEX('Calc-Pivot abvals'!$H$20:$M$32,MATCH($AI33,'Calc-Pivot abvals'!$G$20:$G$32,0),MATCH(AN$7,'Calc-Pivot abvals'!$H$19:$M$19,0))</f>
        <v>486</v>
      </c>
      <c r="AO36" s="142">
        <f>VLOOKUP($A$33,Lookup!$L$5:$M$19,2,FALSE)</f>
        <v>486</v>
      </c>
    </row>
    <row r="37" spans="1:41" x14ac:dyDescent="0.25">
      <c r="A37" s="35" t="str">
        <f t="shared" si="28"/>
        <v>GADS Yr Availability: GADS only (C)</v>
      </c>
      <c r="B37" s="35"/>
      <c r="C37" s="78">
        <f ca="1">INDEX(AvailableStates!$D$3:$I$82,MATCH($C33,AvailableStates!$B$3:$B$82,0)+MATCH('Calc- Prosym Setup'!$C$4,AvailableStates!$C$3:$C$7)-1,MATCH('Calc- Prosym Setup'!C$7,AvailableStates!$D$2:$I$2,0))</f>
        <v>3.7330306354450122E-3</v>
      </c>
      <c r="D37" s="78">
        <f ca="1">INDEX(AvailableStates!$D$3:$I$82,MATCH($C33,AvailableStates!$B$3:$B$82,0)+MATCH('Calc- Prosym Setup'!$C$4,AvailableStates!$C$3:$C$7)-1,MATCH('Calc- Prosym Setup'!D$7,AvailableStates!$D$2:$I$2,0))</f>
        <v>2.8421965144902351E-3</v>
      </c>
      <c r="E37" s="78">
        <f ca="1">INDEX(AvailableStates!$D$3:$I$82,MATCH($C33,AvailableStates!$B$3:$B$82,0)+MATCH('Calc- Prosym Setup'!$C$4,AvailableStates!$C$3:$C$7)-1,MATCH('Calc- Prosym Setup'!E$7,AvailableStates!$D$2:$I$2,0))</f>
        <v>3.4031500186452047E-2</v>
      </c>
      <c r="F37" s="78">
        <f ca="1">INDEX(AvailableStates!$D$3:$I$82,MATCH($C33,AvailableStates!$B$3:$B$82,0)+MATCH('Calc- Prosym Setup'!$C$4,AvailableStates!$C$3:$C$7)-1,MATCH('Calc- Prosym Setup'!F$7,AvailableStates!$D$2:$I$2,0))</f>
        <v>1.9303732729436258E-2</v>
      </c>
      <c r="G37" s="78">
        <f ca="1">INDEX(AvailableStates!$D$3:$I$82,MATCH($C33,AvailableStates!$B$3:$B$82,0)+MATCH('Calc- Prosym Setup'!$C$4,AvailableStates!$C$3:$C$7)-1,MATCH('Calc- Prosym Setup'!G$7,AvailableStates!$D$2:$I$2,0))</f>
        <v>1.2942488701206815E-3</v>
      </c>
      <c r="H37" s="78">
        <f ca="1">INDEX(AvailableStates!$D$3:$I$82,MATCH($C33,AvailableStates!$B$3:$B$82,0)+MATCH('Calc- Prosym Setup'!$C$4,AvailableStates!$C$3:$C$7)-1,MATCH('Calc- Prosym Setup'!H$7,AvailableStates!$D$2:$I$2,0))</f>
        <v>0.88239909134511818</v>
      </c>
      <c r="I37" s="78">
        <f ca="1">SUM(C37:H37)</f>
        <v>0.94360380028106239</v>
      </c>
      <c r="J37" s="145"/>
      <c r="K37" s="78">
        <f ca="1">INDEX(AvailableStates!$D$3:$I$82,MATCH($K33,AvailableStates!$B$3:$B$82,0)+MATCH('Calc- Prosym Setup'!$K$4,AvailableStates!$C$3:$C$7)-1,MATCH('Calc- Prosym Setup'!K$7,AvailableStates!$D$2:$I$2,0))</f>
        <v>3.7330306354450122E-3</v>
      </c>
      <c r="L37" s="78">
        <f ca="1">INDEX(AvailableStates!$D$3:$I$82,MATCH($K33,AvailableStates!$B$3:$B$82,0)+MATCH('Calc- Prosym Setup'!$K$4,AvailableStates!$C$3:$C$7)-1,MATCH('Calc- Prosym Setup'!L$7,AvailableStates!$D$2:$I$2,0))</f>
        <v>2.8421965144902351E-3</v>
      </c>
      <c r="M37" s="78">
        <f ca="1">INDEX(AvailableStates!$D$3:$I$82,MATCH($K33,AvailableStates!$B$3:$B$82,0)+MATCH('Calc- Prosym Setup'!$K$4,AvailableStates!$C$3:$C$7)-1,MATCH('Calc- Prosym Setup'!M$7,AvailableStates!$D$2:$I$2,0))</f>
        <v>3.4031500186452047E-2</v>
      </c>
      <c r="N37" s="78">
        <f ca="1">INDEX(AvailableStates!$D$3:$I$82,MATCH($K33,AvailableStates!$B$3:$B$82,0)+MATCH('Calc- Prosym Setup'!$K$4,AvailableStates!$C$3:$C$7)-1,MATCH('Calc- Prosym Setup'!N$7,AvailableStates!$D$2:$I$2,0))</f>
        <v>1.9303732729436258E-2</v>
      </c>
      <c r="O37" s="78">
        <f ca="1">INDEX(AvailableStates!$D$3:$I$82,MATCH($K33,AvailableStates!$B$3:$B$82,0)+MATCH('Calc- Prosym Setup'!$K$4,AvailableStates!$C$3:$C$7)-1,MATCH('Calc- Prosym Setup'!O$7,AvailableStates!$D$2:$I$2,0))</f>
        <v>1.2942488701206815E-3</v>
      </c>
      <c r="P37" s="78">
        <f ca="1">INDEX(AvailableStates!$D$3:$I$82,MATCH($K33,AvailableStates!$B$3:$B$82,0)+MATCH('Calc- Prosym Setup'!$K$4,AvailableStates!$C$3:$C$7)-1,MATCH('Calc- Prosym Setup'!P$7,AvailableStates!$D$2:$I$2,0))</f>
        <v>0.88239909134511818</v>
      </c>
      <c r="Q37" s="78">
        <f ca="1">SUM(K37:P37)</f>
        <v>0.94360380028106239</v>
      </c>
      <c r="R37" s="145"/>
      <c r="S37" s="78">
        <f ca="1">INDEX(AvailableStates!$D$3:$I$82,MATCH($S33,AvailableStates!$B$3:$B$82,0)+MATCH('Calc- Prosym Setup'!$S$4,AvailableStates!$C$3:$C$7)-1,MATCH('Calc- Prosym Setup'!S$7,AvailableStates!$D$2:$I$2,0))</f>
        <v>3.7330306354450122E-3</v>
      </c>
      <c r="T37" s="78">
        <f ca="1">INDEX(AvailableStates!$D$3:$I$82,MATCH($S33,AvailableStates!$B$3:$B$82,0)+MATCH('Calc- Prosym Setup'!$S$4,AvailableStates!$C$3:$C$7)-1,MATCH('Calc- Prosym Setup'!T$7,AvailableStates!$D$2:$I$2,0))</f>
        <v>2.8421965144902351E-3</v>
      </c>
      <c r="U37" s="78">
        <f ca="1">INDEX(AvailableStates!$D$3:$I$82,MATCH($S33,AvailableStates!$B$3:$B$82,0)+MATCH('Calc- Prosym Setup'!$S$4,AvailableStates!$C$3:$C$7)-1,MATCH('Calc- Prosym Setup'!U$7,AvailableStates!$D$2:$I$2,0))</f>
        <v>3.4031500186452047E-2</v>
      </c>
      <c r="V37" s="78">
        <f ca="1">INDEX(AvailableStates!$D$3:$I$82,MATCH($S33,AvailableStates!$B$3:$B$82,0)+MATCH('Calc- Prosym Setup'!$S$4,AvailableStates!$C$3:$C$7)-1,MATCH('Calc- Prosym Setup'!V$7,AvailableStates!$D$2:$I$2,0))</f>
        <v>1.9303732729436258E-2</v>
      </c>
      <c r="W37" s="78">
        <f ca="1">INDEX(AvailableStates!$D$3:$I$82,MATCH($S33,AvailableStates!$B$3:$B$82,0)+MATCH('Calc- Prosym Setup'!$S$4,AvailableStates!$C$3:$C$7)-1,MATCH('Calc- Prosym Setup'!W$7,AvailableStates!$D$2:$I$2,0))</f>
        <v>1.2942488701206815E-3</v>
      </c>
      <c r="X37" s="78">
        <f ca="1">INDEX(AvailableStates!$D$3:$I$82,MATCH($S33,AvailableStates!$B$3:$B$82,0)+MATCH('Calc- Prosym Setup'!$S$4,AvailableStates!$C$3:$C$7)-1,MATCH('Calc- Prosym Setup'!X$7,AvailableStates!$D$2:$I$2,0))</f>
        <v>0.88239909134511818</v>
      </c>
      <c r="Y37" s="78">
        <f ca="1">SUM(S37:X37)</f>
        <v>0.94360380028106239</v>
      </c>
      <c r="Z37" s="145"/>
      <c r="AA37" s="78">
        <f ca="1">INDEX(AvailableStates!$D$3:$I$82,MATCH($AA33,AvailableStates!$B$3:$B$82,0)+MATCH('Calc- Prosym Setup'!$AA$4,AvailableStates!$C$3:$C$7)-1,MATCH('Calc- Prosym Setup'!AA$7,AvailableStates!$D$2:$I$2,0))</f>
        <v>3.7330306354450122E-3</v>
      </c>
      <c r="AB37" s="78">
        <f ca="1">INDEX(AvailableStates!$D$3:$I$82,MATCH($AA33,AvailableStates!$B$3:$B$82,0)+MATCH('Calc- Prosym Setup'!$AA$4,AvailableStates!$C$3:$C$7)-1,MATCH('Calc- Prosym Setup'!AB$7,AvailableStates!$D$2:$I$2,0))</f>
        <v>2.8421965144902351E-3</v>
      </c>
      <c r="AC37" s="78">
        <f ca="1">INDEX(AvailableStates!$D$3:$I$82,MATCH($AA33,AvailableStates!$B$3:$B$82,0)+MATCH('Calc- Prosym Setup'!$AA$4,AvailableStates!$C$3:$C$7)-1,MATCH('Calc- Prosym Setup'!AC$7,AvailableStates!$D$2:$I$2,0))</f>
        <v>3.4031500186452047E-2</v>
      </c>
      <c r="AD37" s="78">
        <f ca="1">INDEX(AvailableStates!$D$3:$I$82,MATCH($AA33,AvailableStates!$B$3:$B$82,0)+MATCH('Calc- Prosym Setup'!$AA$4,AvailableStates!$C$3:$C$7)-1,MATCH('Calc- Prosym Setup'!AD$7,AvailableStates!$D$2:$I$2,0))</f>
        <v>1.9303732729436258E-2</v>
      </c>
      <c r="AE37" s="78">
        <f ca="1">INDEX(AvailableStates!$D$3:$I$82,MATCH($AA33,AvailableStates!$B$3:$B$82,0)+MATCH('Calc- Prosym Setup'!$AA$4,AvailableStates!$C$3:$C$7)-1,MATCH('Calc- Prosym Setup'!AE$7,AvailableStates!$D$2:$I$2,0))</f>
        <v>1.2942488701206815E-3</v>
      </c>
      <c r="AF37" s="78">
        <f ca="1">INDEX(AvailableStates!$D$3:$I$82,MATCH($AA33,AvailableStates!$B$3:$B$82,0)+MATCH('Calc- Prosym Setup'!$AA$4,AvailableStates!$C$3:$C$7)-1,MATCH('Calc- Prosym Setup'!AF$7,AvailableStates!$D$2:$I$2,0))</f>
        <v>0.88239909134511818</v>
      </c>
      <c r="AG37" s="78">
        <f ca="1">SUM(AA37:AF37)</f>
        <v>0.94360380028106239</v>
      </c>
      <c r="AH37" s="145"/>
      <c r="AI37" s="78">
        <f ca="1">INDEX(AvailableStates!$D$3:$I$82,MATCH($AI33,AvailableStates!$B$3:$B$82,0)+MATCH('Calc- Prosym Setup'!$AI$4,AvailableStates!$C$3:$C$7)-1,MATCH('Calc- Prosym Setup'!AI$7,AvailableStates!$D$2:$I$2,0))</f>
        <v>3.7330306354450122E-3</v>
      </c>
      <c r="AJ37" s="78">
        <f ca="1">INDEX(AvailableStates!$D$3:$I$82,MATCH($AI33,AvailableStates!$B$3:$B$82,0)+MATCH('Calc- Prosym Setup'!$AI$4,AvailableStates!$C$3:$C$7)-1,MATCH('Calc- Prosym Setup'!AJ$7,AvailableStates!$D$2:$I$2,0))</f>
        <v>2.8421965144902351E-3</v>
      </c>
      <c r="AK37" s="78">
        <f ca="1">INDEX(AvailableStates!$D$3:$I$82,MATCH($AI33,AvailableStates!$B$3:$B$82,0)+MATCH('Calc- Prosym Setup'!$AI$4,AvailableStates!$C$3:$C$7)-1,MATCH('Calc- Prosym Setup'!AK$7,AvailableStates!$D$2:$I$2,0))</f>
        <v>3.4031500186452047E-2</v>
      </c>
      <c r="AL37" s="78">
        <f ca="1">INDEX(AvailableStates!$D$3:$I$82,MATCH($AI33,AvailableStates!$B$3:$B$82,0)+MATCH('Calc- Prosym Setup'!$AI$4,AvailableStates!$C$3:$C$7)-1,MATCH('Calc- Prosym Setup'!AL$7,AvailableStates!$D$2:$I$2,0))</f>
        <v>1.9303732729436258E-2</v>
      </c>
      <c r="AM37" s="78">
        <f ca="1">INDEX(AvailableStates!$D$3:$I$82,MATCH($AI33,AvailableStates!$B$3:$B$82,0)+MATCH('Calc- Prosym Setup'!$AI$4,AvailableStates!$C$3:$C$7)-1,MATCH('Calc- Prosym Setup'!AM$7,AvailableStates!$D$2:$I$2,0))</f>
        <v>1.2942488701206815E-3</v>
      </c>
      <c r="AN37" s="78">
        <f ca="1">INDEX(AvailableStates!$D$3:$I$82,MATCH($AI33,AvailableStates!$B$3:$B$82,0)+MATCH('Calc- Prosym Setup'!$AI$4,AvailableStates!$C$3:$C$7)-1,MATCH('Calc- Prosym Setup'!AN$7,AvailableStates!$D$2:$I$2,0))</f>
        <v>0.88239909134511818</v>
      </c>
      <c r="AO37" s="78">
        <f ca="1">SUM(AI37:AN37)</f>
        <v>0.94360380028106239</v>
      </c>
    </row>
    <row r="38" spans="1:41" x14ac:dyDescent="0.25">
      <c r="J38" s="145"/>
      <c r="R38" s="145"/>
      <c r="Z38" s="145"/>
      <c r="AH38" s="145"/>
    </row>
    <row r="39" spans="1:41" x14ac:dyDescent="0.25">
      <c r="J39" s="145"/>
      <c r="R39" s="145"/>
      <c r="Z39" s="145"/>
      <c r="AH39" s="145"/>
    </row>
    <row r="40" spans="1:41" x14ac:dyDescent="0.25">
      <c r="A40" s="58" t="s">
        <v>157</v>
      </c>
      <c r="B40" s="73"/>
      <c r="C40" s="36" t="s">
        <v>30</v>
      </c>
      <c r="D40" s="35" t="s">
        <v>181</v>
      </c>
      <c r="E40" s="140">
        <f>VLOOKUP(C40,'INP-Calc EFOR&amp;EUOR - 2019Plan'!$A$11:$AE$36,21)</f>
        <v>3.4396199718937544E-2</v>
      </c>
      <c r="F40" s="35" t="s">
        <v>226</v>
      </c>
      <c r="G40" s="140">
        <f>VLOOKUP(C40,'INP-Calc EFOR&amp;EUOR - 2019Plan'!$A$11:$AE$36,27)</f>
        <v>1.8230873030883308E-2</v>
      </c>
      <c r="H40" s="35" t="s">
        <v>182</v>
      </c>
      <c r="I40" s="140">
        <f>VLOOKUP(C40,'INP-Calc EFOR&amp;EUOR - 2019Plan'!$A$11:$AE$36,15)</f>
        <v>2.1999999999999999E-2</v>
      </c>
      <c r="J40" s="145"/>
      <c r="K40" s="36" t="str">
        <f>C40</f>
        <v>GH3</v>
      </c>
      <c r="L40" s="35" t="s">
        <v>181</v>
      </c>
      <c r="M40" s="140">
        <f>VLOOKUP(K40,'INP-Calc EFOR&amp;EUOR - 2019Plan'!$A$11:$AE$36,22)</f>
        <v>3.4396199718937544E-2</v>
      </c>
      <c r="N40" s="35" t="s">
        <v>226</v>
      </c>
      <c r="O40" s="140">
        <f>VLOOKUP(K40,'INP-Calc EFOR&amp;EUOR - 2019Plan'!$A$11:$AE$36,28)</f>
        <v>1.8230873030883308E-2</v>
      </c>
      <c r="P40" s="35" t="s">
        <v>182</v>
      </c>
      <c r="Q40" s="140">
        <f>VLOOKUP(K40,'INP-Calc EFOR&amp;EUOR - 2019Plan'!$A$11:$AE$36,16)</f>
        <v>2.1999999999999999E-2</v>
      </c>
      <c r="R40" s="145"/>
      <c r="S40" s="36" t="str">
        <f>K40</f>
        <v>GH3</v>
      </c>
      <c r="T40" s="35" t="s">
        <v>181</v>
      </c>
      <c r="U40" s="140">
        <f>VLOOKUP(S40,'INP-Calc EFOR&amp;EUOR - 2019Plan'!$A$11:$AE$36,23)</f>
        <v>3.4396199718937544E-2</v>
      </c>
      <c r="V40" s="35" t="s">
        <v>226</v>
      </c>
      <c r="W40" s="140">
        <f>VLOOKUP(S40,'INP-Calc EFOR&amp;EUOR - 2019Plan'!$A$11:$AE$36,29)</f>
        <v>1.8230873030883308E-2</v>
      </c>
      <c r="X40" s="35" t="s">
        <v>182</v>
      </c>
      <c r="Y40" s="140">
        <f>VLOOKUP(S40,'INP-Calc EFOR&amp;EUOR - 2019Plan'!$A$11:$AE$36,17)</f>
        <v>2.1999999999999999E-2</v>
      </c>
      <c r="Z40" s="145"/>
      <c r="AA40" s="36" t="str">
        <f>S40</f>
        <v>GH3</v>
      </c>
      <c r="AB40" s="35" t="s">
        <v>181</v>
      </c>
      <c r="AC40" s="140">
        <f>VLOOKUP(AA40,'INP-Calc EFOR&amp;EUOR - 2019Plan'!$A$11:$AE$36,24)</f>
        <v>3.4396199718937544E-2</v>
      </c>
      <c r="AD40" s="35" t="s">
        <v>226</v>
      </c>
      <c r="AE40" s="140">
        <f>VLOOKUP(AA40,'INP-Calc EFOR&amp;EUOR - 2019Plan'!$A$11:$AE$36,30)</f>
        <v>1.8230873030883308E-2</v>
      </c>
      <c r="AF40" s="35" t="s">
        <v>182</v>
      </c>
      <c r="AG40" s="140">
        <f>VLOOKUP(AA40,'INP-Calc EFOR&amp;EUOR - 2019Plan'!$A$11:$AE$36,18)</f>
        <v>2.1999999999999999E-2</v>
      </c>
      <c r="AH40" s="145"/>
      <c r="AI40" s="36" t="str">
        <f>AA40</f>
        <v>GH3</v>
      </c>
      <c r="AJ40" s="35" t="s">
        <v>181</v>
      </c>
      <c r="AK40" s="140">
        <f>VLOOKUP(AI40,'INP-Calc EFOR&amp;EUOR - 2019Plan'!$A$11:$AE$36,25)</f>
        <v>3.4396199718937544E-2</v>
      </c>
      <c r="AL40" s="35" t="s">
        <v>226</v>
      </c>
      <c r="AM40" s="140">
        <f>VLOOKUP(AI40,'INP-Calc EFOR&amp;EUOR - 2019Plan'!$A$11:$AE$36,31)</f>
        <v>1.8230873030883308E-2</v>
      </c>
      <c r="AN40" s="35" t="s">
        <v>182</v>
      </c>
      <c r="AO40" s="141">
        <f>VLOOKUP(AI40,'INP-Calc EFOR&amp;EUOR - 2019Plan'!$A$11:$AE$36,19)</f>
        <v>2.1999999999999999E-2</v>
      </c>
    </row>
    <row r="41" spans="1:41" x14ac:dyDescent="0.25">
      <c r="A41" s="36"/>
      <c r="B41" s="36"/>
      <c r="C41" s="36"/>
      <c r="D41" s="36"/>
      <c r="E41" s="36"/>
      <c r="F41" s="36"/>
      <c r="G41" s="37"/>
      <c r="H41" s="36"/>
      <c r="I41" s="36"/>
      <c r="J41" s="145"/>
      <c r="K41" s="36"/>
      <c r="L41" s="36"/>
      <c r="M41" s="36"/>
      <c r="N41" s="36"/>
      <c r="O41" s="37"/>
      <c r="P41" s="36"/>
      <c r="Q41" s="36"/>
      <c r="R41" s="145"/>
      <c r="S41" s="36"/>
      <c r="T41" s="36"/>
      <c r="U41" s="36"/>
      <c r="V41" s="36"/>
      <c r="W41" s="37"/>
      <c r="X41" s="36"/>
      <c r="Y41" s="36"/>
      <c r="Z41" s="145"/>
      <c r="AA41" s="36"/>
      <c r="AB41" s="36"/>
      <c r="AC41" s="36"/>
      <c r="AD41" s="36"/>
      <c r="AE41" s="37"/>
      <c r="AF41" s="36"/>
      <c r="AG41" s="36"/>
      <c r="AH41" s="145"/>
      <c r="AI41" s="36"/>
      <c r="AJ41" s="36"/>
      <c r="AK41" s="36"/>
      <c r="AL41" s="36"/>
      <c r="AM41" s="37"/>
      <c r="AN41" s="36"/>
      <c r="AO41" s="36"/>
    </row>
    <row r="42" spans="1:41" x14ac:dyDescent="0.25">
      <c r="A42" s="37" t="str">
        <f>A35</f>
        <v>BLOCK:</v>
      </c>
      <c r="B42" s="37"/>
      <c r="C42" s="38">
        <f>C35</f>
        <v>1</v>
      </c>
      <c r="D42" s="38">
        <f t="shared" ref="D42:I42" si="29">D35</f>
        <v>2</v>
      </c>
      <c r="E42" s="38">
        <f t="shared" si="29"/>
        <v>3</v>
      </c>
      <c r="F42" s="38">
        <f t="shared" si="29"/>
        <v>4</v>
      </c>
      <c r="G42" s="38">
        <f t="shared" si="29"/>
        <v>5</v>
      </c>
      <c r="H42" s="38">
        <f t="shared" si="29"/>
        <v>6</v>
      </c>
      <c r="I42" s="38" t="str">
        <f t="shared" si="29"/>
        <v>Tot Unit</v>
      </c>
      <c r="J42" s="145"/>
      <c r="K42" s="38">
        <f>K35</f>
        <v>1</v>
      </c>
      <c r="L42" s="38">
        <f t="shared" ref="L42:Q42" si="30">L35</f>
        <v>2</v>
      </c>
      <c r="M42" s="38">
        <f t="shared" si="30"/>
        <v>3</v>
      </c>
      <c r="N42" s="38">
        <f t="shared" si="30"/>
        <v>4</v>
      </c>
      <c r="O42" s="38">
        <f t="shared" si="30"/>
        <v>5</v>
      </c>
      <c r="P42" s="38">
        <f t="shared" si="30"/>
        <v>6</v>
      </c>
      <c r="Q42" s="38" t="str">
        <f t="shared" si="30"/>
        <v>Tot Unit</v>
      </c>
      <c r="R42" s="145"/>
      <c r="S42" s="38">
        <f>S35</f>
        <v>1</v>
      </c>
      <c r="T42" s="38">
        <f t="shared" ref="T42:Y42" si="31">T35</f>
        <v>2</v>
      </c>
      <c r="U42" s="38">
        <f t="shared" si="31"/>
        <v>3</v>
      </c>
      <c r="V42" s="38">
        <f t="shared" si="31"/>
        <v>4</v>
      </c>
      <c r="W42" s="38">
        <f t="shared" si="31"/>
        <v>5</v>
      </c>
      <c r="X42" s="38">
        <f t="shared" si="31"/>
        <v>6</v>
      </c>
      <c r="Y42" s="38" t="str">
        <f t="shared" si="31"/>
        <v>Tot Unit</v>
      </c>
      <c r="Z42" s="145"/>
      <c r="AA42" s="38">
        <f>AA35</f>
        <v>1</v>
      </c>
      <c r="AB42" s="38">
        <f t="shared" ref="AB42:AG42" si="32">AB35</f>
        <v>2</v>
      </c>
      <c r="AC42" s="38">
        <f t="shared" si="32"/>
        <v>3</v>
      </c>
      <c r="AD42" s="38">
        <f t="shared" si="32"/>
        <v>4</v>
      </c>
      <c r="AE42" s="38">
        <f t="shared" si="32"/>
        <v>5</v>
      </c>
      <c r="AF42" s="38">
        <f t="shared" si="32"/>
        <v>6</v>
      </c>
      <c r="AG42" s="38" t="str">
        <f t="shared" si="32"/>
        <v>Tot Unit</v>
      </c>
      <c r="AH42" s="145"/>
      <c r="AI42" s="38">
        <f>AI35</f>
        <v>1</v>
      </c>
      <c r="AJ42" s="38">
        <f t="shared" ref="AJ42:AO42" si="33">AJ35</f>
        <v>2</v>
      </c>
      <c r="AK42" s="38">
        <f t="shared" si="33"/>
        <v>3</v>
      </c>
      <c r="AL42" s="38">
        <f t="shared" si="33"/>
        <v>4</v>
      </c>
      <c r="AM42" s="38">
        <f t="shared" si="33"/>
        <v>5</v>
      </c>
      <c r="AN42" s="38">
        <f t="shared" si="33"/>
        <v>6</v>
      </c>
      <c r="AO42" s="38" t="str">
        <f t="shared" si="33"/>
        <v>Tot Unit</v>
      </c>
    </row>
    <row r="43" spans="1:41" x14ac:dyDescent="0.25">
      <c r="A43" s="37" t="str">
        <f t="shared" ref="A43:A44" si="34">A36</f>
        <v>State Capacity (I)</v>
      </c>
      <c r="B43" s="37"/>
      <c r="C43" s="142">
        <f>INDEX('Calc-Pivot abvals'!$H$20:$M$32,MATCH($C40,'Calc-Pivot abvals'!$G$20:$G$32,0),MATCH(C$7,'Calc-Pivot abvals'!$H$19:$M$19,0))</f>
        <v>210</v>
      </c>
      <c r="D43" s="142">
        <f>INDEX('Calc-Pivot abvals'!$H$20:$M$32,MATCH($C40,'Calc-Pivot abvals'!$G$20:$G$32,0),MATCH(D$7,'Calc-Pivot abvals'!$H$19:$M$19,0))</f>
        <v>291</v>
      </c>
      <c r="E43" s="142">
        <f>INDEX('Calc-Pivot abvals'!$H$20:$M$32,MATCH($C40,'Calc-Pivot abvals'!$G$20:$G$32,0),MATCH(E$7,'Calc-Pivot abvals'!$H$19:$M$19,0))</f>
        <v>321</v>
      </c>
      <c r="F43" s="142">
        <f>INDEX('Calc-Pivot abvals'!$H$20:$M$32,MATCH($C40,'Calc-Pivot abvals'!$G$20:$G$32,0),MATCH(F$7,'Calc-Pivot abvals'!$H$19:$M$19,0))</f>
        <v>401</v>
      </c>
      <c r="G43" s="142">
        <f>INDEX('Calc-Pivot abvals'!$H$20:$M$32,MATCH($C40,'Calc-Pivot abvals'!$G$20:$G$32,0),MATCH(G$7,'Calc-Pivot abvals'!$H$19:$M$19,0))</f>
        <v>441</v>
      </c>
      <c r="H43" s="142">
        <f>INDEX('Calc-Pivot abvals'!$H$20:$M$32,MATCH($C40,'Calc-Pivot abvals'!$G$20:$G$32,0),MATCH(H$7,'Calc-Pivot abvals'!$H$19:$M$19,0))</f>
        <v>481</v>
      </c>
      <c r="I43" s="142">
        <f>VLOOKUP($A$40,Lookup!$L$5:$M$19,2,FALSE)</f>
        <v>481</v>
      </c>
      <c r="J43" s="145"/>
      <c r="K43" s="142">
        <f>INDEX('Calc-Pivot abvals'!$H$20:$M$32,MATCH($K40,'Calc-Pivot abvals'!$G$20:$G$32,0),MATCH(K$7,'Calc-Pivot abvals'!$H$19:$M$19,0))</f>
        <v>210</v>
      </c>
      <c r="L43" s="142">
        <f>INDEX('Calc-Pivot abvals'!$H$20:$M$32,MATCH($K40,'Calc-Pivot abvals'!$G$20:$G$32,0),MATCH(L$7,'Calc-Pivot abvals'!$H$19:$M$19,0))</f>
        <v>291</v>
      </c>
      <c r="M43" s="142">
        <f>INDEX('Calc-Pivot abvals'!$H$20:$M$32,MATCH($K40,'Calc-Pivot abvals'!$G$20:$G$32,0),MATCH(M$7,'Calc-Pivot abvals'!$H$19:$M$19,0))</f>
        <v>321</v>
      </c>
      <c r="N43" s="142">
        <f>INDEX('Calc-Pivot abvals'!$H$20:$M$32,MATCH($K40,'Calc-Pivot abvals'!$G$20:$G$32,0),MATCH(N$7,'Calc-Pivot abvals'!$H$19:$M$19,0))</f>
        <v>401</v>
      </c>
      <c r="O43" s="142">
        <f>INDEX('Calc-Pivot abvals'!$H$20:$M$32,MATCH($K40,'Calc-Pivot abvals'!$G$20:$G$32,0),MATCH(O$7,'Calc-Pivot abvals'!$H$19:$M$19,0))</f>
        <v>441</v>
      </c>
      <c r="P43" s="142">
        <f>INDEX('Calc-Pivot abvals'!$H$20:$M$32,MATCH($K40,'Calc-Pivot abvals'!$G$20:$G$32,0),MATCH(P$7,'Calc-Pivot abvals'!$H$19:$M$19,0))</f>
        <v>481</v>
      </c>
      <c r="Q43" s="142">
        <f>VLOOKUP($A$40,Lookup!$L$5:$M$19,2,FALSE)</f>
        <v>481</v>
      </c>
      <c r="R43" s="145"/>
      <c r="S43" s="142">
        <f>INDEX('Calc-Pivot abvals'!$H$20:$M$32,MATCH($S40,'Calc-Pivot abvals'!$G$20:$G$32,0),MATCH(S$7,'Calc-Pivot abvals'!$H$19:$M$19,0))</f>
        <v>210</v>
      </c>
      <c r="T43" s="142">
        <f>INDEX('Calc-Pivot abvals'!$H$20:$M$32,MATCH($S40,'Calc-Pivot abvals'!$G$20:$G$32,0),MATCH(T$7,'Calc-Pivot abvals'!$H$19:$M$19,0))</f>
        <v>291</v>
      </c>
      <c r="U43" s="142">
        <f>INDEX('Calc-Pivot abvals'!$H$20:$M$32,MATCH($S40,'Calc-Pivot abvals'!$G$20:$G$32,0),MATCH(U$7,'Calc-Pivot abvals'!$H$19:$M$19,0))</f>
        <v>321</v>
      </c>
      <c r="V43" s="142">
        <f>INDEX('Calc-Pivot abvals'!$H$20:$M$32,MATCH($S40,'Calc-Pivot abvals'!$G$20:$G$32,0),MATCH(V$7,'Calc-Pivot abvals'!$H$19:$M$19,0))</f>
        <v>401</v>
      </c>
      <c r="W43" s="142">
        <f>INDEX('Calc-Pivot abvals'!$H$20:$M$32,MATCH($S40,'Calc-Pivot abvals'!$G$20:$G$32,0),MATCH(W$7,'Calc-Pivot abvals'!$H$19:$M$19,0))</f>
        <v>441</v>
      </c>
      <c r="X43" s="142">
        <f>INDEX('Calc-Pivot abvals'!$H$20:$M$32,MATCH($S40,'Calc-Pivot abvals'!$G$20:$G$32,0),MATCH(X$7,'Calc-Pivot abvals'!$H$19:$M$19,0))</f>
        <v>481</v>
      </c>
      <c r="Y43" s="142">
        <f>VLOOKUP($A$40,Lookup!$L$5:$M$19,2,FALSE)</f>
        <v>481</v>
      </c>
      <c r="Z43" s="145"/>
      <c r="AA43" s="142">
        <f>INDEX('Calc-Pivot abvals'!$H$20:$M$32,MATCH($AA40,'Calc-Pivot abvals'!$G$20:$G$32,0),MATCH(AA$7,'Calc-Pivot abvals'!$H$19:$M$19,0))</f>
        <v>210</v>
      </c>
      <c r="AB43" s="142">
        <f>INDEX('Calc-Pivot abvals'!$H$20:$M$32,MATCH($AA40,'Calc-Pivot abvals'!$G$20:$G$32,0),MATCH(AB$7,'Calc-Pivot abvals'!$H$19:$M$19,0))</f>
        <v>291</v>
      </c>
      <c r="AC43" s="142">
        <f>INDEX('Calc-Pivot abvals'!$H$20:$M$32,MATCH($AA40,'Calc-Pivot abvals'!$G$20:$G$32,0),MATCH(AC$7,'Calc-Pivot abvals'!$H$19:$M$19,0))</f>
        <v>321</v>
      </c>
      <c r="AD43" s="142">
        <f>INDEX('Calc-Pivot abvals'!$H$20:$M$32,MATCH($AA40,'Calc-Pivot abvals'!$G$20:$G$32,0),MATCH(AD$7,'Calc-Pivot abvals'!$H$19:$M$19,0))</f>
        <v>401</v>
      </c>
      <c r="AE43" s="142">
        <f>INDEX('Calc-Pivot abvals'!$H$20:$M$32,MATCH($AA40,'Calc-Pivot abvals'!$G$20:$G$32,0),MATCH(AE$7,'Calc-Pivot abvals'!$H$19:$M$19,0))</f>
        <v>441</v>
      </c>
      <c r="AF43" s="142">
        <f>INDEX('Calc-Pivot abvals'!$H$20:$M$32,MATCH($AA40,'Calc-Pivot abvals'!$G$20:$G$32,0),MATCH(AF$7,'Calc-Pivot abvals'!$H$19:$M$19,0))</f>
        <v>481</v>
      </c>
      <c r="AG43" s="142">
        <f>VLOOKUP($A$40,Lookup!$L$5:$M$19,2,FALSE)</f>
        <v>481</v>
      </c>
      <c r="AH43" s="145"/>
      <c r="AI43" s="142">
        <f>INDEX('Calc-Pivot abvals'!$H$20:$M$32,MATCH($AI40,'Calc-Pivot abvals'!$G$20:$G$32,0),MATCH(AI$7,'Calc-Pivot abvals'!$H$19:$M$19,0))</f>
        <v>210</v>
      </c>
      <c r="AJ43" s="142">
        <f>INDEX('Calc-Pivot abvals'!$H$20:$M$32,MATCH($AI40,'Calc-Pivot abvals'!$G$20:$G$32,0),MATCH(AJ$7,'Calc-Pivot abvals'!$H$19:$M$19,0))</f>
        <v>291</v>
      </c>
      <c r="AK43" s="142">
        <f>INDEX('Calc-Pivot abvals'!$H$20:$M$32,MATCH($AI40,'Calc-Pivot abvals'!$G$20:$G$32,0),MATCH(AK$7,'Calc-Pivot abvals'!$H$19:$M$19,0))</f>
        <v>321</v>
      </c>
      <c r="AL43" s="142">
        <f>INDEX('Calc-Pivot abvals'!$H$20:$M$32,MATCH($AI40,'Calc-Pivot abvals'!$G$20:$G$32,0),MATCH(AL$7,'Calc-Pivot abvals'!$H$19:$M$19,0))</f>
        <v>401</v>
      </c>
      <c r="AM43" s="142">
        <f>INDEX('Calc-Pivot abvals'!$H$20:$M$32,MATCH($AI40,'Calc-Pivot abvals'!$G$20:$G$32,0),MATCH(AM$7,'Calc-Pivot abvals'!$H$19:$M$19,0))</f>
        <v>441</v>
      </c>
      <c r="AN43" s="142">
        <f>INDEX('Calc-Pivot abvals'!$H$20:$M$32,MATCH($AI40,'Calc-Pivot abvals'!$G$20:$G$32,0),MATCH(AN$7,'Calc-Pivot abvals'!$H$19:$M$19,0))</f>
        <v>481</v>
      </c>
      <c r="AO43" s="142">
        <f>VLOOKUP($A$40,Lookup!$L$5:$M$19,2,FALSE)</f>
        <v>481</v>
      </c>
    </row>
    <row r="44" spans="1:41" x14ac:dyDescent="0.25">
      <c r="A44" s="35" t="str">
        <f t="shared" si="34"/>
        <v>GADS Yr Availability: GADS only (C)</v>
      </c>
      <c r="B44" s="35"/>
      <c r="C44" s="78">
        <f ca="1">INDEX(AvailableStates!$D$3:$I$82,MATCH($C40,AvailableStates!$B$3:$B$82,0)+MATCH('Calc- Prosym Setup'!$C$4,AvailableStates!$C$3:$C$7)-1,MATCH('Calc- Prosym Setup'!C$7,AvailableStates!$D$2:$I$2,0))</f>
        <v>1.5403078914806136E-3</v>
      </c>
      <c r="D44" s="78">
        <f ca="1">INDEX(AvailableStates!$D$3:$I$82,MATCH($C40,AvailableStates!$B$3:$B$82,0)+MATCH('Calc- Prosym Setup'!$C$4,AvailableStates!$C$3:$C$7)-1,MATCH('Calc- Prosym Setup'!D$7,AvailableStates!$D$2:$I$2,0))</f>
        <v>1.3053122003473402E-3</v>
      </c>
      <c r="E44" s="78">
        <f ca="1">INDEX(AvailableStates!$D$3:$I$82,MATCH($C40,AvailableStates!$B$3:$B$82,0)+MATCH('Calc- Prosym Setup'!$C$4,AvailableStates!$C$3:$C$7)-1,MATCH('Calc- Prosym Setup'!E$7,AvailableStates!$D$2:$I$2,0))</f>
        <v>8.0036767746342729E-3</v>
      </c>
      <c r="F44" s="78">
        <f ca="1">INDEX(AvailableStates!$D$3:$I$82,MATCH($C40,AvailableStates!$B$3:$B$82,0)+MATCH('Calc- Prosym Setup'!$C$4,AvailableStates!$C$3:$C$7)-1,MATCH('Calc- Prosym Setup'!F$7,AvailableStates!$D$2:$I$2,0))</f>
        <v>6.1657734994903526E-2</v>
      </c>
      <c r="G44" s="78">
        <f ca="1">INDEX(AvailableStates!$D$3:$I$82,MATCH($C40,AvailableStates!$B$3:$B$82,0)+MATCH('Calc- Prosym Setup'!$C$4,AvailableStates!$C$3:$C$7)-1,MATCH('Calc- Prosym Setup'!G$7,AvailableStates!$D$2:$I$2,0))</f>
        <v>3.9719702375000818E-2</v>
      </c>
      <c r="H44" s="78">
        <f ca="1">INDEX(AvailableStates!$D$3:$I$82,MATCH($C40,AvailableStates!$B$3:$B$82,0)+MATCH('Calc- Prosym Setup'!$C$4,AvailableStates!$C$3:$C$7)-1,MATCH('Calc- Prosym Setup'!H$7,AvailableStates!$D$2:$I$2,0))</f>
        <v>0.83137706604469586</v>
      </c>
      <c r="I44" s="78">
        <f ca="1">SUM(C44:H44)</f>
        <v>0.94360380028106239</v>
      </c>
      <c r="J44" s="145"/>
      <c r="K44" s="78">
        <f ca="1">INDEX(AvailableStates!$D$3:$I$82,MATCH($K40,AvailableStates!$B$3:$B$82,0)+MATCH('Calc- Prosym Setup'!$K$4,AvailableStates!$C$3:$C$7)-1,MATCH('Calc- Prosym Setup'!K$7,AvailableStates!$D$2:$I$2,0))</f>
        <v>1.5403078914806136E-3</v>
      </c>
      <c r="L44" s="78">
        <f ca="1">INDEX(AvailableStates!$D$3:$I$82,MATCH($K40,AvailableStates!$B$3:$B$82,0)+MATCH('Calc- Prosym Setup'!$K$4,AvailableStates!$C$3:$C$7)-1,MATCH('Calc- Prosym Setup'!L$7,AvailableStates!$D$2:$I$2,0))</f>
        <v>1.3053122003473402E-3</v>
      </c>
      <c r="M44" s="78">
        <f ca="1">INDEX(AvailableStates!$D$3:$I$82,MATCH($K40,AvailableStates!$B$3:$B$82,0)+MATCH('Calc- Prosym Setup'!$K$4,AvailableStates!$C$3:$C$7)-1,MATCH('Calc- Prosym Setup'!M$7,AvailableStates!$D$2:$I$2,0))</f>
        <v>8.0036767746342729E-3</v>
      </c>
      <c r="N44" s="78">
        <f ca="1">INDEX(AvailableStates!$D$3:$I$82,MATCH($K40,AvailableStates!$B$3:$B$82,0)+MATCH('Calc- Prosym Setup'!$K$4,AvailableStates!$C$3:$C$7)-1,MATCH('Calc- Prosym Setup'!N$7,AvailableStates!$D$2:$I$2,0))</f>
        <v>6.1657734994903526E-2</v>
      </c>
      <c r="O44" s="78">
        <f ca="1">INDEX(AvailableStates!$D$3:$I$82,MATCH($K40,AvailableStates!$B$3:$B$82,0)+MATCH('Calc- Prosym Setup'!$K$4,AvailableStates!$C$3:$C$7)-1,MATCH('Calc- Prosym Setup'!O$7,AvailableStates!$D$2:$I$2,0))</f>
        <v>3.9719702375000818E-2</v>
      </c>
      <c r="P44" s="78">
        <f ca="1">INDEX(AvailableStates!$D$3:$I$82,MATCH($K40,AvailableStates!$B$3:$B$82,0)+MATCH('Calc- Prosym Setup'!$K$4,AvailableStates!$C$3:$C$7)-1,MATCH('Calc- Prosym Setup'!P$7,AvailableStates!$D$2:$I$2,0))</f>
        <v>0.83137706604469586</v>
      </c>
      <c r="Q44" s="78">
        <f ca="1">SUM(K44:P44)</f>
        <v>0.94360380028106239</v>
      </c>
      <c r="R44" s="145"/>
      <c r="S44" s="78">
        <f ca="1">INDEX(AvailableStates!$D$3:$I$82,MATCH($S40,AvailableStates!$B$3:$B$82,0)+MATCH('Calc- Prosym Setup'!$S$4,AvailableStates!$C$3:$C$7)-1,MATCH('Calc- Prosym Setup'!S$7,AvailableStates!$D$2:$I$2,0))</f>
        <v>1.5403078914806136E-3</v>
      </c>
      <c r="T44" s="78">
        <f ca="1">INDEX(AvailableStates!$D$3:$I$82,MATCH($S40,AvailableStates!$B$3:$B$82,0)+MATCH('Calc- Prosym Setup'!$S$4,AvailableStates!$C$3:$C$7)-1,MATCH('Calc- Prosym Setup'!T$7,AvailableStates!$D$2:$I$2,0))</f>
        <v>1.3053122003473402E-3</v>
      </c>
      <c r="U44" s="78">
        <f ca="1">INDEX(AvailableStates!$D$3:$I$82,MATCH($S40,AvailableStates!$B$3:$B$82,0)+MATCH('Calc- Prosym Setup'!$S$4,AvailableStates!$C$3:$C$7)-1,MATCH('Calc- Prosym Setup'!U$7,AvailableStates!$D$2:$I$2,0))</f>
        <v>8.0036767746342729E-3</v>
      </c>
      <c r="V44" s="78">
        <f ca="1">INDEX(AvailableStates!$D$3:$I$82,MATCH($S40,AvailableStates!$B$3:$B$82,0)+MATCH('Calc- Prosym Setup'!$S$4,AvailableStates!$C$3:$C$7)-1,MATCH('Calc- Prosym Setup'!V$7,AvailableStates!$D$2:$I$2,0))</f>
        <v>6.1657734994903526E-2</v>
      </c>
      <c r="W44" s="78">
        <f ca="1">INDEX(AvailableStates!$D$3:$I$82,MATCH($S40,AvailableStates!$B$3:$B$82,0)+MATCH('Calc- Prosym Setup'!$S$4,AvailableStates!$C$3:$C$7)-1,MATCH('Calc- Prosym Setup'!W$7,AvailableStates!$D$2:$I$2,0))</f>
        <v>3.9719702375000818E-2</v>
      </c>
      <c r="X44" s="78">
        <f ca="1">INDEX(AvailableStates!$D$3:$I$82,MATCH($S40,AvailableStates!$B$3:$B$82,0)+MATCH('Calc- Prosym Setup'!$S$4,AvailableStates!$C$3:$C$7)-1,MATCH('Calc- Prosym Setup'!X$7,AvailableStates!$D$2:$I$2,0))</f>
        <v>0.83137706604469586</v>
      </c>
      <c r="Y44" s="78">
        <f ca="1">SUM(S44:X44)</f>
        <v>0.94360380028106239</v>
      </c>
      <c r="Z44" s="145"/>
      <c r="AA44" s="78">
        <f ca="1">INDEX(AvailableStates!$D$3:$I$82,MATCH($AA40,AvailableStates!$B$3:$B$82,0)+MATCH('Calc- Prosym Setup'!$AA$4,AvailableStates!$C$3:$C$7)-1,MATCH('Calc- Prosym Setup'!AA$7,AvailableStates!$D$2:$I$2,0))</f>
        <v>1.5403078914806136E-3</v>
      </c>
      <c r="AB44" s="78">
        <f ca="1">INDEX(AvailableStates!$D$3:$I$82,MATCH($AA40,AvailableStates!$B$3:$B$82,0)+MATCH('Calc- Prosym Setup'!$AA$4,AvailableStates!$C$3:$C$7)-1,MATCH('Calc- Prosym Setup'!AB$7,AvailableStates!$D$2:$I$2,0))</f>
        <v>1.3053122003473402E-3</v>
      </c>
      <c r="AC44" s="78">
        <f ca="1">INDEX(AvailableStates!$D$3:$I$82,MATCH($AA40,AvailableStates!$B$3:$B$82,0)+MATCH('Calc- Prosym Setup'!$AA$4,AvailableStates!$C$3:$C$7)-1,MATCH('Calc- Prosym Setup'!AC$7,AvailableStates!$D$2:$I$2,0))</f>
        <v>8.0036767746342729E-3</v>
      </c>
      <c r="AD44" s="78">
        <f ca="1">INDEX(AvailableStates!$D$3:$I$82,MATCH($AA40,AvailableStates!$B$3:$B$82,0)+MATCH('Calc- Prosym Setup'!$AA$4,AvailableStates!$C$3:$C$7)-1,MATCH('Calc- Prosym Setup'!AD$7,AvailableStates!$D$2:$I$2,0))</f>
        <v>6.1657734994903526E-2</v>
      </c>
      <c r="AE44" s="78">
        <f ca="1">INDEX(AvailableStates!$D$3:$I$82,MATCH($AA40,AvailableStates!$B$3:$B$82,0)+MATCH('Calc- Prosym Setup'!$AA$4,AvailableStates!$C$3:$C$7)-1,MATCH('Calc- Prosym Setup'!AE$7,AvailableStates!$D$2:$I$2,0))</f>
        <v>3.9719702375000818E-2</v>
      </c>
      <c r="AF44" s="78">
        <f ca="1">INDEX(AvailableStates!$D$3:$I$82,MATCH($AA40,AvailableStates!$B$3:$B$82,0)+MATCH('Calc- Prosym Setup'!$AA$4,AvailableStates!$C$3:$C$7)-1,MATCH('Calc- Prosym Setup'!AF$7,AvailableStates!$D$2:$I$2,0))</f>
        <v>0.83137706604469586</v>
      </c>
      <c r="AG44" s="78">
        <f ca="1">SUM(AA44:AF44)</f>
        <v>0.94360380028106239</v>
      </c>
      <c r="AH44" s="145"/>
      <c r="AI44" s="78">
        <f ca="1">INDEX(AvailableStates!$D$3:$I$82,MATCH($AI40,AvailableStates!$B$3:$B$82,0)+MATCH('Calc- Prosym Setup'!$AI$4,AvailableStates!$C$3:$C$7)-1,MATCH('Calc- Prosym Setup'!AI$7,AvailableStates!$D$2:$I$2,0))</f>
        <v>1.5403078914806136E-3</v>
      </c>
      <c r="AJ44" s="78">
        <f ca="1">INDEX(AvailableStates!$D$3:$I$82,MATCH($AI40,AvailableStates!$B$3:$B$82,0)+MATCH('Calc- Prosym Setup'!$AI$4,AvailableStates!$C$3:$C$7)-1,MATCH('Calc- Prosym Setup'!AJ$7,AvailableStates!$D$2:$I$2,0))</f>
        <v>1.3053122003473402E-3</v>
      </c>
      <c r="AK44" s="78">
        <f ca="1">INDEX(AvailableStates!$D$3:$I$82,MATCH($AI40,AvailableStates!$B$3:$B$82,0)+MATCH('Calc- Prosym Setup'!$AI$4,AvailableStates!$C$3:$C$7)-1,MATCH('Calc- Prosym Setup'!AK$7,AvailableStates!$D$2:$I$2,0))</f>
        <v>8.0036767746342729E-3</v>
      </c>
      <c r="AL44" s="78">
        <f ca="1">INDEX(AvailableStates!$D$3:$I$82,MATCH($AI40,AvailableStates!$B$3:$B$82,0)+MATCH('Calc- Prosym Setup'!$AI$4,AvailableStates!$C$3:$C$7)-1,MATCH('Calc- Prosym Setup'!AL$7,AvailableStates!$D$2:$I$2,0))</f>
        <v>6.1657734994903526E-2</v>
      </c>
      <c r="AM44" s="78">
        <f ca="1">INDEX(AvailableStates!$D$3:$I$82,MATCH($AI40,AvailableStates!$B$3:$B$82,0)+MATCH('Calc- Prosym Setup'!$AI$4,AvailableStates!$C$3:$C$7)-1,MATCH('Calc- Prosym Setup'!AM$7,AvailableStates!$D$2:$I$2,0))</f>
        <v>3.9719702375000818E-2</v>
      </c>
      <c r="AN44" s="78">
        <f ca="1">INDEX(AvailableStates!$D$3:$I$82,MATCH($AI40,AvailableStates!$B$3:$B$82,0)+MATCH('Calc- Prosym Setup'!$AI$4,AvailableStates!$C$3:$C$7)-1,MATCH('Calc- Prosym Setup'!AN$7,AvailableStates!$D$2:$I$2,0))</f>
        <v>0.83137706604469586</v>
      </c>
      <c r="AO44" s="78">
        <f ca="1">SUM(AI44:AN44)</f>
        <v>0.94360380028106239</v>
      </c>
    </row>
    <row r="45" spans="1:41" x14ac:dyDescent="0.25">
      <c r="J45" s="145"/>
      <c r="R45" s="145"/>
      <c r="Z45" s="145"/>
      <c r="AH45" s="145"/>
    </row>
    <row r="46" spans="1:41" x14ac:dyDescent="0.25">
      <c r="J46" s="145"/>
      <c r="R46" s="145"/>
      <c r="Z46" s="145"/>
      <c r="AH46" s="145"/>
    </row>
    <row r="47" spans="1:41" x14ac:dyDescent="0.25">
      <c r="A47" s="58" t="s">
        <v>158</v>
      </c>
      <c r="B47" s="73"/>
      <c r="C47" s="36" t="s">
        <v>24</v>
      </c>
      <c r="D47" s="35" t="s">
        <v>181</v>
      </c>
      <c r="E47" s="140">
        <f>VLOOKUP(C47,'INP-Calc EFOR&amp;EUOR - 2019Plan'!$A$11:$AE$36,21)</f>
        <v>3.4396199718937544E-2</v>
      </c>
      <c r="F47" s="35" t="s">
        <v>226</v>
      </c>
      <c r="G47" s="140">
        <f>VLOOKUP(C47,'INP-Calc EFOR&amp;EUOR - 2019Plan'!$A$11:$AE$36,27)</f>
        <v>1.8230873030883308E-2</v>
      </c>
      <c r="H47" s="35" t="s">
        <v>182</v>
      </c>
      <c r="I47" s="140">
        <f>VLOOKUP(C47,'INP-Calc EFOR&amp;EUOR - 2019Plan'!$A$11:$AE$36,15)</f>
        <v>2.1999999999999999E-2</v>
      </c>
      <c r="J47" s="145"/>
      <c r="K47" s="36" t="str">
        <f>C47</f>
        <v>GH4</v>
      </c>
      <c r="L47" s="35" t="s">
        <v>181</v>
      </c>
      <c r="M47" s="140">
        <f>VLOOKUP(K47,'INP-Calc EFOR&amp;EUOR - 2019Plan'!$A$11:$AE$36,22)</f>
        <v>3.4396199718937544E-2</v>
      </c>
      <c r="N47" s="35" t="s">
        <v>226</v>
      </c>
      <c r="O47" s="140">
        <f>VLOOKUP(K47,'INP-Calc EFOR&amp;EUOR - 2019Plan'!$A$11:$AE$36,28)</f>
        <v>1.8230873030883308E-2</v>
      </c>
      <c r="P47" s="35" t="s">
        <v>182</v>
      </c>
      <c r="Q47" s="140">
        <f>VLOOKUP(K47,'INP-Calc EFOR&amp;EUOR - 2019Plan'!$A$11:$AE$36,16)</f>
        <v>2.1999999999999999E-2</v>
      </c>
      <c r="R47" s="145"/>
      <c r="S47" s="36" t="str">
        <f>K47</f>
        <v>GH4</v>
      </c>
      <c r="T47" s="35" t="s">
        <v>181</v>
      </c>
      <c r="U47" s="140">
        <f>VLOOKUP(S47,'INP-Calc EFOR&amp;EUOR - 2019Plan'!$A$11:$AE$36,23)</f>
        <v>3.4396199718937544E-2</v>
      </c>
      <c r="V47" s="35" t="s">
        <v>226</v>
      </c>
      <c r="W47" s="140">
        <f>VLOOKUP(S47,'INP-Calc EFOR&amp;EUOR - 2019Plan'!$A$11:$AE$36,29)</f>
        <v>1.8230873030883308E-2</v>
      </c>
      <c r="X47" s="35" t="s">
        <v>182</v>
      </c>
      <c r="Y47" s="140">
        <f>VLOOKUP(S47,'INP-Calc EFOR&amp;EUOR - 2019Plan'!$A$11:$AE$36,17)</f>
        <v>2.1999999999999999E-2</v>
      </c>
      <c r="Z47" s="145"/>
      <c r="AA47" s="36" t="str">
        <f>S47</f>
        <v>GH4</v>
      </c>
      <c r="AB47" s="35" t="s">
        <v>181</v>
      </c>
      <c r="AC47" s="140">
        <f>VLOOKUP(AA47,'INP-Calc EFOR&amp;EUOR - 2019Plan'!$A$11:$AE$36,24)</f>
        <v>3.4396199718937544E-2</v>
      </c>
      <c r="AD47" s="35" t="s">
        <v>226</v>
      </c>
      <c r="AE47" s="140">
        <f>VLOOKUP(AA47,'INP-Calc EFOR&amp;EUOR - 2019Plan'!$A$11:$AE$36,30)</f>
        <v>1.8230873030883308E-2</v>
      </c>
      <c r="AF47" s="35" t="s">
        <v>182</v>
      </c>
      <c r="AG47" s="140">
        <f>VLOOKUP(AA47,'INP-Calc EFOR&amp;EUOR - 2019Plan'!$A$11:$AE$36,18)</f>
        <v>2.1999999999999999E-2</v>
      </c>
      <c r="AH47" s="145"/>
      <c r="AI47" s="36" t="str">
        <f>AA47</f>
        <v>GH4</v>
      </c>
      <c r="AJ47" s="35" t="s">
        <v>181</v>
      </c>
      <c r="AK47" s="140">
        <f>VLOOKUP(AI47,'INP-Calc EFOR&amp;EUOR - 2019Plan'!$A$11:$AE$36,25)</f>
        <v>3.4396199718937544E-2</v>
      </c>
      <c r="AL47" s="35" t="s">
        <v>226</v>
      </c>
      <c r="AM47" s="140">
        <f>VLOOKUP(AI47,'INP-Calc EFOR&amp;EUOR - 2019Plan'!$A$11:$AE$36,31)</f>
        <v>1.8230873030883308E-2</v>
      </c>
      <c r="AN47" s="35" t="s">
        <v>182</v>
      </c>
      <c r="AO47" s="141">
        <f>VLOOKUP(AI47,'INP-Calc EFOR&amp;EUOR - 2019Plan'!$A$11:$AE$36,19)</f>
        <v>2.1999999999999999E-2</v>
      </c>
    </row>
    <row r="48" spans="1:41" x14ac:dyDescent="0.25">
      <c r="A48" s="36"/>
      <c r="B48" s="36"/>
      <c r="C48" s="36"/>
      <c r="D48" s="36"/>
      <c r="E48" s="36"/>
      <c r="F48" s="36"/>
      <c r="G48" s="37"/>
      <c r="H48" s="36"/>
      <c r="I48" s="36"/>
      <c r="J48" s="145"/>
      <c r="K48" s="36"/>
      <c r="L48" s="36"/>
      <c r="M48" s="36"/>
      <c r="N48" s="36"/>
      <c r="O48" s="37"/>
      <c r="P48" s="36"/>
      <c r="Q48" s="36"/>
      <c r="R48" s="145"/>
      <c r="S48" s="36"/>
      <c r="T48" s="36"/>
      <c r="U48" s="36"/>
      <c r="V48" s="36"/>
      <c r="W48" s="37"/>
      <c r="X48" s="36"/>
      <c r="Y48" s="36"/>
      <c r="Z48" s="145"/>
      <c r="AA48" s="36"/>
      <c r="AB48" s="36"/>
      <c r="AC48" s="36"/>
      <c r="AD48" s="36"/>
      <c r="AE48" s="37"/>
      <c r="AF48" s="36"/>
      <c r="AG48" s="36"/>
      <c r="AH48" s="145"/>
      <c r="AI48" s="36"/>
      <c r="AJ48" s="36"/>
      <c r="AK48" s="36"/>
      <c r="AL48" s="36"/>
      <c r="AM48" s="37"/>
      <c r="AN48" s="36"/>
      <c r="AO48" s="36"/>
    </row>
    <row r="49" spans="1:41" x14ac:dyDescent="0.25">
      <c r="A49" s="37" t="str">
        <f>A42</f>
        <v>BLOCK:</v>
      </c>
      <c r="B49" s="37"/>
      <c r="C49" s="38">
        <f>C42</f>
        <v>1</v>
      </c>
      <c r="D49" s="38">
        <f t="shared" ref="D49:I49" si="35">D42</f>
        <v>2</v>
      </c>
      <c r="E49" s="38">
        <f t="shared" si="35"/>
        <v>3</v>
      </c>
      <c r="F49" s="38">
        <f t="shared" si="35"/>
        <v>4</v>
      </c>
      <c r="G49" s="38">
        <f t="shared" si="35"/>
        <v>5</v>
      </c>
      <c r="H49" s="38">
        <f t="shared" si="35"/>
        <v>6</v>
      </c>
      <c r="I49" s="38" t="str">
        <f t="shared" si="35"/>
        <v>Tot Unit</v>
      </c>
      <c r="J49" s="145"/>
      <c r="K49" s="38">
        <f>K42</f>
        <v>1</v>
      </c>
      <c r="L49" s="38">
        <f t="shared" ref="L49:Q49" si="36">L42</f>
        <v>2</v>
      </c>
      <c r="M49" s="38">
        <f t="shared" si="36"/>
        <v>3</v>
      </c>
      <c r="N49" s="38">
        <f t="shared" si="36"/>
        <v>4</v>
      </c>
      <c r="O49" s="38">
        <f t="shared" si="36"/>
        <v>5</v>
      </c>
      <c r="P49" s="38">
        <f t="shared" si="36"/>
        <v>6</v>
      </c>
      <c r="Q49" s="38" t="str">
        <f t="shared" si="36"/>
        <v>Tot Unit</v>
      </c>
      <c r="R49" s="145"/>
      <c r="S49" s="38">
        <f>S42</f>
        <v>1</v>
      </c>
      <c r="T49" s="38">
        <f t="shared" ref="T49:Y49" si="37">T42</f>
        <v>2</v>
      </c>
      <c r="U49" s="38">
        <f t="shared" si="37"/>
        <v>3</v>
      </c>
      <c r="V49" s="38">
        <f t="shared" si="37"/>
        <v>4</v>
      </c>
      <c r="W49" s="38">
        <f t="shared" si="37"/>
        <v>5</v>
      </c>
      <c r="X49" s="38">
        <f t="shared" si="37"/>
        <v>6</v>
      </c>
      <c r="Y49" s="38" t="str">
        <f t="shared" si="37"/>
        <v>Tot Unit</v>
      </c>
      <c r="Z49" s="145"/>
      <c r="AA49" s="38">
        <f>AA42</f>
        <v>1</v>
      </c>
      <c r="AB49" s="38">
        <f t="shared" ref="AB49:AG49" si="38">AB42</f>
        <v>2</v>
      </c>
      <c r="AC49" s="38">
        <f t="shared" si="38"/>
        <v>3</v>
      </c>
      <c r="AD49" s="38">
        <f t="shared" si="38"/>
        <v>4</v>
      </c>
      <c r="AE49" s="38">
        <f t="shared" si="38"/>
        <v>5</v>
      </c>
      <c r="AF49" s="38">
        <f t="shared" si="38"/>
        <v>6</v>
      </c>
      <c r="AG49" s="38" t="str">
        <f t="shared" si="38"/>
        <v>Tot Unit</v>
      </c>
      <c r="AH49" s="145"/>
      <c r="AI49" s="38">
        <f>AI42</f>
        <v>1</v>
      </c>
      <c r="AJ49" s="38">
        <f t="shared" ref="AJ49:AO49" si="39">AJ42</f>
        <v>2</v>
      </c>
      <c r="AK49" s="38">
        <f t="shared" si="39"/>
        <v>3</v>
      </c>
      <c r="AL49" s="38">
        <f t="shared" si="39"/>
        <v>4</v>
      </c>
      <c r="AM49" s="38">
        <f t="shared" si="39"/>
        <v>5</v>
      </c>
      <c r="AN49" s="38">
        <f t="shared" si="39"/>
        <v>6</v>
      </c>
      <c r="AO49" s="38" t="str">
        <f t="shared" si="39"/>
        <v>Tot Unit</v>
      </c>
    </row>
    <row r="50" spans="1:41" x14ac:dyDescent="0.25">
      <c r="A50" s="37" t="str">
        <f t="shared" ref="A50:A51" si="40">A43</f>
        <v>State Capacity (I)</v>
      </c>
      <c r="B50" s="36"/>
      <c r="C50" s="142">
        <f>INDEX('Calc-Pivot abvals'!$H$20:$M$32,MATCH($C47,'Calc-Pivot abvals'!$G$20:$G$32,0),MATCH(C$7,'Calc-Pivot abvals'!$H$19:$M$19,0))</f>
        <v>215</v>
      </c>
      <c r="D50" s="142">
        <f>INDEX('Calc-Pivot abvals'!$H$20:$M$32,MATCH($C47,'Calc-Pivot abvals'!$G$20:$G$32,0),MATCH(D$7,'Calc-Pivot abvals'!$H$19:$M$19,0))</f>
        <v>288</v>
      </c>
      <c r="E50" s="142">
        <f>INDEX('Calc-Pivot abvals'!$H$20:$M$32,MATCH($C47,'Calc-Pivot abvals'!$G$20:$G$32,0),MATCH(E$7,'Calc-Pivot abvals'!$H$19:$M$19,0))</f>
        <v>318</v>
      </c>
      <c r="F50" s="142">
        <f>INDEX('Calc-Pivot abvals'!$H$20:$M$32,MATCH($C47,'Calc-Pivot abvals'!$G$20:$G$32,0),MATCH(F$7,'Calc-Pivot abvals'!$H$19:$M$19,0))</f>
        <v>398</v>
      </c>
      <c r="G50" s="142">
        <f>INDEX('Calc-Pivot abvals'!$H$20:$M$32,MATCH($C47,'Calc-Pivot abvals'!$G$20:$G$32,0),MATCH(G$7,'Calc-Pivot abvals'!$H$19:$M$19,0))</f>
        <v>438</v>
      </c>
      <c r="H50" s="142">
        <f>INDEX('Calc-Pivot abvals'!$H$20:$M$32,MATCH($C47,'Calc-Pivot abvals'!$G$20:$G$32,0),MATCH(H$7,'Calc-Pivot abvals'!$H$19:$M$19,0))</f>
        <v>478</v>
      </c>
      <c r="I50" s="142">
        <f>VLOOKUP($A$47,Lookup!$L$5:$M$19,2,FALSE)</f>
        <v>478</v>
      </c>
      <c r="J50" s="145"/>
      <c r="K50" s="142">
        <f>INDEX('Calc-Pivot abvals'!$H$20:$M$32,MATCH($K47,'Calc-Pivot abvals'!$G$20:$G$32,0),MATCH(K$7,'Calc-Pivot abvals'!$H$19:$M$19,0))</f>
        <v>215</v>
      </c>
      <c r="L50" s="142">
        <f>INDEX('Calc-Pivot abvals'!$H$20:$M$32,MATCH($K47,'Calc-Pivot abvals'!$G$20:$G$32,0),MATCH(L$7,'Calc-Pivot abvals'!$H$19:$M$19,0))</f>
        <v>288</v>
      </c>
      <c r="M50" s="142">
        <f>INDEX('Calc-Pivot abvals'!$H$20:$M$32,MATCH($K47,'Calc-Pivot abvals'!$G$20:$G$32,0),MATCH(M$7,'Calc-Pivot abvals'!$H$19:$M$19,0))</f>
        <v>318</v>
      </c>
      <c r="N50" s="142">
        <f>INDEX('Calc-Pivot abvals'!$H$20:$M$32,MATCH($K47,'Calc-Pivot abvals'!$G$20:$G$32,0),MATCH(N$7,'Calc-Pivot abvals'!$H$19:$M$19,0))</f>
        <v>398</v>
      </c>
      <c r="O50" s="142">
        <f>INDEX('Calc-Pivot abvals'!$H$20:$M$32,MATCH($K47,'Calc-Pivot abvals'!$G$20:$G$32,0),MATCH(O$7,'Calc-Pivot abvals'!$H$19:$M$19,0))</f>
        <v>438</v>
      </c>
      <c r="P50" s="142">
        <f>INDEX('Calc-Pivot abvals'!$H$20:$M$32,MATCH($K47,'Calc-Pivot abvals'!$G$20:$G$32,0),MATCH(P$7,'Calc-Pivot abvals'!$H$19:$M$19,0))</f>
        <v>478</v>
      </c>
      <c r="Q50" s="142">
        <f>VLOOKUP($A$47,Lookup!$L$5:$M$19,2,FALSE)</f>
        <v>478</v>
      </c>
      <c r="R50" s="145"/>
      <c r="S50" s="142">
        <f>INDEX('Calc-Pivot abvals'!$H$20:$M$32,MATCH($S47,'Calc-Pivot abvals'!$G$20:$G$32,0),MATCH(S$7,'Calc-Pivot abvals'!$H$19:$M$19,0))</f>
        <v>215</v>
      </c>
      <c r="T50" s="142">
        <f>INDEX('Calc-Pivot abvals'!$H$20:$M$32,MATCH($S47,'Calc-Pivot abvals'!$G$20:$G$32,0),MATCH(T$7,'Calc-Pivot abvals'!$H$19:$M$19,0))</f>
        <v>288</v>
      </c>
      <c r="U50" s="142">
        <f>INDEX('Calc-Pivot abvals'!$H$20:$M$32,MATCH($S47,'Calc-Pivot abvals'!$G$20:$G$32,0),MATCH(U$7,'Calc-Pivot abvals'!$H$19:$M$19,0))</f>
        <v>318</v>
      </c>
      <c r="V50" s="142">
        <f>INDEX('Calc-Pivot abvals'!$H$20:$M$32,MATCH($S47,'Calc-Pivot abvals'!$G$20:$G$32,0),MATCH(V$7,'Calc-Pivot abvals'!$H$19:$M$19,0))</f>
        <v>398</v>
      </c>
      <c r="W50" s="142">
        <f>INDEX('Calc-Pivot abvals'!$H$20:$M$32,MATCH($S47,'Calc-Pivot abvals'!$G$20:$G$32,0),MATCH(W$7,'Calc-Pivot abvals'!$H$19:$M$19,0))</f>
        <v>438</v>
      </c>
      <c r="X50" s="142">
        <f>INDEX('Calc-Pivot abvals'!$H$20:$M$32,MATCH($S47,'Calc-Pivot abvals'!$G$20:$G$32,0),MATCH(X$7,'Calc-Pivot abvals'!$H$19:$M$19,0))</f>
        <v>478</v>
      </c>
      <c r="Y50" s="142">
        <f>VLOOKUP($A$47,Lookup!$L$5:$M$19,2,FALSE)</f>
        <v>478</v>
      </c>
      <c r="Z50" s="145"/>
      <c r="AA50" s="142">
        <f>INDEX('Calc-Pivot abvals'!$H$20:$M$32,MATCH($AA47,'Calc-Pivot abvals'!$G$20:$G$32,0),MATCH(AA$7,'Calc-Pivot abvals'!$H$19:$M$19,0))</f>
        <v>215</v>
      </c>
      <c r="AB50" s="142">
        <f>INDEX('Calc-Pivot abvals'!$H$20:$M$32,MATCH($AA47,'Calc-Pivot abvals'!$G$20:$G$32,0),MATCH(AB$7,'Calc-Pivot abvals'!$H$19:$M$19,0))</f>
        <v>288</v>
      </c>
      <c r="AC50" s="142">
        <f>INDEX('Calc-Pivot abvals'!$H$20:$M$32,MATCH($AA47,'Calc-Pivot abvals'!$G$20:$G$32,0),MATCH(AC$7,'Calc-Pivot abvals'!$H$19:$M$19,0))</f>
        <v>318</v>
      </c>
      <c r="AD50" s="142">
        <f>INDEX('Calc-Pivot abvals'!$H$20:$M$32,MATCH($AA47,'Calc-Pivot abvals'!$G$20:$G$32,0),MATCH(AD$7,'Calc-Pivot abvals'!$H$19:$M$19,0))</f>
        <v>398</v>
      </c>
      <c r="AE50" s="142">
        <f>INDEX('Calc-Pivot abvals'!$H$20:$M$32,MATCH($AA47,'Calc-Pivot abvals'!$G$20:$G$32,0),MATCH(AE$7,'Calc-Pivot abvals'!$H$19:$M$19,0))</f>
        <v>438</v>
      </c>
      <c r="AF50" s="142">
        <f>INDEX('Calc-Pivot abvals'!$H$20:$M$32,MATCH($AA47,'Calc-Pivot abvals'!$G$20:$G$32,0),MATCH(AF$7,'Calc-Pivot abvals'!$H$19:$M$19,0))</f>
        <v>478</v>
      </c>
      <c r="AG50" s="142">
        <f>VLOOKUP($A$47,Lookup!$L$5:$M$19,2,FALSE)</f>
        <v>478</v>
      </c>
      <c r="AH50" s="145"/>
      <c r="AI50" s="142">
        <f>INDEX('Calc-Pivot abvals'!$H$20:$M$32,MATCH($AI47,'Calc-Pivot abvals'!$G$20:$G$32,0),MATCH(AI$7,'Calc-Pivot abvals'!$H$19:$M$19,0))</f>
        <v>215</v>
      </c>
      <c r="AJ50" s="142">
        <f>INDEX('Calc-Pivot abvals'!$H$20:$M$32,MATCH($AI47,'Calc-Pivot abvals'!$G$20:$G$32,0),MATCH(AJ$7,'Calc-Pivot abvals'!$H$19:$M$19,0))</f>
        <v>288</v>
      </c>
      <c r="AK50" s="142">
        <f>INDEX('Calc-Pivot abvals'!$H$20:$M$32,MATCH($AI47,'Calc-Pivot abvals'!$G$20:$G$32,0),MATCH(AK$7,'Calc-Pivot abvals'!$H$19:$M$19,0))</f>
        <v>318</v>
      </c>
      <c r="AL50" s="142">
        <f>INDEX('Calc-Pivot abvals'!$H$20:$M$32,MATCH($AI47,'Calc-Pivot abvals'!$G$20:$G$32,0),MATCH(AL$7,'Calc-Pivot abvals'!$H$19:$M$19,0))</f>
        <v>398</v>
      </c>
      <c r="AM50" s="142">
        <f>INDEX('Calc-Pivot abvals'!$H$20:$M$32,MATCH($AI47,'Calc-Pivot abvals'!$G$20:$G$32,0),MATCH(AM$7,'Calc-Pivot abvals'!$H$19:$M$19,0))</f>
        <v>438</v>
      </c>
      <c r="AN50" s="142">
        <f>INDEX('Calc-Pivot abvals'!$H$20:$M$32,MATCH($AI47,'Calc-Pivot abvals'!$G$20:$G$32,0),MATCH(AN$7,'Calc-Pivot abvals'!$H$19:$M$19,0))</f>
        <v>478</v>
      </c>
      <c r="AO50" s="142">
        <f>VLOOKUP($A$47,Lookup!$L$5:$M$19,2,FALSE)</f>
        <v>478</v>
      </c>
    </row>
    <row r="51" spans="1:41" x14ac:dyDescent="0.25">
      <c r="A51" s="35" t="str">
        <f t="shared" si="40"/>
        <v>GADS Yr Availability: GADS only (C)</v>
      </c>
      <c r="B51" s="35"/>
      <c r="C51" s="78">
        <f ca="1">INDEX(AvailableStates!$D$3:$I$82,MATCH($C47,AvailableStates!$B$3:$B$82,0)+MATCH('Calc- Prosym Setup'!$C$4,AvailableStates!$C$3:$C$7)-1,MATCH('Calc- Prosym Setup'!C$7,AvailableStates!$D$2:$I$2,0))</f>
        <v>1.6900183654554202E-2</v>
      </c>
      <c r="D51" s="78">
        <f ca="1">INDEX(AvailableStates!$D$3:$I$82,MATCH($C47,AvailableStates!$B$3:$B$82,0)+MATCH('Calc- Prosym Setup'!$C$4,AvailableStates!$C$3:$C$7)-1,MATCH('Calc- Prosym Setup'!D$7,AvailableStates!$D$2:$I$2,0))</f>
        <v>8.583226941407545E-3</v>
      </c>
      <c r="E51" s="78">
        <f ca="1">INDEX(AvailableStates!$D$3:$I$82,MATCH($C47,AvailableStates!$B$3:$B$82,0)+MATCH('Calc- Prosym Setup'!$C$4,AvailableStates!$C$3:$C$7)-1,MATCH('Calc- Prosym Setup'!E$7,AvailableStates!$D$2:$I$2,0))</f>
        <v>2.119118359941025E-3</v>
      </c>
      <c r="F51" s="78">
        <f ca="1">INDEX(AvailableStates!$D$3:$I$82,MATCH($C47,AvailableStates!$B$3:$B$82,0)+MATCH('Calc- Prosym Setup'!$C$4,AvailableStates!$C$3:$C$7)-1,MATCH('Calc- Prosym Setup'!F$7,AvailableStates!$D$2:$I$2,0))</f>
        <v>1.7976308033062462E-2</v>
      </c>
      <c r="G51" s="78">
        <f ca="1">INDEX(AvailableStates!$D$3:$I$82,MATCH($C47,AvailableStates!$B$3:$B$82,0)+MATCH('Calc- Prosym Setup'!$C$4,AvailableStates!$C$3:$C$7)-1,MATCH('Calc- Prosym Setup'!G$7,AvailableStates!$D$2:$I$2,0))</f>
        <v>1.4047288352427485E-2</v>
      </c>
      <c r="H51" s="78">
        <f ca="1">INDEX(AvailableStates!$D$3:$I$82,MATCH($C47,AvailableStates!$B$3:$B$82,0)+MATCH('Calc- Prosym Setup'!$C$4,AvailableStates!$C$3:$C$7)-1,MATCH('Calc- Prosym Setup'!H$7,AvailableStates!$D$2:$I$2,0))</f>
        <v>0.88397767493966961</v>
      </c>
      <c r="I51" s="78">
        <f ca="1">SUM(C51:H51)</f>
        <v>0.94360380028106228</v>
      </c>
      <c r="J51" s="145"/>
      <c r="K51" s="78">
        <f ca="1">INDEX(AvailableStates!$D$3:$I$82,MATCH($K47,AvailableStates!$B$3:$B$82,0)+MATCH('Calc- Prosym Setup'!$K$4,AvailableStates!$C$3:$C$7)-1,MATCH('Calc- Prosym Setup'!K$7,AvailableStates!$D$2:$I$2,0))</f>
        <v>1.6900183654554202E-2</v>
      </c>
      <c r="L51" s="78">
        <f ca="1">INDEX(AvailableStates!$D$3:$I$82,MATCH($K47,AvailableStates!$B$3:$B$82,0)+MATCH('Calc- Prosym Setup'!$K$4,AvailableStates!$C$3:$C$7)-1,MATCH('Calc- Prosym Setup'!L$7,AvailableStates!$D$2:$I$2,0))</f>
        <v>8.583226941407545E-3</v>
      </c>
      <c r="M51" s="78">
        <f ca="1">INDEX(AvailableStates!$D$3:$I$82,MATCH($K47,AvailableStates!$B$3:$B$82,0)+MATCH('Calc- Prosym Setup'!$K$4,AvailableStates!$C$3:$C$7)-1,MATCH('Calc- Prosym Setup'!M$7,AvailableStates!$D$2:$I$2,0))</f>
        <v>2.119118359941025E-3</v>
      </c>
      <c r="N51" s="78">
        <f ca="1">INDEX(AvailableStates!$D$3:$I$82,MATCH($K47,AvailableStates!$B$3:$B$82,0)+MATCH('Calc- Prosym Setup'!$K$4,AvailableStates!$C$3:$C$7)-1,MATCH('Calc- Prosym Setup'!N$7,AvailableStates!$D$2:$I$2,0))</f>
        <v>1.7976308033062462E-2</v>
      </c>
      <c r="O51" s="78">
        <f ca="1">INDEX(AvailableStates!$D$3:$I$82,MATCH($K47,AvailableStates!$B$3:$B$82,0)+MATCH('Calc- Prosym Setup'!$K$4,AvailableStates!$C$3:$C$7)-1,MATCH('Calc- Prosym Setup'!O$7,AvailableStates!$D$2:$I$2,0))</f>
        <v>1.4047288352427485E-2</v>
      </c>
      <c r="P51" s="78">
        <f ca="1">INDEX(AvailableStates!$D$3:$I$82,MATCH($K47,AvailableStates!$B$3:$B$82,0)+MATCH('Calc- Prosym Setup'!$K$4,AvailableStates!$C$3:$C$7)-1,MATCH('Calc- Prosym Setup'!P$7,AvailableStates!$D$2:$I$2,0))</f>
        <v>0.88397767493966961</v>
      </c>
      <c r="Q51" s="78">
        <f ca="1">SUM(K51:P51)</f>
        <v>0.94360380028106228</v>
      </c>
      <c r="R51" s="145"/>
      <c r="S51" s="78">
        <f ca="1">INDEX(AvailableStates!$D$3:$I$82,MATCH($S47,AvailableStates!$B$3:$B$82,0)+MATCH('Calc- Prosym Setup'!$S$4,AvailableStates!$C$3:$C$7)-1,MATCH('Calc- Prosym Setup'!S$7,AvailableStates!$D$2:$I$2,0))</f>
        <v>1.6900183654554202E-2</v>
      </c>
      <c r="T51" s="78">
        <f ca="1">INDEX(AvailableStates!$D$3:$I$82,MATCH($S47,AvailableStates!$B$3:$B$82,0)+MATCH('Calc- Prosym Setup'!$S$4,AvailableStates!$C$3:$C$7)-1,MATCH('Calc- Prosym Setup'!T$7,AvailableStates!$D$2:$I$2,0))</f>
        <v>8.583226941407545E-3</v>
      </c>
      <c r="U51" s="78">
        <f ca="1">INDEX(AvailableStates!$D$3:$I$82,MATCH($S47,AvailableStates!$B$3:$B$82,0)+MATCH('Calc- Prosym Setup'!$S$4,AvailableStates!$C$3:$C$7)-1,MATCH('Calc- Prosym Setup'!U$7,AvailableStates!$D$2:$I$2,0))</f>
        <v>2.119118359941025E-3</v>
      </c>
      <c r="V51" s="78">
        <f ca="1">INDEX(AvailableStates!$D$3:$I$82,MATCH($S47,AvailableStates!$B$3:$B$82,0)+MATCH('Calc- Prosym Setup'!$S$4,AvailableStates!$C$3:$C$7)-1,MATCH('Calc- Prosym Setup'!V$7,AvailableStates!$D$2:$I$2,0))</f>
        <v>1.7976308033062462E-2</v>
      </c>
      <c r="W51" s="78">
        <f ca="1">INDEX(AvailableStates!$D$3:$I$82,MATCH($S47,AvailableStates!$B$3:$B$82,0)+MATCH('Calc- Prosym Setup'!$S$4,AvailableStates!$C$3:$C$7)-1,MATCH('Calc- Prosym Setup'!W$7,AvailableStates!$D$2:$I$2,0))</f>
        <v>1.4047288352427485E-2</v>
      </c>
      <c r="X51" s="78">
        <f ca="1">INDEX(AvailableStates!$D$3:$I$82,MATCH($S47,AvailableStates!$B$3:$B$82,0)+MATCH('Calc- Prosym Setup'!$S$4,AvailableStates!$C$3:$C$7)-1,MATCH('Calc- Prosym Setup'!X$7,AvailableStates!$D$2:$I$2,0))</f>
        <v>0.88397767493966961</v>
      </c>
      <c r="Y51" s="78">
        <f ca="1">SUM(S51:X51)</f>
        <v>0.94360380028106228</v>
      </c>
      <c r="Z51" s="145"/>
      <c r="AA51" s="78">
        <f ca="1">INDEX(AvailableStates!$D$3:$I$82,MATCH($AA47,AvailableStates!$B$3:$B$82,0)+MATCH('Calc- Prosym Setup'!$AA$4,AvailableStates!$C$3:$C$7)-1,MATCH('Calc- Prosym Setup'!AA$7,AvailableStates!$D$2:$I$2,0))</f>
        <v>1.6900183654554202E-2</v>
      </c>
      <c r="AB51" s="78">
        <f ca="1">INDEX(AvailableStates!$D$3:$I$82,MATCH($AA47,AvailableStates!$B$3:$B$82,0)+MATCH('Calc- Prosym Setup'!$AA$4,AvailableStates!$C$3:$C$7)-1,MATCH('Calc- Prosym Setup'!AB$7,AvailableStates!$D$2:$I$2,0))</f>
        <v>8.583226941407545E-3</v>
      </c>
      <c r="AC51" s="78">
        <f ca="1">INDEX(AvailableStates!$D$3:$I$82,MATCH($AA47,AvailableStates!$B$3:$B$82,0)+MATCH('Calc- Prosym Setup'!$AA$4,AvailableStates!$C$3:$C$7)-1,MATCH('Calc- Prosym Setup'!AC$7,AvailableStates!$D$2:$I$2,0))</f>
        <v>2.119118359941025E-3</v>
      </c>
      <c r="AD51" s="78">
        <f ca="1">INDEX(AvailableStates!$D$3:$I$82,MATCH($AA47,AvailableStates!$B$3:$B$82,0)+MATCH('Calc- Prosym Setup'!$AA$4,AvailableStates!$C$3:$C$7)-1,MATCH('Calc- Prosym Setup'!AD$7,AvailableStates!$D$2:$I$2,0))</f>
        <v>1.7976308033062462E-2</v>
      </c>
      <c r="AE51" s="78">
        <f ca="1">INDEX(AvailableStates!$D$3:$I$82,MATCH($AA47,AvailableStates!$B$3:$B$82,0)+MATCH('Calc- Prosym Setup'!$AA$4,AvailableStates!$C$3:$C$7)-1,MATCH('Calc- Prosym Setup'!AE$7,AvailableStates!$D$2:$I$2,0))</f>
        <v>1.4047288352427485E-2</v>
      </c>
      <c r="AF51" s="78">
        <f ca="1">INDEX(AvailableStates!$D$3:$I$82,MATCH($AA47,AvailableStates!$B$3:$B$82,0)+MATCH('Calc- Prosym Setup'!$AA$4,AvailableStates!$C$3:$C$7)-1,MATCH('Calc- Prosym Setup'!AF$7,AvailableStates!$D$2:$I$2,0))</f>
        <v>0.88397767493966961</v>
      </c>
      <c r="AG51" s="78">
        <f ca="1">SUM(AA51:AF51)</f>
        <v>0.94360380028106228</v>
      </c>
      <c r="AH51" s="145"/>
      <c r="AI51" s="78">
        <f ca="1">INDEX(AvailableStates!$D$3:$I$82,MATCH($AI47,AvailableStates!$B$3:$B$82,0)+MATCH('Calc- Prosym Setup'!$AI$4,AvailableStates!$C$3:$C$7)-1,MATCH('Calc- Prosym Setup'!AI$7,AvailableStates!$D$2:$I$2,0))</f>
        <v>1.6900183654554202E-2</v>
      </c>
      <c r="AJ51" s="78">
        <f ca="1">INDEX(AvailableStates!$D$3:$I$82,MATCH($AI47,AvailableStates!$B$3:$B$82,0)+MATCH('Calc- Prosym Setup'!$AI$4,AvailableStates!$C$3:$C$7)-1,MATCH('Calc- Prosym Setup'!AJ$7,AvailableStates!$D$2:$I$2,0))</f>
        <v>8.583226941407545E-3</v>
      </c>
      <c r="AK51" s="78">
        <f ca="1">INDEX(AvailableStates!$D$3:$I$82,MATCH($AI47,AvailableStates!$B$3:$B$82,0)+MATCH('Calc- Prosym Setup'!$AI$4,AvailableStates!$C$3:$C$7)-1,MATCH('Calc- Prosym Setup'!AK$7,AvailableStates!$D$2:$I$2,0))</f>
        <v>2.119118359941025E-3</v>
      </c>
      <c r="AL51" s="78">
        <f ca="1">INDEX(AvailableStates!$D$3:$I$82,MATCH($AI47,AvailableStates!$B$3:$B$82,0)+MATCH('Calc- Prosym Setup'!$AI$4,AvailableStates!$C$3:$C$7)-1,MATCH('Calc- Prosym Setup'!AL$7,AvailableStates!$D$2:$I$2,0))</f>
        <v>1.7976308033062462E-2</v>
      </c>
      <c r="AM51" s="78">
        <f ca="1">INDEX(AvailableStates!$D$3:$I$82,MATCH($AI47,AvailableStates!$B$3:$B$82,0)+MATCH('Calc- Prosym Setup'!$AI$4,AvailableStates!$C$3:$C$7)-1,MATCH('Calc- Prosym Setup'!AM$7,AvailableStates!$D$2:$I$2,0))</f>
        <v>1.4047288352427485E-2</v>
      </c>
      <c r="AN51" s="78">
        <f ca="1">INDEX(AvailableStates!$D$3:$I$82,MATCH($AI47,AvailableStates!$B$3:$B$82,0)+MATCH('Calc- Prosym Setup'!$AI$4,AvailableStates!$C$3:$C$7)-1,MATCH('Calc- Prosym Setup'!AN$7,AvailableStates!$D$2:$I$2,0))</f>
        <v>0.88397767493966961</v>
      </c>
      <c r="AO51" s="78">
        <f ca="1">SUM(AI51:AN51)</f>
        <v>0.94360380028106228</v>
      </c>
    </row>
    <row r="52" spans="1:41" x14ac:dyDescent="0.25">
      <c r="J52" s="145"/>
      <c r="R52" s="145"/>
      <c r="Z52" s="145"/>
      <c r="AH52" s="145"/>
    </row>
    <row r="53" spans="1:41" x14ac:dyDescent="0.25">
      <c r="J53" s="145"/>
      <c r="R53" s="145"/>
      <c r="Z53" s="145"/>
      <c r="AH53" s="145"/>
    </row>
    <row r="54" spans="1:41" hidden="1" x14ac:dyDescent="0.25">
      <c r="A54" s="58" t="s">
        <v>159</v>
      </c>
      <c r="B54" s="73"/>
      <c r="C54" s="36" t="s">
        <v>16</v>
      </c>
      <c r="D54" s="35" t="s">
        <v>181</v>
      </c>
      <c r="E54" s="140">
        <f>VLOOKUP(C54,'INP-Calc EFOR&amp;EUOR - 2019Plan'!$A$11:$AE$36,21)</f>
        <v>6.8175350662572104E-2</v>
      </c>
      <c r="F54" s="35" t="s">
        <v>226</v>
      </c>
      <c r="G54" s="140">
        <f>VLOOKUP(C54,'INP-Calc EFOR&amp;EUOR - 2019Plan'!$A$11:$AE$36,27)</f>
        <v>1.0543452938719406E-2</v>
      </c>
      <c r="H54" s="35" t="s">
        <v>182</v>
      </c>
      <c r="I54" s="140">
        <f>VLOOKUP(C54,'INP-Calc EFOR&amp;EUOR - 2019Plan'!$A$11:$AE$36,15)</f>
        <v>3.2000000000000001E-2</v>
      </c>
      <c r="J54" s="145"/>
      <c r="K54" s="36" t="str">
        <f>C54</f>
        <v>GR3</v>
      </c>
      <c r="L54" s="35" t="s">
        <v>181</v>
      </c>
      <c r="M54" s="140">
        <f>VLOOKUP(K54,'INP-Calc EFOR&amp;EUOR - 2019Plan'!$A$11:$AE$36,22)</f>
        <v>7.0797479534209506E-2</v>
      </c>
      <c r="N54" s="35" t="s">
        <v>226</v>
      </c>
      <c r="O54" s="140">
        <f>VLOOKUP(K54,'INP-Calc EFOR&amp;EUOR - 2019Plan'!$A$11:$AE$36,28)</f>
        <v>1.0979867403584073E-2</v>
      </c>
      <c r="P54" s="35" t="s">
        <v>182</v>
      </c>
      <c r="Q54" s="140">
        <f>VLOOKUP(K54,'INP-Calc EFOR&amp;EUOR - 2019Plan'!$A$11:$AE$36,16)</f>
        <v>3.2000000000000001E-2</v>
      </c>
      <c r="R54" s="145"/>
      <c r="S54" s="36" t="str">
        <f>K54</f>
        <v>GR3</v>
      </c>
      <c r="T54" s="35" t="s">
        <v>181</v>
      </c>
      <c r="U54" s="140">
        <f>VLOOKUP(S54,'INP-Calc EFOR&amp;EUOR - 2019Plan'!$A$11:$AE$36,23)</f>
        <v>7.3419608405846895E-2</v>
      </c>
      <c r="V54" s="35" t="s">
        <v>226</v>
      </c>
      <c r="W54" s="140">
        <f>VLOOKUP(S54,'INP-Calc EFOR&amp;EUOR - 2019Plan'!$A$11:$AE$36,29)</f>
        <v>1.1418751886115212E-2</v>
      </c>
      <c r="X54" s="35" t="s">
        <v>182</v>
      </c>
      <c r="Y54" s="140">
        <f>VLOOKUP(S54,'INP-Calc EFOR&amp;EUOR - 2019Plan'!$A$11:$AE$36,17)</f>
        <v>3.2000000000000001E-2</v>
      </c>
      <c r="Z54" s="145"/>
      <c r="AA54" s="36" t="str">
        <f>S54</f>
        <v>GR3</v>
      </c>
      <c r="AB54" s="35" t="s">
        <v>181</v>
      </c>
      <c r="AC54" s="140">
        <f>VLOOKUP(AA54,'INP-Calc EFOR&amp;EUOR - 2019Plan'!$A$11:$AE$36,24)</f>
        <v>7.604173727748427E-2</v>
      </c>
      <c r="AD54" s="35" t="s">
        <v>226</v>
      </c>
      <c r="AE54" s="140">
        <f>VLOOKUP(AA54,'INP-Calc EFOR&amp;EUOR - 2019Plan'!$A$11:$AE$36,30)</f>
        <v>1.1860127415524521E-2</v>
      </c>
      <c r="AF54" s="35" t="s">
        <v>182</v>
      </c>
      <c r="AG54" s="140">
        <f>VLOOKUP(AA54,'INP-Calc EFOR&amp;EUOR - 2019Plan'!$A$11:$AE$36,18)</f>
        <v>3.2000000000000001E-2</v>
      </c>
      <c r="AH54" s="145"/>
      <c r="AI54" s="36" t="str">
        <f>AA54</f>
        <v>GR3</v>
      </c>
      <c r="AJ54" s="35" t="s">
        <v>181</v>
      </c>
      <c r="AK54" s="140">
        <f>VLOOKUP(AI54,'INP-Calc EFOR&amp;EUOR - 2019Plan'!$A$11:$AE$36,25)</f>
        <v>7.8663866149121686E-2</v>
      </c>
      <c r="AL54" s="35" t="s">
        <v>226</v>
      </c>
      <c r="AM54" s="140">
        <f>VLOOKUP(AI54,'INP-Calc EFOR&amp;EUOR - 2019Plan'!$A$11:$AE$36,31)</f>
        <v>1.2304015260420824E-2</v>
      </c>
      <c r="AN54" s="35" t="s">
        <v>182</v>
      </c>
      <c r="AO54" s="141">
        <f>VLOOKUP(AI54,'INP-Calc EFOR&amp;EUOR - 2019Plan'!$A$11:$AE$36,19)</f>
        <v>3.2000000000000001E-2</v>
      </c>
    </row>
    <row r="55" spans="1:41" hidden="1" x14ac:dyDescent="0.25">
      <c r="A55" s="36"/>
      <c r="B55" s="36"/>
      <c r="C55" s="36"/>
      <c r="D55" s="36"/>
      <c r="E55" s="36"/>
      <c r="F55" s="36"/>
      <c r="G55" s="37"/>
      <c r="H55" s="36"/>
      <c r="I55" s="36"/>
      <c r="J55" s="145"/>
      <c r="K55" s="36"/>
      <c r="L55" s="36"/>
      <c r="M55" s="36"/>
      <c r="N55" s="36"/>
      <c r="O55" s="37"/>
      <c r="P55" s="36"/>
      <c r="Q55" s="36"/>
      <c r="R55" s="145"/>
      <c r="S55" s="36"/>
      <c r="T55" s="36"/>
      <c r="U55" s="36"/>
      <c r="V55" s="36"/>
      <c r="W55" s="37"/>
      <c r="X55" s="36"/>
      <c r="Y55" s="36"/>
      <c r="Z55" s="145"/>
      <c r="AA55" s="36"/>
      <c r="AB55" s="36"/>
      <c r="AC55" s="36"/>
      <c r="AD55" s="36"/>
      <c r="AE55" s="37"/>
      <c r="AF55" s="36"/>
      <c r="AG55" s="36"/>
      <c r="AH55" s="145"/>
      <c r="AI55" s="36"/>
      <c r="AJ55" s="36"/>
      <c r="AK55" s="36"/>
      <c r="AL55" s="36"/>
      <c r="AM55" s="37"/>
      <c r="AN55" s="36"/>
      <c r="AO55" s="36"/>
    </row>
    <row r="56" spans="1:41" hidden="1" x14ac:dyDescent="0.25">
      <c r="A56" s="37" t="str">
        <f>A49</f>
        <v>BLOCK:</v>
      </c>
      <c r="B56" s="37"/>
      <c r="C56" s="38">
        <f>C49</f>
        <v>1</v>
      </c>
      <c r="D56" s="38">
        <f t="shared" ref="D56:I56" si="41">D49</f>
        <v>2</v>
      </c>
      <c r="E56" s="38">
        <f t="shared" si="41"/>
        <v>3</v>
      </c>
      <c r="F56" s="38">
        <f t="shared" si="41"/>
        <v>4</v>
      </c>
      <c r="G56" s="38">
        <f t="shared" si="41"/>
        <v>5</v>
      </c>
      <c r="H56" s="38">
        <f t="shared" si="41"/>
        <v>6</v>
      </c>
      <c r="I56" s="38" t="str">
        <f t="shared" si="41"/>
        <v>Tot Unit</v>
      </c>
      <c r="J56" s="145"/>
      <c r="K56" s="38">
        <f>K49</f>
        <v>1</v>
      </c>
      <c r="L56" s="38">
        <f t="shared" ref="L56:Q56" si="42">L49</f>
        <v>2</v>
      </c>
      <c r="M56" s="38">
        <f t="shared" si="42"/>
        <v>3</v>
      </c>
      <c r="N56" s="38">
        <f t="shared" si="42"/>
        <v>4</v>
      </c>
      <c r="O56" s="38">
        <f t="shared" si="42"/>
        <v>5</v>
      </c>
      <c r="P56" s="38">
        <f t="shared" si="42"/>
        <v>6</v>
      </c>
      <c r="Q56" s="38" t="str">
        <f t="shared" si="42"/>
        <v>Tot Unit</v>
      </c>
      <c r="R56" s="145"/>
      <c r="S56" s="38">
        <f>S49</f>
        <v>1</v>
      </c>
      <c r="T56" s="38">
        <f t="shared" ref="T56:Y56" si="43">T49</f>
        <v>2</v>
      </c>
      <c r="U56" s="38">
        <f t="shared" si="43"/>
        <v>3</v>
      </c>
      <c r="V56" s="38">
        <f t="shared" si="43"/>
        <v>4</v>
      </c>
      <c r="W56" s="38">
        <f t="shared" si="43"/>
        <v>5</v>
      </c>
      <c r="X56" s="38">
        <f t="shared" si="43"/>
        <v>6</v>
      </c>
      <c r="Y56" s="38" t="str">
        <f t="shared" si="43"/>
        <v>Tot Unit</v>
      </c>
      <c r="Z56" s="145"/>
      <c r="AA56" s="38">
        <f>AA49</f>
        <v>1</v>
      </c>
      <c r="AB56" s="38">
        <f t="shared" ref="AB56:AG56" si="44">AB49</f>
        <v>2</v>
      </c>
      <c r="AC56" s="38">
        <f t="shared" si="44"/>
        <v>3</v>
      </c>
      <c r="AD56" s="38">
        <f t="shared" si="44"/>
        <v>4</v>
      </c>
      <c r="AE56" s="38">
        <f t="shared" si="44"/>
        <v>5</v>
      </c>
      <c r="AF56" s="38">
        <f t="shared" si="44"/>
        <v>6</v>
      </c>
      <c r="AG56" s="38" t="str">
        <f t="shared" si="44"/>
        <v>Tot Unit</v>
      </c>
      <c r="AH56" s="145"/>
      <c r="AI56" s="38">
        <f>AI49</f>
        <v>1</v>
      </c>
      <c r="AJ56" s="38">
        <f t="shared" ref="AJ56:AO56" si="45">AJ49</f>
        <v>2</v>
      </c>
      <c r="AK56" s="38">
        <f t="shared" si="45"/>
        <v>3</v>
      </c>
      <c r="AL56" s="38">
        <f t="shared" si="45"/>
        <v>4</v>
      </c>
      <c r="AM56" s="38">
        <f t="shared" si="45"/>
        <v>5</v>
      </c>
      <c r="AN56" s="38">
        <f t="shared" si="45"/>
        <v>6</v>
      </c>
      <c r="AO56" s="38" t="str">
        <f t="shared" si="45"/>
        <v>Tot Unit</v>
      </c>
    </row>
    <row r="57" spans="1:41" hidden="1" x14ac:dyDescent="0.25">
      <c r="A57" s="37" t="str">
        <f t="shared" ref="A57:A58" si="46">A50</f>
        <v>State Capacity (I)</v>
      </c>
      <c r="B57" s="37"/>
      <c r="C57" s="142" t="e">
        <f>INDEX('Calc-Pivot abvals'!$H$20:$M$32,MATCH($C54,'Calc-Pivot abvals'!$G$20:$G$32,0),MATCH(C$7,'Calc-Pivot abvals'!$H$19:$M$19,0))</f>
        <v>#N/A</v>
      </c>
      <c r="D57" s="142" t="e">
        <f>INDEX('Calc-Pivot abvals'!$H$20:$M$32,MATCH($C54,'Calc-Pivot abvals'!$G$20:$G$32,0),MATCH(D$7,'Calc-Pivot abvals'!$H$19:$M$19,0))</f>
        <v>#N/A</v>
      </c>
      <c r="E57" s="142" t="e">
        <f>INDEX('Calc-Pivot abvals'!$H$20:$M$32,MATCH($C54,'Calc-Pivot abvals'!$G$20:$G$32,0),MATCH(E$7,'Calc-Pivot abvals'!$H$19:$M$19,0))</f>
        <v>#N/A</v>
      </c>
      <c r="F57" s="142" t="e">
        <f>INDEX('Calc-Pivot abvals'!$H$20:$M$32,MATCH($C54,'Calc-Pivot abvals'!$G$20:$G$32,0),MATCH(F$7,'Calc-Pivot abvals'!$H$19:$M$19,0))</f>
        <v>#N/A</v>
      </c>
      <c r="G57" s="142" t="e">
        <f>INDEX('Calc-Pivot abvals'!$H$20:$M$32,MATCH($C54,'Calc-Pivot abvals'!$G$20:$G$32,0),MATCH(G$7,'Calc-Pivot abvals'!$H$19:$M$19,0))</f>
        <v>#N/A</v>
      </c>
      <c r="H57" s="142" t="e">
        <f>INDEX('Calc-Pivot abvals'!$H$20:$M$32,MATCH($C54,'Calc-Pivot abvals'!$G$20:$G$32,0),MATCH(H$7,'Calc-Pivot abvals'!$H$19:$M$19,0))</f>
        <v>#N/A</v>
      </c>
      <c r="I57" s="142">
        <f>VLOOKUP(A54,Lookup!$L$5:$M$19,2,FALSE)</f>
        <v>71</v>
      </c>
      <c r="J57" s="145"/>
      <c r="K57" s="142" t="e">
        <f>INDEX('Calc-Pivot abvals'!$H$20:$M$32,MATCH($K54,'Calc-Pivot abvals'!$G$20:$G$32,0),MATCH(K$7,'Calc-Pivot abvals'!$H$19:$M$19,0))</f>
        <v>#N/A</v>
      </c>
      <c r="L57" s="142" t="e">
        <f>INDEX('Calc-Pivot abvals'!$H$20:$M$32,MATCH($K54,'Calc-Pivot abvals'!$G$20:$G$32,0),MATCH(L$7,'Calc-Pivot abvals'!$H$19:$M$19,0))</f>
        <v>#N/A</v>
      </c>
      <c r="M57" s="142" t="e">
        <f>INDEX('Calc-Pivot abvals'!$H$20:$M$32,MATCH($K54,'Calc-Pivot abvals'!$G$20:$G$32,0),MATCH(M$7,'Calc-Pivot abvals'!$H$19:$M$19,0))</f>
        <v>#N/A</v>
      </c>
      <c r="N57" s="142" t="e">
        <f>INDEX('Calc-Pivot abvals'!$H$20:$M$32,MATCH($K54,'Calc-Pivot abvals'!$G$20:$G$32,0),MATCH(N$7,'Calc-Pivot abvals'!$H$19:$M$19,0))</f>
        <v>#N/A</v>
      </c>
      <c r="O57" s="142" t="e">
        <f>INDEX('Calc-Pivot abvals'!$H$20:$M$32,MATCH($K54,'Calc-Pivot abvals'!$G$20:$G$32,0),MATCH(O$7,'Calc-Pivot abvals'!$H$19:$M$19,0))</f>
        <v>#N/A</v>
      </c>
      <c r="P57" s="142" t="e">
        <f>INDEX('Calc-Pivot abvals'!$H$20:$M$32,MATCH($K54,'Calc-Pivot abvals'!$G$20:$G$32,0),MATCH(P$7,'Calc-Pivot abvals'!$H$19:$M$19,0))</f>
        <v>#N/A</v>
      </c>
      <c r="Q57" s="142">
        <f>VLOOKUP(A54,Lookup!$L$5:$M$19,2,FALSE)</f>
        <v>71</v>
      </c>
      <c r="R57" s="145"/>
      <c r="S57" s="142" t="e">
        <f>INDEX('Calc-Pivot abvals'!$H$20:$M$32,MATCH($S54,'Calc-Pivot abvals'!$G$20:$G$32,0),MATCH(S$7,'Calc-Pivot abvals'!$H$19:$M$19,0))</f>
        <v>#N/A</v>
      </c>
      <c r="T57" s="142" t="e">
        <f>INDEX('Calc-Pivot abvals'!$H$20:$M$32,MATCH($S54,'Calc-Pivot abvals'!$G$20:$G$32,0),MATCH(T$7,'Calc-Pivot abvals'!$H$19:$M$19,0))</f>
        <v>#N/A</v>
      </c>
      <c r="U57" s="142" t="e">
        <f>INDEX('Calc-Pivot abvals'!$H$20:$M$32,MATCH($S54,'Calc-Pivot abvals'!$G$20:$G$32,0),MATCH(U$7,'Calc-Pivot abvals'!$H$19:$M$19,0))</f>
        <v>#N/A</v>
      </c>
      <c r="V57" s="142" t="e">
        <f>INDEX('Calc-Pivot abvals'!$H$20:$M$32,MATCH($S54,'Calc-Pivot abvals'!$G$20:$G$32,0),MATCH(V$7,'Calc-Pivot abvals'!$H$19:$M$19,0))</f>
        <v>#N/A</v>
      </c>
      <c r="W57" s="142" t="e">
        <f>INDEX('Calc-Pivot abvals'!$H$20:$M$32,MATCH($S54,'Calc-Pivot abvals'!$G$20:$G$32,0),MATCH(W$7,'Calc-Pivot abvals'!$H$19:$M$19,0))</f>
        <v>#N/A</v>
      </c>
      <c r="X57" s="142" t="e">
        <f>INDEX('Calc-Pivot abvals'!$H$20:$M$32,MATCH($S54,'Calc-Pivot abvals'!$G$20:$G$32,0),MATCH(X$7,'Calc-Pivot abvals'!$H$19:$M$19,0))</f>
        <v>#N/A</v>
      </c>
      <c r="Y57" s="142">
        <f>VLOOKUP(A54,Lookup!$L$5:$M$19,2,FALSE)</f>
        <v>71</v>
      </c>
      <c r="Z57" s="145"/>
      <c r="AA57" s="142" t="e">
        <f>INDEX('Calc-Pivot abvals'!$H$20:$M$32,MATCH($AA54,'Calc-Pivot abvals'!$G$20:$G$32,0),MATCH(AA$7,'Calc-Pivot abvals'!$H$19:$M$19,0))</f>
        <v>#N/A</v>
      </c>
      <c r="AB57" s="142" t="e">
        <f>INDEX('Calc-Pivot abvals'!$H$20:$M$32,MATCH($AA54,'Calc-Pivot abvals'!$G$20:$G$32,0),MATCH(AB$7,'Calc-Pivot abvals'!$H$19:$M$19,0))</f>
        <v>#N/A</v>
      </c>
      <c r="AC57" s="142" t="e">
        <f>INDEX('Calc-Pivot abvals'!$H$20:$M$32,MATCH($AA54,'Calc-Pivot abvals'!$G$20:$G$32,0),MATCH(AC$7,'Calc-Pivot abvals'!$H$19:$M$19,0))</f>
        <v>#N/A</v>
      </c>
      <c r="AD57" s="142" t="e">
        <f>INDEX('Calc-Pivot abvals'!$H$20:$M$32,MATCH($AA54,'Calc-Pivot abvals'!$G$20:$G$32,0),MATCH(AD$7,'Calc-Pivot abvals'!$H$19:$M$19,0))</f>
        <v>#N/A</v>
      </c>
      <c r="AE57" s="142" t="e">
        <f>INDEX('Calc-Pivot abvals'!$H$20:$M$32,MATCH($AA54,'Calc-Pivot abvals'!$G$20:$G$32,0),MATCH(AE$7,'Calc-Pivot abvals'!$H$19:$M$19,0))</f>
        <v>#N/A</v>
      </c>
      <c r="AF57" s="142" t="e">
        <f>INDEX('Calc-Pivot abvals'!$H$20:$M$32,MATCH($AA54,'Calc-Pivot abvals'!$G$20:$G$32,0),MATCH(AF$7,'Calc-Pivot abvals'!$H$19:$M$19,0))</f>
        <v>#N/A</v>
      </c>
      <c r="AG57" s="142">
        <f>VLOOKUP(A54,Lookup!$L$5:$M$19,2,FALSE)</f>
        <v>71</v>
      </c>
      <c r="AH57" s="145"/>
      <c r="AI57" s="142" t="e">
        <f>INDEX('Calc-Pivot abvals'!$H$20:$M$32,MATCH($AI54,'Calc-Pivot abvals'!$G$20:$G$32,0),MATCH(AI$7,'Calc-Pivot abvals'!$H$19:$M$19,0))</f>
        <v>#N/A</v>
      </c>
      <c r="AJ57" s="142" t="e">
        <f>INDEX('Calc-Pivot abvals'!$H$20:$M$32,MATCH($AI54,'Calc-Pivot abvals'!$G$20:$G$32,0),MATCH(AJ$7,'Calc-Pivot abvals'!$H$19:$M$19,0))</f>
        <v>#N/A</v>
      </c>
      <c r="AK57" s="142" t="e">
        <f>INDEX('Calc-Pivot abvals'!$H$20:$M$32,MATCH($AI54,'Calc-Pivot abvals'!$G$20:$G$32,0),MATCH(AK$7,'Calc-Pivot abvals'!$H$19:$M$19,0))</f>
        <v>#N/A</v>
      </c>
      <c r="AL57" s="142" t="e">
        <f>INDEX('Calc-Pivot abvals'!$H$20:$M$32,MATCH($AI54,'Calc-Pivot abvals'!$G$20:$G$32,0),MATCH(AL$7,'Calc-Pivot abvals'!$H$19:$M$19,0))</f>
        <v>#N/A</v>
      </c>
      <c r="AM57" s="142" t="e">
        <f>INDEX('Calc-Pivot abvals'!$H$20:$M$32,MATCH($AI54,'Calc-Pivot abvals'!$G$20:$G$32,0),MATCH(AM$7,'Calc-Pivot abvals'!$H$19:$M$19,0))</f>
        <v>#N/A</v>
      </c>
      <c r="AN57" s="142" t="e">
        <f>INDEX('Calc-Pivot abvals'!$H$20:$M$32,MATCH($AI54,'Calc-Pivot abvals'!$G$20:$G$32,0),MATCH(AN$7,'Calc-Pivot abvals'!$H$19:$M$19,0))</f>
        <v>#N/A</v>
      </c>
      <c r="AO57" s="142">
        <f>VLOOKUP(A54,Lookup!$L$5:$M$19,2,FALSE)</f>
        <v>71</v>
      </c>
    </row>
    <row r="58" spans="1:41" hidden="1" x14ac:dyDescent="0.25">
      <c r="A58" s="35" t="str">
        <f t="shared" si="46"/>
        <v>GADS Yr Availability: GADS only (C)</v>
      </c>
      <c r="B58" s="35"/>
      <c r="C58" s="78" t="e">
        <f>INDEX(AvailableStates!$D$3:$I$82,MATCH($C54,AvailableStates!$B$3:$B$82,0)+MATCH('Calc- Prosym Setup'!$C$4,AvailableStates!$C$3:$C$7)-1,MATCH('Calc- Prosym Setup'!C$7,AvailableStates!$D$2:$I$2,0))</f>
        <v>#N/A</v>
      </c>
      <c r="D58" s="78" t="e">
        <f>INDEX(AvailableStates!$D$3:$I$82,MATCH($C54,AvailableStates!$B$3:$B$82,0)+MATCH('Calc- Prosym Setup'!$C$4,AvailableStates!$C$3:$C$7)-1,MATCH('Calc- Prosym Setup'!D$7,AvailableStates!$D$2:$I$2,0))</f>
        <v>#N/A</v>
      </c>
      <c r="E58" s="78" t="e">
        <f>INDEX(AvailableStates!$D$3:$I$82,MATCH($C54,AvailableStates!$B$3:$B$82,0)+MATCH('Calc- Prosym Setup'!$C$4,AvailableStates!$C$3:$C$7)-1,MATCH('Calc- Prosym Setup'!E$7,AvailableStates!$D$2:$I$2,0))</f>
        <v>#N/A</v>
      </c>
      <c r="F58" s="78" t="e">
        <f>INDEX(AvailableStates!$D$3:$I$82,MATCH($C54,AvailableStates!$B$3:$B$82,0)+MATCH('Calc- Prosym Setup'!$C$4,AvailableStates!$C$3:$C$7)-1,MATCH('Calc- Prosym Setup'!F$7,AvailableStates!$D$2:$I$2,0))</f>
        <v>#N/A</v>
      </c>
      <c r="G58" s="78" t="e">
        <f>INDEX(AvailableStates!$D$3:$I$82,MATCH($C54,AvailableStates!$B$3:$B$82,0)+MATCH('Calc- Prosym Setup'!$C$4,AvailableStates!$C$3:$C$7)-1,MATCH('Calc- Prosym Setup'!G$7,AvailableStates!$D$2:$I$2,0))</f>
        <v>#N/A</v>
      </c>
      <c r="H58" s="78" t="e">
        <f>INDEX(AvailableStates!$D$3:$I$82,MATCH($C54,AvailableStates!$B$3:$B$82,0)+MATCH('Calc- Prosym Setup'!$C$4,AvailableStates!$C$3:$C$7)-1,MATCH('Calc- Prosym Setup'!H$7,AvailableStates!$D$2:$I$2,0))</f>
        <v>#N/A</v>
      </c>
      <c r="I58" s="78" t="e">
        <f>SUM(C58:H58)</f>
        <v>#N/A</v>
      </c>
      <c r="J58" s="145"/>
      <c r="K58" s="78" t="e">
        <f>INDEX(AvailableStates!$D$3:$I$82,MATCH($K54,AvailableStates!$B$3:$B$82,0)+MATCH('Calc- Prosym Setup'!$K$4,AvailableStates!$C$3:$C$7)-1,MATCH('Calc- Prosym Setup'!K$7,AvailableStates!$D$2:$I$2,0))</f>
        <v>#N/A</v>
      </c>
      <c r="L58" s="78" t="e">
        <f>INDEX(AvailableStates!$D$3:$I$82,MATCH($K54,AvailableStates!$B$3:$B$82,0)+MATCH('Calc- Prosym Setup'!$K$4,AvailableStates!$C$3:$C$7)-1,MATCH('Calc- Prosym Setup'!L$7,AvailableStates!$D$2:$I$2,0))</f>
        <v>#N/A</v>
      </c>
      <c r="M58" s="78" t="e">
        <f>INDEX(AvailableStates!$D$3:$I$82,MATCH($K54,AvailableStates!$B$3:$B$82,0)+MATCH('Calc- Prosym Setup'!$K$4,AvailableStates!$C$3:$C$7)-1,MATCH('Calc- Prosym Setup'!M$7,AvailableStates!$D$2:$I$2,0))</f>
        <v>#N/A</v>
      </c>
      <c r="N58" s="78" t="e">
        <f>INDEX(AvailableStates!$D$3:$I$82,MATCH($K54,AvailableStates!$B$3:$B$82,0)+MATCH('Calc- Prosym Setup'!$K$4,AvailableStates!$C$3:$C$7)-1,MATCH('Calc- Prosym Setup'!N$7,AvailableStates!$D$2:$I$2,0))</f>
        <v>#N/A</v>
      </c>
      <c r="O58" s="78" t="e">
        <f>INDEX(AvailableStates!$D$3:$I$82,MATCH($K54,AvailableStates!$B$3:$B$82,0)+MATCH('Calc- Prosym Setup'!$K$4,AvailableStates!$C$3:$C$7)-1,MATCH('Calc- Prosym Setup'!O$7,AvailableStates!$D$2:$I$2,0))</f>
        <v>#N/A</v>
      </c>
      <c r="P58" s="78" t="e">
        <f>INDEX(AvailableStates!$D$3:$I$82,MATCH($K54,AvailableStates!$B$3:$B$82,0)+MATCH('Calc- Prosym Setup'!$K$4,AvailableStates!$C$3:$C$7)-1,MATCH('Calc- Prosym Setup'!P$7,AvailableStates!$D$2:$I$2,0))</f>
        <v>#N/A</v>
      </c>
      <c r="Q58" s="78" t="e">
        <f>SUM(K58:P58)</f>
        <v>#N/A</v>
      </c>
      <c r="R58" s="145"/>
      <c r="S58" s="78" t="e">
        <f>INDEX(AvailableStates!$D$3:$I$82,MATCH($S54,AvailableStates!$B$3:$B$82,0)+MATCH('Calc- Prosym Setup'!$S$4,AvailableStates!$C$3:$C$7)-1,MATCH('Calc- Prosym Setup'!S$7,AvailableStates!$D$2:$I$2,0))</f>
        <v>#N/A</v>
      </c>
      <c r="T58" s="78" t="e">
        <f>INDEX(AvailableStates!$D$3:$I$82,MATCH($S54,AvailableStates!$B$3:$B$82,0)+MATCH('Calc- Prosym Setup'!$S$4,AvailableStates!$C$3:$C$7)-1,MATCH('Calc- Prosym Setup'!T$7,AvailableStates!$D$2:$I$2,0))</f>
        <v>#N/A</v>
      </c>
      <c r="U58" s="78" t="e">
        <f>INDEX(AvailableStates!$D$3:$I$82,MATCH($S54,AvailableStates!$B$3:$B$82,0)+MATCH('Calc- Prosym Setup'!$S$4,AvailableStates!$C$3:$C$7)-1,MATCH('Calc- Prosym Setup'!U$7,AvailableStates!$D$2:$I$2,0))</f>
        <v>#N/A</v>
      </c>
      <c r="V58" s="78" t="e">
        <f>INDEX(AvailableStates!$D$3:$I$82,MATCH($S54,AvailableStates!$B$3:$B$82,0)+MATCH('Calc- Prosym Setup'!$S$4,AvailableStates!$C$3:$C$7)-1,MATCH('Calc- Prosym Setup'!V$7,AvailableStates!$D$2:$I$2,0))</f>
        <v>#N/A</v>
      </c>
      <c r="W58" s="78" t="e">
        <f>INDEX(AvailableStates!$D$3:$I$82,MATCH($S54,AvailableStates!$B$3:$B$82,0)+MATCH('Calc- Prosym Setup'!$S$4,AvailableStates!$C$3:$C$7)-1,MATCH('Calc- Prosym Setup'!W$7,AvailableStates!$D$2:$I$2,0))</f>
        <v>#N/A</v>
      </c>
      <c r="X58" s="78" t="e">
        <f>INDEX(AvailableStates!$D$3:$I$82,MATCH($S54,AvailableStates!$B$3:$B$82,0)+MATCH('Calc- Prosym Setup'!$S$4,AvailableStates!$C$3:$C$7)-1,MATCH('Calc- Prosym Setup'!X$7,AvailableStates!$D$2:$I$2,0))</f>
        <v>#N/A</v>
      </c>
      <c r="Y58" s="78" t="e">
        <f>SUM(S58:X58)</f>
        <v>#N/A</v>
      </c>
      <c r="Z58" s="145"/>
      <c r="AA58" s="78" t="e">
        <f>INDEX(AvailableStates!$D$3:$I$82,MATCH($AA54,AvailableStates!$B$3:$B$82,0)+MATCH('Calc- Prosym Setup'!$AA$4,AvailableStates!$C$3:$C$7)-1,MATCH('Calc- Prosym Setup'!AA$7,AvailableStates!$D$2:$I$2,0))</f>
        <v>#N/A</v>
      </c>
      <c r="AB58" s="78" t="e">
        <f>INDEX(AvailableStates!$D$3:$I$82,MATCH($AA54,AvailableStates!$B$3:$B$82,0)+MATCH('Calc- Prosym Setup'!$AA$4,AvailableStates!$C$3:$C$7)-1,MATCH('Calc- Prosym Setup'!AB$7,AvailableStates!$D$2:$I$2,0))</f>
        <v>#N/A</v>
      </c>
      <c r="AC58" s="78" t="e">
        <f>INDEX(AvailableStates!$D$3:$I$82,MATCH($AA54,AvailableStates!$B$3:$B$82,0)+MATCH('Calc- Prosym Setup'!$AA$4,AvailableStates!$C$3:$C$7)-1,MATCH('Calc- Prosym Setup'!AC$7,AvailableStates!$D$2:$I$2,0))</f>
        <v>#N/A</v>
      </c>
      <c r="AD58" s="78" t="e">
        <f>INDEX(AvailableStates!$D$3:$I$82,MATCH($AA54,AvailableStates!$B$3:$B$82,0)+MATCH('Calc- Prosym Setup'!$AA$4,AvailableStates!$C$3:$C$7)-1,MATCH('Calc- Prosym Setup'!AD$7,AvailableStates!$D$2:$I$2,0))</f>
        <v>#N/A</v>
      </c>
      <c r="AE58" s="78" t="e">
        <f>INDEX(AvailableStates!$D$3:$I$82,MATCH($AA54,AvailableStates!$B$3:$B$82,0)+MATCH('Calc- Prosym Setup'!$AA$4,AvailableStates!$C$3:$C$7)-1,MATCH('Calc- Prosym Setup'!AE$7,AvailableStates!$D$2:$I$2,0))</f>
        <v>#N/A</v>
      </c>
      <c r="AF58" s="78" t="e">
        <f>INDEX(AvailableStates!$D$3:$I$82,MATCH($AA54,AvailableStates!$B$3:$B$82,0)+MATCH('Calc- Prosym Setup'!$AA$4,AvailableStates!$C$3:$C$7)-1,MATCH('Calc- Prosym Setup'!AF$7,AvailableStates!$D$2:$I$2,0))</f>
        <v>#N/A</v>
      </c>
      <c r="AG58" s="78" t="e">
        <f>SUM(AA58:AF58)</f>
        <v>#N/A</v>
      </c>
      <c r="AH58" s="145"/>
      <c r="AI58" s="78" t="e">
        <f>INDEX(AvailableStates!$D$3:$I$82,MATCH($AI54,AvailableStates!$B$3:$B$82,0)+MATCH('Calc- Prosym Setup'!$AI$4,AvailableStates!$C$3:$C$7)-1,MATCH('Calc- Prosym Setup'!AI$7,AvailableStates!$D$2:$I$2,0))</f>
        <v>#N/A</v>
      </c>
      <c r="AJ58" s="78" t="e">
        <f>INDEX(AvailableStates!$D$3:$I$82,MATCH($AI54,AvailableStates!$B$3:$B$82,0)+MATCH('Calc- Prosym Setup'!$AI$4,AvailableStates!$C$3:$C$7)-1,MATCH('Calc- Prosym Setup'!AJ$7,AvailableStates!$D$2:$I$2,0))</f>
        <v>#N/A</v>
      </c>
      <c r="AK58" s="78" t="e">
        <f>INDEX(AvailableStates!$D$3:$I$82,MATCH($AI54,AvailableStates!$B$3:$B$82,0)+MATCH('Calc- Prosym Setup'!$AI$4,AvailableStates!$C$3:$C$7)-1,MATCH('Calc- Prosym Setup'!AK$7,AvailableStates!$D$2:$I$2,0))</f>
        <v>#N/A</v>
      </c>
      <c r="AL58" s="78" t="e">
        <f>INDEX(AvailableStates!$D$3:$I$82,MATCH($AI54,AvailableStates!$B$3:$B$82,0)+MATCH('Calc- Prosym Setup'!$AI$4,AvailableStates!$C$3:$C$7)-1,MATCH('Calc- Prosym Setup'!AL$7,AvailableStates!$D$2:$I$2,0))</f>
        <v>#N/A</v>
      </c>
      <c r="AM58" s="78" t="e">
        <f>INDEX(AvailableStates!$D$3:$I$82,MATCH($AI54,AvailableStates!$B$3:$B$82,0)+MATCH('Calc- Prosym Setup'!$AI$4,AvailableStates!$C$3:$C$7)-1,MATCH('Calc- Prosym Setup'!AM$7,AvailableStates!$D$2:$I$2,0))</f>
        <v>#N/A</v>
      </c>
      <c r="AN58" s="78" t="e">
        <f>INDEX(AvailableStates!$D$3:$I$82,MATCH($AI54,AvailableStates!$B$3:$B$82,0)+MATCH('Calc- Prosym Setup'!$AI$4,AvailableStates!$C$3:$C$7)-1,MATCH('Calc- Prosym Setup'!AN$7,AvailableStates!$D$2:$I$2,0))</f>
        <v>#N/A</v>
      </c>
      <c r="AO58" s="78" t="e">
        <f>SUM(AI58:AN58)</f>
        <v>#N/A</v>
      </c>
    </row>
    <row r="59" spans="1:41" hidden="1" x14ac:dyDescent="0.25">
      <c r="J59" s="145"/>
      <c r="R59" s="145"/>
      <c r="Z59" s="145"/>
      <c r="AH59" s="145"/>
    </row>
    <row r="60" spans="1:41" hidden="1" x14ac:dyDescent="0.25">
      <c r="J60" s="145"/>
      <c r="R60" s="145"/>
      <c r="Z60" s="145"/>
      <c r="AH60" s="145"/>
    </row>
    <row r="61" spans="1:41" hidden="1" x14ac:dyDescent="0.25">
      <c r="A61" s="58" t="s">
        <v>160</v>
      </c>
      <c r="B61" s="73"/>
      <c r="C61" s="36" t="s">
        <v>34</v>
      </c>
      <c r="D61" s="35" t="s">
        <v>181</v>
      </c>
      <c r="E61" s="140">
        <f>VLOOKUP(C61,'INP-Calc EFOR&amp;EUOR - 2019Plan'!$A$11:$AE$36,21)</f>
        <v>6.8175350662572104E-2</v>
      </c>
      <c r="F61" s="35" t="s">
        <v>226</v>
      </c>
      <c r="G61" s="140">
        <f>VLOOKUP(C61,'INP-Calc EFOR&amp;EUOR - 2019Plan'!$A$11:$AE$36,27)</f>
        <v>1.0543452938719406E-2</v>
      </c>
      <c r="H61" s="35" t="s">
        <v>182</v>
      </c>
      <c r="I61" s="140">
        <f>VLOOKUP(C61,'INP-Calc EFOR&amp;EUOR - 2019Plan'!$A$11:$AE$36,15)</f>
        <v>3.2000000000000001E-2</v>
      </c>
      <c r="J61" s="145"/>
      <c r="K61" s="36" t="str">
        <f>C61</f>
        <v>GR4</v>
      </c>
      <c r="L61" s="35" t="s">
        <v>181</v>
      </c>
      <c r="M61" s="140">
        <f>VLOOKUP(K61,'INP-Calc EFOR&amp;EUOR - 2019Plan'!$A$11:$AE$36,22)</f>
        <v>7.0797479534209506E-2</v>
      </c>
      <c r="N61" s="35" t="s">
        <v>226</v>
      </c>
      <c r="O61" s="140">
        <f>VLOOKUP(K61,'INP-Calc EFOR&amp;EUOR - 2019Plan'!$A$11:$AE$36,28)</f>
        <v>1.0979867403584073E-2</v>
      </c>
      <c r="P61" s="35" t="s">
        <v>182</v>
      </c>
      <c r="Q61" s="140">
        <f>VLOOKUP(K61,'INP-Calc EFOR&amp;EUOR - 2019Plan'!$A$11:$AE$36,16)</f>
        <v>3.2000000000000001E-2</v>
      </c>
      <c r="R61" s="145"/>
      <c r="S61" s="36" t="str">
        <f>K61</f>
        <v>GR4</v>
      </c>
      <c r="T61" s="35" t="s">
        <v>181</v>
      </c>
      <c r="U61" s="140">
        <f>VLOOKUP(S61,'INP-Calc EFOR&amp;EUOR - 2019Plan'!$A$11:$AE$36,23)</f>
        <v>7.3419608405846895E-2</v>
      </c>
      <c r="V61" s="35" t="s">
        <v>226</v>
      </c>
      <c r="W61" s="140">
        <f>VLOOKUP(S61,'INP-Calc EFOR&amp;EUOR - 2019Plan'!$A$11:$AE$36,29)</f>
        <v>1.1418751886115212E-2</v>
      </c>
      <c r="X61" s="35" t="s">
        <v>182</v>
      </c>
      <c r="Y61" s="140">
        <f>VLOOKUP(S61,'INP-Calc EFOR&amp;EUOR - 2019Plan'!$A$11:$AE$36,17)</f>
        <v>3.2000000000000001E-2</v>
      </c>
      <c r="Z61" s="145"/>
      <c r="AA61" s="36" t="str">
        <f>S61</f>
        <v>GR4</v>
      </c>
      <c r="AB61" s="35" t="s">
        <v>181</v>
      </c>
      <c r="AC61" s="140">
        <f>VLOOKUP(AA61,'INP-Calc EFOR&amp;EUOR - 2019Plan'!$A$11:$AE$36,24)</f>
        <v>7.604173727748427E-2</v>
      </c>
      <c r="AD61" s="35" t="s">
        <v>226</v>
      </c>
      <c r="AE61" s="140">
        <f>VLOOKUP(AA61,'INP-Calc EFOR&amp;EUOR - 2019Plan'!$A$11:$AE$36,30)</f>
        <v>1.1860127415524521E-2</v>
      </c>
      <c r="AF61" s="35" t="s">
        <v>182</v>
      </c>
      <c r="AG61" s="140">
        <f>VLOOKUP(AA61,'INP-Calc EFOR&amp;EUOR - 2019Plan'!$A$11:$AE$36,18)</f>
        <v>3.2000000000000001E-2</v>
      </c>
      <c r="AH61" s="145"/>
      <c r="AI61" s="36" t="str">
        <f>AA61</f>
        <v>GR4</v>
      </c>
      <c r="AJ61" s="35" t="s">
        <v>181</v>
      </c>
      <c r="AK61" s="140">
        <f>VLOOKUP(AI61,'INP-Calc EFOR&amp;EUOR - 2019Plan'!$A$11:$AE$36,25)</f>
        <v>7.8663866149121686E-2</v>
      </c>
      <c r="AL61" s="35" t="s">
        <v>226</v>
      </c>
      <c r="AM61" s="140">
        <f>VLOOKUP(AI61,'INP-Calc EFOR&amp;EUOR - 2019Plan'!$A$11:$AE$36,31)</f>
        <v>1.2304015260420824E-2</v>
      </c>
      <c r="AN61" s="35" t="s">
        <v>182</v>
      </c>
      <c r="AO61" s="141">
        <f>VLOOKUP(AI61,'INP-Calc EFOR&amp;EUOR - 2019Plan'!$A$11:$AE$36,19)</f>
        <v>3.2000000000000001E-2</v>
      </c>
    </row>
    <row r="62" spans="1:41" hidden="1" x14ac:dyDescent="0.25">
      <c r="A62" s="36"/>
      <c r="B62" s="36"/>
      <c r="C62" s="36"/>
      <c r="D62" s="36"/>
      <c r="E62" s="36"/>
      <c r="F62" s="36"/>
      <c r="G62" s="37"/>
      <c r="H62" s="36"/>
      <c r="I62" s="36"/>
      <c r="J62" s="145"/>
      <c r="K62" s="36"/>
      <c r="L62" s="36"/>
      <c r="M62" s="36"/>
      <c r="N62" s="36"/>
      <c r="O62" s="37"/>
      <c r="P62" s="36"/>
      <c r="Q62" s="36"/>
      <c r="R62" s="145"/>
      <c r="S62" s="36"/>
      <c r="T62" s="36"/>
      <c r="U62" s="36"/>
      <c r="V62" s="36"/>
      <c r="W62" s="37"/>
      <c r="X62" s="36"/>
      <c r="Y62" s="36"/>
      <c r="Z62" s="145"/>
      <c r="AA62" s="36"/>
      <c r="AB62" s="36"/>
      <c r="AC62" s="36"/>
      <c r="AD62" s="36"/>
      <c r="AE62" s="37"/>
      <c r="AF62" s="36"/>
      <c r="AG62" s="36"/>
      <c r="AH62" s="145"/>
      <c r="AI62" s="36"/>
      <c r="AJ62" s="36"/>
      <c r="AK62" s="36"/>
      <c r="AL62" s="36"/>
      <c r="AM62" s="37"/>
      <c r="AN62" s="36"/>
      <c r="AO62" s="36"/>
    </row>
    <row r="63" spans="1:41" hidden="1" x14ac:dyDescent="0.25">
      <c r="A63" s="37" t="str">
        <f>A56</f>
        <v>BLOCK:</v>
      </c>
      <c r="B63" s="37"/>
      <c r="C63" s="38">
        <f>C56</f>
        <v>1</v>
      </c>
      <c r="D63" s="38">
        <f t="shared" ref="D63:I63" si="47">D56</f>
        <v>2</v>
      </c>
      <c r="E63" s="38">
        <f t="shared" si="47"/>
        <v>3</v>
      </c>
      <c r="F63" s="38">
        <f t="shared" si="47"/>
        <v>4</v>
      </c>
      <c r="G63" s="38">
        <f t="shared" si="47"/>
        <v>5</v>
      </c>
      <c r="H63" s="38">
        <f t="shared" si="47"/>
        <v>6</v>
      </c>
      <c r="I63" s="38" t="str">
        <f t="shared" si="47"/>
        <v>Tot Unit</v>
      </c>
      <c r="J63" s="145"/>
      <c r="K63" s="38">
        <f>K56</f>
        <v>1</v>
      </c>
      <c r="L63" s="38">
        <f t="shared" ref="L63:Q63" si="48">L56</f>
        <v>2</v>
      </c>
      <c r="M63" s="38">
        <f t="shared" si="48"/>
        <v>3</v>
      </c>
      <c r="N63" s="38">
        <f t="shared" si="48"/>
        <v>4</v>
      </c>
      <c r="O63" s="38">
        <f t="shared" si="48"/>
        <v>5</v>
      </c>
      <c r="P63" s="38">
        <f t="shared" si="48"/>
        <v>6</v>
      </c>
      <c r="Q63" s="38" t="str">
        <f t="shared" si="48"/>
        <v>Tot Unit</v>
      </c>
      <c r="R63" s="145"/>
      <c r="S63" s="38">
        <f>S56</f>
        <v>1</v>
      </c>
      <c r="T63" s="38">
        <f t="shared" ref="T63:Y63" si="49">T56</f>
        <v>2</v>
      </c>
      <c r="U63" s="38">
        <f t="shared" si="49"/>
        <v>3</v>
      </c>
      <c r="V63" s="38">
        <f t="shared" si="49"/>
        <v>4</v>
      </c>
      <c r="W63" s="38">
        <f t="shared" si="49"/>
        <v>5</v>
      </c>
      <c r="X63" s="38">
        <f t="shared" si="49"/>
        <v>6</v>
      </c>
      <c r="Y63" s="38" t="str">
        <f t="shared" si="49"/>
        <v>Tot Unit</v>
      </c>
      <c r="Z63" s="145"/>
      <c r="AA63" s="38">
        <f>AA56</f>
        <v>1</v>
      </c>
      <c r="AB63" s="38">
        <f t="shared" ref="AB63:AG63" si="50">AB56</f>
        <v>2</v>
      </c>
      <c r="AC63" s="38">
        <f t="shared" si="50"/>
        <v>3</v>
      </c>
      <c r="AD63" s="38">
        <f t="shared" si="50"/>
        <v>4</v>
      </c>
      <c r="AE63" s="38">
        <f t="shared" si="50"/>
        <v>5</v>
      </c>
      <c r="AF63" s="38">
        <f t="shared" si="50"/>
        <v>6</v>
      </c>
      <c r="AG63" s="38" t="str">
        <f t="shared" si="50"/>
        <v>Tot Unit</v>
      </c>
      <c r="AH63" s="145"/>
      <c r="AI63" s="38">
        <f>AI56</f>
        <v>1</v>
      </c>
      <c r="AJ63" s="38">
        <f t="shared" ref="AJ63:AO63" si="51">AJ56</f>
        <v>2</v>
      </c>
      <c r="AK63" s="38">
        <f t="shared" si="51"/>
        <v>3</v>
      </c>
      <c r="AL63" s="38">
        <f t="shared" si="51"/>
        <v>4</v>
      </c>
      <c r="AM63" s="38">
        <f t="shared" si="51"/>
        <v>5</v>
      </c>
      <c r="AN63" s="38">
        <f t="shared" si="51"/>
        <v>6</v>
      </c>
      <c r="AO63" s="38" t="str">
        <f t="shared" si="51"/>
        <v>Tot Unit</v>
      </c>
    </row>
    <row r="64" spans="1:41" hidden="1" x14ac:dyDescent="0.25">
      <c r="A64" s="37" t="str">
        <f t="shared" ref="A64:A65" si="52">A57</f>
        <v>State Capacity (I)</v>
      </c>
      <c r="B64" s="36"/>
      <c r="C64" s="142" t="e">
        <f>INDEX('Calc-Pivot abvals'!$H$20:$M$32,MATCH($C61,'Calc-Pivot abvals'!$G$20:$G$32,0),MATCH(C$7,'Calc-Pivot abvals'!$H$19:$M$19,0))</f>
        <v>#N/A</v>
      </c>
      <c r="D64" s="142" t="e">
        <f>INDEX('Calc-Pivot abvals'!$H$20:$M$32,MATCH($C61,'Calc-Pivot abvals'!$G$20:$G$32,0),MATCH(D$7,'Calc-Pivot abvals'!$H$19:$M$19,0))</f>
        <v>#N/A</v>
      </c>
      <c r="E64" s="142" t="e">
        <f>INDEX('Calc-Pivot abvals'!$H$20:$M$32,MATCH($C61,'Calc-Pivot abvals'!$G$20:$G$32,0),MATCH(E$7,'Calc-Pivot abvals'!$H$19:$M$19,0))</f>
        <v>#N/A</v>
      </c>
      <c r="F64" s="142" t="e">
        <f>INDEX('Calc-Pivot abvals'!$H$20:$M$32,MATCH($C61,'Calc-Pivot abvals'!$G$20:$G$32,0),MATCH(F$7,'Calc-Pivot abvals'!$H$19:$M$19,0))</f>
        <v>#N/A</v>
      </c>
      <c r="G64" s="142" t="e">
        <f>INDEX('Calc-Pivot abvals'!$H$20:$M$32,MATCH($C61,'Calc-Pivot abvals'!$G$20:$G$32,0),MATCH(G$7,'Calc-Pivot abvals'!$H$19:$M$19,0))</f>
        <v>#N/A</v>
      </c>
      <c r="H64" s="142" t="e">
        <f>INDEX('Calc-Pivot abvals'!$H$20:$M$32,MATCH($C61,'Calc-Pivot abvals'!$G$20:$G$32,0),MATCH(H$7,'Calc-Pivot abvals'!$H$19:$M$19,0))</f>
        <v>#N/A</v>
      </c>
      <c r="I64" s="142">
        <f>VLOOKUP($A$61,Lookup!$L$5:$M$19,2,FALSE)</f>
        <v>98</v>
      </c>
      <c r="J64" s="145"/>
      <c r="K64" s="142" t="e">
        <f>INDEX('Calc-Pivot abvals'!$H$20:$M$32,MATCH($K61,'Calc-Pivot abvals'!$G$20:$G$32,0),MATCH(K$7,'Calc-Pivot abvals'!$H$19:$M$19,0))</f>
        <v>#N/A</v>
      </c>
      <c r="L64" s="142" t="e">
        <f>INDEX('Calc-Pivot abvals'!$H$20:$M$32,MATCH($K61,'Calc-Pivot abvals'!$G$20:$G$32,0),MATCH(L$7,'Calc-Pivot abvals'!$H$19:$M$19,0))</f>
        <v>#N/A</v>
      </c>
      <c r="M64" s="142" t="e">
        <f>INDEX('Calc-Pivot abvals'!$H$20:$M$32,MATCH($K61,'Calc-Pivot abvals'!$G$20:$G$32,0),MATCH(M$7,'Calc-Pivot abvals'!$H$19:$M$19,0))</f>
        <v>#N/A</v>
      </c>
      <c r="N64" s="142" t="e">
        <f>INDEX('Calc-Pivot abvals'!$H$20:$M$32,MATCH($K61,'Calc-Pivot abvals'!$G$20:$G$32,0),MATCH(N$7,'Calc-Pivot abvals'!$H$19:$M$19,0))</f>
        <v>#N/A</v>
      </c>
      <c r="O64" s="142" t="e">
        <f>INDEX('Calc-Pivot abvals'!$H$20:$M$32,MATCH($K61,'Calc-Pivot abvals'!$G$20:$G$32,0),MATCH(O$7,'Calc-Pivot abvals'!$H$19:$M$19,0))</f>
        <v>#N/A</v>
      </c>
      <c r="P64" s="142" t="e">
        <f>INDEX('Calc-Pivot abvals'!$H$20:$M$32,MATCH($K61,'Calc-Pivot abvals'!$G$20:$G$32,0),MATCH(P$7,'Calc-Pivot abvals'!$H$19:$M$19,0))</f>
        <v>#N/A</v>
      </c>
      <c r="Q64" s="142">
        <f>VLOOKUP($A$61,Lookup!$L$5:$M$19,2,FALSE)</f>
        <v>98</v>
      </c>
      <c r="R64" s="145"/>
      <c r="S64" s="142" t="e">
        <f>INDEX('Calc-Pivot abvals'!$H$20:$M$32,MATCH($S61,'Calc-Pivot abvals'!$G$20:$G$32,0),MATCH(S$7,'Calc-Pivot abvals'!$H$19:$M$19,0))</f>
        <v>#N/A</v>
      </c>
      <c r="T64" s="142" t="e">
        <f>INDEX('Calc-Pivot abvals'!$H$20:$M$32,MATCH($S61,'Calc-Pivot abvals'!$G$20:$G$32,0),MATCH(T$7,'Calc-Pivot abvals'!$H$19:$M$19,0))</f>
        <v>#N/A</v>
      </c>
      <c r="U64" s="142" t="e">
        <f>INDEX('Calc-Pivot abvals'!$H$20:$M$32,MATCH($S61,'Calc-Pivot abvals'!$G$20:$G$32,0),MATCH(U$7,'Calc-Pivot abvals'!$H$19:$M$19,0))</f>
        <v>#N/A</v>
      </c>
      <c r="V64" s="142" t="e">
        <f>INDEX('Calc-Pivot abvals'!$H$20:$M$32,MATCH($S61,'Calc-Pivot abvals'!$G$20:$G$32,0),MATCH(V$7,'Calc-Pivot abvals'!$H$19:$M$19,0))</f>
        <v>#N/A</v>
      </c>
      <c r="W64" s="142" t="e">
        <f>INDEX('Calc-Pivot abvals'!$H$20:$M$32,MATCH($S61,'Calc-Pivot abvals'!$G$20:$G$32,0),MATCH(W$7,'Calc-Pivot abvals'!$H$19:$M$19,0))</f>
        <v>#N/A</v>
      </c>
      <c r="X64" s="142" t="e">
        <f>INDEX('Calc-Pivot abvals'!$H$20:$M$32,MATCH($S61,'Calc-Pivot abvals'!$G$20:$G$32,0),MATCH(X$7,'Calc-Pivot abvals'!$H$19:$M$19,0))</f>
        <v>#N/A</v>
      </c>
      <c r="Y64" s="142">
        <f>VLOOKUP($A$61,Lookup!$L$5:$M$19,2,FALSE)</f>
        <v>98</v>
      </c>
      <c r="Z64" s="145"/>
      <c r="AA64" s="142" t="e">
        <f>INDEX('Calc-Pivot abvals'!$H$20:$M$32,MATCH($AA61,'Calc-Pivot abvals'!$G$20:$G$32,0),MATCH(AA$7,'Calc-Pivot abvals'!$H$19:$M$19,0))</f>
        <v>#N/A</v>
      </c>
      <c r="AB64" s="142" t="e">
        <f>INDEX('Calc-Pivot abvals'!$H$20:$M$32,MATCH($AA61,'Calc-Pivot abvals'!$G$20:$G$32,0),MATCH(AB$7,'Calc-Pivot abvals'!$H$19:$M$19,0))</f>
        <v>#N/A</v>
      </c>
      <c r="AC64" s="142" t="e">
        <f>INDEX('Calc-Pivot abvals'!$H$20:$M$32,MATCH($AA61,'Calc-Pivot abvals'!$G$20:$G$32,0),MATCH(AC$7,'Calc-Pivot abvals'!$H$19:$M$19,0))</f>
        <v>#N/A</v>
      </c>
      <c r="AD64" s="142" t="e">
        <f>INDEX('Calc-Pivot abvals'!$H$20:$M$32,MATCH($AA61,'Calc-Pivot abvals'!$G$20:$G$32,0),MATCH(AD$7,'Calc-Pivot abvals'!$H$19:$M$19,0))</f>
        <v>#N/A</v>
      </c>
      <c r="AE64" s="142" t="e">
        <f>INDEX('Calc-Pivot abvals'!$H$20:$M$32,MATCH($AA61,'Calc-Pivot abvals'!$G$20:$G$32,0),MATCH(AE$7,'Calc-Pivot abvals'!$H$19:$M$19,0))</f>
        <v>#N/A</v>
      </c>
      <c r="AF64" s="142" t="e">
        <f>INDEX('Calc-Pivot abvals'!$H$20:$M$32,MATCH($AA61,'Calc-Pivot abvals'!$G$20:$G$32,0),MATCH(AF$7,'Calc-Pivot abvals'!$H$19:$M$19,0))</f>
        <v>#N/A</v>
      </c>
      <c r="AG64" s="142">
        <f>VLOOKUP($A$61,Lookup!$L$5:$M$19,2,FALSE)</f>
        <v>98</v>
      </c>
      <c r="AH64" s="145"/>
      <c r="AI64" s="142" t="e">
        <f>INDEX('Calc-Pivot abvals'!$H$20:$M$32,MATCH($AI61,'Calc-Pivot abvals'!$G$20:$G$32,0),MATCH(AI$7,'Calc-Pivot abvals'!$H$19:$M$19,0))</f>
        <v>#N/A</v>
      </c>
      <c r="AJ64" s="142" t="e">
        <f>INDEX('Calc-Pivot abvals'!$H$20:$M$32,MATCH($AI61,'Calc-Pivot abvals'!$G$20:$G$32,0),MATCH(AJ$7,'Calc-Pivot abvals'!$H$19:$M$19,0))</f>
        <v>#N/A</v>
      </c>
      <c r="AK64" s="142" t="e">
        <f>INDEX('Calc-Pivot abvals'!$H$20:$M$32,MATCH($AI61,'Calc-Pivot abvals'!$G$20:$G$32,0),MATCH(AK$7,'Calc-Pivot abvals'!$H$19:$M$19,0))</f>
        <v>#N/A</v>
      </c>
      <c r="AL64" s="142" t="e">
        <f>INDEX('Calc-Pivot abvals'!$H$20:$M$32,MATCH($AI61,'Calc-Pivot abvals'!$G$20:$G$32,0),MATCH(AL$7,'Calc-Pivot abvals'!$H$19:$M$19,0))</f>
        <v>#N/A</v>
      </c>
      <c r="AM64" s="142" t="e">
        <f>INDEX('Calc-Pivot abvals'!$H$20:$M$32,MATCH($AI61,'Calc-Pivot abvals'!$G$20:$G$32,0),MATCH(AM$7,'Calc-Pivot abvals'!$H$19:$M$19,0))</f>
        <v>#N/A</v>
      </c>
      <c r="AN64" s="142" t="e">
        <f>INDEX('Calc-Pivot abvals'!$H$20:$M$32,MATCH($AI61,'Calc-Pivot abvals'!$G$20:$G$32,0),MATCH(AN$7,'Calc-Pivot abvals'!$H$19:$M$19,0))</f>
        <v>#N/A</v>
      </c>
      <c r="AO64" s="142">
        <f>VLOOKUP($A$61,Lookup!$L$5:$M$19,2,FALSE)</f>
        <v>98</v>
      </c>
    </row>
    <row r="65" spans="1:41" hidden="1" x14ac:dyDescent="0.25">
      <c r="A65" s="35" t="str">
        <f t="shared" si="52"/>
        <v>GADS Yr Availability: GADS only (C)</v>
      </c>
      <c r="B65" s="35"/>
      <c r="C65" s="78" t="e">
        <f>INDEX(AvailableStates!$D$3:$I$82,MATCH($C61,AvailableStates!$B$3:$B$82,0)+MATCH('Calc- Prosym Setup'!$C$4,AvailableStates!$C$3:$C$7)-1,MATCH('Calc- Prosym Setup'!C$7,AvailableStates!$D$2:$I$2,0))</f>
        <v>#N/A</v>
      </c>
      <c r="D65" s="78" t="e">
        <f>INDEX(AvailableStates!$D$3:$I$82,MATCH($C61,AvailableStates!$B$3:$B$82,0)+MATCH('Calc- Prosym Setup'!$C$4,AvailableStates!$C$3:$C$7)-1,MATCH('Calc- Prosym Setup'!D$7,AvailableStates!$D$2:$I$2,0))</f>
        <v>#N/A</v>
      </c>
      <c r="E65" s="78" t="e">
        <f>INDEX(AvailableStates!$D$3:$I$82,MATCH($C61,AvailableStates!$B$3:$B$82,0)+MATCH('Calc- Prosym Setup'!$C$4,AvailableStates!$C$3:$C$7)-1,MATCH('Calc- Prosym Setup'!E$7,AvailableStates!$D$2:$I$2,0))</f>
        <v>#N/A</v>
      </c>
      <c r="F65" s="78" t="e">
        <f>INDEX(AvailableStates!$D$3:$I$82,MATCH($C61,AvailableStates!$B$3:$B$82,0)+MATCH('Calc- Prosym Setup'!$C$4,AvailableStates!$C$3:$C$7)-1,MATCH('Calc- Prosym Setup'!F$7,AvailableStates!$D$2:$I$2,0))</f>
        <v>#N/A</v>
      </c>
      <c r="G65" s="78" t="e">
        <f>INDEX(AvailableStates!$D$3:$I$82,MATCH($C61,AvailableStates!$B$3:$B$82,0)+MATCH('Calc- Prosym Setup'!$C$4,AvailableStates!$C$3:$C$7)-1,MATCH('Calc- Prosym Setup'!G$7,AvailableStates!$D$2:$I$2,0))</f>
        <v>#N/A</v>
      </c>
      <c r="H65" s="78" t="e">
        <f>INDEX(AvailableStates!$D$3:$I$82,MATCH($C61,AvailableStates!$B$3:$B$82,0)+MATCH('Calc- Prosym Setup'!$C$4,AvailableStates!$C$3:$C$7)-1,MATCH('Calc- Prosym Setup'!H$7,AvailableStates!$D$2:$I$2,0))</f>
        <v>#N/A</v>
      </c>
      <c r="I65" s="78" t="e">
        <f>SUM(C65:H65)</f>
        <v>#N/A</v>
      </c>
      <c r="J65" s="145"/>
      <c r="K65" s="78" t="e">
        <f>INDEX(AvailableStates!$D$3:$I$82,MATCH($K61,AvailableStates!$B$3:$B$82,0)+MATCH('Calc- Prosym Setup'!$K$4,AvailableStates!$C$3:$C$7)-1,MATCH('Calc- Prosym Setup'!K$7,AvailableStates!$D$2:$I$2,0))</f>
        <v>#N/A</v>
      </c>
      <c r="L65" s="78" t="e">
        <f>INDEX(AvailableStates!$D$3:$I$82,MATCH($K61,AvailableStates!$B$3:$B$82,0)+MATCH('Calc- Prosym Setup'!$K$4,AvailableStates!$C$3:$C$7)-1,MATCH('Calc- Prosym Setup'!L$7,AvailableStates!$D$2:$I$2,0))</f>
        <v>#N/A</v>
      </c>
      <c r="M65" s="78" t="e">
        <f>INDEX(AvailableStates!$D$3:$I$82,MATCH($K61,AvailableStates!$B$3:$B$82,0)+MATCH('Calc- Prosym Setup'!$K$4,AvailableStates!$C$3:$C$7)-1,MATCH('Calc- Prosym Setup'!M$7,AvailableStates!$D$2:$I$2,0))</f>
        <v>#N/A</v>
      </c>
      <c r="N65" s="78" t="e">
        <f>INDEX(AvailableStates!$D$3:$I$82,MATCH($K61,AvailableStates!$B$3:$B$82,0)+MATCH('Calc- Prosym Setup'!$K$4,AvailableStates!$C$3:$C$7)-1,MATCH('Calc- Prosym Setup'!N$7,AvailableStates!$D$2:$I$2,0))</f>
        <v>#N/A</v>
      </c>
      <c r="O65" s="78" t="e">
        <f>INDEX(AvailableStates!$D$3:$I$82,MATCH($K61,AvailableStates!$B$3:$B$82,0)+MATCH('Calc- Prosym Setup'!$K$4,AvailableStates!$C$3:$C$7)-1,MATCH('Calc- Prosym Setup'!O$7,AvailableStates!$D$2:$I$2,0))</f>
        <v>#N/A</v>
      </c>
      <c r="P65" s="78" t="e">
        <f>INDEX(AvailableStates!$D$3:$I$82,MATCH($K61,AvailableStates!$B$3:$B$82,0)+MATCH('Calc- Prosym Setup'!$K$4,AvailableStates!$C$3:$C$7)-1,MATCH('Calc- Prosym Setup'!P$7,AvailableStates!$D$2:$I$2,0))</f>
        <v>#N/A</v>
      </c>
      <c r="Q65" s="78" t="e">
        <f>SUM(K65:P65)</f>
        <v>#N/A</v>
      </c>
      <c r="R65" s="145"/>
      <c r="S65" s="78" t="e">
        <f>INDEX(AvailableStates!$D$3:$I$82,MATCH($S61,AvailableStates!$B$3:$B$82,0)+MATCH('Calc- Prosym Setup'!$S$4,AvailableStates!$C$3:$C$7)-1,MATCH('Calc- Prosym Setup'!S$7,AvailableStates!$D$2:$I$2,0))</f>
        <v>#N/A</v>
      </c>
      <c r="T65" s="78" t="e">
        <f>INDEX(AvailableStates!$D$3:$I$82,MATCH($S61,AvailableStates!$B$3:$B$82,0)+MATCH('Calc- Prosym Setup'!$S$4,AvailableStates!$C$3:$C$7)-1,MATCH('Calc- Prosym Setup'!T$7,AvailableStates!$D$2:$I$2,0))</f>
        <v>#N/A</v>
      </c>
      <c r="U65" s="78" t="e">
        <f>INDEX(AvailableStates!$D$3:$I$82,MATCH($S61,AvailableStates!$B$3:$B$82,0)+MATCH('Calc- Prosym Setup'!$S$4,AvailableStates!$C$3:$C$7)-1,MATCH('Calc- Prosym Setup'!U$7,AvailableStates!$D$2:$I$2,0))</f>
        <v>#N/A</v>
      </c>
      <c r="V65" s="78" t="e">
        <f>INDEX(AvailableStates!$D$3:$I$82,MATCH($S61,AvailableStates!$B$3:$B$82,0)+MATCH('Calc- Prosym Setup'!$S$4,AvailableStates!$C$3:$C$7)-1,MATCH('Calc- Prosym Setup'!V$7,AvailableStates!$D$2:$I$2,0))</f>
        <v>#N/A</v>
      </c>
      <c r="W65" s="78" t="e">
        <f>INDEX(AvailableStates!$D$3:$I$82,MATCH($S61,AvailableStates!$B$3:$B$82,0)+MATCH('Calc- Prosym Setup'!$S$4,AvailableStates!$C$3:$C$7)-1,MATCH('Calc- Prosym Setup'!W$7,AvailableStates!$D$2:$I$2,0))</f>
        <v>#N/A</v>
      </c>
      <c r="X65" s="78" t="e">
        <f>INDEX(AvailableStates!$D$3:$I$82,MATCH($S61,AvailableStates!$B$3:$B$82,0)+MATCH('Calc- Prosym Setup'!$S$4,AvailableStates!$C$3:$C$7)-1,MATCH('Calc- Prosym Setup'!X$7,AvailableStates!$D$2:$I$2,0))</f>
        <v>#N/A</v>
      </c>
      <c r="Y65" s="78" t="e">
        <f>SUM(S65:X65)</f>
        <v>#N/A</v>
      </c>
      <c r="Z65" s="145"/>
      <c r="AA65" s="78" t="e">
        <f>INDEX(AvailableStates!$D$3:$I$82,MATCH($AA61,AvailableStates!$B$3:$B$82,0)+MATCH('Calc- Prosym Setup'!$AA$4,AvailableStates!$C$3:$C$7)-1,MATCH('Calc- Prosym Setup'!AA$7,AvailableStates!$D$2:$I$2,0))</f>
        <v>#N/A</v>
      </c>
      <c r="AB65" s="78" t="e">
        <f>INDEX(AvailableStates!$D$3:$I$82,MATCH($AA61,AvailableStates!$B$3:$B$82,0)+MATCH('Calc- Prosym Setup'!$AA$4,AvailableStates!$C$3:$C$7)-1,MATCH('Calc- Prosym Setup'!AB$7,AvailableStates!$D$2:$I$2,0))</f>
        <v>#N/A</v>
      </c>
      <c r="AC65" s="78" t="e">
        <f>INDEX(AvailableStates!$D$3:$I$82,MATCH($AA61,AvailableStates!$B$3:$B$82,0)+MATCH('Calc- Prosym Setup'!$AA$4,AvailableStates!$C$3:$C$7)-1,MATCH('Calc- Prosym Setup'!AC$7,AvailableStates!$D$2:$I$2,0))</f>
        <v>#N/A</v>
      </c>
      <c r="AD65" s="78" t="e">
        <f>INDEX(AvailableStates!$D$3:$I$82,MATCH($AA61,AvailableStates!$B$3:$B$82,0)+MATCH('Calc- Prosym Setup'!$AA$4,AvailableStates!$C$3:$C$7)-1,MATCH('Calc- Prosym Setup'!AD$7,AvailableStates!$D$2:$I$2,0))</f>
        <v>#N/A</v>
      </c>
      <c r="AE65" s="78" t="e">
        <f>INDEX(AvailableStates!$D$3:$I$82,MATCH($AA61,AvailableStates!$B$3:$B$82,0)+MATCH('Calc- Prosym Setup'!$AA$4,AvailableStates!$C$3:$C$7)-1,MATCH('Calc- Prosym Setup'!AE$7,AvailableStates!$D$2:$I$2,0))</f>
        <v>#N/A</v>
      </c>
      <c r="AF65" s="78" t="e">
        <f>INDEX(AvailableStates!$D$3:$I$82,MATCH($AA61,AvailableStates!$B$3:$B$82,0)+MATCH('Calc- Prosym Setup'!$AA$4,AvailableStates!$C$3:$C$7)-1,MATCH('Calc- Prosym Setup'!AF$7,AvailableStates!$D$2:$I$2,0))</f>
        <v>#N/A</v>
      </c>
      <c r="AG65" s="78" t="e">
        <f>SUM(AA65:AF65)</f>
        <v>#N/A</v>
      </c>
      <c r="AH65" s="145"/>
      <c r="AI65" s="78" t="e">
        <f>INDEX(AvailableStates!$D$3:$I$82,MATCH($AI61,AvailableStates!$B$3:$B$82,0)+MATCH('Calc- Prosym Setup'!$AI$4,AvailableStates!$C$3:$C$7)-1,MATCH('Calc- Prosym Setup'!AI$7,AvailableStates!$D$2:$I$2,0))</f>
        <v>#N/A</v>
      </c>
      <c r="AJ65" s="78" t="e">
        <f>INDEX(AvailableStates!$D$3:$I$82,MATCH($AI61,AvailableStates!$B$3:$B$82,0)+MATCH('Calc- Prosym Setup'!$AI$4,AvailableStates!$C$3:$C$7)-1,MATCH('Calc- Prosym Setup'!AJ$7,AvailableStates!$D$2:$I$2,0))</f>
        <v>#N/A</v>
      </c>
      <c r="AK65" s="78" t="e">
        <f>INDEX(AvailableStates!$D$3:$I$82,MATCH($AI61,AvailableStates!$B$3:$B$82,0)+MATCH('Calc- Prosym Setup'!$AI$4,AvailableStates!$C$3:$C$7)-1,MATCH('Calc- Prosym Setup'!AK$7,AvailableStates!$D$2:$I$2,0))</f>
        <v>#N/A</v>
      </c>
      <c r="AL65" s="78" t="e">
        <f>INDEX(AvailableStates!$D$3:$I$82,MATCH($AI61,AvailableStates!$B$3:$B$82,0)+MATCH('Calc- Prosym Setup'!$AI$4,AvailableStates!$C$3:$C$7)-1,MATCH('Calc- Prosym Setup'!AL$7,AvailableStates!$D$2:$I$2,0))</f>
        <v>#N/A</v>
      </c>
      <c r="AM65" s="78" t="e">
        <f>INDEX(AvailableStates!$D$3:$I$82,MATCH($AI61,AvailableStates!$B$3:$B$82,0)+MATCH('Calc- Prosym Setup'!$AI$4,AvailableStates!$C$3:$C$7)-1,MATCH('Calc- Prosym Setup'!AM$7,AvailableStates!$D$2:$I$2,0))</f>
        <v>#N/A</v>
      </c>
      <c r="AN65" s="78" t="e">
        <f>INDEX(AvailableStates!$D$3:$I$82,MATCH($AI61,AvailableStates!$B$3:$B$82,0)+MATCH('Calc- Prosym Setup'!$AI$4,AvailableStates!$C$3:$C$7)-1,MATCH('Calc- Prosym Setup'!AN$7,AvailableStates!$D$2:$I$2,0))</f>
        <v>#N/A</v>
      </c>
      <c r="AO65" s="78" t="e">
        <f>SUM(AI65:AN65)</f>
        <v>#N/A</v>
      </c>
    </row>
    <row r="66" spans="1:41" hidden="1" x14ac:dyDescent="0.25">
      <c r="J66" s="145"/>
      <c r="R66" s="145"/>
      <c r="Z66" s="145"/>
      <c r="AH66" s="145"/>
    </row>
    <row r="67" spans="1:41" hidden="1" x14ac:dyDescent="0.25">
      <c r="J67" s="145"/>
      <c r="R67" s="145"/>
      <c r="Z67" s="145"/>
      <c r="AH67" s="145"/>
    </row>
    <row r="68" spans="1:41" x14ac:dyDescent="0.25">
      <c r="A68" s="58" t="s">
        <v>161</v>
      </c>
      <c r="B68" s="73"/>
      <c r="C68" s="36" t="str">
        <f>Lookup!AP3</f>
        <v>MC1</v>
      </c>
      <c r="D68" s="35" t="s">
        <v>181</v>
      </c>
      <c r="E68" s="140">
        <f>VLOOKUP(C68,'INP-Calc EFOR&amp;EUOR - 2019Plan'!$A$11:$AE$36,21)</f>
        <v>3.5113250760485597E-2</v>
      </c>
      <c r="F68" s="35" t="s">
        <v>226</v>
      </c>
      <c r="G68" s="140">
        <f>VLOOKUP(C68,'INP-Calc EFOR&amp;EUOR - 2019Plan'!$A$11:$AE$36,27)</f>
        <v>1.7501275929868318E-2</v>
      </c>
      <c r="H68" s="35" t="s">
        <v>182</v>
      </c>
      <c r="I68" s="140">
        <f>VLOOKUP(C68,'INP-Calc EFOR&amp;EUOR - 2019Plan'!$A$11:$AE$36,15)</f>
        <v>2.1999999999999999E-2</v>
      </c>
      <c r="J68" s="145"/>
      <c r="K68" s="36" t="str">
        <f>C68</f>
        <v>MC1</v>
      </c>
      <c r="L68" s="35" t="s">
        <v>181</v>
      </c>
      <c r="M68" s="140">
        <f>VLOOKUP(K68,'INP-Calc EFOR&amp;EUOR - 2019Plan'!$A$11:$AE$36,22)</f>
        <v>3.5113250760485597E-2</v>
      </c>
      <c r="N68" s="35" t="s">
        <v>226</v>
      </c>
      <c r="O68" s="140">
        <f>VLOOKUP(K68,'INP-Calc EFOR&amp;EUOR - 2019Plan'!$A$11:$AE$36,28)</f>
        <v>1.7501275929868318E-2</v>
      </c>
      <c r="P68" s="35" t="s">
        <v>182</v>
      </c>
      <c r="Q68" s="140">
        <f>VLOOKUP(K68,'INP-Calc EFOR&amp;EUOR - 2019Plan'!$A$11:$AE$36,16)</f>
        <v>2.1999999999999999E-2</v>
      </c>
      <c r="R68" s="145"/>
      <c r="S68" s="36" t="str">
        <f>K68</f>
        <v>MC1</v>
      </c>
      <c r="T68" s="35" t="s">
        <v>181</v>
      </c>
      <c r="U68" s="140">
        <f>VLOOKUP(S68,'INP-Calc EFOR&amp;EUOR - 2019Plan'!$A$11:$AE$36,23)</f>
        <v>3.5113250760485597E-2</v>
      </c>
      <c r="V68" s="35" t="s">
        <v>226</v>
      </c>
      <c r="W68" s="140">
        <f>VLOOKUP(S68,'INP-Calc EFOR&amp;EUOR - 2019Plan'!$A$11:$AE$36,29)</f>
        <v>1.7501275929868318E-2</v>
      </c>
      <c r="X68" s="35" t="s">
        <v>182</v>
      </c>
      <c r="Y68" s="140">
        <f>VLOOKUP(S68,'INP-Calc EFOR&amp;EUOR - 2019Plan'!$A$11:$AE$36,17)</f>
        <v>2.1999999999999999E-2</v>
      </c>
      <c r="Z68" s="145"/>
      <c r="AA68" s="36" t="str">
        <f>S68</f>
        <v>MC1</v>
      </c>
      <c r="AB68" s="35" t="s">
        <v>181</v>
      </c>
      <c r="AC68" s="140">
        <f>VLOOKUP(AA68,'INP-Calc EFOR&amp;EUOR - 2019Plan'!$A$11:$AE$36,24)</f>
        <v>3.5113250760485597E-2</v>
      </c>
      <c r="AD68" s="35" t="s">
        <v>226</v>
      </c>
      <c r="AE68" s="140">
        <f>VLOOKUP(AA68,'INP-Calc EFOR&amp;EUOR - 2019Plan'!$A$11:$AE$36,30)</f>
        <v>1.7501275929868318E-2</v>
      </c>
      <c r="AF68" s="35" t="s">
        <v>182</v>
      </c>
      <c r="AG68" s="140">
        <f>VLOOKUP(AA68,'INP-Calc EFOR&amp;EUOR - 2019Plan'!$A$11:$AE$36,18)</f>
        <v>2.1999999999999999E-2</v>
      </c>
      <c r="AH68" s="145"/>
      <c r="AI68" s="36" t="str">
        <f>AA68</f>
        <v>MC1</v>
      </c>
      <c r="AJ68" s="35" t="s">
        <v>181</v>
      </c>
      <c r="AK68" s="140">
        <f>VLOOKUP(AI68,'INP-Calc EFOR&amp;EUOR - 2019Plan'!$A$11:$AE$36,25)</f>
        <v>3.5113250760485597E-2</v>
      </c>
      <c r="AL68" s="35" t="s">
        <v>226</v>
      </c>
      <c r="AM68" s="140">
        <f>VLOOKUP(AI68,'INP-Calc EFOR&amp;EUOR - 2019Plan'!$A$11:$AE$36,31)</f>
        <v>1.7501275929868318E-2</v>
      </c>
      <c r="AN68" s="35" t="s">
        <v>182</v>
      </c>
      <c r="AO68" s="141">
        <f>VLOOKUP(AI68,'INP-Calc EFOR&amp;EUOR - 2019Plan'!$A$11:$AE$36,19)</f>
        <v>2.1999999999999999E-2</v>
      </c>
    </row>
    <row r="69" spans="1:41" x14ac:dyDescent="0.25">
      <c r="A69" s="36"/>
      <c r="B69" s="36"/>
      <c r="C69" s="36"/>
      <c r="D69" s="36"/>
      <c r="E69" s="36"/>
      <c r="F69" s="36"/>
      <c r="G69" s="37"/>
      <c r="H69" s="36"/>
      <c r="I69" s="36"/>
      <c r="J69" s="145"/>
      <c r="K69" s="36"/>
      <c r="L69" s="36"/>
      <c r="M69" s="36"/>
      <c r="N69" s="36"/>
      <c r="O69" s="37"/>
      <c r="P69" s="36"/>
      <c r="Q69" s="36"/>
      <c r="R69" s="145"/>
      <c r="S69" s="36"/>
      <c r="T69" s="36"/>
      <c r="U69" s="36"/>
      <c r="V69" s="36"/>
      <c r="W69" s="37"/>
      <c r="X69" s="36"/>
      <c r="Y69" s="36"/>
      <c r="Z69" s="145"/>
      <c r="AA69" s="36"/>
      <c r="AB69" s="36"/>
      <c r="AC69" s="36"/>
      <c r="AD69" s="36"/>
      <c r="AE69" s="37"/>
      <c r="AF69" s="36"/>
      <c r="AG69" s="36"/>
      <c r="AH69" s="145"/>
      <c r="AI69" s="36"/>
      <c r="AJ69" s="36"/>
      <c r="AK69" s="36"/>
      <c r="AL69" s="36"/>
      <c r="AM69" s="37"/>
      <c r="AN69" s="36"/>
      <c r="AO69" s="36"/>
    </row>
    <row r="70" spans="1:41" x14ac:dyDescent="0.25">
      <c r="A70" s="37" t="str">
        <f>A63</f>
        <v>BLOCK:</v>
      </c>
      <c r="B70" s="37"/>
      <c r="C70" s="38">
        <f t="shared" ref="C70:I70" si="53">C63</f>
        <v>1</v>
      </c>
      <c r="D70" s="38">
        <f t="shared" si="53"/>
        <v>2</v>
      </c>
      <c r="E70" s="38">
        <f t="shared" si="53"/>
        <v>3</v>
      </c>
      <c r="F70" s="38">
        <f t="shared" si="53"/>
        <v>4</v>
      </c>
      <c r="G70" s="38">
        <f t="shared" si="53"/>
        <v>5</v>
      </c>
      <c r="H70" s="38">
        <f t="shared" si="53"/>
        <v>6</v>
      </c>
      <c r="I70" s="38" t="str">
        <f t="shared" si="53"/>
        <v>Tot Unit</v>
      </c>
      <c r="J70" s="38"/>
      <c r="K70" s="38">
        <f t="shared" ref="K70:Q70" si="54">K63</f>
        <v>1</v>
      </c>
      <c r="L70" s="38">
        <f t="shared" si="54"/>
        <v>2</v>
      </c>
      <c r="M70" s="38">
        <f t="shared" si="54"/>
        <v>3</v>
      </c>
      <c r="N70" s="38">
        <f t="shared" si="54"/>
        <v>4</v>
      </c>
      <c r="O70" s="38">
        <f t="shared" si="54"/>
        <v>5</v>
      </c>
      <c r="P70" s="38">
        <f t="shared" si="54"/>
        <v>6</v>
      </c>
      <c r="Q70" s="38" t="str">
        <f t="shared" si="54"/>
        <v>Tot Unit</v>
      </c>
      <c r="R70" s="145"/>
      <c r="S70" s="38">
        <f t="shared" ref="S70:Y70" si="55">S63</f>
        <v>1</v>
      </c>
      <c r="T70" s="38">
        <f t="shared" si="55"/>
        <v>2</v>
      </c>
      <c r="U70" s="38">
        <f t="shared" si="55"/>
        <v>3</v>
      </c>
      <c r="V70" s="38">
        <f t="shared" si="55"/>
        <v>4</v>
      </c>
      <c r="W70" s="38">
        <f t="shared" si="55"/>
        <v>5</v>
      </c>
      <c r="X70" s="38">
        <f t="shared" si="55"/>
        <v>6</v>
      </c>
      <c r="Y70" s="38" t="str">
        <f t="shared" si="55"/>
        <v>Tot Unit</v>
      </c>
      <c r="Z70" s="145"/>
      <c r="AA70" s="38">
        <f t="shared" ref="AA70:AG70" si="56">AA63</f>
        <v>1</v>
      </c>
      <c r="AB70" s="38">
        <f t="shared" si="56"/>
        <v>2</v>
      </c>
      <c r="AC70" s="38">
        <f t="shared" si="56"/>
        <v>3</v>
      </c>
      <c r="AD70" s="38">
        <f t="shared" si="56"/>
        <v>4</v>
      </c>
      <c r="AE70" s="38">
        <f t="shared" si="56"/>
        <v>5</v>
      </c>
      <c r="AF70" s="38">
        <f t="shared" si="56"/>
        <v>6</v>
      </c>
      <c r="AG70" s="38" t="str">
        <f t="shared" si="56"/>
        <v>Tot Unit</v>
      </c>
      <c r="AH70" s="145"/>
      <c r="AI70" s="38">
        <f t="shared" ref="AI70:AO70" si="57">AI63</f>
        <v>1</v>
      </c>
      <c r="AJ70" s="38">
        <f t="shared" si="57"/>
        <v>2</v>
      </c>
      <c r="AK70" s="38">
        <f t="shared" si="57"/>
        <v>3</v>
      </c>
      <c r="AL70" s="38">
        <f t="shared" si="57"/>
        <v>4</v>
      </c>
      <c r="AM70" s="38">
        <f t="shared" si="57"/>
        <v>5</v>
      </c>
      <c r="AN70" s="38">
        <f t="shared" si="57"/>
        <v>6</v>
      </c>
      <c r="AO70" s="38" t="str">
        <f t="shared" si="57"/>
        <v>Tot Unit</v>
      </c>
    </row>
    <row r="71" spans="1:41" x14ac:dyDescent="0.25">
      <c r="A71" s="37" t="str">
        <f>A64</f>
        <v>State Capacity (I)</v>
      </c>
      <c r="B71" s="37"/>
      <c r="C71" s="142">
        <f>INDEX('Calc-Pivot abvals'!$H$20:$M$32,MATCH($C68,'Calc-Pivot abvals'!$G$20:$G$32,0),MATCH(C$7,'Calc-Pivot abvals'!$H$19:$M$19,0))</f>
        <v>150</v>
      </c>
      <c r="D71" s="142">
        <f>INDEX('Calc-Pivot abvals'!$H$20:$M$32,MATCH($C68,'Calc-Pivot abvals'!$G$20:$G$32,0),MATCH(D$7,'Calc-Pivot abvals'!$H$19:$M$19,0))</f>
        <v>210</v>
      </c>
      <c r="E71" s="142">
        <f>INDEX('Calc-Pivot abvals'!$H$20:$M$32,MATCH($C68,'Calc-Pivot abvals'!$G$20:$G$32,0),MATCH(E$7,'Calc-Pivot abvals'!$H$19:$M$19,0))</f>
        <v>220</v>
      </c>
      <c r="F71" s="142">
        <f>INDEX('Calc-Pivot abvals'!$H$20:$M$32,MATCH($C68,'Calc-Pivot abvals'!$G$20:$G$32,0),MATCH(F$7,'Calc-Pivot abvals'!$H$19:$M$19,0))</f>
        <v>260</v>
      </c>
      <c r="G71" s="142">
        <f>INDEX('Calc-Pivot abvals'!$H$20:$M$32,MATCH($C68,'Calc-Pivot abvals'!$G$20:$G$32,0),MATCH(G$7,'Calc-Pivot abvals'!$H$19:$M$19,0))</f>
        <v>280</v>
      </c>
      <c r="H71" s="142">
        <f>INDEX('Calc-Pivot abvals'!$H$20:$M$32,MATCH($C68,'Calc-Pivot abvals'!$G$20:$G$32,0),MATCH(H$7,'Calc-Pivot abvals'!$H$19:$M$19,0))</f>
        <v>300</v>
      </c>
      <c r="I71" s="142">
        <f>VLOOKUP($A$68,Lookup!$L$5:$M$19,2,FALSE)</f>
        <v>300</v>
      </c>
      <c r="J71" s="145"/>
      <c r="K71" s="142">
        <f>INDEX('Calc-Pivot abvals'!$H$20:$M$32,MATCH($K68,'Calc-Pivot abvals'!$G$20:$G$32,0),MATCH(K$7,'Calc-Pivot abvals'!$H$19:$M$19,0))</f>
        <v>150</v>
      </c>
      <c r="L71" s="142">
        <f>INDEX('Calc-Pivot abvals'!$H$20:$M$32,MATCH($K68,'Calc-Pivot abvals'!$G$20:$G$32,0),MATCH(L$7,'Calc-Pivot abvals'!$H$19:$M$19,0))</f>
        <v>210</v>
      </c>
      <c r="M71" s="142">
        <f>INDEX('Calc-Pivot abvals'!$H$20:$M$32,MATCH($K68,'Calc-Pivot abvals'!$G$20:$G$32,0),MATCH(M$7,'Calc-Pivot abvals'!$H$19:$M$19,0))</f>
        <v>220</v>
      </c>
      <c r="N71" s="142">
        <f>INDEX('Calc-Pivot abvals'!$H$20:$M$32,MATCH($K68,'Calc-Pivot abvals'!$G$20:$G$32,0),MATCH(N$7,'Calc-Pivot abvals'!$H$19:$M$19,0))</f>
        <v>260</v>
      </c>
      <c r="O71" s="142">
        <f>INDEX('Calc-Pivot abvals'!$H$20:$M$32,MATCH($K68,'Calc-Pivot abvals'!$G$20:$G$32,0),MATCH(O$7,'Calc-Pivot abvals'!$H$19:$M$19,0))</f>
        <v>280</v>
      </c>
      <c r="P71" s="142">
        <f>INDEX('Calc-Pivot abvals'!$H$20:$M$32,MATCH($K68,'Calc-Pivot abvals'!$G$20:$G$32,0),MATCH(P$7,'Calc-Pivot abvals'!$H$19:$M$19,0))</f>
        <v>300</v>
      </c>
      <c r="Q71" s="142">
        <f>VLOOKUP($A$68,Lookup!$L$5:$M$19,2,FALSE)</f>
        <v>300</v>
      </c>
      <c r="R71" s="145"/>
      <c r="S71" s="142">
        <f>INDEX('Calc-Pivot abvals'!$H$20:$M$32,MATCH($S68,'Calc-Pivot abvals'!$G$20:$G$32,0),MATCH(S$7,'Calc-Pivot abvals'!$H$19:$M$19,0))</f>
        <v>150</v>
      </c>
      <c r="T71" s="142">
        <f>INDEX('Calc-Pivot abvals'!$H$20:$M$32,MATCH($S68,'Calc-Pivot abvals'!$G$20:$G$32,0),MATCH(T$7,'Calc-Pivot abvals'!$H$19:$M$19,0))</f>
        <v>210</v>
      </c>
      <c r="U71" s="142">
        <f>INDEX('Calc-Pivot abvals'!$H$20:$M$32,MATCH($S68,'Calc-Pivot abvals'!$G$20:$G$32,0),MATCH(U$7,'Calc-Pivot abvals'!$H$19:$M$19,0))</f>
        <v>220</v>
      </c>
      <c r="V71" s="142">
        <f>INDEX('Calc-Pivot abvals'!$H$20:$M$32,MATCH($S68,'Calc-Pivot abvals'!$G$20:$G$32,0),MATCH(V$7,'Calc-Pivot abvals'!$H$19:$M$19,0))</f>
        <v>260</v>
      </c>
      <c r="W71" s="142">
        <f>INDEX('Calc-Pivot abvals'!$H$20:$M$32,MATCH($S68,'Calc-Pivot abvals'!$G$20:$G$32,0),MATCH(W$7,'Calc-Pivot abvals'!$H$19:$M$19,0))</f>
        <v>280</v>
      </c>
      <c r="X71" s="142">
        <f>INDEX('Calc-Pivot abvals'!$H$20:$M$32,MATCH($S68,'Calc-Pivot abvals'!$G$20:$G$32,0),MATCH(X$7,'Calc-Pivot abvals'!$H$19:$M$19,0))</f>
        <v>300</v>
      </c>
      <c r="Y71" s="142">
        <f>VLOOKUP($A$68,Lookup!$L$5:$M$19,2,FALSE)</f>
        <v>300</v>
      </c>
      <c r="Z71" s="145"/>
      <c r="AA71" s="142">
        <f>INDEX('Calc-Pivot abvals'!$H$20:$M$32,MATCH($AA68,'Calc-Pivot abvals'!$G$20:$G$32,0),MATCH(AA$7,'Calc-Pivot abvals'!$H$19:$M$19,0))</f>
        <v>150</v>
      </c>
      <c r="AB71" s="142">
        <f>INDEX('Calc-Pivot abvals'!$H$20:$M$32,MATCH($AA68,'Calc-Pivot abvals'!$G$20:$G$32,0),MATCH(AB$7,'Calc-Pivot abvals'!$H$19:$M$19,0))</f>
        <v>210</v>
      </c>
      <c r="AC71" s="142">
        <f>INDEX('Calc-Pivot abvals'!$H$20:$M$32,MATCH($AA68,'Calc-Pivot abvals'!$G$20:$G$32,0),MATCH(AC$7,'Calc-Pivot abvals'!$H$19:$M$19,0))</f>
        <v>220</v>
      </c>
      <c r="AD71" s="142">
        <f>INDEX('Calc-Pivot abvals'!$H$20:$M$32,MATCH($AA68,'Calc-Pivot abvals'!$G$20:$G$32,0),MATCH(AD$7,'Calc-Pivot abvals'!$H$19:$M$19,0))</f>
        <v>260</v>
      </c>
      <c r="AE71" s="142">
        <f>INDEX('Calc-Pivot abvals'!$H$20:$M$32,MATCH($AA68,'Calc-Pivot abvals'!$G$20:$G$32,0),MATCH(AE$7,'Calc-Pivot abvals'!$H$19:$M$19,0))</f>
        <v>280</v>
      </c>
      <c r="AF71" s="142">
        <f>INDEX('Calc-Pivot abvals'!$H$20:$M$32,MATCH($AA68,'Calc-Pivot abvals'!$G$20:$G$32,0),MATCH(AF$7,'Calc-Pivot abvals'!$H$19:$M$19,0))</f>
        <v>300</v>
      </c>
      <c r="AG71" s="142">
        <f>VLOOKUP($A$68,Lookup!$L$5:$M$19,2,FALSE)</f>
        <v>300</v>
      </c>
      <c r="AH71" s="145"/>
      <c r="AI71" s="142">
        <f>INDEX('Calc-Pivot abvals'!$H$20:$M$32,MATCH($AI68,'Calc-Pivot abvals'!$G$20:$G$32,0),MATCH(AI$7,'Calc-Pivot abvals'!$H$19:$M$19,0))</f>
        <v>150</v>
      </c>
      <c r="AJ71" s="142">
        <f>INDEX('Calc-Pivot abvals'!$H$20:$M$32,MATCH($AI68,'Calc-Pivot abvals'!$G$20:$G$32,0),MATCH(AJ$7,'Calc-Pivot abvals'!$H$19:$M$19,0))</f>
        <v>210</v>
      </c>
      <c r="AK71" s="142">
        <f>INDEX('Calc-Pivot abvals'!$H$20:$M$32,MATCH($AI68,'Calc-Pivot abvals'!$G$20:$G$32,0),MATCH(AK$7,'Calc-Pivot abvals'!$H$19:$M$19,0))</f>
        <v>220</v>
      </c>
      <c r="AL71" s="142">
        <f>INDEX('Calc-Pivot abvals'!$H$20:$M$32,MATCH($AI68,'Calc-Pivot abvals'!$G$20:$G$32,0),MATCH(AL$7,'Calc-Pivot abvals'!$H$19:$M$19,0))</f>
        <v>260</v>
      </c>
      <c r="AM71" s="142">
        <f>INDEX('Calc-Pivot abvals'!$H$20:$M$32,MATCH($AI68,'Calc-Pivot abvals'!$G$20:$G$32,0),MATCH(AM$7,'Calc-Pivot abvals'!$H$19:$M$19,0))</f>
        <v>280</v>
      </c>
      <c r="AN71" s="142">
        <f>INDEX('Calc-Pivot abvals'!$H$20:$M$32,MATCH($AI68,'Calc-Pivot abvals'!$G$20:$G$32,0),MATCH(AN$7,'Calc-Pivot abvals'!$H$19:$M$19,0))</f>
        <v>300</v>
      </c>
      <c r="AO71" s="142">
        <f>VLOOKUP($A$68,Lookup!$L$5:$M$19,2,FALSE)</f>
        <v>300</v>
      </c>
    </row>
    <row r="72" spans="1:41" x14ac:dyDescent="0.25">
      <c r="A72" s="35" t="str">
        <f>A65</f>
        <v>GADS Yr Availability: GADS only (C)</v>
      </c>
      <c r="B72" s="35"/>
      <c r="C72" s="78">
        <f ca="1">INDEX(AvailableStates!$D$3:$I$82,MATCH($C68,AvailableStates!$B$3:$B$82,0)+MATCH('Calc- Prosym Setup'!$C$4,AvailableStates!$C$3:$C$7)-1,MATCH('Calc- Prosym Setup'!C$7,AvailableStates!$D$2:$I$2,0))</f>
        <v>3.267927408774822E-2</v>
      </c>
      <c r="D72" s="78">
        <f ca="1">INDEX(AvailableStates!$D$3:$I$82,MATCH($C68,AvailableStates!$B$3:$B$82,0)+MATCH('Calc- Prosym Setup'!$C$4,AvailableStates!$C$3:$C$7)-1,MATCH('Calc- Prosym Setup'!D$7,AvailableStates!$D$2:$I$2,0))</f>
        <v>1.495938271840719E-3</v>
      </c>
      <c r="E72" s="78">
        <f ca="1">INDEX(AvailableStates!$D$3:$I$82,MATCH($C68,AvailableStates!$B$3:$B$82,0)+MATCH('Calc- Prosym Setup'!$C$4,AvailableStates!$C$3:$C$7)-1,MATCH('Calc- Prosym Setup'!E$7,AvailableStates!$D$2:$I$2,0))</f>
        <v>1.7081727852282113E-4</v>
      </c>
      <c r="F72" s="78">
        <f ca="1">INDEX(AvailableStates!$D$3:$I$82,MATCH($C68,AvailableStates!$B$3:$B$82,0)+MATCH('Calc- Prosym Setup'!$C$4,AvailableStates!$C$3:$C$7)-1,MATCH('Calc- Prosym Setup'!F$7,AvailableStates!$D$2:$I$2,0))</f>
        <v>7.8300857767761014E-5</v>
      </c>
      <c r="G72" s="78">
        <f ca="1">INDEX(AvailableStates!$D$3:$I$82,MATCH($C68,AvailableStates!$B$3:$B$82,0)+MATCH('Calc- Prosym Setup'!$C$4,AvailableStates!$C$3:$C$7)-1,MATCH('Calc- Prosym Setup'!G$7,AvailableStates!$D$2:$I$2,0))</f>
        <v>6.3508988169428608E-4</v>
      </c>
      <c r="H72" s="78">
        <f ca="1">INDEX(AvailableStates!$D$3:$I$82,MATCH($C68,AvailableStates!$B$3:$B$82,0)+MATCH('Calc- Prosym Setup'!$C$4,AvailableStates!$C$3:$C$7)-1,MATCH('Calc- Prosym Setup'!H$7,AvailableStates!$D$2:$I$2,0))</f>
        <v>0.90782732886194062</v>
      </c>
      <c r="I72" s="78">
        <f ca="1">SUM(C72:H72)</f>
        <v>0.94288674923951443</v>
      </c>
      <c r="J72" s="145"/>
      <c r="K72" s="78">
        <f ca="1">INDEX(AvailableStates!$D$3:$I$82,MATCH($K68,AvailableStates!$B$3:$B$82,0)+MATCH('Calc- Prosym Setup'!$K$4,AvailableStates!$C$3:$C$7)-1,MATCH('Calc- Prosym Setup'!K$7,AvailableStates!$D$2:$I$2,0))</f>
        <v>3.267927408774822E-2</v>
      </c>
      <c r="L72" s="78">
        <f ca="1">INDEX(AvailableStates!$D$3:$I$82,MATCH($K68,AvailableStates!$B$3:$B$82,0)+MATCH('Calc- Prosym Setup'!$K$4,AvailableStates!$C$3:$C$7)-1,MATCH('Calc- Prosym Setup'!L$7,AvailableStates!$D$2:$I$2,0))</f>
        <v>1.495938271840719E-3</v>
      </c>
      <c r="M72" s="78">
        <f ca="1">INDEX(AvailableStates!$D$3:$I$82,MATCH($K68,AvailableStates!$B$3:$B$82,0)+MATCH('Calc- Prosym Setup'!$K$4,AvailableStates!$C$3:$C$7)-1,MATCH('Calc- Prosym Setup'!M$7,AvailableStates!$D$2:$I$2,0))</f>
        <v>1.7081727852282113E-4</v>
      </c>
      <c r="N72" s="78">
        <f ca="1">INDEX(AvailableStates!$D$3:$I$82,MATCH($K68,AvailableStates!$B$3:$B$82,0)+MATCH('Calc- Prosym Setup'!$K$4,AvailableStates!$C$3:$C$7)-1,MATCH('Calc- Prosym Setup'!N$7,AvailableStates!$D$2:$I$2,0))</f>
        <v>7.8300857767761014E-5</v>
      </c>
      <c r="O72" s="78">
        <f ca="1">INDEX(AvailableStates!$D$3:$I$82,MATCH($K68,AvailableStates!$B$3:$B$82,0)+MATCH('Calc- Prosym Setup'!$K$4,AvailableStates!$C$3:$C$7)-1,MATCH('Calc- Prosym Setup'!O$7,AvailableStates!$D$2:$I$2,0))</f>
        <v>6.3508988169428608E-4</v>
      </c>
      <c r="P72" s="78">
        <f ca="1">INDEX(AvailableStates!$D$3:$I$82,MATCH($K68,AvailableStates!$B$3:$B$82,0)+MATCH('Calc- Prosym Setup'!$K$4,AvailableStates!$C$3:$C$7)-1,MATCH('Calc- Prosym Setup'!P$7,AvailableStates!$D$2:$I$2,0))</f>
        <v>0.90782732886194062</v>
      </c>
      <c r="Q72" s="78">
        <f ca="1">SUM(K72:P72)</f>
        <v>0.94288674923951443</v>
      </c>
      <c r="R72" s="145"/>
      <c r="S72" s="78">
        <f ca="1">INDEX(AvailableStates!$D$3:$I$82,MATCH($S68,AvailableStates!$B$3:$B$82,0)+MATCH('Calc- Prosym Setup'!$S$4,AvailableStates!$C$3:$C$7)-1,MATCH('Calc- Prosym Setup'!S$7,AvailableStates!$D$2:$I$2,0))</f>
        <v>3.267927408774822E-2</v>
      </c>
      <c r="T72" s="78">
        <f ca="1">INDEX(AvailableStates!$D$3:$I$82,MATCH($S68,AvailableStates!$B$3:$B$82,0)+MATCH('Calc- Prosym Setup'!$S$4,AvailableStates!$C$3:$C$7)-1,MATCH('Calc- Prosym Setup'!T$7,AvailableStates!$D$2:$I$2,0))</f>
        <v>1.495938271840719E-3</v>
      </c>
      <c r="U72" s="78">
        <f ca="1">INDEX(AvailableStates!$D$3:$I$82,MATCH($S68,AvailableStates!$B$3:$B$82,0)+MATCH('Calc- Prosym Setup'!$S$4,AvailableStates!$C$3:$C$7)-1,MATCH('Calc- Prosym Setup'!U$7,AvailableStates!$D$2:$I$2,0))</f>
        <v>1.7081727852282113E-4</v>
      </c>
      <c r="V72" s="78">
        <f ca="1">INDEX(AvailableStates!$D$3:$I$82,MATCH($S68,AvailableStates!$B$3:$B$82,0)+MATCH('Calc- Prosym Setup'!$S$4,AvailableStates!$C$3:$C$7)-1,MATCH('Calc- Prosym Setup'!V$7,AvailableStates!$D$2:$I$2,0))</f>
        <v>7.8300857767761014E-5</v>
      </c>
      <c r="W72" s="78">
        <f ca="1">INDEX(AvailableStates!$D$3:$I$82,MATCH($S68,AvailableStates!$B$3:$B$82,0)+MATCH('Calc- Prosym Setup'!$S$4,AvailableStates!$C$3:$C$7)-1,MATCH('Calc- Prosym Setup'!W$7,AvailableStates!$D$2:$I$2,0))</f>
        <v>6.3508988169428608E-4</v>
      </c>
      <c r="X72" s="78">
        <f ca="1">INDEX(AvailableStates!$D$3:$I$82,MATCH($S68,AvailableStates!$B$3:$B$82,0)+MATCH('Calc- Prosym Setup'!$S$4,AvailableStates!$C$3:$C$7)-1,MATCH('Calc- Prosym Setup'!X$7,AvailableStates!$D$2:$I$2,0))</f>
        <v>0.90782732886194062</v>
      </c>
      <c r="Y72" s="78">
        <f ca="1">SUM(S72:X72)</f>
        <v>0.94288674923951443</v>
      </c>
      <c r="Z72" s="145"/>
      <c r="AA72" s="78">
        <f ca="1">INDEX(AvailableStates!$D$3:$I$82,MATCH($AA68,AvailableStates!$B$3:$B$82,0)+MATCH('Calc- Prosym Setup'!$AA$4,AvailableStates!$C$3:$C$7)-1,MATCH('Calc- Prosym Setup'!AA$7,AvailableStates!$D$2:$I$2,0))</f>
        <v>3.267927408774822E-2</v>
      </c>
      <c r="AB72" s="78">
        <f ca="1">INDEX(AvailableStates!$D$3:$I$82,MATCH($AA68,AvailableStates!$B$3:$B$82,0)+MATCH('Calc- Prosym Setup'!$AA$4,AvailableStates!$C$3:$C$7)-1,MATCH('Calc- Prosym Setup'!AB$7,AvailableStates!$D$2:$I$2,0))</f>
        <v>1.495938271840719E-3</v>
      </c>
      <c r="AC72" s="78">
        <f ca="1">INDEX(AvailableStates!$D$3:$I$82,MATCH($AA68,AvailableStates!$B$3:$B$82,0)+MATCH('Calc- Prosym Setup'!$AA$4,AvailableStates!$C$3:$C$7)-1,MATCH('Calc- Prosym Setup'!AC$7,AvailableStates!$D$2:$I$2,0))</f>
        <v>1.7081727852282113E-4</v>
      </c>
      <c r="AD72" s="78">
        <f ca="1">INDEX(AvailableStates!$D$3:$I$82,MATCH($AA68,AvailableStates!$B$3:$B$82,0)+MATCH('Calc- Prosym Setup'!$AA$4,AvailableStates!$C$3:$C$7)-1,MATCH('Calc- Prosym Setup'!AD$7,AvailableStates!$D$2:$I$2,0))</f>
        <v>7.8300857767761014E-5</v>
      </c>
      <c r="AE72" s="78">
        <f ca="1">INDEX(AvailableStates!$D$3:$I$82,MATCH($AA68,AvailableStates!$B$3:$B$82,0)+MATCH('Calc- Prosym Setup'!$AA$4,AvailableStates!$C$3:$C$7)-1,MATCH('Calc- Prosym Setup'!AE$7,AvailableStates!$D$2:$I$2,0))</f>
        <v>6.3508988169428608E-4</v>
      </c>
      <c r="AF72" s="78">
        <f ca="1">INDEX(AvailableStates!$D$3:$I$82,MATCH($AA68,AvailableStates!$B$3:$B$82,0)+MATCH('Calc- Prosym Setup'!$AA$4,AvailableStates!$C$3:$C$7)-1,MATCH('Calc- Prosym Setup'!AF$7,AvailableStates!$D$2:$I$2,0))</f>
        <v>0.90782732886194062</v>
      </c>
      <c r="AG72" s="78">
        <f ca="1">SUM(AA72:AF72)</f>
        <v>0.94288674923951443</v>
      </c>
      <c r="AH72" s="145"/>
      <c r="AI72" s="78">
        <f ca="1">INDEX(AvailableStates!$D$3:$I$82,MATCH($AI68,AvailableStates!$B$3:$B$82,0)+MATCH('Calc- Prosym Setup'!$AI$4,AvailableStates!$C$3:$C$7)-1,MATCH('Calc- Prosym Setup'!AI$7,AvailableStates!$D$2:$I$2,0))</f>
        <v>3.267927408774822E-2</v>
      </c>
      <c r="AJ72" s="78">
        <f ca="1">INDEX(AvailableStates!$D$3:$I$82,MATCH($AI68,AvailableStates!$B$3:$B$82,0)+MATCH('Calc- Prosym Setup'!$AI$4,AvailableStates!$C$3:$C$7)-1,MATCH('Calc- Prosym Setup'!AJ$7,AvailableStates!$D$2:$I$2,0))</f>
        <v>1.495938271840719E-3</v>
      </c>
      <c r="AK72" s="78">
        <f ca="1">INDEX(AvailableStates!$D$3:$I$82,MATCH($AI68,AvailableStates!$B$3:$B$82,0)+MATCH('Calc- Prosym Setup'!$AI$4,AvailableStates!$C$3:$C$7)-1,MATCH('Calc- Prosym Setup'!AK$7,AvailableStates!$D$2:$I$2,0))</f>
        <v>1.7081727852282113E-4</v>
      </c>
      <c r="AL72" s="78">
        <f ca="1">INDEX(AvailableStates!$D$3:$I$82,MATCH($AI68,AvailableStates!$B$3:$B$82,0)+MATCH('Calc- Prosym Setup'!$AI$4,AvailableStates!$C$3:$C$7)-1,MATCH('Calc- Prosym Setup'!AL$7,AvailableStates!$D$2:$I$2,0))</f>
        <v>7.8300857767761014E-5</v>
      </c>
      <c r="AM72" s="78">
        <f ca="1">INDEX(AvailableStates!$D$3:$I$82,MATCH($AI68,AvailableStates!$B$3:$B$82,0)+MATCH('Calc- Prosym Setup'!$AI$4,AvailableStates!$C$3:$C$7)-1,MATCH('Calc- Prosym Setup'!AM$7,AvailableStates!$D$2:$I$2,0))</f>
        <v>6.3508988169428608E-4</v>
      </c>
      <c r="AN72" s="78">
        <f ca="1">INDEX(AvailableStates!$D$3:$I$82,MATCH($AI68,AvailableStates!$B$3:$B$82,0)+MATCH('Calc- Prosym Setup'!$AI$4,AvailableStates!$C$3:$C$7)-1,MATCH('Calc- Prosym Setup'!AN$7,AvailableStates!$D$2:$I$2,0))</f>
        <v>0.90782732886194062</v>
      </c>
      <c r="AO72" s="78">
        <f ca="1">SUM(AI72:AN72)</f>
        <v>0.94288674923951443</v>
      </c>
    </row>
    <row r="73" spans="1:41" x14ac:dyDescent="0.25">
      <c r="J73" s="145"/>
      <c r="R73" s="145"/>
      <c r="Z73" s="145"/>
      <c r="AH73" s="145"/>
    </row>
    <row r="74" spans="1:41" x14ac:dyDescent="0.25">
      <c r="J74" s="145"/>
      <c r="R74" s="145"/>
      <c r="Z74" s="145"/>
      <c r="AH74" s="145"/>
    </row>
    <row r="75" spans="1:41" x14ac:dyDescent="0.25">
      <c r="A75" s="58" t="s">
        <v>162</v>
      </c>
      <c r="B75" s="73"/>
      <c r="C75" s="36" t="str">
        <f>Lookup!AQ3</f>
        <v>MC2</v>
      </c>
      <c r="D75" s="35" t="s">
        <v>181</v>
      </c>
      <c r="E75" s="140">
        <f>VLOOKUP(C75,'INP-Calc EFOR&amp;EUOR - 2019Plan'!$A$11:$AE$36,21)</f>
        <v>3.5113250760485597E-2</v>
      </c>
      <c r="F75" s="35" t="s">
        <v>226</v>
      </c>
      <c r="G75" s="140">
        <f>VLOOKUP(C75,'INP-Calc EFOR&amp;EUOR - 2019Plan'!$A$11:$AE$36,27)</f>
        <v>1.7501275929868318E-2</v>
      </c>
      <c r="H75" s="35" t="s">
        <v>182</v>
      </c>
      <c r="I75" s="140">
        <f>VLOOKUP(C75,'INP-Calc EFOR&amp;EUOR - 2019Plan'!$A$11:$AE$36,15)</f>
        <v>2.1999999999999999E-2</v>
      </c>
      <c r="J75" s="145"/>
      <c r="K75" s="36" t="str">
        <f>C75</f>
        <v>MC2</v>
      </c>
      <c r="L75" s="35" t="s">
        <v>181</v>
      </c>
      <c r="M75" s="140">
        <f>VLOOKUP(K75,'INP-Calc EFOR&amp;EUOR - 2019Plan'!$A$11:$AE$36,22)</f>
        <v>3.5113250760485597E-2</v>
      </c>
      <c r="N75" s="35" t="s">
        <v>226</v>
      </c>
      <c r="O75" s="140">
        <f>VLOOKUP(K75,'INP-Calc EFOR&amp;EUOR - 2019Plan'!$A$11:$AE$36,28)</f>
        <v>1.7501275929868318E-2</v>
      </c>
      <c r="P75" s="35" t="s">
        <v>182</v>
      </c>
      <c r="Q75" s="140">
        <f>VLOOKUP(K75,'INP-Calc EFOR&amp;EUOR - 2019Plan'!$A$11:$AE$36,16)</f>
        <v>2.1999999999999999E-2</v>
      </c>
      <c r="R75" s="145"/>
      <c r="S75" s="36" t="str">
        <f>K75</f>
        <v>MC2</v>
      </c>
      <c r="T75" s="35" t="s">
        <v>181</v>
      </c>
      <c r="U75" s="140">
        <f>VLOOKUP(S75,'INP-Calc EFOR&amp;EUOR - 2019Plan'!$A$11:$AE$36,23)</f>
        <v>3.5113250760485597E-2</v>
      </c>
      <c r="V75" s="35" t="s">
        <v>226</v>
      </c>
      <c r="W75" s="140">
        <f>VLOOKUP(S75,'INP-Calc EFOR&amp;EUOR - 2019Plan'!$A$11:$AE$36,29)</f>
        <v>1.7501275929868318E-2</v>
      </c>
      <c r="X75" s="35" t="s">
        <v>182</v>
      </c>
      <c r="Y75" s="140">
        <f>VLOOKUP(S75,'INP-Calc EFOR&amp;EUOR - 2019Plan'!$A$11:$AE$36,17)</f>
        <v>2.1999999999999999E-2</v>
      </c>
      <c r="Z75" s="145"/>
      <c r="AA75" s="36" t="str">
        <f>S75</f>
        <v>MC2</v>
      </c>
      <c r="AB75" s="35" t="s">
        <v>181</v>
      </c>
      <c r="AC75" s="140">
        <f>VLOOKUP(AA75,'INP-Calc EFOR&amp;EUOR - 2019Plan'!$A$11:$AE$36,24)</f>
        <v>3.5113250760485597E-2</v>
      </c>
      <c r="AD75" s="35" t="s">
        <v>226</v>
      </c>
      <c r="AE75" s="140">
        <f>VLOOKUP(AA75,'INP-Calc EFOR&amp;EUOR - 2019Plan'!$A$11:$AE$36,30)</f>
        <v>1.7501275929868318E-2</v>
      </c>
      <c r="AF75" s="35" t="s">
        <v>182</v>
      </c>
      <c r="AG75" s="140">
        <f>VLOOKUP(AA75,'INP-Calc EFOR&amp;EUOR - 2019Plan'!$A$11:$AE$36,18)</f>
        <v>2.1999999999999999E-2</v>
      </c>
      <c r="AH75" s="145"/>
      <c r="AI75" s="36" t="str">
        <f>AA75</f>
        <v>MC2</v>
      </c>
      <c r="AJ75" s="35" t="s">
        <v>181</v>
      </c>
      <c r="AK75" s="140">
        <f>VLOOKUP(AI75,'INP-Calc EFOR&amp;EUOR - 2019Plan'!$A$11:$AE$36,25)</f>
        <v>3.5113250760485597E-2</v>
      </c>
      <c r="AL75" s="35" t="s">
        <v>226</v>
      </c>
      <c r="AM75" s="140">
        <f>VLOOKUP(AI75,'INP-Calc EFOR&amp;EUOR - 2019Plan'!$A$11:$AE$36,31)</f>
        <v>1.7501275929868318E-2</v>
      </c>
      <c r="AN75" s="35" t="s">
        <v>182</v>
      </c>
      <c r="AO75" s="141">
        <f>VLOOKUP(AI75,'INP-Calc EFOR&amp;EUOR - 2019Plan'!$A$11:$AE$36,19)</f>
        <v>2.1999999999999999E-2</v>
      </c>
    </row>
    <row r="76" spans="1:41" x14ac:dyDescent="0.25">
      <c r="A76" s="36"/>
      <c r="B76" s="36"/>
      <c r="C76" s="36"/>
      <c r="D76" s="36"/>
      <c r="E76" s="36"/>
      <c r="F76" s="36"/>
      <c r="G76" s="37"/>
      <c r="H76" s="36"/>
      <c r="I76" s="36"/>
      <c r="J76" s="145"/>
      <c r="K76" s="36"/>
      <c r="L76" s="36"/>
      <c r="M76" s="36"/>
      <c r="N76" s="36"/>
      <c r="O76" s="37"/>
      <c r="P76" s="36"/>
      <c r="Q76" s="36"/>
      <c r="R76" s="145"/>
      <c r="S76" s="36"/>
      <c r="T76" s="36"/>
      <c r="U76" s="36"/>
      <c r="V76" s="36"/>
      <c r="W76" s="37"/>
      <c r="X76" s="36"/>
      <c r="Y76" s="36"/>
      <c r="Z76" s="145"/>
      <c r="AA76" s="36"/>
      <c r="AB76" s="36"/>
      <c r="AC76" s="36"/>
      <c r="AD76" s="36"/>
      <c r="AE76" s="37"/>
      <c r="AF76" s="36"/>
      <c r="AG76" s="36"/>
      <c r="AH76" s="145"/>
      <c r="AI76" s="36"/>
      <c r="AJ76" s="36"/>
      <c r="AK76" s="36"/>
      <c r="AL76" s="36"/>
      <c r="AM76" s="37"/>
      <c r="AN76" s="36"/>
      <c r="AO76" s="36"/>
    </row>
    <row r="77" spans="1:41" x14ac:dyDescent="0.25">
      <c r="A77" s="37" t="str">
        <f>A70</f>
        <v>BLOCK:</v>
      </c>
      <c r="B77" s="37"/>
      <c r="C77" s="38">
        <f>C70</f>
        <v>1</v>
      </c>
      <c r="D77" s="38">
        <f t="shared" ref="D77:I77" si="58">D70</f>
        <v>2</v>
      </c>
      <c r="E77" s="38">
        <f t="shared" si="58"/>
        <v>3</v>
      </c>
      <c r="F77" s="38">
        <f t="shared" si="58"/>
        <v>4</v>
      </c>
      <c r="G77" s="38">
        <f t="shared" si="58"/>
        <v>5</v>
      </c>
      <c r="H77" s="38">
        <f t="shared" si="58"/>
        <v>6</v>
      </c>
      <c r="I77" s="38" t="str">
        <f t="shared" si="58"/>
        <v>Tot Unit</v>
      </c>
      <c r="J77" s="145"/>
      <c r="K77" s="38">
        <f>K70</f>
        <v>1</v>
      </c>
      <c r="L77" s="38">
        <f t="shared" ref="L77:Q77" si="59">L70</f>
        <v>2</v>
      </c>
      <c r="M77" s="38">
        <f t="shared" si="59"/>
        <v>3</v>
      </c>
      <c r="N77" s="38">
        <f t="shared" si="59"/>
        <v>4</v>
      </c>
      <c r="O77" s="38">
        <f t="shared" si="59"/>
        <v>5</v>
      </c>
      <c r="P77" s="38">
        <f t="shared" si="59"/>
        <v>6</v>
      </c>
      <c r="Q77" s="38" t="str">
        <f t="shared" si="59"/>
        <v>Tot Unit</v>
      </c>
      <c r="R77" s="145"/>
      <c r="S77" s="38">
        <f>S70</f>
        <v>1</v>
      </c>
      <c r="T77" s="38">
        <f t="shared" ref="T77:Y77" si="60">T70</f>
        <v>2</v>
      </c>
      <c r="U77" s="38">
        <f t="shared" si="60"/>
        <v>3</v>
      </c>
      <c r="V77" s="38">
        <f t="shared" si="60"/>
        <v>4</v>
      </c>
      <c r="W77" s="38">
        <f t="shared" si="60"/>
        <v>5</v>
      </c>
      <c r="X77" s="38">
        <f t="shared" si="60"/>
        <v>6</v>
      </c>
      <c r="Y77" s="38" t="str">
        <f t="shared" si="60"/>
        <v>Tot Unit</v>
      </c>
      <c r="Z77" s="145"/>
      <c r="AA77" s="38">
        <f>AA70</f>
        <v>1</v>
      </c>
      <c r="AB77" s="38">
        <f t="shared" ref="AB77:AG77" si="61">AB70</f>
        <v>2</v>
      </c>
      <c r="AC77" s="38">
        <f t="shared" si="61"/>
        <v>3</v>
      </c>
      <c r="AD77" s="38">
        <f t="shared" si="61"/>
        <v>4</v>
      </c>
      <c r="AE77" s="38">
        <f t="shared" si="61"/>
        <v>5</v>
      </c>
      <c r="AF77" s="38">
        <f t="shared" si="61"/>
        <v>6</v>
      </c>
      <c r="AG77" s="38" t="str">
        <f t="shared" si="61"/>
        <v>Tot Unit</v>
      </c>
      <c r="AH77" s="145"/>
      <c r="AI77" s="38">
        <f>AI70</f>
        <v>1</v>
      </c>
      <c r="AJ77" s="38">
        <f t="shared" ref="AJ77:AO77" si="62">AJ70</f>
        <v>2</v>
      </c>
      <c r="AK77" s="38">
        <f t="shared" si="62"/>
        <v>3</v>
      </c>
      <c r="AL77" s="38">
        <f t="shared" si="62"/>
        <v>4</v>
      </c>
      <c r="AM77" s="38">
        <f t="shared" si="62"/>
        <v>5</v>
      </c>
      <c r="AN77" s="38">
        <f t="shared" si="62"/>
        <v>6</v>
      </c>
      <c r="AO77" s="38" t="str">
        <f t="shared" si="62"/>
        <v>Tot Unit</v>
      </c>
    </row>
    <row r="78" spans="1:41" x14ac:dyDescent="0.25">
      <c r="A78" s="37" t="str">
        <f t="shared" ref="A78:A79" si="63">A71</f>
        <v>State Capacity (I)</v>
      </c>
      <c r="B78" s="36"/>
      <c r="C78" s="142">
        <f>INDEX('Calc-Pivot abvals'!$H$20:$M$32,MATCH($C75,'Calc-Pivot abvals'!$G$20:$G$32,0),MATCH(C$7,'Calc-Pivot abvals'!$H$19:$M$19,0))</f>
        <v>147</v>
      </c>
      <c r="D78" s="142">
        <f>INDEX('Calc-Pivot abvals'!$H$20:$M$32,MATCH($C75,'Calc-Pivot abvals'!$G$20:$G$32,0),MATCH(D$7,'Calc-Pivot abvals'!$H$19:$M$19,0))</f>
        <v>207</v>
      </c>
      <c r="E78" s="142">
        <f>INDEX('Calc-Pivot abvals'!$H$20:$M$32,MATCH($C75,'Calc-Pivot abvals'!$G$20:$G$32,0),MATCH(E$7,'Calc-Pivot abvals'!$H$19:$M$19,0))</f>
        <v>217</v>
      </c>
      <c r="F78" s="142">
        <f>INDEX('Calc-Pivot abvals'!$H$20:$M$32,MATCH($C75,'Calc-Pivot abvals'!$G$20:$G$32,0),MATCH(F$7,'Calc-Pivot abvals'!$H$19:$M$19,0))</f>
        <v>257</v>
      </c>
      <c r="G78" s="142">
        <f>INDEX('Calc-Pivot abvals'!$H$20:$M$32,MATCH($C75,'Calc-Pivot abvals'!$G$20:$G$32,0),MATCH(G$7,'Calc-Pivot abvals'!$H$19:$M$19,0))</f>
        <v>277</v>
      </c>
      <c r="H78" s="142">
        <f>INDEX('Calc-Pivot abvals'!$H$20:$M$32,MATCH($C75,'Calc-Pivot abvals'!$G$20:$G$32,0),MATCH(H$7,'Calc-Pivot abvals'!$H$19:$M$19,0))</f>
        <v>297</v>
      </c>
      <c r="I78" s="142">
        <f>VLOOKUP($A$75,Lookup!$L$5:$M$19,2,FALSE)</f>
        <v>297</v>
      </c>
      <c r="J78" s="145"/>
      <c r="K78" s="142">
        <f>INDEX('Calc-Pivot abvals'!$H$20:$M$32,MATCH($K75,'Calc-Pivot abvals'!$G$20:$G$32,0),MATCH(K$7,'Calc-Pivot abvals'!$H$19:$M$19,0))</f>
        <v>147</v>
      </c>
      <c r="L78" s="142">
        <f>INDEX('Calc-Pivot abvals'!$H$20:$M$32,MATCH($K75,'Calc-Pivot abvals'!$G$20:$G$32,0),MATCH(L$7,'Calc-Pivot abvals'!$H$19:$M$19,0))</f>
        <v>207</v>
      </c>
      <c r="M78" s="142">
        <f>INDEX('Calc-Pivot abvals'!$H$20:$M$32,MATCH($K75,'Calc-Pivot abvals'!$G$20:$G$32,0),MATCH(M$7,'Calc-Pivot abvals'!$H$19:$M$19,0))</f>
        <v>217</v>
      </c>
      <c r="N78" s="142">
        <f>INDEX('Calc-Pivot abvals'!$H$20:$M$32,MATCH($K75,'Calc-Pivot abvals'!$G$20:$G$32,0),MATCH(N$7,'Calc-Pivot abvals'!$H$19:$M$19,0))</f>
        <v>257</v>
      </c>
      <c r="O78" s="142">
        <f>INDEX('Calc-Pivot abvals'!$H$20:$M$32,MATCH($K75,'Calc-Pivot abvals'!$G$20:$G$32,0),MATCH(O$7,'Calc-Pivot abvals'!$H$19:$M$19,0))</f>
        <v>277</v>
      </c>
      <c r="P78" s="142">
        <f>INDEX('Calc-Pivot abvals'!$H$20:$M$32,MATCH($K75,'Calc-Pivot abvals'!$G$20:$G$32,0),MATCH(P$7,'Calc-Pivot abvals'!$H$19:$M$19,0))</f>
        <v>297</v>
      </c>
      <c r="Q78" s="142">
        <f>VLOOKUP($A$75,Lookup!$L$5:$M$19,2,FALSE)</f>
        <v>297</v>
      </c>
      <c r="R78" s="145"/>
      <c r="S78" s="142">
        <f>INDEX('Calc-Pivot abvals'!$H$20:$M$32,MATCH($S75,'Calc-Pivot abvals'!$G$20:$G$32,0),MATCH(S$7,'Calc-Pivot abvals'!$H$19:$M$19,0))</f>
        <v>147</v>
      </c>
      <c r="T78" s="142">
        <f>INDEX('Calc-Pivot abvals'!$H$20:$M$32,MATCH($S75,'Calc-Pivot abvals'!$G$20:$G$32,0),MATCH(T$7,'Calc-Pivot abvals'!$H$19:$M$19,0))</f>
        <v>207</v>
      </c>
      <c r="U78" s="142">
        <f>INDEX('Calc-Pivot abvals'!$H$20:$M$32,MATCH($S75,'Calc-Pivot abvals'!$G$20:$G$32,0),MATCH(U$7,'Calc-Pivot abvals'!$H$19:$M$19,0))</f>
        <v>217</v>
      </c>
      <c r="V78" s="142">
        <f>INDEX('Calc-Pivot abvals'!$H$20:$M$32,MATCH($S75,'Calc-Pivot abvals'!$G$20:$G$32,0),MATCH(V$7,'Calc-Pivot abvals'!$H$19:$M$19,0))</f>
        <v>257</v>
      </c>
      <c r="W78" s="142">
        <f>INDEX('Calc-Pivot abvals'!$H$20:$M$32,MATCH($S75,'Calc-Pivot abvals'!$G$20:$G$32,0),MATCH(W$7,'Calc-Pivot abvals'!$H$19:$M$19,0))</f>
        <v>277</v>
      </c>
      <c r="X78" s="142">
        <f>INDEX('Calc-Pivot abvals'!$H$20:$M$32,MATCH($S75,'Calc-Pivot abvals'!$G$20:$G$32,0),MATCH(X$7,'Calc-Pivot abvals'!$H$19:$M$19,0))</f>
        <v>297</v>
      </c>
      <c r="Y78" s="142">
        <f>VLOOKUP($A$75,Lookup!$L$5:$M$19,2,FALSE)</f>
        <v>297</v>
      </c>
      <c r="Z78" s="145"/>
      <c r="AA78" s="142">
        <f>INDEX('Calc-Pivot abvals'!$H$20:$M$32,MATCH($AA75,'Calc-Pivot abvals'!$G$20:$G$32,0),MATCH(AA$7,'Calc-Pivot abvals'!$H$19:$M$19,0))</f>
        <v>147</v>
      </c>
      <c r="AB78" s="142">
        <f>INDEX('Calc-Pivot abvals'!$H$20:$M$32,MATCH($AA75,'Calc-Pivot abvals'!$G$20:$G$32,0),MATCH(AB$7,'Calc-Pivot abvals'!$H$19:$M$19,0))</f>
        <v>207</v>
      </c>
      <c r="AC78" s="142">
        <f>INDEX('Calc-Pivot abvals'!$H$20:$M$32,MATCH($AA75,'Calc-Pivot abvals'!$G$20:$G$32,0),MATCH(AC$7,'Calc-Pivot abvals'!$H$19:$M$19,0))</f>
        <v>217</v>
      </c>
      <c r="AD78" s="142">
        <f>INDEX('Calc-Pivot abvals'!$H$20:$M$32,MATCH($AA75,'Calc-Pivot abvals'!$G$20:$G$32,0),MATCH(AD$7,'Calc-Pivot abvals'!$H$19:$M$19,0))</f>
        <v>257</v>
      </c>
      <c r="AE78" s="142">
        <f>INDEX('Calc-Pivot abvals'!$H$20:$M$32,MATCH($AA75,'Calc-Pivot abvals'!$G$20:$G$32,0),MATCH(AE$7,'Calc-Pivot abvals'!$H$19:$M$19,0))</f>
        <v>277</v>
      </c>
      <c r="AF78" s="142">
        <f>INDEX('Calc-Pivot abvals'!$H$20:$M$32,MATCH($AA75,'Calc-Pivot abvals'!$G$20:$G$32,0),MATCH(AF$7,'Calc-Pivot abvals'!$H$19:$M$19,0))</f>
        <v>297</v>
      </c>
      <c r="AG78" s="142">
        <f>VLOOKUP($A$75,Lookup!$L$5:$M$19,2,FALSE)</f>
        <v>297</v>
      </c>
      <c r="AH78" s="145"/>
      <c r="AI78" s="142">
        <f>INDEX('Calc-Pivot abvals'!$H$20:$M$32,MATCH($AI75,'Calc-Pivot abvals'!$G$20:$G$32,0),MATCH(AI$7,'Calc-Pivot abvals'!$H$19:$M$19,0))</f>
        <v>147</v>
      </c>
      <c r="AJ78" s="142">
        <f>INDEX('Calc-Pivot abvals'!$H$20:$M$32,MATCH($AI75,'Calc-Pivot abvals'!$G$20:$G$32,0),MATCH(AJ$7,'Calc-Pivot abvals'!$H$19:$M$19,0))</f>
        <v>207</v>
      </c>
      <c r="AK78" s="142">
        <f>INDEX('Calc-Pivot abvals'!$H$20:$M$32,MATCH($AI75,'Calc-Pivot abvals'!$G$20:$G$32,0),MATCH(AK$7,'Calc-Pivot abvals'!$H$19:$M$19,0))</f>
        <v>217</v>
      </c>
      <c r="AL78" s="142">
        <f>INDEX('Calc-Pivot abvals'!$H$20:$M$32,MATCH($AI75,'Calc-Pivot abvals'!$G$20:$G$32,0),MATCH(AL$7,'Calc-Pivot abvals'!$H$19:$M$19,0))</f>
        <v>257</v>
      </c>
      <c r="AM78" s="142">
        <f>INDEX('Calc-Pivot abvals'!$H$20:$M$32,MATCH($AI75,'Calc-Pivot abvals'!$G$20:$G$32,0),MATCH(AM$7,'Calc-Pivot abvals'!$H$19:$M$19,0))</f>
        <v>277</v>
      </c>
      <c r="AN78" s="142">
        <f>INDEX('Calc-Pivot abvals'!$H$20:$M$32,MATCH($AI75,'Calc-Pivot abvals'!$G$20:$G$32,0),MATCH(AN$7,'Calc-Pivot abvals'!$H$19:$M$19,0))</f>
        <v>297</v>
      </c>
      <c r="AO78" s="142">
        <f>VLOOKUP($A$75,Lookup!$L$5:$M$19,2,FALSE)</f>
        <v>297</v>
      </c>
    </row>
    <row r="79" spans="1:41" x14ac:dyDescent="0.25">
      <c r="A79" s="35" t="str">
        <f t="shared" si="63"/>
        <v>GADS Yr Availability: GADS only (C)</v>
      </c>
      <c r="B79" s="35"/>
      <c r="C79" s="78">
        <f ca="1">INDEX(AvailableStates!$D$3:$I$82,MATCH($C75,AvailableStates!$B$3:$B$82,0)+MATCH('Calc- Prosym Setup'!$C$4,AvailableStates!$C$3:$C$7)-1,MATCH('Calc- Prosym Setup'!C$7,AvailableStates!$D$2:$I$2,0))</f>
        <v>8.7716461390377563E-4</v>
      </c>
      <c r="D79" s="78">
        <f ca="1">INDEX(AvailableStates!$D$3:$I$82,MATCH($C75,AvailableStates!$B$3:$B$82,0)+MATCH('Calc- Prosym Setup'!$C$4,AvailableStates!$C$3:$C$7)-1,MATCH('Calc- Prosym Setup'!D$7,AvailableStates!$D$2:$I$2,0))</f>
        <v>5.1584551128682231E-2</v>
      </c>
      <c r="E79" s="78">
        <f ca="1">INDEX(AvailableStates!$D$3:$I$82,MATCH($C75,AvailableStates!$B$3:$B$82,0)+MATCH('Calc- Prosym Setup'!$C$4,AvailableStates!$C$3:$C$7)-1,MATCH('Calc- Prosym Setup'!E$7,AvailableStates!$D$2:$I$2,0))</f>
        <v>9.4923365324275216E-4</v>
      </c>
      <c r="F79" s="78">
        <f ca="1">INDEX(AvailableStates!$D$3:$I$82,MATCH($C75,AvailableStates!$B$3:$B$82,0)+MATCH('Calc- Prosym Setup'!$C$4,AvailableStates!$C$3:$C$7)-1,MATCH('Calc- Prosym Setup'!F$7,AvailableStates!$D$2:$I$2,0))</f>
        <v>1.907232459917413E-3</v>
      </c>
      <c r="G79" s="78">
        <f ca="1">INDEX(AvailableStates!$D$3:$I$82,MATCH($C75,AvailableStates!$B$3:$B$82,0)+MATCH('Calc- Prosym Setup'!$C$4,AvailableStates!$C$3:$C$7)-1,MATCH('Calc- Prosym Setup'!G$7,AvailableStates!$D$2:$I$2,0))</f>
        <v>4.447611990634686E-3</v>
      </c>
      <c r="H79" s="78">
        <f ca="1">INDEX(AvailableStates!$D$3:$I$82,MATCH($C75,AvailableStates!$B$3:$B$82,0)+MATCH('Calc- Prosym Setup'!$C$4,AvailableStates!$C$3:$C$7)-1,MATCH('Calc- Prosym Setup'!H$7,AvailableStates!$D$2:$I$2,0))</f>
        <v>0.88312095539313362</v>
      </c>
      <c r="I79" s="78">
        <f ca="1">SUM(C79:H79)</f>
        <v>0.94288674923951443</v>
      </c>
      <c r="J79" s="145"/>
      <c r="K79" s="78">
        <f ca="1">INDEX(AvailableStates!$D$3:$I$82,MATCH($K75,AvailableStates!$B$3:$B$82,0)+MATCH('Calc- Prosym Setup'!$K$4,AvailableStates!$C$3:$C$7)-1,MATCH('Calc- Prosym Setup'!K$7,AvailableStates!$D$2:$I$2,0))</f>
        <v>8.7716461390377563E-4</v>
      </c>
      <c r="L79" s="78">
        <f ca="1">INDEX(AvailableStates!$D$3:$I$82,MATCH($K75,AvailableStates!$B$3:$B$82,0)+MATCH('Calc- Prosym Setup'!$K$4,AvailableStates!$C$3:$C$7)-1,MATCH('Calc- Prosym Setup'!L$7,AvailableStates!$D$2:$I$2,0))</f>
        <v>5.1584551128682231E-2</v>
      </c>
      <c r="M79" s="78">
        <f ca="1">INDEX(AvailableStates!$D$3:$I$82,MATCH($K75,AvailableStates!$B$3:$B$82,0)+MATCH('Calc- Prosym Setup'!$K$4,AvailableStates!$C$3:$C$7)-1,MATCH('Calc- Prosym Setup'!M$7,AvailableStates!$D$2:$I$2,0))</f>
        <v>9.4923365324275216E-4</v>
      </c>
      <c r="N79" s="78">
        <f ca="1">INDEX(AvailableStates!$D$3:$I$82,MATCH($K75,AvailableStates!$B$3:$B$82,0)+MATCH('Calc- Prosym Setup'!$K$4,AvailableStates!$C$3:$C$7)-1,MATCH('Calc- Prosym Setup'!N$7,AvailableStates!$D$2:$I$2,0))</f>
        <v>1.907232459917413E-3</v>
      </c>
      <c r="O79" s="78">
        <f ca="1">INDEX(AvailableStates!$D$3:$I$82,MATCH($K75,AvailableStates!$B$3:$B$82,0)+MATCH('Calc- Prosym Setup'!$K$4,AvailableStates!$C$3:$C$7)-1,MATCH('Calc- Prosym Setup'!O$7,AvailableStates!$D$2:$I$2,0))</f>
        <v>4.447611990634686E-3</v>
      </c>
      <c r="P79" s="78">
        <f ca="1">INDEX(AvailableStates!$D$3:$I$82,MATCH($K75,AvailableStates!$B$3:$B$82,0)+MATCH('Calc- Prosym Setup'!$K$4,AvailableStates!$C$3:$C$7)-1,MATCH('Calc- Prosym Setup'!P$7,AvailableStates!$D$2:$I$2,0))</f>
        <v>0.88312095539313362</v>
      </c>
      <c r="Q79" s="78">
        <f ca="1">SUM(K79:P79)</f>
        <v>0.94288674923951443</v>
      </c>
      <c r="R79" s="145"/>
      <c r="S79" s="78">
        <f ca="1">INDEX(AvailableStates!$D$3:$I$82,MATCH($S75,AvailableStates!$B$3:$B$82,0)+MATCH('Calc- Prosym Setup'!$S$4,AvailableStates!$C$3:$C$7)-1,MATCH('Calc- Prosym Setup'!S$7,AvailableStates!$D$2:$I$2,0))</f>
        <v>8.7716461390377563E-4</v>
      </c>
      <c r="T79" s="78">
        <f ca="1">INDEX(AvailableStates!$D$3:$I$82,MATCH($S75,AvailableStates!$B$3:$B$82,0)+MATCH('Calc- Prosym Setup'!$S$4,AvailableStates!$C$3:$C$7)-1,MATCH('Calc- Prosym Setup'!T$7,AvailableStates!$D$2:$I$2,0))</f>
        <v>5.1584551128682231E-2</v>
      </c>
      <c r="U79" s="78">
        <f ca="1">INDEX(AvailableStates!$D$3:$I$82,MATCH($S75,AvailableStates!$B$3:$B$82,0)+MATCH('Calc- Prosym Setup'!$S$4,AvailableStates!$C$3:$C$7)-1,MATCH('Calc- Prosym Setup'!U$7,AvailableStates!$D$2:$I$2,0))</f>
        <v>9.4923365324275216E-4</v>
      </c>
      <c r="V79" s="78">
        <f ca="1">INDEX(AvailableStates!$D$3:$I$82,MATCH($S75,AvailableStates!$B$3:$B$82,0)+MATCH('Calc- Prosym Setup'!$S$4,AvailableStates!$C$3:$C$7)-1,MATCH('Calc- Prosym Setup'!V$7,AvailableStates!$D$2:$I$2,0))</f>
        <v>1.907232459917413E-3</v>
      </c>
      <c r="W79" s="78">
        <f ca="1">INDEX(AvailableStates!$D$3:$I$82,MATCH($S75,AvailableStates!$B$3:$B$82,0)+MATCH('Calc- Prosym Setup'!$S$4,AvailableStates!$C$3:$C$7)-1,MATCH('Calc- Prosym Setup'!W$7,AvailableStates!$D$2:$I$2,0))</f>
        <v>4.447611990634686E-3</v>
      </c>
      <c r="X79" s="78">
        <f ca="1">INDEX(AvailableStates!$D$3:$I$82,MATCH($S75,AvailableStates!$B$3:$B$82,0)+MATCH('Calc- Prosym Setup'!$S$4,AvailableStates!$C$3:$C$7)-1,MATCH('Calc- Prosym Setup'!X$7,AvailableStates!$D$2:$I$2,0))</f>
        <v>0.88312095539313362</v>
      </c>
      <c r="Y79" s="78">
        <f ca="1">SUM(S79:X79)</f>
        <v>0.94288674923951443</v>
      </c>
      <c r="Z79" s="145"/>
      <c r="AA79" s="78">
        <f ca="1">INDEX(AvailableStates!$D$3:$I$82,MATCH($AA75,AvailableStates!$B$3:$B$82,0)+MATCH('Calc- Prosym Setup'!$AA$4,AvailableStates!$C$3:$C$7)-1,MATCH('Calc- Prosym Setup'!AA$7,AvailableStates!$D$2:$I$2,0))</f>
        <v>8.7716461390377563E-4</v>
      </c>
      <c r="AB79" s="78">
        <f ca="1">INDEX(AvailableStates!$D$3:$I$82,MATCH($AA75,AvailableStates!$B$3:$B$82,0)+MATCH('Calc- Prosym Setup'!$AA$4,AvailableStates!$C$3:$C$7)-1,MATCH('Calc- Prosym Setup'!AB$7,AvailableStates!$D$2:$I$2,0))</f>
        <v>5.1584551128682231E-2</v>
      </c>
      <c r="AC79" s="78">
        <f ca="1">INDEX(AvailableStates!$D$3:$I$82,MATCH($AA75,AvailableStates!$B$3:$B$82,0)+MATCH('Calc- Prosym Setup'!$AA$4,AvailableStates!$C$3:$C$7)-1,MATCH('Calc- Prosym Setup'!AC$7,AvailableStates!$D$2:$I$2,0))</f>
        <v>9.4923365324275216E-4</v>
      </c>
      <c r="AD79" s="78">
        <f ca="1">INDEX(AvailableStates!$D$3:$I$82,MATCH($AA75,AvailableStates!$B$3:$B$82,0)+MATCH('Calc- Prosym Setup'!$AA$4,AvailableStates!$C$3:$C$7)-1,MATCH('Calc- Prosym Setup'!AD$7,AvailableStates!$D$2:$I$2,0))</f>
        <v>1.907232459917413E-3</v>
      </c>
      <c r="AE79" s="78">
        <f ca="1">INDEX(AvailableStates!$D$3:$I$82,MATCH($AA75,AvailableStates!$B$3:$B$82,0)+MATCH('Calc- Prosym Setup'!$AA$4,AvailableStates!$C$3:$C$7)-1,MATCH('Calc- Prosym Setup'!AE$7,AvailableStates!$D$2:$I$2,0))</f>
        <v>4.447611990634686E-3</v>
      </c>
      <c r="AF79" s="78">
        <f ca="1">INDEX(AvailableStates!$D$3:$I$82,MATCH($AA75,AvailableStates!$B$3:$B$82,0)+MATCH('Calc- Prosym Setup'!$AA$4,AvailableStates!$C$3:$C$7)-1,MATCH('Calc- Prosym Setup'!AF$7,AvailableStates!$D$2:$I$2,0))</f>
        <v>0.88312095539313362</v>
      </c>
      <c r="AG79" s="78">
        <f ca="1">SUM(AA79:AF79)</f>
        <v>0.94288674923951443</v>
      </c>
      <c r="AH79" s="145"/>
      <c r="AI79" s="78">
        <f ca="1">INDEX(AvailableStates!$D$3:$I$82,MATCH($AI75,AvailableStates!$B$3:$B$82,0)+MATCH('Calc- Prosym Setup'!$AI$4,AvailableStates!$C$3:$C$7)-1,MATCH('Calc- Prosym Setup'!AI$7,AvailableStates!$D$2:$I$2,0))</f>
        <v>8.7716461390377563E-4</v>
      </c>
      <c r="AJ79" s="78">
        <f ca="1">INDEX(AvailableStates!$D$3:$I$82,MATCH($AI75,AvailableStates!$B$3:$B$82,0)+MATCH('Calc- Prosym Setup'!$AI$4,AvailableStates!$C$3:$C$7)-1,MATCH('Calc- Prosym Setup'!AJ$7,AvailableStates!$D$2:$I$2,0))</f>
        <v>5.1584551128682231E-2</v>
      </c>
      <c r="AK79" s="78">
        <f ca="1">INDEX(AvailableStates!$D$3:$I$82,MATCH($AI75,AvailableStates!$B$3:$B$82,0)+MATCH('Calc- Prosym Setup'!$AI$4,AvailableStates!$C$3:$C$7)-1,MATCH('Calc- Prosym Setup'!AK$7,AvailableStates!$D$2:$I$2,0))</f>
        <v>9.4923365324275216E-4</v>
      </c>
      <c r="AL79" s="78">
        <f ca="1">INDEX(AvailableStates!$D$3:$I$82,MATCH($AI75,AvailableStates!$B$3:$B$82,0)+MATCH('Calc- Prosym Setup'!$AI$4,AvailableStates!$C$3:$C$7)-1,MATCH('Calc- Prosym Setup'!AL$7,AvailableStates!$D$2:$I$2,0))</f>
        <v>1.907232459917413E-3</v>
      </c>
      <c r="AM79" s="78">
        <f ca="1">INDEX(AvailableStates!$D$3:$I$82,MATCH($AI75,AvailableStates!$B$3:$B$82,0)+MATCH('Calc- Prosym Setup'!$AI$4,AvailableStates!$C$3:$C$7)-1,MATCH('Calc- Prosym Setup'!AM$7,AvailableStates!$D$2:$I$2,0))</f>
        <v>4.447611990634686E-3</v>
      </c>
      <c r="AN79" s="78">
        <f ca="1">INDEX(AvailableStates!$D$3:$I$82,MATCH($AI75,AvailableStates!$B$3:$B$82,0)+MATCH('Calc- Prosym Setup'!$AI$4,AvailableStates!$C$3:$C$7)-1,MATCH('Calc- Prosym Setup'!AN$7,AvailableStates!$D$2:$I$2,0))</f>
        <v>0.88312095539313362</v>
      </c>
      <c r="AO79" s="78">
        <f ca="1">SUM(AI79:AN79)</f>
        <v>0.94288674923951443</v>
      </c>
    </row>
    <row r="80" spans="1:41" x14ac:dyDescent="0.25">
      <c r="J80" s="145"/>
      <c r="R80" s="145"/>
      <c r="Z80" s="145"/>
      <c r="AH80" s="145"/>
    </row>
    <row r="81" spans="1:41" x14ac:dyDescent="0.25">
      <c r="J81" s="145"/>
      <c r="R81" s="145"/>
      <c r="Z81" s="145"/>
      <c r="AH81" s="145"/>
    </row>
    <row r="82" spans="1:41" x14ac:dyDescent="0.25">
      <c r="A82" s="58" t="s">
        <v>163</v>
      </c>
      <c r="B82" s="73"/>
      <c r="C82" s="36" t="str">
        <f>Lookup!AR3</f>
        <v>MC3</v>
      </c>
      <c r="D82" s="35" t="s">
        <v>181</v>
      </c>
      <c r="E82" s="140">
        <f>VLOOKUP(C82,'INP-Calc EFOR&amp;EUOR - 2019Plan'!$A$11:$AE$36,21)</f>
        <v>3.5113250760485597E-2</v>
      </c>
      <c r="F82" s="35" t="s">
        <v>226</v>
      </c>
      <c r="G82" s="140">
        <f>VLOOKUP(C82,'INP-Calc EFOR&amp;EUOR - 2019Plan'!$A$11:$AE$36,27)</f>
        <v>1.7501275929868318E-2</v>
      </c>
      <c r="H82" s="35" t="s">
        <v>182</v>
      </c>
      <c r="I82" s="140">
        <f>VLOOKUP(C82,'INP-Calc EFOR&amp;EUOR - 2019Plan'!$A$11:$AE$36,15)</f>
        <v>2.1999999999999999E-2</v>
      </c>
      <c r="J82" s="145"/>
      <c r="K82" s="36" t="str">
        <f>C82</f>
        <v>MC3</v>
      </c>
      <c r="L82" s="35" t="s">
        <v>181</v>
      </c>
      <c r="M82" s="140">
        <f>VLOOKUP(K82,'INP-Calc EFOR&amp;EUOR - 2019Plan'!$A$11:$AE$36,22)</f>
        <v>3.5113250760485597E-2</v>
      </c>
      <c r="N82" s="35" t="s">
        <v>226</v>
      </c>
      <c r="O82" s="140">
        <f>VLOOKUP(K82,'INP-Calc EFOR&amp;EUOR - 2019Plan'!$A$11:$AE$36,28)</f>
        <v>1.7501275929868318E-2</v>
      </c>
      <c r="P82" s="35" t="s">
        <v>182</v>
      </c>
      <c r="Q82" s="140">
        <f>VLOOKUP(K82,'INP-Calc EFOR&amp;EUOR - 2019Plan'!$A$11:$AE$36,16)</f>
        <v>2.1999999999999999E-2</v>
      </c>
      <c r="R82" s="145"/>
      <c r="S82" s="36" t="str">
        <f>K82</f>
        <v>MC3</v>
      </c>
      <c r="T82" s="35" t="s">
        <v>181</v>
      </c>
      <c r="U82" s="140">
        <f>VLOOKUP(S82,'INP-Calc EFOR&amp;EUOR - 2019Plan'!$A$11:$AE$36,23)</f>
        <v>3.5113250760485597E-2</v>
      </c>
      <c r="V82" s="35" t="s">
        <v>226</v>
      </c>
      <c r="W82" s="140">
        <f>VLOOKUP(S82,'INP-Calc EFOR&amp;EUOR - 2019Plan'!$A$11:$AE$36,29)</f>
        <v>1.7501275929868318E-2</v>
      </c>
      <c r="X82" s="35" t="s">
        <v>182</v>
      </c>
      <c r="Y82" s="140">
        <f>VLOOKUP(S82,'INP-Calc EFOR&amp;EUOR - 2019Plan'!$A$11:$AE$36,17)</f>
        <v>2.1999999999999999E-2</v>
      </c>
      <c r="Z82" s="145"/>
      <c r="AA82" s="36" t="str">
        <f>S82</f>
        <v>MC3</v>
      </c>
      <c r="AB82" s="35" t="s">
        <v>181</v>
      </c>
      <c r="AC82" s="140">
        <f>VLOOKUP(AA82,'INP-Calc EFOR&amp;EUOR - 2019Plan'!$A$11:$AE$36,24)</f>
        <v>3.5113250760485597E-2</v>
      </c>
      <c r="AD82" s="35" t="s">
        <v>226</v>
      </c>
      <c r="AE82" s="140">
        <f>VLOOKUP(AA82,'INP-Calc EFOR&amp;EUOR - 2019Plan'!$A$11:$AE$36,30)</f>
        <v>1.7501275929868318E-2</v>
      </c>
      <c r="AF82" s="35" t="s">
        <v>182</v>
      </c>
      <c r="AG82" s="140">
        <f>VLOOKUP(AA82,'INP-Calc EFOR&amp;EUOR - 2019Plan'!$A$11:$AE$36,18)</f>
        <v>2.1999999999999999E-2</v>
      </c>
      <c r="AH82" s="145"/>
      <c r="AI82" s="36" t="str">
        <f>AA82</f>
        <v>MC3</v>
      </c>
      <c r="AJ82" s="35" t="s">
        <v>181</v>
      </c>
      <c r="AK82" s="140">
        <f>VLOOKUP(AI82,'INP-Calc EFOR&amp;EUOR - 2019Plan'!$A$11:$AE$36,25)</f>
        <v>3.5113250760485597E-2</v>
      </c>
      <c r="AL82" s="35" t="s">
        <v>226</v>
      </c>
      <c r="AM82" s="140">
        <f>VLOOKUP(AI82,'INP-Calc EFOR&amp;EUOR - 2019Plan'!$A$11:$AE$36,31)</f>
        <v>1.7501275929868318E-2</v>
      </c>
      <c r="AN82" s="35" t="s">
        <v>182</v>
      </c>
      <c r="AO82" s="141">
        <f>VLOOKUP(AI82,'INP-Calc EFOR&amp;EUOR - 2019Plan'!$A$11:$AE$36,19)</f>
        <v>2.1999999999999999E-2</v>
      </c>
    </row>
    <row r="83" spans="1:41" x14ac:dyDescent="0.25">
      <c r="A83" s="36"/>
      <c r="B83" s="36"/>
      <c r="C83" s="36"/>
      <c r="D83" s="36"/>
      <c r="E83" s="36"/>
      <c r="F83" s="36"/>
      <c r="G83" s="37"/>
      <c r="H83" s="36"/>
      <c r="I83" s="36"/>
      <c r="J83" s="145"/>
      <c r="K83" s="36"/>
      <c r="L83" s="36"/>
      <c r="M83" s="36"/>
      <c r="N83" s="36"/>
      <c r="O83" s="37"/>
      <c r="P83" s="36"/>
      <c r="Q83" s="36"/>
      <c r="R83" s="145"/>
      <c r="S83" s="36"/>
      <c r="T83" s="36"/>
      <c r="U83" s="36"/>
      <c r="V83" s="36"/>
      <c r="W83" s="37"/>
      <c r="X83" s="36"/>
      <c r="Y83" s="36"/>
      <c r="Z83" s="145"/>
      <c r="AA83" s="36"/>
      <c r="AB83" s="36"/>
      <c r="AC83" s="36"/>
      <c r="AD83" s="36"/>
      <c r="AE83" s="37"/>
      <c r="AF83" s="36"/>
      <c r="AG83" s="36"/>
      <c r="AH83" s="145"/>
      <c r="AI83" s="36"/>
      <c r="AJ83" s="36"/>
      <c r="AK83" s="36"/>
      <c r="AL83" s="36"/>
      <c r="AM83" s="37"/>
      <c r="AN83" s="36"/>
      <c r="AO83" s="36"/>
    </row>
    <row r="84" spans="1:41" x14ac:dyDescent="0.25">
      <c r="A84" s="37" t="str">
        <f>A77</f>
        <v>BLOCK:</v>
      </c>
      <c r="B84" s="37"/>
      <c r="C84" s="38">
        <f>C77</f>
        <v>1</v>
      </c>
      <c r="D84" s="38">
        <f t="shared" ref="D84:I84" si="64">D77</f>
        <v>2</v>
      </c>
      <c r="E84" s="38">
        <f t="shared" si="64"/>
        <v>3</v>
      </c>
      <c r="F84" s="38">
        <f t="shared" si="64"/>
        <v>4</v>
      </c>
      <c r="G84" s="38">
        <f t="shared" si="64"/>
        <v>5</v>
      </c>
      <c r="H84" s="38">
        <f t="shared" si="64"/>
        <v>6</v>
      </c>
      <c r="I84" s="38" t="str">
        <f t="shared" si="64"/>
        <v>Tot Unit</v>
      </c>
      <c r="J84" s="145"/>
      <c r="K84" s="38">
        <f>K77</f>
        <v>1</v>
      </c>
      <c r="L84" s="38">
        <f t="shared" ref="L84:Q84" si="65">L77</f>
        <v>2</v>
      </c>
      <c r="M84" s="38">
        <f t="shared" si="65"/>
        <v>3</v>
      </c>
      <c r="N84" s="38">
        <f t="shared" si="65"/>
        <v>4</v>
      </c>
      <c r="O84" s="38">
        <f t="shared" si="65"/>
        <v>5</v>
      </c>
      <c r="P84" s="38">
        <f t="shared" si="65"/>
        <v>6</v>
      </c>
      <c r="Q84" s="38" t="str">
        <f t="shared" si="65"/>
        <v>Tot Unit</v>
      </c>
      <c r="R84" s="145"/>
      <c r="S84" s="38">
        <f>S77</f>
        <v>1</v>
      </c>
      <c r="T84" s="38">
        <f t="shared" ref="T84:Y84" si="66">T77</f>
        <v>2</v>
      </c>
      <c r="U84" s="38">
        <f t="shared" si="66"/>
        <v>3</v>
      </c>
      <c r="V84" s="38">
        <f t="shared" si="66"/>
        <v>4</v>
      </c>
      <c r="W84" s="38">
        <f t="shared" si="66"/>
        <v>5</v>
      </c>
      <c r="X84" s="38">
        <f t="shared" si="66"/>
        <v>6</v>
      </c>
      <c r="Y84" s="38" t="str">
        <f t="shared" si="66"/>
        <v>Tot Unit</v>
      </c>
      <c r="Z84" s="145"/>
      <c r="AA84" s="38">
        <f>AA77</f>
        <v>1</v>
      </c>
      <c r="AB84" s="38">
        <f t="shared" ref="AB84:AG84" si="67">AB77</f>
        <v>2</v>
      </c>
      <c r="AC84" s="38">
        <f t="shared" si="67"/>
        <v>3</v>
      </c>
      <c r="AD84" s="38">
        <f t="shared" si="67"/>
        <v>4</v>
      </c>
      <c r="AE84" s="38">
        <f t="shared" si="67"/>
        <v>5</v>
      </c>
      <c r="AF84" s="38">
        <f t="shared" si="67"/>
        <v>6</v>
      </c>
      <c r="AG84" s="38" t="str">
        <f t="shared" si="67"/>
        <v>Tot Unit</v>
      </c>
      <c r="AH84" s="145"/>
      <c r="AI84" s="38">
        <f>AI77</f>
        <v>1</v>
      </c>
      <c r="AJ84" s="38">
        <f t="shared" ref="AJ84:AO84" si="68">AJ77</f>
        <v>2</v>
      </c>
      <c r="AK84" s="38">
        <f t="shared" si="68"/>
        <v>3</v>
      </c>
      <c r="AL84" s="38">
        <f t="shared" si="68"/>
        <v>4</v>
      </c>
      <c r="AM84" s="38">
        <f t="shared" si="68"/>
        <v>5</v>
      </c>
      <c r="AN84" s="38">
        <f t="shared" si="68"/>
        <v>6</v>
      </c>
      <c r="AO84" s="38" t="str">
        <f t="shared" si="68"/>
        <v>Tot Unit</v>
      </c>
    </row>
    <row r="85" spans="1:41" x14ac:dyDescent="0.25">
      <c r="A85" s="37" t="str">
        <f t="shared" ref="A85:A86" si="69">A78</f>
        <v>State Capacity (I)</v>
      </c>
      <c r="B85" s="37"/>
      <c r="C85" s="142">
        <f>INDEX('Calc-Pivot abvals'!$H$20:$M$32,MATCH($C82,'Calc-Pivot abvals'!$G$20:$G$32,0),MATCH(C$7,'Calc-Pivot abvals'!$H$19:$M$19,0))</f>
        <v>170</v>
      </c>
      <c r="D85" s="142">
        <f>INDEX('Calc-Pivot abvals'!$H$20:$M$32,MATCH($C82,'Calc-Pivot abvals'!$G$20:$G$32,0),MATCH(D$7,'Calc-Pivot abvals'!$H$19:$M$19,0))</f>
        <v>204</v>
      </c>
      <c r="E85" s="142">
        <f>INDEX('Calc-Pivot abvals'!$H$20:$M$32,MATCH($C82,'Calc-Pivot abvals'!$G$20:$G$32,0),MATCH(E$7,'Calc-Pivot abvals'!$H$19:$M$19,0))</f>
        <v>234</v>
      </c>
      <c r="F85" s="142">
        <f>INDEX('Calc-Pivot abvals'!$H$20:$M$32,MATCH($C82,'Calc-Pivot abvals'!$G$20:$G$32,0),MATCH(F$7,'Calc-Pivot abvals'!$H$19:$M$19,0))</f>
        <v>314</v>
      </c>
      <c r="G85" s="142">
        <f>INDEX('Calc-Pivot abvals'!$H$20:$M$32,MATCH($C82,'Calc-Pivot abvals'!$G$20:$G$32,0),MATCH(G$7,'Calc-Pivot abvals'!$H$19:$M$19,0))</f>
        <v>354</v>
      </c>
      <c r="H85" s="142">
        <f>INDEX('Calc-Pivot abvals'!$H$20:$M$32,MATCH($C82,'Calc-Pivot abvals'!$G$20:$G$32,0),MATCH(H$7,'Calc-Pivot abvals'!$H$19:$M$19,0))</f>
        <v>394</v>
      </c>
      <c r="I85" s="142">
        <f>VLOOKUP($A$82,Lookup!$L$5:$M$19,2,FALSE)</f>
        <v>394</v>
      </c>
      <c r="J85" s="145"/>
      <c r="K85" s="142">
        <f>INDEX('Calc-Pivot abvals'!$H$20:$M$32,MATCH($K82,'Calc-Pivot abvals'!$G$20:$G$32,0),MATCH(K$7,'Calc-Pivot abvals'!$H$19:$M$19,0))</f>
        <v>170</v>
      </c>
      <c r="L85" s="142">
        <f>INDEX('Calc-Pivot abvals'!$H$20:$M$32,MATCH($K82,'Calc-Pivot abvals'!$G$20:$G$32,0),MATCH(L$7,'Calc-Pivot abvals'!$H$19:$M$19,0))</f>
        <v>204</v>
      </c>
      <c r="M85" s="142">
        <f>INDEX('Calc-Pivot abvals'!$H$20:$M$32,MATCH($K82,'Calc-Pivot abvals'!$G$20:$G$32,0),MATCH(M$7,'Calc-Pivot abvals'!$H$19:$M$19,0))</f>
        <v>234</v>
      </c>
      <c r="N85" s="142">
        <f>INDEX('Calc-Pivot abvals'!$H$20:$M$32,MATCH($K82,'Calc-Pivot abvals'!$G$20:$G$32,0),MATCH(N$7,'Calc-Pivot abvals'!$H$19:$M$19,0))</f>
        <v>314</v>
      </c>
      <c r="O85" s="142">
        <f>INDEX('Calc-Pivot abvals'!$H$20:$M$32,MATCH($K82,'Calc-Pivot abvals'!$G$20:$G$32,0),MATCH(O$7,'Calc-Pivot abvals'!$H$19:$M$19,0))</f>
        <v>354</v>
      </c>
      <c r="P85" s="142">
        <f>INDEX('Calc-Pivot abvals'!$H$20:$M$32,MATCH($K82,'Calc-Pivot abvals'!$G$20:$G$32,0),MATCH(P$7,'Calc-Pivot abvals'!$H$19:$M$19,0))</f>
        <v>394</v>
      </c>
      <c r="Q85" s="142">
        <f>VLOOKUP($A$82,Lookup!$L$5:$M$19,2,FALSE)</f>
        <v>394</v>
      </c>
      <c r="R85" s="145"/>
      <c r="S85" s="142">
        <f>INDEX('Calc-Pivot abvals'!$H$20:$M$32,MATCH($S82,'Calc-Pivot abvals'!$G$20:$G$32,0),MATCH(S$7,'Calc-Pivot abvals'!$H$19:$M$19,0))</f>
        <v>170</v>
      </c>
      <c r="T85" s="142">
        <f>INDEX('Calc-Pivot abvals'!$H$20:$M$32,MATCH($S82,'Calc-Pivot abvals'!$G$20:$G$32,0),MATCH(T$7,'Calc-Pivot abvals'!$H$19:$M$19,0))</f>
        <v>204</v>
      </c>
      <c r="U85" s="142">
        <f>INDEX('Calc-Pivot abvals'!$H$20:$M$32,MATCH($S82,'Calc-Pivot abvals'!$G$20:$G$32,0),MATCH(U$7,'Calc-Pivot abvals'!$H$19:$M$19,0))</f>
        <v>234</v>
      </c>
      <c r="V85" s="142">
        <f>INDEX('Calc-Pivot abvals'!$H$20:$M$32,MATCH($S82,'Calc-Pivot abvals'!$G$20:$G$32,0),MATCH(V$7,'Calc-Pivot abvals'!$H$19:$M$19,0))</f>
        <v>314</v>
      </c>
      <c r="W85" s="142">
        <f>INDEX('Calc-Pivot abvals'!$H$20:$M$32,MATCH($S82,'Calc-Pivot abvals'!$G$20:$G$32,0),MATCH(W$7,'Calc-Pivot abvals'!$H$19:$M$19,0))</f>
        <v>354</v>
      </c>
      <c r="X85" s="142">
        <f>INDEX('Calc-Pivot abvals'!$H$20:$M$32,MATCH($S82,'Calc-Pivot abvals'!$G$20:$G$32,0),MATCH(X$7,'Calc-Pivot abvals'!$H$19:$M$19,0))</f>
        <v>394</v>
      </c>
      <c r="Y85" s="142">
        <f>VLOOKUP($A$82,Lookup!$L$5:$M$19,2,FALSE)</f>
        <v>394</v>
      </c>
      <c r="Z85" s="145"/>
      <c r="AA85" s="142">
        <f>INDEX('Calc-Pivot abvals'!$H$20:$M$32,MATCH($AA82,'Calc-Pivot abvals'!$G$20:$G$32,0),MATCH(AA$7,'Calc-Pivot abvals'!$H$19:$M$19,0))</f>
        <v>170</v>
      </c>
      <c r="AB85" s="142">
        <f>INDEX('Calc-Pivot abvals'!$H$20:$M$32,MATCH($AA82,'Calc-Pivot abvals'!$G$20:$G$32,0),MATCH(AB$7,'Calc-Pivot abvals'!$H$19:$M$19,0))</f>
        <v>204</v>
      </c>
      <c r="AC85" s="142">
        <f>INDEX('Calc-Pivot abvals'!$H$20:$M$32,MATCH($AA82,'Calc-Pivot abvals'!$G$20:$G$32,0),MATCH(AC$7,'Calc-Pivot abvals'!$H$19:$M$19,0))</f>
        <v>234</v>
      </c>
      <c r="AD85" s="142">
        <f>INDEX('Calc-Pivot abvals'!$H$20:$M$32,MATCH($AA82,'Calc-Pivot abvals'!$G$20:$G$32,0),MATCH(AD$7,'Calc-Pivot abvals'!$H$19:$M$19,0))</f>
        <v>314</v>
      </c>
      <c r="AE85" s="142">
        <f>INDEX('Calc-Pivot abvals'!$H$20:$M$32,MATCH($AA82,'Calc-Pivot abvals'!$G$20:$G$32,0),MATCH(AE$7,'Calc-Pivot abvals'!$H$19:$M$19,0))</f>
        <v>354</v>
      </c>
      <c r="AF85" s="142">
        <f>INDEX('Calc-Pivot abvals'!$H$20:$M$32,MATCH($AA82,'Calc-Pivot abvals'!$G$20:$G$32,0),MATCH(AF$7,'Calc-Pivot abvals'!$H$19:$M$19,0))</f>
        <v>394</v>
      </c>
      <c r="AG85" s="142">
        <f>VLOOKUP($A$82,Lookup!$L$5:$M$19,2,FALSE)</f>
        <v>394</v>
      </c>
      <c r="AH85" s="145"/>
      <c r="AI85" s="142">
        <f>INDEX('Calc-Pivot abvals'!$H$20:$M$32,MATCH($AI82,'Calc-Pivot abvals'!$G$20:$G$32,0),MATCH(AI$7,'Calc-Pivot abvals'!$H$19:$M$19,0))</f>
        <v>170</v>
      </c>
      <c r="AJ85" s="142">
        <f>INDEX('Calc-Pivot abvals'!$H$20:$M$32,MATCH($AI82,'Calc-Pivot abvals'!$G$20:$G$32,0),MATCH(AJ$7,'Calc-Pivot abvals'!$H$19:$M$19,0))</f>
        <v>204</v>
      </c>
      <c r="AK85" s="142">
        <f>INDEX('Calc-Pivot abvals'!$H$20:$M$32,MATCH($AI82,'Calc-Pivot abvals'!$G$20:$G$32,0),MATCH(AK$7,'Calc-Pivot abvals'!$H$19:$M$19,0))</f>
        <v>234</v>
      </c>
      <c r="AL85" s="142">
        <f>INDEX('Calc-Pivot abvals'!$H$20:$M$32,MATCH($AI82,'Calc-Pivot abvals'!$G$20:$G$32,0),MATCH(AL$7,'Calc-Pivot abvals'!$H$19:$M$19,0))</f>
        <v>314</v>
      </c>
      <c r="AM85" s="142">
        <f>INDEX('Calc-Pivot abvals'!$H$20:$M$32,MATCH($AI82,'Calc-Pivot abvals'!$G$20:$G$32,0),MATCH(AM$7,'Calc-Pivot abvals'!$H$19:$M$19,0))</f>
        <v>354</v>
      </c>
      <c r="AN85" s="142">
        <f>INDEX('Calc-Pivot abvals'!$H$20:$M$32,MATCH($AI82,'Calc-Pivot abvals'!$G$20:$G$32,0),MATCH(AN$7,'Calc-Pivot abvals'!$H$19:$M$19,0))</f>
        <v>394</v>
      </c>
      <c r="AO85" s="142">
        <f>VLOOKUP($A$82,Lookup!$L$5:$M$19,2,FALSE)</f>
        <v>394</v>
      </c>
    </row>
    <row r="86" spans="1:41" x14ac:dyDescent="0.25">
      <c r="A86" s="35" t="str">
        <f t="shared" si="69"/>
        <v>GADS Yr Availability: GADS only (C)</v>
      </c>
      <c r="B86" s="35"/>
      <c r="C86" s="78">
        <f ca="1">INDEX(AvailableStates!$D$3:$I$82,MATCH($C82,AvailableStates!$B$3:$B$82,0)+MATCH('Calc- Prosym Setup'!$C$4,AvailableStates!$C$3:$C$7)-1,MATCH('Calc- Prosym Setup'!C$7,AvailableStates!$D$2:$I$2,0))</f>
        <v>2.0258783540593177E-2</v>
      </c>
      <c r="D86" s="78">
        <f ca="1">INDEX(AvailableStates!$D$3:$I$82,MATCH($C82,AvailableStates!$B$3:$B$82,0)+MATCH('Calc- Prosym Setup'!$C$4,AvailableStates!$C$3:$C$7)-1,MATCH('Calc- Prosym Setup'!D$7,AvailableStates!$D$2:$I$2,0))</f>
        <v>3.4360395595441459E-3</v>
      </c>
      <c r="E86" s="78">
        <f ca="1">INDEX(AvailableStates!$D$3:$I$82,MATCH($C82,AvailableStates!$B$3:$B$82,0)+MATCH('Calc- Prosym Setup'!$C$4,AvailableStates!$C$3:$C$7)-1,MATCH('Calc- Prosym Setup'!E$7,AvailableStates!$D$2:$I$2,0))</f>
        <v>6.2414031771451323E-3</v>
      </c>
      <c r="F86" s="78">
        <f ca="1">INDEX(AvailableStates!$D$3:$I$82,MATCH($C82,AvailableStates!$B$3:$B$82,0)+MATCH('Calc- Prosym Setup'!$C$4,AvailableStates!$C$3:$C$7)-1,MATCH('Calc- Prosym Setup'!F$7,AvailableStates!$D$2:$I$2,0))</f>
        <v>2.5795660581292043E-3</v>
      </c>
      <c r="G86" s="78">
        <f ca="1">INDEX(AvailableStates!$D$3:$I$82,MATCH($C82,AvailableStates!$B$3:$B$82,0)+MATCH('Calc- Prosym Setup'!$C$4,AvailableStates!$C$3:$C$7)-1,MATCH('Calc- Prosym Setup'!G$7,AvailableStates!$D$2:$I$2,0))</f>
        <v>6.4393594492214278E-3</v>
      </c>
      <c r="H86" s="78">
        <f ca="1">INDEX(AvailableStates!$D$3:$I$82,MATCH($C82,AvailableStates!$B$3:$B$82,0)+MATCH('Calc- Prosym Setup'!$C$4,AvailableStates!$C$3:$C$7)-1,MATCH('Calc- Prosym Setup'!H$7,AvailableStates!$D$2:$I$2,0))</f>
        <v>0.90393159745488139</v>
      </c>
      <c r="I86" s="78">
        <f ca="1">SUM(C86:H86)</f>
        <v>0.94288674923951443</v>
      </c>
      <c r="J86" s="145"/>
      <c r="K86" s="78">
        <f ca="1">INDEX(AvailableStates!$D$3:$I$82,MATCH($K82,AvailableStates!$B$3:$B$82,0)+MATCH('Calc- Prosym Setup'!$K$4,AvailableStates!$C$3:$C$7)-1,MATCH('Calc- Prosym Setup'!K$7,AvailableStates!$D$2:$I$2,0))</f>
        <v>2.0258783540593177E-2</v>
      </c>
      <c r="L86" s="78">
        <f ca="1">INDEX(AvailableStates!$D$3:$I$82,MATCH($K82,AvailableStates!$B$3:$B$82,0)+MATCH('Calc- Prosym Setup'!$K$4,AvailableStates!$C$3:$C$7)-1,MATCH('Calc- Prosym Setup'!L$7,AvailableStates!$D$2:$I$2,0))</f>
        <v>3.4360395595441459E-3</v>
      </c>
      <c r="M86" s="78">
        <f ca="1">INDEX(AvailableStates!$D$3:$I$82,MATCH($K82,AvailableStates!$B$3:$B$82,0)+MATCH('Calc- Prosym Setup'!$K$4,AvailableStates!$C$3:$C$7)-1,MATCH('Calc- Prosym Setup'!M$7,AvailableStates!$D$2:$I$2,0))</f>
        <v>6.2414031771451323E-3</v>
      </c>
      <c r="N86" s="78">
        <f ca="1">INDEX(AvailableStates!$D$3:$I$82,MATCH($K82,AvailableStates!$B$3:$B$82,0)+MATCH('Calc- Prosym Setup'!$K$4,AvailableStates!$C$3:$C$7)-1,MATCH('Calc- Prosym Setup'!N$7,AvailableStates!$D$2:$I$2,0))</f>
        <v>2.5795660581292043E-3</v>
      </c>
      <c r="O86" s="78">
        <f ca="1">INDEX(AvailableStates!$D$3:$I$82,MATCH($K82,AvailableStates!$B$3:$B$82,0)+MATCH('Calc- Prosym Setup'!$K$4,AvailableStates!$C$3:$C$7)-1,MATCH('Calc- Prosym Setup'!O$7,AvailableStates!$D$2:$I$2,0))</f>
        <v>6.4393594492214278E-3</v>
      </c>
      <c r="P86" s="78">
        <f ca="1">INDEX(AvailableStates!$D$3:$I$82,MATCH($K82,AvailableStates!$B$3:$B$82,0)+MATCH('Calc- Prosym Setup'!$K$4,AvailableStates!$C$3:$C$7)-1,MATCH('Calc- Prosym Setup'!P$7,AvailableStates!$D$2:$I$2,0))</f>
        <v>0.90393159745488139</v>
      </c>
      <c r="Q86" s="78">
        <f ca="1">SUM(K86:P86)</f>
        <v>0.94288674923951443</v>
      </c>
      <c r="R86" s="145"/>
      <c r="S86" s="78">
        <f ca="1">INDEX(AvailableStates!$D$3:$I$82,MATCH($S82,AvailableStates!$B$3:$B$82,0)+MATCH('Calc- Prosym Setup'!$S$4,AvailableStates!$C$3:$C$7)-1,MATCH('Calc- Prosym Setup'!S$7,AvailableStates!$D$2:$I$2,0))</f>
        <v>2.0258783540593177E-2</v>
      </c>
      <c r="T86" s="78">
        <f ca="1">INDEX(AvailableStates!$D$3:$I$82,MATCH($S82,AvailableStates!$B$3:$B$82,0)+MATCH('Calc- Prosym Setup'!$S$4,AvailableStates!$C$3:$C$7)-1,MATCH('Calc- Prosym Setup'!T$7,AvailableStates!$D$2:$I$2,0))</f>
        <v>3.4360395595441459E-3</v>
      </c>
      <c r="U86" s="78">
        <f ca="1">INDEX(AvailableStates!$D$3:$I$82,MATCH($S82,AvailableStates!$B$3:$B$82,0)+MATCH('Calc- Prosym Setup'!$S$4,AvailableStates!$C$3:$C$7)-1,MATCH('Calc- Prosym Setup'!U$7,AvailableStates!$D$2:$I$2,0))</f>
        <v>6.2414031771451323E-3</v>
      </c>
      <c r="V86" s="78">
        <f ca="1">INDEX(AvailableStates!$D$3:$I$82,MATCH($S82,AvailableStates!$B$3:$B$82,0)+MATCH('Calc- Prosym Setup'!$S$4,AvailableStates!$C$3:$C$7)-1,MATCH('Calc- Prosym Setup'!V$7,AvailableStates!$D$2:$I$2,0))</f>
        <v>2.5795660581292043E-3</v>
      </c>
      <c r="W86" s="78">
        <f ca="1">INDEX(AvailableStates!$D$3:$I$82,MATCH($S82,AvailableStates!$B$3:$B$82,0)+MATCH('Calc- Prosym Setup'!$S$4,AvailableStates!$C$3:$C$7)-1,MATCH('Calc- Prosym Setup'!W$7,AvailableStates!$D$2:$I$2,0))</f>
        <v>6.4393594492214278E-3</v>
      </c>
      <c r="X86" s="78">
        <f ca="1">INDEX(AvailableStates!$D$3:$I$82,MATCH($S82,AvailableStates!$B$3:$B$82,0)+MATCH('Calc- Prosym Setup'!$S$4,AvailableStates!$C$3:$C$7)-1,MATCH('Calc- Prosym Setup'!X$7,AvailableStates!$D$2:$I$2,0))</f>
        <v>0.90393159745488139</v>
      </c>
      <c r="Y86" s="78">
        <f ca="1">SUM(S86:X86)</f>
        <v>0.94288674923951443</v>
      </c>
      <c r="Z86" s="145"/>
      <c r="AA86" s="78">
        <f ca="1">INDEX(AvailableStates!$D$3:$I$82,MATCH($AA82,AvailableStates!$B$3:$B$82,0)+MATCH('Calc- Prosym Setup'!$AA$4,AvailableStates!$C$3:$C$7)-1,MATCH('Calc- Prosym Setup'!AA$7,AvailableStates!$D$2:$I$2,0))</f>
        <v>2.0258783540593177E-2</v>
      </c>
      <c r="AB86" s="78">
        <f ca="1">INDEX(AvailableStates!$D$3:$I$82,MATCH($AA82,AvailableStates!$B$3:$B$82,0)+MATCH('Calc- Prosym Setup'!$AA$4,AvailableStates!$C$3:$C$7)-1,MATCH('Calc- Prosym Setup'!AB$7,AvailableStates!$D$2:$I$2,0))</f>
        <v>3.4360395595441459E-3</v>
      </c>
      <c r="AC86" s="78">
        <f ca="1">INDEX(AvailableStates!$D$3:$I$82,MATCH($AA82,AvailableStates!$B$3:$B$82,0)+MATCH('Calc- Prosym Setup'!$AA$4,AvailableStates!$C$3:$C$7)-1,MATCH('Calc- Prosym Setup'!AC$7,AvailableStates!$D$2:$I$2,0))</f>
        <v>6.2414031771451323E-3</v>
      </c>
      <c r="AD86" s="78">
        <f ca="1">INDEX(AvailableStates!$D$3:$I$82,MATCH($AA82,AvailableStates!$B$3:$B$82,0)+MATCH('Calc- Prosym Setup'!$AA$4,AvailableStates!$C$3:$C$7)-1,MATCH('Calc- Prosym Setup'!AD$7,AvailableStates!$D$2:$I$2,0))</f>
        <v>2.5795660581292043E-3</v>
      </c>
      <c r="AE86" s="78">
        <f ca="1">INDEX(AvailableStates!$D$3:$I$82,MATCH($AA82,AvailableStates!$B$3:$B$82,0)+MATCH('Calc- Prosym Setup'!$AA$4,AvailableStates!$C$3:$C$7)-1,MATCH('Calc- Prosym Setup'!AE$7,AvailableStates!$D$2:$I$2,0))</f>
        <v>6.4393594492214278E-3</v>
      </c>
      <c r="AF86" s="78">
        <f ca="1">INDEX(AvailableStates!$D$3:$I$82,MATCH($AA82,AvailableStates!$B$3:$B$82,0)+MATCH('Calc- Prosym Setup'!$AA$4,AvailableStates!$C$3:$C$7)-1,MATCH('Calc- Prosym Setup'!AF$7,AvailableStates!$D$2:$I$2,0))</f>
        <v>0.90393159745488139</v>
      </c>
      <c r="AG86" s="78">
        <f ca="1">SUM(AA86:AF86)</f>
        <v>0.94288674923951443</v>
      </c>
      <c r="AH86" s="145"/>
      <c r="AI86" s="78">
        <f ca="1">INDEX(AvailableStates!$D$3:$I$82,MATCH($AI82,AvailableStates!$B$3:$B$82,0)+MATCH('Calc- Prosym Setup'!$AI$4,AvailableStates!$C$3:$C$7)-1,MATCH('Calc- Prosym Setup'!AI$7,AvailableStates!$D$2:$I$2,0))</f>
        <v>2.0258783540593177E-2</v>
      </c>
      <c r="AJ86" s="78">
        <f ca="1">INDEX(AvailableStates!$D$3:$I$82,MATCH($AI82,AvailableStates!$B$3:$B$82,0)+MATCH('Calc- Prosym Setup'!$AI$4,AvailableStates!$C$3:$C$7)-1,MATCH('Calc- Prosym Setup'!AJ$7,AvailableStates!$D$2:$I$2,0))</f>
        <v>3.4360395595441459E-3</v>
      </c>
      <c r="AK86" s="78">
        <f ca="1">INDEX(AvailableStates!$D$3:$I$82,MATCH($AI82,AvailableStates!$B$3:$B$82,0)+MATCH('Calc- Prosym Setup'!$AI$4,AvailableStates!$C$3:$C$7)-1,MATCH('Calc- Prosym Setup'!AK$7,AvailableStates!$D$2:$I$2,0))</f>
        <v>6.2414031771451323E-3</v>
      </c>
      <c r="AL86" s="78">
        <f ca="1">INDEX(AvailableStates!$D$3:$I$82,MATCH($AI82,AvailableStates!$B$3:$B$82,0)+MATCH('Calc- Prosym Setup'!$AI$4,AvailableStates!$C$3:$C$7)-1,MATCH('Calc- Prosym Setup'!AL$7,AvailableStates!$D$2:$I$2,0))</f>
        <v>2.5795660581292043E-3</v>
      </c>
      <c r="AM86" s="78">
        <f ca="1">INDEX(AvailableStates!$D$3:$I$82,MATCH($AI82,AvailableStates!$B$3:$B$82,0)+MATCH('Calc- Prosym Setup'!$AI$4,AvailableStates!$C$3:$C$7)-1,MATCH('Calc- Prosym Setup'!AM$7,AvailableStates!$D$2:$I$2,0))</f>
        <v>6.4393594492214278E-3</v>
      </c>
      <c r="AN86" s="78">
        <f ca="1">INDEX(AvailableStates!$D$3:$I$82,MATCH($AI82,AvailableStates!$B$3:$B$82,0)+MATCH('Calc- Prosym Setup'!$AI$4,AvailableStates!$C$3:$C$7)-1,MATCH('Calc- Prosym Setup'!AN$7,AvailableStates!$D$2:$I$2,0))</f>
        <v>0.90393159745488139</v>
      </c>
      <c r="AO86" s="78">
        <f ca="1">SUM(AI86:AN86)</f>
        <v>0.94288674923951443</v>
      </c>
    </row>
    <row r="87" spans="1:41" x14ac:dyDescent="0.25">
      <c r="J87" s="145"/>
      <c r="R87" s="145"/>
      <c r="Z87" s="145"/>
      <c r="AH87" s="145"/>
    </row>
    <row r="88" spans="1:41" x14ac:dyDescent="0.25">
      <c r="J88" s="145"/>
      <c r="R88" s="145"/>
      <c r="Z88" s="145"/>
      <c r="AH88" s="145"/>
    </row>
    <row r="89" spans="1:41" x14ac:dyDescent="0.25">
      <c r="A89" s="58" t="s">
        <v>164</v>
      </c>
      <c r="B89" s="73"/>
      <c r="C89" s="36" t="str">
        <f>Lookup!AS3</f>
        <v>MC4</v>
      </c>
      <c r="D89" s="35" t="s">
        <v>181</v>
      </c>
      <c r="E89" s="140">
        <f>VLOOKUP(C89,'INP-Calc EFOR&amp;EUOR - 2019Plan'!$A$11:$AE$36,21)</f>
        <v>3.5113250760485597E-2</v>
      </c>
      <c r="F89" s="35" t="s">
        <v>226</v>
      </c>
      <c r="G89" s="140">
        <f>VLOOKUP(C89,'INP-Calc EFOR&amp;EUOR - 2019Plan'!$A$11:$AE$36,27)</f>
        <v>1.7501275929868318E-2</v>
      </c>
      <c r="H89" s="35" t="s">
        <v>182</v>
      </c>
      <c r="I89" s="140">
        <f>VLOOKUP(C89,'INP-Calc EFOR&amp;EUOR - 2019Plan'!$A$11:$AE$36,15)</f>
        <v>2.1999999999999999E-2</v>
      </c>
      <c r="J89" s="145"/>
      <c r="K89" s="36" t="str">
        <f>C89</f>
        <v>MC4</v>
      </c>
      <c r="L89" s="35" t="s">
        <v>181</v>
      </c>
      <c r="M89" s="140">
        <f>VLOOKUP(K89,'INP-Calc EFOR&amp;EUOR - 2019Plan'!$A$11:$AE$36,22)</f>
        <v>3.5113250760485597E-2</v>
      </c>
      <c r="N89" s="35" t="s">
        <v>226</v>
      </c>
      <c r="O89" s="140">
        <f>VLOOKUP(K89,'INP-Calc EFOR&amp;EUOR - 2019Plan'!$A$11:$AE$36,28)</f>
        <v>1.7501275929868318E-2</v>
      </c>
      <c r="P89" s="35" t="s">
        <v>182</v>
      </c>
      <c r="Q89" s="140">
        <f>VLOOKUP(K89,'INP-Calc EFOR&amp;EUOR - 2019Plan'!$A$11:$AE$36,16)</f>
        <v>2.1999999999999999E-2</v>
      </c>
      <c r="R89" s="145"/>
      <c r="S89" s="36" t="str">
        <f>K89</f>
        <v>MC4</v>
      </c>
      <c r="T89" s="35" t="s">
        <v>181</v>
      </c>
      <c r="U89" s="140">
        <f>VLOOKUP(S89,'INP-Calc EFOR&amp;EUOR - 2019Plan'!$A$11:$AE$36,23)</f>
        <v>3.5113250760485597E-2</v>
      </c>
      <c r="V89" s="35" t="s">
        <v>226</v>
      </c>
      <c r="W89" s="140">
        <f>VLOOKUP(S89,'INP-Calc EFOR&amp;EUOR - 2019Plan'!$A$11:$AE$36,29)</f>
        <v>1.7501275929868318E-2</v>
      </c>
      <c r="X89" s="35" t="s">
        <v>182</v>
      </c>
      <c r="Y89" s="140">
        <f>VLOOKUP(S89,'INP-Calc EFOR&amp;EUOR - 2019Plan'!$A$11:$AE$36,17)</f>
        <v>2.1999999999999999E-2</v>
      </c>
      <c r="Z89" s="145"/>
      <c r="AA89" s="36" t="str">
        <f>S89</f>
        <v>MC4</v>
      </c>
      <c r="AB89" s="35" t="s">
        <v>181</v>
      </c>
      <c r="AC89" s="140">
        <f>VLOOKUP(AA89,'INP-Calc EFOR&amp;EUOR - 2019Plan'!$A$11:$AE$36,24)</f>
        <v>3.5113250760485597E-2</v>
      </c>
      <c r="AD89" s="35" t="s">
        <v>226</v>
      </c>
      <c r="AE89" s="140">
        <f>VLOOKUP(AA89,'INP-Calc EFOR&amp;EUOR - 2019Plan'!$A$11:$AE$36,30)</f>
        <v>1.7501275929868318E-2</v>
      </c>
      <c r="AF89" s="35" t="s">
        <v>182</v>
      </c>
      <c r="AG89" s="140">
        <f>VLOOKUP(AA89,'INP-Calc EFOR&amp;EUOR - 2019Plan'!$A$11:$AE$36,18)</f>
        <v>2.1999999999999999E-2</v>
      </c>
      <c r="AH89" s="145"/>
      <c r="AI89" s="36" t="str">
        <f>AA89</f>
        <v>MC4</v>
      </c>
      <c r="AJ89" s="35" t="s">
        <v>181</v>
      </c>
      <c r="AK89" s="140">
        <f>VLOOKUP(AI89,'INP-Calc EFOR&amp;EUOR - 2019Plan'!$A$11:$AE$36,25)</f>
        <v>3.5113250760485597E-2</v>
      </c>
      <c r="AL89" s="35" t="s">
        <v>226</v>
      </c>
      <c r="AM89" s="140">
        <f>VLOOKUP(AI89,'INP-Calc EFOR&amp;EUOR - 2019Plan'!$A$11:$AE$36,31)</f>
        <v>1.7501275929868318E-2</v>
      </c>
      <c r="AN89" s="35" t="s">
        <v>182</v>
      </c>
      <c r="AO89" s="141">
        <f>VLOOKUP(AI89,'INP-Calc EFOR&amp;EUOR - 2019Plan'!$A$11:$AE$36,19)</f>
        <v>2.1999999999999999E-2</v>
      </c>
    </row>
    <row r="90" spans="1:41" x14ac:dyDescent="0.25">
      <c r="A90" s="36"/>
      <c r="B90" s="36"/>
      <c r="C90" s="36"/>
      <c r="D90" s="36"/>
      <c r="E90" s="36"/>
      <c r="F90" s="36"/>
      <c r="G90" s="37"/>
      <c r="H90" s="36"/>
      <c r="I90" s="36"/>
      <c r="J90" s="145"/>
      <c r="K90" s="36"/>
      <c r="L90" s="36"/>
      <c r="M90" s="36"/>
      <c r="N90" s="36"/>
      <c r="O90" s="37"/>
      <c r="P90" s="36"/>
      <c r="Q90" s="36"/>
      <c r="R90" s="145"/>
      <c r="S90" s="36"/>
      <c r="T90" s="36"/>
      <c r="U90" s="36"/>
      <c r="V90" s="36"/>
      <c r="W90" s="37"/>
      <c r="X90" s="36"/>
      <c r="Y90" s="36"/>
      <c r="Z90" s="145"/>
      <c r="AA90" s="36"/>
      <c r="AB90" s="36"/>
      <c r="AC90" s="36"/>
      <c r="AD90" s="36"/>
      <c r="AE90" s="37"/>
      <c r="AF90" s="36"/>
      <c r="AG90" s="36"/>
      <c r="AH90" s="145"/>
      <c r="AI90" s="36"/>
      <c r="AJ90" s="36"/>
      <c r="AK90" s="36"/>
      <c r="AL90" s="36"/>
      <c r="AM90" s="37"/>
      <c r="AN90" s="36"/>
      <c r="AO90" s="36"/>
    </row>
    <row r="91" spans="1:41" x14ac:dyDescent="0.25">
      <c r="A91" s="37" t="str">
        <f>A84</f>
        <v>BLOCK:</v>
      </c>
      <c r="B91" s="37"/>
      <c r="C91" s="38">
        <f>C84</f>
        <v>1</v>
      </c>
      <c r="D91" s="38">
        <f t="shared" ref="D91:I91" si="70">D84</f>
        <v>2</v>
      </c>
      <c r="E91" s="38">
        <f t="shared" si="70"/>
        <v>3</v>
      </c>
      <c r="F91" s="38">
        <f t="shared" si="70"/>
        <v>4</v>
      </c>
      <c r="G91" s="38">
        <f t="shared" si="70"/>
        <v>5</v>
      </c>
      <c r="H91" s="38">
        <f t="shared" si="70"/>
        <v>6</v>
      </c>
      <c r="I91" s="38" t="str">
        <f t="shared" si="70"/>
        <v>Tot Unit</v>
      </c>
      <c r="J91" s="145"/>
      <c r="K91" s="38">
        <f>K84</f>
        <v>1</v>
      </c>
      <c r="L91" s="38">
        <f t="shared" ref="L91:Q91" si="71">L84</f>
        <v>2</v>
      </c>
      <c r="M91" s="38">
        <f t="shared" si="71"/>
        <v>3</v>
      </c>
      <c r="N91" s="38">
        <f t="shared" si="71"/>
        <v>4</v>
      </c>
      <c r="O91" s="38">
        <f t="shared" si="71"/>
        <v>5</v>
      </c>
      <c r="P91" s="38">
        <f t="shared" si="71"/>
        <v>6</v>
      </c>
      <c r="Q91" s="38" t="str">
        <f t="shared" si="71"/>
        <v>Tot Unit</v>
      </c>
      <c r="R91" s="145"/>
      <c r="S91" s="38">
        <f>S84</f>
        <v>1</v>
      </c>
      <c r="T91" s="38">
        <f t="shared" ref="T91:Y91" si="72">T84</f>
        <v>2</v>
      </c>
      <c r="U91" s="38">
        <f t="shared" si="72"/>
        <v>3</v>
      </c>
      <c r="V91" s="38">
        <f t="shared" si="72"/>
        <v>4</v>
      </c>
      <c r="W91" s="38">
        <f t="shared" si="72"/>
        <v>5</v>
      </c>
      <c r="X91" s="38">
        <f t="shared" si="72"/>
        <v>6</v>
      </c>
      <c r="Y91" s="38" t="str">
        <f t="shared" si="72"/>
        <v>Tot Unit</v>
      </c>
      <c r="Z91" s="145"/>
      <c r="AA91" s="38">
        <f>AA84</f>
        <v>1</v>
      </c>
      <c r="AB91" s="38">
        <f t="shared" ref="AB91:AG91" si="73">AB84</f>
        <v>2</v>
      </c>
      <c r="AC91" s="38">
        <f t="shared" si="73"/>
        <v>3</v>
      </c>
      <c r="AD91" s="38">
        <f t="shared" si="73"/>
        <v>4</v>
      </c>
      <c r="AE91" s="38">
        <f t="shared" si="73"/>
        <v>5</v>
      </c>
      <c r="AF91" s="38">
        <f t="shared" si="73"/>
        <v>6</v>
      </c>
      <c r="AG91" s="38" t="str">
        <f t="shared" si="73"/>
        <v>Tot Unit</v>
      </c>
      <c r="AH91" s="145"/>
      <c r="AI91" s="38">
        <f>AI84</f>
        <v>1</v>
      </c>
      <c r="AJ91" s="38">
        <f t="shared" ref="AJ91:AO91" si="74">AJ84</f>
        <v>2</v>
      </c>
      <c r="AK91" s="38">
        <f t="shared" si="74"/>
        <v>3</v>
      </c>
      <c r="AL91" s="38">
        <f t="shared" si="74"/>
        <v>4</v>
      </c>
      <c r="AM91" s="38">
        <f t="shared" si="74"/>
        <v>5</v>
      </c>
      <c r="AN91" s="38">
        <f t="shared" si="74"/>
        <v>6</v>
      </c>
      <c r="AO91" s="38" t="str">
        <f t="shared" si="74"/>
        <v>Tot Unit</v>
      </c>
    </row>
    <row r="92" spans="1:41" x14ac:dyDescent="0.25">
      <c r="A92" s="37" t="str">
        <f t="shared" ref="A92:A93" si="75">A85</f>
        <v>State Capacity (I)</v>
      </c>
      <c r="B92" s="36"/>
      <c r="C92" s="142">
        <f>INDEX('Calc-Pivot abvals'!$H$20:$M$32,MATCH($C89,'Calc-Pivot abvals'!$G$20:$G$32,0),MATCH(C$7,'Calc-Pivot abvals'!$H$19:$M$19,0))</f>
        <v>175</v>
      </c>
      <c r="D92" s="142">
        <f>INDEX('Calc-Pivot abvals'!$H$20:$M$32,MATCH($C89,'Calc-Pivot abvals'!$G$20:$G$32,0),MATCH(D$7,'Calc-Pivot abvals'!$H$19:$M$19,0))</f>
        <v>296</v>
      </c>
      <c r="E92" s="142">
        <f>INDEX('Calc-Pivot abvals'!$H$20:$M$32,MATCH($C89,'Calc-Pivot abvals'!$G$20:$G$32,0),MATCH(E$7,'Calc-Pivot abvals'!$H$19:$M$19,0))</f>
        <v>326</v>
      </c>
      <c r="F92" s="142">
        <f>INDEX('Calc-Pivot abvals'!$H$20:$M$32,MATCH($C89,'Calc-Pivot abvals'!$G$20:$G$32,0),MATCH(F$7,'Calc-Pivot abvals'!$H$19:$M$19,0))</f>
        <v>406</v>
      </c>
      <c r="G92" s="142">
        <f>INDEX('Calc-Pivot abvals'!$H$20:$M$32,MATCH($C89,'Calc-Pivot abvals'!$G$20:$G$32,0),MATCH(G$7,'Calc-Pivot abvals'!$H$19:$M$19,0))</f>
        <v>446</v>
      </c>
      <c r="H92" s="142">
        <f>INDEX('Calc-Pivot abvals'!$H$20:$M$32,MATCH($C89,'Calc-Pivot abvals'!$G$20:$G$32,0),MATCH(H$7,'Calc-Pivot abvals'!$H$19:$M$19,0))</f>
        <v>486</v>
      </c>
      <c r="I92" s="142">
        <f>VLOOKUP($A$89,Lookup!$L$5:$M$19,2,FALSE)</f>
        <v>486</v>
      </c>
      <c r="J92" s="145"/>
      <c r="K92" s="142">
        <f>INDEX('Calc-Pivot abvals'!$H$20:$M$32,MATCH($K89,'Calc-Pivot abvals'!$G$20:$G$32,0),MATCH(K$7,'Calc-Pivot abvals'!$H$19:$M$19,0))</f>
        <v>175</v>
      </c>
      <c r="L92" s="142">
        <f>INDEX('Calc-Pivot abvals'!$H$20:$M$32,MATCH($K89,'Calc-Pivot abvals'!$G$20:$G$32,0),MATCH(L$7,'Calc-Pivot abvals'!$H$19:$M$19,0))</f>
        <v>296</v>
      </c>
      <c r="M92" s="142">
        <f>INDEX('Calc-Pivot abvals'!$H$20:$M$32,MATCH($K89,'Calc-Pivot abvals'!$G$20:$G$32,0),MATCH(M$7,'Calc-Pivot abvals'!$H$19:$M$19,0))</f>
        <v>326</v>
      </c>
      <c r="N92" s="142">
        <f>INDEX('Calc-Pivot abvals'!$H$20:$M$32,MATCH($K89,'Calc-Pivot abvals'!$G$20:$G$32,0),MATCH(N$7,'Calc-Pivot abvals'!$H$19:$M$19,0))</f>
        <v>406</v>
      </c>
      <c r="O92" s="142">
        <f>INDEX('Calc-Pivot abvals'!$H$20:$M$32,MATCH($K89,'Calc-Pivot abvals'!$G$20:$G$32,0),MATCH(O$7,'Calc-Pivot abvals'!$H$19:$M$19,0))</f>
        <v>446</v>
      </c>
      <c r="P92" s="142">
        <f>INDEX('Calc-Pivot abvals'!$H$20:$M$32,MATCH($K89,'Calc-Pivot abvals'!$G$20:$G$32,0),MATCH(P$7,'Calc-Pivot abvals'!$H$19:$M$19,0))</f>
        <v>486</v>
      </c>
      <c r="Q92" s="142">
        <f>VLOOKUP($A$89,Lookup!$L$5:$M$19,2,FALSE)</f>
        <v>486</v>
      </c>
      <c r="R92" s="145"/>
      <c r="S92" s="142">
        <f>INDEX('Calc-Pivot abvals'!$H$20:$M$32,MATCH($S89,'Calc-Pivot abvals'!$G$20:$G$32,0),MATCH(S$7,'Calc-Pivot abvals'!$H$19:$M$19,0))</f>
        <v>175</v>
      </c>
      <c r="T92" s="142">
        <f>INDEX('Calc-Pivot abvals'!$H$20:$M$32,MATCH($S89,'Calc-Pivot abvals'!$G$20:$G$32,0),MATCH(T$7,'Calc-Pivot abvals'!$H$19:$M$19,0))</f>
        <v>296</v>
      </c>
      <c r="U92" s="142">
        <f>INDEX('Calc-Pivot abvals'!$H$20:$M$32,MATCH($S89,'Calc-Pivot abvals'!$G$20:$G$32,0),MATCH(U$7,'Calc-Pivot abvals'!$H$19:$M$19,0))</f>
        <v>326</v>
      </c>
      <c r="V92" s="142">
        <f>INDEX('Calc-Pivot abvals'!$H$20:$M$32,MATCH($S89,'Calc-Pivot abvals'!$G$20:$G$32,0),MATCH(V$7,'Calc-Pivot abvals'!$H$19:$M$19,0))</f>
        <v>406</v>
      </c>
      <c r="W92" s="142">
        <f>INDEX('Calc-Pivot abvals'!$H$20:$M$32,MATCH($S89,'Calc-Pivot abvals'!$G$20:$G$32,0),MATCH(W$7,'Calc-Pivot abvals'!$H$19:$M$19,0))</f>
        <v>446</v>
      </c>
      <c r="X92" s="142">
        <f>INDEX('Calc-Pivot abvals'!$H$20:$M$32,MATCH($S89,'Calc-Pivot abvals'!$G$20:$G$32,0),MATCH(X$7,'Calc-Pivot abvals'!$H$19:$M$19,0))</f>
        <v>486</v>
      </c>
      <c r="Y92" s="142">
        <f>VLOOKUP($A$89,Lookup!$L$5:$M$19,2,FALSE)</f>
        <v>486</v>
      </c>
      <c r="Z92" s="145"/>
      <c r="AA92" s="142">
        <f>INDEX('Calc-Pivot abvals'!$H$20:$M$32,MATCH($AA89,'Calc-Pivot abvals'!$G$20:$G$32,0),MATCH(AA$7,'Calc-Pivot abvals'!$H$19:$M$19,0))</f>
        <v>175</v>
      </c>
      <c r="AB92" s="142">
        <f>INDEX('Calc-Pivot abvals'!$H$20:$M$32,MATCH($AA89,'Calc-Pivot abvals'!$G$20:$G$32,0),MATCH(AB$7,'Calc-Pivot abvals'!$H$19:$M$19,0))</f>
        <v>296</v>
      </c>
      <c r="AC92" s="142">
        <f>INDEX('Calc-Pivot abvals'!$H$20:$M$32,MATCH($AA89,'Calc-Pivot abvals'!$G$20:$G$32,0),MATCH(AC$7,'Calc-Pivot abvals'!$H$19:$M$19,0))</f>
        <v>326</v>
      </c>
      <c r="AD92" s="142">
        <f>INDEX('Calc-Pivot abvals'!$H$20:$M$32,MATCH($AA89,'Calc-Pivot abvals'!$G$20:$G$32,0),MATCH(AD$7,'Calc-Pivot abvals'!$H$19:$M$19,0))</f>
        <v>406</v>
      </c>
      <c r="AE92" s="142">
        <f>INDEX('Calc-Pivot abvals'!$H$20:$M$32,MATCH($AA89,'Calc-Pivot abvals'!$G$20:$G$32,0),MATCH(AE$7,'Calc-Pivot abvals'!$H$19:$M$19,0))</f>
        <v>446</v>
      </c>
      <c r="AF92" s="142">
        <f>INDEX('Calc-Pivot abvals'!$H$20:$M$32,MATCH($AA89,'Calc-Pivot abvals'!$G$20:$G$32,0),MATCH(AF$7,'Calc-Pivot abvals'!$H$19:$M$19,0))</f>
        <v>486</v>
      </c>
      <c r="AG92" s="142">
        <f>VLOOKUP($A$89,Lookup!$L$5:$M$19,2,FALSE)</f>
        <v>486</v>
      </c>
      <c r="AH92" s="145"/>
      <c r="AI92" s="142">
        <f>INDEX('Calc-Pivot abvals'!$H$20:$M$32,MATCH($AI89,'Calc-Pivot abvals'!$G$20:$G$32,0),MATCH(AI$7,'Calc-Pivot abvals'!$H$19:$M$19,0))</f>
        <v>175</v>
      </c>
      <c r="AJ92" s="142">
        <f>INDEX('Calc-Pivot abvals'!$H$20:$M$32,MATCH($AI89,'Calc-Pivot abvals'!$G$20:$G$32,0),MATCH(AJ$7,'Calc-Pivot abvals'!$H$19:$M$19,0))</f>
        <v>296</v>
      </c>
      <c r="AK92" s="142">
        <f>INDEX('Calc-Pivot abvals'!$H$20:$M$32,MATCH($AI89,'Calc-Pivot abvals'!$G$20:$G$32,0),MATCH(AK$7,'Calc-Pivot abvals'!$H$19:$M$19,0))</f>
        <v>326</v>
      </c>
      <c r="AL92" s="142">
        <f>INDEX('Calc-Pivot abvals'!$H$20:$M$32,MATCH($AI89,'Calc-Pivot abvals'!$G$20:$G$32,0),MATCH(AL$7,'Calc-Pivot abvals'!$H$19:$M$19,0))</f>
        <v>406</v>
      </c>
      <c r="AM92" s="142">
        <f>INDEX('Calc-Pivot abvals'!$H$20:$M$32,MATCH($AI89,'Calc-Pivot abvals'!$G$20:$G$32,0),MATCH(AM$7,'Calc-Pivot abvals'!$H$19:$M$19,0))</f>
        <v>446</v>
      </c>
      <c r="AN92" s="142">
        <f>INDEX('Calc-Pivot abvals'!$H$20:$M$32,MATCH($AI89,'Calc-Pivot abvals'!$G$20:$G$32,0),MATCH(AN$7,'Calc-Pivot abvals'!$H$19:$M$19,0))</f>
        <v>486</v>
      </c>
      <c r="AO92" s="142">
        <f>VLOOKUP($A$89,Lookup!$L$5:$M$19,2,FALSE)</f>
        <v>486</v>
      </c>
    </row>
    <row r="93" spans="1:41" x14ac:dyDescent="0.25">
      <c r="A93" s="35" t="str">
        <f t="shared" si="75"/>
        <v>GADS Yr Availability: GADS only (C)</v>
      </c>
      <c r="B93" s="35"/>
      <c r="C93" s="78">
        <f ca="1">INDEX(AvailableStates!$D$3:$I$82,MATCH($C89,AvailableStates!$B$3:$B$82,0)+MATCH('Calc- Prosym Setup'!$C$4,AvailableStates!$C$3:$C$7)-1,MATCH('Calc- Prosym Setup'!C$7,AvailableStates!$D$2:$I$2,0))</f>
        <v>7.6513113369137201E-3</v>
      </c>
      <c r="D93" s="78">
        <f ca="1">INDEX(AvailableStates!$D$3:$I$82,MATCH($C89,AvailableStates!$B$3:$B$82,0)+MATCH('Calc- Prosym Setup'!$C$4,AvailableStates!$C$3:$C$7)-1,MATCH('Calc- Prosym Setup'!D$7,AvailableStates!$D$2:$I$2,0))</f>
        <v>7.6170879078315953E-3</v>
      </c>
      <c r="E93" s="78">
        <f ca="1">INDEX(AvailableStates!$D$3:$I$82,MATCH($C89,AvailableStates!$B$3:$B$82,0)+MATCH('Calc- Prosym Setup'!$C$4,AvailableStates!$C$3:$C$7)-1,MATCH('Calc- Prosym Setup'!E$7,AvailableStates!$D$2:$I$2,0))</f>
        <v>2.1287947226059653E-3</v>
      </c>
      <c r="F93" s="78">
        <f ca="1">INDEX(AvailableStates!$D$3:$I$82,MATCH($C89,AvailableStates!$B$3:$B$82,0)+MATCH('Calc- Prosym Setup'!$C$4,AvailableStates!$C$3:$C$7)-1,MATCH('Calc- Prosym Setup'!F$7,AvailableStates!$D$2:$I$2,0))</f>
        <v>4.9742231786681003E-2</v>
      </c>
      <c r="G93" s="78">
        <f ca="1">INDEX(AvailableStates!$D$3:$I$82,MATCH($C89,AvailableStates!$B$3:$B$82,0)+MATCH('Calc- Prosym Setup'!$C$4,AvailableStates!$C$3:$C$7)-1,MATCH('Calc- Prosym Setup'!G$7,AvailableStates!$D$2:$I$2,0))</f>
        <v>1.5042475896097957E-3</v>
      </c>
      <c r="H93" s="78">
        <f ca="1">INDEX(AvailableStates!$D$3:$I$82,MATCH($C89,AvailableStates!$B$3:$B$82,0)+MATCH('Calc- Prosym Setup'!$C$4,AvailableStates!$C$3:$C$7)-1,MATCH('Calc- Prosym Setup'!H$7,AvailableStates!$D$2:$I$2,0))</f>
        <v>0.87424307589587236</v>
      </c>
      <c r="I93" s="78">
        <f ca="1">SUM(C93:H93)</f>
        <v>0.94288674923951443</v>
      </c>
      <c r="J93" s="145"/>
      <c r="K93" s="78">
        <f ca="1">INDEX(AvailableStates!$D$3:$I$82,MATCH($K89,AvailableStates!$B$3:$B$82,0)+MATCH('Calc- Prosym Setup'!$K$4,AvailableStates!$C$3:$C$7)-1,MATCH('Calc- Prosym Setup'!K$7,AvailableStates!$D$2:$I$2,0))</f>
        <v>7.6513113369137201E-3</v>
      </c>
      <c r="L93" s="78">
        <f ca="1">INDEX(AvailableStates!$D$3:$I$82,MATCH($K89,AvailableStates!$B$3:$B$82,0)+MATCH('Calc- Prosym Setup'!$K$4,AvailableStates!$C$3:$C$7)-1,MATCH('Calc- Prosym Setup'!L$7,AvailableStates!$D$2:$I$2,0))</f>
        <v>7.6170879078315953E-3</v>
      </c>
      <c r="M93" s="78">
        <f ca="1">INDEX(AvailableStates!$D$3:$I$82,MATCH($K89,AvailableStates!$B$3:$B$82,0)+MATCH('Calc- Prosym Setup'!$K$4,AvailableStates!$C$3:$C$7)-1,MATCH('Calc- Prosym Setup'!M$7,AvailableStates!$D$2:$I$2,0))</f>
        <v>2.1287947226059653E-3</v>
      </c>
      <c r="N93" s="78">
        <f ca="1">INDEX(AvailableStates!$D$3:$I$82,MATCH($K89,AvailableStates!$B$3:$B$82,0)+MATCH('Calc- Prosym Setup'!$K$4,AvailableStates!$C$3:$C$7)-1,MATCH('Calc- Prosym Setup'!N$7,AvailableStates!$D$2:$I$2,0))</f>
        <v>4.9742231786681003E-2</v>
      </c>
      <c r="O93" s="78">
        <f ca="1">INDEX(AvailableStates!$D$3:$I$82,MATCH($K89,AvailableStates!$B$3:$B$82,0)+MATCH('Calc- Prosym Setup'!$K$4,AvailableStates!$C$3:$C$7)-1,MATCH('Calc- Prosym Setup'!O$7,AvailableStates!$D$2:$I$2,0))</f>
        <v>1.5042475896097957E-3</v>
      </c>
      <c r="P93" s="78">
        <f ca="1">INDEX(AvailableStates!$D$3:$I$82,MATCH($K89,AvailableStates!$B$3:$B$82,0)+MATCH('Calc- Prosym Setup'!$K$4,AvailableStates!$C$3:$C$7)-1,MATCH('Calc- Prosym Setup'!P$7,AvailableStates!$D$2:$I$2,0))</f>
        <v>0.87424307589587236</v>
      </c>
      <c r="Q93" s="78">
        <f ca="1">SUM(K93:P93)</f>
        <v>0.94288674923951443</v>
      </c>
      <c r="R93" s="145"/>
      <c r="S93" s="78">
        <f ca="1">INDEX(AvailableStates!$D$3:$I$82,MATCH($S89,AvailableStates!$B$3:$B$82,0)+MATCH('Calc- Prosym Setup'!$S$4,AvailableStates!$C$3:$C$7)-1,MATCH('Calc- Prosym Setup'!S$7,AvailableStates!$D$2:$I$2,0))</f>
        <v>7.6513113369137201E-3</v>
      </c>
      <c r="T93" s="78">
        <f ca="1">INDEX(AvailableStates!$D$3:$I$82,MATCH($S89,AvailableStates!$B$3:$B$82,0)+MATCH('Calc- Prosym Setup'!$S$4,AvailableStates!$C$3:$C$7)-1,MATCH('Calc- Prosym Setup'!T$7,AvailableStates!$D$2:$I$2,0))</f>
        <v>7.6170879078315953E-3</v>
      </c>
      <c r="U93" s="78">
        <f ca="1">INDEX(AvailableStates!$D$3:$I$82,MATCH($S89,AvailableStates!$B$3:$B$82,0)+MATCH('Calc- Prosym Setup'!$S$4,AvailableStates!$C$3:$C$7)-1,MATCH('Calc- Prosym Setup'!U$7,AvailableStates!$D$2:$I$2,0))</f>
        <v>2.1287947226059653E-3</v>
      </c>
      <c r="V93" s="78">
        <f ca="1">INDEX(AvailableStates!$D$3:$I$82,MATCH($S89,AvailableStates!$B$3:$B$82,0)+MATCH('Calc- Prosym Setup'!$S$4,AvailableStates!$C$3:$C$7)-1,MATCH('Calc- Prosym Setup'!V$7,AvailableStates!$D$2:$I$2,0))</f>
        <v>4.9742231786681003E-2</v>
      </c>
      <c r="W93" s="78">
        <f ca="1">INDEX(AvailableStates!$D$3:$I$82,MATCH($S89,AvailableStates!$B$3:$B$82,0)+MATCH('Calc- Prosym Setup'!$S$4,AvailableStates!$C$3:$C$7)-1,MATCH('Calc- Prosym Setup'!W$7,AvailableStates!$D$2:$I$2,0))</f>
        <v>1.5042475896097957E-3</v>
      </c>
      <c r="X93" s="78">
        <f ca="1">INDEX(AvailableStates!$D$3:$I$82,MATCH($S89,AvailableStates!$B$3:$B$82,0)+MATCH('Calc- Prosym Setup'!$S$4,AvailableStates!$C$3:$C$7)-1,MATCH('Calc- Prosym Setup'!X$7,AvailableStates!$D$2:$I$2,0))</f>
        <v>0.87424307589587236</v>
      </c>
      <c r="Y93" s="78">
        <f ca="1">SUM(S93:X93)</f>
        <v>0.94288674923951443</v>
      </c>
      <c r="Z93" s="145"/>
      <c r="AA93" s="78">
        <f ca="1">INDEX(AvailableStates!$D$3:$I$82,MATCH($AA89,AvailableStates!$B$3:$B$82,0)+MATCH('Calc- Prosym Setup'!$AA$4,AvailableStates!$C$3:$C$7)-1,MATCH('Calc- Prosym Setup'!AA$7,AvailableStates!$D$2:$I$2,0))</f>
        <v>7.6513113369137201E-3</v>
      </c>
      <c r="AB93" s="78">
        <f ca="1">INDEX(AvailableStates!$D$3:$I$82,MATCH($AA89,AvailableStates!$B$3:$B$82,0)+MATCH('Calc- Prosym Setup'!$AA$4,AvailableStates!$C$3:$C$7)-1,MATCH('Calc- Prosym Setup'!AB$7,AvailableStates!$D$2:$I$2,0))</f>
        <v>7.6170879078315953E-3</v>
      </c>
      <c r="AC93" s="78">
        <f ca="1">INDEX(AvailableStates!$D$3:$I$82,MATCH($AA89,AvailableStates!$B$3:$B$82,0)+MATCH('Calc- Prosym Setup'!$AA$4,AvailableStates!$C$3:$C$7)-1,MATCH('Calc- Prosym Setup'!AC$7,AvailableStates!$D$2:$I$2,0))</f>
        <v>2.1287947226059653E-3</v>
      </c>
      <c r="AD93" s="78">
        <f ca="1">INDEX(AvailableStates!$D$3:$I$82,MATCH($AA89,AvailableStates!$B$3:$B$82,0)+MATCH('Calc- Prosym Setup'!$AA$4,AvailableStates!$C$3:$C$7)-1,MATCH('Calc- Prosym Setup'!AD$7,AvailableStates!$D$2:$I$2,0))</f>
        <v>4.9742231786681003E-2</v>
      </c>
      <c r="AE93" s="78">
        <f ca="1">INDEX(AvailableStates!$D$3:$I$82,MATCH($AA89,AvailableStates!$B$3:$B$82,0)+MATCH('Calc- Prosym Setup'!$AA$4,AvailableStates!$C$3:$C$7)-1,MATCH('Calc- Prosym Setup'!AE$7,AvailableStates!$D$2:$I$2,0))</f>
        <v>1.5042475896097957E-3</v>
      </c>
      <c r="AF93" s="78">
        <f ca="1">INDEX(AvailableStates!$D$3:$I$82,MATCH($AA89,AvailableStates!$B$3:$B$82,0)+MATCH('Calc- Prosym Setup'!$AA$4,AvailableStates!$C$3:$C$7)-1,MATCH('Calc- Prosym Setup'!AF$7,AvailableStates!$D$2:$I$2,0))</f>
        <v>0.87424307589587236</v>
      </c>
      <c r="AG93" s="78">
        <f ca="1">SUM(AA93:AF93)</f>
        <v>0.94288674923951443</v>
      </c>
      <c r="AH93" s="145"/>
      <c r="AI93" s="78">
        <f ca="1">INDEX(AvailableStates!$D$3:$I$82,MATCH($AI89,AvailableStates!$B$3:$B$82,0)+MATCH('Calc- Prosym Setup'!$AI$4,AvailableStates!$C$3:$C$7)-1,MATCH('Calc- Prosym Setup'!AI$7,AvailableStates!$D$2:$I$2,0))</f>
        <v>7.6513113369137201E-3</v>
      </c>
      <c r="AJ93" s="78">
        <f ca="1">INDEX(AvailableStates!$D$3:$I$82,MATCH($AI89,AvailableStates!$B$3:$B$82,0)+MATCH('Calc- Prosym Setup'!$AI$4,AvailableStates!$C$3:$C$7)-1,MATCH('Calc- Prosym Setup'!AJ$7,AvailableStates!$D$2:$I$2,0))</f>
        <v>7.6170879078315953E-3</v>
      </c>
      <c r="AK93" s="78">
        <f ca="1">INDEX(AvailableStates!$D$3:$I$82,MATCH($AI89,AvailableStates!$B$3:$B$82,0)+MATCH('Calc- Prosym Setup'!$AI$4,AvailableStates!$C$3:$C$7)-1,MATCH('Calc- Prosym Setup'!AK$7,AvailableStates!$D$2:$I$2,0))</f>
        <v>2.1287947226059653E-3</v>
      </c>
      <c r="AL93" s="78">
        <f ca="1">INDEX(AvailableStates!$D$3:$I$82,MATCH($AI89,AvailableStates!$B$3:$B$82,0)+MATCH('Calc- Prosym Setup'!$AI$4,AvailableStates!$C$3:$C$7)-1,MATCH('Calc- Prosym Setup'!AL$7,AvailableStates!$D$2:$I$2,0))</f>
        <v>4.9742231786681003E-2</v>
      </c>
      <c r="AM93" s="78">
        <f ca="1">INDEX(AvailableStates!$D$3:$I$82,MATCH($AI89,AvailableStates!$B$3:$B$82,0)+MATCH('Calc- Prosym Setup'!$AI$4,AvailableStates!$C$3:$C$7)-1,MATCH('Calc- Prosym Setup'!AM$7,AvailableStates!$D$2:$I$2,0))</f>
        <v>1.5042475896097957E-3</v>
      </c>
      <c r="AN93" s="78">
        <f ca="1">INDEX(AvailableStates!$D$3:$I$82,MATCH($AI89,AvailableStates!$B$3:$B$82,0)+MATCH('Calc- Prosym Setup'!$AI$4,AvailableStates!$C$3:$C$7)-1,MATCH('Calc- Prosym Setup'!AN$7,AvailableStates!$D$2:$I$2,0))</f>
        <v>0.87424307589587236</v>
      </c>
      <c r="AO93" s="78">
        <f ca="1">SUM(AI93:AN93)</f>
        <v>0.94288674923951443</v>
      </c>
    </row>
    <row r="94" spans="1:41" x14ac:dyDescent="0.25">
      <c r="J94" s="145"/>
      <c r="R94" s="145"/>
      <c r="Z94" s="145"/>
      <c r="AH94" s="145"/>
    </row>
    <row r="95" spans="1:41" x14ac:dyDescent="0.25">
      <c r="J95" s="145"/>
      <c r="R95" s="145"/>
      <c r="Z95" s="145"/>
      <c r="AH95" s="145"/>
    </row>
    <row r="96" spans="1:41" x14ac:dyDescent="0.25">
      <c r="A96" s="58" t="s">
        <v>165</v>
      </c>
      <c r="B96" s="73"/>
      <c r="C96" s="36" t="str">
        <f>Lookup!AT3</f>
        <v>TC1</v>
      </c>
      <c r="D96" s="35" t="s">
        <v>181</v>
      </c>
      <c r="E96" s="140">
        <f>VLOOKUP(C96,'INP-Calc EFOR&amp;EUOR - 2019Plan'!$A$11:$AE$36,21)</f>
        <v>4.1890628574978585E-2</v>
      </c>
      <c r="F96" s="35" t="s">
        <v>226</v>
      </c>
      <c r="G96" s="140">
        <f>VLOOKUP(C96,'INP-Calc EFOR&amp;EUOR - 2019Plan'!$A$11:$AE$36,27)</f>
        <v>1.0551375162926833E-2</v>
      </c>
      <c r="H96" s="35" t="s">
        <v>182</v>
      </c>
      <c r="I96" s="140">
        <f>VLOOKUP(C96,'INP-Calc EFOR&amp;EUOR - 2019Plan'!$A$11:$AE$36,15)</f>
        <v>2.1999999999999999E-2</v>
      </c>
      <c r="J96" s="145"/>
      <c r="K96" s="36" t="str">
        <f>C96</f>
        <v>TC1</v>
      </c>
      <c r="L96" s="35" t="s">
        <v>181</v>
      </c>
      <c r="M96" s="140">
        <f>VLOOKUP(K96,'INP-Calc EFOR&amp;EUOR - 2019Plan'!$A$11:$AE$36,22)</f>
        <v>4.1890628574978585E-2</v>
      </c>
      <c r="N96" s="35" t="s">
        <v>226</v>
      </c>
      <c r="O96" s="140">
        <f>VLOOKUP(K96,'INP-Calc EFOR&amp;EUOR - 2019Plan'!$A$11:$AE$36,28)</f>
        <v>1.0551375162926833E-2</v>
      </c>
      <c r="P96" s="35" t="s">
        <v>182</v>
      </c>
      <c r="Q96" s="140">
        <f>VLOOKUP(K96,'INP-Calc EFOR&amp;EUOR - 2019Plan'!$A$11:$AE$36,16)</f>
        <v>2.1999999999999999E-2</v>
      </c>
      <c r="R96" s="145"/>
      <c r="S96" s="36" t="str">
        <f>K96</f>
        <v>TC1</v>
      </c>
      <c r="T96" s="35" t="s">
        <v>181</v>
      </c>
      <c r="U96" s="140">
        <f>VLOOKUP(S96,'INP-Calc EFOR&amp;EUOR - 2019Plan'!$A$11:$AE$36,23)</f>
        <v>4.1890628574978585E-2</v>
      </c>
      <c r="V96" s="35" t="s">
        <v>226</v>
      </c>
      <c r="W96" s="140">
        <f>VLOOKUP(S96,'INP-Calc EFOR&amp;EUOR - 2019Plan'!$A$11:$AE$36,29)</f>
        <v>1.0551375162926833E-2</v>
      </c>
      <c r="X96" s="35" t="s">
        <v>182</v>
      </c>
      <c r="Y96" s="140">
        <f>VLOOKUP(S96,'INP-Calc EFOR&amp;EUOR - 2019Plan'!$A$11:$AE$36,17)</f>
        <v>2.1999999999999999E-2</v>
      </c>
      <c r="Z96" s="145"/>
      <c r="AA96" s="36" t="str">
        <f>S96</f>
        <v>TC1</v>
      </c>
      <c r="AB96" s="35" t="s">
        <v>181</v>
      </c>
      <c r="AC96" s="140">
        <f>VLOOKUP(AA96,'INP-Calc EFOR&amp;EUOR - 2019Plan'!$A$11:$AE$36,24)</f>
        <v>4.1890628574978585E-2</v>
      </c>
      <c r="AD96" s="35" t="s">
        <v>226</v>
      </c>
      <c r="AE96" s="140">
        <f>VLOOKUP(AA96,'INP-Calc EFOR&amp;EUOR - 2019Plan'!$A$11:$AE$36,30)</f>
        <v>1.0551375162926833E-2</v>
      </c>
      <c r="AF96" s="35" t="s">
        <v>182</v>
      </c>
      <c r="AG96" s="140">
        <f>VLOOKUP(AA96,'INP-Calc EFOR&amp;EUOR - 2019Plan'!$A$11:$AE$36,18)</f>
        <v>2.1999999999999999E-2</v>
      </c>
      <c r="AH96" s="145"/>
      <c r="AI96" s="36" t="str">
        <f>AA96</f>
        <v>TC1</v>
      </c>
      <c r="AJ96" s="35" t="s">
        <v>181</v>
      </c>
      <c r="AK96" s="140">
        <f>VLOOKUP(AI96,'INP-Calc EFOR&amp;EUOR - 2019Plan'!$A$11:$AE$36,25)</f>
        <v>4.1890628574978585E-2</v>
      </c>
      <c r="AL96" s="35" t="s">
        <v>226</v>
      </c>
      <c r="AM96" s="140">
        <f>VLOOKUP(AI96,'INP-Calc EFOR&amp;EUOR - 2019Plan'!$A$11:$AE$36,31)</f>
        <v>1.0551375162926833E-2</v>
      </c>
      <c r="AN96" s="35" t="s">
        <v>182</v>
      </c>
      <c r="AO96" s="141">
        <f>VLOOKUP(AI96,'INP-Calc EFOR&amp;EUOR - 2019Plan'!$A$11:$AE$36,19)</f>
        <v>2.1999999999999999E-2</v>
      </c>
    </row>
    <row r="97" spans="1:41" x14ac:dyDescent="0.25">
      <c r="A97" s="36"/>
      <c r="B97" s="36"/>
      <c r="C97" s="36"/>
      <c r="D97" s="36"/>
      <c r="E97" s="36"/>
      <c r="F97" s="36"/>
      <c r="G97" s="37"/>
      <c r="H97" s="36"/>
      <c r="I97" s="36"/>
      <c r="J97" s="145"/>
      <c r="K97" s="36"/>
      <c r="L97" s="36"/>
      <c r="M97" s="36"/>
      <c r="N97" s="36"/>
      <c r="O97" s="37"/>
      <c r="P97" s="36"/>
      <c r="Q97" s="36"/>
      <c r="R97" s="145"/>
      <c r="S97" s="36"/>
      <c r="T97" s="36"/>
      <c r="U97" s="36"/>
      <c r="V97" s="36"/>
      <c r="W97" s="37"/>
      <c r="X97" s="36"/>
      <c r="Y97" s="36"/>
      <c r="Z97" s="145"/>
      <c r="AA97" s="36"/>
      <c r="AB97" s="36"/>
      <c r="AC97" s="36"/>
      <c r="AD97" s="36"/>
      <c r="AE97" s="37"/>
      <c r="AF97" s="36"/>
      <c r="AG97" s="36"/>
      <c r="AH97" s="145"/>
      <c r="AI97" s="36"/>
      <c r="AJ97" s="36"/>
      <c r="AK97" s="36"/>
      <c r="AL97" s="36"/>
      <c r="AM97" s="37"/>
      <c r="AN97" s="36"/>
      <c r="AO97" s="36"/>
    </row>
    <row r="98" spans="1:41" x14ac:dyDescent="0.25">
      <c r="A98" s="37" t="str">
        <f>A91</f>
        <v>BLOCK:</v>
      </c>
      <c r="B98" s="37"/>
      <c r="C98" s="38">
        <f>C91</f>
        <v>1</v>
      </c>
      <c r="D98" s="38">
        <f t="shared" ref="D98:I98" si="76">D91</f>
        <v>2</v>
      </c>
      <c r="E98" s="38">
        <f t="shared" si="76"/>
        <v>3</v>
      </c>
      <c r="F98" s="38">
        <f t="shared" si="76"/>
        <v>4</v>
      </c>
      <c r="G98" s="38">
        <f t="shared" si="76"/>
        <v>5</v>
      </c>
      <c r="H98" s="38">
        <f t="shared" si="76"/>
        <v>6</v>
      </c>
      <c r="I98" s="38" t="str">
        <f t="shared" si="76"/>
        <v>Tot Unit</v>
      </c>
      <c r="J98" s="145"/>
      <c r="K98" s="38">
        <f>K91</f>
        <v>1</v>
      </c>
      <c r="L98" s="38">
        <f t="shared" ref="L98:Q98" si="77">L91</f>
        <v>2</v>
      </c>
      <c r="M98" s="38">
        <f t="shared" si="77"/>
        <v>3</v>
      </c>
      <c r="N98" s="38">
        <f t="shared" si="77"/>
        <v>4</v>
      </c>
      <c r="O98" s="38">
        <f t="shared" si="77"/>
        <v>5</v>
      </c>
      <c r="P98" s="38">
        <f t="shared" si="77"/>
        <v>6</v>
      </c>
      <c r="Q98" s="38" t="str">
        <f t="shared" si="77"/>
        <v>Tot Unit</v>
      </c>
      <c r="R98" s="145"/>
      <c r="S98" s="38">
        <f>S91</f>
        <v>1</v>
      </c>
      <c r="T98" s="38">
        <f t="shared" ref="T98:Y98" si="78">T91</f>
        <v>2</v>
      </c>
      <c r="U98" s="38">
        <f t="shared" si="78"/>
        <v>3</v>
      </c>
      <c r="V98" s="38">
        <f t="shared" si="78"/>
        <v>4</v>
      </c>
      <c r="W98" s="38">
        <f t="shared" si="78"/>
        <v>5</v>
      </c>
      <c r="X98" s="38">
        <f t="shared" si="78"/>
        <v>6</v>
      </c>
      <c r="Y98" s="38" t="str">
        <f t="shared" si="78"/>
        <v>Tot Unit</v>
      </c>
      <c r="Z98" s="145"/>
      <c r="AA98" s="38">
        <f>AA91</f>
        <v>1</v>
      </c>
      <c r="AB98" s="38">
        <f t="shared" ref="AB98:AG98" si="79">AB91</f>
        <v>2</v>
      </c>
      <c r="AC98" s="38">
        <f t="shared" si="79"/>
        <v>3</v>
      </c>
      <c r="AD98" s="38">
        <f t="shared" si="79"/>
        <v>4</v>
      </c>
      <c r="AE98" s="38">
        <f t="shared" si="79"/>
        <v>5</v>
      </c>
      <c r="AF98" s="38">
        <f t="shared" si="79"/>
        <v>6</v>
      </c>
      <c r="AG98" s="38" t="str">
        <f t="shared" si="79"/>
        <v>Tot Unit</v>
      </c>
      <c r="AH98" s="145"/>
      <c r="AI98" s="38">
        <f>AI91</f>
        <v>1</v>
      </c>
      <c r="AJ98" s="38">
        <f t="shared" ref="AJ98:AO98" si="80">AJ91</f>
        <v>2</v>
      </c>
      <c r="AK98" s="38">
        <f t="shared" si="80"/>
        <v>3</v>
      </c>
      <c r="AL98" s="38">
        <f t="shared" si="80"/>
        <v>4</v>
      </c>
      <c r="AM98" s="38">
        <f t="shared" si="80"/>
        <v>5</v>
      </c>
      <c r="AN98" s="38">
        <f t="shared" si="80"/>
        <v>6</v>
      </c>
      <c r="AO98" s="38" t="str">
        <f t="shared" si="80"/>
        <v>Tot Unit</v>
      </c>
    </row>
    <row r="99" spans="1:41" x14ac:dyDescent="0.25">
      <c r="A99" s="37" t="str">
        <f t="shared" ref="A99:A100" si="81">A92</f>
        <v>State Capacity (I)</v>
      </c>
      <c r="B99" s="37"/>
      <c r="C99" s="146">
        <f>INDEX('Calc-Pivot abvals'!$H$20:$M$32,MATCH($C96,'Calc-Pivot abvals'!$G$20:$G$32,0),MATCH(C$7,'Calc-Pivot abvals'!$H$19:$M$19,0))*0.75</f>
        <v>141</v>
      </c>
      <c r="D99" s="146">
        <f>INDEX('Calc-Pivot abvals'!$H$20:$M$32,MATCH($C96,'Calc-Pivot abvals'!$G$20:$G$32,0),MATCH(D$7,'Calc-Pivot abvals'!$H$19:$M$19,0))*0.75</f>
        <v>227.25</v>
      </c>
      <c r="E99" s="146">
        <f>INDEX('Calc-Pivot abvals'!$H$20:$M$32,MATCH($C96,'Calc-Pivot abvals'!$G$20:$G$32,0),MATCH(E$7,'Calc-Pivot abvals'!$H$19:$M$19,0))*0.75</f>
        <v>249.75</v>
      </c>
      <c r="F99" s="146">
        <f>INDEX('Calc-Pivot abvals'!$H$20:$M$32,MATCH($C96,'Calc-Pivot abvals'!$G$20:$G$32,0),MATCH(F$7,'Calc-Pivot abvals'!$H$19:$M$19,0))*0.75</f>
        <v>309.75</v>
      </c>
      <c r="G99" s="146">
        <f>INDEX('Calc-Pivot abvals'!$H$20:$M$32,MATCH($C96,'Calc-Pivot abvals'!$G$20:$G$32,0),MATCH(G$7,'Calc-Pivot abvals'!$H$19:$M$19,0))*0.75</f>
        <v>339.75</v>
      </c>
      <c r="H99" s="146">
        <f>INDEX('Calc-Pivot abvals'!$H$20:$M$32,MATCH($C96,'Calc-Pivot abvals'!$G$20:$G$32,0),MATCH(H$7,'Calc-Pivot abvals'!$H$19:$M$19,0))*0.75</f>
        <v>369.75</v>
      </c>
      <c r="I99" s="142">
        <f>VLOOKUP($A$96,Lookup!$L$5:$M$19,2,FALSE)</f>
        <v>493</v>
      </c>
      <c r="J99" s="145"/>
      <c r="K99" s="146">
        <f>INDEX('Calc-Pivot abvals'!$H$20:$M$32,MATCH($K96,'Calc-Pivot abvals'!$G$20:$G$32,0),MATCH(K$7,'Calc-Pivot abvals'!$H$19:$M$19,0))*0.75</f>
        <v>141</v>
      </c>
      <c r="L99" s="146">
        <f>INDEX('Calc-Pivot abvals'!$H$20:$M$32,MATCH($K96,'Calc-Pivot abvals'!$G$20:$G$32,0),MATCH(L$7,'Calc-Pivot abvals'!$H$19:$M$19,0))*0.75</f>
        <v>227.25</v>
      </c>
      <c r="M99" s="146">
        <f>INDEX('Calc-Pivot abvals'!$H$20:$M$32,MATCH($K96,'Calc-Pivot abvals'!$G$20:$G$32,0),MATCH(M$7,'Calc-Pivot abvals'!$H$19:$M$19,0))*0.75</f>
        <v>249.75</v>
      </c>
      <c r="N99" s="146">
        <f>INDEX('Calc-Pivot abvals'!$H$20:$M$32,MATCH($K96,'Calc-Pivot abvals'!$G$20:$G$32,0),MATCH(N$7,'Calc-Pivot abvals'!$H$19:$M$19,0))*0.75</f>
        <v>309.75</v>
      </c>
      <c r="O99" s="146">
        <f>INDEX('Calc-Pivot abvals'!$H$20:$M$32,MATCH($K96,'Calc-Pivot abvals'!$G$20:$G$32,0),MATCH(O$7,'Calc-Pivot abvals'!$H$19:$M$19,0))*0.75</f>
        <v>339.75</v>
      </c>
      <c r="P99" s="146">
        <f>INDEX('Calc-Pivot abvals'!$H$20:$M$32,MATCH($K96,'Calc-Pivot abvals'!$G$20:$G$32,0),MATCH(P$7,'Calc-Pivot abvals'!$H$19:$M$19,0))*0.75</f>
        <v>369.75</v>
      </c>
      <c r="Q99" s="142">
        <f>VLOOKUP($A$96,Lookup!$L$5:$M$19,2,FALSE)</f>
        <v>493</v>
      </c>
      <c r="R99" s="145"/>
      <c r="S99" s="146">
        <f>INDEX('Calc-Pivot abvals'!$H$20:$M$32,MATCH($S96,'Calc-Pivot abvals'!$G$20:$G$32,0),MATCH(S$7,'Calc-Pivot abvals'!$H$19:$M$19,0))*0.75</f>
        <v>141</v>
      </c>
      <c r="T99" s="146">
        <f>INDEX('Calc-Pivot abvals'!$H$20:$M$32,MATCH($S96,'Calc-Pivot abvals'!$G$20:$G$32,0),MATCH(T$7,'Calc-Pivot abvals'!$H$19:$M$19,0))*0.75</f>
        <v>227.25</v>
      </c>
      <c r="U99" s="146">
        <f>INDEX('Calc-Pivot abvals'!$H$20:$M$32,MATCH($S96,'Calc-Pivot abvals'!$G$20:$G$32,0),MATCH(U$7,'Calc-Pivot abvals'!$H$19:$M$19,0))*0.75</f>
        <v>249.75</v>
      </c>
      <c r="V99" s="146">
        <f>INDEX('Calc-Pivot abvals'!$H$20:$M$32,MATCH($S96,'Calc-Pivot abvals'!$G$20:$G$32,0),MATCH(V$7,'Calc-Pivot abvals'!$H$19:$M$19,0))*0.75</f>
        <v>309.75</v>
      </c>
      <c r="W99" s="146">
        <f>INDEX('Calc-Pivot abvals'!$H$20:$M$32,MATCH($S96,'Calc-Pivot abvals'!$G$20:$G$32,0),MATCH(W$7,'Calc-Pivot abvals'!$H$19:$M$19,0))*0.75</f>
        <v>339.75</v>
      </c>
      <c r="X99" s="146">
        <f>INDEX('Calc-Pivot abvals'!$H$20:$M$32,MATCH($S96,'Calc-Pivot abvals'!$G$20:$G$32,0),MATCH(X$7,'Calc-Pivot abvals'!$H$19:$M$19,0))*0.75</f>
        <v>369.75</v>
      </c>
      <c r="Y99" s="142">
        <f>VLOOKUP($A$96,Lookup!$L$5:$M$19,2,FALSE)</f>
        <v>493</v>
      </c>
      <c r="Z99" s="145"/>
      <c r="AA99" s="146">
        <f>INDEX('Calc-Pivot abvals'!$H$20:$M$32,MATCH($AA96,'Calc-Pivot abvals'!$G$20:$G$32,0),MATCH(AA$7,'Calc-Pivot abvals'!$H$19:$M$19,0))*0.75</f>
        <v>141</v>
      </c>
      <c r="AB99" s="146">
        <f>INDEX('Calc-Pivot abvals'!$H$20:$M$32,MATCH($AA96,'Calc-Pivot abvals'!$G$20:$G$32,0),MATCH(AB$7,'Calc-Pivot abvals'!$H$19:$M$19,0))*0.75</f>
        <v>227.25</v>
      </c>
      <c r="AC99" s="146">
        <f>INDEX('Calc-Pivot abvals'!$H$20:$M$32,MATCH($AA96,'Calc-Pivot abvals'!$G$20:$G$32,0),MATCH(AC$7,'Calc-Pivot abvals'!$H$19:$M$19,0))*0.75</f>
        <v>249.75</v>
      </c>
      <c r="AD99" s="146">
        <f>INDEX('Calc-Pivot abvals'!$H$20:$M$32,MATCH($AA96,'Calc-Pivot abvals'!$G$20:$G$32,0),MATCH(AD$7,'Calc-Pivot abvals'!$H$19:$M$19,0))*0.75</f>
        <v>309.75</v>
      </c>
      <c r="AE99" s="146">
        <f>INDEX('Calc-Pivot abvals'!$H$20:$M$32,MATCH($AA96,'Calc-Pivot abvals'!$G$20:$G$32,0),MATCH(AE$7,'Calc-Pivot abvals'!$H$19:$M$19,0))*0.75</f>
        <v>339.75</v>
      </c>
      <c r="AF99" s="146">
        <f>INDEX('Calc-Pivot abvals'!$H$20:$M$32,MATCH($AA96,'Calc-Pivot abvals'!$G$20:$G$32,0),MATCH(AF$7,'Calc-Pivot abvals'!$H$19:$M$19,0))*0.75</f>
        <v>369.75</v>
      </c>
      <c r="AG99" s="142">
        <f>VLOOKUP($A$96,Lookup!$L$5:$M$19,2,FALSE)</f>
        <v>493</v>
      </c>
      <c r="AH99" s="145"/>
      <c r="AI99" s="146">
        <f>INDEX('Calc-Pivot abvals'!$H$20:$M$32,MATCH($AI96,'Calc-Pivot abvals'!$G$20:$G$32,0),MATCH(AI$7,'Calc-Pivot abvals'!$H$19:$M$19,0))*0.75</f>
        <v>141</v>
      </c>
      <c r="AJ99" s="146">
        <f>INDEX('Calc-Pivot abvals'!$H$20:$M$32,MATCH($AI96,'Calc-Pivot abvals'!$G$20:$G$32,0),MATCH(AJ$7,'Calc-Pivot abvals'!$H$19:$M$19,0))*0.75</f>
        <v>227.25</v>
      </c>
      <c r="AK99" s="146">
        <f>INDEX('Calc-Pivot abvals'!$H$20:$M$32,MATCH($AI96,'Calc-Pivot abvals'!$G$20:$G$32,0),MATCH(AK$7,'Calc-Pivot abvals'!$H$19:$M$19,0))*0.75</f>
        <v>249.75</v>
      </c>
      <c r="AL99" s="146">
        <f>INDEX('Calc-Pivot abvals'!$H$20:$M$32,MATCH($AI96,'Calc-Pivot abvals'!$G$20:$G$32,0),MATCH(AL$7,'Calc-Pivot abvals'!$H$19:$M$19,0))*0.75</f>
        <v>309.75</v>
      </c>
      <c r="AM99" s="146">
        <f>INDEX('Calc-Pivot abvals'!$H$20:$M$32,MATCH($AI96,'Calc-Pivot abvals'!$G$20:$G$32,0),MATCH(AM$7,'Calc-Pivot abvals'!$H$19:$M$19,0))*0.75</f>
        <v>339.75</v>
      </c>
      <c r="AN99" s="146">
        <f>INDEX('Calc-Pivot abvals'!$H$20:$M$32,MATCH($AI96,'Calc-Pivot abvals'!$G$20:$G$32,0),MATCH(AN$7,'Calc-Pivot abvals'!$H$19:$M$19,0))*0.75</f>
        <v>369.75</v>
      </c>
      <c r="AO99" s="142">
        <f>VLOOKUP($A$96,Lookup!$L$5:$M$19,2,FALSE)</f>
        <v>493</v>
      </c>
    </row>
    <row r="100" spans="1:41" x14ac:dyDescent="0.25">
      <c r="A100" s="35" t="str">
        <f t="shared" si="81"/>
        <v>GADS Yr Availability: GADS only (C)</v>
      </c>
      <c r="B100" s="35"/>
      <c r="C100" s="78">
        <f ca="1">INDEX(AvailableStates!$D$3:$I$82,MATCH($C96,AvailableStates!$B$3:$B$82,0)+MATCH('Calc- Prosym Setup'!$C$4,AvailableStates!$C$3:$C$7)-1,MATCH('Calc- Prosym Setup'!C$7,AvailableStates!$D$2:$I$2,0))</f>
        <v>1.163597553917929E-3</v>
      </c>
      <c r="D100" s="78">
        <f ca="1">INDEX(AvailableStates!$D$3:$I$82,MATCH($C96,AvailableStates!$B$3:$B$82,0)+MATCH('Calc- Prosym Setup'!$C$4,AvailableStates!$C$3:$C$7)-1,MATCH('Calc- Prosym Setup'!D$7,AvailableStates!$D$2:$I$2,0))</f>
        <v>8.9843565696334587E-4</v>
      </c>
      <c r="E100" s="78">
        <f ca="1">INDEX(AvailableStates!$D$3:$I$82,MATCH($C96,AvailableStates!$B$3:$B$82,0)+MATCH('Calc- Prosym Setup'!$C$4,AvailableStates!$C$3:$C$7)-1,MATCH('Calc- Prosym Setup'!E$7,AvailableStates!$D$2:$I$2,0))</f>
        <v>1.9717649007202579E-2</v>
      </c>
      <c r="F100" s="78">
        <f ca="1">INDEX(AvailableStates!$D$3:$I$82,MATCH($C96,AvailableStates!$B$3:$B$82,0)+MATCH('Calc- Prosym Setup'!$C$4,AvailableStates!$C$3:$C$7)-1,MATCH('Calc- Prosym Setup'!F$7,AvailableStates!$D$2:$I$2,0))</f>
        <v>1.1479831386255577E-2</v>
      </c>
      <c r="G100" s="78">
        <f ca="1">INDEX(AvailableStates!$D$3:$I$82,MATCH($C96,AvailableStates!$B$3:$B$82,0)+MATCH('Calc- Prosym Setup'!$C$4,AvailableStates!$C$3:$C$7)-1,MATCH('Calc- Prosym Setup'!G$7,AvailableStates!$D$2:$I$2,0))</f>
        <v>9.6277432928673669E-3</v>
      </c>
      <c r="H100" s="78">
        <f ca="1">INDEX(AvailableStates!$D$3:$I$82,MATCH($C96,AvailableStates!$B$3:$B$82,0)+MATCH('Calc- Prosym Setup'!$C$4,AvailableStates!$C$3:$C$7)-1,MATCH('Calc- Prosym Setup'!H$7,AvailableStates!$D$2:$I$2,0))</f>
        <v>0.89322211452781453</v>
      </c>
      <c r="I100" s="78">
        <f ca="1">SUM(C100:H100)</f>
        <v>0.93610937142502126</v>
      </c>
      <c r="J100" s="145"/>
      <c r="K100" s="78">
        <f ca="1">INDEX(AvailableStates!$D$3:$I$82,MATCH($K96,AvailableStates!$B$3:$B$82,0)+MATCH('Calc- Prosym Setup'!$K$4,AvailableStates!$C$3:$C$7)-1,MATCH('Calc- Prosym Setup'!K$7,AvailableStates!$D$2:$I$2,0))</f>
        <v>1.163597553917929E-3</v>
      </c>
      <c r="L100" s="78">
        <f ca="1">INDEX(AvailableStates!$D$3:$I$82,MATCH($K96,AvailableStates!$B$3:$B$82,0)+MATCH('Calc- Prosym Setup'!$K$4,AvailableStates!$C$3:$C$7)-1,MATCH('Calc- Prosym Setup'!L$7,AvailableStates!$D$2:$I$2,0))</f>
        <v>8.9843565696334587E-4</v>
      </c>
      <c r="M100" s="78">
        <f ca="1">INDEX(AvailableStates!$D$3:$I$82,MATCH($K96,AvailableStates!$B$3:$B$82,0)+MATCH('Calc- Prosym Setup'!$K$4,AvailableStates!$C$3:$C$7)-1,MATCH('Calc- Prosym Setup'!M$7,AvailableStates!$D$2:$I$2,0))</f>
        <v>1.9717649007202579E-2</v>
      </c>
      <c r="N100" s="78">
        <f ca="1">INDEX(AvailableStates!$D$3:$I$82,MATCH($K96,AvailableStates!$B$3:$B$82,0)+MATCH('Calc- Prosym Setup'!$K$4,AvailableStates!$C$3:$C$7)-1,MATCH('Calc- Prosym Setup'!N$7,AvailableStates!$D$2:$I$2,0))</f>
        <v>1.1479831386255577E-2</v>
      </c>
      <c r="O100" s="78">
        <f ca="1">INDEX(AvailableStates!$D$3:$I$82,MATCH($K96,AvailableStates!$B$3:$B$82,0)+MATCH('Calc- Prosym Setup'!$K$4,AvailableStates!$C$3:$C$7)-1,MATCH('Calc- Prosym Setup'!O$7,AvailableStates!$D$2:$I$2,0))</f>
        <v>9.6277432928673669E-3</v>
      </c>
      <c r="P100" s="78">
        <f ca="1">INDEX(AvailableStates!$D$3:$I$82,MATCH($K96,AvailableStates!$B$3:$B$82,0)+MATCH('Calc- Prosym Setup'!$K$4,AvailableStates!$C$3:$C$7)-1,MATCH('Calc- Prosym Setup'!P$7,AvailableStates!$D$2:$I$2,0))</f>
        <v>0.89322211452781453</v>
      </c>
      <c r="Q100" s="78">
        <f ca="1">SUM(K100:P100)</f>
        <v>0.93610937142502126</v>
      </c>
      <c r="R100" s="145"/>
      <c r="S100" s="78">
        <f ca="1">INDEX(AvailableStates!$D$3:$I$82,MATCH($S96,AvailableStates!$B$3:$B$82,0)+MATCH('Calc- Prosym Setup'!$S$4,AvailableStates!$C$3:$C$7)-1,MATCH('Calc- Prosym Setup'!S$7,AvailableStates!$D$2:$I$2,0))</f>
        <v>1.163597553917929E-3</v>
      </c>
      <c r="T100" s="78">
        <f ca="1">INDEX(AvailableStates!$D$3:$I$82,MATCH($S96,AvailableStates!$B$3:$B$82,0)+MATCH('Calc- Prosym Setup'!$S$4,AvailableStates!$C$3:$C$7)-1,MATCH('Calc- Prosym Setup'!T$7,AvailableStates!$D$2:$I$2,0))</f>
        <v>8.9843565696334587E-4</v>
      </c>
      <c r="U100" s="78">
        <f ca="1">INDEX(AvailableStates!$D$3:$I$82,MATCH($S96,AvailableStates!$B$3:$B$82,0)+MATCH('Calc- Prosym Setup'!$S$4,AvailableStates!$C$3:$C$7)-1,MATCH('Calc- Prosym Setup'!U$7,AvailableStates!$D$2:$I$2,0))</f>
        <v>1.9717649007202579E-2</v>
      </c>
      <c r="V100" s="78">
        <f ca="1">INDEX(AvailableStates!$D$3:$I$82,MATCH($S96,AvailableStates!$B$3:$B$82,0)+MATCH('Calc- Prosym Setup'!$S$4,AvailableStates!$C$3:$C$7)-1,MATCH('Calc- Prosym Setup'!V$7,AvailableStates!$D$2:$I$2,0))</f>
        <v>1.1479831386255577E-2</v>
      </c>
      <c r="W100" s="78">
        <f ca="1">INDEX(AvailableStates!$D$3:$I$82,MATCH($S96,AvailableStates!$B$3:$B$82,0)+MATCH('Calc- Prosym Setup'!$S$4,AvailableStates!$C$3:$C$7)-1,MATCH('Calc- Prosym Setup'!W$7,AvailableStates!$D$2:$I$2,0))</f>
        <v>9.6277432928673669E-3</v>
      </c>
      <c r="X100" s="78">
        <f ca="1">INDEX(AvailableStates!$D$3:$I$82,MATCH($S96,AvailableStates!$B$3:$B$82,0)+MATCH('Calc- Prosym Setup'!$S$4,AvailableStates!$C$3:$C$7)-1,MATCH('Calc- Prosym Setup'!X$7,AvailableStates!$D$2:$I$2,0))</f>
        <v>0.89322211452781453</v>
      </c>
      <c r="Y100" s="78">
        <f ca="1">SUM(S100:X100)</f>
        <v>0.93610937142502126</v>
      </c>
      <c r="Z100" s="145"/>
      <c r="AA100" s="78">
        <f ca="1">INDEX(AvailableStates!$D$3:$I$82,MATCH($AA96,AvailableStates!$B$3:$B$82,0)+MATCH('Calc- Prosym Setup'!$AA$4,AvailableStates!$C$3:$C$7)-1,MATCH('Calc- Prosym Setup'!AA$7,AvailableStates!$D$2:$I$2,0))</f>
        <v>1.163597553917929E-3</v>
      </c>
      <c r="AB100" s="78">
        <f ca="1">INDEX(AvailableStates!$D$3:$I$82,MATCH($AA96,AvailableStates!$B$3:$B$82,0)+MATCH('Calc- Prosym Setup'!$AA$4,AvailableStates!$C$3:$C$7)-1,MATCH('Calc- Prosym Setup'!AB$7,AvailableStates!$D$2:$I$2,0))</f>
        <v>8.9843565696334587E-4</v>
      </c>
      <c r="AC100" s="78">
        <f ca="1">INDEX(AvailableStates!$D$3:$I$82,MATCH($AA96,AvailableStates!$B$3:$B$82,0)+MATCH('Calc- Prosym Setup'!$AA$4,AvailableStates!$C$3:$C$7)-1,MATCH('Calc- Prosym Setup'!AC$7,AvailableStates!$D$2:$I$2,0))</f>
        <v>1.9717649007202579E-2</v>
      </c>
      <c r="AD100" s="78">
        <f ca="1">INDEX(AvailableStates!$D$3:$I$82,MATCH($AA96,AvailableStates!$B$3:$B$82,0)+MATCH('Calc- Prosym Setup'!$AA$4,AvailableStates!$C$3:$C$7)-1,MATCH('Calc- Prosym Setup'!AD$7,AvailableStates!$D$2:$I$2,0))</f>
        <v>1.1479831386255577E-2</v>
      </c>
      <c r="AE100" s="78">
        <f ca="1">INDEX(AvailableStates!$D$3:$I$82,MATCH($AA96,AvailableStates!$B$3:$B$82,0)+MATCH('Calc- Prosym Setup'!$AA$4,AvailableStates!$C$3:$C$7)-1,MATCH('Calc- Prosym Setup'!AE$7,AvailableStates!$D$2:$I$2,0))</f>
        <v>9.6277432928673669E-3</v>
      </c>
      <c r="AF100" s="78">
        <f ca="1">INDEX(AvailableStates!$D$3:$I$82,MATCH($AA96,AvailableStates!$B$3:$B$82,0)+MATCH('Calc- Prosym Setup'!$AA$4,AvailableStates!$C$3:$C$7)-1,MATCH('Calc- Prosym Setup'!AF$7,AvailableStates!$D$2:$I$2,0))</f>
        <v>0.89322211452781453</v>
      </c>
      <c r="AG100" s="78">
        <f ca="1">SUM(AA100:AF100)</f>
        <v>0.93610937142502126</v>
      </c>
      <c r="AH100" s="145"/>
      <c r="AI100" s="78">
        <f ca="1">INDEX(AvailableStates!$D$3:$I$82,MATCH($AI96,AvailableStates!$B$3:$B$82,0)+MATCH('Calc- Prosym Setup'!$AI$4,AvailableStates!$C$3:$C$7)-1,MATCH('Calc- Prosym Setup'!AI$7,AvailableStates!$D$2:$I$2,0))</f>
        <v>1.163597553917929E-3</v>
      </c>
      <c r="AJ100" s="78">
        <f ca="1">INDEX(AvailableStates!$D$3:$I$82,MATCH($AI96,AvailableStates!$B$3:$B$82,0)+MATCH('Calc- Prosym Setup'!$AI$4,AvailableStates!$C$3:$C$7)-1,MATCH('Calc- Prosym Setup'!AJ$7,AvailableStates!$D$2:$I$2,0))</f>
        <v>8.9843565696334587E-4</v>
      </c>
      <c r="AK100" s="78">
        <f ca="1">INDEX(AvailableStates!$D$3:$I$82,MATCH($AI96,AvailableStates!$B$3:$B$82,0)+MATCH('Calc- Prosym Setup'!$AI$4,AvailableStates!$C$3:$C$7)-1,MATCH('Calc- Prosym Setup'!AK$7,AvailableStates!$D$2:$I$2,0))</f>
        <v>1.9717649007202579E-2</v>
      </c>
      <c r="AL100" s="78">
        <f ca="1">INDEX(AvailableStates!$D$3:$I$82,MATCH($AI96,AvailableStates!$B$3:$B$82,0)+MATCH('Calc- Prosym Setup'!$AI$4,AvailableStates!$C$3:$C$7)-1,MATCH('Calc- Prosym Setup'!AL$7,AvailableStates!$D$2:$I$2,0))</f>
        <v>1.1479831386255577E-2</v>
      </c>
      <c r="AM100" s="78">
        <f ca="1">INDEX(AvailableStates!$D$3:$I$82,MATCH($AI96,AvailableStates!$B$3:$B$82,0)+MATCH('Calc- Prosym Setup'!$AI$4,AvailableStates!$C$3:$C$7)-1,MATCH('Calc- Prosym Setup'!AM$7,AvailableStates!$D$2:$I$2,0))</f>
        <v>9.6277432928673669E-3</v>
      </c>
      <c r="AN100" s="78">
        <f ca="1">INDEX(AvailableStates!$D$3:$I$82,MATCH($AI96,AvailableStates!$B$3:$B$82,0)+MATCH('Calc- Prosym Setup'!$AI$4,AvailableStates!$C$3:$C$7)-1,MATCH('Calc- Prosym Setup'!AN$7,AvailableStates!$D$2:$I$2,0))</f>
        <v>0.89322211452781453</v>
      </c>
      <c r="AO100" s="78">
        <f ca="1">SUM(AI100:AN100)</f>
        <v>0.93610937142502126</v>
      </c>
    </row>
    <row r="101" spans="1:41" x14ac:dyDescent="0.25">
      <c r="J101" s="145"/>
      <c r="R101" s="145"/>
      <c r="Z101" s="145"/>
      <c r="AH101" s="145"/>
    </row>
    <row r="102" spans="1:41" x14ac:dyDescent="0.25">
      <c r="J102" s="145"/>
      <c r="R102" s="145"/>
      <c r="Z102" s="145"/>
      <c r="AH102" s="145"/>
    </row>
    <row r="103" spans="1:41" x14ac:dyDescent="0.25">
      <c r="A103" s="58" t="s">
        <v>166</v>
      </c>
      <c r="B103" s="73"/>
      <c r="C103" s="36" t="str">
        <f>Lookup!AU3</f>
        <v>TC2</v>
      </c>
      <c r="D103" s="35" t="s">
        <v>181</v>
      </c>
      <c r="E103" s="140">
        <f>VLOOKUP(C103,'INP-Calc EFOR&amp;EUOR - 2019Plan'!$A$11:$AE$36,21)</f>
        <v>8.1405616678187923E-2</v>
      </c>
      <c r="F103" s="35" t="s">
        <v>226</v>
      </c>
      <c r="G103" s="140">
        <f>VLOOKUP(C103,'INP-Calc EFOR&amp;EUOR - 2019Plan'!$A$11:$AE$36,27)</f>
        <v>1.2621874825627145E-2</v>
      </c>
      <c r="H103" s="35" t="s">
        <v>182</v>
      </c>
      <c r="I103" s="140">
        <f>VLOOKUP(C103,'INP-Calc EFOR&amp;EUOR - 2019Plan'!$A$11:$AE$36,15)</f>
        <v>3.7999999999999999E-2</v>
      </c>
      <c r="J103" s="145"/>
      <c r="K103" s="36" t="str">
        <f>C103</f>
        <v>TC2</v>
      </c>
      <c r="L103" s="35" t="s">
        <v>181</v>
      </c>
      <c r="M103" s="140">
        <f>VLOOKUP(K103,'INP-Calc EFOR&amp;EUOR - 2019Plan'!$A$11:$AE$36,22)</f>
        <v>8.1405616678187923E-2</v>
      </c>
      <c r="N103" s="35" t="s">
        <v>226</v>
      </c>
      <c r="O103" s="140">
        <f>VLOOKUP(K103,'INP-Calc EFOR&amp;EUOR - 2019Plan'!$A$11:$AE$36,28)</f>
        <v>1.2621874825627145E-2</v>
      </c>
      <c r="P103" s="35" t="s">
        <v>182</v>
      </c>
      <c r="Q103" s="140">
        <f>VLOOKUP(K103,'INP-Calc EFOR&amp;EUOR - 2019Plan'!$A$11:$AE$36,16)</f>
        <v>3.7999999999999999E-2</v>
      </c>
      <c r="R103" s="145"/>
      <c r="S103" s="36" t="str">
        <f>K103</f>
        <v>TC2</v>
      </c>
      <c r="T103" s="35" t="s">
        <v>181</v>
      </c>
      <c r="U103" s="140">
        <f>VLOOKUP(S103,'INP-Calc EFOR&amp;EUOR - 2019Plan'!$A$11:$AE$36,23)</f>
        <v>8.1405616678187923E-2</v>
      </c>
      <c r="V103" s="35" t="s">
        <v>226</v>
      </c>
      <c r="W103" s="140">
        <f>VLOOKUP(S103,'INP-Calc EFOR&amp;EUOR - 2019Plan'!$A$11:$AE$36,29)</f>
        <v>1.2621874825627145E-2</v>
      </c>
      <c r="X103" s="35" t="s">
        <v>182</v>
      </c>
      <c r="Y103" s="140">
        <f>VLOOKUP(S103,'INP-Calc EFOR&amp;EUOR - 2019Plan'!$A$11:$AE$36,17)</f>
        <v>3.7999999999999999E-2</v>
      </c>
      <c r="Z103" s="145"/>
      <c r="AA103" s="36" t="str">
        <f>S103</f>
        <v>TC2</v>
      </c>
      <c r="AB103" s="35" t="s">
        <v>181</v>
      </c>
      <c r="AC103" s="140">
        <f>VLOOKUP(AA103,'INP-Calc EFOR&amp;EUOR - 2019Plan'!$A$11:$AE$36,24)</f>
        <v>8.1405616678187923E-2</v>
      </c>
      <c r="AD103" s="35" t="s">
        <v>226</v>
      </c>
      <c r="AE103" s="140">
        <f>VLOOKUP(AA103,'INP-Calc EFOR&amp;EUOR - 2019Plan'!$A$11:$AE$36,30)</f>
        <v>1.2621874825627145E-2</v>
      </c>
      <c r="AF103" s="35" t="s">
        <v>182</v>
      </c>
      <c r="AG103" s="140">
        <f>VLOOKUP(AA103,'INP-Calc EFOR&amp;EUOR - 2019Plan'!$A$11:$AE$36,18)</f>
        <v>3.7999999999999999E-2</v>
      </c>
      <c r="AH103" s="145"/>
      <c r="AI103" s="36" t="str">
        <f>AA103</f>
        <v>TC2</v>
      </c>
      <c r="AJ103" s="35" t="s">
        <v>181</v>
      </c>
      <c r="AK103" s="140">
        <f>VLOOKUP(AI103,'INP-Calc EFOR&amp;EUOR - 2019Plan'!$A$11:$AE$36,25)</f>
        <v>8.1405616678187923E-2</v>
      </c>
      <c r="AL103" s="35" t="s">
        <v>226</v>
      </c>
      <c r="AM103" s="140">
        <f>VLOOKUP(AI103,'INP-Calc EFOR&amp;EUOR - 2019Plan'!$A$11:$AE$36,31)</f>
        <v>1.2621874825627145E-2</v>
      </c>
      <c r="AN103" s="35" t="s">
        <v>182</v>
      </c>
      <c r="AO103" s="141">
        <f>VLOOKUP(AI103,'INP-Calc EFOR&amp;EUOR - 2019Plan'!$A$11:$AE$36,19)</f>
        <v>3.7999999999999999E-2</v>
      </c>
    </row>
    <row r="104" spans="1:41" x14ac:dyDescent="0.25">
      <c r="A104" s="36"/>
      <c r="B104" s="36"/>
      <c r="C104" s="36"/>
      <c r="D104" s="36"/>
      <c r="E104" s="36"/>
      <c r="F104" s="36"/>
      <c r="G104" s="37"/>
      <c r="H104" s="36"/>
      <c r="I104" s="36"/>
      <c r="J104" s="145"/>
      <c r="K104" s="36"/>
      <c r="L104" s="36"/>
      <c r="M104" s="36"/>
      <c r="N104" s="36"/>
      <c r="O104" s="37"/>
      <c r="P104" s="36"/>
      <c r="Q104" s="36"/>
      <c r="R104" s="145"/>
      <c r="S104" s="36"/>
      <c r="T104" s="36"/>
      <c r="U104" s="36"/>
      <c r="V104" s="36"/>
      <c r="W104" s="37"/>
      <c r="X104" s="36"/>
      <c r="Y104" s="36"/>
      <c r="Z104" s="145"/>
      <c r="AA104" s="36"/>
      <c r="AB104" s="36"/>
      <c r="AC104" s="36"/>
      <c r="AD104" s="36"/>
      <c r="AE104" s="37"/>
      <c r="AF104" s="36"/>
      <c r="AG104" s="36"/>
      <c r="AH104" s="145"/>
      <c r="AI104" s="36"/>
      <c r="AJ104" s="36"/>
      <c r="AK104" s="36"/>
      <c r="AL104" s="36"/>
      <c r="AM104" s="37"/>
      <c r="AN104" s="36"/>
      <c r="AO104" s="36"/>
    </row>
    <row r="105" spans="1:41" x14ac:dyDescent="0.25">
      <c r="A105" s="37" t="str">
        <f>A98</f>
        <v>BLOCK:</v>
      </c>
      <c r="B105" s="37"/>
      <c r="C105" s="38">
        <f>C98</f>
        <v>1</v>
      </c>
      <c r="D105" s="38">
        <f t="shared" ref="D105:I105" si="82">D98</f>
        <v>2</v>
      </c>
      <c r="E105" s="38">
        <f t="shared" si="82"/>
        <v>3</v>
      </c>
      <c r="F105" s="38">
        <f t="shared" si="82"/>
        <v>4</v>
      </c>
      <c r="G105" s="38">
        <f t="shared" si="82"/>
        <v>5</v>
      </c>
      <c r="H105" s="38">
        <f t="shared" si="82"/>
        <v>6</v>
      </c>
      <c r="I105" s="38" t="str">
        <f t="shared" si="82"/>
        <v>Tot Unit</v>
      </c>
      <c r="J105" s="145"/>
      <c r="K105" s="38">
        <f>K98</f>
        <v>1</v>
      </c>
      <c r="L105" s="38">
        <f t="shared" ref="L105:Q105" si="83">L98</f>
        <v>2</v>
      </c>
      <c r="M105" s="38">
        <f t="shared" si="83"/>
        <v>3</v>
      </c>
      <c r="N105" s="38">
        <f t="shared" si="83"/>
        <v>4</v>
      </c>
      <c r="O105" s="38">
        <f t="shared" si="83"/>
        <v>5</v>
      </c>
      <c r="P105" s="38">
        <f t="shared" si="83"/>
        <v>6</v>
      </c>
      <c r="Q105" s="38" t="str">
        <f t="shared" si="83"/>
        <v>Tot Unit</v>
      </c>
      <c r="R105" s="145"/>
      <c r="S105" s="38">
        <f>S98</f>
        <v>1</v>
      </c>
      <c r="T105" s="38">
        <f t="shared" ref="T105:Y105" si="84">T98</f>
        <v>2</v>
      </c>
      <c r="U105" s="38">
        <f t="shared" si="84"/>
        <v>3</v>
      </c>
      <c r="V105" s="38">
        <f t="shared" si="84"/>
        <v>4</v>
      </c>
      <c r="W105" s="38">
        <f t="shared" si="84"/>
        <v>5</v>
      </c>
      <c r="X105" s="38">
        <f t="shared" si="84"/>
        <v>6</v>
      </c>
      <c r="Y105" s="38" t="str">
        <f t="shared" si="84"/>
        <v>Tot Unit</v>
      </c>
      <c r="Z105" s="145"/>
      <c r="AA105" s="38">
        <f>AA98</f>
        <v>1</v>
      </c>
      <c r="AB105" s="38">
        <f t="shared" ref="AB105:AG105" si="85">AB98</f>
        <v>2</v>
      </c>
      <c r="AC105" s="38">
        <f t="shared" si="85"/>
        <v>3</v>
      </c>
      <c r="AD105" s="38">
        <f t="shared" si="85"/>
        <v>4</v>
      </c>
      <c r="AE105" s="38">
        <f t="shared" si="85"/>
        <v>5</v>
      </c>
      <c r="AF105" s="38">
        <f t="shared" si="85"/>
        <v>6</v>
      </c>
      <c r="AG105" s="38" t="str">
        <f t="shared" si="85"/>
        <v>Tot Unit</v>
      </c>
      <c r="AH105" s="145"/>
      <c r="AI105" s="38">
        <f>AI98</f>
        <v>1</v>
      </c>
      <c r="AJ105" s="38">
        <f t="shared" ref="AJ105:AO105" si="86">AJ98</f>
        <v>2</v>
      </c>
      <c r="AK105" s="38">
        <f t="shared" si="86"/>
        <v>3</v>
      </c>
      <c r="AL105" s="38">
        <f t="shared" si="86"/>
        <v>4</v>
      </c>
      <c r="AM105" s="38">
        <f t="shared" si="86"/>
        <v>5</v>
      </c>
      <c r="AN105" s="38">
        <f t="shared" si="86"/>
        <v>6</v>
      </c>
      <c r="AO105" s="38" t="str">
        <f t="shared" si="86"/>
        <v>Tot Unit</v>
      </c>
    </row>
    <row r="106" spans="1:41" x14ac:dyDescent="0.25">
      <c r="A106" s="37" t="str">
        <f t="shared" ref="A106:A107" si="87">A99</f>
        <v>State Capacity (I)</v>
      </c>
      <c r="B106" s="37"/>
      <c r="C106" s="146">
        <f>INDEX('Calc-Pivot abvals'!$H$20:$M$32,MATCH($C103,'Calc-Pivot abvals'!$G$20:$G$32,0),MATCH(C$7,'Calc-Pivot abvals'!$H$19:$M$19,0))*0.75</f>
        <v>330</v>
      </c>
      <c r="D106" s="146">
        <f>INDEX('Calc-Pivot abvals'!$H$20:$M$32,MATCH($C103,'Calc-Pivot abvals'!$G$20:$G$32,0),MATCH(D$7,'Calc-Pivot abvals'!$H$19:$M$19,0))*0.75</f>
        <v>427.5</v>
      </c>
      <c r="E106" s="146">
        <f>INDEX('Calc-Pivot abvals'!$H$20:$M$32,MATCH($C103,'Calc-Pivot abvals'!$G$20:$G$32,0),MATCH(E$7,'Calc-Pivot abvals'!$H$19:$M$19,0))*0.75</f>
        <v>450</v>
      </c>
      <c r="F106" s="146">
        <f>INDEX('Calc-Pivot abvals'!$H$20:$M$32,MATCH($C103,'Calc-Pivot abvals'!$G$20:$G$32,0),MATCH(F$7,'Calc-Pivot abvals'!$H$19:$M$19,0))*0.75</f>
        <v>510</v>
      </c>
      <c r="G106" s="146">
        <f>INDEX('Calc-Pivot abvals'!$H$20:$M$32,MATCH($C103,'Calc-Pivot abvals'!$G$20:$G$32,0),MATCH(G$7,'Calc-Pivot abvals'!$H$19:$M$19,0))*0.75</f>
        <v>540</v>
      </c>
      <c r="H106" s="146">
        <f>INDEX('Calc-Pivot abvals'!$H$20:$M$32,MATCH($C103,'Calc-Pivot abvals'!$G$20:$G$32,0),MATCH(H$7,'Calc-Pivot abvals'!$H$19:$M$19,0))*0.75</f>
        <v>570</v>
      </c>
      <c r="I106" s="142">
        <f>VLOOKUP($A$103,Lookup!$L$5:$M$19,2,FALSE)</f>
        <v>760</v>
      </c>
      <c r="J106" s="145"/>
      <c r="K106" s="146">
        <f>INDEX('Calc-Pivot abvals'!$H$20:$M$32,MATCH($K103,'Calc-Pivot abvals'!$G$20:$G$32,0),MATCH(K$7,'Calc-Pivot abvals'!$H$19:$M$19,0))*0.75</f>
        <v>330</v>
      </c>
      <c r="L106" s="146">
        <f>INDEX('Calc-Pivot abvals'!$H$20:$M$32,MATCH($K103,'Calc-Pivot abvals'!$G$20:$G$32,0),MATCH(L$7,'Calc-Pivot abvals'!$H$19:$M$19,0))*0.75</f>
        <v>427.5</v>
      </c>
      <c r="M106" s="146">
        <f>INDEX('Calc-Pivot abvals'!$H$20:$M$32,MATCH($K103,'Calc-Pivot abvals'!$G$20:$G$32,0),MATCH(M$7,'Calc-Pivot abvals'!$H$19:$M$19,0))*0.75</f>
        <v>450</v>
      </c>
      <c r="N106" s="146">
        <f>INDEX('Calc-Pivot abvals'!$H$20:$M$32,MATCH($K103,'Calc-Pivot abvals'!$G$20:$G$32,0),MATCH(N$7,'Calc-Pivot abvals'!$H$19:$M$19,0))*0.75</f>
        <v>510</v>
      </c>
      <c r="O106" s="146">
        <f>INDEX('Calc-Pivot abvals'!$H$20:$M$32,MATCH($K103,'Calc-Pivot abvals'!$G$20:$G$32,0),MATCH(O$7,'Calc-Pivot abvals'!$H$19:$M$19,0))*0.75</f>
        <v>540</v>
      </c>
      <c r="P106" s="146">
        <f>INDEX('Calc-Pivot abvals'!$H$20:$M$32,MATCH($K103,'Calc-Pivot abvals'!$G$20:$G$32,0),MATCH(P$7,'Calc-Pivot abvals'!$H$19:$M$19,0))*0.75</f>
        <v>570</v>
      </c>
      <c r="Q106" s="142">
        <f>VLOOKUP($A$103,Lookup!$L$5:$M$19,2,FALSE)</f>
        <v>760</v>
      </c>
      <c r="R106" s="145"/>
      <c r="S106" s="146">
        <f>INDEX('Calc-Pivot abvals'!$H$20:$M$32,MATCH($S103,'Calc-Pivot abvals'!$G$20:$G$32,0),MATCH(S$7,'Calc-Pivot abvals'!$H$19:$M$19,0))*0.75</f>
        <v>330</v>
      </c>
      <c r="T106" s="146">
        <f>INDEX('Calc-Pivot abvals'!$H$20:$M$32,MATCH($S103,'Calc-Pivot abvals'!$G$20:$G$32,0),MATCH(T$7,'Calc-Pivot abvals'!$H$19:$M$19,0))*0.75</f>
        <v>427.5</v>
      </c>
      <c r="U106" s="146">
        <f>INDEX('Calc-Pivot abvals'!$H$20:$M$32,MATCH($S103,'Calc-Pivot abvals'!$G$20:$G$32,0),MATCH(U$7,'Calc-Pivot abvals'!$H$19:$M$19,0))*0.75</f>
        <v>450</v>
      </c>
      <c r="V106" s="146">
        <f>INDEX('Calc-Pivot abvals'!$H$20:$M$32,MATCH($S103,'Calc-Pivot abvals'!$G$20:$G$32,0),MATCH(V$7,'Calc-Pivot abvals'!$H$19:$M$19,0))*0.75</f>
        <v>510</v>
      </c>
      <c r="W106" s="146">
        <f>INDEX('Calc-Pivot abvals'!$H$20:$M$32,MATCH($S103,'Calc-Pivot abvals'!$G$20:$G$32,0),MATCH(W$7,'Calc-Pivot abvals'!$H$19:$M$19,0))*0.75</f>
        <v>540</v>
      </c>
      <c r="X106" s="146">
        <f>INDEX('Calc-Pivot abvals'!$H$20:$M$32,MATCH($S103,'Calc-Pivot abvals'!$G$20:$G$32,0),MATCH(X$7,'Calc-Pivot abvals'!$H$19:$M$19,0))*0.75</f>
        <v>570</v>
      </c>
      <c r="Y106" s="142">
        <f>VLOOKUP($A$103,Lookup!$L$5:$M$19,2,FALSE)</f>
        <v>760</v>
      </c>
      <c r="Z106" s="145"/>
      <c r="AA106" s="146">
        <f>INDEX('Calc-Pivot abvals'!$H$20:$M$32,MATCH($AA103,'Calc-Pivot abvals'!$G$20:$G$32,0),MATCH(AA$7,'Calc-Pivot abvals'!$H$19:$M$19,0))*0.75</f>
        <v>330</v>
      </c>
      <c r="AB106" s="146">
        <f>INDEX('Calc-Pivot abvals'!$H$20:$M$32,MATCH($AA103,'Calc-Pivot abvals'!$G$20:$G$32,0),MATCH(AB$7,'Calc-Pivot abvals'!$H$19:$M$19,0))*0.75</f>
        <v>427.5</v>
      </c>
      <c r="AC106" s="146">
        <f>INDEX('Calc-Pivot abvals'!$H$20:$M$32,MATCH($AA103,'Calc-Pivot abvals'!$G$20:$G$32,0),MATCH(AC$7,'Calc-Pivot abvals'!$H$19:$M$19,0))*0.75</f>
        <v>450</v>
      </c>
      <c r="AD106" s="146">
        <f>INDEX('Calc-Pivot abvals'!$H$20:$M$32,MATCH($AA103,'Calc-Pivot abvals'!$G$20:$G$32,0),MATCH(AD$7,'Calc-Pivot abvals'!$H$19:$M$19,0))*0.75</f>
        <v>510</v>
      </c>
      <c r="AE106" s="146">
        <f>INDEX('Calc-Pivot abvals'!$H$20:$M$32,MATCH($AA103,'Calc-Pivot abvals'!$G$20:$G$32,0),MATCH(AE$7,'Calc-Pivot abvals'!$H$19:$M$19,0))*0.75</f>
        <v>540</v>
      </c>
      <c r="AF106" s="146">
        <f>INDEX('Calc-Pivot abvals'!$H$20:$M$32,MATCH($AA103,'Calc-Pivot abvals'!$G$20:$G$32,0),MATCH(AF$7,'Calc-Pivot abvals'!$H$19:$M$19,0))*0.75</f>
        <v>570</v>
      </c>
      <c r="AG106" s="142">
        <f>VLOOKUP($A$103,Lookup!$L$5:$M$19,2,FALSE)</f>
        <v>760</v>
      </c>
      <c r="AH106" s="145"/>
      <c r="AI106" s="146">
        <f>INDEX('Calc-Pivot abvals'!$H$20:$M$32,MATCH($AI103,'Calc-Pivot abvals'!$G$20:$G$32,0),MATCH(AI$7,'Calc-Pivot abvals'!$H$19:$M$19,0))*0.75</f>
        <v>330</v>
      </c>
      <c r="AJ106" s="146">
        <f>INDEX('Calc-Pivot abvals'!$H$20:$M$32,MATCH($AI103,'Calc-Pivot abvals'!$G$20:$G$32,0),MATCH(AJ$7,'Calc-Pivot abvals'!$H$19:$M$19,0))*0.75</f>
        <v>427.5</v>
      </c>
      <c r="AK106" s="146">
        <f>INDEX('Calc-Pivot abvals'!$H$20:$M$32,MATCH($AI103,'Calc-Pivot abvals'!$G$20:$G$32,0),MATCH(AK$7,'Calc-Pivot abvals'!$H$19:$M$19,0))*0.75</f>
        <v>450</v>
      </c>
      <c r="AL106" s="146">
        <f>INDEX('Calc-Pivot abvals'!$H$20:$M$32,MATCH($AI103,'Calc-Pivot abvals'!$G$20:$G$32,0),MATCH(AL$7,'Calc-Pivot abvals'!$H$19:$M$19,0))*0.75</f>
        <v>510</v>
      </c>
      <c r="AM106" s="146">
        <f>INDEX('Calc-Pivot abvals'!$H$20:$M$32,MATCH($AI103,'Calc-Pivot abvals'!$G$20:$G$32,0),MATCH(AM$7,'Calc-Pivot abvals'!$H$19:$M$19,0))*0.75</f>
        <v>540</v>
      </c>
      <c r="AN106" s="146">
        <f>INDEX('Calc-Pivot abvals'!$H$20:$M$32,MATCH($AI103,'Calc-Pivot abvals'!$G$20:$G$32,0),MATCH(AN$7,'Calc-Pivot abvals'!$H$19:$M$19,0))*0.75</f>
        <v>570</v>
      </c>
      <c r="AO106" s="142">
        <f>VLOOKUP($A$103,Lookup!$L$5:$M$19,2,FALSE)</f>
        <v>760</v>
      </c>
    </row>
    <row r="107" spans="1:41" x14ac:dyDescent="0.25">
      <c r="A107" s="35" t="str">
        <f t="shared" si="87"/>
        <v>GADS Yr Availability: GADS only (C)</v>
      </c>
      <c r="B107" s="35"/>
      <c r="C107" s="78">
        <f ca="1">INDEX(AvailableStates!$D$3:$I$82,MATCH($C103,AvailableStates!$B$3:$B$82,0)+MATCH('Calc- Prosym Setup'!$C$4,AvailableStates!$C$3:$C$7)-1,MATCH('Calc- Prosym Setup'!C$7,AvailableStates!$D$2:$I$2,0))</f>
        <v>2.8220175018017412E-3</v>
      </c>
      <c r="D107" s="78">
        <f ca="1">INDEX(AvailableStates!$D$3:$I$82,MATCH($C103,AvailableStates!$B$3:$B$82,0)+MATCH('Calc- Prosym Setup'!$C$4,AvailableStates!$C$3:$C$7)-1,MATCH('Calc- Prosym Setup'!D$7,AvailableStates!$D$2:$I$2,0))</f>
        <v>9.583341067340637E-3</v>
      </c>
      <c r="E107" s="78">
        <f ca="1">INDEX(AvailableStates!$D$3:$I$82,MATCH($C103,AvailableStates!$B$3:$B$82,0)+MATCH('Calc- Prosym Setup'!$C$4,AvailableStates!$C$3:$C$7)-1,MATCH('Calc- Prosym Setup'!E$7,AvailableStates!$D$2:$I$2,0))</f>
        <v>7.5194462636233965E-3</v>
      </c>
      <c r="F107" s="78">
        <f ca="1">INDEX(AvailableStates!$D$3:$I$82,MATCH($C103,AvailableStates!$B$3:$B$82,0)+MATCH('Calc- Prosym Setup'!$C$4,AvailableStates!$C$3:$C$7)-1,MATCH('Calc- Prosym Setup'!F$7,AvailableStates!$D$2:$I$2,0))</f>
        <v>4.9761749803436436E-2</v>
      </c>
      <c r="G107" s="78">
        <f ca="1">INDEX(AvailableStates!$D$3:$I$82,MATCH($C103,AvailableStates!$B$3:$B$82,0)+MATCH('Calc- Prosym Setup'!$C$4,AvailableStates!$C$3:$C$7)-1,MATCH('Calc- Prosym Setup'!G$7,AvailableStates!$D$2:$I$2,0))</f>
        <v>2.2594988368781467E-2</v>
      </c>
      <c r="H107" s="78">
        <f ca="1">INDEX(AvailableStates!$D$3:$I$82,MATCH($C103,AvailableStates!$B$3:$B$82,0)+MATCH('Calc- Prosym Setup'!$C$4,AvailableStates!$C$3:$C$7)-1,MATCH('Calc- Prosym Setup'!H$7,AvailableStates!$D$2:$I$2,0))</f>
        <v>0.78831284031682836</v>
      </c>
      <c r="I107" s="78">
        <f ca="1">SUM(C107:H107)</f>
        <v>0.88059438332181206</v>
      </c>
      <c r="J107" s="145"/>
      <c r="K107" s="78">
        <f ca="1">INDEX(AvailableStates!$D$3:$I$82,MATCH($K103,AvailableStates!$B$3:$B$82,0)+MATCH('Calc- Prosym Setup'!$K$4,AvailableStates!$C$3:$C$7)-1,MATCH('Calc- Prosym Setup'!K$7,AvailableStates!$D$2:$I$2,0))</f>
        <v>2.8220175018017412E-3</v>
      </c>
      <c r="L107" s="78">
        <f ca="1">INDEX(AvailableStates!$D$3:$I$82,MATCH($K103,AvailableStates!$B$3:$B$82,0)+MATCH('Calc- Prosym Setup'!$K$4,AvailableStates!$C$3:$C$7)-1,MATCH('Calc- Prosym Setup'!L$7,AvailableStates!$D$2:$I$2,0))</f>
        <v>9.583341067340637E-3</v>
      </c>
      <c r="M107" s="78">
        <f ca="1">INDEX(AvailableStates!$D$3:$I$82,MATCH($K103,AvailableStates!$B$3:$B$82,0)+MATCH('Calc- Prosym Setup'!$K$4,AvailableStates!$C$3:$C$7)-1,MATCH('Calc- Prosym Setup'!M$7,AvailableStates!$D$2:$I$2,0))</f>
        <v>7.5194462636233965E-3</v>
      </c>
      <c r="N107" s="78">
        <f ca="1">INDEX(AvailableStates!$D$3:$I$82,MATCH($K103,AvailableStates!$B$3:$B$82,0)+MATCH('Calc- Prosym Setup'!$K$4,AvailableStates!$C$3:$C$7)-1,MATCH('Calc- Prosym Setup'!N$7,AvailableStates!$D$2:$I$2,0))</f>
        <v>4.9761749803436436E-2</v>
      </c>
      <c r="O107" s="78">
        <f ca="1">INDEX(AvailableStates!$D$3:$I$82,MATCH($K103,AvailableStates!$B$3:$B$82,0)+MATCH('Calc- Prosym Setup'!$K$4,AvailableStates!$C$3:$C$7)-1,MATCH('Calc- Prosym Setup'!O$7,AvailableStates!$D$2:$I$2,0))</f>
        <v>2.2594988368781467E-2</v>
      </c>
      <c r="P107" s="78">
        <f ca="1">INDEX(AvailableStates!$D$3:$I$82,MATCH($K103,AvailableStates!$B$3:$B$82,0)+MATCH('Calc- Prosym Setup'!$K$4,AvailableStates!$C$3:$C$7)-1,MATCH('Calc- Prosym Setup'!P$7,AvailableStates!$D$2:$I$2,0))</f>
        <v>0.78831284031682836</v>
      </c>
      <c r="Q107" s="78">
        <f ca="1">SUM(K107:P107)</f>
        <v>0.88059438332181206</v>
      </c>
      <c r="R107" s="145"/>
      <c r="S107" s="78">
        <f ca="1">INDEX(AvailableStates!$D$3:$I$82,MATCH($S103,AvailableStates!$B$3:$B$82,0)+MATCH('Calc- Prosym Setup'!$S$4,AvailableStates!$C$3:$C$7)-1,MATCH('Calc- Prosym Setup'!S$7,AvailableStates!$D$2:$I$2,0))</f>
        <v>2.8220175018017412E-3</v>
      </c>
      <c r="T107" s="78">
        <f ca="1">INDEX(AvailableStates!$D$3:$I$82,MATCH($S103,AvailableStates!$B$3:$B$82,0)+MATCH('Calc- Prosym Setup'!$S$4,AvailableStates!$C$3:$C$7)-1,MATCH('Calc- Prosym Setup'!T$7,AvailableStates!$D$2:$I$2,0))</f>
        <v>9.583341067340637E-3</v>
      </c>
      <c r="U107" s="78">
        <f ca="1">INDEX(AvailableStates!$D$3:$I$82,MATCH($S103,AvailableStates!$B$3:$B$82,0)+MATCH('Calc- Prosym Setup'!$S$4,AvailableStates!$C$3:$C$7)-1,MATCH('Calc- Prosym Setup'!U$7,AvailableStates!$D$2:$I$2,0))</f>
        <v>7.5194462636233965E-3</v>
      </c>
      <c r="V107" s="78">
        <f ca="1">INDEX(AvailableStates!$D$3:$I$82,MATCH($S103,AvailableStates!$B$3:$B$82,0)+MATCH('Calc- Prosym Setup'!$S$4,AvailableStates!$C$3:$C$7)-1,MATCH('Calc- Prosym Setup'!V$7,AvailableStates!$D$2:$I$2,0))</f>
        <v>4.9761749803436436E-2</v>
      </c>
      <c r="W107" s="78">
        <f ca="1">INDEX(AvailableStates!$D$3:$I$82,MATCH($S103,AvailableStates!$B$3:$B$82,0)+MATCH('Calc- Prosym Setup'!$S$4,AvailableStates!$C$3:$C$7)-1,MATCH('Calc- Prosym Setup'!W$7,AvailableStates!$D$2:$I$2,0))</f>
        <v>2.2594988368781467E-2</v>
      </c>
      <c r="X107" s="78">
        <f ca="1">INDEX(AvailableStates!$D$3:$I$82,MATCH($S103,AvailableStates!$B$3:$B$82,0)+MATCH('Calc- Prosym Setup'!$S$4,AvailableStates!$C$3:$C$7)-1,MATCH('Calc- Prosym Setup'!X$7,AvailableStates!$D$2:$I$2,0))</f>
        <v>0.78831284031682836</v>
      </c>
      <c r="Y107" s="78">
        <f ca="1">SUM(S107:X107)</f>
        <v>0.88059438332181206</v>
      </c>
      <c r="Z107" s="145"/>
      <c r="AA107" s="78">
        <f ca="1">INDEX(AvailableStates!$D$3:$I$82,MATCH($AA103,AvailableStates!$B$3:$B$82,0)+MATCH('Calc- Prosym Setup'!$AA$4,AvailableStates!$C$3:$C$7)-1,MATCH('Calc- Prosym Setup'!AA$7,AvailableStates!$D$2:$I$2,0))</f>
        <v>2.8220175018017412E-3</v>
      </c>
      <c r="AB107" s="78">
        <f ca="1">INDEX(AvailableStates!$D$3:$I$82,MATCH($AA103,AvailableStates!$B$3:$B$82,0)+MATCH('Calc- Prosym Setup'!$AA$4,AvailableStates!$C$3:$C$7)-1,MATCH('Calc- Prosym Setup'!AB$7,AvailableStates!$D$2:$I$2,0))</f>
        <v>9.583341067340637E-3</v>
      </c>
      <c r="AC107" s="78">
        <f ca="1">INDEX(AvailableStates!$D$3:$I$82,MATCH($AA103,AvailableStates!$B$3:$B$82,0)+MATCH('Calc- Prosym Setup'!$AA$4,AvailableStates!$C$3:$C$7)-1,MATCH('Calc- Prosym Setup'!AC$7,AvailableStates!$D$2:$I$2,0))</f>
        <v>7.5194462636233965E-3</v>
      </c>
      <c r="AD107" s="78">
        <f ca="1">INDEX(AvailableStates!$D$3:$I$82,MATCH($AA103,AvailableStates!$B$3:$B$82,0)+MATCH('Calc- Prosym Setup'!$AA$4,AvailableStates!$C$3:$C$7)-1,MATCH('Calc- Prosym Setup'!AD$7,AvailableStates!$D$2:$I$2,0))</f>
        <v>4.9761749803436436E-2</v>
      </c>
      <c r="AE107" s="78">
        <f ca="1">INDEX(AvailableStates!$D$3:$I$82,MATCH($AA103,AvailableStates!$B$3:$B$82,0)+MATCH('Calc- Prosym Setup'!$AA$4,AvailableStates!$C$3:$C$7)-1,MATCH('Calc- Prosym Setup'!AE$7,AvailableStates!$D$2:$I$2,0))</f>
        <v>2.2594988368781467E-2</v>
      </c>
      <c r="AF107" s="78">
        <f ca="1">INDEX(AvailableStates!$D$3:$I$82,MATCH($AA103,AvailableStates!$B$3:$B$82,0)+MATCH('Calc- Prosym Setup'!$AA$4,AvailableStates!$C$3:$C$7)-1,MATCH('Calc- Prosym Setup'!AF$7,AvailableStates!$D$2:$I$2,0))</f>
        <v>0.78831284031682836</v>
      </c>
      <c r="AG107" s="78">
        <f ca="1">SUM(AA107:AF107)</f>
        <v>0.88059438332181206</v>
      </c>
      <c r="AH107" s="145"/>
      <c r="AI107" s="78">
        <f ca="1">INDEX(AvailableStates!$D$3:$I$82,MATCH($AI103,AvailableStates!$B$3:$B$82,0)+MATCH('Calc- Prosym Setup'!$AI$4,AvailableStates!$C$3:$C$7)-1,MATCH('Calc- Prosym Setup'!AI$7,AvailableStates!$D$2:$I$2,0))</f>
        <v>2.8220175018017412E-3</v>
      </c>
      <c r="AJ107" s="78">
        <f ca="1">INDEX(AvailableStates!$D$3:$I$82,MATCH($AI103,AvailableStates!$B$3:$B$82,0)+MATCH('Calc- Prosym Setup'!$AI$4,AvailableStates!$C$3:$C$7)-1,MATCH('Calc- Prosym Setup'!AJ$7,AvailableStates!$D$2:$I$2,0))</f>
        <v>9.583341067340637E-3</v>
      </c>
      <c r="AK107" s="78">
        <f ca="1">INDEX(AvailableStates!$D$3:$I$82,MATCH($AI103,AvailableStates!$B$3:$B$82,0)+MATCH('Calc- Prosym Setup'!$AI$4,AvailableStates!$C$3:$C$7)-1,MATCH('Calc- Prosym Setup'!AK$7,AvailableStates!$D$2:$I$2,0))</f>
        <v>7.5194462636233965E-3</v>
      </c>
      <c r="AL107" s="78">
        <f ca="1">INDEX(AvailableStates!$D$3:$I$82,MATCH($AI103,AvailableStates!$B$3:$B$82,0)+MATCH('Calc- Prosym Setup'!$AI$4,AvailableStates!$C$3:$C$7)-1,MATCH('Calc- Prosym Setup'!AL$7,AvailableStates!$D$2:$I$2,0))</f>
        <v>4.9761749803436436E-2</v>
      </c>
      <c r="AM107" s="78">
        <f ca="1">INDEX(AvailableStates!$D$3:$I$82,MATCH($AI103,AvailableStates!$B$3:$B$82,0)+MATCH('Calc- Prosym Setup'!$AI$4,AvailableStates!$C$3:$C$7)-1,MATCH('Calc- Prosym Setup'!AM$7,AvailableStates!$D$2:$I$2,0))</f>
        <v>2.2594988368781467E-2</v>
      </c>
      <c r="AN107" s="78">
        <f ca="1">INDEX(AvailableStates!$D$3:$I$82,MATCH($AI103,AvailableStates!$B$3:$B$82,0)+MATCH('Calc- Prosym Setup'!$AI$4,AvailableStates!$C$3:$C$7)-1,MATCH('Calc- Prosym Setup'!AN$7,AvailableStates!$D$2:$I$2,0))</f>
        <v>0.78831284031682836</v>
      </c>
      <c r="AO107" s="78">
        <f ca="1">SUM(AI107:AN107)</f>
        <v>0.88059438332181206</v>
      </c>
    </row>
  </sheetData>
  <pageMargins left="0.7" right="0.7" top="0.75" bottom="0.75" header="0.3" footer="0.3"/>
  <pageSetup orientation="portrait" r:id="rId1"/>
  <headerFooter>
    <oddHeader>&amp;R&amp;"Times New Roman,Bold"&amp;12Case No. 2018-00294
Attachment 2 to Response to AG-2 Question No. 5
Page &amp;P of &amp;N
Sinclair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2"/>
  <sheetViews>
    <sheetView workbookViewId="0">
      <selection activeCell="F14" sqref="F14"/>
    </sheetView>
  </sheetViews>
  <sheetFormatPr defaultColWidth="9.140625" defaultRowHeight="15" x14ac:dyDescent="0.25"/>
  <cols>
    <col min="1" max="3" width="9.140625" style="98"/>
    <col min="4" max="4" width="11" style="98" customWidth="1"/>
    <col min="5" max="5" width="9.140625" style="98"/>
    <col min="6" max="6" width="10.5703125" style="98" bestFit="1" customWidth="1"/>
    <col min="7" max="8" width="9.140625" style="98"/>
    <col min="9" max="9" width="21.140625" style="98" bestFit="1" customWidth="1"/>
    <col min="10" max="10" width="17.42578125" style="98" customWidth="1"/>
    <col min="11" max="11" width="11.85546875" style="98" bestFit="1" customWidth="1"/>
    <col min="12" max="16384" width="9.140625" style="98"/>
  </cols>
  <sheetData>
    <row r="1" spans="1:12" x14ac:dyDescent="0.25">
      <c r="A1" s="98">
        <f>C3</f>
        <v>2018</v>
      </c>
      <c r="D1" s="98" t="s">
        <v>281</v>
      </c>
      <c r="E1" s="98" t="s">
        <v>3968</v>
      </c>
      <c r="F1" s="98" t="s">
        <v>3969</v>
      </c>
      <c r="G1" s="98" t="s">
        <v>3970</v>
      </c>
      <c r="H1" s="98" t="s">
        <v>3971</v>
      </c>
      <c r="I1" s="98" t="s">
        <v>274</v>
      </c>
      <c r="J1" s="98" t="s">
        <v>279</v>
      </c>
    </row>
    <row r="2" spans="1:12" x14ac:dyDescent="0.25">
      <c r="D2" s="98">
        <v>1</v>
      </c>
      <c r="E2" s="98">
        <v>2</v>
      </c>
      <c r="F2" s="98">
        <v>3</v>
      </c>
      <c r="G2" s="98">
        <v>4</v>
      </c>
      <c r="H2" s="98">
        <v>5</v>
      </c>
      <c r="I2" s="98">
        <v>6</v>
      </c>
      <c r="J2" s="98" t="s">
        <v>3186</v>
      </c>
      <c r="K2" s="98" t="s">
        <v>3185</v>
      </c>
      <c r="L2" s="98" t="s">
        <v>3187</v>
      </c>
    </row>
    <row r="3" spans="1:12" x14ac:dyDescent="0.25">
      <c r="A3" s="98">
        <v>1</v>
      </c>
      <c r="B3" s="98" t="str">
        <f>INDEX('Calc-Pivot abvals'!$G$5:$G$17,A3,0)</f>
        <v>BR1</v>
      </c>
      <c r="C3" s="98">
        <f>'INP-Calc EFOR&amp;EUOR - 2019Plan'!C9</f>
        <v>2018</v>
      </c>
      <c r="D3" s="191">
        <f ca="1">(INDEX('INP-Calc EFOR&amp;EUOR - 2019Plan'!$I$11:$M$34,MATCH($B3,'INP-Calc EFOR&amp;EUOR - 2019Plan'!$A$11:$A$34,0),$C3-$A$1+1)-(INDEX('INP-Calc EFOR&amp;EUOR - 2019Plan'!$O$11:$S$34,MATCH($B3,'INP-Calc EFOR&amp;EUOR - 2019Plan'!$A$11:$A$34,0),$C3-$A$1+1)+INDEX('INP-Calc EFOR&amp;EUOR - 2019Plan'!$U$11:$Y$34,MATCH($B3,'INP-Calc EFOR&amp;EUOR - 2019Plan'!$A$11:$A$34,0),$C3-$A$1+1)))/(1+SUM(OFFSET('Calc-Pivot abvals'!$I$4,MATCH($B3,'Calc-Pivot abvals'!$G$5:$G$17,0),0,1,4))-(INDEX('Calc-Pivot abvals'!$H$20:$H$32,MATCH($B3,'Calc-Pivot abvals'!$G$5:$G$17,0),0)+SUMPRODUCT(OFFSET('Calc-Pivot abvals'!$I$4,MATCH($B3,'Calc-Pivot abvals'!$G$5:$G$17,0),0,1,4),OFFSET('Calc-Pivot abvals'!$I$19,MATCH($B3,'Calc-Pivot abvals'!$G$5:$G$17,0),0,1,4)))/INDEX('INP-Calc EFOR&amp;EUOR - 2019Plan'!$B$11:$B$34,MATCH($B3,'INP-Calc EFOR&amp;EUOR - 2019Plan'!$A$11:$A$34,0),0))</f>
        <v>1.1074801930304682E-4</v>
      </c>
      <c r="E3" s="98">
        <f ca="1">$D3*INDEX('Calc-Pivot abvals'!I$5:I$17,MATCH($B3,'Calc-Pivot abvals'!$G$5:$G$17,0),0)</f>
        <v>3.3494130809611743E-2</v>
      </c>
      <c r="F3" s="98">
        <f ca="1">$D3*INDEX('Calc-Pivot abvals'!J$5:J$17,MATCH($B3,'Calc-Pivot abvals'!$G$5:$G$17,0),0)</f>
        <v>9.2188794788731904E-3</v>
      </c>
      <c r="G3" s="98">
        <f ca="1">$D3*INDEX('Calc-Pivot abvals'!K$5:K$17,MATCH($B3,'Calc-Pivot abvals'!$G$5:$G$17,0),0)</f>
        <v>3.0730789101994099E-2</v>
      </c>
      <c r="H3" s="98">
        <f ca="1">$D3*INDEX('Calc-Pivot abvals'!L$5:L$17,MATCH($B3,'Calc-Pivot abvals'!$G$5:$G$17,0),0)</f>
        <v>1.3709533036335007E-2</v>
      </c>
      <c r="I3" s="192">
        <f ca="1">1-(1+SUM(OFFSET('Calc-Pivot abvals'!$H$4, MATCH($B3, 'Calc-Pivot abvals'!$G$5:$G$17, 0), 1, 1, 4)))*D3-INDEX('INP-Calc EFOR&amp;EUOR - 2019Plan'!$U$11:$Y$34, MATCH($B3, 'INP-Calc EFOR&amp;EUOR - 2019Plan'!$A$11:$A$34), $C3-$A$1+1)-INDEX('INP-Calc EFOR&amp;EUOR - 2019Plan'!$O$11:$S$34, MATCH($B3, 'INP-Calc EFOR&amp;EUOR - 2019Plan'!$A$11:$A$34), $C3-$A$1+1)</f>
        <v>0.84774840716918964</v>
      </c>
      <c r="J3" s="98">
        <f ca="1">1-SUMPRODUCT(D3:I3,OFFSET('Calc-Pivot abvals'!$H$19,MATCH($B3,'Calc-Pivot abvals'!$G$5:$G$17,0),0,1,6))/INDEX('INP-Calc EFOR&amp;EUOR - 2019Plan'!$B$11:$B$34,MATCH($B3,'INP-Calc EFOR&amp;EUOR - 2019Plan'!$A$11:$A$34,0),0)</f>
        <v>8.5000000000000075E-2</v>
      </c>
      <c r="K3" s="193">
        <f>VLOOKUP(B3, 'INP-Calc EFOR&amp;EUOR - 2019Plan'!$A$11:$M$34, AvailableStates!C3-$A$1+9, 0)</f>
        <v>8.5000000000000006E-2</v>
      </c>
      <c r="L3" s="193">
        <f ca="1">J3-K3</f>
        <v>0</v>
      </c>
    </row>
    <row r="4" spans="1:12" x14ac:dyDescent="0.25">
      <c r="A4" s="98">
        <v>1</v>
      </c>
      <c r="B4" s="98" t="str">
        <f>INDEX('Calc-Pivot abvals'!$G$5:$G$17,A4,0)</f>
        <v>BR1</v>
      </c>
      <c r="C4" s="98">
        <f>'INP-Calc EFOR&amp;EUOR - 2019Plan'!D9</f>
        <v>2019</v>
      </c>
      <c r="D4" s="191">
        <f ca="1">(INDEX('INP-Calc EFOR&amp;EUOR - 2019Plan'!$I$11:$M$34,MATCH($B4,'INP-Calc EFOR&amp;EUOR - 2019Plan'!$A$11:$A$34,0),$C4-$A$1+1)-(INDEX('INP-Calc EFOR&amp;EUOR - 2019Plan'!$O$11:$S$34,MATCH($B4,'INP-Calc EFOR&amp;EUOR - 2019Plan'!$A$11:$A$34,0),$C4-$A$1+1)+INDEX('INP-Calc EFOR&amp;EUOR - 2019Plan'!$U$11:$Y$34,MATCH($B4,'INP-Calc EFOR&amp;EUOR - 2019Plan'!$A$11:$A$34,0),$C4-$A$1+1)))/(1+SUM(OFFSET('Calc-Pivot abvals'!$I$4,MATCH($B4,'Calc-Pivot abvals'!$G$5:$G$17,0),0,1,4))-(INDEX('Calc-Pivot abvals'!$H$20:$H$32,MATCH($B4,'Calc-Pivot abvals'!$G$5:$G$17,0),0)+SUMPRODUCT(OFFSET('Calc-Pivot abvals'!$I$4,MATCH($B4,'Calc-Pivot abvals'!$G$5:$G$17,0),0,1,4),OFFSET('Calc-Pivot abvals'!$I$19,MATCH($B4,'Calc-Pivot abvals'!$G$5:$G$17,0),0,1,4)))/INDEX('INP-Calc EFOR&amp;EUOR - 2019Plan'!$B$11:$B$34,MATCH($B4,'INP-Calc EFOR&amp;EUOR - 2019Plan'!$A$11:$A$34,0),0))</f>
        <v>1.1074801930304682E-4</v>
      </c>
      <c r="E4" s="98">
        <f ca="1">$D4*INDEX('Calc-Pivot abvals'!I$5:I$17,MATCH($B4,'Calc-Pivot abvals'!$G$5:$G$17,0),0)</f>
        <v>3.3494130809611743E-2</v>
      </c>
      <c r="F4" s="98">
        <f ca="1">$D4*INDEX('Calc-Pivot abvals'!J$5:J$17,MATCH($B4,'Calc-Pivot abvals'!$G$5:$G$17,0),0)</f>
        <v>9.2188794788731904E-3</v>
      </c>
      <c r="G4" s="98">
        <f ca="1">$D4*INDEX('Calc-Pivot abvals'!K$5:K$17,MATCH($B4,'Calc-Pivot abvals'!$G$5:$G$17,0),0)</f>
        <v>3.0730789101994099E-2</v>
      </c>
      <c r="H4" s="98">
        <f ca="1">$D4*INDEX('Calc-Pivot abvals'!L$5:L$17,MATCH($B4,'Calc-Pivot abvals'!$G$5:$G$17,0),0)</f>
        <v>1.3709533036335007E-2</v>
      </c>
      <c r="I4" s="192">
        <f ca="1">1-(1+SUM(OFFSET('Calc-Pivot abvals'!$H$4, MATCH($B4, 'Calc-Pivot abvals'!$G$5:$G$17, 0), 1, 1, 4)))*D4-INDEX('INP-Calc EFOR&amp;EUOR - 2019Plan'!$U$11:$Y$34, MATCH($B4, 'INP-Calc EFOR&amp;EUOR - 2019Plan'!$A$11:$A$34), $C4-$A$1+1)-INDEX('INP-Calc EFOR&amp;EUOR - 2019Plan'!$O$11:$S$34, MATCH($B4, 'INP-Calc EFOR&amp;EUOR - 2019Plan'!$A$11:$A$34), $C4-$A$1+1)</f>
        <v>0.84774840716918964</v>
      </c>
      <c r="J4" s="98">
        <f ca="1">1-SUMPRODUCT(D4:I4,OFFSET('Calc-Pivot abvals'!$H$19,MATCH($B4,'Calc-Pivot abvals'!$G$5:$G$17,0),0,1,6))/INDEX('INP-Calc EFOR&amp;EUOR - 2019Plan'!$B$11:$B$34,MATCH($B4,'INP-Calc EFOR&amp;EUOR - 2019Plan'!$A$11:$A$34,0),0)</f>
        <v>8.5000000000000075E-2</v>
      </c>
      <c r="K4" s="193">
        <f>VLOOKUP(B4, 'INP-Calc EFOR&amp;EUOR - 2019Plan'!$A$11:$M$34, AvailableStates!C4-$A$1+9, 0)</f>
        <v>8.5000000000000006E-2</v>
      </c>
      <c r="L4" s="193">
        <f t="shared" ref="L4:L67" ca="1" si="0">J4-K4</f>
        <v>0</v>
      </c>
    </row>
    <row r="5" spans="1:12" x14ac:dyDescent="0.25">
      <c r="A5" s="98">
        <v>1</v>
      </c>
      <c r="B5" s="98" t="str">
        <f>INDEX('Calc-Pivot abvals'!$G$5:$G$17,A5,0)</f>
        <v>BR1</v>
      </c>
      <c r="C5" s="98">
        <f>'INP-Calc EFOR&amp;EUOR - 2019Plan'!E9</f>
        <v>2020</v>
      </c>
      <c r="D5" s="191">
        <f ca="1">(INDEX('INP-Calc EFOR&amp;EUOR - 2019Plan'!$I$11:$M$34,MATCH($B5,'INP-Calc EFOR&amp;EUOR - 2019Plan'!$A$11:$A$34,0),$C5-$A$1+1)-(INDEX('INP-Calc EFOR&amp;EUOR - 2019Plan'!$O$11:$S$34,MATCH($B5,'INP-Calc EFOR&amp;EUOR - 2019Plan'!$A$11:$A$34,0),$C5-$A$1+1)+INDEX('INP-Calc EFOR&amp;EUOR - 2019Plan'!$U$11:$Y$34,MATCH($B5,'INP-Calc EFOR&amp;EUOR - 2019Plan'!$A$11:$A$34,0),$C5-$A$1+1)))/(1+SUM(OFFSET('Calc-Pivot abvals'!$I$4,MATCH($B5,'Calc-Pivot abvals'!$G$5:$G$17,0),0,1,4))-(INDEX('Calc-Pivot abvals'!$H$20:$H$32,MATCH($B5,'Calc-Pivot abvals'!$G$5:$G$17,0),0)+SUMPRODUCT(OFFSET('Calc-Pivot abvals'!$I$4,MATCH($B5,'Calc-Pivot abvals'!$G$5:$G$17,0),0,1,4),OFFSET('Calc-Pivot abvals'!$I$19,MATCH($B5,'Calc-Pivot abvals'!$G$5:$G$17,0),0,1,4)))/INDEX('INP-Calc EFOR&amp;EUOR - 2019Plan'!$B$11:$B$34,MATCH($B5,'INP-Calc EFOR&amp;EUOR - 2019Plan'!$A$11:$A$34,0),0))</f>
        <v>1.1074801930304682E-4</v>
      </c>
      <c r="E5" s="98">
        <f ca="1">$D5*INDEX('Calc-Pivot abvals'!I$5:I$17,MATCH($B5,'Calc-Pivot abvals'!$G$5:$G$17,0),0)</f>
        <v>3.3494130809611743E-2</v>
      </c>
      <c r="F5" s="98">
        <f ca="1">$D5*INDEX('Calc-Pivot abvals'!J$5:J$17,MATCH($B5,'Calc-Pivot abvals'!$G$5:$G$17,0),0)</f>
        <v>9.2188794788731904E-3</v>
      </c>
      <c r="G5" s="98">
        <f ca="1">$D5*INDEX('Calc-Pivot abvals'!K$5:K$17,MATCH($B5,'Calc-Pivot abvals'!$G$5:$G$17,0),0)</f>
        <v>3.0730789101994099E-2</v>
      </c>
      <c r="H5" s="98">
        <f ca="1">$D5*INDEX('Calc-Pivot abvals'!L$5:L$17,MATCH($B5,'Calc-Pivot abvals'!$G$5:$G$17,0),0)</f>
        <v>1.3709533036335007E-2</v>
      </c>
      <c r="I5" s="192">
        <f ca="1">1-(1+SUM(OFFSET('Calc-Pivot abvals'!$H$4, MATCH($B5, 'Calc-Pivot abvals'!$G$5:$G$17, 0), 1, 1, 4)))*D5-INDEX('INP-Calc EFOR&amp;EUOR - 2019Plan'!$U$11:$Y$34, MATCH($B5, 'INP-Calc EFOR&amp;EUOR - 2019Plan'!$A$11:$A$34), $C5-$A$1+1)-INDEX('INP-Calc EFOR&amp;EUOR - 2019Plan'!$O$11:$S$34, MATCH($B5, 'INP-Calc EFOR&amp;EUOR - 2019Plan'!$A$11:$A$34), $C5-$A$1+1)</f>
        <v>0.84774840716918964</v>
      </c>
      <c r="J5" s="98">
        <f ca="1">1-SUMPRODUCT(D5:I5,OFFSET('Calc-Pivot abvals'!$H$19,MATCH($B5,'Calc-Pivot abvals'!$G$5:$G$17,0),0,1,6))/INDEX('INP-Calc EFOR&amp;EUOR - 2019Plan'!$B$11:$B$34,MATCH($B5,'INP-Calc EFOR&amp;EUOR - 2019Plan'!$A$11:$A$34,0),0)</f>
        <v>8.5000000000000075E-2</v>
      </c>
      <c r="K5" s="193">
        <f>VLOOKUP(B5, 'INP-Calc EFOR&amp;EUOR - 2019Plan'!$A$11:$M$34, AvailableStates!C5-$A$1+9, 0)</f>
        <v>8.5000000000000006E-2</v>
      </c>
      <c r="L5" s="193">
        <f t="shared" ca="1" si="0"/>
        <v>0</v>
      </c>
    </row>
    <row r="6" spans="1:12" x14ac:dyDescent="0.25">
      <c r="A6" s="98">
        <v>1</v>
      </c>
      <c r="B6" s="98" t="str">
        <f>INDEX('Calc-Pivot abvals'!$G$5:$G$17,A6,0)</f>
        <v>BR1</v>
      </c>
      <c r="C6" s="98">
        <f>'INP-Calc EFOR&amp;EUOR - 2019Plan'!F9</f>
        <v>2021</v>
      </c>
      <c r="D6" s="191">
        <f ca="1">(INDEX('INP-Calc EFOR&amp;EUOR - 2019Plan'!$I$11:$M$34,MATCH($B6,'INP-Calc EFOR&amp;EUOR - 2019Plan'!$A$11:$A$34,0),$C6-$A$1+1)-(INDEX('INP-Calc EFOR&amp;EUOR - 2019Plan'!$O$11:$S$34,MATCH($B6,'INP-Calc EFOR&amp;EUOR - 2019Plan'!$A$11:$A$34,0),$C6-$A$1+1)+INDEX('INP-Calc EFOR&amp;EUOR - 2019Plan'!$U$11:$Y$34,MATCH($B6,'INP-Calc EFOR&amp;EUOR - 2019Plan'!$A$11:$A$34,0),$C6-$A$1+1)))/(1+SUM(OFFSET('Calc-Pivot abvals'!$I$4,MATCH($B6,'Calc-Pivot abvals'!$G$5:$G$17,0),0,1,4))-(INDEX('Calc-Pivot abvals'!$H$20:$H$32,MATCH($B6,'Calc-Pivot abvals'!$G$5:$G$17,0),0)+SUMPRODUCT(OFFSET('Calc-Pivot abvals'!$I$4,MATCH($B6,'Calc-Pivot abvals'!$G$5:$G$17,0),0,1,4),OFFSET('Calc-Pivot abvals'!$I$19,MATCH($B6,'Calc-Pivot abvals'!$G$5:$G$17,0),0,1,4)))/INDEX('INP-Calc EFOR&amp;EUOR - 2019Plan'!$B$11:$B$34,MATCH($B6,'INP-Calc EFOR&amp;EUOR - 2019Plan'!$A$11:$A$34,0),0))</f>
        <v>1.1074801930304682E-4</v>
      </c>
      <c r="E6" s="98">
        <f ca="1">$D6*INDEX('Calc-Pivot abvals'!I$5:I$17,MATCH($B6,'Calc-Pivot abvals'!$G$5:$G$17,0),0)</f>
        <v>3.3494130809611743E-2</v>
      </c>
      <c r="F6" s="98">
        <f ca="1">$D6*INDEX('Calc-Pivot abvals'!J$5:J$17,MATCH($B6,'Calc-Pivot abvals'!$G$5:$G$17,0),0)</f>
        <v>9.2188794788731904E-3</v>
      </c>
      <c r="G6" s="98">
        <f ca="1">$D6*INDEX('Calc-Pivot abvals'!K$5:K$17,MATCH($B6,'Calc-Pivot abvals'!$G$5:$G$17,0),0)</f>
        <v>3.0730789101994099E-2</v>
      </c>
      <c r="H6" s="98">
        <f ca="1">$D6*INDEX('Calc-Pivot abvals'!L$5:L$17,MATCH($B6,'Calc-Pivot abvals'!$G$5:$G$17,0),0)</f>
        <v>1.3709533036335007E-2</v>
      </c>
      <c r="I6" s="192">
        <f ca="1">1-(1+SUM(OFFSET('Calc-Pivot abvals'!$H$4, MATCH($B6, 'Calc-Pivot abvals'!$G$5:$G$17, 0), 1, 1, 4)))*D6-INDEX('INP-Calc EFOR&amp;EUOR - 2019Plan'!$U$11:$Y$34, MATCH($B6, 'INP-Calc EFOR&amp;EUOR - 2019Plan'!$A$11:$A$34), $C6-$A$1+1)-INDEX('INP-Calc EFOR&amp;EUOR - 2019Plan'!$O$11:$S$34, MATCH($B6, 'INP-Calc EFOR&amp;EUOR - 2019Plan'!$A$11:$A$34), $C6-$A$1+1)</f>
        <v>0.84774840716918964</v>
      </c>
      <c r="J6" s="98">
        <f ca="1">1-SUMPRODUCT(D6:I6,OFFSET('Calc-Pivot abvals'!$H$19,MATCH($B6,'Calc-Pivot abvals'!$G$5:$G$17,0),0,1,6))/INDEX('INP-Calc EFOR&amp;EUOR - 2019Plan'!$B$11:$B$34,MATCH($B6,'INP-Calc EFOR&amp;EUOR - 2019Plan'!$A$11:$A$34,0),0)</f>
        <v>8.5000000000000075E-2</v>
      </c>
      <c r="K6" s="193">
        <f>VLOOKUP(B6, 'INP-Calc EFOR&amp;EUOR - 2019Plan'!$A$11:$M$34, AvailableStates!C6-$A$1+9, 0)</f>
        <v>8.5000000000000006E-2</v>
      </c>
      <c r="L6" s="193">
        <f t="shared" ca="1" si="0"/>
        <v>0</v>
      </c>
    </row>
    <row r="7" spans="1:12" x14ac:dyDescent="0.25">
      <c r="A7" s="98">
        <v>1</v>
      </c>
      <c r="B7" s="98" t="str">
        <f>INDEX('Calc-Pivot abvals'!$G$5:$G$17,A7,0)</f>
        <v>BR1</v>
      </c>
      <c r="C7" s="98">
        <f>'INP-Calc EFOR&amp;EUOR - 2019Plan'!G9</f>
        <v>2022</v>
      </c>
      <c r="D7" s="191">
        <f ca="1">(INDEX('INP-Calc EFOR&amp;EUOR - 2019Plan'!$I$11:$M$34,MATCH($B7,'INP-Calc EFOR&amp;EUOR - 2019Plan'!$A$11:$A$34,0),$C7-$A$1+1)-(INDEX('INP-Calc EFOR&amp;EUOR - 2019Plan'!$O$11:$S$34,MATCH($B7,'INP-Calc EFOR&amp;EUOR - 2019Plan'!$A$11:$A$34,0),$C7-$A$1+1)+INDEX('INP-Calc EFOR&amp;EUOR - 2019Plan'!$U$11:$Y$34,MATCH($B7,'INP-Calc EFOR&amp;EUOR - 2019Plan'!$A$11:$A$34,0),$C7-$A$1+1)))/(1+SUM(OFFSET('Calc-Pivot abvals'!$I$4,MATCH($B7,'Calc-Pivot abvals'!$G$5:$G$17,0),0,1,4))-(INDEX('Calc-Pivot abvals'!$H$20:$H$32,MATCH($B7,'Calc-Pivot abvals'!$G$5:$G$17,0),0)+SUMPRODUCT(OFFSET('Calc-Pivot abvals'!$I$4,MATCH($B7,'Calc-Pivot abvals'!$G$5:$G$17,0),0,1,4),OFFSET('Calc-Pivot abvals'!$I$19,MATCH($B7,'Calc-Pivot abvals'!$G$5:$G$17,0),0,1,4)))/INDEX('INP-Calc EFOR&amp;EUOR - 2019Plan'!$B$11:$B$34,MATCH($B7,'INP-Calc EFOR&amp;EUOR - 2019Plan'!$A$11:$A$34,0),0))</f>
        <v>1.1074801930304682E-4</v>
      </c>
      <c r="E7" s="98">
        <f ca="1">$D7*INDEX('Calc-Pivot abvals'!I$5:I$17,MATCH($B7,'Calc-Pivot abvals'!$G$5:$G$17,0),0)</f>
        <v>3.3494130809611743E-2</v>
      </c>
      <c r="F7" s="98">
        <f ca="1">$D7*INDEX('Calc-Pivot abvals'!J$5:J$17,MATCH($B7,'Calc-Pivot abvals'!$G$5:$G$17,0),0)</f>
        <v>9.2188794788731904E-3</v>
      </c>
      <c r="G7" s="98">
        <f ca="1">$D7*INDEX('Calc-Pivot abvals'!K$5:K$17,MATCH($B7,'Calc-Pivot abvals'!$G$5:$G$17,0),0)</f>
        <v>3.0730789101994099E-2</v>
      </c>
      <c r="H7" s="98">
        <f ca="1">$D7*INDEX('Calc-Pivot abvals'!L$5:L$17,MATCH($B7,'Calc-Pivot abvals'!$G$5:$G$17,0),0)</f>
        <v>1.3709533036335007E-2</v>
      </c>
      <c r="I7" s="192">
        <f ca="1">1-(1+SUM(OFFSET('Calc-Pivot abvals'!$H$4, MATCH($B7, 'Calc-Pivot abvals'!$G$5:$G$17, 0), 1, 1, 4)))*D7-INDEX('INP-Calc EFOR&amp;EUOR - 2019Plan'!$U$11:$Y$34, MATCH($B7, 'INP-Calc EFOR&amp;EUOR - 2019Plan'!$A$11:$A$34), $C7-$A$1+1)-INDEX('INP-Calc EFOR&amp;EUOR - 2019Plan'!$O$11:$S$34, MATCH($B7, 'INP-Calc EFOR&amp;EUOR - 2019Plan'!$A$11:$A$34), $C7-$A$1+1)</f>
        <v>0.84774840716918964</v>
      </c>
      <c r="J7" s="98">
        <f ca="1">1-SUMPRODUCT(D7:I7,OFFSET('Calc-Pivot abvals'!$H$19,MATCH($B7,'Calc-Pivot abvals'!$G$5:$G$17,0),0,1,6))/INDEX('INP-Calc EFOR&amp;EUOR - 2019Plan'!$B$11:$B$34,MATCH($B7,'INP-Calc EFOR&amp;EUOR - 2019Plan'!$A$11:$A$34,0),0)</f>
        <v>8.5000000000000075E-2</v>
      </c>
      <c r="K7" s="193">
        <f>VLOOKUP(B7, 'INP-Calc EFOR&amp;EUOR - 2019Plan'!$A$11:$M$34, AvailableStates!C7-$A$1+9, 0)</f>
        <v>8.5000000000000006E-2</v>
      </c>
      <c r="L7" s="193">
        <f t="shared" ca="1" si="0"/>
        <v>0</v>
      </c>
    </row>
    <row r="8" spans="1:12" x14ac:dyDescent="0.25">
      <c r="A8" s="98">
        <f>A3+1</f>
        <v>2</v>
      </c>
      <c r="B8" s="98" t="str">
        <f>INDEX('Calc-Pivot abvals'!$G$5:$G$17,A8,0)</f>
        <v>BR2</v>
      </c>
      <c r="C8" s="98">
        <f>C3</f>
        <v>2018</v>
      </c>
      <c r="D8" s="191">
        <f ca="1">(INDEX('INP-Calc EFOR&amp;EUOR - 2019Plan'!$I$11:$M$34,MATCH($B8,'INP-Calc EFOR&amp;EUOR - 2019Plan'!$A$11:$A$34,0),$C8-$A$1+1)-(INDEX('INP-Calc EFOR&amp;EUOR - 2019Plan'!$O$11:$S$34,MATCH($B8,'INP-Calc EFOR&amp;EUOR - 2019Plan'!$A$11:$A$34,0),$C8-$A$1+1)+INDEX('INP-Calc EFOR&amp;EUOR - 2019Plan'!$U$11:$Y$34,MATCH($B8,'INP-Calc EFOR&amp;EUOR - 2019Plan'!$A$11:$A$34,0),$C8-$A$1+1)))/(1+SUM(OFFSET('Calc-Pivot abvals'!$I$4,MATCH($B8,'Calc-Pivot abvals'!$G$5:$G$17,0),0,1,4))-(INDEX('Calc-Pivot abvals'!$H$20:$H$32,MATCH($B8,'Calc-Pivot abvals'!$G$5:$G$17,0),0)+SUMPRODUCT(OFFSET('Calc-Pivot abvals'!$I$4,MATCH($B8,'Calc-Pivot abvals'!$G$5:$G$17,0),0,1,4),OFFSET('Calc-Pivot abvals'!$I$19,MATCH($B8,'Calc-Pivot abvals'!$G$5:$G$17,0),0,1,4)))/INDEX('INP-Calc EFOR&amp;EUOR - 2019Plan'!$B$11:$B$34,MATCH($B8,'INP-Calc EFOR&amp;EUOR - 2019Plan'!$A$11:$A$34,0),0))</f>
        <v>1.9984446531300576E-2</v>
      </c>
      <c r="E8" s="98">
        <f ca="1">$D8*INDEX('Calc-Pivot abvals'!I$5:I$17,MATCH($B8,'Calc-Pivot abvals'!$G$5:$G$17,0),0)</f>
        <v>7.7944794398775912E-4</v>
      </c>
      <c r="F8" s="98">
        <f ca="1">$D8*INDEX('Calc-Pivot abvals'!J$5:J$17,MATCH($B8,'Calc-Pivot abvals'!$G$5:$G$17,0),0)</f>
        <v>8.3397722403047382E-4</v>
      </c>
      <c r="G8" s="98">
        <f ca="1">$D8*INDEX('Calc-Pivot abvals'!K$5:K$17,MATCH($B8,'Calc-Pivot abvals'!$G$5:$G$17,0),0)</f>
        <v>5.0466314069588065E-4</v>
      </c>
      <c r="H8" s="98">
        <f ca="1">$D8*INDEX('Calc-Pivot abvals'!L$5:L$17,MATCH($B8,'Calc-Pivot abvals'!$G$5:$G$17,0),0)</f>
        <v>5.6333023080355524E-2</v>
      </c>
      <c r="I8" s="192">
        <f ca="1">1-(1+SUM(OFFSET('Calc-Pivot abvals'!$H$4, MATCH($B8, 'Calc-Pivot abvals'!$G$5:$G$17, 0), 1, 1, 4)))*D8-INDEX('INP-Calc EFOR&amp;EUOR - 2019Plan'!$U$11:$Y$34, MATCH($B8, 'INP-Calc EFOR&amp;EUOR - 2019Plan'!$A$11:$A$34), $C8-$A$1+1)-INDEX('INP-Calc EFOR&amp;EUOR - 2019Plan'!$O$11:$S$34, MATCH($B8, 'INP-Calc EFOR&amp;EUOR - 2019Plan'!$A$11:$A$34), $C8-$A$1+1)</f>
        <v>0.8565769296949366</v>
      </c>
      <c r="J8" s="98">
        <f ca="1">1-SUMPRODUCT(D8:I8,OFFSET('Calc-Pivot abvals'!$H$19,MATCH($B8,'Calc-Pivot abvals'!$G$5:$G$17,0),0,1,6))/INDEX('INP-Calc EFOR&amp;EUOR - 2019Plan'!$B$11:$B$34,MATCH($B8,'INP-Calc EFOR&amp;EUOR - 2019Plan'!$A$11:$A$34,0),0)</f>
        <v>8.4999999999999853E-2</v>
      </c>
      <c r="K8" s="193">
        <f>VLOOKUP(B8, 'INP-Calc EFOR&amp;EUOR - 2019Plan'!$A$11:$M$34, AvailableStates!C8-$A$1+9, 0)</f>
        <v>8.5000000000000006E-2</v>
      </c>
      <c r="L8" s="193">
        <f t="shared" ca="1" si="0"/>
        <v>-1.5265566588595902E-16</v>
      </c>
    </row>
    <row r="9" spans="1:12" x14ac:dyDescent="0.25">
      <c r="A9" s="98">
        <f t="shared" ref="A9:A67" si="1">A4+1</f>
        <v>2</v>
      </c>
      <c r="B9" s="98" t="str">
        <f>INDEX('Calc-Pivot abvals'!$G$5:$G$17,A9,0)</f>
        <v>BR2</v>
      </c>
      <c r="C9" s="98">
        <f t="shared" ref="C9:C67" si="2">C4</f>
        <v>2019</v>
      </c>
      <c r="D9" s="191">
        <f ca="1">(INDEX('INP-Calc EFOR&amp;EUOR - 2019Plan'!$I$11:$M$34,MATCH($B9,'INP-Calc EFOR&amp;EUOR - 2019Plan'!$A$11:$A$34,0),$C9-$A$1+1)-(INDEX('INP-Calc EFOR&amp;EUOR - 2019Plan'!$O$11:$S$34,MATCH($B9,'INP-Calc EFOR&amp;EUOR - 2019Plan'!$A$11:$A$34,0),$C9-$A$1+1)+INDEX('INP-Calc EFOR&amp;EUOR - 2019Plan'!$U$11:$Y$34,MATCH($B9,'INP-Calc EFOR&amp;EUOR - 2019Plan'!$A$11:$A$34,0),$C9-$A$1+1)))/(1+SUM(OFFSET('Calc-Pivot abvals'!$I$4,MATCH($B9,'Calc-Pivot abvals'!$G$5:$G$17,0),0,1,4))-(INDEX('Calc-Pivot abvals'!$H$20:$H$32,MATCH($B9,'Calc-Pivot abvals'!$G$5:$G$17,0),0)+SUMPRODUCT(OFFSET('Calc-Pivot abvals'!$I$4,MATCH($B9,'Calc-Pivot abvals'!$G$5:$G$17,0),0,1,4),OFFSET('Calc-Pivot abvals'!$I$19,MATCH($B9,'Calc-Pivot abvals'!$G$5:$G$17,0),0,1,4)))/INDEX('INP-Calc EFOR&amp;EUOR - 2019Plan'!$B$11:$B$34,MATCH($B9,'INP-Calc EFOR&amp;EUOR - 2019Plan'!$A$11:$A$34,0),0))</f>
        <v>1.9984446531300576E-2</v>
      </c>
      <c r="E9" s="98">
        <f ca="1">$D9*INDEX('Calc-Pivot abvals'!I$5:I$17,MATCH($B9,'Calc-Pivot abvals'!$G$5:$G$17,0),0)</f>
        <v>7.7944794398775912E-4</v>
      </c>
      <c r="F9" s="98">
        <f ca="1">$D9*INDEX('Calc-Pivot abvals'!J$5:J$17,MATCH($B9,'Calc-Pivot abvals'!$G$5:$G$17,0),0)</f>
        <v>8.3397722403047382E-4</v>
      </c>
      <c r="G9" s="98">
        <f ca="1">$D9*INDEX('Calc-Pivot abvals'!K$5:K$17,MATCH($B9,'Calc-Pivot abvals'!$G$5:$G$17,0),0)</f>
        <v>5.0466314069588065E-4</v>
      </c>
      <c r="H9" s="98">
        <f ca="1">$D9*INDEX('Calc-Pivot abvals'!L$5:L$17,MATCH($B9,'Calc-Pivot abvals'!$G$5:$G$17,0),0)</f>
        <v>5.6333023080355524E-2</v>
      </c>
      <c r="I9" s="192">
        <f ca="1">1-(1+SUM(OFFSET('Calc-Pivot abvals'!$H$4, MATCH($B9, 'Calc-Pivot abvals'!$G$5:$G$17, 0), 1, 1, 4)))*D9-INDEX('INP-Calc EFOR&amp;EUOR - 2019Plan'!$U$11:$Y$34, MATCH($B9, 'INP-Calc EFOR&amp;EUOR - 2019Plan'!$A$11:$A$34), $C9-$A$1+1)-INDEX('INP-Calc EFOR&amp;EUOR - 2019Plan'!$O$11:$S$34, MATCH($B9, 'INP-Calc EFOR&amp;EUOR - 2019Plan'!$A$11:$A$34), $C9-$A$1+1)</f>
        <v>0.8565769296949366</v>
      </c>
      <c r="J9" s="98">
        <f ca="1">1-SUMPRODUCT(D9:I9,OFFSET('Calc-Pivot abvals'!$H$19,MATCH($B9,'Calc-Pivot abvals'!$G$5:$G$17,0),0,1,6))/INDEX('INP-Calc EFOR&amp;EUOR - 2019Plan'!$B$11:$B$34,MATCH($B9,'INP-Calc EFOR&amp;EUOR - 2019Plan'!$A$11:$A$34,0),0)</f>
        <v>8.4999999999999853E-2</v>
      </c>
      <c r="K9" s="193">
        <f>VLOOKUP(B9, 'INP-Calc EFOR&amp;EUOR - 2019Plan'!$A$11:$M$34, AvailableStates!C9-$A$1+9, 0)</f>
        <v>8.5000000000000006E-2</v>
      </c>
      <c r="L9" s="193">
        <f t="shared" ca="1" si="0"/>
        <v>-1.5265566588595902E-16</v>
      </c>
    </row>
    <row r="10" spans="1:12" x14ac:dyDescent="0.25">
      <c r="A10" s="98">
        <f t="shared" si="1"/>
        <v>2</v>
      </c>
      <c r="B10" s="98" t="str">
        <f>INDEX('Calc-Pivot abvals'!$G$5:$G$17,A10,0)</f>
        <v>BR2</v>
      </c>
      <c r="C10" s="98">
        <f t="shared" si="2"/>
        <v>2020</v>
      </c>
      <c r="D10" s="191">
        <f ca="1">(INDEX('INP-Calc EFOR&amp;EUOR - 2019Plan'!$I$11:$M$34,MATCH($B10,'INP-Calc EFOR&amp;EUOR - 2019Plan'!$A$11:$A$34,0),$C10-$A$1+1)-(INDEX('INP-Calc EFOR&amp;EUOR - 2019Plan'!$O$11:$S$34,MATCH($B10,'INP-Calc EFOR&amp;EUOR - 2019Plan'!$A$11:$A$34,0),$C10-$A$1+1)+INDEX('INP-Calc EFOR&amp;EUOR - 2019Plan'!$U$11:$Y$34,MATCH($B10,'INP-Calc EFOR&amp;EUOR - 2019Plan'!$A$11:$A$34,0),$C10-$A$1+1)))/(1+SUM(OFFSET('Calc-Pivot abvals'!$I$4,MATCH($B10,'Calc-Pivot abvals'!$G$5:$G$17,0),0,1,4))-(INDEX('Calc-Pivot abvals'!$H$20:$H$32,MATCH($B10,'Calc-Pivot abvals'!$G$5:$G$17,0),0)+SUMPRODUCT(OFFSET('Calc-Pivot abvals'!$I$4,MATCH($B10,'Calc-Pivot abvals'!$G$5:$G$17,0),0,1,4),OFFSET('Calc-Pivot abvals'!$I$19,MATCH($B10,'Calc-Pivot abvals'!$G$5:$G$17,0),0,1,4)))/INDEX('INP-Calc EFOR&amp;EUOR - 2019Plan'!$B$11:$B$34,MATCH($B10,'INP-Calc EFOR&amp;EUOR - 2019Plan'!$A$11:$A$34,0),0))</f>
        <v>1.9984446531300576E-2</v>
      </c>
      <c r="E10" s="98">
        <f ca="1">$D10*INDEX('Calc-Pivot abvals'!I$5:I$17,MATCH($B10,'Calc-Pivot abvals'!$G$5:$G$17,0),0)</f>
        <v>7.7944794398775912E-4</v>
      </c>
      <c r="F10" s="98">
        <f ca="1">$D10*INDEX('Calc-Pivot abvals'!J$5:J$17,MATCH($B10,'Calc-Pivot abvals'!$G$5:$G$17,0),0)</f>
        <v>8.3397722403047382E-4</v>
      </c>
      <c r="G10" s="98">
        <f ca="1">$D10*INDEX('Calc-Pivot abvals'!K$5:K$17,MATCH($B10,'Calc-Pivot abvals'!$G$5:$G$17,0),0)</f>
        <v>5.0466314069588065E-4</v>
      </c>
      <c r="H10" s="98">
        <f ca="1">$D10*INDEX('Calc-Pivot abvals'!L$5:L$17,MATCH($B10,'Calc-Pivot abvals'!$G$5:$G$17,0),0)</f>
        <v>5.6333023080355524E-2</v>
      </c>
      <c r="I10" s="192">
        <f ca="1">1-(1+SUM(OFFSET('Calc-Pivot abvals'!$H$4, MATCH($B10, 'Calc-Pivot abvals'!$G$5:$G$17, 0), 1, 1, 4)))*D10-INDEX('INP-Calc EFOR&amp;EUOR - 2019Plan'!$U$11:$Y$34, MATCH($B10, 'INP-Calc EFOR&amp;EUOR - 2019Plan'!$A$11:$A$34), $C10-$A$1+1)-INDEX('INP-Calc EFOR&amp;EUOR - 2019Plan'!$O$11:$S$34, MATCH($B10, 'INP-Calc EFOR&amp;EUOR - 2019Plan'!$A$11:$A$34), $C10-$A$1+1)</f>
        <v>0.8565769296949366</v>
      </c>
      <c r="J10" s="98">
        <f ca="1">1-SUMPRODUCT(D10:I10,OFFSET('Calc-Pivot abvals'!$H$19,MATCH($B10,'Calc-Pivot abvals'!$G$5:$G$17,0),0,1,6))/INDEX('INP-Calc EFOR&amp;EUOR - 2019Plan'!$B$11:$B$34,MATCH($B10,'INP-Calc EFOR&amp;EUOR - 2019Plan'!$A$11:$A$34,0),0)</f>
        <v>8.4999999999999853E-2</v>
      </c>
      <c r="K10" s="193">
        <f>VLOOKUP(B10, 'INP-Calc EFOR&amp;EUOR - 2019Plan'!$A$11:$M$34, AvailableStates!C10-$A$1+9, 0)</f>
        <v>8.5000000000000006E-2</v>
      </c>
      <c r="L10" s="193">
        <f t="shared" ca="1" si="0"/>
        <v>-1.5265566588595902E-16</v>
      </c>
    </row>
    <row r="11" spans="1:12" x14ac:dyDescent="0.25">
      <c r="A11" s="98">
        <f t="shared" si="1"/>
        <v>2</v>
      </c>
      <c r="B11" s="98" t="str">
        <f>INDEX('Calc-Pivot abvals'!$G$5:$G$17,A11,0)</f>
        <v>BR2</v>
      </c>
      <c r="C11" s="98">
        <f t="shared" si="2"/>
        <v>2021</v>
      </c>
      <c r="D11" s="191">
        <f ca="1">(INDEX('INP-Calc EFOR&amp;EUOR - 2019Plan'!$I$11:$M$34,MATCH($B11,'INP-Calc EFOR&amp;EUOR - 2019Plan'!$A$11:$A$34,0),$C11-$A$1+1)-(INDEX('INP-Calc EFOR&amp;EUOR - 2019Plan'!$O$11:$S$34,MATCH($B11,'INP-Calc EFOR&amp;EUOR - 2019Plan'!$A$11:$A$34,0),$C11-$A$1+1)+INDEX('INP-Calc EFOR&amp;EUOR - 2019Plan'!$U$11:$Y$34,MATCH($B11,'INP-Calc EFOR&amp;EUOR - 2019Plan'!$A$11:$A$34,0),$C11-$A$1+1)))/(1+SUM(OFFSET('Calc-Pivot abvals'!$I$4,MATCH($B11,'Calc-Pivot abvals'!$G$5:$G$17,0),0,1,4))-(INDEX('Calc-Pivot abvals'!$H$20:$H$32,MATCH($B11,'Calc-Pivot abvals'!$G$5:$G$17,0),0)+SUMPRODUCT(OFFSET('Calc-Pivot abvals'!$I$4,MATCH($B11,'Calc-Pivot abvals'!$G$5:$G$17,0),0,1,4),OFFSET('Calc-Pivot abvals'!$I$19,MATCH($B11,'Calc-Pivot abvals'!$G$5:$G$17,0),0,1,4)))/INDEX('INP-Calc EFOR&amp;EUOR - 2019Plan'!$B$11:$B$34,MATCH($B11,'INP-Calc EFOR&amp;EUOR - 2019Plan'!$A$11:$A$34,0),0))</f>
        <v>1.9984446531300576E-2</v>
      </c>
      <c r="E11" s="98">
        <f ca="1">$D11*INDEX('Calc-Pivot abvals'!I$5:I$17,MATCH($B11,'Calc-Pivot abvals'!$G$5:$G$17,0),0)</f>
        <v>7.7944794398775912E-4</v>
      </c>
      <c r="F11" s="98">
        <f ca="1">$D11*INDEX('Calc-Pivot abvals'!J$5:J$17,MATCH($B11,'Calc-Pivot abvals'!$G$5:$G$17,0),0)</f>
        <v>8.3397722403047382E-4</v>
      </c>
      <c r="G11" s="98">
        <f ca="1">$D11*INDEX('Calc-Pivot abvals'!K$5:K$17,MATCH($B11,'Calc-Pivot abvals'!$G$5:$G$17,0),0)</f>
        <v>5.0466314069588065E-4</v>
      </c>
      <c r="H11" s="98">
        <f ca="1">$D11*INDEX('Calc-Pivot abvals'!L$5:L$17,MATCH($B11,'Calc-Pivot abvals'!$G$5:$G$17,0),0)</f>
        <v>5.6333023080355524E-2</v>
      </c>
      <c r="I11" s="192">
        <f ca="1">1-(1+SUM(OFFSET('Calc-Pivot abvals'!$H$4, MATCH($B11, 'Calc-Pivot abvals'!$G$5:$G$17, 0), 1, 1, 4)))*D11-INDEX('INP-Calc EFOR&amp;EUOR - 2019Plan'!$U$11:$Y$34, MATCH($B11, 'INP-Calc EFOR&amp;EUOR - 2019Plan'!$A$11:$A$34), $C11-$A$1+1)-INDEX('INP-Calc EFOR&amp;EUOR - 2019Plan'!$O$11:$S$34, MATCH($B11, 'INP-Calc EFOR&amp;EUOR - 2019Plan'!$A$11:$A$34), $C11-$A$1+1)</f>
        <v>0.8565769296949366</v>
      </c>
      <c r="J11" s="98">
        <f ca="1">1-SUMPRODUCT(D11:I11,OFFSET('Calc-Pivot abvals'!$H$19,MATCH($B11,'Calc-Pivot abvals'!$G$5:$G$17,0),0,1,6))/INDEX('INP-Calc EFOR&amp;EUOR - 2019Plan'!$B$11:$B$34,MATCH($B11,'INP-Calc EFOR&amp;EUOR - 2019Plan'!$A$11:$A$34,0),0)</f>
        <v>8.4999999999999853E-2</v>
      </c>
      <c r="K11" s="193">
        <f>VLOOKUP(B11, 'INP-Calc EFOR&amp;EUOR - 2019Plan'!$A$11:$M$34, AvailableStates!C11-$A$1+9, 0)</f>
        <v>8.5000000000000006E-2</v>
      </c>
      <c r="L11" s="193">
        <f t="shared" ca="1" si="0"/>
        <v>-1.5265566588595902E-16</v>
      </c>
    </row>
    <row r="12" spans="1:12" x14ac:dyDescent="0.25">
      <c r="A12" s="98">
        <f t="shared" si="1"/>
        <v>2</v>
      </c>
      <c r="B12" s="98" t="str">
        <f>INDEX('Calc-Pivot abvals'!$G$5:$G$17,A12,0)</f>
        <v>BR2</v>
      </c>
      <c r="C12" s="98">
        <f t="shared" si="2"/>
        <v>2022</v>
      </c>
      <c r="D12" s="191">
        <f ca="1">(INDEX('INP-Calc EFOR&amp;EUOR - 2019Plan'!$I$11:$M$34,MATCH($B12,'INP-Calc EFOR&amp;EUOR - 2019Plan'!$A$11:$A$34,0),$C12-$A$1+1)-(INDEX('INP-Calc EFOR&amp;EUOR - 2019Plan'!$O$11:$S$34,MATCH($B12,'INP-Calc EFOR&amp;EUOR - 2019Plan'!$A$11:$A$34,0),$C12-$A$1+1)+INDEX('INP-Calc EFOR&amp;EUOR - 2019Plan'!$U$11:$Y$34,MATCH($B12,'INP-Calc EFOR&amp;EUOR - 2019Plan'!$A$11:$A$34,0),$C12-$A$1+1)))/(1+SUM(OFFSET('Calc-Pivot abvals'!$I$4,MATCH($B12,'Calc-Pivot abvals'!$G$5:$G$17,0),0,1,4))-(INDEX('Calc-Pivot abvals'!$H$20:$H$32,MATCH($B12,'Calc-Pivot abvals'!$G$5:$G$17,0),0)+SUMPRODUCT(OFFSET('Calc-Pivot abvals'!$I$4,MATCH($B12,'Calc-Pivot abvals'!$G$5:$G$17,0),0,1,4),OFFSET('Calc-Pivot abvals'!$I$19,MATCH($B12,'Calc-Pivot abvals'!$G$5:$G$17,0),0,1,4)))/INDEX('INP-Calc EFOR&amp;EUOR - 2019Plan'!$B$11:$B$34,MATCH($B12,'INP-Calc EFOR&amp;EUOR - 2019Plan'!$A$11:$A$34,0),0))</f>
        <v>1.9984446531300576E-2</v>
      </c>
      <c r="E12" s="98">
        <f ca="1">$D12*INDEX('Calc-Pivot abvals'!I$5:I$17,MATCH($B12,'Calc-Pivot abvals'!$G$5:$G$17,0),0)</f>
        <v>7.7944794398775912E-4</v>
      </c>
      <c r="F12" s="98">
        <f ca="1">$D12*INDEX('Calc-Pivot abvals'!J$5:J$17,MATCH($B12,'Calc-Pivot abvals'!$G$5:$G$17,0),0)</f>
        <v>8.3397722403047382E-4</v>
      </c>
      <c r="G12" s="98">
        <f ca="1">$D12*INDEX('Calc-Pivot abvals'!K$5:K$17,MATCH($B12,'Calc-Pivot abvals'!$G$5:$G$17,0),0)</f>
        <v>5.0466314069588065E-4</v>
      </c>
      <c r="H12" s="98">
        <f ca="1">$D12*INDEX('Calc-Pivot abvals'!L$5:L$17,MATCH($B12,'Calc-Pivot abvals'!$G$5:$G$17,0),0)</f>
        <v>5.6333023080355524E-2</v>
      </c>
      <c r="I12" s="192">
        <f ca="1">1-(1+SUM(OFFSET('Calc-Pivot abvals'!$H$4, MATCH($B12, 'Calc-Pivot abvals'!$G$5:$G$17, 0), 1, 1, 4)))*D12-INDEX('INP-Calc EFOR&amp;EUOR - 2019Plan'!$U$11:$Y$34, MATCH($B12, 'INP-Calc EFOR&amp;EUOR - 2019Plan'!$A$11:$A$34), $C12-$A$1+1)-INDEX('INP-Calc EFOR&amp;EUOR - 2019Plan'!$O$11:$S$34, MATCH($B12, 'INP-Calc EFOR&amp;EUOR - 2019Plan'!$A$11:$A$34), $C12-$A$1+1)</f>
        <v>0.8565769296949366</v>
      </c>
      <c r="J12" s="98">
        <f ca="1">1-SUMPRODUCT(D12:I12,OFFSET('Calc-Pivot abvals'!$H$19,MATCH($B12,'Calc-Pivot abvals'!$G$5:$G$17,0),0,1,6))/INDEX('INP-Calc EFOR&amp;EUOR - 2019Plan'!$B$11:$B$34,MATCH($B12,'INP-Calc EFOR&amp;EUOR - 2019Plan'!$A$11:$A$34,0),0)</f>
        <v>8.4999999999999853E-2</v>
      </c>
      <c r="K12" s="193">
        <f>VLOOKUP(B12, 'INP-Calc EFOR&amp;EUOR - 2019Plan'!$A$11:$M$34, AvailableStates!C12-$A$1+9, 0)</f>
        <v>8.5000000000000006E-2</v>
      </c>
      <c r="L12" s="193">
        <f t="shared" ca="1" si="0"/>
        <v>-1.5265566588595902E-16</v>
      </c>
    </row>
    <row r="13" spans="1:12" x14ac:dyDescent="0.25">
      <c r="A13" s="98">
        <f t="shared" si="1"/>
        <v>3</v>
      </c>
      <c r="B13" s="98" t="str">
        <f>INDEX('Calc-Pivot abvals'!$G$5:$G$17,A13,0)</f>
        <v>BR3</v>
      </c>
      <c r="C13" s="98">
        <f t="shared" si="2"/>
        <v>2018</v>
      </c>
      <c r="D13" s="191">
        <f ca="1">(INDEX('INP-Calc EFOR&amp;EUOR - 2019Plan'!$I$11:$M$34,MATCH($B13,'INP-Calc EFOR&amp;EUOR - 2019Plan'!$A$11:$A$34,0),$C13-$A$1+1)-(INDEX('INP-Calc EFOR&amp;EUOR - 2019Plan'!$O$11:$S$34,MATCH($B13,'INP-Calc EFOR&amp;EUOR - 2019Plan'!$A$11:$A$34,0),$C13-$A$1+1)+INDEX('INP-Calc EFOR&amp;EUOR - 2019Plan'!$U$11:$Y$34,MATCH($B13,'INP-Calc EFOR&amp;EUOR - 2019Plan'!$A$11:$A$34,0),$C13-$A$1+1)))/(1+SUM(OFFSET('Calc-Pivot abvals'!$I$4,MATCH($B13,'Calc-Pivot abvals'!$G$5:$G$17,0),0,1,4))-(INDEX('Calc-Pivot abvals'!$H$20:$H$32,MATCH($B13,'Calc-Pivot abvals'!$G$5:$G$17,0),0)+SUMPRODUCT(OFFSET('Calc-Pivot abvals'!$I$4,MATCH($B13,'Calc-Pivot abvals'!$G$5:$G$17,0),0,1,4),OFFSET('Calc-Pivot abvals'!$I$19,MATCH($B13,'Calc-Pivot abvals'!$G$5:$G$17,0),0,1,4)))/INDEX('INP-Calc EFOR&amp;EUOR - 2019Plan'!$B$11:$B$34,MATCH($B13,'INP-Calc EFOR&amp;EUOR - 2019Plan'!$A$11:$A$34,0),0))</f>
        <v>2.3093051436689192E-2</v>
      </c>
      <c r="E13" s="98">
        <f ca="1">$D13*INDEX('Calc-Pivot abvals'!I$5:I$17,MATCH($B13,'Calc-Pivot abvals'!$G$5:$G$17,0),0)</f>
        <v>5.7641996521706138E-3</v>
      </c>
      <c r="F13" s="98">
        <f ca="1">$D13*INDEX('Calc-Pivot abvals'!J$5:J$17,MATCH($B13,'Calc-Pivot abvals'!$G$5:$G$17,0),0)</f>
        <v>2.4772765801179468E-3</v>
      </c>
      <c r="G13" s="98">
        <f ca="1">$D13*INDEX('Calc-Pivot abvals'!K$5:K$17,MATCH($B13,'Calc-Pivot abvals'!$G$5:$G$17,0),0)</f>
        <v>4.7679182308090068E-3</v>
      </c>
      <c r="H13" s="98">
        <f ca="1">$D13*INDEX('Calc-Pivot abvals'!L$5:L$17,MATCH($B13,'Calc-Pivot abvals'!$G$5:$G$17,0),0)</f>
        <v>2.1939674427387495E-3</v>
      </c>
      <c r="I13" s="192">
        <f ca="1">1-(1+SUM(OFFSET('Calc-Pivot abvals'!$H$4, MATCH($B13, 'Calc-Pivot abvals'!$G$5:$G$17, 0), 1, 1, 4)))*D13-INDEX('INP-Calc EFOR&amp;EUOR - 2019Plan'!$U$11:$Y$34, MATCH($B13, 'INP-Calc EFOR&amp;EUOR - 2019Plan'!$A$11:$A$34), $C13-$A$1+1)-INDEX('INP-Calc EFOR&amp;EUOR - 2019Plan'!$O$11:$S$34, MATCH($B13, 'INP-Calc EFOR&amp;EUOR - 2019Plan'!$A$11:$A$34), $C13-$A$1+1)</f>
        <v>0.89671607427278122</v>
      </c>
      <c r="J13" s="98">
        <f ca="1">1-SUMPRODUCT(D13:I13,OFFSET('Calc-Pivot abvals'!$H$19,MATCH($B13,'Calc-Pivot abvals'!$G$5:$G$17,0),0,1,6))/INDEX('INP-Calc EFOR&amp;EUOR - 2019Plan'!$B$11:$B$34,MATCH($B13,'INP-Calc EFOR&amp;EUOR - 2019Plan'!$A$11:$A$34,0),0)</f>
        <v>8.5000000000000075E-2</v>
      </c>
      <c r="K13" s="193">
        <f>VLOOKUP(B13, 'INP-Calc EFOR&amp;EUOR - 2019Plan'!$A$11:$M$34, AvailableStates!C13-$A$1+9, 0)</f>
        <v>8.5000000000000006E-2</v>
      </c>
      <c r="L13" s="193">
        <f t="shared" ca="1" si="0"/>
        <v>0</v>
      </c>
    </row>
    <row r="14" spans="1:12" x14ac:dyDescent="0.25">
      <c r="A14" s="98">
        <f t="shared" si="1"/>
        <v>3</v>
      </c>
      <c r="B14" s="98" t="str">
        <f>INDEX('Calc-Pivot abvals'!$G$5:$G$17,A14,0)</f>
        <v>BR3</v>
      </c>
      <c r="C14" s="98">
        <f t="shared" si="2"/>
        <v>2019</v>
      </c>
      <c r="D14" s="191">
        <f ca="1">(INDEX('INP-Calc EFOR&amp;EUOR - 2019Plan'!$I$11:$M$34,MATCH($B14,'INP-Calc EFOR&amp;EUOR - 2019Plan'!$A$11:$A$34,0),$C14-$A$1+1)-(INDEX('INP-Calc EFOR&amp;EUOR - 2019Plan'!$O$11:$S$34,MATCH($B14,'INP-Calc EFOR&amp;EUOR - 2019Plan'!$A$11:$A$34,0),$C14-$A$1+1)+INDEX('INP-Calc EFOR&amp;EUOR - 2019Plan'!$U$11:$Y$34,MATCH($B14,'INP-Calc EFOR&amp;EUOR - 2019Plan'!$A$11:$A$34,0),$C14-$A$1+1)))/(1+SUM(OFFSET('Calc-Pivot abvals'!$I$4,MATCH($B14,'Calc-Pivot abvals'!$G$5:$G$17,0),0,1,4))-(INDEX('Calc-Pivot abvals'!$H$20:$H$32,MATCH($B14,'Calc-Pivot abvals'!$G$5:$G$17,0),0)+SUMPRODUCT(OFFSET('Calc-Pivot abvals'!$I$4,MATCH($B14,'Calc-Pivot abvals'!$G$5:$G$17,0),0,1,4),OFFSET('Calc-Pivot abvals'!$I$19,MATCH($B14,'Calc-Pivot abvals'!$G$5:$G$17,0),0,1,4)))/INDEX('INP-Calc EFOR&amp;EUOR - 2019Plan'!$B$11:$B$34,MATCH($B14,'INP-Calc EFOR&amp;EUOR - 2019Plan'!$A$11:$A$34,0),0))</f>
        <v>2.3093051436689192E-2</v>
      </c>
      <c r="E14" s="98">
        <f ca="1">$D14*INDEX('Calc-Pivot abvals'!I$5:I$17,MATCH($B14,'Calc-Pivot abvals'!$G$5:$G$17,0),0)</f>
        <v>5.7641996521706138E-3</v>
      </c>
      <c r="F14" s="98">
        <f ca="1">$D14*INDEX('Calc-Pivot abvals'!J$5:J$17,MATCH($B14,'Calc-Pivot abvals'!$G$5:$G$17,0),0)</f>
        <v>2.4772765801179468E-3</v>
      </c>
      <c r="G14" s="98">
        <f ca="1">$D14*INDEX('Calc-Pivot abvals'!K$5:K$17,MATCH($B14,'Calc-Pivot abvals'!$G$5:$G$17,0),0)</f>
        <v>4.7679182308090068E-3</v>
      </c>
      <c r="H14" s="98">
        <f ca="1">$D14*INDEX('Calc-Pivot abvals'!L$5:L$17,MATCH($B14,'Calc-Pivot abvals'!$G$5:$G$17,0),0)</f>
        <v>2.1939674427387495E-3</v>
      </c>
      <c r="I14" s="192">
        <f ca="1">1-(1+SUM(OFFSET('Calc-Pivot abvals'!$H$4, MATCH($B14, 'Calc-Pivot abvals'!$G$5:$G$17, 0), 1, 1, 4)))*D14-INDEX('INP-Calc EFOR&amp;EUOR - 2019Plan'!$U$11:$Y$34, MATCH($B14, 'INP-Calc EFOR&amp;EUOR - 2019Plan'!$A$11:$A$34), $C14-$A$1+1)-INDEX('INP-Calc EFOR&amp;EUOR - 2019Plan'!$O$11:$S$34, MATCH($B14, 'INP-Calc EFOR&amp;EUOR - 2019Plan'!$A$11:$A$34), $C14-$A$1+1)</f>
        <v>0.89671607427278122</v>
      </c>
      <c r="J14" s="98">
        <f ca="1">1-SUMPRODUCT(D14:I14,OFFSET('Calc-Pivot abvals'!$H$19,MATCH($B14,'Calc-Pivot abvals'!$G$5:$G$17,0),0,1,6))/INDEX('INP-Calc EFOR&amp;EUOR - 2019Plan'!$B$11:$B$34,MATCH($B14,'INP-Calc EFOR&amp;EUOR - 2019Plan'!$A$11:$A$34,0),0)</f>
        <v>8.5000000000000075E-2</v>
      </c>
      <c r="K14" s="193">
        <f>VLOOKUP(B14, 'INP-Calc EFOR&amp;EUOR - 2019Plan'!$A$11:$M$34, AvailableStates!C14-$A$1+9, 0)</f>
        <v>8.5000000000000006E-2</v>
      </c>
      <c r="L14" s="193">
        <f t="shared" ca="1" si="0"/>
        <v>0</v>
      </c>
    </row>
    <row r="15" spans="1:12" x14ac:dyDescent="0.25">
      <c r="A15" s="98">
        <f t="shared" si="1"/>
        <v>3</v>
      </c>
      <c r="B15" s="98" t="str">
        <f>INDEX('Calc-Pivot abvals'!$G$5:$G$17,A15,0)</f>
        <v>BR3</v>
      </c>
      <c r="C15" s="98">
        <f t="shared" si="2"/>
        <v>2020</v>
      </c>
      <c r="D15" s="191">
        <f ca="1">(INDEX('INP-Calc EFOR&amp;EUOR - 2019Plan'!$I$11:$M$34,MATCH($B15,'INP-Calc EFOR&amp;EUOR - 2019Plan'!$A$11:$A$34,0),$C15-$A$1+1)-(INDEX('INP-Calc EFOR&amp;EUOR - 2019Plan'!$O$11:$S$34,MATCH($B15,'INP-Calc EFOR&amp;EUOR - 2019Plan'!$A$11:$A$34,0),$C15-$A$1+1)+INDEX('INP-Calc EFOR&amp;EUOR - 2019Plan'!$U$11:$Y$34,MATCH($B15,'INP-Calc EFOR&amp;EUOR - 2019Plan'!$A$11:$A$34,0),$C15-$A$1+1)))/(1+SUM(OFFSET('Calc-Pivot abvals'!$I$4,MATCH($B15,'Calc-Pivot abvals'!$G$5:$G$17,0),0,1,4))-(INDEX('Calc-Pivot abvals'!$H$20:$H$32,MATCH($B15,'Calc-Pivot abvals'!$G$5:$G$17,0),0)+SUMPRODUCT(OFFSET('Calc-Pivot abvals'!$I$4,MATCH($B15,'Calc-Pivot abvals'!$G$5:$G$17,0),0,1,4),OFFSET('Calc-Pivot abvals'!$I$19,MATCH($B15,'Calc-Pivot abvals'!$G$5:$G$17,0),0,1,4)))/INDEX('INP-Calc EFOR&amp;EUOR - 2019Plan'!$B$11:$B$34,MATCH($B15,'INP-Calc EFOR&amp;EUOR - 2019Plan'!$A$11:$A$34,0),0))</f>
        <v>2.3093051436689192E-2</v>
      </c>
      <c r="E15" s="98">
        <f ca="1">$D15*INDEX('Calc-Pivot abvals'!I$5:I$17,MATCH($B15,'Calc-Pivot abvals'!$G$5:$G$17,0),0)</f>
        <v>5.7641996521706138E-3</v>
      </c>
      <c r="F15" s="98">
        <f ca="1">$D15*INDEX('Calc-Pivot abvals'!J$5:J$17,MATCH($B15,'Calc-Pivot abvals'!$G$5:$G$17,0),0)</f>
        <v>2.4772765801179468E-3</v>
      </c>
      <c r="G15" s="98">
        <f ca="1">$D15*INDEX('Calc-Pivot abvals'!K$5:K$17,MATCH($B15,'Calc-Pivot abvals'!$G$5:$G$17,0),0)</f>
        <v>4.7679182308090068E-3</v>
      </c>
      <c r="H15" s="98">
        <f ca="1">$D15*INDEX('Calc-Pivot abvals'!L$5:L$17,MATCH($B15,'Calc-Pivot abvals'!$G$5:$G$17,0),0)</f>
        <v>2.1939674427387495E-3</v>
      </c>
      <c r="I15" s="192">
        <f ca="1">1-(1+SUM(OFFSET('Calc-Pivot abvals'!$H$4, MATCH($B15, 'Calc-Pivot abvals'!$G$5:$G$17, 0), 1, 1, 4)))*D15-INDEX('INP-Calc EFOR&amp;EUOR - 2019Plan'!$U$11:$Y$34, MATCH($B15, 'INP-Calc EFOR&amp;EUOR - 2019Plan'!$A$11:$A$34), $C15-$A$1+1)-INDEX('INP-Calc EFOR&amp;EUOR - 2019Plan'!$O$11:$S$34, MATCH($B15, 'INP-Calc EFOR&amp;EUOR - 2019Plan'!$A$11:$A$34), $C15-$A$1+1)</f>
        <v>0.89671607427278122</v>
      </c>
      <c r="J15" s="98">
        <f ca="1">1-SUMPRODUCT(D15:I15,OFFSET('Calc-Pivot abvals'!$H$19,MATCH($B15,'Calc-Pivot abvals'!$G$5:$G$17,0),0,1,6))/INDEX('INP-Calc EFOR&amp;EUOR - 2019Plan'!$B$11:$B$34,MATCH($B15,'INP-Calc EFOR&amp;EUOR - 2019Plan'!$A$11:$A$34,0),0)</f>
        <v>8.5000000000000075E-2</v>
      </c>
      <c r="K15" s="193">
        <f>VLOOKUP(B15, 'INP-Calc EFOR&amp;EUOR - 2019Plan'!$A$11:$M$34, AvailableStates!C15-$A$1+9, 0)</f>
        <v>8.5000000000000006E-2</v>
      </c>
      <c r="L15" s="193">
        <f t="shared" ca="1" si="0"/>
        <v>0</v>
      </c>
    </row>
    <row r="16" spans="1:12" x14ac:dyDescent="0.25">
      <c r="A16" s="98">
        <f t="shared" si="1"/>
        <v>3</v>
      </c>
      <c r="B16" s="98" t="str">
        <f>INDEX('Calc-Pivot abvals'!$G$5:$G$17,A16,0)</f>
        <v>BR3</v>
      </c>
      <c r="C16" s="98">
        <f t="shared" si="2"/>
        <v>2021</v>
      </c>
      <c r="D16" s="191">
        <f ca="1">(INDEX('INP-Calc EFOR&amp;EUOR - 2019Plan'!$I$11:$M$34,MATCH($B16,'INP-Calc EFOR&amp;EUOR - 2019Plan'!$A$11:$A$34,0),$C16-$A$1+1)-(INDEX('INP-Calc EFOR&amp;EUOR - 2019Plan'!$O$11:$S$34,MATCH($B16,'INP-Calc EFOR&amp;EUOR - 2019Plan'!$A$11:$A$34,0),$C16-$A$1+1)+INDEX('INP-Calc EFOR&amp;EUOR - 2019Plan'!$U$11:$Y$34,MATCH($B16,'INP-Calc EFOR&amp;EUOR - 2019Plan'!$A$11:$A$34,0),$C16-$A$1+1)))/(1+SUM(OFFSET('Calc-Pivot abvals'!$I$4,MATCH($B16,'Calc-Pivot abvals'!$G$5:$G$17,0),0,1,4))-(INDEX('Calc-Pivot abvals'!$H$20:$H$32,MATCH($B16,'Calc-Pivot abvals'!$G$5:$G$17,0),0)+SUMPRODUCT(OFFSET('Calc-Pivot abvals'!$I$4,MATCH($B16,'Calc-Pivot abvals'!$G$5:$G$17,0),0,1,4),OFFSET('Calc-Pivot abvals'!$I$19,MATCH($B16,'Calc-Pivot abvals'!$G$5:$G$17,0),0,1,4)))/INDEX('INP-Calc EFOR&amp;EUOR - 2019Plan'!$B$11:$B$34,MATCH($B16,'INP-Calc EFOR&amp;EUOR - 2019Plan'!$A$11:$A$34,0),0))</f>
        <v>2.3093051436689192E-2</v>
      </c>
      <c r="E16" s="98">
        <f ca="1">$D16*INDEX('Calc-Pivot abvals'!I$5:I$17,MATCH($B16,'Calc-Pivot abvals'!$G$5:$G$17,0),0)</f>
        <v>5.7641996521706138E-3</v>
      </c>
      <c r="F16" s="98">
        <f ca="1">$D16*INDEX('Calc-Pivot abvals'!J$5:J$17,MATCH($B16,'Calc-Pivot abvals'!$G$5:$G$17,0),0)</f>
        <v>2.4772765801179468E-3</v>
      </c>
      <c r="G16" s="98">
        <f ca="1">$D16*INDEX('Calc-Pivot abvals'!K$5:K$17,MATCH($B16,'Calc-Pivot abvals'!$G$5:$G$17,0),0)</f>
        <v>4.7679182308090068E-3</v>
      </c>
      <c r="H16" s="98">
        <f ca="1">$D16*INDEX('Calc-Pivot abvals'!L$5:L$17,MATCH($B16,'Calc-Pivot abvals'!$G$5:$G$17,0),0)</f>
        <v>2.1939674427387495E-3</v>
      </c>
      <c r="I16" s="192">
        <f ca="1">1-(1+SUM(OFFSET('Calc-Pivot abvals'!$H$4, MATCH($B16, 'Calc-Pivot abvals'!$G$5:$G$17, 0), 1, 1, 4)))*D16-INDEX('INP-Calc EFOR&amp;EUOR - 2019Plan'!$U$11:$Y$34, MATCH($B16, 'INP-Calc EFOR&amp;EUOR - 2019Plan'!$A$11:$A$34), $C16-$A$1+1)-INDEX('INP-Calc EFOR&amp;EUOR - 2019Plan'!$O$11:$S$34, MATCH($B16, 'INP-Calc EFOR&amp;EUOR - 2019Plan'!$A$11:$A$34), $C16-$A$1+1)</f>
        <v>0.89671607427278122</v>
      </c>
      <c r="J16" s="98">
        <f ca="1">1-SUMPRODUCT(D16:I16,OFFSET('Calc-Pivot abvals'!$H$19,MATCH($B16,'Calc-Pivot abvals'!$G$5:$G$17,0),0,1,6))/INDEX('INP-Calc EFOR&amp;EUOR - 2019Plan'!$B$11:$B$34,MATCH($B16,'INP-Calc EFOR&amp;EUOR - 2019Plan'!$A$11:$A$34,0),0)</f>
        <v>8.5000000000000075E-2</v>
      </c>
      <c r="K16" s="193">
        <f>VLOOKUP(B16, 'INP-Calc EFOR&amp;EUOR - 2019Plan'!$A$11:$M$34, AvailableStates!C16-$A$1+9, 0)</f>
        <v>8.5000000000000006E-2</v>
      </c>
      <c r="L16" s="193">
        <f t="shared" ca="1" si="0"/>
        <v>0</v>
      </c>
    </row>
    <row r="17" spans="1:20" x14ac:dyDescent="0.25">
      <c r="A17" s="98">
        <f t="shared" si="1"/>
        <v>3</v>
      </c>
      <c r="B17" s="98" t="str">
        <f>INDEX('Calc-Pivot abvals'!$G$5:$G$17,A17,0)</f>
        <v>BR3</v>
      </c>
      <c r="C17" s="98">
        <f t="shared" si="2"/>
        <v>2022</v>
      </c>
      <c r="D17" s="191">
        <f ca="1">(INDEX('INP-Calc EFOR&amp;EUOR - 2019Plan'!$I$11:$M$34,MATCH($B17,'INP-Calc EFOR&amp;EUOR - 2019Plan'!$A$11:$A$34,0),$C17-$A$1+1)-(INDEX('INP-Calc EFOR&amp;EUOR - 2019Plan'!$O$11:$S$34,MATCH($B17,'INP-Calc EFOR&amp;EUOR - 2019Plan'!$A$11:$A$34,0),$C17-$A$1+1)+INDEX('INP-Calc EFOR&amp;EUOR - 2019Plan'!$U$11:$Y$34,MATCH($B17,'INP-Calc EFOR&amp;EUOR - 2019Plan'!$A$11:$A$34,0),$C17-$A$1+1)))/(1+SUM(OFFSET('Calc-Pivot abvals'!$I$4,MATCH($B17,'Calc-Pivot abvals'!$G$5:$G$17,0),0,1,4))-(INDEX('Calc-Pivot abvals'!$H$20:$H$32,MATCH($B17,'Calc-Pivot abvals'!$G$5:$G$17,0),0)+SUMPRODUCT(OFFSET('Calc-Pivot abvals'!$I$4,MATCH($B17,'Calc-Pivot abvals'!$G$5:$G$17,0),0,1,4),OFFSET('Calc-Pivot abvals'!$I$19,MATCH($B17,'Calc-Pivot abvals'!$G$5:$G$17,0),0,1,4)))/INDEX('INP-Calc EFOR&amp;EUOR - 2019Plan'!$B$11:$B$34,MATCH($B17,'INP-Calc EFOR&amp;EUOR - 2019Plan'!$A$11:$A$34,0),0))</f>
        <v>2.3093051436689192E-2</v>
      </c>
      <c r="E17" s="98">
        <f ca="1">$D17*INDEX('Calc-Pivot abvals'!I$5:I$17,MATCH($B17,'Calc-Pivot abvals'!$G$5:$G$17,0),0)</f>
        <v>5.7641996521706138E-3</v>
      </c>
      <c r="F17" s="98">
        <f ca="1">$D17*INDEX('Calc-Pivot abvals'!J$5:J$17,MATCH($B17,'Calc-Pivot abvals'!$G$5:$G$17,0),0)</f>
        <v>2.4772765801179468E-3</v>
      </c>
      <c r="G17" s="98">
        <f ca="1">$D17*INDEX('Calc-Pivot abvals'!K$5:K$17,MATCH($B17,'Calc-Pivot abvals'!$G$5:$G$17,0),0)</f>
        <v>4.7679182308090068E-3</v>
      </c>
      <c r="H17" s="98">
        <f ca="1">$D17*INDEX('Calc-Pivot abvals'!L$5:L$17,MATCH($B17,'Calc-Pivot abvals'!$G$5:$G$17,0),0)</f>
        <v>2.1939674427387495E-3</v>
      </c>
      <c r="I17" s="192">
        <f ca="1">1-(1+SUM(OFFSET('Calc-Pivot abvals'!$H$4, MATCH($B17, 'Calc-Pivot abvals'!$G$5:$G$17, 0), 1, 1, 4)))*D17-INDEX('INP-Calc EFOR&amp;EUOR - 2019Plan'!$U$11:$Y$34, MATCH($B17, 'INP-Calc EFOR&amp;EUOR - 2019Plan'!$A$11:$A$34), $C17-$A$1+1)-INDEX('INP-Calc EFOR&amp;EUOR - 2019Plan'!$O$11:$S$34, MATCH($B17, 'INP-Calc EFOR&amp;EUOR - 2019Plan'!$A$11:$A$34), $C17-$A$1+1)</f>
        <v>0.89671607427278122</v>
      </c>
      <c r="J17" s="98">
        <f ca="1">1-SUMPRODUCT(D17:I17,OFFSET('Calc-Pivot abvals'!$H$19,MATCH($B17,'Calc-Pivot abvals'!$G$5:$G$17,0),0,1,6))/INDEX('INP-Calc EFOR&amp;EUOR - 2019Plan'!$B$11:$B$34,MATCH($B17,'INP-Calc EFOR&amp;EUOR - 2019Plan'!$A$11:$A$34,0),0)</f>
        <v>8.5000000000000075E-2</v>
      </c>
      <c r="K17" s="193">
        <f>VLOOKUP(B17, 'INP-Calc EFOR&amp;EUOR - 2019Plan'!$A$11:$M$34, AvailableStates!C17-$A$1+9, 0)</f>
        <v>8.5000000000000006E-2</v>
      </c>
      <c r="L17" s="193">
        <f t="shared" ca="1" si="0"/>
        <v>0</v>
      </c>
    </row>
    <row r="18" spans="1:20" x14ac:dyDescent="0.25">
      <c r="A18" s="98">
        <f t="shared" si="1"/>
        <v>4</v>
      </c>
      <c r="B18" s="98" t="str">
        <f>INDEX('Calc-Pivot abvals'!$G$5:$G$17,A18,0)</f>
        <v>GH1</v>
      </c>
      <c r="C18" s="98">
        <f t="shared" si="2"/>
        <v>2018</v>
      </c>
      <c r="D18" s="191">
        <f ca="1">(INDEX('INP-Calc EFOR&amp;EUOR - 2019Plan'!$I$11:$M$34,MATCH($B18,'INP-Calc EFOR&amp;EUOR - 2019Plan'!$A$11:$A$34,0),$C18-$A$1+1)-(INDEX('INP-Calc EFOR&amp;EUOR - 2019Plan'!$O$11:$S$34,MATCH($B18,'INP-Calc EFOR&amp;EUOR - 2019Plan'!$A$11:$A$34,0),$C18-$A$1+1)+INDEX('INP-Calc EFOR&amp;EUOR - 2019Plan'!$U$11:$Y$34,MATCH($B18,'INP-Calc EFOR&amp;EUOR - 2019Plan'!$A$11:$A$34,0),$C18-$A$1+1)))/(1+SUM(OFFSET('Calc-Pivot abvals'!$I$4,MATCH($B18,'Calc-Pivot abvals'!$G$5:$G$17,0),0,1,4))-(INDEX('Calc-Pivot abvals'!$H$20:$H$32,MATCH($B18,'Calc-Pivot abvals'!$G$5:$G$17,0),0)+SUMPRODUCT(OFFSET('Calc-Pivot abvals'!$I$4,MATCH($B18,'Calc-Pivot abvals'!$G$5:$G$17,0),0,1,4),OFFSET('Calc-Pivot abvals'!$I$19,MATCH($B18,'Calc-Pivot abvals'!$G$5:$G$17,0),0,1,4)))/INDEX('INP-Calc EFOR&amp;EUOR - 2019Plan'!$B$11:$B$34,MATCH($B18,'INP-Calc EFOR&amp;EUOR - 2019Plan'!$A$11:$A$34,0),0))</f>
        <v>2.0844214224125582E-2</v>
      </c>
      <c r="E18" s="98">
        <f ca="1">$D18*INDEX('Calc-Pivot abvals'!I$5:I$17,MATCH($B18,'Calc-Pivot abvals'!$G$5:$G$17,0),0)</f>
        <v>6.11788169792512E-3</v>
      </c>
      <c r="F18" s="98">
        <f ca="1">$D18*INDEX('Calc-Pivot abvals'!J$5:J$17,MATCH($B18,'Calc-Pivot abvals'!$G$5:$G$17,0),0)</f>
        <v>1.0652022407390284E-2</v>
      </c>
      <c r="G18" s="98">
        <f ca="1">$D18*INDEX('Calc-Pivot abvals'!K$5:K$17,MATCH($B18,'Calc-Pivot abvals'!$G$5:$G$17,0),0)</f>
        <v>1.1313463645655374E-3</v>
      </c>
      <c r="H18" s="98">
        <f ca="1">$D18*INDEX('Calc-Pivot abvals'!L$5:L$17,MATCH($B18,'Calc-Pivot abvals'!$G$5:$G$17,0),0)</f>
        <v>8.6629012946690803E-4</v>
      </c>
      <c r="I18" s="192">
        <f ca="1">1-(1+SUM(OFFSET('Calc-Pivot abvals'!$H$4, MATCH($B18, 'Calc-Pivot abvals'!$G$5:$G$17, 0), 1, 1, 4)))*D18-INDEX('INP-Calc EFOR&amp;EUOR - 2019Plan'!$U$11:$Y$34, MATCH($B18, 'INP-Calc EFOR&amp;EUOR - 2019Plan'!$A$11:$A$34), $C18-$A$1+1)-INDEX('INP-Calc EFOR&amp;EUOR - 2019Plan'!$O$11:$S$34, MATCH($B18, 'INP-Calc EFOR&amp;EUOR - 2019Plan'!$A$11:$A$34), $C18-$A$1+1)</f>
        <v>0.90399204545758893</v>
      </c>
      <c r="J18" s="98">
        <f ca="1">1-SUMPRODUCT(D18:I18,OFFSET('Calc-Pivot abvals'!$H$19,MATCH($B18,'Calc-Pivot abvals'!$G$5:$G$17,0),0,1,6))/INDEX('INP-Calc EFOR&amp;EUOR - 2019Plan'!$B$11:$B$34,MATCH($B18,'INP-Calc EFOR&amp;EUOR - 2019Plan'!$A$11:$A$34,0),0)</f>
        <v>7.4000000000000066E-2</v>
      </c>
      <c r="K18" s="193">
        <f>VLOOKUP(B18, 'INP-Calc EFOR&amp;EUOR - 2019Plan'!$A$11:$M$34, AvailableStates!C18-$A$1+9, 0)</f>
        <v>7.3999999999999996E-2</v>
      </c>
      <c r="L18" s="193">
        <f t="shared" ca="1" si="0"/>
        <v>0</v>
      </c>
    </row>
    <row r="19" spans="1:20" x14ac:dyDescent="0.25">
      <c r="A19" s="98">
        <f t="shared" si="1"/>
        <v>4</v>
      </c>
      <c r="B19" s="98" t="str">
        <f>INDEX('Calc-Pivot abvals'!$G$5:$G$17,A19,0)</f>
        <v>GH1</v>
      </c>
      <c r="C19" s="98">
        <f t="shared" si="2"/>
        <v>2019</v>
      </c>
      <c r="D19" s="191">
        <f ca="1">(INDEX('INP-Calc EFOR&amp;EUOR - 2019Plan'!$I$11:$M$34,MATCH($B19,'INP-Calc EFOR&amp;EUOR - 2019Plan'!$A$11:$A$34,0),$C19-$A$1+1)-(INDEX('INP-Calc EFOR&amp;EUOR - 2019Plan'!$O$11:$S$34,MATCH($B19,'INP-Calc EFOR&amp;EUOR - 2019Plan'!$A$11:$A$34,0),$C19-$A$1+1)+INDEX('INP-Calc EFOR&amp;EUOR - 2019Plan'!$U$11:$Y$34,MATCH($B19,'INP-Calc EFOR&amp;EUOR - 2019Plan'!$A$11:$A$34,0),$C19-$A$1+1)))/(1+SUM(OFFSET('Calc-Pivot abvals'!$I$4,MATCH($B19,'Calc-Pivot abvals'!$G$5:$G$17,0),0,1,4))-(INDEX('Calc-Pivot abvals'!$H$20:$H$32,MATCH($B19,'Calc-Pivot abvals'!$G$5:$G$17,0),0)+SUMPRODUCT(OFFSET('Calc-Pivot abvals'!$I$4,MATCH($B19,'Calc-Pivot abvals'!$G$5:$G$17,0),0,1,4),OFFSET('Calc-Pivot abvals'!$I$19,MATCH($B19,'Calc-Pivot abvals'!$G$5:$G$17,0),0,1,4)))/INDEX('INP-Calc EFOR&amp;EUOR - 2019Plan'!$B$11:$B$34,MATCH($B19,'INP-Calc EFOR&amp;EUOR - 2019Plan'!$A$11:$A$34,0),0))</f>
        <v>2.0844214224125582E-2</v>
      </c>
      <c r="E19" s="98">
        <f ca="1">$D19*INDEX('Calc-Pivot abvals'!I$5:I$17,MATCH($B19,'Calc-Pivot abvals'!$G$5:$G$17,0),0)</f>
        <v>6.11788169792512E-3</v>
      </c>
      <c r="F19" s="98">
        <f ca="1">$D19*INDEX('Calc-Pivot abvals'!J$5:J$17,MATCH($B19,'Calc-Pivot abvals'!$G$5:$G$17,0),0)</f>
        <v>1.0652022407390284E-2</v>
      </c>
      <c r="G19" s="98">
        <f ca="1">$D19*INDEX('Calc-Pivot abvals'!K$5:K$17,MATCH($B19,'Calc-Pivot abvals'!$G$5:$G$17,0),0)</f>
        <v>1.1313463645655374E-3</v>
      </c>
      <c r="H19" s="98">
        <f ca="1">$D19*INDEX('Calc-Pivot abvals'!L$5:L$17,MATCH($B19,'Calc-Pivot abvals'!$G$5:$G$17,0),0)</f>
        <v>8.6629012946690803E-4</v>
      </c>
      <c r="I19" s="192">
        <f ca="1">1-(1+SUM(OFFSET('Calc-Pivot abvals'!$H$4, MATCH($B19, 'Calc-Pivot abvals'!$G$5:$G$17, 0), 1, 1, 4)))*D19-INDEX('INP-Calc EFOR&amp;EUOR - 2019Plan'!$U$11:$Y$34, MATCH($B19, 'INP-Calc EFOR&amp;EUOR - 2019Plan'!$A$11:$A$34), $C19-$A$1+1)-INDEX('INP-Calc EFOR&amp;EUOR - 2019Plan'!$O$11:$S$34, MATCH($B19, 'INP-Calc EFOR&amp;EUOR - 2019Plan'!$A$11:$A$34), $C19-$A$1+1)</f>
        <v>0.90399204545758893</v>
      </c>
      <c r="J19" s="98">
        <f ca="1">1-SUMPRODUCT(D19:I19,OFFSET('Calc-Pivot abvals'!$H$19,MATCH($B19,'Calc-Pivot abvals'!$G$5:$G$17,0),0,1,6))/INDEX('INP-Calc EFOR&amp;EUOR - 2019Plan'!$B$11:$B$34,MATCH($B19,'INP-Calc EFOR&amp;EUOR - 2019Plan'!$A$11:$A$34,0),0)</f>
        <v>7.4000000000000066E-2</v>
      </c>
      <c r="K19" s="193">
        <f>VLOOKUP(B19, 'INP-Calc EFOR&amp;EUOR - 2019Plan'!$A$11:$M$34, AvailableStates!C19-$A$1+9, 0)</f>
        <v>7.3999999999999996E-2</v>
      </c>
      <c r="L19" s="193">
        <f t="shared" ca="1" si="0"/>
        <v>0</v>
      </c>
    </row>
    <row r="20" spans="1:20" x14ac:dyDescent="0.25">
      <c r="A20" s="98">
        <f t="shared" si="1"/>
        <v>4</v>
      </c>
      <c r="B20" s="98" t="str">
        <f>INDEX('Calc-Pivot abvals'!$G$5:$G$17,A20,0)</f>
        <v>GH1</v>
      </c>
      <c r="C20" s="98">
        <f t="shared" si="2"/>
        <v>2020</v>
      </c>
      <c r="D20" s="191">
        <f ca="1">(INDEX('INP-Calc EFOR&amp;EUOR - 2019Plan'!$I$11:$M$34,MATCH($B20,'INP-Calc EFOR&amp;EUOR - 2019Plan'!$A$11:$A$34,0),$C20-$A$1+1)-(INDEX('INP-Calc EFOR&amp;EUOR - 2019Plan'!$O$11:$S$34,MATCH($B20,'INP-Calc EFOR&amp;EUOR - 2019Plan'!$A$11:$A$34,0),$C20-$A$1+1)+INDEX('INP-Calc EFOR&amp;EUOR - 2019Plan'!$U$11:$Y$34,MATCH($B20,'INP-Calc EFOR&amp;EUOR - 2019Plan'!$A$11:$A$34,0),$C20-$A$1+1)))/(1+SUM(OFFSET('Calc-Pivot abvals'!$I$4,MATCH($B20,'Calc-Pivot abvals'!$G$5:$G$17,0),0,1,4))-(INDEX('Calc-Pivot abvals'!$H$20:$H$32,MATCH($B20,'Calc-Pivot abvals'!$G$5:$G$17,0),0)+SUMPRODUCT(OFFSET('Calc-Pivot abvals'!$I$4,MATCH($B20,'Calc-Pivot abvals'!$G$5:$G$17,0),0,1,4),OFFSET('Calc-Pivot abvals'!$I$19,MATCH($B20,'Calc-Pivot abvals'!$G$5:$G$17,0),0,1,4)))/INDEX('INP-Calc EFOR&amp;EUOR - 2019Plan'!$B$11:$B$34,MATCH($B20,'INP-Calc EFOR&amp;EUOR - 2019Plan'!$A$11:$A$34,0),0))</f>
        <v>2.0844214224125582E-2</v>
      </c>
      <c r="E20" s="98">
        <f ca="1">$D20*INDEX('Calc-Pivot abvals'!I$5:I$17,MATCH($B20,'Calc-Pivot abvals'!$G$5:$G$17,0),0)</f>
        <v>6.11788169792512E-3</v>
      </c>
      <c r="F20" s="98">
        <f ca="1">$D20*INDEX('Calc-Pivot abvals'!J$5:J$17,MATCH($B20,'Calc-Pivot abvals'!$G$5:$G$17,0),0)</f>
        <v>1.0652022407390284E-2</v>
      </c>
      <c r="G20" s="98">
        <f ca="1">$D20*INDEX('Calc-Pivot abvals'!K$5:K$17,MATCH($B20,'Calc-Pivot abvals'!$G$5:$G$17,0),0)</f>
        <v>1.1313463645655374E-3</v>
      </c>
      <c r="H20" s="98">
        <f ca="1">$D20*INDEX('Calc-Pivot abvals'!L$5:L$17,MATCH($B20,'Calc-Pivot abvals'!$G$5:$G$17,0),0)</f>
        <v>8.6629012946690803E-4</v>
      </c>
      <c r="I20" s="192">
        <f ca="1">1-(1+SUM(OFFSET('Calc-Pivot abvals'!$H$4, MATCH($B20, 'Calc-Pivot abvals'!$G$5:$G$17, 0), 1, 1, 4)))*D20-INDEX('INP-Calc EFOR&amp;EUOR - 2019Plan'!$U$11:$Y$34, MATCH($B20, 'INP-Calc EFOR&amp;EUOR - 2019Plan'!$A$11:$A$34), $C20-$A$1+1)-INDEX('INP-Calc EFOR&amp;EUOR - 2019Plan'!$O$11:$S$34, MATCH($B20, 'INP-Calc EFOR&amp;EUOR - 2019Plan'!$A$11:$A$34), $C20-$A$1+1)</f>
        <v>0.90399204545758893</v>
      </c>
      <c r="J20" s="98">
        <f ca="1">1-SUMPRODUCT(D20:I20,OFFSET('Calc-Pivot abvals'!$H$19,MATCH($B20,'Calc-Pivot abvals'!$G$5:$G$17,0),0,1,6))/INDEX('INP-Calc EFOR&amp;EUOR - 2019Plan'!$B$11:$B$34,MATCH($B20,'INP-Calc EFOR&amp;EUOR - 2019Plan'!$A$11:$A$34,0),0)</f>
        <v>7.4000000000000066E-2</v>
      </c>
      <c r="K20" s="193">
        <f>VLOOKUP(B20, 'INP-Calc EFOR&amp;EUOR - 2019Plan'!$A$11:$M$34, AvailableStates!C20-$A$1+9, 0)</f>
        <v>7.3999999999999996E-2</v>
      </c>
      <c r="L20" s="193">
        <f t="shared" ca="1" si="0"/>
        <v>0</v>
      </c>
      <c r="P20" s="190"/>
      <c r="Q20" s="190"/>
      <c r="R20" s="190"/>
      <c r="S20" s="190"/>
      <c r="T20" s="190"/>
    </row>
    <row r="21" spans="1:20" x14ac:dyDescent="0.25">
      <c r="A21" s="98">
        <f t="shared" si="1"/>
        <v>4</v>
      </c>
      <c r="B21" s="98" t="str">
        <f>INDEX('Calc-Pivot abvals'!$G$5:$G$17,A21,0)</f>
        <v>GH1</v>
      </c>
      <c r="C21" s="98">
        <f t="shared" si="2"/>
        <v>2021</v>
      </c>
      <c r="D21" s="191">
        <f ca="1">(INDEX('INP-Calc EFOR&amp;EUOR - 2019Plan'!$I$11:$M$34,MATCH($B21,'INP-Calc EFOR&amp;EUOR - 2019Plan'!$A$11:$A$34,0),$C21-$A$1+1)-(INDEX('INP-Calc EFOR&amp;EUOR - 2019Plan'!$O$11:$S$34,MATCH($B21,'INP-Calc EFOR&amp;EUOR - 2019Plan'!$A$11:$A$34,0),$C21-$A$1+1)+INDEX('INP-Calc EFOR&amp;EUOR - 2019Plan'!$U$11:$Y$34,MATCH($B21,'INP-Calc EFOR&amp;EUOR - 2019Plan'!$A$11:$A$34,0),$C21-$A$1+1)))/(1+SUM(OFFSET('Calc-Pivot abvals'!$I$4,MATCH($B21,'Calc-Pivot abvals'!$G$5:$G$17,0),0,1,4))-(INDEX('Calc-Pivot abvals'!$H$20:$H$32,MATCH($B21,'Calc-Pivot abvals'!$G$5:$G$17,0),0)+SUMPRODUCT(OFFSET('Calc-Pivot abvals'!$I$4,MATCH($B21,'Calc-Pivot abvals'!$G$5:$G$17,0),0,1,4),OFFSET('Calc-Pivot abvals'!$I$19,MATCH($B21,'Calc-Pivot abvals'!$G$5:$G$17,0),0,1,4)))/INDEX('INP-Calc EFOR&amp;EUOR - 2019Plan'!$B$11:$B$34,MATCH($B21,'INP-Calc EFOR&amp;EUOR - 2019Plan'!$A$11:$A$34,0),0))</f>
        <v>2.0844214224125582E-2</v>
      </c>
      <c r="E21" s="98">
        <f ca="1">$D21*INDEX('Calc-Pivot abvals'!I$5:I$17,MATCH($B21,'Calc-Pivot abvals'!$G$5:$G$17,0),0)</f>
        <v>6.11788169792512E-3</v>
      </c>
      <c r="F21" s="98">
        <f ca="1">$D21*INDEX('Calc-Pivot abvals'!J$5:J$17,MATCH($B21,'Calc-Pivot abvals'!$G$5:$G$17,0),0)</f>
        <v>1.0652022407390284E-2</v>
      </c>
      <c r="G21" s="98">
        <f ca="1">$D21*INDEX('Calc-Pivot abvals'!K$5:K$17,MATCH($B21,'Calc-Pivot abvals'!$G$5:$G$17,0),0)</f>
        <v>1.1313463645655374E-3</v>
      </c>
      <c r="H21" s="98">
        <f ca="1">$D21*INDEX('Calc-Pivot abvals'!L$5:L$17,MATCH($B21,'Calc-Pivot abvals'!$G$5:$G$17,0),0)</f>
        <v>8.6629012946690803E-4</v>
      </c>
      <c r="I21" s="192">
        <f ca="1">1-(1+SUM(OFFSET('Calc-Pivot abvals'!$H$4, MATCH($B21, 'Calc-Pivot abvals'!$G$5:$G$17, 0), 1, 1, 4)))*D21-INDEX('INP-Calc EFOR&amp;EUOR - 2019Plan'!$U$11:$Y$34, MATCH($B21, 'INP-Calc EFOR&amp;EUOR - 2019Plan'!$A$11:$A$34), $C21-$A$1+1)-INDEX('INP-Calc EFOR&amp;EUOR - 2019Plan'!$O$11:$S$34, MATCH($B21, 'INP-Calc EFOR&amp;EUOR - 2019Plan'!$A$11:$A$34), $C21-$A$1+1)</f>
        <v>0.90399204545758893</v>
      </c>
      <c r="J21" s="98">
        <f ca="1">1-SUMPRODUCT(D21:I21,OFFSET('Calc-Pivot abvals'!$H$19,MATCH($B21,'Calc-Pivot abvals'!$G$5:$G$17,0),0,1,6))/INDEX('INP-Calc EFOR&amp;EUOR - 2019Plan'!$B$11:$B$34,MATCH($B21,'INP-Calc EFOR&amp;EUOR - 2019Plan'!$A$11:$A$34,0),0)</f>
        <v>7.4000000000000066E-2</v>
      </c>
      <c r="K21" s="193">
        <f>VLOOKUP(B21, 'INP-Calc EFOR&amp;EUOR - 2019Plan'!$A$11:$M$34, AvailableStates!C21-$A$1+9, 0)</f>
        <v>7.3999999999999996E-2</v>
      </c>
      <c r="L21" s="193">
        <f t="shared" ca="1" si="0"/>
        <v>0</v>
      </c>
    </row>
    <row r="22" spans="1:20" x14ac:dyDescent="0.25">
      <c r="A22" s="98">
        <f t="shared" si="1"/>
        <v>4</v>
      </c>
      <c r="B22" s="98" t="str">
        <f>INDEX('Calc-Pivot abvals'!$G$5:$G$17,A22,0)</f>
        <v>GH1</v>
      </c>
      <c r="C22" s="98">
        <f t="shared" si="2"/>
        <v>2022</v>
      </c>
      <c r="D22" s="191">
        <f ca="1">(INDEX('INP-Calc EFOR&amp;EUOR - 2019Plan'!$I$11:$M$34,MATCH($B22,'INP-Calc EFOR&amp;EUOR - 2019Plan'!$A$11:$A$34,0),$C22-$A$1+1)-(INDEX('INP-Calc EFOR&amp;EUOR - 2019Plan'!$O$11:$S$34,MATCH($B22,'INP-Calc EFOR&amp;EUOR - 2019Plan'!$A$11:$A$34,0),$C22-$A$1+1)+INDEX('INP-Calc EFOR&amp;EUOR - 2019Plan'!$U$11:$Y$34,MATCH($B22,'INP-Calc EFOR&amp;EUOR - 2019Plan'!$A$11:$A$34,0),$C22-$A$1+1)))/(1+SUM(OFFSET('Calc-Pivot abvals'!$I$4,MATCH($B22,'Calc-Pivot abvals'!$G$5:$G$17,0),0,1,4))-(INDEX('Calc-Pivot abvals'!$H$20:$H$32,MATCH($B22,'Calc-Pivot abvals'!$G$5:$G$17,0),0)+SUMPRODUCT(OFFSET('Calc-Pivot abvals'!$I$4,MATCH($B22,'Calc-Pivot abvals'!$G$5:$G$17,0),0,1,4),OFFSET('Calc-Pivot abvals'!$I$19,MATCH($B22,'Calc-Pivot abvals'!$G$5:$G$17,0),0,1,4)))/INDEX('INP-Calc EFOR&amp;EUOR - 2019Plan'!$B$11:$B$34,MATCH($B22,'INP-Calc EFOR&amp;EUOR - 2019Plan'!$A$11:$A$34,0),0))</f>
        <v>2.0844214224125582E-2</v>
      </c>
      <c r="E22" s="98">
        <f ca="1">$D22*INDEX('Calc-Pivot abvals'!I$5:I$17,MATCH($B22,'Calc-Pivot abvals'!$G$5:$G$17,0),0)</f>
        <v>6.11788169792512E-3</v>
      </c>
      <c r="F22" s="98">
        <f ca="1">$D22*INDEX('Calc-Pivot abvals'!J$5:J$17,MATCH($B22,'Calc-Pivot abvals'!$G$5:$G$17,0),0)</f>
        <v>1.0652022407390284E-2</v>
      </c>
      <c r="G22" s="98">
        <f ca="1">$D22*INDEX('Calc-Pivot abvals'!K$5:K$17,MATCH($B22,'Calc-Pivot abvals'!$G$5:$G$17,0),0)</f>
        <v>1.1313463645655374E-3</v>
      </c>
      <c r="H22" s="98">
        <f ca="1">$D22*INDEX('Calc-Pivot abvals'!L$5:L$17,MATCH($B22,'Calc-Pivot abvals'!$G$5:$G$17,0),0)</f>
        <v>8.6629012946690803E-4</v>
      </c>
      <c r="I22" s="192">
        <f ca="1">1-(1+SUM(OFFSET('Calc-Pivot abvals'!$H$4, MATCH($B22, 'Calc-Pivot abvals'!$G$5:$G$17, 0), 1, 1, 4)))*D22-INDEX('INP-Calc EFOR&amp;EUOR - 2019Plan'!$U$11:$Y$34, MATCH($B22, 'INP-Calc EFOR&amp;EUOR - 2019Plan'!$A$11:$A$34), $C22-$A$1+1)-INDEX('INP-Calc EFOR&amp;EUOR - 2019Plan'!$O$11:$S$34, MATCH($B22, 'INP-Calc EFOR&amp;EUOR - 2019Plan'!$A$11:$A$34), $C22-$A$1+1)</f>
        <v>0.90399204545758893</v>
      </c>
      <c r="J22" s="98">
        <f ca="1">1-SUMPRODUCT(D22:I22,OFFSET('Calc-Pivot abvals'!$H$19,MATCH($B22,'Calc-Pivot abvals'!$G$5:$G$17,0),0,1,6))/INDEX('INP-Calc EFOR&amp;EUOR - 2019Plan'!$B$11:$B$34,MATCH($B22,'INP-Calc EFOR&amp;EUOR - 2019Plan'!$A$11:$A$34,0),0)</f>
        <v>7.4000000000000066E-2</v>
      </c>
      <c r="K22" s="193">
        <f>VLOOKUP(B22, 'INP-Calc EFOR&amp;EUOR - 2019Plan'!$A$11:$M$34, AvailableStates!C22-$A$1+9, 0)</f>
        <v>7.3999999999999996E-2</v>
      </c>
      <c r="L22" s="193">
        <f t="shared" ca="1" si="0"/>
        <v>0</v>
      </c>
    </row>
    <row r="23" spans="1:20" x14ac:dyDescent="0.25">
      <c r="A23" s="98">
        <f t="shared" si="1"/>
        <v>5</v>
      </c>
      <c r="B23" s="98" t="str">
        <f>INDEX('Calc-Pivot abvals'!$G$5:$G$17,A23,0)</f>
        <v>GH2</v>
      </c>
      <c r="C23" s="98">
        <f t="shared" si="2"/>
        <v>2018</v>
      </c>
      <c r="D23" s="191">
        <f ca="1">(INDEX('INP-Calc EFOR&amp;EUOR - 2019Plan'!$I$11:$M$34,MATCH($B23,'INP-Calc EFOR&amp;EUOR - 2019Plan'!$A$11:$A$34,0),$C23-$A$1+1)-(INDEX('INP-Calc EFOR&amp;EUOR - 2019Plan'!$O$11:$S$34,MATCH($B23,'INP-Calc EFOR&amp;EUOR - 2019Plan'!$A$11:$A$34,0),$C23-$A$1+1)+INDEX('INP-Calc EFOR&amp;EUOR - 2019Plan'!$U$11:$Y$34,MATCH($B23,'INP-Calc EFOR&amp;EUOR - 2019Plan'!$A$11:$A$34,0),$C23-$A$1+1)))/(1+SUM(OFFSET('Calc-Pivot abvals'!$I$4,MATCH($B23,'Calc-Pivot abvals'!$G$5:$G$17,0),0,1,4))-(INDEX('Calc-Pivot abvals'!$H$20:$H$32,MATCH($B23,'Calc-Pivot abvals'!$G$5:$G$17,0),0)+SUMPRODUCT(OFFSET('Calc-Pivot abvals'!$I$4,MATCH($B23,'Calc-Pivot abvals'!$G$5:$G$17,0),0,1,4),OFFSET('Calc-Pivot abvals'!$I$19,MATCH($B23,'Calc-Pivot abvals'!$G$5:$G$17,0),0,1,4)))/INDEX('INP-Calc EFOR&amp;EUOR - 2019Plan'!$B$11:$B$34,MATCH($B23,'INP-Calc EFOR&amp;EUOR - 2019Plan'!$A$11:$A$34,0),0))</f>
        <v>3.7330306354450122E-3</v>
      </c>
      <c r="E23" s="98">
        <f ca="1">$D23*INDEX('Calc-Pivot abvals'!I$5:I$17,MATCH($B23,'Calc-Pivot abvals'!$G$5:$G$17,0),0)</f>
        <v>2.8421965144902351E-3</v>
      </c>
      <c r="F23" s="98">
        <f ca="1">$D23*INDEX('Calc-Pivot abvals'!J$5:J$17,MATCH($B23,'Calc-Pivot abvals'!$G$5:$G$17,0),0)</f>
        <v>3.4031500186452047E-2</v>
      </c>
      <c r="G23" s="98">
        <f ca="1">$D23*INDEX('Calc-Pivot abvals'!K$5:K$17,MATCH($B23,'Calc-Pivot abvals'!$G$5:$G$17,0),0)</f>
        <v>1.9303732729436258E-2</v>
      </c>
      <c r="H23" s="98">
        <f ca="1">$D23*INDEX('Calc-Pivot abvals'!L$5:L$17,MATCH($B23,'Calc-Pivot abvals'!$G$5:$G$17,0),0)</f>
        <v>1.2942488701206815E-3</v>
      </c>
      <c r="I23" s="192">
        <f ca="1">1-(1+SUM(OFFSET('Calc-Pivot abvals'!$H$4, MATCH($B23, 'Calc-Pivot abvals'!$G$5:$G$17, 0), 1, 1, 4)))*D23-INDEX('INP-Calc EFOR&amp;EUOR - 2019Plan'!$U$11:$Y$34, MATCH($B23, 'INP-Calc EFOR&amp;EUOR - 2019Plan'!$A$11:$A$34), $C23-$A$1+1)-INDEX('INP-Calc EFOR&amp;EUOR - 2019Plan'!$O$11:$S$34, MATCH($B23, 'INP-Calc EFOR&amp;EUOR - 2019Plan'!$A$11:$A$34), $C23-$A$1+1)</f>
        <v>0.88239909134511818</v>
      </c>
      <c r="J23" s="98">
        <f ca="1">1-SUMPRODUCT(D23:I23,OFFSET('Calc-Pivot abvals'!$H$19,MATCH($B23,'Calc-Pivot abvals'!$G$5:$G$17,0),0,1,6))/INDEX('INP-Calc EFOR&amp;EUOR - 2019Plan'!$B$11:$B$34,MATCH($B23,'INP-Calc EFOR&amp;EUOR - 2019Plan'!$A$11:$A$34,0),0)</f>
        <v>7.4000000000000066E-2</v>
      </c>
      <c r="K23" s="193">
        <f>VLOOKUP(B23, 'INP-Calc EFOR&amp;EUOR - 2019Plan'!$A$11:$M$34, AvailableStates!C23-$A$1+9, 0)</f>
        <v>7.3999999999999996E-2</v>
      </c>
      <c r="L23" s="193">
        <f t="shared" ca="1" si="0"/>
        <v>0</v>
      </c>
    </row>
    <row r="24" spans="1:20" x14ac:dyDescent="0.25">
      <c r="A24" s="98">
        <f t="shared" si="1"/>
        <v>5</v>
      </c>
      <c r="B24" s="98" t="str">
        <f>INDEX('Calc-Pivot abvals'!$G$5:$G$17,A24,0)</f>
        <v>GH2</v>
      </c>
      <c r="C24" s="98">
        <f t="shared" si="2"/>
        <v>2019</v>
      </c>
      <c r="D24" s="191">
        <f ca="1">(INDEX('INP-Calc EFOR&amp;EUOR - 2019Plan'!$I$11:$M$34,MATCH($B24,'INP-Calc EFOR&amp;EUOR - 2019Plan'!$A$11:$A$34,0),$C24-$A$1+1)-(INDEX('INP-Calc EFOR&amp;EUOR - 2019Plan'!$O$11:$S$34,MATCH($B24,'INP-Calc EFOR&amp;EUOR - 2019Plan'!$A$11:$A$34,0),$C24-$A$1+1)+INDEX('INP-Calc EFOR&amp;EUOR - 2019Plan'!$U$11:$Y$34,MATCH($B24,'INP-Calc EFOR&amp;EUOR - 2019Plan'!$A$11:$A$34,0),$C24-$A$1+1)))/(1+SUM(OFFSET('Calc-Pivot abvals'!$I$4,MATCH($B24,'Calc-Pivot abvals'!$G$5:$G$17,0),0,1,4))-(INDEX('Calc-Pivot abvals'!$H$20:$H$32,MATCH($B24,'Calc-Pivot abvals'!$G$5:$G$17,0),0)+SUMPRODUCT(OFFSET('Calc-Pivot abvals'!$I$4,MATCH($B24,'Calc-Pivot abvals'!$G$5:$G$17,0),0,1,4),OFFSET('Calc-Pivot abvals'!$I$19,MATCH($B24,'Calc-Pivot abvals'!$G$5:$G$17,0),0,1,4)))/INDEX('INP-Calc EFOR&amp;EUOR - 2019Plan'!$B$11:$B$34,MATCH($B24,'INP-Calc EFOR&amp;EUOR - 2019Plan'!$A$11:$A$34,0),0))</f>
        <v>3.7330306354450122E-3</v>
      </c>
      <c r="E24" s="98">
        <f ca="1">$D24*INDEX('Calc-Pivot abvals'!I$5:I$17,MATCH($B24,'Calc-Pivot abvals'!$G$5:$G$17,0),0)</f>
        <v>2.8421965144902351E-3</v>
      </c>
      <c r="F24" s="98">
        <f ca="1">$D24*INDEX('Calc-Pivot abvals'!J$5:J$17,MATCH($B24,'Calc-Pivot abvals'!$G$5:$G$17,0),0)</f>
        <v>3.4031500186452047E-2</v>
      </c>
      <c r="G24" s="98">
        <f ca="1">$D24*INDEX('Calc-Pivot abvals'!K$5:K$17,MATCH($B24,'Calc-Pivot abvals'!$G$5:$G$17,0),0)</f>
        <v>1.9303732729436258E-2</v>
      </c>
      <c r="H24" s="98">
        <f ca="1">$D24*INDEX('Calc-Pivot abvals'!L$5:L$17,MATCH($B24,'Calc-Pivot abvals'!$G$5:$G$17,0),0)</f>
        <v>1.2942488701206815E-3</v>
      </c>
      <c r="I24" s="192">
        <f ca="1">1-(1+SUM(OFFSET('Calc-Pivot abvals'!$H$4, MATCH($B24, 'Calc-Pivot abvals'!$G$5:$G$17, 0), 1, 1, 4)))*D24-INDEX('INP-Calc EFOR&amp;EUOR - 2019Plan'!$U$11:$Y$34, MATCH($B24, 'INP-Calc EFOR&amp;EUOR - 2019Plan'!$A$11:$A$34), $C24-$A$1+1)-INDEX('INP-Calc EFOR&amp;EUOR - 2019Plan'!$O$11:$S$34, MATCH($B24, 'INP-Calc EFOR&amp;EUOR - 2019Plan'!$A$11:$A$34), $C24-$A$1+1)</f>
        <v>0.88239909134511818</v>
      </c>
      <c r="J24" s="98">
        <f ca="1">1-SUMPRODUCT(D24:I24,OFFSET('Calc-Pivot abvals'!$H$19,MATCH($B24,'Calc-Pivot abvals'!$G$5:$G$17,0),0,1,6))/INDEX('INP-Calc EFOR&amp;EUOR - 2019Plan'!$B$11:$B$34,MATCH($B24,'INP-Calc EFOR&amp;EUOR - 2019Plan'!$A$11:$A$34,0),0)</f>
        <v>7.4000000000000066E-2</v>
      </c>
      <c r="K24" s="193">
        <f>VLOOKUP(B24, 'INP-Calc EFOR&amp;EUOR - 2019Plan'!$A$11:$M$34, AvailableStates!C24-$A$1+9, 0)</f>
        <v>7.3999999999999996E-2</v>
      </c>
      <c r="L24" s="193">
        <f t="shared" ca="1" si="0"/>
        <v>0</v>
      </c>
    </row>
    <row r="25" spans="1:20" x14ac:dyDescent="0.25">
      <c r="A25" s="98">
        <f t="shared" si="1"/>
        <v>5</v>
      </c>
      <c r="B25" s="98" t="str">
        <f>INDEX('Calc-Pivot abvals'!$G$5:$G$17,A25,0)</f>
        <v>GH2</v>
      </c>
      <c r="C25" s="98">
        <f t="shared" si="2"/>
        <v>2020</v>
      </c>
      <c r="D25" s="191">
        <f ca="1">(INDEX('INP-Calc EFOR&amp;EUOR - 2019Plan'!$I$11:$M$34,MATCH($B25,'INP-Calc EFOR&amp;EUOR - 2019Plan'!$A$11:$A$34,0),$C25-$A$1+1)-(INDEX('INP-Calc EFOR&amp;EUOR - 2019Plan'!$O$11:$S$34,MATCH($B25,'INP-Calc EFOR&amp;EUOR - 2019Plan'!$A$11:$A$34,0),$C25-$A$1+1)+INDEX('INP-Calc EFOR&amp;EUOR - 2019Plan'!$U$11:$Y$34,MATCH($B25,'INP-Calc EFOR&amp;EUOR - 2019Plan'!$A$11:$A$34,0),$C25-$A$1+1)))/(1+SUM(OFFSET('Calc-Pivot abvals'!$I$4,MATCH($B25,'Calc-Pivot abvals'!$G$5:$G$17,0),0,1,4))-(INDEX('Calc-Pivot abvals'!$H$20:$H$32,MATCH($B25,'Calc-Pivot abvals'!$G$5:$G$17,0),0)+SUMPRODUCT(OFFSET('Calc-Pivot abvals'!$I$4,MATCH($B25,'Calc-Pivot abvals'!$G$5:$G$17,0),0,1,4),OFFSET('Calc-Pivot abvals'!$I$19,MATCH($B25,'Calc-Pivot abvals'!$G$5:$G$17,0),0,1,4)))/INDEX('INP-Calc EFOR&amp;EUOR - 2019Plan'!$B$11:$B$34,MATCH($B25,'INP-Calc EFOR&amp;EUOR - 2019Plan'!$A$11:$A$34,0),0))</f>
        <v>3.7330306354450122E-3</v>
      </c>
      <c r="E25" s="98">
        <f ca="1">$D25*INDEX('Calc-Pivot abvals'!I$5:I$17,MATCH($B25,'Calc-Pivot abvals'!$G$5:$G$17,0),0)</f>
        <v>2.8421965144902351E-3</v>
      </c>
      <c r="F25" s="98">
        <f ca="1">$D25*INDEX('Calc-Pivot abvals'!J$5:J$17,MATCH($B25,'Calc-Pivot abvals'!$G$5:$G$17,0),0)</f>
        <v>3.4031500186452047E-2</v>
      </c>
      <c r="G25" s="98">
        <f ca="1">$D25*INDEX('Calc-Pivot abvals'!K$5:K$17,MATCH($B25,'Calc-Pivot abvals'!$G$5:$G$17,0),0)</f>
        <v>1.9303732729436258E-2</v>
      </c>
      <c r="H25" s="98">
        <f ca="1">$D25*INDEX('Calc-Pivot abvals'!L$5:L$17,MATCH($B25,'Calc-Pivot abvals'!$G$5:$G$17,0),0)</f>
        <v>1.2942488701206815E-3</v>
      </c>
      <c r="I25" s="192">
        <f ca="1">1-(1+SUM(OFFSET('Calc-Pivot abvals'!$H$4, MATCH($B25, 'Calc-Pivot abvals'!$G$5:$G$17, 0), 1, 1, 4)))*D25-INDEX('INP-Calc EFOR&amp;EUOR - 2019Plan'!$U$11:$Y$34, MATCH($B25, 'INP-Calc EFOR&amp;EUOR - 2019Plan'!$A$11:$A$34), $C25-$A$1+1)-INDEX('INP-Calc EFOR&amp;EUOR - 2019Plan'!$O$11:$S$34, MATCH($B25, 'INP-Calc EFOR&amp;EUOR - 2019Plan'!$A$11:$A$34), $C25-$A$1+1)</f>
        <v>0.88239909134511818</v>
      </c>
      <c r="J25" s="98">
        <f ca="1">1-SUMPRODUCT(D25:I25,OFFSET('Calc-Pivot abvals'!$H$19,MATCH($B25,'Calc-Pivot abvals'!$G$5:$G$17,0),0,1,6))/INDEX('INP-Calc EFOR&amp;EUOR - 2019Plan'!$B$11:$B$34,MATCH($B25,'INP-Calc EFOR&amp;EUOR - 2019Plan'!$A$11:$A$34,0),0)</f>
        <v>7.4000000000000066E-2</v>
      </c>
      <c r="K25" s="193">
        <f>VLOOKUP(B25, 'INP-Calc EFOR&amp;EUOR - 2019Plan'!$A$11:$M$34, AvailableStates!C25-$A$1+9, 0)</f>
        <v>7.3999999999999996E-2</v>
      </c>
      <c r="L25" s="193">
        <f t="shared" ca="1" si="0"/>
        <v>0</v>
      </c>
    </row>
    <row r="26" spans="1:20" x14ac:dyDescent="0.25">
      <c r="A26" s="98">
        <f t="shared" si="1"/>
        <v>5</v>
      </c>
      <c r="B26" s="98" t="str">
        <f>INDEX('Calc-Pivot abvals'!$G$5:$G$17,A26,0)</f>
        <v>GH2</v>
      </c>
      <c r="C26" s="98">
        <f t="shared" si="2"/>
        <v>2021</v>
      </c>
      <c r="D26" s="191">
        <f ca="1">(INDEX('INP-Calc EFOR&amp;EUOR - 2019Plan'!$I$11:$M$34,MATCH($B26,'INP-Calc EFOR&amp;EUOR - 2019Plan'!$A$11:$A$34,0),$C26-$A$1+1)-(INDEX('INP-Calc EFOR&amp;EUOR - 2019Plan'!$O$11:$S$34,MATCH($B26,'INP-Calc EFOR&amp;EUOR - 2019Plan'!$A$11:$A$34,0),$C26-$A$1+1)+INDEX('INP-Calc EFOR&amp;EUOR - 2019Plan'!$U$11:$Y$34,MATCH($B26,'INP-Calc EFOR&amp;EUOR - 2019Plan'!$A$11:$A$34,0),$C26-$A$1+1)))/(1+SUM(OFFSET('Calc-Pivot abvals'!$I$4,MATCH($B26,'Calc-Pivot abvals'!$G$5:$G$17,0),0,1,4))-(INDEX('Calc-Pivot abvals'!$H$20:$H$32,MATCH($B26,'Calc-Pivot abvals'!$G$5:$G$17,0),0)+SUMPRODUCT(OFFSET('Calc-Pivot abvals'!$I$4,MATCH($B26,'Calc-Pivot abvals'!$G$5:$G$17,0),0,1,4),OFFSET('Calc-Pivot abvals'!$I$19,MATCH($B26,'Calc-Pivot abvals'!$G$5:$G$17,0),0,1,4)))/INDEX('INP-Calc EFOR&amp;EUOR - 2019Plan'!$B$11:$B$34,MATCH($B26,'INP-Calc EFOR&amp;EUOR - 2019Plan'!$A$11:$A$34,0),0))</f>
        <v>3.7330306354450122E-3</v>
      </c>
      <c r="E26" s="98">
        <f ca="1">$D26*INDEX('Calc-Pivot abvals'!I$5:I$17,MATCH($B26,'Calc-Pivot abvals'!$G$5:$G$17,0),0)</f>
        <v>2.8421965144902351E-3</v>
      </c>
      <c r="F26" s="98">
        <f ca="1">$D26*INDEX('Calc-Pivot abvals'!J$5:J$17,MATCH($B26,'Calc-Pivot abvals'!$G$5:$G$17,0),0)</f>
        <v>3.4031500186452047E-2</v>
      </c>
      <c r="G26" s="98">
        <f ca="1">$D26*INDEX('Calc-Pivot abvals'!K$5:K$17,MATCH($B26,'Calc-Pivot abvals'!$G$5:$G$17,0),0)</f>
        <v>1.9303732729436258E-2</v>
      </c>
      <c r="H26" s="98">
        <f ca="1">$D26*INDEX('Calc-Pivot abvals'!L$5:L$17,MATCH($B26,'Calc-Pivot abvals'!$G$5:$G$17,0),0)</f>
        <v>1.2942488701206815E-3</v>
      </c>
      <c r="I26" s="192">
        <f ca="1">1-(1+SUM(OFFSET('Calc-Pivot abvals'!$H$4, MATCH($B26, 'Calc-Pivot abvals'!$G$5:$G$17, 0), 1, 1, 4)))*D26-INDEX('INP-Calc EFOR&amp;EUOR - 2019Plan'!$U$11:$Y$34, MATCH($B26, 'INP-Calc EFOR&amp;EUOR - 2019Plan'!$A$11:$A$34), $C26-$A$1+1)-INDEX('INP-Calc EFOR&amp;EUOR - 2019Plan'!$O$11:$S$34, MATCH($B26, 'INP-Calc EFOR&amp;EUOR - 2019Plan'!$A$11:$A$34), $C26-$A$1+1)</f>
        <v>0.88239909134511818</v>
      </c>
      <c r="J26" s="98">
        <f ca="1">1-SUMPRODUCT(D26:I26,OFFSET('Calc-Pivot abvals'!$H$19,MATCH($B26,'Calc-Pivot abvals'!$G$5:$G$17,0),0,1,6))/INDEX('INP-Calc EFOR&amp;EUOR - 2019Plan'!$B$11:$B$34,MATCH($B26,'INP-Calc EFOR&amp;EUOR - 2019Plan'!$A$11:$A$34,0),0)</f>
        <v>7.4000000000000066E-2</v>
      </c>
      <c r="K26" s="193">
        <f>VLOOKUP(B26, 'INP-Calc EFOR&amp;EUOR - 2019Plan'!$A$11:$M$34, AvailableStates!C26-$A$1+9, 0)</f>
        <v>7.3999999999999996E-2</v>
      </c>
      <c r="L26" s="193">
        <f t="shared" ca="1" si="0"/>
        <v>0</v>
      </c>
    </row>
    <row r="27" spans="1:20" x14ac:dyDescent="0.25">
      <c r="A27" s="98">
        <f t="shared" si="1"/>
        <v>5</v>
      </c>
      <c r="B27" s="98" t="str">
        <f>INDEX('Calc-Pivot abvals'!$G$5:$G$17,A27,0)</f>
        <v>GH2</v>
      </c>
      <c r="C27" s="98">
        <f t="shared" si="2"/>
        <v>2022</v>
      </c>
      <c r="D27" s="191">
        <f ca="1">(INDEX('INP-Calc EFOR&amp;EUOR - 2019Plan'!$I$11:$M$34,MATCH($B27,'INP-Calc EFOR&amp;EUOR - 2019Plan'!$A$11:$A$34,0),$C27-$A$1+1)-(INDEX('INP-Calc EFOR&amp;EUOR - 2019Plan'!$O$11:$S$34,MATCH($B27,'INP-Calc EFOR&amp;EUOR - 2019Plan'!$A$11:$A$34,0),$C27-$A$1+1)+INDEX('INP-Calc EFOR&amp;EUOR - 2019Plan'!$U$11:$Y$34,MATCH($B27,'INP-Calc EFOR&amp;EUOR - 2019Plan'!$A$11:$A$34,0),$C27-$A$1+1)))/(1+SUM(OFFSET('Calc-Pivot abvals'!$I$4,MATCH($B27,'Calc-Pivot abvals'!$G$5:$G$17,0),0,1,4))-(INDEX('Calc-Pivot abvals'!$H$20:$H$32,MATCH($B27,'Calc-Pivot abvals'!$G$5:$G$17,0),0)+SUMPRODUCT(OFFSET('Calc-Pivot abvals'!$I$4,MATCH($B27,'Calc-Pivot abvals'!$G$5:$G$17,0),0,1,4),OFFSET('Calc-Pivot abvals'!$I$19,MATCH($B27,'Calc-Pivot abvals'!$G$5:$G$17,0),0,1,4)))/INDEX('INP-Calc EFOR&amp;EUOR - 2019Plan'!$B$11:$B$34,MATCH($B27,'INP-Calc EFOR&amp;EUOR - 2019Plan'!$A$11:$A$34,0),0))</f>
        <v>3.7330306354450122E-3</v>
      </c>
      <c r="E27" s="98">
        <f ca="1">$D27*INDEX('Calc-Pivot abvals'!I$5:I$17,MATCH($B27,'Calc-Pivot abvals'!$G$5:$G$17,0),0)</f>
        <v>2.8421965144902351E-3</v>
      </c>
      <c r="F27" s="98">
        <f ca="1">$D27*INDEX('Calc-Pivot abvals'!J$5:J$17,MATCH($B27,'Calc-Pivot abvals'!$G$5:$G$17,0),0)</f>
        <v>3.4031500186452047E-2</v>
      </c>
      <c r="G27" s="98">
        <f ca="1">$D27*INDEX('Calc-Pivot abvals'!K$5:K$17,MATCH($B27,'Calc-Pivot abvals'!$G$5:$G$17,0),0)</f>
        <v>1.9303732729436258E-2</v>
      </c>
      <c r="H27" s="98">
        <f ca="1">$D27*INDEX('Calc-Pivot abvals'!L$5:L$17,MATCH($B27,'Calc-Pivot abvals'!$G$5:$G$17,0),0)</f>
        <v>1.2942488701206815E-3</v>
      </c>
      <c r="I27" s="192">
        <f ca="1">1-(1+SUM(OFFSET('Calc-Pivot abvals'!$H$4, MATCH($B27, 'Calc-Pivot abvals'!$G$5:$G$17, 0), 1, 1, 4)))*D27-INDEX('INP-Calc EFOR&amp;EUOR - 2019Plan'!$U$11:$Y$34, MATCH($B27, 'INP-Calc EFOR&amp;EUOR - 2019Plan'!$A$11:$A$34), $C27-$A$1+1)-INDEX('INP-Calc EFOR&amp;EUOR - 2019Plan'!$O$11:$S$34, MATCH($B27, 'INP-Calc EFOR&amp;EUOR - 2019Plan'!$A$11:$A$34), $C27-$A$1+1)</f>
        <v>0.88239909134511818</v>
      </c>
      <c r="J27" s="98">
        <f ca="1">1-SUMPRODUCT(D27:I27,OFFSET('Calc-Pivot abvals'!$H$19,MATCH($B27,'Calc-Pivot abvals'!$G$5:$G$17,0),0,1,6))/INDEX('INP-Calc EFOR&amp;EUOR - 2019Plan'!$B$11:$B$34,MATCH($B27,'INP-Calc EFOR&amp;EUOR - 2019Plan'!$A$11:$A$34,0),0)</f>
        <v>7.4000000000000066E-2</v>
      </c>
      <c r="K27" s="193">
        <f>VLOOKUP(B27, 'INP-Calc EFOR&amp;EUOR - 2019Plan'!$A$11:$M$34, AvailableStates!C27-$A$1+9, 0)</f>
        <v>7.3999999999999996E-2</v>
      </c>
      <c r="L27" s="193">
        <f t="shared" ca="1" si="0"/>
        <v>0</v>
      </c>
    </row>
    <row r="28" spans="1:20" x14ac:dyDescent="0.25">
      <c r="A28" s="98">
        <f t="shared" si="1"/>
        <v>6</v>
      </c>
      <c r="B28" s="98" t="str">
        <f>INDEX('Calc-Pivot abvals'!$G$5:$G$17,A28,0)</f>
        <v>GH3</v>
      </c>
      <c r="C28" s="98">
        <f t="shared" si="2"/>
        <v>2018</v>
      </c>
      <c r="D28" s="191">
        <f ca="1">(INDEX('INP-Calc EFOR&amp;EUOR - 2019Plan'!$I$11:$M$34,MATCH($B28,'INP-Calc EFOR&amp;EUOR - 2019Plan'!$A$11:$A$34,0),$C28-$A$1+1)-(INDEX('INP-Calc EFOR&amp;EUOR - 2019Plan'!$O$11:$S$34,MATCH($B28,'INP-Calc EFOR&amp;EUOR - 2019Plan'!$A$11:$A$34,0),$C28-$A$1+1)+INDEX('INP-Calc EFOR&amp;EUOR - 2019Plan'!$U$11:$Y$34,MATCH($B28,'INP-Calc EFOR&amp;EUOR - 2019Plan'!$A$11:$A$34,0),$C28-$A$1+1)))/(1+SUM(OFFSET('Calc-Pivot abvals'!$I$4,MATCH($B28,'Calc-Pivot abvals'!$G$5:$G$17,0),0,1,4))-(INDEX('Calc-Pivot abvals'!$H$20:$H$32,MATCH($B28,'Calc-Pivot abvals'!$G$5:$G$17,0),0)+SUMPRODUCT(OFFSET('Calc-Pivot abvals'!$I$4,MATCH($B28,'Calc-Pivot abvals'!$G$5:$G$17,0),0,1,4),OFFSET('Calc-Pivot abvals'!$I$19,MATCH($B28,'Calc-Pivot abvals'!$G$5:$G$17,0),0,1,4)))/INDEX('INP-Calc EFOR&amp;EUOR - 2019Plan'!$B$11:$B$34,MATCH($B28,'INP-Calc EFOR&amp;EUOR - 2019Plan'!$A$11:$A$34,0),0))</f>
        <v>1.5403078914806136E-3</v>
      </c>
      <c r="E28" s="98">
        <f ca="1">$D28*INDEX('Calc-Pivot abvals'!I$5:I$17,MATCH($B28,'Calc-Pivot abvals'!$G$5:$G$17,0),0)</f>
        <v>1.3053122003473402E-3</v>
      </c>
      <c r="F28" s="98">
        <f ca="1">$D28*INDEX('Calc-Pivot abvals'!J$5:J$17,MATCH($B28,'Calc-Pivot abvals'!$G$5:$G$17,0),0)</f>
        <v>8.0036767746342729E-3</v>
      </c>
      <c r="G28" s="98">
        <f ca="1">$D28*INDEX('Calc-Pivot abvals'!K$5:K$17,MATCH($B28,'Calc-Pivot abvals'!$G$5:$G$17,0),0)</f>
        <v>6.1657734994903526E-2</v>
      </c>
      <c r="H28" s="98">
        <f ca="1">$D28*INDEX('Calc-Pivot abvals'!L$5:L$17,MATCH($B28,'Calc-Pivot abvals'!$G$5:$G$17,0),0)</f>
        <v>3.9719702375000818E-2</v>
      </c>
      <c r="I28" s="192">
        <f ca="1">1-(1+SUM(OFFSET('Calc-Pivot abvals'!$H$4, MATCH($B28, 'Calc-Pivot abvals'!$G$5:$G$17, 0), 1, 1, 4)))*D28-INDEX('INP-Calc EFOR&amp;EUOR - 2019Plan'!$U$11:$Y$34, MATCH($B28, 'INP-Calc EFOR&amp;EUOR - 2019Plan'!$A$11:$A$34), $C28-$A$1+1)-INDEX('INP-Calc EFOR&amp;EUOR - 2019Plan'!$O$11:$S$34, MATCH($B28, 'INP-Calc EFOR&amp;EUOR - 2019Plan'!$A$11:$A$34), $C28-$A$1+1)</f>
        <v>0.83137706604469586</v>
      </c>
      <c r="J28" s="98">
        <f ca="1">1-SUMPRODUCT(D28:I28,OFFSET('Calc-Pivot abvals'!$H$19,MATCH($B28,'Calc-Pivot abvals'!$G$5:$G$17,0),0,1,6))/INDEX('INP-Calc EFOR&amp;EUOR - 2019Plan'!$B$11:$B$34,MATCH($B28,'INP-Calc EFOR&amp;EUOR - 2019Plan'!$A$11:$A$34,0),0)</f>
        <v>7.4000000000000066E-2</v>
      </c>
      <c r="K28" s="193">
        <f>VLOOKUP(B28, 'INP-Calc EFOR&amp;EUOR - 2019Plan'!$A$11:$M$34, AvailableStates!C28-$A$1+9, 0)</f>
        <v>7.3999999999999996E-2</v>
      </c>
      <c r="L28" s="193">
        <f t="shared" ca="1" si="0"/>
        <v>0</v>
      </c>
    </row>
    <row r="29" spans="1:20" x14ac:dyDescent="0.25">
      <c r="A29" s="98">
        <f t="shared" si="1"/>
        <v>6</v>
      </c>
      <c r="B29" s="98" t="str">
        <f>INDEX('Calc-Pivot abvals'!$G$5:$G$17,A29,0)</f>
        <v>GH3</v>
      </c>
      <c r="C29" s="98">
        <f t="shared" si="2"/>
        <v>2019</v>
      </c>
      <c r="D29" s="191">
        <f ca="1">(INDEX('INP-Calc EFOR&amp;EUOR - 2019Plan'!$I$11:$M$34,MATCH($B29,'INP-Calc EFOR&amp;EUOR - 2019Plan'!$A$11:$A$34,0),$C29-$A$1+1)-(INDEX('INP-Calc EFOR&amp;EUOR - 2019Plan'!$O$11:$S$34,MATCH($B29,'INP-Calc EFOR&amp;EUOR - 2019Plan'!$A$11:$A$34,0),$C29-$A$1+1)+INDEX('INP-Calc EFOR&amp;EUOR - 2019Plan'!$U$11:$Y$34,MATCH($B29,'INP-Calc EFOR&amp;EUOR - 2019Plan'!$A$11:$A$34,0),$C29-$A$1+1)))/(1+SUM(OFFSET('Calc-Pivot abvals'!$I$4,MATCH($B29,'Calc-Pivot abvals'!$G$5:$G$17,0),0,1,4))-(INDEX('Calc-Pivot abvals'!$H$20:$H$32,MATCH($B29,'Calc-Pivot abvals'!$G$5:$G$17,0),0)+SUMPRODUCT(OFFSET('Calc-Pivot abvals'!$I$4,MATCH($B29,'Calc-Pivot abvals'!$G$5:$G$17,0),0,1,4),OFFSET('Calc-Pivot abvals'!$I$19,MATCH($B29,'Calc-Pivot abvals'!$G$5:$G$17,0),0,1,4)))/INDEX('INP-Calc EFOR&amp;EUOR - 2019Plan'!$B$11:$B$34,MATCH($B29,'INP-Calc EFOR&amp;EUOR - 2019Plan'!$A$11:$A$34,0),0))</f>
        <v>1.5403078914806136E-3</v>
      </c>
      <c r="E29" s="98">
        <f ca="1">$D29*INDEX('Calc-Pivot abvals'!I$5:I$17,MATCH($B29,'Calc-Pivot abvals'!$G$5:$G$17,0),0)</f>
        <v>1.3053122003473402E-3</v>
      </c>
      <c r="F29" s="98">
        <f ca="1">$D29*INDEX('Calc-Pivot abvals'!J$5:J$17,MATCH($B29,'Calc-Pivot abvals'!$G$5:$G$17,0),0)</f>
        <v>8.0036767746342729E-3</v>
      </c>
      <c r="G29" s="98">
        <f ca="1">$D29*INDEX('Calc-Pivot abvals'!K$5:K$17,MATCH($B29,'Calc-Pivot abvals'!$G$5:$G$17,0),0)</f>
        <v>6.1657734994903526E-2</v>
      </c>
      <c r="H29" s="98">
        <f ca="1">$D29*INDEX('Calc-Pivot abvals'!L$5:L$17,MATCH($B29,'Calc-Pivot abvals'!$G$5:$G$17,0),0)</f>
        <v>3.9719702375000818E-2</v>
      </c>
      <c r="I29" s="192">
        <f ca="1">1-(1+SUM(OFFSET('Calc-Pivot abvals'!$H$4, MATCH($B29, 'Calc-Pivot abvals'!$G$5:$G$17, 0), 1, 1, 4)))*D29-INDEX('INP-Calc EFOR&amp;EUOR - 2019Plan'!$U$11:$Y$34, MATCH($B29, 'INP-Calc EFOR&amp;EUOR - 2019Plan'!$A$11:$A$34), $C29-$A$1+1)-INDEX('INP-Calc EFOR&amp;EUOR - 2019Plan'!$O$11:$S$34, MATCH($B29, 'INP-Calc EFOR&amp;EUOR - 2019Plan'!$A$11:$A$34), $C29-$A$1+1)</f>
        <v>0.83137706604469586</v>
      </c>
      <c r="J29" s="98">
        <f ca="1">1-SUMPRODUCT(D29:I29,OFFSET('Calc-Pivot abvals'!$H$19,MATCH($B29,'Calc-Pivot abvals'!$G$5:$G$17,0),0,1,6))/INDEX('INP-Calc EFOR&amp;EUOR - 2019Plan'!$B$11:$B$34,MATCH($B29,'INP-Calc EFOR&amp;EUOR - 2019Plan'!$A$11:$A$34,0),0)</f>
        <v>7.4000000000000066E-2</v>
      </c>
      <c r="K29" s="193">
        <f>VLOOKUP(B29, 'INP-Calc EFOR&amp;EUOR - 2019Plan'!$A$11:$M$34, AvailableStates!C29-$A$1+9, 0)</f>
        <v>7.3999999999999996E-2</v>
      </c>
      <c r="L29" s="193">
        <f t="shared" ca="1" si="0"/>
        <v>0</v>
      </c>
    </row>
    <row r="30" spans="1:20" x14ac:dyDescent="0.25">
      <c r="A30" s="98">
        <f t="shared" si="1"/>
        <v>6</v>
      </c>
      <c r="B30" s="98" t="str">
        <f>INDEX('Calc-Pivot abvals'!$G$5:$G$17,A30,0)</f>
        <v>GH3</v>
      </c>
      <c r="C30" s="98">
        <f t="shared" si="2"/>
        <v>2020</v>
      </c>
      <c r="D30" s="191">
        <f ca="1">(INDEX('INP-Calc EFOR&amp;EUOR - 2019Plan'!$I$11:$M$34,MATCH($B30,'INP-Calc EFOR&amp;EUOR - 2019Plan'!$A$11:$A$34,0),$C30-$A$1+1)-(INDEX('INP-Calc EFOR&amp;EUOR - 2019Plan'!$O$11:$S$34,MATCH($B30,'INP-Calc EFOR&amp;EUOR - 2019Plan'!$A$11:$A$34,0),$C30-$A$1+1)+INDEX('INP-Calc EFOR&amp;EUOR - 2019Plan'!$U$11:$Y$34,MATCH($B30,'INP-Calc EFOR&amp;EUOR - 2019Plan'!$A$11:$A$34,0),$C30-$A$1+1)))/(1+SUM(OFFSET('Calc-Pivot abvals'!$I$4,MATCH($B30,'Calc-Pivot abvals'!$G$5:$G$17,0),0,1,4))-(INDEX('Calc-Pivot abvals'!$H$20:$H$32,MATCH($B30,'Calc-Pivot abvals'!$G$5:$G$17,0),0)+SUMPRODUCT(OFFSET('Calc-Pivot abvals'!$I$4,MATCH($B30,'Calc-Pivot abvals'!$G$5:$G$17,0),0,1,4),OFFSET('Calc-Pivot abvals'!$I$19,MATCH($B30,'Calc-Pivot abvals'!$G$5:$G$17,0),0,1,4)))/INDEX('INP-Calc EFOR&amp;EUOR - 2019Plan'!$B$11:$B$34,MATCH($B30,'INP-Calc EFOR&amp;EUOR - 2019Plan'!$A$11:$A$34,0),0))</f>
        <v>1.5403078914806136E-3</v>
      </c>
      <c r="E30" s="98">
        <f ca="1">$D30*INDEX('Calc-Pivot abvals'!I$5:I$17,MATCH($B30,'Calc-Pivot abvals'!$G$5:$G$17,0),0)</f>
        <v>1.3053122003473402E-3</v>
      </c>
      <c r="F30" s="98">
        <f ca="1">$D30*INDEX('Calc-Pivot abvals'!J$5:J$17,MATCH($B30,'Calc-Pivot abvals'!$G$5:$G$17,0),0)</f>
        <v>8.0036767746342729E-3</v>
      </c>
      <c r="G30" s="98">
        <f ca="1">$D30*INDEX('Calc-Pivot abvals'!K$5:K$17,MATCH($B30,'Calc-Pivot abvals'!$G$5:$G$17,0),0)</f>
        <v>6.1657734994903526E-2</v>
      </c>
      <c r="H30" s="98">
        <f ca="1">$D30*INDEX('Calc-Pivot abvals'!L$5:L$17,MATCH($B30,'Calc-Pivot abvals'!$G$5:$G$17,0),0)</f>
        <v>3.9719702375000818E-2</v>
      </c>
      <c r="I30" s="192">
        <f ca="1">1-(1+SUM(OFFSET('Calc-Pivot abvals'!$H$4, MATCH($B30, 'Calc-Pivot abvals'!$G$5:$G$17, 0), 1, 1, 4)))*D30-INDEX('INP-Calc EFOR&amp;EUOR - 2019Plan'!$U$11:$Y$34, MATCH($B30, 'INP-Calc EFOR&amp;EUOR - 2019Plan'!$A$11:$A$34), $C30-$A$1+1)-INDEX('INP-Calc EFOR&amp;EUOR - 2019Plan'!$O$11:$S$34, MATCH($B30, 'INP-Calc EFOR&amp;EUOR - 2019Plan'!$A$11:$A$34), $C30-$A$1+1)</f>
        <v>0.83137706604469586</v>
      </c>
      <c r="J30" s="98">
        <f ca="1">1-SUMPRODUCT(D30:I30,OFFSET('Calc-Pivot abvals'!$H$19,MATCH($B30,'Calc-Pivot abvals'!$G$5:$G$17,0),0,1,6))/INDEX('INP-Calc EFOR&amp;EUOR - 2019Plan'!$B$11:$B$34,MATCH($B30,'INP-Calc EFOR&amp;EUOR - 2019Plan'!$A$11:$A$34,0),0)</f>
        <v>7.4000000000000066E-2</v>
      </c>
      <c r="K30" s="193">
        <f>VLOOKUP(B30, 'INP-Calc EFOR&amp;EUOR - 2019Plan'!$A$11:$M$34, AvailableStates!C30-$A$1+9, 0)</f>
        <v>7.3999999999999996E-2</v>
      </c>
      <c r="L30" s="193">
        <f t="shared" ca="1" si="0"/>
        <v>0</v>
      </c>
    </row>
    <row r="31" spans="1:20" x14ac:dyDescent="0.25">
      <c r="A31" s="98">
        <f t="shared" si="1"/>
        <v>6</v>
      </c>
      <c r="B31" s="98" t="str">
        <f>INDEX('Calc-Pivot abvals'!$G$5:$G$17,A31,0)</f>
        <v>GH3</v>
      </c>
      <c r="C31" s="98">
        <f t="shared" si="2"/>
        <v>2021</v>
      </c>
      <c r="D31" s="191">
        <f ca="1">(INDEX('INP-Calc EFOR&amp;EUOR - 2019Plan'!$I$11:$M$34,MATCH($B31,'INP-Calc EFOR&amp;EUOR - 2019Plan'!$A$11:$A$34,0),$C31-$A$1+1)-(INDEX('INP-Calc EFOR&amp;EUOR - 2019Plan'!$O$11:$S$34,MATCH($B31,'INP-Calc EFOR&amp;EUOR - 2019Plan'!$A$11:$A$34,0),$C31-$A$1+1)+INDEX('INP-Calc EFOR&amp;EUOR - 2019Plan'!$U$11:$Y$34,MATCH($B31,'INP-Calc EFOR&amp;EUOR - 2019Plan'!$A$11:$A$34,0),$C31-$A$1+1)))/(1+SUM(OFFSET('Calc-Pivot abvals'!$I$4,MATCH($B31,'Calc-Pivot abvals'!$G$5:$G$17,0),0,1,4))-(INDEX('Calc-Pivot abvals'!$H$20:$H$32,MATCH($B31,'Calc-Pivot abvals'!$G$5:$G$17,0),0)+SUMPRODUCT(OFFSET('Calc-Pivot abvals'!$I$4,MATCH($B31,'Calc-Pivot abvals'!$G$5:$G$17,0),0,1,4),OFFSET('Calc-Pivot abvals'!$I$19,MATCH($B31,'Calc-Pivot abvals'!$G$5:$G$17,0),0,1,4)))/INDEX('INP-Calc EFOR&amp;EUOR - 2019Plan'!$B$11:$B$34,MATCH($B31,'INP-Calc EFOR&amp;EUOR - 2019Plan'!$A$11:$A$34,0),0))</f>
        <v>1.5403078914806136E-3</v>
      </c>
      <c r="E31" s="98">
        <f ca="1">$D31*INDEX('Calc-Pivot abvals'!I$5:I$17,MATCH($B31,'Calc-Pivot abvals'!$G$5:$G$17,0),0)</f>
        <v>1.3053122003473402E-3</v>
      </c>
      <c r="F31" s="98">
        <f ca="1">$D31*INDEX('Calc-Pivot abvals'!J$5:J$17,MATCH($B31,'Calc-Pivot abvals'!$G$5:$G$17,0),0)</f>
        <v>8.0036767746342729E-3</v>
      </c>
      <c r="G31" s="98">
        <f ca="1">$D31*INDEX('Calc-Pivot abvals'!K$5:K$17,MATCH($B31,'Calc-Pivot abvals'!$G$5:$G$17,0),0)</f>
        <v>6.1657734994903526E-2</v>
      </c>
      <c r="H31" s="98">
        <f ca="1">$D31*INDEX('Calc-Pivot abvals'!L$5:L$17,MATCH($B31,'Calc-Pivot abvals'!$G$5:$G$17,0),0)</f>
        <v>3.9719702375000818E-2</v>
      </c>
      <c r="I31" s="192">
        <f ca="1">1-(1+SUM(OFFSET('Calc-Pivot abvals'!$H$4, MATCH($B31, 'Calc-Pivot abvals'!$G$5:$G$17, 0), 1, 1, 4)))*D31-INDEX('INP-Calc EFOR&amp;EUOR - 2019Plan'!$U$11:$Y$34, MATCH($B31, 'INP-Calc EFOR&amp;EUOR - 2019Plan'!$A$11:$A$34), $C31-$A$1+1)-INDEX('INP-Calc EFOR&amp;EUOR - 2019Plan'!$O$11:$S$34, MATCH($B31, 'INP-Calc EFOR&amp;EUOR - 2019Plan'!$A$11:$A$34), $C31-$A$1+1)</f>
        <v>0.83137706604469586</v>
      </c>
      <c r="J31" s="98">
        <f ca="1">1-SUMPRODUCT(D31:I31,OFFSET('Calc-Pivot abvals'!$H$19,MATCH($B31,'Calc-Pivot abvals'!$G$5:$G$17,0),0,1,6))/INDEX('INP-Calc EFOR&amp;EUOR - 2019Plan'!$B$11:$B$34,MATCH($B31,'INP-Calc EFOR&amp;EUOR - 2019Plan'!$A$11:$A$34,0),0)</f>
        <v>7.4000000000000066E-2</v>
      </c>
      <c r="K31" s="193">
        <f>VLOOKUP(B31, 'INP-Calc EFOR&amp;EUOR - 2019Plan'!$A$11:$M$34, AvailableStates!C31-$A$1+9, 0)</f>
        <v>7.3999999999999996E-2</v>
      </c>
      <c r="L31" s="193">
        <f t="shared" ca="1" si="0"/>
        <v>0</v>
      </c>
    </row>
    <row r="32" spans="1:20" x14ac:dyDescent="0.25">
      <c r="A32" s="98">
        <f t="shared" si="1"/>
        <v>6</v>
      </c>
      <c r="B32" s="98" t="str">
        <f>INDEX('Calc-Pivot abvals'!$G$5:$G$17,A32,0)</f>
        <v>GH3</v>
      </c>
      <c r="C32" s="98">
        <f t="shared" si="2"/>
        <v>2022</v>
      </c>
      <c r="D32" s="191">
        <f ca="1">(INDEX('INP-Calc EFOR&amp;EUOR - 2019Plan'!$I$11:$M$34,MATCH($B32,'INP-Calc EFOR&amp;EUOR - 2019Plan'!$A$11:$A$34,0),$C32-$A$1+1)-(INDEX('INP-Calc EFOR&amp;EUOR - 2019Plan'!$O$11:$S$34,MATCH($B32,'INP-Calc EFOR&amp;EUOR - 2019Plan'!$A$11:$A$34,0),$C32-$A$1+1)+INDEX('INP-Calc EFOR&amp;EUOR - 2019Plan'!$U$11:$Y$34,MATCH($B32,'INP-Calc EFOR&amp;EUOR - 2019Plan'!$A$11:$A$34,0),$C32-$A$1+1)))/(1+SUM(OFFSET('Calc-Pivot abvals'!$I$4,MATCH($B32,'Calc-Pivot abvals'!$G$5:$G$17,0),0,1,4))-(INDEX('Calc-Pivot abvals'!$H$20:$H$32,MATCH($B32,'Calc-Pivot abvals'!$G$5:$G$17,0),0)+SUMPRODUCT(OFFSET('Calc-Pivot abvals'!$I$4,MATCH($B32,'Calc-Pivot abvals'!$G$5:$G$17,0),0,1,4),OFFSET('Calc-Pivot abvals'!$I$19,MATCH($B32,'Calc-Pivot abvals'!$G$5:$G$17,0),0,1,4)))/INDEX('INP-Calc EFOR&amp;EUOR - 2019Plan'!$B$11:$B$34,MATCH($B32,'INP-Calc EFOR&amp;EUOR - 2019Plan'!$A$11:$A$34,0),0))</f>
        <v>1.5403078914806136E-3</v>
      </c>
      <c r="E32" s="98">
        <f ca="1">$D32*INDEX('Calc-Pivot abvals'!I$5:I$17,MATCH($B32,'Calc-Pivot abvals'!$G$5:$G$17,0),0)</f>
        <v>1.3053122003473402E-3</v>
      </c>
      <c r="F32" s="98">
        <f ca="1">$D32*INDEX('Calc-Pivot abvals'!J$5:J$17,MATCH($B32,'Calc-Pivot abvals'!$G$5:$G$17,0),0)</f>
        <v>8.0036767746342729E-3</v>
      </c>
      <c r="G32" s="98">
        <f ca="1">$D32*INDEX('Calc-Pivot abvals'!K$5:K$17,MATCH($B32,'Calc-Pivot abvals'!$G$5:$G$17,0),0)</f>
        <v>6.1657734994903526E-2</v>
      </c>
      <c r="H32" s="98">
        <f ca="1">$D32*INDEX('Calc-Pivot abvals'!L$5:L$17,MATCH($B32,'Calc-Pivot abvals'!$G$5:$G$17,0),0)</f>
        <v>3.9719702375000818E-2</v>
      </c>
      <c r="I32" s="192">
        <f ca="1">1-(1+SUM(OFFSET('Calc-Pivot abvals'!$H$4, MATCH($B32, 'Calc-Pivot abvals'!$G$5:$G$17, 0), 1, 1, 4)))*D32-INDEX('INP-Calc EFOR&amp;EUOR - 2019Plan'!$U$11:$Y$34, MATCH($B32, 'INP-Calc EFOR&amp;EUOR - 2019Plan'!$A$11:$A$34), $C32-$A$1+1)-INDEX('INP-Calc EFOR&amp;EUOR - 2019Plan'!$O$11:$S$34, MATCH($B32, 'INP-Calc EFOR&amp;EUOR - 2019Plan'!$A$11:$A$34), $C32-$A$1+1)</f>
        <v>0.83137706604469586</v>
      </c>
      <c r="J32" s="98">
        <f ca="1">1-SUMPRODUCT(D32:I32,OFFSET('Calc-Pivot abvals'!$H$19,MATCH($B32,'Calc-Pivot abvals'!$G$5:$G$17,0),0,1,6))/INDEX('INP-Calc EFOR&amp;EUOR - 2019Plan'!$B$11:$B$34,MATCH($B32,'INP-Calc EFOR&amp;EUOR - 2019Plan'!$A$11:$A$34,0),0)</f>
        <v>7.4000000000000066E-2</v>
      </c>
      <c r="K32" s="193">
        <f>VLOOKUP(B32, 'INP-Calc EFOR&amp;EUOR - 2019Plan'!$A$11:$M$34, AvailableStates!C32-$A$1+9, 0)</f>
        <v>7.3999999999999996E-2</v>
      </c>
      <c r="L32" s="193">
        <f t="shared" ca="1" si="0"/>
        <v>0</v>
      </c>
    </row>
    <row r="33" spans="1:12" x14ac:dyDescent="0.25">
      <c r="A33" s="98">
        <f t="shared" si="1"/>
        <v>7</v>
      </c>
      <c r="B33" s="98" t="str">
        <f>INDEX('Calc-Pivot abvals'!$G$5:$G$17,A33,0)</f>
        <v>GH4</v>
      </c>
      <c r="C33" s="98">
        <f t="shared" si="2"/>
        <v>2018</v>
      </c>
      <c r="D33" s="191">
        <f ca="1">(INDEX('INP-Calc EFOR&amp;EUOR - 2019Plan'!$I$11:$M$34,MATCH($B33,'INP-Calc EFOR&amp;EUOR - 2019Plan'!$A$11:$A$34,0),$C33-$A$1+1)-(INDEX('INP-Calc EFOR&amp;EUOR - 2019Plan'!$O$11:$S$34,MATCH($B33,'INP-Calc EFOR&amp;EUOR - 2019Plan'!$A$11:$A$34,0),$C33-$A$1+1)+INDEX('INP-Calc EFOR&amp;EUOR - 2019Plan'!$U$11:$Y$34,MATCH($B33,'INP-Calc EFOR&amp;EUOR - 2019Plan'!$A$11:$A$34,0),$C33-$A$1+1)))/(1+SUM(OFFSET('Calc-Pivot abvals'!$I$4,MATCH($B33,'Calc-Pivot abvals'!$G$5:$G$17,0),0,1,4))-(INDEX('Calc-Pivot abvals'!$H$20:$H$32,MATCH($B33,'Calc-Pivot abvals'!$G$5:$G$17,0),0)+SUMPRODUCT(OFFSET('Calc-Pivot abvals'!$I$4,MATCH($B33,'Calc-Pivot abvals'!$G$5:$G$17,0),0,1,4),OFFSET('Calc-Pivot abvals'!$I$19,MATCH($B33,'Calc-Pivot abvals'!$G$5:$G$17,0),0,1,4)))/INDEX('INP-Calc EFOR&amp;EUOR - 2019Plan'!$B$11:$B$34,MATCH($B33,'INP-Calc EFOR&amp;EUOR - 2019Plan'!$A$11:$A$34,0),0))</f>
        <v>1.6900183654554202E-2</v>
      </c>
      <c r="E33" s="98">
        <f ca="1">$D33*INDEX('Calc-Pivot abvals'!I$5:I$17,MATCH($B33,'Calc-Pivot abvals'!$G$5:$G$17,0),0)</f>
        <v>8.583226941407545E-3</v>
      </c>
      <c r="F33" s="98">
        <f ca="1">$D33*INDEX('Calc-Pivot abvals'!J$5:J$17,MATCH($B33,'Calc-Pivot abvals'!$G$5:$G$17,0),0)</f>
        <v>2.119118359941025E-3</v>
      </c>
      <c r="G33" s="98">
        <f ca="1">$D33*INDEX('Calc-Pivot abvals'!K$5:K$17,MATCH($B33,'Calc-Pivot abvals'!$G$5:$G$17,0),0)</f>
        <v>1.7976308033062462E-2</v>
      </c>
      <c r="H33" s="98">
        <f ca="1">$D33*INDEX('Calc-Pivot abvals'!L$5:L$17,MATCH($B33,'Calc-Pivot abvals'!$G$5:$G$17,0),0)</f>
        <v>1.4047288352427485E-2</v>
      </c>
      <c r="I33" s="192">
        <f ca="1">1-(1+SUM(OFFSET('Calc-Pivot abvals'!$H$4, MATCH($B33, 'Calc-Pivot abvals'!$G$5:$G$17, 0), 1, 1, 4)))*D33-INDEX('INP-Calc EFOR&amp;EUOR - 2019Plan'!$U$11:$Y$34, MATCH($B33, 'INP-Calc EFOR&amp;EUOR - 2019Plan'!$A$11:$A$34), $C33-$A$1+1)-INDEX('INP-Calc EFOR&amp;EUOR - 2019Plan'!$O$11:$S$34, MATCH($B33, 'INP-Calc EFOR&amp;EUOR - 2019Plan'!$A$11:$A$34), $C33-$A$1+1)</f>
        <v>0.88397767493966961</v>
      </c>
      <c r="J33" s="98">
        <f ca="1">1-SUMPRODUCT(D33:I33,OFFSET('Calc-Pivot abvals'!$H$19,MATCH($B33,'Calc-Pivot abvals'!$G$5:$G$17,0),0,1,6))/INDEX('INP-Calc EFOR&amp;EUOR - 2019Plan'!$B$11:$B$34,MATCH($B33,'INP-Calc EFOR&amp;EUOR - 2019Plan'!$A$11:$A$34,0),0)</f>
        <v>7.4000000000000177E-2</v>
      </c>
      <c r="K33" s="193">
        <f>VLOOKUP(B33, 'INP-Calc EFOR&amp;EUOR - 2019Plan'!$A$11:$M$34, AvailableStates!C33-$A$1+9, 0)</f>
        <v>7.3999999999999996E-2</v>
      </c>
      <c r="L33" s="193">
        <f t="shared" ca="1" si="0"/>
        <v>1.8041124150158794E-16</v>
      </c>
    </row>
    <row r="34" spans="1:12" x14ac:dyDescent="0.25">
      <c r="A34" s="98">
        <f t="shared" si="1"/>
        <v>7</v>
      </c>
      <c r="B34" s="98" t="str">
        <f>INDEX('Calc-Pivot abvals'!$G$5:$G$17,A34,0)</f>
        <v>GH4</v>
      </c>
      <c r="C34" s="98">
        <f t="shared" si="2"/>
        <v>2019</v>
      </c>
      <c r="D34" s="191">
        <f ca="1">(INDEX('INP-Calc EFOR&amp;EUOR - 2019Plan'!$I$11:$M$34,MATCH($B34,'INP-Calc EFOR&amp;EUOR - 2019Plan'!$A$11:$A$34,0),$C34-$A$1+1)-(INDEX('INP-Calc EFOR&amp;EUOR - 2019Plan'!$O$11:$S$34,MATCH($B34,'INP-Calc EFOR&amp;EUOR - 2019Plan'!$A$11:$A$34,0),$C34-$A$1+1)+INDEX('INP-Calc EFOR&amp;EUOR - 2019Plan'!$U$11:$Y$34,MATCH($B34,'INP-Calc EFOR&amp;EUOR - 2019Plan'!$A$11:$A$34,0),$C34-$A$1+1)))/(1+SUM(OFFSET('Calc-Pivot abvals'!$I$4,MATCH($B34,'Calc-Pivot abvals'!$G$5:$G$17,0),0,1,4))-(INDEX('Calc-Pivot abvals'!$H$20:$H$32,MATCH($B34,'Calc-Pivot abvals'!$G$5:$G$17,0),0)+SUMPRODUCT(OFFSET('Calc-Pivot abvals'!$I$4,MATCH($B34,'Calc-Pivot abvals'!$G$5:$G$17,0),0,1,4),OFFSET('Calc-Pivot abvals'!$I$19,MATCH($B34,'Calc-Pivot abvals'!$G$5:$G$17,0),0,1,4)))/INDEX('INP-Calc EFOR&amp;EUOR - 2019Plan'!$B$11:$B$34,MATCH($B34,'INP-Calc EFOR&amp;EUOR - 2019Plan'!$A$11:$A$34,0),0))</f>
        <v>1.6900183654554202E-2</v>
      </c>
      <c r="E34" s="98">
        <f ca="1">$D34*INDEX('Calc-Pivot abvals'!I$5:I$17,MATCH($B34,'Calc-Pivot abvals'!$G$5:$G$17,0),0)</f>
        <v>8.583226941407545E-3</v>
      </c>
      <c r="F34" s="98">
        <f ca="1">$D34*INDEX('Calc-Pivot abvals'!J$5:J$17,MATCH($B34,'Calc-Pivot abvals'!$G$5:$G$17,0),0)</f>
        <v>2.119118359941025E-3</v>
      </c>
      <c r="G34" s="98">
        <f ca="1">$D34*INDEX('Calc-Pivot abvals'!K$5:K$17,MATCH($B34,'Calc-Pivot abvals'!$G$5:$G$17,0),0)</f>
        <v>1.7976308033062462E-2</v>
      </c>
      <c r="H34" s="98">
        <f ca="1">$D34*INDEX('Calc-Pivot abvals'!L$5:L$17,MATCH($B34,'Calc-Pivot abvals'!$G$5:$G$17,0),0)</f>
        <v>1.4047288352427485E-2</v>
      </c>
      <c r="I34" s="192">
        <f ca="1">1-(1+SUM(OFFSET('Calc-Pivot abvals'!$H$4, MATCH($B34, 'Calc-Pivot abvals'!$G$5:$G$17, 0), 1, 1, 4)))*D34-INDEX('INP-Calc EFOR&amp;EUOR - 2019Plan'!$U$11:$Y$34, MATCH($B34, 'INP-Calc EFOR&amp;EUOR - 2019Plan'!$A$11:$A$34), $C34-$A$1+1)-INDEX('INP-Calc EFOR&amp;EUOR - 2019Plan'!$O$11:$S$34, MATCH($B34, 'INP-Calc EFOR&amp;EUOR - 2019Plan'!$A$11:$A$34), $C34-$A$1+1)</f>
        <v>0.88397767493966961</v>
      </c>
      <c r="J34" s="98">
        <f ca="1">1-SUMPRODUCT(D34:I34,OFFSET('Calc-Pivot abvals'!$H$19,MATCH($B34,'Calc-Pivot abvals'!$G$5:$G$17,0),0,1,6))/INDEX('INP-Calc EFOR&amp;EUOR - 2019Plan'!$B$11:$B$34,MATCH($B34,'INP-Calc EFOR&amp;EUOR - 2019Plan'!$A$11:$A$34,0),0)</f>
        <v>7.4000000000000177E-2</v>
      </c>
      <c r="K34" s="193">
        <f>VLOOKUP(B34, 'INP-Calc EFOR&amp;EUOR - 2019Plan'!$A$11:$M$34, AvailableStates!C34-$A$1+9, 0)</f>
        <v>7.3999999999999996E-2</v>
      </c>
      <c r="L34" s="193">
        <f t="shared" ca="1" si="0"/>
        <v>1.8041124150158794E-16</v>
      </c>
    </row>
    <row r="35" spans="1:12" x14ac:dyDescent="0.25">
      <c r="A35" s="98">
        <f t="shared" si="1"/>
        <v>7</v>
      </c>
      <c r="B35" s="98" t="str">
        <f>INDEX('Calc-Pivot abvals'!$G$5:$G$17,A35,0)</f>
        <v>GH4</v>
      </c>
      <c r="C35" s="98">
        <f t="shared" si="2"/>
        <v>2020</v>
      </c>
      <c r="D35" s="191">
        <f ca="1">(INDEX('INP-Calc EFOR&amp;EUOR - 2019Plan'!$I$11:$M$34,MATCH($B35,'INP-Calc EFOR&amp;EUOR - 2019Plan'!$A$11:$A$34,0),$C35-$A$1+1)-(INDEX('INP-Calc EFOR&amp;EUOR - 2019Plan'!$O$11:$S$34,MATCH($B35,'INP-Calc EFOR&amp;EUOR - 2019Plan'!$A$11:$A$34,0),$C35-$A$1+1)+INDEX('INP-Calc EFOR&amp;EUOR - 2019Plan'!$U$11:$Y$34,MATCH($B35,'INP-Calc EFOR&amp;EUOR - 2019Plan'!$A$11:$A$34,0),$C35-$A$1+1)))/(1+SUM(OFFSET('Calc-Pivot abvals'!$I$4,MATCH($B35,'Calc-Pivot abvals'!$G$5:$G$17,0),0,1,4))-(INDEX('Calc-Pivot abvals'!$H$20:$H$32,MATCH($B35,'Calc-Pivot abvals'!$G$5:$G$17,0),0)+SUMPRODUCT(OFFSET('Calc-Pivot abvals'!$I$4,MATCH($B35,'Calc-Pivot abvals'!$G$5:$G$17,0),0,1,4),OFFSET('Calc-Pivot abvals'!$I$19,MATCH($B35,'Calc-Pivot abvals'!$G$5:$G$17,0),0,1,4)))/INDEX('INP-Calc EFOR&amp;EUOR - 2019Plan'!$B$11:$B$34,MATCH($B35,'INP-Calc EFOR&amp;EUOR - 2019Plan'!$A$11:$A$34,0),0))</f>
        <v>1.6900183654554202E-2</v>
      </c>
      <c r="E35" s="98">
        <f ca="1">$D35*INDEX('Calc-Pivot abvals'!I$5:I$17,MATCH($B35,'Calc-Pivot abvals'!$G$5:$G$17,0),0)</f>
        <v>8.583226941407545E-3</v>
      </c>
      <c r="F35" s="98">
        <f ca="1">$D35*INDEX('Calc-Pivot abvals'!J$5:J$17,MATCH($B35,'Calc-Pivot abvals'!$G$5:$G$17,0),0)</f>
        <v>2.119118359941025E-3</v>
      </c>
      <c r="G35" s="98">
        <f ca="1">$D35*INDEX('Calc-Pivot abvals'!K$5:K$17,MATCH($B35,'Calc-Pivot abvals'!$G$5:$G$17,0),0)</f>
        <v>1.7976308033062462E-2</v>
      </c>
      <c r="H35" s="98">
        <f ca="1">$D35*INDEX('Calc-Pivot abvals'!L$5:L$17,MATCH($B35,'Calc-Pivot abvals'!$G$5:$G$17,0),0)</f>
        <v>1.4047288352427485E-2</v>
      </c>
      <c r="I35" s="192">
        <f ca="1">1-(1+SUM(OFFSET('Calc-Pivot abvals'!$H$4, MATCH($B35, 'Calc-Pivot abvals'!$G$5:$G$17, 0), 1, 1, 4)))*D35-INDEX('INP-Calc EFOR&amp;EUOR - 2019Plan'!$U$11:$Y$34, MATCH($B35, 'INP-Calc EFOR&amp;EUOR - 2019Plan'!$A$11:$A$34), $C35-$A$1+1)-INDEX('INP-Calc EFOR&amp;EUOR - 2019Plan'!$O$11:$S$34, MATCH($B35, 'INP-Calc EFOR&amp;EUOR - 2019Plan'!$A$11:$A$34), $C35-$A$1+1)</f>
        <v>0.88397767493966961</v>
      </c>
      <c r="J35" s="98">
        <f ca="1">1-SUMPRODUCT(D35:I35,OFFSET('Calc-Pivot abvals'!$H$19,MATCH($B35,'Calc-Pivot abvals'!$G$5:$G$17,0),0,1,6))/INDEX('INP-Calc EFOR&amp;EUOR - 2019Plan'!$B$11:$B$34,MATCH($B35,'INP-Calc EFOR&amp;EUOR - 2019Plan'!$A$11:$A$34,0),0)</f>
        <v>7.4000000000000177E-2</v>
      </c>
      <c r="K35" s="193">
        <f>VLOOKUP(B35, 'INP-Calc EFOR&amp;EUOR - 2019Plan'!$A$11:$M$34, AvailableStates!C35-$A$1+9, 0)</f>
        <v>7.3999999999999996E-2</v>
      </c>
      <c r="L35" s="193">
        <f t="shared" ca="1" si="0"/>
        <v>1.8041124150158794E-16</v>
      </c>
    </row>
    <row r="36" spans="1:12" x14ac:dyDescent="0.25">
      <c r="A36" s="98">
        <f t="shared" si="1"/>
        <v>7</v>
      </c>
      <c r="B36" s="98" t="str">
        <f>INDEX('Calc-Pivot abvals'!$G$5:$G$17,A36,0)</f>
        <v>GH4</v>
      </c>
      <c r="C36" s="98">
        <f t="shared" si="2"/>
        <v>2021</v>
      </c>
      <c r="D36" s="191">
        <f ca="1">(INDEX('INP-Calc EFOR&amp;EUOR - 2019Plan'!$I$11:$M$34,MATCH($B36,'INP-Calc EFOR&amp;EUOR - 2019Plan'!$A$11:$A$34,0),$C36-$A$1+1)-(INDEX('INP-Calc EFOR&amp;EUOR - 2019Plan'!$O$11:$S$34,MATCH($B36,'INP-Calc EFOR&amp;EUOR - 2019Plan'!$A$11:$A$34,0),$C36-$A$1+1)+INDEX('INP-Calc EFOR&amp;EUOR - 2019Plan'!$U$11:$Y$34,MATCH($B36,'INP-Calc EFOR&amp;EUOR - 2019Plan'!$A$11:$A$34,0),$C36-$A$1+1)))/(1+SUM(OFFSET('Calc-Pivot abvals'!$I$4,MATCH($B36,'Calc-Pivot abvals'!$G$5:$G$17,0),0,1,4))-(INDEX('Calc-Pivot abvals'!$H$20:$H$32,MATCH($B36,'Calc-Pivot abvals'!$G$5:$G$17,0),0)+SUMPRODUCT(OFFSET('Calc-Pivot abvals'!$I$4,MATCH($B36,'Calc-Pivot abvals'!$G$5:$G$17,0),0,1,4),OFFSET('Calc-Pivot abvals'!$I$19,MATCH($B36,'Calc-Pivot abvals'!$G$5:$G$17,0),0,1,4)))/INDEX('INP-Calc EFOR&amp;EUOR - 2019Plan'!$B$11:$B$34,MATCH($B36,'INP-Calc EFOR&amp;EUOR - 2019Plan'!$A$11:$A$34,0),0))</f>
        <v>1.6900183654554202E-2</v>
      </c>
      <c r="E36" s="98">
        <f ca="1">$D36*INDEX('Calc-Pivot abvals'!I$5:I$17,MATCH($B36,'Calc-Pivot abvals'!$G$5:$G$17,0),0)</f>
        <v>8.583226941407545E-3</v>
      </c>
      <c r="F36" s="98">
        <f ca="1">$D36*INDEX('Calc-Pivot abvals'!J$5:J$17,MATCH($B36,'Calc-Pivot abvals'!$G$5:$G$17,0),0)</f>
        <v>2.119118359941025E-3</v>
      </c>
      <c r="G36" s="98">
        <f ca="1">$D36*INDEX('Calc-Pivot abvals'!K$5:K$17,MATCH($B36,'Calc-Pivot abvals'!$G$5:$G$17,0),0)</f>
        <v>1.7976308033062462E-2</v>
      </c>
      <c r="H36" s="98">
        <f ca="1">$D36*INDEX('Calc-Pivot abvals'!L$5:L$17,MATCH($B36,'Calc-Pivot abvals'!$G$5:$G$17,0),0)</f>
        <v>1.4047288352427485E-2</v>
      </c>
      <c r="I36" s="192">
        <f ca="1">1-(1+SUM(OFFSET('Calc-Pivot abvals'!$H$4, MATCH($B36, 'Calc-Pivot abvals'!$G$5:$G$17, 0), 1, 1, 4)))*D36-INDEX('INP-Calc EFOR&amp;EUOR - 2019Plan'!$U$11:$Y$34, MATCH($B36, 'INP-Calc EFOR&amp;EUOR - 2019Plan'!$A$11:$A$34), $C36-$A$1+1)-INDEX('INP-Calc EFOR&amp;EUOR - 2019Plan'!$O$11:$S$34, MATCH($B36, 'INP-Calc EFOR&amp;EUOR - 2019Plan'!$A$11:$A$34), $C36-$A$1+1)</f>
        <v>0.88397767493966961</v>
      </c>
      <c r="J36" s="98">
        <f ca="1">1-SUMPRODUCT(D36:I36,OFFSET('Calc-Pivot abvals'!$H$19,MATCH($B36,'Calc-Pivot abvals'!$G$5:$G$17,0),0,1,6))/INDEX('INP-Calc EFOR&amp;EUOR - 2019Plan'!$B$11:$B$34,MATCH($B36,'INP-Calc EFOR&amp;EUOR - 2019Plan'!$A$11:$A$34,0),0)</f>
        <v>7.4000000000000177E-2</v>
      </c>
      <c r="K36" s="193">
        <f>VLOOKUP(B36, 'INP-Calc EFOR&amp;EUOR - 2019Plan'!$A$11:$M$34, AvailableStates!C36-$A$1+9, 0)</f>
        <v>7.3999999999999996E-2</v>
      </c>
      <c r="L36" s="193">
        <f t="shared" ca="1" si="0"/>
        <v>1.8041124150158794E-16</v>
      </c>
    </row>
    <row r="37" spans="1:12" x14ac:dyDescent="0.25">
      <c r="A37" s="98">
        <f t="shared" si="1"/>
        <v>7</v>
      </c>
      <c r="B37" s="98" t="str">
        <f>INDEX('Calc-Pivot abvals'!$G$5:$G$17,A37,0)</f>
        <v>GH4</v>
      </c>
      <c r="C37" s="98">
        <f t="shared" si="2"/>
        <v>2022</v>
      </c>
      <c r="D37" s="191">
        <f ca="1">(INDEX('INP-Calc EFOR&amp;EUOR - 2019Plan'!$I$11:$M$34,MATCH($B37,'INP-Calc EFOR&amp;EUOR - 2019Plan'!$A$11:$A$34,0),$C37-$A$1+1)-(INDEX('INP-Calc EFOR&amp;EUOR - 2019Plan'!$O$11:$S$34,MATCH($B37,'INP-Calc EFOR&amp;EUOR - 2019Plan'!$A$11:$A$34,0),$C37-$A$1+1)+INDEX('INP-Calc EFOR&amp;EUOR - 2019Plan'!$U$11:$Y$34,MATCH($B37,'INP-Calc EFOR&amp;EUOR - 2019Plan'!$A$11:$A$34,0),$C37-$A$1+1)))/(1+SUM(OFFSET('Calc-Pivot abvals'!$I$4,MATCH($B37,'Calc-Pivot abvals'!$G$5:$G$17,0),0,1,4))-(INDEX('Calc-Pivot abvals'!$H$20:$H$32,MATCH($B37,'Calc-Pivot abvals'!$G$5:$G$17,0),0)+SUMPRODUCT(OFFSET('Calc-Pivot abvals'!$I$4,MATCH($B37,'Calc-Pivot abvals'!$G$5:$G$17,0),0,1,4),OFFSET('Calc-Pivot abvals'!$I$19,MATCH($B37,'Calc-Pivot abvals'!$G$5:$G$17,0),0,1,4)))/INDEX('INP-Calc EFOR&amp;EUOR - 2019Plan'!$B$11:$B$34,MATCH($B37,'INP-Calc EFOR&amp;EUOR - 2019Plan'!$A$11:$A$34,0),0))</f>
        <v>1.6900183654554202E-2</v>
      </c>
      <c r="E37" s="98">
        <f ca="1">$D37*INDEX('Calc-Pivot abvals'!I$5:I$17,MATCH($B37,'Calc-Pivot abvals'!$G$5:$G$17,0),0)</f>
        <v>8.583226941407545E-3</v>
      </c>
      <c r="F37" s="98">
        <f ca="1">$D37*INDEX('Calc-Pivot abvals'!J$5:J$17,MATCH($B37,'Calc-Pivot abvals'!$G$5:$G$17,0),0)</f>
        <v>2.119118359941025E-3</v>
      </c>
      <c r="G37" s="98">
        <f ca="1">$D37*INDEX('Calc-Pivot abvals'!K$5:K$17,MATCH($B37,'Calc-Pivot abvals'!$G$5:$G$17,0),0)</f>
        <v>1.7976308033062462E-2</v>
      </c>
      <c r="H37" s="98">
        <f ca="1">$D37*INDEX('Calc-Pivot abvals'!L$5:L$17,MATCH($B37,'Calc-Pivot abvals'!$G$5:$G$17,0),0)</f>
        <v>1.4047288352427485E-2</v>
      </c>
      <c r="I37" s="192">
        <f ca="1">1-(1+SUM(OFFSET('Calc-Pivot abvals'!$H$4, MATCH($B37, 'Calc-Pivot abvals'!$G$5:$G$17, 0), 1, 1, 4)))*D37-INDEX('INP-Calc EFOR&amp;EUOR - 2019Plan'!$U$11:$Y$34, MATCH($B37, 'INP-Calc EFOR&amp;EUOR - 2019Plan'!$A$11:$A$34), $C37-$A$1+1)-INDEX('INP-Calc EFOR&amp;EUOR - 2019Plan'!$O$11:$S$34, MATCH($B37, 'INP-Calc EFOR&amp;EUOR - 2019Plan'!$A$11:$A$34), $C37-$A$1+1)</f>
        <v>0.88397767493966961</v>
      </c>
      <c r="J37" s="98">
        <f ca="1">1-SUMPRODUCT(D37:I37,OFFSET('Calc-Pivot abvals'!$H$19,MATCH($B37,'Calc-Pivot abvals'!$G$5:$G$17,0),0,1,6))/INDEX('INP-Calc EFOR&amp;EUOR - 2019Plan'!$B$11:$B$34,MATCH($B37,'INP-Calc EFOR&amp;EUOR - 2019Plan'!$A$11:$A$34,0),0)</f>
        <v>7.4000000000000177E-2</v>
      </c>
      <c r="K37" s="193">
        <f>VLOOKUP(B37, 'INP-Calc EFOR&amp;EUOR - 2019Plan'!$A$11:$M$34, AvailableStates!C37-$A$1+9, 0)</f>
        <v>7.3999999999999996E-2</v>
      </c>
      <c r="L37" s="193">
        <f t="shared" ca="1" si="0"/>
        <v>1.8041124150158794E-16</v>
      </c>
    </row>
    <row r="38" spans="1:12" x14ac:dyDescent="0.25">
      <c r="A38" s="98">
        <f t="shared" si="1"/>
        <v>8</v>
      </c>
      <c r="B38" s="98" t="str">
        <f>INDEX('Calc-Pivot abvals'!$G$5:$G$17,A38,0)</f>
        <v>MC1</v>
      </c>
      <c r="C38" s="98">
        <f t="shared" si="2"/>
        <v>2018</v>
      </c>
      <c r="D38" s="191">
        <f ca="1">(INDEX('INP-Calc EFOR&amp;EUOR - 2019Plan'!$I$11:$M$34,MATCH($B38,'INP-Calc EFOR&amp;EUOR - 2019Plan'!$A$11:$A$34,0),$C38-$A$1+1)-(INDEX('INP-Calc EFOR&amp;EUOR - 2019Plan'!$O$11:$S$34,MATCH($B38,'INP-Calc EFOR&amp;EUOR - 2019Plan'!$A$11:$A$34,0),$C38-$A$1+1)+INDEX('INP-Calc EFOR&amp;EUOR - 2019Plan'!$U$11:$Y$34,MATCH($B38,'INP-Calc EFOR&amp;EUOR - 2019Plan'!$A$11:$A$34,0),$C38-$A$1+1)))/(1+SUM(OFFSET('Calc-Pivot abvals'!$I$4,MATCH($B38,'Calc-Pivot abvals'!$G$5:$G$17,0),0,1,4))-(INDEX('Calc-Pivot abvals'!$H$20:$H$32,MATCH($B38,'Calc-Pivot abvals'!$G$5:$G$17,0),0)+SUMPRODUCT(OFFSET('Calc-Pivot abvals'!$I$4,MATCH($B38,'Calc-Pivot abvals'!$G$5:$G$17,0),0,1,4),OFFSET('Calc-Pivot abvals'!$I$19,MATCH($B38,'Calc-Pivot abvals'!$G$5:$G$17,0),0,1,4)))/INDEX('INP-Calc EFOR&amp;EUOR - 2019Plan'!$B$11:$B$34,MATCH($B38,'INP-Calc EFOR&amp;EUOR - 2019Plan'!$A$11:$A$34,0),0))</f>
        <v>3.267927408774822E-2</v>
      </c>
      <c r="E38" s="98">
        <f ca="1">$D38*INDEX('Calc-Pivot abvals'!I$5:I$17,MATCH($B38,'Calc-Pivot abvals'!$G$5:$G$17,0),0)</f>
        <v>1.495938271840719E-3</v>
      </c>
      <c r="F38" s="98">
        <f ca="1">$D38*INDEX('Calc-Pivot abvals'!J$5:J$17,MATCH($B38,'Calc-Pivot abvals'!$G$5:$G$17,0),0)</f>
        <v>1.7081727852282113E-4</v>
      </c>
      <c r="G38" s="98">
        <f ca="1">$D38*INDEX('Calc-Pivot abvals'!K$5:K$17,MATCH($B38,'Calc-Pivot abvals'!$G$5:$G$17,0),0)</f>
        <v>7.8300857767761014E-5</v>
      </c>
      <c r="H38" s="98">
        <f ca="1">$D38*INDEX('Calc-Pivot abvals'!L$5:L$17,MATCH($B38,'Calc-Pivot abvals'!$G$5:$G$17,0),0)</f>
        <v>6.3508988169428608E-4</v>
      </c>
      <c r="I38" s="192">
        <f ca="1">1-(1+SUM(OFFSET('Calc-Pivot abvals'!$H$4, MATCH($B38, 'Calc-Pivot abvals'!$G$5:$G$17, 0), 1, 1, 4)))*D38-INDEX('INP-Calc EFOR&amp;EUOR - 2019Plan'!$U$11:$Y$34, MATCH($B38, 'INP-Calc EFOR&amp;EUOR - 2019Plan'!$A$11:$A$34), $C38-$A$1+1)-INDEX('INP-Calc EFOR&amp;EUOR - 2019Plan'!$O$11:$S$34, MATCH($B38, 'INP-Calc EFOR&amp;EUOR - 2019Plan'!$A$11:$A$34), $C38-$A$1+1)</f>
        <v>0.90782732886194062</v>
      </c>
      <c r="J38" s="98">
        <f ca="1">1-SUMPRODUCT(D38:I38,OFFSET('Calc-Pivot abvals'!$H$19,MATCH($B38,'Calc-Pivot abvals'!$G$5:$G$17,0),0,1,6))/INDEX('INP-Calc EFOR&amp;EUOR - 2019Plan'!$B$11:$B$34,MATCH($B38,'INP-Calc EFOR&amp;EUOR - 2019Plan'!$A$11:$A$34,0),0)</f>
        <v>7.3999999999999955E-2</v>
      </c>
      <c r="K38" s="193">
        <f>VLOOKUP(B38, 'INP-Calc EFOR&amp;EUOR - 2019Plan'!$A$11:$M$34, AvailableStates!C38-$A$1+9, 0)</f>
        <v>7.3999999999999996E-2</v>
      </c>
      <c r="L38" s="193">
        <f t="shared" ca="1" si="0"/>
        <v>0</v>
      </c>
    </row>
    <row r="39" spans="1:12" x14ac:dyDescent="0.25">
      <c r="A39" s="98">
        <f t="shared" si="1"/>
        <v>8</v>
      </c>
      <c r="B39" s="98" t="str">
        <f>INDEX('Calc-Pivot abvals'!$G$5:$G$17,A39,0)</f>
        <v>MC1</v>
      </c>
      <c r="C39" s="98">
        <f t="shared" si="2"/>
        <v>2019</v>
      </c>
      <c r="D39" s="191">
        <f ca="1">(INDEX('INP-Calc EFOR&amp;EUOR - 2019Plan'!$I$11:$M$34,MATCH($B39,'INP-Calc EFOR&amp;EUOR - 2019Plan'!$A$11:$A$34,0),$C39-$A$1+1)-(INDEX('INP-Calc EFOR&amp;EUOR - 2019Plan'!$O$11:$S$34,MATCH($B39,'INP-Calc EFOR&amp;EUOR - 2019Plan'!$A$11:$A$34,0),$C39-$A$1+1)+INDEX('INP-Calc EFOR&amp;EUOR - 2019Plan'!$U$11:$Y$34,MATCH($B39,'INP-Calc EFOR&amp;EUOR - 2019Plan'!$A$11:$A$34,0),$C39-$A$1+1)))/(1+SUM(OFFSET('Calc-Pivot abvals'!$I$4,MATCH($B39,'Calc-Pivot abvals'!$G$5:$G$17,0),0,1,4))-(INDEX('Calc-Pivot abvals'!$H$20:$H$32,MATCH($B39,'Calc-Pivot abvals'!$G$5:$G$17,0),0)+SUMPRODUCT(OFFSET('Calc-Pivot abvals'!$I$4,MATCH($B39,'Calc-Pivot abvals'!$G$5:$G$17,0),0,1,4),OFFSET('Calc-Pivot abvals'!$I$19,MATCH($B39,'Calc-Pivot abvals'!$G$5:$G$17,0),0,1,4)))/INDEX('INP-Calc EFOR&amp;EUOR - 2019Plan'!$B$11:$B$34,MATCH($B39,'INP-Calc EFOR&amp;EUOR - 2019Plan'!$A$11:$A$34,0),0))</f>
        <v>3.267927408774822E-2</v>
      </c>
      <c r="E39" s="98">
        <f ca="1">$D39*INDEX('Calc-Pivot abvals'!I$5:I$17,MATCH($B39,'Calc-Pivot abvals'!$G$5:$G$17,0),0)</f>
        <v>1.495938271840719E-3</v>
      </c>
      <c r="F39" s="98">
        <f ca="1">$D39*INDEX('Calc-Pivot abvals'!J$5:J$17,MATCH($B39,'Calc-Pivot abvals'!$G$5:$G$17,0),0)</f>
        <v>1.7081727852282113E-4</v>
      </c>
      <c r="G39" s="98">
        <f ca="1">$D39*INDEX('Calc-Pivot abvals'!K$5:K$17,MATCH($B39,'Calc-Pivot abvals'!$G$5:$G$17,0),0)</f>
        <v>7.8300857767761014E-5</v>
      </c>
      <c r="H39" s="98">
        <f ca="1">$D39*INDEX('Calc-Pivot abvals'!L$5:L$17,MATCH($B39,'Calc-Pivot abvals'!$G$5:$G$17,0),0)</f>
        <v>6.3508988169428608E-4</v>
      </c>
      <c r="I39" s="192">
        <f ca="1">1-(1+SUM(OFFSET('Calc-Pivot abvals'!$H$4, MATCH($B39, 'Calc-Pivot abvals'!$G$5:$G$17, 0), 1, 1, 4)))*D39-INDEX('INP-Calc EFOR&amp;EUOR - 2019Plan'!$U$11:$Y$34, MATCH($B39, 'INP-Calc EFOR&amp;EUOR - 2019Plan'!$A$11:$A$34), $C39-$A$1+1)-INDEX('INP-Calc EFOR&amp;EUOR - 2019Plan'!$O$11:$S$34, MATCH($B39, 'INP-Calc EFOR&amp;EUOR - 2019Plan'!$A$11:$A$34), $C39-$A$1+1)</f>
        <v>0.90782732886194062</v>
      </c>
      <c r="J39" s="98">
        <f ca="1">1-SUMPRODUCT(D39:I39,OFFSET('Calc-Pivot abvals'!$H$19,MATCH($B39,'Calc-Pivot abvals'!$G$5:$G$17,0),0,1,6))/INDEX('INP-Calc EFOR&amp;EUOR - 2019Plan'!$B$11:$B$34,MATCH($B39,'INP-Calc EFOR&amp;EUOR - 2019Plan'!$A$11:$A$34,0),0)</f>
        <v>7.3999999999999955E-2</v>
      </c>
      <c r="K39" s="193">
        <f>VLOOKUP(B39, 'INP-Calc EFOR&amp;EUOR - 2019Plan'!$A$11:$M$34, AvailableStates!C39-$A$1+9, 0)</f>
        <v>7.3999999999999996E-2</v>
      </c>
      <c r="L39" s="193">
        <f t="shared" ca="1" si="0"/>
        <v>0</v>
      </c>
    </row>
    <row r="40" spans="1:12" x14ac:dyDescent="0.25">
      <c r="A40" s="98">
        <f t="shared" si="1"/>
        <v>8</v>
      </c>
      <c r="B40" s="98" t="str">
        <f>INDEX('Calc-Pivot abvals'!$G$5:$G$17,A40,0)</f>
        <v>MC1</v>
      </c>
      <c r="C40" s="98">
        <f t="shared" si="2"/>
        <v>2020</v>
      </c>
      <c r="D40" s="191">
        <f ca="1">(INDEX('INP-Calc EFOR&amp;EUOR - 2019Plan'!$I$11:$M$34,MATCH($B40,'INP-Calc EFOR&amp;EUOR - 2019Plan'!$A$11:$A$34,0),$C40-$A$1+1)-(INDEX('INP-Calc EFOR&amp;EUOR - 2019Plan'!$O$11:$S$34,MATCH($B40,'INP-Calc EFOR&amp;EUOR - 2019Plan'!$A$11:$A$34,0),$C40-$A$1+1)+INDEX('INP-Calc EFOR&amp;EUOR - 2019Plan'!$U$11:$Y$34,MATCH($B40,'INP-Calc EFOR&amp;EUOR - 2019Plan'!$A$11:$A$34,0),$C40-$A$1+1)))/(1+SUM(OFFSET('Calc-Pivot abvals'!$I$4,MATCH($B40,'Calc-Pivot abvals'!$G$5:$G$17,0),0,1,4))-(INDEX('Calc-Pivot abvals'!$H$20:$H$32,MATCH($B40,'Calc-Pivot abvals'!$G$5:$G$17,0),0)+SUMPRODUCT(OFFSET('Calc-Pivot abvals'!$I$4,MATCH($B40,'Calc-Pivot abvals'!$G$5:$G$17,0),0,1,4),OFFSET('Calc-Pivot abvals'!$I$19,MATCH($B40,'Calc-Pivot abvals'!$G$5:$G$17,0),0,1,4)))/INDEX('INP-Calc EFOR&amp;EUOR - 2019Plan'!$B$11:$B$34,MATCH($B40,'INP-Calc EFOR&amp;EUOR - 2019Plan'!$A$11:$A$34,0),0))</f>
        <v>3.267927408774822E-2</v>
      </c>
      <c r="E40" s="98">
        <f ca="1">$D40*INDEX('Calc-Pivot abvals'!I$5:I$17,MATCH($B40,'Calc-Pivot abvals'!$G$5:$G$17,0),0)</f>
        <v>1.495938271840719E-3</v>
      </c>
      <c r="F40" s="98">
        <f ca="1">$D40*INDEX('Calc-Pivot abvals'!J$5:J$17,MATCH($B40,'Calc-Pivot abvals'!$G$5:$G$17,0),0)</f>
        <v>1.7081727852282113E-4</v>
      </c>
      <c r="G40" s="98">
        <f ca="1">$D40*INDEX('Calc-Pivot abvals'!K$5:K$17,MATCH($B40,'Calc-Pivot abvals'!$G$5:$G$17,0),0)</f>
        <v>7.8300857767761014E-5</v>
      </c>
      <c r="H40" s="98">
        <f ca="1">$D40*INDEX('Calc-Pivot abvals'!L$5:L$17,MATCH($B40,'Calc-Pivot abvals'!$G$5:$G$17,0),0)</f>
        <v>6.3508988169428608E-4</v>
      </c>
      <c r="I40" s="192">
        <f ca="1">1-(1+SUM(OFFSET('Calc-Pivot abvals'!$H$4, MATCH($B40, 'Calc-Pivot abvals'!$G$5:$G$17, 0), 1, 1, 4)))*D40-INDEX('INP-Calc EFOR&amp;EUOR - 2019Plan'!$U$11:$Y$34, MATCH($B40, 'INP-Calc EFOR&amp;EUOR - 2019Plan'!$A$11:$A$34), $C40-$A$1+1)-INDEX('INP-Calc EFOR&amp;EUOR - 2019Plan'!$O$11:$S$34, MATCH($B40, 'INP-Calc EFOR&amp;EUOR - 2019Plan'!$A$11:$A$34), $C40-$A$1+1)</f>
        <v>0.90782732886194062</v>
      </c>
      <c r="J40" s="98">
        <f ca="1">1-SUMPRODUCT(D40:I40,OFFSET('Calc-Pivot abvals'!$H$19,MATCH($B40,'Calc-Pivot abvals'!$G$5:$G$17,0),0,1,6))/INDEX('INP-Calc EFOR&amp;EUOR - 2019Plan'!$B$11:$B$34,MATCH($B40,'INP-Calc EFOR&amp;EUOR - 2019Plan'!$A$11:$A$34,0),0)</f>
        <v>7.3999999999999955E-2</v>
      </c>
      <c r="K40" s="193">
        <f>VLOOKUP(B40, 'INP-Calc EFOR&amp;EUOR - 2019Plan'!$A$11:$M$34, AvailableStates!C40-$A$1+9, 0)</f>
        <v>7.3999999999999996E-2</v>
      </c>
      <c r="L40" s="193">
        <f t="shared" ca="1" si="0"/>
        <v>0</v>
      </c>
    </row>
    <row r="41" spans="1:12" x14ac:dyDescent="0.25">
      <c r="A41" s="98">
        <f t="shared" si="1"/>
        <v>8</v>
      </c>
      <c r="B41" s="98" t="str">
        <f>INDEX('Calc-Pivot abvals'!$G$5:$G$17,A41,0)</f>
        <v>MC1</v>
      </c>
      <c r="C41" s="98">
        <f t="shared" si="2"/>
        <v>2021</v>
      </c>
      <c r="D41" s="191">
        <f ca="1">(INDEX('INP-Calc EFOR&amp;EUOR - 2019Plan'!$I$11:$M$34,MATCH($B41,'INP-Calc EFOR&amp;EUOR - 2019Plan'!$A$11:$A$34,0),$C41-$A$1+1)-(INDEX('INP-Calc EFOR&amp;EUOR - 2019Plan'!$O$11:$S$34,MATCH($B41,'INP-Calc EFOR&amp;EUOR - 2019Plan'!$A$11:$A$34,0),$C41-$A$1+1)+INDEX('INP-Calc EFOR&amp;EUOR - 2019Plan'!$U$11:$Y$34,MATCH($B41,'INP-Calc EFOR&amp;EUOR - 2019Plan'!$A$11:$A$34,0),$C41-$A$1+1)))/(1+SUM(OFFSET('Calc-Pivot abvals'!$I$4,MATCH($B41,'Calc-Pivot abvals'!$G$5:$G$17,0),0,1,4))-(INDEX('Calc-Pivot abvals'!$H$20:$H$32,MATCH($B41,'Calc-Pivot abvals'!$G$5:$G$17,0),0)+SUMPRODUCT(OFFSET('Calc-Pivot abvals'!$I$4,MATCH($B41,'Calc-Pivot abvals'!$G$5:$G$17,0),0,1,4),OFFSET('Calc-Pivot abvals'!$I$19,MATCH($B41,'Calc-Pivot abvals'!$G$5:$G$17,0),0,1,4)))/INDEX('INP-Calc EFOR&amp;EUOR - 2019Plan'!$B$11:$B$34,MATCH($B41,'INP-Calc EFOR&amp;EUOR - 2019Plan'!$A$11:$A$34,0),0))</f>
        <v>3.267927408774822E-2</v>
      </c>
      <c r="E41" s="98">
        <f ca="1">$D41*INDEX('Calc-Pivot abvals'!I$5:I$17,MATCH($B41,'Calc-Pivot abvals'!$G$5:$G$17,0),0)</f>
        <v>1.495938271840719E-3</v>
      </c>
      <c r="F41" s="98">
        <f ca="1">$D41*INDEX('Calc-Pivot abvals'!J$5:J$17,MATCH($B41,'Calc-Pivot abvals'!$G$5:$G$17,0),0)</f>
        <v>1.7081727852282113E-4</v>
      </c>
      <c r="G41" s="98">
        <f ca="1">$D41*INDEX('Calc-Pivot abvals'!K$5:K$17,MATCH($B41,'Calc-Pivot abvals'!$G$5:$G$17,0),0)</f>
        <v>7.8300857767761014E-5</v>
      </c>
      <c r="H41" s="98">
        <f ca="1">$D41*INDEX('Calc-Pivot abvals'!L$5:L$17,MATCH($B41,'Calc-Pivot abvals'!$G$5:$G$17,0),0)</f>
        <v>6.3508988169428608E-4</v>
      </c>
      <c r="I41" s="192">
        <f ca="1">1-(1+SUM(OFFSET('Calc-Pivot abvals'!$H$4, MATCH($B41, 'Calc-Pivot abvals'!$G$5:$G$17, 0), 1, 1, 4)))*D41-INDEX('INP-Calc EFOR&amp;EUOR - 2019Plan'!$U$11:$Y$34, MATCH($B41, 'INP-Calc EFOR&amp;EUOR - 2019Plan'!$A$11:$A$34), $C41-$A$1+1)-INDEX('INP-Calc EFOR&amp;EUOR - 2019Plan'!$O$11:$S$34, MATCH($B41, 'INP-Calc EFOR&amp;EUOR - 2019Plan'!$A$11:$A$34), $C41-$A$1+1)</f>
        <v>0.90782732886194062</v>
      </c>
      <c r="J41" s="98">
        <f ca="1">1-SUMPRODUCT(D41:I41,OFFSET('Calc-Pivot abvals'!$H$19,MATCH($B41,'Calc-Pivot abvals'!$G$5:$G$17,0),0,1,6))/INDEX('INP-Calc EFOR&amp;EUOR - 2019Plan'!$B$11:$B$34,MATCH($B41,'INP-Calc EFOR&amp;EUOR - 2019Plan'!$A$11:$A$34,0),0)</f>
        <v>7.3999999999999955E-2</v>
      </c>
      <c r="K41" s="193">
        <f>VLOOKUP(B41, 'INP-Calc EFOR&amp;EUOR - 2019Plan'!$A$11:$M$34, AvailableStates!C41-$A$1+9, 0)</f>
        <v>7.3999999999999996E-2</v>
      </c>
      <c r="L41" s="193">
        <f t="shared" ca="1" si="0"/>
        <v>0</v>
      </c>
    </row>
    <row r="42" spans="1:12" x14ac:dyDescent="0.25">
      <c r="A42" s="98">
        <f t="shared" si="1"/>
        <v>8</v>
      </c>
      <c r="B42" s="98" t="str">
        <f>INDEX('Calc-Pivot abvals'!$G$5:$G$17,A42,0)</f>
        <v>MC1</v>
      </c>
      <c r="C42" s="98">
        <f t="shared" si="2"/>
        <v>2022</v>
      </c>
      <c r="D42" s="191">
        <f ca="1">(INDEX('INP-Calc EFOR&amp;EUOR - 2019Plan'!$I$11:$M$34,MATCH($B42,'INP-Calc EFOR&amp;EUOR - 2019Plan'!$A$11:$A$34,0),$C42-$A$1+1)-(INDEX('INP-Calc EFOR&amp;EUOR - 2019Plan'!$O$11:$S$34,MATCH($B42,'INP-Calc EFOR&amp;EUOR - 2019Plan'!$A$11:$A$34,0),$C42-$A$1+1)+INDEX('INP-Calc EFOR&amp;EUOR - 2019Plan'!$U$11:$Y$34,MATCH($B42,'INP-Calc EFOR&amp;EUOR - 2019Plan'!$A$11:$A$34,0),$C42-$A$1+1)))/(1+SUM(OFFSET('Calc-Pivot abvals'!$I$4,MATCH($B42,'Calc-Pivot abvals'!$G$5:$G$17,0),0,1,4))-(INDEX('Calc-Pivot abvals'!$H$20:$H$32,MATCH($B42,'Calc-Pivot abvals'!$G$5:$G$17,0),0)+SUMPRODUCT(OFFSET('Calc-Pivot abvals'!$I$4,MATCH($B42,'Calc-Pivot abvals'!$G$5:$G$17,0),0,1,4),OFFSET('Calc-Pivot abvals'!$I$19,MATCH($B42,'Calc-Pivot abvals'!$G$5:$G$17,0),0,1,4)))/INDEX('INP-Calc EFOR&amp;EUOR - 2019Plan'!$B$11:$B$34,MATCH($B42,'INP-Calc EFOR&amp;EUOR - 2019Plan'!$A$11:$A$34,0),0))</f>
        <v>3.267927408774822E-2</v>
      </c>
      <c r="E42" s="98">
        <f ca="1">$D42*INDEX('Calc-Pivot abvals'!I$5:I$17,MATCH($B42,'Calc-Pivot abvals'!$G$5:$G$17,0),0)</f>
        <v>1.495938271840719E-3</v>
      </c>
      <c r="F42" s="98">
        <f ca="1">$D42*INDEX('Calc-Pivot abvals'!J$5:J$17,MATCH($B42,'Calc-Pivot abvals'!$G$5:$G$17,0),0)</f>
        <v>1.7081727852282113E-4</v>
      </c>
      <c r="G42" s="98">
        <f ca="1">$D42*INDEX('Calc-Pivot abvals'!K$5:K$17,MATCH($B42,'Calc-Pivot abvals'!$G$5:$G$17,0),0)</f>
        <v>7.8300857767761014E-5</v>
      </c>
      <c r="H42" s="98">
        <f ca="1">$D42*INDEX('Calc-Pivot abvals'!L$5:L$17,MATCH($B42,'Calc-Pivot abvals'!$G$5:$G$17,0),0)</f>
        <v>6.3508988169428608E-4</v>
      </c>
      <c r="I42" s="192">
        <f ca="1">1-(1+SUM(OFFSET('Calc-Pivot abvals'!$H$4, MATCH($B42, 'Calc-Pivot abvals'!$G$5:$G$17, 0), 1, 1, 4)))*D42-INDEX('INP-Calc EFOR&amp;EUOR - 2019Plan'!$U$11:$Y$34, MATCH($B42, 'INP-Calc EFOR&amp;EUOR - 2019Plan'!$A$11:$A$34), $C42-$A$1+1)-INDEX('INP-Calc EFOR&amp;EUOR - 2019Plan'!$O$11:$S$34, MATCH($B42, 'INP-Calc EFOR&amp;EUOR - 2019Plan'!$A$11:$A$34), $C42-$A$1+1)</f>
        <v>0.90782732886194062</v>
      </c>
      <c r="J42" s="98">
        <f ca="1">1-SUMPRODUCT(D42:I42,OFFSET('Calc-Pivot abvals'!$H$19,MATCH($B42,'Calc-Pivot abvals'!$G$5:$G$17,0),0,1,6))/INDEX('INP-Calc EFOR&amp;EUOR - 2019Plan'!$B$11:$B$34,MATCH($B42,'INP-Calc EFOR&amp;EUOR - 2019Plan'!$A$11:$A$34,0),0)</f>
        <v>7.3999999999999955E-2</v>
      </c>
      <c r="K42" s="193">
        <f>VLOOKUP(B42, 'INP-Calc EFOR&amp;EUOR - 2019Plan'!$A$11:$M$34, AvailableStates!C42-$A$1+9, 0)</f>
        <v>7.3999999999999996E-2</v>
      </c>
      <c r="L42" s="193">
        <f t="shared" ca="1" si="0"/>
        <v>0</v>
      </c>
    </row>
    <row r="43" spans="1:12" x14ac:dyDescent="0.25">
      <c r="A43" s="98">
        <f t="shared" si="1"/>
        <v>9</v>
      </c>
      <c r="B43" s="98" t="str">
        <f>INDEX('Calc-Pivot abvals'!$G$5:$G$17,A43,0)</f>
        <v>MC2</v>
      </c>
      <c r="C43" s="98">
        <f t="shared" si="2"/>
        <v>2018</v>
      </c>
      <c r="D43" s="191">
        <f ca="1">(INDEX('INP-Calc EFOR&amp;EUOR - 2019Plan'!$I$11:$M$34,MATCH($B43,'INP-Calc EFOR&amp;EUOR - 2019Plan'!$A$11:$A$34,0),$C43-$A$1+1)-(INDEX('INP-Calc EFOR&amp;EUOR - 2019Plan'!$O$11:$S$34,MATCH($B43,'INP-Calc EFOR&amp;EUOR - 2019Plan'!$A$11:$A$34,0),$C43-$A$1+1)+INDEX('INP-Calc EFOR&amp;EUOR - 2019Plan'!$U$11:$Y$34,MATCH($B43,'INP-Calc EFOR&amp;EUOR - 2019Plan'!$A$11:$A$34,0),$C43-$A$1+1)))/(1+SUM(OFFSET('Calc-Pivot abvals'!$I$4,MATCH($B43,'Calc-Pivot abvals'!$G$5:$G$17,0),0,1,4))-(INDEX('Calc-Pivot abvals'!$H$20:$H$32,MATCH($B43,'Calc-Pivot abvals'!$G$5:$G$17,0),0)+SUMPRODUCT(OFFSET('Calc-Pivot abvals'!$I$4,MATCH($B43,'Calc-Pivot abvals'!$G$5:$G$17,0),0,1,4),OFFSET('Calc-Pivot abvals'!$I$19,MATCH($B43,'Calc-Pivot abvals'!$G$5:$G$17,0),0,1,4)))/INDEX('INP-Calc EFOR&amp;EUOR - 2019Plan'!$B$11:$B$34,MATCH($B43,'INP-Calc EFOR&amp;EUOR - 2019Plan'!$A$11:$A$34,0),0))</f>
        <v>8.7716461390377563E-4</v>
      </c>
      <c r="E43" s="98">
        <f ca="1">$D43*INDEX('Calc-Pivot abvals'!I$5:I$17,MATCH($B43,'Calc-Pivot abvals'!$G$5:$G$17,0),0)</f>
        <v>5.1584551128682231E-2</v>
      </c>
      <c r="F43" s="98">
        <f ca="1">$D43*INDEX('Calc-Pivot abvals'!J$5:J$17,MATCH($B43,'Calc-Pivot abvals'!$G$5:$G$17,0),0)</f>
        <v>9.4923365324275216E-4</v>
      </c>
      <c r="G43" s="98">
        <f ca="1">$D43*INDEX('Calc-Pivot abvals'!K$5:K$17,MATCH($B43,'Calc-Pivot abvals'!$G$5:$G$17,0),0)</f>
        <v>1.907232459917413E-3</v>
      </c>
      <c r="H43" s="98">
        <f ca="1">$D43*INDEX('Calc-Pivot abvals'!L$5:L$17,MATCH($B43,'Calc-Pivot abvals'!$G$5:$G$17,0),0)</f>
        <v>4.447611990634686E-3</v>
      </c>
      <c r="I43" s="192">
        <f ca="1">1-(1+SUM(OFFSET('Calc-Pivot abvals'!$H$4, MATCH($B43, 'Calc-Pivot abvals'!$G$5:$G$17, 0), 1, 1, 4)))*D43-INDEX('INP-Calc EFOR&amp;EUOR - 2019Plan'!$U$11:$Y$34, MATCH($B43, 'INP-Calc EFOR&amp;EUOR - 2019Plan'!$A$11:$A$34), $C43-$A$1+1)-INDEX('INP-Calc EFOR&amp;EUOR - 2019Plan'!$O$11:$S$34, MATCH($B43, 'INP-Calc EFOR&amp;EUOR - 2019Plan'!$A$11:$A$34), $C43-$A$1+1)</f>
        <v>0.88312095539313362</v>
      </c>
      <c r="J43" s="98">
        <f ca="1">1-SUMPRODUCT(D43:I43,OFFSET('Calc-Pivot abvals'!$H$19,MATCH($B43,'Calc-Pivot abvals'!$G$5:$G$17,0),0,1,6))/INDEX('INP-Calc EFOR&amp;EUOR - 2019Plan'!$B$11:$B$34,MATCH($B43,'INP-Calc EFOR&amp;EUOR - 2019Plan'!$A$11:$A$34,0),0)</f>
        <v>7.3999999999999844E-2</v>
      </c>
      <c r="K43" s="193">
        <f>VLOOKUP(B43, 'INP-Calc EFOR&amp;EUOR - 2019Plan'!$A$11:$M$34, AvailableStates!C43-$A$1+9, 0)</f>
        <v>7.3999999999999996E-2</v>
      </c>
      <c r="L43" s="193">
        <f t="shared" ca="1" si="0"/>
        <v>-1.5265566588595902E-16</v>
      </c>
    </row>
    <row r="44" spans="1:12" x14ac:dyDescent="0.25">
      <c r="A44" s="98">
        <f t="shared" si="1"/>
        <v>9</v>
      </c>
      <c r="B44" s="98" t="str">
        <f>INDEX('Calc-Pivot abvals'!$G$5:$G$17,A44,0)</f>
        <v>MC2</v>
      </c>
      <c r="C44" s="98">
        <f t="shared" si="2"/>
        <v>2019</v>
      </c>
      <c r="D44" s="191">
        <f ca="1">(INDEX('INP-Calc EFOR&amp;EUOR - 2019Plan'!$I$11:$M$34,MATCH($B44,'INP-Calc EFOR&amp;EUOR - 2019Plan'!$A$11:$A$34,0),$C44-$A$1+1)-(INDEX('INP-Calc EFOR&amp;EUOR - 2019Plan'!$O$11:$S$34,MATCH($B44,'INP-Calc EFOR&amp;EUOR - 2019Plan'!$A$11:$A$34,0),$C44-$A$1+1)+INDEX('INP-Calc EFOR&amp;EUOR - 2019Plan'!$U$11:$Y$34,MATCH($B44,'INP-Calc EFOR&amp;EUOR - 2019Plan'!$A$11:$A$34,0),$C44-$A$1+1)))/(1+SUM(OFFSET('Calc-Pivot abvals'!$I$4,MATCH($B44,'Calc-Pivot abvals'!$G$5:$G$17,0),0,1,4))-(INDEX('Calc-Pivot abvals'!$H$20:$H$32,MATCH($B44,'Calc-Pivot abvals'!$G$5:$G$17,0),0)+SUMPRODUCT(OFFSET('Calc-Pivot abvals'!$I$4,MATCH($B44,'Calc-Pivot abvals'!$G$5:$G$17,0),0,1,4),OFFSET('Calc-Pivot abvals'!$I$19,MATCH($B44,'Calc-Pivot abvals'!$G$5:$G$17,0),0,1,4)))/INDEX('INP-Calc EFOR&amp;EUOR - 2019Plan'!$B$11:$B$34,MATCH($B44,'INP-Calc EFOR&amp;EUOR - 2019Plan'!$A$11:$A$34,0),0))</f>
        <v>8.7716461390377563E-4</v>
      </c>
      <c r="E44" s="98">
        <f ca="1">$D44*INDEX('Calc-Pivot abvals'!I$5:I$17,MATCH($B44,'Calc-Pivot abvals'!$G$5:$G$17,0),0)</f>
        <v>5.1584551128682231E-2</v>
      </c>
      <c r="F44" s="98">
        <f ca="1">$D44*INDEX('Calc-Pivot abvals'!J$5:J$17,MATCH($B44,'Calc-Pivot abvals'!$G$5:$G$17,0),0)</f>
        <v>9.4923365324275216E-4</v>
      </c>
      <c r="G44" s="98">
        <f ca="1">$D44*INDEX('Calc-Pivot abvals'!K$5:K$17,MATCH($B44,'Calc-Pivot abvals'!$G$5:$G$17,0),0)</f>
        <v>1.907232459917413E-3</v>
      </c>
      <c r="H44" s="98">
        <f ca="1">$D44*INDEX('Calc-Pivot abvals'!L$5:L$17,MATCH($B44,'Calc-Pivot abvals'!$G$5:$G$17,0),0)</f>
        <v>4.447611990634686E-3</v>
      </c>
      <c r="I44" s="192">
        <f ca="1">1-(1+SUM(OFFSET('Calc-Pivot abvals'!$H$4, MATCH($B44, 'Calc-Pivot abvals'!$G$5:$G$17, 0), 1, 1, 4)))*D44-INDEX('INP-Calc EFOR&amp;EUOR - 2019Plan'!$U$11:$Y$34, MATCH($B44, 'INP-Calc EFOR&amp;EUOR - 2019Plan'!$A$11:$A$34), $C44-$A$1+1)-INDEX('INP-Calc EFOR&amp;EUOR - 2019Plan'!$O$11:$S$34, MATCH($B44, 'INP-Calc EFOR&amp;EUOR - 2019Plan'!$A$11:$A$34), $C44-$A$1+1)</f>
        <v>0.88312095539313362</v>
      </c>
      <c r="J44" s="98">
        <f ca="1">1-SUMPRODUCT(D44:I44,OFFSET('Calc-Pivot abvals'!$H$19,MATCH($B44,'Calc-Pivot abvals'!$G$5:$G$17,0),0,1,6))/INDEX('INP-Calc EFOR&amp;EUOR - 2019Plan'!$B$11:$B$34,MATCH($B44,'INP-Calc EFOR&amp;EUOR - 2019Plan'!$A$11:$A$34,0),0)</f>
        <v>7.3999999999999844E-2</v>
      </c>
      <c r="K44" s="193">
        <f>VLOOKUP(B44, 'INP-Calc EFOR&amp;EUOR - 2019Plan'!$A$11:$M$34, AvailableStates!C44-$A$1+9, 0)</f>
        <v>7.3999999999999996E-2</v>
      </c>
      <c r="L44" s="193">
        <f t="shared" ca="1" si="0"/>
        <v>-1.5265566588595902E-16</v>
      </c>
    </row>
    <row r="45" spans="1:12" x14ac:dyDescent="0.25">
      <c r="A45" s="98">
        <f t="shared" si="1"/>
        <v>9</v>
      </c>
      <c r="B45" s="98" t="str">
        <f>INDEX('Calc-Pivot abvals'!$G$5:$G$17,A45,0)</f>
        <v>MC2</v>
      </c>
      <c r="C45" s="98">
        <f t="shared" si="2"/>
        <v>2020</v>
      </c>
      <c r="D45" s="191">
        <f ca="1">(INDEX('INP-Calc EFOR&amp;EUOR - 2019Plan'!$I$11:$M$34,MATCH($B45,'INP-Calc EFOR&amp;EUOR - 2019Plan'!$A$11:$A$34,0),$C45-$A$1+1)-(INDEX('INP-Calc EFOR&amp;EUOR - 2019Plan'!$O$11:$S$34,MATCH($B45,'INP-Calc EFOR&amp;EUOR - 2019Plan'!$A$11:$A$34,0),$C45-$A$1+1)+INDEX('INP-Calc EFOR&amp;EUOR - 2019Plan'!$U$11:$Y$34,MATCH($B45,'INP-Calc EFOR&amp;EUOR - 2019Plan'!$A$11:$A$34,0),$C45-$A$1+1)))/(1+SUM(OFFSET('Calc-Pivot abvals'!$I$4,MATCH($B45,'Calc-Pivot abvals'!$G$5:$G$17,0),0,1,4))-(INDEX('Calc-Pivot abvals'!$H$20:$H$32,MATCH($B45,'Calc-Pivot abvals'!$G$5:$G$17,0),0)+SUMPRODUCT(OFFSET('Calc-Pivot abvals'!$I$4,MATCH($B45,'Calc-Pivot abvals'!$G$5:$G$17,0),0,1,4),OFFSET('Calc-Pivot abvals'!$I$19,MATCH($B45,'Calc-Pivot abvals'!$G$5:$G$17,0),0,1,4)))/INDEX('INP-Calc EFOR&amp;EUOR - 2019Plan'!$B$11:$B$34,MATCH($B45,'INP-Calc EFOR&amp;EUOR - 2019Plan'!$A$11:$A$34,0),0))</f>
        <v>8.7716461390377563E-4</v>
      </c>
      <c r="E45" s="98">
        <f ca="1">$D45*INDEX('Calc-Pivot abvals'!I$5:I$17,MATCH($B45,'Calc-Pivot abvals'!$G$5:$G$17,0),0)</f>
        <v>5.1584551128682231E-2</v>
      </c>
      <c r="F45" s="98">
        <f ca="1">$D45*INDEX('Calc-Pivot abvals'!J$5:J$17,MATCH($B45,'Calc-Pivot abvals'!$G$5:$G$17,0),0)</f>
        <v>9.4923365324275216E-4</v>
      </c>
      <c r="G45" s="98">
        <f ca="1">$D45*INDEX('Calc-Pivot abvals'!K$5:K$17,MATCH($B45,'Calc-Pivot abvals'!$G$5:$G$17,0),0)</f>
        <v>1.907232459917413E-3</v>
      </c>
      <c r="H45" s="98">
        <f ca="1">$D45*INDEX('Calc-Pivot abvals'!L$5:L$17,MATCH($B45,'Calc-Pivot abvals'!$G$5:$G$17,0),0)</f>
        <v>4.447611990634686E-3</v>
      </c>
      <c r="I45" s="192">
        <f ca="1">1-(1+SUM(OFFSET('Calc-Pivot abvals'!$H$4, MATCH($B45, 'Calc-Pivot abvals'!$G$5:$G$17, 0), 1, 1, 4)))*D45-INDEX('INP-Calc EFOR&amp;EUOR - 2019Plan'!$U$11:$Y$34, MATCH($B45, 'INP-Calc EFOR&amp;EUOR - 2019Plan'!$A$11:$A$34), $C45-$A$1+1)-INDEX('INP-Calc EFOR&amp;EUOR - 2019Plan'!$O$11:$S$34, MATCH($B45, 'INP-Calc EFOR&amp;EUOR - 2019Plan'!$A$11:$A$34), $C45-$A$1+1)</f>
        <v>0.88312095539313362</v>
      </c>
      <c r="J45" s="98">
        <f ca="1">1-SUMPRODUCT(D45:I45,OFFSET('Calc-Pivot abvals'!$H$19,MATCH($B45,'Calc-Pivot abvals'!$G$5:$G$17,0),0,1,6))/INDEX('INP-Calc EFOR&amp;EUOR - 2019Plan'!$B$11:$B$34,MATCH($B45,'INP-Calc EFOR&amp;EUOR - 2019Plan'!$A$11:$A$34,0),0)</f>
        <v>7.3999999999999844E-2</v>
      </c>
      <c r="K45" s="193">
        <f>VLOOKUP(B45, 'INP-Calc EFOR&amp;EUOR - 2019Plan'!$A$11:$M$34, AvailableStates!C45-$A$1+9, 0)</f>
        <v>7.3999999999999996E-2</v>
      </c>
      <c r="L45" s="193">
        <f t="shared" ca="1" si="0"/>
        <v>-1.5265566588595902E-16</v>
      </c>
    </row>
    <row r="46" spans="1:12" x14ac:dyDescent="0.25">
      <c r="A46" s="98">
        <f t="shared" si="1"/>
        <v>9</v>
      </c>
      <c r="B46" s="98" t="str">
        <f>INDEX('Calc-Pivot abvals'!$G$5:$G$17,A46,0)</f>
        <v>MC2</v>
      </c>
      <c r="C46" s="98">
        <f t="shared" si="2"/>
        <v>2021</v>
      </c>
      <c r="D46" s="191">
        <f ca="1">(INDEX('INP-Calc EFOR&amp;EUOR - 2019Plan'!$I$11:$M$34,MATCH($B46,'INP-Calc EFOR&amp;EUOR - 2019Plan'!$A$11:$A$34,0),$C46-$A$1+1)-(INDEX('INP-Calc EFOR&amp;EUOR - 2019Plan'!$O$11:$S$34,MATCH($B46,'INP-Calc EFOR&amp;EUOR - 2019Plan'!$A$11:$A$34,0),$C46-$A$1+1)+INDEX('INP-Calc EFOR&amp;EUOR - 2019Plan'!$U$11:$Y$34,MATCH($B46,'INP-Calc EFOR&amp;EUOR - 2019Plan'!$A$11:$A$34,0),$C46-$A$1+1)))/(1+SUM(OFFSET('Calc-Pivot abvals'!$I$4,MATCH($B46,'Calc-Pivot abvals'!$G$5:$G$17,0),0,1,4))-(INDEX('Calc-Pivot abvals'!$H$20:$H$32,MATCH($B46,'Calc-Pivot abvals'!$G$5:$G$17,0),0)+SUMPRODUCT(OFFSET('Calc-Pivot abvals'!$I$4,MATCH($B46,'Calc-Pivot abvals'!$G$5:$G$17,0),0,1,4),OFFSET('Calc-Pivot abvals'!$I$19,MATCH($B46,'Calc-Pivot abvals'!$G$5:$G$17,0),0,1,4)))/INDEX('INP-Calc EFOR&amp;EUOR - 2019Plan'!$B$11:$B$34,MATCH($B46,'INP-Calc EFOR&amp;EUOR - 2019Plan'!$A$11:$A$34,0),0))</f>
        <v>8.7716461390377563E-4</v>
      </c>
      <c r="E46" s="98">
        <f ca="1">$D46*INDEX('Calc-Pivot abvals'!I$5:I$17,MATCH($B46,'Calc-Pivot abvals'!$G$5:$G$17,0),0)</f>
        <v>5.1584551128682231E-2</v>
      </c>
      <c r="F46" s="98">
        <f ca="1">$D46*INDEX('Calc-Pivot abvals'!J$5:J$17,MATCH($B46,'Calc-Pivot abvals'!$G$5:$G$17,0),0)</f>
        <v>9.4923365324275216E-4</v>
      </c>
      <c r="G46" s="98">
        <f ca="1">$D46*INDEX('Calc-Pivot abvals'!K$5:K$17,MATCH($B46,'Calc-Pivot abvals'!$G$5:$G$17,0),0)</f>
        <v>1.907232459917413E-3</v>
      </c>
      <c r="H46" s="98">
        <f ca="1">$D46*INDEX('Calc-Pivot abvals'!L$5:L$17,MATCH($B46,'Calc-Pivot abvals'!$G$5:$G$17,0),0)</f>
        <v>4.447611990634686E-3</v>
      </c>
      <c r="I46" s="192">
        <f ca="1">1-(1+SUM(OFFSET('Calc-Pivot abvals'!$H$4, MATCH($B46, 'Calc-Pivot abvals'!$G$5:$G$17, 0), 1, 1, 4)))*D46-INDEX('INP-Calc EFOR&amp;EUOR - 2019Plan'!$U$11:$Y$34, MATCH($B46, 'INP-Calc EFOR&amp;EUOR - 2019Plan'!$A$11:$A$34), $C46-$A$1+1)-INDEX('INP-Calc EFOR&amp;EUOR - 2019Plan'!$O$11:$S$34, MATCH($B46, 'INP-Calc EFOR&amp;EUOR - 2019Plan'!$A$11:$A$34), $C46-$A$1+1)</f>
        <v>0.88312095539313362</v>
      </c>
      <c r="J46" s="98">
        <f ca="1">1-SUMPRODUCT(D46:I46,OFFSET('Calc-Pivot abvals'!$H$19,MATCH($B46,'Calc-Pivot abvals'!$G$5:$G$17,0),0,1,6))/INDEX('INP-Calc EFOR&amp;EUOR - 2019Plan'!$B$11:$B$34,MATCH($B46,'INP-Calc EFOR&amp;EUOR - 2019Plan'!$A$11:$A$34,0),0)</f>
        <v>7.3999999999999844E-2</v>
      </c>
      <c r="K46" s="193">
        <f>VLOOKUP(B46, 'INP-Calc EFOR&amp;EUOR - 2019Plan'!$A$11:$M$34, AvailableStates!C46-$A$1+9, 0)</f>
        <v>7.3999999999999996E-2</v>
      </c>
      <c r="L46" s="193">
        <f t="shared" ca="1" si="0"/>
        <v>-1.5265566588595902E-16</v>
      </c>
    </row>
    <row r="47" spans="1:12" x14ac:dyDescent="0.25">
      <c r="A47" s="98">
        <f t="shared" si="1"/>
        <v>9</v>
      </c>
      <c r="B47" s="98" t="str">
        <f>INDEX('Calc-Pivot abvals'!$G$5:$G$17,A47,0)</f>
        <v>MC2</v>
      </c>
      <c r="C47" s="98">
        <f t="shared" si="2"/>
        <v>2022</v>
      </c>
      <c r="D47" s="191">
        <f ca="1">(INDEX('INP-Calc EFOR&amp;EUOR - 2019Plan'!$I$11:$M$34,MATCH($B47,'INP-Calc EFOR&amp;EUOR - 2019Plan'!$A$11:$A$34,0),$C47-$A$1+1)-(INDEX('INP-Calc EFOR&amp;EUOR - 2019Plan'!$O$11:$S$34,MATCH($B47,'INP-Calc EFOR&amp;EUOR - 2019Plan'!$A$11:$A$34,0),$C47-$A$1+1)+INDEX('INP-Calc EFOR&amp;EUOR - 2019Plan'!$U$11:$Y$34,MATCH($B47,'INP-Calc EFOR&amp;EUOR - 2019Plan'!$A$11:$A$34,0),$C47-$A$1+1)))/(1+SUM(OFFSET('Calc-Pivot abvals'!$I$4,MATCH($B47,'Calc-Pivot abvals'!$G$5:$G$17,0),0,1,4))-(INDEX('Calc-Pivot abvals'!$H$20:$H$32,MATCH($B47,'Calc-Pivot abvals'!$G$5:$G$17,0),0)+SUMPRODUCT(OFFSET('Calc-Pivot abvals'!$I$4,MATCH($B47,'Calc-Pivot abvals'!$G$5:$G$17,0),0,1,4),OFFSET('Calc-Pivot abvals'!$I$19,MATCH($B47,'Calc-Pivot abvals'!$G$5:$G$17,0),0,1,4)))/INDEX('INP-Calc EFOR&amp;EUOR - 2019Plan'!$B$11:$B$34,MATCH($B47,'INP-Calc EFOR&amp;EUOR - 2019Plan'!$A$11:$A$34,0),0))</f>
        <v>8.7716461390377563E-4</v>
      </c>
      <c r="E47" s="98">
        <f ca="1">$D47*INDEX('Calc-Pivot abvals'!I$5:I$17,MATCH($B47,'Calc-Pivot abvals'!$G$5:$G$17,0),0)</f>
        <v>5.1584551128682231E-2</v>
      </c>
      <c r="F47" s="98">
        <f ca="1">$D47*INDEX('Calc-Pivot abvals'!J$5:J$17,MATCH($B47,'Calc-Pivot abvals'!$G$5:$G$17,0),0)</f>
        <v>9.4923365324275216E-4</v>
      </c>
      <c r="G47" s="98">
        <f ca="1">$D47*INDEX('Calc-Pivot abvals'!K$5:K$17,MATCH($B47,'Calc-Pivot abvals'!$G$5:$G$17,0),0)</f>
        <v>1.907232459917413E-3</v>
      </c>
      <c r="H47" s="98">
        <f ca="1">$D47*INDEX('Calc-Pivot abvals'!L$5:L$17,MATCH($B47,'Calc-Pivot abvals'!$G$5:$G$17,0),0)</f>
        <v>4.447611990634686E-3</v>
      </c>
      <c r="I47" s="192">
        <f ca="1">1-(1+SUM(OFFSET('Calc-Pivot abvals'!$H$4, MATCH($B47, 'Calc-Pivot abvals'!$G$5:$G$17, 0), 1, 1, 4)))*D47-INDEX('INP-Calc EFOR&amp;EUOR - 2019Plan'!$U$11:$Y$34, MATCH($B47, 'INP-Calc EFOR&amp;EUOR - 2019Plan'!$A$11:$A$34), $C47-$A$1+1)-INDEX('INP-Calc EFOR&amp;EUOR - 2019Plan'!$O$11:$S$34, MATCH($B47, 'INP-Calc EFOR&amp;EUOR - 2019Plan'!$A$11:$A$34), $C47-$A$1+1)</f>
        <v>0.88312095539313362</v>
      </c>
      <c r="J47" s="98">
        <f ca="1">1-SUMPRODUCT(D47:I47,OFFSET('Calc-Pivot abvals'!$H$19,MATCH($B47,'Calc-Pivot abvals'!$G$5:$G$17,0),0,1,6))/INDEX('INP-Calc EFOR&amp;EUOR - 2019Plan'!$B$11:$B$34,MATCH($B47,'INP-Calc EFOR&amp;EUOR - 2019Plan'!$A$11:$A$34,0),0)</f>
        <v>7.3999999999999844E-2</v>
      </c>
      <c r="K47" s="193">
        <f>VLOOKUP(B47, 'INP-Calc EFOR&amp;EUOR - 2019Plan'!$A$11:$M$34, AvailableStates!C47-$A$1+9, 0)</f>
        <v>7.3999999999999996E-2</v>
      </c>
      <c r="L47" s="193">
        <f t="shared" ca="1" si="0"/>
        <v>-1.5265566588595902E-16</v>
      </c>
    </row>
    <row r="48" spans="1:12" x14ac:dyDescent="0.25">
      <c r="A48" s="98">
        <f t="shared" si="1"/>
        <v>10</v>
      </c>
      <c r="B48" s="98" t="str">
        <f>INDEX('Calc-Pivot abvals'!$G$5:$G$17,A48,0)</f>
        <v>MC3</v>
      </c>
      <c r="C48" s="98">
        <f t="shared" si="2"/>
        <v>2018</v>
      </c>
      <c r="D48" s="191">
        <f ca="1">(INDEX('INP-Calc EFOR&amp;EUOR - 2019Plan'!$I$11:$M$34,MATCH($B48,'INP-Calc EFOR&amp;EUOR - 2019Plan'!$A$11:$A$34,0),$C48-$A$1+1)-(INDEX('INP-Calc EFOR&amp;EUOR - 2019Plan'!$O$11:$S$34,MATCH($B48,'INP-Calc EFOR&amp;EUOR - 2019Plan'!$A$11:$A$34,0),$C48-$A$1+1)+INDEX('INP-Calc EFOR&amp;EUOR - 2019Plan'!$U$11:$Y$34,MATCH($B48,'INP-Calc EFOR&amp;EUOR - 2019Plan'!$A$11:$A$34,0),$C48-$A$1+1)))/(1+SUM(OFFSET('Calc-Pivot abvals'!$I$4,MATCH($B48,'Calc-Pivot abvals'!$G$5:$G$17,0),0,1,4))-(INDEX('Calc-Pivot abvals'!$H$20:$H$32,MATCH($B48,'Calc-Pivot abvals'!$G$5:$G$17,0),0)+SUMPRODUCT(OFFSET('Calc-Pivot abvals'!$I$4,MATCH($B48,'Calc-Pivot abvals'!$G$5:$G$17,0),0,1,4),OFFSET('Calc-Pivot abvals'!$I$19,MATCH($B48,'Calc-Pivot abvals'!$G$5:$G$17,0),0,1,4)))/INDEX('INP-Calc EFOR&amp;EUOR - 2019Plan'!$B$11:$B$34,MATCH($B48,'INP-Calc EFOR&amp;EUOR - 2019Plan'!$A$11:$A$34,0),0))</f>
        <v>2.0258783540593177E-2</v>
      </c>
      <c r="E48" s="98">
        <f ca="1">$D48*INDEX('Calc-Pivot abvals'!I$5:I$17,MATCH($B48,'Calc-Pivot abvals'!$G$5:$G$17,0),0)</f>
        <v>3.4360395595441459E-3</v>
      </c>
      <c r="F48" s="98">
        <f ca="1">$D48*INDEX('Calc-Pivot abvals'!J$5:J$17,MATCH($B48,'Calc-Pivot abvals'!$G$5:$G$17,0),0)</f>
        <v>6.2414031771451323E-3</v>
      </c>
      <c r="G48" s="98">
        <f ca="1">$D48*INDEX('Calc-Pivot abvals'!K$5:K$17,MATCH($B48,'Calc-Pivot abvals'!$G$5:$G$17,0),0)</f>
        <v>2.5795660581292043E-3</v>
      </c>
      <c r="H48" s="98">
        <f ca="1">$D48*INDEX('Calc-Pivot abvals'!L$5:L$17,MATCH($B48,'Calc-Pivot abvals'!$G$5:$G$17,0),0)</f>
        <v>6.4393594492214278E-3</v>
      </c>
      <c r="I48" s="192">
        <f ca="1">1-(1+SUM(OFFSET('Calc-Pivot abvals'!$H$4, MATCH($B48, 'Calc-Pivot abvals'!$G$5:$G$17, 0), 1, 1, 4)))*D48-INDEX('INP-Calc EFOR&amp;EUOR - 2019Plan'!$U$11:$Y$34, MATCH($B48, 'INP-Calc EFOR&amp;EUOR - 2019Plan'!$A$11:$A$34), $C48-$A$1+1)-INDEX('INP-Calc EFOR&amp;EUOR - 2019Plan'!$O$11:$S$34, MATCH($B48, 'INP-Calc EFOR&amp;EUOR - 2019Plan'!$A$11:$A$34), $C48-$A$1+1)</f>
        <v>0.90393159745488139</v>
      </c>
      <c r="J48" s="98">
        <f ca="1">1-SUMPRODUCT(D48:I48,OFFSET('Calc-Pivot abvals'!$H$19,MATCH($B48,'Calc-Pivot abvals'!$G$5:$G$17,0),0,1,6))/INDEX('INP-Calc EFOR&amp;EUOR - 2019Plan'!$B$11:$B$34,MATCH($B48,'INP-Calc EFOR&amp;EUOR - 2019Plan'!$A$11:$A$34,0),0)</f>
        <v>7.3999999999999844E-2</v>
      </c>
      <c r="K48" s="193">
        <f>VLOOKUP(B48, 'INP-Calc EFOR&amp;EUOR - 2019Plan'!$A$11:$M$34, AvailableStates!C48-$A$1+9, 0)</f>
        <v>7.3999999999999996E-2</v>
      </c>
      <c r="L48" s="193">
        <f t="shared" ca="1" si="0"/>
        <v>-1.5265566588595902E-16</v>
      </c>
    </row>
    <row r="49" spans="1:12" x14ac:dyDescent="0.25">
      <c r="A49" s="98">
        <f t="shared" si="1"/>
        <v>10</v>
      </c>
      <c r="B49" s="98" t="str">
        <f>INDEX('Calc-Pivot abvals'!$G$5:$G$17,A49,0)</f>
        <v>MC3</v>
      </c>
      <c r="C49" s="98">
        <f t="shared" si="2"/>
        <v>2019</v>
      </c>
      <c r="D49" s="191">
        <f ca="1">(INDEX('INP-Calc EFOR&amp;EUOR - 2019Plan'!$I$11:$M$34,MATCH($B49,'INP-Calc EFOR&amp;EUOR - 2019Plan'!$A$11:$A$34,0),$C49-$A$1+1)-(INDEX('INP-Calc EFOR&amp;EUOR - 2019Plan'!$O$11:$S$34,MATCH($B49,'INP-Calc EFOR&amp;EUOR - 2019Plan'!$A$11:$A$34,0),$C49-$A$1+1)+INDEX('INP-Calc EFOR&amp;EUOR - 2019Plan'!$U$11:$Y$34,MATCH($B49,'INP-Calc EFOR&amp;EUOR - 2019Plan'!$A$11:$A$34,0),$C49-$A$1+1)))/(1+SUM(OFFSET('Calc-Pivot abvals'!$I$4,MATCH($B49,'Calc-Pivot abvals'!$G$5:$G$17,0),0,1,4))-(INDEX('Calc-Pivot abvals'!$H$20:$H$32,MATCH($B49,'Calc-Pivot abvals'!$G$5:$G$17,0),0)+SUMPRODUCT(OFFSET('Calc-Pivot abvals'!$I$4,MATCH($B49,'Calc-Pivot abvals'!$G$5:$G$17,0),0,1,4),OFFSET('Calc-Pivot abvals'!$I$19,MATCH($B49,'Calc-Pivot abvals'!$G$5:$G$17,0),0,1,4)))/INDEX('INP-Calc EFOR&amp;EUOR - 2019Plan'!$B$11:$B$34,MATCH($B49,'INP-Calc EFOR&amp;EUOR - 2019Plan'!$A$11:$A$34,0),0))</f>
        <v>2.0258783540593177E-2</v>
      </c>
      <c r="E49" s="98">
        <f ca="1">$D49*INDEX('Calc-Pivot abvals'!I$5:I$17,MATCH($B49,'Calc-Pivot abvals'!$G$5:$G$17,0),0)</f>
        <v>3.4360395595441459E-3</v>
      </c>
      <c r="F49" s="98">
        <f ca="1">$D49*INDEX('Calc-Pivot abvals'!J$5:J$17,MATCH($B49,'Calc-Pivot abvals'!$G$5:$G$17,0),0)</f>
        <v>6.2414031771451323E-3</v>
      </c>
      <c r="G49" s="98">
        <f ca="1">$D49*INDEX('Calc-Pivot abvals'!K$5:K$17,MATCH($B49,'Calc-Pivot abvals'!$G$5:$G$17,0),0)</f>
        <v>2.5795660581292043E-3</v>
      </c>
      <c r="H49" s="98">
        <f ca="1">$D49*INDEX('Calc-Pivot abvals'!L$5:L$17,MATCH($B49,'Calc-Pivot abvals'!$G$5:$G$17,0),0)</f>
        <v>6.4393594492214278E-3</v>
      </c>
      <c r="I49" s="192">
        <f ca="1">1-(1+SUM(OFFSET('Calc-Pivot abvals'!$H$4, MATCH($B49, 'Calc-Pivot abvals'!$G$5:$G$17, 0), 1, 1, 4)))*D49-INDEX('INP-Calc EFOR&amp;EUOR - 2019Plan'!$U$11:$Y$34, MATCH($B49, 'INP-Calc EFOR&amp;EUOR - 2019Plan'!$A$11:$A$34), $C49-$A$1+1)-INDEX('INP-Calc EFOR&amp;EUOR - 2019Plan'!$O$11:$S$34, MATCH($B49, 'INP-Calc EFOR&amp;EUOR - 2019Plan'!$A$11:$A$34), $C49-$A$1+1)</f>
        <v>0.90393159745488139</v>
      </c>
      <c r="J49" s="98">
        <f ca="1">1-SUMPRODUCT(D49:I49,OFFSET('Calc-Pivot abvals'!$H$19,MATCH($B49,'Calc-Pivot abvals'!$G$5:$G$17,0),0,1,6))/INDEX('INP-Calc EFOR&amp;EUOR - 2019Plan'!$B$11:$B$34,MATCH($B49,'INP-Calc EFOR&amp;EUOR - 2019Plan'!$A$11:$A$34,0),0)</f>
        <v>7.3999999999999844E-2</v>
      </c>
      <c r="K49" s="193">
        <f>VLOOKUP(B49, 'INP-Calc EFOR&amp;EUOR - 2019Plan'!$A$11:$M$34, AvailableStates!C49-$A$1+9, 0)</f>
        <v>7.3999999999999996E-2</v>
      </c>
      <c r="L49" s="193">
        <f t="shared" ca="1" si="0"/>
        <v>-1.5265566588595902E-16</v>
      </c>
    </row>
    <row r="50" spans="1:12" x14ac:dyDescent="0.25">
      <c r="A50" s="98">
        <f t="shared" si="1"/>
        <v>10</v>
      </c>
      <c r="B50" s="98" t="str">
        <f>INDEX('Calc-Pivot abvals'!$G$5:$G$17,A50,0)</f>
        <v>MC3</v>
      </c>
      <c r="C50" s="98">
        <f t="shared" si="2"/>
        <v>2020</v>
      </c>
      <c r="D50" s="191">
        <f ca="1">(INDEX('INP-Calc EFOR&amp;EUOR - 2019Plan'!$I$11:$M$34,MATCH($B50,'INP-Calc EFOR&amp;EUOR - 2019Plan'!$A$11:$A$34,0),$C50-$A$1+1)-(INDEX('INP-Calc EFOR&amp;EUOR - 2019Plan'!$O$11:$S$34,MATCH($B50,'INP-Calc EFOR&amp;EUOR - 2019Plan'!$A$11:$A$34,0),$C50-$A$1+1)+INDEX('INP-Calc EFOR&amp;EUOR - 2019Plan'!$U$11:$Y$34,MATCH($B50,'INP-Calc EFOR&amp;EUOR - 2019Plan'!$A$11:$A$34,0),$C50-$A$1+1)))/(1+SUM(OFFSET('Calc-Pivot abvals'!$I$4,MATCH($B50,'Calc-Pivot abvals'!$G$5:$G$17,0),0,1,4))-(INDEX('Calc-Pivot abvals'!$H$20:$H$32,MATCH($B50,'Calc-Pivot abvals'!$G$5:$G$17,0),0)+SUMPRODUCT(OFFSET('Calc-Pivot abvals'!$I$4,MATCH($B50,'Calc-Pivot abvals'!$G$5:$G$17,0),0,1,4),OFFSET('Calc-Pivot abvals'!$I$19,MATCH($B50,'Calc-Pivot abvals'!$G$5:$G$17,0),0,1,4)))/INDEX('INP-Calc EFOR&amp;EUOR - 2019Plan'!$B$11:$B$34,MATCH($B50,'INP-Calc EFOR&amp;EUOR - 2019Plan'!$A$11:$A$34,0),0))</f>
        <v>2.0258783540593177E-2</v>
      </c>
      <c r="E50" s="98">
        <f ca="1">$D50*INDEX('Calc-Pivot abvals'!I$5:I$17,MATCH($B50,'Calc-Pivot abvals'!$G$5:$G$17,0),0)</f>
        <v>3.4360395595441459E-3</v>
      </c>
      <c r="F50" s="98">
        <f ca="1">$D50*INDEX('Calc-Pivot abvals'!J$5:J$17,MATCH($B50,'Calc-Pivot abvals'!$G$5:$G$17,0),0)</f>
        <v>6.2414031771451323E-3</v>
      </c>
      <c r="G50" s="98">
        <f ca="1">$D50*INDEX('Calc-Pivot abvals'!K$5:K$17,MATCH($B50,'Calc-Pivot abvals'!$G$5:$G$17,0),0)</f>
        <v>2.5795660581292043E-3</v>
      </c>
      <c r="H50" s="98">
        <f ca="1">$D50*INDEX('Calc-Pivot abvals'!L$5:L$17,MATCH($B50,'Calc-Pivot abvals'!$G$5:$G$17,0),0)</f>
        <v>6.4393594492214278E-3</v>
      </c>
      <c r="I50" s="192">
        <f ca="1">1-(1+SUM(OFFSET('Calc-Pivot abvals'!$H$4, MATCH($B50, 'Calc-Pivot abvals'!$G$5:$G$17, 0), 1, 1, 4)))*D50-INDEX('INP-Calc EFOR&amp;EUOR - 2019Plan'!$U$11:$Y$34, MATCH($B50, 'INP-Calc EFOR&amp;EUOR - 2019Plan'!$A$11:$A$34), $C50-$A$1+1)-INDEX('INP-Calc EFOR&amp;EUOR - 2019Plan'!$O$11:$S$34, MATCH($B50, 'INP-Calc EFOR&amp;EUOR - 2019Plan'!$A$11:$A$34), $C50-$A$1+1)</f>
        <v>0.90393159745488139</v>
      </c>
      <c r="J50" s="98">
        <f ca="1">1-SUMPRODUCT(D50:I50,OFFSET('Calc-Pivot abvals'!$H$19,MATCH($B50,'Calc-Pivot abvals'!$G$5:$G$17,0),0,1,6))/INDEX('INP-Calc EFOR&amp;EUOR - 2019Plan'!$B$11:$B$34,MATCH($B50,'INP-Calc EFOR&amp;EUOR - 2019Plan'!$A$11:$A$34,0),0)</f>
        <v>7.3999999999999844E-2</v>
      </c>
      <c r="K50" s="193">
        <f>VLOOKUP(B50, 'INP-Calc EFOR&amp;EUOR - 2019Plan'!$A$11:$M$34, AvailableStates!C50-$A$1+9, 0)</f>
        <v>7.3999999999999996E-2</v>
      </c>
      <c r="L50" s="193">
        <f t="shared" ca="1" si="0"/>
        <v>-1.5265566588595902E-16</v>
      </c>
    </row>
    <row r="51" spans="1:12" x14ac:dyDescent="0.25">
      <c r="A51" s="98">
        <f t="shared" si="1"/>
        <v>10</v>
      </c>
      <c r="B51" s="98" t="str">
        <f>INDEX('Calc-Pivot abvals'!$G$5:$G$17,A51,0)</f>
        <v>MC3</v>
      </c>
      <c r="C51" s="98">
        <f t="shared" si="2"/>
        <v>2021</v>
      </c>
      <c r="D51" s="191">
        <f ca="1">(INDEX('INP-Calc EFOR&amp;EUOR - 2019Plan'!$I$11:$M$34,MATCH($B51,'INP-Calc EFOR&amp;EUOR - 2019Plan'!$A$11:$A$34,0),$C51-$A$1+1)-(INDEX('INP-Calc EFOR&amp;EUOR - 2019Plan'!$O$11:$S$34,MATCH($B51,'INP-Calc EFOR&amp;EUOR - 2019Plan'!$A$11:$A$34,0),$C51-$A$1+1)+INDEX('INP-Calc EFOR&amp;EUOR - 2019Plan'!$U$11:$Y$34,MATCH($B51,'INP-Calc EFOR&amp;EUOR - 2019Plan'!$A$11:$A$34,0),$C51-$A$1+1)))/(1+SUM(OFFSET('Calc-Pivot abvals'!$I$4,MATCH($B51,'Calc-Pivot abvals'!$G$5:$G$17,0),0,1,4))-(INDEX('Calc-Pivot abvals'!$H$20:$H$32,MATCH($B51,'Calc-Pivot abvals'!$G$5:$G$17,0),0)+SUMPRODUCT(OFFSET('Calc-Pivot abvals'!$I$4,MATCH($B51,'Calc-Pivot abvals'!$G$5:$G$17,0),0,1,4),OFFSET('Calc-Pivot abvals'!$I$19,MATCH($B51,'Calc-Pivot abvals'!$G$5:$G$17,0),0,1,4)))/INDEX('INP-Calc EFOR&amp;EUOR - 2019Plan'!$B$11:$B$34,MATCH($B51,'INP-Calc EFOR&amp;EUOR - 2019Plan'!$A$11:$A$34,0),0))</f>
        <v>2.0258783540593177E-2</v>
      </c>
      <c r="E51" s="98">
        <f ca="1">$D51*INDEX('Calc-Pivot abvals'!I$5:I$17,MATCH($B51,'Calc-Pivot abvals'!$G$5:$G$17,0),0)</f>
        <v>3.4360395595441459E-3</v>
      </c>
      <c r="F51" s="98">
        <f ca="1">$D51*INDEX('Calc-Pivot abvals'!J$5:J$17,MATCH($B51,'Calc-Pivot abvals'!$G$5:$G$17,0),0)</f>
        <v>6.2414031771451323E-3</v>
      </c>
      <c r="G51" s="98">
        <f ca="1">$D51*INDEX('Calc-Pivot abvals'!K$5:K$17,MATCH($B51,'Calc-Pivot abvals'!$G$5:$G$17,0),0)</f>
        <v>2.5795660581292043E-3</v>
      </c>
      <c r="H51" s="98">
        <f ca="1">$D51*INDEX('Calc-Pivot abvals'!L$5:L$17,MATCH($B51,'Calc-Pivot abvals'!$G$5:$G$17,0),0)</f>
        <v>6.4393594492214278E-3</v>
      </c>
      <c r="I51" s="192">
        <f ca="1">1-(1+SUM(OFFSET('Calc-Pivot abvals'!$H$4, MATCH($B51, 'Calc-Pivot abvals'!$G$5:$G$17, 0), 1, 1, 4)))*D51-INDEX('INP-Calc EFOR&amp;EUOR - 2019Plan'!$U$11:$Y$34, MATCH($B51, 'INP-Calc EFOR&amp;EUOR - 2019Plan'!$A$11:$A$34), $C51-$A$1+1)-INDEX('INP-Calc EFOR&amp;EUOR - 2019Plan'!$O$11:$S$34, MATCH($B51, 'INP-Calc EFOR&amp;EUOR - 2019Plan'!$A$11:$A$34), $C51-$A$1+1)</f>
        <v>0.90393159745488139</v>
      </c>
      <c r="J51" s="98">
        <f ca="1">1-SUMPRODUCT(D51:I51,OFFSET('Calc-Pivot abvals'!$H$19,MATCH($B51,'Calc-Pivot abvals'!$G$5:$G$17,0),0,1,6))/INDEX('INP-Calc EFOR&amp;EUOR - 2019Plan'!$B$11:$B$34,MATCH($B51,'INP-Calc EFOR&amp;EUOR - 2019Plan'!$A$11:$A$34,0),0)</f>
        <v>7.3999999999999844E-2</v>
      </c>
      <c r="K51" s="193">
        <f>VLOOKUP(B51, 'INP-Calc EFOR&amp;EUOR - 2019Plan'!$A$11:$M$34, AvailableStates!C51-$A$1+9, 0)</f>
        <v>7.3999999999999996E-2</v>
      </c>
      <c r="L51" s="193">
        <f t="shared" ca="1" si="0"/>
        <v>-1.5265566588595902E-16</v>
      </c>
    </row>
    <row r="52" spans="1:12" x14ac:dyDescent="0.25">
      <c r="A52" s="98">
        <f t="shared" si="1"/>
        <v>10</v>
      </c>
      <c r="B52" s="98" t="str">
        <f>INDEX('Calc-Pivot abvals'!$G$5:$G$17,A52,0)</f>
        <v>MC3</v>
      </c>
      <c r="C52" s="98">
        <f t="shared" si="2"/>
        <v>2022</v>
      </c>
      <c r="D52" s="191">
        <f ca="1">(INDEX('INP-Calc EFOR&amp;EUOR - 2019Plan'!$I$11:$M$34,MATCH($B52,'INP-Calc EFOR&amp;EUOR - 2019Plan'!$A$11:$A$34,0),$C52-$A$1+1)-(INDEX('INP-Calc EFOR&amp;EUOR - 2019Plan'!$O$11:$S$34,MATCH($B52,'INP-Calc EFOR&amp;EUOR - 2019Plan'!$A$11:$A$34,0),$C52-$A$1+1)+INDEX('INP-Calc EFOR&amp;EUOR - 2019Plan'!$U$11:$Y$34,MATCH($B52,'INP-Calc EFOR&amp;EUOR - 2019Plan'!$A$11:$A$34,0),$C52-$A$1+1)))/(1+SUM(OFFSET('Calc-Pivot abvals'!$I$4,MATCH($B52,'Calc-Pivot abvals'!$G$5:$G$17,0),0,1,4))-(INDEX('Calc-Pivot abvals'!$H$20:$H$32,MATCH($B52,'Calc-Pivot abvals'!$G$5:$G$17,0),0)+SUMPRODUCT(OFFSET('Calc-Pivot abvals'!$I$4,MATCH($B52,'Calc-Pivot abvals'!$G$5:$G$17,0),0,1,4),OFFSET('Calc-Pivot abvals'!$I$19,MATCH($B52,'Calc-Pivot abvals'!$G$5:$G$17,0),0,1,4)))/INDEX('INP-Calc EFOR&amp;EUOR - 2019Plan'!$B$11:$B$34,MATCH($B52,'INP-Calc EFOR&amp;EUOR - 2019Plan'!$A$11:$A$34,0),0))</f>
        <v>2.0258783540593177E-2</v>
      </c>
      <c r="E52" s="98">
        <f ca="1">$D52*INDEX('Calc-Pivot abvals'!I$5:I$17,MATCH($B52,'Calc-Pivot abvals'!$G$5:$G$17,0),0)</f>
        <v>3.4360395595441459E-3</v>
      </c>
      <c r="F52" s="98">
        <f ca="1">$D52*INDEX('Calc-Pivot abvals'!J$5:J$17,MATCH($B52,'Calc-Pivot abvals'!$G$5:$G$17,0),0)</f>
        <v>6.2414031771451323E-3</v>
      </c>
      <c r="G52" s="98">
        <f ca="1">$D52*INDEX('Calc-Pivot abvals'!K$5:K$17,MATCH($B52,'Calc-Pivot abvals'!$G$5:$G$17,0),0)</f>
        <v>2.5795660581292043E-3</v>
      </c>
      <c r="H52" s="98">
        <f ca="1">$D52*INDEX('Calc-Pivot abvals'!L$5:L$17,MATCH($B52,'Calc-Pivot abvals'!$G$5:$G$17,0),0)</f>
        <v>6.4393594492214278E-3</v>
      </c>
      <c r="I52" s="192">
        <f ca="1">1-(1+SUM(OFFSET('Calc-Pivot abvals'!$H$4, MATCH($B52, 'Calc-Pivot abvals'!$G$5:$G$17, 0), 1, 1, 4)))*D52-INDEX('INP-Calc EFOR&amp;EUOR - 2019Plan'!$U$11:$Y$34, MATCH($B52, 'INP-Calc EFOR&amp;EUOR - 2019Plan'!$A$11:$A$34), $C52-$A$1+1)-INDEX('INP-Calc EFOR&amp;EUOR - 2019Plan'!$O$11:$S$34, MATCH($B52, 'INP-Calc EFOR&amp;EUOR - 2019Plan'!$A$11:$A$34), $C52-$A$1+1)</f>
        <v>0.90393159745488139</v>
      </c>
      <c r="J52" s="98">
        <f ca="1">1-SUMPRODUCT(D52:I52,OFFSET('Calc-Pivot abvals'!$H$19,MATCH($B52,'Calc-Pivot abvals'!$G$5:$G$17,0),0,1,6))/INDEX('INP-Calc EFOR&amp;EUOR - 2019Plan'!$B$11:$B$34,MATCH($B52,'INP-Calc EFOR&amp;EUOR - 2019Plan'!$A$11:$A$34,0),0)</f>
        <v>7.3999999999999844E-2</v>
      </c>
      <c r="K52" s="193">
        <f>VLOOKUP(B52, 'INP-Calc EFOR&amp;EUOR - 2019Plan'!$A$11:$M$34, AvailableStates!C52-$A$1+9, 0)</f>
        <v>7.3999999999999996E-2</v>
      </c>
      <c r="L52" s="193">
        <f t="shared" ca="1" si="0"/>
        <v>-1.5265566588595902E-16</v>
      </c>
    </row>
    <row r="53" spans="1:12" x14ac:dyDescent="0.25">
      <c r="A53" s="98">
        <f t="shared" si="1"/>
        <v>11</v>
      </c>
      <c r="B53" s="98" t="str">
        <f>INDEX('Calc-Pivot abvals'!$G$5:$G$17,A53,0)</f>
        <v>MC4</v>
      </c>
      <c r="C53" s="98">
        <f t="shared" si="2"/>
        <v>2018</v>
      </c>
      <c r="D53" s="191">
        <f ca="1">(INDEX('INP-Calc EFOR&amp;EUOR - 2019Plan'!$I$11:$M$34,MATCH($B53,'INP-Calc EFOR&amp;EUOR - 2019Plan'!$A$11:$A$34,0),$C53-$A$1+1)-(INDEX('INP-Calc EFOR&amp;EUOR - 2019Plan'!$O$11:$S$34,MATCH($B53,'INP-Calc EFOR&amp;EUOR - 2019Plan'!$A$11:$A$34,0),$C53-$A$1+1)+INDEX('INP-Calc EFOR&amp;EUOR - 2019Plan'!$U$11:$Y$34,MATCH($B53,'INP-Calc EFOR&amp;EUOR - 2019Plan'!$A$11:$A$34,0),$C53-$A$1+1)))/(1+SUM(OFFSET('Calc-Pivot abvals'!$I$4,MATCH($B53,'Calc-Pivot abvals'!$G$5:$G$17,0),0,1,4))-(INDEX('Calc-Pivot abvals'!$H$20:$H$32,MATCH($B53,'Calc-Pivot abvals'!$G$5:$G$17,0),0)+SUMPRODUCT(OFFSET('Calc-Pivot abvals'!$I$4,MATCH($B53,'Calc-Pivot abvals'!$G$5:$G$17,0),0,1,4),OFFSET('Calc-Pivot abvals'!$I$19,MATCH($B53,'Calc-Pivot abvals'!$G$5:$G$17,0),0,1,4)))/INDEX('INP-Calc EFOR&amp;EUOR - 2019Plan'!$B$11:$B$34,MATCH($B53,'INP-Calc EFOR&amp;EUOR - 2019Plan'!$A$11:$A$34,0),0))</f>
        <v>7.6513113369137201E-3</v>
      </c>
      <c r="E53" s="98">
        <f ca="1">$D53*INDEX('Calc-Pivot abvals'!I$5:I$17,MATCH($B53,'Calc-Pivot abvals'!$G$5:$G$17,0),0)</f>
        <v>7.6170879078315953E-3</v>
      </c>
      <c r="F53" s="98">
        <f ca="1">$D53*INDEX('Calc-Pivot abvals'!J$5:J$17,MATCH($B53,'Calc-Pivot abvals'!$G$5:$G$17,0),0)</f>
        <v>2.1287947226059653E-3</v>
      </c>
      <c r="G53" s="98">
        <f ca="1">$D53*INDEX('Calc-Pivot abvals'!K$5:K$17,MATCH($B53,'Calc-Pivot abvals'!$G$5:$G$17,0),0)</f>
        <v>4.9742231786681003E-2</v>
      </c>
      <c r="H53" s="98">
        <f ca="1">$D53*INDEX('Calc-Pivot abvals'!L$5:L$17,MATCH($B53,'Calc-Pivot abvals'!$G$5:$G$17,0),0)</f>
        <v>1.5042475896097957E-3</v>
      </c>
      <c r="I53" s="192">
        <f ca="1">1-(1+SUM(OFFSET('Calc-Pivot abvals'!$H$4, MATCH($B53, 'Calc-Pivot abvals'!$G$5:$G$17, 0), 1, 1, 4)))*D53-INDEX('INP-Calc EFOR&amp;EUOR - 2019Plan'!$U$11:$Y$34, MATCH($B53, 'INP-Calc EFOR&amp;EUOR - 2019Plan'!$A$11:$A$34), $C53-$A$1+1)-INDEX('INP-Calc EFOR&amp;EUOR - 2019Plan'!$O$11:$S$34, MATCH($B53, 'INP-Calc EFOR&amp;EUOR - 2019Plan'!$A$11:$A$34), $C53-$A$1+1)</f>
        <v>0.87424307589587236</v>
      </c>
      <c r="J53" s="98">
        <f ca="1">1-SUMPRODUCT(D53:I53,OFFSET('Calc-Pivot abvals'!$H$19,MATCH($B53,'Calc-Pivot abvals'!$G$5:$G$17,0),0,1,6))/INDEX('INP-Calc EFOR&amp;EUOR - 2019Plan'!$B$11:$B$34,MATCH($B53,'INP-Calc EFOR&amp;EUOR - 2019Plan'!$A$11:$A$34,0),0)</f>
        <v>7.3999999999999955E-2</v>
      </c>
      <c r="K53" s="193">
        <f>VLOOKUP(B53, 'INP-Calc EFOR&amp;EUOR - 2019Plan'!$A$11:$M$34, AvailableStates!C53-$A$1+9, 0)</f>
        <v>7.3999999999999996E-2</v>
      </c>
      <c r="L53" s="193">
        <f t="shared" ca="1" si="0"/>
        <v>0</v>
      </c>
    </row>
    <row r="54" spans="1:12" x14ac:dyDescent="0.25">
      <c r="A54" s="98">
        <f t="shared" si="1"/>
        <v>11</v>
      </c>
      <c r="B54" s="98" t="str">
        <f>INDEX('Calc-Pivot abvals'!$G$5:$G$17,A54,0)</f>
        <v>MC4</v>
      </c>
      <c r="C54" s="98">
        <f t="shared" si="2"/>
        <v>2019</v>
      </c>
      <c r="D54" s="191">
        <f ca="1">(INDEX('INP-Calc EFOR&amp;EUOR - 2019Plan'!$I$11:$M$34,MATCH($B54,'INP-Calc EFOR&amp;EUOR - 2019Plan'!$A$11:$A$34,0),$C54-$A$1+1)-(INDEX('INP-Calc EFOR&amp;EUOR - 2019Plan'!$O$11:$S$34,MATCH($B54,'INP-Calc EFOR&amp;EUOR - 2019Plan'!$A$11:$A$34,0),$C54-$A$1+1)+INDEX('INP-Calc EFOR&amp;EUOR - 2019Plan'!$U$11:$Y$34,MATCH($B54,'INP-Calc EFOR&amp;EUOR - 2019Plan'!$A$11:$A$34,0),$C54-$A$1+1)))/(1+SUM(OFFSET('Calc-Pivot abvals'!$I$4,MATCH($B54,'Calc-Pivot abvals'!$G$5:$G$17,0),0,1,4))-(INDEX('Calc-Pivot abvals'!$H$20:$H$32,MATCH($B54,'Calc-Pivot abvals'!$G$5:$G$17,0),0)+SUMPRODUCT(OFFSET('Calc-Pivot abvals'!$I$4,MATCH($B54,'Calc-Pivot abvals'!$G$5:$G$17,0),0,1,4),OFFSET('Calc-Pivot abvals'!$I$19,MATCH($B54,'Calc-Pivot abvals'!$G$5:$G$17,0),0,1,4)))/INDEX('INP-Calc EFOR&amp;EUOR - 2019Plan'!$B$11:$B$34,MATCH($B54,'INP-Calc EFOR&amp;EUOR - 2019Plan'!$A$11:$A$34,0),0))</f>
        <v>7.6513113369137201E-3</v>
      </c>
      <c r="E54" s="98">
        <f ca="1">$D54*INDEX('Calc-Pivot abvals'!I$5:I$17,MATCH($B54,'Calc-Pivot abvals'!$G$5:$G$17,0),0)</f>
        <v>7.6170879078315953E-3</v>
      </c>
      <c r="F54" s="98">
        <f ca="1">$D54*INDEX('Calc-Pivot abvals'!J$5:J$17,MATCH($B54,'Calc-Pivot abvals'!$G$5:$G$17,0),0)</f>
        <v>2.1287947226059653E-3</v>
      </c>
      <c r="G54" s="98">
        <f ca="1">$D54*INDEX('Calc-Pivot abvals'!K$5:K$17,MATCH($B54,'Calc-Pivot abvals'!$G$5:$G$17,0),0)</f>
        <v>4.9742231786681003E-2</v>
      </c>
      <c r="H54" s="98">
        <f ca="1">$D54*INDEX('Calc-Pivot abvals'!L$5:L$17,MATCH($B54,'Calc-Pivot abvals'!$G$5:$G$17,0),0)</f>
        <v>1.5042475896097957E-3</v>
      </c>
      <c r="I54" s="192">
        <f ca="1">1-(1+SUM(OFFSET('Calc-Pivot abvals'!$H$4, MATCH($B54, 'Calc-Pivot abvals'!$G$5:$G$17, 0), 1, 1, 4)))*D54-INDEX('INP-Calc EFOR&amp;EUOR - 2019Plan'!$U$11:$Y$34, MATCH($B54, 'INP-Calc EFOR&amp;EUOR - 2019Plan'!$A$11:$A$34), $C54-$A$1+1)-INDEX('INP-Calc EFOR&amp;EUOR - 2019Plan'!$O$11:$S$34, MATCH($B54, 'INP-Calc EFOR&amp;EUOR - 2019Plan'!$A$11:$A$34), $C54-$A$1+1)</f>
        <v>0.87424307589587236</v>
      </c>
      <c r="J54" s="98">
        <f ca="1">1-SUMPRODUCT(D54:I54,OFFSET('Calc-Pivot abvals'!$H$19,MATCH($B54,'Calc-Pivot abvals'!$G$5:$G$17,0),0,1,6))/INDEX('INP-Calc EFOR&amp;EUOR - 2019Plan'!$B$11:$B$34,MATCH($B54,'INP-Calc EFOR&amp;EUOR - 2019Plan'!$A$11:$A$34,0),0)</f>
        <v>7.3999999999999955E-2</v>
      </c>
      <c r="K54" s="193">
        <f>VLOOKUP(B54, 'INP-Calc EFOR&amp;EUOR - 2019Plan'!$A$11:$M$34, AvailableStates!C54-$A$1+9, 0)</f>
        <v>7.3999999999999996E-2</v>
      </c>
      <c r="L54" s="193">
        <f t="shared" ca="1" si="0"/>
        <v>0</v>
      </c>
    </row>
    <row r="55" spans="1:12" x14ac:dyDescent="0.25">
      <c r="A55" s="98">
        <f t="shared" si="1"/>
        <v>11</v>
      </c>
      <c r="B55" s="98" t="str">
        <f>INDEX('Calc-Pivot abvals'!$G$5:$G$17,A55,0)</f>
        <v>MC4</v>
      </c>
      <c r="C55" s="98">
        <f t="shared" si="2"/>
        <v>2020</v>
      </c>
      <c r="D55" s="191">
        <f ca="1">(INDEX('INP-Calc EFOR&amp;EUOR - 2019Plan'!$I$11:$M$34,MATCH($B55,'INP-Calc EFOR&amp;EUOR - 2019Plan'!$A$11:$A$34,0),$C55-$A$1+1)-(INDEX('INP-Calc EFOR&amp;EUOR - 2019Plan'!$O$11:$S$34,MATCH($B55,'INP-Calc EFOR&amp;EUOR - 2019Plan'!$A$11:$A$34,0),$C55-$A$1+1)+INDEX('INP-Calc EFOR&amp;EUOR - 2019Plan'!$U$11:$Y$34,MATCH($B55,'INP-Calc EFOR&amp;EUOR - 2019Plan'!$A$11:$A$34,0),$C55-$A$1+1)))/(1+SUM(OFFSET('Calc-Pivot abvals'!$I$4,MATCH($B55,'Calc-Pivot abvals'!$G$5:$G$17,0),0,1,4))-(INDEX('Calc-Pivot abvals'!$H$20:$H$32,MATCH($B55,'Calc-Pivot abvals'!$G$5:$G$17,0),0)+SUMPRODUCT(OFFSET('Calc-Pivot abvals'!$I$4,MATCH($B55,'Calc-Pivot abvals'!$G$5:$G$17,0),0,1,4),OFFSET('Calc-Pivot abvals'!$I$19,MATCH($B55,'Calc-Pivot abvals'!$G$5:$G$17,0),0,1,4)))/INDEX('INP-Calc EFOR&amp;EUOR - 2019Plan'!$B$11:$B$34,MATCH($B55,'INP-Calc EFOR&amp;EUOR - 2019Plan'!$A$11:$A$34,0),0))</f>
        <v>7.6513113369137201E-3</v>
      </c>
      <c r="E55" s="98">
        <f ca="1">$D55*INDEX('Calc-Pivot abvals'!I$5:I$17,MATCH($B55,'Calc-Pivot abvals'!$G$5:$G$17,0),0)</f>
        <v>7.6170879078315953E-3</v>
      </c>
      <c r="F55" s="98">
        <f ca="1">$D55*INDEX('Calc-Pivot abvals'!J$5:J$17,MATCH($B55,'Calc-Pivot abvals'!$G$5:$G$17,0),0)</f>
        <v>2.1287947226059653E-3</v>
      </c>
      <c r="G55" s="98">
        <f ca="1">$D55*INDEX('Calc-Pivot abvals'!K$5:K$17,MATCH($B55,'Calc-Pivot abvals'!$G$5:$G$17,0),0)</f>
        <v>4.9742231786681003E-2</v>
      </c>
      <c r="H55" s="98">
        <f ca="1">$D55*INDEX('Calc-Pivot abvals'!L$5:L$17,MATCH($B55,'Calc-Pivot abvals'!$G$5:$G$17,0),0)</f>
        <v>1.5042475896097957E-3</v>
      </c>
      <c r="I55" s="192">
        <f ca="1">1-(1+SUM(OFFSET('Calc-Pivot abvals'!$H$4, MATCH($B55, 'Calc-Pivot abvals'!$G$5:$G$17, 0), 1, 1, 4)))*D55-INDEX('INP-Calc EFOR&amp;EUOR - 2019Plan'!$U$11:$Y$34, MATCH($B55, 'INP-Calc EFOR&amp;EUOR - 2019Plan'!$A$11:$A$34), $C55-$A$1+1)-INDEX('INP-Calc EFOR&amp;EUOR - 2019Plan'!$O$11:$S$34, MATCH($B55, 'INP-Calc EFOR&amp;EUOR - 2019Plan'!$A$11:$A$34), $C55-$A$1+1)</f>
        <v>0.87424307589587236</v>
      </c>
      <c r="J55" s="98">
        <f ca="1">1-SUMPRODUCT(D55:I55,OFFSET('Calc-Pivot abvals'!$H$19,MATCH($B55,'Calc-Pivot abvals'!$G$5:$G$17,0),0,1,6))/INDEX('INP-Calc EFOR&amp;EUOR - 2019Plan'!$B$11:$B$34,MATCH($B55,'INP-Calc EFOR&amp;EUOR - 2019Plan'!$A$11:$A$34,0),0)</f>
        <v>7.3999999999999955E-2</v>
      </c>
      <c r="K55" s="193">
        <f>VLOOKUP(B55, 'INP-Calc EFOR&amp;EUOR - 2019Plan'!$A$11:$M$34, AvailableStates!C55-$A$1+9, 0)</f>
        <v>7.3999999999999996E-2</v>
      </c>
      <c r="L55" s="193">
        <f t="shared" ca="1" si="0"/>
        <v>0</v>
      </c>
    </row>
    <row r="56" spans="1:12" x14ac:dyDescent="0.25">
      <c r="A56" s="98">
        <f t="shared" si="1"/>
        <v>11</v>
      </c>
      <c r="B56" s="98" t="str">
        <f>INDEX('Calc-Pivot abvals'!$G$5:$G$17,A56,0)</f>
        <v>MC4</v>
      </c>
      <c r="C56" s="98">
        <f t="shared" si="2"/>
        <v>2021</v>
      </c>
      <c r="D56" s="191">
        <f ca="1">(INDEX('INP-Calc EFOR&amp;EUOR - 2019Plan'!$I$11:$M$34,MATCH($B56,'INP-Calc EFOR&amp;EUOR - 2019Plan'!$A$11:$A$34,0),$C56-$A$1+1)-(INDEX('INP-Calc EFOR&amp;EUOR - 2019Plan'!$O$11:$S$34,MATCH($B56,'INP-Calc EFOR&amp;EUOR - 2019Plan'!$A$11:$A$34,0),$C56-$A$1+1)+INDEX('INP-Calc EFOR&amp;EUOR - 2019Plan'!$U$11:$Y$34,MATCH($B56,'INP-Calc EFOR&amp;EUOR - 2019Plan'!$A$11:$A$34,0),$C56-$A$1+1)))/(1+SUM(OFFSET('Calc-Pivot abvals'!$I$4,MATCH($B56,'Calc-Pivot abvals'!$G$5:$G$17,0),0,1,4))-(INDEX('Calc-Pivot abvals'!$H$20:$H$32,MATCH($B56,'Calc-Pivot abvals'!$G$5:$G$17,0),0)+SUMPRODUCT(OFFSET('Calc-Pivot abvals'!$I$4,MATCH($B56,'Calc-Pivot abvals'!$G$5:$G$17,0),0,1,4),OFFSET('Calc-Pivot abvals'!$I$19,MATCH($B56,'Calc-Pivot abvals'!$G$5:$G$17,0),0,1,4)))/INDEX('INP-Calc EFOR&amp;EUOR - 2019Plan'!$B$11:$B$34,MATCH($B56,'INP-Calc EFOR&amp;EUOR - 2019Plan'!$A$11:$A$34,0),0))</f>
        <v>7.6513113369137201E-3</v>
      </c>
      <c r="E56" s="98">
        <f ca="1">$D56*INDEX('Calc-Pivot abvals'!I$5:I$17,MATCH($B56,'Calc-Pivot abvals'!$G$5:$G$17,0),0)</f>
        <v>7.6170879078315953E-3</v>
      </c>
      <c r="F56" s="98">
        <f ca="1">$D56*INDEX('Calc-Pivot abvals'!J$5:J$17,MATCH($B56,'Calc-Pivot abvals'!$G$5:$G$17,0),0)</f>
        <v>2.1287947226059653E-3</v>
      </c>
      <c r="G56" s="98">
        <f ca="1">$D56*INDEX('Calc-Pivot abvals'!K$5:K$17,MATCH($B56,'Calc-Pivot abvals'!$G$5:$G$17,0),0)</f>
        <v>4.9742231786681003E-2</v>
      </c>
      <c r="H56" s="98">
        <f ca="1">$D56*INDEX('Calc-Pivot abvals'!L$5:L$17,MATCH($B56,'Calc-Pivot abvals'!$G$5:$G$17,0),0)</f>
        <v>1.5042475896097957E-3</v>
      </c>
      <c r="I56" s="192">
        <f ca="1">1-(1+SUM(OFFSET('Calc-Pivot abvals'!$H$4, MATCH($B56, 'Calc-Pivot abvals'!$G$5:$G$17, 0), 1, 1, 4)))*D56-INDEX('INP-Calc EFOR&amp;EUOR - 2019Plan'!$U$11:$Y$34, MATCH($B56, 'INP-Calc EFOR&amp;EUOR - 2019Plan'!$A$11:$A$34), $C56-$A$1+1)-INDEX('INP-Calc EFOR&amp;EUOR - 2019Plan'!$O$11:$S$34, MATCH($B56, 'INP-Calc EFOR&amp;EUOR - 2019Plan'!$A$11:$A$34), $C56-$A$1+1)</f>
        <v>0.87424307589587236</v>
      </c>
      <c r="J56" s="98">
        <f ca="1">1-SUMPRODUCT(D56:I56,OFFSET('Calc-Pivot abvals'!$H$19,MATCH($B56,'Calc-Pivot abvals'!$G$5:$G$17,0),0,1,6))/INDEX('INP-Calc EFOR&amp;EUOR - 2019Plan'!$B$11:$B$34,MATCH($B56,'INP-Calc EFOR&amp;EUOR - 2019Plan'!$A$11:$A$34,0),0)</f>
        <v>7.3999999999999955E-2</v>
      </c>
      <c r="K56" s="193">
        <f>VLOOKUP(B56, 'INP-Calc EFOR&amp;EUOR - 2019Plan'!$A$11:$M$34, AvailableStates!C56-$A$1+9, 0)</f>
        <v>7.3999999999999996E-2</v>
      </c>
      <c r="L56" s="193">
        <f t="shared" ca="1" si="0"/>
        <v>0</v>
      </c>
    </row>
    <row r="57" spans="1:12" x14ac:dyDescent="0.25">
      <c r="A57" s="98">
        <f t="shared" si="1"/>
        <v>11</v>
      </c>
      <c r="B57" s="98" t="str">
        <f>INDEX('Calc-Pivot abvals'!$G$5:$G$17,A57,0)</f>
        <v>MC4</v>
      </c>
      <c r="C57" s="98">
        <f t="shared" si="2"/>
        <v>2022</v>
      </c>
      <c r="D57" s="191">
        <f ca="1">(INDEX('INP-Calc EFOR&amp;EUOR - 2019Plan'!$I$11:$M$34,MATCH($B57,'INP-Calc EFOR&amp;EUOR - 2019Plan'!$A$11:$A$34,0),$C57-$A$1+1)-(INDEX('INP-Calc EFOR&amp;EUOR - 2019Plan'!$O$11:$S$34,MATCH($B57,'INP-Calc EFOR&amp;EUOR - 2019Plan'!$A$11:$A$34,0),$C57-$A$1+1)+INDEX('INP-Calc EFOR&amp;EUOR - 2019Plan'!$U$11:$Y$34,MATCH($B57,'INP-Calc EFOR&amp;EUOR - 2019Plan'!$A$11:$A$34,0),$C57-$A$1+1)))/(1+SUM(OFFSET('Calc-Pivot abvals'!$I$4,MATCH($B57,'Calc-Pivot abvals'!$G$5:$G$17,0),0,1,4))-(INDEX('Calc-Pivot abvals'!$H$20:$H$32,MATCH($B57,'Calc-Pivot abvals'!$G$5:$G$17,0),0)+SUMPRODUCT(OFFSET('Calc-Pivot abvals'!$I$4,MATCH($B57,'Calc-Pivot abvals'!$G$5:$G$17,0),0,1,4),OFFSET('Calc-Pivot abvals'!$I$19,MATCH($B57,'Calc-Pivot abvals'!$G$5:$G$17,0),0,1,4)))/INDEX('INP-Calc EFOR&amp;EUOR - 2019Plan'!$B$11:$B$34,MATCH($B57,'INP-Calc EFOR&amp;EUOR - 2019Plan'!$A$11:$A$34,0),0))</f>
        <v>7.6513113369137201E-3</v>
      </c>
      <c r="E57" s="98">
        <f ca="1">$D57*INDEX('Calc-Pivot abvals'!I$5:I$17,MATCH($B57,'Calc-Pivot abvals'!$G$5:$G$17,0),0)</f>
        <v>7.6170879078315953E-3</v>
      </c>
      <c r="F57" s="98">
        <f ca="1">$D57*INDEX('Calc-Pivot abvals'!J$5:J$17,MATCH($B57,'Calc-Pivot abvals'!$G$5:$G$17,0),0)</f>
        <v>2.1287947226059653E-3</v>
      </c>
      <c r="G57" s="98">
        <f ca="1">$D57*INDEX('Calc-Pivot abvals'!K$5:K$17,MATCH($B57,'Calc-Pivot abvals'!$G$5:$G$17,0),0)</f>
        <v>4.9742231786681003E-2</v>
      </c>
      <c r="H57" s="98">
        <f ca="1">$D57*INDEX('Calc-Pivot abvals'!L$5:L$17,MATCH($B57,'Calc-Pivot abvals'!$G$5:$G$17,0),0)</f>
        <v>1.5042475896097957E-3</v>
      </c>
      <c r="I57" s="192">
        <f ca="1">1-(1+SUM(OFFSET('Calc-Pivot abvals'!$H$4, MATCH($B57, 'Calc-Pivot abvals'!$G$5:$G$17, 0), 1, 1, 4)))*D57-INDEX('INP-Calc EFOR&amp;EUOR - 2019Plan'!$U$11:$Y$34, MATCH($B57, 'INP-Calc EFOR&amp;EUOR - 2019Plan'!$A$11:$A$34), $C57-$A$1+1)-INDEX('INP-Calc EFOR&amp;EUOR - 2019Plan'!$O$11:$S$34, MATCH($B57, 'INP-Calc EFOR&amp;EUOR - 2019Plan'!$A$11:$A$34), $C57-$A$1+1)</f>
        <v>0.87424307589587236</v>
      </c>
      <c r="J57" s="98">
        <f ca="1">1-SUMPRODUCT(D57:I57,OFFSET('Calc-Pivot abvals'!$H$19,MATCH($B57,'Calc-Pivot abvals'!$G$5:$G$17,0),0,1,6))/INDEX('INP-Calc EFOR&amp;EUOR - 2019Plan'!$B$11:$B$34,MATCH($B57,'INP-Calc EFOR&amp;EUOR - 2019Plan'!$A$11:$A$34,0),0)</f>
        <v>7.3999999999999955E-2</v>
      </c>
      <c r="K57" s="193">
        <f>VLOOKUP(B57, 'INP-Calc EFOR&amp;EUOR - 2019Plan'!$A$11:$M$34, AvailableStates!C57-$A$1+9, 0)</f>
        <v>7.3999999999999996E-2</v>
      </c>
      <c r="L57" s="193">
        <f t="shared" ca="1" si="0"/>
        <v>0</v>
      </c>
    </row>
    <row r="58" spans="1:12" x14ac:dyDescent="0.25">
      <c r="A58" s="98">
        <f t="shared" si="1"/>
        <v>12</v>
      </c>
      <c r="B58" s="98" t="str">
        <f>INDEX('Calc-Pivot abvals'!$G$5:$G$17,A58,0)</f>
        <v>TC1</v>
      </c>
      <c r="C58" s="98">
        <f t="shared" si="2"/>
        <v>2018</v>
      </c>
      <c r="D58" s="191">
        <f ca="1">(INDEX('INP-Calc EFOR&amp;EUOR - 2019Plan'!$I$11:$M$34,MATCH($B58,'INP-Calc EFOR&amp;EUOR - 2019Plan'!$A$11:$A$34,0),$C58-$A$1+1)-(INDEX('INP-Calc EFOR&amp;EUOR - 2019Plan'!$O$11:$S$34,MATCH($B58,'INP-Calc EFOR&amp;EUOR - 2019Plan'!$A$11:$A$34,0),$C58-$A$1+1)+INDEX('INP-Calc EFOR&amp;EUOR - 2019Plan'!$U$11:$Y$34,MATCH($B58,'INP-Calc EFOR&amp;EUOR - 2019Plan'!$A$11:$A$34,0),$C58-$A$1+1)))/(1+SUM(OFFSET('Calc-Pivot abvals'!$I$4,MATCH($B58,'Calc-Pivot abvals'!$G$5:$G$17,0),0,1,4))-(INDEX('Calc-Pivot abvals'!$H$20:$H$32,MATCH($B58,'Calc-Pivot abvals'!$G$5:$G$17,0),0)+SUMPRODUCT(OFFSET('Calc-Pivot abvals'!$I$4,MATCH($B58,'Calc-Pivot abvals'!$G$5:$G$17,0),0,1,4),OFFSET('Calc-Pivot abvals'!$I$19,MATCH($B58,'Calc-Pivot abvals'!$G$5:$G$17,0),0,1,4)))/INDEX('INP-Calc EFOR&amp;EUOR - 2019Plan'!$B$11:$B$34,MATCH($B58,'INP-Calc EFOR&amp;EUOR - 2019Plan'!$A$11:$A$34,0),0))</f>
        <v>1.163597553917929E-3</v>
      </c>
      <c r="E58" s="98">
        <f ca="1">$D58*INDEX('Calc-Pivot abvals'!I$5:I$17,MATCH($B58,'Calc-Pivot abvals'!$G$5:$G$17,0),0)</f>
        <v>8.9843565696334587E-4</v>
      </c>
      <c r="F58" s="98">
        <f ca="1">$D58*INDEX('Calc-Pivot abvals'!J$5:J$17,MATCH($B58,'Calc-Pivot abvals'!$G$5:$G$17,0),0)</f>
        <v>1.9717649007202579E-2</v>
      </c>
      <c r="G58" s="98">
        <f ca="1">$D58*INDEX('Calc-Pivot abvals'!K$5:K$17,MATCH($B58,'Calc-Pivot abvals'!$G$5:$G$17,0),0)</f>
        <v>1.1479831386255577E-2</v>
      </c>
      <c r="H58" s="98">
        <f ca="1">$D58*INDEX('Calc-Pivot abvals'!L$5:L$17,MATCH($B58,'Calc-Pivot abvals'!$G$5:$G$17,0),0)</f>
        <v>9.6277432928673669E-3</v>
      </c>
      <c r="I58" s="192">
        <f ca="1">1-(1+SUM(OFFSET('Calc-Pivot abvals'!$H$4, MATCH($B58, 'Calc-Pivot abvals'!$G$5:$G$17, 0), 1, 1, 4)))*D58-INDEX('INP-Calc EFOR&amp;EUOR - 2019Plan'!$U$11:$Y$34, MATCH($B58, 'INP-Calc EFOR&amp;EUOR - 2019Plan'!$A$11:$A$34), $C58-$A$1+1)-INDEX('INP-Calc EFOR&amp;EUOR - 2019Plan'!$O$11:$S$34, MATCH($B58, 'INP-Calc EFOR&amp;EUOR - 2019Plan'!$A$11:$A$34), $C58-$A$1+1)</f>
        <v>0.89322211452781453</v>
      </c>
      <c r="J58" s="98">
        <f ca="1">1-SUMPRODUCT(D58:I58,OFFSET('Calc-Pivot abvals'!$H$19,MATCH($B58,'Calc-Pivot abvals'!$G$5:$G$17,0),0,1,6))/INDEX('INP-Calc EFOR&amp;EUOR - 2019Plan'!$B$11:$B$34,MATCH($B58,'INP-Calc EFOR&amp;EUOR - 2019Plan'!$A$11:$A$34,0),0)</f>
        <v>7.4000000000000066E-2</v>
      </c>
      <c r="K58" s="193">
        <f>VLOOKUP(B58, 'INP-Calc EFOR&amp;EUOR - 2019Plan'!$A$11:$M$34, AvailableStates!C58-$A$1+9, 0)</f>
        <v>7.3999999999999996E-2</v>
      </c>
      <c r="L58" s="193">
        <f t="shared" ca="1" si="0"/>
        <v>0</v>
      </c>
    </row>
    <row r="59" spans="1:12" x14ac:dyDescent="0.25">
      <c r="A59" s="98">
        <f t="shared" si="1"/>
        <v>12</v>
      </c>
      <c r="B59" s="98" t="str">
        <f>INDEX('Calc-Pivot abvals'!$G$5:$G$17,A59,0)</f>
        <v>TC1</v>
      </c>
      <c r="C59" s="98">
        <f t="shared" si="2"/>
        <v>2019</v>
      </c>
      <c r="D59" s="191">
        <f ca="1">(INDEX('INP-Calc EFOR&amp;EUOR - 2019Plan'!$I$11:$M$34,MATCH($B59,'INP-Calc EFOR&amp;EUOR - 2019Plan'!$A$11:$A$34,0),$C59-$A$1+1)-(INDEX('INP-Calc EFOR&amp;EUOR - 2019Plan'!$O$11:$S$34,MATCH($B59,'INP-Calc EFOR&amp;EUOR - 2019Plan'!$A$11:$A$34,0),$C59-$A$1+1)+INDEX('INP-Calc EFOR&amp;EUOR - 2019Plan'!$U$11:$Y$34,MATCH($B59,'INP-Calc EFOR&amp;EUOR - 2019Plan'!$A$11:$A$34,0),$C59-$A$1+1)))/(1+SUM(OFFSET('Calc-Pivot abvals'!$I$4,MATCH($B59,'Calc-Pivot abvals'!$G$5:$G$17,0),0,1,4))-(INDEX('Calc-Pivot abvals'!$H$20:$H$32,MATCH($B59,'Calc-Pivot abvals'!$G$5:$G$17,0),0)+SUMPRODUCT(OFFSET('Calc-Pivot abvals'!$I$4,MATCH($B59,'Calc-Pivot abvals'!$G$5:$G$17,0),0,1,4),OFFSET('Calc-Pivot abvals'!$I$19,MATCH($B59,'Calc-Pivot abvals'!$G$5:$G$17,0),0,1,4)))/INDEX('INP-Calc EFOR&amp;EUOR - 2019Plan'!$B$11:$B$34,MATCH($B59,'INP-Calc EFOR&amp;EUOR - 2019Plan'!$A$11:$A$34,0),0))</f>
        <v>1.163597553917929E-3</v>
      </c>
      <c r="E59" s="98">
        <f ca="1">$D59*INDEX('Calc-Pivot abvals'!I$5:I$17,MATCH($B59,'Calc-Pivot abvals'!$G$5:$G$17,0),0)</f>
        <v>8.9843565696334587E-4</v>
      </c>
      <c r="F59" s="98">
        <f ca="1">$D59*INDEX('Calc-Pivot abvals'!J$5:J$17,MATCH($B59,'Calc-Pivot abvals'!$G$5:$G$17,0),0)</f>
        <v>1.9717649007202579E-2</v>
      </c>
      <c r="G59" s="98">
        <f ca="1">$D59*INDEX('Calc-Pivot abvals'!K$5:K$17,MATCH($B59,'Calc-Pivot abvals'!$G$5:$G$17,0),0)</f>
        <v>1.1479831386255577E-2</v>
      </c>
      <c r="H59" s="98">
        <f ca="1">$D59*INDEX('Calc-Pivot abvals'!L$5:L$17,MATCH($B59,'Calc-Pivot abvals'!$G$5:$G$17,0),0)</f>
        <v>9.6277432928673669E-3</v>
      </c>
      <c r="I59" s="192">
        <f ca="1">1-(1+SUM(OFFSET('Calc-Pivot abvals'!$H$4, MATCH($B59, 'Calc-Pivot abvals'!$G$5:$G$17, 0), 1, 1, 4)))*D59-INDEX('INP-Calc EFOR&amp;EUOR - 2019Plan'!$U$11:$Y$34, MATCH($B59, 'INP-Calc EFOR&amp;EUOR - 2019Plan'!$A$11:$A$34), $C59-$A$1+1)-INDEX('INP-Calc EFOR&amp;EUOR - 2019Plan'!$O$11:$S$34, MATCH($B59, 'INP-Calc EFOR&amp;EUOR - 2019Plan'!$A$11:$A$34), $C59-$A$1+1)</f>
        <v>0.89322211452781453</v>
      </c>
      <c r="J59" s="98">
        <f ca="1">1-SUMPRODUCT(D59:I59,OFFSET('Calc-Pivot abvals'!$H$19,MATCH($B59,'Calc-Pivot abvals'!$G$5:$G$17,0),0,1,6))/INDEX('INP-Calc EFOR&amp;EUOR - 2019Plan'!$B$11:$B$34,MATCH($B59,'INP-Calc EFOR&amp;EUOR - 2019Plan'!$A$11:$A$34,0),0)</f>
        <v>7.4000000000000066E-2</v>
      </c>
      <c r="K59" s="193">
        <f>VLOOKUP(B59, 'INP-Calc EFOR&amp;EUOR - 2019Plan'!$A$11:$M$34, AvailableStates!C59-$A$1+9, 0)</f>
        <v>7.3999999999999996E-2</v>
      </c>
      <c r="L59" s="193">
        <f t="shared" ca="1" si="0"/>
        <v>0</v>
      </c>
    </row>
    <row r="60" spans="1:12" x14ac:dyDescent="0.25">
      <c r="A60" s="98">
        <f t="shared" si="1"/>
        <v>12</v>
      </c>
      <c r="B60" s="98" t="str">
        <f>INDEX('Calc-Pivot abvals'!$G$5:$G$17,A60,0)</f>
        <v>TC1</v>
      </c>
      <c r="C60" s="98">
        <f t="shared" si="2"/>
        <v>2020</v>
      </c>
      <c r="D60" s="191">
        <f ca="1">(INDEX('INP-Calc EFOR&amp;EUOR - 2019Plan'!$I$11:$M$34,MATCH($B60,'INP-Calc EFOR&amp;EUOR - 2019Plan'!$A$11:$A$34,0),$C60-$A$1+1)-(INDEX('INP-Calc EFOR&amp;EUOR - 2019Plan'!$O$11:$S$34,MATCH($B60,'INP-Calc EFOR&amp;EUOR - 2019Plan'!$A$11:$A$34,0),$C60-$A$1+1)+INDEX('INP-Calc EFOR&amp;EUOR - 2019Plan'!$U$11:$Y$34,MATCH($B60,'INP-Calc EFOR&amp;EUOR - 2019Plan'!$A$11:$A$34,0),$C60-$A$1+1)))/(1+SUM(OFFSET('Calc-Pivot abvals'!$I$4,MATCH($B60,'Calc-Pivot abvals'!$G$5:$G$17,0),0,1,4))-(INDEX('Calc-Pivot abvals'!$H$20:$H$32,MATCH($B60,'Calc-Pivot abvals'!$G$5:$G$17,0),0)+SUMPRODUCT(OFFSET('Calc-Pivot abvals'!$I$4,MATCH($B60,'Calc-Pivot abvals'!$G$5:$G$17,0),0,1,4),OFFSET('Calc-Pivot abvals'!$I$19,MATCH($B60,'Calc-Pivot abvals'!$G$5:$G$17,0),0,1,4)))/INDEX('INP-Calc EFOR&amp;EUOR - 2019Plan'!$B$11:$B$34,MATCH($B60,'INP-Calc EFOR&amp;EUOR - 2019Plan'!$A$11:$A$34,0),0))</f>
        <v>1.163597553917929E-3</v>
      </c>
      <c r="E60" s="98">
        <f ca="1">$D60*INDEX('Calc-Pivot abvals'!I$5:I$17,MATCH($B60,'Calc-Pivot abvals'!$G$5:$G$17,0),0)</f>
        <v>8.9843565696334587E-4</v>
      </c>
      <c r="F60" s="98">
        <f ca="1">$D60*INDEX('Calc-Pivot abvals'!J$5:J$17,MATCH($B60,'Calc-Pivot abvals'!$G$5:$G$17,0),0)</f>
        <v>1.9717649007202579E-2</v>
      </c>
      <c r="G60" s="98">
        <f ca="1">$D60*INDEX('Calc-Pivot abvals'!K$5:K$17,MATCH($B60,'Calc-Pivot abvals'!$G$5:$G$17,0),0)</f>
        <v>1.1479831386255577E-2</v>
      </c>
      <c r="H60" s="98">
        <f ca="1">$D60*INDEX('Calc-Pivot abvals'!L$5:L$17,MATCH($B60,'Calc-Pivot abvals'!$G$5:$G$17,0),0)</f>
        <v>9.6277432928673669E-3</v>
      </c>
      <c r="I60" s="192">
        <f ca="1">1-(1+SUM(OFFSET('Calc-Pivot abvals'!$H$4, MATCH($B60, 'Calc-Pivot abvals'!$G$5:$G$17, 0), 1, 1, 4)))*D60-INDEX('INP-Calc EFOR&amp;EUOR - 2019Plan'!$U$11:$Y$34, MATCH($B60, 'INP-Calc EFOR&amp;EUOR - 2019Plan'!$A$11:$A$34), $C60-$A$1+1)-INDEX('INP-Calc EFOR&amp;EUOR - 2019Plan'!$O$11:$S$34, MATCH($B60, 'INP-Calc EFOR&amp;EUOR - 2019Plan'!$A$11:$A$34), $C60-$A$1+1)</f>
        <v>0.89322211452781453</v>
      </c>
      <c r="J60" s="98">
        <f ca="1">1-SUMPRODUCT(D60:I60,OFFSET('Calc-Pivot abvals'!$H$19,MATCH($B60,'Calc-Pivot abvals'!$G$5:$G$17,0),0,1,6))/INDEX('INP-Calc EFOR&amp;EUOR - 2019Plan'!$B$11:$B$34,MATCH($B60,'INP-Calc EFOR&amp;EUOR - 2019Plan'!$A$11:$A$34,0),0)</f>
        <v>7.4000000000000066E-2</v>
      </c>
      <c r="K60" s="193">
        <f>VLOOKUP(B60, 'INP-Calc EFOR&amp;EUOR - 2019Plan'!$A$11:$M$34, AvailableStates!C60-$A$1+9, 0)</f>
        <v>7.3999999999999996E-2</v>
      </c>
      <c r="L60" s="193">
        <f t="shared" ca="1" si="0"/>
        <v>0</v>
      </c>
    </row>
    <row r="61" spans="1:12" x14ac:dyDescent="0.25">
      <c r="A61" s="98">
        <f t="shared" si="1"/>
        <v>12</v>
      </c>
      <c r="B61" s="98" t="str">
        <f>INDEX('Calc-Pivot abvals'!$G$5:$G$17,A61,0)</f>
        <v>TC1</v>
      </c>
      <c r="C61" s="98">
        <f t="shared" si="2"/>
        <v>2021</v>
      </c>
      <c r="D61" s="191">
        <f ca="1">(INDEX('INP-Calc EFOR&amp;EUOR - 2019Plan'!$I$11:$M$34,MATCH($B61,'INP-Calc EFOR&amp;EUOR - 2019Plan'!$A$11:$A$34,0),$C61-$A$1+1)-(INDEX('INP-Calc EFOR&amp;EUOR - 2019Plan'!$O$11:$S$34,MATCH($B61,'INP-Calc EFOR&amp;EUOR - 2019Plan'!$A$11:$A$34,0),$C61-$A$1+1)+INDEX('INP-Calc EFOR&amp;EUOR - 2019Plan'!$U$11:$Y$34,MATCH($B61,'INP-Calc EFOR&amp;EUOR - 2019Plan'!$A$11:$A$34,0),$C61-$A$1+1)))/(1+SUM(OFFSET('Calc-Pivot abvals'!$I$4,MATCH($B61,'Calc-Pivot abvals'!$G$5:$G$17,0),0,1,4))-(INDEX('Calc-Pivot abvals'!$H$20:$H$32,MATCH($B61,'Calc-Pivot abvals'!$G$5:$G$17,0),0)+SUMPRODUCT(OFFSET('Calc-Pivot abvals'!$I$4,MATCH($B61,'Calc-Pivot abvals'!$G$5:$G$17,0),0,1,4),OFFSET('Calc-Pivot abvals'!$I$19,MATCH($B61,'Calc-Pivot abvals'!$G$5:$G$17,0),0,1,4)))/INDEX('INP-Calc EFOR&amp;EUOR - 2019Plan'!$B$11:$B$34,MATCH($B61,'INP-Calc EFOR&amp;EUOR - 2019Plan'!$A$11:$A$34,0),0))</f>
        <v>1.163597553917929E-3</v>
      </c>
      <c r="E61" s="98">
        <f ca="1">$D61*INDEX('Calc-Pivot abvals'!I$5:I$17,MATCH($B61,'Calc-Pivot abvals'!$G$5:$G$17,0),0)</f>
        <v>8.9843565696334587E-4</v>
      </c>
      <c r="F61" s="98">
        <f ca="1">$D61*INDEX('Calc-Pivot abvals'!J$5:J$17,MATCH($B61,'Calc-Pivot abvals'!$G$5:$G$17,0),0)</f>
        <v>1.9717649007202579E-2</v>
      </c>
      <c r="G61" s="98">
        <f ca="1">$D61*INDEX('Calc-Pivot abvals'!K$5:K$17,MATCH($B61,'Calc-Pivot abvals'!$G$5:$G$17,0),0)</f>
        <v>1.1479831386255577E-2</v>
      </c>
      <c r="H61" s="98">
        <f ca="1">$D61*INDEX('Calc-Pivot abvals'!L$5:L$17,MATCH($B61,'Calc-Pivot abvals'!$G$5:$G$17,0),0)</f>
        <v>9.6277432928673669E-3</v>
      </c>
      <c r="I61" s="192">
        <f ca="1">1-(1+SUM(OFFSET('Calc-Pivot abvals'!$H$4, MATCH($B61, 'Calc-Pivot abvals'!$G$5:$G$17, 0), 1, 1, 4)))*D61-INDEX('INP-Calc EFOR&amp;EUOR - 2019Plan'!$U$11:$Y$34, MATCH($B61, 'INP-Calc EFOR&amp;EUOR - 2019Plan'!$A$11:$A$34), $C61-$A$1+1)-INDEX('INP-Calc EFOR&amp;EUOR - 2019Plan'!$O$11:$S$34, MATCH($B61, 'INP-Calc EFOR&amp;EUOR - 2019Plan'!$A$11:$A$34), $C61-$A$1+1)</f>
        <v>0.89322211452781453</v>
      </c>
      <c r="J61" s="98">
        <f ca="1">1-SUMPRODUCT(D61:I61,OFFSET('Calc-Pivot abvals'!$H$19,MATCH($B61,'Calc-Pivot abvals'!$G$5:$G$17,0),0,1,6))/INDEX('INP-Calc EFOR&amp;EUOR - 2019Plan'!$B$11:$B$34,MATCH($B61,'INP-Calc EFOR&amp;EUOR - 2019Plan'!$A$11:$A$34,0),0)</f>
        <v>7.4000000000000066E-2</v>
      </c>
      <c r="K61" s="193">
        <f>VLOOKUP(B61, 'INP-Calc EFOR&amp;EUOR - 2019Plan'!$A$11:$M$34, AvailableStates!C61-$A$1+9, 0)</f>
        <v>7.3999999999999996E-2</v>
      </c>
      <c r="L61" s="193">
        <f t="shared" ca="1" si="0"/>
        <v>0</v>
      </c>
    </row>
    <row r="62" spans="1:12" x14ac:dyDescent="0.25">
      <c r="A62" s="98">
        <f t="shared" si="1"/>
        <v>12</v>
      </c>
      <c r="B62" s="98" t="str">
        <f>INDEX('Calc-Pivot abvals'!$G$5:$G$17,A62,0)</f>
        <v>TC1</v>
      </c>
      <c r="C62" s="98">
        <f t="shared" si="2"/>
        <v>2022</v>
      </c>
      <c r="D62" s="191">
        <f ca="1">(INDEX('INP-Calc EFOR&amp;EUOR - 2019Plan'!$I$11:$M$34,MATCH($B62,'INP-Calc EFOR&amp;EUOR - 2019Plan'!$A$11:$A$34,0),$C62-$A$1+1)-(INDEX('INP-Calc EFOR&amp;EUOR - 2019Plan'!$O$11:$S$34,MATCH($B62,'INP-Calc EFOR&amp;EUOR - 2019Plan'!$A$11:$A$34,0),$C62-$A$1+1)+INDEX('INP-Calc EFOR&amp;EUOR - 2019Plan'!$U$11:$Y$34,MATCH($B62,'INP-Calc EFOR&amp;EUOR - 2019Plan'!$A$11:$A$34,0),$C62-$A$1+1)))/(1+SUM(OFFSET('Calc-Pivot abvals'!$I$4,MATCH($B62,'Calc-Pivot abvals'!$G$5:$G$17,0),0,1,4))-(INDEX('Calc-Pivot abvals'!$H$20:$H$32,MATCH($B62,'Calc-Pivot abvals'!$G$5:$G$17,0),0)+SUMPRODUCT(OFFSET('Calc-Pivot abvals'!$I$4,MATCH($B62,'Calc-Pivot abvals'!$G$5:$G$17,0),0,1,4),OFFSET('Calc-Pivot abvals'!$I$19,MATCH($B62,'Calc-Pivot abvals'!$G$5:$G$17,0),0,1,4)))/INDEX('INP-Calc EFOR&amp;EUOR - 2019Plan'!$B$11:$B$34,MATCH($B62,'INP-Calc EFOR&amp;EUOR - 2019Plan'!$A$11:$A$34,0),0))</f>
        <v>1.163597553917929E-3</v>
      </c>
      <c r="E62" s="98">
        <f ca="1">$D62*INDEX('Calc-Pivot abvals'!I$5:I$17,MATCH($B62,'Calc-Pivot abvals'!$G$5:$G$17,0),0)</f>
        <v>8.9843565696334587E-4</v>
      </c>
      <c r="F62" s="98">
        <f ca="1">$D62*INDEX('Calc-Pivot abvals'!J$5:J$17,MATCH($B62,'Calc-Pivot abvals'!$G$5:$G$17,0),0)</f>
        <v>1.9717649007202579E-2</v>
      </c>
      <c r="G62" s="98">
        <f ca="1">$D62*INDEX('Calc-Pivot abvals'!K$5:K$17,MATCH($B62,'Calc-Pivot abvals'!$G$5:$G$17,0),0)</f>
        <v>1.1479831386255577E-2</v>
      </c>
      <c r="H62" s="98">
        <f ca="1">$D62*INDEX('Calc-Pivot abvals'!L$5:L$17,MATCH($B62,'Calc-Pivot abvals'!$G$5:$G$17,0),0)</f>
        <v>9.6277432928673669E-3</v>
      </c>
      <c r="I62" s="192">
        <f ca="1">1-(1+SUM(OFFSET('Calc-Pivot abvals'!$H$4, MATCH($B62, 'Calc-Pivot abvals'!$G$5:$G$17, 0), 1, 1, 4)))*D62-INDEX('INP-Calc EFOR&amp;EUOR - 2019Plan'!$U$11:$Y$34, MATCH($B62, 'INP-Calc EFOR&amp;EUOR - 2019Plan'!$A$11:$A$34), $C62-$A$1+1)-INDEX('INP-Calc EFOR&amp;EUOR - 2019Plan'!$O$11:$S$34, MATCH($B62, 'INP-Calc EFOR&amp;EUOR - 2019Plan'!$A$11:$A$34), $C62-$A$1+1)</f>
        <v>0.89322211452781453</v>
      </c>
      <c r="J62" s="98">
        <f ca="1">1-SUMPRODUCT(D62:I62,OFFSET('Calc-Pivot abvals'!$H$19,MATCH($B62,'Calc-Pivot abvals'!$G$5:$G$17,0),0,1,6))/INDEX('INP-Calc EFOR&amp;EUOR - 2019Plan'!$B$11:$B$34,MATCH($B62,'INP-Calc EFOR&amp;EUOR - 2019Plan'!$A$11:$A$34,0),0)</f>
        <v>7.4000000000000066E-2</v>
      </c>
      <c r="K62" s="193">
        <f>VLOOKUP(B62, 'INP-Calc EFOR&amp;EUOR - 2019Plan'!$A$11:$M$34, AvailableStates!C62-$A$1+9, 0)</f>
        <v>7.3999999999999996E-2</v>
      </c>
      <c r="L62" s="193">
        <f t="shared" ca="1" si="0"/>
        <v>0</v>
      </c>
    </row>
    <row r="63" spans="1:12" x14ac:dyDescent="0.25">
      <c r="A63" s="98">
        <f t="shared" si="1"/>
        <v>13</v>
      </c>
      <c r="B63" s="98" t="str">
        <f>INDEX('Calc-Pivot abvals'!$G$5:$G$17,A63,0)</f>
        <v>TC2</v>
      </c>
      <c r="C63" s="98">
        <f t="shared" si="2"/>
        <v>2018</v>
      </c>
      <c r="D63" s="191">
        <f ca="1">(INDEX('INP-Calc EFOR&amp;EUOR - 2019Plan'!$I$11:$M$34,MATCH($B63,'INP-Calc EFOR&amp;EUOR - 2019Plan'!$A$11:$A$34,0),$C63-$A$1+1)-(INDEX('INP-Calc EFOR&amp;EUOR - 2019Plan'!$O$11:$S$34,MATCH($B63,'INP-Calc EFOR&amp;EUOR - 2019Plan'!$A$11:$A$34,0),$C63-$A$1+1)+INDEX('INP-Calc EFOR&amp;EUOR - 2019Plan'!$U$11:$Y$34,MATCH($B63,'INP-Calc EFOR&amp;EUOR - 2019Plan'!$A$11:$A$34,0),$C63-$A$1+1)))/(1+SUM(OFFSET('Calc-Pivot abvals'!$I$4,MATCH($B63,'Calc-Pivot abvals'!$G$5:$G$17,0),0,1,4))-(INDEX('Calc-Pivot abvals'!$H$20:$H$32,MATCH($B63,'Calc-Pivot abvals'!$G$5:$G$17,0),0)+SUMPRODUCT(OFFSET('Calc-Pivot abvals'!$I$4,MATCH($B63,'Calc-Pivot abvals'!$G$5:$G$17,0),0,1,4),OFFSET('Calc-Pivot abvals'!$I$19,MATCH($B63,'Calc-Pivot abvals'!$G$5:$G$17,0),0,1,4)))/INDEX('INP-Calc EFOR&amp;EUOR - 2019Plan'!$B$11:$B$34,MATCH($B63,'INP-Calc EFOR&amp;EUOR - 2019Plan'!$A$11:$A$34,0),0))</f>
        <v>2.8220175018017412E-3</v>
      </c>
      <c r="E63" s="98">
        <f ca="1">$D63*INDEX('Calc-Pivot abvals'!I$5:I$17,MATCH($B63,'Calc-Pivot abvals'!$G$5:$G$17,0),0)</f>
        <v>9.583341067340637E-3</v>
      </c>
      <c r="F63" s="98">
        <f ca="1">$D63*INDEX('Calc-Pivot abvals'!J$5:J$17,MATCH($B63,'Calc-Pivot abvals'!$G$5:$G$17,0),0)</f>
        <v>7.5194462636233965E-3</v>
      </c>
      <c r="G63" s="98">
        <f ca="1">$D63*INDEX('Calc-Pivot abvals'!K$5:K$17,MATCH($B63,'Calc-Pivot abvals'!$G$5:$G$17,0),0)</f>
        <v>4.9761749803436436E-2</v>
      </c>
      <c r="H63" s="98">
        <f ca="1">$D63*INDEX('Calc-Pivot abvals'!L$5:L$17,MATCH($B63,'Calc-Pivot abvals'!$G$5:$G$17,0),0)</f>
        <v>2.2594988368781467E-2</v>
      </c>
      <c r="I63" s="192">
        <f ca="1">1-(1+SUM(OFFSET('Calc-Pivot abvals'!$H$4, MATCH($B63, 'Calc-Pivot abvals'!$G$5:$G$17, 0), 1, 1, 4)))*D63-INDEX('INP-Calc EFOR&amp;EUOR - 2019Plan'!$U$11:$Y$34, MATCH($B63, 'INP-Calc EFOR&amp;EUOR - 2019Plan'!$A$11:$A$34), $C63-$A$1+1)-INDEX('INP-Calc EFOR&amp;EUOR - 2019Plan'!$O$11:$S$34, MATCH($B63, 'INP-Calc EFOR&amp;EUOR - 2019Plan'!$A$11:$A$34), $C63-$A$1+1)</f>
        <v>0.78831284031682836</v>
      </c>
      <c r="J63" s="98">
        <f ca="1">1-SUMPRODUCT(D63:I63,OFFSET('Calc-Pivot abvals'!$H$19,MATCH($B63,'Calc-Pivot abvals'!$G$5:$G$17,0),0,1,6))/INDEX('INP-Calc EFOR&amp;EUOR - 2019Plan'!$B$11:$B$34,MATCH($B63,'INP-Calc EFOR&amp;EUOR - 2019Plan'!$A$11:$A$34,0),0)</f>
        <v>0.13100000000000012</v>
      </c>
      <c r="K63" s="193">
        <f>VLOOKUP(B63, 'INP-Calc EFOR&amp;EUOR - 2019Plan'!$A$11:$M$34, AvailableStates!C63-$A$1+9, 0)</f>
        <v>0.13100000000000001</v>
      </c>
      <c r="L63" s="193">
        <f t="shared" ca="1" si="0"/>
        <v>0</v>
      </c>
    </row>
    <row r="64" spans="1:12" x14ac:dyDescent="0.25">
      <c r="A64" s="98">
        <f t="shared" si="1"/>
        <v>13</v>
      </c>
      <c r="B64" s="98" t="str">
        <f>INDEX('Calc-Pivot abvals'!$G$5:$G$17,A64,0)</f>
        <v>TC2</v>
      </c>
      <c r="C64" s="98">
        <f t="shared" si="2"/>
        <v>2019</v>
      </c>
      <c r="D64" s="191">
        <f ca="1">(INDEX('INP-Calc EFOR&amp;EUOR - 2019Plan'!$I$11:$M$34,MATCH($B64,'INP-Calc EFOR&amp;EUOR - 2019Plan'!$A$11:$A$34,0),$C64-$A$1+1)-(INDEX('INP-Calc EFOR&amp;EUOR - 2019Plan'!$O$11:$S$34,MATCH($B64,'INP-Calc EFOR&amp;EUOR - 2019Plan'!$A$11:$A$34,0),$C64-$A$1+1)+INDEX('INP-Calc EFOR&amp;EUOR - 2019Plan'!$U$11:$Y$34,MATCH($B64,'INP-Calc EFOR&amp;EUOR - 2019Plan'!$A$11:$A$34,0),$C64-$A$1+1)))/(1+SUM(OFFSET('Calc-Pivot abvals'!$I$4,MATCH($B64,'Calc-Pivot abvals'!$G$5:$G$17,0),0,1,4))-(INDEX('Calc-Pivot abvals'!$H$20:$H$32,MATCH($B64,'Calc-Pivot abvals'!$G$5:$G$17,0),0)+SUMPRODUCT(OFFSET('Calc-Pivot abvals'!$I$4,MATCH($B64,'Calc-Pivot abvals'!$G$5:$G$17,0),0,1,4),OFFSET('Calc-Pivot abvals'!$I$19,MATCH($B64,'Calc-Pivot abvals'!$G$5:$G$17,0),0,1,4)))/INDEX('INP-Calc EFOR&amp;EUOR - 2019Plan'!$B$11:$B$34,MATCH($B64,'INP-Calc EFOR&amp;EUOR - 2019Plan'!$A$11:$A$34,0),0))</f>
        <v>2.8220175018017412E-3</v>
      </c>
      <c r="E64" s="98">
        <f ca="1">$D64*INDEX('Calc-Pivot abvals'!I$5:I$17,MATCH($B64,'Calc-Pivot abvals'!$G$5:$G$17,0),0)</f>
        <v>9.583341067340637E-3</v>
      </c>
      <c r="F64" s="98">
        <f ca="1">$D64*INDEX('Calc-Pivot abvals'!J$5:J$17,MATCH($B64,'Calc-Pivot abvals'!$G$5:$G$17,0),0)</f>
        <v>7.5194462636233965E-3</v>
      </c>
      <c r="G64" s="98">
        <f ca="1">$D64*INDEX('Calc-Pivot abvals'!K$5:K$17,MATCH($B64,'Calc-Pivot abvals'!$G$5:$G$17,0),0)</f>
        <v>4.9761749803436436E-2</v>
      </c>
      <c r="H64" s="98">
        <f ca="1">$D64*INDEX('Calc-Pivot abvals'!L$5:L$17,MATCH($B64,'Calc-Pivot abvals'!$G$5:$G$17,0),0)</f>
        <v>2.2594988368781467E-2</v>
      </c>
      <c r="I64" s="192">
        <f ca="1">1-(1+SUM(OFFSET('Calc-Pivot abvals'!$H$4, MATCH($B64, 'Calc-Pivot abvals'!$G$5:$G$17, 0), 1, 1, 4)))*D64-INDEX('INP-Calc EFOR&amp;EUOR - 2019Plan'!$U$11:$Y$34, MATCH($B64, 'INP-Calc EFOR&amp;EUOR - 2019Plan'!$A$11:$A$34), $C64-$A$1+1)-INDEX('INP-Calc EFOR&amp;EUOR - 2019Plan'!$O$11:$S$34, MATCH($B64, 'INP-Calc EFOR&amp;EUOR - 2019Plan'!$A$11:$A$34), $C64-$A$1+1)</f>
        <v>0.78831284031682836</v>
      </c>
      <c r="J64" s="98">
        <f ca="1">1-SUMPRODUCT(D64:I64,OFFSET('Calc-Pivot abvals'!$H$19,MATCH($B64,'Calc-Pivot abvals'!$G$5:$G$17,0),0,1,6))/INDEX('INP-Calc EFOR&amp;EUOR - 2019Plan'!$B$11:$B$34,MATCH($B64,'INP-Calc EFOR&amp;EUOR - 2019Plan'!$A$11:$A$34,0),0)</f>
        <v>0.13100000000000012</v>
      </c>
      <c r="K64" s="193">
        <f>VLOOKUP(B64, 'INP-Calc EFOR&amp;EUOR - 2019Plan'!$A$11:$M$34, AvailableStates!C64-$A$1+9, 0)</f>
        <v>0.13100000000000001</v>
      </c>
      <c r="L64" s="193">
        <f t="shared" ca="1" si="0"/>
        <v>0</v>
      </c>
    </row>
    <row r="65" spans="1:12" x14ac:dyDescent="0.25">
      <c r="A65" s="98">
        <f t="shared" si="1"/>
        <v>13</v>
      </c>
      <c r="B65" s="98" t="str">
        <f>INDEX('Calc-Pivot abvals'!$G$5:$G$17,A65,0)</f>
        <v>TC2</v>
      </c>
      <c r="C65" s="98">
        <f t="shared" si="2"/>
        <v>2020</v>
      </c>
      <c r="D65" s="191">
        <f ca="1">(INDEX('INP-Calc EFOR&amp;EUOR - 2019Plan'!$I$11:$M$34,MATCH($B65,'INP-Calc EFOR&amp;EUOR - 2019Plan'!$A$11:$A$34,0),$C65-$A$1+1)-(INDEX('INP-Calc EFOR&amp;EUOR - 2019Plan'!$O$11:$S$34,MATCH($B65,'INP-Calc EFOR&amp;EUOR - 2019Plan'!$A$11:$A$34,0),$C65-$A$1+1)+INDEX('INP-Calc EFOR&amp;EUOR - 2019Plan'!$U$11:$Y$34,MATCH($B65,'INP-Calc EFOR&amp;EUOR - 2019Plan'!$A$11:$A$34,0),$C65-$A$1+1)))/(1+SUM(OFFSET('Calc-Pivot abvals'!$I$4,MATCH($B65,'Calc-Pivot abvals'!$G$5:$G$17,0),0,1,4))-(INDEX('Calc-Pivot abvals'!$H$20:$H$32,MATCH($B65,'Calc-Pivot abvals'!$G$5:$G$17,0),0)+SUMPRODUCT(OFFSET('Calc-Pivot abvals'!$I$4,MATCH($B65,'Calc-Pivot abvals'!$G$5:$G$17,0),0,1,4),OFFSET('Calc-Pivot abvals'!$I$19,MATCH($B65,'Calc-Pivot abvals'!$G$5:$G$17,0),0,1,4)))/INDEX('INP-Calc EFOR&amp;EUOR - 2019Plan'!$B$11:$B$34,MATCH($B65,'INP-Calc EFOR&amp;EUOR - 2019Plan'!$A$11:$A$34,0),0))</f>
        <v>2.8220175018017412E-3</v>
      </c>
      <c r="E65" s="98">
        <f ca="1">$D65*INDEX('Calc-Pivot abvals'!I$5:I$17,MATCH($B65,'Calc-Pivot abvals'!$G$5:$G$17,0),0)</f>
        <v>9.583341067340637E-3</v>
      </c>
      <c r="F65" s="98">
        <f ca="1">$D65*INDEX('Calc-Pivot abvals'!J$5:J$17,MATCH($B65,'Calc-Pivot abvals'!$G$5:$G$17,0),0)</f>
        <v>7.5194462636233965E-3</v>
      </c>
      <c r="G65" s="98">
        <f ca="1">$D65*INDEX('Calc-Pivot abvals'!K$5:K$17,MATCH($B65,'Calc-Pivot abvals'!$G$5:$G$17,0),0)</f>
        <v>4.9761749803436436E-2</v>
      </c>
      <c r="H65" s="98">
        <f ca="1">$D65*INDEX('Calc-Pivot abvals'!L$5:L$17,MATCH($B65,'Calc-Pivot abvals'!$G$5:$G$17,0),0)</f>
        <v>2.2594988368781467E-2</v>
      </c>
      <c r="I65" s="192">
        <f ca="1">1-(1+SUM(OFFSET('Calc-Pivot abvals'!$H$4, MATCH($B65, 'Calc-Pivot abvals'!$G$5:$G$17, 0), 1, 1, 4)))*D65-INDEX('INP-Calc EFOR&amp;EUOR - 2019Plan'!$U$11:$Y$34, MATCH($B65, 'INP-Calc EFOR&amp;EUOR - 2019Plan'!$A$11:$A$34), $C65-$A$1+1)-INDEX('INP-Calc EFOR&amp;EUOR - 2019Plan'!$O$11:$S$34, MATCH($B65, 'INP-Calc EFOR&amp;EUOR - 2019Plan'!$A$11:$A$34), $C65-$A$1+1)</f>
        <v>0.78831284031682836</v>
      </c>
      <c r="J65" s="98">
        <f ca="1">1-SUMPRODUCT(D65:I65,OFFSET('Calc-Pivot abvals'!$H$19,MATCH($B65,'Calc-Pivot abvals'!$G$5:$G$17,0),0,1,6))/INDEX('INP-Calc EFOR&amp;EUOR - 2019Plan'!$B$11:$B$34,MATCH($B65,'INP-Calc EFOR&amp;EUOR - 2019Plan'!$A$11:$A$34,0),0)</f>
        <v>0.13100000000000012</v>
      </c>
      <c r="K65" s="193">
        <f>VLOOKUP(B65, 'INP-Calc EFOR&amp;EUOR - 2019Plan'!$A$11:$M$34, AvailableStates!C65-$A$1+9, 0)</f>
        <v>0.13100000000000001</v>
      </c>
      <c r="L65" s="193">
        <f t="shared" ca="1" si="0"/>
        <v>0</v>
      </c>
    </row>
    <row r="66" spans="1:12" x14ac:dyDescent="0.25">
      <c r="A66" s="98">
        <f t="shared" si="1"/>
        <v>13</v>
      </c>
      <c r="B66" s="98" t="str">
        <f>INDEX('Calc-Pivot abvals'!$G$5:$G$17,A66,0)</f>
        <v>TC2</v>
      </c>
      <c r="C66" s="98">
        <f t="shared" si="2"/>
        <v>2021</v>
      </c>
      <c r="D66" s="191">
        <f ca="1">(INDEX('INP-Calc EFOR&amp;EUOR - 2019Plan'!$I$11:$M$34,MATCH($B66,'INP-Calc EFOR&amp;EUOR - 2019Plan'!$A$11:$A$34,0),$C66-$A$1+1)-(INDEX('INP-Calc EFOR&amp;EUOR - 2019Plan'!$O$11:$S$34,MATCH($B66,'INP-Calc EFOR&amp;EUOR - 2019Plan'!$A$11:$A$34,0),$C66-$A$1+1)+INDEX('INP-Calc EFOR&amp;EUOR - 2019Plan'!$U$11:$Y$34,MATCH($B66,'INP-Calc EFOR&amp;EUOR - 2019Plan'!$A$11:$A$34,0),$C66-$A$1+1)))/(1+SUM(OFFSET('Calc-Pivot abvals'!$I$4,MATCH($B66,'Calc-Pivot abvals'!$G$5:$G$17,0),0,1,4))-(INDEX('Calc-Pivot abvals'!$H$20:$H$32,MATCH($B66,'Calc-Pivot abvals'!$G$5:$G$17,0),0)+SUMPRODUCT(OFFSET('Calc-Pivot abvals'!$I$4,MATCH($B66,'Calc-Pivot abvals'!$G$5:$G$17,0),0,1,4),OFFSET('Calc-Pivot abvals'!$I$19,MATCH($B66,'Calc-Pivot abvals'!$G$5:$G$17,0),0,1,4)))/INDEX('INP-Calc EFOR&amp;EUOR - 2019Plan'!$B$11:$B$34,MATCH($B66,'INP-Calc EFOR&amp;EUOR - 2019Plan'!$A$11:$A$34,0),0))</f>
        <v>2.8220175018017412E-3</v>
      </c>
      <c r="E66" s="98">
        <f ca="1">$D66*INDEX('Calc-Pivot abvals'!I$5:I$17,MATCH($B66,'Calc-Pivot abvals'!$G$5:$G$17,0),0)</f>
        <v>9.583341067340637E-3</v>
      </c>
      <c r="F66" s="98">
        <f ca="1">$D66*INDEX('Calc-Pivot abvals'!J$5:J$17,MATCH($B66,'Calc-Pivot abvals'!$G$5:$G$17,0),0)</f>
        <v>7.5194462636233965E-3</v>
      </c>
      <c r="G66" s="98">
        <f ca="1">$D66*INDEX('Calc-Pivot abvals'!K$5:K$17,MATCH($B66,'Calc-Pivot abvals'!$G$5:$G$17,0),0)</f>
        <v>4.9761749803436436E-2</v>
      </c>
      <c r="H66" s="98">
        <f ca="1">$D66*INDEX('Calc-Pivot abvals'!L$5:L$17,MATCH($B66,'Calc-Pivot abvals'!$G$5:$G$17,0),0)</f>
        <v>2.2594988368781467E-2</v>
      </c>
      <c r="I66" s="192">
        <f ca="1">1-(1+SUM(OFFSET('Calc-Pivot abvals'!$H$4, MATCH($B66, 'Calc-Pivot abvals'!$G$5:$G$17, 0), 1, 1, 4)))*D66-INDEX('INP-Calc EFOR&amp;EUOR - 2019Plan'!$U$11:$Y$34, MATCH($B66, 'INP-Calc EFOR&amp;EUOR - 2019Plan'!$A$11:$A$34), $C66-$A$1+1)-INDEX('INP-Calc EFOR&amp;EUOR - 2019Plan'!$O$11:$S$34, MATCH($B66, 'INP-Calc EFOR&amp;EUOR - 2019Plan'!$A$11:$A$34), $C66-$A$1+1)</f>
        <v>0.78831284031682836</v>
      </c>
      <c r="J66" s="98">
        <f ca="1">1-SUMPRODUCT(D66:I66,OFFSET('Calc-Pivot abvals'!$H$19,MATCH($B66,'Calc-Pivot abvals'!$G$5:$G$17,0),0,1,6))/INDEX('INP-Calc EFOR&amp;EUOR - 2019Plan'!$B$11:$B$34,MATCH($B66,'INP-Calc EFOR&amp;EUOR - 2019Plan'!$A$11:$A$34,0),0)</f>
        <v>0.13100000000000012</v>
      </c>
      <c r="K66" s="193">
        <f>VLOOKUP(B66, 'INP-Calc EFOR&amp;EUOR - 2019Plan'!$A$11:$M$34, AvailableStates!C66-$A$1+9, 0)</f>
        <v>0.13100000000000001</v>
      </c>
      <c r="L66" s="193">
        <f t="shared" ca="1" si="0"/>
        <v>0</v>
      </c>
    </row>
    <row r="67" spans="1:12" x14ac:dyDescent="0.25">
      <c r="A67" s="98">
        <f t="shared" si="1"/>
        <v>13</v>
      </c>
      <c r="B67" s="98" t="str">
        <f>INDEX('Calc-Pivot abvals'!$G$5:$G$17,A67,0)</f>
        <v>TC2</v>
      </c>
      <c r="C67" s="98">
        <f t="shared" si="2"/>
        <v>2022</v>
      </c>
      <c r="D67" s="191">
        <f ca="1">(INDEX('INP-Calc EFOR&amp;EUOR - 2019Plan'!$I$11:$M$34,MATCH($B67,'INP-Calc EFOR&amp;EUOR - 2019Plan'!$A$11:$A$34,0),$C67-$A$1+1)-(INDEX('INP-Calc EFOR&amp;EUOR - 2019Plan'!$O$11:$S$34,MATCH($B67,'INP-Calc EFOR&amp;EUOR - 2019Plan'!$A$11:$A$34,0),$C67-$A$1+1)+INDEX('INP-Calc EFOR&amp;EUOR - 2019Plan'!$U$11:$Y$34,MATCH($B67,'INP-Calc EFOR&amp;EUOR - 2019Plan'!$A$11:$A$34,0),$C67-$A$1+1)))/(1+SUM(OFFSET('Calc-Pivot abvals'!$I$4,MATCH($B67,'Calc-Pivot abvals'!$G$5:$G$17,0),0,1,4))-(INDEX('Calc-Pivot abvals'!$H$20:$H$32,MATCH($B67,'Calc-Pivot abvals'!$G$5:$G$17,0),0)+SUMPRODUCT(OFFSET('Calc-Pivot abvals'!$I$4,MATCH($B67,'Calc-Pivot abvals'!$G$5:$G$17,0),0,1,4),OFFSET('Calc-Pivot abvals'!$I$19,MATCH($B67,'Calc-Pivot abvals'!$G$5:$G$17,0),0,1,4)))/INDEX('INP-Calc EFOR&amp;EUOR - 2019Plan'!$B$11:$B$34,MATCH($B67,'INP-Calc EFOR&amp;EUOR - 2019Plan'!$A$11:$A$34,0),0))</f>
        <v>2.8220175018017412E-3</v>
      </c>
      <c r="E67" s="98">
        <f ca="1">$D67*INDEX('Calc-Pivot abvals'!I$5:I$17,MATCH($B67,'Calc-Pivot abvals'!$G$5:$G$17,0),0)</f>
        <v>9.583341067340637E-3</v>
      </c>
      <c r="F67" s="98">
        <f ca="1">$D67*INDEX('Calc-Pivot abvals'!J$5:J$17,MATCH($B67,'Calc-Pivot abvals'!$G$5:$G$17,0),0)</f>
        <v>7.5194462636233965E-3</v>
      </c>
      <c r="G67" s="98">
        <f ca="1">$D67*INDEX('Calc-Pivot abvals'!K$5:K$17,MATCH($B67,'Calc-Pivot abvals'!$G$5:$G$17,0),0)</f>
        <v>4.9761749803436436E-2</v>
      </c>
      <c r="H67" s="98">
        <f ca="1">$D67*INDEX('Calc-Pivot abvals'!L$5:L$17,MATCH($B67,'Calc-Pivot abvals'!$G$5:$G$17,0),0)</f>
        <v>2.2594988368781467E-2</v>
      </c>
      <c r="I67" s="192">
        <f ca="1">1-(1+SUM(OFFSET('Calc-Pivot abvals'!$H$4, MATCH($B67, 'Calc-Pivot abvals'!$G$5:$G$17, 0), 1, 1, 4)))*D67-INDEX('INP-Calc EFOR&amp;EUOR - 2019Plan'!$U$11:$Y$34, MATCH($B67, 'INP-Calc EFOR&amp;EUOR - 2019Plan'!$A$11:$A$34), $C67-$A$1+1)-INDEX('INP-Calc EFOR&amp;EUOR - 2019Plan'!$O$11:$S$34, MATCH($B67, 'INP-Calc EFOR&amp;EUOR - 2019Plan'!$A$11:$A$34), $C67-$A$1+1)</f>
        <v>0.78831284031682836</v>
      </c>
      <c r="J67" s="98">
        <f ca="1">1-SUMPRODUCT(D67:I67,OFFSET('Calc-Pivot abvals'!$H$19,MATCH($B67,'Calc-Pivot abvals'!$G$5:$G$17,0),0,1,6))/INDEX('INP-Calc EFOR&amp;EUOR - 2019Plan'!$B$11:$B$34,MATCH($B67,'INP-Calc EFOR&amp;EUOR - 2019Plan'!$A$11:$A$34,0),0)</f>
        <v>0.13100000000000012</v>
      </c>
      <c r="K67" s="193">
        <f>VLOOKUP(B67, 'INP-Calc EFOR&amp;EUOR - 2019Plan'!$A$11:$M$34, AvailableStates!C67-$A$1+9, 0)</f>
        <v>0.13100000000000001</v>
      </c>
      <c r="L67" s="193">
        <f t="shared" ca="1" si="0"/>
        <v>0</v>
      </c>
    </row>
    <row r="68" spans="1:12" x14ac:dyDescent="0.25">
      <c r="D68" s="191"/>
      <c r="I68" s="192"/>
    </row>
    <row r="69" spans="1:12" x14ac:dyDescent="0.25">
      <c r="D69" s="191"/>
      <c r="I69" s="192"/>
    </row>
    <row r="70" spans="1:12" x14ac:dyDescent="0.25">
      <c r="D70" s="191"/>
      <c r="I70" s="192"/>
    </row>
    <row r="71" spans="1:12" x14ac:dyDescent="0.25">
      <c r="D71" s="191"/>
      <c r="I71" s="192"/>
    </row>
    <row r="72" spans="1:12" x14ac:dyDescent="0.25">
      <c r="D72" s="191"/>
      <c r="I72" s="192"/>
    </row>
    <row r="73" spans="1:12" x14ac:dyDescent="0.25">
      <c r="D73" s="191"/>
      <c r="I73" s="192"/>
    </row>
    <row r="74" spans="1:12" x14ac:dyDescent="0.25">
      <c r="D74" s="191"/>
      <c r="I74" s="192"/>
    </row>
    <row r="75" spans="1:12" x14ac:dyDescent="0.25">
      <c r="D75" s="191"/>
      <c r="I75" s="192"/>
    </row>
    <row r="76" spans="1:12" x14ac:dyDescent="0.25">
      <c r="D76" s="191"/>
      <c r="I76" s="192"/>
    </row>
    <row r="77" spans="1:12" x14ac:dyDescent="0.25">
      <c r="D77" s="191"/>
      <c r="I77" s="192"/>
    </row>
    <row r="78" spans="1:12" x14ac:dyDescent="0.25">
      <c r="D78" s="191"/>
      <c r="I78" s="192"/>
    </row>
    <row r="79" spans="1:12" x14ac:dyDescent="0.25">
      <c r="D79" s="191"/>
      <c r="I79" s="192"/>
    </row>
    <row r="80" spans="1:12" x14ac:dyDescent="0.25">
      <c r="D80" s="191"/>
      <c r="I80" s="192"/>
    </row>
    <row r="81" spans="4:9" x14ac:dyDescent="0.25">
      <c r="D81" s="191"/>
      <c r="I81" s="192"/>
    </row>
    <row r="82" spans="4:9" x14ac:dyDescent="0.25">
      <c r="D82" s="191"/>
      <c r="I82" s="192"/>
    </row>
  </sheetData>
  <pageMargins left="0.7" right="0.7" top="0.75" bottom="0.75" header="0.3" footer="0.3"/>
  <pageSetup orientation="portrait" r:id="rId1"/>
  <headerFooter>
    <oddHeader>&amp;R&amp;"Times New Roman,Bold"&amp;12Case No. 2018-00294
Attachment 2 to Response to AG-2 Question No. 5
Page &amp;P of &amp;N
Sinclair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34" ma:contentTypeDescription="Create a new document." ma:contentTypeScope="" ma:versionID="564212c8433631898006002af8bdbbd4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82c124d73ee730d260d5c3ee21523c0c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0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KU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DR02 Attachments</Round>
    <Data_x0020_Request_x0020_Question_x0020_No_x002e_ xmlns="54fcda00-7b58-44a7-b108-8bd10a8a08ba">005</Data_x0020_Request_x0020_Question_x0020_No_x002e_>
    <Year xmlns="54fcda00-7b58-44a7-b108-8bd10a8a08ba">2018</Year>
    <Document_x0020_Type xmlns="54fcda00-7b58-44a7-b108-8bd10a8a08ba">Data Requests</Document_x0020_Type>
    <Witness_x0020_Testimony xmlns="54fcda00-7b58-44a7-b108-8bd10a8a08ba">Sinclair, David S.</Witness_x0020_Testimony>
    <Intervemprs xmlns="54fcda00-7b58-44a7-b108-8bd10a8a08ba">Attorney General - AG</Intervemprs>
    <Filed_x0020_Documents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85E1C771-0A8A-4863-9D13-36785B384064}"/>
</file>

<file path=customXml/itemProps2.xml><?xml version="1.0" encoding="utf-8"?>
<ds:datastoreItem xmlns:ds="http://schemas.openxmlformats.org/officeDocument/2006/customXml" ds:itemID="{0200C5CF-0354-479D-8181-50F160FC36A5}"/>
</file>

<file path=customXml/itemProps3.xml><?xml version="1.0" encoding="utf-8"?>
<ds:datastoreItem xmlns:ds="http://schemas.openxmlformats.org/officeDocument/2006/customXml" ds:itemID="{02D89D85-E087-49D3-A70A-53148D49FA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INPUT-GADS DATA</vt:lpstr>
      <vt:lpstr>Lookup</vt:lpstr>
      <vt:lpstr>INP-Calc Hist Outage Rates</vt:lpstr>
      <vt:lpstr>INP-Calc EFOR&amp;EUOR - 2019Plan</vt:lpstr>
      <vt:lpstr>Calc-Pivot HistoricalDerates</vt:lpstr>
      <vt:lpstr>Calc-Pivot Table-Derates</vt:lpstr>
      <vt:lpstr>Calc-Pivot abvals</vt:lpstr>
      <vt:lpstr>Calc- Prosym Setup</vt:lpstr>
      <vt:lpstr>AvailableStates</vt:lpstr>
      <vt:lpstr>Output-Prosym Outage Rate File</vt:lpstr>
      <vt:lpstr>Outage Formulas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2018-12-18T21:14:44Z</dcterms:created>
  <dcterms:modified xsi:type="dcterms:W3CDTF">2018-12-19T20:19:34Z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